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 - Fazi" sheetId="1" r:id="rId5"/>
    <sheet state="visible" name="CA - Redstone" sheetId="2" r:id="rId6"/>
    <sheet state="visible" name="CA - Playnet" sheetId="3" r:id="rId7"/>
    <sheet state="visible" name="CA - TipTop" sheetId="4" r:id="rId8"/>
    <sheet state="visible" name="CA - SOKO studio" sheetId="5" r:id="rId9"/>
    <sheet state="hidden" name="CA Data" sheetId="6" r:id="rId10"/>
    <sheet state="hidden" name="GameLanguages_za_CA" sheetId="7" r:id="rId11"/>
    <sheet state="hidden" name="AllGames_Languages" sheetId="8" r:id="rId12"/>
    <sheet state="hidden" name="Jurisdiction_report" sheetId="9" r:id="rId13"/>
    <sheet state="hidden" name="GameLanguages_report" sheetId="10" r:id="rId14"/>
    <sheet state="hidden" name="AllGames_Games" sheetId="11" r:id="rId15"/>
  </sheets>
  <definedNames/>
  <calcPr/>
</workbook>
</file>

<file path=xl/sharedStrings.xml><?xml version="1.0" encoding="utf-8"?>
<sst xmlns="http://schemas.openxmlformats.org/spreadsheetml/2006/main"/>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dd&quot;.&quot;mm&quot;.&quot;yyyy&quot;.&quot;"/>
    <numFmt numFmtId="165" formatCode="m/d/yyyy, h:mm:ss am/pm"/>
    <numFmt numFmtId="166" formatCode="yyyy-mm-dd h:mm:ss"/>
    <numFmt numFmtId="167" formatCode="#,##0.000"/>
    <numFmt numFmtId="168" formatCode="yyyy-mm-dd"/>
    <numFmt numFmtId="169" formatCode="dd.MM.yyyy."/>
    <numFmt numFmtId="170" formatCode="d/m/yyyy, hh:mm:ss"/>
    <numFmt numFmtId="171" formatCode="M/d/yyyy"/>
  </numFmts>
  <fonts count="4">
    <font>
      <sz val="10.0"/>
      <color rgb="FF000000"/>
      <name val="Arial"/>
      <scheme val="minor"/>
    </font>
    <font>
      <color theme="1"/>
      <name val="Arial"/>
      <scheme val="minor"/>
    </font>
    <font>
      <b/>
      <color theme="1"/>
      <name val="Arial"/>
      <scheme val="minor"/>
    </font>
    <font>
      <u/>
      <color rgb="FF0000FF"/>
    </font>
  </fonts>
  <fills count="3">
    <fill>
      <patternFill patternType="none"/>
    </fill>
    <fill>
      <patternFill patternType="lightGray"/>
    </fill>
    <fill>
      <patternFill patternType="solid">
        <fgColor rgb="FFFF0000"/>
        <bgColor rgb="FFFF0000"/>
      </patternFill>
    </fill>
  </fills>
  <borders count="1">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2" fontId="1" numFmtId="0" xfId="0" applyFill="1" applyFont="1"/>
    <xf borderId="0" fillId="2" fontId="1" numFmtId="164" xfId="0" applyFill="1" applyFont="1" applyNumberFormat="1"/>
    <xf borderId="0" fillId="2" fontId="2" numFmtId="0" xfId="0" applyFill="1" applyFont="1"/>
    <xf borderId="0" fillId="2" fontId="2" numFmtId="164" xfId="0" applyFill="1" applyFont="1" applyNumberFormat="1"/>
    <xf borderId="0" fillId="0" fontId="1" numFmtId="0" xfId="0" applyFont="1"/>
    <xf borderId="0" fillId="0" fontId="1" numFmtId="164" xfId="0" applyFont="1" applyNumberFormat="1"/>
    <xf borderId="0" fillId="0" fontId="3" numFmtId="0" xfId="0" applyFont="1"/>
    <xf borderId="0" fillId="0" fontId="1" numFmtId="165" xfId="0" applyFont="1" applyNumberFormat="1"/>
    <xf borderId="0" fillId="0" fontId="1" numFmtId="166" xfId="0" applyFont="1" applyNumberFormat="1"/>
    <xf borderId="0" fillId="0" fontId="1" numFmtId="49" xfId="0" applyFont="1" applyNumberFormat="1"/>
    <xf borderId="0" fillId="0" fontId="1" numFmtId="167" xfId="0" applyFont="1" applyNumberFormat="1"/>
    <xf borderId="0" fillId="0" fontId="1" numFmtId="4" xfId="0" applyFont="1" applyNumberFormat="1"/>
    <xf borderId="0" fillId="0" fontId="1" numFmtId="168" xfId="0" applyFont="1" applyNumberFormat="1"/>
    <xf borderId="0" fillId="0" fontId="1" numFmtId="169" xfId="0" applyFont="1" applyNumberFormat="1"/>
    <xf borderId="0" fillId="0" fontId="1" numFmtId="170" xfId="0" applyFont="1" applyNumberFormat="1"/>
    <xf borderId="0" fillId="0" fontId="1" numFmtId="171" xfId="0" applyFont="1" applyNumberFormat="1"/>
    <xf borderId="0" fillId="0" fontId="1" numFmtId="14" xfId="0" applyFont="1" applyNumberFormat="1"/>
    <xf borderId="0" fillId="0" fontId="1" numFmtId="10" xfId="0" applyFont="1" applyNumberFormat="1"/>
    <xf borderId="0" fillId="0" fontId="1" numFmtId="3"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CrystalHot40Deluxe&amp;platform=desktop&amp;languageCode=eng&amp;currency=EUR" TargetMode="External"/><Relationship Id="rId190" Type="http://schemas.openxmlformats.org/officeDocument/2006/relationships/hyperlink" Target="https://onlinegamespromo.fazi.rs/Home/IntegrationGameLaunch?moneyType=0&amp;gameName=GoldenCrownHoldAndWin&amp;platform=desktop&amp;languageCode=eng&amp;currency=EUR" TargetMode="External"/><Relationship Id="rId42" Type="http://schemas.openxmlformats.org/officeDocument/2006/relationships/hyperlink" Target="https://onlinegamespromo.fazi.rs/Home/IntegrationGameLaunch?moneyType=0&amp;gameName=DolphinsShine&amp;platform=desktop&amp;languageCode=eng&amp;currency=EUR" TargetMode="External"/><Relationship Id="rId41" Type="http://schemas.openxmlformats.org/officeDocument/2006/relationships/hyperlink" Target="https://onlinegamespromo.fazi.rs/Home/IntegrationGameLaunch?moneyType=0&amp;gameName=WildHot40&amp;platform=desktop&amp;languageCode=eng&amp;currency=EUR" TargetMode="External"/><Relationship Id="rId44" Type="http://schemas.openxmlformats.org/officeDocument/2006/relationships/hyperlink" Target="https://onlinegamespromo.fazi.rs/Home/IntegrationGameLaunch?moneyType=0&amp;gameName=MysteryJokerHot&amp;platform=desktop&amp;languageCode=eng&amp;currency=EUR" TargetMode="External"/><Relationship Id="rId194" Type="http://schemas.openxmlformats.org/officeDocument/2006/relationships/hyperlink" Target="https://onlinegamespromo.fazi.rs/Home/IntegrationGameLaunch?moneyType=0&amp;gameName=GoldenDiamonds40Extreme&amp;platform=desktop&amp;languageCode=eng&amp;currency=EUR" TargetMode="External"/><Relationship Id="rId43" Type="http://schemas.openxmlformats.org/officeDocument/2006/relationships/hyperlink" Target="https://onlinegamespromo.fazi.rs/Home/IntegrationGameLaunch?moneyType=0&amp;gameName=GoldenCrown&amp;platform=desktop&amp;languageCode=eng&amp;currency=EUR" TargetMode="External"/><Relationship Id="rId193" Type="http://schemas.openxmlformats.org/officeDocument/2006/relationships/hyperlink" Target="https://onlinegamespromo.fazi.rs/Home/IntegrationGameLaunch?moneyType=0&amp;gameName=GoldenDiamonds20Extreme&amp;platform=desktop&amp;languageCode=eng&amp;currency=EUR" TargetMode="External"/><Relationship Id="rId46" Type="http://schemas.openxmlformats.org/officeDocument/2006/relationships/hyperlink" Target="https://onlinegamespromo.fazi.rs/Home/IntegrationGameLaunch?moneyType=0&amp;gameName=FruityJokerHot&amp;platform=desktop&amp;languageCode=eng&amp;currency=EUR" TargetMode="External"/><Relationship Id="rId192" Type="http://schemas.openxmlformats.org/officeDocument/2006/relationships/hyperlink" Target="https://onlinegamespromo.fazi.rs/Home/IntegrationGameLaunch?moneyType=0&amp;gameName=GoldenDiamonds10Extreme&amp;platform=desktop&amp;languageCode=eng&amp;currency=EUR" TargetMode="External"/><Relationship Id="rId45" Type="http://schemas.openxmlformats.org/officeDocument/2006/relationships/hyperlink" Target="https://onlinegamespromo.fazi.rs/Home/IntegrationGameLaunch?moneyType=0&amp;gameName=CrystalJokerHot&amp;platform=desktop&amp;languageCode=eng&amp;currency=EUR" TargetMode="External"/><Relationship Id="rId191" Type="http://schemas.openxmlformats.org/officeDocument/2006/relationships/hyperlink" Target="https://onlinegamespromo.fazi.rs/Home/IntegrationGameLaunch?moneyType=0&amp;gameName=GoldenDiamonds5Extreme&amp;platform=desktop&amp;languageCode=eng&amp;currency=EUR" TargetMode="External"/><Relationship Id="rId48" Type="http://schemas.openxmlformats.org/officeDocument/2006/relationships/hyperlink" Target="https://onlinegamespromo.fazi.rs/Home/IntegrationGameLaunch?moneyType=0&amp;gameName=BookOfLuxorDouble&amp;platform=desktop&amp;languageCode=eng&amp;currency=EUR" TargetMode="External"/><Relationship Id="rId187" Type="http://schemas.openxmlformats.org/officeDocument/2006/relationships/hyperlink" Target="https://gameserver-store.fazi.rs/Home/IntegrationGameLaunch/admiralmne?moneyType=0&amp;currency=EUR&amp;gameName=CoinSplashDice" TargetMode="External"/><Relationship Id="rId47" Type="http://schemas.openxmlformats.org/officeDocument/2006/relationships/hyperlink" Target="https://onlinegamespromo.fazi.rs/Home/IntegrationGameLaunch?moneyType=0&amp;gameName=WildKingdom&amp;platform=desktop&amp;languageCode=eng&amp;currency=EUR" TargetMode="External"/><Relationship Id="rId186" Type="http://schemas.openxmlformats.org/officeDocument/2006/relationships/hyperlink" Target="https://onlinegamespromo.fazi.rs/Home/IntegrationGameLaunch?moneyType=0&amp;gameName=Wild27Dice&amp;platform=desktop&amp;languageCode=eng&amp;currency=EUR" TargetMode="External"/><Relationship Id="rId185" Type="http://schemas.openxmlformats.org/officeDocument/2006/relationships/hyperlink" Target="https://onlinegamespromo.fazi.rs/Home/IntegrationGameLaunch?moneyType=0&amp;gameName=Retro27&amp;platform=desktop&amp;languageCode=eng&amp;currency=EUR" TargetMode="External"/><Relationship Id="rId49" Type="http://schemas.openxmlformats.org/officeDocument/2006/relationships/hyperlink" Target="https://onlinegamespromo.fazi.rs/Home/IntegrationGameLaunch?moneyType=0&amp;gameName=MegaCubesDeluxe&amp;platform=desktop&amp;languageCode=eng&amp;currency=EUR" TargetMode="External"/><Relationship Id="rId184" Type="http://schemas.openxmlformats.org/officeDocument/2006/relationships/hyperlink" Target="https://onlinegamespromo.fazi.rs/Home/IntegrationGameLaunch?moneyType=0&amp;gameName=StarHeat40&amp;platform=desktop&amp;languageCode=eng&amp;currency=EUR" TargetMode="External"/><Relationship Id="rId189" Type="http://schemas.openxmlformats.org/officeDocument/2006/relationships/hyperlink" Target="https://onlinegamespromo.fazi.rs/Home/IntegrationGameLaunch?moneyType=0&amp;gameName=BonusEpicCrownDice&amp;platform=desktop&amp;languageCode=eng&amp;currency=EUR" TargetMode="External"/><Relationship Id="rId188" Type="http://schemas.openxmlformats.org/officeDocument/2006/relationships/hyperlink" Target="https://onlinegamespromo.fazi.rs/Home/IntegrationGameLaunch?moneyType=0&amp;gameName=WildHot40Deluxe&amp;platform=desktop&amp;languageCode=eng&amp;currency=EUR" TargetMode="External"/><Relationship Id="rId31" Type="http://schemas.openxmlformats.org/officeDocument/2006/relationships/hyperlink" Target="https://onlinegamespromo.fazi.rs/Home/IntegrationGameLaunch?moneyType=0&amp;gameName=AlohaCharm&amp;platform=desktop&amp;languageCode=eng&amp;currency=EUR" TargetMode="External"/><Relationship Id="rId30" Type="http://schemas.openxmlformats.org/officeDocument/2006/relationships/hyperlink" Target="https://onlinegamespromo.fazi.rs/Home/IntegrationGameLaunch?moneyType=0&amp;gameName=StarRunner&amp;platform=desktop&amp;languageCode=eng&amp;currency=EUR" TargetMode="External"/><Relationship Id="rId33" Type="http://schemas.openxmlformats.org/officeDocument/2006/relationships/hyperlink" Target="https://onlinegamespromo.fazi.rs/Home/IntegrationGameLaunch?moneyType=0&amp;gameName=TwinklingHot5&amp;platform=desktop&amp;languageCode=eng&amp;currency=EUR" TargetMode="External"/><Relationship Id="rId183" Type="http://schemas.openxmlformats.org/officeDocument/2006/relationships/hyperlink" Target="https://onlinegamespromo.fazi.rs/Home/IntegrationGameLaunch?moneyType=0&amp;gameName=WildHot40HoldAndWin&amp;platform=desktop&amp;languageCode=eng&amp;currency=EUR" TargetMode="External"/><Relationship Id="rId32" Type="http://schemas.openxmlformats.org/officeDocument/2006/relationships/hyperlink" Target="https://onlinegamespromo.fazi.rs/Home/IntegrationGameLaunch?moneyType=0&amp;gameName=FruitsAndStars40&amp;platform=desktop&amp;languageCode=eng&amp;currency=EUR" TargetMode="External"/><Relationship Id="rId18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35" Type="http://schemas.openxmlformats.org/officeDocument/2006/relationships/hyperlink" Target="https://onlinegamespromo.fazi.rs/Home/IntegrationGameLaunch?moneyType=0&amp;gameName=CubesAndStars&amp;platform=desktop&amp;languageCode=eng&amp;currency=EUR" TargetMode="External"/><Relationship Id="rId181" Type="http://schemas.openxmlformats.org/officeDocument/2006/relationships/hyperlink" Target="https://gameserver-store-dev-01.fazi.rs/Home/IntegrationGameLaunch/fazi-stg16?moneyType=0&amp;gameName=VeryHot5ChristmasBooster&amp;platform=desktop&amp;languageCode=eng&amp;currency=EUR" TargetMode="External"/><Relationship Id="rId34" Type="http://schemas.openxmlformats.org/officeDocument/2006/relationships/hyperlink" Target="https://onlinegamespromo.fazi.rs/Home/IntegrationGameLaunch?moneyType=0&amp;gameName=DiceOfSpells&amp;platform=desktop&amp;languageCode=eng&amp;currency=EUR" TargetMode="External"/><Relationship Id="rId180" Type="http://schemas.openxmlformats.org/officeDocument/2006/relationships/hyperlink" Target="https://onlinegamespromo.fazi.rs/Home/IntegrationGameLaunch?moneyType=0&amp;gameName=GigaHot40FreeSpins&amp;platform=desktop&amp;languageCode=eng&amp;currency=EUR" TargetMode="External"/><Relationship Id="rId37" Type="http://schemas.openxmlformats.org/officeDocument/2006/relationships/hyperlink" Target="https://onlinegamespromo.fazi.rs/Home/IntegrationGameLaunch?moneyType=0&amp;gameName=BookOfSpellsDeluxe&amp;platform=desktop&amp;languageCode=eng&amp;currency=EUR" TargetMode="External"/><Relationship Id="rId176" Type="http://schemas.openxmlformats.org/officeDocument/2006/relationships/hyperlink" Target="https://onlinegamespromo.fazi.rs/Home/IntegrationGameLaunch?moneyType=0&amp;gameName=GoldenCrownChristmasBooster&amp;platform=desktop&amp;languageCode=eng&amp;currency=EUR" TargetMode="External"/><Relationship Id="rId36" Type="http://schemas.openxmlformats.org/officeDocument/2006/relationships/hyperlink" Target="https://onlinegamespromo.fazi.rs/Home/IntegrationGameLaunch?moneyType=0&amp;gameName=TwinklingHot40&amp;platform=desktop&amp;languageCode=eng&amp;currency=EUR" TargetMode="External"/><Relationship Id="rId175" Type="http://schemas.openxmlformats.org/officeDocument/2006/relationships/hyperlink" Target="https://gameserver-store-dev-01.fazi.rs/Home/IntegrationGameLaunch/fazi-stg16?moneyType=0&amp;ga%5B%E2%80%A6%5Dooster&amp;platform=desktop&amp;languageCode=eng&amp;currency=EUR" TargetMode="External"/><Relationship Id="rId39" Type="http://schemas.openxmlformats.org/officeDocument/2006/relationships/hyperlink" Target="https://onlinegamespromo.fazi.rs/Home/IntegrationGameLaunch?moneyType=0&amp;gameName=CrystalHot80&amp;platform=desktop&amp;languageCode=eng&amp;currency=EUR" TargetMode="External"/><Relationship Id="rId174" Type="http://schemas.openxmlformats.org/officeDocument/2006/relationships/hyperlink" Target="https://gameserver-store-dev-01.fazi.rs/Home/IntegrationGameLaunch/fazi-stg16?moneyType=0&amp;gameName=WildJokerHotBooster&amp;platform=desktop&amp;languageCode=eng&amp;currency=EUR" TargetMode="External"/><Relationship Id="rId38" Type="http://schemas.openxmlformats.org/officeDocument/2006/relationships/hyperlink" Target="https://onlinegamespromo.fazi.rs/Home/IntegrationGameLaunch?moneyType=0&amp;gameName=JazzyFruits&amp;platform=desktop&amp;languageCode=eng&amp;currency=EUR" TargetMode="External"/><Relationship Id="rId173" Type="http://schemas.openxmlformats.org/officeDocument/2006/relationships/hyperlink" Target="https://onlinegamespromo.fazi.rs/Home/IntegrationGameLaunch?moneyType=0&amp;gameName=Wild27Halloween&amp;lobbyUrl=https://www.fazi-interactive.com/" TargetMode="External"/><Relationship Id="rId179" Type="http://schemas.openxmlformats.org/officeDocument/2006/relationships/hyperlink" Target="https://onlinegamespromo.fazi.rs/Home/IntegrationGameLaunch?moneyType=0&amp;gameName=MacacoDaFortuna&amp;platform=desktop&amp;languageCode=eng&amp;currency=EUR" TargetMode="External"/><Relationship Id="rId178" Type="http://schemas.openxmlformats.org/officeDocument/2006/relationships/hyperlink" Target="https://onlinegamespromo.fazi.rs/Home/IntegrationGameLaunch?moneyType=0&amp;gameName=Wild27Extreme&amp;platform=desktop&amp;languageCode=eng&amp;currency=EUR" TargetMode="External"/><Relationship Id="rId177" Type="http://schemas.openxmlformats.org/officeDocument/2006/relationships/hyperlink" Target="https://gameserver-store-dev-01.fazi.rs/Home/IntegrationGameLaunch/fazi-stg16?moneyType=0&amp;gameName=BellasWorld&amp;platform=desktop&amp;languageCode=eng&amp;currency=EURR" TargetMode="External"/><Relationship Id="rId20" Type="http://schemas.openxmlformats.org/officeDocument/2006/relationships/hyperlink" Target="https://onlinegamespromo.fazi.rs/Home/IntegrationGameLaunch?moneyType=0&amp;gameName=STARGEMS&amp;platform=desktop&amp;languageCode=eng&amp;currency=EUR" TargetMode="External"/><Relationship Id="rId22" Type="http://schemas.openxmlformats.org/officeDocument/2006/relationships/hyperlink" Target="https://onlinegamespromo.fazi.rs/Home/IntegrationGameLaunch?moneyType=0&amp;gameName=SpaceGuardians&amp;platform=desktop&amp;languageCode=eng&amp;currency=EUR" TargetMode="External"/><Relationship Id="rId21" Type="http://schemas.openxmlformats.org/officeDocument/2006/relationships/hyperlink" Target="https://onlinegamespromo.fazi.rs/Home/IntegrationGameLaunch?moneyType=0&amp;gameName=TEMPLARSQUEST&amp;platform=desktop&amp;languageCode=eng&amp;currency=EUR" TargetMode="External"/><Relationship Id="rId24" Type="http://schemas.openxmlformats.org/officeDocument/2006/relationships/hyperlink" Target="https://onlinegamespromo.fazi.rs/Home/IntegrationGameLaunch?moneyType=0&amp;gameName=TRIPLEHOT&amp;platform=desktop&amp;languageCode=eng&amp;currency=EUR" TargetMode="External"/><Relationship Id="rId23" Type="http://schemas.openxmlformats.org/officeDocument/2006/relationships/hyperlink" Target="https://onlinegamespromo.fazi.rs/Home/IntegrationGameLaunch?moneyType=0&amp;gameName=STARLIGHT&amp;platform=desktop&amp;languageCode=eng&amp;currency=EUR" TargetMode="External"/><Relationship Id="rId26" Type="http://schemas.openxmlformats.org/officeDocument/2006/relationships/hyperlink" Target="https://onlinegamespromo.fazi.rs/Home/IntegrationGameLaunch?moneyType=0&amp;gameName=TurboDice40&amp;platform=desktop&amp;languageCode=eng&amp;currency=EUR" TargetMode="External"/><Relationship Id="rId25" Type="http://schemas.openxmlformats.org/officeDocument/2006/relationships/hyperlink" Target="https://onlinegamespromo.fazi.rs/Home/IntegrationGameLaunch?moneyType=0&amp;gameName=CRYSTALHOT40&amp;platform=desktop&amp;languageCode=eng&amp;currency=EUR" TargetMode="External"/><Relationship Id="rId28" Type="http://schemas.openxmlformats.org/officeDocument/2006/relationships/hyperlink" Target="https://onlinegamespromo.fazi.rs/Home/IntegrationGameLaunch?moneyType=0&amp;gameName=KATANASOFTIME&amp;platform=desktop&amp;languageCode=eng&amp;currency=EUR" TargetMode="External"/><Relationship Id="rId27" Type="http://schemas.openxmlformats.org/officeDocument/2006/relationships/hyperlink" Target="https://onlinegamespromo.fazi.rs/Home/IntegrationGameLaunch?moneyType=0&amp;gameName=TripleDice&amp;platform=desktop&amp;languageCode=eng&amp;currency=EUR" TargetMode="External"/><Relationship Id="rId29" Type="http://schemas.openxmlformats.org/officeDocument/2006/relationships/hyperlink" Target="https://onlinegamespromo.fazi.rs/Home/IntegrationGameLaunch?moneyType=0&amp;gameName=RETRO7HOT&amp;platform=desktop&amp;languageCode=eng&amp;currency=EUR" TargetMode="External"/><Relationship Id="rId11" Type="http://schemas.openxmlformats.org/officeDocument/2006/relationships/hyperlink" Target="https://onlinegamespromo.fazi.rs/Home/IntegrationGameLaunch?moneyType=0&amp;gameName=BOOKOFSPELLS&amp;platform=desktop&amp;languageCode=eng&amp;currency=EUR" TargetMode="External"/><Relationship Id="rId10" Type="http://schemas.openxmlformats.org/officeDocument/2006/relationships/hyperlink" Target="https://onlinegamespromo.fazi.rs/Home/IntegrationGameLaunch?moneyType=0&amp;gameName=HOTSTARS&amp;platform=desktop&amp;languageCode=eng&amp;currency=EUR" TargetMode="External"/><Relationship Id="rId13" Type="http://schemas.openxmlformats.org/officeDocument/2006/relationships/hyperlink" Target="https://onlinegamespromo.fazi.rs/Home/IntegrationGameLaunch?moneyType=0&amp;gameName=TURBOHOT40&amp;platform=desktop&amp;languageCode=eng&amp;currency=EUR" TargetMode="External"/><Relationship Id="rId12" Type="http://schemas.openxmlformats.org/officeDocument/2006/relationships/hyperlink" Target="https://onlinegamespromo.fazi.rs/Home/IntegrationGameLaunch?moneyType=0&amp;gameName=MEGAHOT&amp;platform=desktop&amp;languageCode=eng&amp;currency=EUR" TargetMode="External"/><Relationship Id="rId15" Type="http://schemas.openxmlformats.org/officeDocument/2006/relationships/hyperlink" Target="https://onlinegamespromo.fazi.rs/Home/IntegrationGameLaunch?moneyType=0&amp;gameName=BOOKOFBRUNO&amp;platform=desktop&amp;languageCode=eng&amp;currency=EUR" TargetMode="External"/><Relationship Id="rId198" Type="http://schemas.openxmlformats.org/officeDocument/2006/relationships/hyperlink" Target="https://onlinegamespromo.fazi.rs/Home/IntegrationGameLaunch?moneyType=0&amp;gameName=LockedHearts20&amp;platform=desktop&amp;languageCode=eng&amp;currency=EUR" TargetMode="External"/><Relationship Id="rId14" Type="http://schemas.openxmlformats.org/officeDocument/2006/relationships/hyperlink" Target="https://onlinegamespromo.fazi.rs/Home/IntegrationGameLaunch?moneyType=0&amp;gameName=CRYSTALSOFMAGIC&amp;platform=desktop&amp;languageCode=eng&amp;currency=EUR" TargetMode="External"/><Relationship Id="rId197" Type="http://schemas.openxmlformats.org/officeDocument/2006/relationships/hyperlink" Target="https://onlinegamespromo.fazi.rs/Home/IntegrationGameLaunch?moneyType=0&amp;gameName=LockedHearts5&amp;platform=desktop&amp;languageCode=eng&amp;currency=EUR" TargetMode="External"/><Relationship Id="rId17" Type="http://schemas.openxmlformats.org/officeDocument/2006/relationships/hyperlink" Target="https://onlinegamespromo.fazi.rs/Home/IntegrationGameLaunch?moneyType=0&amp;gameName=MONSTERS&amp;platform=desktop&amp;languageCode=eng&amp;currency=EUR" TargetMode="External"/><Relationship Id="rId196" Type="http://schemas.openxmlformats.org/officeDocument/2006/relationships/hyperlink" Target="https://onlinegamespromo.fazi.rs/Home/IntegrationGameLaunch?moneyType=0&amp;gameName=LockedHearts10&amp;platform=desktop&amp;languageCode=eng&amp;currency=EUR" TargetMode="External"/><Relationship Id="rId16" Type="http://schemas.openxmlformats.org/officeDocument/2006/relationships/hyperlink" Target="https://onlinegamespromo.fazi.rs/Home/IntegrationGameLaunch?moneyType=0&amp;gameName=TROPICALHOT&amp;platform=desktop&amp;languageCode=eng&amp;currency=EUR" TargetMode="External"/><Relationship Id="rId195" Type="http://schemas.openxmlformats.org/officeDocument/2006/relationships/hyperlink" Target="https://onlinegamespromo.fazi.rs/Home/IntegrationGameLaunch?moneyType=0&amp;gameName=VeryHot5ExtremeBooster&amp;platform=desktop&amp;languageCode=eng&amp;currency=EUR" TargetMode="External"/><Relationship Id="rId19" Type="http://schemas.openxmlformats.org/officeDocument/2006/relationships/hyperlink" Target="https://onlinegamespromo.fazi.rs/Home/IntegrationGameLaunch?moneyType=0&amp;gameName=VIKINGGOLD&amp;platform=desktop&amp;languageCode=eng&amp;currency=EUR" TargetMode="External"/><Relationship Id="rId18" Type="http://schemas.openxmlformats.org/officeDocument/2006/relationships/hyperlink" Target="https://onlinegamespromo.fazi.rs/Home/IntegrationGameLaunch?moneyType=0&amp;gameName=FORESTFRUITS&amp;platform=desktop&amp;languageCode=eng&amp;currency=EUR" TargetMode="External"/><Relationship Id="rId199" Type="http://schemas.openxmlformats.org/officeDocument/2006/relationships/hyperlink" Target="https://onlinegamespromo.fazi.rs/Home/IntegrationGameLaunch?moneyType=0&amp;gameName=LockedHearts40&amp;platform=desktop&amp;languageCode=eng&amp;currency=EUR" TargetMode="External"/><Relationship Id="rId84" Type="http://schemas.openxmlformats.org/officeDocument/2006/relationships/hyperlink" Target="https://onlinegamespromo.fazi.rs/Home/IntegrationGameLaunch?moneyType=0&amp;gameName=PowerOfTheGreat&amp;platform=desktop&amp;languageCode=eng&amp;currency=EUR" TargetMode="External"/><Relationship Id="rId83" Type="http://schemas.openxmlformats.org/officeDocument/2006/relationships/hyperlink" Target="https://onlinegamespromo.fazi.rs/Home/IntegrationGameLaunch?moneyType=0&amp;gameName=HeatingFruits&amp;platform=desktop&amp;languageCode=eng&amp;currency=EUR" TargetMode="External"/><Relationship Id="rId86" Type="http://schemas.openxmlformats.org/officeDocument/2006/relationships/hyperlink" Target="https://onlinegamespromo.fazi.rs/Home/IntegrationGameLaunch?moneyType=0&amp;gameName=WildLuckyClover&amp;platform=desktop&amp;languageCode=eng&amp;currency=EUR" TargetMode="External"/><Relationship Id="rId85" Type="http://schemas.openxmlformats.org/officeDocument/2006/relationships/hyperlink" Target="https://onlinegamespromo.fazi.rs/Home/IntegrationGameLaunch?moneyType=0&amp;gameName=VeryHot40Dice&amp;platform=desktop&amp;languageCode=eng&amp;currency=EUR" TargetMode="External"/><Relationship Id="rId88" Type="http://schemas.openxmlformats.org/officeDocument/2006/relationships/hyperlink" Target="https://onlinegamespromo.fazi.rs/Home/IntegrationGameLaunch?moneyType=0&amp;gameName=VeryHot40Respin&amp;platform=desktop&amp;languageCode=eng&amp;currency=EUR" TargetMode="External"/><Relationship Id="rId150" Type="http://schemas.openxmlformats.org/officeDocument/2006/relationships/hyperlink" Target="https://onlinegamespromo.fazi.rs/Home/IntegrationGameLaunch?moneyType=0&amp;gameName=CrownAndStars&amp;platform=desktop&amp;languageCode=eng&amp;currency=EUR" TargetMode="External"/><Relationship Id="rId87" Type="http://schemas.openxmlformats.org/officeDocument/2006/relationships/hyperlink" Target="https://onlinegamespromo.fazi.rs/Home/IntegrationGameLaunch?moneyType=0&amp;gameName=FruitsAndStars20Deluxe&amp;platform=desktop&amp;languageCode=eng&amp;currency=EUR" TargetMode="External"/><Relationship Id="rId89" Type="http://schemas.openxmlformats.org/officeDocument/2006/relationships/hyperlink" Target="https://onlinegamespromo.fazi.rs/Home/IntegrationGameLaunch?moneyType=0&amp;gameName=AfricanTreasure&amp;platform=desktop&amp;languageCode=eng&amp;currency=EUR" TargetMode="External"/><Relationship Id="rId80" Type="http://schemas.openxmlformats.org/officeDocument/2006/relationships/hyperlink" Target="https://onlinegamespromo.fazi.rs/Home/IntegrationGameLaunch?moneyType=0&amp;gameName=FruityFace&amp;platform=desktop&amp;languageCode=eng&amp;currency=EUR" TargetMode="External"/><Relationship Id="rId82" Type="http://schemas.openxmlformats.org/officeDocument/2006/relationships/hyperlink" Target="https://onlinegamespromo.fazi.rs/Home/IntegrationGameLaunch?moneyType=0&amp;gameName=WildJokerHot&amp;platform=desktop&amp;languageCode=eng&amp;currency=EUR" TargetMode="External"/><Relationship Id="rId81" Type="http://schemas.openxmlformats.org/officeDocument/2006/relationships/hyperlink" Target="https://onlinegamespromo.fazi.rs/Home/IntegrationGameLaunch?moneyType=0&amp;gameName=ClassicLuckySpin&amp;platform=desktop&amp;languageCode=eng&amp;currency=EUR"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 Type="http://schemas.openxmlformats.org/officeDocument/2006/relationships/hyperlink" Target="https://onlinegamespromo.fazi.rs/Home/IntegrationGameLaunch?moneyType=0&amp;gameName=DEEPJUNGLE&amp;platform=desktop&amp;languageCode=eng&amp;currency=EUR" TargetMode="External"/><Relationship Id="rId3" Type="http://schemas.openxmlformats.org/officeDocument/2006/relationships/hyperlink" Target="https://onlinegamespromo.fazi.rs/Home/IntegrationGameLaunch?moneyType=0&amp;gameName=WIZARD&amp;platform=desktop&amp;languageCode=eng&amp;currency=EUR" TargetMode="External"/><Relationship Id="rId149" Type="http://schemas.openxmlformats.org/officeDocument/2006/relationships/hyperlink" Target="https://onlinegamespromo.fazi.rs/Home/IntegrationGameLaunch?moneyType=0&amp;gameName=GoldenCrownMax&amp;platform=desktop&amp;languageCode=eng&amp;currency=EUR" TargetMode="External"/><Relationship Id="rId4" Type="http://schemas.openxmlformats.org/officeDocument/2006/relationships/hyperlink" Target="https://onlinegamespromo.fazi.rs/Home/IntegrationGameLaunch?moneyType=0&amp;gameName=FRUITSANDSTARS&amp;platform=desktop&amp;languageCode=eng&amp;currency=EUR" TargetMode="External"/><Relationship Id="rId148" Type="http://schemas.openxmlformats.org/officeDocument/2006/relationships/hyperlink" Target="https://onlinegamespromo.fazi.rs/Home/IntegrationGameLaunch?moneyType=0&amp;gameName=FortuneParrot&amp;platform=desktop&amp;languageCode=eng&amp;currency=EUR" TargetMode="External"/><Relationship Id="rId9" Type="http://schemas.openxmlformats.org/officeDocument/2006/relationships/hyperlink" Target="https://onlinegamespromo.fazi.rs/Home/IntegrationGameLaunch?moneyType=0&amp;gameName=JUICYHOT&amp;platform=desktop&amp;languageCode=eng&amp;currency=EUR" TargetMode="External"/><Relationship Id="rId143" Type="http://schemas.openxmlformats.org/officeDocument/2006/relationships/hyperlink" Target="https://onlinegamespromo.fazi.rs/Home/IntegrationGameLaunch?moneyType=0&amp;gameName=TurboStars40&amp;platform=desktop&amp;languageCode=eng&amp;currency=EUR" TargetMode="External"/><Relationship Id="rId142" Type="http://schemas.openxmlformats.org/officeDocument/2006/relationships/hyperlink" Target="https://onlinegamespromo.fazi.rs/Home/IntegrationGameLaunch?moneyType=0&amp;gameName=TurboStars10&amp;platform=desktop&amp;languageCode=eng&amp;currency=EUR" TargetMode="External"/><Relationship Id="rId141" Type="http://schemas.openxmlformats.org/officeDocument/2006/relationships/hyperlink" Target="https://onlinegamespromo.fazi.rs/Home/IntegrationGameLaunch?moneyType=0&amp;gameName=SpecialFruits&amp;platform=desktop&amp;languageCode=eng&amp;currency=EUR" TargetMode="External"/><Relationship Id="rId140" Type="http://schemas.openxmlformats.org/officeDocument/2006/relationships/hyperlink" Target="https://onlinegamespromo.fazi.rs/Home/IntegrationGameLaunch?moneyType=0&amp;gameName=VeryHot40Extreme&amp;platform=desktop&amp;languageCode=eng&amp;currency=EUR" TargetMode="External"/><Relationship Id="rId5" Type="http://schemas.openxmlformats.org/officeDocument/2006/relationships/hyperlink" Target="https://onlinegamespromo.fazi.rs/Home/IntegrationGameLaunch?moneyType=0&amp;gameName=WILDWEST&amp;platform=desktop&amp;languageCode=eng&amp;currency=EUR" TargetMode="External"/><Relationship Id="rId147" Type="http://schemas.openxmlformats.org/officeDocument/2006/relationships/hyperlink" Target="https://onlinegamespromo.fazi.rs/Home/IntegrationGameLaunch?moneyType=0&amp;gameName=CloversAndStars&amp;platform=desktop&amp;languageCode=eng&amp;currency=EUR" TargetMode="External"/><Relationship Id="rId6" Type="http://schemas.openxmlformats.org/officeDocument/2006/relationships/hyperlink" Target="https://onlinegamespromo.fazi.rs/Home/IntegrationGameLaunch?moneyType=0&amp;gameName=PYRAMID&amp;platform=desktop&amp;languageCode=eng&amp;currency=EUR" TargetMode="External"/><Relationship Id="rId146" Type="http://schemas.openxmlformats.org/officeDocument/2006/relationships/hyperlink" Target="https://onlinegamespromo.fazi.rs/Home/IntegrationGameLaunch?moneyType=0&amp;gameName=MegaHot20&amp;platform=desktop&amp;languageCode=eng&amp;currency=EUR" TargetMode="External"/><Relationship Id="rId7" Type="http://schemas.openxmlformats.org/officeDocument/2006/relationships/hyperlink" Target="https://onlinegamespromo.fazi.rs/Home/IntegrationGameLaunch?moneyType=0&amp;gameName=ROULETTE&amp;platform=desktop&amp;languageCode=eng&amp;currency=EUR" TargetMode="External"/><Relationship Id="rId145" Type="http://schemas.openxmlformats.org/officeDocument/2006/relationships/hyperlink" Target="https://onlinegamespromo.fazi.rs/Home/IntegrationGameLaunch?moneyType=0&amp;gameName=EpicDice100&amp;platform=desktop&amp;languageCode=eng&amp;currency=EUR" TargetMode="External"/><Relationship Id="rId8" Type="http://schemas.openxmlformats.org/officeDocument/2006/relationships/hyperlink" Target="https://onlinegamespromo.fazi.rs/Home/IntegrationGameLaunch?moneyType=0&amp;gameName=JOLLYPOKER&amp;platform=desktop&amp;languageCode=eng&amp;currency=EUR" TargetMode="External"/><Relationship Id="rId144" Type="http://schemas.openxmlformats.org/officeDocument/2006/relationships/hyperlink" Target="https://onlinegamespromo.fazi.rs/Home/IntegrationGameLaunch?moneyType=0&amp;gameName=TurboStars20&amp;platform=desktop&amp;languageCode=eng&amp;currency=EUR" TargetMode="External"/><Relationship Id="rId73" Type="http://schemas.openxmlformats.org/officeDocument/2006/relationships/hyperlink" Target="https://onlinegamespromo.fazi.rs/Home/IntegrationGameLaunch?moneyType=0&amp;gameName=VeryHot20&amp;platform=desktop&amp;languageCode=eng&amp;currency=EUR" TargetMode="External"/><Relationship Id="rId72" Type="http://schemas.openxmlformats.org/officeDocument/2006/relationships/hyperlink" Target="https://onlinegamespromo.fazi.rs/Home/IntegrationGameLaunch?moneyType=0&amp;gameName=FruityWin40&amp;platform=desktop&amp;languageCode=eng&amp;currency=EUR" TargetMode="External"/><Relationship Id="rId75" Type="http://schemas.openxmlformats.org/officeDocument/2006/relationships/hyperlink" Target="https://onlinegamespromo.fazi.rs/Home/IntegrationGameLaunch?moneyType=0&amp;gameName=BookOfSpells2&amp;platform=desktop&amp;languageCode=eng&amp;currency=EUR" TargetMode="External"/><Relationship Id="rId74" Type="http://schemas.openxmlformats.org/officeDocument/2006/relationships/hyperlink" Target="https://onlinegamespromo.fazi.rs/Home/IntegrationGameLaunch?moneyType=0&amp;gameName=KingOfThunder&amp;platform=desktop&amp;languageCode=eng&amp;currency=EUR" TargetMode="External"/><Relationship Id="rId77" Type="http://schemas.openxmlformats.org/officeDocument/2006/relationships/hyperlink" Target="https://onlinegamespromo.fazi.rs/Home/IntegrationGameLaunch?moneyType=0&amp;gameName=FruityWin20&amp;platform=desktop&amp;languageCode=eng&amp;currency=EUR" TargetMode="External"/><Relationship Id="rId76" Type="http://schemas.openxmlformats.org/officeDocument/2006/relationships/hyperlink" Target="https://onlinegamespromo.fazi.rs/Home/IntegrationGameLaunch?moneyType=0&amp;gameName=CrystalHot40Max&amp;platform=desktop&amp;languageCode=eng&amp;currency=EUR" TargetMode="External"/><Relationship Id="rId79" Type="http://schemas.openxmlformats.org/officeDocument/2006/relationships/hyperlink" Target="https://onlinegamespromo.fazi.rs/Home/IntegrationGameLaunch?moneyType=0&amp;gameName=GigaHot40&amp;platform=desktop&amp;languageCode=eng&amp;currency=EUR" TargetMode="External"/><Relationship Id="rId78" Type="http://schemas.openxmlformats.org/officeDocument/2006/relationships/hyperlink" Target="https://onlinegamespromo.fazi.rs/Home/IntegrationGameLaunch?moneyType=0&amp;gameName=FruityHot5&amp;platform=desktop&amp;languageCode=eng&amp;currency=EUR" TargetMode="External"/><Relationship Id="rId71" Type="http://schemas.openxmlformats.org/officeDocument/2006/relationships/hyperlink" Target="https://onlinegamespromo.fazi.rs/Home/IntegrationGameLaunch?moneyType=0&amp;gameName=EyeOfTut&amp;platform=desktop&amp;languageCode=eng&amp;currency=EUR" TargetMode="External"/><Relationship Id="rId70" Type="http://schemas.openxmlformats.org/officeDocument/2006/relationships/hyperlink" Target="https://onlinegamespromo.fazi.rs/Home/IntegrationGameLaunch?moneyType=0&amp;gameName=FruityHot&amp;platform=desktop&amp;languageCode=eng&amp;currency=EUR" TargetMode="External"/><Relationship Id="rId139" Type="http://schemas.openxmlformats.org/officeDocument/2006/relationships/hyperlink" Target="https://onlinegamespromo.fazi.rs/Home/IntegrationGameLaunch?moneyType=0&amp;gameName=CrownOfSecret&amp;lobbyUrl=https://www.fazi-interactive.com/" TargetMode="External"/><Relationship Id="rId138" Type="http://schemas.openxmlformats.org/officeDocument/2006/relationships/hyperlink" Target="https://onlinegamespromo.fazi.rs/Home/IntegrationGameLaunch?moneyType=0&amp;gameName=AquaFlame&amp;platform=desktop&amp;languageCode=eng&amp;currency=EUR" TargetMode="External"/><Relationship Id="rId137" Type="http://schemas.openxmlformats.org/officeDocument/2006/relationships/hyperlink" Target="https://onlinegamespromo.fazi.rs/Home/IntegrationGameLaunch?moneyType=0&amp;gameName=BonusCrown&amp;lobbyUrl=https://www.fazi-interactive.com/" TargetMode="External"/><Relationship Id="rId132" Type="http://schemas.openxmlformats.org/officeDocument/2006/relationships/hyperlink" Target="https://onlinegamespromo.fazi.rs/Home/IntegrationGameLaunch?moneyType=0&amp;gameName=MEGAHOT10&amp;platform=desktop&amp;languageCode=eng&amp;currency=EUR" TargetMode="External"/><Relationship Id="rId131" Type="http://schemas.openxmlformats.org/officeDocument/2006/relationships/hyperlink" Target="https://onlinegamespromo.fazi.rs/Home/IntegrationGameLaunch?moneyType=0&amp;gameName=ToxicHaze&amp;platform=desktop&amp;languageCode=eng&amp;currency=EUR" TargetMode="External"/><Relationship Id="rId130" Type="http://schemas.openxmlformats.org/officeDocument/2006/relationships/hyperlink" Target="https://onlinegamespromo.fazi.rs/Home/IntegrationGameLaunch?moneyType=0&amp;gameName=WildSunburst&amp;lobbyUrl=https://www.fazi-interactive.com/" TargetMode="External"/><Relationship Id="rId136" Type="http://schemas.openxmlformats.org/officeDocument/2006/relationships/hyperlink" Target="https://onlinegamespromo.fazi.rs/Home/IntegrationGameLaunch?moneyType=0&amp;gameName=FruityForce40&amp;platform=desktop&amp;languageCode=eng&amp;currency=EUR" TargetMode="External"/><Relationship Id="rId135" Type="http://schemas.openxmlformats.org/officeDocument/2006/relationships/hyperlink" Target="https://onlinegamespromo.fazi.rs/Home/IntegrationGameLaunch?moneyType=0&amp;gameName=AgeOfRome&amp;platform=desktop&amp;languageCode=eng&amp;currency=EUR" TargetMode="External"/><Relationship Id="rId134" Type="http://schemas.openxmlformats.org/officeDocument/2006/relationships/hyperlink" Target="https://onlinegamespromo.fazi.rs/Home/IntegrationGameLaunch?moneyType=0&amp;gameName=BlowFruits40&amp;platform=desktop&amp;languageCode=eng&amp;currency=EUR" TargetMode="External"/><Relationship Id="rId133" Type="http://schemas.openxmlformats.org/officeDocument/2006/relationships/hyperlink" Target="https://onlinegamespromo.fazi.rs/Home/IntegrationGameLaunch?moneyType=0&amp;gameName=WildHeat40&amp;lobbyUrl=https://www.fazi-interactive.com/" TargetMode="External"/><Relationship Id="rId62" Type="http://schemas.openxmlformats.org/officeDocument/2006/relationships/hyperlink" Target="https://onlinegamespromo.fazi.rs/Home/IntegrationGameLaunch?moneyType=0&amp;gameName=CrystalHot40Free&amp;platform=desktop&amp;languageCode=eng&amp;currency=EUR" TargetMode="External"/><Relationship Id="rId61" Type="http://schemas.openxmlformats.org/officeDocument/2006/relationships/hyperlink" Target="https://onlinegamespromo.fazi.rs/Home/IntegrationGameLaunch?moneyType=0&amp;gameName=LuckyBrilliants&amp;platform=desktop&amp;languageCode=eng&amp;currency=EUR" TargetMode="External"/><Relationship Id="rId64" Type="http://schemas.openxmlformats.org/officeDocument/2006/relationships/hyperlink" Target="https://onlinegamespromo.fazi.rs/Home/IntegrationGameLaunch?moneyType=0&amp;gameName=WinningStars&amp;platform=desktop&amp;languageCode=eng&amp;currency=EUR" TargetMode="External"/><Relationship Id="rId63" Type="http://schemas.openxmlformats.org/officeDocument/2006/relationships/hyperlink" Target="https://onlinegamespromo.fazi.rs/Home/IntegrationGameLaunch?moneyType=0&amp;gameName=ElGrandeToro&amp;platform=desktop&amp;languageCode=eng&amp;currency=EUR" TargetMode="External"/><Relationship Id="rId66" Type="http://schemas.openxmlformats.org/officeDocument/2006/relationships/hyperlink" Target="https://onlinegamespromo.fazi.rs/Home/IntegrationGameLaunch?moneyType=0&amp;gameName=TurboHot80&amp;platform=desktop&amp;languageCode=eng&amp;currency=EUR" TargetMode="External"/><Relationship Id="rId172" Type="http://schemas.openxmlformats.org/officeDocument/2006/relationships/hyperlink" Target="https://onlinegamespromo.fazi.rs/Home/IntegrationGameLaunch?moneyType=0&amp;gameName=GoldenCrown&amp;platform=desktop&amp;languageCode=eng&amp;currency=EUR" TargetMode="External"/><Relationship Id="rId65" Type="http://schemas.openxmlformats.org/officeDocument/2006/relationships/hyperlink" Target="https://onlinegamespromo.fazi.rs/Home/IntegrationGameLaunch?moneyType=0&amp;gameName=CrystalHot100&amp;platform=desktop&amp;languageCode=eng&amp;currency=EUR" TargetMode="External"/><Relationship Id="rId171" Type="http://schemas.openxmlformats.org/officeDocument/2006/relationships/hyperlink" Target="https://onlinegamespromo.fazi.rs/Home/IntegrationGameLaunch?moneyType=0&amp;gameName=FruitLock7&amp;platform=desktop&amp;languageCode=eng&amp;currency=EUR" TargetMode="External"/><Relationship Id="rId68" Type="http://schemas.openxmlformats.org/officeDocument/2006/relationships/hyperlink" Target="https://onlinegamespromo.fazi.rs/Home/IntegrationGameLaunch?moneyType=0&amp;gameName=TurboHot100&amp;platform=desktop&amp;languageCode=eng&amp;currency=EUR" TargetMode="External"/><Relationship Id="rId170" Type="http://schemas.openxmlformats.org/officeDocument/2006/relationships/hyperlink" Target="https://gameserver-store-dev-03.fazi.rs/Home/IntegrationGameLaunch/fazi-stg16-03?moneyType=0&amp;gameName=HotClock&amp;currency=eur&amp;languageCode=eng" TargetMode="External"/><Relationship Id="rId67" Type="http://schemas.openxmlformats.org/officeDocument/2006/relationships/hyperlink" Target="https://onlinegamespromo.fazi.rs/Home/IntegrationGameLaunch?moneyType=0&amp;gameName=SevenClassicHot&amp;platform=desktop&amp;languageCode=eng&amp;currency=EUR" TargetMode="External"/><Relationship Id="rId60" Type="http://schemas.openxmlformats.org/officeDocument/2006/relationships/hyperlink" Target="https://onlinegamespromo.fazi.rs/Home/IntegrationGameLaunch?moneyType=0&amp;gameName=TwinklingHot80&amp;platform=desktop&amp;languageCode=eng&amp;currency=EUR" TargetMode="External"/><Relationship Id="rId165" Type="http://schemas.openxmlformats.org/officeDocument/2006/relationships/hyperlink" Target="https://onlinegamespromo.fazi.rs/Home/IntegrationGameLaunch?moneyType=0&amp;gameName=VeryHot40Booster&amp;platform=desktop&amp;languageCode=eng&amp;currency=EUR" TargetMode="External"/><Relationship Id="rId69" Type="http://schemas.openxmlformats.org/officeDocument/2006/relationships/hyperlink" Target="https://onlinegamespromo.fazi.rs/Home/IntegrationGameLaunch?moneyType=0&amp;gameName=BonusBells&amp;platform=desktop&amp;languageCode=eng&amp;currency=EUR" TargetMode="External"/><Relationship Id="rId164" Type="http://schemas.openxmlformats.org/officeDocument/2006/relationships/hyperlink" Target="https://onlinegamespromo.fazi.rs/Home/IntegrationGameLaunch?moneyType=0&amp;gameName=GoldenCrownMaxBooster&amp;platform=desktop&amp;languageCode=eng&amp;currency=EUR" TargetMode="External"/><Relationship Id="rId163" Type="http://schemas.openxmlformats.org/officeDocument/2006/relationships/hyperlink" Target="https://onlinegamespromo.fazi.rs/Home/IntegrationGameLaunch?moneyType=0&amp;gameName=WildSunFlower&amp;lobbyUrl=https://www.fazi-interactive.com/" TargetMode="External"/><Relationship Id="rId162"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16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168" Type="http://schemas.openxmlformats.org/officeDocument/2006/relationships/hyperlink" Target="https://onlinegamespromo.fazi.rs/Home/IntegrationGameLaunch?moneyType=0&amp;gameName=EpicClover100Booster&amp;platform=desktop&amp;languageCode=eng&amp;currency=EUR" TargetMode="External"/><Relationship Id="rId167" Type="http://schemas.openxmlformats.org/officeDocument/2006/relationships/hyperlink" Target="https://onlinegamespromo.fazi.rs/Home/IntegrationGameLaunch?moneyType=0&amp;gameName=BlowFruits40&amp;platform=desktop&amp;languageCode=eng&amp;currency=EUR" TargetMode="External"/><Relationship Id="rId166" Type="http://schemas.openxmlformats.org/officeDocument/2006/relationships/hyperlink" Target="https://onlinegamespromo.fazi.rs/Home/IntegrationGameLaunch?moneyType=0&amp;gameName=GoldenCrown40&amp;platform=desktop&amp;languageCode=eng&amp;currency=EUR" TargetMode="External"/><Relationship Id="rId51" Type="http://schemas.openxmlformats.org/officeDocument/2006/relationships/hyperlink" Target="https://onlinegamespromo.fazi.rs/Home/IntegrationGameLaunch?moneyType=0&amp;gameName=VeryHot5&amp;platform=desktop&amp;languageCode=eng&amp;currency=EUR" TargetMode="External"/><Relationship Id="rId50" Type="http://schemas.openxmlformats.org/officeDocument/2006/relationships/hyperlink" Target="https://onlinegamespromo.fazi.rs/Home/IntegrationGameLaunch?moneyType=0&amp;gameName=LollasWorld&amp;platform=desktop&amp;languageCode=eng&amp;currency=EUR" TargetMode="External"/><Relationship Id="rId53" Type="http://schemas.openxmlformats.org/officeDocument/2006/relationships/hyperlink" Target="https://onlinegamespromo.fazi.rs/Home/IntegrationGameLaunch?moneyType=0&amp;gameName=JewelsBeat&amp;platform=desktop&amp;languageCode=eng&amp;currency=EUR" TargetMode="External"/><Relationship Id="rId52" Type="http://schemas.openxmlformats.org/officeDocument/2006/relationships/hyperlink" Target="https://onlinegamespromo.fazi.rs/Home/IntegrationGameLaunch?moneyType=0&amp;gameName=VeryHot40&amp;platform=desktop&amp;languageCode=eng&amp;currency=EUR" TargetMode="External"/><Relationship Id="rId55" Type="http://schemas.openxmlformats.org/officeDocument/2006/relationships/hyperlink" Target="https://onlinegamespromo.fazi.rs/Home/IntegrationGameLaunch?moneyType=0&amp;gameName=HeatingIceDeluxe&amp;platform=desktop&amp;languageCode=eng&amp;currency=EUR" TargetMode="External"/><Relationship Id="rId161"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54" Type="http://schemas.openxmlformats.org/officeDocument/2006/relationships/hyperlink" Target="https://onlinegamespromo.fazi.rs/Home/IntegrationGameLaunch?moneyType=0&amp;gameName=HeatingIce&amp;platform=desktop&amp;languageCode=eng&amp;currency=EUR" TargetMode="External"/><Relationship Id="rId160" Type="http://schemas.openxmlformats.org/officeDocument/2006/relationships/hyperlink" Target="https://onlinegamespromo.fazi.rs/Home/IntegrationGameLaunch?moneyType=0&amp;gameName=XSpins&amp;platform=desktop&amp;languageCode=eng&amp;currency=EUR" TargetMode="External"/><Relationship Id="rId57" Type="http://schemas.openxmlformats.org/officeDocument/2006/relationships/hyperlink" Target="https://onlinegamespromo.fazi.rs/Home/IntegrationGameLaunch?moneyType=0&amp;gameName=FluoHot5&amp;platform=desktop&amp;languageCode=eng&amp;currency=EUR" TargetMode="External"/><Relationship Id="rId56" Type="http://schemas.openxmlformats.org/officeDocument/2006/relationships/hyperlink" Target="https://onlinegamespromo.fazi.rs/Home/IntegrationGameLaunch?moneyType=0&amp;gameName=FluoDice5&amp;platform=desktop&amp;languageCode=eng&amp;currency=EUR" TargetMode="External"/><Relationship Id="rId159"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59" Type="http://schemas.openxmlformats.org/officeDocument/2006/relationships/hyperlink" Target="https://onlinegamespromo.fazi.rs/Home/IntegrationGameLaunch?moneyType=0&amp;gameName=CrystalJewels&amp;platform=desktop&amp;languageCode=eng&amp;currency=EUR" TargetMode="External"/><Relationship Id="rId154" Type="http://schemas.openxmlformats.org/officeDocument/2006/relationships/hyperlink" Target="https://onlinegamespromo.fazi.rs/Home/IntegrationGameLaunch?moneyType=0&amp;gameName=LuckySheriff&amp;lobbyUrl=https://www.fazi-interactive.com/" TargetMode="External"/><Relationship Id="rId58" Type="http://schemas.openxmlformats.org/officeDocument/2006/relationships/hyperlink" Target="https://onlinegamespromo.fazi.rs/Home/IntegrationGameLaunch?moneyType=0&amp;gameName=HeatingDice&amp;platform=desktop&amp;languageCode=eng&amp;currency=EUR" TargetMode="External"/><Relationship Id="rId153" Type="http://schemas.openxmlformats.org/officeDocument/2006/relationships/hyperlink" Target="https://onlinegamespromo.fazi.rs/Home/IntegrationGameLaunch?moneyType=0&amp;gameName=BrilliantHeart&amp;platform=desktop&amp;languageCode=eng&amp;currency=EUR" TargetMode="External"/><Relationship Id="rId152" Type="http://schemas.openxmlformats.org/officeDocument/2006/relationships/hyperlink" Target="https://onlinegamespromo.fazi.rs/Home/IntegrationGameLaunch?moneyType=0&amp;gameName=Wild5&amp;lobbyUrl=https://www.fazi-interactive.com/" TargetMode="External"/><Relationship Id="rId151" Type="http://schemas.openxmlformats.org/officeDocument/2006/relationships/hyperlink" Target="https://onlinegamespromo.fazi.rs/Home/IntegrationGameLaunch?moneyType=0&amp;gameName=TopHot5&amp;platform=desktop&amp;languageCode=eng&amp;currency=EURR" TargetMode="External"/><Relationship Id="rId158"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7" Type="http://schemas.openxmlformats.org/officeDocument/2006/relationships/hyperlink" Target="https://onlinegamespromo.fazi.rs/Home/IntegrationGameLaunch?moneyType=0&amp;gameName=VeryHot5Booster&amp;platform=desktop&amp;languageCode=eng&amp;currency=EUR" TargetMode="External"/><Relationship Id="rId156"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5" Type="http://schemas.openxmlformats.org/officeDocument/2006/relationships/hyperlink" Target="https://gameserver-store-msstg.fazi.rs/Home/IntegrationGameLaunch/fazi-stg16?moneyType=0&amp;currency=EUR&amp;gameName=CoinSplash" TargetMode="External"/><Relationship Id="rId107" Type="http://schemas.openxmlformats.org/officeDocument/2006/relationships/hyperlink" Target="https://onlinegamespromo.fazi.rs/Home/IntegrationGameLaunch?moneyType=0&amp;gameName=DeadNight&amp;platform=desktop&amp;languageCode=eng&amp;currency=EUR" TargetMode="External"/><Relationship Id="rId106" Type="http://schemas.openxmlformats.org/officeDocument/2006/relationships/hyperlink" Target="https://onlinegamespromo.fazi.rs/Home/IntegrationGameLaunch?moneyType=0&amp;gameName=EpicCrown5&amp;platform=desktop&amp;languageCode=eng&amp;currency=EUR" TargetMode="External"/><Relationship Id="rId105" Type="http://schemas.openxmlformats.org/officeDocument/2006/relationships/hyperlink" Target="https://onlinegamespromo.fazi.rs/Home/IntegrationGameLaunch?moneyType=0&amp;gameName=Money5&amp;platform=desktop&amp;languageCode=eng&amp;currency=EUR" TargetMode="External"/><Relationship Id="rId104" Type="http://schemas.openxmlformats.org/officeDocument/2006/relationships/hyperlink" Target="https://onlinegamespromo.fazi.rs/Home/IntegrationGameLaunch?moneyType=0&amp;gameName=RetroFire&amp;platform=desktop&amp;languageCode=eng&amp;currency=EUR" TargetMode="External"/><Relationship Id="rId109" Type="http://schemas.openxmlformats.org/officeDocument/2006/relationships/hyperlink" Target="https://onlinegamespromo.fazi.rs/Home/IntegrationGameLaunch?moneyType=0&amp;gameName=TurboFire&amp;lobbyUrl=https://www.fazi-interactive.com/" TargetMode="External"/><Relationship Id="rId108" Type="http://schemas.openxmlformats.org/officeDocument/2006/relationships/hyperlink" Target="https://onlinegamespromo.fazi.rs/Home/IntegrationGameLaunch?moneyType=0&amp;gameName=WinningClover5&amp;lobbyUrl=https://www.fazi-interactive.com/" TargetMode="External"/><Relationship Id="rId220" Type="http://schemas.openxmlformats.org/officeDocument/2006/relationships/drawing" Target="../drawings/drawing1.xml"/><Relationship Id="rId103" Type="http://schemas.openxmlformats.org/officeDocument/2006/relationships/hyperlink" Target="https://onlinegamespromo.fazi.rs/Home/IntegrationGameLaunch?moneyType=0&amp;gameName=KettysFashionWorld&amp;platform=desktop&amp;languageCode=eng&amp;currency=EUR" TargetMode="External"/><Relationship Id="rId102" Type="http://schemas.openxmlformats.org/officeDocument/2006/relationships/hyperlink" Target="https://onlinegamespromo.fazi.rs/Home/IntegrationGameLaunch?moneyType=0&amp;gameName=JokerTripleDouble&amp;lobbyUrl=https://www.fazi-interactive.com/" TargetMode="External"/><Relationship Id="rId101" Type="http://schemas.openxmlformats.org/officeDocument/2006/relationships/hyperlink" Target="https://onlinegamespromo.fazi.rs/Home/IntegrationGameLaunch?moneyType=0&amp;gameName=EpicCrown10&amp;platform=desktop&amp;languageCode=eng&amp;currency=EUR" TargetMode="External"/><Relationship Id="rId100" Type="http://schemas.openxmlformats.org/officeDocument/2006/relationships/hyperlink" Target="https://onlinegamespromo.fazi.rs/Home/IntegrationGameLaunch?moneyType=0&amp;gameName=WildLuckyClover2&amp;platform=desktop&amp;languageCode=eng&amp;currency=EUR" TargetMode="External"/><Relationship Id="rId217" Type="http://schemas.openxmlformats.org/officeDocument/2006/relationships/hyperlink" Target="https://onlinegamespromo.fazi.rs/Home/IntegrationGameLaunch?moneyType=0&amp;gameName=ExtremeHeat7s&amp;platform=desktop&amp;languageCode=eng&amp;currency=EUR" TargetMode="External"/><Relationship Id="rId216" Type="http://schemas.openxmlformats.org/officeDocument/2006/relationships/hyperlink" Target="https://onlinegamespromo.fazi.rs/Home/IntegrationGameLaunch?moneyType=0&amp;gameName=CoinkBank&amp;platform=desktop&amp;languageCode=eng&amp;currency=EUR" TargetMode="External"/><Relationship Id="rId215" Type="http://schemas.openxmlformats.org/officeDocument/2006/relationships/hyperlink" Target="https://onlinegamespromo.fazi.rs/Home/IntegrationGameLaunch?moneyType=0&amp;gameName=Clover27&amp;platform=desktop&amp;languageCode=eng&amp;currency=EUR" TargetMode="External"/><Relationship Id="rId214" Type="http://schemas.openxmlformats.org/officeDocument/2006/relationships/hyperlink" Target="https://onlinegamespromo.fazi.rs/Home/IntegrationGameLaunch?moneyType=0&amp;gameName=OnDemandRoulette&amp;platform=desktop&amp;languageCode=eng&amp;currency=EUR" TargetMode="External"/><Relationship Id="rId219" Type="http://schemas.openxmlformats.org/officeDocument/2006/relationships/hyperlink" Target="https://gameserver-store-nc.fazi.rs/Home/IntegrationGameLaunch/admiralmne?moneyType=0&amp;currency=eur&amp;gameName=OctoberHot40" TargetMode="External"/><Relationship Id="rId218" Type="http://schemas.openxmlformats.org/officeDocument/2006/relationships/hyperlink" Target="https://onlinegamespromo.fazi.rs/Home/IntegrationGameLaunch?moneyType=0&amp;gameName=BonusWild81Extralines&amp;platform=desktop&amp;languageCode=eng&amp;currency=EUR" TargetMode="External"/><Relationship Id="rId213" Type="http://schemas.openxmlformats.org/officeDocument/2006/relationships/hyperlink" Target="https://gameserver-store-stg.fazi.rs/Home/IntegrationGameLaunch/fazi-stg16?moneyType=0&amp;gameName=BonusEpicWildExtralines&amp;platform=desktop&amp;languageCode=eng&amp;currency=EUR" TargetMode="External"/><Relationship Id="rId212" Type="http://schemas.openxmlformats.org/officeDocument/2006/relationships/hyperlink" Target="https://onlinegamespromo.fazi.rs/Home/IntegrationGameLaunch?moneyType=0&amp;gameName=TripleWildCrown&amp;platform=desktop&amp;languageCode=eng&amp;currency=EUR" TargetMode="External"/><Relationship Id="rId211" Type="http://schemas.openxmlformats.org/officeDocument/2006/relationships/hyperlink" Target="https://onlinegamespromo.fazi.rs/Home/IntegrationGameLaunch?moneyType=0&amp;gameName=MultihotPot&amp;platform=desktop&amp;languageCode=eng&amp;currency=EUR" TargetMode="External"/><Relationship Id="rId210" Type="http://schemas.openxmlformats.org/officeDocument/2006/relationships/hyperlink" Target="https://onlinegamespromo.fazi.rs/Home/IntegrationGameLaunch?moneyType=0&amp;gameName=GoldenCrownExtremeBooster&amp;platform=desktop&amp;languageCode=eng&amp;currency=EUR" TargetMode="External"/><Relationship Id="rId129" Type="http://schemas.openxmlformats.org/officeDocument/2006/relationships/hyperlink" Target="https://onlinegamespromo.fazi.rs/Home/IntegrationGameLaunch?moneyType=0&amp;gameName=FootballVictory&amp;platform=desktop&amp;languageCode=eng&amp;currency=EUR" TargetMode="External"/><Relationship Id="rId128" Type="http://schemas.openxmlformats.org/officeDocument/2006/relationships/hyperlink" Target="https://onlinegamespromo.fazi.rs/Home/IntegrationGameLaunch?moneyType=0&amp;gameName=SummerRush&amp;platform=desktop&amp;languageCode=eng&amp;currency=EUR" TargetMode="External"/><Relationship Id="rId127" Type="http://schemas.openxmlformats.org/officeDocument/2006/relationships/hyperlink" Target="https://onlinegamespromo.fazi.rs/Home/IntegrationGameLaunch?moneyType=0&amp;gameName=VintageFruits40&amp;platform=desktop&amp;languageCode=eng&amp;currency=EUR" TargetMode="External"/><Relationship Id="rId126" Type="http://schemas.openxmlformats.org/officeDocument/2006/relationships/hyperlink" Target="https://onlinegamespromo.fazi.rs/Home/IntegrationGameLaunch?moneyType=0&amp;gameName=EggspandingRush&amp;platform=desktop&amp;languageCode=eng&amp;currency=EUR" TargetMode="External"/><Relationship Id="rId121" Type="http://schemas.openxmlformats.org/officeDocument/2006/relationships/hyperlink" Target="https://onlinegamespromo.fazi.rs/Home/IntegrationGameLaunch?moneyType=0&amp;gameName=amazingjoker&amp;platform=desktop&amp;languageCode=eng&amp;currency=EUR" TargetMode="External"/><Relationship Id="rId120" Type="http://schemas.openxmlformats.org/officeDocument/2006/relationships/hyperlink" Target="https://onlinegamespromo.fazi.rs/Home/IntegrationGameLaunch?moneyType=0&amp;gameName=EpicClover100&amp;platform=desktop&amp;languageCode=eng&amp;currency=EUR" TargetMode="External"/><Relationship Id="rId125" Type="http://schemas.openxmlformats.org/officeDocument/2006/relationships/hyperlink" Target="https://onlinegamespromo.fazi.rs/Home/IntegrationGameLaunch?moneyType=0&amp;gameName=WildLuckyDice&amp;platform=desktop&amp;languageCode=eng&amp;currency=EUR" TargetMode="External"/><Relationship Id="rId124" Type="http://schemas.openxmlformats.org/officeDocument/2006/relationships/hyperlink" Target="https://onlinegamespromo.fazi.rs/Home/IntegrationGameLaunch?moneyType=0&amp;gameName=MysticJungle&amp;lobbyUrl=https://www.fazi-interactive.com/" TargetMode="External"/><Relationship Id="rId123" Type="http://schemas.openxmlformats.org/officeDocument/2006/relationships/hyperlink" Target="https://onlinegamespromo.fazi.rs/Home/IntegrationGameLaunch?moneyType=0&amp;gameName=Wild81&amp;lobbyUrl=https://www.fazi-interactive.com/" TargetMode="External"/><Relationship Id="rId122" Type="http://schemas.openxmlformats.org/officeDocument/2006/relationships/hyperlink" Target="https://onlinegamespromo.fazi.rs/Home/IntegrationGameLaunch?moneyType=0&amp;gameName=TripleFieldsOfLuck&amp;platform=desktop&amp;languageCode=eng&amp;currency=EUR" TargetMode="External"/><Relationship Id="rId95" Type="http://schemas.openxmlformats.org/officeDocument/2006/relationships/hyperlink" Target="https://onlinegamespromo.fazi.rs/Home/IntegrationGameLaunch?moneyType=0&amp;gameName=GoldenCrown40&amp;platform=desktop&amp;languageCode=eng&amp;currency=EUR" TargetMode="External"/><Relationship Id="rId94" Type="http://schemas.openxmlformats.org/officeDocument/2006/relationships/hyperlink" Target="https://onlinegamespromo.fazi.rs/Home/IntegrationGameLaunch?moneyType=0&amp;gameName=EpicFire40&amp;platform=desktop&amp;languageCode=eng&amp;currency=EUR" TargetMode="External"/><Relationship Id="rId97" Type="http://schemas.openxmlformats.org/officeDocument/2006/relationships/hyperlink" Target="https://onlinegamespromo.fazi.rs/Home/IntegrationGameLaunch?moneyType=0&amp;gameName=WildHot40FreeSpins&amp;platform=desktop&amp;languageCode=eng&amp;currency=EUR" TargetMode="External"/><Relationship Id="rId96" Type="http://schemas.openxmlformats.org/officeDocument/2006/relationships/hyperlink" Target="https://onlinegamespromo.fazi.rs/Home/IntegrationGameLaunch?moneyType=0&amp;gameName=Wild27&amp;lobbyUrl=https://www.fazi-interactive.com/" TargetMode="External"/><Relationship Id="rId99" Type="http://schemas.openxmlformats.org/officeDocument/2006/relationships/hyperlink" Target="https://onlinegamespromo.fazi.rs/Home/IntegrationGameLaunch?moneyType=0&amp;gameName=EpicClover40&amp;platform=desktop&amp;languageCode=eng&amp;currency=EUR" TargetMode="External"/><Relationship Id="rId98" Type="http://schemas.openxmlformats.org/officeDocument/2006/relationships/hyperlink" Target="https://onlinegamespromo.fazi.rs/Home/IntegrationGameLaunch?moneyType=0&amp;gameName=PiratesFazi&amp;lobbyUrl=https://www.fazi-interactive.com/" TargetMode="External"/><Relationship Id="rId91" Type="http://schemas.openxmlformats.org/officeDocument/2006/relationships/hyperlink" Target="https://onlinegamespromo.fazi.rs/Home/IntegrationGameLaunch?moneyType=0&amp;gameName=GoldenExplosion&amp;platform=desktop&amp;languageCode=eng&amp;currency=EUR" TargetMode="External"/><Relationship Id="rId90" Type="http://schemas.openxmlformats.org/officeDocument/2006/relationships/hyperlink" Target="https://onlinegamespromo.fazi.rs/Home/IntegrationGameLaunch?moneyType=0&amp;gameName=WildHot40Blow&amp;platform=desktop&amp;languageCode=eng&amp;currency=EUR" TargetMode="External"/><Relationship Id="rId93" Type="http://schemas.openxmlformats.org/officeDocument/2006/relationships/hyperlink" Target="https://onlinegamespromo.fazi.rs/Home/IntegrationGameLaunch?moneyType=0&amp;gameName=PixelHot40&amp;platform=desktop&amp;languageCode=eng&amp;currency=EUR" TargetMode="External"/><Relationship Id="rId92" Type="http://schemas.openxmlformats.org/officeDocument/2006/relationships/hyperlink" Target="https://onlinegamespromo.fazi.rs/Home/IntegrationGameLaunch?moneyType=0&amp;gameName=VeryHot5Extreme&amp;platform=desktop&amp;languageCode=eng&amp;currency=EUR" TargetMode="External"/><Relationship Id="rId118" Type="http://schemas.openxmlformats.org/officeDocument/2006/relationships/hyperlink" Target="https://onlinegamespromo.fazi.rs/Home/IntegrationGameLaunch?moneyType=0&amp;gameName=ChilliRespin&amp;lobbyUrl=https://www.fazi-interactive.com/" TargetMode="External"/><Relationship Id="rId117" Type="http://schemas.openxmlformats.org/officeDocument/2006/relationships/hyperlink" Target="https://onlinegamespromo.fazi.rs/Home/IntegrationGameLaunch?moneyType=0&amp;gameName=SantasPresents&amp;lobbyUrl=https://www.fazi-interactive.com/" TargetMode="External"/><Relationship Id="rId116" Type="http://schemas.openxmlformats.org/officeDocument/2006/relationships/hyperlink" Target="https://onlinegamespromo.fazi.rs/Home/IntegrationGameLaunch?moneyType=0&amp;gameName=MrFirstCryptonium&amp;platform=desktop&amp;languageCode=eng&amp;currency=EUR" TargetMode="External"/><Relationship Id="rId115" Type="http://schemas.openxmlformats.org/officeDocument/2006/relationships/hyperlink" Target="https://onlinegamespromo.fazi.rs/Home/IntegrationGameLaunch?moneyType=0&amp;gameName=WildCraps&amp;platform=desktop&amp;languageCode=eng&amp;currency=EUR" TargetMode="External"/><Relationship Id="rId119" Type="http://schemas.openxmlformats.org/officeDocument/2006/relationships/hyperlink" Target="https://onlinegamespromo.fazi.rs/Home/IntegrationGameLaunch?moneyType=0&amp;gameName=BonusEpicCrown&amp;lobbyUrl=https://www.fazi-interactive.com/" TargetMode="External"/><Relationship Id="rId110" Type="http://schemas.openxmlformats.org/officeDocument/2006/relationships/hyperlink" Target="https://onlinegamespromo.fazi.rs/Home/IntegrationGameLaunch?moneyType=0&amp;gameName=WinningClover5Extreme&amp;lobbyUrl=https://www.fazi-interactive.com/" TargetMode="External"/><Relationship Id="rId114" Type="http://schemas.openxmlformats.org/officeDocument/2006/relationships/hyperlink" Target="https://onlinegamespromo.fazi.rs/Home/IntegrationGameLaunch?moneyType=0&amp;gameName=MayansBattle&amp;platform=desktop&amp;languageCode=eng&amp;currency=EUR" TargetMode="External"/><Relationship Id="rId113" Type="http://schemas.openxmlformats.org/officeDocument/2006/relationships/hyperlink" Target="https://onlinegamespromo.fazi.rs/Home/IntegrationGameLaunch?moneyType=0&amp;gameName=FashionNight&amp;platform=desktop&amp;languageCode=eng&amp;currency=EUR" TargetMode="External"/><Relationship Id="rId112" Type="http://schemas.openxmlformats.org/officeDocument/2006/relationships/hyperlink" Target="https://onlinegamespromo.fazi.rs/Home/IntegrationGameLaunch?moneyType=0&amp;gameName=WildHot40BlowDice&amp;platform=desktop&amp;languageCode=eng&amp;currency=EUR" TargetMode="External"/><Relationship Id="rId111" Type="http://schemas.openxmlformats.org/officeDocument/2006/relationships/hyperlink" Target="https://onlinegamespromo.fazi.rs/Home/IntegrationGameLaunch?moneyType=0&amp;gameName=WildHot40Dice&amp;platform=desktop&amp;languageCode=eng&amp;currency=EUR" TargetMode="External"/><Relationship Id="rId206" Type="http://schemas.openxmlformats.org/officeDocument/2006/relationships/hyperlink" Target="https://onlinegamespromo.fazi.rs/Home/IntegrationGameLaunch?moneyType=0&amp;gameName=CloversAndDiamonds10&amp;platform=desktop&amp;languageCode=eng&amp;currency=EUR" TargetMode="External"/><Relationship Id="rId205" Type="http://schemas.openxmlformats.org/officeDocument/2006/relationships/hyperlink" Target="https://onlinegamespromo.fazi.rs/Home/IntegrationGameLaunch?moneyType=0&amp;gameName=FortuneOfWuKong&amp;platform=desktop&amp;languageCode=eng&amp;currency=EUR" TargetMode="External"/><Relationship Id="rId204" Type="http://schemas.openxmlformats.org/officeDocument/2006/relationships/hyperlink" Target="https://onlinegamespromo.fazi.rs/Home/IntegrationGameLaunch?moneyType=0&amp;gameName=VeryHot40ExtremeBooster&amp;platform=desktop&amp;languageCode=eng&amp;currency=EUR" TargetMode="External"/><Relationship Id="rId203" Type="http://schemas.openxmlformats.org/officeDocument/2006/relationships/hyperlink" Target="https://onlinegamespromo.fazi.rs/Home/IntegrationGameLaunch?moneyType=0&amp;gameName=WinningClover5ExtremeBooster&amp;platform=desktop&amp;languageCode=eng&amp;currency=EUR" TargetMode="External"/><Relationship Id="rId209" Type="http://schemas.openxmlformats.org/officeDocument/2006/relationships/hyperlink" Target="https://onlinegamespromo.fazi.rs/Home/IntegrationGameLaunch?moneyType=0&amp;gameName=RoyalgardenQueen&amp;platform=desktop&amp;languageCode=eng&amp;currency=EUR" TargetMode="External"/><Relationship Id="rId208" Type="http://schemas.openxmlformats.org/officeDocument/2006/relationships/hyperlink" Target="https://onlinegamespromo.fazi.rs/Home/IntegrationGameLaunch?moneyType=0&amp;gameName=CloversAndDiamonds40&amp;platform=desktop&amp;languageCode=eng&amp;currency=EUR" TargetMode="External"/><Relationship Id="rId207" Type="http://schemas.openxmlformats.org/officeDocument/2006/relationships/hyperlink" Target="https://onlinegamespromo.fazi.rs/Home/IntegrationGameLaunch?moneyType=0&amp;gameName=CloversAndDiamonds20&amp;platform=desktop&amp;languageCode=eng&amp;currency=EUR" TargetMode="External"/><Relationship Id="rId202" Type="http://schemas.openxmlformats.org/officeDocument/2006/relationships/hyperlink" Target="https://onlinegamespromo.fazi.rs/Home/IntegrationGameLaunch?moneyType=0&amp;gameName=EpicDice100Booster&amp;platform=desktop&amp;languageCode=eng&amp;currency=EUR" TargetMode="External"/><Relationship Id="rId201" Type="http://schemas.openxmlformats.org/officeDocument/2006/relationships/hyperlink" Target="https://onlinegamespromo.fazi.rs/Home/IntegrationGameLaunch?moneyType=0&amp;gameName=CloversAndDiamonds5&amp;platform=desktop&amp;languageCode=eng&amp;currency=EUR" TargetMode="External"/><Relationship Id="rId200" Type="http://schemas.openxmlformats.org/officeDocument/2006/relationships/hyperlink" Target="https://onlinegamespromo.fazi.rs/Home/IntegrationGameLaunch?moneyType=0&amp;gameName=WinningClover5HoldAndWin&amp;platform=desktop&amp;languageCode=eng&amp;currency=EUR"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92" Type="http://schemas.openxmlformats.org/officeDocument/2006/relationships/hyperlink" Target="https://gameserver-store-client-area.orbionlimited.com/Home/IntegrationGameLaunch/client-area?moneyType=0&amp;gameName=EpicCrown10&amp;platform=desktop&amp;languageCode=eng&amp;currency=EUR" TargetMode="External"/><Relationship Id="rId391" Type="http://schemas.openxmlformats.org/officeDocument/2006/relationships/hyperlink" Target="https://onlinegamespromo.fazi.rs/Home/IntegrationGameLaunch?moneyType=0&amp;gameName=EpicCrown10&amp;platform=desktop&amp;languageCode=eng&amp;currency=EUR" TargetMode="External"/><Relationship Id="rId390" Type="http://schemas.openxmlformats.org/officeDocument/2006/relationships/hyperlink" Target="https://gameserver-store-client-area.orbionlimited.com/Home/IntegrationGameLaunch/client-area?moneyType=0&amp;gameName=Unicorn40FruitReels&amp;platform=desktop&amp;languageCode=eng&amp;currency=EUR"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 Type="http://schemas.openxmlformats.org/officeDocument/2006/relationships/hyperlink" Target="https://gameserver-store-client-area.orbionlimited.com/Home/IntegrationGameLaunch/client-area?moneyType=0&amp;gameName=Postman&amp;platform=desktop&amp;languageCode=eng&amp;currency=EUR" TargetMode="External"/><Relationship Id="rId3" Type="http://schemas.openxmlformats.org/officeDocument/2006/relationships/hyperlink" Target="https://onlinegamespromo.fazi.rs/Home/IntegrationGameLaunch?moneyType=0&amp;gameName=DEEPJUNGLE&amp;platform=desktop&amp;languageCode=eng&amp;currency=EUR" TargetMode="External"/><Relationship Id="rId4" Type="http://schemas.openxmlformats.org/officeDocument/2006/relationships/hyperlink" Target="https://drive.google.com/drive/folders/1eAhqfN9MTsssPa1gNwX2PQPL_WHWv2MA" TargetMode="External"/><Relationship Id="rId9" Type="http://schemas.openxmlformats.org/officeDocument/2006/relationships/hyperlink" Target="https://onlinegamespromo.fazi.rs/Home/IntegrationGameLaunch?moneyType=0&amp;gameName=FRUITSANDSTARS&amp;platform=desktop&amp;languageCode=eng&amp;currency=EUR" TargetMode="External"/><Relationship Id="rId385" Type="http://schemas.openxmlformats.org/officeDocument/2006/relationships/hyperlink" Target="https://onlinegamespromo.fazi.rs/Home/IntegrationGameLaunch?moneyType=0&amp;gameName=EpicClover40&amp;platform=desktop&amp;languageCode=eng&amp;currency=EUR" TargetMode="External"/><Relationship Id="rId384" Type="http://schemas.openxmlformats.org/officeDocument/2006/relationships/hyperlink" Target="https://static.redstone.rs/games/super-lucky/" TargetMode="External"/><Relationship Id="rId383" Type="http://schemas.openxmlformats.org/officeDocument/2006/relationships/hyperlink" Target="https://static.redstone.rs/games/super-lucky/" TargetMode="External"/><Relationship Id="rId382" Type="http://schemas.openxmlformats.org/officeDocument/2006/relationships/hyperlink" Target="https://docs.google.com/document/d/1Y_P7lHz3H_xjUFJ7tySSjnjMgUHbSWMi/edit?usp=drive_link&amp;ouid=107596163405648766688&amp;rtpof=true&amp;sd=true" TargetMode="External"/><Relationship Id="rId5" Type="http://schemas.openxmlformats.org/officeDocument/2006/relationships/hyperlink" Target="https://gameserver-store-client-area.orbionlimited.com/Home/IntegrationGameLaunch/client-area?moneyType=0&amp;gameName=DeepJungle&amp;platform=desktop&amp;languageCode=eng&amp;currency=EUR" TargetMode="External"/><Relationship Id="rId389" Type="http://schemas.openxmlformats.org/officeDocument/2006/relationships/hyperlink" Target="https://onlinegamespromo.fazi.rs/Home/IntegrationGameLaunch?moneyType=0&amp;gameName=Unicorn40FruitReels&amp;platform=desktop&amp;languageCode=eng&amp;currency=EUR" TargetMode="External"/><Relationship Id="rId6" Type="http://schemas.openxmlformats.org/officeDocument/2006/relationships/hyperlink" Target="https://onlinegamespromo.fazi.rs/Home/IntegrationGameLaunch?moneyType=0&amp;gameName=WIZARD&amp;platform=desktop&amp;languageCode=eng&amp;currency=EUR" TargetMode="External"/><Relationship Id="rId388" Type="http://schemas.openxmlformats.org/officeDocument/2006/relationships/hyperlink" Target="https://gameserver-store-client-area.orbionlimited.com/Home/IntegrationGameLaunch/client-area?moneyType=0&amp;gameName=WildLuckyClover2&amp;platform=desktop&amp;languageCode=eng&amp;currency=EUR" TargetMode="External"/><Relationship Id="rId7" Type="http://schemas.openxmlformats.org/officeDocument/2006/relationships/hyperlink" Target="https://drive.google.com/drive/folders/1q7qLsDD3MeXJAtJq5qGDM--q3a9mnJVA" TargetMode="External"/><Relationship Id="rId387" Type="http://schemas.openxmlformats.org/officeDocument/2006/relationships/hyperlink" Target="https://onlinegamespromo.fazi.rs/Home/IntegrationGameLaunch?moneyType=0&amp;gameName=WildLuckyClover2&amp;platform=desktop&amp;languageCode=eng&amp;currency=EUR" TargetMode="External"/><Relationship Id="rId8" Type="http://schemas.openxmlformats.org/officeDocument/2006/relationships/hyperlink" Target="https://gameserver-store-client-area.orbionlimited.com/Home/IntegrationGameLaunch/client-area?moneyType=0&amp;gameName=Wizard&amp;platform=desktop&amp;languageCode=eng&amp;currency=EUR" TargetMode="External"/><Relationship Id="rId386" Type="http://schemas.openxmlformats.org/officeDocument/2006/relationships/hyperlink" Target="https://gameserver-store-client-area.orbionlimited.com/Home/IntegrationGameLaunch/client-area?moneyType=0&amp;gameName=EpicClover40&amp;platform=desktop&amp;languageCode=eng&amp;currency=EUR" TargetMode="External"/><Relationship Id="rId381" Type="http://schemas.openxmlformats.org/officeDocument/2006/relationships/hyperlink" Target="https://docs.google.com/document/d/1unGyD9fIdvSZ12VhaMcxyRt9peTuo-fU/edit?usp=drive_link&amp;ouid=107596163405648766688&amp;rtpof=true&amp;sd=true" TargetMode="External"/><Relationship Id="rId380" Type="http://schemas.openxmlformats.org/officeDocument/2006/relationships/hyperlink" Target="https://gameserver-store-client-area.orbionlimited.com/Home/IntegrationGameLaunch/client-area?moneyType=0&amp;gameName=PiratesFazi&amp;platform=desktop&amp;languageCode=eng&amp;currency=EUR" TargetMode="External"/><Relationship Id="rId379" Type="http://schemas.openxmlformats.org/officeDocument/2006/relationships/hyperlink" Target="https://onlinegamespromo.fazi.rs/Home/IntegrationGameLaunch?moneyType=0&amp;gameName=PiratesFazi&amp;lobbyUrl=https://www.fazi-interactive.com/" TargetMode="External"/><Relationship Id="rId374" Type="http://schemas.openxmlformats.org/officeDocument/2006/relationships/hyperlink" Target="https://gameserver-store-client-area.orbionlimited.com/Home/IntegrationGameLaunch/client-area?moneyType=0&amp;gameName=WildHot40FreeSpins&amp;platform=desktop&amp;languageCode=eng&amp;currency=EUR" TargetMode="External"/><Relationship Id="rId373" Type="http://schemas.openxmlformats.org/officeDocument/2006/relationships/hyperlink" Target="https://onlinegamespromo.fazi.rs/Home/IntegrationGameLaunch?moneyType=0&amp;gameName=WildHot40FreeSpins&amp;platform=desktop&amp;languageCode=eng&amp;currency=EUR" TargetMode="External"/><Relationship Id="rId372" Type="http://schemas.openxmlformats.org/officeDocument/2006/relationships/hyperlink" Target="https://static.redstone.rs/games/40-fire-cash/" TargetMode="External"/><Relationship Id="rId371" Type="http://schemas.openxmlformats.org/officeDocument/2006/relationships/hyperlink" Target="https://static.redstone.rs/games/40-fire-cash/" TargetMode="External"/><Relationship Id="rId378" Type="http://schemas.openxmlformats.org/officeDocument/2006/relationships/hyperlink" Target="https://gameserver-store-client-area.orbionlimited.com/Home/IntegrationGameLaunch/client-area?moneyType=0&amp;gameName=UnicornDoubleWildDice&amp;platform=desktop&amp;languageCode=eng&amp;currency=EUR" TargetMode="External"/><Relationship Id="rId377" Type="http://schemas.openxmlformats.org/officeDocument/2006/relationships/hyperlink" Target="https://onlinegamespromo.fazi.rs/Home/IntegrationGameLaunch?moneyType=0&amp;gameName=UnicornDoubleWildDice&amp;platform=desktop&amp;languageCode=eng&amp;currency=EUR" TargetMode="External"/><Relationship Id="rId376" Type="http://schemas.openxmlformats.org/officeDocument/2006/relationships/hyperlink" Target="https://gameserver-store-client-area.orbionlimited.com/Home/IntegrationGameLaunch/client-area?moneyType=0&amp;gameName=UnicornMoneyStandardDice&amp;platform=desktop&amp;languageCode=eng&amp;currency=EUR" TargetMode="External"/><Relationship Id="rId375" Type="http://schemas.openxmlformats.org/officeDocument/2006/relationships/hyperlink" Target="https://onlinegamespromo.fazi.rs/Home/IntegrationGameLaunch?moneyType=0&amp;gameName=UnicornMoneyStandardDice&amp;platform=desktop&amp;languageCode=eng&amp;currency=EUR" TargetMode="External"/><Relationship Id="rId396" Type="http://schemas.openxmlformats.org/officeDocument/2006/relationships/hyperlink" Target="https://docs.google.com/document/d/1W7xAXul48Vs8maiVUeKLt8R0JKrL7yRh/edit?usp=drive_link&amp;ouid=107596163405648766688&amp;rtpof=true&amp;sd=true" TargetMode="External"/><Relationship Id="rId395" Type="http://schemas.openxmlformats.org/officeDocument/2006/relationships/hyperlink" Target="https://docs.google.com/document/d/12wJkghBsZEm-qAvIyc60s4oCbhRi_Kwe/edit?usp=drive_link&amp;ouid=107596163405648766688&amp;rtpof=true&amp;sd=true" TargetMode="External"/><Relationship Id="rId394" Type="http://schemas.openxmlformats.org/officeDocument/2006/relationships/hyperlink" Target="https://gameserver-store-client-area.orbionlimited.com/Home/IntegrationGameLaunch/client-area?moneyType=0&amp;gameName=JokerTripleDouble&amp;platform=desktop&amp;languageCode=eng&amp;currency=EUR" TargetMode="External"/><Relationship Id="rId393" Type="http://schemas.openxmlformats.org/officeDocument/2006/relationships/hyperlink" Target="https://onlinegamespromo.fazi.rs/Home/IntegrationGameLaunch?moneyType=0&amp;gameName=JokerTripleDouble&amp;lobbyUrl=https://www.fazi-interactive.com/" TargetMode="External"/><Relationship Id="rId399" Type="http://schemas.openxmlformats.org/officeDocument/2006/relationships/hyperlink" Target="https://onlinegamespromo.fazi.rs/Home/IntegrationGameLaunch?moneyType=0&amp;gameName=Unicorn5HotStrike&amp;platform=desktop&amp;languageCode=eng&amp;currency=EUR" TargetMode="External"/><Relationship Id="rId398" Type="http://schemas.openxmlformats.org/officeDocument/2006/relationships/hyperlink" Target="https://static.redstone.rs/games/heat-double/" TargetMode="External"/><Relationship Id="rId397" Type="http://schemas.openxmlformats.org/officeDocument/2006/relationships/hyperlink" Target="https://static.redstone.rs/games/heat-double/" TargetMode="External"/><Relationship Id="rId808" Type="http://schemas.openxmlformats.org/officeDocument/2006/relationships/hyperlink" Target="https://static.redstone.rs/games/farm-fiesta/" TargetMode="External"/><Relationship Id="rId807" Type="http://schemas.openxmlformats.org/officeDocument/2006/relationships/hyperlink" Target="https://static.redstone.rs/games/farm-fiesta/" TargetMode="External"/><Relationship Id="rId806" Type="http://schemas.openxmlformats.org/officeDocument/2006/relationships/hyperlink" Target="https://docs.google.com/document/d/1iWTO0Oacvjv2ikz7_9v_gkTjRfs47CM6/edit?usp=drive_link&amp;ouid=107596163405648766688&amp;rtpof=true&amp;sd=true" TargetMode="External"/><Relationship Id="rId805" Type="http://schemas.openxmlformats.org/officeDocument/2006/relationships/hyperlink" Target="https://docs.google.com/document/d/1DdYXTKFFkRj34SDHVCAwvpT3sxtvhBr0/edit?usp=drive_link&amp;ouid=107596163405648766688&amp;rtpof=true&amp;sd=true" TargetMode="External"/><Relationship Id="rId809" Type="http://schemas.openxmlformats.org/officeDocument/2006/relationships/hyperlink" Target="https://drive.google.com/file/d/1NBpzN0MPuuw6DJLjEkH_qHfLuxDx6OcM/view?usp=drive_link" TargetMode="External"/><Relationship Id="rId800" Type="http://schemas.openxmlformats.org/officeDocument/2006/relationships/hyperlink" Target="https://static.redstone.rs/games/reel-x5/" TargetMode="External"/><Relationship Id="rId804" Type="http://schemas.openxmlformats.org/officeDocument/2006/relationships/hyperlink" Target="https://gameserver-store-client-area.orbionlimited.com/Home/IntegrationGameLaunch/client-area?moneyType=0&amp;gameName=UnicornBunnyDice&amp;platform=desktop&amp;languageCode=eng&amp;currency=EUR" TargetMode="External"/><Relationship Id="rId803" Type="http://schemas.openxmlformats.org/officeDocument/2006/relationships/hyperlink" Target="https://onlinegamespromo.fazi.rs/Home/IntegrationGameLaunch?moneyType=0&amp;gameName=UnicornBunnyDice&amp;platform=desktop&amp;languageCode=eng&amp;currency=EUR" TargetMode="External"/><Relationship Id="rId802" Type="http://schemas.openxmlformats.org/officeDocument/2006/relationships/hyperlink" Target="https://gameserver-store-client-area.orbionlimited.com/Home/IntegrationGameLaunch/client-area?moneyType=0&amp;gameName=UnicornFruitIslandGems&amp;platform=desktop&amp;languageCode=eng&amp;currency=EUR" TargetMode="External"/><Relationship Id="rId801" Type="http://schemas.openxmlformats.org/officeDocument/2006/relationships/hyperlink" Target="https://onlinegamespromo.fazi.rs/Home/IntegrationGameLaunch?moneyType=0&amp;gameName=UnicornFruitIslandGems&amp;platform=desktop&amp;languageCode=eng&amp;currency=EUR" TargetMode="External"/><Relationship Id="rId40" Type="http://schemas.openxmlformats.org/officeDocument/2006/relationships/hyperlink" Target="https://gameserver-store-client-area.orbionlimited.com/Home/IntegrationGameLaunch/client-area?moneyType=0&amp;gameName=TropicalHot&amp;platform=desktop&amp;languageCode=eng&amp;currency=EUR" TargetMode="External"/><Relationship Id="rId1334" Type="http://schemas.openxmlformats.org/officeDocument/2006/relationships/hyperlink" Target="https://gameserver-store-client-area.orbionlimited.com/Home/IntegrationGameLaunch/client-area?moneyType=0&amp;gameName=FortuneOfWuKong&amp;platform=desktop&amp;languageCode=eng&amp;currency=EUR" TargetMode="External"/><Relationship Id="rId1335" Type="http://schemas.openxmlformats.org/officeDocument/2006/relationships/hyperlink" Target="https://onlinegamespromo.fazi.rs/Home/IntegrationGameLaunch?moneyType=0&amp;gameName=CloversAndDiamonds10&amp;platform=desktop&amp;languageCode=eng&amp;currency=EUR" TargetMode="External"/><Relationship Id="rId42" Type="http://schemas.openxmlformats.org/officeDocument/2006/relationships/hyperlink" Target="https://gameserver-store-client-area.orbionlimited.com/Home/IntegrationGameLaunch/client-area?moneyType=0&amp;gameName=Monsters&amp;platform=desktop&amp;languageCode=eng&amp;currency=EUR" TargetMode="External"/><Relationship Id="rId1336" Type="http://schemas.openxmlformats.org/officeDocument/2006/relationships/hyperlink" Target="https://gameserver-store-client-area.orbionlimited.com/Home/IntegrationGameLaunch/client-area?moneyType=0&amp;gameName=CloversAndDiamonds10&amp;platform=desktop&amp;languageCode=eng&amp;currency=EUR" TargetMode="External"/><Relationship Id="rId41" Type="http://schemas.openxmlformats.org/officeDocument/2006/relationships/hyperlink" Target="https://onlinegamespromo.fazi.rs/Home/IntegrationGameLaunch?moneyType=0&amp;gameName=MONSTERS&amp;platform=desktop&amp;languageCode=eng&amp;currency=EUR" TargetMode="External"/><Relationship Id="rId1337" Type="http://schemas.openxmlformats.org/officeDocument/2006/relationships/hyperlink" Target="https://onlinegamespromo.fazi.rs/Home/IntegrationGameLaunch?moneyType=0&amp;gameName=CloversAndDiamonds20&amp;platform=desktop&amp;languageCode=eng&amp;currency=EUR" TargetMode="External"/><Relationship Id="rId44" Type="http://schemas.openxmlformats.org/officeDocument/2006/relationships/hyperlink" Target="https://gameserver-store-client-area.orbionlimited.com/Home/IntegrationGameLaunch/client-area?moneyType=0&amp;gameName=ForestFruits&amp;platform=desktop&amp;languageCode=eng&amp;currency=EUR" TargetMode="External"/><Relationship Id="rId1338" Type="http://schemas.openxmlformats.org/officeDocument/2006/relationships/hyperlink" Target="https://gameserver-store-client-area.orbionlimited.com/Home/IntegrationGameLaunch/client-area?moneyType=0&amp;gameName=CloversAndDiamonds20&amp;platform=desktop&amp;languageCode=eng&amp;currency=EUR" TargetMode="External"/><Relationship Id="rId43" Type="http://schemas.openxmlformats.org/officeDocument/2006/relationships/hyperlink" Target="https://onlinegamespromo.fazi.rs/Home/IntegrationGameLaunch?moneyType=0&amp;gameName=FORESTFRUITS&amp;platform=desktop&amp;languageCode=eng&amp;currency=EUR" TargetMode="External"/><Relationship Id="rId1339" Type="http://schemas.openxmlformats.org/officeDocument/2006/relationships/hyperlink" Target="https://onlinegamespromo.fazi.rs/Home/IntegrationGameLaunch?moneyType=0&amp;gameName=CloversAndDiamonds40&amp;platform=desktop&amp;languageCode=eng&amp;currency=EUR" TargetMode="External"/><Relationship Id="rId46" Type="http://schemas.openxmlformats.org/officeDocument/2006/relationships/hyperlink" Target="https://gameserver-store-client-area.orbionlimited.com/Home/IntegrationGameLaunch/client-area?moneyType=0&amp;gameName=VikingGold&amp;platform=desktop&amp;languageCode=eng&amp;currency=EUR" TargetMode="External"/><Relationship Id="rId45" Type="http://schemas.openxmlformats.org/officeDocument/2006/relationships/hyperlink" Target="https://onlinegamespromo.fazi.rs/Home/IntegrationGameLaunch?moneyType=0&amp;gameName=VIKINGGOLD&amp;platform=desktop&amp;languageCode=eng&amp;currency=EUR" TargetMode="External"/><Relationship Id="rId745" Type="http://schemas.openxmlformats.org/officeDocument/2006/relationships/hyperlink" Target="https://static.redstone.rs/games/dice-double/" TargetMode="External"/><Relationship Id="rId744" Type="http://schemas.openxmlformats.org/officeDocument/2006/relationships/hyperlink" Target="https://docs.google.com/document/d/16mtDOc_tx8TXaxsQ0hi3FNv8JZf8Z6hC/edit?usp=drive_link&amp;ouid=107596163405648766688&amp;rtpof=true&amp;sd=true" TargetMode="External"/><Relationship Id="rId743" Type="http://schemas.openxmlformats.org/officeDocument/2006/relationships/hyperlink" Target="https://docs.google.com/document/d/1wxcgajZpfBwjzRG61wJUdl-Ya0-Xcpri/edit?usp=drive_link&amp;ouid=107596163405648766688&amp;rtpof=true&amp;sd=true" TargetMode="External"/><Relationship Id="rId742" Type="http://schemas.openxmlformats.org/officeDocument/2006/relationships/hyperlink" Target="https://static.redstone.rs/games/funky-fruits/" TargetMode="External"/><Relationship Id="rId749" Type="http://schemas.openxmlformats.org/officeDocument/2006/relationships/hyperlink" Target="https://static.redstone.rs/games/volcano-hot/" TargetMode="External"/><Relationship Id="rId748" Type="http://schemas.openxmlformats.org/officeDocument/2006/relationships/hyperlink" Target="https://drive.google.com/file/d/166wIewWhocd1jH7pxyQpKQESUAJhpHdt/view?usp=drive_link" TargetMode="External"/><Relationship Id="rId747" Type="http://schemas.openxmlformats.org/officeDocument/2006/relationships/hyperlink" Target="https://drive.google.com/file/d/1TIDXrQqfVRm2CVG_wBa8hrOS0YKT3vAF/view?usp=drive_link" TargetMode="External"/><Relationship Id="rId746" Type="http://schemas.openxmlformats.org/officeDocument/2006/relationships/hyperlink" Target="https://static.redstone.rs/games/dice-double/" TargetMode="External"/><Relationship Id="rId48" Type="http://schemas.openxmlformats.org/officeDocument/2006/relationships/hyperlink" Target="https://gameserver-store-client-area.orbionlimited.com/Home/IntegrationGameLaunch/client-area?moneyType=0&amp;gameName=StarGems&amp;platform=desktop&amp;languageCode=eng&amp;currency=EUR" TargetMode="External"/><Relationship Id="rId47" Type="http://schemas.openxmlformats.org/officeDocument/2006/relationships/hyperlink" Target="https://onlinegamespromo.fazi.rs/Home/IntegrationGameLaunch?moneyType=0&amp;gameName=STARGEMS&amp;platform=desktop&amp;languageCode=eng&amp;currency=EUR" TargetMode="External"/><Relationship Id="rId49" Type="http://schemas.openxmlformats.org/officeDocument/2006/relationships/hyperlink" Target="https://onlinegamespromo.fazi.rs/Home/IntegrationGameLaunch?moneyType=0&amp;gameName=TEMPLARSQUEST&amp;platform=desktop&amp;languageCode=eng&amp;currency=EUR" TargetMode="External"/><Relationship Id="rId741" Type="http://schemas.openxmlformats.org/officeDocument/2006/relationships/hyperlink" Target="https://static.redstone.rs/games/funky-fruits/" TargetMode="External"/><Relationship Id="rId1330" Type="http://schemas.openxmlformats.org/officeDocument/2006/relationships/hyperlink" Target="https://gameserver-store-client-area.orbionlimited.com/Home/IntegrationGameLaunch/client-area?moneyType=0&amp;gameName=VeryHot40ExtremeBooster&amp;platform=desktop&amp;languageCode=eng&amp;currency=EUR" TargetMode="External"/><Relationship Id="rId740" Type="http://schemas.openxmlformats.org/officeDocument/2006/relationships/hyperlink" Target="https://drive.google.com/file/d/1yFW_DFZpZEz8k9eLcehKH_MYcKX2SXKy/view?usp=drive_link" TargetMode="External"/><Relationship Id="rId1331" Type="http://schemas.openxmlformats.org/officeDocument/2006/relationships/hyperlink" Target="https://drive.google.com/drive/folders/15rWQH-CBK5xGg6xMmpPR3P6hRE9IdqFf" TargetMode="External"/><Relationship Id="rId1332" Type="http://schemas.openxmlformats.org/officeDocument/2006/relationships/hyperlink" Target="https://drive.google.com/drive/folders/15rWQH-CBK5xGg6xMmpPR3P6hRE9IdqFf" TargetMode="External"/><Relationship Id="rId1333" Type="http://schemas.openxmlformats.org/officeDocument/2006/relationships/hyperlink" Target="https://onlinegamespromo.fazi.rs/Home/IntegrationGameLaunch?moneyType=0&amp;gameName=FortuneOfWuKong&amp;platform=desktop&amp;languageCode=eng&amp;currency=EUR" TargetMode="External"/><Relationship Id="rId1323" Type="http://schemas.openxmlformats.org/officeDocument/2006/relationships/hyperlink" Target="https://gameserver-store-client-area.orbionlimited.com/Home/IntegrationGameLaunch/client-area?moneyType=0&amp;gameName=VeryHot40DiceBooster&amp;platform=desktop&amp;languageCode=eng&amp;currency=EUR" TargetMode="External"/><Relationship Id="rId1324" Type="http://schemas.openxmlformats.org/officeDocument/2006/relationships/hyperlink" Target="http://pasino.ch" TargetMode="External"/><Relationship Id="rId31" Type="http://schemas.openxmlformats.org/officeDocument/2006/relationships/hyperlink" Target="https://onlinegamespromo.fazi.rs/Home/IntegrationGameLaunch?moneyType=0&amp;gameName=TURBOHOT40&amp;platform=desktop&amp;languageCode=eng&amp;currency=EUR" TargetMode="External"/><Relationship Id="rId1325" Type="http://schemas.openxmlformats.org/officeDocument/2006/relationships/hyperlink" Target="https://onlinegamespromo.fazi.rs/Home/IntegrationGameLaunch?moneyType=0&amp;gameName=GoldenCrownExtremeDice&amp;platform=desktop&amp;languageCode=eng&amp;currency=EUR" TargetMode="External"/><Relationship Id="rId30" Type="http://schemas.openxmlformats.org/officeDocument/2006/relationships/hyperlink" Target="https://gameserver-store-client-area.orbionlimited.com/Home/IntegrationGameLaunch/client-area?moneyType=0&amp;gameName=MegaHot&amp;platform=desktop&amp;languageCode=eng&amp;currency=EUR" TargetMode="External"/><Relationship Id="rId1326" Type="http://schemas.openxmlformats.org/officeDocument/2006/relationships/hyperlink" Target="https://gameserver-store-client-area.orbionlimited.com/Home/IntegrationGameLaunch/client-area?moneyType=0&amp;gameName=GoldenCrownExtremeDice&amp;platform=desktop&amp;languageCode=eng&amp;currency=EUR" TargetMode="External"/><Relationship Id="rId33" Type="http://schemas.openxmlformats.org/officeDocument/2006/relationships/hyperlink" Target="https://onlinegamespromo.fazi.rs/Home/IntegrationGameLaunch?moneyType=0&amp;gameName=CRYSTALSOFMAGIC&amp;platform=desktop&amp;languageCode=eng&amp;currency=EUR" TargetMode="External"/><Relationship Id="rId1327" Type="http://schemas.openxmlformats.org/officeDocument/2006/relationships/hyperlink" Target="https://onlinegamespromo.fazi.rs/Home/IntegrationGameLaunch?moneyType=0&amp;gameName=WinningClover5ExtremeBooster&amp;platform=desktop&amp;languageCode=eng&amp;currency=EUR" TargetMode="External"/><Relationship Id="rId32" Type="http://schemas.openxmlformats.org/officeDocument/2006/relationships/hyperlink" Target="https://gameserver-store-client-area.orbionlimited.com/Home/IntegrationGameLaunch/client-area?moneyType=0&amp;gameName=TurboHot40&amp;platform=desktop&amp;languageCode=eng&amp;currency=EUR" TargetMode="External"/><Relationship Id="rId1328" Type="http://schemas.openxmlformats.org/officeDocument/2006/relationships/hyperlink" Target="https://gameserver-store-client-area.orbionlimited.com/Home/IntegrationGameLaunch/client-area?moneyType=0&amp;gameName=WinningClover5ExtremeBooster&amp;platform=desktop&amp;languageCode=eng&amp;currency=EUR" TargetMode="External"/><Relationship Id="rId35" Type="http://schemas.openxmlformats.org/officeDocument/2006/relationships/hyperlink" Target="https://onlinegamespromo.fazi.rs/Home/IntegrationGameLaunch?moneyType=0&amp;gameName=PiratesFazi&amp;lobbyUrl=https://www.fazi-interactive.com/" TargetMode="External"/><Relationship Id="rId1329" Type="http://schemas.openxmlformats.org/officeDocument/2006/relationships/hyperlink" Target="https://onlinegamespromo.fazi.rs/Home/IntegrationGameLaunch?moneyType=0&amp;gameName=VeryHot40ExtremeBooster&amp;platform=desktop&amp;languageCode=eng&amp;currency=EUR" TargetMode="External"/><Relationship Id="rId34" Type="http://schemas.openxmlformats.org/officeDocument/2006/relationships/hyperlink" Target="https://gameserver-store-client-area.orbionlimited.com/Home/IntegrationGameLaunch/client-area?moneyType=0&amp;gameName=CrystalsOfMagic&amp;platform=desktop&amp;languageCode=eng&amp;currency=EUR" TargetMode="External"/><Relationship Id="rId739" Type="http://schemas.openxmlformats.org/officeDocument/2006/relationships/hyperlink" Target="https://drive.google.com/file/d/1dfI9pBuaRN9WtXDJR91Zt7NejVPTF9pw/view?usp=drive_link" TargetMode="External"/><Relationship Id="rId734" Type="http://schemas.openxmlformats.org/officeDocument/2006/relationships/hyperlink" Target="https://static.redstone.rs/games/juicy-heat-20/" TargetMode="External"/><Relationship Id="rId733" Type="http://schemas.openxmlformats.org/officeDocument/2006/relationships/hyperlink" Target="https://static.redstone.rs/games/juicy-heat-20/" TargetMode="External"/><Relationship Id="rId732" Type="http://schemas.openxmlformats.org/officeDocument/2006/relationships/hyperlink" Target="https://docs.google.com/document/d/1213J-9PEpD_CkhkZdtihAaAaWjKDzVPT/edit?usp=drive_link&amp;ouid=107596163405648766688&amp;rtpof=true&amp;sd=true" TargetMode="External"/><Relationship Id="rId731" Type="http://schemas.openxmlformats.org/officeDocument/2006/relationships/hyperlink" Target="https://docs.google.com/document/d/1Qo2KjaT3kEptoNDLQOy3QuX7PJwEt22J/edit?usp=drive_link&amp;ouid=107596163405648766688&amp;rtpof=true&amp;sd=true" TargetMode="External"/><Relationship Id="rId738" Type="http://schemas.openxmlformats.org/officeDocument/2006/relationships/hyperlink" Target="https://static.redstone.rs/games/christmas-delight/" TargetMode="External"/><Relationship Id="rId737" Type="http://schemas.openxmlformats.org/officeDocument/2006/relationships/hyperlink" Target="https://static.redstone.rs/games/christmas-delight/" TargetMode="External"/><Relationship Id="rId736" Type="http://schemas.openxmlformats.org/officeDocument/2006/relationships/hyperlink" Target="https://drive.google.com/file/d/1kLHUR8NNfLffwEHlNKvQ6N7hvCPspAYY/view?usp=drive_link" TargetMode="External"/><Relationship Id="rId735" Type="http://schemas.openxmlformats.org/officeDocument/2006/relationships/hyperlink" Target="https://drive.google.com/file/d/1JLmg9yqgKR9pWUI2pPankCp5JO38HPMl/view?usp=drive_link" TargetMode="External"/><Relationship Id="rId37" Type="http://schemas.openxmlformats.org/officeDocument/2006/relationships/hyperlink" Target="https://onlinegamespromo.fazi.rs/Home/IntegrationGameLaunch?moneyType=0&amp;gameName=BOOKOFBRUNO&amp;platform=desktop&amp;languageCode=eng&amp;currency=EUR" TargetMode="External"/><Relationship Id="rId36" Type="http://schemas.openxmlformats.org/officeDocument/2006/relationships/hyperlink" Target="https://gameserver-store-client-area.orbionlimited.com/Home/IntegrationGameLaunch/client-area?moneyType=0&amp;gameName=Pirates&amp;platform=desktop&amp;languageCode=eng&amp;currency=EUR" TargetMode="External"/><Relationship Id="rId39" Type="http://schemas.openxmlformats.org/officeDocument/2006/relationships/hyperlink" Target="https://onlinegamespromo.fazi.rs/Home/IntegrationGameLaunch?moneyType=0&amp;gameName=TROPICALHOT&amp;platform=desktop&amp;languageCode=eng&amp;currency=EUR" TargetMode="External"/><Relationship Id="rId38" Type="http://schemas.openxmlformats.org/officeDocument/2006/relationships/hyperlink" Target="https://gameserver-store-client-area.orbionlimited.com/Home/IntegrationGameLaunch/client-area?moneyType=0&amp;gameName=BookOfBruno&amp;platform=desktop&amp;languageCode=eng&amp;currency=EUR" TargetMode="External"/><Relationship Id="rId730" Type="http://schemas.openxmlformats.org/officeDocument/2006/relationships/hyperlink" Target="https://gameserver-store-client-area.orbionlimited.com/Home/IntegrationGameLaunch/client-area?moneyType=0&amp;gameName=PlayNetWildFortiesXmas&amp;platform=desktop&amp;languageCode=eng&amp;currency=EUR" TargetMode="External"/><Relationship Id="rId1320" Type="http://schemas.openxmlformats.org/officeDocument/2006/relationships/hyperlink" Target="https://onlinegamespromo.fazi.rs/Home/IntegrationGameLaunch?moneyType=0&amp;gameName=EpicDice100Booster&amp;platform=desktop&amp;languageCode=eng&amp;currency=EUR" TargetMode="External"/><Relationship Id="rId1321" Type="http://schemas.openxmlformats.org/officeDocument/2006/relationships/hyperlink" Target="https://gameserver-store-client-area.orbionlimited.com/Home/IntegrationGameLaunch/client-area?moneyType=0&amp;gameName=EpicDice100Booster&amp;platform=desktop&amp;languageCode=eng&amp;currency=EUR" TargetMode="External"/><Relationship Id="rId1322" Type="http://schemas.openxmlformats.org/officeDocument/2006/relationships/hyperlink" Target="https://onlinegamespromo.fazi.rs/Home/IntegrationGameLaunch?moneyType=0&amp;gameName=VeryHot40DiceBooster&amp;platform=desktop&amp;languageCode=eng&amp;currency=EUR" TargetMode="External"/><Relationship Id="rId1356" Type="http://schemas.openxmlformats.org/officeDocument/2006/relationships/hyperlink" Target="https://onlinegamespromo.fazi.rs/Home/IntegrationGameLaunch?moneyType=0&amp;gameName=UnicornMoneyStandardJackpot&amp;platform=desktop&amp;languageCode=eng&amp;currency=EUR" TargetMode="External"/><Relationship Id="rId1357" Type="http://schemas.openxmlformats.org/officeDocument/2006/relationships/hyperlink" Target="https://gameserver-store-client-area.orbionlimited.com/Home/IntegrationGameLaunch/client-area?moneyType=0&amp;gameName=UnicornMoneyStandardJackpot&amp;platform=desktop&amp;languageCode=eng&amp;currency=EUR" TargetMode="External"/><Relationship Id="rId20" Type="http://schemas.openxmlformats.org/officeDocument/2006/relationships/hyperlink" Target="https://gameserver-store-client-area.orbionlimited.com/Home/IntegrationGameLaunch/client-area?moneyType=0&amp;gameName=Roulette&amp;platform=desktop&amp;languageCode=eng&amp;currency=EUR" TargetMode="External"/><Relationship Id="rId1358" Type="http://schemas.openxmlformats.org/officeDocument/2006/relationships/hyperlink" Target="https://onlinegamespromo.fazi.rs/Home/IntegrationGameLaunch?moneyType=0&amp;gameName=UnicornShinyFireballs&amp;platform=desktop&amp;languageCode=eng&amp;currency=EUR" TargetMode="External"/><Relationship Id="rId1359" Type="http://schemas.openxmlformats.org/officeDocument/2006/relationships/hyperlink" Target="https://gameserver-store-client-area.orbionlimited.com/Home/IntegrationGameLaunch/client-area?moneyType=0&amp;gameName=UnicornShinyFireballs&amp;platform=desktop&amp;languageCode=eng&amp;currency=EUR" TargetMode="External"/><Relationship Id="rId22" Type="http://schemas.openxmlformats.org/officeDocument/2006/relationships/hyperlink" Target="https://gameserver-store-client-area.orbionlimited.com/Home/IntegrationGameLaunch/client-area?moneyType=0&amp;gameName=JollyPoker&amp;platform=desktop&amp;languageCode=eng&amp;currency=EUR" TargetMode="External"/><Relationship Id="rId21" Type="http://schemas.openxmlformats.org/officeDocument/2006/relationships/hyperlink" Target="https://onlinegamespromo.fazi.rs/Home/IntegrationGameLaunch?moneyType=0&amp;gameName=JOLLYPOKER&amp;platform=desktop&amp;languageCode=eng&amp;currency=EUR" TargetMode="External"/><Relationship Id="rId24" Type="http://schemas.openxmlformats.org/officeDocument/2006/relationships/hyperlink" Target="https://gameserver-store-client-area.orbionlimited.com/Home/IntegrationGameLaunch/client-area?moneyType=0&amp;gameName=JuicyHot&amp;platform=desktop&amp;languageCode=eng&amp;currency=EUR" TargetMode="External"/><Relationship Id="rId23" Type="http://schemas.openxmlformats.org/officeDocument/2006/relationships/hyperlink" Target="https://onlinegamespromo.fazi.rs/Home/IntegrationGameLaunch?moneyType=0&amp;gameName=JUICYHOT&amp;platform=desktop&amp;languageCode=eng&amp;currency=EUR" TargetMode="External"/><Relationship Id="rId767" Type="http://schemas.openxmlformats.org/officeDocument/2006/relationships/hyperlink" Target="https://static.redstone.rs/games/cosmic-sevens/" TargetMode="External"/><Relationship Id="rId766" Type="http://schemas.openxmlformats.org/officeDocument/2006/relationships/hyperlink" Target="https://drive.google.com/file/d/16oPbWrM8ByDIEHp6tJjyzjJKpxREI28r/view?usp=drive_link" TargetMode="External"/><Relationship Id="rId765" Type="http://schemas.openxmlformats.org/officeDocument/2006/relationships/hyperlink" Target="https://drive.google.com/file/d/1hY7sDKOVoR3lt4VsKh-H2CdHH5RM6AJ1/view?usp=drive_link" TargetMode="External"/><Relationship Id="rId764" Type="http://schemas.openxmlformats.org/officeDocument/2006/relationships/hyperlink" Target="https://gameserver-store-client-area.orbionlimited.com/Home/IntegrationGameLaunch/client-area?moneyType=0&amp;gameName=PlayNetFortuneClover100&amp;platform=desktop&amp;languageCode=eng&amp;currency=EUR" TargetMode="External"/><Relationship Id="rId769" Type="http://schemas.openxmlformats.org/officeDocument/2006/relationships/hyperlink" Target="https://onlinegamespromo.fazi.rs/Home/IntegrationGameLaunch?moneyType=0&amp;gameName=Unicorn20HotStrikeDiceJackpot&amp;platform=desktop&amp;languageCode=eng&amp;currency=EUR" TargetMode="External"/><Relationship Id="rId768" Type="http://schemas.openxmlformats.org/officeDocument/2006/relationships/hyperlink" Target="https://static.redstone.rs/games/cosmic-sevens/" TargetMode="External"/><Relationship Id="rId26" Type="http://schemas.openxmlformats.org/officeDocument/2006/relationships/hyperlink" Target="https://gameserver-store-client-area.orbionlimited.com/Home/IntegrationGameLaunch/client-area?moneyType=0&amp;gameName=HotStars&amp;platform=desktop&amp;languageCode=eng&amp;currency=EUR" TargetMode="External"/><Relationship Id="rId25" Type="http://schemas.openxmlformats.org/officeDocument/2006/relationships/hyperlink" Target="https://onlinegamespromo.fazi.rs/Home/IntegrationGameLaunch?moneyType=0&amp;gameName=HOTSTARS&amp;platform=desktop&amp;languageCode=eng&amp;currency=EUR" TargetMode="External"/><Relationship Id="rId28" Type="http://schemas.openxmlformats.org/officeDocument/2006/relationships/hyperlink" Target="https://gameserver-store-client-area.orbionlimited.com/Home/IntegrationGameLaunch/client-area?moneyType=0&amp;gameName=BookOfSpells&amp;platform=desktop&amp;languageCode=eng&amp;currency=EUR" TargetMode="External"/><Relationship Id="rId1350" Type="http://schemas.openxmlformats.org/officeDocument/2006/relationships/hyperlink" Target="https://onlinegamespromo.fazi.rs/Home/IntegrationGameLaunch?moneyType=0&amp;gameName=UnicornThreeReelDice&amp;platform=desktop&amp;languageCode=eng&amp;currency=EUR" TargetMode="External"/><Relationship Id="rId27" Type="http://schemas.openxmlformats.org/officeDocument/2006/relationships/hyperlink" Target="https://onlinegamespromo.fazi.rs/Home/IntegrationGameLaunch?moneyType=0&amp;gameName=BOOKOFSPELLS&amp;platform=desktop&amp;languageCode=eng&amp;currency=EUR" TargetMode="External"/><Relationship Id="rId1351" Type="http://schemas.openxmlformats.org/officeDocument/2006/relationships/hyperlink" Target="https://gameserver-store-client-area.orbionlimited.com/Home/IntegrationGameLaunch/client-area?moneyType=0&amp;gameName=UnicornThreeReelDice&amp;platform=desktop&amp;languageCode=eng&amp;currency=EUR" TargetMode="External"/><Relationship Id="rId763" Type="http://schemas.openxmlformats.org/officeDocument/2006/relationships/hyperlink" Target="https://onlinegamespromo.fazi.rs/Home/IntegrationGameLaunch?moneyType=0&amp;gameName=PlayNetFortuneClover100&amp;platform=desktop&amp;languageCode=eng&amp;currency=EUR" TargetMode="External"/><Relationship Id="rId1352" Type="http://schemas.openxmlformats.org/officeDocument/2006/relationships/hyperlink" Target="https://onlinegamespromo.fazi.rs/Home/IntegrationGameLaunch?moneyType=0&amp;gameName=UnicornTropicalTreasure&amp;platform=desktop&amp;languageCode=eng&amp;currency=EUR" TargetMode="External"/><Relationship Id="rId29" Type="http://schemas.openxmlformats.org/officeDocument/2006/relationships/hyperlink" Target="https://onlinegamespromo.fazi.rs/Home/IntegrationGameLaunch?moneyType=0&amp;gameName=MEGAHOT&amp;platform=desktop&amp;languageCode=eng&amp;currency=EUR" TargetMode="External"/><Relationship Id="rId762" Type="http://schemas.openxmlformats.org/officeDocument/2006/relationships/hyperlink" Target="https://gameserver-store-client-area.orbionlimited.com/Home/IntegrationGameLaunch/client-area?moneyType=0&amp;gameName=PlayNetDiamondHeartX2&amp;platform=desktop&amp;languageCode=eng&amp;currency=EUR" TargetMode="External"/><Relationship Id="rId1353" Type="http://schemas.openxmlformats.org/officeDocument/2006/relationships/hyperlink" Target="https://gameserver-store-client-area.orbionlimited.com/Home/IntegrationGameLaunch/client-area?moneyType=0&amp;gameName=UnicornTropicalTreasure&amp;platform=desktop&amp;languageCode=eng&amp;currency=EUR" TargetMode="External"/><Relationship Id="rId761" Type="http://schemas.openxmlformats.org/officeDocument/2006/relationships/hyperlink" Target="https://onlinegamespromo.fazi.rs/Home/IntegrationGameLaunch?moneyType=0&amp;gameName=PlayNetDiamondHeartX2&amp;platform=desktop&amp;languageCode=eng&amp;currency=EUR" TargetMode="External"/><Relationship Id="rId1354" Type="http://schemas.openxmlformats.org/officeDocument/2006/relationships/hyperlink" Target="https://onlinegamespromo.fazi.rs/Home/IntegrationGameLaunch?moneyType=0&amp;gameName=UnicornGoldenGateFruit&amp;platform=desktop&amp;languageCode=eng&amp;currency=EUR" TargetMode="External"/><Relationship Id="rId760" Type="http://schemas.openxmlformats.org/officeDocument/2006/relationships/hyperlink" Target="https://gameserver-store-client-area.orbionlimited.com/Home/IntegrationGameLaunch/client-area?moneyType=0&amp;gameName=PlayNetFortuneCloverX2&amp;platform=desktop&amp;languageCode=eng&amp;currency=EUR" TargetMode="External"/><Relationship Id="rId1355" Type="http://schemas.openxmlformats.org/officeDocument/2006/relationships/hyperlink" Target="https://gameserver-store-client-area.orbionlimited.com/Home/IntegrationGameLaunch/client-area?moneyType=0&amp;gameName=UnicornGoldenGateFruit&amp;platform=desktop&amp;languageCode=eng&amp;currency=EUR" TargetMode="External"/><Relationship Id="rId1345" Type="http://schemas.openxmlformats.org/officeDocument/2006/relationships/hyperlink" Target="https://onlinegamespromo.fazi.rs/Home/IntegrationGameLaunch?moneyType=0&amp;gameName=RoyalgardenQueen&amp;platform=desktop&amp;languageCode=eng&amp;currency=EUR" TargetMode="External"/><Relationship Id="rId1346" Type="http://schemas.openxmlformats.org/officeDocument/2006/relationships/hyperlink" Target="https://gameserver-store-client-area.orbionlimited.com/Home/IntegrationGameLaunch/client-area?moneyType=0&amp;gameName=RoyalgardenQueen&amp;platform=desktop&amp;languageCode=eng&amp;currency=EUR" TargetMode="External"/><Relationship Id="rId1347" Type="http://schemas.openxmlformats.org/officeDocument/2006/relationships/hyperlink" Target="http://jacks.nl" TargetMode="External"/><Relationship Id="rId1348" Type="http://schemas.openxmlformats.org/officeDocument/2006/relationships/hyperlink" Target="https://onlinegamespromo.fazi.rs/Home/IntegrationGameLaunch?moneyType=0&amp;gameName=UnicornHotFireballs&amp;platform=desktop&amp;languageCode=eng&amp;currency=EUR" TargetMode="External"/><Relationship Id="rId11" Type="http://schemas.openxmlformats.org/officeDocument/2006/relationships/hyperlink" Target="https://gameserver-store-client-area.orbionlimited.com/Home/IntegrationGameLaunch/client-area?moneyType=0&amp;gameName=FruitsAndStars&amp;platform=desktop&amp;languageCode=eng&amp;currency=EUR" TargetMode="External"/><Relationship Id="rId1349" Type="http://schemas.openxmlformats.org/officeDocument/2006/relationships/hyperlink" Target="https://gameserver-store-client-area.orbionlimited.com/Home/IntegrationGameLaunch/client-area?moneyType=0&amp;gameName=UnicornHotFireballs&amp;platform=desktop&amp;languageCode=eng&amp;currency=EUR" TargetMode="External"/><Relationship Id="rId10" Type="http://schemas.openxmlformats.org/officeDocument/2006/relationships/hyperlink" Target="https://drive.google.com/drive/folders/1F58FR3Kzj28XzgM5QV9dzINmVlxd4PoB" TargetMode="External"/><Relationship Id="rId13" Type="http://schemas.openxmlformats.org/officeDocument/2006/relationships/hyperlink" Target="https://drive.google.com/drive/folders/1VWYsrqnjTUG7-oda2zHN8BriOazH8oro" TargetMode="External"/><Relationship Id="rId12" Type="http://schemas.openxmlformats.org/officeDocument/2006/relationships/hyperlink" Target="https://onlinegamespromo.fazi.rs/Home/IntegrationGameLaunch?moneyType=0&amp;gameName=Hot777&amp;platform=desktop&amp;languageCode=eng&amp;currency=EUR" TargetMode="External"/><Relationship Id="rId756" Type="http://schemas.openxmlformats.org/officeDocument/2006/relationships/hyperlink" Target="https://drive.google.com/file/d/1s1mvKjVqp4KPPhHWwEIdwZY3oCvr48sm/view?usp=sharing" TargetMode="External"/><Relationship Id="rId755" Type="http://schemas.openxmlformats.org/officeDocument/2006/relationships/hyperlink" Target="https://drive.google.com/file/d/1MagzLGH8WOcAl7avhVNFyMA7HKX2TYKo/view?usp=sharing" TargetMode="External"/><Relationship Id="rId754" Type="http://schemas.openxmlformats.org/officeDocument/2006/relationships/hyperlink" Target="https://static.redstone.rs/games/10-clover-fire/" TargetMode="External"/><Relationship Id="rId753" Type="http://schemas.openxmlformats.org/officeDocument/2006/relationships/hyperlink" Target="https://static.redstone.rs/games/10-clover-fire/" TargetMode="External"/><Relationship Id="rId759" Type="http://schemas.openxmlformats.org/officeDocument/2006/relationships/hyperlink" Target="https://onlinegamespromo.fazi.rs/Home/IntegrationGameLaunch?moneyType=0&amp;gameName=PlayNetFortuneCloverX2&amp;platform=desktop&amp;languageCode=eng&amp;currency=EUR" TargetMode="External"/><Relationship Id="rId758" Type="http://schemas.openxmlformats.org/officeDocument/2006/relationships/hyperlink" Target="https://gameserver-store-client-area.orbionlimited.com/Home/IntegrationGameLaunch/client-area?moneyType=0&amp;gameName=CrownsAndStars&amp;platform=desktop&amp;languageCode=eng&amp;currency=EUR" TargetMode="External"/><Relationship Id="rId757" Type="http://schemas.openxmlformats.org/officeDocument/2006/relationships/hyperlink" Target="https://onlinegamespromo.fazi.rs/Home/IntegrationGameLaunch?moneyType=0&amp;gameName=CrownAndStars&amp;platform=desktop&amp;languageCode=eng&amp;currency=EUR" TargetMode="External"/><Relationship Id="rId15" Type="http://schemas.openxmlformats.org/officeDocument/2006/relationships/hyperlink" Target="https://onlinegamespromo.fazi.rs/Home/IntegrationGameLaunch?moneyType=0&amp;gameName=WILDWEST&amp;platform=desktop&amp;languageCode=eng&amp;currency=EUR" TargetMode="External"/><Relationship Id="rId14" Type="http://schemas.openxmlformats.org/officeDocument/2006/relationships/hyperlink" Target="https://gameserver-store-client-area.orbionlimited.com/Home/IntegrationGameLaunch/client-area?moneyType=0&amp;gameName=Hot777&amp;platform=desktop&amp;languageCode=eng&amp;currency=EUR" TargetMode="External"/><Relationship Id="rId17" Type="http://schemas.openxmlformats.org/officeDocument/2006/relationships/hyperlink" Target="https://onlinegamespromo.fazi.rs/Home/IntegrationGameLaunch?moneyType=0&amp;gameName=PYRAMID&amp;platform=desktop&amp;languageCode=eng&amp;currency=EUR" TargetMode="External"/><Relationship Id="rId16" Type="http://schemas.openxmlformats.org/officeDocument/2006/relationships/hyperlink" Target="https://gameserver-store-client-area.orbionlimited.com/Home/IntegrationGameLaunch/client-area?moneyType=0&amp;gameName=WildWest&amp;platform=desktop&amp;languageCode=eng&amp;currency=EUR" TargetMode="External"/><Relationship Id="rId1340" Type="http://schemas.openxmlformats.org/officeDocument/2006/relationships/hyperlink" Target="https://gameserver-store-client-area.orbionlimited.com/Home/IntegrationGameLaunch/client-area?moneyType=0&amp;gameName=CloversAndDiamonds40&amp;platform=desktop&amp;languageCode=eng&amp;currency=EUR" TargetMode="External"/><Relationship Id="rId19" Type="http://schemas.openxmlformats.org/officeDocument/2006/relationships/hyperlink" Target="https://onlinegamespromo.fazi.rs/Home/IntegrationGameLaunch?moneyType=0&amp;gameName=ROULETTE&amp;platform=desktop&amp;languageCode=eng&amp;currency=EUR" TargetMode="External"/><Relationship Id="rId752" Type="http://schemas.openxmlformats.org/officeDocument/2006/relationships/hyperlink" Target="https://docs.google.com/document/d/1GbD7Xr2mxOwa_hwLj37fj-PYGBhDbBCh/edit?usp=drive_link&amp;ouid=107596163405648766688&amp;rtpof=true&amp;sd=true" TargetMode="External"/><Relationship Id="rId1341" Type="http://schemas.openxmlformats.org/officeDocument/2006/relationships/hyperlink" Target="https://onlinegamespromo.fazi.rs/Home/IntegrationGameLaunch?moneyType=0&amp;gameName=RoyalGardenKing&amp;platform=desktop&amp;languageCode=eng&amp;currency=EUR" TargetMode="External"/><Relationship Id="rId18" Type="http://schemas.openxmlformats.org/officeDocument/2006/relationships/hyperlink" Target="https://gameserver-store-client-area.orbionlimited.com/Home/IntegrationGameLaunch/client-area?moneyType=0&amp;gameName=Pyramid&amp;platform=desktop&amp;languageCode=eng&amp;currency=EUR" TargetMode="External"/><Relationship Id="rId751" Type="http://schemas.openxmlformats.org/officeDocument/2006/relationships/hyperlink" Target="https://docs.google.com/document/d/1TZm4cFN3pLqqLsQDht7QeFxb_bqDb1Jo/edit?usp=drive_link&amp;ouid=107596163405648766688&amp;rtpof=true&amp;sd=true" TargetMode="External"/><Relationship Id="rId1342" Type="http://schemas.openxmlformats.org/officeDocument/2006/relationships/hyperlink" Target="https://gameserver-store-client-area.orbionlimited.com/Home/IntegrationGameLaunch/client-area?moneyType=0&amp;gameName=RoyalgardenKing&amp;platform=desktop&amp;languageCode=eng&amp;currency=EUR" TargetMode="External"/><Relationship Id="rId750" Type="http://schemas.openxmlformats.org/officeDocument/2006/relationships/hyperlink" Target="https://static.redstone.rs/games/volcano-hot/" TargetMode="External"/><Relationship Id="rId1343" Type="http://schemas.openxmlformats.org/officeDocument/2006/relationships/hyperlink" Target="https://docs.google.com/document/d/1V2AsHCrmfW7_UwtgR_YnT2bqsuhjmNHC/edit" TargetMode="External"/><Relationship Id="rId1344" Type="http://schemas.openxmlformats.org/officeDocument/2006/relationships/hyperlink" Target="https://docs.google.com/document/d/1vyPdbTiGJiKkYnnELDaLeavVn6alUl8O/edit" TargetMode="External"/><Relationship Id="rId84" Type="http://schemas.openxmlformats.org/officeDocument/2006/relationships/hyperlink" Target="https://gameserver-store-client-area.orbionlimited.com/Home/IntegrationGameLaunch/client-area?moneyType=0&amp;gameName=BookOfSpellsDeluxe&amp;platform=desktop&amp;languageCode=eng&amp;currency=EUR" TargetMode="External"/><Relationship Id="rId83" Type="http://schemas.openxmlformats.org/officeDocument/2006/relationships/hyperlink" Target="https://onlinegamespromo.fazi.rs/Home/IntegrationGameLaunch?moneyType=0&amp;gameName=BookOfSpellsDeluxe&amp;platform=desktop&amp;languageCode=eng&amp;currency=EUR" TargetMode="External"/><Relationship Id="rId86" Type="http://schemas.openxmlformats.org/officeDocument/2006/relationships/hyperlink" Target="https://gameserver-store-client-area.orbionlimited.com/Home/IntegrationGameLaunch/client-area?moneyType=0&amp;gameName=JazzyFruits&amp;platform=desktop&amp;languageCode=eng&amp;currency=EUR" TargetMode="External"/><Relationship Id="rId85" Type="http://schemas.openxmlformats.org/officeDocument/2006/relationships/hyperlink" Target="https://onlinegamespromo.fazi.rs/Home/IntegrationGameLaunch?moneyType=0&amp;gameName=JazzyFruits&amp;platform=desktop&amp;languageCode=eng&amp;currency=EUR" TargetMode="External"/><Relationship Id="rId88" Type="http://schemas.openxmlformats.org/officeDocument/2006/relationships/hyperlink" Target="https://gameserver-store-client-area.orbionlimited.com/Home/IntegrationGameLaunch/client-area?moneyType=0&amp;gameName=CrystalHot80&amp;platform=desktop&amp;languageCode=eng&amp;currency=EUR" TargetMode="External"/><Relationship Id="rId87" Type="http://schemas.openxmlformats.org/officeDocument/2006/relationships/hyperlink" Target="https://onlinegamespromo.fazi.rs/Home/IntegrationGameLaunch?moneyType=0&amp;gameName=CrystalHot80&amp;platform=desktop&amp;languageCode=eng&amp;currency=EUR" TargetMode="External"/><Relationship Id="rId89" Type="http://schemas.openxmlformats.org/officeDocument/2006/relationships/hyperlink" Target="https://onlinegamespromo.fazi.rs/Home/IntegrationGameLaunch?moneyType=0&amp;gameName=CrystalHot40Deluxe&amp;platform=desktop&amp;languageCode=eng&amp;currency=EUR" TargetMode="External"/><Relationship Id="rId709" Type="http://schemas.openxmlformats.org/officeDocument/2006/relationships/hyperlink" Target="https://onlinegamespromo.fazi.rs/Home/IntegrationGameLaunch?moneyType=0&amp;gameName=PlayNetBookOfAmun&amp;platform=desktop&amp;languageCode=eng&amp;currency=EUR" TargetMode="External"/><Relationship Id="rId708" Type="http://schemas.openxmlformats.org/officeDocument/2006/relationships/hyperlink" Target="https://gameserver-store-client-area.orbionlimited.com/Home/IntegrationGameLaunch/client-area?moneyType=0&amp;gameName=UnicornHitLineDice&amp;platform=desktop&amp;languageCode=eng&amp;currency=EUR" TargetMode="External"/><Relationship Id="rId707" Type="http://schemas.openxmlformats.org/officeDocument/2006/relationships/hyperlink" Target="https://onlinegamespromo.fazi.rs/Home/IntegrationGameLaunch?moneyType=0&amp;gameName=UnicornHitLineDice&amp;platform=desktop&amp;languageCode=eng&amp;currency=EUR" TargetMode="External"/><Relationship Id="rId706" Type="http://schemas.openxmlformats.org/officeDocument/2006/relationships/hyperlink" Target="https://gameserver-store-client-area.orbionlimited.com/Home/IntegrationGameLaunch/client-area?moneyType=0&amp;gameName=PlayNetWildForties&amp;platform=desktop&amp;languageCode=eng&amp;currency=EUR" TargetMode="External"/><Relationship Id="rId80" Type="http://schemas.openxmlformats.org/officeDocument/2006/relationships/hyperlink" Target="https://gameserver-store-client-area.orbionlimited.com/Home/IntegrationGameLaunch/client-area?moneyType=0&amp;gameName=CubesAndStars&amp;platform=desktop&amp;languageCode=eng&amp;currency=EUR" TargetMode="External"/><Relationship Id="rId82" Type="http://schemas.openxmlformats.org/officeDocument/2006/relationships/hyperlink" Target="https://gameserver-store-client-area.orbionlimited.com/Home/IntegrationGameLaunch/client-area?moneyType=0&amp;gameName=TwinklingHot40&amp;platform=desktop&amp;languageCode=eng&amp;currency=EUR" TargetMode="External"/><Relationship Id="rId81" Type="http://schemas.openxmlformats.org/officeDocument/2006/relationships/hyperlink" Target="https://onlinegamespromo.fazi.rs/Home/IntegrationGameLaunch?moneyType=0&amp;gameName=TwinklingHot40&amp;platform=desktop&amp;languageCode=eng&amp;currency=EUR" TargetMode="External"/><Relationship Id="rId701" Type="http://schemas.openxmlformats.org/officeDocument/2006/relationships/hyperlink" Target="https://drive.google.com/file/d/1CnPNsoW7A8gDqsGH0QmYIC5F1rDUvStJ/view?usp=drive_link" TargetMode="External"/><Relationship Id="rId700" Type="http://schemas.openxmlformats.org/officeDocument/2006/relationships/hyperlink" Target="https://gameserver-store-client-area.orbionlimited.com/Home/IntegrationGameLaunch/client-area?moneyType=0&amp;gameName=Unicorn20HotStrikeJackpot&amp;platform=desktop&amp;languageCode=eng&amp;currency=EUR" TargetMode="External"/><Relationship Id="rId705" Type="http://schemas.openxmlformats.org/officeDocument/2006/relationships/hyperlink" Target="https://onlinegamespromo.fazi.rs/Home/IntegrationGameLaunch?moneyType=0&amp;gameName=PlayNetWildForties&amp;platform=desktop&amp;languageCode=eng&amp;currency=EUR" TargetMode="External"/><Relationship Id="rId704" Type="http://schemas.openxmlformats.org/officeDocument/2006/relationships/hyperlink" Target="https://static.redstone.rs/games/5-wild-fire/" TargetMode="External"/><Relationship Id="rId703" Type="http://schemas.openxmlformats.org/officeDocument/2006/relationships/hyperlink" Target="https://static.redstone.rs/games/5-wild-fire/" TargetMode="External"/><Relationship Id="rId702" Type="http://schemas.openxmlformats.org/officeDocument/2006/relationships/hyperlink" Target="https://drive.google.com/file/d/10GFfdufP0A_6r3dlwLlKQ77wnmqVJaDU/view?usp=drive_link" TargetMode="External"/><Relationship Id="rId73" Type="http://schemas.openxmlformats.org/officeDocument/2006/relationships/hyperlink" Target="https://onlinegamespromo.fazi.rs/Home/IntegrationGameLaunch?moneyType=0&amp;gameName=FruitsAndStars40&amp;platform=desktop&amp;languageCode=eng&amp;currency=EUR" TargetMode="External"/><Relationship Id="rId72" Type="http://schemas.openxmlformats.org/officeDocument/2006/relationships/hyperlink" Target="https://gameserver-store-client-area.orbionlimited.com/Home/IntegrationGameLaunch/client-area?moneyType=0&amp;gameName=AlohaCharm&amp;platform=desktop&amp;languageCode=eng&amp;currency=EUR" TargetMode="External"/><Relationship Id="rId75" Type="http://schemas.openxmlformats.org/officeDocument/2006/relationships/hyperlink" Target="https://onlinegamespromo.fazi.rs/Home/IntegrationGameLaunch?moneyType=0&amp;gameName=TwinklingHot5&amp;platform=desktop&amp;languageCode=eng&amp;currency=EUR" TargetMode="External"/><Relationship Id="rId74" Type="http://schemas.openxmlformats.org/officeDocument/2006/relationships/hyperlink" Target="https://gameserver-store-client-area.orbionlimited.com/Home/IntegrationGameLaunch/client-area?moneyType=0&amp;gameName=FruitsAndStars40&amp;platform=desktop&amp;languageCode=eng&amp;currency=EUR" TargetMode="External"/><Relationship Id="rId77" Type="http://schemas.openxmlformats.org/officeDocument/2006/relationships/hyperlink" Target="https://onlinegamespromo.fazi.rs/Home/IntegrationGameLaunch?moneyType=0&amp;gameName=DiceOfSpells&amp;platform=desktop&amp;languageCode=eng&amp;currency=EUR" TargetMode="External"/><Relationship Id="rId76" Type="http://schemas.openxmlformats.org/officeDocument/2006/relationships/hyperlink" Target="https://gameserver-store-client-area.orbionlimited.com/Home/IntegrationGameLaunch/client-area?moneyType=0&amp;gameName=TwinklingHot5&amp;platform=desktop&amp;languageCode=eng&amp;currency=EUR" TargetMode="External"/><Relationship Id="rId79" Type="http://schemas.openxmlformats.org/officeDocument/2006/relationships/hyperlink" Target="https://onlinegamespromo.fazi.rs/Home/IntegrationGameLaunch?moneyType=0&amp;gameName=CubesAndStars&amp;platform=desktop&amp;languageCode=eng&amp;currency=EUR" TargetMode="External"/><Relationship Id="rId78" Type="http://schemas.openxmlformats.org/officeDocument/2006/relationships/hyperlink" Target="https://gameserver-store-client-area.orbionlimited.com/Home/IntegrationGameLaunch/client-area?moneyType=0&amp;gameName=DiceOfSpells&amp;platform=desktop&amp;languageCode=eng&amp;currency=EUR" TargetMode="External"/><Relationship Id="rId71" Type="http://schemas.openxmlformats.org/officeDocument/2006/relationships/hyperlink" Target="https://onlinegamespromo.fazi.rs/Home/IntegrationGameLaunch?moneyType=0&amp;gameName=AlohaCharm&amp;platform=desktop&amp;languageCode=eng&amp;currency=EUR" TargetMode="External"/><Relationship Id="rId70" Type="http://schemas.openxmlformats.org/officeDocument/2006/relationships/hyperlink" Target="https://gameserver-store-client-area.orbionlimited.com/Home/IntegrationGameLaunch/client-area?moneyType=0&amp;gameName=StarRunner&amp;platform=desktop&amp;languageCode=eng&amp;currency=EUR" TargetMode="External"/><Relationship Id="rId62" Type="http://schemas.openxmlformats.org/officeDocument/2006/relationships/hyperlink" Target="https://gameserver-store-client-area.orbionlimited.com/Home/IntegrationGameLaunch/client-area?moneyType=0&amp;gameName=TripleDice&amp;platform=desktop&amp;languageCode=eng&amp;currency=EUR" TargetMode="External"/><Relationship Id="rId1312" Type="http://schemas.openxmlformats.org/officeDocument/2006/relationships/hyperlink" Target="https://gameserver-store-client-area.orbionlimited.com/Home/IntegrationGameLaunch/client-area?moneyType=0&amp;gameName=LockedHearts40&amp;platform=desktop&amp;languageCode=eng&amp;currency=EUR" TargetMode="External"/><Relationship Id="rId61" Type="http://schemas.openxmlformats.org/officeDocument/2006/relationships/hyperlink" Target="https://onlinegamespromo.fazi.rs/Home/IntegrationGameLaunch?moneyType=0&amp;gameName=TripleDice&amp;platform=desktop&amp;languageCode=eng&amp;currency=EUR" TargetMode="External"/><Relationship Id="rId1313" Type="http://schemas.openxmlformats.org/officeDocument/2006/relationships/hyperlink" Target="https://drive.google.com/file/d/1Vn58CAYspcK7dlg8j5FsFnRlRnzB32Uo/view?usp=sharing" TargetMode="External"/><Relationship Id="rId64" Type="http://schemas.openxmlformats.org/officeDocument/2006/relationships/hyperlink" Target="https://gameserver-store-client-area.orbionlimited.com/Home/IntegrationGameLaunch/client-area?moneyType=0&amp;gameName=KatanasOfTime&amp;platform=desktop&amp;languageCode=eng&amp;currency=EUR" TargetMode="External"/><Relationship Id="rId1314" Type="http://schemas.openxmlformats.org/officeDocument/2006/relationships/hyperlink" Target="https://drive.google.com/file/d/1Tri9k-wrdy2cNSdRo6z5eZtGUuS0qpyk/view?usp=sharing" TargetMode="External"/><Relationship Id="rId63" Type="http://schemas.openxmlformats.org/officeDocument/2006/relationships/hyperlink" Target="https://onlinegamespromo.fazi.rs/Home/IntegrationGameLaunch?moneyType=0&amp;gameName=KATANASOFTIME&amp;platform=desktop&amp;languageCode=eng&amp;currency=EUR" TargetMode="External"/><Relationship Id="rId1315" Type="http://schemas.openxmlformats.org/officeDocument/2006/relationships/hyperlink" Target="https://onlinegamespromo.fazi.rs/Home/IntegrationGameLaunch?moneyType=0&amp;gameName=WinningClover5HoldAndWin&amp;platform=desktop&amp;languageCode=eng&amp;currency=EUR" TargetMode="External"/><Relationship Id="rId66" Type="http://schemas.openxmlformats.org/officeDocument/2006/relationships/hyperlink" Target="https://gameserver-store-client-area.orbionlimited.com/Home/IntegrationGameLaunch/client-area?moneyType=0&amp;gameName=Retro7Hot&amp;platform=desktop&amp;languageCode=eng&amp;currency=EUR" TargetMode="External"/><Relationship Id="rId1316" Type="http://schemas.openxmlformats.org/officeDocument/2006/relationships/hyperlink" Target="https://gameserver-store-client-area.orbionlimited.com/Home/IntegrationGameLaunch/client-area?moneyType=0&amp;gameName=WinningClover5HoldAndWin&amp;platform=desktop&amp;languageCode=eng&amp;currency=EUR" TargetMode="External"/><Relationship Id="rId65" Type="http://schemas.openxmlformats.org/officeDocument/2006/relationships/hyperlink" Target="https://onlinegamespromo.fazi.rs/Home/IntegrationGameLaunch?moneyType=0&amp;gameName=RETRO7HOT&amp;platform=desktop&amp;languageCode=eng&amp;currency=EUR" TargetMode="External"/><Relationship Id="rId1317" Type="http://schemas.openxmlformats.org/officeDocument/2006/relationships/hyperlink" Target="https://onlinegamespromo.fazi.rs/Home/IntegrationGameLaunch?moneyType=0&amp;gameName=CloversAndDiamonds5&amp;platform=desktop&amp;languageCode=eng&amp;currency=EUR" TargetMode="External"/><Relationship Id="rId68" Type="http://schemas.openxmlformats.org/officeDocument/2006/relationships/hyperlink" Target="https://gameserver-store-client-area.orbionlimited.com/Home/IntegrationGameLaunch/client-area?moneyType=0&amp;gameName=VipRoulette&amp;platform=desktop&amp;languageCode=eng&amp;currency=EUR" TargetMode="External"/><Relationship Id="rId1318" Type="http://schemas.openxmlformats.org/officeDocument/2006/relationships/hyperlink" Target="https://gameserver-store-client-area.orbionlimited.com/Home/IntegrationGameLaunch/client-area?moneyType=0&amp;gameName=CloversAndDiamonds5&amp;platform=desktop&amp;languageCode=eng&amp;currency=EUR" TargetMode="External"/><Relationship Id="rId67" Type="http://schemas.openxmlformats.org/officeDocument/2006/relationships/hyperlink" Target="https://onlinegamespromo.fazi.rs/Home/IntegrationGameLaunch?moneyType=0&amp;gameName=VIPROULETTE&amp;platform=desktop&amp;languageCode=eng&amp;currency=EUR" TargetMode="External"/><Relationship Id="rId1319" Type="http://schemas.openxmlformats.org/officeDocument/2006/relationships/hyperlink" Target="https://onlinegamespromo.fazi.rs/Home/IntegrationGameLaunch?moneyType=0&amp;gameName=UnicornThreeReelTripleFruit&amp;platform=desktop&amp;languageCode=eng&amp;currency=EUR" TargetMode="External"/><Relationship Id="rId729" Type="http://schemas.openxmlformats.org/officeDocument/2006/relationships/hyperlink" Target="https://onlinegamespromo.fazi.rs/Home/IntegrationGameLaunch?moneyType=0&amp;gameName=PlayNetWildFortiesXmas&amp;platform=desktop&amp;languageCode=eng&amp;currency=EUR" TargetMode="External"/><Relationship Id="rId728" Type="http://schemas.openxmlformats.org/officeDocument/2006/relationships/hyperlink" Target="https://gameserver-store-client-area.orbionlimited.com/Home/IntegrationGameLaunch/client-area?moneyType=0&amp;gameName=PlayNetMajesticCrown20Xmas&amp;platform=desktop&amp;languageCode=eng&amp;currency=EUR" TargetMode="External"/><Relationship Id="rId60" Type="http://schemas.openxmlformats.org/officeDocument/2006/relationships/hyperlink" Target="https://gameserver-store-client-area.orbionlimited.com/Home/IntegrationGameLaunch/client-area?moneyType=0&amp;gameName=TurboDice40&amp;platform=desktop&amp;languageCode=eng&amp;currency=EUR" TargetMode="External"/><Relationship Id="rId723" Type="http://schemas.openxmlformats.org/officeDocument/2006/relationships/hyperlink" Target="https://static.redstone.rs/games/27-double-fruits/" TargetMode="External"/><Relationship Id="rId722" Type="http://schemas.openxmlformats.org/officeDocument/2006/relationships/hyperlink" Target="https://drive.google.com/file/d/1rEbycdA6TxvvOeCgks6cSjRZsmDRxjog/view?usp=drive_link" TargetMode="External"/><Relationship Id="rId721" Type="http://schemas.openxmlformats.org/officeDocument/2006/relationships/hyperlink" Target="https://drive.google.com/file/d/1WvgU430EFQf7ooLSL3f6fKZDBoTMbRkG/view?usp=drive_link" TargetMode="External"/><Relationship Id="rId720" Type="http://schemas.openxmlformats.org/officeDocument/2006/relationships/hyperlink" Target="https://static.redstone.rs/games/only-anime/" TargetMode="External"/><Relationship Id="rId727" Type="http://schemas.openxmlformats.org/officeDocument/2006/relationships/hyperlink" Target="https://onlinegamespromo.fazi.rs/Home/IntegrationGameLaunch?moneyType=0&amp;gameName=PlayNetMajesticCrown20Xmas&amp;platform=desktop&amp;languageCode=eng&amp;currency=EUR" TargetMode="External"/><Relationship Id="rId726" Type="http://schemas.openxmlformats.org/officeDocument/2006/relationships/hyperlink" Target="https://gameserver-store-client-area.orbionlimited.com/Home/IntegrationGameLaunch/client-area?moneyType=0&amp;gameName=PlayNet27WildStacksXmas&amp;platform=desktop&amp;languageCode=eng&amp;currency=EUR" TargetMode="External"/><Relationship Id="rId725" Type="http://schemas.openxmlformats.org/officeDocument/2006/relationships/hyperlink" Target="https://onlinegamespromo.fazi.rs/Home/IntegrationGameLaunch?moneyType=0&amp;gameName=PlayNet27WildStacksXmas&amp;platform=desktop&amp;languageCode=eng&amp;currency=EUR" TargetMode="External"/><Relationship Id="rId724" Type="http://schemas.openxmlformats.org/officeDocument/2006/relationships/hyperlink" Target="https://static.redstone.rs/games/27-double-fruits/" TargetMode="External"/><Relationship Id="rId69" Type="http://schemas.openxmlformats.org/officeDocument/2006/relationships/hyperlink" Target="https://onlinegamespromo.fazi.rs/Home/IntegrationGameLaunch?moneyType=0&amp;gameName=StarRunner&amp;platform=desktop&amp;languageCode=eng&amp;currency=EUR" TargetMode="External"/><Relationship Id="rId1310" Type="http://schemas.openxmlformats.org/officeDocument/2006/relationships/hyperlink" Target="https://drive.google.com/drive/folders/15W_JO143whU1jyoTzq8StwjWT4vJ7trZ" TargetMode="External"/><Relationship Id="rId1311" Type="http://schemas.openxmlformats.org/officeDocument/2006/relationships/hyperlink" Target="https://onlinegamespromo.fazi.rs/Home/IntegrationGameLaunch?moneyType=0&amp;gameName=LockedHearts40&amp;platform=desktop&amp;languageCode=eng&amp;currency=EUR" TargetMode="External"/><Relationship Id="rId51" Type="http://schemas.openxmlformats.org/officeDocument/2006/relationships/hyperlink" Target="https://onlinegamespromo.fazi.rs/Home/IntegrationGameLaunch?moneyType=0&amp;gameName=SpaceGuardians&amp;platform=desktop&amp;languageCode=eng&amp;currency=EUR" TargetMode="External"/><Relationship Id="rId1301" Type="http://schemas.openxmlformats.org/officeDocument/2006/relationships/hyperlink" Target="https://onlinegamespromo.fazi.rs/Home/IntegrationGameLaunch?moneyType=0&amp;gameName=LockedHearts10&amp;platform=desktop&amp;languageCode=eng&amp;currency=EUR" TargetMode="External"/><Relationship Id="rId50" Type="http://schemas.openxmlformats.org/officeDocument/2006/relationships/hyperlink" Target="https://gameserver-store-client-area.orbionlimited.com/Home/IntegrationGameLaunch/client-area?moneyType=0&amp;gameName=TemplarsQuest&amp;platform=desktop&amp;languageCode=eng&amp;currency=EUR" TargetMode="External"/><Relationship Id="rId1302" Type="http://schemas.openxmlformats.org/officeDocument/2006/relationships/hyperlink" Target="https://gameserver-store-client-area.orbionlimited.com/Home/IntegrationGameLaunch/client-area?moneyType=0&amp;gameName=LockedHearts10&amp;platform=desktop&amp;languageCode=eng&amp;currency=EUR" TargetMode="External"/><Relationship Id="rId53" Type="http://schemas.openxmlformats.org/officeDocument/2006/relationships/hyperlink" Target="https://onlinegamespromo.fazi.rs/Home/IntegrationGameLaunch?moneyType=0&amp;gameName=STARLIGHT&amp;platform=desktop&amp;languageCode=eng&amp;currency=EUR" TargetMode="External"/><Relationship Id="rId1303" Type="http://schemas.openxmlformats.org/officeDocument/2006/relationships/hyperlink" Target="https://drive.google.com/drive/folders/1bXlt7cMiEKnlMZtBB43dP0-Em2ggzBUA" TargetMode="External"/><Relationship Id="rId52" Type="http://schemas.openxmlformats.org/officeDocument/2006/relationships/hyperlink" Target="https://gameserver-store-client-area.orbionlimited.com/Home/IntegrationGameLaunch/client-area?moneyType=0&amp;gameName=SpaceGuardians&amp;platform=desktop&amp;languageCode=eng&amp;currency=EUR" TargetMode="External"/><Relationship Id="rId1304" Type="http://schemas.openxmlformats.org/officeDocument/2006/relationships/hyperlink" Target="https://drive.google.com/drive/folders/1bXlt7cMiEKnlMZtBB43dP0-Em2ggzBUA" TargetMode="External"/><Relationship Id="rId55" Type="http://schemas.openxmlformats.org/officeDocument/2006/relationships/hyperlink" Target="https://onlinegamespromo.fazi.rs/Home/IntegrationGameLaunch?moneyType=0&amp;gameName=TRIPLEHOT&amp;platform=desktop&amp;languageCode=eng&amp;currency=EUR" TargetMode="External"/><Relationship Id="rId1305" Type="http://schemas.openxmlformats.org/officeDocument/2006/relationships/hyperlink" Target="https://onlinegamespromo.fazi.rs/Home/IntegrationGameLaunch?moneyType=0&amp;gameName=LockedHearts5&amp;platform=desktop&amp;languageCode=eng&amp;currency=EUR" TargetMode="External"/><Relationship Id="rId54" Type="http://schemas.openxmlformats.org/officeDocument/2006/relationships/hyperlink" Target="https://gameserver-store-client-area.orbionlimited.com/Home/IntegrationGameLaunch/client-area?moneyType=0&amp;gameName=Starlight&amp;platform=desktop&amp;languageCode=eng&amp;currency=EUR" TargetMode="External"/><Relationship Id="rId1306" Type="http://schemas.openxmlformats.org/officeDocument/2006/relationships/hyperlink" Target="https://gameserver-store-client-area.orbionlimited.com/Home/IntegrationGameLaunch/client-area?moneyType=0&amp;gameName=LockedHearts5&amp;platform=desktop&amp;languageCode=eng&amp;currency=EUR" TargetMode="External"/><Relationship Id="rId57" Type="http://schemas.openxmlformats.org/officeDocument/2006/relationships/hyperlink" Target="https://onlinegamespromo.fazi.rs/Home/IntegrationGameLaunch?moneyType=0&amp;gameName=CRYSTALHOT40&amp;platform=desktop&amp;languageCode=eng&amp;currency=EUR" TargetMode="External"/><Relationship Id="rId1307" Type="http://schemas.openxmlformats.org/officeDocument/2006/relationships/hyperlink" Target="https://onlinegamespromo.fazi.rs/Home/IntegrationGameLaunch?moneyType=0&amp;gameName=LockedHearts20&amp;platform=desktop&amp;languageCode=eng&amp;currency=EUR" TargetMode="External"/><Relationship Id="rId56" Type="http://schemas.openxmlformats.org/officeDocument/2006/relationships/hyperlink" Target="https://gameserver-store-client-area.orbionlimited.com/Home/IntegrationGameLaunch/client-area?moneyType=0&amp;gameName=TripleHot&amp;platform=desktop&amp;languageCode=eng&amp;currency=EUR" TargetMode="External"/><Relationship Id="rId1308" Type="http://schemas.openxmlformats.org/officeDocument/2006/relationships/hyperlink" Target="https://gameserver-store-client-area.orbionlimited.com/Home/IntegrationGameLaunch/client-area?moneyType=0&amp;gameName=LockedHearts20&amp;platform=desktop&amp;languageCode=eng&amp;currency=EUR" TargetMode="External"/><Relationship Id="rId1309" Type="http://schemas.openxmlformats.org/officeDocument/2006/relationships/hyperlink" Target="https://drive.google.com/drive/folders/15W_JO143whU1jyoTzq8StwjWT4vJ7trZ" TargetMode="External"/><Relationship Id="rId719" Type="http://schemas.openxmlformats.org/officeDocument/2006/relationships/hyperlink" Target="https://static.redstone.rs/games/only-anime/" TargetMode="External"/><Relationship Id="rId718" Type="http://schemas.openxmlformats.org/officeDocument/2006/relationships/hyperlink" Target="https://drive.google.com/file/d/1-I-7paFu6ZRTeGNBBK3AzEis6T2kyLPY/view?usp=drive_link" TargetMode="External"/><Relationship Id="rId717" Type="http://schemas.openxmlformats.org/officeDocument/2006/relationships/hyperlink" Target="https://drive.google.com/file/d/19k5oZnvVV_HIMJQy22Kac8uBOSmgadyn/view?usp=drive_link" TargetMode="External"/><Relationship Id="rId712" Type="http://schemas.openxmlformats.org/officeDocument/2006/relationships/hyperlink" Target="https://docs.google.com/document/d/1nQVyH1x0d989Rumpnub0fo7iBBNmuumm/edit?usp=drive_link&amp;ouid=107596163405648766688&amp;rtpof=true&amp;sd=true" TargetMode="External"/><Relationship Id="rId711" Type="http://schemas.openxmlformats.org/officeDocument/2006/relationships/hyperlink" Target="https://docs.google.com/document/d/1CSew7JVTaSjsayubl0fP_ZN45adE4_6i/edit?usp=drive_link&amp;ouid=107596163405648766688&amp;rtpof=true&amp;sd=true" TargetMode="External"/><Relationship Id="rId710" Type="http://schemas.openxmlformats.org/officeDocument/2006/relationships/hyperlink" Target="https://gameserver-store-client-area.orbionlimited.com/Home/IntegrationGameLaunch/client-area?moneyType=0&amp;gameName=PlayNetBookOfAmun&amp;platform=desktop&amp;languageCode=eng&amp;currency=EUR" TargetMode="External"/><Relationship Id="rId716" Type="http://schemas.openxmlformats.org/officeDocument/2006/relationships/hyperlink" Target="https://gameserver-store-client-area.orbionlimited.com/Home/IntegrationGameLaunch/client-area?moneyType=0&amp;gameName=UnicornDynamiteRun&amp;platform=desktop&amp;languageCode=eng&amp;currency=EUR" TargetMode="External"/><Relationship Id="rId715" Type="http://schemas.openxmlformats.org/officeDocument/2006/relationships/hyperlink" Target="https://onlinegamespromo.fazi.rs/Home/IntegrationGameLaunch?moneyType=0&amp;gameName=UnicornDynamiteRun&amp;platform=desktop&amp;languageCode=eng&amp;currency=EUR" TargetMode="External"/><Relationship Id="rId714" Type="http://schemas.openxmlformats.org/officeDocument/2006/relationships/hyperlink" Target="https://static.redstone.rs/games/81-double-magic/" TargetMode="External"/><Relationship Id="rId713" Type="http://schemas.openxmlformats.org/officeDocument/2006/relationships/hyperlink" Target="https://static.redstone.rs/games/81-double-magic/" TargetMode="External"/><Relationship Id="rId59" Type="http://schemas.openxmlformats.org/officeDocument/2006/relationships/hyperlink" Target="https://onlinegamespromo.fazi.rs/Home/IntegrationGameLaunch?moneyType=0&amp;gameName=TurboDice40&amp;platform=desktop&amp;languageCode=eng&amp;currency=EUR" TargetMode="External"/><Relationship Id="rId58" Type="http://schemas.openxmlformats.org/officeDocument/2006/relationships/hyperlink" Target="https://gameserver-store-client-area.orbionlimited.com/Home/IntegrationGameLaunch/client-area?moneyType=0&amp;gameName=CrystalHot40&amp;platform=desktop&amp;languageCode=eng&amp;currency=EUR" TargetMode="External"/><Relationship Id="rId1300" Type="http://schemas.openxmlformats.org/officeDocument/2006/relationships/hyperlink" Target="https://gameserver-store-client-area.orbionlimited.com/Home/IntegrationGameLaunch/client-area?moneyType=0&amp;gameName=VeryHot5ExtremeBooster&amp;platform=desktop&amp;languageCode=eng&amp;currency=EUR" TargetMode="External"/><Relationship Id="rId349" Type="http://schemas.openxmlformats.org/officeDocument/2006/relationships/hyperlink" Target="https://onlinegamespromo.fazi.rs/Home/IntegrationGameLaunch?moneyType=0&amp;gameName=Unicorn40HotStrikeDice&amp;platform=desktop&amp;languageCode=eng&amp;currency=EUR" TargetMode="External"/><Relationship Id="rId348" Type="http://schemas.openxmlformats.org/officeDocument/2006/relationships/hyperlink" Target="https://gameserver-store-client-area.orbionlimited.com/Home/IntegrationGameLaunch/client-area?moneyType=0&amp;gameName=PixelHot40&amp;platform=desktop&amp;languageCode=eng&amp;currency=EUR" TargetMode="External"/><Relationship Id="rId347" Type="http://schemas.openxmlformats.org/officeDocument/2006/relationships/hyperlink" Target="https://onlinegamespromo.fazi.rs/Home/IntegrationGameLaunch?moneyType=0&amp;gameName=PixelHot40&amp;platform=desktop&amp;languageCode=eng&amp;currency=EUR" TargetMode="External"/><Relationship Id="rId346" Type="http://schemas.openxmlformats.org/officeDocument/2006/relationships/hyperlink" Target="https://gameserver-store-client-area.orbionlimited.com/Home/IntegrationGameLaunch/client-area?moneyType=0&amp;gameName=VeryHot5Extreme&amp;platform=desktop&amp;languageCode=eng&amp;currency=EUR" TargetMode="External"/><Relationship Id="rId341" Type="http://schemas.openxmlformats.org/officeDocument/2006/relationships/hyperlink" Target="https://onlinegamespromo.fazi.rs/Home/IntegrationGameLaunch?moneyType=0&amp;gameName=Unicorn40HotStrike&amp;platform=desktop&amp;languageCode=eng&amp;currency=EUR" TargetMode="External"/><Relationship Id="rId340" Type="http://schemas.openxmlformats.org/officeDocument/2006/relationships/hyperlink" Target="https://gameserver-store-client-area.orbionlimited.com/Home/IntegrationGameLaunch/client-area?moneyType=0&amp;gameName=UnicornDiceMegaCash&amp;platform=desktop&amp;languageCode=eng&amp;currency=EUR" TargetMode="External"/><Relationship Id="rId345" Type="http://schemas.openxmlformats.org/officeDocument/2006/relationships/hyperlink" Target="https://onlinegamespromo.fazi.rs/Home/IntegrationGameLaunch?moneyType=0&amp;gameName=VeryHot5Extreme&amp;platform=desktop&amp;languageCode=eng&amp;currency=EUR" TargetMode="External"/><Relationship Id="rId344" Type="http://schemas.openxmlformats.org/officeDocument/2006/relationships/hyperlink" Target="https://gameserver-store-client-area.orbionlimited.com/Home/IntegrationGameLaunch/client-area?moneyType=0&amp;gameName=GoldenExplosion&amp;platform=desktop&amp;languageCode=eng&amp;currency=EUR" TargetMode="External"/><Relationship Id="rId343" Type="http://schemas.openxmlformats.org/officeDocument/2006/relationships/hyperlink" Target="https://onlinegamespromo.fazi.rs/Home/IntegrationGameLaunch?moneyType=0&amp;gameName=GoldenExplosion&amp;platform=desktop&amp;languageCode=eng&amp;currency=EUR" TargetMode="External"/><Relationship Id="rId342" Type="http://schemas.openxmlformats.org/officeDocument/2006/relationships/hyperlink" Target="https://gameserver-store-client-area.orbionlimited.com/Home/IntegrationGameLaunch/client-area?moneyType=0&amp;gameName=Unicorn40HotStrike&amp;platform=desktop&amp;languageCode=eng&amp;currency=EUR" TargetMode="External"/><Relationship Id="rId338" Type="http://schemas.openxmlformats.org/officeDocument/2006/relationships/hyperlink" Target="https://gameserver-store-client-area.orbionlimited.com/Home/IntegrationGameLaunch/client-area?moneyType=0&amp;gameName=WildHot40Blow&amp;platform=desktop&amp;languageCode=eng&amp;currency=EUR" TargetMode="External"/><Relationship Id="rId337" Type="http://schemas.openxmlformats.org/officeDocument/2006/relationships/hyperlink" Target="https://onlinegamespromo.fazi.rs/Home/IntegrationGameLaunch?moneyType=0&amp;gameName=WildHot40Blow&amp;platform=desktop&amp;languageCode=eng&amp;currency=EUR" TargetMode="External"/><Relationship Id="rId336" Type="http://schemas.openxmlformats.org/officeDocument/2006/relationships/hyperlink" Target="https://gameserver-store-client-area.orbionlimited.com/Home/IntegrationGameLaunch/client-area?moneyType=0&amp;gameName=UnicornMoneyStandardWild&amp;platform=desktop&amp;languageCode=eng&amp;currency=EUR" TargetMode="External"/><Relationship Id="rId335" Type="http://schemas.openxmlformats.org/officeDocument/2006/relationships/hyperlink" Target="https://onlinegamespromo.fazi.rs/Home/IntegrationGameLaunch?moneyType=0&amp;gameName=UnicornMoneyStandardWild&amp;platform=desktop&amp;languageCode=eng&amp;currency=EUR" TargetMode="External"/><Relationship Id="rId339" Type="http://schemas.openxmlformats.org/officeDocument/2006/relationships/hyperlink" Target="https://onlinegamespromo.fazi.rs/Home/IntegrationGameLaunch?moneyType=0&amp;gameName=UnicornDiceMegaCash&amp;platform=desktop&amp;languageCode=eng&amp;currency=EUR" TargetMode="External"/><Relationship Id="rId330" Type="http://schemas.openxmlformats.org/officeDocument/2006/relationships/hyperlink" Target="https://docs.google.com/document/d/1txtwr-pAHX9QQRScOW9XMiBsl6PAZZkH/edit?usp=drive_link&amp;ouid=107596163405648766688&amp;rtpof=true&amp;sd=true" TargetMode="External"/><Relationship Id="rId334" Type="http://schemas.openxmlformats.org/officeDocument/2006/relationships/hyperlink" Target="https://gameserver-store-client-area.orbionlimited.com/Home/IntegrationGameLaunch/client-area?moneyType=0&amp;gameName=UnicornFastFruits&amp;platform=desktop&amp;languageCode=eng&amp;currency=EUR" TargetMode="External"/><Relationship Id="rId333" Type="http://schemas.openxmlformats.org/officeDocument/2006/relationships/hyperlink" Target="https://onlinegamespromo.fazi.rs/Home/IntegrationGameLaunch?moneyType=0&amp;gameName=UnicornFastFruits&amp;platform=desktop&amp;languageCode=eng&amp;currency=EUR" TargetMode="External"/><Relationship Id="rId332" Type="http://schemas.openxmlformats.org/officeDocument/2006/relationships/hyperlink" Target="https://static.redstone.rs/games/10-wild-santa/" TargetMode="External"/><Relationship Id="rId331" Type="http://schemas.openxmlformats.org/officeDocument/2006/relationships/hyperlink" Target="https://static.redstone.rs/games/10-wild-santa/" TargetMode="External"/><Relationship Id="rId370" Type="http://schemas.openxmlformats.org/officeDocument/2006/relationships/hyperlink" Target="https://docs.google.com/document/d/1EX4ZT-c4JC-13yZUX_DJVYP7rGc7gfJq/edit?usp=drive_link&amp;ouid=107596163405648766688&amp;rtpof=true&amp;sd=true" TargetMode="External"/><Relationship Id="rId369" Type="http://schemas.openxmlformats.org/officeDocument/2006/relationships/hyperlink" Target="https://docs.google.com/document/d/111SmKqSJn2i3j0x3Z04f2x68NQoWe0BE/edit?usp=drive_link&amp;ouid=107596163405648766688&amp;rtpof=true&amp;sd=true" TargetMode="External"/><Relationship Id="rId368" Type="http://schemas.openxmlformats.org/officeDocument/2006/relationships/hyperlink" Target="https://gameserver-store-client-area.orbionlimited.com/Home/IntegrationGameLaunch/client-area?moneyType=0&amp;gameName=UnicornFruitWildLines&amp;platform=desktop&amp;languageCode=eng&amp;currency=EUR" TargetMode="External"/><Relationship Id="rId363" Type="http://schemas.openxmlformats.org/officeDocument/2006/relationships/hyperlink" Target="https://onlinegamespromo.fazi.rs/Home/IntegrationGameLaunch?moneyType=0&amp;gameName=UnicornCoyoteDice&amp;platform=desktop&amp;languageCode=eng&amp;currency=EUR" TargetMode="External"/><Relationship Id="rId362" Type="http://schemas.openxmlformats.org/officeDocument/2006/relationships/hyperlink" Target="https://gameserver-store-client-area.orbionlimited.com/Home/IntegrationGameLaunch/client-area?moneyType=0&amp;gameName=GoldenCrown40&amp;platform=desktop&amp;languageCode=eng&amp;currency=EUR" TargetMode="External"/><Relationship Id="rId361" Type="http://schemas.openxmlformats.org/officeDocument/2006/relationships/hyperlink" Target="https://onlinegamespromo.fazi.rs/Home/IntegrationGameLaunch?moneyType=0&amp;gameName=GoldenCrown40&amp;platform=desktop&amp;languageCode=eng&amp;currency=EUR" TargetMode="External"/><Relationship Id="rId360" Type="http://schemas.openxmlformats.org/officeDocument/2006/relationships/hyperlink" Target="https://gameserver-store-client-area.orbionlimited.com/Home/IntegrationGameLaunch/client-area?moneyType=0&amp;gameName=EpicFire40&amp;platform=desktop&amp;languageCode=eng&amp;currency=EUR" TargetMode="External"/><Relationship Id="rId367" Type="http://schemas.openxmlformats.org/officeDocument/2006/relationships/hyperlink" Target="https://onlinegamespromo.fazi.rs/Home/IntegrationGameLaunch?moneyType=0&amp;gameName=UnicornFruitWildLines&amp;platform=desktop&amp;languageCode=eng&amp;currency=EUR" TargetMode="External"/><Relationship Id="rId366" Type="http://schemas.openxmlformats.org/officeDocument/2006/relationships/hyperlink" Target="https://gameserver-store-client-area.orbionlimited.com/Home/IntegrationGameLaunch/client-area?moneyType=0&amp;gameName=Wild27&amp;platform=desktop&amp;languageCode=eng&amp;currency=EUR" TargetMode="External"/><Relationship Id="rId365" Type="http://schemas.openxmlformats.org/officeDocument/2006/relationships/hyperlink" Target="https://onlinegamespromo.fazi.rs/Home/IntegrationGameLaunch?moneyType=0&amp;gameName=Wild27&amp;lobbyUrl=https://www.fazi-interactive.com/" TargetMode="External"/><Relationship Id="rId364" Type="http://schemas.openxmlformats.org/officeDocument/2006/relationships/hyperlink" Target="https://gameserver-store-client-area.orbionlimited.com/Home/IntegrationGameLaunch/client-area?moneyType=0&amp;gameName=UnicornCoyoteDice&amp;platform=desktop&amp;languageCode=eng&amp;currency=EUR" TargetMode="External"/><Relationship Id="rId95" Type="http://schemas.openxmlformats.org/officeDocument/2006/relationships/hyperlink" Target="https://onlinegamespromo.fazi.rs/Home/IntegrationGameLaunch?moneyType=0&amp;gameName=UnicornVegasDice&amp;platform=desktop&amp;languageCode=eng&amp;currency=EUR" TargetMode="External"/><Relationship Id="rId94" Type="http://schemas.openxmlformats.org/officeDocument/2006/relationships/hyperlink" Target="https://gameserver-store-client-area.orbionlimited.com/Home/IntegrationGameLaunch/client-area?moneyType=0&amp;gameName=GoldenClover&amp;platform=desktop&amp;languageCode=eng&amp;currency=EUR" TargetMode="External"/><Relationship Id="rId97" Type="http://schemas.openxmlformats.org/officeDocument/2006/relationships/hyperlink" Target="https://onlinegamespromo.fazi.rs/Home/IntegrationGameLaunch?moneyType=0&amp;gameName=UnicornVegasDice&amp;platform=desktop&amp;languageCode=eng&amp;currency=EUR" TargetMode="External"/><Relationship Id="rId96" Type="http://schemas.openxmlformats.org/officeDocument/2006/relationships/hyperlink" Target="https://gameserver-store-client-area.orbionlimited.com/Home/IntegrationGameLaunch/client-area?moneyType=0&amp;gameName=UnicornVegasDice&amp;platform=desktop&amp;languageCode=eng&amp;currency=EUR" TargetMode="External"/><Relationship Id="rId99" Type="http://schemas.openxmlformats.org/officeDocument/2006/relationships/hyperlink" Target="https://onlinegamespromo.fazi.rs/Home/IntegrationGameLaunch?moneyType=0&amp;gameName=WildHot40&amp;platform=desktop&amp;languageCode=eng&amp;currency=EUR" TargetMode="External"/><Relationship Id="rId98" Type="http://schemas.openxmlformats.org/officeDocument/2006/relationships/hyperlink" Target="https://gameserver-store-client-area.orbionlimited.com/Home/IntegrationGameLaunch/client-area?moneyType=0&amp;gameName=BookOfMayanGold&amp;platform=desktop&amp;languageCode=eng&amp;currency=EUR" TargetMode="External"/><Relationship Id="rId91" Type="http://schemas.openxmlformats.org/officeDocument/2006/relationships/hyperlink" Target="https://onlinegamespromo.fazi.rs/Home/IntegrationGameLaunch?moneyType=0&amp;gameName=CrystalHot40Deluxe&amp;platform=desktop&amp;languageCode=eng&amp;currency=EUR" TargetMode="External"/><Relationship Id="rId90" Type="http://schemas.openxmlformats.org/officeDocument/2006/relationships/hyperlink" Target="https://gameserver-store-client-area.orbionlimited.com/Home/IntegrationGameLaunch/client-area?moneyType=0&amp;gameName=CrystalHot40Deluxe&amp;platform=desktop&amp;languageCode=eng&amp;currency=EUR" TargetMode="External"/><Relationship Id="rId93" Type="http://schemas.openxmlformats.org/officeDocument/2006/relationships/hyperlink" Target="https://onlinegamespromo.fazi.rs/Home/IntegrationGameLaunch?moneyType=0&amp;gameName=CrystalHot40Deluxe&amp;platform=desktop&amp;languageCode=eng&amp;currency=EUR" TargetMode="External"/><Relationship Id="rId92" Type="http://schemas.openxmlformats.org/officeDocument/2006/relationships/hyperlink" Target="https://gameserver-store-client-area.orbionlimited.com/Home/IntegrationGameLaunch/client-area?moneyType=0&amp;gameName=LiveFaziRoulette&amp;platform=desktop&amp;languageCode=eng&amp;currency=EUR" TargetMode="External"/><Relationship Id="rId359" Type="http://schemas.openxmlformats.org/officeDocument/2006/relationships/hyperlink" Target="https://onlinegamespromo.fazi.rs/Home/IntegrationGameLaunch?moneyType=0&amp;gameName=EpicFire40&amp;platform=desktop&amp;languageCode=eng&amp;currency=EUR" TargetMode="External"/><Relationship Id="rId358" Type="http://schemas.openxmlformats.org/officeDocument/2006/relationships/hyperlink" Target="https://gameserver-store-client-area.orbionlimited.com/Home/IntegrationGameLaunch/client-area?moneyType=0&amp;gameName=UnicornCoyoteSevens&amp;platform=desktop&amp;languageCode=eng&amp;currency=EUR" TargetMode="External"/><Relationship Id="rId357" Type="http://schemas.openxmlformats.org/officeDocument/2006/relationships/hyperlink" Target="https://onlinegamespromo.fazi.rs/Home/IntegrationGameLaunch?moneyType=0&amp;gameName=UnicornCoyoteSevens&amp;platform=desktop&amp;languageCode=eng&amp;currency=EUR" TargetMode="External"/><Relationship Id="rId352" Type="http://schemas.openxmlformats.org/officeDocument/2006/relationships/hyperlink" Target="https://gameserver-store-client-area.orbionlimited.com/Home/IntegrationGameLaunch/client-area?moneyType=0&amp;gameName=Unicorn20HotStrike&amp;platform=desktop&amp;languageCode=eng&amp;currency=EUR" TargetMode="External"/><Relationship Id="rId351" Type="http://schemas.openxmlformats.org/officeDocument/2006/relationships/hyperlink" Target="https://onlinegamespromo.fazi.rs/Home/IntegrationGameLaunch?moneyType=0&amp;gameName=Unicorn20HotStrike&amp;platform=desktop&amp;languageCode=eng&amp;currency=EUR" TargetMode="External"/><Relationship Id="rId350" Type="http://schemas.openxmlformats.org/officeDocument/2006/relationships/hyperlink" Target="https://gameserver-store-client-area.orbionlimited.com/Home/IntegrationGameLaunch/client-area?moneyType=0&amp;gameName=Unicorn40HotStrikeDice&amp;platform=desktop&amp;languageCode=eng&amp;currency=EUR" TargetMode="External"/><Relationship Id="rId356" Type="http://schemas.openxmlformats.org/officeDocument/2006/relationships/hyperlink" Target="https://static.redstone.rs/games/20-fire-cash/" TargetMode="External"/><Relationship Id="rId355" Type="http://schemas.openxmlformats.org/officeDocument/2006/relationships/hyperlink" Target="https://static.redstone.rs/games/20-fire-cash/" TargetMode="External"/><Relationship Id="rId354" Type="http://schemas.openxmlformats.org/officeDocument/2006/relationships/hyperlink" Target="https://docs.google.com/document/d/1UeKapwW5j_iL8jkPhskA_IB-etulcFA5/edit?usp=drive_link&amp;ouid=107596163405648766688&amp;rtpof=true&amp;sd=true" TargetMode="External"/><Relationship Id="rId353" Type="http://schemas.openxmlformats.org/officeDocument/2006/relationships/hyperlink" Target="https://docs.google.com/document/d/1dRme9Y9ZCWbSWakSwsLt31xwA12AH3_l/edit?usp=drive_link&amp;ouid=107596163405648766688&amp;rtpof=true&amp;sd=true" TargetMode="External"/><Relationship Id="rId1378" Type="http://schemas.openxmlformats.org/officeDocument/2006/relationships/hyperlink" Target="https://docs.google.com/document/d/1FpkbA-AdLoL-JLYpZ6MRGHBx-ZEaymBO/edit?usp=drive_link&amp;ouid=107596163405648766688&amp;rtpof=true&amp;sd=true" TargetMode="External"/><Relationship Id="rId1379" Type="http://schemas.openxmlformats.org/officeDocument/2006/relationships/hyperlink" Target="https://docs.google.com/document/d/12Am11-4mtpE7Vt3O5Za5EBDo3bJWky8h/edit?usp=drive_link&amp;ouid=107596163405648766688&amp;rtpof=true&amp;sd=true" TargetMode="External"/><Relationship Id="rId305" Type="http://schemas.openxmlformats.org/officeDocument/2006/relationships/hyperlink" Target="https://onlinegamespromo.fazi.rs/Home/IntegrationGameLaunch?moneyType=0&amp;gameName=FruitsAndStars20Deluxe&amp;platform=desktop&amp;languageCode=eng&amp;currency=EUR" TargetMode="External"/><Relationship Id="rId789" Type="http://schemas.openxmlformats.org/officeDocument/2006/relationships/hyperlink" Target="https://onlinegamespromo.fazi.rs/Home/IntegrationGameLaunch?moneyType=0&amp;gameName=UnicornWildHoppers&amp;platform=desktop&amp;languageCode=eng&amp;currency=EUR" TargetMode="External"/><Relationship Id="rId304" Type="http://schemas.openxmlformats.org/officeDocument/2006/relationships/hyperlink" Target="https://gameserver-store-client-area.orbionlimited.com/Home/IntegrationGameLaunch/client-area?moneyType=0&amp;gameName=WildLuckyClover&amp;platform=desktop&amp;languageCode=eng&amp;currency=EUR" TargetMode="External"/><Relationship Id="rId788" Type="http://schemas.openxmlformats.org/officeDocument/2006/relationships/hyperlink" Target="https://static.redstone.rs/games/star-chaser/" TargetMode="External"/><Relationship Id="rId303" Type="http://schemas.openxmlformats.org/officeDocument/2006/relationships/hyperlink" Target="https://onlinegamespromo.fazi.rs/Home/IntegrationGameLaunch?moneyType=0&amp;gameName=WildLuckyClover&amp;platform=desktop&amp;languageCode=eng&amp;currency=EUR" TargetMode="External"/><Relationship Id="rId787" Type="http://schemas.openxmlformats.org/officeDocument/2006/relationships/hyperlink" Target="https://static.redstone.rs/games/star-chaser/" TargetMode="External"/><Relationship Id="rId302" Type="http://schemas.openxmlformats.org/officeDocument/2006/relationships/hyperlink" Target="https://gameserver-store-client-area.orbionlimited.com/Home/IntegrationGameLaunch/client-area?moneyType=0&amp;gameName=VeryHot40Dice&amp;platform=desktop&amp;languageCode=eng&amp;currency=EUR" TargetMode="External"/><Relationship Id="rId786" Type="http://schemas.openxmlformats.org/officeDocument/2006/relationships/hyperlink" Target="https://drive.google.com/file/d/1UwaXMw5PZnR5qVXiFJJw_mRVc3jTktte/view?usp=drive_link" TargetMode="External"/><Relationship Id="rId309" Type="http://schemas.openxmlformats.org/officeDocument/2006/relationships/hyperlink" Target="https://docs.google.com/document/d/1VNqF32o_m9--56Cn7BCeuFYPW_6L_fHn/edit?usp=drive_link&amp;ouid=107596163405648766688&amp;rtpof=true&amp;sd=true" TargetMode="External"/><Relationship Id="rId308" Type="http://schemas.openxmlformats.org/officeDocument/2006/relationships/hyperlink" Target="https://gameserver-store-client-area.orbionlimited.com/Home/IntegrationGameLaunch/client-area?moneyType=0&amp;gameName=VeryHot40Respin&amp;platform=desktop&amp;languageCode=eng&amp;currency=EUR" TargetMode="External"/><Relationship Id="rId307" Type="http://schemas.openxmlformats.org/officeDocument/2006/relationships/hyperlink" Target="https://onlinegamespromo.fazi.rs/Home/IntegrationGameLaunch?moneyType=0&amp;gameName=VeryHot40Respin&amp;platform=desktop&amp;languageCode=eng&amp;currency=EUR" TargetMode="External"/><Relationship Id="rId306" Type="http://schemas.openxmlformats.org/officeDocument/2006/relationships/hyperlink" Target="https://gameserver-store-client-area.orbionlimited.com/Home/IntegrationGameLaunch/client-area?moneyType=0&amp;gameName=FruitsAndStars20Deluxe&amp;platform=desktop&amp;languageCode=eng&amp;currency=EUR" TargetMode="External"/><Relationship Id="rId781" Type="http://schemas.openxmlformats.org/officeDocument/2006/relationships/hyperlink" Target="https://drive.google.com/file/d/1_XF5fB_2OqLxjOLOl7IyL6jS9pEUmJLh/view?usp=drive_link" TargetMode="External"/><Relationship Id="rId1370" Type="http://schemas.openxmlformats.org/officeDocument/2006/relationships/hyperlink" Target="https://docs.google.com/document/d/1YSsz_jLJlreA3qN9Lt9RMXC863ydho0G/edit?usp=drive_link&amp;ouid=107596163405648766688&amp;rtpof=true&amp;sd=true" TargetMode="External"/><Relationship Id="rId780" Type="http://schemas.openxmlformats.org/officeDocument/2006/relationships/hyperlink" Target="https://gameserver-store-client-area.orbionlimited.com/Home/IntegrationGameLaunch/client-area?moneyType=0&amp;gameName=UnicornEpicMegaCash&amp;platform=desktop&amp;languageCode=eng&amp;currency=EUR" TargetMode="External"/><Relationship Id="rId1371" Type="http://schemas.openxmlformats.org/officeDocument/2006/relationships/hyperlink" Target="https://docs.google.com/document/d/1zdUMedTsqXfN0F48MzFbai0UoUjBCsgb/edit?usp=drive_link&amp;ouid=107596163405648766688&amp;rtpof=true&amp;sd=true" TargetMode="External"/><Relationship Id="rId1372" Type="http://schemas.openxmlformats.org/officeDocument/2006/relationships/hyperlink" Target="https://static.redstone.rs/games/fruit-fire/" TargetMode="External"/><Relationship Id="rId1373" Type="http://schemas.openxmlformats.org/officeDocument/2006/relationships/hyperlink" Target="https://static.redstone.rs/games/fruit-fire/" TargetMode="External"/><Relationship Id="rId301" Type="http://schemas.openxmlformats.org/officeDocument/2006/relationships/hyperlink" Target="https://onlinegamespromo.fazi.rs/Home/IntegrationGameLaunch?moneyType=0&amp;gameName=VeryHot40Dice&amp;platform=desktop&amp;languageCode=eng&amp;currency=EUR" TargetMode="External"/><Relationship Id="rId785" Type="http://schemas.openxmlformats.org/officeDocument/2006/relationships/hyperlink" Target="https://drive.google.com/file/d/1r-U96WcbZ3z5FYIESmrnhZU5w6rvEH0T/view?usp=drive_link" TargetMode="External"/><Relationship Id="rId1374" Type="http://schemas.openxmlformats.org/officeDocument/2006/relationships/hyperlink" Target="https://docs.google.com/document/d/1wjAA9dVrysXRFWD6hDLMhXgTp1vFJXxU/edit" TargetMode="External"/><Relationship Id="rId300" Type="http://schemas.openxmlformats.org/officeDocument/2006/relationships/hyperlink" Target="https://static.redstone.rs/games/heat-classic-5/" TargetMode="External"/><Relationship Id="rId784" Type="http://schemas.openxmlformats.org/officeDocument/2006/relationships/hyperlink" Target="https://static.redstone.rs/games/eternal-hearts-10/" TargetMode="External"/><Relationship Id="rId1375" Type="http://schemas.openxmlformats.org/officeDocument/2006/relationships/hyperlink" Target="https://docs.google.com/document/d/1wjAA9dVrysXRFWD6hDLMhXgTp1vFJXxU/edit" TargetMode="External"/><Relationship Id="rId783" Type="http://schemas.openxmlformats.org/officeDocument/2006/relationships/hyperlink" Target="https://static.redstone.rs/games/eternal-hearts-10/" TargetMode="External"/><Relationship Id="rId1376" Type="http://schemas.openxmlformats.org/officeDocument/2006/relationships/hyperlink" Target="https://static.redstone.rs/games/x-clover-fire/" TargetMode="External"/><Relationship Id="rId782" Type="http://schemas.openxmlformats.org/officeDocument/2006/relationships/hyperlink" Target="https://drive.google.com/file/d/1Br-aQhMsrkbl4TIl3PpwgNlJJm4d_Y4N/view?usp=drive_link" TargetMode="External"/><Relationship Id="rId1377" Type="http://schemas.openxmlformats.org/officeDocument/2006/relationships/hyperlink" Target="https://static.redstone.rs/games/x-clover-fire/" TargetMode="External"/><Relationship Id="rId1367" Type="http://schemas.openxmlformats.org/officeDocument/2006/relationships/hyperlink" Target="https://gameserver-store-client-area.orbionlimited.com/Home/IntegrationGameLaunch/client-area?moneyType=0&amp;gameName=UnicornGoldenGateDice&amp;platform=desktop&amp;languageCode=eng&amp;currency=EUR" TargetMode="External"/><Relationship Id="rId1368" Type="http://schemas.openxmlformats.org/officeDocument/2006/relationships/hyperlink" Target="https://onlinegamespromo.fazi.rs/Home/IntegrationGameLaunch?moneyType=0&amp;gameName=UnicornBarrelsOfRiches&amp;platform=desktop&amp;languageCode=eng&amp;currency=EUR" TargetMode="External"/><Relationship Id="rId1369" Type="http://schemas.openxmlformats.org/officeDocument/2006/relationships/hyperlink" Target="https://gameserver-store-client-area.orbionlimited.com/Home/IntegrationGameLaunch/client-area?moneyType=0&amp;gameName=UnicornBarrelsOfRiches&amp;platform=desktop&amp;languageCode=eng&amp;currency=EUR" TargetMode="External"/><Relationship Id="rId778" Type="http://schemas.openxmlformats.org/officeDocument/2006/relationships/hyperlink" Target="https://gameserver-store-client-area.orbionlimited.com/Home/IntegrationGameLaunch/client-area?moneyType=0&amp;gameName=UnicornThunderFruits&amp;platform=desktop&amp;languageCode=eng&amp;currency=EUR" TargetMode="External"/><Relationship Id="rId777" Type="http://schemas.openxmlformats.org/officeDocument/2006/relationships/hyperlink" Target="https://onlinegamespromo.fazi.rs/Home/IntegrationGameLaunch?moneyType=0&amp;gameName=UnicornThunderFruits&amp;platform=desktop&amp;languageCode=eng&amp;currency=EUR" TargetMode="External"/><Relationship Id="rId776" Type="http://schemas.openxmlformats.org/officeDocument/2006/relationships/hyperlink" Target="https://static.redstone.rs/games/clover-royale/" TargetMode="External"/><Relationship Id="rId775" Type="http://schemas.openxmlformats.org/officeDocument/2006/relationships/hyperlink" Target="https://static.redstone.rs/games/clover-royale/" TargetMode="External"/><Relationship Id="rId779" Type="http://schemas.openxmlformats.org/officeDocument/2006/relationships/hyperlink" Target="https://onlinegamespromo.fazi.rs/Home/IntegrationGameLaunch?moneyType=0&amp;gameName=UnicornEpicMegaCash&amp;platform=desktop&amp;languageCode=eng&amp;currency=EUR" TargetMode="External"/><Relationship Id="rId770" Type="http://schemas.openxmlformats.org/officeDocument/2006/relationships/hyperlink" Target="https://gameserver-store-client-area.orbionlimited.com/Home/IntegrationGameLaunch/client-area?moneyType=0&amp;gameName=Unicorn20HotStrikeDiceJackpot&amp;platform=desktop&amp;languageCode=eng&amp;currency=EUR" TargetMode="External"/><Relationship Id="rId1360" Type="http://schemas.openxmlformats.org/officeDocument/2006/relationships/hyperlink" Target="https://onlinegamespromo.fazi.rs/Home/IntegrationGameLaunch?moneyType=0&amp;gameName=UnicornHotEightyOne&amp;platform=desktop&amp;languageCode=eng&amp;currency=EUR" TargetMode="External"/><Relationship Id="rId1361" Type="http://schemas.openxmlformats.org/officeDocument/2006/relationships/hyperlink" Target="https://gameserver-store-client-area.orbionlimited.com/Home/IntegrationGameLaunch/client-area?moneyType=0&amp;gameName=UnicornHotEightyOne&amp;platform=desktop&amp;languageCode=eng&amp;currency=EUR" TargetMode="External"/><Relationship Id="rId1362" Type="http://schemas.openxmlformats.org/officeDocument/2006/relationships/hyperlink" Target="https://onlinegamespromo.fazi.rs/Home/IntegrationGameLaunch?moneyType=0&amp;gameName=UnicornHotFiredice&amp;platform=desktop&amp;languageCode=eng&amp;currency=EUR" TargetMode="External"/><Relationship Id="rId774" Type="http://schemas.openxmlformats.org/officeDocument/2006/relationships/hyperlink" Target="https://drive.google.com/file/d/1HdoaxLQhloVgaTyCDIWWJPfPgT3XsCsI/view?usp=drive_link" TargetMode="External"/><Relationship Id="rId1363" Type="http://schemas.openxmlformats.org/officeDocument/2006/relationships/hyperlink" Target="https://gameserver-store-client-area.orbionlimited.com/Home/IntegrationGameLaunch/client-area?moneyType=0&amp;gameName=UnicornHotFiredice&amp;platform=desktop&amp;languageCode=eng&amp;currency=EUR" TargetMode="External"/><Relationship Id="rId773" Type="http://schemas.openxmlformats.org/officeDocument/2006/relationships/hyperlink" Target="https://drive.google.com/file/d/1W_BPHrrUARyMXmK7K4qDLrMjxipREg4L/view?usp=drive_link" TargetMode="External"/><Relationship Id="rId1364" Type="http://schemas.openxmlformats.org/officeDocument/2006/relationships/hyperlink" Target="https://onlinegamespromo.fazi.rs/Home/IntegrationGameLaunch?moneyType=0&amp;gameName=UnicornMysticTreasure&amp;platform=desktop&amp;languageCode=eng&amp;currency=EUR" TargetMode="External"/><Relationship Id="rId772" Type="http://schemas.openxmlformats.org/officeDocument/2006/relationships/hyperlink" Target="https://gameserver-store-client-area.orbionlimited.com/Home/IntegrationGameLaunch/client-area?moneyType=0&amp;gameName=UnicornDiceMachine&amp;platform=desktop&amp;languageCode=eng&amp;currency=EUR" TargetMode="External"/><Relationship Id="rId1365" Type="http://schemas.openxmlformats.org/officeDocument/2006/relationships/hyperlink" Target="https://gameserver-store-client-area.orbionlimited.com/Home/IntegrationGameLaunch/client-area?moneyType=0&amp;gameName=UnicornMysticTreasure&amp;platform=desktop&amp;languageCode=eng&amp;currency=EUR" TargetMode="External"/><Relationship Id="rId771" Type="http://schemas.openxmlformats.org/officeDocument/2006/relationships/hyperlink" Target="https://onlinegamespromo.fazi.rs/Home/IntegrationGameLaunch?moneyType=0&amp;gameName=UnicornDiceMachine&amp;platform=desktop&amp;languageCode=eng&amp;currency=EUR" TargetMode="External"/><Relationship Id="rId1366" Type="http://schemas.openxmlformats.org/officeDocument/2006/relationships/hyperlink" Target="https://onlinegamespromo.fazi.rs/Home/IntegrationGameLaunch?moneyType=0&amp;gameName=UnicornGoldenGateDice&amp;platform=desktop&amp;languageCode=eng&amp;currency=EUR" TargetMode="External"/><Relationship Id="rId327" Type="http://schemas.openxmlformats.org/officeDocument/2006/relationships/hyperlink" Target="https://static.redstone.rs/games/5-crown-fire/" TargetMode="External"/><Relationship Id="rId326" Type="http://schemas.openxmlformats.org/officeDocument/2006/relationships/hyperlink" Target="https://docs.google.com/document/d/1SpmLw2SDEhPZa5TzK3I3v6VPCx7Ett_4/edit?usp=drive_link&amp;ouid=107596163405648766688&amp;rtpof=true&amp;sd=true" TargetMode="External"/><Relationship Id="rId325" Type="http://schemas.openxmlformats.org/officeDocument/2006/relationships/hyperlink" Target="https://docs.google.com/document/d/1fDWyZ7abUTboXh9dpo8Ipp9KfenSXeH9/edit?usp=drive_link&amp;ouid=107596163405648766688&amp;rtpof=true&amp;sd=true" TargetMode="External"/><Relationship Id="rId324" Type="http://schemas.openxmlformats.org/officeDocument/2006/relationships/hyperlink" Target="https://gameserver-store-client-area.orbionlimited.com/Home/IntegrationGameLaunch/client-area?moneyType=0&amp;gameName=VeryHot5Christmas&amp;platform=desktop&amp;languageCode=eng&amp;currency=EUR" TargetMode="External"/><Relationship Id="rId329" Type="http://schemas.openxmlformats.org/officeDocument/2006/relationships/hyperlink" Target="https://docs.google.com/document/d/1ii0_QkxaCFxXavCrS8KNhdx3kzW9zbwY/edit?usp=drive_link&amp;ouid=107596163405648766688&amp;rtpof=true&amp;sd=true" TargetMode="External"/><Relationship Id="rId1390" Type="http://schemas.openxmlformats.org/officeDocument/2006/relationships/hyperlink" Target="https://onlinegamespromo.fazi.rs/Home/IntegrationGameLaunch?moneyType=0&amp;gameName=GoldenCrownExtremeBooster&amp;platform=desktop&amp;languageCode=eng&amp;currency=EUR" TargetMode="External"/><Relationship Id="rId328" Type="http://schemas.openxmlformats.org/officeDocument/2006/relationships/hyperlink" Target="https://static.redstone.rs/games/5-crown-fire/" TargetMode="External"/><Relationship Id="rId1391" Type="http://schemas.openxmlformats.org/officeDocument/2006/relationships/hyperlink" Target="https://gameserver-store-client-area.orbionlimited.com/Home/IntegrationGameLaunch/client-area?moneyType=0&amp;gameName=GoldenCrownExtremeBooster&amp;platform=desktop&amp;languageCode=eng&amp;currency=EUR" TargetMode="External"/><Relationship Id="rId1392" Type="http://schemas.openxmlformats.org/officeDocument/2006/relationships/hyperlink" Target="https://docs.google.com/document/d/1WrluwbWAmyc0wWS3PAGQlrTo2xpZ5lYg/edit?usp=drive_link&amp;ouid=107596163405648766688&amp;rtpof=true&amp;sd=true" TargetMode="External"/><Relationship Id="rId1393" Type="http://schemas.openxmlformats.org/officeDocument/2006/relationships/hyperlink" Target="https://docs.google.com/document/d/1HUV4QGpaaDjKmgNJLGFq3pRMRKgFUtm2/edit?usp=drive_link&amp;ouid=107596163405648766688&amp;rtpof=true&amp;sd=true" TargetMode="External"/><Relationship Id="rId1394" Type="http://schemas.openxmlformats.org/officeDocument/2006/relationships/hyperlink" Target="https://static.redstone.rs/games/x-wild-crown/" TargetMode="External"/><Relationship Id="rId1395" Type="http://schemas.openxmlformats.org/officeDocument/2006/relationships/hyperlink" Target="https://static.redstone.rs/games/x-wild-crown/" TargetMode="External"/><Relationship Id="rId323" Type="http://schemas.openxmlformats.org/officeDocument/2006/relationships/hyperlink" Target="https://gameserver-store-client-area.orbionlimited.com/Home/IntegrationGameLaunch/client-area?moneyType=0&amp;gameName=GoldenCrownChristmas&amp;platform=desktop&amp;languageCode=eng&amp;currency=EUR" TargetMode="External"/><Relationship Id="rId1396" Type="http://schemas.openxmlformats.org/officeDocument/2006/relationships/hyperlink" Target="https://docs.google.com/document/d/12UFllm5BMu7NxIzOKCh4kg98vFkZkLkR/edit?usp=drive_link&amp;ouid=107596163405648766688&amp;rtpof=true&amp;sd=true" TargetMode="External"/><Relationship Id="rId322" Type="http://schemas.openxmlformats.org/officeDocument/2006/relationships/hyperlink" Target="https://gameserver-store-client-area.orbionlimited.com/Home/IntegrationGameLaunch/client-area?moneyType=0&amp;gameName=UnicornWinterFruits&amp;platform=desktop&amp;languageCode=eng&amp;currency=EUR" TargetMode="External"/><Relationship Id="rId1397" Type="http://schemas.openxmlformats.org/officeDocument/2006/relationships/hyperlink" Target="https://docs.google.com/document/d/1ZLIW__zySyCWziF_dXa9g43UImM4EpOH/edit?usp=drive_link&amp;ouid=107596163405648766688&amp;rtpof=true&amp;sd=true" TargetMode="External"/><Relationship Id="rId321" Type="http://schemas.openxmlformats.org/officeDocument/2006/relationships/hyperlink" Target="https://onlinegamespromo.fazi.rs/Home/IntegrationGameLaunch?moneyType=0&amp;gameName=UnicornWinterFruits&amp;platform=desktop&amp;languageCode=eng&amp;currency=EUR" TargetMode="External"/><Relationship Id="rId1398" Type="http://schemas.openxmlformats.org/officeDocument/2006/relationships/hyperlink" Target="https://static.redstone.rs/games/5-clover-deluxe/" TargetMode="External"/><Relationship Id="rId320" Type="http://schemas.openxmlformats.org/officeDocument/2006/relationships/hyperlink" Target="https://gameserver-store-client-area.orbionlimited.com/Home/IntegrationGameLaunch/client-area?moneyType=0&amp;gameName=UnicornDaVincisDice&amp;platform=desktop&amp;languageCode=eng&amp;currency=EUR" TargetMode="External"/><Relationship Id="rId1399" Type="http://schemas.openxmlformats.org/officeDocument/2006/relationships/hyperlink" Target="https://static.redstone.rs/games/5-clover-deluxe/" TargetMode="External"/><Relationship Id="rId1389" Type="http://schemas.openxmlformats.org/officeDocument/2006/relationships/hyperlink" Target="https://static.redstone.rs/games/pure-hot-5/" TargetMode="External"/><Relationship Id="rId316" Type="http://schemas.openxmlformats.org/officeDocument/2006/relationships/hyperlink" Target="https://static.redstone.rs/games/10-wild-pumpkin/" TargetMode="External"/><Relationship Id="rId315" Type="http://schemas.openxmlformats.org/officeDocument/2006/relationships/hyperlink" Target="https://static.redstone.rs/games/10-wild-pumpkin/" TargetMode="External"/><Relationship Id="rId799" Type="http://schemas.openxmlformats.org/officeDocument/2006/relationships/hyperlink" Target="https://static.redstone.rs/games/reel-x5/" TargetMode="External"/><Relationship Id="rId314" Type="http://schemas.openxmlformats.org/officeDocument/2006/relationships/hyperlink" Target="https://docs.google.com/document/d/1bLFVaEPJXVXgIFdQ624LMlKjIAvfMl3r/edit?usp=drive_link&amp;ouid=107596163405648766688&amp;rtpof=true&amp;sd=true" TargetMode="External"/><Relationship Id="rId798" Type="http://schemas.openxmlformats.org/officeDocument/2006/relationships/hyperlink" Target="https://drive.google.com/file/d/11ZuJz99MnzBEN9Wu2mO6F5qgjg1UQxMe/view?usp=drive_link" TargetMode="External"/><Relationship Id="rId313" Type="http://schemas.openxmlformats.org/officeDocument/2006/relationships/hyperlink" Target="https://docs.google.com/document/d/1m3xk6ar59rXJEwU_BOJnc6s3k2cwRZ_o/edit?usp=drive_link&amp;ouid=107596163405648766688&amp;rtpof=true&amp;sd=true" TargetMode="External"/><Relationship Id="rId797" Type="http://schemas.openxmlformats.org/officeDocument/2006/relationships/hyperlink" Target="https://drive.google.com/file/d/1FxBFAxIrdGHCkC_EQhDHoc4aQjSLDKuk/view?usp=drive_link" TargetMode="External"/><Relationship Id="rId319" Type="http://schemas.openxmlformats.org/officeDocument/2006/relationships/hyperlink" Target="https://onlinegamespromo.fazi.rs/Home/IntegrationGameLaunch?moneyType=0&amp;gameName=UnicornDaVincisDice&amp;platform=desktop&amp;languageCode=eng&amp;currency=EUR" TargetMode="External"/><Relationship Id="rId318" Type="http://schemas.openxmlformats.org/officeDocument/2006/relationships/hyperlink" Target="https://gameserver-store-client-area.orbionlimited.com/Home/IntegrationGameLaunch/client-area?moneyType=0&amp;gameName=AfricanTreasure&amp;platform=desktop&amp;languageCode=eng&amp;currency=EUR" TargetMode="External"/><Relationship Id="rId317" Type="http://schemas.openxmlformats.org/officeDocument/2006/relationships/hyperlink" Target="https://onlinegamespromo.fazi.rs/Home/IntegrationGameLaunch?moneyType=0&amp;gameName=AfricanTreasure&amp;platform=desktop&amp;languageCode=eng&amp;currency=EUR" TargetMode="External"/><Relationship Id="rId1380" Type="http://schemas.openxmlformats.org/officeDocument/2006/relationships/hyperlink" Target="https://static.redstone.rs/games/5-heart-deluxe/" TargetMode="External"/><Relationship Id="rId792" Type="http://schemas.openxmlformats.org/officeDocument/2006/relationships/hyperlink" Target="https://gameserver-store-client-area.orbionlimited.com/Home/IntegrationGameLaunch/client-area?moneyType=0&amp;gameName=UnicornSimplySevensDiceEaster&amp;platform=desktop&amp;languageCode=eng&amp;currency=EUR" TargetMode="External"/><Relationship Id="rId1381" Type="http://schemas.openxmlformats.org/officeDocument/2006/relationships/hyperlink" Target="https://static.redstone.rs/games/5-heart-deluxe/" TargetMode="External"/><Relationship Id="rId791" Type="http://schemas.openxmlformats.org/officeDocument/2006/relationships/hyperlink" Target="https://onlinegamespromo.fazi.rs/Home/IntegrationGameLaunch?moneyType=0&amp;gameName=UnicornSimplySevensDiceEaster&amp;platform=desktop&amp;languageCode=eng&amp;currency=EUR" TargetMode="External"/><Relationship Id="rId1382" Type="http://schemas.openxmlformats.org/officeDocument/2006/relationships/hyperlink" Target="https://docs.google.com/document/d/1-6PcnJ06SjYueBh39-ZuoVgt9p51TmOA/edit?usp=drive_link&amp;ouid=107596163405648766688&amp;rtpof=true&amp;sd=true" TargetMode="External"/><Relationship Id="rId790" Type="http://schemas.openxmlformats.org/officeDocument/2006/relationships/hyperlink" Target="https://gameserver-store-client-area.orbionlimited.com/Home/IntegrationGameLaunch/client-area?moneyType=0&amp;gameName=UnicornWildHoppers&amp;platform=desktop&amp;languageCode=eng&amp;currency=EUR" TargetMode="External"/><Relationship Id="rId1383" Type="http://schemas.openxmlformats.org/officeDocument/2006/relationships/hyperlink" Target="https://docs.google.com/document/d/1KHwmVd0v96F5rocHLZGBtfkluMqsRMvs/edit?usp=drive_link&amp;ouid=107596163405648766688&amp;rtpof=true&amp;sd=true" TargetMode="External"/><Relationship Id="rId1384" Type="http://schemas.openxmlformats.org/officeDocument/2006/relationships/hyperlink" Target="https://static.redstone.rs/games/heart-deluxe-2x/" TargetMode="External"/><Relationship Id="rId312" Type="http://schemas.openxmlformats.org/officeDocument/2006/relationships/hyperlink" Target="https://static.redstone.rs/games/book-of-dread/" TargetMode="External"/><Relationship Id="rId796" Type="http://schemas.openxmlformats.org/officeDocument/2006/relationships/hyperlink" Target="https://static.redstone.rs/games/multi-clover-10/" TargetMode="External"/><Relationship Id="rId1385" Type="http://schemas.openxmlformats.org/officeDocument/2006/relationships/hyperlink" Target="https://static.redstone.rs/games/heart-deluxe-2x/" TargetMode="External"/><Relationship Id="rId311" Type="http://schemas.openxmlformats.org/officeDocument/2006/relationships/hyperlink" Target="https://static.redstone.rs/games/book-of-dread/" TargetMode="External"/><Relationship Id="rId795" Type="http://schemas.openxmlformats.org/officeDocument/2006/relationships/hyperlink" Target="https://static.redstone.rs/games/multi-clover-10/" TargetMode="External"/><Relationship Id="rId1386" Type="http://schemas.openxmlformats.org/officeDocument/2006/relationships/hyperlink" Target="https://docs.google.com/document/d/1OM9irwnSHXhkrqcPxaDoezRuDMEm--4_/edit?usp=drive_link&amp;ouid=107596163405648766688&amp;rtpof=true&amp;sd=true" TargetMode="External"/><Relationship Id="rId310" Type="http://schemas.openxmlformats.org/officeDocument/2006/relationships/hyperlink" Target="https://docs.google.com/document/d/1xxoKQXYlaMHZTqDBiQqslbsvJiiOhLpz/edit?usp=drive_link&amp;ouid=107596163405648766688&amp;rtpof=true&amp;sd=true" TargetMode="External"/><Relationship Id="rId794" Type="http://schemas.openxmlformats.org/officeDocument/2006/relationships/hyperlink" Target="https://drive.google.com/file/d/1CXLi8GgMycV3GyC6LKQGBLvP-rq9jtHE/view?usp=drive_link" TargetMode="External"/><Relationship Id="rId1387" Type="http://schemas.openxmlformats.org/officeDocument/2006/relationships/hyperlink" Target="https://docs.google.com/document/d/1SxO--5av61GOCZydyJnliOy8uqCPfzd9/edit?usp=drive_link&amp;ouid=107596163405648766688&amp;rtpof=true&amp;sd=true" TargetMode="External"/><Relationship Id="rId793" Type="http://schemas.openxmlformats.org/officeDocument/2006/relationships/hyperlink" Target="https://drive.google.com/file/d/1y5Y6SBY1LdfTNoAKADaYoL-I5VyQPl2Y/view?usp=drive_link" TargetMode="External"/><Relationship Id="rId1388" Type="http://schemas.openxmlformats.org/officeDocument/2006/relationships/hyperlink" Target="https://static.redstone.rs/games/pure-hot-5/" TargetMode="External"/><Relationship Id="rId297" Type="http://schemas.openxmlformats.org/officeDocument/2006/relationships/hyperlink" Target="https://docs.google.com/document/d/1cDh7kaMF1Gk9vxVOneSDdYzfVvqIeA4l/edit?usp=drive_link&amp;ouid=107596163405648766688&amp;rtpof=true&amp;sd=true" TargetMode="External"/><Relationship Id="rId296" Type="http://schemas.openxmlformats.org/officeDocument/2006/relationships/hyperlink" Target="https://gameserver-store-client-area.orbionlimited.com/Home/IntegrationGameLaunch/client-area?moneyType=0&amp;gameName=Unicorn40DiceFlames&amp;platform=desktop&amp;languageCode=eng&amp;currency=EUR" TargetMode="External"/><Relationship Id="rId295" Type="http://schemas.openxmlformats.org/officeDocument/2006/relationships/hyperlink" Target="https://onlinegamespromo.fazi.rs/Home/IntegrationGameLaunch?moneyType=0&amp;gameName=Unicorn40DiceFlames&amp;platform=desktop&amp;languageCode=eng&amp;currency=EUR" TargetMode="External"/><Relationship Id="rId294" Type="http://schemas.openxmlformats.org/officeDocument/2006/relationships/hyperlink" Target="https://gameserver-store-client-area.orbionlimited.com/Home/IntegrationGameLaunch/client-area?moneyType=0&amp;gameName=Unicorn40MegaFlames&amp;platform=desktop&amp;languageCode=eng&amp;currency=EUR" TargetMode="External"/><Relationship Id="rId299" Type="http://schemas.openxmlformats.org/officeDocument/2006/relationships/hyperlink" Target="https://static.redstone.rs/games/heat-classic-5/" TargetMode="External"/><Relationship Id="rId298" Type="http://schemas.openxmlformats.org/officeDocument/2006/relationships/hyperlink" Target="https://docs.google.com/document/d/1NMkfRF8FQvCOJiqleoPSFcu-P1GHuxJx/edit?usp=drive_link&amp;ouid=107596163405648766688&amp;rtpof=true&amp;sd=true" TargetMode="External"/><Relationship Id="rId271" Type="http://schemas.openxmlformats.org/officeDocument/2006/relationships/hyperlink" Target="https://onlinegamespromo.fazi.rs/Home/IntegrationGameLaunch?moneyType=0&amp;gameName=ClassicLuckySpin&amp;platform=desktop&amp;languageCode=eng&amp;currency=EUR" TargetMode="External"/><Relationship Id="rId270" Type="http://schemas.openxmlformats.org/officeDocument/2006/relationships/hyperlink" Target="https://static.redstone.rs/games/5-wild-heart/" TargetMode="External"/><Relationship Id="rId269" Type="http://schemas.openxmlformats.org/officeDocument/2006/relationships/hyperlink" Target="https://static.redstone.rs/games/5-wild-heart/" TargetMode="External"/><Relationship Id="rId264" Type="http://schemas.openxmlformats.org/officeDocument/2006/relationships/hyperlink" Target="https://gameserver-store-client-area.orbionlimited.com/Home/IntegrationGameLaunch/client-area?moneyType=0&amp;gameName=UnicornMiniMegaCash&amp;platform=desktop&amp;languageCode=eng&amp;currency=EUR" TargetMode="External"/><Relationship Id="rId263" Type="http://schemas.openxmlformats.org/officeDocument/2006/relationships/hyperlink" Target="https://onlinegamespromo.fazi.rs/Home/IntegrationGameLaunch?moneyType=0&amp;gameName=UnicornMiniMegaCash&amp;platform=desktop&amp;languageCode=eng&amp;currency=EUR" TargetMode="External"/><Relationship Id="rId262" Type="http://schemas.openxmlformats.org/officeDocument/2006/relationships/hyperlink" Target="https://static.redstone.rs/games/10-wild-diamond/" TargetMode="External"/><Relationship Id="rId261" Type="http://schemas.openxmlformats.org/officeDocument/2006/relationships/hyperlink" Target="https://static.redstone.rs/games/10-wild-diamond/" TargetMode="External"/><Relationship Id="rId268" Type="http://schemas.openxmlformats.org/officeDocument/2006/relationships/hyperlink" Target="https://docs.google.com/document/d/1yrDTw_s-LHjdBDnRcPJ85sWW6-bjGyoX/edit?usp=drive_link&amp;ouid=107596163405648766688&amp;rtpof=true&amp;sd=true" TargetMode="External"/><Relationship Id="rId267" Type="http://schemas.openxmlformats.org/officeDocument/2006/relationships/hyperlink" Target="https://docs.google.com/document/d/1CFAxxeOYIm8nYNAV6SbqnXJxfqQo4KjA/edit?usp=drive_link&amp;ouid=107596163405648766688&amp;rtpof=true&amp;sd=true" TargetMode="External"/><Relationship Id="rId266" Type="http://schemas.openxmlformats.org/officeDocument/2006/relationships/hyperlink" Target="https://gameserver-store-client-area.orbionlimited.com/Home/IntegrationGameLaunch/client-area?moneyType=0&amp;gameName=FruityFace&amp;platform=desktop&amp;languageCode=eng&amp;currency=EUR" TargetMode="External"/><Relationship Id="rId265" Type="http://schemas.openxmlformats.org/officeDocument/2006/relationships/hyperlink" Target="https://onlinegamespromo.fazi.rs/Home/IntegrationGameLaunch?moneyType=0&amp;gameName=FruityFace&amp;platform=desktop&amp;languageCode=eng&amp;currency=EUR" TargetMode="External"/><Relationship Id="rId260" Type="http://schemas.openxmlformats.org/officeDocument/2006/relationships/hyperlink" Target="https://docs.google.com/document/d/1SwHALhIgoYMx1a02Y-AvihYWtrIoigje/edit?usp=drive_link&amp;ouid=107596163405648766688&amp;rtpof=true&amp;sd=true" TargetMode="External"/><Relationship Id="rId259" Type="http://schemas.openxmlformats.org/officeDocument/2006/relationships/hyperlink" Target="https://docs.google.com/document/d/1lhnxNwHSO0QNRkNdhECb9Bi16w892Bip/edit?usp=drive_link&amp;ouid=107596163405648766688&amp;rtpof=true&amp;sd=true" TargetMode="External"/><Relationship Id="rId258" Type="http://schemas.openxmlformats.org/officeDocument/2006/relationships/hyperlink" Target="https://gameserver-store-client-area.orbionlimited.com/Home/IntegrationGameLaunch/client-area?moneyType=0&amp;gameName=UnicornMoneyStandard&amp;platform=desktop&amp;languageCode=eng&amp;currency=EUR" TargetMode="External"/><Relationship Id="rId253" Type="http://schemas.openxmlformats.org/officeDocument/2006/relationships/hyperlink" Target="https://onlinegamespromo.fazi.rs/Home/IntegrationGameLaunch?moneyType=0&amp;gameName=UnicornDaVincisFruits&amp;platform=desktop&amp;languageCode=eng&amp;currency=EUR" TargetMode="External"/><Relationship Id="rId252" Type="http://schemas.openxmlformats.org/officeDocument/2006/relationships/hyperlink" Target="https://gameserver-store-client-area.orbionlimited.com/Home/IntegrationGameLaunch/client-area?moneyType=0&amp;gameName=GigaHot40&amp;platform=desktop&amp;languageCode=eng&amp;currency=EUR" TargetMode="External"/><Relationship Id="rId251" Type="http://schemas.openxmlformats.org/officeDocument/2006/relationships/hyperlink" Target="https://onlinegamespromo.fazi.rs/Home/IntegrationGameLaunch?moneyType=0&amp;gameName=GigaHot40&amp;platform=desktop&amp;languageCode=eng&amp;currency=EUR" TargetMode="External"/><Relationship Id="rId250" Type="http://schemas.openxmlformats.org/officeDocument/2006/relationships/hyperlink" Target="https://gameserver-store-client-area.orbionlimited.com/Home/IntegrationGameLaunch/client-area?moneyType=0&amp;gameName=FruityHot5&amp;platform=desktop&amp;languageCode=eng&amp;currency=EUR" TargetMode="External"/><Relationship Id="rId257" Type="http://schemas.openxmlformats.org/officeDocument/2006/relationships/hyperlink" Target="https://onlinegamespromo.fazi.rs/Home/IntegrationGameLaunch?moneyType=0&amp;gameName=UnicornMoneyStandard&amp;platform=desktop&amp;languageCode=eng&amp;currency=EUR" TargetMode="External"/><Relationship Id="rId256" Type="http://schemas.openxmlformats.org/officeDocument/2006/relationships/hyperlink" Target="https://gameserver-store-client-area.orbionlimited.com/Home/IntegrationGameLaunch/client-area?moneyType=0&amp;gameName=UnicornFruitMagic&amp;platform=desktop&amp;languageCode=eng&amp;currency=EUR" TargetMode="External"/><Relationship Id="rId255" Type="http://schemas.openxmlformats.org/officeDocument/2006/relationships/hyperlink" Target="https://onlinegamespromo.fazi.rs/Home/IntegrationGameLaunch?moneyType=0&amp;gameName=UnicornFruitMagic&amp;platform=desktop&amp;languageCode=eng&amp;currency=EUR" TargetMode="External"/><Relationship Id="rId254" Type="http://schemas.openxmlformats.org/officeDocument/2006/relationships/hyperlink" Target="https://gameserver-store-client-area.orbionlimited.com/Home/IntegrationGameLaunch/client-area?moneyType=0&amp;gameName=UnicornDaVincisFruits&amp;platform=desktop&amp;languageCode=eng&amp;currency=EUR" TargetMode="External"/><Relationship Id="rId293" Type="http://schemas.openxmlformats.org/officeDocument/2006/relationships/hyperlink" Target="https://onlinegamespromo.fazi.rs/Home/IntegrationGameLaunch?moneyType=0&amp;gameName=Unicorn40MegaFlames&amp;platform=desktop&amp;languageCode=eng&amp;currency=EUR" TargetMode="External"/><Relationship Id="rId292" Type="http://schemas.openxmlformats.org/officeDocument/2006/relationships/hyperlink" Target="https://gameserver-store-client-area.orbionlimited.com/Home/IntegrationGameLaunch/client-area?moneyType=0&amp;gameName=PowerOfTheGreat&amp;platform=desktop&amp;languageCode=eng&amp;currency=EUR" TargetMode="External"/><Relationship Id="rId291" Type="http://schemas.openxmlformats.org/officeDocument/2006/relationships/hyperlink" Target="https://onlinegamespromo.fazi.rs/Home/IntegrationGameLaunch?moneyType=0&amp;gameName=PowerOfTheGreat&amp;platform=desktop&amp;languageCode=eng&amp;currency=EUR" TargetMode="External"/><Relationship Id="rId290" Type="http://schemas.openxmlformats.org/officeDocument/2006/relationships/hyperlink" Target="https://static.redstone.rs/games/clover-coin/" TargetMode="External"/><Relationship Id="rId286" Type="http://schemas.openxmlformats.org/officeDocument/2006/relationships/hyperlink" Target="https://static.redstone.rs/games/book-of-ibis/" TargetMode="External"/><Relationship Id="rId285" Type="http://schemas.openxmlformats.org/officeDocument/2006/relationships/hyperlink" Target="https://static.redstone.rs/games/book-of-ibis/" TargetMode="External"/><Relationship Id="rId284" Type="http://schemas.openxmlformats.org/officeDocument/2006/relationships/hyperlink" Target="https://docs.google.com/document/d/1qt2u8fQ-xA0ELDkx6NartD2WsSj2h-it/edit?usp=drive_link&amp;ouid=107596163405648766688&amp;rtpof=true&amp;sd=true" TargetMode="External"/><Relationship Id="rId283" Type="http://schemas.openxmlformats.org/officeDocument/2006/relationships/hyperlink" Target="https://docs.google.com/document/d/1MivnwLSbu2QueQOrF8UNz9NMC6gxsLlN/edit?usp=drive_link&amp;ouid=107596163405648766688&amp;rtpof=true&amp;sd=true" TargetMode="External"/><Relationship Id="rId289" Type="http://schemas.openxmlformats.org/officeDocument/2006/relationships/hyperlink" Target="https://static.redstone.rs/games/clover-coin/" TargetMode="External"/><Relationship Id="rId288" Type="http://schemas.openxmlformats.org/officeDocument/2006/relationships/hyperlink" Target="https://docs.google.com/document/d/1P9j-AAe4GCAxkE2GQcnFdtiXIolt7YNE/edit?usp=drive_link&amp;ouid=107596163405648766688&amp;rtpof=true&amp;sd=true" TargetMode="External"/><Relationship Id="rId287" Type="http://schemas.openxmlformats.org/officeDocument/2006/relationships/hyperlink" Target="https://docs.google.com/document/d/14aPa2HfOnXmUmLJGS13FiqvIHOpYGrPI/edit?usp=drive_link&amp;ouid=107596163405648766688&amp;rtpof=true&amp;sd=true" TargetMode="External"/><Relationship Id="rId282" Type="http://schemas.openxmlformats.org/officeDocument/2006/relationships/hyperlink" Target="https://gameserver-store-client-area.orbionlimited.com/Home/IntegrationGameLaunch/client-area?moneyType=0&amp;gameName=HeatingFruits&amp;platform=desktop&amp;languageCode=eng&amp;currency=EUR" TargetMode="External"/><Relationship Id="rId281" Type="http://schemas.openxmlformats.org/officeDocument/2006/relationships/hyperlink" Target="https://onlinegamespromo.fazi.rs/Home/IntegrationGameLaunch?moneyType=0&amp;gameName=HeatingFruits&amp;platform=desktop&amp;languageCode=eng&amp;currency=EUR" TargetMode="External"/><Relationship Id="rId280" Type="http://schemas.openxmlformats.org/officeDocument/2006/relationships/hyperlink" Target="https://static.redstone.rs/games/10-wild-dice/" TargetMode="External"/><Relationship Id="rId275" Type="http://schemas.openxmlformats.org/officeDocument/2006/relationships/hyperlink" Target="https://onlinegamespromo.fazi.rs/Home/IntegrationGameLaunch?moneyType=0&amp;gameName=WildJokerHot&amp;platform=desktop&amp;languageCode=eng&amp;currency=EUR" TargetMode="External"/><Relationship Id="rId274" Type="http://schemas.openxmlformats.org/officeDocument/2006/relationships/hyperlink" Target="https://gameserver-store-client-area.orbionlimited.com/Home/IntegrationGameLaunch/client-area?moneyType=0&amp;gameName=Unicorn20DiceFlames&amp;platform=desktop&amp;languageCode=eng&amp;currency=EUR" TargetMode="External"/><Relationship Id="rId273" Type="http://schemas.openxmlformats.org/officeDocument/2006/relationships/hyperlink" Target="https://onlinegamespromo.fazi.rs/Home/IntegrationGameLaunch?moneyType=0&amp;gameName=Unicorn20DiceFlames&amp;platform=desktop&amp;languageCode=eng&amp;currency=EUR" TargetMode="External"/><Relationship Id="rId272" Type="http://schemas.openxmlformats.org/officeDocument/2006/relationships/hyperlink" Target="https://gameserver-store-client-area.orbionlimited.com/Home/IntegrationGameLaunch/client-area?moneyType=0&amp;gameName=ClassicLuckySpin&amp;platform=desktop&amp;languageCode=eng&amp;currency=EUR" TargetMode="External"/><Relationship Id="rId279" Type="http://schemas.openxmlformats.org/officeDocument/2006/relationships/hyperlink" Target="https://static.redstone.rs/games/10-wild-dice/" TargetMode="External"/><Relationship Id="rId278" Type="http://schemas.openxmlformats.org/officeDocument/2006/relationships/hyperlink" Target="https://docs.google.com/document/d/1DFnKS4tOtiSdA6ISE_dYMHPCHPfa41sU/edit?usp=drive_link&amp;ouid=107596163405648766688&amp;rtpof=true&amp;sd=true" TargetMode="External"/><Relationship Id="rId277" Type="http://schemas.openxmlformats.org/officeDocument/2006/relationships/hyperlink" Target="https://docs.google.com/document/d/1GFgTEmo88EJNNTrmzAJSqmEZoh735-y2/edit?usp=drive_link&amp;ouid=107596163405648766688&amp;rtpof=true&amp;sd=true" TargetMode="External"/><Relationship Id="rId276" Type="http://schemas.openxmlformats.org/officeDocument/2006/relationships/hyperlink" Target="https://gameserver-store-client-area.orbionlimited.com/Home/IntegrationGameLaunch/client-area?moneyType=0&amp;gameName=WildJokerHot&amp;platform=desktop&amp;languageCode=eng&amp;currency=EUR" TargetMode="External"/><Relationship Id="rId1455" Type="http://schemas.openxmlformats.org/officeDocument/2006/relationships/hyperlink" Target="https://onlinegamespromo.fazi.rs/Home/IntegrationGameLaunch?moneyType=0&amp;gameName=Clover27&amp;platform=desktop&amp;languageCode=eng&amp;currency=EUR" TargetMode="External"/><Relationship Id="rId1456" Type="http://schemas.openxmlformats.org/officeDocument/2006/relationships/hyperlink" Target="https://gameserver-store-client-area.orbionlimited.com/Home/IntegrationGameLaunch/client-area?moneyType=0&amp;gameName=Clover27&amp;platform=desktop&amp;languageCode=eng&amp;currency=EUR" TargetMode="External"/><Relationship Id="rId1457" Type="http://schemas.openxmlformats.org/officeDocument/2006/relationships/hyperlink" Target="https://drive.google.com/file/d/17tr6SmcEn9_MyDE_b5WH0MDvojMLQHRS/view?usp=drive_link" TargetMode="External"/><Relationship Id="rId1458" Type="http://schemas.openxmlformats.org/officeDocument/2006/relationships/hyperlink" Target="https://drive.google.com/file/d/1TW2wwLq99f2bqF9Zy4cnGc4aR9pY3kjS/view?usp=drive_link" TargetMode="External"/><Relationship Id="rId1459" Type="http://schemas.openxmlformats.org/officeDocument/2006/relationships/hyperlink" Target="https://static.redstone.rs/games/x-chilli-hot/" TargetMode="External"/><Relationship Id="rId629" Type="http://schemas.openxmlformats.org/officeDocument/2006/relationships/hyperlink" Target="https://onlinegamespromo.fazi.rs/Home/IntegrationGameLaunch?moneyType=0&amp;gameName=TurboStars40&amp;platform=desktop&amp;languageCode=eng&amp;currency=EUR" TargetMode="External"/><Relationship Id="rId624" Type="http://schemas.openxmlformats.org/officeDocument/2006/relationships/hyperlink" Target="https://drive.google.com/file/d/1DGkweW3DZ3diqU5wsDwo0vzr6CsSQCzO/view?usp=sharing" TargetMode="External"/><Relationship Id="rId623" Type="http://schemas.openxmlformats.org/officeDocument/2006/relationships/hyperlink" Target="https://drive.google.com/file/d/1ONtonMDeJcghue58HcLhnu0yFju2iU8F/view?usp=sharing" TargetMode="External"/><Relationship Id="rId622" Type="http://schemas.openxmlformats.org/officeDocument/2006/relationships/hyperlink" Target="https://gameserver-store-client-area.orbionlimited.com/Home/IntegrationGameLaunch/client-area?moneyType=0&amp;gameName=VeryHot40Extreme&amp;platform=desktop&amp;languageCode=eng&amp;currency=EUR" TargetMode="External"/><Relationship Id="rId621" Type="http://schemas.openxmlformats.org/officeDocument/2006/relationships/hyperlink" Target="https://onlinegamespromo.fazi.rs/Home/IntegrationGameLaunch?moneyType=0&amp;gameName=VeryHot40Extreme&amp;platform=desktop&amp;languageCode=eng&amp;currency=EUR" TargetMode="External"/><Relationship Id="rId628" Type="http://schemas.openxmlformats.org/officeDocument/2006/relationships/hyperlink" Target="https://gameserver-store-client-area.orbionlimited.com/Home/IntegrationGameLaunch/client-area?moneyType=0&amp;gameName=TurboStars10&amp;platform=desktop&amp;languageCode=eng&amp;currency=EUR" TargetMode="External"/><Relationship Id="rId627" Type="http://schemas.openxmlformats.org/officeDocument/2006/relationships/hyperlink" Target="https://onlinegamespromo.fazi.rs/Home/IntegrationGameLaunch?moneyType=0&amp;gameName=TurboStars10&amp;platform=desktop&amp;languageCode=eng&amp;currency=EUR" TargetMode="External"/><Relationship Id="rId626" Type="http://schemas.openxmlformats.org/officeDocument/2006/relationships/hyperlink" Target="https://gameserver-store-client-area.orbionlimited.com/Home/IntegrationGameLaunch/client-area?moneyType=0&amp;gameName=SpecialFruits&amp;platform=desktop&amp;languageCode=eng&amp;currency=EUR" TargetMode="External"/><Relationship Id="rId625" Type="http://schemas.openxmlformats.org/officeDocument/2006/relationships/hyperlink" Target="https://onlinegamespromo.fazi.rs/Home/IntegrationGameLaunch?moneyType=0&amp;gameName=SpecialFruits&amp;platform=desktop&amp;languageCode=eng&amp;currency=EUR" TargetMode="External"/><Relationship Id="rId1450" Type="http://schemas.openxmlformats.org/officeDocument/2006/relationships/hyperlink" Target="https://drive.google.com/file/d/1zsZIwGPM1j_DIfjRqA_qm4_z0mT9YQRn/view?usp=sharing" TargetMode="External"/><Relationship Id="rId620" Type="http://schemas.openxmlformats.org/officeDocument/2006/relationships/hyperlink" Target="https://gameserver-store-client-area.orbionlimited.com/Home/IntegrationGameLaunch/client-area?moneyType=0&amp;gameName=CrownOfSecret&amp;platform=desktop&amp;languageCode=eng&amp;currency=EUR" TargetMode="External"/><Relationship Id="rId1451" Type="http://schemas.openxmlformats.org/officeDocument/2006/relationships/hyperlink" Target="https://onlinegamespromo.fazi.rs/Home/IntegrationGameLaunch?moneyType=0&amp;gameName=OnDemandRoulette&amp;platform=desktop&amp;languageCode=eng&amp;currency=EUR" TargetMode="External"/><Relationship Id="rId1452" Type="http://schemas.openxmlformats.org/officeDocument/2006/relationships/hyperlink" Target="https://gameserver-store-client-area.orbionlimited.com/Home/IntegrationGameLaunch/client-area?moneyType=0&amp;gameName=OnDemandRoulette&amp;platform=desktop&amp;languageCode=eng&amp;currency=EUR" TargetMode="External"/><Relationship Id="rId1453" Type="http://schemas.openxmlformats.org/officeDocument/2006/relationships/hyperlink" Target="https://drive.google.com/file/d/18qDnUKyv_UImdRCp6hTgKQ8M7BZ5BAJy/view?usp=sharing" TargetMode="External"/><Relationship Id="rId1454" Type="http://schemas.openxmlformats.org/officeDocument/2006/relationships/hyperlink" Target="https://drive.google.com/file/d/1WSC-LohW4kAheT1a7JWsSNhmhOlrh1v-/view?usp=sharing" TargetMode="External"/><Relationship Id="rId1444" Type="http://schemas.openxmlformats.org/officeDocument/2006/relationships/hyperlink" Target="https://onlinegamespromo.fazi.rs/Home/IntegrationGameLaunch?moneyType=0&amp;gameName=BonusRoyalCrownExtralines&amp;platform=desktop&amp;languageCode=eng&amp;currency=EUR" TargetMode="External"/><Relationship Id="rId1445" Type="http://schemas.openxmlformats.org/officeDocument/2006/relationships/hyperlink" Target="https://gameserver-store-client-area.orbionlimited.com/Home/IntegrationGameLaunch/client-area?moneyType=0&amp;gameName=BonusRoyalCrownExtralines&amp;platform=desktop&amp;languageCode=eng&amp;currency=EUR" TargetMode="External"/><Relationship Id="rId1446" Type="http://schemas.openxmlformats.org/officeDocument/2006/relationships/hyperlink" Target="https://gameserver-store-stg.fazi.rs/Home/IntegrationGameLaunch/fazi-stg16?moneyType=0&amp;gameName=BonusEpicWildExtralines&amp;platform=desktop&amp;languageCode=eng&amp;currency=EUR" TargetMode="External"/><Relationship Id="rId1447" Type="http://schemas.openxmlformats.org/officeDocument/2006/relationships/hyperlink" Target="https://gameserver-store-client-area.orbionlimited.com/Home/IntegrationGameLaunch/client-area?moneyType=0&amp;gameName=BonusEpicWildExtralines&amp;platform=desktop&amp;languageCode=eng&amp;currency=EUR" TargetMode="External"/><Relationship Id="rId1448" Type="http://schemas.openxmlformats.org/officeDocument/2006/relationships/hyperlink" Target="https://onlinegamespromo.fazi.rs/Home/IntegrationGameLaunch?moneyType=0&amp;gameName=VeryHot10Extreme&amp;platform=desktop&amp;languageCode=eng&amp;currency=EUR" TargetMode="External"/><Relationship Id="rId1449" Type="http://schemas.openxmlformats.org/officeDocument/2006/relationships/hyperlink" Target="https://drive.google.com/file/d/1zsZIwGPM1j_DIfjRqA_qm4_z0mT9YQRn/view?usp=sharing" TargetMode="External"/><Relationship Id="rId619" Type="http://schemas.openxmlformats.org/officeDocument/2006/relationships/hyperlink" Target="https://onlinegamespromo.fazi.rs/Home/IntegrationGameLaunch?moneyType=0&amp;gameName=CrownOfSecret&amp;lobbyUrl=https://www.fazi-interactive.com/" TargetMode="External"/><Relationship Id="rId618" Type="http://schemas.openxmlformats.org/officeDocument/2006/relationships/hyperlink" Target="https://drive.google.com/file/d/1dmckAxO5UBCW7cPMCN2QYkQYI3YuBe-A/view?usp=drive_link" TargetMode="External"/><Relationship Id="rId613" Type="http://schemas.openxmlformats.org/officeDocument/2006/relationships/hyperlink" Target="https://drive.google.com/file/d/1QczkBEtF6aigPVs3NS4sPtWhw_oLqrwO/view?usp=drive_link" TargetMode="External"/><Relationship Id="rId612" Type="http://schemas.openxmlformats.org/officeDocument/2006/relationships/hyperlink" Target="https://gameserver-store-client-area.orbionlimited.com/Home/IntegrationGameLaunch/client-area?moneyType=0&amp;gameName=BonusCrown&amp;platform=desktop&amp;languageCode=eng&amp;currency=EUR" TargetMode="External"/><Relationship Id="rId611" Type="http://schemas.openxmlformats.org/officeDocument/2006/relationships/hyperlink" Target="https://onlinegamespromo.fazi.rs/Home/IntegrationGameLaunch?moneyType=0&amp;gameName=BonusCrown&amp;lobbyUrl=https://www.fazi-interactive.com/" TargetMode="External"/><Relationship Id="rId610" Type="http://schemas.openxmlformats.org/officeDocument/2006/relationships/hyperlink" Target="https://drive.google.com/file/d/19S8lEmrFJHzmRlgOTArf8w7jWrtdVwFJ/view?usp=drive_link" TargetMode="External"/><Relationship Id="rId617" Type="http://schemas.openxmlformats.org/officeDocument/2006/relationships/hyperlink" Target="https://drive.google.com/file/d/1OF2eJheSz_4wQpBcWHtnC8Mk-6SqQj9O/view?usp=drive_link" TargetMode="External"/><Relationship Id="rId616" Type="http://schemas.openxmlformats.org/officeDocument/2006/relationships/hyperlink" Target="https://gameserver-store-client-area.orbionlimited.com/Home/IntegrationGameLaunch/client-area?moneyType=0&amp;gameName=AquaFlame&amp;platform=desktop&amp;languageCode=eng&amp;currency=EUR" TargetMode="External"/><Relationship Id="rId615" Type="http://schemas.openxmlformats.org/officeDocument/2006/relationships/hyperlink" Target="https://onlinegamespromo.fazi.rs/Home/IntegrationGameLaunch?moneyType=0&amp;gameName=AquaFlame&amp;platform=desktop&amp;languageCode=eng&amp;currency=EUR" TargetMode="External"/><Relationship Id="rId614" Type="http://schemas.openxmlformats.org/officeDocument/2006/relationships/hyperlink" Target="https://drive.google.com/file/d/1Esuvc7EPZgNNggegkws6JPLTIltpZczW/view?usp=drive_link" TargetMode="External"/><Relationship Id="rId1440" Type="http://schemas.openxmlformats.org/officeDocument/2006/relationships/hyperlink" Target="https://onlinegamespromo.fazi.rs/Home/IntegrationGameLaunch?moneyType=0&amp;gameName=MultihotPot&amp;platform=desktop&amp;languageCode=eng&amp;currency=EUR" TargetMode="External"/><Relationship Id="rId1441" Type="http://schemas.openxmlformats.org/officeDocument/2006/relationships/hyperlink" Target="https://gameserver-store-client-area.orbionlimited.com/Home/IntegrationGameLaunch/client-area?moneyType=0&amp;gameName=MultihotPot&amp;platform=desktop&amp;languageCode=eng&amp;currency=EUR" TargetMode="External"/><Relationship Id="rId1442" Type="http://schemas.openxmlformats.org/officeDocument/2006/relationships/hyperlink" Target="https://onlinegamespromo.fazi.rs/Home/IntegrationGameLaunch?moneyType=0&amp;gameName=TripleWildCrown&amp;platform=desktop&amp;languageCode=eng&amp;currency=EUR" TargetMode="External"/><Relationship Id="rId1443" Type="http://schemas.openxmlformats.org/officeDocument/2006/relationships/hyperlink" Target="https://gameserver-store-client-area.orbionlimited.com/Home/IntegrationGameLaunch/client-area?moneyType=0&amp;gameName=TripleWildCrown&amp;platform=desktop&amp;languageCode=eng&amp;currency=EUR" TargetMode="External"/><Relationship Id="rId1477" Type="http://schemas.openxmlformats.org/officeDocument/2006/relationships/hyperlink" Target="https://drive.google.com/file/d/1CClaLQ3IDpQCDIhVduwyLDasvl7TxyYD/view?usp=drive_link" TargetMode="External"/><Relationship Id="rId1478" Type="http://schemas.openxmlformats.org/officeDocument/2006/relationships/hyperlink" Target="https://static.redstone.rs/games/multi-heart-10/" TargetMode="External"/><Relationship Id="rId1479" Type="http://schemas.openxmlformats.org/officeDocument/2006/relationships/hyperlink" Target="https://gameserver-store-client-area.orbionlimited.com/Home/IntegrationGameLaunch/client-area?moneyType=0&amp;gameName=RedstoneMultiHeart10&amp;platform=desktop&amp;languageCode=eng&amp;currency=EUR" TargetMode="External"/><Relationship Id="rId646" Type="http://schemas.openxmlformats.org/officeDocument/2006/relationships/hyperlink" Target="https://gameserver-store-client-area.orbionlimited.com/Home/IntegrationGameLaunch/client-area?moneyType=0&amp;gameName=UnicornBuffaloDice&amp;platform=desktop&amp;languageCode=eng&amp;currency=EUR" TargetMode="External"/><Relationship Id="rId645" Type="http://schemas.openxmlformats.org/officeDocument/2006/relationships/hyperlink" Target="https://onlinegamespromo.fazi.rs/Home/IntegrationGameLaunch?moneyType=0&amp;gameName=UnicornBuffaloDice&amp;platform=desktop&amp;languageCode=eng&amp;currency=EUR" TargetMode="External"/><Relationship Id="rId644" Type="http://schemas.openxmlformats.org/officeDocument/2006/relationships/hyperlink" Target="https://gameserver-store-client-area.orbionlimited.com/Home/IntegrationGameLaunch/client-area?moneyType=0&amp;gameName=GoldenCrownMax&amp;platform=desktop&amp;languageCode=eng&amp;currency=EUR" TargetMode="External"/><Relationship Id="rId643" Type="http://schemas.openxmlformats.org/officeDocument/2006/relationships/hyperlink" Target="https://onlinegamespromo.fazi.rs/Home/IntegrationGameLaunch?moneyType=0&amp;gameName=GoldenCrownMax&amp;platform=desktop&amp;languageCode=eng&amp;currency=EUR" TargetMode="External"/><Relationship Id="rId649" Type="http://schemas.openxmlformats.org/officeDocument/2006/relationships/hyperlink" Target="https://static.redstone.rs/games/81-vegas-crown/" TargetMode="External"/><Relationship Id="rId648" Type="http://schemas.openxmlformats.org/officeDocument/2006/relationships/hyperlink" Target="https://docs.google.com/document/d/1nQVyH1x0d989Rumpnub0fo7iBBNmuumm/edit?usp=drive_link&amp;ouid=107596163405648766688&amp;rtpof=true&amp;sd=true" TargetMode="External"/><Relationship Id="rId647" Type="http://schemas.openxmlformats.org/officeDocument/2006/relationships/hyperlink" Target="https://docs.google.com/document/d/1CSew7JVTaSjsayubl0fP_ZN45adE4_6i/edit?usp=drive_link&amp;ouid=107596163405648766688&amp;rtpof=true&amp;sd=true" TargetMode="External"/><Relationship Id="rId1470" Type="http://schemas.openxmlformats.org/officeDocument/2006/relationships/hyperlink" Target="https://static.redstone.rs/games/10-crown-deluxe/" TargetMode="External"/><Relationship Id="rId1471" Type="http://schemas.openxmlformats.org/officeDocument/2006/relationships/hyperlink" Target="https://gameserver-store-client-area.orbionlimited.com/Home/IntegrationGameLaunch/client-area?moneyType=0&amp;gameName=Redstone10CrownDeluxe&amp;platform=desktop&amp;languageCode=eng&amp;currency=EUR" TargetMode="External"/><Relationship Id="rId1472" Type="http://schemas.openxmlformats.org/officeDocument/2006/relationships/hyperlink" Target="https://drive.google.com/file/d/1UXlO04i5CFextE2cQm_x6W4x1ksPCMwv/view?usp=drive_link" TargetMode="External"/><Relationship Id="rId642" Type="http://schemas.openxmlformats.org/officeDocument/2006/relationships/hyperlink" Target="https://drive.google.com/file/d/1mpJlWtYm8PvapZgmNiyB45GyxGZIbeVT/view?usp=drive_link" TargetMode="External"/><Relationship Id="rId1473" Type="http://schemas.openxmlformats.org/officeDocument/2006/relationships/hyperlink" Target="https://drive.google.com/file/d/1fG4olvFV2Azv3PAxhyn-hOZT8IQD-3sZ/view?usp=drive_link" TargetMode="External"/><Relationship Id="rId641" Type="http://schemas.openxmlformats.org/officeDocument/2006/relationships/hyperlink" Target="https://drive.google.com/file/d/1ivbG8UXxIAnTfkAgUJByvwfzugx0b1Hb/view?usp=drive_link" TargetMode="External"/><Relationship Id="rId1474" Type="http://schemas.openxmlformats.org/officeDocument/2006/relationships/hyperlink" Target="https://static.redstone.rs/games/10-heart-deluxe/" TargetMode="External"/><Relationship Id="rId640" Type="http://schemas.openxmlformats.org/officeDocument/2006/relationships/hyperlink" Target="https://gameserver-store-client-area.orbionlimited.com/Home/IntegrationGameLaunch/client-area?moneyType=0&amp;gameName=FortuneParrot&amp;platform=desktop&amp;languageCode=eng&amp;currency=EUR" TargetMode="External"/><Relationship Id="rId1475" Type="http://schemas.openxmlformats.org/officeDocument/2006/relationships/hyperlink" Target="https://gameserver-store-client-area.orbionlimited.com/Home/IntegrationGameLaunch/client-area?moneyType=0&amp;gameName=Redstone10HeartDeluxe&amp;platform=desktop&amp;languageCode=eng&amp;currency=EUR" TargetMode="External"/><Relationship Id="rId1476" Type="http://schemas.openxmlformats.org/officeDocument/2006/relationships/hyperlink" Target="https://drive.google.com/file/d/16FDmdUMiyHsJPqF1umynLQitn8iTXGyF/view?usp=drive_link" TargetMode="External"/><Relationship Id="rId1466" Type="http://schemas.openxmlformats.org/officeDocument/2006/relationships/hyperlink" Target="https://static.redstone.rs/games/10-clover-deluxe/" TargetMode="External"/><Relationship Id="rId1467" Type="http://schemas.openxmlformats.org/officeDocument/2006/relationships/hyperlink" Target="https://gameserver-store-client-area.orbionlimited.com/Home/IntegrationGameLaunch/client-area?moneyType=0&amp;gameName=Redstone10CloverDeluxe&amp;platform=desktop&amp;languageCode=eng&amp;currency=EUR" TargetMode="External"/><Relationship Id="rId1468" Type="http://schemas.openxmlformats.org/officeDocument/2006/relationships/hyperlink" Target="https://drive.google.com/file/d/1Lr8L5PDJ4ArhtIrekH4b7W6OQ40pW5z3/view?usp=drive_link" TargetMode="External"/><Relationship Id="rId1469" Type="http://schemas.openxmlformats.org/officeDocument/2006/relationships/hyperlink" Target="https://drive.google.com/file/d/19M1g4OSbBoQNUuEpDv6qHF5EGlD_YWfL/view?usp=drive_link" TargetMode="External"/><Relationship Id="rId635" Type="http://schemas.openxmlformats.org/officeDocument/2006/relationships/hyperlink" Target="https://onlinegamespromo.fazi.rs/Home/IntegrationGameLaunch?moneyType=0&amp;gameName=MegaHot20&amp;platform=desktop&amp;languageCode=eng&amp;currency=EUR" TargetMode="External"/><Relationship Id="rId634" Type="http://schemas.openxmlformats.org/officeDocument/2006/relationships/hyperlink" Target="https://gameserver-store-client-area.orbionlimited.com/Home/IntegrationGameLaunch/client-area?moneyType=0&amp;gameName=EpicDice100&amp;platform=desktop&amp;languageCode=eng&amp;currency=EUR" TargetMode="External"/><Relationship Id="rId633" Type="http://schemas.openxmlformats.org/officeDocument/2006/relationships/hyperlink" Target="https://onlinegamespromo.fazi.rs/Home/IntegrationGameLaunch?moneyType=0&amp;gameName=EpicDice100&amp;platform=desktop&amp;languageCode=eng&amp;currency=EUR" TargetMode="External"/><Relationship Id="rId632" Type="http://schemas.openxmlformats.org/officeDocument/2006/relationships/hyperlink" Target="https://gameserver-store-client-area.orbionlimited.com/Home/IntegrationGameLaunch/client-area?moneyType=0&amp;gameName=TurboStars20&amp;platform=desktop&amp;languageCode=eng&amp;currency=EUR" TargetMode="External"/><Relationship Id="rId639" Type="http://schemas.openxmlformats.org/officeDocument/2006/relationships/hyperlink" Target="https://onlinegamespromo.fazi.rs/Home/IntegrationGameLaunch?moneyType=0&amp;gameName=FortuneParrot&amp;platform=desktop&amp;languageCode=eng&amp;currency=EUR" TargetMode="External"/><Relationship Id="rId638" Type="http://schemas.openxmlformats.org/officeDocument/2006/relationships/hyperlink" Target="https://gameserver-store-client-area.orbionlimited.com/Home/IntegrationGameLaunch/client-area?moneyType=0&amp;gameName=CloversAndStars&amp;platform=desktop&amp;languageCode=eng&amp;currency=EUR" TargetMode="External"/><Relationship Id="rId637" Type="http://schemas.openxmlformats.org/officeDocument/2006/relationships/hyperlink" Target="https://onlinegamespromo.fazi.rs/Home/IntegrationGameLaunch?moneyType=0&amp;gameName=CloversAndStars&amp;platform=desktop&amp;languageCode=eng&amp;currency=EUR" TargetMode="External"/><Relationship Id="rId636" Type="http://schemas.openxmlformats.org/officeDocument/2006/relationships/hyperlink" Target="https://gameserver-store-client-area.orbionlimited.com/Home/IntegrationGameLaunch/client-area?moneyType=0&amp;gameName=MegaHot20&amp;platform=desktop&amp;languageCode=eng&amp;currency=EUR" TargetMode="External"/><Relationship Id="rId1460" Type="http://schemas.openxmlformats.org/officeDocument/2006/relationships/hyperlink" Target="https://drive.google.com/file/d/145sR3350PwACoVVVWMY_-dBjMT607I5s/view?usp=drive_link" TargetMode="External"/><Relationship Id="rId1461" Type="http://schemas.openxmlformats.org/officeDocument/2006/relationships/hyperlink" Target="https://drive.google.com/file/d/13--XJoIX1ZInVjZapgdVvvDbmo2ewyUq/view?usp=drive_link" TargetMode="External"/><Relationship Id="rId631" Type="http://schemas.openxmlformats.org/officeDocument/2006/relationships/hyperlink" Target="https://onlinegamespromo.fazi.rs/Home/IntegrationGameLaunch?moneyType=0&amp;gameName=TurboStars20&amp;platform=desktop&amp;languageCode=eng&amp;currency=EUR" TargetMode="External"/><Relationship Id="rId1462" Type="http://schemas.openxmlformats.org/officeDocument/2006/relationships/hyperlink" Target="https://static.redstone.rs/games/x-crown-fire/" TargetMode="External"/><Relationship Id="rId630" Type="http://schemas.openxmlformats.org/officeDocument/2006/relationships/hyperlink" Target="https://gameserver-store-client-area.orbionlimited.com/Home/IntegrationGameLaunch/client-area?moneyType=0&amp;gameName=TurboStars40&amp;platform=desktop&amp;languageCode=eng&amp;currency=EUR" TargetMode="External"/><Relationship Id="rId1463" Type="http://schemas.openxmlformats.org/officeDocument/2006/relationships/hyperlink" Target="https://gameserver-store-client-area.orbionlimited.com/Home/IntegrationGameLaunch/client-area?moneyType=0&amp;gameName=RedstoneXCrownFire&amp;platform=desktop&amp;languageCode=eng&amp;currency=EUR" TargetMode="External"/><Relationship Id="rId1464" Type="http://schemas.openxmlformats.org/officeDocument/2006/relationships/hyperlink" Target="https://drive.google.com/file/d/1ZFEOse_feOc6LN0IsqPUiwQ_4lTogSPc/view?usp=drive_link" TargetMode="External"/><Relationship Id="rId1465" Type="http://schemas.openxmlformats.org/officeDocument/2006/relationships/hyperlink" Target="https://drive.google.com/file/d/1CmGESi6rC-uXvuNncsMqXffnwfUVyPTW/view?usp=drive_link" TargetMode="External"/><Relationship Id="rId1411" Type="http://schemas.openxmlformats.org/officeDocument/2006/relationships/hyperlink" Target="https://static.redstone.rs/games/x-wild-heart/" TargetMode="External"/><Relationship Id="rId1412" Type="http://schemas.openxmlformats.org/officeDocument/2006/relationships/hyperlink" Target="https://docs.google.com/document/d/1OjZOchQ0XNxKdCKZBU_goFxCAC9yjUgM/edit?usp=drive_link&amp;ouid=107596163405648766688&amp;rtpof=true&amp;sd=true" TargetMode="External"/><Relationship Id="rId1413" Type="http://schemas.openxmlformats.org/officeDocument/2006/relationships/hyperlink" Target="https://docs.google.com/document/d/1vRhIkDYysLL_zxj3-EOsRRAyKL69H-Ul/edit?usp=drive_link&amp;ouid=107596163405648766688&amp;rtpof=true&amp;sd=true" TargetMode="External"/><Relationship Id="rId1414" Type="http://schemas.openxmlformats.org/officeDocument/2006/relationships/hyperlink" Target="https://static.redstone.rs/games/5-crown-deluxe/" TargetMode="External"/><Relationship Id="rId1415" Type="http://schemas.openxmlformats.org/officeDocument/2006/relationships/hyperlink" Target="https://static.redstone.rs/games/5-crown-deluxe/" TargetMode="External"/><Relationship Id="rId1416" Type="http://schemas.openxmlformats.org/officeDocument/2006/relationships/hyperlink" Target="https://docs.google.com/document/d/1NOemN7WwBlOyX71LJKPeTfmPYKuw9CGx/edit?usp=drive_link&amp;ouid=107596163405648766688&amp;rtpof=true&amp;sd=true" TargetMode="External"/><Relationship Id="rId1417" Type="http://schemas.openxmlformats.org/officeDocument/2006/relationships/hyperlink" Target="https://docs.google.com/document/d/1Zv7vX6pvIoLzVRjNAVRElBLfN7d3625I/edit?usp=drive_link&amp;ouid=107596163405648766688&amp;rtpof=true&amp;sd=true" TargetMode="External"/><Relationship Id="rId1418" Type="http://schemas.openxmlformats.org/officeDocument/2006/relationships/hyperlink" Target="https://static.redstone.rs/games/crown-deluxe-2x/" TargetMode="External"/><Relationship Id="rId1419" Type="http://schemas.openxmlformats.org/officeDocument/2006/relationships/hyperlink" Target="https://static.redstone.rs/games/crown-deluxe-2x/" TargetMode="External"/><Relationship Id="rId1410" Type="http://schemas.openxmlformats.org/officeDocument/2006/relationships/hyperlink" Target="https://static.redstone.rs/games/x-wild-heart/" TargetMode="External"/><Relationship Id="rId1400" Type="http://schemas.openxmlformats.org/officeDocument/2006/relationships/hyperlink" Target="https://docs.google.com/document/d/1fpidL62Ny3kJUn37vG10XhM9AHGg2FDt/edit?usp=drive_link&amp;ouid=107596163405648766688&amp;rtpof=true&amp;sd=true" TargetMode="External"/><Relationship Id="rId1401" Type="http://schemas.openxmlformats.org/officeDocument/2006/relationships/hyperlink" Target="https://docs.google.com/document/d/13hptVNdjfkN_JG3U1UHmaHQEMcK2oWHD/edit?usp=drive_link&amp;ouid=107596163405648766688&amp;rtpof=true&amp;sd=true" TargetMode="External"/><Relationship Id="rId1402" Type="http://schemas.openxmlformats.org/officeDocument/2006/relationships/hyperlink" Target="https://static.redstone.rs/games/heart-deluxe-2x/" TargetMode="External"/><Relationship Id="rId1403" Type="http://schemas.openxmlformats.org/officeDocument/2006/relationships/hyperlink" Target="https://static.redstone.rs/games/heart-deluxe-2x/" TargetMode="External"/><Relationship Id="rId1404" Type="http://schemas.openxmlformats.org/officeDocument/2006/relationships/hyperlink" Target="https://drive.google.com/file/d/1S0-fHVRS6bsEy3Ks1h5GDkyMb0QVP33n/view?usp=drive_link" TargetMode="External"/><Relationship Id="rId1405" Type="http://schemas.openxmlformats.org/officeDocument/2006/relationships/hyperlink" Target="https://drive.google.com/file/d/1WYJFt9Qh_YOO8s37ig8lDz5BW3MROTcj/view?usp=drive_link" TargetMode="External"/><Relationship Id="rId1406" Type="http://schemas.openxmlformats.org/officeDocument/2006/relationships/hyperlink" Target="https://static.redstone.rs/games/cosmic-fruits/" TargetMode="External"/><Relationship Id="rId1407" Type="http://schemas.openxmlformats.org/officeDocument/2006/relationships/hyperlink" Target="https://static.redstone.rs/games/cosmic-fruits/" TargetMode="External"/><Relationship Id="rId1408" Type="http://schemas.openxmlformats.org/officeDocument/2006/relationships/hyperlink" Target="https://docs.google.com/document/d/1ixR3rP6c5RAoL7tETZ5aWdSCyz5h6p8X/edit?usp=drive_link&amp;ouid=107596163405648766688&amp;rtpof=true&amp;sd=true" TargetMode="External"/><Relationship Id="rId1409" Type="http://schemas.openxmlformats.org/officeDocument/2006/relationships/hyperlink" Target="https://docs.google.com/document/d/1tNB9UAntH_Ow2expZVnP_6rc5b7mJggd/edit?usp=drive_link&amp;ouid=107596163405648766688&amp;rtpof=true&amp;sd=true" TargetMode="External"/><Relationship Id="rId1433" Type="http://schemas.openxmlformats.org/officeDocument/2006/relationships/hyperlink" Target="https://gameserver-store-client-area.orbionlimited.com/Home/IntegrationGameLaunch/client-area?moneyType=0&amp;gameName=PlayNetDashingHot40&amp;platform=desktop&amp;languageCode=eng&amp;currency=EUR" TargetMode="External"/><Relationship Id="rId1434" Type="http://schemas.openxmlformats.org/officeDocument/2006/relationships/hyperlink" Target="https://onlinegamespromo.fazi.rs/Home/IntegrationGameLaunch?moneyType=0&amp;gameName=PlayNetDarkTemptress100&amp;platform=desktop&amp;languageCode=eng&amp;currency=EUR" TargetMode="External"/><Relationship Id="rId1435" Type="http://schemas.openxmlformats.org/officeDocument/2006/relationships/hyperlink" Target="https://gameserver-store-client-area.orbionlimited.com/Home/IntegrationGameLaunch/client-area?moneyType=0&amp;gameName=PlayNetDarkTemptress100&amp;platform=desktop&amp;languageCode=eng&amp;currency=EUR" TargetMode="External"/><Relationship Id="rId1436" Type="http://schemas.openxmlformats.org/officeDocument/2006/relationships/hyperlink" Target="https://drive.google.com/drive/u/1/folders/1zeR0z-jJdHjt59KLlD0fbWBs3G_ZmNJ5" TargetMode="External"/><Relationship Id="rId1437" Type="http://schemas.openxmlformats.org/officeDocument/2006/relationships/hyperlink" Target="https://drive.google.com/drive/u/1/folders/1zeR0z-jJdHjt59KLlD0fbWBs3G_ZmNJ5" TargetMode="External"/><Relationship Id="rId1438" Type="http://schemas.openxmlformats.org/officeDocument/2006/relationships/hyperlink" Target="https://onlinegamespromo.fazi.rs/Home/IntegrationGameLaunch?moneyType=0&amp;gameName=PlayNetBarkinRiches&amp;platform=desktop&amp;languageCode=eng&amp;currency=EUR" TargetMode="External"/><Relationship Id="rId1439" Type="http://schemas.openxmlformats.org/officeDocument/2006/relationships/hyperlink" Target="https://gameserver-store-client-area.orbionlimited.com/Home/IntegrationGameLaunch/client-area?moneyType=0&amp;gameName=PlayNetBarkinRiches&amp;platform=desktop&amp;languageCode=eng&amp;currency=EUR" TargetMode="External"/><Relationship Id="rId609" Type="http://schemas.openxmlformats.org/officeDocument/2006/relationships/hyperlink" Target="https://drive.google.com/file/d/1cxG6mU16qcu_ClB03Mcybh8Phw3vHxjf/view?usp=drive_link" TargetMode="External"/><Relationship Id="rId608" Type="http://schemas.openxmlformats.org/officeDocument/2006/relationships/hyperlink" Target="https://gameserver-store-client-area.orbionlimited.com/Home/IntegrationGameLaunch/client-area?moneyType=0&amp;gameName=FruityForce40&amp;platform=desktop&amp;languageCode=eng&amp;currency=EUR" TargetMode="External"/><Relationship Id="rId607" Type="http://schemas.openxmlformats.org/officeDocument/2006/relationships/hyperlink" Target="https://onlinegamespromo.fazi.rs/Home/IntegrationGameLaunch?moneyType=0&amp;gameName=FruityForce40&amp;platform=desktop&amp;languageCode=eng&amp;currency=EUR" TargetMode="External"/><Relationship Id="rId602" Type="http://schemas.openxmlformats.org/officeDocument/2006/relationships/hyperlink" Target="https://drive.google.com/file/d/1oV_sbQ1uPYps71br5FN121qUs1JHr-hc/view?usp=drive_link" TargetMode="External"/><Relationship Id="rId601" Type="http://schemas.openxmlformats.org/officeDocument/2006/relationships/hyperlink" Target="https://drive.google.com/file/d/14yOLKz6xQ-f2rXoAd31NAfoZfcclkWkd/view?usp=drive_link" TargetMode="External"/><Relationship Id="rId600" Type="http://schemas.openxmlformats.org/officeDocument/2006/relationships/hyperlink" Target="https://gameserver-store-client-area.orbionlimited.com/Home/IntegrationGameLaunch/client-area?moneyType=0&amp;gameName=BlowFruits40&amp;platform=desktop&amp;languageCode=eng&amp;currency=EUR" TargetMode="External"/><Relationship Id="rId606" Type="http://schemas.openxmlformats.org/officeDocument/2006/relationships/hyperlink" Target="https://drive.google.com/file/d/1m2cQxpCNQfIiTNBZum4iZQ4bQKcgPfnP/view?usp=drive_link" TargetMode="External"/><Relationship Id="rId605" Type="http://schemas.openxmlformats.org/officeDocument/2006/relationships/hyperlink" Target="https://drive.google.com/file/d/1Bzk5T4MRXZAiUngZZUNnNYIqLHVoexC2/view?usp=drive_link" TargetMode="External"/><Relationship Id="rId604" Type="http://schemas.openxmlformats.org/officeDocument/2006/relationships/hyperlink" Target="https://gameserver-store-client-area.orbionlimited.com/Home/IntegrationGameLaunch/client-area?moneyType=0&amp;gameName=AgeOfRome&amp;platform=desktop&amp;languageCode=eng&amp;currency=EUR" TargetMode="External"/><Relationship Id="rId603" Type="http://schemas.openxmlformats.org/officeDocument/2006/relationships/hyperlink" Target="https://onlinegamespromo.fazi.rs/Home/IntegrationGameLaunch?moneyType=0&amp;gameName=AgeOfRome&amp;platform=desktop&amp;languageCode=eng&amp;currency=EUR" TargetMode="External"/><Relationship Id="rId1430" Type="http://schemas.openxmlformats.org/officeDocument/2006/relationships/hyperlink" Target="https://onlinegamespromo.fazi.rs/Home/IntegrationGameLaunch?moneyType=0&amp;gameName=PlayNetBitQueen&amp;platform=desktop&amp;languageCode=eng&amp;currency=EUR" TargetMode="External"/><Relationship Id="rId1431" Type="http://schemas.openxmlformats.org/officeDocument/2006/relationships/hyperlink" Target="https://gameserver-store-client-area.orbionlimited.com/Home/IntegrationGameLaunch/client-area?moneyType=0&amp;gameName=PlayNetBitQueen&amp;platform=desktop&amp;languageCode=eng&amp;currency=EUR" TargetMode="External"/><Relationship Id="rId1432" Type="http://schemas.openxmlformats.org/officeDocument/2006/relationships/hyperlink" Target="https://onlinegamespromo.fazi.rs/Home/IntegrationGameLaunch?moneyType=0&amp;gameName=PlayNetDashingHot40&amp;platform=desktop&amp;languageCode=eng&amp;currency=EUR" TargetMode="External"/><Relationship Id="rId1422" Type="http://schemas.openxmlformats.org/officeDocument/2006/relationships/hyperlink" Target="https://onlinegamespromo.fazi.rs/Home/IntegrationGameLaunch?moneyType=0&amp;gameName=PlayNetFruitJackPotx10000&amp;platform=desktop&amp;languageCode=eng&amp;currency=EUR" TargetMode="External"/><Relationship Id="rId1423" Type="http://schemas.openxmlformats.org/officeDocument/2006/relationships/hyperlink" Target="https://gameserver-store-client-area.orbionlimited.com/Home/IntegrationGameLaunch/client-area?moneyType=0&amp;gameName=PlayNetFruitJackPotx10000&amp;platform=desktop&amp;languageCode=eng&amp;currency=EUR" TargetMode="External"/><Relationship Id="rId1424" Type="http://schemas.openxmlformats.org/officeDocument/2006/relationships/hyperlink" Target="https://onlinegamespromo.fazi.rs/Home/IntegrationGameLaunch?moneyType=0&amp;gameName=PlayNet27LuckyFruits&amp;platform=desktop&amp;languageCode=eng&amp;currency=EUR" TargetMode="External"/><Relationship Id="rId1425" Type="http://schemas.openxmlformats.org/officeDocument/2006/relationships/hyperlink" Target="https://gameserver-store-client-area.orbionlimited.com/Home/IntegrationGameLaunch/client-area?moneyType=0&amp;gameName=PlayNet27LuckyFruits&amp;platform=desktop&amp;languageCode=eng&amp;currency=EUR" TargetMode="External"/><Relationship Id="rId1426" Type="http://schemas.openxmlformats.org/officeDocument/2006/relationships/hyperlink" Target="https://onlinegamespromo.fazi.rs/Home/IntegrationGameLaunch?moneyType=0&amp;gameName=PlayNetShadowHunt10&amp;platform=desktop&amp;languageCode=eng&amp;currency=EUR" TargetMode="External"/><Relationship Id="rId1427" Type="http://schemas.openxmlformats.org/officeDocument/2006/relationships/hyperlink" Target="https://gameserver-store-client-area.orbionlimited.com/Home/IntegrationGameLaunch/client-area?moneyType=0&amp;gameName=PlayNetShadowHunt10&amp;platform=desktop&amp;languageCode=eng&amp;currency=EUR" TargetMode="External"/><Relationship Id="rId1428" Type="http://schemas.openxmlformats.org/officeDocument/2006/relationships/hyperlink" Target="https://onlinegamespromo.fazi.rs/Home/IntegrationGameLaunch?moneyType=0&amp;gameName=PlayNetDiamondHeart20&amp;platform=desktop&amp;languageCode=eng&amp;currency=EUR" TargetMode="External"/><Relationship Id="rId1429" Type="http://schemas.openxmlformats.org/officeDocument/2006/relationships/hyperlink" Target="https://gameserver-store-client-area.orbionlimited.com/Home/IntegrationGameLaunch/client-area?moneyType=0&amp;gameName=PlayNetDiamondHeart20&amp;platform=desktop&amp;languageCode=eng&amp;currency=EUR" TargetMode="External"/><Relationship Id="rId1420" Type="http://schemas.openxmlformats.org/officeDocument/2006/relationships/hyperlink" Target="https://onlinegamespromo.fazi.rs/Home/IntegrationGameLaunch?moneyType=0&amp;gameName=PlayNetRoyalFlame40&amp;platform=desktop&amp;languageCode=eng&amp;currency=EUR" TargetMode="External"/><Relationship Id="rId1421" Type="http://schemas.openxmlformats.org/officeDocument/2006/relationships/hyperlink" Target="https://gameserver-store-client-area.orbionlimited.com/Home/IntegrationGameLaunch/client-area?moneyType=0&amp;gameName=PlayNetRoyalFlame40&amp;platform=desktop&amp;languageCode=eng&amp;currency=EUR" TargetMode="External"/><Relationship Id="rId1059" Type="http://schemas.openxmlformats.org/officeDocument/2006/relationships/hyperlink" Target="https://docs.google.com/document/d/1JUWW4nQltXBbyiLWnANAsePI56Gc7bx6/edit?usp=drive_link&amp;ouid=107596163405648766688&amp;rtpof=true&amp;sd=true" TargetMode="External"/><Relationship Id="rId228" Type="http://schemas.openxmlformats.org/officeDocument/2006/relationships/hyperlink" Target="https://gameserver-store-client-area.orbionlimited.com/Home/IntegrationGameLaunch/client-area?moneyType=0&amp;gameName=FruityWin40&amp;platform=desktop&amp;languageCode=eng&amp;currency=EUR" TargetMode="External"/><Relationship Id="rId227" Type="http://schemas.openxmlformats.org/officeDocument/2006/relationships/hyperlink" Target="https://onlinegamespromo.fazi.rs/Home/IntegrationGameLaunch?moneyType=0&amp;gameName=FruityWin40&amp;platform=desktop&amp;languageCode=eng&amp;currency=EUR" TargetMode="External"/><Relationship Id="rId226" Type="http://schemas.openxmlformats.org/officeDocument/2006/relationships/hyperlink" Target="https://gameserver-store-client-area.orbionlimited.com/Home/IntegrationGameLaunch/client-area?moneyType=0&amp;gameName=EyeOfTut&amp;platform=desktop&amp;languageCode=eng&amp;currency=EUR" TargetMode="External"/><Relationship Id="rId225" Type="http://schemas.openxmlformats.org/officeDocument/2006/relationships/hyperlink" Target="https://onlinegamespromo.fazi.rs/Home/IntegrationGameLaunch?moneyType=0&amp;gameName=EyeOfTut&amp;platform=desktop&amp;languageCode=eng&amp;currency=EUR" TargetMode="External"/><Relationship Id="rId229" Type="http://schemas.openxmlformats.org/officeDocument/2006/relationships/hyperlink" Target="https://docs.google.com/document/d/1I70szBKiznP9PJN0ObllSPE8NEvHilKj/edit?usp=drive_link&amp;ouid=107596163405648766688&amp;rtpof=true&amp;sd=true" TargetMode="External"/><Relationship Id="rId1050" Type="http://schemas.openxmlformats.org/officeDocument/2006/relationships/hyperlink" Target="https://gameserver-store-client-area.orbionlimited.com/Home/IntegrationGameLaunch/client-area?moneyType=0&amp;gameName=CoinSplashExtreme&amp;platform=desktop&amp;languageCode=eng&amp;currency=EUR" TargetMode="External"/><Relationship Id="rId220" Type="http://schemas.openxmlformats.org/officeDocument/2006/relationships/hyperlink" Target="https://gameserver-store-client-area.orbionlimited.com/Home/IntegrationGameLaunch/client-area?moneyType=0&amp;gameName=FruityHot&amp;platform=desktop&amp;languageCode=eng&amp;currency=EUR" TargetMode="External"/><Relationship Id="rId1051" Type="http://schemas.openxmlformats.org/officeDocument/2006/relationships/hyperlink" Target="https://drive.google.com/drive/folders/15If-w8kO7AuO2xHYBS8w2z47YmBhdYIa?usp=drive_link" TargetMode="External"/><Relationship Id="rId1052" Type="http://schemas.openxmlformats.org/officeDocument/2006/relationships/hyperlink" Target="https://drive.google.com/drive/folders/15If-w8kO7AuO2xHYBS8w2z47YmBhdYIa?usp=drive_link" TargetMode="External"/><Relationship Id="rId1053" Type="http://schemas.openxmlformats.org/officeDocument/2006/relationships/hyperlink" Target="https://gameserver-store-dev-03.fazi.rs/Home/IntegrationGameLaunch/fazi-stg16-03?moneyType=0&amp;gameName=HotClock&amp;currency=eur&amp;languageCode=eng" TargetMode="External"/><Relationship Id="rId1054" Type="http://schemas.openxmlformats.org/officeDocument/2006/relationships/hyperlink" Target="https://gameserver-store-client-area.orbionlimited.com/Home/IntegrationGameLaunch/client-area?moneyType=0&amp;gameName=HotClock&amp;platform=desktop&amp;languageCode=eng&amp;currency=EUR" TargetMode="External"/><Relationship Id="rId224" Type="http://schemas.openxmlformats.org/officeDocument/2006/relationships/hyperlink" Target="https://static.redstone.rs/games/action-hot-40/" TargetMode="External"/><Relationship Id="rId1055" Type="http://schemas.openxmlformats.org/officeDocument/2006/relationships/hyperlink" Target="https://docs.google.com/document/d/1wQKvroH717U3Tz5iLDLHctfsGMzwXNTX/edit?usp=drive_link&amp;ouid=107596163405648766688&amp;rtpof=true&amp;sd=true" TargetMode="External"/><Relationship Id="rId223" Type="http://schemas.openxmlformats.org/officeDocument/2006/relationships/hyperlink" Target="https://static.redstone.rs/games/action-hot-40/" TargetMode="External"/><Relationship Id="rId1056" Type="http://schemas.openxmlformats.org/officeDocument/2006/relationships/hyperlink" Target="https://docs.google.com/document/d/1IwYx_XrjmbWMYmCnxTslCwFx2GC9xycX/edit?usp=drive_link&amp;ouid=107596163405648766688&amp;rtpof=true&amp;sd=true" TargetMode="External"/><Relationship Id="rId222" Type="http://schemas.openxmlformats.org/officeDocument/2006/relationships/hyperlink" Target="https://docs.google.com/document/d/18iFKQdk7iCjneYcv34WRQOkNafpeBq1O/edit?usp=drive_link&amp;ouid=107596163405648766688&amp;rtpof=true&amp;sd=true" TargetMode="External"/><Relationship Id="rId1057" Type="http://schemas.openxmlformats.org/officeDocument/2006/relationships/hyperlink" Target="https://static.redstone.rs/games/10-wild-crown-halloween/" TargetMode="External"/><Relationship Id="rId221" Type="http://schemas.openxmlformats.org/officeDocument/2006/relationships/hyperlink" Target="https://docs.google.com/document/d/1nwnNzfl7oxEDxlJw4311vi-yBfC_ahNs/edit?usp=drive_link&amp;ouid=107596163405648766688&amp;rtpof=true&amp;sd=true" TargetMode="External"/><Relationship Id="rId1058" Type="http://schemas.openxmlformats.org/officeDocument/2006/relationships/hyperlink" Target="https://static.redstone.rs/games/10-wild-crown-halloween/" TargetMode="External"/><Relationship Id="rId1048" Type="http://schemas.openxmlformats.org/officeDocument/2006/relationships/hyperlink" Target="https://docs.google.com/document/d/1rFw9hKKp68GvTh-Nl3jKCE82IHC5AboA/edit?usp=drive_link&amp;ouid=114298052477200652286&amp;rtpof=true&amp;sd=true" TargetMode="External"/><Relationship Id="rId104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217" Type="http://schemas.openxmlformats.org/officeDocument/2006/relationships/hyperlink" Target="https://onlinegamespromo.fazi.rs/Home/IntegrationGameLaunch?moneyType=0&amp;gameName=BonusBells&amp;platform=desktop&amp;languageCode=eng&amp;currency=EUR" TargetMode="External"/><Relationship Id="rId216" Type="http://schemas.openxmlformats.org/officeDocument/2006/relationships/hyperlink" Target="https://gameserver-store-client-area.orbionlimited.com/Home/IntegrationGameLaunch/client-area?moneyType=0&amp;gameName=TurboHot100&amp;platform=desktop&amp;languageCode=eng&amp;currency=EUR" TargetMode="External"/><Relationship Id="rId215" Type="http://schemas.openxmlformats.org/officeDocument/2006/relationships/hyperlink" Target="https://onlinegamespromo.fazi.rs/Home/IntegrationGameLaunch?moneyType=0&amp;gameName=TurboHot100&amp;platform=desktop&amp;languageCode=eng&amp;currency=EUR" TargetMode="External"/><Relationship Id="rId699" Type="http://schemas.openxmlformats.org/officeDocument/2006/relationships/hyperlink" Target="https://onlinegamespromo.fazi.rs/Home/IntegrationGameLaunch?moneyType=0&amp;gameName=Unicorn20HotStrikeJackpot&amp;platform=desktop&amp;languageCode=eng&amp;currency=EUR" TargetMode="External"/><Relationship Id="rId214" Type="http://schemas.openxmlformats.org/officeDocument/2006/relationships/hyperlink" Target="https://gameserver-store-client-area.orbionlimited.com/Home/IntegrationGameLaunch/client-area?moneyType=0&amp;gameName=SevenClassicHot&amp;platform=desktop&amp;languageCode=eng&amp;currency=EUR" TargetMode="External"/><Relationship Id="rId698" Type="http://schemas.openxmlformats.org/officeDocument/2006/relationships/hyperlink" Target="https://gameserver-store-client-area.orbionlimited.com/Home/IntegrationGameLaunch/client-area?moneyType=0&amp;gameName=PlayNetDashingHot5&amp;platform=desktop&amp;languageCode=eng&amp;currency=EUR" TargetMode="External"/><Relationship Id="rId219" Type="http://schemas.openxmlformats.org/officeDocument/2006/relationships/hyperlink" Target="https://onlinegamespromo.fazi.rs/Home/IntegrationGameLaunch?moneyType=0&amp;gameName=FruityHot&amp;platform=desktop&amp;languageCode=eng&amp;currency=EUR" TargetMode="External"/><Relationship Id="rId218" Type="http://schemas.openxmlformats.org/officeDocument/2006/relationships/hyperlink" Target="https://gameserver-store-client-area.orbionlimited.com/Home/IntegrationGameLaunch/client-area?moneyType=0&amp;gameName=BonusBells&amp;platform=desktop&amp;languageCode=eng&amp;currency=EUR" TargetMode="External"/><Relationship Id="rId693" Type="http://schemas.openxmlformats.org/officeDocument/2006/relationships/hyperlink" Target="https://onlinegamespromo.fazi.rs/Home/IntegrationGameLaunch?moneyType=0&amp;gameName=Unicorn20SuperFlames&amp;platform=desktop&amp;languageCode=eng&amp;currency=EUR" TargetMode="External"/><Relationship Id="rId1040" Type="http://schemas.openxmlformats.org/officeDocument/2006/relationships/hyperlink" Target="https://gameserver-store-client-area.orbionlimited.com/Home/IntegrationGameLaunch/client-area?moneyType=0&amp;gameName=VeryHot40Booster&amp;platform=desktop&amp;languageCode=eng&amp;currency=EUR" TargetMode="External"/><Relationship Id="rId692" Type="http://schemas.openxmlformats.org/officeDocument/2006/relationships/hyperlink" Target="https://static.redstone.rs/games/spooky-spins/" TargetMode="External"/><Relationship Id="rId1041" Type="http://schemas.openxmlformats.org/officeDocument/2006/relationships/hyperlink" Target="https://onlinegamespromo.fazi.rs/Home/IntegrationGameLaunch?moneyType=0&amp;gameName=GoldenCrown40&amp;platform=desktop&amp;languageCode=eng&amp;currency=EUR" TargetMode="External"/><Relationship Id="rId691" Type="http://schemas.openxmlformats.org/officeDocument/2006/relationships/hyperlink" Target="https://static.redstone.rs/games/spooky-spins/" TargetMode="External"/><Relationship Id="rId1042" Type="http://schemas.openxmlformats.org/officeDocument/2006/relationships/hyperlink" Target="https://gameserver-store-client-area.orbionlimited.com/Home/IntegrationGameLaunch/client-area?moneyType=0&amp;gameName=GoldenCrown40Booster&amp;platform=desktop&amp;languageCode=eng&amp;currency=EUR" TargetMode="External"/><Relationship Id="rId690" Type="http://schemas.openxmlformats.org/officeDocument/2006/relationships/hyperlink" Target="https://drive.google.com/file/d/12CNoGZjqaGvqwtItrZMz6E9UyZ8XsoJZ/view?usp=drive_link" TargetMode="External"/><Relationship Id="rId1043" Type="http://schemas.openxmlformats.org/officeDocument/2006/relationships/hyperlink" Target="https://onlinegamespromo.fazi.rs/Home/IntegrationGameLaunch?moneyType=0&amp;gameName=BlowFruits40&amp;platform=desktop&amp;languageCode=eng&amp;currency=EUR" TargetMode="External"/><Relationship Id="rId213" Type="http://schemas.openxmlformats.org/officeDocument/2006/relationships/hyperlink" Target="https://onlinegamespromo.fazi.rs/Home/IntegrationGameLaunch?moneyType=0&amp;gameName=SevenClassicHot&amp;platform=desktop&amp;languageCode=eng&amp;currency=EUR" TargetMode="External"/><Relationship Id="rId697" Type="http://schemas.openxmlformats.org/officeDocument/2006/relationships/hyperlink" Target="https://onlinegamespromo.fazi.rs/Home/IntegrationGameLaunch?moneyType=0&amp;gameName=PlayNetDashingHot5&amp;platform=desktop&amp;languageCode=eng&amp;currency=EUR" TargetMode="External"/><Relationship Id="rId1044" Type="http://schemas.openxmlformats.org/officeDocument/2006/relationships/hyperlink" Target="https://gameserver-store-client-area.orbionlimited.com/Home/IntegrationGameLaunch/client-area?moneyType=0&amp;gameName=BrilliantHeartBooster&amp;platform=desktop&amp;languageCode=eng&amp;currency=EUR" TargetMode="External"/><Relationship Id="rId212" Type="http://schemas.openxmlformats.org/officeDocument/2006/relationships/hyperlink" Target="https://gameserver-store-client-area.orbionlimited.com/Home/IntegrationGameLaunch/client-area?moneyType=0&amp;gameName=TurboHot80&amp;platform=desktop&amp;languageCode=eng&amp;currency=EUR" TargetMode="External"/><Relationship Id="rId696" Type="http://schemas.openxmlformats.org/officeDocument/2006/relationships/hyperlink" Target="https://gameserver-store-client-area.orbionlimited.com/Home/IntegrationGameLaunch/client-area?moneyType=0&amp;gameName=PlayNet27WildStacks&amp;platform=desktop&amp;languageCode=eng&amp;currency=EUR" TargetMode="External"/><Relationship Id="rId1045" Type="http://schemas.openxmlformats.org/officeDocument/2006/relationships/hyperlink" Target="https://onlinegamespromo.fazi.rs/Home/IntegrationGameLaunch?moneyType=0&amp;gameName=EpicClover100Booster&amp;platform=desktop&amp;languageCode=eng&amp;currency=EUR" TargetMode="External"/><Relationship Id="rId211" Type="http://schemas.openxmlformats.org/officeDocument/2006/relationships/hyperlink" Target="https://onlinegamespromo.fazi.rs/Home/IntegrationGameLaunch?moneyType=0&amp;gameName=TurboHot80&amp;platform=desktop&amp;languageCode=eng&amp;currency=EUR" TargetMode="External"/><Relationship Id="rId695" Type="http://schemas.openxmlformats.org/officeDocument/2006/relationships/hyperlink" Target="https://onlinegamespromo.fazi.rs/Home/IntegrationGameLaunch?moneyType=0&amp;gameName=PlayNet27WildStacks&amp;platform=desktop&amp;languageCode=eng&amp;currency=EUR" TargetMode="External"/><Relationship Id="rId1046" Type="http://schemas.openxmlformats.org/officeDocument/2006/relationships/hyperlink" Target="https://gameserver-store-client-area.orbionlimited.com/Home/IntegrationGameLaunch/client-area?moneyType=0&amp;gameName=EpicClover100Booster&amp;platform=desktop&amp;languageCode=eng&amp;currency=EUR" TargetMode="External"/><Relationship Id="rId210" Type="http://schemas.openxmlformats.org/officeDocument/2006/relationships/hyperlink" Target="https://gameserver-store-client-area.orbionlimited.com/Home/IntegrationGameLaunch/client-area?moneyType=0&amp;gameName=CrystalHot100&amp;platform=desktop&amp;languageCode=eng&amp;currency=EUR" TargetMode="External"/><Relationship Id="rId694" Type="http://schemas.openxmlformats.org/officeDocument/2006/relationships/hyperlink" Target="https://gameserver-store-client-area.orbionlimited.com/Home/IntegrationGameLaunch/client-area?moneyType=0&amp;gameName=Unicorn20SuperFlames&amp;platform=desktop&amp;languageCode=eng&amp;currency=EUR" TargetMode="External"/><Relationship Id="rId1047" Type="http://schemas.openxmlformats.org/officeDocument/2006/relationships/hyperlink" Target="https://docs.google.com/document/d/1z_oBmRrusRG8QoBsKB7r1hO9I9nEW2i3/edit?usp=drive_link&amp;ouid=114298052477200652286&amp;rtpof=true&amp;sd=true" TargetMode="External"/><Relationship Id="rId249" Type="http://schemas.openxmlformats.org/officeDocument/2006/relationships/hyperlink" Target="https://onlinegamespromo.fazi.rs/Home/IntegrationGameLaunch?moneyType=0&amp;gameName=FruityHot5&amp;platform=desktop&amp;languageCode=eng&amp;currency=EUR" TargetMode="External"/><Relationship Id="rId248" Type="http://schemas.openxmlformats.org/officeDocument/2006/relationships/hyperlink" Target="https://gameserver-store-client-area.orbionlimited.com/Home/IntegrationGameLaunch/client-area?moneyType=0&amp;gameName=FruityWin20&amp;platform=desktop&amp;languageCode=eng&amp;currency=EUR" TargetMode="External"/><Relationship Id="rId247" Type="http://schemas.openxmlformats.org/officeDocument/2006/relationships/hyperlink" Target="https://onlinegamespromo.fazi.rs/Home/IntegrationGameLaunch?moneyType=0&amp;gameName=FruityWin20&amp;platform=desktop&amp;languageCode=eng&amp;currency=EUR" TargetMode="External"/><Relationship Id="rId1070" Type="http://schemas.openxmlformats.org/officeDocument/2006/relationships/hyperlink" Target="https://gameserver-store-client-area.orbionlimited.com/Home/IntegrationGameLaunch/client-area?moneyType=0&amp;gameName=UnicornSuperHighRunner&amp;platform=desktop&amp;languageCode=eng&amp;currency=EUR" TargetMode="External"/><Relationship Id="rId1071" Type="http://schemas.openxmlformats.org/officeDocument/2006/relationships/hyperlink" Target="https://onlinegamespromo.fazi.rs/Home/IntegrationGameLaunch?moneyType=0&amp;gameName=PlayNetBrewmastersBank&amp;platform=desktop&amp;languageCode=eng&amp;currency=EUR" TargetMode="External"/><Relationship Id="rId1072" Type="http://schemas.openxmlformats.org/officeDocument/2006/relationships/hyperlink" Target="https://gameserver-store-client-area.orbionlimited.com/Home/IntegrationGameLaunch/client-area?moneyType=0&amp;gameName=PlayNetBrewmastersBank&amp;platform=desktop&amp;languageCode=eng&amp;currency=EUR" TargetMode="External"/><Relationship Id="rId242" Type="http://schemas.openxmlformats.org/officeDocument/2006/relationships/hyperlink" Target="https://gameserver-store-client-area.orbionlimited.com/Home/IntegrationGameLaunch/client-area?moneyType=0&amp;gameName=KingOfThunder&amp;platform=desktop&amp;languageCode=eng&amp;currency=EUR" TargetMode="External"/><Relationship Id="rId1073" Type="http://schemas.openxmlformats.org/officeDocument/2006/relationships/hyperlink" Target="https://onlinegamespromo.fazi.rs/Home/IntegrationGameLaunch?moneyType=0&amp;gameName=UnicornBigSpinDice&amp;platform=desktop&amp;languageCode=eng&amp;currency=EUR" TargetMode="External"/><Relationship Id="rId241" Type="http://schemas.openxmlformats.org/officeDocument/2006/relationships/hyperlink" Target="https://onlinegamespromo.fazi.rs/Home/IntegrationGameLaunch?moneyType=0&amp;gameName=KingOfThunder&amp;platform=desktop&amp;languageCode=eng&amp;currency=EUR" TargetMode="External"/><Relationship Id="rId1074" Type="http://schemas.openxmlformats.org/officeDocument/2006/relationships/hyperlink" Target="https://gameserver-store-client-area.orbionlimited.com/Home/IntegrationGameLaunch/client-area?moneyType=0&amp;gameName=UnicornBigSpinDice&amp;platform=desktop&amp;languageCode=eng&amp;currency=EUR" TargetMode="External"/><Relationship Id="rId240" Type="http://schemas.openxmlformats.org/officeDocument/2006/relationships/hyperlink" Target="https://gameserver-store-client-area.orbionlimited.com/Home/IntegrationGameLaunch/client-area?moneyType=0&amp;gameName=VeryHot20&amp;platform=desktop&amp;languageCode=eng&amp;currency=EUR" TargetMode="External"/><Relationship Id="rId1075" Type="http://schemas.openxmlformats.org/officeDocument/2006/relationships/hyperlink" Target="https://onlinegamespromo.fazi.rs/Home/IntegrationGameLaunch?moneyType=0&amp;gameName=UnicornFruitIslandDice&amp;platform=desktop&amp;languageCode=eng&amp;currency=EUR" TargetMode="External"/><Relationship Id="rId1076" Type="http://schemas.openxmlformats.org/officeDocument/2006/relationships/hyperlink" Target="https://gameserver-store-client-area.orbionlimited.com/Home/IntegrationGameLaunch/client-area?moneyType=0&amp;gameName=UnicornFruitIslandDice&amp;platform=desktop&amp;languageCode=eng&amp;currency=EUR" TargetMode="External"/><Relationship Id="rId246" Type="http://schemas.openxmlformats.org/officeDocument/2006/relationships/hyperlink" Target="https://gameserver-store-client-area.orbionlimited.com/Home/IntegrationGameLaunch/client-area?moneyType=0&amp;gameName=CrystalHot40Max&amp;platform=desktop&amp;languageCode=eng&amp;currency=EUR" TargetMode="External"/><Relationship Id="rId1077" Type="http://schemas.openxmlformats.org/officeDocument/2006/relationships/hyperlink" Target="https://onlinegamespromo.fazi.rs/Home/IntegrationGameLaunch?moneyType=0&amp;gameName=UnicornStormDice&amp;platform=desktop&amp;languageCode=eng&amp;currency=EUR" TargetMode="External"/><Relationship Id="rId245" Type="http://schemas.openxmlformats.org/officeDocument/2006/relationships/hyperlink" Target="https://onlinegamespromo.fazi.rs/Home/IntegrationGameLaunch?moneyType=0&amp;gameName=CrystalHot40Max&amp;platform=desktop&amp;languageCode=eng&amp;currency=EUR" TargetMode="External"/><Relationship Id="rId1078" Type="http://schemas.openxmlformats.org/officeDocument/2006/relationships/hyperlink" Target="https://gameserver-store-client-area.orbionlimited.com/Home/IntegrationGameLaunch/client-area?moneyType=0&amp;gameName=UnicornStormDice&amp;platform=desktop&amp;languageCode=eng&amp;currency=EUR" TargetMode="External"/><Relationship Id="rId244" Type="http://schemas.openxmlformats.org/officeDocument/2006/relationships/hyperlink" Target="https://gameserver-store-client-area.orbionlimited.com/Home/IntegrationGameLaunch/client-area?moneyType=0&amp;gameName=BookOfSpells2&amp;platform=desktop&amp;languageCode=eng&amp;currency=EUR" TargetMode="External"/><Relationship Id="rId1079" Type="http://schemas.openxmlformats.org/officeDocument/2006/relationships/hyperlink" Target="https://onlinegamespromo.fazi.rs/Home/IntegrationGameLaunch?moneyType=0&amp;gameName=UnicornSantasRudolf&amp;platform=desktop&amp;languageCode=eng&amp;currency=EUR" TargetMode="External"/><Relationship Id="rId243" Type="http://schemas.openxmlformats.org/officeDocument/2006/relationships/hyperlink" Target="https://onlinegamespromo.fazi.rs/Home/IntegrationGameLaunch?moneyType=0&amp;gameName=BookOfSpells2&amp;platform=desktop&amp;languageCode=eng&amp;currency=EUR" TargetMode="External"/><Relationship Id="rId239" Type="http://schemas.openxmlformats.org/officeDocument/2006/relationships/hyperlink" Target="https://onlinegamespromo.fazi.rs/Home/IntegrationGameLaunch?moneyType=0&amp;gameName=VeryHot20&amp;platform=desktop&amp;languageCode=eng&amp;currency=EUR" TargetMode="External"/><Relationship Id="rId238" Type="http://schemas.openxmlformats.org/officeDocument/2006/relationships/hyperlink" Target="https://gameserver-store-client-area.orbionlimited.com/Home/IntegrationGameLaunch/client-area?moneyType=0&amp;gameName=Unicorn20MegaFlames&amp;platform=desktop&amp;languageCode=eng&amp;currency=EUR" TargetMode="External"/><Relationship Id="rId237" Type="http://schemas.openxmlformats.org/officeDocument/2006/relationships/hyperlink" Target="https://onlinegamespromo.fazi.rs/Home/IntegrationGameLaunch?moneyType=0&amp;gameName=Unicorn20MegaFlames&amp;platform=desktop&amp;languageCode=eng&amp;currency=EUR" TargetMode="External"/><Relationship Id="rId236" Type="http://schemas.openxmlformats.org/officeDocument/2006/relationships/hyperlink" Target="https://static.redstone.rs/games/40-cash-bells/" TargetMode="External"/><Relationship Id="rId1060" Type="http://schemas.openxmlformats.org/officeDocument/2006/relationships/hyperlink" Target="https://docs.google.com/document/d/1s_5ZB5oz6OlIkYiPyUg17u852A4cHd_l/edit?usp=drive_link&amp;ouid=107596163405648766688&amp;rtpof=true&amp;sd=true" TargetMode="External"/><Relationship Id="rId1061" Type="http://schemas.openxmlformats.org/officeDocument/2006/relationships/hyperlink" Target="https://static.redstone.rs/games/5-clover-fire-halloween/" TargetMode="External"/><Relationship Id="rId231" Type="http://schemas.openxmlformats.org/officeDocument/2006/relationships/hyperlink" Target="https://static.redstone.rs/games/action-hot-20/" TargetMode="External"/><Relationship Id="rId1062" Type="http://schemas.openxmlformats.org/officeDocument/2006/relationships/hyperlink" Target="https://static.redstone.rs/games/5-clover-fire-halloween/" TargetMode="External"/><Relationship Id="rId230" Type="http://schemas.openxmlformats.org/officeDocument/2006/relationships/hyperlink" Target="https://docs.google.com/document/d/1WNid3PmWjnfKjctAJN3sdrKWqZpmswUe/edit?usp=drive_link&amp;ouid=107596163405648766688&amp;rtpof=true&amp;sd=true" TargetMode="External"/><Relationship Id="rId1063" Type="http://schemas.openxmlformats.org/officeDocument/2006/relationships/hyperlink" Target="https://onlinegamespromo.fazi.rs/Home/IntegrationGameLaunch?moneyType=0&amp;gameName=FruitLock7&amp;platform=desktop&amp;languageCode=eng&amp;currency=EUR" TargetMode="External"/><Relationship Id="rId1064" Type="http://schemas.openxmlformats.org/officeDocument/2006/relationships/hyperlink" Target="https://gameserver-store-client-area.orbionlimited.com/Home/IntegrationGameLaunch/client-area?moneyType=0&amp;gameName=FruitLock7&amp;platform=desktop&amp;languageCode=eng&amp;currency=EUR" TargetMode="External"/><Relationship Id="rId1065" Type="http://schemas.openxmlformats.org/officeDocument/2006/relationships/hyperlink" Target="https://onlinegamespromo.fazi.rs/Home/IntegrationGameLaunch?moneyType=0&amp;gameName=GoldenCrown&amp;platform=desktop&amp;languageCode=eng&amp;currency=EUR" TargetMode="External"/><Relationship Id="rId235" Type="http://schemas.openxmlformats.org/officeDocument/2006/relationships/hyperlink" Target="https://static.redstone.rs/games/40-cash-bells/" TargetMode="External"/><Relationship Id="rId1066" Type="http://schemas.openxmlformats.org/officeDocument/2006/relationships/hyperlink" Target="https://gameserver-store-client-area.orbionlimited.com/Home/IntegrationGameLaunch/client-area?moneyType=0&amp;gameName=GoldenCrownHalloween&amp;platform=desktop&amp;languageCode=eng&amp;currency=EUR" TargetMode="External"/><Relationship Id="rId234" Type="http://schemas.openxmlformats.org/officeDocument/2006/relationships/hyperlink" Target="https://docs.google.com/document/d/1HKXxFgVjWiTtUnMBPA35r0ReKfgvUw3E/edit?usp=drive_link&amp;ouid=107596163405648766688&amp;rtpof=true&amp;sd=true" TargetMode="External"/><Relationship Id="rId1067" Type="http://schemas.openxmlformats.org/officeDocument/2006/relationships/hyperlink" Target="https://onlinegamespromo.fazi.rs/Home/IntegrationGameLaunch?moneyType=0&amp;gameName=Wild27Halloween&amp;lobbyUrl=https://www.fazi-interactive.com/" TargetMode="External"/><Relationship Id="rId233" Type="http://schemas.openxmlformats.org/officeDocument/2006/relationships/hyperlink" Target="https://docs.google.com/document/d/1CyErVCulJFeM4crdjcdYPGw9WRRQG_bT/edit?usp=drive_link&amp;ouid=107596163405648766688&amp;rtpof=true&amp;sd=true" TargetMode="External"/><Relationship Id="rId1068" Type="http://schemas.openxmlformats.org/officeDocument/2006/relationships/hyperlink" Target="https://gameserver-store-client-area.orbionlimited.com/Home/IntegrationGameLaunch/client-area?moneyType=0&amp;gameName=Wild27Halloween&amp;platform=desktop&amp;languageCode=eng&amp;currency=EUR" TargetMode="External"/><Relationship Id="rId232" Type="http://schemas.openxmlformats.org/officeDocument/2006/relationships/hyperlink" Target="https://static.redstone.rs/games/action-hot-20/" TargetMode="External"/><Relationship Id="rId1069" Type="http://schemas.openxmlformats.org/officeDocument/2006/relationships/hyperlink" Target="https://onlinegamespromo.fazi.rs/Home/IntegrationGameLaunch?moneyType=0&amp;gameName=UnicornSuperHighRunner&amp;platform=desktop&amp;languageCode=eng&amp;currency=EUR" TargetMode="External"/><Relationship Id="rId1015" Type="http://schemas.openxmlformats.org/officeDocument/2006/relationships/hyperlink" Target="https://onlinegamespromo.fazi.rs/Home/IntegrationGameLaunch?moneyType=0&amp;gameName=UnicornReelyWildReels&amp;platform=desktop&amp;languageCode=eng&amp;currency=EUR" TargetMode="External"/><Relationship Id="rId1499" Type="http://schemas.openxmlformats.org/officeDocument/2006/relationships/hyperlink" Target="https://onlinegamespromo.fazi.rs/Home/IntegrationGameLaunch?moneyType=0&amp;gameName=UnicornFruitPlayDice&amp;platform=desktop&amp;languageCode=eng&amp;currency=EUR" TargetMode="External"/><Relationship Id="rId1016" Type="http://schemas.openxmlformats.org/officeDocument/2006/relationships/hyperlink" Target="https://gameserver-store-client-area.orbionlimited.com/Home/IntegrationGameLaunch/client-area?moneyType=0&amp;gameName=UnicornReelyWildReels&amp;platform=desktop&amp;languageCode=eng&amp;currency=EUR" TargetMode="External"/><Relationship Id="rId1017" Type="http://schemas.openxmlformats.org/officeDocument/2006/relationships/hyperlink" Target="https://onlinegamespromo.fazi.rs/Home/IntegrationGameLaunch?moneyType=0&amp;gameName=UnicornDynamiteEscape&amp;platform=desktop&amp;languageCode=eng&amp;currency=EUR" TargetMode="External"/><Relationship Id="rId1018" Type="http://schemas.openxmlformats.org/officeDocument/2006/relationships/hyperlink" Target="https://gameserver-store-client-area.orbionlimited.com/Home/IntegrationGameLaunch/client-area?moneyType=0&amp;gameName=UnicornDynamiteEscape&amp;platform=desktop&amp;languageCode=eng&amp;currency=EUR" TargetMode="External"/><Relationship Id="rId1019" Type="http://schemas.openxmlformats.org/officeDocument/2006/relationships/hyperlink" Target="https://onlinegamespromo.fazi.rs/Home/IntegrationGameLaunch?moneyType=0&amp;gameName=UnicornBuffaloSevensJackpot&amp;platform=desktop&amp;languageCode=eng&amp;currency=EUR" TargetMode="External"/><Relationship Id="rId668" Type="http://schemas.openxmlformats.org/officeDocument/2006/relationships/hyperlink" Target="https://gameserver-store-client-area.orbionlimited.com/Home/IntegrationGameLaunch/client-area?moneyType=0&amp;gameName=PlayNetDiamondHeart5&amp;platform=desktop&amp;languageCode=eng&amp;currency=EUR" TargetMode="External"/><Relationship Id="rId667" Type="http://schemas.openxmlformats.org/officeDocument/2006/relationships/hyperlink" Target="https://onlinegamespromo.fazi.rs/Home/IntegrationGameLaunch?moneyType=0&amp;gameName=PlayNetDiamondHeart5&amp;platform=desktop&amp;languageCode=eng&amp;currency=EUR" TargetMode="External"/><Relationship Id="rId666" Type="http://schemas.openxmlformats.org/officeDocument/2006/relationships/hyperlink" Target="https://gameserver-store-client-area.orbionlimited.com/Home/IntegrationGameLaunch/client-area?moneyType=0&amp;gameName=PlayNetFortuneClover40&amp;platform=desktop&amp;languageCode=eng&amp;currency=EUR" TargetMode="External"/><Relationship Id="rId665" Type="http://schemas.openxmlformats.org/officeDocument/2006/relationships/hyperlink" Target="https://onlinegamespromo.fazi.rs/Home/IntegrationGameLaunch?moneyType=0&amp;gameName=PlayNetFortuneClover40&amp;platform=desktop&amp;languageCode=eng&amp;currency=EUR" TargetMode="External"/><Relationship Id="rId669" Type="http://schemas.openxmlformats.org/officeDocument/2006/relationships/hyperlink" Target="https://docs.google.com/document/d/1W3Ba_cSXNdHIMN1RMBvGdFZYpyMiDgSn/edit?usp=drive_link&amp;ouid=107596163405648766688&amp;rtpof=true&amp;sd=true" TargetMode="External"/><Relationship Id="rId1490" Type="http://schemas.openxmlformats.org/officeDocument/2006/relationships/hyperlink" Target="https://gameserver-store-client-area.orbionlimited.com/Home/IntegrationGameLaunch/client-area?moneyType=0&amp;gameName=CoinkBank&amp;platform=desktop&amp;languageCode=eng&amp;currency=EUR" TargetMode="External"/><Relationship Id="rId660" Type="http://schemas.openxmlformats.org/officeDocument/2006/relationships/hyperlink" Target="https://gameserver-store-client-area.orbionlimited.com/Home/IntegrationGameLaunch/client-area?moneyType=0&amp;gameName=MajesticCrown10&amp;platform=desktop&amp;languageCode=eng&amp;currency=EUR" TargetMode="External"/><Relationship Id="rId1491" Type="http://schemas.openxmlformats.org/officeDocument/2006/relationships/hyperlink" Target="https://gameserver-store-client-area.orbionlimited.com/Home/IntegrationGameLaunch/client-area?moneyType=0&amp;gameName=RetroFlame5&amp;platform=desktop&amp;languageCode=eng&amp;currency=EUR" TargetMode="External"/><Relationship Id="rId1492" Type="http://schemas.openxmlformats.org/officeDocument/2006/relationships/hyperlink" Target="https://onlinegamespromo.fazi.rs/Home/IntegrationGameLaunch?moneyType=0&amp;gameName=ExtremeStickyClover&amp;platform=desktop&amp;languageCode=eng&amp;currency=EUR" TargetMode="External"/><Relationship Id="rId1493" Type="http://schemas.openxmlformats.org/officeDocument/2006/relationships/hyperlink" Target="https://onlinegamespromo.fazi.rs/Home/IntegrationGameLaunch?moneyType=0&amp;gameName=ExtremeHeat7s&amp;platform=desktop&amp;languageCode=eng&amp;currency=EUR" TargetMode="External"/><Relationship Id="rId1010" Type="http://schemas.openxmlformats.org/officeDocument/2006/relationships/hyperlink" Target="https://static.redstone.rs/games/divine-strike/" TargetMode="External"/><Relationship Id="rId1494" Type="http://schemas.openxmlformats.org/officeDocument/2006/relationships/hyperlink" Target="https://gameserver-store-client-area.orbionlimited.com/Home/IntegrationGameLaunch/client-area?moneyType=0&amp;gameName=ExtremeHeat7s&amp;platform=desktop&amp;languageCode=eng&amp;currency=EUR" TargetMode="External"/><Relationship Id="rId664" Type="http://schemas.openxmlformats.org/officeDocument/2006/relationships/hyperlink" Target="https://static.redstone.rs/games/double-clover-fire/" TargetMode="External"/><Relationship Id="rId1011" Type="http://schemas.openxmlformats.org/officeDocument/2006/relationships/hyperlink" Target="https://onlinegamespromo.fazi.rs/Home/IntegrationGameLaunch?moneyType=0&amp;gameName=UnicornEnchantedGems&amp;platform=desktop&amp;languageCode=eng&amp;currency=EUR" TargetMode="External"/><Relationship Id="rId1495" Type="http://schemas.openxmlformats.org/officeDocument/2006/relationships/hyperlink" Target="https://onlinegamespromo.fazi.rs/Home/IntegrationGameLaunch?moneyType=0&amp;gameName=BonusWild81Extralines&amp;platform=desktop&amp;languageCode=eng&amp;currency=EUR" TargetMode="External"/><Relationship Id="rId663" Type="http://schemas.openxmlformats.org/officeDocument/2006/relationships/hyperlink" Target="https://static.redstone.rs/games/double-clover-fire/" TargetMode="External"/><Relationship Id="rId1012" Type="http://schemas.openxmlformats.org/officeDocument/2006/relationships/hyperlink" Target="https://gameserver-store-client-area.orbionlimited.com/Home/IntegrationGameLaunch/client-area?moneyType=0&amp;gameName=UnicornEnchantedGems&amp;platform=desktop&amp;languageCode=eng&amp;currency=EUR" TargetMode="External"/><Relationship Id="rId1496" Type="http://schemas.openxmlformats.org/officeDocument/2006/relationships/hyperlink" Target="https://gameserver-store-client-area.orbionlimited.com/Home/IntegrationGameLaunch/client-area?moneyType=0&amp;gameName=BonusWild81Extralines&amp;platform=desktop&amp;languageCode=eng&amp;currency=EUR" TargetMode="External"/><Relationship Id="rId662" Type="http://schemas.openxmlformats.org/officeDocument/2006/relationships/hyperlink" Target="https://docs.google.com/document/d/1mXBnKRVcNAjM-HC47zcxr6236JVcRFYE/edit?usp=drive_link&amp;ouid=107596163405648766688&amp;rtpof=true&amp;sd=true" TargetMode="External"/><Relationship Id="rId1013" Type="http://schemas.openxmlformats.org/officeDocument/2006/relationships/hyperlink" Target="https://onlinegamespromo.fazi.rs/Home/IntegrationGameLaunch?moneyType=0&amp;gameName=UnicornSupremeSevensDice&amp;platform=desktop&amp;languageCode=eng&amp;currency=EUR" TargetMode="External"/><Relationship Id="rId1497" Type="http://schemas.openxmlformats.org/officeDocument/2006/relationships/hyperlink" Target="https://onlinegamespromo.fazi.rs/Home/IntegrationGameLaunch?moneyType=0&amp;gameName=UnicornFlamyFireballs&amp;platform=desktop&amp;languageCode=eng&amp;currency=EUR" TargetMode="External"/><Relationship Id="rId661" Type="http://schemas.openxmlformats.org/officeDocument/2006/relationships/hyperlink" Target="https://docs.google.com/document/d/1GjMjFhDDra5S98Eu8oW327f3zalMBGyI/edit?usp=drive_link&amp;ouid=107596163405648766688&amp;rtpof=true&amp;sd=true" TargetMode="External"/><Relationship Id="rId1014" Type="http://schemas.openxmlformats.org/officeDocument/2006/relationships/hyperlink" Target="https://gameserver-store-client-area.orbionlimited.com/Home/IntegrationGameLaunch/client-area?moneyType=0&amp;gameName=UnicornSupremeSevensDice&amp;platform=desktop&amp;languageCode=eng&amp;currency=EUR" TargetMode="External"/><Relationship Id="rId1498" Type="http://schemas.openxmlformats.org/officeDocument/2006/relationships/hyperlink" Target="https://gameserver-store-client-area.orbionlimited.com/Home/IntegrationGameLaunch/client-area?moneyType=0&amp;gameName=UnicornFlamyFireballs&amp;platform=desktop&amp;languageCode=eng&amp;currency=EUR" TargetMode="External"/><Relationship Id="rId1004" Type="http://schemas.openxmlformats.org/officeDocument/2006/relationships/hyperlink" Target="https://drive.google.com/file/d/1yBoSRTbPDKFVw5zsHcyLBdPtQIqkS0QY/view?usp=drive_link" TargetMode="External"/><Relationship Id="rId1488" Type="http://schemas.openxmlformats.org/officeDocument/2006/relationships/hyperlink" Target="https://rgs-hot-chili-fiesta.soko.games/?demo=True&amp;locale=eng" TargetMode="External"/><Relationship Id="rId1005" Type="http://schemas.openxmlformats.org/officeDocument/2006/relationships/hyperlink" Target="https://static.redstone.rs/games/777-extra-chance/" TargetMode="External"/><Relationship Id="rId1489" Type="http://schemas.openxmlformats.org/officeDocument/2006/relationships/hyperlink" Target="https://onlinegamespromo.fazi.rs/Home/IntegrationGameLaunch?moneyType=0&amp;gameName=CoinkBank&amp;platform=desktop&amp;languageCode=eng&amp;currency=EUR" TargetMode="External"/><Relationship Id="rId1006" Type="http://schemas.openxmlformats.org/officeDocument/2006/relationships/hyperlink" Target="https://static.redstone.rs/games/777-extra-chance/" TargetMode="External"/><Relationship Id="rId1007" Type="http://schemas.openxmlformats.org/officeDocument/2006/relationships/hyperlink" Target="https://drive.google.com/file/d/1sozgxAOMJhmouetXB1qT8TA_QKMRoOeC/view?usp=drive_link" TargetMode="External"/><Relationship Id="rId1008" Type="http://schemas.openxmlformats.org/officeDocument/2006/relationships/hyperlink" Target="https://drive.google.com/file/d/1wVT1F3jhJ2gCAvE-C8Xt1INuqdOIXZPh/view?usp=drive_link" TargetMode="External"/><Relationship Id="rId1009" Type="http://schemas.openxmlformats.org/officeDocument/2006/relationships/hyperlink" Target="https://static.redstone.rs/games/divine-strike/" TargetMode="External"/><Relationship Id="rId657" Type="http://schemas.openxmlformats.org/officeDocument/2006/relationships/hyperlink" Target="https://onlinegamespromo.fazi.rs/Home/IntegrationGameLaunch?moneyType=0&amp;gameName=FortuneClover5&amp;platform=desktop&amp;languageCode=eng&amp;currency=EUR" TargetMode="External"/><Relationship Id="rId656" Type="http://schemas.openxmlformats.org/officeDocument/2006/relationships/hyperlink" Target="https://static.redstone.rs/games/apollo-27-classic/" TargetMode="External"/><Relationship Id="rId655" Type="http://schemas.openxmlformats.org/officeDocument/2006/relationships/hyperlink" Target="https://static.redstone.rs/games/apollo-27-classic/" TargetMode="External"/><Relationship Id="rId654" Type="http://schemas.openxmlformats.org/officeDocument/2006/relationships/hyperlink" Target="https://docs.google.com/document/d/1oou0d1yvLwRN0xVZsxval7CIO-R8ZPqx/edit?usp=drive_link&amp;ouid=107596163405648766688&amp;rtpof=true&amp;sd=true" TargetMode="External"/><Relationship Id="rId659" Type="http://schemas.openxmlformats.org/officeDocument/2006/relationships/hyperlink" Target="https://onlinegamespromo.fazi.rs/Home/IntegrationGameLaunch?moneyType=0&amp;gameName=MajesticCrown10&amp;platform=desktop&amp;languageCode=eng&amp;currency=EUR" TargetMode="External"/><Relationship Id="rId658" Type="http://schemas.openxmlformats.org/officeDocument/2006/relationships/hyperlink" Target="https://gameserver-store-client-area.orbionlimited.com/Home/IntegrationGameLaunch/client-area?moneyType=0&amp;gameName=FortuneClover5&amp;platform=desktop&amp;languageCode=eng&amp;currency=EUR" TargetMode="External"/><Relationship Id="rId1480" Type="http://schemas.openxmlformats.org/officeDocument/2006/relationships/hyperlink" Target="https://dicebyte.sharepoint.com/:w:/g/IQBMvZcM-ZEMSIz3gv35CviIAT5NyCws_wmwUJJ_l1POEws?e=rosiY8" TargetMode="External"/><Relationship Id="rId1481" Type="http://schemas.openxmlformats.org/officeDocument/2006/relationships/hyperlink" Target="https://dicebyte.sharepoint.com/:w:/g/IQBkSwp3xWGoS6JWHr34lPnLAUTBake1SLvmEpk02u-x400?e=mDOD51" TargetMode="External"/><Relationship Id="rId1482" Type="http://schemas.openxmlformats.org/officeDocument/2006/relationships/hyperlink" Target="https://rgs-lucky-crown-10.soko.games/?demo=True&amp;locale=eng" TargetMode="External"/><Relationship Id="rId1483" Type="http://schemas.openxmlformats.org/officeDocument/2006/relationships/hyperlink" Target="https://rgs-lucky-crown-10.soko.games/" TargetMode="External"/><Relationship Id="rId653" Type="http://schemas.openxmlformats.org/officeDocument/2006/relationships/hyperlink" Target="https://docs.google.com/document/d/1U8Oko8zxhZUB-T_GMeF5oSqREzEyeBXj/edit?usp=drive_link&amp;ouid=107596163405648766688&amp;rtpof=true&amp;sd=true" TargetMode="External"/><Relationship Id="rId1000" Type="http://schemas.openxmlformats.org/officeDocument/2006/relationships/hyperlink" Target="https://drive.google.com/file/d/1PNTSXbNOv7IUVWEaPyuY1S9I2kNKYxok/view?usp=drive_link" TargetMode="External"/><Relationship Id="rId1484" Type="http://schemas.openxmlformats.org/officeDocument/2006/relationships/hyperlink" Target="https://onlinegamespromo.fazi.rs/Home/IntegrationGameLaunch?moneyType=0&amp;gameName=HotClockExtreme&amp;platform=desktop&amp;languageCode=eng&amp;currency=EUR" TargetMode="External"/><Relationship Id="rId652" Type="http://schemas.openxmlformats.org/officeDocument/2006/relationships/hyperlink" Target="https://gameserver-store-client-area.orbionlimited.com/Home/IntegrationGameLaunch/client-area?moneyType=0&amp;gameName=UnicornLavaDice&amp;platform=desktop&amp;languageCode=eng&amp;currency=EUR" TargetMode="External"/><Relationship Id="rId1001" Type="http://schemas.openxmlformats.org/officeDocument/2006/relationships/hyperlink" Target="https://static.redstone.rs/games/sevens-heaven/" TargetMode="External"/><Relationship Id="rId1485" Type="http://schemas.openxmlformats.org/officeDocument/2006/relationships/hyperlink" Target="https://gameserver-store-client-area.orbionlimited.com/Home/IntegrationGameLaunch/client-area?moneyType=0&amp;gameName=HotClockExtreme&amp;platform=desktop&amp;languageCode=eng&amp;currency=EUR" TargetMode="External"/><Relationship Id="rId651" Type="http://schemas.openxmlformats.org/officeDocument/2006/relationships/hyperlink" Target="https://onlinegamespromo.fazi.rs/Home/IntegrationGameLaunch?moneyType=0&amp;gameName=UnicornLavaDice&amp;platform=desktop&amp;languageCode=eng&amp;currency=EUR" TargetMode="External"/><Relationship Id="rId1002" Type="http://schemas.openxmlformats.org/officeDocument/2006/relationships/hyperlink" Target="https://static.redstone.rs/games/sevens-heaven/" TargetMode="External"/><Relationship Id="rId1486" Type="http://schemas.openxmlformats.org/officeDocument/2006/relationships/hyperlink" Target="https://dicebyte.sharepoint.com/:w:/g/IQCmalLbiZrmQIgI2LtUxvBeAZOOO2FkUmehqQc_ao6RBk4?e=ldgg7g" TargetMode="External"/><Relationship Id="rId650" Type="http://schemas.openxmlformats.org/officeDocument/2006/relationships/hyperlink" Target="https://static.redstone.rs/games/81-vegas-crown/" TargetMode="External"/><Relationship Id="rId1003" Type="http://schemas.openxmlformats.org/officeDocument/2006/relationships/hyperlink" Target="https://drive.google.com/file/d/14aIlIqcZg1Skq3bwzv1xwbhfZKAM3Afg/view?usp=drive_link" TargetMode="External"/><Relationship Id="rId1487" Type="http://schemas.openxmlformats.org/officeDocument/2006/relationships/hyperlink" Target="https://dicebyte.sharepoint.com/:w:/g/IQCdF4DCdHzrQIM4kGL3LM3tARwUDDmvdNwA98IbBO-rHXU?e=yR1hzV" TargetMode="External"/><Relationship Id="rId1037" Type="http://schemas.openxmlformats.org/officeDocument/2006/relationships/hyperlink" Target="https://onlinegamespromo.fazi.rs/Home/IntegrationGameLaunch?moneyType=0&amp;gameName=GoldenCrownMaxBooster&amp;platform=desktop&amp;languageCode=eng&amp;currency=EUR" TargetMode="External"/><Relationship Id="rId1038" Type="http://schemas.openxmlformats.org/officeDocument/2006/relationships/hyperlink" Target="https://gameserver-store-client-area.orbionlimited.com/Home/IntegrationGameLaunch/client-area?moneyType=0&amp;gameName=GoldenCrownMaxBooster&amp;platform=desktop&amp;languageCode=eng&amp;currency=EUR" TargetMode="External"/><Relationship Id="rId1039" Type="http://schemas.openxmlformats.org/officeDocument/2006/relationships/hyperlink" Target="https://onlinegamespromo.fazi.rs/Home/IntegrationGameLaunch?moneyType=0&amp;gameName=VeryHot40Booster&amp;platform=desktop&amp;languageCode=eng&amp;currency=EUR" TargetMode="External"/><Relationship Id="rId206" Type="http://schemas.openxmlformats.org/officeDocument/2006/relationships/hyperlink" Target="https://gameserver-store-client-area.orbionlimited.com/Home/IntegrationGameLaunch/client-area?moneyType=0&amp;gameName=UnicornGreatWhale&amp;platform=desktop&amp;languageCode=eng&amp;currency=EUR" TargetMode="External"/><Relationship Id="rId205" Type="http://schemas.openxmlformats.org/officeDocument/2006/relationships/hyperlink" Target="https://onlinegamespromo.fazi.rs/Home/IntegrationGameLaunch?moneyType=0&amp;gameName=UnicornGreatWhale&amp;platform=desktop&amp;languageCode=eng&amp;currency=EUR" TargetMode="External"/><Relationship Id="rId689" Type="http://schemas.openxmlformats.org/officeDocument/2006/relationships/hyperlink" Target="https://drive.google.com/file/d/16Oz2qdJrgfgOytfKWbOZ9JQQQuXI4TGK/view?usp=drive_link" TargetMode="External"/><Relationship Id="rId204" Type="http://schemas.openxmlformats.org/officeDocument/2006/relationships/hyperlink" Target="https://gameserver-store-client-area.orbionlimited.com/Home/IntegrationGameLaunch/client-area?moneyType=0&amp;gameName=ElGrandeToro&amp;platform=desktop&amp;languageCode=eng&amp;currency=EUR" TargetMode="External"/><Relationship Id="rId688" Type="http://schemas.openxmlformats.org/officeDocument/2006/relationships/hyperlink" Target="https://gameserver-store-client-area.orbionlimited.com/Home/IntegrationGameLaunch/client-area?moneyType=0&amp;gameName=UnicornHitLine&amp;platform=desktop&amp;languageCode=eng&amp;currency=EUR" TargetMode="External"/><Relationship Id="rId203" Type="http://schemas.openxmlformats.org/officeDocument/2006/relationships/hyperlink" Target="https://onlinegamespromo.fazi.rs/Home/IntegrationGameLaunch?moneyType=0&amp;gameName=ElGrandeToro&amp;platform=desktop&amp;languageCode=eng&amp;currency=EUR" TargetMode="External"/><Relationship Id="rId687" Type="http://schemas.openxmlformats.org/officeDocument/2006/relationships/hyperlink" Target="https://onlinegamespromo.fazi.rs/Home/IntegrationGameLaunch?moneyType=0&amp;gameName=UnicornHitLine&amp;platform=desktop&amp;languageCode=eng&amp;currency=EUR" TargetMode="External"/><Relationship Id="rId209" Type="http://schemas.openxmlformats.org/officeDocument/2006/relationships/hyperlink" Target="https://onlinegamespromo.fazi.rs/Home/IntegrationGameLaunch?moneyType=0&amp;gameName=CrystalHot100&amp;platform=desktop&amp;languageCode=eng&amp;currency=EUR" TargetMode="External"/><Relationship Id="rId208" Type="http://schemas.openxmlformats.org/officeDocument/2006/relationships/hyperlink" Target="https://gameserver-store-client-area.orbionlimited.com/Home/IntegrationGameLaunch/client-area?moneyType=0&amp;gameName=WinningStars&amp;platform=desktop&amp;languageCode=eng&amp;currency=EUR" TargetMode="External"/><Relationship Id="rId207" Type="http://schemas.openxmlformats.org/officeDocument/2006/relationships/hyperlink" Target="https://onlinegamespromo.fazi.rs/Home/IntegrationGameLaunch?moneyType=0&amp;gameName=WinningStars&amp;platform=desktop&amp;languageCode=eng&amp;currency=EUR" TargetMode="External"/><Relationship Id="rId682" Type="http://schemas.openxmlformats.org/officeDocument/2006/relationships/hyperlink" Target="https://gameserver-store-client-area.orbionlimited.com/Home/IntegrationGameLaunch/client-area?moneyType=0&amp;gameName=UnicornPumpkinHorror&amp;platform=desktop&amp;languageCode=eng&amp;currency=EUR" TargetMode="External"/><Relationship Id="rId681" Type="http://schemas.openxmlformats.org/officeDocument/2006/relationships/hyperlink" Target="https://onlinegamespromo.fazi.rs/Home/IntegrationGameLaunch?moneyType=0&amp;gameName=UnicornPumpkinHorror&amp;platform=desktop&amp;languageCode=eng&amp;currency=EUR" TargetMode="External"/><Relationship Id="rId1030" Type="http://schemas.openxmlformats.org/officeDocument/2006/relationships/hyperlink" Target="https://gameserver-store-client-area.orbionlimited.com/Home/IntegrationGameLaunch/client-area?moneyType=0&amp;gameName=UnicornCoyoteSevensHalloween&amp;platform=desktop&amp;languageCode=eng&amp;currency=EUR" TargetMode="External"/><Relationship Id="rId680" Type="http://schemas.openxmlformats.org/officeDocument/2006/relationships/hyperlink" Target="https://gameserver-store-client-area.orbionlimited.com/Home/IntegrationGameLaunch/client-area?moneyType=0&amp;gameName=UnicornLavaDiamondsChristmas&amp;platform=desktop&amp;languageCode=eng&amp;currency=EUR" TargetMode="External"/><Relationship Id="rId1031" Type="http://schemas.openxmlformats.org/officeDocument/2006/relationships/hyperlink" Target="https://onlinegamespromo.fazi.rs/Home/IntegrationGameLaunch?moneyType=0&amp;gameName=UnicornLavaGems&amp;platform=desktop&amp;languageCode=eng&amp;currency=EUR" TargetMode="External"/><Relationship Id="rId1032" Type="http://schemas.openxmlformats.org/officeDocument/2006/relationships/hyperlink" Target="https://gameserver-store-client-area.orbionlimited.com/Home/IntegrationGameLaunch/client-area?moneyType=0&amp;gameName=UnicornLavaGems&amp;platform=desktop&amp;languageCode=eng&amp;currency=EUR" TargetMode="External"/><Relationship Id="rId202" Type="http://schemas.openxmlformats.org/officeDocument/2006/relationships/hyperlink" Target="https://gameserver-store-client-area.orbionlimited.com/Home/IntegrationGameLaunch/client-area?moneyType=0&amp;gameName=CrystalHot40Free&amp;platform=desktop&amp;languageCode=eng&amp;currency=EUR" TargetMode="External"/><Relationship Id="rId686" Type="http://schemas.openxmlformats.org/officeDocument/2006/relationships/hyperlink" Target="https://gameserver-store-client-area.orbionlimited.com/Home/IntegrationGameLaunch/client-area?moneyType=0&amp;gameName=PlayNetDiamondHeart40&amp;platform=desktop&amp;languageCode=eng&amp;currency=EUR" TargetMode="External"/><Relationship Id="rId1033" Type="http://schemas.openxmlformats.org/officeDocument/2006/relationships/hyperlink" Target="https://onlinegamespromo.fazi.rs/Home/IntegrationGameLaunch?moneyType=0&amp;gameName=UnicornTheKingsHalloween&amp;platform=desktop&amp;languageCode=eng&amp;currency=EUR" TargetMode="External"/><Relationship Id="rId201" Type="http://schemas.openxmlformats.org/officeDocument/2006/relationships/hyperlink" Target="https://onlinegamespromo.fazi.rs/Home/IntegrationGameLaunch?moneyType=0&amp;gameName=CrystalHot40Free&amp;platform=desktop&amp;languageCode=eng&amp;currency=EUR" TargetMode="External"/><Relationship Id="rId685" Type="http://schemas.openxmlformats.org/officeDocument/2006/relationships/hyperlink" Target="https://onlinegamespromo.fazi.rs/Home/IntegrationGameLaunch?moneyType=0&amp;gameName=PlayNetDiamondHeart40&amp;platform=desktop&amp;languageCode=eng&amp;currency=EUR" TargetMode="External"/><Relationship Id="rId1034" Type="http://schemas.openxmlformats.org/officeDocument/2006/relationships/hyperlink" Target="https://gameserver-store-client-area.orbionlimited.com/Home/IntegrationGameLaunch/client-area?moneyType=0&amp;gameName=UnicornTheKingsHalloween&amp;platform=desktop&amp;languageCode=eng&amp;currency=EUR" TargetMode="External"/><Relationship Id="rId200" Type="http://schemas.openxmlformats.org/officeDocument/2006/relationships/hyperlink" Target="https://gameserver-store-client-area.orbionlimited.com/Home/IntegrationGameLaunch/client-area?moneyType=0&amp;gameName=LuckyBrilliants&amp;platform=desktop&amp;languageCode=eng&amp;currency=EUR" TargetMode="External"/><Relationship Id="rId684" Type="http://schemas.openxmlformats.org/officeDocument/2006/relationships/hyperlink" Target="https://gameserver-store-client-area.orbionlimited.com/Home/IntegrationGameLaunch/client-area?moneyType=0&amp;gameName=PlayNetMajesticCrown20&amp;platform=desktop&amp;languageCode=eng&amp;currency=EUR" TargetMode="External"/><Relationship Id="rId1035" Type="http://schemas.openxmlformats.org/officeDocument/2006/relationships/hyperlink" Target="https://onlinegamespromo.fazi.rs/Home/IntegrationGameLaunch?moneyType=0&amp;gameName=WildSunFlower&amp;lobbyUrl=https://www.fazi-interactive.com/" TargetMode="External"/><Relationship Id="rId683" Type="http://schemas.openxmlformats.org/officeDocument/2006/relationships/hyperlink" Target="https://onlinegamespromo.fazi.rs/Home/IntegrationGameLaunch?moneyType=0&amp;gameName=PlayNetMajesticCrown20&amp;platform=desktop&amp;languageCode=eng&amp;currency=EUR" TargetMode="External"/><Relationship Id="rId1036" Type="http://schemas.openxmlformats.org/officeDocument/2006/relationships/hyperlink" Target="https://gameserver-store-client-area.orbionlimited.com/Home/IntegrationGameLaunch/client-area?moneyType=0&amp;gameName=WildSunflower&amp;platform=desktop&amp;languageCode=eng&amp;currency=EUR" TargetMode="External"/><Relationship Id="rId1026" Type="http://schemas.openxmlformats.org/officeDocument/2006/relationships/hyperlink" Target="https://gameserver-store-client-area.orbionlimited.com/Home/IntegrationGameLaunch/client-area?moneyType=0&amp;gameName=UnicornFruitIslandJackpot&amp;platform=desktop&amp;languageCode=eng&amp;currency=EUR" TargetMode="External"/><Relationship Id="rId1027" Type="http://schemas.openxmlformats.org/officeDocument/2006/relationships/hyperlink" Target="https://onlinegamespromo.fazi.rs/Home/IntegrationGameLaunch?moneyType=0&amp;gameName=UnicornCollectCall&amp;platform=desktop&amp;languageCode=eng&amp;currency=EUR" TargetMode="External"/><Relationship Id="rId1028" Type="http://schemas.openxmlformats.org/officeDocument/2006/relationships/hyperlink" Target="https://gameserver-store-client-area.orbionlimited.com/Home/IntegrationGameLaunch/client-area?moneyType=0&amp;gameName=UnicornCollectCall&amp;platform=desktop&amp;languageCode=eng&amp;currency=EUR" TargetMode="External"/><Relationship Id="rId1029" Type="http://schemas.openxmlformats.org/officeDocument/2006/relationships/hyperlink" Target="https://onlinegamespromo.fazi.rs/Home/IntegrationGameLaunch?moneyType=0&amp;gameName=UnicornCoyoteSevensHalloween&amp;platform=desktop&amp;languageCode=eng&amp;currency=EUR" TargetMode="External"/><Relationship Id="rId679" Type="http://schemas.openxmlformats.org/officeDocument/2006/relationships/hyperlink" Target="https://onlinegamespromo.fazi.rs/Home/IntegrationGameLaunch?moneyType=0&amp;gameName=UnicornLavaDiamondsChristmas&amp;platform=desktop&amp;languageCode=eng&amp;currency=EUR" TargetMode="External"/><Relationship Id="rId678" Type="http://schemas.openxmlformats.org/officeDocument/2006/relationships/hyperlink" Target="https://gameserver-store-client-area.orbionlimited.com/Home/IntegrationGameLaunch/client-area?moneyType=0&amp;gameName=UnicornGoldLineDice&amp;platform=desktop&amp;languageCode=eng&amp;currency=EUR" TargetMode="External"/><Relationship Id="rId677" Type="http://schemas.openxmlformats.org/officeDocument/2006/relationships/hyperlink" Target="https://onlinegamespromo.fazi.rs/Home/IntegrationGameLaunch?moneyType=0&amp;gameName=UnicornGoldLineDice&amp;platform=desktop&amp;languageCode=eng&amp;currency=EUR" TargetMode="External"/><Relationship Id="rId676" Type="http://schemas.openxmlformats.org/officeDocument/2006/relationships/hyperlink" Target="https://static.redstone.rs/games/volcano-crown/" TargetMode="External"/><Relationship Id="rId671" Type="http://schemas.openxmlformats.org/officeDocument/2006/relationships/hyperlink" Target="https://static.redstone.rs/games/100-clover-fire/" TargetMode="External"/><Relationship Id="rId670" Type="http://schemas.openxmlformats.org/officeDocument/2006/relationships/hyperlink" Target="https://docs.google.com/document/d/1BAKVXe_X6jiqGNaK1MEqCP2ls_MEsc5Y/edit?usp=drive_link&amp;ouid=107596163405648766688&amp;rtpof=true&amp;sd=true" TargetMode="External"/><Relationship Id="rId1020" Type="http://schemas.openxmlformats.org/officeDocument/2006/relationships/hyperlink" Target="https://gameserver-store-client-area.orbionlimited.com/Home/IntegrationGameLaunch/client-area?moneyType=0&amp;gameName=UnicornBuffaloSevensJackpot&amp;platform=desktop&amp;languageCode=eng&amp;currency=EUR" TargetMode="External"/><Relationship Id="rId1021" Type="http://schemas.openxmlformats.org/officeDocument/2006/relationships/hyperlink" Target="https://onlinegamespromo.fazi.rs/Home/IntegrationGameLaunch?moneyType=0&amp;gameName=UnicornScatterKaChing&amp;platform=desktop&amp;languageCode=eng&amp;currency=EUR" TargetMode="External"/><Relationship Id="rId675" Type="http://schemas.openxmlformats.org/officeDocument/2006/relationships/hyperlink" Target="https://static.redstone.rs/games/volcano-crown/" TargetMode="External"/><Relationship Id="rId1022" Type="http://schemas.openxmlformats.org/officeDocument/2006/relationships/hyperlink" Target="https://gameserver-store-client-area.orbionlimited.com/Home/IntegrationGameLaunch/client-area?moneyType=0&amp;gameName=UnicornScatterKaChing&amp;platform=desktop&amp;languageCode=eng&amp;currency=EUR" TargetMode="External"/><Relationship Id="rId674" Type="http://schemas.openxmlformats.org/officeDocument/2006/relationships/hyperlink" Target="https://docs.google.com/document/d/1qsiqXRneZgmrDYvIQRnYXZ8s2fzskp4C/edit?usp=drive_link&amp;ouid=107596163405648766688&amp;rtpof=true&amp;sd=true" TargetMode="External"/><Relationship Id="rId1023" Type="http://schemas.openxmlformats.org/officeDocument/2006/relationships/hyperlink" Target="https://onlinegamespromo.fazi.rs/Home/IntegrationGameLaunch?moneyType=0&amp;gameName=UnicornFruitPlay&amp;platform=desktop&amp;languageCode=eng&amp;currency=EUR" TargetMode="External"/><Relationship Id="rId673" Type="http://schemas.openxmlformats.org/officeDocument/2006/relationships/hyperlink" Target="https://docs.google.com/document/d/1622RXsaCRk6kddwwmUtbQISmOIoVvd5e/edit?usp=drive_link&amp;ouid=107596163405648766688&amp;rtpof=true&amp;sd=true" TargetMode="External"/><Relationship Id="rId1024" Type="http://schemas.openxmlformats.org/officeDocument/2006/relationships/hyperlink" Target="https://gameserver-store-client-area.orbionlimited.com/Home/IntegrationGameLaunch/client-area?moneyType=0&amp;gameName=UnicornFruitPlay&amp;platform=desktop&amp;languageCode=eng&amp;currency=EUR" TargetMode="External"/><Relationship Id="rId672" Type="http://schemas.openxmlformats.org/officeDocument/2006/relationships/hyperlink" Target="https://static.redstone.rs/games/100-clover-fire/" TargetMode="External"/><Relationship Id="rId1025" Type="http://schemas.openxmlformats.org/officeDocument/2006/relationships/hyperlink" Target="https://onlinegamespromo.fazi.rs/Home/IntegrationGameLaunch?moneyType=0&amp;gameName=UnicornFruitIslandJackpot&amp;platform=desktop&amp;languageCode=eng&amp;currency=EUR" TargetMode="External"/><Relationship Id="rId190" Type="http://schemas.openxmlformats.org/officeDocument/2006/relationships/hyperlink" Target="https://gameserver-store-client-area.orbionlimited.com/Home/IntegrationGameLaunch/client-area?moneyType=0&amp;gameName=UnicornIslandRespins&amp;platform=desktop&amp;languageCode=eng&amp;currency=EUR" TargetMode="External"/><Relationship Id="rId194" Type="http://schemas.openxmlformats.org/officeDocument/2006/relationships/hyperlink" Target="https://static.redstone.rs/games/lost-book/" TargetMode="External"/><Relationship Id="rId193" Type="http://schemas.openxmlformats.org/officeDocument/2006/relationships/hyperlink" Target="https://static.redstone.rs/games/lost-book/" TargetMode="External"/><Relationship Id="rId192" Type="http://schemas.openxmlformats.org/officeDocument/2006/relationships/hyperlink" Target="https://docs.google.com/document/d/1hJ7uzVuMAnWzme7nHV7odsYNjxqkNDWu/edit?usp=drive_link&amp;ouid=107596163405648766688&amp;rtpof=true&amp;sd=true" TargetMode="External"/><Relationship Id="rId191" Type="http://schemas.openxmlformats.org/officeDocument/2006/relationships/hyperlink" Target="https://docs.google.com/document/d/1gUX7LG55yGx6j3tAxRhlcmJiDfTj2tUl/edit?usp=drive_link&amp;ouid=107596163405648766688&amp;rtpof=true&amp;sd=true" TargetMode="External"/><Relationship Id="rId187" Type="http://schemas.openxmlformats.org/officeDocument/2006/relationships/hyperlink" Target="https://onlinegamespromo.fazi.rs/Home/IntegrationGameLaunch?moneyType=0&amp;gameName=TwinklingHot80&amp;platform=desktop&amp;languageCode=eng&amp;currency=EUR" TargetMode="External"/><Relationship Id="rId186" Type="http://schemas.openxmlformats.org/officeDocument/2006/relationships/hyperlink" Target="https://static.redstone.rs/games/50-wild-cash/" TargetMode="External"/><Relationship Id="rId185" Type="http://schemas.openxmlformats.org/officeDocument/2006/relationships/hyperlink" Target="https://static.redstone.rs/games/50-wild-cash/" TargetMode="External"/><Relationship Id="rId184" Type="http://schemas.openxmlformats.org/officeDocument/2006/relationships/hyperlink" Target="https://docs.google.com/document/d/1ztiv_8kAahTieT52oxOwMehAb_szRHvc/edit?usp=drive_link&amp;ouid=107596163405648766688&amp;rtpof=true&amp;sd=true" TargetMode="External"/><Relationship Id="rId189" Type="http://schemas.openxmlformats.org/officeDocument/2006/relationships/hyperlink" Target="https://onlinegamespromo.fazi.rs/Home/IntegrationGameLaunch?moneyType=0&amp;gameName=UnicornIslandRespins&amp;platform=desktop&amp;languageCode=eng&amp;currency=EUR" TargetMode="External"/><Relationship Id="rId188" Type="http://schemas.openxmlformats.org/officeDocument/2006/relationships/hyperlink" Target="https://gameserver-store-client-area.orbionlimited.com/Home/IntegrationGameLaunch/client-area?moneyType=0&amp;gameName=TwinklingHot80&amp;platform=desktop&amp;languageCode=eng&amp;currency=EUR" TargetMode="External"/><Relationship Id="rId183" Type="http://schemas.openxmlformats.org/officeDocument/2006/relationships/hyperlink" Target="https://docs.google.com/document/d/1hethQ-7BhyW7C1czw_h-bGgzvJVp0qmK/edit?usp=drive_link&amp;ouid=107596163405648766688&amp;rtpof=true&amp;sd=true" TargetMode="External"/><Relationship Id="rId182" Type="http://schemas.openxmlformats.org/officeDocument/2006/relationships/hyperlink" Target="https://gameserver-store-client-area.orbionlimited.com/Home/IntegrationGameLaunch/client-area?moneyType=0&amp;gameName=CrystalJewels&amp;platform=desktop&amp;languageCode=eng&amp;currency=EUR" TargetMode="External"/><Relationship Id="rId181" Type="http://schemas.openxmlformats.org/officeDocument/2006/relationships/hyperlink" Target="https://onlinegamespromo.fazi.rs/Home/IntegrationGameLaunch?moneyType=0&amp;gameName=CrystalJewels&amp;platform=desktop&amp;languageCode=eng&amp;currency=EUR" TargetMode="External"/><Relationship Id="rId180" Type="http://schemas.openxmlformats.org/officeDocument/2006/relationships/hyperlink" Target="https://gameserver-store-client-area.orbionlimited.com/Home/IntegrationGameLaunch/client-area?moneyType=0&amp;gameName=HeatingDice&amp;platform=desktop&amp;languageCode=eng&amp;currency=EUR" TargetMode="External"/><Relationship Id="rId176" Type="http://schemas.openxmlformats.org/officeDocument/2006/relationships/hyperlink" Target="https://gameserver-store-client-area.orbionlimited.com/Home/IntegrationGameLaunch/client-area?moneyType=0&amp;gameName=FluoDice5&amp;platform=desktop&amp;languageCode=eng&amp;currency=EUR" TargetMode="External"/><Relationship Id="rId175" Type="http://schemas.openxmlformats.org/officeDocument/2006/relationships/hyperlink" Target="https://onlinegamespromo.fazi.rs/Home/IntegrationGameLaunch?moneyType=0&amp;gameName=FluoDice5&amp;platform=desktop&amp;languageCode=eng&amp;currency=EUR" TargetMode="External"/><Relationship Id="rId174" Type="http://schemas.openxmlformats.org/officeDocument/2006/relationships/hyperlink" Target="https://gameserver-store-client-area.orbionlimited.com/Home/IntegrationGameLaunch/client-area?moneyType=0&amp;gameName=HeatingIceDeluxe&amp;platform=desktop&amp;languageCode=eng&amp;currency=EUR" TargetMode="External"/><Relationship Id="rId173" Type="http://schemas.openxmlformats.org/officeDocument/2006/relationships/hyperlink" Target="https://onlinegamespromo.fazi.rs/Home/IntegrationGameLaunch?moneyType=0&amp;gameName=HeatingIceDeluxe&amp;platform=desktop&amp;languageCode=eng&amp;currency=EUR" TargetMode="External"/><Relationship Id="rId179" Type="http://schemas.openxmlformats.org/officeDocument/2006/relationships/hyperlink" Target="https://onlinegamespromo.fazi.rs/Home/IntegrationGameLaunch?moneyType=0&amp;gameName=HeatingDice&amp;platform=desktop&amp;languageCode=eng&amp;currency=EUR" TargetMode="External"/><Relationship Id="rId178" Type="http://schemas.openxmlformats.org/officeDocument/2006/relationships/hyperlink" Target="https://gameserver-store-client-area.orbionlimited.com/Home/IntegrationGameLaunch/client-area?moneyType=0&amp;gameName=FluoHot5&amp;platform=desktop&amp;languageCode=eng&amp;currency=EUR" TargetMode="External"/><Relationship Id="rId177" Type="http://schemas.openxmlformats.org/officeDocument/2006/relationships/hyperlink" Target="https://onlinegamespromo.fazi.rs/Home/IntegrationGameLaunch?moneyType=0&amp;gameName=FluoHot5&amp;platform=desktop&amp;languageCode=eng&amp;currency=EUR" TargetMode="External"/><Relationship Id="rId198" Type="http://schemas.openxmlformats.org/officeDocument/2006/relationships/hyperlink" Target="https://static.redstone.rs/games/40-dice-fire/" TargetMode="External"/><Relationship Id="rId197" Type="http://schemas.openxmlformats.org/officeDocument/2006/relationships/hyperlink" Target="https://static.redstone.rs/games/40-dice-fire/" TargetMode="External"/><Relationship Id="rId196" Type="http://schemas.openxmlformats.org/officeDocument/2006/relationships/hyperlink" Target="https://docs.google.com/document/d/1Bmk7HWKas2YhSSQsbvIW7F9KZLsVT-9m/edit?usp=drive_link&amp;ouid=107596163405648766688&amp;rtpof=true&amp;sd=true" TargetMode="External"/><Relationship Id="rId195" Type="http://schemas.openxmlformats.org/officeDocument/2006/relationships/hyperlink" Target="https://docs.google.com/document/d/1MJ3lFrASukAREOdpS2C0i7nDu4-kGpJk/edit?usp=drive_link&amp;ouid=107596163405648766688&amp;rtpof=true&amp;sd=true" TargetMode="External"/><Relationship Id="rId199" Type="http://schemas.openxmlformats.org/officeDocument/2006/relationships/hyperlink" Target="https://onlinegamespromo.fazi.rs/Home/IntegrationGameLaunch?moneyType=0&amp;gameName=LuckyBrilliants&amp;platform=desktop&amp;languageCode=eng&amp;currency=EUR" TargetMode="External"/><Relationship Id="rId150" Type="http://schemas.openxmlformats.org/officeDocument/2006/relationships/hyperlink" Target="https://docs.google.com/document/d/1o5-igOWhrvuBtMNzHLshyzuuLZgY5hE3/edit?usp=drive_link&amp;ouid=107596163405648766688&amp;rtpof=true&amp;sd=true" TargetMode="External"/><Relationship Id="rId149" Type="http://schemas.openxmlformats.org/officeDocument/2006/relationships/hyperlink" Target="https://docs.google.com/document/d/1xvhBFQylMfwPlUAxAQg05J1BzFnLy581/edit?usp=drive_link&amp;ouid=107596163405648766688&amp;rtpof=true&amp;sd=true" TargetMode="External"/><Relationship Id="rId148" Type="http://schemas.openxmlformats.org/officeDocument/2006/relationships/hyperlink" Target="https://gameserver-store-client-area.orbionlimited.com/Home/IntegrationGameLaunch/client-area?moneyType=0&amp;gameName=UnicornTwentyDice&amp;platform=desktop&amp;languageCode=eng&amp;currency=EUR" TargetMode="External"/><Relationship Id="rId1090" Type="http://schemas.openxmlformats.org/officeDocument/2006/relationships/hyperlink" Target="https://gameserver-store-client-area.orbionlimited.com/Home/IntegrationGameLaunch/client-area?moneyType=0&amp;gameName=UnicornSevensPay&amp;platform=desktop&amp;languageCode=eng&amp;currency=EUR" TargetMode="External"/><Relationship Id="rId1091" Type="http://schemas.openxmlformats.org/officeDocument/2006/relationships/hyperlink" Target="https://onlinegamespromo.fazi.rs/Home/IntegrationGameLaunch?moneyType=0&amp;gameName=PlayNetMajesticCrown40&amp;platform=desktop&amp;languageCode=eng&amp;currency=EUR" TargetMode="External"/><Relationship Id="rId1092" Type="http://schemas.openxmlformats.org/officeDocument/2006/relationships/hyperlink" Target="https://gameserver-store-client-area.orbionlimited.com/Home/IntegrationGameLaunch/client-area?moneyType=0&amp;gameName=PlayNetMajesticCrown40&amp;platform=desktop&amp;languageCode=eng&amp;currency=EUR" TargetMode="External"/><Relationship Id="rId1093" Type="http://schemas.openxmlformats.org/officeDocument/2006/relationships/hyperlink" Target="https://onlinegamespromo.fazi.rs/Home/IntegrationGameLaunch?moneyType=0&amp;gameName=PlayNetNeptunesJewels&amp;platform=desktop&amp;languageCode=eng&amp;currency=EUR" TargetMode="External"/><Relationship Id="rId1094" Type="http://schemas.openxmlformats.org/officeDocument/2006/relationships/hyperlink" Target="https://gameserver-store-client-area.orbionlimited.com/Home/IntegrationGameLaunch/client-area?moneyType=0&amp;gameName=PlayNetNeptunesJewels&amp;platform=desktop&amp;languageCode=eng&amp;currency=EUR" TargetMode="External"/><Relationship Id="rId143" Type="http://schemas.openxmlformats.org/officeDocument/2006/relationships/hyperlink" Target="https://static.redstone.rs/games/40-wild-dice/" TargetMode="External"/><Relationship Id="rId1095" Type="http://schemas.openxmlformats.org/officeDocument/2006/relationships/hyperlink" Target="https://onlinegamespromo.fazi.rs/Home/IntegrationGameLaunch?moneyType=0&amp;gameName=PlayNet81MagicStars&amp;platform=desktop&amp;languageCode=eng&amp;currency=EUR" TargetMode="External"/><Relationship Id="rId142" Type="http://schemas.openxmlformats.org/officeDocument/2006/relationships/hyperlink" Target="https://docs.google.com/document/d/1jTAe-G3pX4INF9Td2YQ1ubQZXahSBYKw/edit?usp=drive_link&amp;ouid=107596163405648766688&amp;rtpof=true&amp;sd=true" TargetMode="External"/><Relationship Id="rId1096" Type="http://schemas.openxmlformats.org/officeDocument/2006/relationships/hyperlink" Target="https://gameserver-store-client-area.orbionlimited.com/Home/IntegrationGameLaunch/client-area?moneyType=0&amp;gameName=PlayNet81MagicStars&amp;platform=desktop&amp;languageCode=eng&amp;currency=EUR" TargetMode="External"/><Relationship Id="rId141" Type="http://schemas.openxmlformats.org/officeDocument/2006/relationships/hyperlink" Target="https://docs.google.com/document/d/1NYlpxxRJH491AIbshvguO-Dek5JfEaq3/edit?usp=drive_link&amp;ouid=107596163405648766688&amp;rtpof=true&amp;sd=true" TargetMode="External"/><Relationship Id="rId1097" Type="http://schemas.openxmlformats.org/officeDocument/2006/relationships/hyperlink" Target="https://docs.google.com/document/d/1sH6XUlpwEM0tyHiJJZHQSuyJNQCPan13/edit?usp=drive_link&amp;ouid=107596163405648766688&amp;rtpof=true&amp;sd=true" TargetMode="External"/><Relationship Id="rId140" Type="http://schemas.openxmlformats.org/officeDocument/2006/relationships/hyperlink" Target="https://gameserver-store-client-area.orbionlimited.com/Home/IntegrationGameLaunch/client-area?moneyType=0&amp;gameName=UnicornTheCrownFruit&amp;platform=desktop&amp;languageCode=eng&amp;currency=EUR" TargetMode="External"/><Relationship Id="rId1098" Type="http://schemas.openxmlformats.org/officeDocument/2006/relationships/hyperlink" Target="https://docs.google.com/document/d/1JYKWuP-KVnSWFW5rQ1bh3IyFyT5Gyik5/edit?usp=drive_link&amp;ouid=107596163405648766688&amp;rtpof=true&amp;sd=true" TargetMode="External"/><Relationship Id="rId147" Type="http://schemas.openxmlformats.org/officeDocument/2006/relationships/hyperlink" Target="https://onlinegamespromo.fazi.rs/Home/IntegrationGameLaunch?moneyType=0&amp;gameName=UnicornTwentyDice&amp;platform=desktop&amp;languageCode=eng&amp;currency=EUR" TargetMode="External"/><Relationship Id="rId1099" Type="http://schemas.openxmlformats.org/officeDocument/2006/relationships/hyperlink" Target="https://static.redstone.rs/games/clover-field-40/" TargetMode="External"/><Relationship Id="rId146" Type="http://schemas.openxmlformats.org/officeDocument/2006/relationships/hyperlink" Target="https://gameserver-store-client-area.orbionlimited.com/Home/IntegrationGameLaunch/client-area?moneyType=0&amp;gameName=UnicornTwentyFruits&amp;platform=desktop&amp;languageCode=eng&amp;currency=EUR" TargetMode="External"/><Relationship Id="rId145" Type="http://schemas.openxmlformats.org/officeDocument/2006/relationships/hyperlink" Target="https://onlinegamespromo.fazi.rs/Home/IntegrationGameLaunch?moneyType=0&amp;gameName=UnicornTwentyFruits&amp;platform=desktop&amp;languageCode=eng&amp;currency=EUR" TargetMode="External"/><Relationship Id="rId144" Type="http://schemas.openxmlformats.org/officeDocument/2006/relationships/hyperlink" Target="https://static.redstone.rs/games/40-wild-dice/" TargetMode="External"/><Relationship Id="rId139" Type="http://schemas.openxmlformats.org/officeDocument/2006/relationships/hyperlink" Target="https://onlinegamespromo.fazi.rs/Home/IntegrationGameLaunch?moneyType=0&amp;gameName=UnicornTheCrownFruit&amp;platform=desktop&amp;languageCode=eng&amp;currency=EUR" TargetMode="External"/><Relationship Id="rId138" Type="http://schemas.openxmlformats.org/officeDocument/2006/relationships/hyperlink" Target="https://gameserver-store-client-area.orbionlimited.com/Home/IntegrationGameLaunch/client-area?moneyType=0&amp;gameName=UnicornCasinoFruits&amp;platform=desktop&amp;languageCode=eng&amp;currency=EUR" TargetMode="External"/><Relationship Id="rId137" Type="http://schemas.openxmlformats.org/officeDocument/2006/relationships/hyperlink" Target="https://onlinegamespromo.fazi.rs/Home/IntegrationGameLaunch?moneyType=0&amp;gameName=UnicornCasinoFruits&amp;platform=desktop&amp;languageCode=eng&amp;currency=EUR" TargetMode="External"/><Relationship Id="rId1080" Type="http://schemas.openxmlformats.org/officeDocument/2006/relationships/hyperlink" Target="https://gameserver-store-client-area.orbionlimited.com/Home/IntegrationGameLaunch/client-area?moneyType=0&amp;gameName=UnicornSantasRudolf&amp;platform=desktop&amp;languageCode=eng&amp;currency=EUR" TargetMode="External"/><Relationship Id="rId1081" Type="http://schemas.openxmlformats.org/officeDocument/2006/relationships/hyperlink" Target="https://onlinegamespromo.fazi.rs/Home/IntegrationGameLaunch?moneyType=0&amp;gameName=UnicornGoldLineGems&amp;platform=desktop&amp;languageCode=eng&amp;currency=EUR" TargetMode="External"/><Relationship Id="rId1082" Type="http://schemas.openxmlformats.org/officeDocument/2006/relationships/hyperlink" Target="https://gameserver-store-client-area.orbionlimited.com/Home/IntegrationGameLaunch/client-area?moneyType=0&amp;gameName=UnicornGoldLineGems&amp;platform=desktop&amp;languageCode=eng&amp;currency=EUR" TargetMode="External"/><Relationship Id="rId1083" Type="http://schemas.openxmlformats.org/officeDocument/2006/relationships/hyperlink" Target="https://onlinegamespromo.fazi.rs/Home/IntegrationGameLaunch?moneyType=0&amp;gameName=UnicornChristmasPresents2025&amp;platform=desktop&amp;languageCode=eng&amp;currency=EUR" TargetMode="External"/><Relationship Id="rId132" Type="http://schemas.openxmlformats.org/officeDocument/2006/relationships/hyperlink" Target="https://gameserver-store-client-area.orbionlimited.com/Home/IntegrationGameLaunch/client-area?moneyType=0&amp;gameName=FireClover5&amp;platform=desktop&amp;languageCode=eng&amp;currency=EUR" TargetMode="External"/><Relationship Id="rId1084" Type="http://schemas.openxmlformats.org/officeDocument/2006/relationships/hyperlink" Target="https://gameserver-store-client-area.orbionlimited.com/Home/IntegrationGameLaunch/client-area?moneyType=0&amp;gameName=UnicornChristmasPresents2025&amp;platform=desktop&amp;languageCode=eng&amp;currency=EUR" TargetMode="External"/><Relationship Id="rId131" Type="http://schemas.openxmlformats.org/officeDocument/2006/relationships/hyperlink" Target="https://onlinegamespromo.fazi.rs/Home/IntegrationGameLaunch?moneyType=0&amp;gameName=FireClover5&amp;platform=desktop&amp;languageCode=eng&amp;currency=EUR" TargetMode="External"/><Relationship Id="rId1085" Type="http://schemas.openxmlformats.org/officeDocument/2006/relationships/hyperlink" Target="https://onlinegamespromo.fazi.rs/Home/IntegrationGameLaunch?moneyType=0&amp;gameName=UnicornMoneyStandardPlatinum&amp;platform=desktop&amp;languageCode=eng&amp;currency=EUR" TargetMode="External"/><Relationship Id="rId130" Type="http://schemas.openxmlformats.org/officeDocument/2006/relationships/hyperlink" Target="https://docs.google.com/document/d/1a-k-sqrXxJhyaIYI-IrLVx4jyIToz-pP/edit" TargetMode="External"/><Relationship Id="rId1086" Type="http://schemas.openxmlformats.org/officeDocument/2006/relationships/hyperlink" Target="https://gameserver-store-client-area.orbionlimited.com/Home/IntegrationGameLaunch/client-area?moneyType=0&amp;gameName=UnicornMoneyStandardPlatinum&amp;platform=desktop&amp;languageCode=eng&amp;currency=EUR" TargetMode="External"/><Relationship Id="rId1087" Type="http://schemas.openxmlformats.org/officeDocument/2006/relationships/hyperlink" Target="https://onlinegamespromo.fazi.rs/Home/IntegrationGameLaunch?moneyType=0&amp;gameName=UnicornFruitMultipliers&amp;platform=desktop&amp;languageCode=eng&amp;currency=EUR" TargetMode="External"/><Relationship Id="rId136" Type="http://schemas.openxmlformats.org/officeDocument/2006/relationships/hyperlink" Target="https://static.redstone.rs/games/10-wild-crown/" TargetMode="External"/><Relationship Id="rId1088" Type="http://schemas.openxmlformats.org/officeDocument/2006/relationships/hyperlink" Target="https://gameserver-store-client-area.orbionlimited.com/Home/IntegrationGameLaunch/client-area?moneyType=0&amp;gameName=UnicornFruitMultipliers&amp;platform=desktop&amp;languageCode=eng&amp;currency=EUR" TargetMode="External"/><Relationship Id="rId135" Type="http://schemas.openxmlformats.org/officeDocument/2006/relationships/hyperlink" Target="https://static.redstone.rs/games/10-wild-crown/" TargetMode="External"/><Relationship Id="rId1089" Type="http://schemas.openxmlformats.org/officeDocument/2006/relationships/hyperlink" Target="https://onlinegamespromo.fazi.rs/Home/IntegrationGameLaunch?moneyType=0&amp;gameName=UnicornSevensPay&amp;platform=desktop&amp;languageCode=eng&amp;currency=EUR" TargetMode="External"/><Relationship Id="rId134" Type="http://schemas.openxmlformats.org/officeDocument/2006/relationships/hyperlink" Target="https://docs.google.com/document/d/1uWE3sLTOc515kbSKJU7txNkRg8MstcLU/edit?usp=drive_link&amp;ouid=107596163405648766688&amp;rtpof=true&amp;sd=true" TargetMode="External"/><Relationship Id="rId133" Type="http://schemas.openxmlformats.org/officeDocument/2006/relationships/hyperlink" Target="https://docs.google.com/document/d/1Z50Fp4FF6DZh_40cGOxFXNzQViVYjCjD/edit?usp=drive_link&amp;ouid=107596163405648766688&amp;rtpof=true&amp;sd=true" TargetMode="External"/><Relationship Id="rId172" Type="http://schemas.openxmlformats.org/officeDocument/2006/relationships/hyperlink" Target="https://gameserver-store-client-area.orbionlimited.com/Home/IntegrationGameLaunch/client-area?moneyType=0&amp;gameName=HeatingIce&amp;platform=desktop&amp;languageCode=eng&amp;currency=EUR" TargetMode="External"/><Relationship Id="rId171" Type="http://schemas.openxmlformats.org/officeDocument/2006/relationships/hyperlink" Target="https://onlinegamespromo.fazi.rs/Home/IntegrationGameLaunch?moneyType=0&amp;gameName=HeatingIce&amp;platform=desktop&amp;languageCode=eng&amp;currency=EUR" TargetMode="External"/><Relationship Id="rId170" Type="http://schemas.openxmlformats.org/officeDocument/2006/relationships/hyperlink" Target="https://gameserver-store-client-area.orbionlimited.com/Home/IntegrationGameLaunch/client-area?moneyType=0&amp;gameName=JewelsBeat&amp;platform=desktop&amp;languageCode=eng&amp;currency=EUR" TargetMode="External"/><Relationship Id="rId165" Type="http://schemas.openxmlformats.org/officeDocument/2006/relationships/hyperlink" Target="https://onlinegamespromo.fazi.rs/Home/IntegrationGameLaunch?moneyType=0&amp;gameName=VeryHot5&amp;platform=desktop&amp;languageCode=eng&amp;currency=EUR" TargetMode="External"/><Relationship Id="rId164" Type="http://schemas.openxmlformats.org/officeDocument/2006/relationships/hyperlink" Target="https://static.redstone.rs/games/40-clover-fire/" TargetMode="External"/><Relationship Id="rId163" Type="http://schemas.openxmlformats.org/officeDocument/2006/relationships/hyperlink" Target="https://static.redstone.rs/games/40-clover-fire/" TargetMode="External"/><Relationship Id="rId162" Type="http://schemas.openxmlformats.org/officeDocument/2006/relationships/hyperlink" Target="https://docs.google.com/document/d/1UeCqpU91M7Y1Yb7b65rSY0_PdJaQkUld/edit?usp=drive_link&amp;ouid=107596163405648766688&amp;rtpof=true&amp;sd=true" TargetMode="External"/><Relationship Id="rId169" Type="http://schemas.openxmlformats.org/officeDocument/2006/relationships/hyperlink" Target="https://onlinegamespromo.fazi.rs/Home/IntegrationGameLaunch?moneyType=0&amp;gameName=JewelsBeat&amp;platform=desktop&amp;languageCode=eng&amp;currency=EUR" TargetMode="External"/><Relationship Id="rId168" Type="http://schemas.openxmlformats.org/officeDocument/2006/relationships/hyperlink" Target="https://gameserver-store-client-area.orbionlimited.com/Home/IntegrationGameLaunch/client-area?moneyType=0&amp;gameName=VeryHot40&amp;platform=desktop&amp;languageCode=eng&amp;currency=EUR" TargetMode="External"/><Relationship Id="rId167" Type="http://schemas.openxmlformats.org/officeDocument/2006/relationships/hyperlink" Target="https://onlinegamespromo.fazi.rs/Home/IntegrationGameLaunch?moneyType=0&amp;gameName=VeryHot40&amp;platform=desktop&amp;languageCode=eng&amp;currency=EUR" TargetMode="External"/><Relationship Id="rId166" Type="http://schemas.openxmlformats.org/officeDocument/2006/relationships/hyperlink" Target="https://gameserver-store-client-area.orbionlimited.com/Home/IntegrationGameLaunch/client-area?moneyType=0&amp;gameName=VeryHot5&amp;platform=desktop&amp;languageCode=eng&amp;currency=EUR" TargetMode="External"/><Relationship Id="rId161" Type="http://schemas.openxmlformats.org/officeDocument/2006/relationships/hyperlink" Target="https://docs.google.com/document/d/134OvURJFj6vy5RZvoh-CfV3klcsPJgiz/edit?usp=drive_link&amp;ouid=107596163405648766688&amp;rtpof=true&amp;sd=true" TargetMode="External"/><Relationship Id="rId160" Type="http://schemas.openxmlformats.org/officeDocument/2006/relationships/hyperlink" Target="https://gameserver-store-client-area.orbionlimited.com/Home/IntegrationGameLaunch/client-area?moneyType=0&amp;gameName=LollasWorld&amp;platform=desktop&amp;languageCode=eng&amp;currency=EUR" TargetMode="External"/><Relationship Id="rId159" Type="http://schemas.openxmlformats.org/officeDocument/2006/relationships/hyperlink" Target="https://onlinegamespromo.fazi.rs/Home/IntegrationGameLaunch?moneyType=0&amp;gameName=LollasWorld&amp;platform=desktop&amp;languageCode=eng&amp;currency=EUR" TargetMode="External"/><Relationship Id="rId154" Type="http://schemas.openxmlformats.org/officeDocument/2006/relationships/hyperlink" Target="https://gameserver-store-client-area.orbionlimited.com/Home/IntegrationGameLaunch/client-area?moneyType=0&amp;gameName=WildKingdom&amp;platform=desktop&amp;languageCode=eng&amp;currency=EUR" TargetMode="External"/><Relationship Id="rId153" Type="http://schemas.openxmlformats.org/officeDocument/2006/relationships/hyperlink" Target="https://onlinegamespromo.fazi.rs/Home/IntegrationGameLaunch?moneyType=0&amp;gameName=WildKingdom&amp;platform=desktop&amp;languageCode=eng&amp;currency=EUR" TargetMode="External"/><Relationship Id="rId152" Type="http://schemas.openxmlformats.org/officeDocument/2006/relationships/hyperlink" Target="https://static.redstone.rs/games/5-dice-fire/" TargetMode="External"/><Relationship Id="rId151" Type="http://schemas.openxmlformats.org/officeDocument/2006/relationships/hyperlink" Target="https://static.redstone.rs/games/5-dice-fire/" TargetMode="External"/><Relationship Id="rId158" Type="http://schemas.openxmlformats.org/officeDocument/2006/relationships/hyperlink" Target="https://gameserver-store-client-area.orbionlimited.com/Home/IntegrationGameLaunch/client-area?moneyType=0&amp;gameName=MegaCubesDeluxe&amp;platform=desktop&amp;languageCode=eng&amp;currency=EUR" TargetMode="External"/><Relationship Id="rId157" Type="http://schemas.openxmlformats.org/officeDocument/2006/relationships/hyperlink" Target="https://onlinegamespromo.fazi.rs/Home/IntegrationGameLaunch?moneyType=0&amp;gameName=MegaCubesDeluxe&amp;platform=desktop&amp;languageCode=eng&amp;currency=EUR" TargetMode="External"/><Relationship Id="rId156" Type="http://schemas.openxmlformats.org/officeDocument/2006/relationships/hyperlink" Target="https://gameserver-store-client-area.orbionlimited.com/Home/IntegrationGameLaunch/client-area?moneyType=0&amp;gameName=BookOfLuxorDouble&amp;platform=desktop&amp;languageCode=eng&amp;currency=EUR" TargetMode="External"/><Relationship Id="rId155" Type="http://schemas.openxmlformats.org/officeDocument/2006/relationships/hyperlink" Target="https://onlinegamespromo.fazi.rs/Home/IntegrationGameLaunch?moneyType=0&amp;gameName=BookOfLuxorDouble&amp;platform=desktop&amp;languageCode=eng&amp;currency=EUR" TargetMode="External"/><Relationship Id="rId1510" Type="http://schemas.openxmlformats.org/officeDocument/2006/relationships/hyperlink" Target="https://gameserver-store-client-area.orbionlimited.com/Home/IntegrationGameLaunch/client-area?moneyType=0&amp;gameName=UnicornSevensPayDice&amp;platform=desktop&amp;languageCode=eng&amp;currency=EUR" TargetMode="External"/><Relationship Id="rId1511" Type="http://schemas.openxmlformats.org/officeDocument/2006/relationships/hyperlink" Target="https://onlinegamespromo.fazi.rs/Home/IntegrationGameLaunch?moneyType=0&amp;gameName=UnicornFruituristicSevens&amp;platform=desktop&amp;languageCode=eng&amp;currency=EUR" TargetMode="External"/><Relationship Id="rId1512" Type="http://schemas.openxmlformats.org/officeDocument/2006/relationships/hyperlink" Target="https://gameserver-store-client-area.orbionlimited.com/Home/IntegrationGameLaunch/client-area?moneyType=0&amp;gameName=UnicornFruituristicSevens&amp;platform=desktop&amp;languageCode=eng&amp;currency=EUR" TargetMode="External"/><Relationship Id="rId1513" Type="http://schemas.openxmlformats.org/officeDocument/2006/relationships/hyperlink" Target="https://onlinegamespromo.fazi.rs/Home/IntegrationGameLaunch?moneyType=0&amp;gameName=UnicornThreeReelFortuneWilds&amp;platform=desktop&amp;languageCode=eng&amp;currency=EUR" TargetMode="External"/><Relationship Id="rId1514" Type="http://schemas.openxmlformats.org/officeDocument/2006/relationships/hyperlink" Target="https://gameserver-store-client-area.orbionlimited.com/Home/IntegrationGameLaunch/client-area?moneyType=0&amp;gameName=UnicornThreeReelFortuneWilds&amp;platform=desktop&amp;languageCode=eng&amp;currency=EUR" TargetMode="External"/><Relationship Id="rId1515" Type="http://schemas.openxmlformats.org/officeDocument/2006/relationships/hyperlink" Target="https://onlinegamespromo.fazi.rs/Home/IntegrationGameLaunch?moneyType=0&amp;gameName=TBD&amp;platform=desktop&amp;languageCode=eng&amp;currency=EUR" TargetMode="External"/><Relationship Id="rId1516" Type="http://schemas.openxmlformats.org/officeDocument/2006/relationships/hyperlink" Target="https://gameserver-store-client-area.orbionlimited.com/Home/IntegrationGameLaunch/client-area?moneyType=0&amp;gameName=UnicornSuperFireballs&amp;platform=desktop&amp;languageCode=eng&amp;currency=EUR" TargetMode="External"/><Relationship Id="rId1517" Type="http://schemas.openxmlformats.org/officeDocument/2006/relationships/hyperlink" Target="https://onlinegamespromo.fazi.rs/Home/IntegrationGameLaunch?moneyType=0&amp;gameName=UnicornLionsDiceExtreme&amp;platform=desktop&amp;languageCode=eng&amp;currency=EUR" TargetMode="External"/><Relationship Id="rId1518" Type="http://schemas.openxmlformats.org/officeDocument/2006/relationships/hyperlink" Target="https://gameserver-store-client-area.orbionlimited.com/Home/IntegrationGameLaunch/client-area?moneyType=0&amp;gameName=UnicornLionsDiceExtreme&amp;platform=desktop&amp;languageCode=eng&amp;currency=EUR" TargetMode="External"/><Relationship Id="rId1519" Type="http://schemas.openxmlformats.org/officeDocument/2006/relationships/hyperlink" Target="https://onlinegamespromo.fazi.rs/Home/IntegrationGameLaunch?moneyType=0&amp;gameName=UnicornLuckyPayReels&amp;platform=desktop&amp;languageCode=eng&amp;currency=EUR" TargetMode="External"/><Relationship Id="rId1500" Type="http://schemas.openxmlformats.org/officeDocument/2006/relationships/hyperlink" Target="https://gameserver-store-client-area.orbionlimited.com/Home/IntegrationGameLaunch/client-area?moneyType=0&amp;gameName=UnicornFruitPlayDice&amp;platform=desktop&amp;languageCode=eng&amp;currency=EUR" TargetMode="External"/><Relationship Id="rId1501" Type="http://schemas.openxmlformats.org/officeDocument/2006/relationships/hyperlink" Target="https://onlinegamespromo.fazi.rs/Home/IntegrationGameLaunch?moneyType=0&amp;gameName=UnicornSpinTheSevens&amp;platform=desktop&amp;languageCode=eng&amp;currency=EUR" TargetMode="External"/><Relationship Id="rId1502" Type="http://schemas.openxmlformats.org/officeDocument/2006/relationships/hyperlink" Target="https://gameserver-store-client-area.orbionlimited.com/Home/IntegrationGameLaunch/client-area?moneyType=0&amp;gameName=UnicornSpinTheSevens&amp;platform=desktop&amp;languageCode=eng&amp;currency=EUR" TargetMode="External"/><Relationship Id="rId1503" Type="http://schemas.openxmlformats.org/officeDocument/2006/relationships/hyperlink" Target="https://onlinegamespromo.fazi.rs/Home/IntegrationGameLaunch?moneyType=0&amp;gameName=UnicornCrazyWildSevens&amp;platform=desktop&amp;languageCode=eng&amp;currency=EUR" TargetMode="External"/><Relationship Id="rId1504" Type="http://schemas.openxmlformats.org/officeDocument/2006/relationships/hyperlink" Target="https://gameserver-store-client-area.orbionlimited.com/Home/IntegrationGameLaunch/client-area?moneyType=0&amp;gameName=UnicornCrazyWildSevens&amp;platform=desktop&amp;languageCode=eng&amp;currency=EUR" TargetMode="External"/><Relationship Id="rId1505" Type="http://schemas.openxmlformats.org/officeDocument/2006/relationships/hyperlink" Target="https://onlinegamespromo.fazi.rs/Home/IntegrationGameLaunch?moneyType=0&amp;gameName=UnicornSunOfTheNile&amp;platform=desktop&amp;languageCode=eng&amp;currency=EUR" TargetMode="External"/><Relationship Id="rId1506" Type="http://schemas.openxmlformats.org/officeDocument/2006/relationships/hyperlink" Target="https://gameserver-store-client-area.orbionlimited.com/Home/IntegrationGameLaunch/client-area?moneyType=0&amp;gameName=UnicornSunOfTheNile&amp;platform=desktop&amp;languageCode=eng&amp;currency=EUR" TargetMode="External"/><Relationship Id="rId1507" Type="http://schemas.openxmlformats.org/officeDocument/2006/relationships/hyperlink" Target="https://onlinegamespromo.fazi.rs/Home/IntegrationGameLaunch?moneyType=0&amp;gameName=UnicornDazzleFireballs&amp;platform=desktop&amp;languageCode=eng&amp;currency=EUR" TargetMode="External"/><Relationship Id="rId1508" Type="http://schemas.openxmlformats.org/officeDocument/2006/relationships/hyperlink" Target="https://gameserver-store-client-area.orbionlimited.com/Home/IntegrationGameLaunch/client-area?moneyType=0&amp;gameName=UnicornDazzleFireballs&amp;platform=desktop&amp;languageCode=eng&amp;currency=EUR" TargetMode="External"/><Relationship Id="rId1509" Type="http://schemas.openxmlformats.org/officeDocument/2006/relationships/hyperlink" Target="https://onlinegamespromo.fazi.rs/Home/IntegrationGameLaunch?moneyType=0&amp;gameName=UnicornSevensPayDice&amp;platform=desktop&amp;languageCode=eng&amp;currency=EUR" TargetMode="External"/><Relationship Id="rId1576" Type="http://schemas.openxmlformats.org/officeDocument/2006/relationships/hyperlink" Target="https://onlinegamespromo.fazi.rs/Home/IntegrationGameLaunch?moneyType=0&amp;gameName=PlayNetCloverWealth5&amp;platform=desktop&amp;languageCode=eng&amp;currency=EUR" TargetMode="External"/><Relationship Id="rId1577" Type="http://schemas.openxmlformats.org/officeDocument/2006/relationships/hyperlink" Target="https://gameserver-store-client-area.orbionlimited.com/Home/IntegrationGameLaunch/client-area?moneyType=0&amp;gameName=PlayNetCloverWealth5&amp;platform=desktop&amp;languageCode=eng&amp;currency=EUR" TargetMode="External"/><Relationship Id="rId1578" Type="http://schemas.openxmlformats.org/officeDocument/2006/relationships/hyperlink" Target="https://onlinegamespromo.fazi.rs/Home/IntegrationGameLaunch?moneyType=0&amp;gameName=PlayNet27LuckyCrown&amp;platform=desktop&amp;languageCode=eng&amp;currency=EUR" TargetMode="External"/><Relationship Id="rId1579" Type="http://schemas.openxmlformats.org/officeDocument/2006/relationships/hyperlink" Target="https://gameserver-store-client-area.orbionlimited.com/Home/IntegrationGameLaunch/client-area?moneyType=0&amp;gameName=PlayNet27LuckyCrown&amp;platform=desktop&amp;languageCode=eng&amp;currency=EUR" TargetMode="External"/><Relationship Id="rId509" Type="http://schemas.openxmlformats.org/officeDocument/2006/relationships/hyperlink" Target="https://docs.google.com/document/d/1xZfjh3I85tXFS4VTeVhFyQUmcXUmdotx/edit?usp=drive_link&amp;ouid=107596163405648766688&amp;rtpof=true&amp;sd=true" TargetMode="External"/><Relationship Id="rId508" Type="http://schemas.openxmlformats.org/officeDocument/2006/relationships/hyperlink" Target="https://gameserver-store-client-area.orbionlimited.com/Home/IntegrationGameLaunch/client-area?moneyType=0&amp;gameName=BonusEpicCrown&amp;platform=desktop&amp;languageCode=eng&amp;currency=EUR" TargetMode="External"/><Relationship Id="rId503" Type="http://schemas.openxmlformats.org/officeDocument/2006/relationships/hyperlink" Target="https://docs.google.com/document/d/1NvnqrHz45jHN7kIAdXe5gJQaiubaEy9B/edit?usp=drive_link&amp;ouid=107596163405648766688&amp;rtpof=true&amp;sd=true" TargetMode="External"/><Relationship Id="rId987" Type="http://schemas.openxmlformats.org/officeDocument/2006/relationships/hyperlink" Target="https://drive.google.com/file/d/12E3WH7zMmakKE9xQtqyckajMvhnbC-Hr/view?usp=drive_link" TargetMode="External"/><Relationship Id="rId502" Type="http://schemas.openxmlformats.org/officeDocument/2006/relationships/hyperlink" Target="https://play.redstone.rs/games/40-jokers-free-games/index.html" TargetMode="External"/><Relationship Id="rId986" Type="http://schemas.openxmlformats.org/officeDocument/2006/relationships/hyperlink" Target="https://static.redstone.rs/games/reel-x5-27-ways/" TargetMode="External"/><Relationship Id="rId501" Type="http://schemas.openxmlformats.org/officeDocument/2006/relationships/hyperlink" Target="https://play.redstone.rs/games/40-jokers-free-games/index.html" TargetMode="External"/><Relationship Id="rId985" Type="http://schemas.openxmlformats.org/officeDocument/2006/relationships/hyperlink" Target="https://static.redstone.rs/games/reel-x5-27-ways/" TargetMode="External"/><Relationship Id="rId500" Type="http://schemas.openxmlformats.org/officeDocument/2006/relationships/hyperlink" Target="https://docs.google.com/document/d/1IQGnVcn_YqWL36Yv2DxCR6fILZrQehOS/edit?usp=drive_link&amp;ouid=107596163405648766688&amp;rtpof=true&amp;sd=true" TargetMode="External"/><Relationship Id="rId984" Type="http://schemas.openxmlformats.org/officeDocument/2006/relationships/hyperlink" Target="https://drive.google.com/file/d/1ezyMekXOVMpheGJbphiWWp4EOr-96GWP/view?usp=drive_link" TargetMode="External"/><Relationship Id="rId507" Type="http://schemas.openxmlformats.org/officeDocument/2006/relationships/hyperlink" Target="https://onlinegamespromo.fazi.rs/Home/IntegrationGameLaunch?moneyType=0&amp;gameName=BonusEpicCrown&amp;lobbyUrl=https://www.fazi-interactive.com/" TargetMode="External"/><Relationship Id="rId506" Type="http://schemas.openxmlformats.org/officeDocument/2006/relationships/hyperlink" Target="https://static.redstone.rs/games/moon-dog/" TargetMode="External"/><Relationship Id="rId505" Type="http://schemas.openxmlformats.org/officeDocument/2006/relationships/hyperlink" Target="https://static.redstone.rs/games/moon-dog/" TargetMode="External"/><Relationship Id="rId989" Type="http://schemas.openxmlformats.org/officeDocument/2006/relationships/hyperlink" Target="https://static.redstone.rs/games/crown-drop/" TargetMode="External"/><Relationship Id="rId504" Type="http://schemas.openxmlformats.org/officeDocument/2006/relationships/hyperlink" Target="https://docs.google.com/document/d/1AAJQVtDH1FNoV_SlZ4_kQ1GUK5TFTf9J/edit?usp=drive_link&amp;ouid=107596163405648766688&amp;rtpof=true&amp;sd=true" TargetMode="External"/><Relationship Id="rId988" Type="http://schemas.openxmlformats.org/officeDocument/2006/relationships/hyperlink" Target="https://drive.google.com/file/d/19ze_Zg77kWqTu22_FVM6AbHjo7vnCW-j/view?usp=drive_link" TargetMode="External"/><Relationship Id="rId1570" Type="http://schemas.openxmlformats.org/officeDocument/2006/relationships/hyperlink" Target="https://onlinegamespromo.fazi.rs/Home/IntegrationGameLaunch?moneyType=0&amp;gameName=PlayNetCrownTreasure10&amp;platform=desktop&amp;languageCode=eng&amp;currency=EUR" TargetMode="External"/><Relationship Id="rId1571" Type="http://schemas.openxmlformats.org/officeDocument/2006/relationships/hyperlink" Target="https://gameserver-store-client-area.orbionlimited.com/Home/IntegrationGameLaunch/client-area?moneyType=0&amp;gameName=PlayNetCrownTreasure10&amp;platform=desktop&amp;languageCode=eng&amp;currency=EUR" TargetMode="External"/><Relationship Id="rId983" Type="http://schemas.openxmlformats.org/officeDocument/2006/relationships/hyperlink" Target="https://drive.google.com/file/d/1aQMoqx1Q0PxgTRx-QfcLaCK7eHBA4cDj/view?usp=drive_link" TargetMode="External"/><Relationship Id="rId1572" Type="http://schemas.openxmlformats.org/officeDocument/2006/relationships/hyperlink" Target="https://drive.google.com/drive/u/1/folders/1u9zSqrdT7upTpz3uiJRAuTNt3RZYGlWX" TargetMode="External"/><Relationship Id="rId982" Type="http://schemas.openxmlformats.org/officeDocument/2006/relationships/hyperlink" Target="https://static.redstone.rs/games/heart-royale/" TargetMode="External"/><Relationship Id="rId1573" Type="http://schemas.openxmlformats.org/officeDocument/2006/relationships/hyperlink" Target="https://drive.google.com/drive/u/1/folders/1u9zSqrdT7upTpz3uiJRAuTNt3RZYGlWX" TargetMode="External"/><Relationship Id="rId981" Type="http://schemas.openxmlformats.org/officeDocument/2006/relationships/hyperlink" Target="https://static.redstone.rs/games/heart-royale/" TargetMode="External"/><Relationship Id="rId1574" Type="http://schemas.openxmlformats.org/officeDocument/2006/relationships/hyperlink" Target="https://onlinegamespromo.fazi.rs/Home/IntegrationGameLaunch?moneyType=0&amp;gameName=PlayNetTropicTwistExtreme&amp;platform=desktop&amp;languageCode=eng&amp;currency=EUR" TargetMode="External"/><Relationship Id="rId980" Type="http://schemas.openxmlformats.org/officeDocument/2006/relationships/hyperlink" Target="https://drive.google.com/file/d/1LZlXE5diYEEbyW4iyCuBT6KsdLU41E_9/view?usp=drive_link" TargetMode="External"/><Relationship Id="rId1575" Type="http://schemas.openxmlformats.org/officeDocument/2006/relationships/hyperlink" Target="https://gameserver-store-client-area.orbionlimited.com/Home/IntegrationGameLaunch/client-area?moneyType=0&amp;gameName=PlayNetTropicTwistExtreme&amp;platform=desktop&amp;languageCode=eng&amp;currency=EUR" TargetMode="External"/><Relationship Id="rId1565" Type="http://schemas.openxmlformats.org/officeDocument/2006/relationships/hyperlink" Target="https://gameserver-store-client-area.orbionlimited.com/Home/IntegrationGameLaunch/client-area?moneyType=0&amp;gameName=PlayNetRoxyUndercover&amp;platform=desktop&amp;languageCode=eng&amp;currency=EUR" TargetMode="External"/><Relationship Id="rId1566" Type="http://schemas.openxmlformats.org/officeDocument/2006/relationships/hyperlink" Target="https://onlinegamespromo.fazi.rs/Home/IntegrationGameLaunch?moneyType=0&amp;gameName=PlayNetHeartGem100&amp;platform=desktop&amp;languageCode=eng&amp;currency=EUR" TargetMode="External"/><Relationship Id="rId1567" Type="http://schemas.openxmlformats.org/officeDocument/2006/relationships/hyperlink" Target="https://gameserver-store-client-area.orbionlimited.com/Home/IntegrationGameLaunch/client-area?moneyType=0&amp;gameName=PlayNetHeartGem100&amp;platform=desktop&amp;languageCode=eng&amp;currency=EUR" TargetMode="External"/><Relationship Id="rId1568" Type="http://schemas.openxmlformats.org/officeDocument/2006/relationships/hyperlink" Target="https://drive.google.com/drive/u/1/folders/1BLuE2WJvCB2-CMTqcQovdwwyoTEQF3gl" TargetMode="External"/><Relationship Id="rId1569" Type="http://schemas.openxmlformats.org/officeDocument/2006/relationships/hyperlink" Target="https://drive.google.com/drive/u/1/folders/1BLuE2WJvCB2-CMTqcQovdwwyoTEQF3gl" TargetMode="External"/><Relationship Id="rId976" Type="http://schemas.openxmlformats.org/officeDocument/2006/relationships/hyperlink" Target="https://drive.google.com/file/d/1YcfrIj3IZ2DKPIWzXEqRg38PA6964GYy/view?usp=drive_link" TargetMode="External"/><Relationship Id="rId975" Type="http://schemas.openxmlformats.org/officeDocument/2006/relationships/hyperlink" Target="https://drive.google.com/file/d/1-amw2f6rGQxPdLmoRqPQ4B4OnBMCaUiT/view?usp=drive_link" TargetMode="External"/><Relationship Id="rId974" Type="http://schemas.openxmlformats.org/officeDocument/2006/relationships/hyperlink" Target="https://static.redstone.rs/games/40-wild-crown/" TargetMode="External"/><Relationship Id="rId973" Type="http://schemas.openxmlformats.org/officeDocument/2006/relationships/hyperlink" Target="https://static.redstone.rs/games/40-wild-crown/" TargetMode="External"/><Relationship Id="rId979" Type="http://schemas.openxmlformats.org/officeDocument/2006/relationships/hyperlink" Target="https://drive.google.com/file/d/1oz6yW5qnOMRoaFkZSgqtFto3q_2PdbZ6/view?usp=drive_link" TargetMode="External"/><Relationship Id="rId978" Type="http://schemas.openxmlformats.org/officeDocument/2006/relationships/hyperlink" Target="https://static.redstone.rs/games/double-crown-5/" TargetMode="External"/><Relationship Id="rId977" Type="http://schemas.openxmlformats.org/officeDocument/2006/relationships/hyperlink" Target="https://static.redstone.rs/games/double-crown-5/" TargetMode="External"/><Relationship Id="rId1560" Type="http://schemas.openxmlformats.org/officeDocument/2006/relationships/hyperlink" Target="https://onlinegamespromo.fazi.rs/Home/IntegrationGameLaunch?moneyType=0&amp;gameName=PlayNetJokersCrownX2&amp;platform=desktop&amp;languageCode=eng&amp;currency=EUR" TargetMode="External"/><Relationship Id="rId972" Type="http://schemas.openxmlformats.org/officeDocument/2006/relationships/hyperlink" Target="https://drive.google.com/file/d/1ztU0U7_kgwbIaRZ_UCS6mO_iZYclWO1A/view?usp=drive_link" TargetMode="External"/><Relationship Id="rId1561" Type="http://schemas.openxmlformats.org/officeDocument/2006/relationships/hyperlink" Target="https://gameserver-store-client-area.orbionlimited.com/Home/IntegrationGameLaunch/client-area?moneyType=0&amp;gameName=PlayNetJokersCrownX2&amp;platform=desktop&amp;languageCode=eng&amp;currency=EUR" TargetMode="External"/><Relationship Id="rId971" Type="http://schemas.openxmlformats.org/officeDocument/2006/relationships/hyperlink" Target="https://drive.google.com/file/d/1ChDrkhCI27hZry0ILWOPTx_uPeueAvMZ/view?usp=drive_link" TargetMode="External"/><Relationship Id="rId1562" Type="http://schemas.openxmlformats.org/officeDocument/2006/relationships/hyperlink" Target="https://drive.google.com/drive/u/1/folders/1VUsqF4POYyLYFTpmPADn7kSJ-Mhd9zC-" TargetMode="External"/><Relationship Id="rId970" Type="http://schemas.openxmlformats.org/officeDocument/2006/relationships/hyperlink" Target="https://gameserver-store-client-area.orbionlimited.com/Home/IntegrationGameLaunch/client-area?moneyType=0&amp;gameName=NovaPixelWheelOfJoker&amp;platform=desktop&amp;languageCode=eng&amp;currency=EUR" TargetMode="External"/><Relationship Id="rId1563" Type="http://schemas.openxmlformats.org/officeDocument/2006/relationships/hyperlink" Target="https://drive.google.com/drive/u/1/folders/1VUsqF4POYyLYFTpmPADn7kSJ-Mhd9zC-" TargetMode="External"/><Relationship Id="rId1564" Type="http://schemas.openxmlformats.org/officeDocument/2006/relationships/hyperlink" Target="https://onlinegamespromo.fazi.rs/Home/IntegrationGameLaunch?moneyType=0&amp;gameName=PlayNetRoxyUndercover&amp;platform=desktop&amp;languageCode=eng&amp;currency=EUR" TargetMode="External"/><Relationship Id="rId1114" Type="http://schemas.openxmlformats.org/officeDocument/2006/relationships/hyperlink" Target="https://drive.google.com/drive/u/1/folders/1xobLzwkTCpqNacZe9peJ5JCe2x1v25FW" TargetMode="External"/><Relationship Id="rId1598" Type="http://schemas.openxmlformats.org/officeDocument/2006/relationships/hyperlink" Target="https://drive.google.com/file/d/1O52UGr6YBo2Bg0Dy0xPSY9xtFETqmMjW/view?usp=drive_link" TargetMode="External"/><Relationship Id="rId1115" Type="http://schemas.openxmlformats.org/officeDocument/2006/relationships/hyperlink" Target="https://drive.google.com/drive/u/1/folders/1xobLzwkTCpqNacZe9peJ5JCe2x1v25FW" TargetMode="External"/><Relationship Id="rId1599" Type="http://schemas.openxmlformats.org/officeDocument/2006/relationships/hyperlink" Target="https://drive.google.com/file/d/17XbSts2nKODexFcKfBq2IOAyMVhi7UqQ/view?usp=drive_link" TargetMode="External"/><Relationship Id="rId1116" Type="http://schemas.openxmlformats.org/officeDocument/2006/relationships/hyperlink" Target="https://docs.google.com/document/d/1eB8Zj8GpDRP7UX4wYyRxIQ6j_NzzOI15/edit?usp=drive_link&amp;ouid=107596163405648766688&amp;rtpof=true&amp;sd=true" TargetMode="External"/><Relationship Id="rId1117" Type="http://schemas.openxmlformats.org/officeDocument/2006/relationships/hyperlink" Target="https://docs.google.com/document/d/1lt4c7fu2mMR24TV6mjkpAD6uJd9uRARo/edit?usp=drive_link&amp;ouid=107596163405648766688&amp;rtpof=true&amp;sd=true" TargetMode="External"/><Relationship Id="rId1118" Type="http://schemas.openxmlformats.org/officeDocument/2006/relationships/hyperlink" Target="https://static.redstone.rs/games/inferno-hot-20/" TargetMode="External"/><Relationship Id="rId1119" Type="http://schemas.openxmlformats.org/officeDocument/2006/relationships/hyperlink" Target="https://static.redstone.rs/games/inferno-hot-20/" TargetMode="External"/><Relationship Id="rId525" Type="http://schemas.openxmlformats.org/officeDocument/2006/relationships/hyperlink" Target="https://static.redstone.rs/games/hot-rush-crown-burst/" TargetMode="External"/><Relationship Id="rId524" Type="http://schemas.openxmlformats.org/officeDocument/2006/relationships/hyperlink" Target="https://docs.google.com/document/d/1ps3hC3q69Tm1vXTvhMOtz6pha6fh6E9E/edit?usp=drive_link&amp;ouid=107596163405648766688&amp;rtpof=true&amp;sd=true" TargetMode="External"/><Relationship Id="rId523" Type="http://schemas.openxmlformats.org/officeDocument/2006/relationships/hyperlink" Target="https://docs.google.com/document/d/1VsxFGG6KMJSMeHNfFC2m7P-sd-0f4mbD/edit?usp=drive_link&amp;ouid=107596163405648766688&amp;rtpof=true&amp;sd=true" TargetMode="External"/><Relationship Id="rId522" Type="http://schemas.openxmlformats.org/officeDocument/2006/relationships/hyperlink" Target="https://static.redstone.rs/games/chilli-double/" TargetMode="External"/><Relationship Id="rId529" Type="http://schemas.openxmlformats.org/officeDocument/2006/relationships/hyperlink" Target="https://static.redstone.rs/games/lady-triple-fortune/" TargetMode="External"/><Relationship Id="rId528" Type="http://schemas.openxmlformats.org/officeDocument/2006/relationships/hyperlink" Target="https://docs.google.com/document/d/1vsKjcSFcAQ0muEWNhXX0HDyQi4ZCD2FP/edit?usp=drive_link&amp;ouid=107596163405648766688&amp;rtpof=true&amp;sd=true" TargetMode="External"/><Relationship Id="rId527" Type="http://schemas.openxmlformats.org/officeDocument/2006/relationships/hyperlink" Target="https://docs.google.com/document/d/1ndIePfFS0_TcjpuBGGaHFj_FhC-sPHsD/edit?usp=drive_link&amp;ouid=107596163405648766688&amp;rtpof=true&amp;sd=true" TargetMode="External"/><Relationship Id="rId526" Type="http://schemas.openxmlformats.org/officeDocument/2006/relationships/hyperlink" Target="https://static.redstone.rs/games/hot-rush-crown-burst/" TargetMode="External"/><Relationship Id="rId1590" Type="http://schemas.openxmlformats.org/officeDocument/2006/relationships/hyperlink" Target="https://drive.google.com/file/d/1OcQy9RzN8DA0FHZWrpaWZWvZVvkB8v4f/view?usp=drive_link" TargetMode="External"/><Relationship Id="rId1591" Type="http://schemas.openxmlformats.org/officeDocument/2006/relationships/hyperlink" Target="https://drive.google.com/file/d/1JHdeWf7t5_oOGjzMNPMThT3v8di0qzBX/view?usp=drive_link" TargetMode="External"/><Relationship Id="rId1592" Type="http://schemas.openxmlformats.org/officeDocument/2006/relationships/hyperlink" Target="https://static.redstone.rs/games/lucky-lucky-bells/" TargetMode="External"/><Relationship Id="rId1593" Type="http://schemas.openxmlformats.org/officeDocument/2006/relationships/hyperlink" Target="https://gameserver-store-client-area.orbionlimited.com/Home/IntegrationGameLaunch/client-area?moneyType=0&amp;gameName=RedstoneLuckyLuckyBells&amp;platform=desktop&amp;languageCode=eng&amp;currency=EUR" TargetMode="External"/><Relationship Id="rId521" Type="http://schemas.openxmlformats.org/officeDocument/2006/relationships/hyperlink" Target="https://static.redstone.rs/games/chilli-double/" TargetMode="External"/><Relationship Id="rId1110" Type="http://schemas.openxmlformats.org/officeDocument/2006/relationships/hyperlink" Target="https://docs.google.com/document/d/1VivZXUXDZhRUzt9BX4F04ZPfuh1BOlLX/edit?usp=drive_link&amp;ouid=107596163405648766688&amp;rtpof=true&amp;sd=true" TargetMode="External"/><Relationship Id="rId1594" Type="http://schemas.openxmlformats.org/officeDocument/2006/relationships/hyperlink" Target="https://drive.google.com/file/d/1s18KWxLBweWnNBhm5gcm9LIcbFlTRTX_/view?usp=drive_link" TargetMode="External"/><Relationship Id="rId520" Type="http://schemas.openxmlformats.org/officeDocument/2006/relationships/hyperlink" Target="https://docs.google.com/document/d/1wEnLmJFmrg49N5YjNDqPdbpoWHjyekQY/edit?usp=drive_link&amp;ouid=107596163405648766688&amp;rtpof=true&amp;sd=true" TargetMode="External"/><Relationship Id="rId1111" Type="http://schemas.openxmlformats.org/officeDocument/2006/relationships/hyperlink" Target="https://docs.google.com/document/d/1LSKczJRKVsnUMYp-FOykWGNmy_rW_iFt/edit?usp=drive_link&amp;ouid=107596163405648766688&amp;rtpof=true&amp;sd=true" TargetMode="External"/><Relationship Id="rId1595" Type="http://schemas.openxmlformats.org/officeDocument/2006/relationships/hyperlink" Target="https://drive.google.com/file/d/10rV4fotC8qoSNCHiRcLITCnXVGI7dtFg/view?usp=drive_link" TargetMode="External"/><Relationship Id="rId1112" Type="http://schemas.openxmlformats.org/officeDocument/2006/relationships/hyperlink" Target="https://static.redstone.rs/games/chilli-hot-40/" TargetMode="External"/><Relationship Id="rId1596" Type="http://schemas.openxmlformats.org/officeDocument/2006/relationships/hyperlink" Target="https://onlinegamespromo.fazi.rs/Home/IntegrationGameLaunch?moneyType=0&amp;gameName=RedstoneCloverFire1000&amp;platform=desktop&amp;languageCode=eng&amp;currency=EUR" TargetMode="External"/><Relationship Id="rId1113" Type="http://schemas.openxmlformats.org/officeDocument/2006/relationships/hyperlink" Target="https://static.redstone.rs/games/chilli-hot-40/" TargetMode="External"/><Relationship Id="rId1597" Type="http://schemas.openxmlformats.org/officeDocument/2006/relationships/hyperlink" Target="https://gameserver-store-client-area.orbionlimited.com/Home/IntegrationGameLaunch/client-area?moneyType=0&amp;gameName=RedstoneCloverFire1000&amp;platform=desktop&amp;languageCode=eng&amp;currency=EUR" TargetMode="External"/><Relationship Id="rId1103" Type="http://schemas.openxmlformats.org/officeDocument/2006/relationships/hyperlink" Target="https://docs.google.com/document/d/1xtsilRluhzm1KI6FDEQ7opNOnITAA9Tw/edit?usp=drive_link&amp;ouid=107596163405648766688&amp;rtpof=true&amp;sd=true" TargetMode="External"/><Relationship Id="rId1587" Type="http://schemas.openxmlformats.org/officeDocument/2006/relationships/hyperlink" Target="https://gameserver-store-client-area.orbionlimited.com/Home/IntegrationGameLaunch/client-area?moneyType=0&amp;gameName=PlayNetShadowHunt20&amp;platform=desktop&amp;languageCode=eng&amp;currency=EUR" TargetMode="External"/><Relationship Id="rId1104" Type="http://schemas.openxmlformats.org/officeDocument/2006/relationships/hyperlink" Target="https://docs.google.com/document/d/11FY-e__Z3N_KJDK2EjKnCASsruOiCOfn/edit?usp=drive_link&amp;ouid=107596163405648766688&amp;rtpof=true&amp;sd=true" TargetMode="External"/><Relationship Id="rId1588" Type="http://schemas.openxmlformats.org/officeDocument/2006/relationships/hyperlink" Target="https://onlinegamespromo.fazi.rs/Home/IntegrationGameLaunch?moneyType=0&amp;gameName=PlayNet27WildStacksExtreme&amp;platform=desktop&amp;languageCode=eng&amp;currency=EUR" TargetMode="External"/><Relationship Id="rId1105" Type="http://schemas.openxmlformats.org/officeDocument/2006/relationships/hyperlink" Target="https://static.redstone.rs/games/multi-heart-5/" TargetMode="External"/><Relationship Id="rId1589" Type="http://schemas.openxmlformats.org/officeDocument/2006/relationships/hyperlink" Target="https://gameserver-store-client-area.orbionlimited.com/Home/IntegrationGameLaunch/client-area?moneyType=0&amp;gameName=PlayNet27WildStacksExtreme&amp;platform=desktop&amp;languageCode=eng&amp;currency=EUR" TargetMode="External"/><Relationship Id="rId1106" Type="http://schemas.openxmlformats.org/officeDocument/2006/relationships/hyperlink" Target="https://static.redstone.rs/games/multi-heart-5/" TargetMode="External"/><Relationship Id="rId1107" Type="http://schemas.openxmlformats.org/officeDocument/2006/relationships/hyperlink" Target="https://static.redstone.rs/games/20-wild-heart/" TargetMode="External"/><Relationship Id="rId1108" Type="http://schemas.openxmlformats.org/officeDocument/2006/relationships/hyperlink" Target="https://static.redstone.rs/games/20-wild-heart/" TargetMode="External"/><Relationship Id="rId1109" Type="http://schemas.openxmlformats.org/officeDocument/2006/relationships/hyperlink" Target="https://onlinegamespromo.fazi.rs/Home/IntegrationGameLaunch?moneyType=0&amp;gameName=PlayNetFortuneCloverX2Xmas&amp;platform=desktop&amp;languageCode=eng&amp;currency=EUR" TargetMode="External"/><Relationship Id="rId519" Type="http://schemas.openxmlformats.org/officeDocument/2006/relationships/hyperlink" Target="https://docs.google.com/document/d/1PYxXsTRixVUGoPQjGyncmfz5LXWWNYRg/edit?usp=drive_link&amp;ouid=107596163405648766688&amp;rtpof=true&amp;sd=true" TargetMode="External"/><Relationship Id="rId514" Type="http://schemas.openxmlformats.org/officeDocument/2006/relationships/hyperlink" Target="https://gameserver-store-client-area.orbionlimited.com/Home/IntegrationGameLaunch/client-area?moneyType=0&amp;gameName=EpicClover100&amp;platform=desktop&amp;languageCode=eng&amp;currency=EUR" TargetMode="External"/><Relationship Id="rId998" Type="http://schemas.openxmlformats.org/officeDocument/2006/relationships/hyperlink" Target="https://static.redstone.rs/games/10-extra-bank/" TargetMode="External"/><Relationship Id="rId513" Type="http://schemas.openxmlformats.org/officeDocument/2006/relationships/hyperlink" Target="https://onlinegamespromo.fazi.rs/Home/IntegrationGameLaunch?moneyType=0&amp;gameName=EpicClover100&amp;platform=desktop&amp;languageCode=eng&amp;currency=EUR" TargetMode="External"/><Relationship Id="rId997" Type="http://schemas.openxmlformats.org/officeDocument/2006/relationships/hyperlink" Target="https://static.redstone.rs/games/10-extra-bank/" TargetMode="External"/><Relationship Id="rId512" Type="http://schemas.openxmlformats.org/officeDocument/2006/relationships/hyperlink" Target="https://play.redstone.rs/games/20-wild-crown/index.html" TargetMode="External"/><Relationship Id="rId996" Type="http://schemas.openxmlformats.org/officeDocument/2006/relationships/hyperlink" Target="https://drive.google.com/file/d/1o6AJewj4icCYI4peF3C-aGmSVPa12E4c/view?usp=drive_link" TargetMode="External"/><Relationship Id="rId511" Type="http://schemas.openxmlformats.org/officeDocument/2006/relationships/hyperlink" Target="https://play.redstone.rs/games/20-wild-crown/index.html" TargetMode="External"/><Relationship Id="rId995" Type="http://schemas.openxmlformats.org/officeDocument/2006/relationships/hyperlink" Target="https://drive.google.com/file/d/1VacTNVGL_aAgcRqDK1PiGT2sJWAclThw/view?usp=drive_link" TargetMode="External"/><Relationship Id="rId518" Type="http://schemas.openxmlformats.org/officeDocument/2006/relationships/hyperlink" Target="https://gameserver-store-client-area.orbionlimited.com/Home/IntegrationGameLaunch/client-area?moneyType=0&amp;gameName=TripleFieldsOfLuck&amp;platform=desktop&amp;languageCode=eng&amp;currency=EUR" TargetMode="External"/><Relationship Id="rId517" Type="http://schemas.openxmlformats.org/officeDocument/2006/relationships/hyperlink" Target="https://onlinegamespromo.fazi.rs/Home/IntegrationGameLaunch?moneyType=0&amp;gameName=TripleFieldsOfLuck&amp;platform=desktop&amp;languageCode=eng&amp;currency=EUR" TargetMode="External"/><Relationship Id="rId516" Type="http://schemas.openxmlformats.org/officeDocument/2006/relationships/hyperlink" Target="https://gameserver-store-client-area.orbionlimited.com/Home/IntegrationGameLaunch/client-area?moneyType=0&amp;gameName=AmazingJoker&amp;platform=desktop&amp;languageCode=eng&amp;currency=EUR" TargetMode="External"/><Relationship Id="rId515" Type="http://schemas.openxmlformats.org/officeDocument/2006/relationships/hyperlink" Target="https://onlinegamespromo.fazi.rs/Home/IntegrationGameLaunch?moneyType=0&amp;gameName=amazingjoker&amp;platform=desktop&amp;languageCode=eng&amp;currency=EUR" TargetMode="External"/><Relationship Id="rId999" Type="http://schemas.openxmlformats.org/officeDocument/2006/relationships/hyperlink" Target="https://drive.google.com/file/d/1Lm3CxFfwVfVgcvTRH5RvbJ6oclwLuqtI/view?usp=drive_link" TargetMode="External"/><Relationship Id="rId990" Type="http://schemas.openxmlformats.org/officeDocument/2006/relationships/hyperlink" Target="https://static.redstone.rs/games/crown-drop/" TargetMode="External"/><Relationship Id="rId1580" Type="http://schemas.openxmlformats.org/officeDocument/2006/relationships/hyperlink" Target="https://onlinegamespromo.fazi.rs/Home/IntegrationGameLaunch?moneyType=0&amp;gameName=PlayNetRoyalFlameX2&amp;platform=desktop&amp;languageCode=eng&amp;currency=EUR" TargetMode="External"/><Relationship Id="rId1581" Type="http://schemas.openxmlformats.org/officeDocument/2006/relationships/hyperlink" Target="https://gameserver-store-client-area.orbionlimited.com/Home/IntegrationGameLaunch/client-area?moneyType=0&amp;gameName=PlayNetRoyalFlameX2&amp;platform=desktop&amp;languageCode=eng&amp;currency=EUR" TargetMode="External"/><Relationship Id="rId1582" Type="http://schemas.openxmlformats.org/officeDocument/2006/relationships/hyperlink" Target="https://onlinegamespromo.fazi.rs/Home/IntegrationGameLaunch?moneyType=0&amp;gameName=PlayNetHeartGem5&amp;platform=desktop&amp;languageCode=eng&amp;currency=EUR" TargetMode="External"/><Relationship Id="rId510" Type="http://schemas.openxmlformats.org/officeDocument/2006/relationships/hyperlink" Target="https://docs.google.com/document/d/17U5ep68w6t9myafb3f5gTSGNEdDaOxSk/edit?usp=drive_link&amp;ouid=107596163405648766688&amp;rtpof=true&amp;sd=true" TargetMode="External"/><Relationship Id="rId994" Type="http://schemas.openxmlformats.org/officeDocument/2006/relationships/hyperlink" Target="https://static.redstone.rs/games/5-clover-fire-6-reels/" TargetMode="External"/><Relationship Id="rId1583" Type="http://schemas.openxmlformats.org/officeDocument/2006/relationships/hyperlink" Target="https://gameserver-store-client-area.orbionlimited.com/Home/IntegrationGameLaunch/client-area?moneyType=0&amp;gameName=PlayNetHeartGem5&amp;platform=desktop&amp;languageCode=eng&amp;currency=EUR" TargetMode="External"/><Relationship Id="rId993" Type="http://schemas.openxmlformats.org/officeDocument/2006/relationships/hyperlink" Target="https://static.redstone.rs/games/5-clover-fire-6-reels/" TargetMode="External"/><Relationship Id="rId1100" Type="http://schemas.openxmlformats.org/officeDocument/2006/relationships/hyperlink" Target="https://static.redstone.rs/games/clover-field-40/" TargetMode="External"/><Relationship Id="rId1584" Type="http://schemas.openxmlformats.org/officeDocument/2006/relationships/hyperlink" Target="https://onlinegamespromo.fazi.rs/Home/IntegrationGameLaunch?moneyType=0&amp;gameName=PlayNetEmpressOfFlame20&amp;platform=desktop&amp;languageCode=eng&amp;currency=EUR" TargetMode="External"/><Relationship Id="rId992" Type="http://schemas.openxmlformats.org/officeDocument/2006/relationships/hyperlink" Target="https://drive.google.com/file/d/19ze_Zg77kWqTu22_FVM6AbHjo7vnCW-j/view?usp=drive_link" TargetMode="External"/><Relationship Id="rId1101" Type="http://schemas.openxmlformats.org/officeDocument/2006/relationships/hyperlink" Target="https://onlinegamespromo.fazi.rs/Home/IntegrationGameLaunch?moneyType=0&amp;gameName=PlayNetElfAndRoll&amp;platform=desktop&amp;languageCode=eng&amp;currency=EUR" TargetMode="External"/><Relationship Id="rId1585" Type="http://schemas.openxmlformats.org/officeDocument/2006/relationships/hyperlink" Target="https://gameserver-store-client-area.orbionlimited.com/Home/IntegrationGameLaunch/client-area?moneyType=0&amp;gameName=PlayNetEmpressOfFlame20&amp;platform=desktop&amp;languageCode=eng&amp;currency=EUR" TargetMode="External"/><Relationship Id="rId991" Type="http://schemas.openxmlformats.org/officeDocument/2006/relationships/hyperlink" Target="https://drive.google.com/file/d/12E3WH7zMmakKE9xQtqyckajMvhnbC-Hr/view?usp=drive_link" TargetMode="External"/><Relationship Id="rId1102" Type="http://schemas.openxmlformats.org/officeDocument/2006/relationships/hyperlink" Target="https://gameserver-store-client-area.orbionlimited.com/Home/IntegrationGameLaunch/client-area?moneyType=0&amp;gameName=PlayNetElfAndRoll&amp;platform=desktop&amp;languageCode=eng&amp;currency=EUR" TargetMode="External"/><Relationship Id="rId1586" Type="http://schemas.openxmlformats.org/officeDocument/2006/relationships/hyperlink" Target="https://onlinegamespromo.fazi.rs/Home/IntegrationGameLaunch?moneyType=0&amp;gameName=PlayNetShadowHunt20&amp;platform=desktop&amp;languageCode=eng&amp;currency=EUR" TargetMode="External"/><Relationship Id="rId1532" Type="http://schemas.openxmlformats.org/officeDocument/2006/relationships/hyperlink" Target="https://rgs-royal-jewels-fortune-deluxe.soko.games/?demo=True&amp;locale=eng" TargetMode="External"/><Relationship Id="rId1533" Type="http://schemas.openxmlformats.org/officeDocument/2006/relationships/hyperlink" Target="https://dicebyte.sharepoint.com/:b:/g/IQCHrBaDtNW6SY9meOuB0QHAAeYCUHnbl1VakZBTKIbsM_I?e=9KynKr" TargetMode="External"/><Relationship Id="rId1534" Type="http://schemas.openxmlformats.org/officeDocument/2006/relationships/hyperlink" Target="https://dicebyte.sharepoint.com/:b:/g/IQCC8uYJtZDvRJaEqpWpkn58Aayt4F9R93WnyT7KZlmtEAc?e=IlxvAv" TargetMode="External"/><Relationship Id="rId1535" Type="http://schemas.openxmlformats.org/officeDocument/2006/relationships/hyperlink" Target="https://dicebyte.sharepoint.com/:b:/g/IQDjJjhqyRF5Rag0O36lqnqTActMnHozyMAZFdSrXLEz60g?e=5NHHei" TargetMode="External"/><Relationship Id="rId1536" Type="http://schemas.openxmlformats.org/officeDocument/2006/relationships/hyperlink" Target="https://dicebyte.sharepoint.com/:b:/g/IQBk__GmaJ-lQqSvTo9UtE-oAXN4Ma91_WfsIOjU7n2F5aU?e=rgI0U0" TargetMode="External"/><Relationship Id="rId1537" Type="http://schemas.openxmlformats.org/officeDocument/2006/relationships/hyperlink" Target="https://rgs-wild-chili-fiesta.soko.games/?demo=True&amp;locale=eng" TargetMode="External"/><Relationship Id="rId1538" Type="http://schemas.openxmlformats.org/officeDocument/2006/relationships/hyperlink" Target="https://gameserver-store-client-area.orbionlimited.com/Home/IntegrationGameLaunch/client-area?moneyType=0&amp;gameName=SokoWildChiliFiesta&amp;platform=desktop&amp;languageCode=eng&amp;currency=EUR" TargetMode="External"/><Relationship Id="rId1539" Type="http://schemas.openxmlformats.org/officeDocument/2006/relationships/hyperlink" Target="https://dicebyte.sharepoint.com/:b:/g/IQCj9mj7Y3GfQ5tXjcWXnck3AYO2YmBM14UsIodZ8zaTNZc?e=LJRWkK" TargetMode="External"/><Relationship Id="rId949" Type="http://schemas.openxmlformats.org/officeDocument/2006/relationships/hyperlink" Target="https://drive.google.com/drive/folders/1K0XeNmIwEJ7Qvyb5qEjhBQGruLxRdiMG?usp=drive_link" TargetMode="External"/><Relationship Id="rId948" Type="http://schemas.openxmlformats.org/officeDocument/2006/relationships/hyperlink" Target="https://drive.google.com/drive/folders/1K0XeNmIwEJ7Qvyb5qEjhBQGruLxRdiMG?usp=drive_link" TargetMode="External"/><Relationship Id="rId943" Type="http://schemas.openxmlformats.org/officeDocument/2006/relationships/hyperlink" Target="https://onlinegamespromo.fazi.rs/Home/IntegrationGameLaunch?moneyType=0&amp;gameName=PlayNetDashingHot20&amp;platform=desktop&amp;languageCode=eng&amp;currency=EUR" TargetMode="External"/><Relationship Id="rId942" Type="http://schemas.openxmlformats.org/officeDocument/2006/relationships/hyperlink" Target="https://gameserver-store-client-area.orbionlimited.com/Home/IntegrationGameLaunch/client-area?moneyType=0&amp;gameName=PlayNetGoldenGetsby&amp;platform=desktop&amp;languageCode=eng&amp;currency=EUR" TargetMode="External"/><Relationship Id="rId941" Type="http://schemas.openxmlformats.org/officeDocument/2006/relationships/hyperlink" Target="https://onlinegamespromo.fazi.rs/Home/IntegrationGameLaunch?moneyType=0&amp;gameName=PlayNetGoldenGetsby&amp;platform=desktop&amp;languageCode=eng&amp;currency=EUR" TargetMode="External"/><Relationship Id="rId940" Type="http://schemas.openxmlformats.org/officeDocument/2006/relationships/hyperlink" Target="https://gameserver-store-client-area.orbionlimited.com/Home/IntegrationGameLaunch/client-area?moneyType=0&amp;gameName=PlayNetDiamondHeart100&amp;platform=desktop&amp;languageCode=eng&amp;currency=EUR" TargetMode="External"/><Relationship Id="rId947" Type="http://schemas.openxmlformats.org/officeDocument/2006/relationships/hyperlink" Target="https://gameserver-store-client-area.orbionlimited.com/Home/IntegrationGameLaunch/client-area?moneyType=0&amp;gameName=WildStickyClover&amp;platform=desktop&amp;languageCode=eng&amp;currency=EUR" TargetMode="External"/><Relationship Id="rId946" Type="http://schemas.openxmlformats.org/officeDocument/2006/relationships/hyperlink" Target="https://gameserver-store-client-area.orbionlimited.com/Home/IntegrationGameLaunch/client-area?moneyType=0&amp;gameName=PlayNetDarkTemptress&amp;platform=desktop&amp;languageCode=eng&amp;currency=EUR" TargetMode="External"/><Relationship Id="rId945" Type="http://schemas.openxmlformats.org/officeDocument/2006/relationships/hyperlink" Target="https://onlinegamespromo.fazi.rs/Home/IntegrationGameLaunch?moneyType=0&amp;gameName=PlayNetDarkTemptress&amp;platform=desktop&amp;languageCode=eng&amp;currency=EUR" TargetMode="External"/><Relationship Id="rId944" Type="http://schemas.openxmlformats.org/officeDocument/2006/relationships/hyperlink" Target="https://gameserver-store-client-area.orbionlimited.com/Home/IntegrationGameLaunch/client-area?moneyType=0&amp;gameName=PlayNetDashingHot20&amp;platform=desktop&amp;languageCode=eng&amp;currency=EUR" TargetMode="External"/><Relationship Id="rId1530" Type="http://schemas.openxmlformats.org/officeDocument/2006/relationships/hyperlink" Target="https://dicebyte.sharepoint.com/:b:/g/IQBk427fhJxFRqJu3RDzN5j7AWRQQ5sgDQ-UUgTcLVfZu9I?e=kSsSNb" TargetMode="External"/><Relationship Id="rId1531" Type="http://schemas.openxmlformats.org/officeDocument/2006/relationships/hyperlink" Target="https://rgs-royal-jewels-fortune-deluxe.soko.games/?demo=True&amp;locale=eng" TargetMode="External"/><Relationship Id="rId1521" Type="http://schemas.openxmlformats.org/officeDocument/2006/relationships/hyperlink" Target="https://onlinegamespromo.fazi.rs/Home/IntegrationGameLaunch?moneyType=0&amp;gameName=UnicornStackWildAttack&amp;platform=desktop&amp;languageCode=eng&amp;currency=EUR" TargetMode="External"/><Relationship Id="rId1522" Type="http://schemas.openxmlformats.org/officeDocument/2006/relationships/hyperlink" Target="https://gameserver-store-client-area.orbionlimited.com/Home/IntegrationGameLaunch/client-area?moneyType=0&amp;gameName=UnicornStackWildAttack&amp;platform=desktop&amp;languageCode=eng&amp;currency=EUR" TargetMode="External"/><Relationship Id="rId1523" Type="http://schemas.openxmlformats.org/officeDocument/2006/relationships/hyperlink" Target="https://onlinegamespromo.fazi.rs/Home/IntegrationGameLaunch?moneyType=0&amp;gameName=UnicornForeverFruit&amp;platform=desktop&amp;languageCode=eng&amp;currency=EUR" TargetMode="External"/><Relationship Id="rId1524" Type="http://schemas.openxmlformats.org/officeDocument/2006/relationships/hyperlink" Target="https://gameserver-store-client-area.orbionlimited.com/Home/IntegrationGameLaunch/client-area?moneyType=0&amp;gameName=UnicornForeverFruit&amp;platform=desktop&amp;languageCode=eng&amp;currency=EUR" TargetMode="External"/><Relationship Id="rId1525" Type="http://schemas.openxmlformats.org/officeDocument/2006/relationships/hyperlink" Target="https://dicebyte.sharepoint.com/:b:/g/IQDyDKwN3M1gR4amzH0TthN7AcNPbN6DwC2M6XiCCfylpy4?e=esZJ4K" TargetMode="External"/><Relationship Id="rId1526" Type="http://schemas.openxmlformats.org/officeDocument/2006/relationships/hyperlink" Target="https://dicebyte.sharepoint.com/:b:/g/IQBqtyhY_ZLRQ6faRGOE-Es_AfS0vDfGoIZBB1phUqxZx48?e=bKLICK" TargetMode="External"/><Relationship Id="rId1527" Type="http://schemas.openxmlformats.org/officeDocument/2006/relationships/hyperlink" Target="https://rgs-double-hot-chili.soko.games/?demo=True&amp;locale=eng" TargetMode="External"/><Relationship Id="rId1528" Type="http://schemas.openxmlformats.org/officeDocument/2006/relationships/hyperlink" Target="https://rgs-double-hot-chili.soko.games/?demo=True&amp;locale=eng" TargetMode="External"/><Relationship Id="rId1529" Type="http://schemas.openxmlformats.org/officeDocument/2006/relationships/hyperlink" Target="https://dicebyte.sharepoint.com/:b:/g/IQBvJ2CS3yR_QoURHTzPMA3aAQRvpUy2WDetN09DdU0VOac?e=doH5cg" TargetMode="External"/><Relationship Id="rId939" Type="http://schemas.openxmlformats.org/officeDocument/2006/relationships/hyperlink" Target="https://onlinegamespromo.fazi.rs/Home/IntegrationGameLaunch?moneyType=0&amp;gameName=PlayNetDiamondHeart100&amp;platform=desktop&amp;languageCode=eng&amp;currency=EUR" TargetMode="External"/><Relationship Id="rId938" Type="http://schemas.openxmlformats.org/officeDocument/2006/relationships/hyperlink" Target="https://gameserver-store-client-area.orbionlimited.com/Home/IntegrationGameLaunch/client-area?moneyType=0&amp;gameName=PlayNetRoyalFlame&amp;platform=desktop&amp;languageCode=eng&amp;currency=EUR" TargetMode="External"/><Relationship Id="rId937" Type="http://schemas.openxmlformats.org/officeDocument/2006/relationships/hyperlink" Target="https://onlinegamespromo.fazi.rs/Home/IntegrationGameLaunch?moneyType=0&amp;gameName=PlayNetRoyalFlame&amp;platform=desktop&amp;languageCode=eng&amp;currency=EUR" TargetMode="External"/><Relationship Id="rId932" Type="http://schemas.openxmlformats.org/officeDocument/2006/relationships/hyperlink" Target="https://drive.google.com/drive/folders/1rfagR-Gq8bh6HT3DqZCroCVSfPzgTrJO" TargetMode="External"/><Relationship Id="rId931" Type="http://schemas.openxmlformats.org/officeDocument/2006/relationships/hyperlink" Target="https://drive.google.com/drive/folders/1rfagR-Gq8bh6HT3DqZCroCVSfPzgTrJO" TargetMode="External"/><Relationship Id="rId930" Type="http://schemas.openxmlformats.org/officeDocument/2006/relationships/hyperlink" Target="https://static.redstone.rs/games/multi-crown-10/" TargetMode="External"/><Relationship Id="rId936" Type="http://schemas.openxmlformats.org/officeDocument/2006/relationships/hyperlink" Target="https://gameserver-store-client-area.orbionlimited.com/Home/IntegrationGameLaunch/client-area?moneyType=0&amp;gameName=PlayNetMajesticCrown5&amp;platform=desktop&amp;languageCode=eng&amp;currency=EUR" TargetMode="External"/><Relationship Id="rId935" Type="http://schemas.openxmlformats.org/officeDocument/2006/relationships/hyperlink" Target="https://onlinegamespromo.fazi.rs/Home/IntegrationGameLaunch?moneyType=0&amp;gameName=PlayNetMajesticCrown5&amp;platform=desktop&amp;languageCode=eng&amp;currency=EUR" TargetMode="External"/><Relationship Id="rId934" Type="http://schemas.openxmlformats.org/officeDocument/2006/relationships/hyperlink" Target="https://gameserver-store-client-area.orbionlimited.com/Home/IntegrationGameLaunch/client-area?moneyType=0&amp;gameName=GoldenCrownExtreme&amp;platform=desktop&amp;languageCode=eng&amp;currency=EUR" TargetMode="External"/><Relationship Id="rId933"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520" Type="http://schemas.openxmlformats.org/officeDocument/2006/relationships/hyperlink" Target="https://gameserver-store-client-area.orbionlimited.com/Home/IntegrationGameLaunch/client-area?moneyType=0&amp;gameName=UnicornLuckyPayReels&amp;platform=desktop&amp;languageCode=eng&amp;currency=EUR" TargetMode="External"/><Relationship Id="rId1554" Type="http://schemas.openxmlformats.org/officeDocument/2006/relationships/hyperlink" Target="https://rgs-triple-crown-jewels.soko.games/?demo=True&amp;locale=eng" TargetMode="External"/><Relationship Id="rId1555" Type="http://schemas.openxmlformats.org/officeDocument/2006/relationships/hyperlink" Target="https://dicebyte.sharepoint.com/:b:/g/IQBwl2WQe_zHRKB0eVdtUNBtAY9ZHTy-ssZGfbMtTZ2b6ds?e=vlNDup" TargetMode="External"/><Relationship Id="rId1556" Type="http://schemas.openxmlformats.org/officeDocument/2006/relationships/hyperlink" Target="https://dicebyte.sharepoint.com/:b:/g/IQAV790Cq4YeSo08hoJbszZ9AeANnKl12hfrnKjfdaAdDBA?e=J71WW0" TargetMode="External"/><Relationship Id="rId1557" Type="http://schemas.openxmlformats.org/officeDocument/2006/relationships/hyperlink" Target="https://rgs-laurels-of-olympus.soko.games/?demo=True&amp;locale=eng" TargetMode="External"/><Relationship Id="rId1558" Type="http://schemas.openxmlformats.org/officeDocument/2006/relationships/hyperlink" Target="https://drive.google.com/drive/u/1/folders/1ynyT9fcb2h_07JXG8_TQpj3twv80L7TQ" TargetMode="External"/><Relationship Id="rId1559" Type="http://schemas.openxmlformats.org/officeDocument/2006/relationships/hyperlink" Target="https://drive.google.com/drive/u/1/folders/1ynyT9fcb2h_07JXG8_TQpj3twv80L7TQ" TargetMode="External"/><Relationship Id="rId965" Type="http://schemas.openxmlformats.org/officeDocument/2006/relationships/hyperlink" Target="https://drive.google.com/file/d/1aJouosXBdyj2Wk9aS-0qVDymlWZQ5Mb_/view?usp=drive_link" TargetMode="External"/><Relationship Id="rId964" Type="http://schemas.openxmlformats.org/officeDocument/2006/relationships/hyperlink" Target="https://static.redstone.rs/games/double-wild-crown/" TargetMode="External"/><Relationship Id="rId963" Type="http://schemas.openxmlformats.org/officeDocument/2006/relationships/hyperlink" Target="https://static.redstone.rs/games/double-wild-crown/" TargetMode="External"/><Relationship Id="rId962" Type="http://schemas.openxmlformats.org/officeDocument/2006/relationships/hyperlink" Target="https://drive.google.com/file/d/1zIRHFJQ_rufNyGH5m48RMyBrcv6KJEfn/view?usp=drive_link" TargetMode="External"/><Relationship Id="rId969" Type="http://schemas.openxmlformats.org/officeDocument/2006/relationships/hyperlink" Target="https://gameserver-store-msstg.fazi.rs/Home/IntegrationGameLaunch/fazi-stg16?moneyType=0&amp;gameName=NovaPixelWheelOfJoker&amp;platform=desktop&amp;languageCode=eng&amp;currency=EUR" TargetMode="External"/><Relationship Id="rId968" Type="http://schemas.openxmlformats.org/officeDocument/2006/relationships/hyperlink" Target="https://static.redstone.rs/games/double-wild-crown/" TargetMode="External"/><Relationship Id="rId967" Type="http://schemas.openxmlformats.org/officeDocument/2006/relationships/hyperlink" Target="https://static.redstone.rs/games/double-wild-crown/" TargetMode="External"/><Relationship Id="rId966" Type="http://schemas.openxmlformats.org/officeDocument/2006/relationships/hyperlink" Target="https://drive.google.com/file/d/1zIRHFJQ_rufNyGH5m48RMyBrcv6KJEfn/view?usp=drive_link" TargetMode="External"/><Relationship Id="rId961" Type="http://schemas.openxmlformats.org/officeDocument/2006/relationships/hyperlink" Target="https://drive.google.com/file/d/1aJouosXBdyj2Wk9aS-0qVDymlWZQ5Mb_/view?usp=drive_link" TargetMode="External"/><Relationship Id="rId1550" Type="http://schemas.openxmlformats.org/officeDocument/2006/relationships/hyperlink" Target="https://rgs-nile-queen-temple-legacy.soko.games/?demo=True&amp;locale=eng" TargetMode="External"/><Relationship Id="rId960" Type="http://schemas.openxmlformats.org/officeDocument/2006/relationships/hyperlink" Target="https://static.redstone.rs/games/777-expand/" TargetMode="External"/><Relationship Id="rId1551" Type="http://schemas.openxmlformats.org/officeDocument/2006/relationships/hyperlink" Target="https://dicebyte.sharepoint.com/:b:/g/IQCVDVBvXXT6Qp3h4FAYixN7AdKjOFdgo6sX88V78aTnMC8?e=d0uIIn" TargetMode="External"/><Relationship Id="rId1552" Type="http://schemas.openxmlformats.org/officeDocument/2006/relationships/hyperlink" Target="https://dicebyte.sharepoint.com/:b:/g/IQANWHwpRGupRKZS9yyXt3C-AY4J7GcZgPGQz5ZDhFn7j5Y?e=RhoZ5k" TargetMode="External"/><Relationship Id="rId1553" Type="http://schemas.openxmlformats.org/officeDocument/2006/relationships/hyperlink" Target="https://rgs-triple-crown-jewels.soko.games/?demo=True&amp;locale=eng" TargetMode="External"/><Relationship Id="rId1543" Type="http://schemas.openxmlformats.org/officeDocument/2006/relationships/hyperlink" Target="https://dicebyte.sharepoint.com/:b:/g/IQC9oLG3J4L3Qo1f-jJTRb_KAdF38exAP-O-GAZ7GJg4VDg?e=ph27yX" TargetMode="External"/><Relationship Id="rId1544" Type="http://schemas.openxmlformats.org/officeDocument/2006/relationships/hyperlink" Target="https://dicebyte.sharepoint.com/:b:/g/IQBF-9zDMfXkS47ahnRzACf4AaJrZNsE_NySFu7mFqdYvPc?e=Nh5BXI" TargetMode="External"/><Relationship Id="rId1545" Type="http://schemas.openxmlformats.org/officeDocument/2006/relationships/hyperlink" Target="https://rgs-wild-sheriff-fortune.soko.games/?demo=True&amp;locale=eng" TargetMode="External"/><Relationship Id="rId1546" Type="http://schemas.openxmlformats.org/officeDocument/2006/relationships/hyperlink" Target="https://rgs-wild-sheriff-fortune.soko.games/?demo=True&amp;locale=eng" TargetMode="External"/><Relationship Id="rId1547" Type="http://schemas.openxmlformats.org/officeDocument/2006/relationships/hyperlink" Target="https://dicebyte.sharepoint.com/:b:/g/IQD0xuWgN98hS464hHCDyu2mAaycRlIYYSlplVe5s-DUwFk?e=zUt4Xb" TargetMode="External"/><Relationship Id="rId1548" Type="http://schemas.openxmlformats.org/officeDocument/2006/relationships/hyperlink" Target="https://dicebyte.sharepoint.com/:b:/g/IQC2ko_kXDPMQpRJSRY3svq5AQ7-k8r7eZ3C7OqZfBmcwZk?e=1zWipk" TargetMode="External"/><Relationship Id="rId1549" Type="http://schemas.openxmlformats.org/officeDocument/2006/relationships/hyperlink" Target="https://rgs-nile-queen-temple-legacy.soko.games/?demo=True&amp;locale=eng" TargetMode="External"/><Relationship Id="rId959" Type="http://schemas.openxmlformats.org/officeDocument/2006/relationships/hyperlink" Target="https://static.redstone.rs/games/777-expand/" TargetMode="External"/><Relationship Id="rId954" Type="http://schemas.openxmlformats.org/officeDocument/2006/relationships/hyperlink" Target="https://gameserver-store-client-area.orbionlimited.com/Home/IntegrationGameLaunch/client-area?moneyType=0&amp;gameName=EpicCrown5Booster&amp;platform=desktop&amp;languageCode=eng&amp;currency=EUR" TargetMode="External"/><Relationship Id="rId953"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952" Type="http://schemas.openxmlformats.org/officeDocument/2006/relationships/hyperlink" Target="https://gameserver-store-client-area.orbionlimited.com/Home/IntegrationGameLaunch/client-area?moneyType=0&amp;gameName=XSpins&amp;platform=desktop&amp;languageCode=eng&amp;currency=EUR" TargetMode="External"/><Relationship Id="rId951" Type="http://schemas.openxmlformats.org/officeDocument/2006/relationships/hyperlink" Target="https://drive.google.com/drive/folders/19YB-AjLXFU0pCCykpndBLg1UN-7aTI1K" TargetMode="External"/><Relationship Id="rId958" Type="http://schemas.openxmlformats.org/officeDocument/2006/relationships/hyperlink" Target="https://drive.google.com/file/d/1TcFXfNxWA4OqQvlxID9tuaaRrNrBPlyn/view?usp=drive_link" TargetMode="External"/><Relationship Id="rId957" Type="http://schemas.openxmlformats.org/officeDocument/2006/relationships/hyperlink" Target="https://drive.google.com/file/d/1f4lhNBlzwu96nXqSardoriE05sNVeNbC/view?usp=drive_link" TargetMode="External"/><Relationship Id="rId956" Type="http://schemas.openxmlformats.org/officeDocument/2006/relationships/hyperlink" Target="https://gameserver-store-client-area.orbionlimited.com/Home/IntegrationGameLaunch/client-area?moneyType=0&amp;gameName=EpicCrown10Booster&amp;platform=desktop&amp;languageCode=eng&amp;currency=EUR" TargetMode="External"/><Relationship Id="rId955"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950" Type="http://schemas.openxmlformats.org/officeDocument/2006/relationships/hyperlink" Target="https://onlinegamespromo.fazi.rs/Home/IntegrationGameLaunch?moneyType=0&amp;gameName=XSpins&amp;platform=desktop&amp;languageCode=eng&amp;currency=EUR" TargetMode="External"/><Relationship Id="rId1540" Type="http://schemas.openxmlformats.org/officeDocument/2006/relationships/hyperlink" Target="https://dicebyte.sharepoint.com/:b:/g/IQCiyboszEg3TZVpBPMB0OBtARHST5yo7KI-AmCa0pmyibc?e=GihBYO" TargetMode="External"/><Relationship Id="rId1541" Type="http://schemas.openxmlformats.org/officeDocument/2006/relationships/hyperlink" Target="https://rgs-royal-crown-delight.soko.games/?demo=True&amp;locale=eng" TargetMode="External"/><Relationship Id="rId1542" Type="http://schemas.openxmlformats.org/officeDocument/2006/relationships/hyperlink" Target="https://rgs-royal-crown-delight.soko.games/?demo=True&amp;locale=eng" TargetMode="External"/><Relationship Id="rId590" Type="http://schemas.openxmlformats.org/officeDocument/2006/relationships/hyperlink" Target="https://static.redstone.rs/games/spin-up/" TargetMode="External"/><Relationship Id="rId107" Type="http://schemas.openxmlformats.org/officeDocument/2006/relationships/hyperlink" Target="https://docs.google.com/document/d/1Uy4tt6hjEDARsEKbYmUXlmaGTBet09gC/edit?usp=drive_link&amp;ouid=107596163405648766688&amp;rtpof=true&amp;sd=true" TargetMode="External"/><Relationship Id="rId106" Type="http://schemas.openxmlformats.org/officeDocument/2006/relationships/hyperlink" Target="https://gameserver-store-client-area.orbionlimited.com/Home/IntegrationGameLaunch/client-area?moneyType=0&amp;gameName=GoldenCrown&amp;platform=desktop&amp;languageCode=eng&amp;currency=EUR" TargetMode="External"/><Relationship Id="rId105" Type="http://schemas.openxmlformats.org/officeDocument/2006/relationships/hyperlink" Target="https://onlinegamespromo.fazi.rs/Home/IntegrationGameLaunch?moneyType=0&amp;gameName=GoldenCrown&amp;platform=desktop&amp;languageCode=eng&amp;currency=EUR" TargetMode="External"/><Relationship Id="rId589" Type="http://schemas.openxmlformats.org/officeDocument/2006/relationships/hyperlink" Target="https://static.redstone.rs/games/spin-up/" TargetMode="External"/><Relationship Id="rId104" Type="http://schemas.openxmlformats.org/officeDocument/2006/relationships/hyperlink" Target="https://gameserver-store-client-area.orbionlimited.com/Home/IntegrationGameLaunch/client-area?moneyType=0&amp;gameName=DolphinsShine&amp;platform=desktop&amp;languageCode=eng&amp;currency=EUR" TargetMode="External"/><Relationship Id="rId588" Type="http://schemas.openxmlformats.org/officeDocument/2006/relationships/hyperlink" Target="https://docs.google.com/document/d/1l_7cKdNbv28fsvSV1onRbMphPBpdLsOZ/edit?usp=drive_link&amp;ouid=107596163405648766688&amp;rtpof=true&amp;sd=true" TargetMode="External"/><Relationship Id="rId109" Type="http://schemas.openxmlformats.org/officeDocument/2006/relationships/hyperlink" Target="https://static.redstone.rs/games/40-wild-clover/" TargetMode="External"/><Relationship Id="rId1170" Type="http://schemas.openxmlformats.org/officeDocument/2006/relationships/hyperlink" Target="https://bluff-and-bite.soko.games/" TargetMode="External"/><Relationship Id="rId108" Type="http://schemas.openxmlformats.org/officeDocument/2006/relationships/hyperlink" Target="https://docs.google.com/document/d/1h3ldOOr6x6wyMw4LsEKfr6TQVCocTUMs/edit?usp=drive_link&amp;ouid=107596163405648766688&amp;rtpof=true&amp;sd=true" TargetMode="External"/><Relationship Id="rId1171" Type="http://schemas.openxmlformats.org/officeDocument/2006/relationships/hyperlink" Target="https://bluff-and-bite.soko.games/" TargetMode="External"/><Relationship Id="rId583" Type="http://schemas.openxmlformats.org/officeDocument/2006/relationships/hyperlink" Target="https://onlinegamespromo.fazi.rs/Home/IntegrationGameLaunch?moneyType=0&amp;gameName=UnicornFrootClassic&amp;platform=desktop&amp;languageCode=eng&amp;currency=EUR" TargetMode="External"/><Relationship Id="rId1172" Type="http://schemas.openxmlformats.org/officeDocument/2006/relationships/hyperlink" Target="https://docs.google.com/document/d/1wsxv80TasNJSVPDmBEYitjsMJWzttW8ePuy1g7fNqbs/edit?usp=sharing" TargetMode="External"/><Relationship Id="rId582" Type="http://schemas.openxmlformats.org/officeDocument/2006/relationships/hyperlink" Target="https://gameserver-store-client-area.orbionlimited.com/Home/IntegrationGameLaunch/client-area?moneyType=0&amp;gameName=ToxicHaze&amp;platform=desktop&amp;languageCode=eng&amp;currency=EUR" TargetMode="External"/><Relationship Id="rId1173" Type="http://schemas.openxmlformats.org/officeDocument/2006/relationships/hyperlink" Target="https://royal-crown-delight.soko.games/" TargetMode="External"/><Relationship Id="rId581" Type="http://schemas.openxmlformats.org/officeDocument/2006/relationships/hyperlink" Target="https://onlinegamespromo.fazi.rs/Home/IntegrationGameLaunch?moneyType=0&amp;gameName=ToxicHaze&amp;platform=desktop&amp;languageCode=eng&amp;currency=EUR" TargetMode="External"/><Relationship Id="rId1174" Type="http://schemas.openxmlformats.org/officeDocument/2006/relationships/hyperlink" Target="https://royal-crown-delight.soko.games/" TargetMode="External"/><Relationship Id="rId580" Type="http://schemas.openxmlformats.org/officeDocument/2006/relationships/hyperlink" Target="https://gameserver-store-client-area.orbionlimited.com/Home/IntegrationGameLaunch/client-area?moneyType=0&amp;gameName=WildSunburst&amp;platform=desktop&amp;languageCode=eng&amp;currency=EUR" TargetMode="External"/><Relationship Id="rId1175" Type="http://schemas.openxmlformats.org/officeDocument/2006/relationships/hyperlink" Target="https://docs.google.com/document/d/1iu0RrgAD6QmQzXKSZ8XsXqF5xa9Try95/edit?usp=sharing&amp;ouid=111339991327238394179&amp;rtpof=true&amp;sd=true" TargetMode="External"/><Relationship Id="rId103" Type="http://schemas.openxmlformats.org/officeDocument/2006/relationships/hyperlink" Target="https://onlinegamespromo.fazi.rs/Home/IntegrationGameLaunch?moneyType=0&amp;gameName=DolphinsShine&amp;platform=desktop&amp;languageCode=eng&amp;currency=EUR" TargetMode="External"/><Relationship Id="rId587" Type="http://schemas.openxmlformats.org/officeDocument/2006/relationships/hyperlink" Target="https://docs.google.com/document/d/1zNXXdgwpk0wY_p-WflsEbpxMSjnrtoYH/edit?usp=drive_link&amp;ouid=107596163405648766688&amp;rtpof=true&amp;sd=true" TargetMode="External"/><Relationship Id="rId1176" Type="http://schemas.openxmlformats.org/officeDocument/2006/relationships/hyperlink" Target="https://planet-dice-escape.soko.games/" TargetMode="External"/><Relationship Id="rId102" Type="http://schemas.openxmlformats.org/officeDocument/2006/relationships/hyperlink" Target="https://gameserver-store-client-area.orbionlimited.com/Home/IntegrationGameLaunch/client-area?moneyType=0&amp;gameName=UnicornReelDice&amp;platform=desktop&amp;languageCode=eng&amp;currency=EUR" TargetMode="External"/><Relationship Id="rId586" Type="http://schemas.openxmlformats.org/officeDocument/2006/relationships/hyperlink" Target="https://gameserver-store-client-area.orbionlimited.com/Home/IntegrationGameLaunch/client-area?moneyType=0&amp;gameName=UnicornDiceWildLines&amp;platform=desktop&amp;languageCode=eng&amp;currency=EUR" TargetMode="External"/><Relationship Id="rId1177" Type="http://schemas.openxmlformats.org/officeDocument/2006/relationships/hyperlink" Target="https://planet-dice-escape.soko.games/" TargetMode="External"/><Relationship Id="rId101" Type="http://schemas.openxmlformats.org/officeDocument/2006/relationships/hyperlink" Target="https://onlinegamespromo.fazi.rs/Home/IntegrationGameLaunch?moneyType=0&amp;gameName=UnicornReelDice&amp;platform=desktop&amp;languageCode=eng&amp;currency=EUR" TargetMode="External"/><Relationship Id="rId585" Type="http://schemas.openxmlformats.org/officeDocument/2006/relationships/hyperlink" Target="https://onlinegamespromo.fazi.rs/Home/IntegrationGameLaunch?moneyType=0&amp;gameName=UnicornDiceWildLines&amp;platform=desktop&amp;languageCode=eng&amp;currency=EUR" TargetMode="External"/><Relationship Id="rId1178" Type="http://schemas.openxmlformats.org/officeDocument/2006/relationships/hyperlink" Target="https://docs.google.com/document/d/1kZ4kAh-gpuF_5xP4c2lczTY31oFixz7T/edit?usp=sharing&amp;ouid=111339991327238394179&amp;rtpof=true&amp;sd=true" TargetMode="External"/><Relationship Id="rId100" Type="http://schemas.openxmlformats.org/officeDocument/2006/relationships/hyperlink" Target="https://gameserver-store-client-area.orbionlimited.com/Home/IntegrationGameLaunch/client-area?moneyType=0&amp;gameName=WildHot40&amp;platform=desktop&amp;languageCode=eng&amp;currency=EUR" TargetMode="External"/><Relationship Id="rId584" Type="http://schemas.openxmlformats.org/officeDocument/2006/relationships/hyperlink" Target="https://gameserver-store-client-area.orbionlimited.com/Home/IntegrationGameLaunch/client-area?moneyType=0&amp;gameName=UnicornFrootClassic&amp;platform=desktop&amp;languageCode=eng&amp;currency=EUR" TargetMode="External"/><Relationship Id="rId1179" Type="http://schemas.openxmlformats.org/officeDocument/2006/relationships/hyperlink" Target="https://wild-tiki-mayhem.soko.games/" TargetMode="External"/><Relationship Id="rId1169" Type="http://schemas.openxmlformats.org/officeDocument/2006/relationships/hyperlink" Target="https://docs.google.com/document/d/1nyoPmhgfwHrvoXXt_3Xv7d10pcKzixSK8GLZz0JaP90/edit?usp=sharing" TargetMode="External"/><Relationship Id="rId579" Type="http://schemas.openxmlformats.org/officeDocument/2006/relationships/hyperlink" Target="https://onlinegamespromo.fazi.rs/Home/IntegrationGameLaunch?moneyType=0&amp;gameName=WildSunburst&amp;lobbyUrl=https://www.fazi-interactive.com/" TargetMode="External"/><Relationship Id="rId578" Type="http://schemas.openxmlformats.org/officeDocument/2006/relationships/hyperlink" Target="https://drive.google.com/file/d/1vSIAX07YqAaggMDQW2hqGetso4iIxqC2/view?usp=drive_link" TargetMode="External"/><Relationship Id="rId577" Type="http://schemas.openxmlformats.org/officeDocument/2006/relationships/hyperlink" Target="https://drive.google.com/file/d/16yachCE10tU0GkEF5-A7M4MsArXU5EsH/view?usp=drive_link" TargetMode="External"/><Relationship Id="rId1160" Type="http://schemas.openxmlformats.org/officeDocument/2006/relationships/hyperlink" Target="https://drive.google.com/drive/folders/19wze01OCqWkObIFrTigTyuzJjYXUlgk9?usp=drive_link" TargetMode="External"/><Relationship Id="rId572" Type="http://schemas.openxmlformats.org/officeDocument/2006/relationships/hyperlink" Target="https://static.redstone.rs/games/book-of-scorpio/" TargetMode="External"/><Relationship Id="rId1161" Type="http://schemas.openxmlformats.org/officeDocument/2006/relationships/hyperlink" Target="https://drive.google.com/drive/folders/19wze01OCqWkObIFrTigTyuzJjYXUlgk9?usp=drive_link" TargetMode="External"/><Relationship Id="rId571" Type="http://schemas.openxmlformats.org/officeDocument/2006/relationships/hyperlink" Target="https://static.redstone.rs/games/book-of-scorpio/" TargetMode="External"/><Relationship Id="rId116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570" Type="http://schemas.openxmlformats.org/officeDocument/2006/relationships/hyperlink" Target="https://docs.google.com/document/d/1MmyOm1Zuhp3punU29AoQc9ItHlFyFed_/edit?usp=drive_link&amp;ouid=107596163405648766688&amp;rtpof=true&amp;sd=true" TargetMode="External"/><Relationship Id="rId1163" Type="http://schemas.openxmlformats.org/officeDocument/2006/relationships/hyperlink" Target="https://gameserver-store-client-area.orbionlimited.com/Home/IntegrationGameLaunch/client-area?moneyType=0&amp;gameName=TaxiRush&amp;platform=desktop&amp;languageCode=eng&amp;currency=EUR" TargetMode="External"/><Relationship Id="rId1164" Type="http://schemas.openxmlformats.org/officeDocument/2006/relationships/hyperlink" Target="https://drive.google.com/drive/folders/1aYvN7XLSW87H6DxUxwws3PZknweDxVY8?usp=drive_link" TargetMode="External"/><Relationship Id="rId576" Type="http://schemas.openxmlformats.org/officeDocument/2006/relationships/hyperlink" Target="https://gameserver-store-client-area.orbionlimited.com/Home/IntegrationGameLaunch/client-area?moneyType=0&amp;gameName=UnicornMisterLuck&amp;platform=desktop&amp;languageCode=eng&amp;currency=EUR" TargetMode="External"/><Relationship Id="rId1165" Type="http://schemas.openxmlformats.org/officeDocument/2006/relationships/hyperlink" Target="https://drive.google.com/drive/folders/1aYvN7XLSW87H6DxUxwws3PZknweDxVY8?usp=drive_link" TargetMode="External"/><Relationship Id="rId575" Type="http://schemas.openxmlformats.org/officeDocument/2006/relationships/hyperlink" Target="https://onlinegamespromo.fazi.rs/Home/IntegrationGameLaunch?moneyType=0&amp;gameName=UnicornMisterLuck&amp;platform=desktop&amp;languageCode=eng&amp;currency=EUR" TargetMode="External"/><Relationship Id="rId1166" Type="http://schemas.openxmlformats.org/officeDocument/2006/relationships/hyperlink" Target="https://onlinegamespromo.fazi.rs/Home/IntegrationGameLaunch?moneyType=0&amp;gameName=WildHot40HoldAndWin&amp;platform=desktop&amp;languageCode=eng&amp;currency=EUR" TargetMode="External"/><Relationship Id="rId574" Type="http://schemas.openxmlformats.org/officeDocument/2006/relationships/hyperlink" Target="https://gameserver-store-client-area.orbionlimited.com/Home/IntegrationGameLaunch/client-area?moneyType=0&amp;gameName=UnicornBuffaloSevens&amp;platform=desktop&amp;languageCode=eng&amp;currency=EUR" TargetMode="External"/><Relationship Id="rId1167" Type="http://schemas.openxmlformats.org/officeDocument/2006/relationships/hyperlink" Target="https://gameserver-store-client-area.orbionlimited.com/Home/IntegrationGameLaunch/client-area?moneyType=0&amp;gameName=WildHot40HoldAndWin&amp;platform=desktop&amp;languageCode=eng&amp;currency=EUR" TargetMode="External"/><Relationship Id="rId573" Type="http://schemas.openxmlformats.org/officeDocument/2006/relationships/hyperlink" Target="https://onlinegamespromo.fazi.rs/Home/IntegrationGameLaunch?moneyType=0&amp;gameName=UnicornBuffaloSevens&amp;platform=desktop&amp;languageCode=eng&amp;currency=EUR" TargetMode="External"/><Relationship Id="rId1168" Type="http://schemas.openxmlformats.org/officeDocument/2006/relationships/hyperlink" Target="https://gameserver-store-client-area.orbionlimited.com/Home/IntegrationGameLaunch/client-area?moneyType=0&amp;gameName=WildHot40BlowBooster&amp;platform=desktop&amp;languageCode=eng&amp;currency=EUR" TargetMode="External"/><Relationship Id="rId129" Type="http://schemas.openxmlformats.org/officeDocument/2006/relationships/hyperlink" Target="https://docs.google.com/document/d/1W6yZna9lcBlDEKAPvgpVg91_F4apPdmQ/edit?usp=drive_link&amp;ouid=107596163405648766688&amp;rtpof=true&amp;sd=true" TargetMode="External"/><Relationship Id="rId128" Type="http://schemas.openxmlformats.org/officeDocument/2006/relationships/hyperlink" Target="https://static.redstone.rs/games/mayan-coins/" TargetMode="External"/><Relationship Id="rId127" Type="http://schemas.openxmlformats.org/officeDocument/2006/relationships/hyperlink" Target="https://static.redstone.rs/games/mayan-coins/" TargetMode="External"/><Relationship Id="rId126" Type="http://schemas.openxmlformats.org/officeDocument/2006/relationships/hyperlink" Target="https://docs.google.com/document/d/1f4hwx73fZvTmit9C3Wj6HjLYQHHt_GGS/edit?usp=drive_link&amp;ouid=107596163405648766688&amp;rtpof=true&amp;sd=true" TargetMode="External"/><Relationship Id="rId1190" Type="http://schemas.openxmlformats.org/officeDocument/2006/relationships/hyperlink" Target="https://onlinegamespromo.fazi.rs/Home/IntegrationGameLaunch?moneyType=0&amp;gameName=UnicornBuffaloDiceJackpot&amp;platform=desktop&amp;languageCode=eng&amp;currency=EUR" TargetMode="External"/><Relationship Id="rId1191" Type="http://schemas.openxmlformats.org/officeDocument/2006/relationships/hyperlink" Target="https://gameserver-store-client-area.orbionlimited.com/Home/IntegrationGameLaunch/client-area?moneyType=0&amp;gameName=UnicornBuffaloDiceJackpot&amp;platform=desktop&amp;languageCode=eng&amp;currency=EUR" TargetMode="External"/><Relationship Id="rId1192" Type="http://schemas.openxmlformats.org/officeDocument/2006/relationships/hyperlink" Target="https://onlinegamespromo.fazi.rs/Home/IntegrationGameLaunch?moneyType=0&amp;gameName=UnicornTripleStackedDiamondJackpot&amp;platform=desktop&amp;languageCode=eng&amp;currency=EUR" TargetMode="External"/><Relationship Id="rId1193" Type="http://schemas.openxmlformats.org/officeDocument/2006/relationships/hyperlink" Target="https://gameserver-store-client-area.orbionlimited.com/Home/IntegrationGameLaunch/client-area?moneyType=0&amp;gameName=UnicornTripleStackedDiamondJackpot&amp;platform=desktop&amp;languageCode=eng&amp;currency=EUR" TargetMode="External"/><Relationship Id="rId121" Type="http://schemas.openxmlformats.org/officeDocument/2006/relationships/hyperlink" Target="https://onlinegamespromo.fazi.rs/Home/IntegrationGameLaunch?moneyType=0&amp;gameName=UnicornRainbowSevens&amp;platform=desktop&amp;languageCode=eng&amp;currency=EUR" TargetMode="External"/><Relationship Id="rId1194" Type="http://schemas.openxmlformats.org/officeDocument/2006/relationships/hyperlink" Target="https://docs.google.com/document/d/1iB-fYOYIBEHV0AW9G05ZA_tWHmZN4mxl/edit?usp=drive_link&amp;ouid=107596163405648766688&amp;rtpof=true&amp;sd=true" TargetMode="External"/><Relationship Id="rId120" Type="http://schemas.openxmlformats.org/officeDocument/2006/relationships/hyperlink" Target="https://gameserver-store-client-area.orbionlimited.com/Home/IntegrationGameLaunch/client-area?moneyType=0&amp;gameName=UnicornWildParadise&amp;platform=desktop&amp;languageCode=eng&amp;currency=EUR" TargetMode="External"/><Relationship Id="rId1195" Type="http://schemas.openxmlformats.org/officeDocument/2006/relationships/hyperlink" Target="https://docs.google.com/document/d/16R_As6-ZUQyJ_Hez5_opOQ2sGzAJZNjB/edit?usp=drive_link&amp;ouid=107596163405648766688&amp;rtpof=true&amp;sd=true" TargetMode="External"/><Relationship Id="rId1196" Type="http://schemas.openxmlformats.org/officeDocument/2006/relationships/hyperlink" Target="https://static.redstone.rs/games/inferno-hot-40/" TargetMode="External"/><Relationship Id="rId1197" Type="http://schemas.openxmlformats.org/officeDocument/2006/relationships/hyperlink" Target="https://static.redstone.rs/games/inferno-hot-40/" TargetMode="External"/><Relationship Id="rId125" Type="http://schemas.openxmlformats.org/officeDocument/2006/relationships/hyperlink" Target="https://docs.google.com/document/d/1mq8xqqryq1MA1Lb8eRerXA0Qu4oy9dK8/edit?usp=drive_link&amp;ouid=107596163405648766688&amp;rtpof=true&amp;sd=true" TargetMode="External"/><Relationship Id="rId1198" Type="http://schemas.openxmlformats.org/officeDocument/2006/relationships/hyperlink" Target="https://docs.google.com/document/d/1OKaK17fVSvw2seE-5WVKSmYfAzFV6uzr/edit?usp=drive_link&amp;ouid=107596163405648766688&amp;rtpof=true&amp;sd=true" TargetMode="External"/><Relationship Id="rId124" Type="http://schemas.openxmlformats.org/officeDocument/2006/relationships/hyperlink" Target="https://gameserver-store-client-area.orbionlimited.com/Home/IntegrationGameLaunch/client-area?moneyType=0&amp;gameName=UnicornHavanaDice&amp;platform=desktop&amp;languageCode=eng&amp;currency=EUR" TargetMode="External"/><Relationship Id="rId1199" Type="http://schemas.openxmlformats.org/officeDocument/2006/relationships/hyperlink" Target="https://docs.google.com/document/d/1BmVvjc8oNoRk258RUZV_8Ak95o41mJ9l/edit?usp=drive_link&amp;ouid=107596163405648766688&amp;rtpof=true&amp;sd=true" TargetMode="External"/><Relationship Id="rId123" Type="http://schemas.openxmlformats.org/officeDocument/2006/relationships/hyperlink" Target="https://onlinegamespromo.fazi.rs/Home/IntegrationGameLaunch?moneyType=0&amp;gameName=UnicornHavanaDice&amp;platform=desktop&amp;languageCode=eng&amp;currency=EUR" TargetMode="External"/><Relationship Id="rId122" Type="http://schemas.openxmlformats.org/officeDocument/2006/relationships/hyperlink" Target="https://gameserver-store-client-area.orbionlimited.com/Home/IntegrationGameLaunch/client-area?moneyType=0&amp;gameName=UnicornRainbowSevens&amp;platform=desktop&amp;languageCode=eng&amp;currency=EUR" TargetMode="External"/><Relationship Id="rId118" Type="http://schemas.openxmlformats.org/officeDocument/2006/relationships/hyperlink" Target="https://gameserver-store-client-area.orbionlimited.com/Home/IntegrationGameLaunch/client-area?moneyType=0&amp;gameName=FruityJokerHot&amp;platform=desktop&amp;languageCode=eng&amp;currency=EUR" TargetMode="External"/><Relationship Id="rId117" Type="http://schemas.openxmlformats.org/officeDocument/2006/relationships/hyperlink" Target="https://onlinegamespromo.fazi.rs/Home/IntegrationGameLaunch?moneyType=0&amp;gameName=FruityJokerHot&amp;platform=desktop&amp;languageCode=eng&amp;currency=EUR" TargetMode="External"/><Relationship Id="rId116" Type="http://schemas.openxmlformats.org/officeDocument/2006/relationships/hyperlink" Target="https://gameserver-store-client-area.orbionlimited.com/Home/IntegrationGameLaunch/client-area?moneyType=0&amp;gameName=UnicornFruitIsland&amp;platform=desktop&amp;languageCode=eng&amp;currency=EUR" TargetMode="External"/><Relationship Id="rId115" Type="http://schemas.openxmlformats.org/officeDocument/2006/relationships/hyperlink" Target="https://onlinegamespromo.fazi.rs/Home/IntegrationGameLaunch?moneyType=0&amp;gameName=UnicornFruitIsland&amp;platform=desktop&amp;languageCode=eng&amp;currency=EUR" TargetMode="External"/><Relationship Id="rId599" Type="http://schemas.openxmlformats.org/officeDocument/2006/relationships/hyperlink" Target="https://onlinegamespromo.fazi.rs/Home/IntegrationGameLaunch?moneyType=0&amp;gameName=BlowFruits40&amp;platform=desktop&amp;languageCode=eng&amp;currency=EUR" TargetMode="External"/><Relationship Id="rId1180" Type="http://schemas.openxmlformats.org/officeDocument/2006/relationships/hyperlink" Target="https://wild-tiki-mayhem.soko.games/" TargetMode="External"/><Relationship Id="rId1181" Type="http://schemas.openxmlformats.org/officeDocument/2006/relationships/hyperlink" Target="https://docs.google.com/document/d/1-wqW8xdzjNitvuyufm3GsLU75GnufP5F/edit?usp=drive_link&amp;ouid=107596163405648766688&amp;rtpof=true&amp;sd=true" TargetMode="External"/><Relationship Id="rId119" Type="http://schemas.openxmlformats.org/officeDocument/2006/relationships/hyperlink" Target="https://onlinegamespromo.fazi.rs/Home/IntegrationGameLaunch?moneyType=0&amp;gameName=UnicornWildParadise&amp;platform=desktop&amp;languageCode=eng&amp;currency=EUR" TargetMode="External"/><Relationship Id="rId1182" Type="http://schemas.openxmlformats.org/officeDocument/2006/relationships/hyperlink" Target="https://docs.google.com/document/d/1BMCkTR-TX6Vk19Z3mA0o0cp0QhfG4mI1/edit?usp=drive_link&amp;ouid=107596163405648766688&amp;rtpof=true&amp;sd=true" TargetMode="External"/><Relationship Id="rId110" Type="http://schemas.openxmlformats.org/officeDocument/2006/relationships/hyperlink" Target="https://static.redstone.rs/games/40-wild-clover/" TargetMode="External"/><Relationship Id="rId594" Type="http://schemas.openxmlformats.org/officeDocument/2006/relationships/hyperlink" Target="https://gameserver-store-client-area.orbionlimited.com/Home/IntegrationGameLaunch/client-area?moneyType=0&amp;gameName=MegaHot10&amp;platform=desktop&amp;languageCode=eng&amp;currency=EUR" TargetMode="External"/><Relationship Id="rId1183" Type="http://schemas.openxmlformats.org/officeDocument/2006/relationships/hyperlink" Target="https://static.redstone.rs/games/5-wild-diamond/" TargetMode="External"/><Relationship Id="rId593" Type="http://schemas.openxmlformats.org/officeDocument/2006/relationships/hyperlink" Target="https://onlinegamespromo.fazi.rs/Home/IntegrationGameLaunch?moneyType=0&amp;gameName=MEGAHOT10&amp;platform=desktop&amp;languageCode=eng&amp;currency=EUR" TargetMode="External"/><Relationship Id="rId1184" Type="http://schemas.openxmlformats.org/officeDocument/2006/relationships/hyperlink" Target="https://static.redstone.rs/games/5-wild-diamond/" TargetMode="External"/><Relationship Id="rId592" Type="http://schemas.openxmlformats.org/officeDocument/2006/relationships/hyperlink" Target="https://gameserver-store-client-area.orbionlimited.com/Home/IntegrationGameLaunch/client-area?moneyType=0&amp;gameName=UnicornStickyHot&amp;platform=desktop&amp;languageCode=eng&amp;currency=EUR" TargetMode="External"/><Relationship Id="rId1185" Type="http://schemas.openxmlformats.org/officeDocument/2006/relationships/hyperlink" Target="https://docs.google.com/document/d/1ups8VbsyAU1YSsAfJMMhW8VBCHE40rFtctJjZw8g4cE/edit?usp=sharing" TargetMode="External"/><Relationship Id="rId591" Type="http://schemas.openxmlformats.org/officeDocument/2006/relationships/hyperlink" Target="https://onlinegamespromo.fazi.rs/Home/IntegrationGameLaunch?moneyType=0&amp;gameName=UnicornStickyHot&amp;platform=desktop&amp;languageCode=eng&amp;currency=EUR" TargetMode="External"/><Relationship Id="rId1186" Type="http://schemas.openxmlformats.org/officeDocument/2006/relationships/hyperlink" Target="https://christmas-sugar-luck.soko.games/" TargetMode="External"/><Relationship Id="rId114" Type="http://schemas.openxmlformats.org/officeDocument/2006/relationships/hyperlink" Target="https://gameserver-store-client-area.orbionlimited.com/Home/IntegrationGameLaunch/client-area?moneyType=0&amp;gameName=CrystalJokerHot&amp;platform=desktop&amp;languageCode=eng&amp;currency=EUR" TargetMode="External"/><Relationship Id="rId598" Type="http://schemas.openxmlformats.org/officeDocument/2006/relationships/hyperlink" Target="https://gameserver-store-client-area.orbionlimited.com/Home/IntegrationGameLaunch/client-area?moneyType=0&amp;gameName=WildHeat40&amp;platform=desktop&amp;languageCode=eng&amp;currency=EUR" TargetMode="External"/><Relationship Id="rId1187" Type="http://schemas.openxmlformats.org/officeDocument/2006/relationships/hyperlink" Target="https://christmas-sugar-luck.soko.games/" TargetMode="External"/><Relationship Id="rId113" Type="http://schemas.openxmlformats.org/officeDocument/2006/relationships/hyperlink" Target="https://onlinegamespromo.fazi.rs/Home/IntegrationGameLaunch?moneyType=0&amp;gameName=CrystalJokerHot&amp;platform=desktop&amp;languageCode=eng&amp;currency=EUR" TargetMode="External"/><Relationship Id="rId597" Type="http://schemas.openxmlformats.org/officeDocument/2006/relationships/hyperlink" Target="https://onlinegamespromo.fazi.rs/Home/IntegrationGameLaunch?moneyType=0&amp;gameName=WildHeat40&amp;lobbyUrl=https://www.fazi-interactive.com/" TargetMode="External"/><Relationship Id="rId1188" Type="http://schemas.openxmlformats.org/officeDocument/2006/relationships/hyperlink" Target="https://onlinegamespromo.fazi.rs/Home/IntegrationGameLaunch?moneyType=0&amp;gameName=UnicornDynamiteBoomDice&amp;platform=desktop&amp;languageCode=eng&amp;currency=EUR" TargetMode="External"/><Relationship Id="rId112" Type="http://schemas.openxmlformats.org/officeDocument/2006/relationships/hyperlink" Target="https://gameserver-store-client-area.orbionlimited.com/Home/IntegrationGameLaunch/client-area?moneyType=0&amp;gameName=MysteryJokerHot&amp;platform=desktop&amp;languageCode=eng&amp;currency=EUR" TargetMode="External"/><Relationship Id="rId596" Type="http://schemas.openxmlformats.org/officeDocument/2006/relationships/hyperlink" Target="https://drive.google.com/file/d/1I1mdL7JQIpfe3awcmJxwX4wXF8Aj0Lgr/view?usp=drive_link" TargetMode="External"/><Relationship Id="rId1189" Type="http://schemas.openxmlformats.org/officeDocument/2006/relationships/hyperlink" Target="https://gameserver-store-client-area.orbionlimited.com/Home/IntegrationGameLaunch/client-area?moneyType=0&amp;gameName=UnicornDynamiteBoomDice&amp;platform=desktop&amp;languageCode=eng&amp;currency=EUR" TargetMode="External"/><Relationship Id="rId111" Type="http://schemas.openxmlformats.org/officeDocument/2006/relationships/hyperlink" Target="https://onlinegamespromo.fazi.rs/Home/IntegrationGameLaunch?moneyType=0&amp;gameName=MysteryJokerHot&amp;platform=desktop&amp;languageCode=eng&amp;currency=EUR" TargetMode="External"/><Relationship Id="rId595" Type="http://schemas.openxmlformats.org/officeDocument/2006/relationships/hyperlink" Target="https://drive.google.com/file/d/1gp0lAf8_G5l6Gwzm1XC85yZzwG7h5yC4/view?usp=drive_link" TargetMode="External"/><Relationship Id="rId1136" Type="http://schemas.openxmlformats.org/officeDocument/2006/relationships/hyperlink" Target="https://docs.google.com/document/d/16mVOqNDHj0YfOy86pbA6dbbJw00ix8XV/edit?usp=drive_link&amp;ouid=107596163405648766688&amp;rtpof=true&amp;sd=true" TargetMode="External"/><Relationship Id="rId1137" Type="http://schemas.openxmlformats.org/officeDocument/2006/relationships/hyperlink" Target="https://docs.google.com/document/d/1n3iagnwoNQgP7OEszAJZ7lrySjhjx3fU/edit?usp=drive_link&amp;ouid=107596163405648766688&amp;rtpof=true&amp;sd=true" TargetMode="External"/><Relationship Id="rId1138" Type="http://schemas.openxmlformats.org/officeDocument/2006/relationships/hyperlink" Target="https://static.redstone.rs/games/9-of-a-kind/" TargetMode="External"/><Relationship Id="rId1139" Type="http://schemas.openxmlformats.org/officeDocument/2006/relationships/hyperlink" Target="https://static.redstone.rs/games/9-of-a-kind/" TargetMode="External"/><Relationship Id="rId547" Type="http://schemas.openxmlformats.org/officeDocument/2006/relationships/hyperlink" Target="https://onlinegamespromo.fazi.rs/Home/IntegrationGameLaunch?moneyType=0&amp;gameName=WildLuckyDice&amp;platform=desktop&amp;languageCode=eng&amp;currency=EUR" TargetMode="External"/><Relationship Id="rId546" Type="http://schemas.openxmlformats.org/officeDocument/2006/relationships/hyperlink" Target="https://static.redstone.rs/games/5-clover-fire-lnc/" TargetMode="External"/><Relationship Id="rId545" Type="http://schemas.openxmlformats.org/officeDocument/2006/relationships/hyperlink" Target="https://static.redstone.rs/games/5-clover-fire-lnc/" TargetMode="External"/><Relationship Id="rId544" Type="http://schemas.openxmlformats.org/officeDocument/2006/relationships/hyperlink" Target="https://docs.google.com/document/d/1q3SbJQgO6U4tBqX5B5iQU_icjsA4S6GH/edit?usp=drive_link&amp;ouid=107596163405648766688&amp;rtpof=true&amp;sd=true" TargetMode="External"/><Relationship Id="rId549" Type="http://schemas.openxmlformats.org/officeDocument/2006/relationships/hyperlink" Target="https://onlinegamespromo.fazi.rs/Home/IntegrationGameLaunch?moneyType=0&amp;gameName=EggspandingRush&amp;platform=desktop&amp;languageCode=eng&amp;currency=EUR" TargetMode="External"/><Relationship Id="rId548" Type="http://schemas.openxmlformats.org/officeDocument/2006/relationships/hyperlink" Target="https://gameserver-store-client-area.orbionlimited.com/Home/IntegrationGameLaunch/client-area?moneyType=0&amp;gameName=WildLuckyDice&amp;platform=desktop&amp;languageCode=eng&amp;currency=EUR" TargetMode="External"/><Relationship Id="rId1130" Type="http://schemas.openxmlformats.org/officeDocument/2006/relationships/hyperlink" Target="https://static.redstone.rs/games/chilli-double-40/" TargetMode="External"/><Relationship Id="rId1131" Type="http://schemas.openxmlformats.org/officeDocument/2006/relationships/hyperlink" Target="https://static.redstone.rs/games/chilli-double-40/" TargetMode="External"/><Relationship Id="rId543" Type="http://schemas.openxmlformats.org/officeDocument/2006/relationships/hyperlink" Target="https://docs.google.com/document/d/1BOjvv_UWQz5V_QEQa2pNmq14p68Cjoxe/edit?usp=drive_link&amp;ouid=107596163405648766688&amp;rtpof=true&amp;sd=true" TargetMode="External"/><Relationship Id="rId1132" Type="http://schemas.openxmlformats.org/officeDocument/2006/relationships/hyperlink" Target="https://docs.google.com/document/d/14qfdOa4DH6f1LMLro6CIQl5qhYhqBTv_/edit?usp=drive_link&amp;ouid=107596163405648766688&amp;rtpof=true&amp;sd=true" TargetMode="External"/><Relationship Id="rId542" Type="http://schemas.openxmlformats.org/officeDocument/2006/relationships/hyperlink" Target="https://static.redstone.rs/games/slot-royale/" TargetMode="External"/><Relationship Id="rId1133" Type="http://schemas.openxmlformats.org/officeDocument/2006/relationships/hyperlink" Target="https://docs.google.com/document/d/1GX-x1OumJ4cDvfNLgsM7VpoBD-1Sp7L6/edit?usp=drive_link&amp;ouid=107596163405648766688&amp;rtpof=true&amp;sd=true" TargetMode="External"/><Relationship Id="rId541" Type="http://schemas.openxmlformats.org/officeDocument/2006/relationships/hyperlink" Target="https://static.redstone.rs/games/slot-royale/" TargetMode="External"/><Relationship Id="rId1134" Type="http://schemas.openxmlformats.org/officeDocument/2006/relationships/hyperlink" Target="https://static.redstone.rs/games/respin-gems/" TargetMode="External"/><Relationship Id="rId540" Type="http://schemas.openxmlformats.org/officeDocument/2006/relationships/hyperlink" Target="https://docs.google.com/document/d/1MIVYMaF7eJW5PpLAKh85bop6buH12dCh/edit?usp=drive_link&amp;ouid=107596163405648766688&amp;rtpof=true&amp;sd=true" TargetMode="External"/><Relationship Id="rId1135" Type="http://schemas.openxmlformats.org/officeDocument/2006/relationships/hyperlink" Target="https://static.redstone.rs/games/respin-gems/" TargetMode="External"/><Relationship Id="rId1125" Type="http://schemas.openxmlformats.org/officeDocument/2006/relationships/hyperlink" Target="https://static.redstone.rs/games/crown-royale/" TargetMode="External"/><Relationship Id="rId1126" Type="http://schemas.openxmlformats.org/officeDocument/2006/relationships/hyperlink" Target="https://static.redstone.rs/games/double-clover-fire-christmas/" TargetMode="External"/><Relationship Id="rId1127" Type="http://schemas.openxmlformats.org/officeDocument/2006/relationships/hyperlink" Target="https://static.redstone.rs/games/double-clover-fire-christmas/" TargetMode="External"/><Relationship Id="rId1128" Type="http://schemas.openxmlformats.org/officeDocument/2006/relationships/hyperlink" Target="https://docs.google.com/document/d/1pGz8v4wEYOaOb3oRWonm64YBQQLWyukQ/edit?usp=drive_link&amp;ouid=107596163405648766688&amp;rtpof=true&amp;sd=true" TargetMode="External"/><Relationship Id="rId1129" Type="http://schemas.openxmlformats.org/officeDocument/2006/relationships/hyperlink" Target="https://docs.google.com/document/d/1P0OLybWJSmCwl1aJINFLKqWmFR4_1TKT/edit?usp=drive_link&amp;ouid=107596163405648766688&amp;rtpof=true&amp;sd=true" TargetMode="External"/><Relationship Id="rId536" Type="http://schemas.openxmlformats.org/officeDocument/2006/relationships/hyperlink" Target="https://gameserver-store-client-area.orbionlimited.com/Home/IntegrationGameLaunch/client-area?moneyType=0&amp;gameName=Wild81&amp;platform=desktop&amp;languageCode=eng&amp;currency=EUR" TargetMode="External"/><Relationship Id="rId535" Type="http://schemas.openxmlformats.org/officeDocument/2006/relationships/hyperlink" Target="https://onlinegamespromo.fazi.rs/Home/IntegrationGameLaunch?moneyType=0&amp;gameName=Wild81&amp;lobbyUrl=https://www.fazi-interactive.com/" TargetMode="External"/><Relationship Id="rId534" Type="http://schemas.openxmlformats.org/officeDocument/2006/relationships/hyperlink" Target="https://static.redstone.rs/games/hot-rush-stars-deluxe/" TargetMode="External"/><Relationship Id="rId533" Type="http://schemas.openxmlformats.org/officeDocument/2006/relationships/hyperlink" Target="https://static.redstone.rs/games/hot-rush-stars-deluxe/" TargetMode="External"/><Relationship Id="rId539" Type="http://schemas.openxmlformats.org/officeDocument/2006/relationships/hyperlink" Target="https://docs.google.com/document/d/1U4DNn9-d1b6GRqHeFhj0MRXSPX_A91CH/edit?usp=drive_link&amp;ouid=107596163405648766688&amp;rtpof=true&amp;sd=true" TargetMode="External"/><Relationship Id="rId538" Type="http://schemas.openxmlformats.org/officeDocument/2006/relationships/hyperlink" Target="https://gameserver-store-client-area.orbionlimited.com/Home/IntegrationGameLaunch/client-area?moneyType=0&amp;gameName=MysticJungle&amp;platform=desktop&amp;languageCode=eng&amp;currency=EUR" TargetMode="External"/><Relationship Id="rId537" Type="http://schemas.openxmlformats.org/officeDocument/2006/relationships/hyperlink" Target="https://onlinegamespromo.fazi.rs/Home/IntegrationGameLaunch?moneyType=0&amp;gameName=MysticJungle&amp;lobbyUrl=https://www.fazi-interactive.com/" TargetMode="External"/><Relationship Id="rId1120" Type="http://schemas.openxmlformats.org/officeDocument/2006/relationships/hyperlink" Target="https://docs.google.com/document/d/1qmAXqo_q_BkgcnoVk1ggWiCI9AKtUCcO/edit?usp=drive_link&amp;ouid=107596163405648766688&amp;rtpof=true&amp;sd=true" TargetMode="External"/><Relationship Id="rId532" Type="http://schemas.openxmlformats.org/officeDocument/2006/relationships/hyperlink" Target="https://docs.google.com/document/d/18GNqOxG-IfrZF7FgIDbx__reQdjcDGUy/edit?usp=drive_link&amp;ouid=107596163405648766688&amp;rtpof=true&amp;sd=true" TargetMode="External"/><Relationship Id="rId1121" Type="http://schemas.openxmlformats.org/officeDocument/2006/relationships/hyperlink" Target="https://docs.google.com/document/d/175yAHEGjGKnpzip5wEvUxeOsdQLpQ2kU/edit?usp=drive_link&amp;ouid=107596163405648766688&amp;rtpof=true&amp;sd=true" TargetMode="External"/><Relationship Id="rId531" Type="http://schemas.openxmlformats.org/officeDocument/2006/relationships/hyperlink" Target="https://docs.google.com/document/d/1qojyhg6StEvl3u5X0MaSIIahYXE51idz/edit?usp=drive_link&amp;ouid=107596163405648766688&amp;rtpof=true&amp;sd=true" TargetMode="External"/><Relationship Id="rId1122" Type="http://schemas.openxmlformats.org/officeDocument/2006/relationships/hyperlink" Target="https://static.redstone.rs/games/crown-blast-40/" TargetMode="External"/><Relationship Id="rId530" Type="http://schemas.openxmlformats.org/officeDocument/2006/relationships/hyperlink" Target="https://static.redstone.rs/games/lady-triple-fortune/" TargetMode="External"/><Relationship Id="rId1123" Type="http://schemas.openxmlformats.org/officeDocument/2006/relationships/hyperlink" Target="https://static.redstone.rs/games/crown-blast-40/" TargetMode="External"/><Relationship Id="rId1124" Type="http://schemas.openxmlformats.org/officeDocument/2006/relationships/hyperlink" Target="https://static.redstone.rs/games/crown-royale/" TargetMode="External"/><Relationship Id="rId1158" Type="http://schemas.openxmlformats.org/officeDocument/2006/relationships/hyperlink" Target="https://gameserver-store-dev-01.fazi.rs/Home/IntegrationGameLaunch/fazi-stg16?moneyType=0&amp;gameName=VeryHot5ChristmasBooster&amp;platform=desktop&amp;languageCode=eng&amp;currency=EUR" TargetMode="External"/><Relationship Id="rId1159" Type="http://schemas.openxmlformats.org/officeDocument/2006/relationships/hyperlink" Target="https://gameserver-store-client-area.orbionlimited.com/Home/IntegrationGameLaunch/client-area?moneyType=0&amp;gameName=VeryHot5ChristmasBooster&amp;platform=desktop&amp;languageCode=eng&amp;currency=EUR" TargetMode="External"/><Relationship Id="rId569" Type="http://schemas.openxmlformats.org/officeDocument/2006/relationships/hyperlink" Target="https://docs.google.com/document/d/1V5vML2_cYkD_jgU9nNxokYIDq2owyKOV/edit?usp=drive_link&amp;ouid=107596163405648766688&amp;rtpof=true&amp;sd=true" TargetMode="External"/><Relationship Id="rId568" Type="http://schemas.openxmlformats.org/officeDocument/2006/relationships/hyperlink" Target="https://static.redstone.rs/games/hot-rush-both-ways/" TargetMode="External"/><Relationship Id="rId567" Type="http://schemas.openxmlformats.org/officeDocument/2006/relationships/hyperlink" Target="https://static.redstone.rs/games/hot-rush-both-ways/" TargetMode="External"/><Relationship Id="rId566" Type="http://schemas.openxmlformats.org/officeDocument/2006/relationships/hyperlink" Target="https://docs.google.com/document/d/1LP-773KOGjSB_rZ6WHFgqj6HeerAZfgT/edit?usp=drive_link&amp;ouid=107596163405648766688&amp;rtpof=true&amp;sd=true" TargetMode="External"/><Relationship Id="rId561" Type="http://schemas.openxmlformats.org/officeDocument/2006/relationships/hyperlink" Target="https://onlinegamespromo.fazi.rs/Home/IntegrationGameLaunch?moneyType=0&amp;gameName=UnicornLavaDiamonds&amp;platform=desktop&amp;languageCode=eng&amp;currency=EUR" TargetMode="External"/><Relationship Id="rId1150" Type="http://schemas.openxmlformats.org/officeDocument/2006/relationships/hyperlink" Target="https://onlinegamespromo.fazi.rs/Home/IntegrationGameLaunch?moneyType=0&amp;gameName=Wild27Extreme&amp;platform=desktop&amp;languageCode=eng&amp;currency=EUR" TargetMode="External"/><Relationship Id="rId560" Type="http://schemas.openxmlformats.org/officeDocument/2006/relationships/hyperlink" Target="https://static.redstone.rs/games/caps-and-crowns/" TargetMode="External"/><Relationship Id="rId1151" Type="http://schemas.openxmlformats.org/officeDocument/2006/relationships/hyperlink" Target="https://gameserver-store-client-area.orbionlimited.com/Home/IntegrationGameLaunch/client-area?moneyType=0&amp;gameName=Wild27Extreme&amp;platform=desktop&amp;languageCode=eng&amp;currency=EUR" TargetMode="External"/><Relationship Id="rId1152" Type="http://schemas.openxmlformats.org/officeDocument/2006/relationships/hyperlink" Target="https://onlinegamespromo.fazi.rs/Home/IntegrationGameLaunch?moneyType=0&amp;gameName=MacacoDaFortuna&amp;platform=desktop&amp;languageCode=eng&amp;currency=EUR" TargetMode="External"/><Relationship Id="rId1153" Type="http://schemas.openxmlformats.org/officeDocument/2006/relationships/hyperlink" Target="https://gameserver-store-client-area.orbionlimited.com/Home/IntegrationGameLaunch/client-area?moneyType=0&amp;gameName=MacacoDaFortuna&amp;platform=desktop&amp;languageCode=eng&amp;currency=EUR" TargetMode="External"/><Relationship Id="rId565" Type="http://schemas.openxmlformats.org/officeDocument/2006/relationships/hyperlink" Target="https://docs.google.com/document/d/1yDUchn8GrW3WRFURTjL1B4zxCM5AfF-t/edit?usp=drive_link&amp;ouid=107596163405648766688&amp;rtpof=true&amp;sd=true" TargetMode="External"/><Relationship Id="rId1154" Type="http://schemas.openxmlformats.org/officeDocument/2006/relationships/hyperlink" Target="https://drive.google.com/file/d/11nqspWdKwJLxCnv99VNV3vo-0_o1Wn4b/view?usp=drive_link" TargetMode="External"/><Relationship Id="rId564" Type="http://schemas.openxmlformats.org/officeDocument/2006/relationships/hyperlink" Target="https://gameserver-store-client-area.orbionlimited.com/Home/IntegrationGameLaunch/client-area?moneyType=0&amp;gameName=Unicorn5HotStrikeDice&amp;platform=desktop&amp;languageCode=eng&amp;currency=EUR" TargetMode="External"/><Relationship Id="rId1155" Type="http://schemas.openxmlformats.org/officeDocument/2006/relationships/hyperlink" Target="https://drive.google.com/file/d/1rtmq9pPb1_XNqUr3ktqWB_elDLzzFtQy/view?usp=drive_link" TargetMode="External"/><Relationship Id="rId563" Type="http://schemas.openxmlformats.org/officeDocument/2006/relationships/hyperlink" Target="https://onlinegamespromo.fazi.rs/Home/IntegrationGameLaunch?moneyType=0&amp;gameName=Unicorn5HotStrikeDice&amp;platform=desktop&amp;languageCode=eng&amp;currency=EUR" TargetMode="External"/><Relationship Id="rId1156" Type="http://schemas.openxmlformats.org/officeDocument/2006/relationships/hyperlink" Target="https://onlinegamespromo.fazi.rs/Home/IntegrationGameLaunch?moneyType=0&amp;gameName=GigaHot40FreeSpins&amp;platform=desktop&amp;languageCode=eng&amp;currency=EUR" TargetMode="External"/><Relationship Id="rId562" Type="http://schemas.openxmlformats.org/officeDocument/2006/relationships/hyperlink" Target="https://gameserver-store-client-area.orbionlimited.com/Home/IntegrationGameLaunch/client-area?moneyType=0&amp;gameName=UnicornLavaDiamonds&amp;platform=desktop&amp;languageCode=eng&amp;currency=EUR" TargetMode="External"/><Relationship Id="rId1157" Type="http://schemas.openxmlformats.org/officeDocument/2006/relationships/hyperlink" Target="https://gameserver-store-client-area.orbionlimited.com/Home/IntegrationGameLaunch/client-area?moneyType=0&amp;gameName=GigaHot40FreeSpins&amp;platform=desktop&amp;languageCode=eng&amp;currency=EUR" TargetMode="External"/><Relationship Id="rId1147" Type="http://schemas.openxmlformats.org/officeDocument/2006/relationships/hyperlink" Target="https://drive.google.com/drive/folders/1GZelJ4WbdaZbsXFcj-RTy7MWNcV0zsX4?usp=drive_link" TargetMode="External"/><Relationship Id="rId1148" Type="http://schemas.openxmlformats.org/officeDocument/2006/relationships/hyperlink" Target="https://gameserver-store-dev-01.fazi.rs/Home/IntegrationGameLaunch/fazi-stg16?moneyType=0&amp;gameName=BellasWorld&amp;platform=desktop&amp;languageCode=eng&amp;currency=EURR" TargetMode="External"/><Relationship Id="rId1149" Type="http://schemas.openxmlformats.org/officeDocument/2006/relationships/hyperlink" Target="https://gameserver-store-client-area.orbionlimited.com/Home/IntegrationGameLaunch/client-area?moneyType=0&amp;gameName=BellasWorld&amp;platform=desktop&amp;languageCode=eng&amp;currency=EUR" TargetMode="External"/><Relationship Id="rId558" Type="http://schemas.openxmlformats.org/officeDocument/2006/relationships/hyperlink" Target="https://docs.google.com/document/d/133EFX9Kmc_ni_odAawnqEsToy2VaVDRX/edit?usp=drive_link&amp;ouid=107596163405648766688&amp;rtpof=true&amp;sd=true" TargetMode="External"/><Relationship Id="rId557" Type="http://schemas.openxmlformats.org/officeDocument/2006/relationships/hyperlink" Target="https://docs.google.com/document/d/1jtuk8s7n3DxZm8QVJKAl2DJTlsG7cf8H/edit?usp=drive_link&amp;ouid=107596163405648766688&amp;rtpof=true&amp;sd=true" TargetMode="External"/><Relationship Id="rId556" Type="http://schemas.openxmlformats.org/officeDocument/2006/relationships/hyperlink" Target="https://gameserver-store-client-area.orbionlimited.com/Home/IntegrationGameLaunch/client-area?moneyType=0&amp;gameName=FootballVictory&amp;platform=desktop&amp;languageCode=eng&amp;currency=EUR" TargetMode="External"/><Relationship Id="rId555" Type="http://schemas.openxmlformats.org/officeDocument/2006/relationships/hyperlink" Target="https://onlinegamespromo.fazi.rs/Home/IntegrationGameLaunch?moneyType=0&amp;gameName=FootballVictory&amp;platform=desktop&amp;languageCode=eng&amp;currency=EUR" TargetMode="External"/><Relationship Id="rId559" Type="http://schemas.openxmlformats.org/officeDocument/2006/relationships/hyperlink" Target="https://static.redstone.rs/games/caps-and-crowns/" TargetMode="External"/><Relationship Id="rId550" Type="http://schemas.openxmlformats.org/officeDocument/2006/relationships/hyperlink" Target="https://gameserver-store-client-area.orbionlimited.com/Home/IntegrationGameLaunch/client-area?moneyType=0&amp;gameName=EggspandingRush&amp;platform=desktop&amp;languageCode=eng&amp;currency=EUR" TargetMode="External"/><Relationship Id="rId1140" Type="http://schemas.openxmlformats.org/officeDocument/2006/relationships/hyperlink" Target="https://gameserver-store-dev-01.fazi.rs/Home/IntegrationGameLaunch/fazi-stg16?moneyType=0&amp;gameName=WildJokerHotBooster&amp;platform=desktop&amp;languageCode=eng&amp;currency=EUR" TargetMode="External"/><Relationship Id="rId1141" Type="http://schemas.openxmlformats.org/officeDocument/2006/relationships/hyperlink" Target="https://gameserver-store-client-area.orbionlimited.com/Home/IntegrationGameLaunch/client-area?moneyType=0&amp;gameName=WildJokerHotBooster&amp;platform=desktop&amp;languageCode=eng&amp;currency=EUR" TargetMode="External"/><Relationship Id="rId1142" Type="http://schemas.openxmlformats.org/officeDocument/2006/relationships/hyperlink" Target="https://gameserver-store-dev-01.fazi.rs/Home/IntegrationGameLaunch/fazi-stg16?moneyType=0&amp;ga%5B%E2%80%A6%5Dooster&amp;platform=desktop&amp;languageCode=eng&amp;currency=EUR" TargetMode="External"/><Relationship Id="rId554" Type="http://schemas.openxmlformats.org/officeDocument/2006/relationships/hyperlink" Target="https://gameserver-store-client-area.orbionlimited.com/Home/IntegrationGameLaunch/client-area?moneyType=0&amp;gameName=SummerRush&amp;platform=desktop&amp;languageCode=eng&amp;currency=EUR" TargetMode="External"/><Relationship Id="rId1143" Type="http://schemas.openxmlformats.org/officeDocument/2006/relationships/hyperlink" Target="https://gameserver-store-client-area.orbionlimited.com/Home/IntegrationGameLaunch/client-area?moneyType=0&amp;gameName=Money5Booster&amp;platform=desktop&amp;languageCode=eng&amp;currency=EUR" TargetMode="External"/><Relationship Id="rId553" Type="http://schemas.openxmlformats.org/officeDocument/2006/relationships/hyperlink" Target="https://onlinegamespromo.fazi.rs/Home/IntegrationGameLaunch?moneyType=0&amp;gameName=SummerRush&amp;platform=desktop&amp;languageCode=eng&amp;currency=EUR" TargetMode="External"/><Relationship Id="rId1144" Type="http://schemas.openxmlformats.org/officeDocument/2006/relationships/hyperlink" Target="https://onlinegamespromo.fazi.rs/Home/IntegrationGameLaunch?moneyType=0&amp;gameName=GoldenCrownChristmasBooster&amp;platform=desktop&amp;languageCode=eng&amp;currency=EUR" TargetMode="External"/><Relationship Id="rId552" Type="http://schemas.openxmlformats.org/officeDocument/2006/relationships/hyperlink" Target="https://gameserver-store-client-area.orbionlimited.com/Home/IntegrationGameLaunch/client-area?moneyType=0&amp;gameName=VintageFruits40&amp;platform=desktop&amp;languageCode=eng&amp;currency=EUR" TargetMode="External"/><Relationship Id="rId1145" Type="http://schemas.openxmlformats.org/officeDocument/2006/relationships/hyperlink" Target="https://gameserver-store-client-area.orbionlimited.com/Home/IntegrationGameLaunch/client-area?moneyType=0&amp;gameName=GoldenCrownChristmasBooster&amp;platform=desktop&amp;languageCode=eng&amp;currency=EUR" TargetMode="External"/><Relationship Id="rId551" Type="http://schemas.openxmlformats.org/officeDocument/2006/relationships/hyperlink" Target="https://onlinegamespromo.fazi.rs/Home/IntegrationGameLaunch?moneyType=0&amp;gameName=VintageFruits40&amp;platform=desktop&amp;languageCode=eng&amp;currency=EUR" TargetMode="External"/><Relationship Id="rId1146" Type="http://schemas.openxmlformats.org/officeDocument/2006/relationships/hyperlink" Target="https://drive.google.com/drive/folders/1GZelJ4WbdaZbsXFcj-RTy7MWNcV0zsX4?usp=drive_link" TargetMode="External"/><Relationship Id="rId495" Type="http://schemas.openxmlformats.org/officeDocument/2006/relationships/hyperlink" Target="https://docs.google.com/document/d/1R9VdFan2BxscNoqqq7JAP2usk36VI-Fn/edit?usp=drive_link&amp;ouid=107596163405648766688&amp;rtpof=true&amp;sd=true" TargetMode="External"/><Relationship Id="rId494" Type="http://schemas.openxmlformats.org/officeDocument/2006/relationships/hyperlink" Target="https://play.redstone.rs/games/wild-heart-beat/index.html" TargetMode="External"/><Relationship Id="rId493" Type="http://schemas.openxmlformats.org/officeDocument/2006/relationships/hyperlink" Target="https://play.redstone.rs/games/wild-heart-beat/index.html" TargetMode="External"/><Relationship Id="rId492" Type="http://schemas.openxmlformats.org/officeDocument/2006/relationships/hyperlink" Target="https://docs.google.com/document/d/1YbEQ9PohM2jYE-QEuHfCCQRDf1ijSLJY/edit?usp=drive_link&amp;ouid=107596163405648766688&amp;rtpof=true&amp;sd=true" TargetMode="External"/><Relationship Id="rId499" Type="http://schemas.openxmlformats.org/officeDocument/2006/relationships/hyperlink" Target="https://docs.google.com/document/d/15b1HM0l4KpfaiAAKNvC0nHSXb8d6Mk1v/edit?usp=drive_link&amp;ouid=107596163405648766688&amp;rtpof=true&amp;sd=true" TargetMode="External"/><Relationship Id="rId498" Type="http://schemas.openxmlformats.org/officeDocument/2006/relationships/hyperlink" Target="https://play.redstone.rs/games/wild-trail/index.html" TargetMode="External"/><Relationship Id="rId497" Type="http://schemas.openxmlformats.org/officeDocument/2006/relationships/hyperlink" Target="https://play.redstone.rs/games/wild-trail/index.html" TargetMode="External"/><Relationship Id="rId496" Type="http://schemas.openxmlformats.org/officeDocument/2006/relationships/hyperlink" Target="https://docs.google.com/document/d/1_YdJijpySmgTmfVs44Ae7uAJHDSTwF64/edit?usp=drive_link&amp;ouid=107596163405648766688&amp;rtpof=true&amp;sd=true" TargetMode="External"/><Relationship Id="rId1610" Type="http://schemas.openxmlformats.org/officeDocument/2006/relationships/hyperlink" Target="https://gameserver-store-nc.fazi.rs/Home/IntegrationGameLaunch/admiralmne?moneyType=0&amp;currency=eur&amp;gameName=OctoberHot40" TargetMode="External"/><Relationship Id="rId1611" Type="http://schemas.openxmlformats.org/officeDocument/2006/relationships/hyperlink" Target="https://gameserver-store-client-area.orbionlimited.com/Home/IntegrationGameLaunch/client-area?moneyType=0&amp;gameName=OctoberHot40&amp;platform=desktop&amp;languageCode=eng&amp;currency=EUR" TargetMode="External"/><Relationship Id="rId1612" Type="http://schemas.openxmlformats.org/officeDocument/2006/relationships/hyperlink" Target="https://gameserver-store-nc.fazi.rs/Home/IntegrationGameLaunch/admiralmne?moneyType=0&amp;currency=eur&amp;gameName=WinningWildCrown" TargetMode="External"/><Relationship Id="rId1613" Type="http://schemas.openxmlformats.org/officeDocument/2006/relationships/hyperlink" Target="https://gameserver-store-client-area.orbionlimited.com/Home/IntegrationGameLaunch/client-area?moneyType=0&amp;gameName=WinningWildCrown&amp;platform=desktop&amp;languageCode=eng&amp;currency=EUR" TargetMode="External"/><Relationship Id="rId1614" Type="http://schemas.openxmlformats.org/officeDocument/2006/relationships/drawing" Target="../drawings/drawing11.xml"/><Relationship Id="rId907" Type="http://schemas.openxmlformats.org/officeDocument/2006/relationships/hyperlink" Target="https://onlinegamespromo.fazi.rs/Home/IntegrationGameLaunch?moneyType=0&amp;gameName=PlayNetBitSlot&amp;platform=desktop&amp;languageCode=eng&amp;currency=EUR" TargetMode="External"/><Relationship Id="rId906" Type="http://schemas.openxmlformats.org/officeDocument/2006/relationships/hyperlink" Target="https://gameserver-store-client-area.orbionlimited.com/Home/IntegrationGameLaunch/client-area?moneyType=0&amp;gameName=PlayNetMajesticCrownX2&amp;platform=desktop&amp;languageCode=eng&amp;currency=EUR" TargetMode="External"/><Relationship Id="rId905" Type="http://schemas.openxmlformats.org/officeDocument/2006/relationships/hyperlink" Target="https://onlinegamespromo.fazi.rs/Home/IntegrationGameLaunch?moneyType=0&amp;gameName=PlayNetMajesticCrownX2&amp;platform=desktop&amp;languageCode=eng&amp;currency=EUR" TargetMode="External"/><Relationship Id="rId904" Type="http://schemas.openxmlformats.org/officeDocument/2006/relationships/hyperlink" Target="https://gameserver-store-client-area.orbionlimited.com/Home/IntegrationGameLaunch/client-area?moneyType=0&amp;gameName=PlayNetCloverSpread40&amp;platform=desktop&amp;languageCode=eng&amp;currency=EUR" TargetMode="External"/><Relationship Id="rId909" Type="http://schemas.openxmlformats.org/officeDocument/2006/relationships/hyperlink" Target="https://onlinegamespromo.fazi.rs/Home/IntegrationGameLaunch?moneyType=0&amp;gameName=PlayNetFortuneClover10&amp;platform=desktop&amp;languageCode=eng&amp;currency=EUR" TargetMode="External"/><Relationship Id="rId908" Type="http://schemas.openxmlformats.org/officeDocument/2006/relationships/hyperlink" Target="https://gameserver-store-client-area.orbionlimited.com/Home/IntegrationGameLaunch/client-area?moneyType=0&amp;gameName=PlayNetBitSlot&amp;platform=desktop&amp;languageCode=eng&amp;currency=EUR" TargetMode="External"/><Relationship Id="rId903" Type="http://schemas.openxmlformats.org/officeDocument/2006/relationships/hyperlink" Target="https://onlinegamespromo.fazi.rs/Home/IntegrationGameLaunch?moneyType=0&amp;gameName=PlayNetCloverSpread40&amp;platform=desktop&amp;languageCode=eng&amp;currency=EUR" TargetMode="External"/><Relationship Id="rId902" Type="http://schemas.openxmlformats.org/officeDocument/2006/relationships/hyperlink" Target="https://static.redstone.rs/games/clover-drop/" TargetMode="External"/><Relationship Id="rId901" Type="http://schemas.openxmlformats.org/officeDocument/2006/relationships/hyperlink" Target="https://static.redstone.rs/games/clover-drop/" TargetMode="External"/><Relationship Id="rId900" Type="http://schemas.openxmlformats.org/officeDocument/2006/relationships/hyperlink" Target="https://drive.google.com/file/d/1kYwrHltkbiRkd1GIHWbjvR1fTvCX6lKX/view?usp=drive_link" TargetMode="External"/><Relationship Id="rId1600" Type="http://schemas.openxmlformats.org/officeDocument/2006/relationships/hyperlink" Target="https://onlinegamespromo.fazi.rs/Home/IntegrationGameLaunch?moneyType=0&amp;gameName=RedstoneWildHeart1000&amp;platform=desktop&amp;languageCode=eng&amp;currency=EUR" TargetMode="External"/><Relationship Id="rId1601" Type="http://schemas.openxmlformats.org/officeDocument/2006/relationships/hyperlink" Target="https://gameserver-store-client-area.orbionlimited.com/Home/IntegrationGameLaunch/client-area?moneyType=0&amp;gameName=RedstoneWildHeart1000&amp;platform=desktop&amp;languageCode=eng&amp;currency=EUR" TargetMode="External"/><Relationship Id="rId1602" Type="http://schemas.openxmlformats.org/officeDocument/2006/relationships/hyperlink" Target="https://drive.google.com/file/d/1OeRwzK0jpkY2oMN3vSTjTspcEjbdvF04/view?usp=drive_link" TargetMode="External"/><Relationship Id="rId1603" Type="http://schemas.openxmlformats.org/officeDocument/2006/relationships/hyperlink" Target="https://drive.google.com/file/d/1Y8d2xqBTOeIyprsumhn8cASXF85S0wcQ/view?usp=drive_link" TargetMode="External"/><Relationship Id="rId1604" Type="http://schemas.openxmlformats.org/officeDocument/2006/relationships/hyperlink" Target="https://onlinegamespromo.fazi.rs/Home/IntegrationGameLaunch?moneyType=0&amp;gameName=RedstoneWildCrown1000&amp;platform=desktop&amp;languageCode=eng&amp;currency=EUR" TargetMode="External"/><Relationship Id="rId1605" Type="http://schemas.openxmlformats.org/officeDocument/2006/relationships/hyperlink" Target="https://gameserver-store-client-area.orbionlimited.com/Home/IntegrationGameLaunch/client-area?moneyType=0&amp;gameName=RedstoneWildCrown1000&amp;platform=desktop&amp;languageCode=eng&amp;currency=EUR" TargetMode="External"/><Relationship Id="rId1606" Type="http://schemas.openxmlformats.org/officeDocument/2006/relationships/hyperlink" Target="https://onlinegamespromo.fazi.rs/Home/IntegrationGameLaunch?moneyType=0&amp;gameName=TBD&amp;platform=desktop&amp;languageCode=eng&amp;currency=EUR" TargetMode="External"/><Relationship Id="rId1607" Type="http://schemas.openxmlformats.org/officeDocument/2006/relationships/hyperlink" Target="https://onlinegamespromo.fazi.rs/Home/IntegrationGameLaunch?moneyType=0&amp;gameName=PowerLucky7&amp;platform=desktop&amp;languageCode=eng&amp;currency=EUR" TargetMode="External"/><Relationship Id="rId1608" Type="http://schemas.openxmlformats.org/officeDocument/2006/relationships/hyperlink" Target="https://drive.google.com/file/d/1ifkbT5IUmlX9vRzl_rfBUgmzXjLdxkJJ/view?usp=drive_link" TargetMode="External"/><Relationship Id="rId1609" Type="http://schemas.openxmlformats.org/officeDocument/2006/relationships/hyperlink" Target="https://drive.google.com/file/d/1QLX4xQRcGad0XYh6Sq-lXTaG7GXDMHAk/view?usp=drive_link" TargetMode="External"/><Relationship Id="rId929" Type="http://schemas.openxmlformats.org/officeDocument/2006/relationships/hyperlink" Target="https://static.redstone.rs/games/multi-crown-10/" TargetMode="External"/><Relationship Id="rId928" Type="http://schemas.openxmlformats.org/officeDocument/2006/relationships/hyperlink" Target="https://drive.google.com/file/d/16Ns6l8sIiUoNONSVIlMt5kSv8VXKHB3b/view?usp=drive_link" TargetMode="External"/><Relationship Id="rId927" Type="http://schemas.openxmlformats.org/officeDocument/2006/relationships/hyperlink" Target="https://drive.google.com/file/d/1FxFMrh81jeZhmR9kjvgWSmBDo91kdkwg/view?usp=drive_link" TargetMode="External"/><Relationship Id="rId926" Type="http://schemas.openxmlformats.org/officeDocument/2006/relationships/hyperlink" Target="https://gameserver-store-client-area.orbionlimited.com/Home/IntegrationGameLaunch/client-area?moneyType=0&amp;gameName=EpicClover40Booster&amp;platform=desktop&amp;languageCode=eng&amp;currency=EUR" TargetMode="External"/><Relationship Id="rId921" Type="http://schemas.openxmlformats.org/officeDocument/2006/relationships/hyperlink" Target="https://onlinegamespromo.fazi.rs/Home/IntegrationGameLaunch?moneyType=0&amp;gameName=VeryHot5Booster&amp;platform=desktop&amp;languageCode=eng&amp;currency=EUR" TargetMode="External"/><Relationship Id="rId920" Type="http://schemas.openxmlformats.org/officeDocument/2006/relationships/hyperlink" Target="https://drive.google.com/drive/folders/1v8TLyjtbLiw7CDi6_PxsR9MjBAwfoDTs" TargetMode="External"/><Relationship Id="rId925"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924" Type="http://schemas.openxmlformats.org/officeDocument/2006/relationships/hyperlink" Target="https://drive.google.com/drive/folders/1YXBfTlfZhbE8STuraiERB1FtF1PzqAXe" TargetMode="External"/><Relationship Id="rId923" Type="http://schemas.openxmlformats.org/officeDocument/2006/relationships/hyperlink" Target="https://drive.google.com/drive/folders/1YXBfTlfZhbE8STuraiERB1FtF1PzqAXe" TargetMode="External"/><Relationship Id="rId922" Type="http://schemas.openxmlformats.org/officeDocument/2006/relationships/hyperlink" Target="https://gameserver-store-client-area.orbionlimited.com/Home/IntegrationGameLaunch/client-area?moneyType=0&amp;gameName=VeryHot5Booster&amp;platform=desktop&amp;languageCode=eng&amp;currency=EUR" TargetMode="External"/><Relationship Id="rId918" Type="http://schemas.openxmlformats.org/officeDocument/2006/relationships/hyperlink" Target="https://gameserver-store-client-area.orbionlimited.com/Home/IntegrationGameLaunch/client-area?moneyType=0&amp;gameName=GoldenCrownBooster&amp;platform=desktop&amp;languageCode=eng&amp;currency=EUR" TargetMode="External"/><Relationship Id="rId917"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916" Type="http://schemas.openxmlformats.org/officeDocument/2006/relationships/hyperlink" Target="https://drive.google.com/drive/folders/1E7Mxi22KXbprgaL9JSeePsLAKW7oSG31" TargetMode="External"/><Relationship Id="rId915" Type="http://schemas.openxmlformats.org/officeDocument/2006/relationships/hyperlink" Target="https://drive.google.com/drive/folders/1E7Mxi22KXbprgaL9JSeePsLAKW7oSG31" TargetMode="External"/><Relationship Id="rId919" Type="http://schemas.openxmlformats.org/officeDocument/2006/relationships/hyperlink" Target="https://drive.google.com/drive/folders/1v8TLyjtbLiw7CDi6_PxsR9MjBAwfoDTs" TargetMode="External"/><Relationship Id="rId910" Type="http://schemas.openxmlformats.org/officeDocument/2006/relationships/hyperlink" Target="https://gameserver-store-client-area.orbionlimited.com/Home/IntegrationGameLaunch/client-area?moneyType=0&amp;gameName=PlayNetFortuneClover10&amp;platform=desktop&amp;languageCode=eng&amp;currency=EUR" TargetMode="External"/><Relationship Id="rId914" Type="http://schemas.openxmlformats.org/officeDocument/2006/relationships/hyperlink" Target="https://gameserver-store-client-area.orbionlimited.com/Home/IntegrationGameLaunch/client-area?moneyType=0&amp;gameName=PlayNetFortuneClover20&amp;platform=desktop&amp;languageCode=eng&amp;currency=EUR" TargetMode="External"/><Relationship Id="rId913" Type="http://schemas.openxmlformats.org/officeDocument/2006/relationships/hyperlink" Target="https://onlinegamespromo.fazi.rs/Home/IntegrationGameLaunch?moneyType=0&amp;gameName=PlayNetFortuneClover20&amp;platform=desktop&amp;languageCode=eng&amp;currency=EUR" TargetMode="External"/><Relationship Id="rId912" Type="http://schemas.openxmlformats.org/officeDocument/2006/relationships/hyperlink" Target="https://gameserver-store-client-area.orbionlimited.com/Home/IntegrationGameLaunch/client-area?moneyType=0&amp;gameName=PlayNetMajesticCrown100&amp;platform=desktop&amp;languageCode=eng&amp;currency=EUR" TargetMode="External"/><Relationship Id="rId911" Type="http://schemas.openxmlformats.org/officeDocument/2006/relationships/hyperlink" Target="https://onlinegamespromo.fazi.rs/Home/IntegrationGameLaunch?moneyType=0&amp;gameName=PlayNetMajesticCrown100&amp;platform=desktop&amp;languageCode=eng&amp;currency=EUR" TargetMode="External"/><Relationship Id="rId1213" Type="http://schemas.openxmlformats.org/officeDocument/2006/relationships/hyperlink" Target="https://gameserver-store-client-area.orbionlimited.com/Home/IntegrationGameLaunch/client-area?moneyType=0&amp;gameName=PlayNetLeprechaunsFortuneClover&amp;platform=desktop&amp;languageCode=eng&amp;currency=EUR" TargetMode="External"/><Relationship Id="rId1214" Type="http://schemas.openxmlformats.org/officeDocument/2006/relationships/hyperlink" Target="https://onlinegamespromo.fazi.rs/Home/IntegrationGameLaunch?moneyType=0&amp;gameName=PlayNetEmpressOfFlame&amp;platform=desktop&amp;languageCode=eng&amp;currency=EUR" TargetMode="External"/><Relationship Id="rId1215" Type="http://schemas.openxmlformats.org/officeDocument/2006/relationships/hyperlink" Target="https://gameserver-store-client-area.orbionlimited.com/Home/IntegrationGameLaunch/client-area?moneyType=0&amp;gameName=PlayNetEmpressOfFlame&amp;platform=desktop&amp;languageCode=eng&amp;currency=EUR" TargetMode="External"/><Relationship Id="rId1216" Type="http://schemas.openxmlformats.org/officeDocument/2006/relationships/hyperlink" Target="https://onlinegamespromo.fazi.rs/Home/IntegrationGameLaunch?moneyType=0&amp;gameName=UnicornThreeReelFruitBoost&amp;platform=desktop&amp;languageCode=eng&amp;currency=EUR" TargetMode="External"/><Relationship Id="rId1217" Type="http://schemas.openxmlformats.org/officeDocument/2006/relationships/hyperlink" Target="https://gameserver-store-client-area.orbionlimited.com/Home/IntegrationGameLaunch/client-area?moneyType=0&amp;gameName=UnicornThreeReelFruitBoost&amp;platform=desktop&amp;languageCode=eng&amp;currency=EUR" TargetMode="External"/><Relationship Id="rId1218" Type="http://schemas.openxmlformats.org/officeDocument/2006/relationships/hyperlink" Target="https://onlinegamespromo.fazi.rs/Home/IntegrationGameLaunch?moneyType=0&amp;gameName=StarHeat40&amp;platform=desktop&amp;languageCode=eng&amp;currency=EUR" TargetMode="External"/><Relationship Id="rId1219" Type="http://schemas.openxmlformats.org/officeDocument/2006/relationships/hyperlink" Target="https://gameserver-store-client-area.orbionlimited.com/Home/IntegrationGameLaunch/client-area?moneyType=0&amp;gameName=StarHeat40&amp;platform=desktop&amp;languageCode=eng&amp;currency=EUR" TargetMode="External"/><Relationship Id="rId866" Type="http://schemas.openxmlformats.org/officeDocument/2006/relationships/hyperlink" Target="https://gameserver-store-client-area.orbionlimited.com/Home/IntegrationGameLaunch/client-area?moneyType=0&amp;gameName=UnicornDynamiteRunDice&amp;platform=desktop&amp;languageCode=eng&amp;currency=EUR" TargetMode="External"/><Relationship Id="rId865" Type="http://schemas.openxmlformats.org/officeDocument/2006/relationships/hyperlink" Target="https://onlinegamespromo.fazi.rs/Home/IntegrationGameLaunch?moneyType=0&amp;gameName=UnicornDynamiteRunDice&amp;platform=desktop&amp;languageCode=eng&amp;currency=EUR" TargetMode="External"/><Relationship Id="rId864" Type="http://schemas.openxmlformats.org/officeDocument/2006/relationships/hyperlink" Target="https://gameserver-store-client-area.orbionlimited.com/Home/IntegrationGameLaunch/client-area?moneyType=0&amp;gameName=UnicornCoyoteGems&amp;platform=desktop&amp;languageCode=eng&amp;currency=EUR" TargetMode="External"/><Relationship Id="rId863" Type="http://schemas.openxmlformats.org/officeDocument/2006/relationships/hyperlink" Target="https://onlinegamespromo.fazi.rs/Home/IntegrationGameLaunch?moneyType=0&amp;gameName=UnicornCoyoteGems&amp;platform=desktop&amp;languageCode=eng&amp;currency=EUR" TargetMode="External"/><Relationship Id="rId869" Type="http://schemas.openxmlformats.org/officeDocument/2006/relationships/hyperlink" Target="https://onlinegamespromo.fazi.rs/Home/IntegrationGameLaunch?moneyType=0&amp;gameName=UnicornSimplySevensGems&amp;platform=desktop&amp;languageCode=eng&amp;currency=EUR" TargetMode="External"/><Relationship Id="rId868" Type="http://schemas.openxmlformats.org/officeDocument/2006/relationships/hyperlink" Target="https://gameserver-store-client-area.orbionlimited.com/Home/IntegrationGameLaunch/client-area?moneyType=0&amp;gameName=UnicornBigSpinDragons&amp;platform=desktop&amp;languageCode=eng&amp;currency=EUR" TargetMode="External"/><Relationship Id="rId867" Type="http://schemas.openxmlformats.org/officeDocument/2006/relationships/hyperlink" Target="https://onlinegamespromo.fazi.rs/Home/IntegrationGameLaunch?moneyType=0&amp;gameName=UnicornBigSpinDragons&amp;platform=desktop&amp;languageCode=eng&amp;currency=EUR" TargetMode="External"/><Relationship Id="rId862" Type="http://schemas.openxmlformats.org/officeDocument/2006/relationships/hyperlink" Target="https://gameserver-store-client-area.orbionlimited.com/Home/IntegrationGameLaunch/client-area?moneyType=0&amp;gameName=UnicornSuperFireJackpot&amp;platform=desktop&amp;languageCode=eng&amp;currency=EUR" TargetMode="External"/><Relationship Id="rId861" Type="http://schemas.openxmlformats.org/officeDocument/2006/relationships/hyperlink" Target="https://onlinegamespromo.fazi.rs/Home/IntegrationGameLaunch?moneyType=0&amp;gameName=UnicornSuperFireJackpot&amp;platform=desktop&amp;languageCode=eng&amp;currency=EUR" TargetMode="External"/><Relationship Id="rId1210" Type="http://schemas.openxmlformats.org/officeDocument/2006/relationships/hyperlink" Target="https://onlinegamespromo.fazi.rs/Home/IntegrationGameLaunch?moneyType=0&amp;gameName=PlayNetDiamondHeart10&amp;platform=desktop&amp;languageCode=eng&amp;currency=EUR" TargetMode="External"/><Relationship Id="rId860" Type="http://schemas.openxmlformats.org/officeDocument/2006/relationships/hyperlink" Target="https://gameserver-store-client-area.orbionlimited.com/Home/IntegrationGameLaunch/client-area?moneyType=0&amp;gameName=UnicornFastPay&amp;platform=desktop&amp;languageCode=eng&amp;currency=EUR" TargetMode="External"/><Relationship Id="rId1211" Type="http://schemas.openxmlformats.org/officeDocument/2006/relationships/hyperlink" Target="https://gameserver-store-client-area.orbionlimited.com/Home/IntegrationGameLaunch/client-area?moneyType=0&amp;gameName=PlayNetDiamondHeart10&amp;platform=desktop&amp;languageCode=eng&amp;currency=EUR" TargetMode="External"/><Relationship Id="rId1212" Type="http://schemas.openxmlformats.org/officeDocument/2006/relationships/hyperlink" Target="https://onlinegamespromo.fazi.rs/Home/IntegrationGameLaunch?moneyType=0&amp;gameName=PlayNetLeprechaunsFortuneClover&amp;platform=desktop&amp;languageCode=eng&amp;currency=EUR" TargetMode="External"/><Relationship Id="rId1202" Type="http://schemas.openxmlformats.org/officeDocument/2006/relationships/hyperlink" Target="https://docs.google.com/document/d/1V_pbVs9VNOGhh-Bmmu7VWHYfyDU_sZV-/edit?usp=drive_link&amp;ouid=107596163405648766688&amp;rtpof=true&amp;sd=true" TargetMode="External"/><Relationship Id="rId1203" Type="http://schemas.openxmlformats.org/officeDocument/2006/relationships/hyperlink" Target="https://docs.google.com/document/d/1xf3OyPgMTEXRmzWDnN_TPxxIpINZ1-hf/edit?usp=drive_link&amp;ouid=107596163405648766688&amp;rtpof=true&amp;sd=true" TargetMode="External"/><Relationship Id="rId1204" Type="http://schemas.openxmlformats.org/officeDocument/2006/relationships/hyperlink" Target="https://static.redstone.rs/games/cupids-wild-hearts/" TargetMode="External"/><Relationship Id="rId1205" Type="http://schemas.openxmlformats.org/officeDocument/2006/relationships/hyperlink" Target="https://static.redstone.rs/games/cupids-wild-hearts/" TargetMode="External"/><Relationship Id="rId1206" Type="http://schemas.openxmlformats.org/officeDocument/2006/relationships/hyperlink" Target="https://docs.google.com/document/d/1jC0UVytQOVQFSLVZ3aljFKvtQvdFaFOY/edit?usp=drive_link&amp;ouid=107596163405648766688&amp;rtpof=true&amp;sd=true" TargetMode="External"/><Relationship Id="rId1207" Type="http://schemas.openxmlformats.org/officeDocument/2006/relationships/hyperlink" Target="https://docs.google.com/document/d/1VLSxKu5PELHE5vo69Dem-Dw5_wwquqfd/edit?usp=drive_link&amp;ouid=107596163405648766688&amp;rtpof=true&amp;sd=true" TargetMode="External"/><Relationship Id="rId1208" Type="http://schemas.openxmlformats.org/officeDocument/2006/relationships/hyperlink" Target="https://static.redstone.rs/games/double-wild-diamond/" TargetMode="External"/><Relationship Id="rId1209" Type="http://schemas.openxmlformats.org/officeDocument/2006/relationships/hyperlink" Target="https://static.redstone.rs/games/double-wild-diamond/" TargetMode="External"/><Relationship Id="rId855" Type="http://schemas.openxmlformats.org/officeDocument/2006/relationships/hyperlink" Target="https://onlinegamespromo.fazi.rs/Home/IntegrationGameLaunch?moneyType=0&amp;gameName=UnicornTripleStackedDiamonds&amp;platform=desktop&amp;languageCode=eng&amp;currency=EUR" TargetMode="External"/><Relationship Id="rId854" Type="http://schemas.openxmlformats.org/officeDocument/2006/relationships/hyperlink" Target="https://gameserver-store-client-area.orbionlimited.com/Home/IntegrationGameLaunch/client-area?moneyType=0&amp;gameName=UnicornSupremeSevens&amp;platform=desktop&amp;languageCode=eng&amp;currency=EUR" TargetMode="External"/><Relationship Id="rId853" Type="http://schemas.openxmlformats.org/officeDocument/2006/relationships/hyperlink" Target="https://onlinegamespromo.fazi.rs/Home/IntegrationGameLaunch?moneyType=0&amp;gameName=UnicornSupremeSevens&amp;platform=desktop&amp;languageCode=eng&amp;currency=EUR" TargetMode="External"/><Relationship Id="rId852" Type="http://schemas.openxmlformats.org/officeDocument/2006/relationships/hyperlink" Target="https://gameserver-store-client-area.orbionlimited.com/Home/IntegrationGameLaunch/client-area?moneyType=0&amp;gameName=UnicornBigHitSevens&amp;platform=desktop&amp;languageCode=eng&amp;currency=EUR" TargetMode="External"/><Relationship Id="rId859" Type="http://schemas.openxmlformats.org/officeDocument/2006/relationships/hyperlink" Target="https://onlinegamespromo.fazi.rs/Home/IntegrationGameLaunch?moneyType=0&amp;gameName=UnicornFastPay&amp;platform=desktop&amp;languageCode=eng&amp;currency=EUR" TargetMode="External"/><Relationship Id="rId858" Type="http://schemas.openxmlformats.org/officeDocument/2006/relationships/hyperlink" Target="https://gameserver-store-client-area.orbionlimited.com/Home/IntegrationGameLaunch/client-area?moneyType=0&amp;gameName=UnicornDynamiteBoom&amp;platform=desktop&amp;languageCode=eng&amp;currency=EUR" TargetMode="External"/><Relationship Id="rId857" Type="http://schemas.openxmlformats.org/officeDocument/2006/relationships/hyperlink" Target="https://onlinegamespromo.fazi.rs/Home/IntegrationGameLaunch?moneyType=0&amp;gameName=UnicornDynamiteBoom&amp;platform=desktop&amp;languageCode=eng&amp;currency=EUR" TargetMode="External"/><Relationship Id="rId856" Type="http://schemas.openxmlformats.org/officeDocument/2006/relationships/hyperlink" Target="https://gameserver-store-client-area.orbionlimited.com/Home/IntegrationGameLaunch/client-area?moneyType=0&amp;gameName=UnicornTripleStackedDiamonds&amp;platform=desktop&amp;languageCode=eng&amp;currency=EUR" TargetMode="External"/><Relationship Id="rId851" Type="http://schemas.openxmlformats.org/officeDocument/2006/relationships/hyperlink" Target="https://onlinegamespromo.fazi.rs/Home/IntegrationGameLaunch?moneyType=0&amp;gameName=UnicornBigHitSevens&amp;platform=desktop&amp;languageCode=eng&amp;currency=EUR" TargetMode="External"/><Relationship Id="rId850" Type="http://schemas.openxmlformats.org/officeDocument/2006/relationships/hyperlink" Target="https://gameserver-store-client-area.orbionlimited.com/Home/IntegrationGameLaunch/client-area?moneyType=0&amp;gameName=UnicornDynamiteRunPlatinum&amp;platform=desktop&amp;languageCode=eng&amp;currency=EUR" TargetMode="External"/><Relationship Id="rId1200" Type="http://schemas.openxmlformats.org/officeDocument/2006/relationships/hyperlink" Target="https://static.redstone.rs/games/rolling-hearts-10/" TargetMode="External"/><Relationship Id="rId1201" Type="http://schemas.openxmlformats.org/officeDocument/2006/relationships/hyperlink" Target="https://static.redstone.rs/games/rolling-hearts-10/" TargetMode="External"/><Relationship Id="rId1235" Type="http://schemas.openxmlformats.org/officeDocument/2006/relationships/hyperlink" Target="https://docs.google.com/document/d/1dlazeHdTqsOJJ_1gZ2T5RwwEiDm_pWyU/edit?usp=drive_link&amp;ouid=107596163405648766688&amp;rtpof=true&amp;sd=true" TargetMode="External"/><Relationship Id="rId1236" Type="http://schemas.openxmlformats.org/officeDocument/2006/relationships/hyperlink" Target="https://docs.google.com/document/d/1vCl789hTRT35JFWgszyR3eEvAdvaWhBB/edit?usp=drive_link&amp;ouid=107596163405648766688&amp;rtpof=true&amp;sd=true" TargetMode="External"/><Relationship Id="rId1237" Type="http://schemas.openxmlformats.org/officeDocument/2006/relationships/hyperlink" Target="https://static.redstone.rs/games/respin-fortune/" TargetMode="External"/><Relationship Id="rId1238" Type="http://schemas.openxmlformats.org/officeDocument/2006/relationships/hyperlink" Target="https://static.redstone.rs/games/respin-fortune/" TargetMode="External"/><Relationship Id="rId1239" Type="http://schemas.openxmlformats.org/officeDocument/2006/relationships/hyperlink" Target="https://docs.google.com/document/d/1wzPBJWwXuvufljN6Kmgln2SP6MhSZMou/edit?usp=drive_link&amp;ouid=107596163405648766688&amp;rtpof=true&amp;sd=true" TargetMode="External"/><Relationship Id="rId409" Type="http://schemas.openxmlformats.org/officeDocument/2006/relationships/hyperlink" Target="https://docs.google.com/document/d/1Lo21HE-04Rwp0EgxYQqy6Pl0lYtK_VWc/edit?usp=drive_link&amp;ouid=107596163405648766688&amp;rtpof=true&amp;sd=true" TargetMode="External"/><Relationship Id="rId404" Type="http://schemas.openxmlformats.org/officeDocument/2006/relationships/hyperlink" Target="https://gameserver-store-client-area.orbionlimited.com/Home/IntegrationGameLaunch/client-area?moneyType=0&amp;gameName=KettysFashionWorld&amp;platform=desktop&amp;languageCode=eng&amp;currency=EUR" TargetMode="External"/><Relationship Id="rId888" Type="http://schemas.openxmlformats.org/officeDocument/2006/relationships/hyperlink" Target="https://drive.google.com/file/d/1yckcih0apcYhGCwgqTCD9bPSWnkOLgox/view?usp=drive_link" TargetMode="External"/><Relationship Id="rId403" Type="http://schemas.openxmlformats.org/officeDocument/2006/relationships/hyperlink" Target="https://onlinegamespromo.fazi.rs/Home/IntegrationGameLaunch?moneyType=0&amp;gameName=KettysFashionWorld&amp;platform=desktop&amp;languageCode=eng&amp;currency=EUR" TargetMode="External"/><Relationship Id="rId887" Type="http://schemas.openxmlformats.org/officeDocument/2006/relationships/hyperlink" Target="https://drive.google.com/file/d/1u1cVt2r3D74ZWE5qJ4FseBw5PY-Ib4yK/view?usp=drive_link" TargetMode="External"/><Relationship Id="rId402" Type="http://schemas.openxmlformats.org/officeDocument/2006/relationships/hyperlink" Target="https://gameserver-store-client-area.orbionlimited.com/Home/IntegrationGameLaunch/client-area?moneyType=0&amp;gameName=UnicornBikiniFruits&amp;platform=desktop&amp;languageCode=eng&amp;currency=EUR" TargetMode="External"/><Relationship Id="rId886" Type="http://schemas.openxmlformats.org/officeDocument/2006/relationships/hyperlink" Target="https://static.redstone.rs/games/10-wild-heart/" TargetMode="External"/><Relationship Id="rId401" Type="http://schemas.openxmlformats.org/officeDocument/2006/relationships/hyperlink" Target="https://onlinegamespromo.fazi.rs/Home/IntegrationGameLaunch?moneyType=0&amp;gameName=UnicornBikiniFruits&amp;platform=desktop&amp;languageCode=eng&amp;currency=EUR" TargetMode="External"/><Relationship Id="rId885" Type="http://schemas.openxmlformats.org/officeDocument/2006/relationships/hyperlink" Target="https://static.redstone.rs/games/10-wild-heart/" TargetMode="External"/><Relationship Id="rId408" Type="http://schemas.openxmlformats.org/officeDocument/2006/relationships/hyperlink" Target="https://gameserver-store-client-area.orbionlimited.com/Home/IntegrationGameLaunch/client-area?moneyType=0&amp;gameName=Money5&amp;platform=desktop&amp;languageCode=eng&amp;currency=EUR" TargetMode="External"/><Relationship Id="rId407" Type="http://schemas.openxmlformats.org/officeDocument/2006/relationships/hyperlink" Target="https://onlinegamespromo.fazi.rs/Home/IntegrationGameLaunch?moneyType=0&amp;gameName=Money5&amp;platform=desktop&amp;languageCode=eng&amp;currency=EUR" TargetMode="External"/><Relationship Id="rId406" Type="http://schemas.openxmlformats.org/officeDocument/2006/relationships/hyperlink" Target="https://gameserver-store-client-area.orbionlimited.com/Home/IntegrationGameLaunch/client-area?moneyType=0&amp;gameName=RetroFire&amp;platform=desktop&amp;languageCode=eng&amp;currency=EUR" TargetMode="External"/><Relationship Id="rId405" Type="http://schemas.openxmlformats.org/officeDocument/2006/relationships/hyperlink" Target="https://onlinegamespromo.fazi.rs/Home/IntegrationGameLaunch?moneyType=0&amp;gameName=RetroFire&amp;platform=desktop&amp;languageCode=eng&amp;currency=EUR" TargetMode="External"/><Relationship Id="rId889" Type="http://schemas.openxmlformats.org/officeDocument/2006/relationships/hyperlink" Target="https://static.redstone.rs/games/40-joker-fire/" TargetMode="External"/><Relationship Id="rId880" Type="http://schemas.openxmlformats.org/officeDocument/2006/relationships/hyperlink" Target="https://drive.google.com/file/d/1TMpX-3d-GMrkiWUaYstT8weMYDI2yoSD/view?usp=sharing" TargetMode="External"/><Relationship Id="rId1230" Type="http://schemas.openxmlformats.org/officeDocument/2006/relationships/hyperlink" Target="https://gameserver-store-client-area.orbionlimited.com/Home/IntegrationGameLaunch/client-area?moneyType=0&amp;gameName=WildHot40Deluxe&amp;platform=desktop&amp;languageCode=eng&amp;currency=EUR" TargetMode="External"/><Relationship Id="rId400" Type="http://schemas.openxmlformats.org/officeDocument/2006/relationships/hyperlink" Target="https://gameserver-store-client-area.orbionlimited.com/Home/IntegrationGameLaunch/client-area?moneyType=0&amp;gameName=Unicorn5HotStrike&amp;platform=desktop&amp;languageCode=eng&amp;currency=EUR" TargetMode="External"/><Relationship Id="rId884" Type="http://schemas.openxmlformats.org/officeDocument/2006/relationships/hyperlink" Target="https://drive.google.com/file/d/1-3HYx5EH8g8nTtAydEBMqfN6nNh_Jre2/view?usp=drive_link" TargetMode="External"/><Relationship Id="rId1231" Type="http://schemas.openxmlformats.org/officeDocument/2006/relationships/hyperlink" Target="https://onlinegamespromo.fazi.rs/Home/IntegrationGameLaunch?moneyType=0&amp;gameName=BonusEpicCrownDice&amp;platform=desktop&amp;languageCode=eng&amp;currency=EUR" TargetMode="External"/><Relationship Id="rId883" Type="http://schemas.openxmlformats.org/officeDocument/2006/relationships/hyperlink" Target="https://drive.google.com/file/d/1ab3ESJmNaQTYQ2yRtk3CzvhG5e61AzoG/view?usp=drive_link" TargetMode="External"/><Relationship Id="rId1232" Type="http://schemas.openxmlformats.org/officeDocument/2006/relationships/hyperlink" Target="https://gameserver-store-client-area.orbionlimited.com/Home/IntegrationGameLaunch/client-area?moneyType=0&amp;gameName=BonusEpicCrownDice&amp;platform=desktop&amp;languageCode=eng&amp;currency=EUR" TargetMode="External"/><Relationship Id="rId882" Type="http://schemas.openxmlformats.org/officeDocument/2006/relationships/hyperlink" Target="https://gameserver-store-client-area.orbionlimited.com/Home/IntegrationGameLaunch/client-area?moneyType=0&amp;gameName=CoinSplash&amp;platform=desktop&amp;languageCode=eng&amp;currency=EUR" TargetMode="External"/><Relationship Id="rId1233" Type="http://schemas.openxmlformats.org/officeDocument/2006/relationships/hyperlink" Target="https://onlinegamespromo.fazi.rs/Home/IntegrationGameLaunch?moneyType=0&amp;gameName=GoldenCrownHoldAndWin&amp;platform=desktop&amp;languageCode=eng&amp;currency=EUR" TargetMode="External"/><Relationship Id="rId881" Type="http://schemas.openxmlformats.org/officeDocument/2006/relationships/hyperlink" Target="https://gameserver-store-msstg.fazi.rs/Home/IntegrationGameLaunch/fazi-stg16?moneyType=0&amp;currency=EUR&amp;gameName=CoinSplash" TargetMode="External"/><Relationship Id="rId1234" Type="http://schemas.openxmlformats.org/officeDocument/2006/relationships/hyperlink" Target="https://gameserver-store-client-area.orbionlimited.com/Home/IntegrationGameLaunch/client-area?moneyType=0&amp;gameName=GoldenCrownHoldAndWin&amp;platform=desktop&amp;languageCode=eng&amp;currency=EUR" TargetMode="External"/><Relationship Id="rId1224" Type="http://schemas.openxmlformats.org/officeDocument/2006/relationships/hyperlink" Target="https://onlinegamespromo.fazi.rs/Home/IntegrationGameLaunch?moneyType=0&amp;gameName=Wild27Dice&amp;platform=desktop&amp;languageCode=eng&amp;currency=EUR" TargetMode="External"/><Relationship Id="rId1225" Type="http://schemas.openxmlformats.org/officeDocument/2006/relationships/hyperlink" Target="https://drive.google.com/drive/folders/1BSYsvknXDCekqp50LbxTSCM23ajx0cxl" TargetMode="External"/><Relationship Id="rId1226" Type="http://schemas.openxmlformats.org/officeDocument/2006/relationships/hyperlink" Target="https://gameserver-store-client-area.orbionlimited.com/Home/IntegrationGameLaunch/client-area?moneyType=0&amp;gameName=Wild27Dice&amp;platform=desktop&amp;languageCode=eng&amp;currency=EUR" TargetMode="External"/><Relationship Id="rId1227" Type="http://schemas.openxmlformats.org/officeDocument/2006/relationships/hyperlink" Target="https://gameserver-store.fazi.rs/Home/IntegrationGameLaunch/admiralmne?moneyType=0&amp;currency=EUR&amp;gameName=CoinSplashDice" TargetMode="External"/><Relationship Id="rId1228" Type="http://schemas.openxmlformats.org/officeDocument/2006/relationships/hyperlink" Target="https://gameserver-store-client-area.orbionlimited.com/Home/IntegrationGameLaunch/client-area?moneyType=0&amp;gameName=CoinSplashDice&amp;platform=desktop&amp;languageCode=eng&amp;currency=EUR" TargetMode="External"/><Relationship Id="rId1229" Type="http://schemas.openxmlformats.org/officeDocument/2006/relationships/hyperlink" Target="https://onlinegamespromo.fazi.rs/Home/IntegrationGameLaunch?moneyType=0&amp;gameName=WildHot40Deluxe&amp;platform=desktop&amp;languageCode=eng&amp;currency=EUR" TargetMode="External"/><Relationship Id="rId877" Type="http://schemas.openxmlformats.org/officeDocument/2006/relationships/hyperlink" Target="https://onlinegamespromo.fazi.rs/Home/IntegrationGameLaunch?moneyType=0&amp;gameName=LuckySheriff&amp;lobbyUrl=https://www.fazi-interactive.com/" TargetMode="External"/><Relationship Id="rId876" Type="http://schemas.openxmlformats.org/officeDocument/2006/relationships/hyperlink" Target="https://gameserver-store-client-area.orbionlimited.com/Home/IntegrationGameLaunch/client-area?moneyType=0&amp;gameName=UnicornThreeReelSevens&amp;platform=desktop&amp;languageCode=eng&amp;currency=EUR" TargetMode="External"/><Relationship Id="rId875" Type="http://schemas.openxmlformats.org/officeDocument/2006/relationships/hyperlink" Target="https://onlinegamespromo.fazi.rs/Home/IntegrationGameLaunch?moneyType=0&amp;gameName=UnicornThreeReelSevens&amp;platform=desktop&amp;languageCode=eng&amp;currency=EUR" TargetMode="External"/><Relationship Id="rId874" Type="http://schemas.openxmlformats.org/officeDocument/2006/relationships/hyperlink" Target="https://gameserver-store-client-area.orbionlimited.com/Home/IntegrationGameLaunch/client-area?moneyType=0&amp;gameName=UnicornMisterDice&amp;platform=desktop&amp;languageCode=eng&amp;currency=EUR" TargetMode="External"/><Relationship Id="rId879" Type="http://schemas.openxmlformats.org/officeDocument/2006/relationships/hyperlink" Target="https://drive.google.com/file/d/1rrWTfY4LMCdgbEbfmhrvsVsKCd2w4bvO/view?usp=sharing" TargetMode="External"/><Relationship Id="rId878" Type="http://schemas.openxmlformats.org/officeDocument/2006/relationships/hyperlink" Target="https://gameserver-store-client-area.orbionlimited.com/Home/IntegrationGameLaunch/client-area?moneyType=0&amp;gameName=LuckySheriff&amp;platform=desktop&amp;languageCode=eng&amp;currency=EUR" TargetMode="External"/><Relationship Id="rId873" Type="http://schemas.openxmlformats.org/officeDocument/2006/relationships/hyperlink" Target="https://onlinegamespromo.fazi.rs/Home/IntegrationGameLaunch?moneyType=0&amp;gameName=UnicornMisterDice&amp;platform=desktop&amp;languageCode=eng&amp;currency=EUR" TargetMode="External"/><Relationship Id="rId1220" Type="http://schemas.openxmlformats.org/officeDocument/2006/relationships/hyperlink" Target="https://drive.google.com/drive/folders/1tMhNZrKJW7jv95Njoh8q7n6Ykhm_Zs5h?usp=drive_link" TargetMode="External"/><Relationship Id="rId872" Type="http://schemas.openxmlformats.org/officeDocument/2006/relationships/hyperlink" Target="https://gameserver-store-client-area.orbionlimited.com/Home/IntegrationGameLaunch/client-area?moneyType=0&amp;gameName=UnicornSuperFireDiceJackpot&amp;platform=desktop&amp;languageCode=eng&amp;currency=EUR" TargetMode="External"/><Relationship Id="rId1221" Type="http://schemas.openxmlformats.org/officeDocument/2006/relationships/hyperlink" Target="https://drive.google.com/drive/folders/1tMhNZrKJW7jv95Njoh8q7n6Ykhm_Zs5h?usp=drive_link" TargetMode="External"/><Relationship Id="rId871" Type="http://schemas.openxmlformats.org/officeDocument/2006/relationships/hyperlink" Target="https://onlinegamespromo.fazi.rs/Home/IntegrationGameLaunch?moneyType=0&amp;gameName=UnicornSuperFireDiceJackpot&amp;platform=desktop&amp;languageCode=eng&amp;currency=EUR" TargetMode="External"/><Relationship Id="rId1222" Type="http://schemas.openxmlformats.org/officeDocument/2006/relationships/hyperlink" Target="https://onlinegamespromo.fazi.rs/Home/IntegrationGameLaunch?moneyType=0&amp;gameName=Retro27&amp;platform=desktop&amp;languageCode=eng&amp;currency=EUR" TargetMode="External"/><Relationship Id="rId870" Type="http://schemas.openxmlformats.org/officeDocument/2006/relationships/hyperlink" Target="https://gameserver-store-client-area.orbionlimited.com/Home/IntegrationGameLaunch/client-area?moneyType=0&amp;gameName=UnicornSimplySevensGems&amp;platform=desktop&amp;languageCode=eng&amp;currency=EUR" TargetMode="External"/><Relationship Id="rId1223" Type="http://schemas.openxmlformats.org/officeDocument/2006/relationships/hyperlink" Target="https://gameserver-store-client-area.orbionlimited.com/Home/IntegrationGameLaunch/client-area?moneyType=0&amp;gameName=Retro27&amp;platform=desktop&amp;languageCode=eng&amp;currency=EUR" TargetMode="External"/><Relationship Id="rId829" Type="http://schemas.openxmlformats.org/officeDocument/2006/relationships/hyperlink" Target="https://onlinegamespromo.fazi.rs/Home/IntegrationGameLaunch?moneyType=0&amp;gameName=UnicornBigSpinSevens&amp;platform=desktop&amp;languageCode=eng&amp;currency=EUR" TargetMode="External"/><Relationship Id="rId828" Type="http://schemas.openxmlformats.org/officeDocument/2006/relationships/hyperlink" Target="https://gameserver-store-client-area.orbionlimited.com/Home/IntegrationGameLaunch/client-area?moneyType=0&amp;gameName=TopHot5&amp;platform=desktop&amp;languageCode=eng&amp;currency=EUR" TargetMode="External"/><Relationship Id="rId827" Type="http://schemas.openxmlformats.org/officeDocument/2006/relationships/hyperlink" Target="https://onlinegamespromo.fazi.rs/Home/IntegrationGameLaunch?moneyType=0&amp;gameName=TopHot5&amp;platform=desktop&amp;languageCode=eng&amp;currency=EURR" TargetMode="External"/><Relationship Id="rId822" Type="http://schemas.openxmlformats.org/officeDocument/2006/relationships/hyperlink" Target="https://static.redstone.rs/games/hot-rush-triple-star/" TargetMode="External"/><Relationship Id="rId821" Type="http://schemas.openxmlformats.org/officeDocument/2006/relationships/hyperlink" Target="https://static.redstone.rs/games/hot-rush-triple-star/" TargetMode="External"/><Relationship Id="rId820" Type="http://schemas.openxmlformats.org/officeDocument/2006/relationships/hyperlink" Target="https://docs.google.com/document/d/1geperOvJzuAYghHRkA3ii6iO17WD-9W9/edit?usp=drive_link&amp;ouid=107596163405648766688&amp;rtpof=true&amp;sd=true" TargetMode="External"/><Relationship Id="rId826" Type="http://schemas.openxmlformats.org/officeDocument/2006/relationships/hyperlink" Target="https://drive.google.com/drive/folders/16_OhPd98nkLRrPr2Hoep9zEW80bS1S9y" TargetMode="External"/><Relationship Id="rId825" Type="http://schemas.openxmlformats.org/officeDocument/2006/relationships/hyperlink" Target="https://drive.google.com/drive/folders/16_OhPd98nkLRrPr2Hoep9zEW80bS1S9y" TargetMode="External"/><Relationship Id="rId824" Type="http://schemas.openxmlformats.org/officeDocument/2006/relationships/hyperlink" Target="https://drive.google.com/drive/folders/1rUqrqNmV28Bdn42G5Tw6B4dajdJakbwM" TargetMode="External"/><Relationship Id="rId823" Type="http://schemas.openxmlformats.org/officeDocument/2006/relationships/hyperlink" Target="https://drive.google.com/drive/folders/1rUqrqNmV28Bdn42G5Tw6B4dajdJakbwM" TargetMode="External"/><Relationship Id="rId819" Type="http://schemas.openxmlformats.org/officeDocument/2006/relationships/hyperlink" Target="https://docs.google.com/document/d/16vQ_zLf_GhGAUkK1ezFbrXJIhbbcuZQj/edit?usp=drive_link&amp;ouid=107596163405648766688&amp;rtpof=true&amp;sd=true" TargetMode="External"/><Relationship Id="rId818" Type="http://schemas.openxmlformats.org/officeDocument/2006/relationships/hyperlink" Target="https://static.redstone.rs/games/sticky-tiki/" TargetMode="External"/><Relationship Id="rId817" Type="http://schemas.openxmlformats.org/officeDocument/2006/relationships/hyperlink" Target="https://static.redstone.rs/games/sticky-tiki/" TargetMode="External"/><Relationship Id="rId816" Type="http://schemas.openxmlformats.org/officeDocument/2006/relationships/hyperlink" Target="https://drive.google.com/file/d/1ei-DJnGnfC4ikq8YZZ6BD0vM0O5OSpUY/view?usp=drive_link" TargetMode="External"/><Relationship Id="rId811" Type="http://schemas.openxmlformats.org/officeDocument/2006/relationships/hyperlink" Target="https://static.redstone.rs/games/sweet-respins/" TargetMode="External"/><Relationship Id="rId810" Type="http://schemas.openxmlformats.org/officeDocument/2006/relationships/hyperlink" Target="https://drive.google.com/file/d/1IS1lcx8cIUZ1FAcAGfjHbVWaBX3qs_tT/view?usp=drive_link" TargetMode="External"/><Relationship Id="rId815" Type="http://schemas.openxmlformats.org/officeDocument/2006/relationships/hyperlink" Target="https://drive.google.com/file/d/12vGsFllmq9UMDItMEAf7XkGL9ui00F1k/view?usp=drive_link" TargetMode="External"/><Relationship Id="rId814" Type="http://schemas.openxmlformats.org/officeDocument/2006/relationships/hyperlink" Target="https://gameserver-store-client-area.orbionlimited.com/Home/IntegrationGameLaunch/client-area?moneyType=0&amp;gameName=UnicornSavanaFruits&amp;platform=desktop&amp;languageCode=eng&amp;currency=EUR" TargetMode="External"/><Relationship Id="rId813" Type="http://schemas.openxmlformats.org/officeDocument/2006/relationships/hyperlink" Target="https://onlinegamespromo.fazi.rs/Home/IntegrationGameLaunch?moneyType=0&amp;gameName=UnicornSavanaFruits&amp;platform=desktop&amp;languageCode=eng&amp;currency=EUR" TargetMode="External"/><Relationship Id="rId812" Type="http://schemas.openxmlformats.org/officeDocument/2006/relationships/hyperlink" Target="https://static.redstone.rs/games/sweet-respins/" TargetMode="External"/><Relationship Id="rId849" Type="http://schemas.openxmlformats.org/officeDocument/2006/relationships/hyperlink" Target="https://onlinegamespromo.fazi.rs/Home/IntegrationGameLaunch?moneyType=0&amp;gameName=UnicornDynamiteRunPlatinum&amp;platform=desktop&amp;languageCode=eng&amp;currency=EUR" TargetMode="External"/><Relationship Id="rId844" Type="http://schemas.openxmlformats.org/officeDocument/2006/relationships/hyperlink" Target="https://gameserver-store-client-area.orbionlimited.com/Home/IntegrationGameLaunch/client-area?moneyType=0&amp;gameName=PlayNetCrownStacks40&amp;platform=desktop&amp;languageCode=eng&amp;currency=EUR" TargetMode="External"/><Relationship Id="rId843" Type="http://schemas.openxmlformats.org/officeDocument/2006/relationships/hyperlink" Target="https://onlinegamespromo.fazi.rs/Home/IntegrationGameLaunch?moneyType=0&amp;gameName=PlayNetCrownStacks40&amp;platform=desktop&amp;languageCode=eng&amp;currency=EUR" TargetMode="External"/><Relationship Id="rId842" Type="http://schemas.openxmlformats.org/officeDocument/2006/relationships/hyperlink" Target="https://gameserver-store-client-area.orbionlimited.com/Home/IntegrationGameLaunch/client-area?moneyType=0&amp;gameName=BrilliantHeart&amp;platform=desktop&amp;languageCode=eng&amp;currency=EUR" TargetMode="External"/><Relationship Id="rId841" Type="http://schemas.openxmlformats.org/officeDocument/2006/relationships/hyperlink" Target="https://onlinegamespromo.fazi.rs/Home/IntegrationGameLaunch?moneyType=0&amp;gameName=BrilliantHeart&amp;platform=desktop&amp;languageCode=eng&amp;currency=EUR" TargetMode="External"/><Relationship Id="rId848" Type="http://schemas.openxmlformats.org/officeDocument/2006/relationships/hyperlink" Target="https://gameserver-store-client-area.orbionlimited.com/Home/IntegrationGameLaunch/client-area?moneyType=0&amp;gameName=PlayNetCrownSpread40&amp;platform=desktop&amp;languageCode=eng&amp;currency=EUR" TargetMode="External"/><Relationship Id="rId847" Type="http://schemas.openxmlformats.org/officeDocument/2006/relationships/hyperlink" Target="https://onlinegamespromo.fazi.rs/Home/IntegrationGameLaunch?moneyType=0&amp;gameName=PlayNetCrownSpread40&amp;platform=desktop&amp;languageCode=eng&amp;currency=EUR" TargetMode="External"/><Relationship Id="rId846" Type="http://schemas.openxmlformats.org/officeDocument/2006/relationships/hyperlink" Target="https://gameserver-store-client-area.orbionlimited.com/Home/IntegrationGameLaunch/client-area?moneyType=0&amp;gameName=PlayNetWildSpread40&amp;platform=desktop&amp;languageCode=eng&amp;currency=EUR" TargetMode="External"/><Relationship Id="rId845" Type="http://schemas.openxmlformats.org/officeDocument/2006/relationships/hyperlink" Target="https://onlinegamespromo.fazi.rs/Home/IntegrationGameLaunch?moneyType=0&amp;gameName=PlayNetWildSpread40&amp;platform=desktop&amp;languageCode=eng&amp;currency=EUR" TargetMode="External"/><Relationship Id="rId840" Type="http://schemas.openxmlformats.org/officeDocument/2006/relationships/hyperlink" Target="https://drive.google.com/drive/folders/1kbglFJ5oU8iGhS6Kx0DglZ_vC6RUsXi9" TargetMode="External"/><Relationship Id="rId839" Type="http://schemas.openxmlformats.org/officeDocument/2006/relationships/hyperlink" Target="https://drive.google.com/drive/folders/1kbglFJ5oU8iGhS6Kx0DglZ_vC6RUsXi9" TargetMode="External"/><Relationship Id="rId838" Type="http://schemas.openxmlformats.org/officeDocument/2006/relationships/hyperlink" Target="https://gameserver-store-client-area.orbionlimited.com/Home/IntegrationGameLaunch/client-area?moneyType=0&amp;gameName=Wild5&amp;platform=desktop&amp;languageCode=eng&amp;currency=EUR" TargetMode="External"/><Relationship Id="rId833" Type="http://schemas.openxmlformats.org/officeDocument/2006/relationships/hyperlink" Target="https://static.redstone.rs/games/hot-rush-fruit-lines/" TargetMode="External"/><Relationship Id="rId832" Type="http://schemas.openxmlformats.org/officeDocument/2006/relationships/hyperlink" Target="https://docs.google.com/document/d/1MShAbhMzYV_ictGwDjX6Sn27uuCG2Ms-/edit?usp=drive_link&amp;ouid=107596163405648766688&amp;rtpof=true&amp;sd=true" TargetMode="External"/><Relationship Id="rId831" Type="http://schemas.openxmlformats.org/officeDocument/2006/relationships/hyperlink" Target="https://docs.google.com/document/d/1MDzFpw1Ba1ZwjHnP3dPjDDT4cZqBv_J_/edit?usp=drive_link&amp;ouid=107596163405648766688&amp;rtpof=true&amp;sd=true" TargetMode="External"/><Relationship Id="rId830" Type="http://schemas.openxmlformats.org/officeDocument/2006/relationships/hyperlink" Target="https://gameserver-store-client-area.orbionlimited.com/Home/IntegrationGameLaunch/client-area?moneyType=0&amp;gameName=UnicornBigSpinSevens&amp;platform=desktop&amp;languageCode=eng&amp;currency=EUR" TargetMode="External"/><Relationship Id="rId837" Type="http://schemas.openxmlformats.org/officeDocument/2006/relationships/hyperlink" Target="https://onlinegamespromo.fazi.rs/Home/IntegrationGameLaunch?moneyType=0&amp;gameName=Wild5&amp;lobbyUrl=https://www.fazi-interactive.com/" TargetMode="External"/><Relationship Id="rId836" Type="http://schemas.openxmlformats.org/officeDocument/2006/relationships/hyperlink" Target="https://drive.google.com/file/d/10mce7DaE2ruwhtSFdWdSsoQV1nSqOwQY/view?usp=sharing" TargetMode="External"/><Relationship Id="rId835" Type="http://schemas.openxmlformats.org/officeDocument/2006/relationships/hyperlink" Target="https://drive.google.com/file/d/1d-3kCKBdZXLlvGz9vxVk8oWs8zGTsxln/view?usp=sharing" TargetMode="External"/><Relationship Id="rId834" Type="http://schemas.openxmlformats.org/officeDocument/2006/relationships/hyperlink" Target="https://static.redstone.rs/games/hot-rush-fruit-lines/" TargetMode="External"/><Relationship Id="rId469" Type="http://schemas.openxmlformats.org/officeDocument/2006/relationships/hyperlink" Target="https://onlinegamespromo.fazi.rs/Home/IntegrationGameLaunch?moneyType=0&amp;gameName=ChilliRespin&amp;lobbyUrl=https://www.fazi-interactive.com/" TargetMode="External"/><Relationship Id="rId468" Type="http://schemas.openxmlformats.org/officeDocument/2006/relationships/hyperlink" Target="https://gameserver-store-client-area.orbionlimited.com/Home/IntegrationGameLaunch/client-area?moneyType=0&amp;gameName=SantasPresents&amp;platform=desktop&amp;languageCode=eng&amp;currency=EUR" TargetMode="External"/><Relationship Id="rId467" Type="http://schemas.openxmlformats.org/officeDocument/2006/relationships/hyperlink" Target="https://onlinegamespromo.fazi.rs/Home/IntegrationGameLaunch?moneyType=0&amp;gameName=SantasPresents&amp;lobbyUrl=https://www.fazi-interactive.com/" TargetMode="External"/><Relationship Id="rId1290" Type="http://schemas.openxmlformats.org/officeDocument/2006/relationships/hyperlink" Target="https://drive.google.com/drive/folders/1HnVHEi4PxXKbJ6EWbWx4tNUyr2IpnDyp" TargetMode="External"/><Relationship Id="rId1291" Type="http://schemas.openxmlformats.org/officeDocument/2006/relationships/hyperlink" Target="https://onlinegamespromo.fazi.rs/Home/IntegrationGameLaunch?moneyType=0&amp;gameName=GoldenDiamonds20Extreme&amp;platform=desktop&amp;languageCode=eng&amp;currency=EUR" TargetMode="External"/><Relationship Id="rId1292" Type="http://schemas.openxmlformats.org/officeDocument/2006/relationships/hyperlink" Target="https://gameserver-store-client-area.orbionlimited.com/Home/IntegrationGameLaunch/client-area?moneyType=0&amp;gameName=GoldenDiamonds20Extreme&amp;platform=desktop&amp;languageCode=eng&amp;currency=EUR" TargetMode="External"/><Relationship Id="rId462" Type="http://schemas.openxmlformats.org/officeDocument/2006/relationships/hyperlink" Target="https://gameserver-store-client-area.orbionlimited.com/Home/IntegrationGameLaunch/client-area?moneyType=0&amp;gameName=MrFirstCryptonium&amp;platform=desktop&amp;languageCode=eng&amp;currency=EUR" TargetMode="External"/><Relationship Id="rId1293" Type="http://schemas.openxmlformats.org/officeDocument/2006/relationships/hyperlink" Target="https://drive.google.com/drive/folders/15W_JO143whU1jyoTzq8StwjWT4vJ7trZ" TargetMode="External"/><Relationship Id="rId461" Type="http://schemas.openxmlformats.org/officeDocument/2006/relationships/hyperlink" Target="https://onlinegamespromo.fazi.rs/Home/IntegrationGameLaunch?moneyType=0&amp;gameName=MrFirstCryptonium&amp;platform=desktop&amp;languageCode=eng&amp;currency=EUR" TargetMode="External"/><Relationship Id="rId1294" Type="http://schemas.openxmlformats.org/officeDocument/2006/relationships/hyperlink" Target="https://drive.google.com/drive/folders/15W_JO143whU1jyoTzq8StwjWT4vJ7trZ" TargetMode="External"/><Relationship Id="rId460" Type="http://schemas.openxmlformats.org/officeDocument/2006/relationships/hyperlink" Target="https://play.redstone.rs/games/fear-of-dark/index.html" TargetMode="External"/><Relationship Id="rId1295" Type="http://schemas.openxmlformats.org/officeDocument/2006/relationships/hyperlink" Target="https://onlinegamespromo.fazi.rs/Home/IntegrationGameLaunch?moneyType=0&amp;gameName=GoldenDiamonds40Extreme&amp;platform=desktop&amp;languageCode=eng&amp;currency=EUR" TargetMode="External"/><Relationship Id="rId1296" Type="http://schemas.openxmlformats.org/officeDocument/2006/relationships/hyperlink" Target="https://gameserver-store-client-area.orbionlimited.com/Home/IntegrationGameLaunch/client-area?moneyType=0&amp;gameName=GoldenDiamonds40Extreme&amp;platform=desktop&amp;languageCode=eng&amp;currency=EUR" TargetMode="External"/><Relationship Id="rId466" Type="http://schemas.openxmlformats.org/officeDocument/2006/relationships/hyperlink" Target="https://gameserver-store-client-area.orbionlimited.com/Home/IntegrationGameLaunch/client-area?moneyType=0&amp;gameName=UnicornChristmasPresents&amp;platform=desktop&amp;languageCode=eng&amp;currency=EUR" TargetMode="External"/><Relationship Id="rId1297" Type="http://schemas.openxmlformats.org/officeDocument/2006/relationships/hyperlink" Target="https://drive.google.com/file/d/1uKxsK28uuel4f8owE_hN_qMDkruf2IIT/view?usp=sharing" TargetMode="External"/><Relationship Id="rId465" Type="http://schemas.openxmlformats.org/officeDocument/2006/relationships/hyperlink" Target="https://onlinegamespromo.fazi.rs/Home/IntegrationGameLaunch?moneyType=0&amp;gameName=UnicornChristmasPresents&amp;platform=desktop&amp;languageCode=eng&amp;currency=EUR" TargetMode="External"/><Relationship Id="rId1298" Type="http://schemas.openxmlformats.org/officeDocument/2006/relationships/hyperlink" Target="https://drive.google.com/file/d/1KJayTqepJFhYyOf6YZSno32J8lstTtX1/view?usp=sharing" TargetMode="External"/><Relationship Id="rId464" Type="http://schemas.openxmlformats.org/officeDocument/2006/relationships/hyperlink" Target="https://gameserver-store-client-area.orbionlimited.com/Home/IntegrationGameLaunch/client-area?moneyType=0&amp;gameName=UnicornFruitIslandChristmas&amp;platform=desktop&amp;languageCode=eng&amp;currency=EUR" TargetMode="External"/><Relationship Id="rId1299" Type="http://schemas.openxmlformats.org/officeDocument/2006/relationships/hyperlink" Target="https://onlinegamespromo.fazi.rs/Home/IntegrationGameLaunch?moneyType=0&amp;gameName=VeryHot5ExtremeBooster&amp;platform=desktop&amp;languageCode=eng&amp;currency=EUR" TargetMode="External"/><Relationship Id="rId463" Type="http://schemas.openxmlformats.org/officeDocument/2006/relationships/hyperlink" Target="https://onlinegamespromo.fazi.rs/Home/IntegrationGameLaunch?moneyType=0&amp;gameName=UnicornFruitIslandChristmas&amp;platform=desktop&amp;languageCode=eng&amp;currency=EUR" TargetMode="External"/><Relationship Id="rId459" Type="http://schemas.openxmlformats.org/officeDocument/2006/relationships/hyperlink" Target="https://play.redstone.rs/games/fear-of-dark/index.html" TargetMode="External"/><Relationship Id="rId458" Type="http://schemas.openxmlformats.org/officeDocument/2006/relationships/hyperlink" Target="https://docs.google.com/document/d/1G3Uy96MnESsRXYh1UJ3F4jpCVPLG-sSl/edit?usp=drive_link&amp;ouid=107596163405648766688&amp;rtpof=true&amp;sd=true" TargetMode="External"/><Relationship Id="rId457" Type="http://schemas.openxmlformats.org/officeDocument/2006/relationships/hyperlink" Target="https://docs.google.com/document/d/1QP-EtzlhgKGHFJ_tSJU92n3GAb-kqF2e/edit?usp=drive_link&amp;ouid=107596163405648766688&amp;rtpof=true&amp;sd=true" TargetMode="External"/><Relationship Id="rId456" Type="http://schemas.openxmlformats.org/officeDocument/2006/relationships/hyperlink" Target="https://gameserver-store-client-area.orbionlimited.com/Home/IntegrationGameLaunch/client-area?moneyType=0&amp;gameName=WildCraps&amp;platform=desktop&amp;languageCode=eng&amp;currency=EUR" TargetMode="External"/><Relationship Id="rId1280" Type="http://schemas.openxmlformats.org/officeDocument/2006/relationships/hyperlink" Target="https://gameserver-store-client-area.orbionlimited.com/Home/IntegrationGameLaunch/client-area?moneyType=0&amp;gameName=UnicornTripleRoyalWilds&amp;platform=desktop&amp;languageCode=eng&amp;currency=EUR" TargetMode="External"/><Relationship Id="rId1281" Type="http://schemas.openxmlformats.org/officeDocument/2006/relationships/hyperlink" Target="https://drive.google.com/file/d/1x44az3aQtpIw5MUPC7Tlxd0m5EFMs2bt/view?usp=sharing" TargetMode="External"/><Relationship Id="rId451" Type="http://schemas.openxmlformats.org/officeDocument/2006/relationships/hyperlink" Target="https://onlinegamespromo.fazi.rs/Home/IntegrationGameLaunch?moneyType=0&amp;gameName=UnicornFrootMachine&amp;platform=desktop&amp;languageCode=eng&amp;currency=EUR" TargetMode="External"/><Relationship Id="rId1282" Type="http://schemas.openxmlformats.org/officeDocument/2006/relationships/hyperlink" Target="https://drive.google.com/file/d/1yREKQrMOjoXdfeIiLZapwVLAmDxEmnLN/view?usp=sharing" TargetMode="External"/><Relationship Id="rId450" Type="http://schemas.openxmlformats.org/officeDocument/2006/relationships/hyperlink" Target="https://gameserver-store-client-area.orbionlimited.com/Home/IntegrationGameLaunch/client-area?moneyType=0&amp;gameName=MayansBattle&amp;platform=desktop&amp;languageCode=eng&amp;currency=EUR" TargetMode="External"/><Relationship Id="rId1283" Type="http://schemas.openxmlformats.org/officeDocument/2006/relationships/hyperlink" Target="https://onlinegamespromo.fazi.rs/Home/IntegrationGameLaunch?moneyType=0&amp;gameName=GoldenDiamonds5Extreme&amp;platform=desktop&amp;languageCode=eng&amp;currency=EUR" TargetMode="External"/><Relationship Id="rId1284" Type="http://schemas.openxmlformats.org/officeDocument/2006/relationships/hyperlink" Target="https://gameserver-store-client-area.orbionlimited.com/Home/IntegrationGameLaunch/client-area?moneyType=0&amp;gameName=GoldenDiamonds5Extreme&amp;platform=desktop&amp;languageCode=eng&amp;currency=EUR" TargetMode="External"/><Relationship Id="rId1285" Type="http://schemas.openxmlformats.org/officeDocument/2006/relationships/hyperlink" Target="https://drive.google.com/file/d/1ARsFO2So3R8sFL4rirWY9LvE_bLaWXcO/view?usp=sharing" TargetMode="External"/><Relationship Id="rId455" Type="http://schemas.openxmlformats.org/officeDocument/2006/relationships/hyperlink" Target="https://onlinegamespromo.fazi.rs/Home/IntegrationGameLaunch?moneyType=0&amp;gameName=WildCraps&amp;platform=desktop&amp;languageCode=eng&amp;currency=EUR" TargetMode="External"/><Relationship Id="rId1286" Type="http://schemas.openxmlformats.org/officeDocument/2006/relationships/hyperlink" Target="https://drive.google.com/file/d/1KOfqXXdYTAFXEN82MumL9YiluW04u2nw/view?usp=sharing" TargetMode="External"/><Relationship Id="rId454" Type="http://schemas.openxmlformats.org/officeDocument/2006/relationships/hyperlink" Target="https://gameserver-store-client-area.orbionlimited.com/Home/IntegrationGameLaunch/client-area?moneyType=0&amp;gameName=UnicornSimplySevensDice&amp;platform=desktop&amp;languageCode=eng&amp;currency=EUR" TargetMode="External"/><Relationship Id="rId1287" Type="http://schemas.openxmlformats.org/officeDocument/2006/relationships/hyperlink" Target="https://onlinegamespromo.fazi.rs/Home/IntegrationGameLaunch?moneyType=0&amp;gameName=GoldenDiamonds10Extreme&amp;platform=desktop&amp;languageCode=eng&amp;currency=EUR" TargetMode="External"/><Relationship Id="rId453" Type="http://schemas.openxmlformats.org/officeDocument/2006/relationships/hyperlink" Target="https://onlinegamespromo.fazi.rs/Home/IntegrationGameLaunch?moneyType=0&amp;gameName=UnicornSimplySevensDice&amp;platform=desktop&amp;languageCode=eng&amp;currency=EUR" TargetMode="External"/><Relationship Id="rId1288" Type="http://schemas.openxmlformats.org/officeDocument/2006/relationships/hyperlink" Target="https://gameserver-store-client-area.orbionlimited.com/Home/IntegrationGameLaunch/client-area?moneyType=0&amp;gameName=GoldenDiamonds10Extreme&amp;platform=desktop&amp;languageCode=eng&amp;currency=EUR" TargetMode="External"/><Relationship Id="rId452" Type="http://schemas.openxmlformats.org/officeDocument/2006/relationships/hyperlink" Target="https://gameserver-store-client-area.orbionlimited.com/Home/IntegrationGameLaunch/client-area?moneyType=0&amp;gameName=UnicornFrootMachine&amp;platform=desktop&amp;languageCode=eng&amp;currency=EUR" TargetMode="External"/><Relationship Id="rId1289" Type="http://schemas.openxmlformats.org/officeDocument/2006/relationships/hyperlink" Target="https://drive.google.com/drive/folders/1HnVHEi4PxXKbJ6EWbWx4tNUyr2IpnDyp" TargetMode="External"/><Relationship Id="rId491" Type="http://schemas.openxmlformats.org/officeDocument/2006/relationships/hyperlink" Target="https://docs.google.com/document/d/1iXG_raCxlresDsCqMTqpIlfeAFtjbTIP/edit?usp=drive_link&amp;ouid=107596163405648766688&amp;rtpof=true&amp;sd=true" TargetMode="External"/><Relationship Id="rId490" Type="http://schemas.openxmlformats.org/officeDocument/2006/relationships/hyperlink" Target="https://play.redstone.rs/games/40-fruit-frenzy/index.html" TargetMode="External"/><Relationship Id="rId489" Type="http://schemas.openxmlformats.org/officeDocument/2006/relationships/hyperlink" Target="https://play.redstone.rs/games/40-fruit-frenzy/index.html" TargetMode="External"/><Relationship Id="rId484" Type="http://schemas.openxmlformats.org/officeDocument/2006/relationships/hyperlink" Target="https://docs.google.com/document/d/1brLhaUzYeRZigMCFlrbWhCZ4Gmwkbd-L/edit?usp=drive_link&amp;ouid=107596163405648766688&amp;rtpof=true&amp;sd=true" TargetMode="External"/><Relationship Id="rId483" Type="http://schemas.openxmlformats.org/officeDocument/2006/relationships/hyperlink" Target="https://docs.google.com/document/d/1lKG2J44Z3XobSwTrd9QvOmLKxuDAT9gT/edit?usp=drive_link&amp;ouid=107596163405648766688&amp;rtpof=true&amp;sd=true" TargetMode="External"/><Relationship Id="rId482" Type="http://schemas.openxmlformats.org/officeDocument/2006/relationships/hyperlink" Target="https://play.redstone.rs/games/jolly-presents/index.html" TargetMode="External"/><Relationship Id="rId481" Type="http://schemas.openxmlformats.org/officeDocument/2006/relationships/hyperlink" Target="https://play.redstone.rs/games/jolly-presents/index.html" TargetMode="External"/><Relationship Id="rId488" Type="http://schemas.openxmlformats.org/officeDocument/2006/relationships/hyperlink" Target="https://docs.google.com/document/d/1DY8X7hAgBj5u5gZiTi5xhZwo2C6oO69V/edit?usp=drive_link&amp;ouid=107596163405648766688&amp;rtpof=true&amp;sd=true" TargetMode="External"/><Relationship Id="rId487" Type="http://schemas.openxmlformats.org/officeDocument/2006/relationships/hyperlink" Target="https://docs.google.com/document/d/1mMkb52UZ9BZKxmFAxoGbc-e-tcJbsAq4/edit?usp=drive_link&amp;ouid=107596163405648766688&amp;rtpof=true&amp;sd=true" TargetMode="External"/><Relationship Id="rId486" Type="http://schemas.openxmlformats.org/officeDocument/2006/relationships/hyperlink" Target="https://play.redstone.rs/games/20-fruit-frenzy/index.html" TargetMode="External"/><Relationship Id="rId485" Type="http://schemas.openxmlformats.org/officeDocument/2006/relationships/hyperlink" Target="https://play.redstone.rs/games/20-fruit-frenzy/index.html" TargetMode="External"/><Relationship Id="rId480" Type="http://schemas.openxmlformats.org/officeDocument/2006/relationships/hyperlink" Target="https://docs.google.com/document/d/1X5yxoV9aeO4hmnBorYm0rR4SJnZAjO1U/edit?usp=drive_link&amp;ouid=107596163405648766688&amp;rtpof=true&amp;sd=true" TargetMode="External"/><Relationship Id="rId479" Type="http://schemas.openxmlformats.org/officeDocument/2006/relationships/hyperlink" Target="https://docs.google.com/document/d/1ZjS1T6mut0Ix_FZS9rgixFhkYfzymPvd/edit?usp=drive_link&amp;ouid=107596163405648766688&amp;rtpof=true&amp;sd=true" TargetMode="External"/><Relationship Id="rId478" Type="http://schemas.openxmlformats.org/officeDocument/2006/relationships/hyperlink" Target="https://play.redstone.rs/games/40-hot-joker/index.html" TargetMode="External"/><Relationship Id="rId473" Type="http://schemas.openxmlformats.org/officeDocument/2006/relationships/hyperlink" Target="https://play.redstone.rs/games/chilli-hot-5/index.html" TargetMode="External"/><Relationship Id="rId472" Type="http://schemas.openxmlformats.org/officeDocument/2006/relationships/hyperlink" Target="https://docs.google.com/document/d/1EomMxtAJIKfvOoAN8Z_-9xNBF48P1jBO/edit?usp=drive_link&amp;ouid=107596163405648766688&amp;rtpof=true&amp;sd=true" TargetMode="External"/><Relationship Id="rId471" Type="http://schemas.openxmlformats.org/officeDocument/2006/relationships/hyperlink" Target="https://docs.google.com/document/d/1QhQ9OIh7uTbWVJjt6gFntvyUFTO_g0du/edit?usp=drive_link&amp;ouid=107596163405648766688&amp;rtpof=true&amp;sd=true" TargetMode="External"/><Relationship Id="rId470" Type="http://schemas.openxmlformats.org/officeDocument/2006/relationships/hyperlink" Target="https://gameserver-store-client-area.orbionlimited.com/Home/IntegrationGameLaunch/client-area?moneyType=0&amp;gameName=ChilliRespin&amp;platform=desktop&amp;languageCode=eng&amp;currency=EUR" TargetMode="External"/><Relationship Id="rId477" Type="http://schemas.openxmlformats.org/officeDocument/2006/relationships/hyperlink" Target="https://play.redstone.rs/games/40-hot-joker/index.html" TargetMode="External"/><Relationship Id="rId476" Type="http://schemas.openxmlformats.org/officeDocument/2006/relationships/hyperlink" Target="https://docs.google.com/document/d/1tVV48E1kzpopmbpJDlGt5Lp7cqHzzqTq/edit?usp=drive_link&amp;ouid=107596163405648766688&amp;rtpof=true&amp;sd=true" TargetMode="External"/><Relationship Id="rId475" Type="http://schemas.openxmlformats.org/officeDocument/2006/relationships/hyperlink" Target="https://docs.google.com/document/d/1V6_yXejXQjXpCvxO5wF7JvaRzpKuPNDZ/edit?usp=drive_link&amp;ouid=107596163405648766688&amp;rtpof=true&amp;sd=true" TargetMode="External"/><Relationship Id="rId474" Type="http://schemas.openxmlformats.org/officeDocument/2006/relationships/hyperlink" Target="https://play.redstone.rs/games/chilli-hot-5/index.html" TargetMode="External"/><Relationship Id="rId1257" Type="http://schemas.openxmlformats.org/officeDocument/2006/relationships/hyperlink" Target="https://static.redstone.rs/games/dice-drop-10/" TargetMode="External"/><Relationship Id="rId1258" Type="http://schemas.openxmlformats.org/officeDocument/2006/relationships/hyperlink" Target="https://static.redstone.rs/games/dice-drop-10/" TargetMode="External"/><Relationship Id="rId1259" Type="http://schemas.openxmlformats.org/officeDocument/2006/relationships/hyperlink" Target="https://docs.google.com/document/d/15MPHkUleag_t9MkVTHodrHsxXS-NPPKX/edit?usp=drive_link&amp;ouid=107596163405648766688&amp;rtpof=true&amp;sd=true" TargetMode="External"/><Relationship Id="rId426" Type="http://schemas.openxmlformats.org/officeDocument/2006/relationships/hyperlink" Target="https://gameserver-store-client-area.orbionlimited.com/Home/IntegrationGameLaunch/client-area?moneyType=0&amp;gameName=UnicornSimplySevens&amp;platform=desktop&amp;languageCode=eng&amp;currency=EUR" TargetMode="External"/><Relationship Id="rId425" Type="http://schemas.openxmlformats.org/officeDocument/2006/relationships/hyperlink" Target="https://onlinegamespromo.fazi.rs/Home/IntegrationGameLaunch?moneyType=0&amp;gameName=UnicornSimplySevens&amp;platform=desktop&amp;languageCode=eng&amp;currency=EUR" TargetMode="External"/><Relationship Id="rId424" Type="http://schemas.openxmlformats.org/officeDocument/2006/relationships/hyperlink" Target="https://gameserver-store-client-area.orbionlimited.com/Home/IntegrationGameLaunch/client-area?moneyType=0&amp;gameName=EpicCrown5&amp;platform=desktop&amp;languageCode=eng&amp;currency=EUR" TargetMode="External"/><Relationship Id="rId423" Type="http://schemas.openxmlformats.org/officeDocument/2006/relationships/hyperlink" Target="https://onlinegamespromo.fazi.rs/Home/IntegrationGameLaunch?moneyType=0&amp;gameName=EpicCrown5&amp;platform=desktop&amp;languageCode=eng&amp;currency=EUR" TargetMode="External"/><Relationship Id="rId429" Type="http://schemas.openxmlformats.org/officeDocument/2006/relationships/hyperlink" Target="https://onlinegamespromo.fazi.rs/Home/IntegrationGameLaunch?moneyType=0&amp;gameName=WinningClover5&amp;lobbyUrl=https://www.fazi-interactive.com/" TargetMode="External"/><Relationship Id="rId428" Type="http://schemas.openxmlformats.org/officeDocument/2006/relationships/hyperlink" Target="https://gameserver-store-client-area.orbionlimited.com/Home/IntegrationGameLaunch/client-area?moneyType=0&amp;gameName=DeadNight&amp;platform=desktop&amp;languageCode=eng&amp;currency=EUR" TargetMode="External"/><Relationship Id="rId427" Type="http://schemas.openxmlformats.org/officeDocument/2006/relationships/hyperlink" Target="https://onlinegamespromo.fazi.rs/Home/IntegrationGameLaunch?moneyType=0&amp;gameName=DeadNight&amp;platform=desktop&amp;languageCode=eng&amp;currency=EUR" TargetMode="External"/><Relationship Id="rId1250" Type="http://schemas.openxmlformats.org/officeDocument/2006/relationships/hyperlink" Target="https://static.redstone.rs/games/clover-rush-5/" TargetMode="External"/><Relationship Id="rId1251" Type="http://schemas.openxmlformats.org/officeDocument/2006/relationships/hyperlink" Target="https://docs.google.com/document/d/1o1jIoDbRbS_pavC8Wn4PLnvu4UPh4BR2/edit?usp=drive_link&amp;ouid=107596163405648766688&amp;rtpof=true&amp;sd=true" TargetMode="External"/><Relationship Id="rId1252" Type="http://schemas.openxmlformats.org/officeDocument/2006/relationships/hyperlink" Target="https://docs.google.com/document/d/1d0syaxpX5IuTfLZ9M4igW7N80Ay2svZd/edit?usp=drive_link&amp;ouid=107596163405648766688&amp;rtpof=true&amp;sd=true" TargetMode="External"/><Relationship Id="rId422" Type="http://schemas.openxmlformats.org/officeDocument/2006/relationships/hyperlink" Target="https://static.redstone.rs/games/hot-hot/" TargetMode="External"/><Relationship Id="rId1253" Type="http://schemas.openxmlformats.org/officeDocument/2006/relationships/hyperlink" Target="https://static.redstone.rs/games/5-bell-fire/" TargetMode="External"/><Relationship Id="rId421" Type="http://schemas.openxmlformats.org/officeDocument/2006/relationships/hyperlink" Target="https://static.redstone.rs/games/hot-hot/" TargetMode="External"/><Relationship Id="rId1254" Type="http://schemas.openxmlformats.org/officeDocument/2006/relationships/hyperlink" Target="https://static.redstone.rs/games/5-bell-fire/" TargetMode="External"/><Relationship Id="rId420" Type="http://schemas.openxmlformats.org/officeDocument/2006/relationships/hyperlink" Target="https://docs.google.com/document/d/1ATbuBx6ppewruKxRt72H2RFPKHP6uH4g/edit?usp=drive_link&amp;ouid=107596163405648766688&amp;rtpof=true&amp;sd=true" TargetMode="External"/><Relationship Id="rId1255" Type="http://schemas.openxmlformats.org/officeDocument/2006/relationships/hyperlink" Target="https://docs.google.com/document/d/1Y7pRn33TMzJVBoyNmikLXLoa8IRcPXbB/edit" TargetMode="External"/><Relationship Id="rId1256" Type="http://schemas.openxmlformats.org/officeDocument/2006/relationships/hyperlink" Target="https://docs.google.com/document/d/1KAGZ2Kte4juDs-45JJ1fMdGUWL0vXPpc/edit" TargetMode="External"/><Relationship Id="rId1246" Type="http://schemas.openxmlformats.org/officeDocument/2006/relationships/hyperlink" Target="https://static.redstone.rs/games/joker-x5/" TargetMode="External"/><Relationship Id="rId1247" Type="http://schemas.openxmlformats.org/officeDocument/2006/relationships/hyperlink" Target="https://docs.google.com/document/d/1FMg9--0MWZeZFnRKqkBGifB1FHm8gU5l/edit?usp=drive_link&amp;ouid=107596163405648766688&amp;rtpof=true&amp;sd=true" TargetMode="External"/><Relationship Id="rId1248" Type="http://schemas.openxmlformats.org/officeDocument/2006/relationships/hyperlink" Target="https://docs.google.com/document/d/10ybc6vdKmjHZzpC4LGSCTb-5Sb3kS4i1/edit?usp=drive_link&amp;ouid=107596163405648766688&amp;rtpof=true&amp;sd=true" TargetMode="External"/><Relationship Id="rId1249" Type="http://schemas.openxmlformats.org/officeDocument/2006/relationships/hyperlink" Target="https://static.redstone.rs/games/clover-rush-5/" TargetMode="External"/><Relationship Id="rId415" Type="http://schemas.openxmlformats.org/officeDocument/2006/relationships/hyperlink" Target="https://onlinegamespromo.fazi.rs/Home/IntegrationGameLaunch?moneyType=0&amp;gameName=Unicorn20HotStrikeDice&amp;platform=desktop&amp;languageCode=eng&amp;currency=EUR" TargetMode="External"/><Relationship Id="rId899" Type="http://schemas.openxmlformats.org/officeDocument/2006/relationships/hyperlink" Target="https://drive.google.com/file/d/1KpdYiCmVfigVnXOC9uMf7jQVuYIILwMl/view?usp=drive_link" TargetMode="External"/><Relationship Id="rId414" Type="http://schemas.openxmlformats.org/officeDocument/2006/relationships/hyperlink" Target="https://gameserver-store-client-area.orbionlimited.com/Home/IntegrationGameLaunch/client-area?moneyType=0&amp;gameName=UnicornFireStars&amp;platform=desktop&amp;languageCode=eng&amp;currency=EUR" TargetMode="External"/><Relationship Id="rId898" Type="http://schemas.openxmlformats.org/officeDocument/2006/relationships/hyperlink" Target="https://static.redstone.rs/games/5-star-fire/" TargetMode="External"/><Relationship Id="rId413" Type="http://schemas.openxmlformats.org/officeDocument/2006/relationships/hyperlink" Target="https://onlinegamespromo.fazi.rs/Home/IntegrationGameLaunch?moneyType=0&amp;gameName=UnicornFireStars&amp;platform=desktop&amp;languageCode=eng&amp;currency=EUR" TargetMode="External"/><Relationship Id="rId897" Type="http://schemas.openxmlformats.org/officeDocument/2006/relationships/hyperlink" Target="https://static.redstone.rs/games/5-star-fire/" TargetMode="External"/><Relationship Id="rId412" Type="http://schemas.openxmlformats.org/officeDocument/2006/relationships/hyperlink" Target="https://static.redstone.rs/games/blazing-heat/" TargetMode="External"/><Relationship Id="rId896" Type="http://schemas.openxmlformats.org/officeDocument/2006/relationships/hyperlink" Target="https://drive.google.com/file/d/1aTMHsD7ChuP1pBEt37vm_24Ec2OmjgzM/view?usp=drive_link" TargetMode="External"/><Relationship Id="rId419" Type="http://schemas.openxmlformats.org/officeDocument/2006/relationships/hyperlink" Target="https://docs.google.com/document/d/1BZ7cF2yWPuXXcXJuGQ0_VsCbLBKuTKnU/edit?usp=drive_link&amp;ouid=107596163405648766688&amp;rtpof=true&amp;sd=true" TargetMode="External"/><Relationship Id="rId418" Type="http://schemas.openxmlformats.org/officeDocument/2006/relationships/hyperlink" Target="https://gameserver-store-client-area.orbionlimited.com/Home/IntegrationGameLaunch/client-area?moneyType=0&amp;gameName=UnicornBikiniDice&amp;platform=desktop&amp;languageCode=eng&amp;currency=EUR" TargetMode="External"/><Relationship Id="rId417" Type="http://schemas.openxmlformats.org/officeDocument/2006/relationships/hyperlink" Target="https://onlinegamespromo.fazi.rs/Home/IntegrationGameLaunch?moneyType=0&amp;gameName=UnicornBikiniDice&amp;platform=desktop&amp;languageCode=eng&amp;currency=EUR" TargetMode="External"/><Relationship Id="rId416" Type="http://schemas.openxmlformats.org/officeDocument/2006/relationships/hyperlink" Target="https://gameserver-store-client-area.orbionlimited.com/Home/IntegrationGameLaunch/client-area?moneyType=0&amp;gameName=Unicorn20HotStrikeDice&amp;platform=desktop&amp;languageCode=eng&amp;currency=EUR" TargetMode="External"/><Relationship Id="rId891" Type="http://schemas.openxmlformats.org/officeDocument/2006/relationships/hyperlink" Target="https://drive.google.com/file/d/1TUmCnus95of-VOgrsOFgtYLc-yHhQAK4/view?usp=drive_link" TargetMode="External"/><Relationship Id="rId890" Type="http://schemas.openxmlformats.org/officeDocument/2006/relationships/hyperlink" Target="https://static.redstone.rs/games/40-joker-fire/" TargetMode="External"/><Relationship Id="rId1240" Type="http://schemas.openxmlformats.org/officeDocument/2006/relationships/hyperlink" Target="https://docs.google.com/document/d/1CA-DOGHXNfL6fj5zr4jY8e8HJzEtG5oz/edit?usp=drive_link&amp;ouid=107596163405648766688&amp;rtpof=true&amp;sd=true" TargetMode="External"/><Relationship Id="rId1241" Type="http://schemas.openxmlformats.org/officeDocument/2006/relationships/hyperlink" Target="https://static.redstone.rs/games/multi-clover-5/" TargetMode="External"/><Relationship Id="rId411" Type="http://schemas.openxmlformats.org/officeDocument/2006/relationships/hyperlink" Target="https://static.redstone.rs/games/blazing-heat/" TargetMode="External"/><Relationship Id="rId895" Type="http://schemas.openxmlformats.org/officeDocument/2006/relationships/hyperlink" Target="https://drive.google.com/file/d/1h60qO101Dh-UU8dwVTfqnDytuQbjlzZh/view?usp=drive_link" TargetMode="External"/><Relationship Id="rId1242" Type="http://schemas.openxmlformats.org/officeDocument/2006/relationships/hyperlink" Target="https://static.redstone.rs/games/multi-clover-5/" TargetMode="External"/><Relationship Id="rId410" Type="http://schemas.openxmlformats.org/officeDocument/2006/relationships/hyperlink" Target="https://docs.google.com/document/d/14McTj69knWbyzMrjp4z8p18Njc6HjKFL/edit?usp=drive_link&amp;ouid=107596163405648766688&amp;rtpof=true&amp;sd=true" TargetMode="External"/><Relationship Id="rId894" Type="http://schemas.openxmlformats.org/officeDocument/2006/relationships/hyperlink" Target="https://static.redstone.rs/games/bonus-stars/" TargetMode="External"/><Relationship Id="rId1243" Type="http://schemas.openxmlformats.org/officeDocument/2006/relationships/hyperlink" Target="https://docs.google.com/document/d/13VQCcA2uI4ImiSslyB6pgz9y_3Z85CL_/edit?usp=drive_link&amp;ouid=107596163405648766688&amp;rtpof=true&amp;sd=true" TargetMode="External"/><Relationship Id="rId893" Type="http://schemas.openxmlformats.org/officeDocument/2006/relationships/hyperlink" Target="https://static.redstone.rs/games/bonus-stars/" TargetMode="External"/><Relationship Id="rId1244" Type="http://schemas.openxmlformats.org/officeDocument/2006/relationships/hyperlink" Target="https://docs.google.com/document/d/1tgJ-m4QeO4h1NF64p-_ADVba9SjKryZ4/edit?usp=drive_link&amp;ouid=107596163405648766688&amp;rtpof=true&amp;sd=true" TargetMode="External"/><Relationship Id="rId892" Type="http://schemas.openxmlformats.org/officeDocument/2006/relationships/hyperlink" Target="https://drive.google.com/file/d/1B52c455_iGqdn6Gcz68rQ2OHYortgt9T/view?usp=drive_link" TargetMode="External"/><Relationship Id="rId1245" Type="http://schemas.openxmlformats.org/officeDocument/2006/relationships/hyperlink" Target="https://static.redstone.rs/games/joker-x5/" TargetMode="External"/><Relationship Id="rId1279" Type="http://schemas.openxmlformats.org/officeDocument/2006/relationships/hyperlink" Target="https://onlinegamespromo.fazi.rs/Home/IntegrationGameLaunch?moneyType=0&amp;gameName=UnicornTripleRoyalWilds&amp;platform=desktop&amp;languageCode=eng&amp;currency=EUR" TargetMode="External"/><Relationship Id="rId448" Type="http://schemas.openxmlformats.org/officeDocument/2006/relationships/hyperlink" Target="https://gameserver-store-client-area.orbionlimited.com/Home/IntegrationGameLaunch/client-area?moneyType=0&amp;gameName=FashionNight&amp;platform=desktop&amp;languageCode=eng&amp;currency=EUR" TargetMode="External"/><Relationship Id="rId447" Type="http://schemas.openxmlformats.org/officeDocument/2006/relationships/hyperlink" Target="https://onlinegamespromo.fazi.rs/Home/IntegrationGameLaunch?moneyType=0&amp;gameName=FashionNight&amp;platform=desktop&amp;languageCode=eng&amp;currency=EUR" TargetMode="External"/><Relationship Id="rId446" Type="http://schemas.openxmlformats.org/officeDocument/2006/relationships/hyperlink" Target="https://gameserver-store-client-area.orbionlimited.com/Home/IntegrationGameLaunch/client-area?moneyType=0&amp;gameName=WildHot40BlowDice&amp;platform=desktop&amp;languageCode=eng&amp;currency=EUR" TargetMode="External"/><Relationship Id="rId445" Type="http://schemas.openxmlformats.org/officeDocument/2006/relationships/hyperlink" Target="https://onlinegamespromo.fazi.rs/Home/IntegrationGameLaunch?moneyType=0&amp;gameName=WildHot40BlowDice&amp;platform=desktop&amp;languageCode=eng&amp;currency=EUR" TargetMode="External"/><Relationship Id="rId449" Type="http://schemas.openxmlformats.org/officeDocument/2006/relationships/hyperlink" Target="https://onlinegamespromo.fazi.rs/Home/IntegrationGameLaunch?moneyType=0&amp;gameName=MayansBattle&amp;platform=desktop&amp;languageCode=eng&amp;currency=EUR" TargetMode="External"/><Relationship Id="rId1270" Type="http://schemas.openxmlformats.org/officeDocument/2006/relationships/hyperlink" Target="https://gameserver-store-client-area.orbionlimited.com/Home/IntegrationGameLaunch/client-area?moneyType=0&amp;gameName=UnicornLuckyGinger&amp;platform=desktop&amp;languageCode=eng&amp;currency=EUR" TargetMode="External"/><Relationship Id="rId440" Type="http://schemas.openxmlformats.org/officeDocument/2006/relationships/hyperlink" Target="https://play.redstone.rs/games/clover-blast-5/index.html" TargetMode="External"/><Relationship Id="rId1271" Type="http://schemas.openxmlformats.org/officeDocument/2006/relationships/hyperlink" Target="https://onlinegamespromo.fazi.rs/Home/IntegrationGameLaunch?moneyType=0&amp;gameName=UnicornLionsSevensExtreme&amp;platform=desktop&amp;languageCode=eng&amp;currency=EUR" TargetMode="External"/><Relationship Id="rId1272" Type="http://schemas.openxmlformats.org/officeDocument/2006/relationships/hyperlink" Target="https://gameserver-store-client-area.orbionlimited.com/Home/IntegrationGameLaunch/client-area?moneyType=0&amp;gameName=UnicornLionsSevensExtreme&amp;platform=desktop&amp;languageCode=eng&amp;currency=EUR" TargetMode="External"/><Relationship Id="rId1273" Type="http://schemas.openxmlformats.org/officeDocument/2006/relationships/hyperlink" Target="https://onlinegamespromo.fazi.rs/Home/IntegrationGameLaunch?moneyType=0&amp;gameName=UnicornCoyoteSevensJackpot&amp;platform=desktop&amp;languageCode=eng&amp;currency=EUR" TargetMode="External"/><Relationship Id="rId1274" Type="http://schemas.openxmlformats.org/officeDocument/2006/relationships/hyperlink" Target="https://gameserver-store-client-area.orbionlimited.com/Home/IntegrationGameLaunch/client-area?moneyType=0&amp;gameName=UnicornCoyoteSevensJackpot&amp;platform=desktop&amp;languageCode=eng&amp;currency=EUR" TargetMode="External"/><Relationship Id="rId444" Type="http://schemas.openxmlformats.org/officeDocument/2006/relationships/hyperlink" Target="https://gameserver-store-client-area.orbionlimited.com/Home/IntegrationGameLaunch/client-area?moneyType=0&amp;gameName=UnicornGoldLine&amp;platform=desktop&amp;languageCode=eng&amp;currency=EUR" TargetMode="External"/><Relationship Id="rId1275" Type="http://schemas.openxmlformats.org/officeDocument/2006/relationships/hyperlink" Target="https://onlinegamespromo.fazi.rs/Home/IntegrationGameLaunch?moneyType=0&amp;gameName=UnicornDragonGems&amp;platform=desktop&amp;languageCode=eng&amp;currency=EUR" TargetMode="External"/><Relationship Id="rId443" Type="http://schemas.openxmlformats.org/officeDocument/2006/relationships/hyperlink" Target="https://onlinegamespromo.fazi.rs/Home/IntegrationGameLaunch?moneyType=0&amp;gameName=UnicornGoldLine&amp;platform=desktop&amp;languageCode=eng&amp;currency=EUR" TargetMode="External"/><Relationship Id="rId1276" Type="http://schemas.openxmlformats.org/officeDocument/2006/relationships/hyperlink" Target="https://gameserver-store-client-area.orbionlimited.com/Home/IntegrationGameLaunch/client-area?moneyType=0&amp;gameName=UnicornDragonGems&amp;platform=desktop&amp;languageCode=eng&amp;currency=EUR" TargetMode="External"/><Relationship Id="rId442" Type="http://schemas.openxmlformats.org/officeDocument/2006/relationships/hyperlink" Target="https://gameserver-store-client-area.orbionlimited.com/Home/IntegrationGameLaunch/client-area?moneyType=0&amp;gameName=WildHot40Dice&amp;platform=desktop&amp;languageCode=eng&amp;currency=EUR" TargetMode="External"/><Relationship Id="rId1277" Type="http://schemas.openxmlformats.org/officeDocument/2006/relationships/hyperlink" Target="https://onlinegamespromo.fazi.rs/Home/IntegrationGameLaunch?moneyType=0&amp;gameName=UnicornByeBouse&amp;platform=desktop&amp;languageCode=eng&amp;currency=EUR" TargetMode="External"/><Relationship Id="rId441" Type="http://schemas.openxmlformats.org/officeDocument/2006/relationships/hyperlink" Target="https://onlinegamespromo.fazi.rs/Home/IntegrationGameLaunch?moneyType=0&amp;gameName=WildHot40Dice&amp;platform=desktop&amp;languageCode=eng&amp;currency=EUR" TargetMode="External"/><Relationship Id="rId1278" Type="http://schemas.openxmlformats.org/officeDocument/2006/relationships/hyperlink" Target="https://gameserver-store-client-area.orbionlimited.com/Home/IntegrationGameLaunch/client-area?moneyType=0&amp;gameName=UnicornByeBouse&amp;platform=desktop&amp;languageCode=eng&amp;currency=EUR" TargetMode="External"/><Relationship Id="rId1268" Type="http://schemas.openxmlformats.org/officeDocument/2006/relationships/hyperlink" Target="https://gameserver-store-client-area.orbionlimited.com/Home/IntegrationGameLaunch/client-area?moneyType=0&amp;gameName=UnicornSuperDiceRunner&amp;platform=desktop&amp;languageCode=eng&amp;currency=EUR" TargetMode="External"/><Relationship Id="rId1269" Type="http://schemas.openxmlformats.org/officeDocument/2006/relationships/hyperlink" Target="https://onlinegamespromo.fazi.rs/Home/IntegrationGameLaunch?moneyType=0&amp;gameName=UnicornLuckyGinger&amp;platform=desktop&amp;languageCode=eng&amp;currency=EUR" TargetMode="External"/><Relationship Id="rId437" Type="http://schemas.openxmlformats.org/officeDocument/2006/relationships/hyperlink" Target="https://docs.google.com/document/d/1-DcLI-tOHLxDhFJu89mRnLghXEFFzgNY/edit?usp=drive_link&amp;ouid=107596163405648766688&amp;rtpof=true&amp;sd=true" TargetMode="External"/><Relationship Id="rId436" Type="http://schemas.openxmlformats.org/officeDocument/2006/relationships/hyperlink" Target="https://gameserver-store-client-area.orbionlimited.com/Home/IntegrationGameLaunch/client-area?moneyType=0&amp;gameName=WinningClover5Extreme&amp;platform=desktop&amp;languageCode=eng&amp;currency=EUR" TargetMode="External"/><Relationship Id="rId435" Type="http://schemas.openxmlformats.org/officeDocument/2006/relationships/hyperlink" Target="https://onlinegamespromo.fazi.rs/Home/IntegrationGameLaunch?moneyType=0&amp;gameName=WinningClover5Extreme&amp;lobbyUrl=https://www.fazi-interactive.com/" TargetMode="External"/><Relationship Id="rId434" Type="http://schemas.openxmlformats.org/officeDocument/2006/relationships/hyperlink" Target="https://gameserver-store-client-area.orbionlimited.com/Home/IntegrationGameLaunch/client-area?moneyType=0&amp;gameName=Unicorn10JingleFruits&amp;platform=desktop&amp;languageCode=eng&amp;currency=EUR" TargetMode="External"/><Relationship Id="rId439" Type="http://schemas.openxmlformats.org/officeDocument/2006/relationships/hyperlink" Target="https://play.redstone.rs/games/clover-blast-5/index.html" TargetMode="External"/><Relationship Id="rId438" Type="http://schemas.openxmlformats.org/officeDocument/2006/relationships/hyperlink" Target="https://docs.google.com/document/d/1JRWwKCTfAAr13XFrmwOPqrlKDi2Z5V4W/edit?usp=drive_link&amp;ouid=107596163405648766688&amp;rtpof=true&amp;sd=true" TargetMode="External"/><Relationship Id="rId1260" Type="http://schemas.openxmlformats.org/officeDocument/2006/relationships/hyperlink" Target="https://docs.google.com/document/d/1Y3nrs5qSX7m9lwvMLRGFOXAuc7bRaS3m/edit?usp=drive_link&amp;ouid=107596163405648766688&amp;rtpof=true&amp;sd=true" TargetMode="External"/><Relationship Id="rId1261" Type="http://schemas.openxmlformats.org/officeDocument/2006/relationships/hyperlink" Target="https://static.redstone.rs/games/5-clover-fire-blast/" TargetMode="External"/><Relationship Id="rId1262" Type="http://schemas.openxmlformats.org/officeDocument/2006/relationships/hyperlink" Target="https://static.redstone.rs/games/5-clover-fire-blast/" TargetMode="External"/><Relationship Id="rId1263" Type="http://schemas.openxmlformats.org/officeDocument/2006/relationships/hyperlink" Target="https://onlinegamespromo.fazi.rs/Home/IntegrationGameLaunch?moneyType=0&amp;gameName=PlayNetMajesticCrownEaster&amp;platform=desktop&amp;languageCode=eng&amp;currency=EUR" TargetMode="External"/><Relationship Id="rId433" Type="http://schemas.openxmlformats.org/officeDocument/2006/relationships/hyperlink" Target="https://onlinegamespromo.fazi.rs/Home/IntegrationGameLaunch?moneyType=0&amp;gameName=Unicorn10JingleFruits&amp;platform=desktop&amp;languageCode=eng&amp;currency=EUR" TargetMode="External"/><Relationship Id="rId1264" Type="http://schemas.openxmlformats.org/officeDocument/2006/relationships/hyperlink" Target="https://gameserver-store-client-area.orbionlimited.com/Home/IntegrationGameLaunch/client-area?moneyType=0&amp;gameName=PlayNetMajesticCrownEaster&amp;platform=desktop&amp;languageCode=eng&amp;currency=EUR" TargetMode="External"/><Relationship Id="rId432" Type="http://schemas.openxmlformats.org/officeDocument/2006/relationships/hyperlink" Target="https://gameserver-store-client-area.orbionlimited.com/Home/IntegrationGameLaunch/client-area?moneyType=0&amp;gameName=TurboFire&amp;platform=desktop&amp;languageCode=eng&amp;currency=EUR" TargetMode="External"/><Relationship Id="rId1265" Type="http://schemas.openxmlformats.org/officeDocument/2006/relationships/hyperlink" Target="https://onlinegamespromo.fazi.rs/Home/IntegrationGameLaunch?moneyType=0&amp;gameName=PlayNetTropicTwist&amp;platform=desktop&amp;languageCode=eng&amp;currency=EUR" TargetMode="External"/><Relationship Id="rId431" Type="http://schemas.openxmlformats.org/officeDocument/2006/relationships/hyperlink" Target="https://onlinegamespromo.fazi.rs/Home/IntegrationGameLaunch?moneyType=0&amp;gameName=TurboFire&amp;lobbyUrl=https://www.fazi-interactive.com/" TargetMode="External"/><Relationship Id="rId1266" Type="http://schemas.openxmlformats.org/officeDocument/2006/relationships/hyperlink" Target="https://gameserver-store-client-area.orbionlimited.com/Home/IntegrationGameLaunch/client-area?moneyType=0&amp;gameName=PlayNetTropicTwist&amp;platform=desktop&amp;languageCode=eng&amp;currency=EUR" TargetMode="External"/><Relationship Id="rId430" Type="http://schemas.openxmlformats.org/officeDocument/2006/relationships/hyperlink" Target="https://gameserver-store-client-area.orbionlimited.com/Home/IntegrationGameLaunch/client-area?moneyType=0&amp;gameName=WinningClover5&amp;platform=desktop&amp;languageCode=eng&amp;currency=EUR" TargetMode="External"/><Relationship Id="rId1267" Type="http://schemas.openxmlformats.org/officeDocument/2006/relationships/hyperlink" Target="https://onlinegamespromo.fazi.rs/Home/IntegrationGameLaunch?moneyType=0&amp;gameName=UnicornSuperDiceRunner&amp;platform=desktop&amp;languageCode=eng&amp;currency=EUR"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static.redstone.rs/games/moon-dog/" TargetMode="External"/><Relationship Id="rId42" Type="http://schemas.openxmlformats.org/officeDocument/2006/relationships/hyperlink" Target="https://static.redstone.rs/games/chilli-double/" TargetMode="External"/><Relationship Id="rId41" Type="http://schemas.openxmlformats.org/officeDocument/2006/relationships/hyperlink" Target="https://play.redstone.rs/games/20-wild-crown/index.html" TargetMode="External"/><Relationship Id="rId44" Type="http://schemas.openxmlformats.org/officeDocument/2006/relationships/hyperlink" Target="https://static.redstone.rs/games/lady-triple-fortune/" TargetMode="External"/><Relationship Id="rId43" Type="http://schemas.openxmlformats.org/officeDocument/2006/relationships/hyperlink" Target="https://static.redstone.rs/games/hot-rush-crown-burst/" TargetMode="External"/><Relationship Id="rId46" Type="http://schemas.openxmlformats.org/officeDocument/2006/relationships/hyperlink" Target="https://static.redstone.rs/games/slot-royale/" TargetMode="External"/><Relationship Id="rId45" Type="http://schemas.openxmlformats.org/officeDocument/2006/relationships/hyperlink" Target="https://static.redstone.rs/games/hot-rush-stars-deluxe/" TargetMode="External"/><Relationship Id="rId48" Type="http://schemas.openxmlformats.org/officeDocument/2006/relationships/hyperlink" Target="https://static.redstone.rs/games/caps-and-crowns/" TargetMode="External"/><Relationship Id="rId47" Type="http://schemas.openxmlformats.org/officeDocument/2006/relationships/hyperlink" Target="https://static.redstone.rs/games/5-clover-fire-lnc/" TargetMode="External"/><Relationship Id="rId49" Type="http://schemas.openxmlformats.org/officeDocument/2006/relationships/hyperlink" Target="https://static.redstone.rs/games/hot-rush-both-ways/" TargetMode="External"/><Relationship Id="rId31" Type="http://schemas.openxmlformats.org/officeDocument/2006/relationships/hyperlink" Target="https://play.redstone.rs/games/fear-of-dark/index.html" TargetMode="External"/><Relationship Id="rId30" Type="http://schemas.openxmlformats.org/officeDocument/2006/relationships/hyperlink" Target="https://play.redstone.rs/games/clover-blast-5/index.html" TargetMode="External"/><Relationship Id="rId33" Type="http://schemas.openxmlformats.org/officeDocument/2006/relationships/hyperlink" Target="https://play.redstone.rs/games/40-hot-joker/index.html" TargetMode="External"/><Relationship Id="rId32" Type="http://schemas.openxmlformats.org/officeDocument/2006/relationships/hyperlink" Target="https://play.redstone.rs/games/chilli-hot-5/index.html" TargetMode="External"/><Relationship Id="rId35" Type="http://schemas.openxmlformats.org/officeDocument/2006/relationships/hyperlink" Target="https://play.redstone.rs/games/20-fruit-frenzy/index.html" TargetMode="External"/><Relationship Id="rId34" Type="http://schemas.openxmlformats.org/officeDocument/2006/relationships/hyperlink" Target="https://play.redstone.rs/games/jolly-presents/index.html" TargetMode="External"/><Relationship Id="rId37" Type="http://schemas.openxmlformats.org/officeDocument/2006/relationships/hyperlink" Target="https://play.redstone.rs/games/wild-heart-beat/index.html" TargetMode="External"/><Relationship Id="rId36" Type="http://schemas.openxmlformats.org/officeDocument/2006/relationships/hyperlink" Target="https://play.redstone.rs/games/40-fruit-frenzy/index.html" TargetMode="External"/><Relationship Id="rId39" Type="http://schemas.openxmlformats.org/officeDocument/2006/relationships/hyperlink" Target="https://play.redstone.rs/games/40-jokers-free-games/index.html" TargetMode="External"/><Relationship Id="rId38" Type="http://schemas.openxmlformats.org/officeDocument/2006/relationships/hyperlink" Target="https://play.redstone.rs/games/wild-trail/index.html" TargetMode="External"/><Relationship Id="rId20" Type="http://schemas.openxmlformats.org/officeDocument/2006/relationships/hyperlink" Target="https://static.redstone.rs/games/book-of-dread/" TargetMode="External"/><Relationship Id="rId22" Type="http://schemas.openxmlformats.org/officeDocument/2006/relationships/hyperlink" Target="https://static.redstone.rs/games/5-crown-fire/" TargetMode="External"/><Relationship Id="rId21" Type="http://schemas.openxmlformats.org/officeDocument/2006/relationships/hyperlink" Target="https://static.redstone.rs/games/10-wild-pumpkin/" TargetMode="External"/><Relationship Id="rId24" Type="http://schemas.openxmlformats.org/officeDocument/2006/relationships/hyperlink" Target="https://static.redstone.rs/games/20-fire-cash/" TargetMode="External"/><Relationship Id="rId23" Type="http://schemas.openxmlformats.org/officeDocument/2006/relationships/hyperlink" Target="https://static.redstone.rs/games/10-wild-santa/" TargetMode="External"/><Relationship Id="rId26" Type="http://schemas.openxmlformats.org/officeDocument/2006/relationships/hyperlink" Target="https://static.redstone.rs/games/super-lucky/" TargetMode="External"/><Relationship Id="rId25" Type="http://schemas.openxmlformats.org/officeDocument/2006/relationships/hyperlink" Target="https://static.redstone.rs/games/40-fire-cash/" TargetMode="External"/><Relationship Id="rId28" Type="http://schemas.openxmlformats.org/officeDocument/2006/relationships/hyperlink" Target="https://static.redstone.rs/games/blazing-heat/" TargetMode="External"/><Relationship Id="rId27" Type="http://schemas.openxmlformats.org/officeDocument/2006/relationships/hyperlink" Target="https://static.redstone.rs/games/heat-double/" TargetMode="External"/><Relationship Id="rId29" Type="http://schemas.openxmlformats.org/officeDocument/2006/relationships/hyperlink" Target="https://static.redstone.rs/games/hot-hot/" TargetMode="External"/><Relationship Id="rId11" Type="http://schemas.openxmlformats.org/officeDocument/2006/relationships/hyperlink" Target="https://static.redstone.rs/games/action-hot-40/" TargetMode="External"/><Relationship Id="rId10" Type="http://schemas.openxmlformats.org/officeDocument/2006/relationships/hyperlink" Target="https://static.redstone.rs/games/40-dice-fire/" TargetMode="External"/><Relationship Id="rId13" Type="http://schemas.openxmlformats.org/officeDocument/2006/relationships/hyperlink" Target="https://static.redstone.rs/games/40-cash-bells/" TargetMode="External"/><Relationship Id="rId12" Type="http://schemas.openxmlformats.org/officeDocument/2006/relationships/hyperlink" Target="https://static.redstone.rs/games/action-hot-20/" TargetMode="External"/><Relationship Id="rId15" Type="http://schemas.openxmlformats.org/officeDocument/2006/relationships/hyperlink" Target="https://static.redstone.rs/games/5-wild-heart/" TargetMode="External"/><Relationship Id="rId14" Type="http://schemas.openxmlformats.org/officeDocument/2006/relationships/hyperlink" Target="https://static.redstone.rs/games/10-wild-diamond/" TargetMode="External"/><Relationship Id="rId17" Type="http://schemas.openxmlformats.org/officeDocument/2006/relationships/hyperlink" Target="https://static.redstone.rs/games/book-of-ibis/" TargetMode="External"/><Relationship Id="rId16" Type="http://schemas.openxmlformats.org/officeDocument/2006/relationships/hyperlink" Target="https://static.redstone.rs/games/10-wild-dice/" TargetMode="External"/><Relationship Id="rId19" Type="http://schemas.openxmlformats.org/officeDocument/2006/relationships/hyperlink" Target="https://static.redstone.rs/games/heat-classic-5/" TargetMode="External"/><Relationship Id="rId18" Type="http://schemas.openxmlformats.org/officeDocument/2006/relationships/hyperlink" Target="https://static.redstone.rs/games/clover-coin/" TargetMode="External"/><Relationship Id="rId84" Type="http://schemas.openxmlformats.org/officeDocument/2006/relationships/hyperlink" Target="https://static.redstone.rs/games/multi-crown-10/" TargetMode="External"/><Relationship Id="rId83" Type="http://schemas.openxmlformats.org/officeDocument/2006/relationships/hyperlink" Target="https://static.redstone.rs/games/clover-drop/" TargetMode="External"/><Relationship Id="rId86" Type="http://schemas.openxmlformats.org/officeDocument/2006/relationships/hyperlink" Target="https://static.redstone.rs/games/double-wild-crown/" TargetMode="External"/><Relationship Id="rId85" Type="http://schemas.openxmlformats.org/officeDocument/2006/relationships/hyperlink" Target="https://static.redstone.rs/games/777-expand/" TargetMode="External"/><Relationship Id="rId88" Type="http://schemas.openxmlformats.org/officeDocument/2006/relationships/hyperlink" Target="https://static.redstone.rs/games/40-wild-crown/" TargetMode="External"/><Relationship Id="rId87" Type="http://schemas.openxmlformats.org/officeDocument/2006/relationships/hyperlink" Target="https://static.redstone.rs/games/double-wild-crown/" TargetMode="External"/><Relationship Id="rId89" Type="http://schemas.openxmlformats.org/officeDocument/2006/relationships/hyperlink" Target="https://static.redstone.rs/games/double-crown-5/" TargetMode="External"/><Relationship Id="rId80" Type="http://schemas.openxmlformats.org/officeDocument/2006/relationships/hyperlink" Target="https://static.redstone.rs/games/40-joker-fire/" TargetMode="External"/><Relationship Id="rId82" Type="http://schemas.openxmlformats.org/officeDocument/2006/relationships/hyperlink" Target="https://static.redstone.rs/games/5-star-fire/" TargetMode="External"/><Relationship Id="rId81" Type="http://schemas.openxmlformats.org/officeDocument/2006/relationships/hyperlink" Target="https://static.redstone.rs/games/bonus-stars/" TargetMode="External"/><Relationship Id="rId1" Type="http://schemas.openxmlformats.org/officeDocument/2006/relationships/hyperlink" Target="https://static.redstone.rs/games/40-wild-clover/" TargetMode="External"/><Relationship Id="rId2" Type="http://schemas.openxmlformats.org/officeDocument/2006/relationships/hyperlink" Target="https://static.redstone.rs/games/mayan-coins/" TargetMode="External"/><Relationship Id="rId3" Type="http://schemas.openxmlformats.org/officeDocument/2006/relationships/hyperlink" Target="https://onlinegamespromo.fazi.rs/Home/IntegrationGameLaunch?moneyType=0&amp;gameName=FireClover5&amp;platform=desktop&amp;languageCode=eng&amp;currency=EUR" TargetMode="External"/><Relationship Id="rId4" Type="http://schemas.openxmlformats.org/officeDocument/2006/relationships/hyperlink" Target="https://static.redstone.rs/games/10-wild-crown/" TargetMode="External"/><Relationship Id="rId9" Type="http://schemas.openxmlformats.org/officeDocument/2006/relationships/hyperlink" Target="https://static.redstone.rs/games/lost-book/" TargetMode="External"/><Relationship Id="rId142" Type="http://schemas.openxmlformats.org/officeDocument/2006/relationships/drawing" Target="../drawings/drawing2.xml"/><Relationship Id="rId141" Type="http://schemas.openxmlformats.org/officeDocument/2006/relationships/hyperlink" Target="https://onlinegamespromo.fazi.rs/Home/IntegrationGameLaunch?moneyType=0&amp;gameName=RedstoneWildCrown1000&amp;platform=desktop&amp;languageCode=eng&amp;currency=EUR" TargetMode="External"/><Relationship Id="rId140" Type="http://schemas.openxmlformats.org/officeDocument/2006/relationships/hyperlink" Target="https://onlinegamespromo.fazi.rs/Home/IntegrationGameLaunch?moneyType=0&amp;gameName=RedstoneWildHeart1000&amp;platform=desktop&amp;languageCode=eng&amp;currency=EUR" TargetMode="External"/><Relationship Id="rId5" Type="http://schemas.openxmlformats.org/officeDocument/2006/relationships/hyperlink" Target="https://static.redstone.rs/games/40-wild-dice/" TargetMode="External"/><Relationship Id="rId6" Type="http://schemas.openxmlformats.org/officeDocument/2006/relationships/hyperlink" Target="https://static.redstone.rs/games/5-dice-fire/" TargetMode="External"/><Relationship Id="rId7" Type="http://schemas.openxmlformats.org/officeDocument/2006/relationships/hyperlink" Target="https://static.redstone.rs/games/40-clover-fire/" TargetMode="External"/><Relationship Id="rId8" Type="http://schemas.openxmlformats.org/officeDocument/2006/relationships/hyperlink" Target="https://static.redstone.rs/games/50-wild-cash/" TargetMode="External"/><Relationship Id="rId73" Type="http://schemas.openxmlformats.org/officeDocument/2006/relationships/hyperlink" Target="https://static.redstone.rs/games/reel-x5/" TargetMode="External"/><Relationship Id="rId72" Type="http://schemas.openxmlformats.org/officeDocument/2006/relationships/hyperlink" Target="https://static.redstone.rs/games/multi-clover-10/" TargetMode="External"/><Relationship Id="rId75" Type="http://schemas.openxmlformats.org/officeDocument/2006/relationships/hyperlink" Target="https://static.redstone.rs/games/sweet-respins/" TargetMode="External"/><Relationship Id="rId74" Type="http://schemas.openxmlformats.org/officeDocument/2006/relationships/hyperlink" Target="https://static.redstone.rs/games/farm-fiesta/" TargetMode="External"/><Relationship Id="rId77" Type="http://schemas.openxmlformats.org/officeDocument/2006/relationships/hyperlink" Target="https://static.redstone.rs/games/hot-rush-triple-star/" TargetMode="External"/><Relationship Id="rId76" Type="http://schemas.openxmlformats.org/officeDocument/2006/relationships/hyperlink" Target="https://static.redstone.rs/games/sticky-tiki/" TargetMode="External"/><Relationship Id="rId79" Type="http://schemas.openxmlformats.org/officeDocument/2006/relationships/hyperlink" Target="https://static.redstone.rs/games/10-wild-heart/" TargetMode="External"/><Relationship Id="rId78" Type="http://schemas.openxmlformats.org/officeDocument/2006/relationships/hyperlink" Target="https://static.redstone.rs/games/hot-rush-fruit-lines/" TargetMode="External"/><Relationship Id="rId71" Type="http://schemas.openxmlformats.org/officeDocument/2006/relationships/hyperlink" Target="https://static.redstone.rs/games/star-chaser/" TargetMode="External"/><Relationship Id="rId70" Type="http://schemas.openxmlformats.org/officeDocument/2006/relationships/hyperlink" Target="https://static.redstone.rs/games/eternal-hearts-10/" TargetMode="External"/><Relationship Id="rId139" Type="http://schemas.openxmlformats.org/officeDocument/2006/relationships/hyperlink" Target="https://onlinegamespromo.fazi.rs/Home/IntegrationGameLaunch?moneyType=0&amp;gameName=RedstoneCloverFire1000&amp;platform=desktop&amp;languageCode=eng&amp;currency=EUR" TargetMode="External"/><Relationship Id="rId138" Type="http://schemas.openxmlformats.org/officeDocument/2006/relationships/hyperlink" Target="https://static.redstone.rs/games/lucky-lucky-bells/" TargetMode="External"/><Relationship Id="rId137" Type="http://schemas.openxmlformats.org/officeDocument/2006/relationships/hyperlink" Target="https://static.redstone.rs/games/multi-heart-10/" TargetMode="External"/><Relationship Id="rId132" Type="http://schemas.openxmlformats.org/officeDocument/2006/relationships/hyperlink" Target="https://static.redstone.rs/games/x-chilli-hot/" TargetMode="External"/><Relationship Id="rId131" Type="http://schemas.openxmlformats.org/officeDocument/2006/relationships/hyperlink" Target="https://static.redstone.rs/games/crown-deluxe-2x/" TargetMode="External"/><Relationship Id="rId130" Type="http://schemas.openxmlformats.org/officeDocument/2006/relationships/hyperlink" Target="https://static.redstone.rs/games/5-crown-deluxe/" TargetMode="External"/><Relationship Id="rId136" Type="http://schemas.openxmlformats.org/officeDocument/2006/relationships/hyperlink" Target="https://static.redstone.rs/games/10-heart-deluxe/" TargetMode="External"/><Relationship Id="rId135" Type="http://schemas.openxmlformats.org/officeDocument/2006/relationships/hyperlink" Target="https://static.redstone.rs/games/10-crown-deluxe/" TargetMode="External"/><Relationship Id="rId134" Type="http://schemas.openxmlformats.org/officeDocument/2006/relationships/hyperlink" Target="https://static.redstone.rs/games/10-clover-deluxe/" TargetMode="External"/><Relationship Id="rId133" Type="http://schemas.openxmlformats.org/officeDocument/2006/relationships/hyperlink" Target="https://static.redstone.rs/games/x-crown-fire/" TargetMode="External"/><Relationship Id="rId62" Type="http://schemas.openxmlformats.org/officeDocument/2006/relationships/hyperlink" Target="https://static.redstone.rs/games/juicy-heat-20/" TargetMode="External"/><Relationship Id="rId61" Type="http://schemas.openxmlformats.org/officeDocument/2006/relationships/hyperlink" Target="https://static.redstone.rs/games/27-double-fruits/" TargetMode="External"/><Relationship Id="rId64" Type="http://schemas.openxmlformats.org/officeDocument/2006/relationships/hyperlink" Target="https://static.redstone.rs/games/funky-fruits/" TargetMode="External"/><Relationship Id="rId63" Type="http://schemas.openxmlformats.org/officeDocument/2006/relationships/hyperlink" Target="https://static.redstone.rs/games/christmas-delight/" TargetMode="External"/><Relationship Id="rId66" Type="http://schemas.openxmlformats.org/officeDocument/2006/relationships/hyperlink" Target="https://static.redstone.rs/games/volcano-hot/" TargetMode="External"/><Relationship Id="rId65" Type="http://schemas.openxmlformats.org/officeDocument/2006/relationships/hyperlink" Target="https://static.redstone.rs/games/dice-double/" TargetMode="External"/><Relationship Id="rId68" Type="http://schemas.openxmlformats.org/officeDocument/2006/relationships/hyperlink" Target="https://static.redstone.rs/games/cosmic-sevens/" TargetMode="External"/><Relationship Id="rId67" Type="http://schemas.openxmlformats.org/officeDocument/2006/relationships/hyperlink" Target="https://static.redstone.rs/games/10-clover-fire/" TargetMode="External"/><Relationship Id="rId60" Type="http://schemas.openxmlformats.org/officeDocument/2006/relationships/hyperlink" Target="https://static.redstone.rs/games/only-anime/" TargetMode="External"/><Relationship Id="rId69" Type="http://schemas.openxmlformats.org/officeDocument/2006/relationships/hyperlink" Target="https://static.redstone.rs/games/clover-royale/" TargetMode="External"/><Relationship Id="rId51" Type="http://schemas.openxmlformats.org/officeDocument/2006/relationships/hyperlink" Target="https://static.redstone.rs/games/spin-up/" TargetMode="External"/><Relationship Id="rId50" Type="http://schemas.openxmlformats.org/officeDocument/2006/relationships/hyperlink" Target="https://static.redstone.rs/games/book-of-scorpio/" TargetMode="External"/><Relationship Id="rId53" Type="http://schemas.openxmlformats.org/officeDocument/2006/relationships/hyperlink" Target="https://static.redstone.rs/games/apollo-27-classic/" TargetMode="External"/><Relationship Id="rId52" Type="http://schemas.openxmlformats.org/officeDocument/2006/relationships/hyperlink" Target="https://static.redstone.rs/games/81-vegas-crown/" TargetMode="External"/><Relationship Id="rId55" Type="http://schemas.openxmlformats.org/officeDocument/2006/relationships/hyperlink" Target="https://static.redstone.rs/games/100-clover-fire/" TargetMode="External"/><Relationship Id="rId54" Type="http://schemas.openxmlformats.org/officeDocument/2006/relationships/hyperlink" Target="https://static.redstone.rs/games/double-clover-fire/" TargetMode="External"/><Relationship Id="rId57" Type="http://schemas.openxmlformats.org/officeDocument/2006/relationships/hyperlink" Target="https://static.redstone.rs/games/spooky-spins/" TargetMode="External"/><Relationship Id="rId56" Type="http://schemas.openxmlformats.org/officeDocument/2006/relationships/hyperlink" Target="https://static.redstone.rs/games/volcano-crown/" TargetMode="External"/><Relationship Id="rId59" Type="http://schemas.openxmlformats.org/officeDocument/2006/relationships/hyperlink" Target="https://static.redstone.rs/games/81-double-magic/" TargetMode="External"/><Relationship Id="rId58" Type="http://schemas.openxmlformats.org/officeDocument/2006/relationships/hyperlink" Target="https://static.redstone.rs/games/5-wild-fire/" TargetMode="External"/><Relationship Id="rId107" Type="http://schemas.openxmlformats.org/officeDocument/2006/relationships/hyperlink" Target="https://static.redstone.rs/games/9-of-a-kind/" TargetMode="External"/><Relationship Id="rId106" Type="http://schemas.openxmlformats.org/officeDocument/2006/relationships/hyperlink" Target="https://static.redstone.rs/games/respin-gems/" TargetMode="External"/><Relationship Id="rId105" Type="http://schemas.openxmlformats.org/officeDocument/2006/relationships/hyperlink" Target="https://static.redstone.rs/games/chilli-double-40/" TargetMode="External"/><Relationship Id="rId104" Type="http://schemas.openxmlformats.org/officeDocument/2006/relationships/hyperlink" Target="https://static.redstone.rs/games/crown-blast-40/" TargetMode="External"/><Relationship Id="rId109" Type="http://schemas.openxmlformats.org/officeDocument/2006/relationships/hyperlink" Target="https://static.redstone.rs/games/inferno-hot-40/" TargetMode="External"/><Relationship Id="rId108" Type="http://schemas.openxmlformats.org/officeDocument/2006/relationships/hyperlink" Target="https://static.redstone.rs/games/5-wild-diamond/" TargetMode="External"/><Relationship Id="rId103" Type="http://schemas.openxmlformats.org/officeDocument/2006/relationships/hyperlink" Target="https://static.redstone.rs/games/inferno-hot-20/" TargetMode="External"/><Relationship Id="rId102" Type="http://schemas.openxmlformats.org/officeDocument/2006/relationships/hyperlink" Target="https://static.redstone.rs/games/chilli-hot-40/" TargetMode="External"/><Relationship Id="rId101" Type="http://schemas.openxmlformats.org/officeDocument/2006/relationships/hyperlink" Target="https://static.redstone.rs/games/multi-heart-5/" TargetMode="External"/><Relationship Id="rId100" Type="http://schemas.openxmlformats.org/officeDocument/2006/relationships/hyperlink" Target="https://static.redstone.rs/games/clover-field-40/" TargetMode="External"/><Relationship Id="rId129" Type="http://schemas.openxmlformats.org/officeDocument/2006/relationships/hyperlink" Target="https://static.redstone.rs/games/x-wild-heart/" TargetMode="External"/><Relationship Id="rId128" Type="http://schemas.openxmlformats.org/officeDocument/2006/relationships/hyperlink" Target="https://static.redstone.rs/games/cosmic-fruits/" TargetMode="External"/><Relationship Id="rId127" Type="http://schemas.openxmlformats.org/officeDocument/2006/relationships/hyperlink" Target="https://static.redstone.rs/games/heart-deluxe-2x/" TargetMode="External"/><Relationship Id="rId126" Type="http://schemas.openxmlformats.org/officeDocument/2006/relationships/hyperlink" Target="https://static.redstone.rs/games/5-clover-deluxe/" TargetMode="External"/><Relationship Id="rId121" Type="http://schemas.openxmlformats.org/officeDocument/2006/relationships/hyperlink" Target="https://static.redstone.rs/games/x-clover-fire/" TargetMode="External"/><Relationship Id="rId120" Type="http://schemas.openxmlformats.org/officeDocument/2006/relationships/hyperlink" Target="https://static.redstone.rs/games/fruit-fire/" TargetMode="External"/><Relationship Id="rId125" Type="http://schemas.openxmlformats.org/officeDocument/2006/relationships/hyperlink" Target="https://static.redstone.rs/games/x-wild-crown/" TargetMode="External"/><Relationship Id="rId124" Type="http://schemas.openxmlformats.org/officeDocument/2006/relationships/hyperlink" Target="https://static.redstone.rs/games/pure-hot-5/" TargetMode="External"/><Relationship Id="rId123" Type="http://schemas.openxmlformats.org/officeDocument/2006/relationships/hyperlink" Target="https://static.redstone.rs/games/heart-deluxe-2x/" TargetMode="External"/><Relationship Id="rId122" Type="http://schemas.openxmlformats.org/officeDocument/2006/relationships/hyperlink" Target="https://static.redstone.rs/games/5-heart-deluxe/" TargetMode="External"/><Relationship Id="rId95" Type="http://schemas.openxmlformats.org/officeDocument/2006/relationships/hyperlink" Target="https://static.redstone.rs/games/sevens-heaven/" TargetMode="External"/><Relationship Id="rId94" Type="http://schemas.openxmlformats.org/officeDocument/2006/relationships/hyperlink" Target="https://static.redstone.rs/games/10-extra-bank/" TargetMode="External"/><Relationship Id="rId97" Type="http://schemas.openxmlformats.org/officeDocument/2006/relationships/hyperlink" Target="https://static.redstone.rs/games/divine-strike/" TargetMode="External"/><Relationship Id="rId96" Type="http://schemas.openxmlformats.org/officeDocument/2006/relationships/hyperlink" Target="https://static.redstone.rs/games/777-extra-chance/" TargetMode="External"/><Relationship Id="rId99" Type="http://schemas.openxmlformats.org/officeDocument/2006/relationships/hyperlink" Target="https://static.redstone.rs/games/5-clover-fire-halloween/" TargetMode="External"/><Relationship Id="rId98" Type="http://schemas.openxmlformats.org/officeDocument/2006/relationships/hyperlink" Target="https://static.redstone.rs/games/10-wild-crown-halloween/" TargetMode="External"/><Relationship Id="rId91" Type="http://schemas.openxmlformats.org/officeDocument/2006/relationships/hyperlink" Target="https://static.redstone.rs/games/reel-x5-27-ways/" TargetMode="External"/><Relationship Id="rId90" Type="http://schemas.openxmlformats.org/officeDocument/2006/relationships/hyperlink" Target="https://static.redstone.rs/games/heart-royale/" TargetMode="External"/><Relationship Id="rId93" Type="http://schemas.openxmlformats.org/officeDocument/2006/relationships/hyperlink" Target="https://static.redstone.rs/games/5-clover-fire-6-reels/" TargetMode="External"/><Relationship Id="rId92" Type="http://schemas.openxmlformats.org/officeDocument/2006/relationships/hyperlink" Target="https://static.redstone.rs/games/crown-drop/" TargetMode="External"/><Relationship Id="rId118" Type="http://schemas.openxmlformats.org/officeDocument/2006/relationships/hyperlink" Target="https://static.redstone.rs/games/dice-drop-10/" TargetMode="External"/><Relationship Id="rId117" Type="http://schemas.openxmlformats.org/officeDocument/2006/relationships/hyperlink" Target="https://static.redstone.rs/games/5-bell-fire/" TargetMode="External"/><Relationship Id="rId116" Type="http://schemas.openxmlformats.org/officeDocument/2006/relationships/hyperlink" Target="https://static.redstone.rs/games/clover-rush-5/" TargetMode="External"/><Relationship Id="rId115" Type="http://schemas.openxmlformats.org/officeDocument/2006/relationships/hyperlink" Target="https://static.redstone.rs/games/joker-x5/" TargetMode="External"/><Relationship Id="rId119" Type="http://schemas.openxmlformats.org/officeDocument/2006/relationships/hyperlink" Target="https://static.redstone.rs/games/5-clover-fire-blast/" TargetMode="External"/><Relationship Id="rId110" Type="http://schemas.openxmlformats.org/officeDocument/2006/relationships/hyperlink" Target="https://static.redstone.rs/games/rolling-hearts-10/" TargetMode="External"/><Relationship Id="rId114" Type="http://schemas.openxmlformats.org/officeDocument/2006/relationships/hyperlink" Target="https://static.redstone.rs/games/multi-clover-5/" TargetMode="External"/><Relationship Id="rId113" Type="http://schemas.openxmlformats.org/officeDocument/2006/relationships/hyperlink" Target="https://static.redstone.rs/games/respin-fortune/" TargetMode="External"/><Relationship Id="rId112" Type="http://schemas.openxmlformats.org/officeDocument/2006/relationships/hyperlink" Target="https://static.redstone.rs/games/double-wild-diamond/" TargetMode="External"/><Relationship Id="rId111" Type="http://schemas.openxmlformats.org/officeDocument/2006/relationships/hyperlink" Target="https://static.redstone.rs/games/cupids-wild-hearts/" TargetMode="External"/></Relationships>
</file>

<file path=xl/worksheets/_rels/sheet3.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PlayNetMajesticCrownEaster&amp;platform=desktop&amp;languageCode=eng&amp;currency=EUR" TargetMode="External"/><Relationship Id="rId42" Type="http://schemas.openxmlformats.org/officeDocument/2006/relationships/hyperlink" Target="https://onlinegamespromo.fazi.rs/Home/IntegrationGameLaunch?moneyType=0&amp;gameName=PlayNetRoyalFlame40&amp;platform=desktop&amp;languageCode=eng&amp;currency=EUR" TargetMode="External"/><Relationship Id="rId41" Type="http://schemas.openxmlformats.org/officeDocument/2006/relationships/hyperlink" Target="https://onlinegamespromo.fazi.rs/Home/IntegrationGameLaunch?moneyType=0&amp;gameName=PlayNetTropicTwist&amp;platform=desktop&amp;languageCode=eng&amp;currency=EUR" TargetMode="External"/><Relationship Id="rId44" Type="http://schemas.openxmlformats.org/officeDocument/2006/relationships/hyperlink" Target="https://onlinegamespromo.fazi.rs/Home/IntegrationGameLaunch?moneyType=0&amp;gameName=PlayNet27LuckyFruits&amp;platform=desktop&amp;languageCode=eng&amp;currency=EUR" TargetMode="External"/><Relationship Id="rId43" Type="http://schemas.openxmlformats.org/officeDocument/2006/relationships/hyperlink" Target="https://onlinegamespromo.fazi.rs/Home/IntegrationGameLaunch?moneyType=0&amp;gameName=PlayNetFruitJackPotx10000&amp;platform=desktop&amp;languageCode=eng&amp;currency=EUR" TargetMode="External"/><Relationship Id="rId46" Type="http://schemas.openxmlformats.org/officeDocument/2006/relationships/hyperlink" Target="https://onlinegamespromo.fazi.rs/Home/IntegrationGameLaunch?moneyType=0&amp;gameName=PlayNetDiamondHeart20&amp;platform=desktop&amp;languageCode=eng&amp;currency=EUR" TargetMode="External"/><Relationship Id="rId45" Type="http://schemas.openxmlformats.org/officeDocument/2006/relationships/hyperlink" Target="https://onlinegamespromo.fazi.rs/Home/IntegrationGameLaunch?moneyType=0&amp;gameName=PlayNetShadowHunt10&amp;platform=desktop&amp;languageCode=eng&amp;currency=EUR" TargetMode="External"/><Relationship Id="rId48" Type="http://schemas.openxmlformats.org/officeDocument/2006/relationships/hyperlink" Target="https://onlinegamespromo.fazi.rs/Home/IntegrationGameLaunch?moneyType=0&amp;gameName=PlayNetDashingHot40&amp;platform=desktop&amp;languageCode=eng&amp;currency=EUR" TargetMode="External"/><Relationship Id="rId47" Type="http://schemas.openxmlformats.org/officeDocument/2006/relationships/hyperlink" Target="https://onlinegamespromo.fazi.rs/Home/IntegrationGameLaunch?moneyType=0&amp;gameName=PlayNetBitQueen&amp;platform=desktop&amp;languageCode=eng&amp;currency=EUR" TargetMode="External"/><Relationship Id="rId49" Type="http://schemas.openxmlformats.org/officeDocument/2006/relationships/hyperlink" Target="https://onlinegamespromo.fazi.rs/Home/IntegrationGameLaunch?moneyType=0&amp;gameName=PlayNetDarkTemptress100&amp;platform=desktop&amp;languageCode=eng&amp;currency=EUR" TargetMode="External"/><Relationship Id="rId31" Type="http://schemas.openxmlformats.org/officeDocument/2006/relationships/hyperlink" Target="https://gameserver-store-msstg.fazi.rs/Home/IntegrationGameLaunch/fazi-stg16?moneyType=0&amp;gameName=NovaPixelWheelOfJoker&amp;platform=desktop&amp;languageCode=eng&amp;currency=EUR" TargetMode="External"/><Relationship Id="rId30" Type="http://schemas.openxmlformats.org/officeDocument/2006/relationships/hyperlink" Target="https://onlinegamespromo.fazi.rs/Home/IntegrationGameLaunch?moneyType=0&amp;gameName=PlayNetDarkTemptress&amp;platform=desktop&amp;languageCode=eng&amp;currency=EUR" TargetMode="External"/><Relationship Id="rId33" Type="http://schemas.openxmlformats.org/officeDocument/2006/relationships/hyperlink" Target="https://onlinegamespromo.fazi.rs/Home/IntegrationGameLaunch?moneyType=0&amp;gameName=PlayNetMajesticCrown40&amp;platform=desktop&amp;languageCode=eng&amp;currency=EUR" TargetMode="External"/><Relationship Id="rId32" Type="http://schemas.openxmlformats.org/officeDocument/2006/relationships/hyperlink" Target="https://onlinegamespromo.fazi.rs/Home/IntegrationGameLaunch?moneyType=0&amp;gameName=PlayNetBrewmastersBank&amp;platform=desktop&amp;languageCode=eng&amp;currency=EUR" TargetMode="External"/><Relationship Id="rId35" Type="http://schemas.openxmlformats.org/officeDocument/2006/relationships/hyperlink" Target="https://onlinegamespromo.fazi.rs/Home/IntegrationGameLaunch?moneyType=0&amp;gameName=PlayNet81MagicStars&amp;platform=desktop&amp;languageCode=eng&amp;currency=EUR" TargetMode="External"/><Relationship Id="rId34" Type="http://schemas.openxmlformats.org/officeDocument/2006/relationships/hyperlink" Target="https://onlinegamespromo.fazi.rs/Home/IntegrationGameLaunch?moneyType=0&amp;gameName=PlayNetNeptunesJewels&amp;platform=desktop&amp;languageCode=eng&amp;currency=EUR" TargetMode="External"/><Relationship Id="rId37" Type="http://schemas.openxmlformats.org/officeDocument/2006/relationships/hyperlink" Target="https://onlinegamespromo.fazi.rs/Home/IntegrationGameLaunch?moneyType=0&amp;gameName=PlayNetDiamondHeart10&amp;platform=desktop&amp;languageCode=eng&amp;currency=EUR" TargetMode="External"/><Relationship Id="rId36" Type="http://schemas.openxmlformats.org/officeDocument/2006/relationships/hyperlink" Target="https://onlinegamespromo.fazi.rs/Home/IntegrationGameLaunch?moneyType=0&amp;gameName=PlayNetElfAndRoll&amp;platform=desktop&amp;languageCode=eng&amp;currency=EUR" TargetMode="External"/><Relationship Id="rId39" Type="http://schemas.openxmlformats.org/officeDocument/2006/relationships/hyperlink" Target="https://onlinegamespromo.fazi.rs/Home/IntegrationGameLaunch?moneyType=0&amp;gameName=PlayNetEmpressOfFlame&amp;platform=desktop&amp;languageCode=eng&amp;currency=EUR" TargetMode="External"/><Relationship Id="rId38" Type="http://schemas.openxmlformats.org/officeDocument/2006/relationships/hyperlink" Target="https://onlinegamespromo.fazi.rs/Home/IntegrationGameLaunch?moneyType=0&amp;gameName=PlayNetLeprechaunsFortuneClover&amp;platform=desktop&amp;languageCode=eng&amp;currency=EUR" TargetMode="External"/><Relationship Id="rId20" Type="http://schemas.openxmlformats.org/officeDocument/2006/relationships/hyperlink" Target="https://onlinegamespromo.fazi.rs/Home/IntegrationGameLaunch?moneyType=0&amp;gameName=PlayNetCloverSpread40&amp;platform=desktop&amp;languageCode=eng&amp;currency=EUR" TargetMode="External"/><Relationship Id="rId22" Type="http://schemas.openxmlformats.org/officeDocument/2006/relationships/hyperlink" Target="https://onlinegamespromo.fazi.rs/Home/IntegrationGameLaunch?moneyType=0&amp;gameName=PlayNetBitSlot&amp;platform=desktop&amp;languageCode=eng&amp;currency=EUR" TargetMode="External"/><Relationship Id="rId21" Type="http://schemas.openxmlformats.org/officeDocument/2006/relationships/hyperlink" Target="https://onlinegamespromo.fazi.rs/Home/IntegrationGameLaunch?moneyType=0&amp;gameName=PlayNetMajesticCrownX2&amp;platform=desktop&amp;languageCode=eng&amp;currency=EUR" TargetMode="External"/><Relationship Id="rId24" Type="http://schemas.openxmlformats.org/officeDocument/2006/relationships/hyperlink" Target="https://onlinegamespromo.fazi.rs/Home/IntegrationGameLaunch?moneyType=0&amp;gameName=PlayNetMajesticCrown100&amp;platform=desktop&amp;languageCode=eng&amp;currency=EUR" TargetMode="External"/><Relationship Id="rId23" Type="http://schemas.openxmlformats.org/officeDocument/2006/relationships/hyperlink" Target="https://onlinegamespromo.fazi.rs/Home/IntegrationGameLaunch?moneyType=0&amp;gameName=PlayNetFortuneClover10&amp;platform=desktop&amp;languageCode=eng&amp;currency=EUR" TargetMode="External"/><Relationship Id="rId26" Type="http://schemas.openxmlformats.org/officeDocument/2006/relationships/hyperlink" Target="https://onlinegamespromo.fazi.rs/Home/IntegrationGameLaunch?moneyType=0&amp;gameName=PlayNetMajesticCrown5&amp;platform=desktop&amp;languageCode=eng&amp;currency=EUR" TargetMode="External"/><Relationship Id="rId25" Type="http://schemas.openxmlformats.org/officeDocument/2006/relationships/hyperlink" Target="https://onlinegamespromo.fazi.rs/Home/IntegrationGameLaunch?moneyType=0&amp;gameName=PlayNetFortuneClover20&amp;platform=desktop&amp;languageCode=eng&amp;currency=EUR" TargetMode="External"/><Relationship Id="rId28" Type="http://schemas.openxmlformats.org/officeDocument/2006/relationships/hyperlink" Target="https://onlinegamespromo.fazi.rs/Home/IntegrationGameLaunch?moneyType=0&amp;gameName=PlayNetGoldenGetsby&amp;platform=desktop&amp;languageCode=eng&amp;currency=EUR" TargetMode="External"/><Relationship Id="rId27" Type="http://schemas.openxmlformats.org/officeDocument/2006/relationships/hyperlink" Target="https://onlinegamespromo.fazi.rs/Home/IntegrationGameLaunch?moneyType=0&amp;gameName=PlayNetDiamondHeart100&amp;platform=desktop&amp;languageCode=eng&amp;currency=EUR" TargetMode="External"/><Relationship Id="rId29" Type="http://schemas.openxmlformats.org/officeDocument/2006/relationships/hyperlink" Target="https://onlinegamespromo.fazi.rs/Home/IntegrationGameLaunch?moneyType=0&amp;gameName=PlayNetDashingHot20&amp;platform=desktop&amp;languageCode=eng&amp;currency=EUR" TargetMode="External"/><Relationship Id="rId11" Type="http://schemas.openxmlformats.org/officeDocument/2006/relationships/hyperlink" Target="https://onlinegamespromo.fazi.rs/Home/IntegrationGameLaunch?moneyType=0&amp;gameName=PlayNet27WildStacksXmas&amp;platform=desktop&amp;languageCode=eng&amp;currency=EUR" TargetMode="External"/><Relationship Id="rId10" Type="http://schemas.openxmlformats.org/officeDocument/2006/relationships/hyperlink" Target="https://onlinegamespromo.fazi.rs/Home/IntegrationGameLaunch?moneyType=0&amp;gameName=PlayNetBookOfAmun&amp;platform=desktop&amp;languageCode=eng&amp;currency=EUR" TargetMode="External"/><Relationship Id="rId13" Type="http://schemas.openxmlformats.org/officeDocument/2006/relationships/hyperlink" Target="https://onlinegamespromo.fazi.rs/Home/IntegrationGameLaunch?moneyType=0&amp;gameName=PlayNetWildFortiesXmas&amp;platform=desktop&amp;languageCode=eng&amp;currency=EUR" TargetMode="External"/><Relationship Id="rId12" Type="http://schemas.openxmlformats.org/officeDocument/2006/relationships/hyperlink" Target="https://onlinegamespromo.fazi.rs/Home/IntegrationGameLaunch?moneyType=0&amp;gameName=PlayNetMajesticCrown20Xmas&amp;platform=desktop&amp;languageCode=eng&amp;currency=EUR" TargetMode="External"/><Relationship Id="rId15" Type="http://schemas.openxmlformats.org/officeDocument/2006/relationships/hyperlink" Target="https://onlinegamespromo.fazi.rs/Home/IntegrationGameLaunch?moneyType=0&amp;gameName=PlayNetDiamondHeartX2&amp;platform=desktop&amp;languageCode=eng&amp;currency=EUR" TargetMode="External"/><Relationship Id="rId14" Type="http://schemas.openxmlformats.org/officeDocument/2006/relationships/hyperlink" Target="https://onlinegamespromo.fazi.rs/Home/IntegrationGameLaunch?moneyType=0&amp;gameName=PlayNetFortuneCloverX2&amp;platform=desktop&amp;languageCode=eng&amp;currency=EUR" TargetMode="External"/><Relationship Id="rId17" Type="http://schemas.openxmlformats.org/officeDocument/2006/relationships/hyperlink" Target="https://onlinegamespromo.fazi.rs/Home/IntegrationGameLaunch?moneyType=0&amp;gameName=PlayNetCrownStacks40&amp;platform=desktop&amp;languageCode=eng&amp;currency=EUR" TargetMode="External"/><Relationship Id="rId16" Type="http://schemas.openxmlformats.org/officeDocument/2006/relationships/hyperlink" Target="https://onlinegamespromo.fazi.rs/Home/IntegrationGameLaunch?moneyType=0&amp;gameName=PlayNetFortuneClover100&amp;platform=desktop&amp;languageCode=eng&amp;currency=EUR" TargetMode="External"/><Relationship Id="rId19" Type="http://schemas.openxmlformats.org/officeDocument/2006/relationships/hyperlink" Target="https://onlinegamespromo.fazi.rs/Home/IntegrationGameLaunch?moneyType=0&amp;gameName=PlayNetCrownSpread40&amp;platform=desktop&amp;languageCode=eng&amp;currency=EUR" TargetMode="External"/><Relationship Id="rId18" Type="http://schemas.openxmlformats.org/officeDocument/2006/relationships/hyperlink" Target="https://onlinegamespromo.fazi.rs/Home/IntegrationGameLaunch?moneyType=0&amp;gameName=PlayNetWildSpread40&amp;platform=desktop&amp;languageCode=eng&amp;currency=EUR" TargetMode="External"/><Relationship Id="rId1" Type="http://schemas.openxmlformats.org/officeDocument/2006/relationships/hyperlink" Target="https://onlinegamespromo.fazi.rs/Home/IntegrationGameLaunch?moneyType=0&amp;gameName=FortuneClover5&amp;platform=desktop&amp;languageCode=eng&amp;currency=EUR" TargetMode="External"/><Relationship Id="rId2" Type="http://schemas.openxmlformats.org/officeDocument/2006/relationships/hyperlink" Target="https://onlinegamespromo.fazi.rs/Home/IntegrationGameLaunch?moneyType=0&amp;gameName=MajesticCrown10&amp;platform=desktop&amp;languageCode=eng&amp;currency=EUR" TargetMode="External"/><Relationship Id="rId3" Type="http://schemas.openxmlformats.org/officeDocument/2006/relationships/hyperlink" Target="https://onlinegamespromo.fazi.rs/Home/IntegrationGameLaunch?moneyType=0&amp;gameName=PlayNetFortuneClover40&amp;platform=desktop&amp;languageCode=eng&amp;currency=EUR" TargetMode="External"/><Relationship Id="rId4" Type="http://schemas.openxmlformats.org/officeDocument/2006/relationships/hyperlink" Target="https://onlinegamespromo.fazi.rs/Home/IntegrationGameLaunch?moneyType=0&amp;gameName=PlayNetDiamondHeart5&amp;platform=desktop&amp;languageCode=eng&amp;currency=EUR" TargetMode="External"/><Relationship Id="rId9" Type="http://schemas.openxmlformats.org/officeDocument/2006/relationships/hyperlink" Target="https://onlinegamespromo.fazi.rs/Home/IntegrationGameLaunch?moneyType=0&amp;gameName=PlayNetWildForties&amp;platform=desktop&amp;languageCode=eng&amp;currency=EUR" TargetMode="External"/><Relationship Id="rId5" Type="http://schemas.openxmlformats.org/officeDocument/2006/relationships/hyperlink" Target="https://onlinegamespromo.fazi.rs/Home/IntegrationGameLaunch?moneyType=0&amp;gameName=PlayNetMajesticCrown20&amp;platform=desktop&amp;languageCode=eng&amp;currency=EUR" TargetMode="External"/><Relationship Id="rId6" Type="http://schemas.openxmlformats.org/officeDocument/2006/relationships/hyperlink" Target="https://onlinegamespromo.fazi.rs/Home/IntegrationGameLaunch?moneyType=0&amp;gameName=PlayNetDiamondHeart40&amp;platform=desktop&amp;languageCode=eng&amp;currency=EUR" TargetMode="External"/><Relationship Id="rId7" Type="http://schemas.openxmlformats.org/officeDocument/2006/relationships/hyperlink" Target="https://onlinegamespromo.fazi.rs/Home/IntegrationGameLaunch?moneyType=0&amp;gameName=PlayNet27WildStacks&amp;platform=desktop&amp;languageCode=eng&amp;currency=EUR" TargetMode="External"/><Relationship Id="rId8" Type="http://schemas.openxmlformats.org/officeDocument/2006/relationships/hyperlink" Target="https://onlinegamespromo.fazi.rs/Home/IntegrationGameLaunch?moneyType=0&amp;gameName=PlayNetDashingHot5&amp;platform=desktop&amp;languageCode=eng&amp;currency=EUR" TargetMode="External"/><Relationship Id="rId62" Type="http://schemas.openxmlformats.org/officeDocument/2006/relationships/hyperlink" Target="https://onlinegamespromo.fazi.rs/Home/IntegrationGameLaunch?moneyType=0&amp;gameName=PlayNet27WildStacksExtreme&amp;platform=desktop&amp;languageCode=eng&amp;currency=EUR" TargetMode="External"/><Relationship Id="rId61" Type="http://schemas.openxmlformats.org/officeDocument/2006/relationships/hyperlink" Target="https://onlinegamespromo.fazi.rs/Home/IntegrationGameLaunch?moneyType=0&amp;gameName=PlayNetShadowHunt20&amp;platform=desktop&amp;languageCode=eng&amp;currency=EUR" TargetMode="External"/><Relationship Id="rId63" Type="http://schemas.openxmlformats.org/officeDocument/2006/relationships/drawing" Target="../drawings/drawing3.xml"/><Relationship Id="rId60" Type="http://schemas.openxmlformats.org/officeDocument/2006/relationships/hyperlink" Target="https://onlinegamespromo.fazi.rs/Home/IntegrationGameLaunch?moneyType=0&amp;gameName=PlayNetEmpressOfFlame20&amp;platform=desktop&amp;languageCode=eng&amp;currency=EUR" TargetMode="External"/><Relationship Id="rId51" Type="http://schemas.openxmlformats.org/officeDocument/2006/relationships/hyperlink" Target="https://onlinegamespromo.fazi.rs/Home/IntegrationGameLaunch?moneyType=0&amp;gameName=PlayNetJokersCrownX2&amp;platform=desktop&amp;languageCode=eng&amp;currency=EUR" TargetMode="External"/><Relationship Id="rId50" Type="http://schemas.openxmlformats.org/officeDocument/2006/relationships/hyperlink" Target="https://onlinegamespromo.fazi.rs/Home/IntegrationGameLaunch?moneyType=0&amp;gameName=PlayNetBarkinRiches&amp;platform=desktop&amp;languageCode=eng&amp;currency=EUR" TargetMode="External"/><Relationship Id="rId53" Type="http://schemas.openxmlformats.org/officeDocument/2006/relationships/hyperlink" Target="https://onlinegamespromo.fazi.rs/Home/IntegrationGameLaunch?moneyType=0&amp;gameName=PlayNetHeartGem100&amp;platform=desktop&amp;languageCode=eng&amp;currency=EUR" TargetMode="External"/><Relationship Id="rId52" Type="http://schemas.openxmlformats.org/officeDocument/2006/relationships/hyperlink" Target="https://onlinegamespromo.fazi.rs/Home/IntegrationGameLaunch?moneyType=0&amp;gameName=PlayNetRoxyUndercover&amp;platform=desktop&amp;languageCode=eng&amp;currency=EUR" TargetMode="External"/><Relationship Id="rId55" Type="http://schemas.openxmlformats.org/officeDocument/2006/relationships/hyperlink" Target="https://onlinegamespromo.fazi.rs/Home/IntegrationGameLaunch?moneyType=0&amp;gameName=PlayNetTropicTwistExtreme&amp;platform=desktop&amp;languageCode=eng&amp;currency=EUR" TargetMode="External"/><Relationship Id="rId54" Type="http://schemas.openxmlformats.org/officeDocument/2006/relationships/hyperlink" Target="https://onlinegamespromo.fazi.rs/Home/IntegrationGameLaunch?moneyType=0&amp;gameName=PlayNetCrownTreasure10&amp;platform=desktop&amp;languageCode=eng&amp;currency=EUR" TargetMode="External"/><Relationship Id="rId57" Type="http://schemas.openxmlformats.org/officeDocument/2006/relationships/hyperlink" Target="https://onlinegamespromo.fazi.rs/Home/IntegrationGameLaunch?moneyType=0&amp;gameName=PlayNet27LuckyCrown&amp;platform=desktop&amp;languageCode=eng&amp;currency=EUR" TargetMode="External"/><Relationship Id="rId56" Type="http://schemas.openxmlformats.org/officeDocument/2006/relationships/hyperlink" Target="https://onlinegamespromo.fazi.rs/Home/IntegrationGameLaunch?moneyType=0&amp;gameName=PlayNetCloverWealth5&amp;platform=desktop&amp;languageCode=eng&amp;currency=EUR" TargetMode="External"/><Relationship Id="rId59" Type="http://schemas.openxmlformats.org/officeDocument/2006/relationships/hyperlink" Target="https://onlinegamespromo.fazi.rs/Home/IntegrationGameLaunch?moneyType=0&amp;gameName=PlayNetHeartGem5&amp;platform=desktop&amp;languageCode=eng&amp;currency=EUR" TargetMode="External"/><Relationship Id="rId58" Type="http://schemas.openxmlformats.org/officeDocument/2006/relationships/hyperlink" Target="https://onlinegamespromo.fazi.rs/Home/IntegrationGameLaunch?moneyType=0&amp;gameName=PlayNetRoyalFlameX2&amp;platform=desktop&amp;languageCode=eng&amp;currency=EUR"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onlinegamespromo.fazi.rs/Home/IntegrationGameLaunch?moneyType=0&amp;gameName=UnicornSimplySevens&amp;platform=desktop&amp;languageCode=eng&amp;currency=EUR" TargetMode="External"/><Relationship Id="rId42" Type="http://schemas.openxmlformats.org/officeDocument/2006/relationships/hyperlink" Target="https://onlinegamespromo.fazi.rs/Home/IntegrationGameLaunch?moneyType=0&amp;gameName=UnicornGoldLine&amp;platform=desktop&amp;languageCode=eng&amp;currency=EUR" TargetMode="External"/><Relationship Id="rId41" Type="http://schemas.openxmlformats.org/officeDocument/2006/relationships/hyperlink" Target="https://onlinegamespromo.fazi.rs/Home/IntegrationGameLaunch?moneyType=0&amp;gameName=Unicorn10JingleFruits&amp;platform=desktop&amp;languageCode=eng&amp;currency=EUR" TargetMode="External"/><Relationship Id="rId44" Type="http://schemas.openxmlformats.org/officeDocument/2006/relationships/hyperlink" Target="https://onlinegamespromo.fazi.rs/Home/IntegrationGameLaunch?moneyType=0&amp;gameName=UnicornSimplySevensDice&amp;platform=desktop&amp;languageCode=eng&amp;currency=EUR" TargetMode="External"/><Relationship Id="rId43" Type="http://schemas.openxmlformats.org/officeDocument/2006/relationships/hyperlink" Target="https://onlinegamespromo.fazi.rs/Home/IntegrationGameLaunch?moneyType=0&amp;gameName=UnicornFrootMachine&amp;platform=desktop&amp;languageCode=eng&amp;currency=EUR" TargetMode="External"/><Relationship Id="rId46" Type="http://schemas.openxmlformats.org/officeDocument/2006/relationships/hyperlink" Target="https://onlinegamespromo.fazi.rs/Home/IntegrationGameLaunch?moneyType=0&amp;gameName=UnicornChristmasPresents&amp;platform=desktop&amp;languageCode=eng&amp;currency=EUR" TargetMode="External"/><Relationship Id="rId45" Type="http://schemas.openxmlformats.org/officeDocument/2006/relationships/hyperlink" Target="https://onlinegamespromo.fazi.rs/Home/IntegrationGameLaunch?moneyType=0&amp;gameName=UnicornFruitIslandChristmas&amp;platform=desktop&amp;languageCode=eng&amp;currency=EUR" TargetMode="External"/><Relationship Id="rId48" Type="http://schemas.openxmlformats.org/officeDocument/2006/relationships/hyperlink" Target="https://onlinegamespromo.fazi.rs/Home/IntegrationGameLaunch?moneyType=0&amp;gameName=Unicorn5HotStrikeDice&amp;platform=desktop&amp;languageCode=eng&amp;currency=EUR" TargetMode="External"/><Relationship Id="rId47" Type="http://schemas.openxmlformats.org/officeDocument/2006/relationships/hyperlink" Target="https://onlinegamespromo.fazi.rs/Home/IntegrationGameLaunch?moneyType=0&amp;gameName=UnicornLavaDiamonds&amp;platform=desktop&amp;languageCode=eng&amp;currency=EUR" TargetMode="External"/><Relationship Id="rId49" Type="http://schemas.openxmlformats.org/officeDocument/2006/relationships/hyperlink" Target="https://onlinegamespromo.fazi.rs/Home/IntegrationGameLaunch?moneyType=0&amp;gameName=UnicornBuffaloSevens&amp;platform=desktop&amp;languageCode=eng&amp;currency=EUR" TargetMode="External"/><Relationship Id="rId31" Type="http://schemas.openxmlformats.org/officeDocument/2006/relationships/hyperlink" Target="https://onlinegamespromo.fazi.rs/Home/IntegrationGameLaunch?moneyType=0&amp;gameName=UnicornFruitWildLines&amp;platform=desktop&amp;languageCode=eng&amp;currency=EUR" TargetMode="External"/><Relationship Id="rId30" Type="http://schemas.openxmlformats.org/officeDocument/2006/relationships/hyperlink" Target="https://onlinegamespromo.fazi.rs/Home/IntegrationGameLaunch?moneyType=0&amp;gameName=UnicornCoyoteDice&amp;platform=desktop&amp;languageCode=eng&amp;currency=EUR" TargetMode="External"/><Relationship Id="rId33" Type="http://schemas.openxmlformats.org/officeDocument/2006/relationships/hyperlink" Target="https://onlinegamespromo.fazi.rs/Home/IntegrationGameLaunch?moneyType=0&amp;gameName=UnicornDoubleWildDice&amp;platform=desktop&amp;languageCode=eng&amp;currency=EUR" TargetMode="External"/><Relationship Id="rId32" Type="http://schemas.openxmlformats.org/officeDocument/2006/relationships/hyperlink" Target="https://onlinegamespromo.fazi.rs/Home/IntegrationGameLaunch?moneyType=0&amp;gameName=UnicornMoneyStandardDice&amp;platform=desktop&amp;languageCode=eng&amp;currency=EUR" TargetMode="External"/><Relationship Id="rId35" Type="http://schemas.openxmlformats.org/officeDocument/2006/relationships/hyperlink" Target="https://onlinegamespromo.fazi.rs/Home/IntegrationGameLaunch?moneyType=0&amp;gameName=Unicorn5HotStrike&amp;platform=desktop&amp;languageCode=eng&amp;currency=EUR" TargetMode="External"/><Relationship Id="rId34" Type="http://schemas.openxmlformats.org/officeDocument/2006/relationships/hyperlink" Target="https://onlinegamespromo.fazi.rs/Home/IntegrationGameLaunch?moneyType=0&amp;gameName=Unicorn40FruitReels&amp;platform=desktop&amp;languageCode=eng&amp;currency=EUR" TargetMode="External"/><Relationship Id="rId37" Type="http://schemas.openxmlformats.org/officeDocument/2006/relationships/hyperlink" Target="https://onlinegamespromo.fazi.rs/Home/IntegrationGameLaunch?moneyType=0&amp;gameName=UnicornFireStars&amp;platform=desktop&amp;languageCode=eng&amp;currency=EUR" TargetMode="External"/><Relationship Id="rId36" Type="http://schemas.openxmlformats.org/officeDocument/2006/relationships/hyperlink" Target="https://onlinegamespromo.fazi.rs/Home/IntegrationGameLaunch?moneyType=0&amp;gameName=UnicornBikiniFruits&amp;platform=desktop&amp;languageCode=eng&amp;currency=EUR" TargetMode="External"/><Relationship Id="rId39" Type="http://schemas.openxmlformats.org/officeDocument/2006/relationships/hyperlink" Target="https://onlinegamespromo.fazi.rs/Home/IntegrationGameLaunch?moneyType=0&amp;gameName=UnicornBikiniDice&amp;platform=desktop&amp;languageCode=eng&amp;currency=EUR" TargetMode="External"/><Relationship Id="rId38" Type="http://schemas.openxmlformats.org/officeDocument/2006/relationships/hyperlink" Target="https://onlinegamespromo.fazi.rs/Home/IntegrationGameLaunch?moneyType=0&amp;gameName=Unicorn20HotStrikeDice&amp;platform=desktop&amp;languageCode=eng&amp;currency=EUR" TargetMode="External"/><Relationship Id="rId20" Type="http://schemas.openxmlformats.org/officeDocument/2006/relationships/hyperlink" Target="https://onlinegamespromo.fazi.rs/Home/IntegrationGameLaunch?moneyType=0&amp;gameName=Unicorn40DiceFlames&amp;platform=desktop&amp;languageCode=eng&amp;currency=EUR" TargetMode="External"/><Relationship Id="rId22" Type="http://schemas.openxmlformats.org/officeDocument/2006/relationships/hyperlink" Target="https://onlinegamespromo.fazi.rs/Home/IntegrationGameLaunch?moneyType=0&amp;gameName=UnicornWinterFruits&amp;platform=desktop&amp;languageCode=eng&amp;currency=EUR" TargetMode="External"/><Relationship Id="rId21" Type="http://schemas.openxmlformats.org/officeDocument/2006/relationships/hyperlink" Target="https://onlinegamespromo.fazi.rs/Home/IntegrationGameLaunch?moneyType=0&amp;gameName=UnicornDaVincisDice&amp;platform=desktop&amp;languageCode=eng&amp;currency=EUR" TargetMode="External"/><Relationship Id="rId24" Type="http://schemas.openxmlformats.org/officeDocument/2006/relationships/hyperlink" Target="https://onlinegamespromo.fazi.rs/Home/IntegrationGameLaunch?moneyType=0&amp;gameName=UnicornMoneyStandardWild&amp;platform=desktop&amp;languageCode=eng&amp;currency=EUR" TargetMode="External"/><Relationship Id="rId23" Type="http://schemas.openxmlformats.org/officeDocument/2006/relationships/hyperlink" Target="https://onlinegamespromo.fazi.rs/Home/IntegrationGameLaunch?moneyType=0&amp;gameName=UnicornFastFruits&amp;platform=desktop&amp;languageCode=eng&amp;currency=EUR" TargetMode="External"/><Relationship Id="rId26" Type="http://schemas.openxmlformats.org/officeDocument/2006/relationships/hyperlink" Target="https://onlinegamespromo.fazi.rs/Home/IntegrationGameLaunch?moneyType=0&amp;gameName=Unicorn40HotStrike&amp;platform=desktop&amp;languageCode=eng&amp;currency=EUR" TargetMode="External"/><Relationship Id="rId25" Type="http://schemas.openxmlformats.org/officeDocument/2006/relationships/hyperlink" Target="https://onlinegamespromo.fazi.rs/Home/IntegrationGameLaunch?moneyType=0&amp;gameName=UnicornDiceMegaCash&amp;platform=desktop&amp;languageCode=eng&amp;currency=EUR" TargetMode="External"/><Relationship Id="rId28" Type="http://schemas.openxmlformats.org/officeDocument/2006/relationships/hyperlink" Target="https://onlinegamespromo.fazi.rs/Home/IntegrationGameLaunch?moneyType=0&amp;gameName=Unicorn20HotStrike&amp;platform=desktop&amp;languageCode=eng&amp;currency=EUR" TargetMode="External"/><Relationship Id="rId27" Type="http://schemas.openxmlformats.org/officeDocument/2006/relationships/hyperlink" Target="https://onlinegamespromo.fazi.rs/Home/IntegrationGameLaunch?moneyType=0&amp;gameName=Unicorn40HotStrikeDice&amp;platform=desktop&amp;languageCode=eng&amp;currency=EUR" TargetMode="External"/><Relationship Id="rId29" Type="http://schemas.openxmlformats.org/officeDocument/2006/relationships/hyperlink" Target="https://onlinegamespromo.fazi.rs/Home/IntegrationGameLaunch?moneyType=0&amp;gameName=UnicornCoyoteSevens&amp;platform=desktop&amp;languageCode=eng&amp;currency=EUR" TargetMode="External"/><Relationship Id="rId11" Type="http://schemas.openxmlformats.org/officeDocument/2006/relationships/hyperlink" Target="https://onlinegamespromo.fazi.rs/Home/IntegrationGameLaunch?moneyType=0&amp;gameName=UnicornIslandRespins&amp;platform=desktop&amp;languageCode=eng&amp;currency=EUR" TargetMode="External"/><Relationship Id="rId10" Type="http://schemas.openxmlformats.org/officeDocument/2006/relationships/hyperlink" Target="https://onlinegamespromo.fazi.rs/Home/IntegrationGameLaunch?moneyType=0&amp;gameName=UnicornTwentyDice&amp;platform=desktop&amp;languageCode=eng&amp;currency=EUR" TargetMode="External"/><Relationship Id="rId13" Type="http://schemas.openxmlformats.org/officeDocument/2006/relationships/hyperlink" Target="https://onlinegamespromo.fazi.rs/Home/IntegrationGameLaunch?moneyType=0&amp;gameName=Unicorn20MegaFlames&amp;platform=desktop&amp;languageCode=eng&amp;currency=EUR" TargetMode="External"/><Relationship Id="rId12" Type="http://schemas.openxmlformats.org/officeDocument/2006/relationships/hyperlink" Target="https://onlinegamespromo.fazi.rs/Home/IntegrationGameLaunch?moneyType=0&amp;gameName=UnicornGreatWhale&amp;platform=desktop&amp;languageCode=eng&amp;currency=EUR" TargetMode="External"/><Relationship Id="rId15" Type="http://schemas.openxmlformats.org/officeDocument/2006/relationships/hyperlink" Target="https://onlinegamespromo.fazi.rs/Home/IntegrationGameLaunch?moneyType=0&amp;gameName=UnicornFruitMagic&amp;platform=desktop&amp;languageCode=eng&amp;currency=EUR" TargetMode="External"/><Relationship Id="rId14" Type="http://schemas.openxmlformats.org/officeDocument/2006/relationships/hyperlink" Target="https://onlinegamespromo.fazi.rs/Home/IntegrationGameLaunch?moneyType=0&amp;gameName=UnicornDaVincisFruits&amp;platform=desktop&amp;languageCode=eng&amp;currency=EUR" TargetMode="External"/><Relationship Id="rId17" Type="http://schemas.openxmlformats.org/officeDocument/2006/relationships/hyperlink" Target="https://onlinegamespromo.fazi.rs/Home/IntegrationGameLaunch?moneyType=0&amp;gameName=UnicornMiniMegaCash&amp;platform=desktop&amp;languageCode=eng&amp;currency=EUR" TargetMode="External"/><Relationship Id="rId16" Type="http://schemas.openxmlformats.org/officeDocument/2006/relationships/hyperlink" Target="https://onlinegamespromo.fazi.rs/Home/IntegrationGameLaunch?moneyType=0&amp;gameName=UnicornMoneyStandard&amp;platform=desktop&amp;languageCode=eng&amp;currency=EUR" TargetMode="External"/><Relationship Id="rId19" Type="http://schemas.openxmlformats.org/officeDocument/2006/relationships/hyperlink" Target="https://onlinegamespromo.fazi.rs/Home/IntegrationGameLaunch?moneyType=0&amp;gameName=Unicorn40MegaFlames&amp;platform=desktop&amp;languageCode=eng&amp;currency=EUR" TargetMode="External"/><Relationship Id="rId18" Type="http://schemas.openxmlformats.org/officeDocument/2006/relationships/hyperlink" Target="https://onlinegamespromo.fazi.rs/Home/IntegrationGameLaunch?moneyType=0&amp;gameName=Unicorn20DiceFlames&amp;platform=desktop&amp;languageCode=eng&amp;currency=EUR" TargetMode="External"/><Relationship Id="rId84" Type="http://schemas.openxmlformats.org/officeDocument/2006/relationships/hyperlink" Target="https://onlinegamespromo.fazi.rs/Home/IntegrationGameLaunch?moneyType=0&amp;gameName=UnicornSimplySevensGems&amp;platform=desktop&amp;languageCode=eng&amp;currency=EUR" TargetMode="External"/><Relationship Id="rId83" Type="http://schemas.openxmlformats.org/officeDocument/2006/relationships/hyperlink" Target="https://onlinegamespromo.fazi.rs/Home/IntegrationGameLaunch?moneyType=0&amp;gameName=UnicornBigSpinDragons&amp;platform=desktop&amp;languageCode=eng&amp;currency=EUR" TargetMode="External"/><Relationship Id="rId86" Type="http://schemas.openxmlformats.org/officeDocument/2006/relationships/hyperlink" Target="https://onlinegamespromo.fazi.rs/Home/IntegrationGameLaunch?moneyType=0&amp;gameName=UnicornMisterDice&amp;platform=desktop&amp;languageCode=eng&amp;currency=EUR" TargetMode="External"/><Relationship Id="rId85" Type="http://schemas.openxmlformats.org/officeDocument/2006/relationships/hyperlink" Target="https://onlinegamespromo.fazi.rs/Home/IntegrationGameLaunch?moneyType=0&amp;gameName=UnicornSuperFireDiceJackpot&amp;platform=desktop&amp;languageCode=eng&amp;currency=EUR" TargetMode="External"/><Relationship Id="rId88" Type="http://schemas.openxmlformats.org/officeDocument/2006/relationships/hyperlink" Target="https://onlinegamespromo.fazi.rs/Home/IntegrationGameLaunch?moneyType=0&amp;gameName=UnicornEnchantedGems&amp;platform=desktop&amp;languageCode=eng&amp;currency=EUR" TargetMode="External"/><Relationship Id="rId87" Type="http://schemas.openxmlformats.org/officeDocument/2006/relationships/hyperlink" Target="https://onlinegamespromo.fazi.rs/Home/IntegrationGameLaunch?moneyType=0&amp;gameName=UnicornThreeReelSevens&amp;platform=desktop&amp;languageCode=eng&amp;currency=EUR" TargetMode="External"/><Relationship Id="rId89" Type="http://schemas.openxmlformats.org/officeDocument/2006/relationships/hyperlink" Target="https://onlinegamespromo.fazi.rs/Home/IntegrationGameLaunch?moneyType=0&amp;gameName=UnicornSupremeSevensDice&amp;platform=desktop&amp;languageCode=eng&amp;currency=EUR" TargetMode="External"/><Relationship Id="rId80" Type="http://schemas.openxmlformats.org/officeDocument/2006/relationships/hyperlink" Target="https://onlinegamespromo.fazi.rs/Home/IntegrationGameLaunch?moneyType=0&amp;gameName=UnicornSuperFireJackpot&amp;platform=desktop&amp;languageCode=eng&amp;currency=EUR" TargetMode="External"/><Relationship Id="rId82" Type="http://schemas.openxmlformats.org/officeDocument/2006/relationships/hyperlink" Target="https://onlinegamespromo.fazi.rs/Home/IntegrationGameLaunch?moneyType=0&amp;gameName=UnicornDynamiteRunDice&amp;platform=desktop&amp;languageCode=eng&amp;currency=EUR" TargetMode="External"/><Relationship Id="rId81" Type="http://schemas.openxmlformats.org/officeDocument/2006/relationships/hyperlink" Target="https://onlinegamespromo.fazi.rs/Home/IntegrationGameLaunch?moneyType=0&amp;gameName=UnicornCoyoteGems&amp;platform=desktop&amp;languageCode=eng&amp;currency=EUR" TargetMode="External"/><Relationship Id="rId1" Type="http://schemas.openxmlformats.org/officeDocument/2006/relationships/hyperlink" Target="https://onlinegamespromo.fazi.rs/Home/IntegrationGameLaunch?moneyType=0&amp;gameName=UnicornVegasDice&amp;platform=desktop&amp;languageCode=eng&amp;currency=EUR" TargetMode="External"/><Relationship Id="rId2" Type="http://schemas.openxmlformats.org/officeDocument/2006/relationships/hyperlink" Target="https://onlinegamespromo.fazi.rs/Home/IntegrationGameLaunch?moneyType=0&amp;gameName=UnicornReelDice&amp;platform=desktop&amp;languageCode=eng&amp;currency=EUR" TargetMode="External"/><Relationship Id="rId3" Type="http://schemas.openxmlformats.org/officeDocument/2006/relationships/hyperlink" Target="https://onlinegamespromo.fazi.rs/Home/IntegrationGameLaunch?moneyType=0&amp;gameName=UnicornFruitIsland&amp;platform=desktop&amp;languageCode=eng&amp;currency=EUR" TargetMode="External"/><Relationship Id="rId4" Type="http://schemas.openxmlformats.org/officeDocument/2006/relationships/hyperlink" Target="https://onlinegamespromo.fazi.rs/Home/IntegrationGameLaunch?moneyType=0&amp;gameName=UnicornWildParadise&amp;platform=desktop&amp;languageCode=eng&amp;currency=EUR" TargetMode="External"/><Relationship Id="rId9" Type="http://schemas.openxmlformats.org/officeDocument/2006/relationships/hyperlink" Target="https://onlinegamespromo.fazi.rs/Home/IntegrationGameLaunch?moneyType=0&amp;gameName=UnicornTwentyFruits&amp;platform=desktop&amp;languageCode=eng&amp;currency=EUR" TargetMode="External"/><Relationship Id="rId143" Type="http://schemas.openxmlformats.org/officeDocument/2006/relationships/hyperlink" Target="https://onlinegamespromo.fazi.rs/Home/IntegrationGameLaunch?moneyType=0&amp;gameName=UnicornLionsDiceExtreme&amp;platform=desktop&amp;languageCode=eng&amp;currency=EUR" TargetMode="External"/><Relationship Id="rId142" Type="http://schemas.openxmlformats.org/officeDocument/2006/relationships/hyperlink" Target="https://onlinegamespromo.fazi.rs/Home/IntegrationGameLaunch?moneyType=0&amp;gameName=TBD&amp;platform=desktop&amp;languageCode=eng&amp;currency=EUR" TargetMode="External"/><Relationship Id="rId141" Type="http://schemas.openxmlformats.org/officeDocument/2006/relationships/hyperlink" Target="https://onlinegamespromo.fazi.rs/Home/IntegrationGameLaunch?moneyType=0&amp;gameName=UnicornThreeReelFortuneWilds&amp;platform=desktop&amp;languageCode=eng&amp;currency=EUR" TargetMode="External"/><Relationship Id="rId140" Type="http://schemas.openxmlformats.org/officeDocument/2006/relationships/hyperlink" Target="https://onlinegamespromo.fazi.rs/Home/IntegrationGameLaunch?moneyType=0&amp;gameName=UnicornFruituristicSevens&amp;platform=desktop&amp;languageCode=eng&amp;currency=EUR" TargetMode="External"/><Relationship Id="rId5" Type="http://schemas.openxmlformats.org/officeDocument/2006/relationships/hyperlink" Target="https://onlinegamespromo.fazi.rs/Home/IntegrationGameLaunch?moneyType=0&amp;gameName=UnicornRainbowSevens&amp;platform=desktop&amp;languageCode=eng&amp;currency=EUR" TargetMode="External"/><Relationship Id="rId147" Type="http://schemas.openxmlformats.org/officeDocument/2006/relationships/drawing" Target="../drawings/drawing4.xml"/><Relationship Id="rId6" Type="http://schemas.openxmlformats.org/officeDocument/2006/relationships/hyperlink" Target="https://onlinegamespromo.fazi.rs/Home/IntegrationGameLaunch?moneyType=0&amp;gameName=UnicornHavanaDice&amp;platform=desktop&amp;languageCode=eng&amp;currency=EUR" TargetMode="External"/><Relationship Id="rId146" Type="http://schemas.openxmlformats.org/officeDocument/2006/relationships/hyperlink" Target="https://onlinegamespromo.fazi.rs/Home/IntegrationGameLaunch?moneyType=0&amp;gameName=UnicornForeverFruit&amp;platform=desktop&amp;languageCode=eng&amp;currency=EUR" TargetMode="External"/><Relationship Id="rId7" Type="http://schemas.openxmlformats.org/officeDocument/2006/relationships/hyperlink" Target="https://onlinegamespromo.fazi.rs/Home/IntegrationGameLaunch?moneyType=0&amp;gameName=UnicornCasinoFruits&amp;platform=desktop&amp;languageCode=eng&amp;currency=EUR" TargetMode="External"/><Relationship Id="rId145" Type="http://schemas.openxmlformats.org/officeDocument/2006/relationships/hyperlink" Target="https://onlinegamespromo.fazi.rs/Home/IntegrationGameLaunch?moneyType=0&amp;gameName=UnicornStackWildAttack&amp;platform=desktop&amp;languageCode=eng&amp;currency=EUR" TargetMode="External"/><Relationship Id="rId8" Type="http://schemas.openxmlformats.org/officeDocument/2006/relationships/hyperlink" Target="https://onlinegamespromo.fazi.rs/Home/IntegrationGameLaunch?moneyType=0&amp;gameName=UnicornTheCrownFruit&amp;platform=desktop&amp;languageCode=eng&amp;currency=EUR" TargetMode="External"/><Relationship Id="rId144" Type="http://schemas.openxmlformats.org/officeDocument/2006/relationships/hyperlink" Target="https://onlinegamespromo.fazi.rs/Home/IntegrationGameLaunch?moneyType=0&amp;gameName=UnicornLuckyPayReels&amp;platform=desktop&amp;languageCode=eng&amp;currency=EUR" TargetMode="External"/><Relationship Id="rId73" Type="http://schemas.openxmlformats.org/officeDocument/2006/relationships/hyperlink" Target="https://onlinegamespromo.fazi.rs/Home/IntegrationGameLaunch?moneyType=0&amp;gameName=UnicornBigSpinSevens&amp;platform=desktop&amp;languageCode=eng&amp;currency=EUR" TargetMode="External"/><Relationship Id="rId72" Type="http://schemas.openxmlformats.org/officeDocument/2006/relationships/hyperlink" Target="https://onlinegamespromo.fazi.rs/Home/IntegrationGameLaunch?moneyType=0&amp;gameName=UnicornSavanaFruits&amp;platform=desktop&amp;languageCode=eng&amp;currency=EUR" TargetMode="External"/><Relationship Id="rId75" Type="http://schemas.openxmlformats.org/officeDocument/2006/relationships/hyperlink" Target="https://onlinegamespromo.fazi.rs/Home/IntegrationGameLaunch?moneyType=0&amp;gameName=UnicornBigHitSevens&amp;platform=desktop&amp;languageCode=eng&amp;currency=EUR" TargetMode="External"/><Relationship Id="rId74" Type="http://schemas.openxmlformats.org/officeDocument/2006/relationships/hyperlink" Target="https://onlinegamespromo.fazi.rs/Home/IntegrationGameLaunch?moneyType=0&amp;gameName=UnicornDynamiteRunPlatinum&amp;platform=desktop&amp;languageCode=eng&amp;currency=EUR" TargetMode="External"/><Relationship Id="rId77" Type="http://schemas.openxmlformats.org/officeDocument/2006/relationships/hyperlink" Target="https://onlinegamespromo.fazi.rs/Home/IntegrationGameLaunch?moneyType=0&amp;gameName=UnicornTripleStackedDiamonds&amp;platform=desktop&amp;languageCode=eng&amp;currency=EUR" TargetMode="External"/><Relationship Id="rId76" Type="http://schemas.openxmlformats.org/officeDocument/2006/relationships/hyperlink" Target="https://onlinegamespromo.fazi.rs/Home/IntegrationGameLaunch?moneyType=0&amp;gameName=UnicornSupremeSevens&amp;platform=desktop&amp;languageCode=eng&amp;currency=EUR" TargetMode="External"/><Relationship Id="rId79" Type="http://schemas.openxmlformats.org/officeDocument/2006/relationships/hyperlink" Target="https://onlinegamespromo.fazi.rs/Home/IntegrationGameLaunch?moneyType=0&amp;gameName=UnicornFastPay&amp;platform=desktop&amp;languageCode=eng&amp;currency=EUR" TargetMode="External"/><Relationship Id="rId78" Type="http://schemas.openxmlformats.org/officeDocument/2006/relationships/hyperlink" Target="https://onlinegamespromo.fazi.rs/Home/IntegrationGameLaunch?moneyType=0&amp;gameName=UnicornDynamiteBoom&amp;platform=desktop&amp;languageCode=eng&amp;currency=EUR" TargetMode="External"/><Relationship Id="rId71" Type="http://schemas.openxmlformats.org/officeDocument/2006/relationships/hyperlink" Target="https://onlinegamespromo.fazi.rs/Home/IntegrationGameLaunch?moneyType=0&amp;gameName=UnicornBunnyDice&amp;platform=desktop&amp;languageCode=eng&amp;currency=EUR" TargetMode="External"/><Relationship Id="rId70" Type="http://schemas.openxmlformats.org/officeDocument/2006/relationships/hyperlink" Target="https://onlinegamespromo.fazi.rs/Home/IntegrationGameLaunch?moneyType=0&amp;gameName=UnicornFruitIslandGems&amp;platform=desktop&amp;languageCode=eng&amp;currency=EUR" TargetMode="External"/><Relationship Id="rId139" Type="http://schemas.openxmlformats.org/officeDocument/2006/relationships/hyperlink" Target="https://onlinegamespromo.fazi.rs/Home/IntegrationGameLaunch?moneyType=0&amp;gameName=UnicornSevensPayDice&amp;platform=desktop&amp;languageCode=eng&amp;currency=EUR" TargetMode="External"/><Relationship Id="rId138" Type="http://schemas.openxmlformats.org/officeDocument/2006/relationships/hyperlink" Target="https://onlinegamespromo.fazi.rs/Home/IntegrationGameLaunch?moneyType=0&amp;gameName=UnicornDazzleFireballs&amp;platform=desktop&amp;languageCode=eng&amp;currency=EUR" TargetMode="External"/><Relationship Id="rId137" Type="http://schemas.openxmlformats.org/officeDocument/2006/relationships/hyperlink" Target="https://onlinegamespromo.fazi.rs/Home/IntegrationGameLaunch?moneyType=0&amp;gameName=UnicornSunOfTheNile&amp;platform=desktop&amp;languageCode=eng&amp;currency=EUR" TargetMode="External"/><Relationship Id="rId132" Type="http://schemas.openxmlformats.org/officeDocument/2006/relationships/hyperlink" Target="https://onlinegamespromo.fazi.rs/Home/IntegrationGameLaunch?moneyType=0&amp;gameName=UnicornBarrelsOfRiches&amp;platform=desktop&amp;languageCode=eng&amp;currency=EUR" TargetMode="External"/><Relationship Id="rId131" Type="http://schemas.openxmlformats.org/officeDocument/2006/relationships/hyperlink" Target="https://onlinegamespromo.fazi.rs/Home/IntegrationGameLaunch?moneyType=0&amp;gameName=UnicornGoldenGateDice&amp;platform=desktop&amp;languageCode=eng&amp;currency=EUR" TargetMode="External"/><Relationship Id="rId130" Type="http://schemas.openxmlformats.org/officeDocument/2006/relationships/hyperlink" Target="https://onlinegamespromo.fazi.rs/Home/IntegrationGameLaunch?moneyType=0&amp;gameName=UnicornMysticTreasure&amp;platform=desktop&amp;languageCode=eng&amp;currency=EUR" TargetMode="External"/><Relationship Id="rId136" Type="http://schemas.openxmlformats.org/officeDocument/2006/relationships/hyperlink" Target="https://onlinegamespromo.fazi.rs/Home/IntegrationGameLaunch?moneyType=0&amp;gameName=UnicornCrazyWildSevens&amp;platform=desktop&amp;languageCode=eng&amp;currency=EUR" TargetMode="External"/><Relationship Id="rId135" Type="http://schemas.openxmlformats.org/officeDocument/2006/relationships/hyperlink" Target="https://onlinegamespromo.fazi.rs/Home/IntegrationGameLaunch?moneyType=0&amp;gameName=UnicornSpinTheSevens&amp;platform=desktop&amp;languageCode=eng&amp;currency=EUR" TargetMode="External"/><Relationship Id="rId134" Type="http://schemas.openxmlformats.org/officeDocument/2006/relationships/hyperlink" Target="https://onlinegamespromo.fazi.rs/Home/IntegrationGameLaunch?moneyType=0&amp;gameName=UnicornFruitPlayDice&amp;platform=desktop&amp;languageCode=eng&amp;currency=EUR" TargetMode="External"/><Relationship Id="rId133" Type="http://schemas.openxmlformats.org/officeDocument/2006/relationships/hyperlink" Target="https://onlinegamespromo.fazi.rs/Home/IntegrationGameLaunch?moneyType=0&amp;gameName=UnicornFlamyFireballs&amp;platform=desktop&amp;languageCode=eng&amp;currency=EUR" TargetMode="External"/><Relationship Id="rId62" Type="http://schemas.openxmlformats.org/officeDocument/2006/relationships/hyperlink" Target="https://onlinegamespromo.fazi.rs/Home/IntegrationGameLaunch?moneyType=0&amp;gameName=UnicornHitLineDice&amp;platform=desktop&amp;languageCode=eng&amp;currency=EUR" TargetMode="External"/><Relationship Id="rId61" Type="http://schemas.openxmlformats.org/officeDocument/2006/relationships/hyperlink" Target="https://onlinegamespromo.fazi.rs/Home/IntegrationGameLaunch?moneyType=0&amp;gameName=Unicorn20HotStrikeJackpot&amp;platform=desktop&amp;languageCode=eng&amp;currency=EUR" TargetMode="External"/><Relationship Id="rId64" Type="http://schemas.openxmlformats.org/officeDocument/2006/relationships/hyperlink" Target="https://onlinegamespromo.fazi.rs/Home/IntegrationGameLaunch?moneyType=0&amp;gameName=Unicorn20HotStrikeDiceJackpot&amp;platform=desktop&amp;languageCode=eng&amp;currency=EUR" TargetMode="External"/><Relationship Id="rId63" Type="http://schemas.openxmlformats.org/officeDocument/2006/relationships/hyperlink" Target="https://onlinegamespromo.fazi.rs/Home/IntegrationGameLaunch?moneyType=0&amp;gameName=UnicornDynamiteRun&amp;platform=desktop&amp;languageCode=eng&amp;currency=EUR" TargetMode="External"/><Relationship Id="rId66" Type="http://schemas.openxmlformats.org/officeDocument/2006/relationships/hyperlink" Target="https://onlinegamespromo.fazi.rs/Home/IntegrationGameLaunch?moneyType=0&amp;gameName=UnicornThunderFruits&amp;platform=desktop&amp;languageCode=eng&amp;currency=EUR" TargetMode="External"/><Relationship Id="rId65" Type="http://schemas.openxmlformats.org/officeDocument/2006/relationships/hyperlink" Target="https://onlinegamespromo.fazi.rs/Home/IntegrationGameLaunch?moneyType=0&amp;gameName=UnicornDiceMachine&amp;platform=desktop&amp;languageCode=eng&amp;currency=EUR" TargetMode="External"/><Relationship Id="rId68" Type="http://schemas.openxmlformats.org/officeDocument/2006/relationships/hyperlink" Target="https://onlinegamespromo.fazi.rs/Home/IntegrationGameLaunch?moneyType=0&amp;gameName=UnicornWildHoppers&amp;platform=desktop&amp;languageCode=eng&amp;currency=EUR" TargetMode="External"/><Relationship Id="rId67" Type="http://schemas.openxmlformats.org/officeDocument/2006/relationships/hyperlink" Target="https://onlinegamespromo.fazi.rs/Home/IntegrationGameLaunch?moneyType=0&amp;gameName=UnicornEpicMegaCash&amp;platform=desktop&amp;languageCode=eng&amp;currency=EUR" TargetMode="External"/><Relationship Id="rId60" Type="http://schemas.openxmlformats.org/officeDocument/2006/relationships/hyperlink" Target="https://onlinegamespromo.fazi.rs/Home/IntegrationGameLaunch?moneyType=0&amp;gameName=Unicorn20SuperFlames&amp;platform=desktop&amp;languageCode=eng&amp;currency=EUR" TargetMode="External"/><Relationship Id="rId69" Type="http://schemas.openxmlformats.org/officeDocument/2006/relationships/hyperlink" Target="https://onlinegamespromo.fazi.rs/Home/IntegrationGameLaunch?moneyType=0&amp;gameName=UnicornSimplySevensDiceEaster&amp;platform=desktop&amp;languageCode=eng&amp;currency=EUR" TargetMode="External"/><Relationship Id="rId51" Type="http://schemas.openxmlformats.org/officeDocument/2006/relationships/hyperlink" Target="https://onlinegamespromo.fazi.rs/Home/IntegrationGameLaunch?moneyType=0&amp;gameName=UnicornFrootClassic&amp;platform=desktop&amp;languageCode=eng&amp;currency=EUR" TargetMode="External"/><Relationship Id="rId50" Type="http://schemas.openxmlformats.org/officeDocument/2006/relationships/hyperlink" Target="https://onlinegamespromo.fazi.rs/Home/IntegrationGameLaunch?moneyType=0&amp;gameName=UnicornMisterLuck&amp;platform=desktop&amp;languageCode=eng&amp;currency=EUR" TargetMode="External"/><Relationship Id="rId53" Type="http://schemas.openxmlformats.org/officeDocument/2006/relationships/hyperlink" Target="https://onlinegamespromo.fazi.rs/Home/IntegrationGameLaunch?moneyType=0&amp;gameName=UnicornStickyHot&amp;platform=desktop&amp;languageCode=eng&amp;currency=EUR" TargetMode="External"/><Relationship Id="rId52" Type="http://schemas.openxmlformats.org/officeDocument/2006/relationships/hyperlink" Target="https://onlinegamespromo.fazi.rs/Home/IntegrationGameLaunch?moneyType=0&amp;gameName=UnicornDiceWildLines&amp;platform=desktop&amp;languageCode=eng&amp;currency=EUR" TargetMode="External"/><Relationship Id="rId55" Type="http://schemas.openxmlformats.org/officeDocument/2006/relationships/hyperlink" Target="https://onlinegamespromo.fazi.rs/Home/IntegrationGameLaunch?moneyType=0&amp;gameName=UnicornLavaDice&amp;platform=desktop&amp;languageCode=eng&amp;currency=EUR" TargetMode="External"/><Relationship Id="rId54" Type="http://schemas.openxmlformats.org/officeDocument/2006/relationships/hyperlink" Target="https://onlinegamespromo.fazi.rs/Home/IntegrationGameLaunch?moneyType=0&amp;gameName=UnicornBuffaloDice&amp;platform=desktop&amp;languageCode=eng&amp;currency=EUR" TargetMode="External"/><Relationship Id="rId57" Type="http://schemas.openxmlformats.org/officeDocument/2006/relationships/hyperlink" Target="https://onlinegamespromo.fazi.rs/Home/IntegrationGameLaunch?moneyType=0&amp;gameName=UnicornLavaDiamondsChristmas&amp;platform=desktop&amp;languageCode=eng&amp;currency=EUR" TargetMode="External"/><Relationship Id="rId56" Type="http://schemas.openxmlformats.org/officeDocument/2006/relationships/hyperlink" Target="https://onlinegamespromo.fazi.rs/Home/IntegrationGameLaunch?moneyType=0&amp;gameName=UnicornGoldLineDice&amp;platform=desktop&amp;languageCode=eng&amp;currency=EUR" TargetMode="External"/><Relationship Id="rId59" Type="http://schemas.openxmlformats.org/officeDocument/2006/relationships/hyperlink" Target="https://onlinegamespromo.fazi.rs/Home/IntegrationGameLaunch?moneyType=0&amp;gameName=UnicornHitLine&amp;platform=desktop&amp;languageCode=eng&amp;currency=EUR" TargetMode="External"/><Relationship Id="rId58" Type="http://schemas.openxmlformats.org/officeDocument/2006/relationships/hyperlink" Target="https://onlinegamespromo.fazi.rs/Home/IntegrationGameLaunch?moneyType=0&amp;gameName=UnicornPumpkinHorror&amp;platform=desktop&amp;languageCode=eng&amp;currency=EUR" TargetMode="External"/><Relationship Id="rId107" Type="http://schemas.openxmlformats.org/officeDocument/2006/relationships/hyperlink" Target="https://onlinegamespromo.fazi.rs/Home/IntegrationGameLaunch?moneyType=0&amp;gameName=UnicornMoneyStandardPlatinum&amp;platform=desktop&amp;languageCode=eng&amp;currency=EUR" TargetMode="External"/><Relationship Id="rId106" Type="http://schemas.openxmlformats.org/officeDocument/2006/relationships/hyperlink" Target="https://onlinegamespromo.fazi.rs/Home/IntegrationGameLaunch?moneyType=0&amp;gameName=UnicornChristmasPresents2025&amp;platform=desktop&amp;languageCode=eng&amp;currency=EUR" TargetMode="External"/><Relationship Id="rId105" Type="http://schemas.openxmlformats.org/officeDocument/2006/relationships/hyperlink" Target="https://onlinegamespromo.fazi.rs/Home/IntegrationGameLaunch?moneyType=0&amp;gameName=UnicornGoldLineGems&amp;platform=desktop&amp;languageCode=eng&amp;currency=EUR" TargetMode="External"/><Relationship Id="rId104" Type="http://schemas.openxmlformats.org/officeDocument/2006/relationships/hyperlink" Target="https://onlinegamespromo.fazi.rs/Home/IntegrationGameLaunch?moneyType=0&amp;gameName=UnicornSantasRudolf&amp;platform=desktop&amp;languageCode=eng&amp;currency=EUR" TargetMode="External"/><Relationship Id="rId109" Type="http://schemas.openxmlformats.org/officeDocument/2006/relationships/hyperlink" Target="https://onlinegamespromo.fazi.rs/Home/IntegrationGameLaunch?moneyType=0&amp;gameName=UnicornSevensPay&amp;platform=desktop&amp;languageCode=eng&amp;currency=EUR" TargetMode="External"/><Relationship Id="rId108" Type="http://schemas.openxmlformats.org/officeDocument/2006/relationships/hyperlink" Target="https://onlinegamespromo.fazi.rs/Home/IntegrationGameLaunch?moneyType=0&amp;gameName=UnicornFruitMultipliers&amp;platform=desktop&amp;languageCode=eng&amp;currency=EUR" TargetMode="External"/><Relationship Id="rId103" Type="http://schemas.openxmlformats.org/officeDocument/2006/relationships/hyperlink" Target="https://onlinegamespromo.fazi.rs/Home/IntegrationGameLaunch?moneyType=0&amp;gameName=UnicornStormDice&amp;platform=desktop&amp;languageCode=eng&amp;currency=EUR" TargetMode="External"/><Relationship Id="rId102" Type="http://schemas.openxmlformats.org/officeDocument/2006/relationships/hyperlink" Target="https://onlinegamespromo.fazi.rs/Home/IntegrationGameLaunch?moneyType=0&amp;gameName=UnicornFruitIslandDice&amp;platform=desktop&amp;languageCode=eng&amp;currency=EUR" TargetMode="External"/><Relationship Id="rId101" Type="http://schemas.openxmlformats.org/officeDocument/2006/relationships/hyperlink" Target="https://onlinegamespromo.fazi.rs/Home/IntegrationGameLaunch?moneyType=0&amp;gameName=UnicornBigSpinDice&amp;platform=desktop&amp;languageCode=eng&amp;currency=EUR" TargetMode="External"/><Relationship Id="rId100" Type="http://schemas.openxmlformats.org/officeDocument/2006/relationships/hyperlink" Target="https://onlinegamespromo.fazi.rs/Home/IntegrationGameLaunch?moneyType=0&amp;gameName=UnicornSuperHighRunner&amp;platform=desktop&amp;languageCode=eng&amp;currency=EUR" TargetMode="External"/><Relationship Id="rId129" Type="http://schemas.openxmlformats.org/officeDocument/2006/relationships/hyperlink" Target="https://onlinegamespromo.fazi.rs/Home/IntegrationGameLaunch?moneyType=0&amp;gameName=UnicornHotFiredice&amp;platform=desktop&amp;languageCode=eng&amp;currency=EUR" TargetMode="External"/><Relationship Id="rId128" Type="http://schemas.openxmlformats.org/officeDocument/2006/relationships/hyperlink" Target="https://onlinegamespromo.fazi.rs/Home/IntegrationGameLaunch?moneyType=0&amp;gameName=UnicornHotEightyOne&amp;platform=desktop&amp;languageCode=eng&amp;currency=EUR" TargetMode="External"/><Relationship Id="rId127" Type="http://schemas.openxmlformats.org/officeDocument/2006/relationships/hyperlink" Target="https://onlinegamespromo.fazi.rs/Home/IntegrationGameLaunch?moneyType=0&amp;gameName=UnicornShinyFireballs&amp;platform=desktop&amp;languageCode=eng&amp;currency=EUR" TargetMode="External"/><Relationship Id="rId126" Type="http://schemas.openxmlformats.org/officeDocument/2006/relationships/hyperlink" Target="https://onlinegamespromo.fazi.rs/Home/IntegrationGameLaunch?moneyType=0&amp;gameName=UnicornMoneyStandardJackpot&amp;platform=desktop&amp;languageCode=eng&amp;currency=EUR" TargetMode="External"/><Relationship Id="rId121" Type="http://schemas.openxmlformats.org/officeDocument/2006/relationships/hyperlink" Target="https://onlinegamespromo.fazi.rs/Home/IntegrationGameLaunch?moneyType=0&amp;gameName=UnicornThreeReelTripleFruit&amp;platform=desktop&amp;languageCode=eng&amp;currency=EUR" TargetMode="External"/><Relationship Id="rId120" Type="http://schemas.openxmlformats.org/officeDocument/2006/relationships/hyperlink" Target="https://onlinegamespromo.fazi.rs/Home/IntegrationGameLaunch?moneyType=0&amp;gameName=UnicornTripleRoyalWilds&amp;platform=desktop&amp;languageCode=eng&amp;currency=EUR" TargetMode="External"/><Relationship Id="rId125" Type="http://schemas.openxmlformats.org/officeDocument/2006/relationships/hyperlink" Target="https://onlinegamespromo.fazi.rs/Home/IntegrationGameLaunch?moneyType=0&amp;gameName=UnicornGoldenGateFruit&amp;platform=desktop&amp;languageCode=eng&amp;currency=EUR" TargetMode="External"/><Relationship Id="rId124" Type="http://schemas.openxmlformats.org/officeDocument/2006/relationships/hyperlink" Target="https://onlinegamespromo.fazi.rs/Home/IntegrationGameLaunch?moneyType=0&amp;gameName=UnicornTropicalTreasure&amp;platform=desktop&amp;languageCode=eng&amp;currency=EUR" TargetMode="External"/><Relationship Id="rId123" Type="http://schemas.openxmlformats.org/officeDocument/2006/relationships/hyperlink" Target="https://onlinegamespromo.fazi.rs/Home/IntegrationGameLaunch?moneyType=0&amp;gameName=UnicornThreeReelDice&amp;platform=desktop&amp;languageCode=eng&amp;currency=EUR" TargetMode="External"/><Relationship Id="rId122" Type="http://schemas.openxmlformats.org/officeDocument/2006/relationships/hyperlink" Target="https://onlinegamespromo.fazi.rs/Home/IntegrationGameLaunch?moneyType=0&amp;gameName=UnicornHotFireballs&amp;platform=desktop&amp;languageCode=eng&amp;currency=EUR" TargetMode="External"/><Relationship Id="rId95" Type="http://schemas.openxmlformats.org/officeDocument/2006/relationships/hyperlink" Target="https://onlinegamespromo.fazi.rs/Home/IntegrationGameLaunch?moneyType=0&amp;gameName=UnicornFruitIslandJackpot&amp;platform=desktop&amp;languageCode=eng&amp;currency=EUR" TargetMode="External"/><Relationship Id="rId94" Type="http://schemas.openxmlformats.org/officeDocument/2006/relationships/hyperlink" Target="https://onlinegamespromo.fazi.rs/Home/IntegrationGameLaunch?moneyType=0&amp;gameName=UnicornFruitPlay&amp;platform=desktop&amp;languageCode=eng&amp;currency=EUR" TargetMode="External"/><Relationship Id="rId97" Type="http://schemas.openxmlformats.org/officeDocument/2006/relationships/hyperlink" Target="https://onlinegamespromo.fazi.rs/Home/IntegrationGameLaunch?moneyType=0&amp;gameName=UnicornCoyoteSevensHalloween&amp;platform=desktop&amp;languageCode=eng&amp;currency=EUR" TargetMode="External"/><Relationship Id="rId96" Type="http://schemas.openxmlformats.org/officeDocument/2006/relationships/hyperlink" Target="https://onlinegamespromo.fazi.rs/Home/IntegrationGameLaunch?moneyType=0&amp;gameName=UnicornCollectCall&amp;platform=desktop&amp;languageCode=eng&amp;currency=EUR" TargetMode="External"/><Relationship Id="rId99" Type="http://schemas.openxmlformats.org/officeDocument/2006/relationships/hyperlink" Target="https://onlinegamespromo.fazi.rs/Home/IntegrationGameLaunch?moneyType=0&amp;gameName=UnicornTheKingsHalloween&amp;platform=desktop&amp;languageCode=eng&amp;currency=EUR" TargetMode="External"/><Relationship Id="rId98" Type="http://schemas.openxmlformats.org/officeDocument/2006/relationships/hyperlink" Target="https://onlinegamespromo.fazi.rs/Home/IntegrationGameLaunch?moneyType=0&amp;gameName=UnicornLavaGems&amp;platform=desktop&amp;languageCode=eng&amp;currency=EUR" TargetMode="External"/><Relationship Id="rId91" Type="http://schemas.openxmlformats.org/officeDocument/2006/relationships/hyperlink" Target="https://onlinegamespromo.fazi.rs/Home/IntegrationGameLaunch?moneyType=0&amp;gameName=UnicornDynamiteEscape&amp;platform=desktop&amp;languageCode=eng&amp;currency=EUR" TargetMode="External"/><Relationship Id="rId90" Type="http://schemas.openxmlformats.org/officeDocument/2006/relationships/hyperlink" Target="https://onlinegamespromo.fazi.rs/Home/IntegrationGameLaunch?moneyType=0&amp;gameName=UnicornReelyWildReels&amp;platform=desktop&amp;languageCode=eng&amp;currency=EUR" TargetMode="External"/><Relationship Id="rId93" Type="http://schemas.openxmlformats.org/officeDocument/2006/relationships/hyperlink" Target="https://onlinegamespromo.fazi.rs/Home/IntegrationGameLaunch?moneyType=0&amp;gameName=UnicornScatterKaChing&amp;platform=desktop&amp;languageCode=eng&amp;currency=EUR" TargetMode="External"/><Relationship Id="rId92" Type="http://schemas.openxmlformats.org/officeDocument/2006/relationships/hyperlink" Target="https://onlinegamespromo.fazi.rs/Home/IntegrationGameLaunch?moneyType=0&amp;gameName=UnicornBuffaloSevensJackpot&amp;platform=desktop&amp;languageCode=eng&amp;currency=EUR" TargetMode="External"/><Relationship Id="rId118" Type="http://schemas.openxmlformats.org/officeDocument/2006/relationships/hyperlink" Target="https://onlinegamespromo.fazi.rs/Home/IntegrationGameLaunch?moneyType=0&amp;gameName=UnicornDragonGems&amp;platform=desktop&amp;languageCode=eng&amp;currency=EUR" TargetMode="External"/><Relationship Id="rId117" Type="http://schemas.openxmlformats.org/officeDocument/2006/relationships/hyperlink" Target="https://onlinegamespromo.fazi.rs/Home/IntegrationGameLaunch?moneyType=0&amp;gameName=UnicornCoyoteSevensJackpot&amp;platform=desktop&amp;languageCode=eng&amp;currency=EUR" TargetMode="External"/><Relationship Id="rId116" Type="http://schemas.openxmlformats.org/officeDocument/2006/relationships/hyperlink" Target="https://onlinegamespromo.fazi.rs/Home/IntegrationGameLaunch?moneyType=0&amp;gameName=UnicornLionsSevensExtreme&amp;platform=desktop&amp;languageCode=eng&amp;currency=EUR" TargetMode="External"/><Relationship Id="rId115" Type="http://schemas.openxmlformats.org/officeDocument/2006/relationships/hyperlink" Target="https://onlinegamespromo.fazi.rs/Home/IntegrationGameLaunch?moneyType=0&amp;gameName=UnicornLuckyGinger&amp;platform=desktop&amp;languageCode=eng&amp;currency=EUR" TargetMode="External"/><Relationship Id="rId119" Type="http://schemas.openxmlformats.org/officeDocument/2006/relationships/hyperlink" Target="https://onlinegamespromo.fazi.rs/Home/IntegrationGameLaunch?moneyType=0&amp;gameName=UnicornByeBouse&amp;platform=desktop&amp;languageCode=eng&amp;currency=EUR" TargetMode="External"/><Relationship Id="rId110" Type="http://schemas.openxmlformats.org/officeDocument/2006/relationships/hyperlink" Target="https://onlinegamespromo.fazi.rs/Home/IntegrationGameLaunch?moneyType=0&amp;gameName=UnicornDynamiteBoomDice&amp;platform=desktop&amp;languageCode=eng&amp;currency=EUR" TargetMode="External"/><Relationship Id="rId114" Type="http://schemas.openxmlformats.org/officeDocument/2006/relationships/hyperlink" Target="https://onlinegamespromo.fazi.rs/Home/IntegrationGameLaunch?moneyType=0&amp;gameName=UnicornSuperDiceRunner&amp;platform=desktop&amp;languageCode=eng&amp;currency=EUR" TargetMode="External"/><Relationship Id="rId113" Type="http://schemas.openxmlformats.org/officeDocument/2006/relationships/hyperlink" Target="https://onlinegamespromo.fazi.rs/Home/IntegrationGameLaunch?moneyType=0&amp;gameName=UnicornThreeReelFruitBoost&amp;platform=desktop&amp;languageCode=eng&amp;currency=EUR" TargetMode="External"/><Relationship Id="rId112" Type="http://schemas.openxmlformats.org/officeDocument/2006/relationships/hyperlink" Target="https://onlinegamespromo.fazi.rs/Home/IntegrationGameLaunch?moneyType=0&amp;gameName=UnicornTripleStackedDiamondJackpot&amp;platform=desktop&amp;languageCode=eng&amp;currency=EUR" TargetMode="External"/><Relationship Id="rId111" Type="http://schemas.openxmlformats.org/officeDocument/2006/relationships/hyperlink" Target="https://onlinegamespromo.fazi.rs/Home/IntegrationGameLaunch?moneyType=0&amp;gameName=UnicornBuffaloDiceJackpot&amp;platform=desktop&amp;languageCode=eng&amp;currency=EUR" TargetMode="External"/></Relationships>
</file>

<file path=xl/worksheets/_rels/sheet5.xml.rels><?xml version="1.0" encoding="UTF-8" standalone="yes"?><Relationships xmlns="http://schemas.openxmlformats.org/package/2006/relationships"><Relationship Id="rId10" Type="http://schemas.openxmlformats.org/officeDocument/2006/relationships/drawing" Target="../drawings/drawing5.xml"/><Relationship Id="rId1" Type="http://schemas.openxmlformats.org/officeDocument/2006/relationships/hyperlink" Target="https://rgs-lucky-crown-10.soko.games/?demo=True&amp;locale=eng" TargetMode="External"/><Relationship Id="rId2" Type="http://schemas.openxmlformats.org/officeDocument/2006/relationships/hyperlink" Target="https://rgs-hot-chili-fiesta.soko.games/?demo=True&amp;locale=eng" TargetMode="External"/><Relationship Id="rId3" Type="http://schemas.openxmlformats.org/officeDocument/2006/relationships/hyperlink" Target="https://rgs-double-hot-chili.soko.games/?demo=True&amp;locale=eng" TargetMode="External"/><Relationship Id="rId4" Type="http://schemas.openxmlformats.org/officeDocument/2006/relationships/hyperlink" Target="https://rgs-royal-jewels-fortune-deluxe.soko.games/?demo=True&amp;locale=eng" TargetMode="External"/><Relationship Id="rId9" Type="http://schemas.openxmlformats.org/officeDocument/2006/relationships/hyperlink" Target="https://rgs-triple-crown-jewels.soko.games/?demo=True&amp;locale=eng" TargetMode="External"/><Relationship Id="rId5" Type="http://schemas.openxmlformats.org/officeDocument/2006/relationships/hyperlink" Target="https://rgs-wild-chili-fiesta.soko.games/?demo=True&amp;locale=eng" TargetMode="External"/><Relationship Id="rId6" Type="http://schemas.openxmlformats.org/officeDocument/2006/relationships/hyperlink" Target="https://rgs-royal-crown-delight.soko.games/?demo=True&amp;locale=eng" TargetMode="External"/><Relationship Id="rId7" Type="http://schemas.openxmlformats.org/officeDocument/2006/relationships/hyperlink" Target="https://rgs-wild-sheriff-fortune.soko.games/?demo=True&amp;locale=eng" TargetMode="External"/><Relationship Id="rId8" Type="http://schemas.openxmlformats.org/officeDocument/2006/relationships/hyperlink" Target="https://rgs-nile-queen-temple-legacy.soko.games/?demo=True&amp;locale=en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""Fazi"",
  all_rows, IFERROR(FILTER(AllGames_Games!A2:AZ1001, (AllGames_Games!AQ2:AQ1001 = TRUE) + (AllGames_Games!AQ2:AQ1001 = ""TRUE"")), """"),
  base_games, IFERROR(FILTER(all_rows, IF(studio_filter = """", 1, CHOOSECOLS(all_"&amp;"rows, 3) = studio_filter)), """"),
  IF(INDEX(base_games, 1, 1) = """", ""Nema rezultata za filter"",
    LET(
      gamename_keys, CHOOSECOLS(base_games, 4),
      gameid_keys, CHOOSECOLS(base_games, 6),
      studio, VSTACK(""GameStudio"", CHO"&amp;"OSECOLS(base_games, 3)),
      name, VSTACK(""GameName"", gamename_keys),
      gameID, VSTACK(""GameID"", gameid_keys),
      release, VSTACK(""ReleaseDate"", CHOOSECOLS(base_games, 19)),
      category, VSTACK(""GameCategoryID"", CHOOSECOLS(base_games, "&amp;"11)),
      size, VSTACK(""GameSize"", CHOOSECOLS(base_games, 16)),
      reels, VSTACK(""ReelsAndRows"", CHOOSECOLS(base_games, 21)),
      lines, VSTACK(""Paylines"", CHOOSECOLS(base_games, 22)),
      payLines, VSTACK(""PayableLines"", CHOOSECOLS(base_"&amp;"games, 23)),
      rtp, VSTACK(""RTP%"", ARRAYFORMULA(IF(CHOOSECOLS(base_games, 24)="""", """", CHOOSECOLS(base_games, 24) &amp; ""%""))),
      volatility, VSTACK(""VolatilityID"", CHOOSECOLS(base_games, 25)),
      hit, VSTACK(""HitFrequency%"", ARRAYFORMUL"&amp;"A(IF(CHOOSECOLS(base_games,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40)),
      promo, VSTACK(""PromoTex"&amp;"t"", CHOOSECOLS(base_games, 45)),
      part1, HSTACK(studio, name, gameID, release, category, size, reels, lines, payLines, rtp, volatility, hit, exposure, bet, jackpot, features, demo, promo),
      lang_headers, GameLanguages_za_CA!B1:AD1"&amp;",
      lang_data, ARRAYFORMULA(IFERROR(VLOOKUP(gameid_keys, GameLanguages_za_CA!A:AD, SEQUENCE(1, COLUMNS(lang_headers), 2), 0), """")),
      part2, VSTACK(lang_headers, lang_data),
      jur_headers, FILTER(Jurisdiction_report!B1:BY1, Jurisdicti"&amp;"on_report!B1:BY1 &lt;&gt; """"),
      jur_data_raw, ARRAYFORMULA(IFERROR(VLOOKUP(gamename_keys, Jurisdiction_report!A:ZZ, SEQUENCE(1, COLUMNS(jur_headers), 2), 0), """")),
      has_available, BYCOL(jur_data_raw, LAMBDA(col, COUNTIF(col, ""Available"") "&amp;"&gt; 0)),
      valid_col_indices, IFERROR(FILTER(SEQUENCE(1, COLUMNS(jur_headers)), has_available), 0),
      part3, IF(INDEX(valid_col_indices, 1, 1) = 0,
        MAKEARRAY(ROWS(base_games) + 1, 1, LAMBDA(r, c, IF(r = 1, ""Jurisdictions (None Availa"&amp;"ble)"", """"))),
        LET(
          filtered_headers, CHOOSECOLS(jur_headers, valid_col_indices),
          filtered_data_raw, CHOOSECOLS(jur_data_raw, valid_col_indices),
          filtered_data, ARRAYFORMULA(IF(filtered_data_raw = ""Available"", ""A"&amp;"vailable"",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IFERROR(__xludf.DUMMYFUNCTION("""COMPUTED_VALUE"""),"Brazil")</f>
        <v>Brazil</v>
      </c>
      <c r="AW2" s="3" t="str">
        <f>IFERROR(__xludf.DUMMYFUNCTION("""COMPUTED_VALUE"""),"Portugal")</f>
        <v>Portugal</v>
      </c>
      <c r="AX2" s="3" t="str">
        <f>IFERROR(__xludf.DUMMYFUNCTION("""COMPUTED_VALUE"""),"Switzerland")</f>
        <v>Switzerland</v>
      </c>
      <c r="AY2" s="3" t="str">
        <f>IFERROR(__xludf.DUMMYFUNCTION("""COMPUTED_VALUE"""),"Peru")</f>
        <v>Peru</v>
      </c>
      <c r="AZ2" s="3" t="str">
        <f>IFERROR(__xludf.DUMMYFUNCTION("""COMPUTED_VALUE"""),"Italy")</f>
        <v>Italy</v>
      </c>
      <c r="BA2" s="3" t="str">
        <f>IFERROR(__xludf.DUMMYFUNCTION("""COMPUTED_VALUE"""),"Belarus")</f>
        <v>Belarus</v>
      </c>
      <c r="BB2" s="3" t="str">
        <f>IFERROR(__xludf.DUMMYFUNCTION("""COMPUTED_VALUE"""),"Croatia")</f>
        <v>Croatia</v>
      </c>
      <c r="BC2" s="3" t="str">
        <f>IFERROR(__xludf.DUMMYFUNCTION("""COMPUTED_VALUE"""),"Romania")</f>
        <v>Romania</v>
      </c>
      <c r="BD2" s="3" t="str">
        <f>IFERROR(__xludf.DUMMYFUNCTION("""COMPUTED_VALUE"""),"Colombia")</f>
        <v>Colombia</v>
      </c>
      <c r="BE2" s="3" t="str">
        <f>IFERROR(__xludf.DUMMYFUNCTION("""COMPUTED_VALUE"""),"Greece")</f>
        <v>Greece</v>
      </c>
      <c r="BF2" s="3" t="str">
        <f>IFERROR(__xludf.DUMMYFUNCTION("""COMPUTED_VALUE"""),"Czechia")</f>
        <v>Czechia</v>
      </c>
      <c r="BG2" s="3" t="str">
        <f>IFERROR(__xludf.DUMMYFUNCTION("""COMPUTED_VALUE"""),"Netherlands")</f>
        <v>Netherlands</v>
      </c>
      <c r="BH2" s="3" t="str">
        <f>IFERROR(__xludf.DUMMYFUNCTION("""COMPUTED_VALUE"""),"Lithuania")</f>
        <v>Lithuania</v>
      </c>
      <c r="BI2" s="3" t="str">
        <f>IFERROR(__xludf.DUMMYFUNCTION("""COMPUTED_VALUE"""),"Latvia")</f>
        <v>Latvia</v>
      </c>
      <c r="BJ2" s="3" t="str">
        <f>IFERROR(__xludf.DUMMYFUNCTION("""COMPUTED_VALUE"""),"Bulgaria")</f>
        <v>Bulgaria</v>
      </c>
      <c r="BK2" s="3" t="str">
        <f>IFERROR(__xludf.DUMMYFUNCTION("""COMPUTED_VALUE"""),"Republic of Srpska")</f>
        <v>Republic of Srpska</v>
      </c>
      <c r="BL2" s="3" t="str">
        <f>IFERROR(__xludf.DUMMYFUNCTION("""COMPUTED_VALUE"""),"Austria")</f>
        <v>Austria</v>
      </c>
      <c r="BM2" s="3" t="str">
        <f>IFERROR(__xludf.DUMMYFUNCTION("""COMPUTED_VALUE"""),"Georgia")</f>
        <v>Georgia</v>
      </c>
      <c r="BN2" s="3"/>
      <c r="BO2" s="3"/>
      <c r="BP2" s="3"/>
      <c r="BQ2" s="3"/>
      <c r="BR2" s="3"/>
      <c r="BS2" s="3"/>
      <c r="BT2" s="3"/>
      <c r="BU2" s="3"/>
      <c r="BV2" s="3"/>
      <c r="BW2" s="3"/>
      <c r="BX2" s="3"/>
      <c r="BY2" s="3"/>
    </row>
    <row r="3">
      <c r="A3" s="5" t="str">
        <f>IFERROR(__xludf.DUMMYFUNCTION("""COMPUTED_VALUE"""),"Fazi")</f>
        <v>Fazi</v>
      </c>
      <c r="B3" s="5" t="str">
        <f>IFERROR(__xludf.DUMMYFUNCTION("""COMPUTED_VALUE"""),"Postman")</f>
        <v>Postman</v>
      </c>
      <c r="C3" s="5" t="str">
        <f>IFERROR(__xludf.DUMMYFUNCTION("""COMPUTED_VALUE"""),"Postman")</f>
        <v>Postman</v>
      </c>
      <c r="D3" s="6">
        <f>IFERROR(__xludf.DUMMYFUNCTION("""COMPUTED_VALUE"""),42948.0)</f>
        <v>42948</v>
      </c>
      <c r="E3" s="5" t="str">
        <f>IFERROR(__xludf.DUMMYFUNCTION("""COMPUTED_VALUE"""),"Slot")</f>
        <v>Slot</v>
      </c>
      <c r="F3" s="5">
        <f>IFERROR(__xludf.DUMMYFUNCTION("""COMPUTED_VALUE"""),36.2)</f>
        <v>36.2</v>
      </c>
      <c r="G3" s="5" t="str">
        <f>IFERROR(__xludf.DUMMYFUNCTION("""COMPUTED_VALUE"""),"5x3")</f>
        <v>5x3</v>
      </c>
      <c r="H3" s="5" t="str">
        <f>IFERROR(__xludf.DUMMYFUNCTION("""COMPUTED_VALUE"""),"10")</f>
        <v>10</v>
      </c>
      <c r="I3" s="5" t="str">
        <f>IFERROR(__xludf.DUMMYFUNCTION("""COMPUTED_VALUE"""),"1,3,5,7,10")</f>
        <v>1,3,5,7,10</v>
      </c>
      <c r="J3" s="5" t="str">
        <f>IFERROR(__xludf.DUMMYFUNCTION("""COMPUTED_VALUE"""),"82.602%")</f>
        <v>82.602%</v>
      </c>
      <c r="K3" s="5" t="str">
        <f>IFERROR(__xludf.DUMMYFUNCTION("""COMPUTED_VALUE"""),"High")</f>
        <v>High</v>
      </c>
      <c r="L3" s="5" t="str">
        <f>IFERROR(__xludf.DUMMYFUNCTION("""COMPUTED_VALUE"""),"24.04%")</f>
        <v>24.04%</v>
      </c>
      <c r="M3" s="5" t="str">
        <f>IFERROR(__xludf.DUMMYFUNCTION("""COMPUTED_VALUE"""),"x4368")</f>
        <v>x4368</v>
      </c>
      <c r="N3" s="5" t="str">
        <f>IFERROR(__xludf.DUMMYFUNCTION("""COMPUTED_VALUE"""),"0.01/40")</f>
        <v>0.01/40</v>
      </c>
      <c r="O3" s="5" t="str">
        <f>IFERROR(__xludf.DUMMYFUNCTION("""COMPUTED_VALUE"""),"Yes")</f>
        <v>Yes</v>
      </c>
      <c r="P3" s="5" t="str">
        <f>IFERROR(__xludf.DUMMYFUNCTION("""COMPUTED_VALUE"""),"Bonus Game with Multiplier, Wild Multiplier, Scatter")</f>
        <v>Bonus Game with Multiplier, Wild Multiplier, Scatter</v>
      </c>
      <c r="Q3" s="7" t="str">
        <f>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R3" s="5" t="str">
        <f>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S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IFERROR(__xludf.DUMMYFUNCTION("""COMPUTED_VALUE"""),"Yes")</f>
        <v>Yes</v>
      </c>
      <c r="AH3" s="5" t="str">
        <f>IFERROR(__xludf.DUMMYFUNCTION("""COMPUTED_VALUE"""),"Yes")</f>
        <v>Yes</v>
      </c>
      <c r="AI3" s="5" t="str">
        <f>IFERROR(__xludf.DUMMYFUNCTION("""COMPUTED_VALUE"""),"Yes")</f>
        <v>Yes</v>
      </c>
      <c r="AJ3" s="5" t="str">
        <f>IFERROR(__xludf.DUMMYFUNCTION("""COMPUTED_VALUE"""),"Yes")</f>
        <v>Yes</v>
      </c>
      <c r="AK3" s="5" t="str">
        <f>IFERROR(__xludf.DUMMYFUNCTION("""COMPUTED_VALUE"""),"Yes")</f>
        <v>Yes</v>
      </c>
      <c r="AL3" s="5" t="str">
        <f>IFERROR(__xludf.DUMMYFUNCTION("""COMPUTED_VALUE"""),"Yes")</f>
        <v>Yes</v>
      </c>
      <c r="AM3" s="5" t="str">
        <f>IFERROR(__xludf.DUMMYFUNCTION("""COMPUTED_VALUE"""),"Yes")</f>
        <v>Yes</v>
      </c>
      <c r="AN3" s="5" t="str">
        <f>IFERROR(__xludf.DUMMYFUNCTION("""COMPUTED_VALUE"""),"Yes")</f>
        <v>Yes</v>
      </c>
      <c r="AO3" s="5" t="str">
        <f>IFERROR(__xludf.DUMMYFUNCTION("""COMPUTED_VALUE"""),"Yes")</f>
        <v>Yes</v>
      </c>
      <c r="AP3" s="5" t="str">
        <f>IFERROR(__xludf.DUMMYFUNCTION("""COMPUTED_VALUE"""),"Yes")</f>
        <v>Yes</v>
      </c>
      <c r="AQ3" s="5" t="str">
        <f>IFERROR(__xludf.DUMMYFUNCTION("""COMPUTED_VALUE"""),"Yes")</f>
        <v>Yes</v>
      </c>
      <c r="AR3" s="5" t="str">
        <f>IFERROR(__xludf.DUMMYFUNCTION("""COMPUTED_VALUE"""),"Yes")</f>
        <v>Yes</v>
      </c>
      <c r="AS3" s="5" t="str">
        <f>IFERROR(__xludf.DUMMYFUNCTION("""COMPUTED_VALUE"""),"Yes")</f>
        <v>Yes</v>
      </c>
      <c r="AT3" s="5" t="str">
        <f>IFERROR(__xludf.DUMMYFUNCTION("""COMPUTED_VALUE"""),"No")</f>
        <v>No</v>
      </c>
      <c r="AU3" s="5"/>
      <c r="AV3" s="5" t="str">
        <f>IFERROR(__xludf.DUMMYFUNCTION("""COMPUTED_VALUE"""),"")</f>
        <v/>
      </c>
      <c r="AW3" s="5" t="str">
        <f>IFERROR(__xludf.DUMMYFUNCTION("""COMPUTED_VALUE"""),"")</f>
        <v/>
      </c>
      <c r="AX3" s="5" t="str">
        <f>IFERROR(__xludf.DUMMYFUNCTION("""COMPUTED_VALUE"""),"")</f>
        <v/>
      </c>
      <c r="AY3" s="5" t="str">
        <f>IFERROR(__xludf.DUMMYFUNCTION("""COMPUTED_VALUE"""),"")</f>
        <v/>
      </c>
      <c r="AZ3" s="5" t="str">
        <f>IFERROR(__xludf.DUMMYFUNCTION("""COMPUTED_VALUE"""),"")</f>
        <v/>
      </c>
      <c r="BA3" s="5" t="str">
        <f>IFERROR(__xludf.DUMMYFUNCTION("""COMPUTED_VALUE"""),"")</f>
        <v/>
      </c>
      <c r="BB3" s="5" t="str">
        <f>IFERROR(__xludf.DUMMYFUNCTION("""COMPUTED_VALUE"""),"")</f>
        <v/>
      </c>
      <c r="BC3" s="5" t="str">
        <f>IFERROR(__xludf.DUMMYFUNCTION("""COMPUTED_VALUE"""),"")</f>
        <v/>
      </c>
      <c r="BD3" s="5" t="str">
        <f>IFERROR(__xludf.DUMMYFUNCTION("""COMPUTED_VALUE"""),"")</f>
        <v/>
      </c>
      <c r="BE3" s="5" t="str">
        <f>IFERROR(__xludf.DUMMYFUNCTION("""COMPUTED_VALUE"""),"")</f>
        <v/>
      </c>
      <c r="BF3" s="5" t="str">
        <f>IFERROR(__xludf.DUMMYFUNCTION("""COMPUTED_VALUE"""),"")</f>
        <v/>
      </c>
      <c r="BG3" s="5" t="str">
        <f>IFERROR(__xludf.DUMMYFUNCTION("""COMPUTED_VALUE"""),"")</f>
        <v/>
      </c>
      <c r="BH3" s="5" t="str">
        <f>IFERROR(__xludf.DUMMYFUNCTION("""COMPUTED_VALUE"""),"")</f>
        <v/>
      </c>
      <c r="BI3" s="5" t="str">
        <f>IFERROR(__xludf.DUMMYFUNCTION("""COMPUTED_VALUE"""),"")</f>
        <v/>
      </c>
      <c r="BJ3" s="5" t="str">
        <f>IFERROR(__xludf.DUMMYFUNCTION("""COMPUTED_VALUE"""),"")</f>
        <v/>
      </c>
      <c r="BK3" s="5" t="str">
        <f>IFERROR(__xludf.DUMMYFUNCTION("""COMPUTED_VALUE"""),"")</f>
        <v/>
      </c>
      <c r="BL3" s="5" t="str">
        <f>IFERROR(__xludf.DUMMYFUNCTION("""COMPUTED_VALUE"""),"")</f>
        <v/>
      </c>
      <c r="BM3" s="5" t="str">
        <f>IFERROR(__xludf.DUMMYFUNCTION("""COMPUTED_VALUE"""),"")</f>
        <v/>
      </c>
    </row>
    <row r="4">
      <c r="A4" s="5" t="str">
        <f>IFERROR(__xludf.DUMMYFUNCTION("""COMPUTED_VALUE"""),"Fazi")</f>
        <v>Fazi</v>
      </c>
      <c r="B4" s="5" t="str">
        <f>IFERROR(__xludf.DUMMYFUNCTION("""COMPUTED_VALUE"""),"Deep Jungle")</f>
        <v>Deep Jungle</v>
      </c>
      <c r="C4" s="5" t="str">
        <f>IFERROR(__xludf.DUMMYFUNCTION("""COMPUTED_VALUE"""),"DeepJungle")</f>
        <v>DeepJungle</v>
      </c>
      <c r="D4" s="6">
        <f>IFERROR(__xludf.DUMMYFUNCTION("""COMPUTED_VALUE"""),42767.0)</f>
        <v>42767</v>
      </c>
      <c r="E4" s="5" t="str">
        <f>IFERROR(__xludf.DUMMYFUNCTION("""COMPUTED_VALUE"""),"Slot")</f>
        <v>Slot</v>
      </c>
      <c r="F4" s="5">
        <f>IFERROR(__xludf.DUMMYFUNCTION("""COMPUTED_VALUE"""),25.3)</f>
        <v>25.3</v>
      </c>
      <c r="G4" s="5" t="str">
        <f>IFERROR(__xludf.DUMMYFUNCTION("""COMPUTED_VALUE"""),"5x3")</f>
        <v>5x3</v>
      </c>
      <c r="H4" s="5" t="str">
        <f>IFERROR(__xludf.DUMMYFUNCTION("""COMPUTED_VALUE"""),"20")</f>
        <v>20</v>
      </c>
      <c r="I4" s="5" t="str">
        <f>IFERROR(__xludf.DUMMYFUNCTION("""COMPUTED_VALUE"""),"20")</f>
        <v>20</v>
      </c>
      <c r="J4" s="5" t="str">
        <f>IFERROR(__xludf.DUMMYFUNCTION("""COMPUTED_VALUE"""),"96.288%")</f>
        <v>96.288%</v>
      </c>
      <c r="K4" s="5" t="str">
        <f>IFERROR(__xludf.DUMMYFUNCTION("""COMPUTED_VALUE"""),"Medium")</f>
        <v>Medium</v>
      </c>
      <c r="L4" s="5" t="str">
        <f>IFERROR(__xludf.DUMMYFUNCTION("""COMPUTED_VALUE"""),"22.04%")</f>
        <v>22.04%</v>
      </c>
      <c r="M4" s="5" t="str">
        <f>IFERROR(__xludf.DUMMYFUNCTION("""COMPUTED_VALUE"""),"x1005")</f>
        <v>x1005</v>
      </c>
      <c r="N4" s="5" t="str">
        <f>IFERROR(__xludf.DUMMYFUNCTION("""COMPUTED_VALUE"""),"0.2/50")</f>
        <v>0.2/50</v>
      </c>
      <c r="O4" s="5" t="str">
        <f>IFERROR(__xludf.DUMMYFUNCTION("""COMPUTED_VALUE"""),"Yes")</f>
        <v>Yes</v>
      </c>
      <c r="P4" s="5" t="str">
        <f>IFERROR(__xludf.DUMMYFUNCTION("""COMPUTED_VALUE"""),"Scatter, Wild Symbol, Exploding Wild")</f>
        <v>Scatter, Wild Symbol, Exploding Wild</v>
      </c>
      <c r="Q4" s="7" t="str">
        <f>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R4" s="5" t="str">
        <f>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S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IFERROR(__xludf.DUMMYFUNCTION("""COMPUTED_VALUE"""),"Yes")</f>
        <v>Yes</v>
      </c>
      <c r="AJ4" s="5" t="str">
        <f>IFERROR(__xludf.DUMMYFUNCTION("""COMPUTED_VALUE"""),"Yes")</f>
        <v>Yes</v>
      </c>
      <c r="AK4" s="5" t="str">
        <f>IFERROR(__xludf.DUMMYFUNCTION("""COMPUTED_VALUE"""),"Yes")</f>
        <v>Yes</v>
      </c>
      <c r="AL4" s="5" t="str">
        <f>IFERROR(__xludf.DUMMYFUNCTION("""COMPUTED_VALUE"""),"Yes")</f>
        <v>Yes</v>
      </c>
      <c r="AM4" s="5" t="str">
        <f>IFERROR(__xludf.DUMMYFUNCTION("""COMPUTED_VALUE"""),"Yes")</f>
        <v>Yes</v>
      </c>
      <c r="AN4" s="5" t="str">
        <f>IFERROR(__xludf.DUMMYFUNCTION("""COMPUTED_VALUE"""),"Yes")</f>
        <v>Yes</v>
      </c>
      <c r="AO4" s="5" t="str">
        <f>IFERROR(__xludf.DUMMYFUNCTION("""COMPUTED_VALUE"""),"Yes")</f>
        <v>Yes</v>
      </c>
      <c r="AP4" s="5" t="str">
        <f>IFERROR(__xludf.DUMMYFUNCTION("""COMPUTED_VALUE"""),"Yes")</f>
        <v>Yes</v>
      </c>
      <c r="AQ4" s="5" t="str">
        <f>IFERROR(__xludf.DUMMYFUNCTION("""COMPUTED_VALUE"""),"Yes")</f>
        <v>Yes</v>
      </c>
      <c r="AR4" s="5" t="str">
        <f>IFERROR(__xludf.DUMMYFUNCTION("""COMPUTED_VALUE"""),"Yes")</f>
        <v>Yes</v>
      </c>
      <c r="AS4" s="5" t="str">
        <f>IFERROR(__xludf.DUMMYFUNCTION("""COMPUTED_VALUE"""),"Yes")</f>
        <v>Yes</v>
      </c>
      <c r="AT4" s="5" t="str">
        <f>IFERROR(__xludf.DUMMYFUNCTION("""COMPUTED_VALUE"""),"No")</f>
        <v>No</v>
      </c>
      <c r="AU4" s="5"/>
      <c r="AV4" s="5" t="str">
        <f>IFERROR(__xludf.DUMMYFUNCTION("""COMPUTED_VALUE"""),"Available")</f>
        <v>Available</v>
      </c>
      <c r="AW4" s="5" t="str">
        <f>IFERROR(__xludf.DUMMYFUNCTION("""COMPUTED_VALUE"""),"")</f>
        <v/>
      </c>
      <c r="AX4" s="5" t="str">
        <f>IFERROR(__xludf.DUMMYFUNCTION("""COMPUTED_VALUE"""),"")</f>
        <v/>
      </c>
      <c r="AY4" s="5" t="str">
        <f>IFERROR(__xludf.DUMMYFUNCTION("""COMPUTED_VALUE"""),"Available")</f>
        <v>Available</v>
      </c>
      <c r="AZ4" s="5" t="str">
        <f>IFERROR(__xludf.DUMMYFUNCTION("""COMPUTED_VALUE"""),"")</f>
        <v/>
      </c>
      <c r="BA4" s="5" t="str">
        <f>IFERROR(__xludf.DUMMYFUNCTION("""COMPUTED_VALUE"""),"")</f>
        <v/>
      </c>
      <c r="BB4" s="5" t="str">
        <f>IFERROR(__xludf.DUMMYFUNCTION("""COMPUTED_VALUE"""),"")</f>
        <v/>
      </c>
      <c r="BC4" s="5" t="str">
        <f>IFERROR(__xludf.DUMMYFUNCTION("""COMPUTED_VALUE"""),"")</f>
        <v/>
      </c>
      <c r="BD4" s="5" t="str">
        <f>IFERROR(__xludf.DUMMYFUNCTION("""COMPUTED_VALUE"""),"Available")</f>
        <v>Available</v>
      </c>
      <c r="BE4" s="5" t="str">
        <f>IFERROR(__xludf.DUMMYFUNCTION("""COMPUTED_VALUE"""),"")</f>
        <v/>
      </c>
      <c r="BF4" s="5" t="str">
        <f>IFERROR(__xludf.DUMMYFUNCTION("""COMPUTED_VALUE"""),"")</f>
        <v/>
      </c>
      <c r="BG4" s="5" t="str">
        <f>IFERROR(__xludf.DUMMYFUNCTION("""COMPUTED_VALUE"""),"")</f>
        <v/>
      </c>
      <c r="BH4" s="5" t="str">
        <f>IFERROR(__xludf.DUMMYFUNCTION("""COMPUTED_VALUE"""),"")</f>
        <v/>
      </c>
      <c r="BI4" s="5" t="str">
        <f>IFERROR(__xludf.DUMMYFUNCTION("""COMPUTED_VALUE"""),"")</f>
        <v/>
      </c>
      <c r="BJ4" s="5" t="str">
        <f>IFERROR(__xludf.DUMMYFUNCTION("""COMPUTED_VALUE"""),"")</f>
        <v/>
      </c>
      <c r="BK4" s="5" t="str">
        <f>IFERROR(__xludf.DUMMYFUNCTION("""COMPUTED_VALUE"""),"")</f>
        <v/>
      </c>
      <c r="BL4" s="5" t="str">
        <f>IFERROR(__xludf.DUMMYFUNCTION("""COMPUTED_VALUE"""),"")</f>
        <v/>
      </c>
      <c r="BM4" s="5" t="str">
        <f>IFERROR(__xludf.DUMMYFUNCTION("""COMPUTED_VALUE"""),"")</f>
        <v/>
      </c>
    </row>
    <row r="5">
      <c r="A5" s="5" t="str">
        <f>IFERROR(__xludf.DUMMYFUNCTION("""COMPUTED_VALUE"""),"Fazi")</f>
        <v>Fazi</v>
      </c>
      <c r="B5" s="5" t="str">
        <f>IFERROR(__xludf.DUMMYFUNCTION("""COMPUTED_VALUE"""),"Wizard")</f>
        <v>Wizard</v>
      </c>
      <c r="C5" s="5" t="str">
        <f>IFERROR(__xludf.DUMMYFUNCTION("""COMPUTED_VALUE"""),"Wizard")</f>
        <v>Wizard</v>
      </c>
      <c r="D5" s="6">
        <f>IFERROR(__xludf.DUMMYFUNCTION("""COMPUTED_VALUE"""),43040.0)</f>
        <v>43040</v>
      </c>
      <c r="E5" s="5" t="str">
        <f>IFERROR(__xludf.DUMMYFUNCTION("""COMPUTED_VALUE"""),"Slot")</f>
        <v>Slot</v>
      </c>
      <c r="F5" s="5">
        <f>IFERROR(__xludf.DUMMYFUNCTION("""COMPUTED_VALUE"""),29.8)</f>
        <v>29.8</v>
      </c>
      <c r="G5" s="5" t="str">
        <f>IFERROR(__xludf.DUMMYFUNCTION("""COMPUTED_VALUE"""),"5x3")</f>
        <v>5x3</v>
      </c>
      <c r="H5" s="5" t="str">
        <f>IFERROR(__xludf.DUMMYFUNCTION("""COMPUTED_VALUE"""),"20")</f>
        <v>20</v>
      </c>
      <c r="I5" s="5" t="str">
        <f>IFERROR(__xludf.DUMMYFUNCTION("""COMPUTED_VALUE"""),"1,3,5,7,9,10,20")</f>
        <v>1,3,5,7,9,10,20</v>
      </c>
      <c r="J5" s="5" t="str">
        <f>IFERROR(__xludf.DUMMYFUNCTION("""COMPUTED_VALUE"""),"96.087%")</f>
        <v>96.087%</v>
      </c>
      <c r="K5" s="5" t="str">
        <f>IFERROR(__xludf.DUMMYFUNCTION("""COMPUTED_VALUE"""),"High")</f>
        <v>High</v>
      </c>
      <c r="L5" s="5" t="str">
        <f>IFERROR(__xludf.DUMMYFUNCTION("""COMPUTED_VALUE"""),"38.06%")</f>
        <v>38.06%</v>
      </c>
      <c r="M5" s="5" t="str">
        <f>IFERROR(__xludf.DUMMYFUNCTION("""COMPUTED_VALUE"""),"x3428")</f>
        <v>x3428</v>
      </c>
      <c r="N5" s="5" t="str">
        <f>IFERROR(__xludf.DUMMYFUNCTION("""COMPUTED_VALUE"""),"0.20/50")</f>
        <v>0.20/50</v>
      </c>
      <c r="O5" s="5" t="str">
        <f>IFERROR(__xludf.DUMMYFUNCTION("""COMPUTED_VALUE"""),"Yes")</f>
        <v>Yes</v>
      </c>
      <c r="P5" s="5" t="str">
        <f>IFERROR(__xludf.DUMMYFUNCTION("""COMPUTED_VALUE"""),"Bonus Game with Multiplier, Wild Multiplier, Scatter")</f>
        <v>Bonus Game with Multiplier, Wild Multiplier, Scatter</v>
      </c>
      <c r="Q5" s="7" t="str">
        <f>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R5" s="5" t="str">
        <f>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S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IFERROR(__xludf.DUMMYFUNCTION("""COMPUTED_VALUE"""),"Yes")</f>
        <v>Yes</v>
      </c>
      <c r="AH5" s="5" t="str">
        <f>IFERROR(__xludf.DUMMYFUNCTION("""COMPUTED_VALUE"""),"Yes")</f>
        <v>Yes</v>
      </c>
      <c r="AI5" s="5" t="str">
        <f>IFERROR(__xludf.DUMMYFUNCTION("""COMPUTED_VALUE"""),"Yes")</f>
        <v>Yes</v>
      </c>
      <c r="AJ5" s="5" t="str">
        <f>IFERROR(__xludf.DUMMYFUNCTION("""COMPUTED_VALUE"""),"Yes")</f>
        <v>Yes</v>
      </c>
      <c r="AK5" s="5" t="str">
        <f>IFERROR(__xludf.DUMMYFUNCTION("""COMPUTED_VALUE"""),"Yes")</f>
        <v>Yes</v>
      </c>
      <c r="AL5" s="5" t="str">
        <f>IFERROR(__xludf.DUMMYFUNCTION("""COMPUTED_VALUE"""),"Yes")</f>
        <v>Yes</v>
      </c>
      <c r="AM5" s="5" t="str">
        <f>IFERROR(__xludf.DUMMYFUNCTION("""COMPUTED_VALUE"""),"Yes")</f>
        <v>Yes</v>
      </c>
      <c r="AN5" s="5" t="str">
        <f>IFERROR(__xludf.DUMMYFUNCTION("""COMPUTED_VALUE"""),"Yes")</f>
        <v>Yes</v>
      </c>
      <c r="AO5" s="5" t="str">
        <f>IFERROR(__xludf.DUMMYFUNCTION("""COMPUTED_VALUE"""),"Yes")</f>
        <v>Yes</v>
      </c>
      <c r="AP5" s="5" t="str">
        <f>IFERROR(__xludf.DUMMYFUNCTION("""COMPUTED_VALUE"""),"Yes")</f>
        <v>Yes</v>
      </c>
      <c r="AQ5" s="5" t="str">
        <f>IFERROR(__xludf.DUMMYFUNCTION("""COMPUTED_VALUE"""),"Yes")</f>
        <v>Yes</v>
      </c>
      <c r="AR5" s="5" t="str">
        <f>IFERROR(__xludf.DUMMYFUNCTION("""COMPUTED_VALUE"""),"Yes")</f>
        <v>Yes</v>
      </c>
      <c r="AS5" s="5" t="str">
        <f>IFERROR(__xludf.DUMMYFUNCTION("""COMPUTED_VALUE"""),"Yes")</f>
        <v>Yes</v>
      </c>
      <c r="AT5" s="5" t="str">
        <f>IFERROR(__xludf.DUMMYFUNCTION("""COMPUTED_VALUE"""),"No")</f>
        <v>No</v>
      </c>
      <c r="AU5" s="5"/>
      <c r="AV5" s="5" t="str">
        <f>IFERROR(__xludf.DUMMYFUNCTION("""COMPUTED_VALUE"""),"")</f>
        <v/>
      </c>
      <c r="AW5" s="5" t="str">
        <f>IFERROR(__xludf.DUMMYFUNCTION("""COMPUTED_VALUE"""),"")</f>
        <v/>
      </c>
      <c r="AX5" s="5" t="str">
        <f>IFERROR(__xludf.DUMMYFUNCTION("""COMPUTED_VALUE"""),"Available")</f>
        <v>Available</v>
      </c>
      <c r="AY5" s="5" t="str">
        <f>IFERROR(__xludf.DUMMYFUNCTION("""COMPUTED_VALUE"""),"")</f>
        <v/>
      </c>
      <c r="AZ5" s="5" t="str">
        <f>IFERROR(__xludf.DUMMYFUNCTION("""COMPUTED_VALUE"""),"Available")</f>
        <v>Available</v>
      </c>
      <c r="BA5" s="5" t="str">
        <f>IFERROR(__xludf.DUMMYFUNCTION("""COMPUTED_VALUE"""),"Available")</f>
        <v>Available</v>
      </c>
      <c r="BB5" s="5" t="str">
        <f>IFERROR(__xludf.DUMMYFUNCTION("""COMPUTED_VALUE"""),"")</f>
        <v/>
      </c>
      <c r="BC5" s="5" t="str">
        <f>IFERROR(__xludf.DUMMYFUNCTION("""COMPUTED_VALUE"""),"Available")</f>
        <v>Available</v>
      </c>
      <c r="BD5" s="5" t="str">
        <f>IFERROR(__xludf.DUMMYFUNCTION("""COMPUTED_VALUE"""),"")</f>
        <v/>
      </c>
      <c r="BE5" s="5" t="str">
        <f>IFERROR(__xludf.DUMMYFUNCTION("""COMPUTED_VALUE"""),"")</f>
        <v/>
      </c>
      <c r="BF5" s="5" t="str">
        <f>IFERROR(__xludf.DUMMYFUNCTION("""COMPUTED_VALUE"""),"")</f>
        <v/>
      </c>
      <c r="BG5" s="5" t="str">
        <f>IFERROR(__xludf.DUMMYFUNCTION("""COMPUTED_VALUE"""),"")</f>
        <v/>
      </c>
      <c r="BH5" s="5" t="str">
        <f>IFERROR(__xludf.DUMMYFUNCTION("""COMPUTED_VALUE"""),"")</f>
        <v/>
      </c>
      <c r="BI5" s="5" t="str">
        <f>IFERROR(__xludf.DUMMYFUNCTION("""COMPUTED_VALUE"""),"")</f>
        <v/>
      </c>
      <c r="BJ5" s="5" t="str">
        <f>IFERROR(__xludf.DUMMYFUNCTION("""COMPUTED_VALUE"""),"")</f>
        <v/>
      </c>
      <c r="BK5" s="5" t="str">
        <f>IFERROR(__xludf.DUMMYFUNCTION("""COMPUTED_VALUE"""),"")</f>
        <v/>
      </c>
      <c r="BL5" s="5" t="str">
        <f>IFERROR(__xludf.DUMMYFUNCTION("""COMPUTED_VALUE"""),"")</f>
        <v/>
      </c>
      <c r="BM5" s="5" t="str">
        <f>IFERROR(__xludf.DUMMYFUNCTION("""COMPUTED_VALUE"""),"")</f>
        <v/>
      </c>
    </row>
    <row r="6">
      <c r="A6" s="5" t="str">
        <f>IFERROR(__xludf.DUMMYFUNCTION("""COMPUTED_VALUE"""),"Fazi")</f>
        <v>Fazi</v>
      </c>
      <c r="B6" s="5" t="str">
        <f>IFERROR(__xludf.DUMMYFUNCTION("""COMPUTED_VALUE"""),"Fruits and Stars")</f>
        <v>Fruits and Stars</v>
      </c>
      <c r="C6" s="5" t="str">
        <f>IFERROR(__xludf.DUMMYFUNCTION("""COMPUTED_VALUE"""),"FruitsAndStars")</f>
        <v>FruitsAndStars</v>
      </c>
      <c r="D6" s="6">
        <f>IFERROR(__xludf.DUMMYFUNCTION("""COMPUTED_VALUE"""),42826.0)</f>
        <v>42826</v>
      </c>
      <c r="E6" s="5" t="str">
        <f>IFERROR(__xludf.DUMMYFUNCTION("""COMPUTED_VALUE"""),"Slot")</f>
        <v>Slot</v>
      </c>
      <c r="F6" s="5">
        <f>IFERROR(__xludf.DUMMYFUNCTION("""COMPUTED_VALUE"""),19.5)</f>
        <v>19.5</v>
      </c>
      <c r="G6" s="5" t="str">
        <f>IFERROR(__xludf.DUMMYFUNCTION("""COMPUTED_VALUE"""),"5x3")</f>
        <v>5x3</v>
      </c>
      <c r="H6" s="5" t="str">
        <f>IFERROR(__xludf.DUMMYFUNCTION("""COMPUTED_VALUE"""),"20")</f>
        <v>20</v>
      </c>
      <c r="I6" s="5" t="str">
        <f>IFERROR(__xludf.DUMMYFUNCTION("""COMPUTED_VALUE"""),"1,3,5,7,10,20")</f>
        <v>1,3,5,7,10,20</v>
      </c>
      <c r="J6" s="5" t="str">
        <f>IFERROR(__xludf.DUMMYFUNCTION("""COMPUTED_VALUE"""),"95.79%")</f>
        <v>95.79%</v>
      </c>
      <c r="K6" s="5" t="str">
        <f>IFERROR(__xludf.DUMMYFUNCTION("""COMPUTED_VALUE"""),"Low")</f>
        <v>Low</v>
      </c>
      <c r="L6" s="5" t="str">
        <f>IFERROR(__xludf.DUMMYFUNCTION("""COMPUTED_VALUE"""),"17.45%")</f>
        <v>17.45%</v>
      </c>
      <c r="M6" s="5" t="str">
        <f>IFERROR(__xludf.DUMMYFUNCTION("""COMPUTED_VALUE"""),"x1000")</f>
        <v>x1000</v>
      </c>
      <c r="N6" s="5" t="str">
        <f>IFERROR(__xludf.DUMMYFUNCTION("""COMPUTED_VALUE"""),"0.01/50")</f>
        <v>0.01/50</v>
      </c>
      <c r="O6" s="5" t="str">
        <f>IFERROR(__xludf.DUMMYFUNCTION("""COMPUTED_VALUE"""),"Yes")</f>
        <v>Yes</v>
      </c>
      <c r="P6" s="5" t="str">
        <f>IFERROR(__xludf.DUMMYFUNCTION("""COMPUTED_VALUE"""),"Wild Symbol, Scatter")</f>
        <v>Wild Symbol, Scatter</v>
      </c>
      <c r="Q6" s="7" t="str">
        <f>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R6" s="5" t="str">
        <f>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S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 s="5" t="str">
        <f>IFERROR(__xludf.DUMMYFUNCTION("""COMPUTED_VALUE"""),"Yes")</f>
        <v>Yes</v>
      </c>
      <c r="U6" s="5" t="str">
        <f>IFERROR(__xludf.DUMMYFUNCTION("""COMPUTED_VALUE"""),"Yes")</f>
        <v>Yes</v>
      </c>
      <c r="V6" s="5" t="str">
        <f>IFERROR(__xludf.DUMMYFUNCTION("""COMPUTED_VALUE"""),"Yes")</f>
        <v>Yes</v>
      </c>
      <c r="W6" s="5" t="str">
        <f>IFERROR(__xludf.DUMMYFUNCTION("""COMPUTED_VALUE"""),"Yes")</f>
        <v>Yes</v>
      </c>
      <c r="X6" s="5" t="str">
        <f>IFERROR(__xludf.DUMMYFUNCTION("""COMPUTED_VALUE"""),"Yes")</f>
        <v>Yes</v>
      </c>
      <c r="Y6" s="5" t="str">
        <f>IFERROR(__xludf.DUMMYFUNCTION("""COMPUTED_VALUE"""),"Yes")</f>
        <v>Yes</v>
      </c>
      <c r="Z6" s="5" t="str">
        <f>IFERROR(__xludf.DUMMYFUNCTION("""COMPUTED_VALUE"""),"Yes")</f>
        <v>Yes</v>
      </c>
      <c r="AA6" s="5" t="str">
        <f>IFERROR(__xludf.DUMMYFUNCTION("""COMPUTED_VALUE"""),"Yes")</f>
        <v>Yes</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IFERROR(__xludf.DUMMYFUNCTION("""COMPUTED_VALUE"""),"Yes")</f>
        <v>Yes</v>
      </c>
      <c r="AH6" s="5" t="str">
        <f>IFERROR(__xludf.DUMMYFUNCTION("""COMPUTED_VALUE"""),"Yes")</f>
        <v>Yes</v>
      </c>
      <c r="AI6" s="5" t="str">
        <f>IFERROR(__xludf.DUMMYFUNCTION("""COMPUTED_VALUE"""),"Yes")</f>
        <v>Yes</v>
      </c>
      <c r="AJ6" s="5" t="str">
        <f>IFERROR(__xludf.DUMMYFUNCTION("""COMPUTED_VALUE"""),"Yes")</f>
        <v>Yes</v>
      </c>
      <c r="AK6" s="5" t="str">
        <f>IFERROR(__xludf.DUMMYFUNCTION("""COMPUTED_VALUE"""),"Yes")</f>
        <v>Yes</v>
      </c>
      <c r="AL6" s="5" t="str">
        <f>IFERROR(__xludf.DUMMYFUNCTION("""COMPUTED_VALUE"""),"Yes")</f>
        <v>Yes</v>
      </c>
      <c r="AM6" s="5" t="str">
        <f>IFERROR(__xludf.DUMMYFUNCTION("""COMPUTED_VALUE"""),"Yes")</f>
        <v>Yes</v>
      </c>
      <c r="AN6" s="5" t="str">
        <f>IFERROR(__xludf.DUMMYFUNCTION("""COMPUTED_VALUE"""),"Yes")</f>
        <v>Yes</v>
      </c>
      <c r="AO6" s="5" t="str">
        <f>IFERROR(__xludf.DUMMYFUNCTION("""COMPUTED_VALUE"""),"Yes")</f>
        <v>Yes</v>
      </c>
      <c r="AP6" s="5" t="str">
        <f>IFERROR(__xludf.DUMMYFUNCTION("""COMPUTED_VALUE"""),"Yes")</f>
        <v>Yes</v>
      </c>
      <c r="AQ6" s="5" t="str">
        <f>IFERROR(__xludf.DUMMYFUNCTION("""COMPUTED_VALUE"""),"Yes")</f>
        <v>Yes</v>
      </c>
      <c r="AR6" s="5" t="str">
        <f>IFERROR(__xludf.DUMMYFUNCTION("""COMPUTED_VALUE"""),"Yes")</f>
        <v>Yes</v>
      </c>
      <c r="AS6" s="5" t="str">
        <f>IFERROR(__xludf.DUMMYFUNCTION("""COMPUTED_VALUE"""),"Yes")</f>
        <v>Yes</v>
      </c>
      <c r="AT6" s="5" t="str">
        <f>IFERROR(__xludf.DUMMYFUNCTION("""COMPUTED_VALUE"""),"No")</f>
        <v>No</v>
      </c>
      <c r="AU6" s="5"/>
      <c r="AV6" s="5" t="str">
        <f>IFERROR(__xludf.DUMMYFUNCTION("""COMPUTED_VALUE"""),"Available")</f>
        <v>Available</v>
      </c>
      <c r="AW6" s="5" t="str">
        <f>IFERROR(__xludf.DUMMYFUNCTION("""COMPUTED_VALUE"""),"Available")</f>
        <v>Available</v>
      </c>
      <c r="AX6" s="5" t="str">
        <f>IFERROR(__xludf.DUMMYFUNCTION("""COMPUTED_VALUE"""),"Available")</f>
        <v>Available</v>
      </c>
      <c r="AY6" s="5" t="str">
        <f>IFERROR(__xludf.DUMMYFUNCTION("""COMPUTED_VALUE"""),"Available")</f>
        <v>Available</v>
      </c>
      <c r="AZ6" s="5" t="str">
        <f>IFERROR(__xludf.DUMMYFUNCTION("""COMPUTED_VALUE"""),"Available")</f>
        <v>Available</v>
      </c>
      <c r="BA6" s="5" t="str">
        <f>IFERROR(__xludf.DUMMYFUNCTION("""COMPUTED_VALUE"""),"Available")</f>
        <v>Available</v>
      </c>
      <c r="BB6" s="5" t="str">
        <f>IFERROR(__xludf.DUMMYFUNCTION("""COMPUTED_VALUE"""),"Available")</f>
        <v>Available</v>
      </c>
      <c r="BC6" s="5" t="str">
        <f>IFERROR(__xludf.DUMMYFUNCTION("""COMPUTED_VALUE"""),"Available")</f>
        <v>Available</v>
      </c>
      <c r="BD6" s="5" t="str">
        <f>IFERROR(__xludf.DUMMYFUNCTION("""COMPUTED_VALUE"""),"Available")</f>
        <v>Available</v>
      </c>
      <c r="BE6" s="5" t="str">
        <f>IFERROR(__xludf.DUMMYFUNCTION("""COMPUTED_VALUE"""),"Available")</f>
        <v>Available</v>
      </c>
      <c r="BF6" s="5" t="str">
        <f>IFERROR(__xludf.DUMMYFUNCTION("""COMPUTED_VALUE"""),"")</f>
        <v/>
      </c>
      <c r="BG6" s="5" t="str">
        <f>IFERROR(__xludf.DUMMYFUNCTION("""COMPUTED_VALUE"""),"Available")</f>
        <v>Available</v>
      </c>
      <c r="BH6" s="5" t="str">
        <f>IFERROR(__xludf.DUMMYFUNCTION("""COMPUTED_VALUE"""),"")</f>
        <v/>
      </c>
      <c r="BI6" s="5" t="str">
        <f>IFERROR(__xludf.DUMMYFUNCTION("""COMPUTED_VALUE"""),"Available")</f>
        <v>Available</v>
      </c>
      <c r="BJ6" s="5" t="str">
        <f>IFERROR(__xludf.DUMMYFUNCTION("""COMPUTED_VALUE"""),"")</f>
        <v/>
      </c>
      <c r="BK6" s="5" t="str">
        <f>IFERROR(__xludf.DUMMYFUNCTION("""COMPUTED_VALUE"""),"Available")</f>
        <v>Available</v>
      </c>
      <c r="BL6" s="5" t="str">
        <f>IFERROR(__xludf.DUMMYFUNCTION("""COMPUTED_VALUE"""),"")</f>
        <v/>
      </c>
      <c r="BM6" s="5" t="str">
        <f>IFERROR(__xludf.DUMMYFUNCTION("""COMPUTED_VALUE"""),"Available")</f>
        <v>Available</v>
      </c>
    </row>
    <row r="7">
      <c r="A7" s="5" t="str">
        <f>IFERROR(__xludf.DUMMYFUNCTION("""COMPUTED_VALUE"""),"Fazi")</f>
        <v>Fazi</v>
      </c>
      <c r="B7" s="5" t="str">
        <f>IFERROR(__xludf.DUMMYFUNCTION("""COMPUTED_VALUE"""),"Wild West")</f>
        <v>Wild West</v>
      </c>
      <c r="C7" s="5" t="str">
        <f>IFERROR(__xludf.DUMMYFUNCTION("""COMPUTED_VALUE"""),"WildWest")</f>
        <v>WildWest</v>
      </c>
      <c r="D7" s="6">
        <f>IFERROR(__xludf.DUMMYFUNCTION("""COMPUTED_VALUE"""),42979.0)</f>
        <v>42979</v>
      </c>
      <c r="E7" s="5" t="str">
        <f>IFERROR(__xludf.DUMMYFUNCTION("""COMPUTED_VALUE"""),"Slot")</f>
        <v>Slot</v>
      </c>
      <c r="F7" s="5">
        <f>IFERROR(__xludf.DUMMYFUNCTION("""COMPUTED_VALUE"""),32.7)</f>
        <v>32.7</v>
      </c>
      <c r="G7" s="5" t="str">
        <f>IFERROR(__xludf.DUMMYFUNCTION("""COMPUTED_VALUE"""),"5x3")</f>
        <v>5x3</v>
      </c>
      <c r="H7" s="5" t="str">
        <f>IFERROR(__xludf.DUMMYFUNCTION("""COMPUTED_VALUE"""),"20")</f>
        <v>20</v>
      </c>
      <c r="I7" s="5" t="str">
        <f>IFERROR(__xludf.DUMMYFUNCTION("""COMPUTED_VALUE"""),"20")</f>
        <v>20</v>
      </c>
      <c r="J7" s="5" t="str">
        <f>IFERROR(__xludf.DUMMYFUNCTION("""COMPUTED_VALUE"""),"95.625%")</f>
        <v>95.625%</v>
      </c>
      <c r="K7" s="5" t="str">
        <f>IFERROR(__xludf.DUMMYFUNCTION("""COMPUTED_VALUE"""),"High")</f>
        <v>High</v>
      </c>
      <c r="L7" s="5" t="str">
        <f>IFERROR(__xludf.DUMMYFUNCTION("""COMPUTED_VALUE"""),"26.36%")</f>
        <v>26.36%</v>
      </c>
      <c r="M7" s="5" t="str">
        <f>IFERROR(__xludf.DUMMYFUNCTION("""COMPUTED_VALUE"""),"x1005")</f>
        <v>x1005</v>
      </c>
      <c r="N7" s="5" t="str">
        <f>IFERROR(__xludf.DUMMYFUNCTION("""COMPUTED_VALUE"""),"0.20/50")</f>
        <v>0.20/50</v>
      </c>
      <c r="O7" s="5" t="str">
        <f>IFERROR(__xludf.DUMMYFUNCTION("""COMPUTED_VALUE"""),"Yes")</f>
        <v>Yes</v>
      </c>
      <c r="P7" s="5" t="str">
        <f>IFERROR(__xludf.DUMMYFUNCTION("""COMPUTED_VALUE"""),"Wild Symbol, Bonus Game with Sticky Wild")</f>
        <v>Wild Symbol, Bonus Game with Sticky Wild</v>
      </c>
      <c r="Q7" s="7" t="str">
        <f>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R7" s="5" t="str">
        <f>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S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IFERROR(__xludf.DUMMYFUNCTION("""COMPUTED_VALUE"""),"Yes")</f>
        <v>Yes</v>
      </c>
      <c r="AJ7" s="5" t="str">
        <f>IFERROR(__xludf.DUMMYFUNCTION("""COMPUTED_VALUE"""),"Yes")</f>
        <v>Yes</v>
      </c>
      <c r="AK7" s="5" t="str">
        <f>IFERROR(__xludf.DUMMYFUNCTION("""COMPUTED_VALUE"""),"Yes")</f>
        <v>Yes</v>
      </c>
      <c r="AL7" s="5" t="str">
        <f>IFERROR(__xludf.DUMMYFUNCTION("""COMPUTED_VALUE"""),"Yes")</f>
        <v>Yes</v>
      </c>
      <c r="AM7" s="5" t="str">
        <f>IFERROR(__xludf.DUMMYFUNCTION("""COMPUTED_VALUE"""),"Yes")</f>
        <v>Yes</v>
      </c>
      <c r="AN7" s="5" t="str">
        <f>IFERROR(__xludf.DUMMYFUNCTION("""COMPUTED_VALUE"""),"Yes")</f>
        <v>Yes</v>
      </c>
      <c r="AO7" s="5" t="str">
        <f>IFERROR(__xludf.DUMMYFUNCTION("""COMPUTED_VALUE"""),"Yes")</f>
        <v>Yes</v>
      </c>
      <c r="AP7" s="5" t="str">
        <f>IFERROR(__xludf.DUMMYFUNCTION("""COMPUTED_VALUE"""),"Yes")</f>
        <v>Yes</v>
      </c>
      <c r="AQ7" s="5" t="str">
        <f>IFERROR(__xludf.DUMMYFUNCTION("""COMPUTED_VALUE"""),"Yes")</f>
        <v>Yes</v>
      </c>
      <c r="AR7" s="5" t="str">
        <f>IFERROR(__xludf.DUMMYFUNCTION("""COMPUTED_VALUE"""),"Yes")</f>
        <v>Yes</v>
      </c>
      <c r="AS7" s="5" t="str">
        <f>IFERROR(__xludf.DUMMYFUNCTION("""COMPUTED_VALUE"""),"Yes")</f>
        <v>Yes</v>
      </c>
      <c r="AT7" s="5" t="str">
        <f>IFERROR(__xludf.DUMMYFUNCTION("""COMPUTED_VALUE"""),"No")</f>
        <v>No</v>
      </c>
      <c r="AU7" s="5"/>
      <c r="AV7" s="5" t="str">
        <f>IFERROR(__xludf.DUMMYFUNCTION("""COMPUTED_VALUE"""),"")</f>
        <v/>
      </c>
      <c r="AW7" s="5" t="str">
        <f>IFERROR(__xludf.DUMMYFUNCTION("""COMPUTED_VALUE"""),"")</f>
        <v/>
      </c>
      <c r="AX7" s="5" t="str">
        <f>IFERROR(__xludf.DUMMYFUNCTION("""COMPUTED_VALUE"""),"")</f>
        <v/>
      </c>
      <c r="AY7" s="5" t="str">
        <f>IFERROR(__xludf.DUMMYFUNCTION("""COMPUTED_VALUE"""),"")</f>
        <v/>
      </c>
      <c r="AZ7" s="5" t="str">
        <f>IFERROR(__xludf.DUMMYFUNCTION("""COMPUTED_VALUE"""),"Available")</f>
        <v>Available</v>
      </c>
      <c r="BA7" s="5" t="str">
        <f>IFERROR(__xludf.DUMMYFUNCTION("""COMPUTED_VALUE"""),"Available")</f>
        <v>Available</v>
      </c>
      <c r="BB7" s="5" t="str">
        <f>IFERROR(__xludf.DUMMYFUNCTION("""COMPUTED_VALUE"""),"")</f>
        <v/>
      </c>
      <c r="BC7" s="5" t="str">
        <f>IFERROR(__xludf.DUMMYFUNCTION("""COMPUTED_VALUE"""),"")</f>
        <v/>
      </c>
      <c r="BD7" s="5" t="str">
        <f>IFERROR(__xludf.DUMMYFUNCTION("""COMPUTED_VALUE"""),"")</f>
        <v/>
      </c>
      <c r="BE7" s="5" t="str">
        <f>IFERROR(__xludf.DUMMYFUNCTION("""COMPUTED_VALUE"""),"")</f>
        <v/>
      </c>
      <c r="BF7" s="5" t="str">
        <f>IFERROR(__xludf.DUMMYFUNCTION("""COMPUTED_VALUE"""),"")</f>
        <v/>
      </c>
      <c r="BG7" s="5" t="str">
        <f>IFERROR(__xludf.DUMMYFUNCTION("""COMPUTED_VALUE"""),"")</f>
        <v/>
      </c>
      <c r="BH7" s="5" t="str">
        <f>IFERROR(__xludf.DUMMYFUNCTION("""COMPUTED_VALUE"""),"")</f>
        <v/>
      </c>
      <c r="BI7" s="5" t="str">
        <f>IFERROR(__xludf.DUMMYFUNCTION("""COMPUTED_VALUE"""),"")</f>
        <v/>
      </c>
      <c r="BJ7" s="5" t="str">
        <f>IFERROR(__xludf.DUMMYFUNCTION("""COMPUTED_VALUE"""),"")</f>
        <v/>
      </c>
      <c r="BK7" s="5" t="str">
        <f>IFERROR(__xludf.DUMMYFUNCTION("""COMPUTED_VALUE"""),"")</f>
        <v/>
      </c>
      <c r="BL7" s="5" t="str">
        <f>IFERROR(__xludf.DUMMYFUNCTION("""COMPUTED_VALUE"""),"")</f>
        <v/>
      </c>
      <c r="BM7" s="5" t="str">
        <f>IFERROR(__xludf.DUMMYFUNCTION("""COMPUTED_VALUE"""),"")</f>
        <v/>
      </c>
    </row>
    <row r="8">
      <c r="A8" s="5" t="str">
        <f>IFERROR(__xludf.DUMMYFUNCTION("""COMPUTED_VALUE"""),"Fazi")</f>
        <v>Fazi</v>
      </c>
      <c r="B8" s="5" t="str">
        <f>IFERROR(__xludf.DUMMYFUNCTION("""COMPUTED_VALUE"""),"Pyramid")</f>
        <v>Pyramid</v>
      </c>
      <c r="C8" s="5" t="str">
        <f>IFERROR(__xludf.DUMMYFUNCTION("""COMPUTED_VALUE"""),"Pyramid")</f>
        <v>Pyramid</v>
      </c>
      <c r="D8" s="6">
        <f>IFERROR(__xludf.DUMMYFUNCTION("""COMPUTED_VALUE"""),42979.0)</f>
        <v>42979</v>
      </c>
      <c r="E8" s="5" t="str">
        <f>IFERROR(__xludf.DUMMYFUNCTION("""COMPUTED_VALUE"""),"Slot")</f>
        <v>Slot</v>
      </c>
      <c r="F8" s="5">
        <f>IFERROR(__xludf.DUMMYFUNCTION("""COMPUTED_VALUE"""),32.3)</f>
        <v>32.3</v>
      </c>
      <c r="G8" s="5" t="str">
        <f>IFERROR(__xludf.DUMMYFUNCTION("""COMPUTED_VALUE"""),"5x3")</f>
        <v>5x3</v>
      </c>
      <c r="H8" s="5" t="str">
        <f>IFERROR(__xludf.DUMMYFUNCTION("""COMPUTED_VALUE"""),"15")</f>
        <v>15</v>
      </c>
      <c r="I8" s="5" t="str">
        <f>IFERROR(__xludf.DUMMYFUNCTION("""COMPUTED_VALUE"""),"1,3,5,9,15")</f>
        <v>1,3,5,9,15</v>
      </c>
      <c r="J8" s="5" t="str">
        <f>IFERROR(__xludf.DUMMYFUNCTION("""COMPUTED_VALUE"""),"96.142%")</f>
        <v>96.142%</v>
      </c>
      <c r="K8" s="5" t="str">
        <f>IFERROR(__xludf.DUMMYFUNCTION("""COMPUTED_VALUE"""),"High")</f>
        <v>High</v>
      </c>
      <c r="L8" s="5" t="str">
        <f>IFERROR(__xludf.DUMMYFUNCTION("""COMPUTED_VALUE"""),"28.08%")</f>
        <v>28.08%</v>
      </c>
      <c r="M8" s="5" t="str">
        <f>IFERROR(__xludf.DUMMYFUNCTION("""COMPUTED_VALUE"""),"x1530")</f>
        <v>x1530</v>
      </c>
      <c r="N8" s="5" t="str">
        <f>IFERROR(__xludf.DUMMYFUNCTION("""COMPUTED_VALUE"""),"0.01/45")</f>
        <v>0.01/45</v>
      </c>
      <c r="O8" s="5" t="str">
        <f>IFERROR(__xludf.DUMMYFUNCTION("""COMPUTED_VALUE"""),"Yes")</f>
        <v>Yes</v>
      </c>
      <c r="P8" s="5" t="str">
        <f>IFERROR(__xludf.DUMMYFUNCTION("""COMPUTED_VALUE"""),"Wild Symbol, Bonus Game with Free Spins, Respin, Sticky Wild")</f>
        <v>Wild Symbol, Bonus Game with Free Spins, Respin, Sticky Wild</v>
      </c>
      <c r="Q8" s="7" t="str">
        <f>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R8" s="5" t="str">
        <f>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S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 s="5" t="str">
        <f>IFERROR(__xludf.DUMMYFUNCTION("""COMPUTED_VALUE"""),"Yes")</f>
        <v>Yes</v>
      </c>
      <c r="U8" s="5" t="str">
        <f>IFERROR(__xludf.DUMMYFUNCTION("""COMPUTED_VALUE"""),"Yes")</f>
        <v>Yes</v>
      </c>
      <c r="V8" s="5" t="str">
        <f>IFERROR(__xludf.DUMMYFUNCTION("""COMPUTED_VALUE"""),"Yes")</f>
        <v>Yes</v>
      </c>
      <c r="W8" s="5" t="str">
        <f>IFERROR(__xludf.DUMMYFUNCTION("""COMPUTED_VALUE"""),"Yes")</f>
        <v>Yes</v>
      </c>
      <c r="X8" s="5" t="str">
        <f>IFERROR(__xludf.DUMMYFUNCTION("""COMPUTED_VALUE"""),"Yes")</f>
        <v>Yes</v>
      </c>
      <c r="Y8" s="5" t="str">
        <f>IFERROR(__xludf.DUMMYFUNCTION("""COMPUTED_VALUE"""),"Yes")</f>
        <v>Yes</v>
      </c>
      <c r="Z8" s="5" t="str">
        <f>IFERROR(__xludf.DUMMYFUNCTION("""COMPUTED_VALUE"""),"Yes")</f>
        <v>Yes</v>
      </c>
      <c r="AA8" s="5" t="str">
        <f>IFERROR(__xludf.DUMMYFUNCTION("""COMPUTED_VALUE"""),"Yes")</f>
        <v>Yes</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IFERROR(__xludf.DUMMYFUNCTION("""COMPUTED_VALUE"""),"Yes")</f>
        <v>Yes</v>
      </c>
      <c r="AH8" s="5" t="str">
        <f>IFERROR(__xludf.DUMMYFUNCTION("""COMPUTED_VALUE"""),"Yes")</f>
        <v>Yes</v>
      </c>
      <c r="AI8" s="5" t="str">
        <f>IFERROR(__xludf.DUMMYFUNCTION("""COMPUTED_VALUE"""),"Yes")</f>
        <v>Yes</v>
      </c>
      <c r="AJ8" s="5" t="str">
        <f>IFERROR(__xludf.DUMMYFUNCTION("""COMPUTED_VALUE"""),"Yes")</f>
        <v>Yes</v>
      </c>
      <c r="AK8" s="5" t="str">
        <f>IFERROR(__xludf.DUMMYFUNCTION("""COMPUTED_VALUE"""),"Yes")</f>
        <v>Yes</v>
      </c>
      <c r="AL8" s="5" t="str">
        <f>IFERROR(__xludf.DUMMYFUNCTION("""COMPUTED_VALUE"""),"Yes")</f>
        <v>Yes</v>
      </c>
      <c r="AM8" s="5" t="str">
        <f>IFERROR(__xludf.DUMMYFUNCTION("""COMPUTED_VALUE"""),"Yes")</f>
        <v>Yes</v>
      </c>
      <c r="AN8" s="5" t="str">
        <f>IFERROR(__xludf.DUMMYFUNCTION("""COMPUTED_VALUE"""),"Yes")</f>
        <v>Yes</v>
      </c>
      <c r="AO8" s="5" t="str">
        <f>IFERROR(__xludf.DUMMYFUNCTION("""COMPUTED_VALUE"""),"Yes")</f>
        <v>Yes</v>
      </c>
      <c r="AP8" s="5" t="str">
        <f>IFERROR(__xludf.DUMMYFUNCTION("""COMPUTED_VALUE"""),"Yes")</f>
        <v>Yes</v>
      </c>
      <c r="AQ8" s="5" t="str">
        <f>IFERROR(__xludf.DUMMYFUNCTION("""COMPUTED_VALUE"""),"Yes")</f>
        <v>Yes</v>
      </c>
      <c r="AR8" s="5" t="str">
        <f>IFERROR(__xludf.DUMMYFUNCTION("""COMPUTED_VALUE"""),"Yes")</f>
        <v>Yes</v>
      </c>
      <c r="AS8" s="5" t="str">
        <f>IFERROR(__xludf.DUMMYFUNCTION("""COMPUTED_VALUE"""),"Yes")</f>
        <v>Yes</v>
      </c>
      <c r="AT8" s="5" t="str">
        <f>IFERROR(__xludf.DUMMYFUNCTION("""COMPUTED_VALUE"""),"No")</f>
        <v>No</v>
      </c>
      <c r="AU8" s="5"/>
      <c r="AV8" s="5" t="str">
        <f>IFERROR(__xludf.DUMMYFUNCTION("""COMPUTED_VALUE"""),"")</f>
        <v/>
      </c>
      <c r="AW8" s="5" t="str">
        <f>IFERROR(__xludf.DUMMYFUNCTION("""COMPUTED_VALUE"""),"Available")</f>
        <v>Available</v>
      </c>
      <c r="AX8" s="5" t="str">
        <f>IFERROR(__xludf.DUMMYFUNCTION("""COMPUTED_VALUE"""),"Available")</f>
        <v>Available</v>
      </c>
      <c r="AY8" s="5" t="str">
        <f>IFERROR(__xludf.DUMMYFUNCTION("""COMPUTED_VALUE"""),"Available")</f>
        <v>Available</v>
      </c>
      <c r="AZ8" s="5" t="str">
        <f>IFERROR(__xludf.DUMMYFUNCTION("""COMPUTED_VALUE"""),"Available")</f>
        <v>Available</v>
      </c>
      <c r="BA8" s="5" t="str">
        <f>IFERROR(__xludf.DUMMYFUNCTION("""COMPUTED_VALUE"""),"Available")</f>
        <v>Available</v>
      </c>
      <c r="BB8" s="5" t="str">
        <f>IFERROR(__xludf.DUMMYFUNCTION("""COMPUTED_VALUE"""),"Available")</f>
        <v>Available</v>
      </c>
      <c r="BC8" s="5" t="str">
        <f>IFERROR(__xludf.DUMMYFUNCTION("""COMPUTED_VALUE"""),"Available")</f>
        <v>Available</v>
      </c>
      <c r="BD8" s="5" t="str">
        <f>IFERROR(__xludf.DUMMYFUNCTION("""COMPUTED_VALUE"""),"")</f>
        <v/>
      </c>
      <c r="BE8" s="5" t="str">
        <f>IFERROR(__xludf.DUMMYFUNCTION("""COMPUTED_VALUE"""),"")</f>
        <v/>
      </c>
      <c r="BF8" s="5" t="str">
        <f>IFERROR(__xludf.DUMMYFUNCTION("""COMPUTED_VALUE"""),"")</f>
        <v/>
      </c>
      <c r="BG8" s="5" t="str">
        <f>IFERROR(__xludf.DUMMYFUNCTION("""COMPUTED_VALUE"""),"")</f>
        <v/>
      </c>
      <c r="BH8" s="5" t="str">
        <f>IFERROR(__xludf.DUMMYFUNCTION("""COMPUTED_VALUE"""),"")</f>
        <v/>
      </c>
      <c r="BI8" s="5" t="str">
        <f>IFERROR(__xludf.DUMMYFUNCTION("""COMPUTED_VALUE"""),"")</f>
        <v/>
      </c>
      <c r="BJ8" s="5" t="str">
        <f>IFERROR(__xludf.DUMMYFUNCTION("""COMPUTED_VALUE"""),"")</f>
        <v/>
      </c>
      <c r="BK8" s="5" t="str">
        <f>IFERROR(__xludf.DUMMYFUNCTION("""COMPUTED_VALUE"""),"Available")</f>
        <v>Available</v>
      </c>
      <c r="BL8" s="5" t="str">
        <f>IFERROR(__xludf.DUMMYFUNCTION("""COMPUTED_VALUE"""),"")</f>
        <v/>
      </c>
      <c r="BM8" s="5" t="str">
        <f>IFERROR(__xludf.DUMMYFUNCTION("""COMPUTED_VALUE"""),"")</f>
        <v/>
      </c>
    </row>
    <row r="9">
      <c r="A9" s="5" t="str">
        <f>IFERROR(__xludf.DUMMYFUNCTION("""COMPUTED_VALUE"""),"Fazi")</f>
        <v>Fazi</v>
      </c>
      <c r="B9" s="5" t="str">
        <f>IFERROR(__xludf.DUMMYFUNCTION("""COMPUTED_VALUE"""),"Roulette")</f>
        <v>Roulette</v>
      </c>
      <c r="C9" s="5" t="str">
        <f>IFERROR(__xludf.DUMMYFUNCTION("""COMPUTED_VALUE"""),"Roulette")</f>
        <v>Roulette</v>
      </c>
      <c r="D9" s="6">
        <f>IFERROR(__xludf.DUMMYFUNCTION("""COMPUTED_VALUE"""),42979.0)</f>
        <v>42979</v>
      </c>
      <c r="E9" s="5" t="str">
        <f>IFERROR(__xludf.DUMMYFUNCTION("""COMPUTED_VALUE"""),"Roulette")</f>
        <v>Roulette</v>
      </c>
      <c r="F9" s="5">
        <f>IFERROR(__xludf.DUMMYFUNCTION("""COMPUTED_VALUE"""),46.8)</f>
        <v>46.8</v>
      </c>
      <c r="G9" s="5" t="str">
        <f>IFERROR(__xludf.DUMMYFUNCTION("""COMPUTED_VALUE"""),"/")</f>
        <v>/</v>
      </c>
      <c r="H9" s="5" t="str">
        <f>IFERROR(__xludf.DUMMYFUNCTION("""COMPUTED_VALUE"""),"/")</f>
        <v>/</v>
      </c>
      <c r="I9" s="5" t="str">
        <f>IFERROR(__xludf.DUMMYFUNCTION("""COMPUTED_VALUE"""),"/")</f>
        <v>/</v>
      </c>
      <c r="J9" s="5" t="str">
        <f>IFERROR(__xludf.DUMMYFUNCTION("""COMPUTED_VALUE"""),"97.3%")</f>
        <v>97.3%</v>
      </c>
      <c r="K9" s="5" t="str">
        <f>IFERROR(__xludf.DUMMYFUNCTION("""COMPUTED_VALUE"""),"Medium")</f>
        <v>Medium</v>
      </c>
      <c r="L9" s="5" t="str">
        <f>IFERROR(__xludf.DUMMYFUNCTION("""COMPUTED_VALUE"""),"-1%")</f>
        <v>-1%</v>
      </c>
      <c r="M9" s="5" t="str">
        <f>IFERROR(__xludf.DUMMYFUNCTION("""COMPUTED_VALUE"""),"x36")</f>
        <v>x36</v>
      </c>
      <c r="N9" s="5" t="str">
        <f>IFERROR(__xludf.DUMMYFUNCTION("""COMPUTED_VALUE"""),"0.1/6000")</f>
        <v>0.1/6000</v>
      </c>
      <c r="O9" s="5" t="str">
        <f>IFERROR(__xludf.DUMMYFUNCTION("""COMPUTED_VALUE"""),"Yes")</f>
        <v>Yes</v>
      </c>
      <c r="P9" s="5"/>
      <c r="Q9" s="7" t="str">
        <f>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R9" s="5" t="str">
        <f>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S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 s="5" t="str">
        <f>IFERROR(__xludf.DUMMYFUNCTION("""COMPUTED_VALUE"""),"Yes")</f>
        <v>Yes</v>
      </c>
      <c r="U9" s="5" t="str">
        <f>IFERROR(__xludf.DUMMYFUNCTION("""COMPUTED_VALUE"""),"Yes")</f>
        <v>Yes</v>
      </c>
      <c r="V9" s="5" t="str">
        <f>IFERROR(__xludf.DUMMYFUNCTION("""COMPUTED_VALUE"""),"Yes")</f>
        <v>Yes</v>
      </c>
      <c r="W9" s="5" t="str">
        <f>IFERROR(__xludf.DUMMYFUNCTION("""COMPUTED_VALUE"""),"Yes")</f>
        <v>Yes</v>
      </c>
      <c r="X9" s="5" t="str">
        <f>IFERROR(__xludf.DUMMYFUNCTION("""COMPUTED_VALUE"""),"Yes")</f>
        <v>Yes</v>
      </c>
      <c r="Y9" s="5" t="str">
        <f>IFERROR(__xludf.DUMMYFUNCTION("""COMPUTED_VALUE"""),"Yes")</f>
        <v>Yes</v>
      </c>
      <c r="Z9" s="5" t="str">
        <f>IFERROR(__xludf.DUMMYFUNCTION("""COMPUTED_VALUE"""),"Yes")</f>
        <v>Yes</v>
      </c>
      <c r="AA9" s="5" t="str">
        <f>IFERROR(__xludf.DUMMYFUNCTION("""COMPUTED_VALUE"""),"Yes")</f>
        <v>Yes</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IFERROR(__xludf.DUMMYFUNCTION("""COMPUTED_VALUE"""),"Yes")</f>
        <v>Yes</v>
      </c>
      <c r="AH9" s="5" t="str">
        <f>IFERROR(__xludf.DUMMYFUNCTION("""COMPUTED_VALUE"""),"Yes")</f>
        <v>Yes</v>
      </c>
      <c r="AI9" s="5" t="str">
        <f>IFERROR(__xludf.DUMMYFUNCTION("""COMPUTED_VALUE"""),"Yes")</f>
        <v>Yes</v>
      </c>
      <c r="AJ9" s="5" t="str">
        <f>IFERROR(__xludf.DUMMYFUNCTION("""COMPUTED_VALUE"""),"Yes")</f>
        <v>Yes</v>
      </c>
      <c r="AK9" s="5" t="str">
        <f>IFERROR(__xludf.DUMMYFUNCTION("""COMPUTED_VALUE"""),"Yes")</f>
        <v>Yes</v>
      </c>
      <c r="AL9" s="5" t="str">
        <f>IFERROR(__xludf.DUMMYFUNCTION("""COMPUTED_VALUE"""),"Yes")</f>
        <v>Yes</v>
      </c>
      <c r="AM9" s="5" t="str">
        <f>IFERROR(__xludf.DUMMYFUNCTION("""COMPUTED_VALUE"""),"Yes")</f>
        <v>Yes</v>
      </c>
      <c r="AN9" s="5" t="str">
        <f>IFERROR(__xludf.DUMMYFUNCTION("""COMPUTED_VALUE"""),"Yes")</f>
        <v>Yes</v>
      </c>
      <c r="AO9" s="5" t="str">
        <f>IFERROR(__xludf.DUMMYFUNCTION("""COMPUTED_VALUE"""),"Yes")</f>
        <v>Yes</v>
      </c>
      <c r="AP9" s="5" t="str">
        <f>IFERROR(__xludf.DUMMYFUNCTION("""COMPUTED_VALUE"""),"Yes")</f>
        <v>Yes</v>
      </c>
      <c r="AQ9" s="5" t="str">
        <f>IFERROR(__xludf.DUMMYFUNCTION("""COMPUTED_VALUE"""),"Yes")</f>
        <v>Yes</v>
      </c>
      <c r="AR9" s="5" t="str">
        <f>IFERROR(__xludf.DUMMYFUNCTION("""COMPUTED_VALUE"""),"Yes")</f>
        <v>Yes</v>
      </c>
      <c r="AS9" s="5" t="str">
        <f>IFERROR(__xludf.DUMMYFUNCTION("""COMPUTED_VALUE"""),"Yes")</f>
        <v>Yes</v>
      </c>
      <c r="AT9" s="5" t="str">
        <f>IFERROR(__xludf.DUMMYFUNCTION("""COMPUTED_VALUE"""),"No")</f>
        <v>No</v>
      </c>
      <c r="AU9" s="5"/>
      <c r="AV9" s="5" t="str">
        <f>IFERROR(__xludf.DUMMYFUNCTION("""COMPUTED_VALUE"""),"")</f>
        <v/>
      </c>
      <c r="AW9" s="5" t="str">
        <f>IFERROR(__xludf.DUMMYFUNCTION("""COMPUTED_VALUE"""),"")</f>
        <v/>
      </c>
      <c r="AX9" s="5" t="str">
        <f>IFERROR(__xludf.DUMMYFUNCTION("""COMPUTED_VALUE"""),"")</f>
        <v/>
      </c>
      <c r="AY9" s="5" t="str">
        <f>IFERROR(__xludf.DUMMYFUNCTION("""COMPUTED_VALUE"""),"")</f>
        <v/>
      </c>
      <c r="AZ9" s="5" t="str">
        <f>IFERROR(__xludf.DUMMYFUNCTION("""COMPUTED_VALUE"""),"Available")</f>
        <v>Available</v>
      </c>
      <c r="BA9" s="5" t="str">
        <f>IFERROR(__xludf.DUMMYFUNCTION("""COMPUTED_VALUE"""),"Available")</f>
        <v>Available</v>
      </c>
      <c r="BB9" s="5" t="str">
        <f>IFERROR(__xludf.DUMMYFUNCTION("""COMPUTED_VALUE"""),"Available")</f>
        <v>Available</v>
      </c>
      <c r="BC9" s="5" t="str">
        <f>IFERROR(__xludf.DUMMYFUNCTION("""COMPUTED_VALUE"""),"Available")</f>
        <v>Available</v>
      </c>
      <c r="BD9" s="5" t="str">
        <f>IFERROR(__xludf.DUMMYFUNCTION("""COMPUTED_VALUE"""),"Available")</f>
        <v>Available</v>
      </c>
      <c r="BE9" s="5" t="str">
        <f>IFERROR(__xludf.DUMMYFUNCTION("""COMPUTED_VALUE"""),"")</f>
        <v/>
      </c>
      <c r="BF9" s="5" t="str">
        <f>IFERROR(__xludf.DUMMYFUNCTION("""COMPUTED_VALUE"""),"Available")</f>
        <v>Available</v>
      </c>
      <c r="BG9" s="5" t="str">
        <f>IFERROR(__xludf.DUMMYFUNCTION("""COMPUTED_VALUE"""),"Available")</f>
        <v>Available</v>
      </c>
      <c r="BH9" s="5" t="str">
        <f>IFERROR(__xludf.DUMMYFUNCTION("""COMPUTED_VALUE"""),"")</f>
        <v/>
      </c>
      <c r="BI9" s="5" t="str">
        <f>IFERROR(__xludf.DUMMYFUNCTION("""COMPUTED_VALUE"""),"Available")</f>
        <v>Available</v>
      </c>
      <c r="BJ9" s="5" t="str">
        <f>IFERROR(__xludf.DUMMYFUNCTION("""COMPUTED_VALUE"""),"")</f>
        <v/>
      </c>
      <c r="BK9" s="5" t="str">
        <f>IFERROR(__xludf.DUMMYFUNCTION("""COMPUTED_VALUE"""),"Available")</f>
        <v>Available</v>
      </c>
      <c r="BL9" s="5" t="str">
        <f>IFERROR(__xludf.DUMMYFUNCTION("""COMPUTED_VALUE"""),"")</f>
        <v/>
      </c>
      <c r="BM9" s="5" t="str">
        <f>IFERROR(__xludf.DUMMYFUNCTION("""COMPUTED_VALUE"""),"")</f>
        <v/>
      </c>
    </row>
    <row r="10">
      <c r="A10" s="5" t="str">
        <f>IFERROR(__xludf.DUMMYFUNCTION("""COMPUTED_VALUE"""),"Fazi")</f>
        <v>Fazi</v>
      </c>
      <c r="B10" s="5" t="str">
        <f>IFERROR(__xludf.DUMMYFUNCTION("""COMPUTED_VALUE"""),"Jolly Poker")</f>
        <v>Jolly Poker</v>
      </c>
      <c r="C10" s="5" t="str">
        <f>IFERROR(__xludf.DUMMYFUNCTION("""COMPUTED_VALUE"""),"JollyPoker")</f>
        <v>JollyPoker</v>
      </c>
      <c r="D10" s="6">
        <f>IFERROR(__xludf.DUMMYFUNCTION("""COMPUTED_VALUE"""),43070.0)</f>
        <v>43070</v>
      </c>
      <c r="E10" s="5" t="str">
        <f>IFERROR(__xludf.DUMMYFUNCTION("""COMPUTED_VALUE"""),"Poker")</f>
        <v>Poker</v>
      </c>
      <c r="F10" s="5">
        <f>IFERROR(__xludf.DUMMYFUNCTION("""COMPUTED_VALUE"""),14.8)</f>
        <v>14.8</v>
      </c>
      <c r="G10" s="5" t="str">
        <f>IFERROR(__xludf.DUMMYFUNCTION("""COMPUTED_VALUE"""),"/")</f>
        <v>/</v>
      </c>
      <c r="H10" s="5" t="str">
        <f>IFERROR(__xludf.DUMMYFUNCTION("""COMPUTED_VALUE"""),"/")</f>
        <v>/</v>
      </c>
      <c r="I10" s="5"/>
      <c r="J10" s="5" t="str">
        <f>IFERROR(__xludf.DUMMYFUNCTION("""COMPUTED_VALUE"""),"98.398%")</f>
        <v>98.398%</v>
      </c>
      <c r="K10" s="5" t="str">
        <f>IFERROR(__xludf.DUMMYFUNCTION("""COMPUTED_VALUE"""),"Low")</f>
        <v>Low</v>
      </c>
      <c r="L10" s="5" t="str">
        <f>IFERROR(__xludf.DUMMYFUNCTION("""COMPUTED_VALUE"""),"")</f>
        <v/>
      </c>
      <c r="M10" s="5" t="str">
        <f>IFERROR(__xludf.DUMMYFUNCTION("""COMPUTED_VALUE"""),"x1000")</f>
        <v>x1000</v>
      </c>
      <c r="N10" s="5" t="str">
        <f>IFERROR(__xludf.DUMMYFUNCTION("""COMPUTED_VALUE"""),"0.20/10")</f>
        <v>0.20/10</v>
      </c>
      <c r="O10" s="5" t="str">
        <f>IFERROR(__xludf.DUMMYFUNCTION("""COMPUTED_VALUE"""),"Yes")</f>
        <v>Yes</v>
      </c>
      <c r="P10" s="5" t="str">
        <f>IFERROR(__xludf.DUMMYFUNCTION("""COMPUTED_VALUE"""),"Poker machine")</f>
        <v>Poker machine</v>
      </c>
      <c r="Q10" s="7" t="str">
        <f>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R10" s="5" t="str">
        <f>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S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 s="5" t="str">
        <f>IFERROR(__xludf.DUMMYFUNCTION("""COMPUTED_VALUE"""),"Yes")</f>
        <v>Yes</v>
      </c>
      <c r="U10" s="5" t="str">
        <f>IFERROR(__xludf.DUMMYFUNCTION("""COMPUTED_VALUE"""),"Yes")</f>
        <v>Yes</v>
      </c>
      <c r="V10" s="5" t="str">
        <f>IFERROR(__xludf.DUMMYFUNCTION("""COMPUTED_VALUE"""),"Yes")</f>
        <v>Yes</v>
      </c>
      <c r="W10" s="5" t="str">
        <f>IFERROR(__xludf.DUMMYFUNCTION("""COMPUTED_VALUE"""),"Yes")</f>
        <v>Yes</v>
      </c>
      <c r="X10" s="5" t="str">
        <f>IFERROR(__xludf.DUMMYFUNCTION("""COMPUTED_VALUE"""),"Yes")</f>
        <v>Yes</v>
      </c>
      <c r="Y10" s="5" t="str">
        <f>IFERROR(__xludf.DUMMYFUNCTION("""COMPUTED_VALUE"""),"Yes")</f>
        <v>Yes</v>
      </c>
      <c r="Z10" s="5" t="str">
        <f>IFERROR(__xludf.DUMMYFUNCTION("""COMPUTED_VALUE"""),"Yes")</f>
        <v>Yes</v>
      </c>
      <c r="AA10" s="5" t="str">
        <f>IFERROR(__xludf.DUMMYFUNCTION("""COMPUTED_VALUE"""),"Yes")</f>
        <v>Yes</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IFERROR(__xludf.DUMMYFUNCTION("""COMPUTED_VALUE"""),"Yes")</f>
        <v>Yes</v>
      </c>
      <c r="AH10" s="5" t="str">
        <f>IFERROR(__xludf.DUMMYFUNCTION("""COMPUTED_VALUE"""),"Yes")</f>
        <v>Yes</v>
      </c>
      <c r="AI10" s="5" t="str">
        <f>IFERROR(__xludf.DUMMYFUNCTION("""COMPUTED_VALUE"""),"Yes")</f>
        <v>Yes</v>
      </c>
      <c r="AJ10" s="5" t="str">
        <f>IFERROR(__xludf.DUMMYFUNCTION("""COMPUTED_VALUE"""),"Yes")</f>
        <v>Yes</v>
      </c>
      <c r="AK10" s="5" t="str">
        <f>IFERROR(__xludf.DUMMYFUNCTION("""COMPUTED_VALUE"""),"Yes")</f>
        <v>Yes</v>
      </c>
      <c r="AL10" s="5" t="str">
        <f>IFERROR(__xludf.DUMMYFUNCTION("""COMPUTED_VALUE"""),"Yes")</f>
        <v>Yes</v>
      </c>
      <c r="AM10" s="5" t="str">
        <f>IFERROR(__xludf.DUMMYFUNCTION("""COMPUTED_VALUE"""),"Yes")</f>
        <v>Yes</v>
      </c>
      <c r="AN10" s="5" t="str">
        <f>IFERROR(__xludf.DUMMYFUNCTION("""COMPUTED_VALUE"""),"Yes")</f>
        <v>Yes</v>
      </c>
      <c r="AO10" s="5" t="str">
        <f>IFERROR(__xludf.DUMMYFUNCTION("""COMPUTED_VALUE"""),"Yes")</f>
        <v>Yes</v>
      </c>
      <c r="AP10" s="5" t="str">
        <f>IFERROR(__xludf.DUMMYFUNCTION("""COMPUTED_VALUE"""),"Yes")</f>
        <v>Yes</v>
      </c>
      <c r="AQ10" s="5" t="str">
        <f>IFERROR(__xludf.DUMMYFUNCTION("""COMPUTED_VALUE"""),"Yes")</f>
        <v>Yes</v>
      </c>
      <c r="AR10" s="5" t="str">
        <f>IFERROR(__xludf.DUMMYFUNCTION("""COMPUTED_VALUE"""),"Yes")</f>
        <v>Yes</v>
      </c>
      <c r="AS10" s="5" t="str">
        <f>IFERROR(__xludf.DUMMYFUNCTION("""COMPUTED_VALUE"""),"Yes")</f>
        <v>Yes</v>
      </c>
      <c r="AT10" s="5" t="str">
        <f>IFERROR(__xludf.DUMMYFUNCTION("""COMPUTED_VALUE"""),"No")</f>
        <v>No</v>
      </c>
      <c r="AU10" s="5"/>
      <c r="AV10" s="5" t="str">
        <f>IFERROR(__xludf.DUMMYFUNCTION("""COMPUTED_VALUE"""),"")</f>
        <v/>
      </c>
      <c r="AW10" s="5" t="str">
        <f>IFERROR(__xludf.DUMMYFUNCTION("""COMPUTED_VALUE"""),"")</f>
        <v/>
      </c>
      <c r="AX10" s="5" t="str">
        <f>IFERROR(__xludf.DUMMYFUNCTION("""COMPUTED_VALUE"""),"")</f>
        <v/>
      </c>
      <c r="AY10" s="5" t="str">
        <f>IFERROR(__xludf.DUMMYFUNCTION("""COMPUTED_VALUE"""),"")</f>
        <v/>
      </c>
      <c r="AZ10" s="5" t="str">
        <f>IFERROR(__xludf.DUMMYFUNCTION("""COMPUTED_VALUE"""),"")</f>
        <v/>
      </c>
      <c r="BA10" s="5" t="str">
        <f>IFERROR(__xludf.DUMMYFUNCTION("""COMPUTED_VALUE"""),"")</f>
        <v/>
      </c>
      <c r="BB10" s="5" t="str">
        <f>IFERROR(__xludf.DUMMYFUNCTION("""COMPUTED_VALUE"""),"Available")</f>
        <v>Available</v>
      </c>
      <c r="BC10" s="5" t="str">
        <f>IFERROR(__xludf.DUMMYFUNCTION("""COMPUTED_VALUE"""),"")</f>
        <v/>
      </c>
      <c r="BD10" s="5" t="str">
        <f>IFERROR(__xludf.DUMMYFUNCTION("""COMPUTED_VALUE"""),"")</f>
        <v/>
      </c>
      <c r="BE10" s="5" t="str">
        <f>IFERROR(__xludf.DUMMYFUNCTION("""COMPUTED_VALUE"""),"")</f>
        <v/>
      </c>
      <c r="BF10" s="5" t="str">
        <f>IFERROR(__xludf.DUMMYFUNCTION("""COMPUTED_VALUE"""),"")</f>
        <v/>
      </c>
      <c r="BG10" s="5" t="str">
        <f>IFERROR(__xludf.DUMMYFUNCTION("""COMPUTED_VALUE"""),"")</f>
        <v/>
      </c>
      <c r="BH10" s="5" t="str">
        <f>IFERROR(__xludf.DUMMYFUNCTION("""COMPUTED_VALUE"""),"")</f>
        <v/>
      </c>
      <c r="BI10" s="5" t="str">
        <f>IFERROR(__xludf.DUMMYFUNCTION("""COMPUTED_VALUE"""),"")</f>
        <v/>
      </c>
      <c r="BJ10" s="5" t="str">
        <f>IFERROR(__xludf.DUMMYFUNCTION("""COMPUTED_VALUE"""),"")</f>
        <v/>
      </c>
      <c r="BK10" s="5" t="str">
        <f>IFERROR(__xludf.DUMMYFUNCTION("""COMPUTED_VALUE"""),"")</f>
        <v/>
      </c>
      <c r="BL10" s="5" t="str">
        <f>IFERROR(__xludf.DUMMYFUNCTION("""COMPUTED_VALUE"""),"")</f>
        <v/>
      </c>
      <c r="BM10" s="5" t="str">
        <f>IFERROR(__xludf.DUMMYFUNCTION("""COMPUTED_VALUE"""),"")</f>
        <v/>
      </c>
    </row>
    <row r="11">
      <c r="A11" s="5" t="str">
        <f>IFERROR(__xludf.DUMMYFUNCTION("""COMPUTED_VALUE"""),"Fazi")</f>
        <v>Fazi</v>
      </c>
      <c r="B11" s="5" t="str">
        <f>IFERROR(__xludf.DUMMYFUNCTION("""COMPUTED_VALUE"""),"Juicy Hot")</f>
        <v>Juicy Hot</v>
      </c>
      <c r="C11" s="5" t="str">
        <f>IFERROR(__xludf.DUMMYFUNCTION("""COMPUTED_VALUE"""),"JuicyHot")</f>
        <v>JuicyHot</v>
      </c>
      <c r="D11" s="6">
        <f>IFERROR(__xludf.DUMMYFUNCTION("""COMPUTED_VALUE"""),42887.0)</f>
        <v>42887</v>
      </c>
      <c r="E11" s="5" t="str">
        <f>IFERROR(__xludf.DUMMYFUNCTION("""COMPUTED_VALUE"""),"Slot")</f>
        <v>Slot</v>
      </c>
      <c r="F11" s="5">
        <f>IFERROR(__xludf.DUMMYFUNCTION("""COMPUTED_VALUE"""),20.7)</f>
        <v>20.7</v>
      </c>
      <c r="G11" s="5" t="str">
        <f>IFERROR(__xludf.DUMMYFUNCTION("""COMPUTED_VALUE"""),"5x3")</f>
        <v>5x3</v>
      </c>
      <c r="H11" s="5" t="str">
        <f>IFERROR(__xludf.DUMMYFUNCTION("""COMPUTED_VALUE"""),"20")</f>
        <v>20</v>
      </c>
      <c r="I11" s="5" t="str">
        <f>IFERROR(__xludf.DUMMYFUNCTION("""COMPUTED_VALUE"""),"1,3,5,7,9,10,20")</f>
        <v>1,3,5,7,9,10,20</v>
      </c>
      <c r="J11" s="5" t="str">
        <f>IFERROR(__xludf.DUMMYFUNCTION("""COMPUTED_VALUE"""),"93.694%")</f>
        <v>93.694%</v>
      </c>
      <c r="K11" s="5" t="str">
        <f>IFERROR(__xludf.DUMMYFUNCTION("""COMPUTED_VALUE"""),"Low")</f>
        <v>Low</v>
      </c>
      <c r="L11" s="5" t="str">
        <f>IFERROR(__xludf.DUMMYFUNCTION("""COMPUTED_VALUE"""),"17.21%")</f>
        <v>17.21%</v>
      </c>
      <c r="M11" s="5" t="str">
        <f>IFERROR(__xludf.DUMMYFUNCTION("""COMPUTED_VALUE"""),"x252.5")</f>
        <v>x252.5</v>
      </c>
      <c r="N11" s="5" t="str">
        <f>IFERROR(__xludf.DUMMYFUNCTION("""COMPUTED_VALUE"""),"0.01/50")</f>
        <v>0.01/50</v>
      </c>
      <c r="O11" s="5" t="str">
        <f>IFERROR(__xludf.DUMMYFUNCTION("""COMPUTED_VALUE"""),"Yes")</f>
        <v>Yes</v>
      </c>
      <c r="P11" s="5" t="str">
        <f>IFERROR(__xludf.DUMMYFUNCTION("""COMPUTED_VALUE"""),"Scatter")</f>
        <v>Scatter</v>
      </c>
      <c r="Q11" s="7" t="str">
        <f>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R11" s="5" t="str">
        <f>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S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 s="5" t="str">
        <f>IFERROR(__xludf.DUMMYFUNCTION("""COMPUTED_VALUE"""),"Yes")</f>
        <v>Yes</v>
      </c>
      <c r="U11" s="5" t="str">
        <f>IFERROR(__xludf.DUMMYFUNCTION("""COMPUTED_VALUE"""),"Yes")</f>
        <v>Yes</v>
      </c>
      <c r="V11" s="5" t="str">
        <f>IFERROR(__xludf.DUMMYFUNCTION("""COMPUTED_VALUE"""),"Yes")</f>
        <v>Yes</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IFERROR(__xludf.DUMMYFUNCTION("""COMPUTED_VALUE"""),"Yes")</f>
        <v>Yes</v>
      </c>
      <c r="AH11" s="5" t="str">
        <f>IFERROR(__xludf.DUMMYFUNCTION("""COMPUTED_VALUE"""),"Yes")</f>
        <v>Yes</v>
      </c>
      <c r="AI11" s="5" t="str">
        <f>IFERROR(__xludf.DUMMYFUNCTION("""COMPUTED_VALUE"""),"Yes")</f>
        <v>Yes</v>
      </c>
      <c r="AJ11" s="5" t="str">
        <f>IFERROR(__xludf.DUMMYFUNCTION("""COMPUTED_VALUE"""),"Yes")</f>
        <v>Yes</v>
      </c>
      <c r="AK11" s="5" t="str">
        <f>IFERROR(__xludf.DUMMYFUNCTION("""COMPUTED_VALUE"""),"Yes")</f>
        <v>Yes</v>
      </c>
      <c r="AL11" s="5" t="str">
        <f>IFERROR(__xludf.DUMMYFUNCTION("""COMPUTED_VALUE"""),"Yes")</f>
        <v>Yes</v>
      </c>
      <c r="AM11" s="5" t="str">
        <f>IFERROR(__xludf.DUMMYFUNCTION("""COMPUTED_VALUE"""),"Yes")</f>
        <v>Yes</v>
      </c>
      <c r="AN11" s="5" t="str">
        <f>IFERROR(__xludf.DUMMYFUNCTION("""COMPUTED_VALUE"""),"Yes")</f>
        <v>Yes</v>
      </c>
      <c r="AO11" s="5" t="str">
        <f>IFERROR(__xludf.DUMMYFUNCTION("""COMPUTED_VALUE"""),"Yes")</f>
        <v>Yes</v>
      </c>
      <c r="AP11" s="5" t="str">
        <f>IFERROR(__xludf.DUMMYFUNCTION("""COMPUTED_VALUE"""),"Yes")</f>
        <v>Yes</v>
      </c>
      <c r="AQ11" s="5" t="str">
        <f>IFERROR(__xludf.DUMMYFUNCTION("""COMPUTED_VALUE"""),"Yes")</f>
        <v>Yes</v>
      </c>
      <c r="AR11" s="5" t="str">
        <f>IFERROR(__xludf.DUMMYFUNCTION("""COMPUTED_VALUE"""),"Yes")</f>
        <v>Yes</v>
      </c>
      <c r="AS11" s="5" t="str">
        <f>IFERROR(__xludf.DUMMYFUNCTION("""COMPUTED_VALUE"""),"Yes")</f>
        <v>Yes</v>
      </c>
      <c r="AT11" s="5" t="str">
        <f>IFERROR(__xludf.DUMMYFUNCTION("""COMPUTED_VALUE"""),"No")</f>
        <v>No</v>
      </c>
      <c r="AU11" s="5"/>
      <c r="AV11" s="5" t="str">
        <f>IFERROR(__xludf.DUMMYFUNCTION("""COMPUTED_VALUE"""),"")</f>
        <v/>
      </c>
      <c r="AW11" s="5" t="str">
        <f>IFERROR(__xludf.DUMMYFUNCTION("""COMPUTED_VALUE"""),"")</f>
        <v/>
      </c>
      <c r="AX11" s="5" t="str">
        <f>IFERROR(__xludf.DUMMYFUNCTION("""COMPUTED_VALUE"""),"")</f>
        <v/>
      </c>
      <c r="AY11" s="5" t="str">
        <f>IFERROR(__xludf.DUMMYFUNCTION("""COMPUTED_VALUE"""),"")</f>
        <v/>
      </c>
      <c r="AZ11" s="5" t="str">
        <f>IFERROR(__xludf.DUMMYFUNCTION("""COMPUTED_VALUE"""),"")</f>
        <v/>
      </c>
      <c r="BA11" s="5" t="str">
        <f>IFERROR(__xludf.DUMMYFUNCTION("""COMPUTED_VALUE"""),"")</f>
        <v/>
      </c>
      <c r="BB11" s="5" t="str">
        <f>IFERROR(__xludf.DUMMYFUNCTION("""COMPUTED_VALUE"""),"Available")</f>
        <v>Available</v>
      </c>
      <c r="BC11" s="5" t="str">
        <f>IFERROR(__xludf.DUMMYFUNCTION("""COMPUTED_VALUE"""),"")</f>
        <v/>
      </c>
      <c r="BD11" s="5" t="str">
        <f>IFERROR(__xludf.DUMMYFUNCTION("""COMPUTED_VALUE"""),"")</f>
        <v/>
      </c>
      <c r="BE11" s="5" t="str">
        <f>IFERROR(__xludf.DUMMYFUNCTION("""COMPUTED_VALUE"""),"")</f>
        <v/>
      </c>
      <c r="BF11" s="5" t="str">
        <f>IFERROR(__xludf.DUMMYFUNCTION("""COMPUTED_VALUE"""),"")</f>
        <v/>
      </c>
      <c r="BG11" s="5" t="str">
        <f>IFERROR(__xludf.DUMMYFUNCTION("""COMPUTED_VALUE"""),"")</f>
        <v/>
      </c>
      <c r="BH11" s="5" t="str">
        <f>IFERROR(__xludf.DUMMYFUNCTION("""COMPUTED_VALUE"""),"")</f>
        <v/>
      </c>
      <c r="BI11" s="5" t="str">
        <f>IFERROR(__xludf.DUMMYFUNCTION("""COMPUTED_VALUE"""),"")</f>
        <v/>
      </c>
      <c r="BJ11" s="5" t="str">
        <f>IFERROR(__xludf.DUMMYFUNCTION("""COMPUTED_VALUE"""),"")</f>
        <v/>
      </c>
      <c r="BK11" s="5" t="str">
        <f>IFERROR(__xludf.DUMMYFUNCTION("""COMPUTED_VALUE"""),"Available")</f>
        <v>Available</v>
      </c>
      <c r="BL11" s="5" t="str">
        <f>IFERROR(__xludf.DUMMYFUNCTION("""COMPUTED_VALUE"""),"")</f>
        <v/>
      </c>
      <c r="BM11" s="5" t="str">
        <f>IFERROR(__xludf.DUMMYFUNCTION("""COMPUTED_VALUE"""),"")</f>
        <v/>
      </c>
    </row>
    <row r="12">
      <c r="A12" s="5" t="str">
        <f>IFERROR(__xludf.DUMMYFUNCTION("""COMPUTED_VALUE"""),"Fazi")</f>
        <v>Fazi</v>
      </c>
      <c r="B12" s="5" t="str">
        <f>IFERROR(__xludf.DUMMYFUNCTION("""COMPUTED_VALUE"""),"Hot Stars")</f>
        <v>Hot Stars</v>
      </c>
      <c r="C12" s="5" t="str">
        <f>IFERROR(__xludf.DUMMYFUNCTION("""COMPUTED_VALUE"""),"HotStars")</f>
        <v>HotStars</v>
      </c>
      <c r="D12" s="6">
        <f>IFERROR(__xludf.DUMMYFUNCTION("""COMPUTED_VALUE"""),42856.0)</f>
        <v>42856</v>
      </c>
      <c r="E12" s="5" t="str">
        <f>IFERROR(__xludf.DUMMYFUNCTION("""COMPUTED_VALUE"""),"Slot")</f>
        <v>Slot</v>
      </c>
      <c r="F12" s="5">
        <f>IFERROR(__xludf.DUMMYFUNCTION("""COMPUTED_VALUE"""),23.7)</f>
        <v>23.7</v>
      </c>
      <c r="G12" s="5" t="str">
        <f>IFERROR(__xludf.DUMMYFUNCTION("""COMPUTED_VALUE"""),"5x3")</f>
        <v>5x3</v>
      </c>
      <c r="H12" s="5" t="str">
        <f>IFERROR(__xludf.DUMMYFUNCTION("""COMPUTED_VALUE"""),"10")</f>
        <v>10</v>
      </c>
      <c r="I12" s="5" t="str">
        <f>IFERROR(__xludf.DUMMYFUNCTION("""COMPUTED_VALUE"""),"1,3,5,7,10")</f>
        <v>1,3,5,7,10</v>
      </c>
      <c r="J12" s="5" t="str">
        <f>IFERROR(__xludf.DUMMYFUNCTION("""COMPUTED_VALUE"""),"95.544%")</f>
        <v>95.544%</v>
      </c>
      <c r="K12" s="5" t="str">
        <f>IFERROR(__xludf.DUMMYFUNCTION("""COMPUTED_VALUE"""),"Medium")</f>
        <v>Medium</v>
      </c>
      <c r="L12" s="5" t="str">
        <f>IFERROR(__xludf.DUMMYFUNCTION("""COMPUTED_VALUE"""),"13.02%")</f>
        <v>13.02%</v>
      </c>
      <c r="M12" s="5" t="str">
        <f>IFERROR(__xludf.DUMMYFUNCTION("""COMPUTED_VALUE"""),"x1611")</f>
        <v>x1611</v>
      </c>
      <c r="N12" s="5" t="str">
        <f>IFERROR(__xludf.DUMMYFUNCTION("""COMPUTED_VALUE"""),"0.01/40")</f>
        <v>0.01/40</v>
      </c>
      <c r="O12" s="5" t="str">
        <f>IFERROR(__xludf.DUMMYFUNCTION("""COMPUTED_VALUE"""),"Yes")</f>
        <v>Yes</v>
      </c>
      <c r="P12" s="5" t="str">
        <f>IFERROR(__xludf.DUMMYFUNCTION("""COMPUTED_VALUE"""),"Expanding Wild, Respin, Bothways")</f>
        <v>Expanding Wild, Respin, Bothways</v>
      </c>
      <c r="Q12" s="7" t="str">
        <f>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R12" s="5" t="str">
        <f>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S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IFERROR(__xludf.DUMMYFUNCTION("""COMPUTED_VALUE"""),"Yes")</f>
        <v>Yes</v>
      </c>
      <c r="AJ12" s="5" t="str">
        <f>IFERROR(__xludf.DUMMYFUNCTION("""COMPUTED_VALUE"""),"Yes")</f>
        <v>Yes</v>
      </c>
      <c r="AK12" s="5" t="str">
        <f>IFERROR(__xludf.DUMMYFUNCTION("""COMPUTED_VALUE"""),"Yes")</f>
        <v>Yes</v>
      </c>
      <c r="AL12" s="5" t="str">
        <f>IFERROR(__xludf.DUMMYFUNCTION("""COMPUTED_VALUE"""),"Yes")</f>
        <v>Yes</v>
      </c>
      <c r="AM12" s="5" t="str">
        <f>IFERROR(__xludf.DUMMYFUNCTION("""COMPUTED_VALUE"""),"Yes")</f>
        <v>Yes</v>
      </c>
      <c r="AN12" s="5" t="str">
        <f>IFERROR(__xludf.DUMMYFUNCTION("""COMPUTED_VALUE"""),"Yes")</f>
        <v>Yes</v>
      </c>
      <c r="AO12" s="5" t="str">
        <f>IFERROR(__xludf.DUMMYFUNCTION("""COMPUTED_VALUE"""),"Yes")</f>
        <v>Yes</v>
      </c>
      <c r="AP12" s="5" t="str">
        <f>IFERROR(__xludf.DUMMYFUNCTION("""COMPUTED_VALUE"""),"Yes")</f>
        <v>Yes</v>
      </c>
      <c r="AQ12" s="5" t="str">
        <f>IFERROR(__xludf.DUMMYFUNCTION("""COMPUTED_VALUE"""),"Yes")</f>
        <v>Yes</v>
      </c>
      <c r="AR12" s="5" t="str">
        <f>IFERROR(__xludf.DUMMYFUNCTION("""COMPUTED_VALUE"""),"Yes")</f>
        <v>Yes</v>
      </c>
      <c r="AS12" s="5" t="str">
        <f>IFERROR(__xludf.DUMMYFUNCTION("""COMPUTED_VALUE"""),"Yes")</f>
        <v>Yes</v>
      </c>
      <c r="AT12" s="5" t="str">
        <f>IFERROR(__xludf.DUMMYFUNCTION("""COMPUTED_VALUE"""),"No")</f>
        <v>No</v>
      </c>
      <c r="AU12" s="5"/>
      <c r="AV12" s="5" t="str">
        <f>IFERROR(__xludf.DUMMYFUNCTION("""COMPUTED_VALUE"""),"")</f>
        <v/>
      </c>
      <c r="AW12" s="5" t="str">
        <f>IFERROR(__xludf.DUMMYFUNCTION("""COMPUTED_VALUE"""),"Available")</f>
        <v>Available</v>
      </c>
      <c r="AX12" s="5" t="str">
        <f>IFERROR(__xludf.DUMMYFUNCTION("""COMPUTED_VALUE"""),"Available")</f>
        <v>Available</v>
      </c>
      <c r="AY12" s="5" t="str">
        <f>IFERROR(__xludf.DUMMYFUNCTION("""COMPUTED_VALUE"""),"")</f>
        <v/>
      </c>
      <c r="AZ12" s="5" t="str">
        <f>IFERROR(__xludf.DUMMYFUNCTION("""COMPUTED_VALUE"""),"Available")</f>
        <v>Available</v>
      </c>
      <c r="BA12" s="5" t="str">
        <f>IFERROR(__xludf.DUMMYFUNCTION("""COMPUTED_VALUE"""),"Available")</f>
        <v>Available</v>
      </c>
      <c r="BB12" s="5" t="str">
        <f>IFERROR(__xludf.DUMMYFUNCTION("""COMPUTED_VALUE"""),"Available")</f>
        <v>Available</v>
      </c>
      <c r="BC12" s="5" t="str">
        <f>IFERROR(__xludf.DUMMYFUNCTION("""COMPUTED_VALUE"""),"Available")</f>
        <v>Available</v>
      </c>
      <c r="BD12" s="5" t="str">
        <f>IFERROR(__xludf.DUMMYFUNCTION("""COMPUTED_VALUE"""),"")</f>
        <v/>
      </c>
      <c r="BE12" s="5" t="str">
        <f>IFERROR(__xludf.DUMMYFUNCTION("""COMPUTED_VALUE"""),"Available")</f>
        <v>Available</v>
      </c>
      <c r="BF12" s="5" t="str">
        <f>IFERROR(__xludf.DUMMYFUNCTION("""COMPUTED_VALUE"""),"")</f>
        <v/>
      </c>
      <c r="BG12" s="5" t="str">
        <f>IFERROR(__xludf.DUMMYFUNCTION("""COMPUTED_VALUE"""),"")</f>
        <v/>
      </c>
      <c r="BH12" s="5" t="str">
        <f>IFERROR(__xludf.DUMMYFUNCTION("""COMPUTED_VALUE"""),"")</f>
        <v/>
      </c>
      <c r="BI12" s="5" t="str">
        <f>IFERROR(__xludf.DUMMYFUNCTION("""COMPUTED_VALUE"""),"Available")</f>
        <v>Available</v>
      </c>
      <c r="BJ12" s="5" t="str">
        <f>IFERROR(__xludf.DUMMYFUNCTION("""COMPUTED_VALUE"""),"")</f>
        <v/>
      </c>
      <c r="BK12" s="5" t="str">
        <f>IFERROR(__xludf.DUMMYFUNCTION("""COMPUTED_VALUE"""),"Available")</f>
        <v>Available</v>
      </c>
      <c r="BL12" s="5" t="str">
        <f>IFERROR(__xludf.DUMMYFUNCTION("""COMPUTED_VALUE"""),"")</f>
        <v/>
      </c>
      <c r="BM12" s="5" t="str">
        <f>IFERROR(__xludf.DUMMYFUNCTION("""COMPUTED_VALUE"""),"")</f>
        <v/>
      </c>
    </row>
    <row r="13">
      <c r="A13" s="5" t="str">
        <f>IFERROR(__xludf.DUMMYFUNCTION("""COMPUTED_VALUE"""),"Fazi")</f>
        <v>Fazi</v>
      </c>
      <c r="B13" s="5" t="str">
        <f>IFERROR(__xludf.DUMMYFUNCTION("""COMPUTED_VALUE"""),"Book of Spells")</f>
        <v>Book of Spells</v>
      </c>
      <c r="C13" s="5" t="str">
        <f>IFERROR(__xludf.DUMMYFUNCTION("""COMPUTED_VALUE"""),"BookOfSpells")</f>
        <v>BookOfSpells</v>
      </c>
      <c r="D13" s="6">
        <f>IFERROR(__xludf.DUMMYFUNCTION("""COMPUTED_VALUE"""),42736.0)</f>
        <v>42736</v>
      </c>
      <c r="E13" s="5" t="str">
        <f>IFERROR(__xludf.DUMMYFUNCTION("""COMPUTED_VALUE"""),"Slot")</f>
        <v>Slot</v>
      </c>
      <c r="F13" s="5">
        <f>IFERROR(__xludf.DUMMYFUNCTION("""COMPUTED_VALUE"""),37.0)</f>
        <v>37</v>
      </c>
      <c r="G13" s="5" t="str">
        <f>IFERROR(__xludf.DUMMYFUNCTION("""COMPUTED_VALUE"""),"5x3")</f>
        <v>5x3</v>
      </c>
      <c r="H13" s="5" t="str">
        <f>IFERROR(__xludf.DUMMYFUNCTION("""COMPUTED_VALUE"""),"10")</f>
        <v>10</v>
      </c>
      <c r="I13" s="5" t="str">
        <f>IFERROR(__xludf.DUMMYFUNCTION("""COMPUTED_VALUE"""),"1,3,5,7,10")</f>
        <v>1,3,5,7,10</v>
      </c>
      <c r="J13" s="5" t="str">
        <f>IFERROR(__xludf.DUMMYFUNCTION("""COMPUTED_VALUE"""),"96.064%")</f>
        <v>96.064%</v>
      </c>
      <c r="K13" s="5" t="str">
        <f>IFERROR(__xludf.DUMMYFUNCTION("""COMPUTED_VALUE"""),"High")</f>
        <v>High</v>
      </c>
      <c r="L13" s="5" t="str">
        <f>IFERROR(__xludf.DUMMYFUNCTION("""COMPUTED_VALUE"""),"31.467%")</f>
        <v>31.467%</v>
      </c>
      <c r="M13" s="5" t="str">
        <f>IFERROR(__xludf.DUMMYFUNCTION("""COMPUTED_VALUE"""),"x5512")</f>
        <v>x5512</v>
      </c>
      <c r="N13" s="5" t="str">
        <f>IFERROR(__xludf.DUMMYFUNCTION("""COMPUTED_VALUE"""),"0.01/40")</f>
        <v>0.01/40</v>
      </c>
      <c r="O13" s="5" t="str">
        <f>IFERROR(__xludf.DUMMYFUNCTION("""COMPUTED_VALUE"""),"Yes")</f>
        <v>Yes</v>
      </c>
      <c r="P13" s="5" t="str">
        <f>IFERROR(__xludf.DUMMYFUNCTION("""COMPUTED_VALUE"""),"Buy Bonus, Book Of Game, Wild Symbol, Scatter")</f>
        <v>Buy Bonus, Book Of Game, Wild Symbol, Scatter</v>
      </c>
      <c r="Q13" s="7" t="str">
        <f>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R13" s="5" t="str">
        <f>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S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t="str">
        <f>IFERROR(__xludf.DUMMYFUNCTION("""COMPUTED_VALUE"""),"Yes")</f>
        <v>Yes</v>
      </c>
      <c r="Z13" s="5" t="str">
        <f>IFERROR(__xludf.DUMMYFUNCTION("""COMPUTED_VALUE"""),"Yes")</f>
        <v>Yes</v>
      </c>
      <c r="AA13" s="5" t="str">
        <f>IFERROR(__xludf.DUMMYFUNCTION("""COMPUTED_VALUE"""),"Yes")</f>
        <v>Yes</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IFERROR(__xludf.DUMMYFUNCTION("""COMPUTED_VALUE"""),"Yes")</f>
        <v>Yes</v>
      </c>
      <c r="AH13" s="5" t="str">
        <f>IFERROR(__xludf.DUMMYFUNCTION("""COMPUTED_VALUE"""),"Yes")</f>
        <v>Yes</v>
      </c>
      <c r="AI13" s="5" t="str">
        <f>IFERROR(__xludf.DUMMYFUNCTION("""COMPUTED_VALUE"""),"Yes")</f>
        <v>Yes</v>
      </c>
      <c r="AJ13" s="5" t="str">
        <f>IFERROR(__xludf.DUMMYFUNCTION("""COMPUTED_VALUE"""),"Yes")</f>
        <v>Yes</v>
      </c>
      <c r="AK13" s="5" t="str">
        <f>IFERROR(__xludf.DUMMYFUNCTION("""COMPUTED_VALUE"""),"Yes")</f>
        <v>Yes</v>
      </c>
      <c r="AL13" s="5" t="str">
        <f>IFERROR(__xludf.DUMMYFUNCTION("""COMPUTED_VALUE"""),"Yes")</f>
        <v>Yes</v>
      </c>
      <c r="AM13" s="5" t="str">
        <f>IFERROR(__xludf.DUMMYFUNCTION("""COMPUTED_VALUE"""),"Yes")</f>
        <v>Yes</v>
      </c>
      <c r="AN13" s="5" t="str">
        <f>IFERROR(__xludf.DUMMYFUNCTION("""COMPUTED_VALUE"""),"Yes")</f>
        <v>Yes</v>
      </c>
      <c r="AO13" s="5" t="str">
        <f>IFERROR(__xludf.DUMMYFUNCTION("""COMPUTED_VALUE"""),"Yes")</f>
        <v>Yes</v>
      </c>
      <c r="AP13" s="5" t="str">
        <f>IFERROR(__xludf.DUMMYFUNCTION("""COMPUTED_VALUE"""),"Yes")</f>
        <v>Yes</v>
      </c>
      <c r="AQ13" s="5" t="str">
        <f>IFERROR(__xludf.DUMMYFUNCTION("""COMPUTED_VALUE"""),"Yes")</f>
        <v>Yes</v>
      </c>
      <c r="AR13" s="5" t="str">
        <f>IFERROR(__xludf.DUMMYFUNCTION("""COMPUTED_VALUE"""),"Yes")</f>
        <v>Yes</v>
      </c>
      <c r="AS13" s="5" t="str">
        <f>IFERROR(__xludf.DUMMYFUNCTION("""COMPUTED_VALUE"""),"Yes")</f>
        <v>Yes</v>
      </c>
      <c r="AT13" s="5" t="str">
        <f>IFERROR(__xludf.DUMMYFUNCTION("""COMPUTED_VALUE"""),"No")</f>
        <v>No</v>
      </c>
      <c r="AU13" s="5"/>
      <c r="AV13" s="5" t="str">
        <f>IFERROR(__xludf.DUMMYFUNCTION("""COMPUTED_VALUE"""),"Available")</f>
        <v>Available</v>
      </c>
      <c r="AW13" s="5" t="str">
        <f>IFERROR(__xludf.DUMMYFUNCTION("""COMPUTED_VALUE"""),"")</f>
        <v/>
      </c>
      <c r="AX13" s="5" t="str">
        <f>IFERROR(__xludf.DUMMYFUNCTION("""COMPUTED_VALUE"""),"Available")</f>
        <v>Available</v>
      </c>
      <c r="AY13" s="5" t="str">
        <f>IFERROR(__xludf.DUMMYFUNCTION("""COMPUTED_VALUE"""),"Available")</f>
        <v>Available</v>
      </c>
      <c r="AZ13" s="5" t="str">
        <f>IFERROR(__xludf.DUMMYFUNCTION("""COMPUTED_VALUE"""),"Available")</f>
        <v>Available</v>
      </c>
      <c r="BA13" s="5" t="str">
        <f>IFERROR(__xludf.DUMMYFUNCTION("""COMPUTED_VALUE"""),"Available")</f>
        <v>Available</v>
      </c>
      <c r="BB13" s="5" t="str">
        <f>IFERROR(__xludf.DUMMYFUNCTION("""COMPUTED_VALUE"""),"Available")</f>
        <v>Available</v>
      </c>
      <c r="BC13" s="5" t="str">
        <f>IFERROR(__xludf.DUMMYFUNCTION("""COMPUTED_VALUE"""),"Available")</f>
        <v>Available</v>
      </c>
      <c r="BD13" s="5" t="str">
        <f>IFERROR(__xludf.DUMMYFUNCTION("""COMPUTED_VALUE"""),"Available")</f>
        <v>Available</v>
      </c>
      <c r="BE13" s="5" t="str">
        <f>IFERROR(__xludf.DUMMYFUNCTION("""COMPUTED_VALUE"""),"")</f>
        <v/>
      </c>
      <c r="BF13" s="5" t="str">
        <f>IFERROR(__xludf.DUMMYFUNCTION("""COMPUTED_VALUE"""),"")</f>
        <v/>
      </c>
      <c r="BG13" s="5" t="str">
        <f>IFERROR(__xludf.DUMMYFUNCTION("""COMPUTED_VALUE"""),"Available")</f>
        <v>Available</v>
      </c>
      <c r="BH13" s="5" t="str">
        <f>IFERROR(__xludf.DUMMYFUNCTION("""COMPUTED_VALUE"""),"")</f>
        <v/>
      </c>
      <c r="BI13" s="5" t="str">
        <f>IFERROR(__xludf.DUMMYFUNCTION("""COMPUTED_VALUE"""),"")</f>
        <v/>
      </c>
      <c r="BJ13" s="5" t="str">
        <f>IFERROR(__xludf.DUMMYFUNCTION("""COMPUTED_VALUE"""),"")</f>
        <v/>
      </c>
      <c r="BK13" s="5" t="str">
        <f>IFERROR(__xludf.DUMMYFUNCTION("""COMPUTED_VALUE"""),"Available")</f>
        <v>Available</v>
      </c>
      <c r="BL13" s="5" t="str">
        <f>IFERROR(__xludf.DUMMYFUNCTION("""COMPUTED_VALUE"""),"Available")</f>
        <v>Available</v>
      </c>
      <c r="BM13" s="5" t="str">
        <f>IFERROR(__xludf.DUMMYFUNCTION("""COMPUTED_VALUE"""),"Available")</f>
        <v>Available</v>
      </c>
    </row>
    <row r="14">
      <c r="A14" s="5" t="str">
        <f>IFERROR(__xludf.DUMMYFUNCTION("""COMPUTED_VALUE"""),"Fazi")</f>
        <v>Fazi</v>
      </c>
      <c r="B14" s="5" t="str">
        <f>IFERROR(__xludf.DUMMYFUNCTION("""COMPUTED_VALUE"""),"Mega Hot")</f>
        <v>Mega Hot</v>
      </c>
      <c r="C14" s="5" t="str">
        <f>IFERROR(__xludf.DUMMYFUNCTION("""COMPUTED_VALUE"""),"MegaHot")</f>
        <v>MegaHot</v>
      </c>
      <c r="D14" s="6">
        <f>IFERROR(__xludf.DUMMYFUNCTION("""COMPUTED_VALUE"""),42917.0)</f>
        <v>42917</v>
      </c>
      <c r="E14" s="5" t="str">
        <f>IFERROR(__xludf.DUMMYFUNCTION("""COMPUTED_VALUE"""),"Slot")</f>
        <v>Slot</v>
      </c>
      <c r="F14" s="5">
        <f>IFERROR(__xludf.DUMMYFUNCTION("""COMPUTED_VALUE"""),19.1)</f>
        <v>19.1</v>
      </c>
      <c r="G14" s="5" t="str">
        <f>IFERROR(__xludf.DUMMYFUNCTION("""COMPUTED_VALUE"""),"5x3")</f>
        <v>5x3</v>
      </c>
      <c r="H14" s="5" t="str">
        <f>IFERROR(__xludf.DUMMYFUNCTION("""COMPUTED_VALUE"""),"5")</f>
        <v>5</v>
      </c>
      <c r="I14" s="5" t="str">
        <f>IFERROR(__xludf.DUMMYFUNCTION("""COMPUTED_VALUE"""),"5")</f>
        <v>5</v>
      </c>
      <c r="J14" s="5" t="str">
        <f>IFERROR(__xludf.DUMMYFUNCTION("""COMPUTED_VALUE"""),"95.741%")</f>
        <v>95.741%</v>
      </c>
      <c r="K14" s="5" t="str">
        <f>IFERROR(__xludf.DUMMYFUNCTION("""COMPUTED_VALUE"""),"Medium")</f>
        <v>Medium</v>
      </c>
      <c r="L14" s="5" t="str">
        <f>IFERROR(__xludf.DUMMYFUNCTION("""COMPUTED_VALUE"""),"13.5%")</f>
        <v>13.5%</v>
      </c>
      <c r="M14" s="5" t="str">
        <f>IFERROR(__xludf.DUMMYFUNCTION("""COMPUTED_VALUE"""),"x1000")</f>
        <v>x1000</v>
      </c>
      <c r="N14" s="5" t="str">
        <f>IFERROR(__xludf.DUMMYFUNCTION("""COMPUTED_VALUE"""),"0.05/30")</f>
        <v>0.05/30</v>
      </c>
      <c r="O14" s="5" t="str">
        <f>IFERROR(__xludf.DUMMYFUNCTION("""COMPUTED_VALUE"""),"Yes")</f>
        <v>Yes</v>
      </c>
      <c r="P14" s="5" t="str">
        <f>IFERROR(__xludf.DUMMYFUNCTION("""COMPUTED_VALUE"""),"Scatter, Win Multiplier")</f>
        <v>Scatter, Win Multiplier</v>
      </c>
      <c r="Q14" s="7" t="str">
        <f>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R14" s="5" t="str">
        <f>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S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IFERROR(__xludf.DUMMYFUNCTION("""COMPUTED_VALUE"""),"Yes")</f>
        <v>Yes</v>
      </c>
      <c r="AH14" s="5" t="str">
        <f>IFERROR(__xludf.DUMMYFUNCTION("""COMPUTED_VALUE"""),"Yes")</f>
        <v>Yes</v>
      </c>
      <c r="AI14" s="5" t="str">
        <f>IFERROR(__xludf.DUMMYFUNCTION("""COMPUTED_VALUE"""),"Yes")</f>
        <v>Yes</v>
      </c>
      <c r="AJ14" s="5" t="str">
        <f>IFERROR(__xludf.DUMMYFUNCTION("""COMPUTED_VALUE"""),"Yes")</f>
        <v>Yes</v>
      </c>
      <c r="AK14" s="5" t="str">
        <f>IFERROR(__xludf.DUMMYFUNCTION("""COMPUTED_VALUE"""),"Yes")</f>
        <v>Yes</v>
      </c>
      <c r="AL14" s="5" t="str">
        <f>IFERROR(__xludf.DUMMYFUNCTION("""COMPUTED_VALUE"""),"Yes")</f>
        <v>Yes</v>
      </c>
      <c r="AM14" s="5" t="str">
        <f>IFERROR(__xludf.DUMMYFUNCTION("""COMPUTED_VALUE"""),"Yes")</f>
        <v>Yes</v>
      </c>
      <c r="AN14" s="5" t="str">
        <f>IFERROR(__xludf.DUMMYFUNCTION("""COMPUTED_VALUE"""),"Yes")</f>
        <v>Yes</v>
      </c>
      <c r="AO14" s="5" t="str">
        <f>IFERROR(__xludf.DUMMYFUNCTION("""COMPUTED_VALUE"""),"Yes")</f>
        <v>Yes</v>
      </c>
      <c r="AP14" s="5" t="str">
        <f>IFERROR(__xludf.DUMMYFUNCTION("""COMPUTED_VALUE"""),"Yes")</f>
        <v>Yes</v>
      </c>
      <c r="AQ14" s="5" t="str">
        <f>IFERROR(__xludf.DUMMYFUNCTION("""COMPUTED_VALUE"""),"Yes")</f>
        <v>Yes</v>
      </c>
      <c r="AR14" s="5" t="str">
        <f>IFERROR(__xludf.DUMMYFUNCTION("""COMPUTED_VALUE"""),"Yes")</f>
        <v>Yes</v>
      </c>
      <c r="AS14" s="5" t="str">
        <f>IFERROR(__xludf.DUMMYFUNCTION("""COMPUTED_VALUE"""),"Yes")</f>
        <v>Yes</v>
      </c>
      <c r="AT14" s="5" t="str">
        <f>IFERROR(__xludf.DUMMYFUNCTION("""COMPUTED_VALUE"""),"No")</f>
        <v>No</v>
      </c>
      <c r="AU14" s="5"/>
      <c r="AV14" s="5" t="str">
        <f>IFERROR(__xludf.DUMMYFUNCTION("""COMPUTED_VALUE"""),"")</f>
        <v/>
      </c>
      <c r="AW14" s="5" t="str">
        <f>IFERROR(__xludf.DUMMYFUNCTION("""COMPUTED_VALUE"""),"Available")</f>
        <v>Available</v>
      </c>
      <c r="AX14" s="5" t="str">
        <f>IFERROR(__xludf.DUMMYFUNCTION("""COMPUTED_VALUE"""),"")</f>
        <v/>
      </c>
      <c r="AY14" s="5" t="str">
        <f>IFERROR(__xludf.DUMMYFUNCTION("""COMPUTED_VALUE"""),"")</f>
        <v/>
      </c>
      <c r="AZ14" s="5" t="str">
        <f>IFERROR(__xludf.DUMMYFUNCTION("""COMPUTED_VALUE"""),"")</f>
        <v/>
      </c>
      <c r="BA14" s="5" t="str">
        <f>IFERROR(__xludf.DUMMYFUNCTION("""COMPUTED_VALUE"""),"")</f>
        <v/>
      </c>
      <c r="BB14" s="5" t="str">
        <f>IFERROR(__xludf.DUMMYFUNCTION("""COMPUTED_VALUE"""),"")</f>
        <v/>
      </c>
      <c r="BC14" s="5" t="str">
        <f>IFERROR(__xludf.DUMMYFUNCTION("""COMPUTED_VALUE"""),"Available")</f>
        <v>Available</v>
      </c>
      <c r="BD14" s="5" t="str">
        <f>IFERROR(__xludf.DUMMYFUNCTION("""COMPUTED_VALUE"""),"")</f>
        <v/>
      </c>
      <c r="BE14" s="5" t="str">
        <f>IFERROR(__xludf.DUMMYFUNCTION("""COMPUTED_VALUE"""),"")</f>
        <v/>
      </c>
      <c r="BF14" s="5" t="str">
        <f>IFERROR(__xludf.DUMMYFUNCTION("""COMPUTED_VALUE"""),"")</f>
        <v/>
      </c>
      <c r="BG14" s="5" t="str">
        <f>IFERROR(__xludf.DUMMYFUNCTION("""COMPUTED_VALUE"""),"")</f>
        <v/>
      </c>
      <c r="BH14" s="5" t="str">
        <f>IFERROR(__xludf.DUMMYFUNCTION("""COMPUTED_VALUE"""),"")</f>
        <v/>
      </c>
      <c r="BI14" s="5" t="str">
        <f>IFERROR(__xludf.DUMMYFUNCTION("""COMPUTED_VALUE"""),"")</f>
        <v/>
      </c>
      <c r="BJ14" s="5" t="str">
        <f>IFERROR(__xludf.DUMMYFUNCTION("""COMPUTED_VALUE"""),"Available")</f>
        <v>Available</v>
      </c>
      <c r="BK14" s="5" t="str">
        <f>IFERROR(__xludf.DUMMYFUNCTION("""COMPUTED_VALUE"""),"")</f>
        <v/>
      </c>
      <c r="BL14" s="5" t="str">
        <f>IFERROR(__xludf.DUMMYFUNCTION("""COMPUTED_VALUE"""),"")</f>
        <v/>
      </c>
      <c r="BM14" s="5" t="str">
        <f>IFERROR(__xludf.DUMMYFUNCTION("""COMPUTED_VALUE"""),"")</f>
        <v/>
      </c>
    </row>
    <row r="15">
      <c r="A15" s="5" t="str">
        <f>IFERROR(__xludf.DUMMYFUNCTION("""COMPUTED_VALUE"""),"Fazi")</f>
        <v>Fazi</v>
      </c>
      <c r="B15" s="5" t="str">
        <f>IFERROR(__xludf.DUMMYFUNCTION("""COMPUTED_VALUE"""),"Turbo Hot 40")</f>
        <v>Turbo Hot 40</v>
      </c>
      <c r="C15" s="5" t="str">
        <f>IFERROR(__xludf.DUMMYFUNCTION("""COMPUTED_VALUE"""),"TurboHot40")</f>
        <v>TurboHot40</v>
      </c>
      <c r="D15" s="6">
        <f>IFERROR(__xludf.DUMMYFUNCTION("""COMPUTED_VALUE"""),43435.0)</f>
        <v>43435</v>
      </c>
      <c r="E15" s="5" t="str">
        <f>IFERROR(__xludf.DUMMYFUNCTION("""COMPUTED_VALUE"""),"Slot")</f>
        <v>Slot</v>
      </c>
      <c r="F15" s="5">
        <f>IFERROR(__xludf.DUMMYFUNCTION("""COMPUTED_VALUE"""),21.3)</f>
        <v>21.3</v>
      </c>
      <c r="G15" s="5" t="str">
        <f>IFERROR(__xludf.DUMMYFUNCTION("""COMPUTED_VALUE"""),"5x4")</f>
        <v>5x4</v>
      </c>
      <c r="H15" s="5" t="str">
        <f>IFERROR(__xludf.DUMMYFUNCTION("""COMPUTED_VALUE"""),"40")</f>
        <v>40</v>
      </c>
      <c r="I15" s="5" t="str">
        <f>IFERROR(__xludf.DUMMYFUNCTION("""COMPUTED_VALUE"""),"40")</f>
        <v>40</v>
      </c>
      <c r="J15" s="5" t="str">
        <f>IFERROR(__xludf.DUMMYFUNCTION("""COMPUTED_VALUE"""),"96.584%")</f>
        <v>96.584%</v>
      </c>
      <c r="K15" s="5" t="str">
        <f>IFERROR(__xludf.DUMMYFUNCTION("""COMPUTED_VALUE"""),"Low")</f>
        <v>Low</v>
      </c>
      <c r="L15" s="5" t="str">
        <f>IFERROR(__xludf.DUMMYFUNCTION("""COMPUTED_VALUE"""),"16.73%")</f>
        <v>16.73%</v>
      </c>
      <c r="M15" s="5" t="str">
        <f>IFERROR(__xludf.DUMMYFUNCTION("""COMPUTED_VALUE"""),"x1000")</f>
        <v>x1000</v>
      </c>
      <c r="N15" s="5" t="str">
        <f>IFERROR(__xludf.DUMMYFUNCTION("""COMPUTED_VALUE"""),"0.40/60")</f>
        <v>0.40/60</v>
      </c>
      <c r="O15" s="5" t="str">
        <f>IFERROR(__xludf.DUMMYFUNCTION("""COMPUTED_VALUE"""),"Yes")</f>
        <v>Yes</v>
      </c>
      <c r="P15" s="5" t="str">
        <f>IFERROR(__xludf.DUMMYFUNCTION("""COMPUTED_VALUE"""),"Wild Symbol, Scatter")</f>
        <v>Wild Symbol, Scatter</v>
      </c>
      <c r="Q15" s="7" t="str">
        <f>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R15" s="5" t="str">
        <f>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S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IFERROR(__xludf.DUMMYFUNCTION("""COMPUTED_VALUE"""),"Yes")</f>
        <v>Yes</v>
      </c>
      <c r="AH15" s="5" t="str">
        <f>IFERROR(__xludf.DUMMYFUNCTION("""COMPUTED_VALUE"""),"Yes")</f>
        <v>Yes</v>
      </c>
      <c r="AI15" s="5" t="str">
        <f>IFERROR(__xludf.DUMMYFUNCTION("""COMPUTED_VALUE"""),"Yes")</f>
        <v>Yes</v>
      </c>
      <c r="AJ15" s="5" t="str">
        <f>IFERROR(__xludf.DUMMYFUNCTION("""COMPUTED_VALUE"""),"Yes")</f>
        <v>Yes</v>
      </c>
      <c r="AK15" s="5" t="str">
        <f>IFERROR(__xludf.DUMMYFUNCTION("""COMPUTED_VALUE"""),"Yes")</f>
        <v>Yes</v>
      </c>
      <c r="AL15" s="5" t="str">
        <f>IFERROR(__xludf.DUMMYFUNCTION("""COMPUTED_VALUE"""),"Yes")</f>
        <v>Yes</v>
      </c>
      <c r="AM15" s="5" t="str">
        <f>IFERROR(__xludf.DUMMYFUNCTION("""COMPUTED_VALUE"""),"Yes")</f>
        <v>Yes</v>
      </c>
      <c r="AN15" s="5" t="str">
        <f>IFERROR(__xludf.DUMMYFUNCTION("""COMPUTED_VALUE"""),"Yes")</f>
        <v>Yes</v>
      </c>
      <c r="AO15" s="5" t="str">
        <f>IFERROR(__xludf.DUMMYFUNCTION("""COMPUTED_VALUE"""),"Yes")</f>
        <v>Yes</v>
      </c>
      <c r="AP15" s="5" t="str">
        <f>IFERROR(__xludf.DUMMYFUNCTION("""COMPUTED_VALUE"""),"Yes")</f>
        <v>Yes</v>
      </c>
      <c r="AQ15" s="5" t="str">
        <f>IFERROR(__xludf.DUMMYFUNCTION("""COMPUTED_VALUE"""),"Yes")</f>
        <v>Yes</v>
      </c>
      <c r="AR15" s="5" t="str">
        <f>IFERROR(__xludf.DUMMYFUNCTION("""COMPUTED_VALUE"""),"Yes")</f>
        <v>Yes</v>
      </c>
      <c r="AS15" s="5" t="str">
        <f>IFERROR(__xludf.DUMMYFUNCTION("""COMPUTED_VALUE"""),"Yes")</f>
        <v>Yes</v>
      </c>
      <c r="AT15" s="5" t="str">
        <f>IFERROR(__xludf.DUMMYFUNCTION("""COMPUTED_VALUE"""),"No")</f>
        <v>No</v>
      </c>
      <c r="AU15" s="5"/>
      <c r="AV15" s="5" t="str">
        <f>IFERROR(__xludf.DUMMYFUNCTION("""COMPUTED_VALUE"""),"Available")</f>
        <v>Available</v>
      </c>
      <c r="AW15" s="5" t="str">
        <f>IFERROR(__xludf.DUMMYFUNCTION("""COMPUTED_VALUE"""),"Available")</f>
        <v>Available</v>
      </c>
      <c r="AX15" s="5" t="str">
        <f>IFERROR(__xludf.DUMMYFUNCTION("""COMPUTED_VALUE"""),"Available")</f>
        <v>Available</v>
      </c>
      <c r="AY15" s="5" t="str">
        <f>IFERROR(__xludf.DUMMYFUNCTION("""COMPUTED_VALUE"""),"")</f>
        <v/>
      </c>
      <c r="AZ15" s="5" t="str">
        <f>IFERROR(__xludf.DUMMYFUNCTION("""COMPUTED_VALUE"""),"Available")</f>
        <v>Available</v>
      </c>
      <c r="BA15" s="5" t="str">
        <f>IFERROR(__xludf.DUMMYFUNCTION("""COMPUTED_VALUE"""),"Available")</f>
        <v>Available</v>
      </c>
      <c r="BB15" s="5" t="str">
        <f>IFERROR(__xludf.DUMMYFUNCTION("""COMPUTED_VALUE"""),"Available")</f>
        <v>Available</v>
      </c>
      <c r="BC15" s="5" t="str">
        <f>IFERROR(__xludf.DUMMYFUNCTION("""COMPUTED_VALUE"""),"Available")</f>
        <v>Available</v>
      </c>
      <c r="BD15" s="5" t="str">
        <f>IFERROR(__xludf.DUMMYFUNCTION("""COMPUTED_VALUE"""),"")</f>
        <v/>
      </c>
      <c r="BE15" s="5" t="str">
        <f>IFERROR(__xludf.DUMMYFUNCTION("""COMPUTED_VALUE"""),"Available")</f>
        <v>Available</v>
      </c>
      <c r="BF15" s="5" t="str">
        <f>IFERROR(__xludf.DUMMYFUNCTION("""COMPUTED_VALUE"""),"Available")</f>
        <v>Available</v>
      </c>
      <c r="BG15" s="5" t="str">
        <f>IFERROR(__xludf.DUMMYFUNCTION("""COMPUTED_VALUE"""),"Available")</f>
        <v>Available</v>
      </c>
      <c r="BH15" s="5" t="str">
        <f>IFERROR(__xludf.DUMMYFUNCTION("""COMPUTED_VALUE"""),"")</f>
        <v/>
      </c>
      <c r="BI15" s="5" t="str">
        <f>IFERROR(__xludf.DUMMYFUNCTION("""COMPUTED_VALUE"""),"Available")</f>
        <v>Available</v>
      </c>
      <c r="BJ15" s="5" t="str">
        <f>IFERROR(__xludf.DUMMYFUNCTION("""COMPUTED_VALUE"""),"")</f>
        <v/>
      </c>
      <c r="BK15" s="5" t="str">
        <f>IFERROR(__xludf.DUMMYFUNCTION("""COMPUTED_VALUE"""),"Available")</f>
        <v>Available</v>
      </c>
      <c r="BL15" s="5" t="str">
        <f>IFERROR(__xludf.DUMMYFUNCTION("""COMPUTED_VALUE"""),"")</f>
        <v/>
      </c>
      <c r="BM15" s="5" t="str">
        <f>IFERROR(__xludf.DUMMYFUNCTION("""COMPUTED_VALUE"""),"")</f>
        <v/>
      </c>
    </row>
    <row r="16">
      <c r="A16" s="5" t="str">
        <f>IFERROR(__xludf.DUMMYFUNCTION("""COMPUTED_VALUE"""),"Fazi")</f>
        <v>Fazi</v>
      </c>
      <c r="B16" s="5" t="str">
        <f>IFERROR(__xludf.DUMMYFUNCTION("""COMPUTED_VALUE"""),"Crystals of Magic")</f>
        <v>Crystals of Magic</v>
      </c>
      <c r="C16" s="5" t="str">
        <f>IFERROR(__xludf.DUMMYFUNCTION("""COMPUTED_VALUE"""),"CrystalsOfMagic")</f>
        <v>CrystalsOfMagic</v>
      </c>
      <c r="D16" s="6">
        <f>IFERROR(__xludf.DUMMYFUNCTION("""COMPUTED_VALUE"""),43160.0)</f>
        <v>43160</v>
      </c>
      <c r="E16" s="5" t="str">
        <f>IFERROR(__xludf.DUMMYFUNCTION("""COMPUTED_VALUE"""),"Slot")</f>
        <v>Slot</v>
      </c>
      <c r="F16" s="5">
        <f>IFERROR(__xludf.DUMMYFUNCTION("""COMPUTED_VALUE"""),90.5)</f>
        <v>90.5</v>
      </c>
      <c r="G16" s="5" t="str">
        <f>IFERROR(__xludf.DUMMYFUNCTION("""COMPUTED_VALUE"""),"5x3")</f>
        <v>5x3</v>
      </c>
      <c r="H16" s="5" t="str">
        <f>IFERROR(__xludf.DUMMYFUNCTION("""COMPUTED_VALUE"""),"25")</f>
        <v>25</v>
      </c>
      <c r="I16" s="5" t="str">
        <f>IFERROR(__xludf.DUMMYFUNCTION("""COMPUTED_VALUE"""),"25")</f>
        <v>25</v>
      </c>
      <c r="J16" s="5" t="str">
        <f>IFERROR(__xludf.DUMMYFUNCTION("""COMPUTED_VALUE"""),"96.037%")</f>
        <v>96.037%</v>
      </c>
      <c r="K16" s="5" t="str">
        <f>IFERROR(__xludf.DUMMYFUNCTION("""COMPUTED_VALUE"""),"Low")</f>
        <v>Low</v>
      </c>
      <c r="L16" s="5" t="str">
        <f>IFERROR(__xludf.DUMMYFUNCTION("""COMPUTED_VALUE"""),"58.33%")</f>
        <v>58.33%</v>
      </c>
      <c r="M16" s="5" t="str">
        <f>IFERROR(__xludf.DUMMYFUNCTION("""COMPUTED_VALUE"""),"x504")</f>
        <v>x504</v>
      </c>
      <c r="N16" s="5" t="str">
        <f>IFERROR(__xludf.DUMMYFUNCTION("""COMPUTED_VALUE"""),"0.25/62.5")</f>
        <v>0.25/62.5</v>
      </c>
      <c r="O16" s="5" t="str">
        <f>IFERROR(__xludf.DUMMYFUNCTION("""COMPUTED_VALUE"""),"Yes")</f>
        <v>Yes</v>
      </c>
      <c r="P16" s="5" t="str">
        <f>IFERROR(__xludf.DUMMYFUNCTION("""COMPUTED_VALUE"""),"Wild Symbol, Bonus Game with Free Spins, Sticky Wild, Bonus Game with Multiplier")</f>
        <v>Wild Symbol, Bonus Game with Free Spins, Sticky Wild, Bonus Game with Multiplier</v>
      </c>
      <c r="Q16" s="7" t="str">
        <f>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R16" s="5" t="str">
        <f>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S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t="str">
        <f>IFERROR(__xludf.DUMMYFUNCTION("""COMPUTED_VALUE"""),"Yes")</f>
        <v>Yes</v>
      </c>
      <c r="Z16" s="5" t="str">
        <f>IFERROR(__xludf.DUMMYFUNCTION("""COMPUTED_VALUE"""),"Yes")</f>
        <v>Yes</v>
      </c>
      <c r="AA16" s="5" t="str">
        <f>IFERROR(__xludf.DUMMYFUNCTION("""COMPUTED_VALUE"""),"Yes")</f>
        <v>Yes</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IFERROR(__xludf.DUMMYFUNCTION("""COMPUTED_VALUE"""),"Yes")</f>
        <v>Yes</v>
      </c>
      <c r="AH16" s="5" t="str">
        <f>IFERROR(__xludf.DUMMYFUNCTION("""COMPUTED_VALUE"""),"Yes")</f>
        <v>Yes</v>
      </c>
      <c r="AI16" s="5" t="str">
        <f>IFERROR(__xludf.DUMMYFUNCTION("""COMPUTED_VALUE"""),"Yes")</f>
        <v>Yes</v>
      </c>
      <c r="AJ16" s="5" t="str">
        <f>IFERROR(__xludf.DUMMYFUNCTION("""COMPUTED_VALUE"""),"Yes")</f>
        <v>Yes</v>
      </c>
      <c r="AK16" s="5" t="str">
        <f>IFERROR(__xludf.DUMMYFUNCTION("""COMPUTED_VALUE"""),"Yes")</f>
        <v>Yes</v>
      </c>
      <c r="AL16" s="5" t="str">
        <f>IFERROR(__xludf.DUMMYFUNCTION("""COMPUTED_VALUE"""),"Yes")</f>
        <v>Yes</v>
      </c>
      <c r="AM16" s="5" t="str">
        <f>IFERROR(__xludf.DUMMYFUNCTION("""COMPUTED_VALUE"""),"Yes")</f>
        <v>Yes</v>
      </c>
      <c r="AN16" s="5" t="str">
        <f>IFERROR(__xludf.DUMMYFUNCTION("""COMPUTED_VALUE"""),"Yes")</f>
        <v>Yes</v>
      </c>
      <c r="AO16" s="5" t="str">
        <f>IFERROR(__xludf.DUMMYFUNCTION("""COMPUTED_VALUE"""),"Yes")</f>
        <v>Yes</v>
      </c>
      <c r="AP16" s="5" t="str">
        <f>IFERROR(__xludf.DUMMYFUNCTION("""COMPUTED_VALUE"""),"Yes")</f>
        <v>Yes</v>
      </c>
      <c r="AQ16" s="5" t="str">
        <f>IFERROR(__xludf.DUMMYFUNCTION("""COMPUTED_VALUE"""),"Yes")</f>
        <v>Yes</v>
      </c>
      <c r="AR16" s="5" t="str">
        <f>IFERROR(__xludf.DUMMYFUNCTION("""COMPUTED_VALUE"""),"Yes")</f>
        <v>Yes</v>
      </c>
      <c r="AS16" s="5" t="str">
        <f>IFERROR(__xludf.DUMMYFUNCTION("""COMPUTED_VALUE"""),"Yes")</f>
        <v>Yes</v>
      </c>
      <c r="AT16" s="5" t="str">
        <f>IFERROR(__xludf.DUMMYFUNCTION("""COMPUTED_VALUE"""),"No")</f>
        <v>No</v>
      </c>
      <c r="AU16" s="5"/>
      <c r="AV16" s="5" t="str">
        <f>IFERROR(__xludf.DUMMYFUNCTION("""COMPUTED_VALUE"""),"")</f>
        <v/>
      </c>
      <c r="AW16" s="5" t="str">
        <f>IFERROR(__xludf.DUMMYFUNCTION("""COMPUTED_VALUE"""),"")</f>
        <v/>
      </c>
      <c r="AX16" s="5" t="str">
        <f>IFERROR(__xludf.DUMMYFUNCTION("""COMPUTED_VALUE"""),"")</f>
        <v/>
      </c>
      <c r="AY16" s="5" t="str">
        <f>IFERROR(__xludf.DUMMYFUNCTION("""COMPUTED_VALUE"""),"")</f>
        <v/>
      </c>
      <c r="AZ16" s="5" t="str">
        <f>IFERROR(__xludf.DUMMYFUNCTION("""COMPUTED_VALUE"""),"")</f>
        <v/>
      </c>
      <c r="BA16" s="5" t="str">
        <f>IFERROR(__xludf.DUMMYFUNCTION("""COMPUTED_VALUE"""),"")</f>
        <v/>
      </c>
      <c r="BB16" s="5" t="str">
        <f>IFERROR(__xludf.DUMMYFUNCTION("""COMPUTED_VALUE"""),"")</f>
        <v/>
      </c>
      <c r="BC16" s="5" t="str">
        <f>IFERROR(__xludf.DUMMYFUNCTION("""COMPUTED_VALUE"""),"")</f>
        <v/>
      </c>
      <c r="BD16" s="5" t="str">
        <f>IFERROR(__xludf.DUMMYFUNCTION("""COMPUTED_VALUE"""),"")</f>
        <v/>
      </c>
      <c r="BE16" s="5" t="str">
        <f>IFERROR(__xludf.DUMMYFUNCTION("""COMPUTED_VALUE"""),"")</f>
        <v/>
      </c>
      <c r="BF16" s="5" t="str">
        <f>IFERROR(__xludf.DUMMYFUNCTION("""COMPUTED_VALUE"""),"")</f>
        <v/>
      </c>
      <c r="BG16" s="5" t="str">
        <f>IFERROR(__xludf.DUMMYFUNCTION("""COMPUTED_VALUE"""),"")</f>
        <v/>
      </c>
      <c r="BH16" s="5" t="str">
        <f>IFERROR(__xludf.DUMMYFUNCTION("""COMPUTED_VALUE"""),"")</f>
        <v/>
      </c>
      <c r="BI16" s="5" t="str">
        <f>IFERROR(__xludf.DUMMYFUNCTION("""COMPUTED_VALUE"""),"")</f>
        <v/>
      </c>
      <c r="BJ16" s="5" t="str">
        <f>IFERROR(__xludf.DUMMYFUNCTION("""COMPUTED_VALUE"""),"")</f>
        <v/>
      </c>
      <c r="BK16" s="5" t="str">
        <f>IFERROR(__xludf.DUMMYFUNCTION("""COMPUTED_VALUE"""),"")</f>
        <v/>
      </c>
      <c r="BL16" s="5" t="str">
        <f>IFERROR(__xludf.DUMMYFUNCTION("""COMPUTED_VALUE"""),"")</f>
        <v/>
      </c>
      <c r="BM16" s="5" t="str">
        <f>IFERROR(__xludf.DUMMYFUNCTION("""COMPUTED_VALUE"""),"")</f>
        <v/>
      </c>
    </row>
    <row r="17">
      <c r="A17" s="5" t="str">
        <f>IFERROR(__xludf.DUMMYFUNCTION("""COMPUTED_VALUE"""),"Fazi")</f>
        <v>Fazi</v>
      </c>
      <c r="B17" s="5" t="str">
        <f>IFERROR(__xludf.DUMMYFUNCTION("""COMPUTED_VALUE"""),"Book of Bruno")</f>
        <v>Book of Bruno</v>
      </c>
      <c r="C17" s="5" t="str">
        <f>IFERROR(__xludf.DUMMYFUNCTION("""COMPUTED_VALUE"""),"BookOfBruno")</f>
        <v>BookOfBruno</v>
      </c>
      <c r="D17" s="6">
        <f>IFERROR(__xludf.DUMMYFUNCTION("""COMPUTED_VALUE"""),43101.0)</f>
        <v>43101</v>
      </c>
      <c r="E17" s="5" t="str">
        <f>IFERROR(__xludf.DUMMYFUNCTION("""COMPUTED_VALUE"""),"Slot")</f>
        <v>Slot</v>
      </c>
      <c r="F17" s="5">
        <f>IFERROR(__xludf.DUMMYFUNCTION("""COMPUTED_VALUE"""),26.4)</f>
        <v>26.4</v>
      </c>
      <c r="G17" s="5" t="str">
        <f>IFERROR(__xludf.DUMMYFUNCTION("""COMPUTED_VALUE"""),"5x3")</f>
        <v>5x3</v>
      </c>
      <c r="H17" s="5" t="str">
        <f>IFERROR(__xludf.DUMMYFUNCTION("""COMPUTED_VALUE"""),"10")</f>
        <v>10</v>
      </c>
      <c r="I17" s="5" t="str">
        <f>IFERROR(__xludf.DUMMYFUNCTION("""COMPUTED_VALUE"""),"1,3,5,7,10")</f>
        <v>1,3,5,7,10</v>
      </c>
      <c r="J17" s="5" t="str">
        <f>IFERROR(__xludf.DUMMYFUNCTION("""COMPUTED_VALUE"""),"96.064%")</f>
        <v>96.064%</v>
      </c>
      <c r="K17" s="5" t="str">
        <f>IFERROR(__xludf.DUMMYFUNCTION("""COMPUTED_VALUE"""),"High")</f>
        <v>High</v>
      </c>
      <c r="L17" s="5" t="str">
        <f>IFERROR(__xludf.DUMMYFUNCTION("""COMPUTED_VALUE"""),"31.66%")</f>
        <v>31.66%</v>
      </c>
      <c r="M17" s="5" t="str">
        <f>IFERROR(__xludf.DUMMYFUNCTION("""COMPUTED_VALUE"""),"x6408")</f>
        <v>x6408</v>
      </c>
      <c r="N17" s="5" t="str">
        <f>IFERROR(__xludf.DUMMYFUNCTION("""COMPUTED_VALUE"""),"0.01/40")</f>
        <v>0.01/40</v>
      </c>
      <c r="O17" s="5" t="str">
        <f>IFERROR(__xludf.DUMMYFUNCTION("""COMPUTED_VALUE"""),"Yes")</f>
        <v>Yes</v>
      </c>
      <c r="P17" s="5" t="str">
        <f>IFERROR(__xludf.DUMMYFUNCTION("""COMPUTED_VALUE"""),"Bonus Game with Special Symbol, Wild Symbol, Scatter, Book Of Game")</f>
        <v>Bonus Game with Special Symbol, Wild Symbol, Scatter, Book Of Game</v>
      </c>
      <c r="Q17" s="7" t="str">
        <f>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R17" s="5" t="str">
        <f>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S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IFERROR(__xludf.DUMMYFUNCTION("""COMPUTED_VALUE"""),"Yes")</f>
        <v>Yes</v>
      </c>
      <c r="AH17" s="5" t="str">
        <f>IFERROR(__xludf.DUMMYFUNCTION("""COMPUTED_VALUE"""),"Yes")</f>
        <v>Yes</v>
      </c>
      <c r="AI17" s="5" t="str">
        <f>IFERROR(__xludf.DUMMYFUNCTION("""COMPUTED_VALUE"""),"Yes")</f>
        <v>Yes</v>
      </c>
      <c r="AJ17" s="5" t="str">
        <f>IFERROR(__xludf.DUMMYFUNCTION("""COMPUTED_VALUE"""),"Yes")</f>
        <v>Yes</v>
      </c>
      <c r="AK17" s="5" t="str">
        <f>IFERROR(__xludf.DUMMYFUNCTION("""COMPUTED_VALUE"""),"Yes")</f>
        <v>Yes</v>
      </c>
      <c r="AL17" s="5" t="str">
        <f>IFERROR(__xludf.DUMMYFUNCTION("""COMPUTED_VALUE"""),"Yes")</f>
        <v>Yes</v>
      </c>
      <c r="AM17" s="5" t="str">
        <f>IFERROR(__xludf.DUMMYFUNCTION("""COMPUTED_VALUE"""),"Yes")</f>
        <v>Yes</v>
      </c>
      <c r="AN17" s="5" t="str">
        <f>IFERROR(__xludf.DUMMYFUNCTION("""COMPUTED_VALUE"""),"Yes")</f>
        <v>Yes</v>
      </c>
      <c r="AO17" s="5" t="str">
        <f>IFERROR(__xludf.DUMMYFUNCTION("""COMPUTED_VALUE"""),"Yes")</f>
        <v>Yes</v>
      </c>
      <c r="AP17" s="5" t="str">
        <f>IFERROR(__xludf.DUMMYFUNCTION("""COMPUTED_VALUE"""),"Yes")</f>
        <v>Yes</v>
      </c>
      <c r="AQ17" s="5" t="str">
        <f>IFERROR(__xludf.DUMMYFUNCTION("""COMPUTED_VALUE"""),"Yes")</f>
        <v>Yes</v>
      </c>
      <c r="AR17" s="5" t="str">
        <f>IFERROR(__xludf.DUMMYFUNCTION("""COMPUTED_VALUE"""),"Yes")</f>
        <v>Yes</v>
      </c>
      <c r="AS17" s="5" t="str">
        <f>IFERROR(__xludf.DUMMYFUNCTION("""COMPUTED_VALUE"""),"Yes")</f>
        <v>Yes</v>
      </c>
      <c r="AT17" s="5" t="str">
        <f>IFERROR(__xludf.DUMMYFUNCTION("""COMPUTED_VALUE"""),"No")</f>
        <v>No</v>
      </c>
      <c r="AU17" s="5"/>
      <c r="AV17" s="5" t="str">
        <f>IFERROR(__xludf.DUMMYFUNCTION("""COMPUTED_VALUE"""),"")</f>
        <v/>
      </c>
      <c r="AW17" s="5" t="str">
        <f>IFERROR(__xludf.DUMMYFUNCTION("""COMPUTED_VALUE"""),"")</f>
        <v/>
      </c>
      <c r="AX17" s="5" t="str">
        <f>IFERROR(__xludf.DUMMYFUNCTION("""COMPUTED_VALUE"""),"")</f>
        <v/>
      </c>
      <c r="AY17" s="5" t="str">
        <f>IFERROR(__xludf.DUMMYFUNCTION("""COMPUTED_VALUE"""),"")</f>
        <v/>
      </c>
      <c r="AZ17" s="5" t="str">
        <f>IFERROR(__xludf.DUMMYFUNCTION("""COMPUTED_VALUE"""),"")</f>
        <v/>
      </c>
      <c r="BA17" s="5" t="str">
        <f>IFERROR(__xludf.DUMMYFUNCTION("""COMPUTED_VALUE"""),"")</f>
        <v/>
      </c>
      <c r="BB17" s="5" t="str">
        <f>IFERROR(__xludf.DUMMYFUNCTION("""COMPUTED_VALUE"""),"Available")</f>
        <v>Available</v>
      </c>
      <c r="BC17" s="5" t="str">
        <f>IFERROR(__xludf.DUMMYFUNCTION("""COMPUTED_VALUE"""),"")</f>
        <v/>
      </c>
      <c r="BD17" s="5" t="str">
        <f>IFERROR(__xludf.DUMMYFUNCTION("""COMPUTED_VALUE"""),"")</f>
        <v/>
      </c>
      <c r="BE17" s="5" t="str">
        <f>IFERROR(__xludf.DUMMYFUNCTION("""COMPUTED_VALUE"""),"")</f>
        <v/>
      </c>
      <c r="BF17" s="5" t="str">
        <f>IFERROR(__xludf.DUMMYFUNCTION("""COMPUTED_VALUE"""),"")</f>
        <v/>
      </c>
      <c r="BG17" s="5" t="str">
        <f>IFERROR(__xludf.DUMMYFUNCTION("""COMPUTED_VALUE"""),"")</f>
        <v/>
      </c>
      <c r="BH17" s="5" t="str">
        <f>IFERROR(__xludf.DUMMYFUNCTION("""COMPUTED_VALUE"""),"")</f>
        <v/>
      </c>
      <c r="BI17" s="5" t="str">
        <f>IFERROR(__xludf.DUMMYFUNCTION("""COMPUTED_VALUE"""),"")</f>
        <v/>
      </c>
      <c r="BJ17" s="5" t="str">
        <f>IFERROR(__xludf.DUMMYFUNCTION("""COMPUTED_VALUE"""),"")</f>
        <v/>
      </c>
      <c r="BK17" s="5" t="str">
        <f>IFERROR(__xludf.DUMMYFUNCTION("""COMPUTED_VALUE"""),"Available")</f>
        <v>Available</v>
      </c>
      <c r="BL17" s="5" t="str">
        <f>IFERROR(__xludf.DUMMYFUNCTION("""COMPUTED_VALUE"""),"")</f>
        <v/>
      </c>
      <c r="BM17" s="5" t="str">
        <f>IFERROR(__xludf.DUMMYFUNCTION("""COMPUTED_VALUE"""),"")</f>
        <v/>
      </c>
    </row>
    <row r="18">
      <c r="A18" s="5" t="str">
        <f>IFERROR(__xludf.DUMMYFUNCTION("""COMPUTED_VALUE"""),"Fazi")</f>
        <v>Fazi</v>
      </c>
      <c r="B18" s="5" t="str">
        <f>IFERROR(__xludf.DUMMYFUNCTION("""COMPUTED_VALUE"""),"Tropical Hot")</f>
        <v>Tropical Hot</v>
      </c>
      <c r="C18" s="5" t="str">
        <f>IFERROR(__xludf.DUMMYFUNCTION("""COMPUTED_VALUE"""),"TropicalHot")</f>
        <v>TropicalHot</v>
      </c>
      <c r="D18" s="6">
        <f>IFERROR(__xludf.DUMMYFUNCTION("""COMPUTED_VALUE"""),43405.0)</f>
        <v>43405</v>
      </c>
      <c r="E18" s="5" t="str">
        <f>IFERROR(__xludf.DUMMYFUNCTION("""COMPUTED_VALUE"""),"Slot")</f>
        <v>Slot</v>
      </c>
      <c r="F18" s="5">
        <f>IFERROR(__xludf.DUMMYFUNCTION("""COMPUTED_VALUE"""),23.8)</f>
        <v>23.8</v>
      </c>
      <c r="G18" s="5" t="str">
        <f>IFERROR(__xludf.DUMMYFUNCTION("""COMPUTED_VALUE"""),"5x3")</f>
        <v>5x3</v>
      </c>
      <c r="H18" s="5" t="str">
        <f>IFERROR(__xludf.DUMMYFUNCTION("""COMPUTED_VALUE"""),"20")</f>
        <v>20</v>
      </c>
      <c r="I18" s="5" t="str">
        <f>IFERROR(__xludf.DUMMYFUNCTION("""COMPUTED_VALUE"""),"1,3,5,7,9,10,20")</f>
        <v>1,3,5,7,9,10,20</v>
      </c>
      <c r="J18" s="5" t="str">
        <f>IFERROR(__xludf.DUMMYFUNCTION("""COMPUTED_VALUE"""),"93.694%")</f>
        <v>93.694%</v>
      </c>
      <c r="K18" s="5" t="str">
        <f>IFERROR(__xludf.DUMMYFUNCTION("""COMPUTED_VALUE"""),"Low")</f>
        <v>Low</v>
      </c>
      <c r="L18" s="5" t="str">
        <f>IFERROR(__xludf.DUMMYFUNCTION("""COMPUTED_VALUE"""),"17.205%")</f>
        <v>17.205%</v>
      </c>
      <c r="M18" s="5" t="str">
        <f>IFERROR(__xludf.DUMMYFUNCTION("""COMPUTED_VALUE"""),"x252.5")</f>
        <v>x252.5</v>
      </c>
      <c r="N18" s="5" t="str">
        <f>IFERROR(__xludf.DUMMYFUNCTION("""COMPUTED_VALUE"""),"0.20/50")</f>
        <v>0.20/50</v>
      </c>
      <c r="O18" s="5" t="str">
        <f>IFERROR(__xludf.DUMMYFUNCTION("""COMPUTED_VALUE"""),"Yes")</f>
        <v>Yes</v>
      </c>
      <c r="P18" s="5" t="str">
        <f>IFERROR(__xludf.DUMMYFUNCTION("""COMPUTED_VALUE"""),"Scatter")</f>
        <v>Scatter</v>
      </c>
      <c r="Q18" s="7" t="str">
        <f>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R18" s="5" t="str">
        <f>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S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IFERROR(__xludf.DUMMYFUNCTION("""COMPUTED_VALUE"""),"Yes")</f>
        <v>Yes</v>
      </c>
      <c r="AH18" s="5" t="str">
        <f>IFERROR(__xludf.DUMMYFUNCTION("""COMPUTED_VALUE"""),"Yes")</f>
        <v>Yes</v>
      </c>
      <c r="AI18" s="5" t="str">
        <f>IFERROR(__xludf.DUMMYFUNCTION("""COMPUTED_VALUE"""),"Yes")</f>
        <v>Yes</v>
      </c>
      <c r="AJ18" s="5" t="str">
        <f>IFERROR(__xludf.DUMMYFUNCTION("""COMPUTED_VALUE"""),"Yes")</f>
        <v>Yes</v>
      </c>
      <c r="AK18" s="5" t="str">
        <f>IFERROR(__xludf.DUMMYFUNCTION("""COMPUTED_VALUE"""),"Yes")</f>
        <v>Yes</v>
      </c>
      <c r="AL18" s="5" t="str">
        <f>IFERROR(__xludf.DUMMYFUNCTION("""COMPUTED_VALUE"""),"Yes")</f>
        <v>Yes</v>
      </c>
      <c r="AM18" s="5" t="str">
        <f>IFERROR(__xludf.DUMMYFUNCTION("""COMPUTED_VALUE"""),"Yes")</f>
        <v>Yes</v>
      </c>
      <c r="AN18" s="5" t="str">
        <f>IFERROR(__xludf.DUMMYFUNCTION("""COMPUTED_VALUE"""),"Yes")</f>
        <v>Yes</v>
      </c>
      <c r="AO18" s="5" t="str">
        <f>IFERROR(__xludf.DUMMYFUNCTION("""COMPUTED_VALUE"""),"Yes")</f>
        <v>Yes</v>
      </c>
      <c r="AP18" s="5" t="str">
        <f>IFERROR(__xludf.DUMMYFUNCTION("""COMPUTED_VALUE"""),"Yes")</f>
        <v>Yes</v>
      </c>
      <c r="AQ18" s="5" t="str">
        <f>IFERROR(__xludf.DUMMYFUNCTION("""COMPUTED_VALUE"""),"Yes")</f>
        <v>Yes</v>
      </c>
      <c r="AR18" s="5" t="str">
        <f>IFERROR(__xludf.DUMMYFUNCTION("""COMPUTED_VALUE"""),"Yes")</f>
        <v>Yes</v>
      </c>
      <c r="AS18" s="5" t="str">
        <f>IFERROR(__xludf.DUMMYFUNCTION("""COMPUTED_VALUE"""),"Yes")</f>
        <v>Yes</v>
      </c>
      <c r="AT18" s="5" t="str">
        <f>IFERROR(__xludf.DUMMYFUNCTION("""COMPUTED_VALUE"""),"No")</f>
        <v>No</v>
      </c>
      <c r="AU18" s="5"/>
      <c r="AV18" s="5" t="str">
        <f>IFERROR(__xludf.DUMMYFUNCTION("""COMPUTED_VALUE"""),"")</f>
        <v/>
      </c>
      <c r="AW18" s="5" t="str">
        <f>IFERROR(__xludf.DUMMYFUNCTION("""COMPUTED_VALUE"""),"")</f>
        <v/>
      </c>
      <c r="AX18" s="5" t="str">
        <f>IFERROR(__xludf.DUMMYFUNCTION("""COMPUTED_VALUE"""),"")</f>
        <v/>
      </c>
      <c r="AY18" s="5" t="str">
        <f>IFERROR(__xludf.DUMMYFUNCTION("""COMPUTED_VALUE"""),"")</f>
        <v/>
      </c>
      <c r="AZ18" s="5" t="str">
        <f>IFERROR(__xludf.DUMMYFUNCTION("""COMPUTED_VALUE"""),"")</f>
        <v/>
      </c>
      <c r="BA18" s="5" t="str">
        <f>IFERROR(__xludf.DUMMYFUNCTION("""COMPUTED_VALUE"""),"")</f>
        <v/>
      </c>
      <c r="BB18" s="5" t="str">
        <f>IFERROR(__xludf.DUMMYFUNCTION("""COMPUTED_VALUE"""),"")</f>
        <v/>
      </c>
      <c r="BC18" s="5" t="str">
        <f>IFERROR(__xludf.DUMMYFUNCTION("""COMPUTED_VALUE"""),"")</f>
        <v/>
      </c>
      <c r="BD18" s="5" t="str">
        <f>IFERROR(__xludf.DUMMYFUNCTION("""COMPUTED_VALUE"""),"")</f>
        <v/>
      </c>
      <c r="BE18" s="5" t="str">
        <f>IFERROR(__xludf.DUMMYFUNCTION("""COMPUTED_VALUE"""),"")</f>
        <v/>
      </c>
      <c r="BF18" s="5" t="str">
        <f>IFERROR(__xludf.DUMMYFUNCTION("""COMPUTED_VALUE"""),"")</f>
        <v/>
      </c>
      <c r="BG18" s="5" t="str">
        <f>IFERROR(__xludf.DUMMYFUNCTION("""COMPUTED_VALUE"""),"")</f>
        <v/>
      </c>
      <c r="BH18" s="5" t="str">
        <f>IFERROR(__xludf.DUMMYFUNCTION("""COMPUTED_VALUE"""),"")</f>
        <v/>
      </c>
      <c r="BI18" s="5" t="str">
        <f>IFERROR(__xludf.DUMMYFUNCTION("""COMPUTED_VALUE"""),"")</f>
        <v/>
      </c>
      <c r="BJ18" s="5" t="str">
        <f>IFERROR(__xludf.DUMMYFUNCTION("""COMPUTED_VALUE"""),"")</f>
        <v/>
      </c>
      <c r="BK18" s="5" t="str">
        <f>IFERROR(__xludf.DUMMYFUNCTION("""COMPUTED_VALUE"""),"")</f>
        <v/>
      </c>
      <c r="BL18" s="5" t="str">
        <f>IFERROR(__xludf.DUMMYFUNCTION("""COMPUTED_VALUE"""),"")</f>
        <v/>
      </c>
      <c r="BM18" s="5" t="str">
        <f>IFERROR(__xludf.DUMMYFUNCTION("""COMPUTED_VALUE"""),"")</f>
        <v/>
      </c>
    </row>
    <row r="19">
      <c r="A19" s="5" t="str">
        <f>IFERROR(__xludf.DUMMYFUNCTION("""COMPUTED_VALUE"""),"Fazi")</f>
        <v>Fazi</v>
      </c>
      <c r="B19" s="5" t="str">
        <f>IFERROR(__xludf.DUMMYFUNCTION("""COMPUTED_VALUE"""),"Monsters")</f>
        <v>Monsters</v>
      </c>
      <c r="C19" s="5" t="str">
        <f>IFERROR(__xludf.DUMMYFUNCTION("""COMPUTED_VALUE"""),"Monsters")</f>
        <v>Monsters</v>
      </c>
      <c r="D19" s="6">
        <f>IFERROR(__xludf.DUMMYFUNCTION("""COMPUTED_VALUE"""),43105.0)</f>
        <v>43105</v>
      </c>
      <c r="E19" s="5" t="str">
        <f>IFERROR(__xludf.DUMMYFUNCTION("""COMPUTED_VALUE"""),"Slot")</f>
        <v>Slot</v>
      </c>
      <c r="F19" s="5">
        <f>IFERROR(__xludf.DUMMYFUNCTION("""COMPUTED_VALUE"""),34.0)</f>
        <v>34</v>
      </c>
      <c r="G19" s="5" t="str">
        <f>IFERROR(__xludf.DUMMYFUNCTION("""COMPUTED_VALUE"""),"5x3")</f>
        <v>5x3</v>
      </c>
      <c r="H19" s="5" t="str">
        <f>IFERROR(__xludf.DUMMYFUNCTION("""COMPUTED_VALUE"""),"20")</f>
        <v>20</v>
      </c>
      <c r="I19" s="5" t="str">
        <f>IFERROR(__xludf.DUMMYFUNCTION("""COMPUTED_VALUE"""),"20")</f>
        <v>20</v>
      </c>
      <c r="J19" s="5" t="str">
        <f>IFERROR(__xludf.DUMMYFUNCTION("""COMPUTED_VALUE"""),"95.639%")</f>
        <v>95.639%</v>
      </c>
      <c r="K19" s="5" t="str">
        <f>IFERROR(__xludf.DUMMYFUNCTION("""COMPUTED_VALUE"""),"High")</f>
        <v>High</v>
      </c>
      <c r="L19" s="5" t="str">
        <f>IFERROR(__xludf.DUMMYFUNCTION("""COMPUTED_VALUE"""),"26.35%")</f>
        <v>26.35%</v>
      </c>
      <c r="M19" s="5" t="str">
        <f>IFERROR(__xludf.DUMMYFUNCTION("""COMPUTED_VALUE"""),"x1067")</f>
        <v>x1067</v>
      </c>
      <c r="N19" s="5" t="str">
        <f>IFERROR(__xludf.DUMMYFUNCTION("""COMPUTED_VALUE"""),"0.2/50")</f>
        <v>0.2/50</v>
      </c>
      <c r="O19" s="5" t="str">
        <f>IFERROR(__xludf.DUMMYFUNCTION("""COMPUTED_VALUE"""),"Yes")</f>
        <v>Yes</v>
      </c>
      <c r="P19" s="5" t="str">
        <f>IFERROR(__xludf.DUMMYFUNCTION("""COMPUTED_VALUE"""),"Wild Symbol, Bonus Game with Sticky Wild")</f>
        <v>Wild Symbol, Bonus Game with Sticky Wild</v>
      </c>
      <c r="Q19" s="7" t="str">
        <f>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R19" s="5" t="str">
        <f>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S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IFERROR(__xludf.DUMMYFUNCTION("""COMPUTED_VALUE"""),"Yes")</f>
        <v>Yes</v>
      </c>
      <c r="AH19" s="5" t="str">
        <f>IFERROR(__xludf.DUMMYFUNCTION("""COMPUTED_VALUE"""),"Yes")</f>
        <v>Yes</v>
      </c>
      <c r="AI19" s="5" t="str">
        <f>IFERROR(__xludf.DUMMYFUNCTION("""COMPUTED_VALUE"""),"Yes")</f>
        <v>Yes</v>
      </c>
      <c r="AJ19" s="5" t="str">
        <f>IFERROR(__xludf.DUMMYFUNCTION("""COMPUTED_VALUE"""),"Yes")</f>
        <v>Yes</v>
      </c>
      <c r="AK19" s="5" t="str">
        <f>IFERROR(__xludf.DUMMYFUNCTION("""COMPUTED_VALUE"""),"Yes")</f>
        <v>Yes</v>
      </c>
      <c r="AL19" s="5" t="str">
        <f>IFERROR(__xludf.DUMMYFUNCTION("""COMPUTED_VALUE"""),"Yes")</f>
        <v>Yes</v>
      </c>
      <c r="AM19" s="5" t="str">
        <f>IFERROR(__xludf.DUMMYFUNCTION("""COMPUTED_VALUE"""),"Yes")</f>
        <v>Yes</v>
      </c>
      <c r="AN19" s="5" t="str">
        <f>IFERROR(__xludf.DUMMYFUNCTION("""COMPUTED_VALUE"""),"Yes")</f>
        <v>Yes</v>
      </c>
      <c r="AO19" s="5" t="str">
        <f>IFERROR(__xludf.DUMMYFUNCTION("""COMPUTED_VALUE"""),"Yes")</f>
        <v>Yes</v>
      </c>
      <c r="AP19" s="5" t="str">
        <f>IFERROR(__xludf.DUMMYFUNCTION("""COMPUTED_VALUE"""),"Yes")</f>
        <v>Yes</v>
      </c>
      <c r="AQ19" s="5" t="str">
        <f>IFERROR(__xludf.DUMMYFUNCTION("""COMPUTED_VALUE"""),"Yes")</f>
        <v>Yes</v>
      </c>
      <c r="AR19" s="5" t="str">
        <f>IFERROR(__xludf.DUMMYFUNCTION("""COMPUTED_VALUE"""),"Yes")</f>
        <v>Yes</v>
      </c>
      <c r="AS19" s="5" t="str">
        <f>IFERROR(__xludf.DUMMYFUNCTION("""COMPUTED_VALUE"""),"Yes")</f>
        <v>Yes</v>
      </c>
      <c r="AT19" s="5" t="str">
        <f>IFERROR(__xludf.DUMMYFUNCTION("""COMPUTED_VALUE"""),"No")</f>
        <v>No</v>
      </c>
      <c r="AU19" s="5"/>
      <c r="AV19" s="5" t="str">
        <f>IFERROR(__xludf.DUMMYFUNCTION("""COMPUTED_VALUE"""),"")</f>
        <v/>
      </c>
      <c r="AW19" s="5" t="str">
        <f>IFERROR(__xludf.DUMMYFUNCTION("""COMPUTED_VALUE"""),"")</f>
        <v/>
      </c>
      <c r="AX19" s="5" t="str">
        <f>IFERROR(__xludf.DUMMYFUNCTION("""COMPUTED_VALUE"""),"")</f>
        <v/>
      </c>
      <c r="AY19" s="5" t="str">
        <f>IFERROR(__xludf.DUMMYFUNCTION("""COMPUTED_VALUE"""),"")</f>
        <v/>
      </c>
      <c r="AZ19" s="5" t="str">
        <f>IFERROR(__xludf.DUMMYFUNCTION("""COMPUTED_VALUE"""),"")</f>
        <v/>
      </c>
      <c r="BA19" s="5" t="str">
        <f>IFERROR(__xludf.DUMMYFUNCTION("""COMPUTED_VALUE"""),"")</f>
        <v/>
      </c>
      <c r="BB19" s="5" t="str">
        <f>IFERROR(__xludf.DUMMYFUNCTION("""COMPUTED_VALUE"""),"")</f>
        <v/>
      </c>
      <c r="BC19" s="5" t="str">
        <f>IFERROR(__xludf.DUMMYFUNCTION("""COMPUTED_VALUE"""),"")</f>
        <v/>
      </c>
      <c r="BD19" s="5" t="str">
        <f>IFERROR(__xludf.DUMMYFUNCTION("""COMPUTED_VALUE"""),"")</f>
        <v/>
      </c>
      <c r="BE19" s="5" t="str">
        <f>IFERROR(__xludf.DUMMYFUNCTION("""COMPUTED_VALUE"""),"")</f>
        <v/>
      </c>
      <c r="BF19" s="5" t="str">
        <f>IFERROR(__xludf.DUMMYFUNCTION("""COMPUTED_VALUE"""),"")</f>
        <v/>
      </c>
      <c r="BG19" s="5" t="str">
        <f>IFERROR(__xludf.DUMMYFUNCTION("""COMPUTED_VALUE"""),"")</f>
        <v/>
      </c>
      <c r="BH19" s="5" t="str">
        <f>IFERROR(__xludf.DUMMYFUNCTION("""COMPUTED_VALUE"""),"")</f>
        <v/>
      </c>
      <c r="BI19" s="5" t="str">
        <f>IFERROR(__xludf.DUMMYFUNCTION("""COMPUTED_VALUE"""),"")</f>
        <v/>
      </c>
      <c r="BJ19" s="5" t="str">
        <f>IFERROR(__xludf.DUMMYFUNCTION("""COMPUTED_VALUE"""),"")</f>
        <v/>
      </c>
      <c r="BK19" s="5" t="str">
        <f>IFERROR(__xludf.DUMMYFUNCTION("""COMPUTED_VALUE"""),"")</f>
        <v/>
      </c>
      <c r="BL19" s="5" t="str">
        <f>IFERROR(__xludf.DUMMYFUNCTION("""COMPUTED_VALUE"""),"")</f>
        <v/>
      </c>
      <c r="BM19" s="5" t="str">
        <f>IFERROR(__xludf.DUMMYFUNCTION("""COMPUTED_VALUE"""),"")</f>
        <v/>
      </c>
    </row>
    <row r="20">
      <c r="A20" s="5" t="str">
        <f>IFERROR(__xludf.DUMMYFUNCTION("""COMPUTED_VALUE"""),"Fazi")</f>
        <v>Fazi</v>
      </c>
      <c r="B20" s="5" t="str">
        <f>IFERROR(__xludf.DUMMYFUNCTION("""COMPUTED_VALUE"""),"Forest Fruits")</f>
        <v>Forest Fruits</v>
      </c>
      <c r="C20" s="5" t="str">
        <f>IFERROR(__xludf.DUMMYFUNCTION("""COMPUTED_VALUE"""),"ForestFruits")</f>
        <v>ForestFruits</v>
      </c>
      <c r="D20" s="6">
        <f>IFERROR(__xludf.DUMMYFUNCTION("""COMPUTED_VALUE"""),43191.0)</f>
        <v>43191</v>
      </c>
      <c r="E20" s="5" t="str">
        <f>IFERROR(__xludf.DUMMYFUNCTION("""COMPUTED_VALUE"""),"Slot")</f>
        <v>Slot</v>
      </c>
      <c r="F20" s="5">
        <f>IFERROR(__xludf.DUMMYFUNCTION("""COMPUTED_VALUE"""),21.7)</f>
        <v>21.7</v>
      </c>
      <c r="G20" s="5" t="str">
        <f>IFERROR(__xludf.DUMMYFUNCTION("""COMPUTED_VALUE"""),"5x3")</f>
        <v>5x3</v>
      </c>
      <c r="H20" s="5" t="str">
        <f>IFERROR(__xludf.DUMMYFUNCTION("""COMPUTED_VALUE"""),"20")</f>
        <v>20</v>
      </c>
      <c r="I20" s="5" t="str">
        <f>IFERROR(__xludf.DUMMYFUNCTION("""COMPUTED_VALUE"""),"1,3,5,7,9,10,20")</f>
        <v>1,3,5,7,9,10,20</v>
      </c>
      <c r="J20" s="5" t="str">
        <f>IFERROR(__xludf.DUMMYFUNCTION("""COMPUTED_VALUE"""),"95.79%")</f>
        <v>95.79%</v>
      </c>
      <c r="K20" s="5" t="str">
        <f>IFERROR(__xludf.DUMMYFUNCTION("""COMPUTED_VALUE"""),"Low")</f>
        <v>Low</v>
      </c>
      <c r="L20" s="5" t="str">
        <f>IFERROR(__xludf.DUMMYFUNCTION("""COMPUTED_VALUE"""),"17.45%")</f>
        <v>17.45%</v>
      </c>
      <c r="M20" s="5" t="str">
        <f>IFERROR(__xludf.DUMMYFUNCTION("""COMPUTED_VALUE"""),"x1000")</f>
        <v>x1000</v>
      </c>
      <c r="N20" s="5" t="str">
        <f>IFERROR(__xludf.DUMMYFUNCTION("""COMPUTED_VALUE"""),"0.01/50")</f>
        <v>0.01/50</v>
      </c>
      <c r="O20" s="5" t="str">
        <f>IFERROR(__xludf.DUMMYFUNCTION("""COMPUTED_VALUE"""),"Yes")</f>
        <v>Yes</v>
      </c>
      <c r="P20" s="5" t="str">
        <f>IFERROR(__xludf.DUMMYFUNCTION("""COMPUTED_VALUE"""),"Wild Symbol, Scatter")</f>
        <v>Wild Symbol, Scatter</v>
      </c>
      <c r="Q20" s="7" t="str">
        <f>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R20" s="5" t="str">
        <f>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S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IFERROR(__xludf.DUMMYFUNCTION("""COMPUTED_VALUE"""),"Yes")</f>
        <v>Yes</v>
      </c>
      <c r="AJ20" s="5" t="str">
        <f>IFERROR(__xludf.DUMMYFUNCTION("""COMPUTED_VALUE"""),"Yes")</f>
        <v>Yes</v>
      </c>
      <c r="AK20" s="5" t="str">
        <f>IFERROR(__xludf.DUMMYFUNCTION("""COMPUTED_VALUE"""),"Yes")</f>
        <v>Yes</v>
      </c>
      <c r="AL20" s="5" t="str">
        <f>IFERROR(__xludf.DUMMYFUNCTION("""COMPUTED_VALUE"""),"Yes")</f>
        <v>Yes</v>
      </c>
      <c r="AM20" s="5" t="str">
        <f>IFERROR(__xludf.DUMMYFUNCTION("""COMPUTED_VALUE"""),"Yes")</f>
        <v>Yes</v>
      </c>
      <c r="AN20" s="5" t="str">
        <f>IFERROR(__xludf.DUMMYFUNCTION("""COMPUTED_VALUE"""),"Yes")</f>
        <v>Yes</v>
      </c>
      <c r="AO20" s="5" t="str">
        <f>IFERROR(__xludf.DUMMYFUNCTION("""COMPUTED_VALUE"""),"Yes")</f>
        <v>Yes</v>
      </c>
      <c r="AP20" s="5" t="str">
        <f>IFERROR(__xludf.DUMMYFUNCTION("""COMPUTED_VALUE"""),"Yes")</f>
        <v>Yes</v>
      </c>
      <c r="AQ20" s="5" t="str">
        <f>IFERROR(__xludf.DUMMYFUNCTION("""COMPUTED_VALUE"""),"Yes")</f>
        <v>Yes</v>
      </c>
      <c r="AR20" s="5" t="str">
        <f>IFERROR(__xludf.DUMMYFUNCTION("""COMPUTED_VALUE"""),"Yes")</f>
        <v>Yes</v>
      </c>
      <c r="AS20" s="5" t="str">
        <f>IFERROR(__xludf.DUMMYFUNCTION("""COMPUTED_VALUE"""),"Yes")</f>
        <v>Yes</v>
      </c>
      <c r="AT20" s="5" t="str">
        <f>IFERROR(__xludf.DUMMYFUNCTION("""COMPUTED_VALUE"""),"No")</f>
        <v>No</v>
      </c>
      <c r="AU20" s="5"/>
      <c r="AV20" s="5" t="str">
        <f>IFERROR(__xludf.DUMMYFUNCTION("""COMPUTED_VALUE"""),"")</f>
        <v/>
      </c>
      <c r="AW20" s="5" t="str">
        <f>IFERROR(__xludf.DUMMYFUNCTION("""COMPUTED_VALUE"""),"")</f>
        <v/>
      </c>
      <c r="AX20" s="5" t="str">
        <f>IFERROR(__xludf.DUMMYFUNCTION("""COMPUTED_VALUE"""),"")</f>
        <v/>
      </c>
      <c r="AY20" s="5" t="str">
        <f>IFERROR(__xludf.DUMMYFUNCTION("""COMPUTED_VALUE"""),"")</f>
        <v/>
      </c>
      <c r="AZ20" s="5" t="str">
        <f>IFERROR(__xludf.DUMMYFUNCTION("""COMPUTED_VALUE"""),"")</f>
        <v/>
      </c>
      <c r="BA20" s="5" t="str">
        <f>IFERROR(__xludf.DUMMYFUNCTION("""COMPUTED_VALUE"""),"")</f>
        <v/>
      </c>
      <c r="BB20" s="5" t="str">
        <f>IFERROR(__xludf.DUMMYFUNCTION("""COMPUTED_VALUE"""),"")</f>
        <v/>
      </c>
      <c r="BC20" s="5" t="str">
        <f>IFERROR(__xludf.DUMMYFUNCTION("""COMPUTED_VALUE"""),"")</f>
        <v/>
      </c>
      <c r="BD20" s="5" t="str">
        <f>IFERROR(__xludf.DUMMYFUNCTION("""COMPUTED_VALUE"""),"")</f>
        <v/>
      </c>
      <c r="BE20" s="5" t="str">
        <f>IFERROR(__xludf.DUMMYFUNCTION("""COMPUTED_VALUE"""),"")</f>
        <v/>
      </c>
      <c r="BF20" s="5" t="str">
        <f>IFERROR(__xludf.DUMMYFUNCTION("""COMPUTED_VALUE"""),"")</f>
        <v/>
      </c>
      <c r="BG20" s="5" t="str">
        <f>IFERROR(__xludf.DUMMYFUNCTION("""COMPUTED_VALUE"""),"")</f>
        <v/>
      </c>
      <c r="BH20" s="5" t="str">
        <f>IFERROR(__xludf.DUMMYFUNCTION("""COMPUTED_VALUE"""),"")</f>
        <v/>
      </c>
      <c r="BI20" s="5" t="str">
        <f>IFERROR(__xludf.DUMMYFUNCTION("""COMPUTED_VALUE"""),"")</f>
        <v/>
      </c>
      <c r="BJ20" s="5" t="str">
        <f>IFERROR(__xludf.DUMMYFUNCTION("""COMPUTED_VALUE"""),"")</f>
        <v/>
      </c>
      <c r="BK20" s="5" t="str">
        <f>IFERROR(__xludf.DUMMYFUNCTION("""COMPUTED_VALUE"""),"")</f>
        <v/>
      </c>
      <c r="BL20" s="5" t="str">
        <f>IFERROR(__xludf.DUMMYFUNCTION("""COMPUTED_VALUE"""),"")</f>
        <v/>
      </c>
      <c r="BM20" s="5" t="str">
        <f>IFERROR(__xludf.DUMMYFUNCTION("""COMPUTED_VALUE"""),"")</f>
        <v/>
      </c>
    </row>
    <row r="21">
      <c r="A21" s="5" t="str">
        <f>IFERROR(__xludf.DUMMYFUNCTION("""COMPUTED_VALUE"""),"Fazi")</f>
        <v>Fazi</v>
      </c>
      <c r="B21" s="5" t="str">
        <f>IFERROR(__xludf.DUMMYFUNCTION("""COMPUTED_VALUE"""),"Viking Gold")</f>
        <v>Viking Gold</v>
      </c>
      <c r="C21" s="5" t="str">
        <f>IFERROR(__xludf.DUMMYFUNCTION("""COMPUTED_VALUE"""),"VikingGold")</f>
        <v>VikingGold</v>
      </c>
      <c r="D21" s="6">
        <f>IFERROR(__xludf.DUMMYFUNCTION("""COMPUTED_VALUE"""),43435.0)</f>
        <v>43435</v>
      </c>
      <c r="E21" s="5" t="str">
        <f>IFERROR(__xludf.DUMMYFUNCTION("""COMPUTED_VALUE"""),"Slot")</f>
        <v>Slot</v>
      </c>
      <c r="F21" s="5">
        <f>IFERROR(__xludf.DUMMYFUNCTION("""COMPUTED_VALUE"""),34.7)</f>
        <v>34.7</v>
      </c>
      <c r="G21" s="5" t="str">
        <f>IFERROR(__xludf.DUMMYFUNCTION("""COMPUTED_VALUE"""),"5x3")</f>
        <v>5x3</v>
      </c>
      <c r="H21" s="5" t="str">
        <f>IFERROR(__xludf.DUMMYFUNCTION("""COMPUTED_VALUE"""),"20")</f>
        <v>20</v>
      </c>
      <c r="I21" s="5" t="str">
        <f>IFERROR(__xludf.DUMMYFUNCTION("""COMPUTED_VALUE"""),"20")</f>
        <v>20</v>
      </c>
      <c r="J21" s="5" t="str">
        <f>IFERROR(__xludf.DUMMYFUNCTION("""COMPUTED_VALUE"""),"95.952%")</f>
        <v>95.952%</v>
      </c>
      <c r="K21" s="5" t="str">
        <f>IFERROR(__xludf.DUMMYFUNCTION("""COMPUTED_VALUE"""),"Medium")</f>
        <v>Medium</v>
      </c>
      <c r="L21" s="5" t="str">
        <f>IFERROR(__xludf.DUMMYFUNCTION("""COMPUTED_VALUE"""),"43.77%")</f>
        <v>43.77%</v>
      </c>
      <c r="M21" s="5" t="str">
        <f>IFERROR(__xludf.DUMMYFUNCTION("""COMPUTED_VALUE"""),"x3910")</f>
        <v>x3910</v>
      </c>
      <c r="N21" s="5" t="str">
        <f>IFERROR(__xludf.DUMMYFUNCTION("""COMPUTED_VALUE"""),"0.20/50")</f>
        <v>0.20/50</v>
      </c>
      <c r="O21" s="5" t="str">
        <f>IFERROR(__xludf.DUMMYFUNCTION("""COMPUTED_VALUE"""),"Yes")</f>
        <v>Yes</v>
      </c>
      <c r="P21" s="5" t="str">
        <f>IFERROR(__xludf.DUMMYFUNCTION("""COMPUTED_VALUE"""),"Cascade Game, Wild Symbol, Increasing Multiplier, Bonus Game with Multiplier")</f>
        <v>Cascade Game, Wild Symbol, Increasing Multiplier, Bonus Game with Multiplier</v>
      </c>
      <c r="Q21" s="7" t="str">
        <f>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R21" s="5" t="str">
        <f>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S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IFERROR(__xludf.DUMMYFUNCTION("""COMPUTED_VALUE"""),"Yes")</f>
        <v>Yes</v>
      </c>
      <c r="AH21" s="5" t="str">
        <f>IFERROR(__xludf.DUMMYFUNCTION("""COMPUTED_VALUE"""),"Yes")</f>
        <v>Yes</v>
      </c>
      <c r="AI21" s="5" t="str">
        <f>IFERROR(__xludf.DUMMYFUNCTION("""COMPUTED_VALUE"""),"Yes")</f>
        <v>Yes</v>
      </c>
      <c r="AJ21" s="5" t="str">
        <f>IFERROR(__xludf.DUMMYFUNCTION("""COMPUTED_VALUE"""),"Yes")</f>
        <v>Yes</v>
      </c>
      <c r="AK21" s="5" t="str">
        <f>IFERROR(__xludf.DUMMYFUNCTION("""COMPUTED_VALUE"""),"Yes")</f>
        <v>Yes</v>
      </c>
      <c r="AL21" s="5" t="str">
        <f>IFERROR(__xludf.DUMMYFUNCTION("""COMPUTED_VALUE"""),"Yes")</f>
        <v>Yes</v>
      </c>
      <c r="AM21" s="5" t="str">
        <f>IFERROR(__xludf.DUMMYFUNCTION("""COMPUTED_VALUE"""),"Yes")</f>
        <v>Yes</v>
      </c>
      <c r="AN21" s="5" t="str">
        <f>IFERROR(__xludf.DUMMYFUNCTION("""COMPUTED_VALUE"""),"Yes")</f>
        <v>Yes</v>
      </c>
      <c r="AO21" s="5" t="str">
        <f>IFERROR(__xludf.DUMMYFUNCTION("""COMPUTED_VALUE"""),"Yes")</f>
        <v>Yes</v>
      </c>
      <c r="AP21" s="5" t="str">
        <f>IFERROR(__xludf.DUMMYFUNCTION("""COMPUTED_VALUE"""),"Yes")</f>
        <v>Yes</v>
      </c>
      <c r="AQ21" s="5" t="str">
        <f>IFERROR(__xludf.DUMMYFUNCTION("""COMPUTED_VALUE"""),"Yes")</f>
        <v>Yes</v>
      </c>
      <c r="AR21" s="5" t="str">
        <f>IFERROR(__xludf.DUMMYFUNCTION("""COMPUTED_VALUE"""),"Yes")</f>
        <v>Yes</v>
      </c>
      <c r="AS21" s="5" t="str">
        <f>IFERROR(__xludf.DUMMYFUNCTION("""COMPUTED_VALUE"""),"Yes")</f>
        <v>Yes</v>
      </c>
      <c r="AT21" s="5" t="str">
        <f>IFERROR(__xludf.DUMMYFUNCTION("""COMPUTED_VALUE"""),"No")</f>
        <v>No</v>
      </c>
      <c r="AU21" s="5"/>
      <c r="AV21" s="5" t="str">
        <f>IFERROR(__xludf.DUMMYFUNCTION("""COMPUTED_VALUE"""),"")</f>
        <v/>
      </c>
      <c r="AW21" s="5" t="str">
        <f>IFERROR(__xludf.DUMMYFUNCTION("""COMPUTED_VALUE"""),"")</f>
        <v/>
      </c>
      <c r="AX21" s="5" t="str">
        <f>IFERROR(__xludf.DUMMYFUNCTION("""COMPUTED_VALUE"""),"")</f>
        <v/>
      </c>
      <c r="AY21" s="5" t="str">
        <f>IFERROR(__xludf.DUMMYFUNCTION("""COMPUTED_VALUE"""),"")</f>
        <v/>
      </c>
      <c r="AZ21" s="5" t="str">
        <f>IFERROR(__xludf.DUMMYFUNCTION("""COMPUTED_VALUE"""),"")</f>
        <v/>
      </c>
      <c r="BA21" s="5" t="str">
        <f>IFERROR(__xludf.DUMMYFUNCTION("""COMPUTED_VALUE"""),"")</f>
        <v/>
      </c>
      <c r="BB21" s="5" t="str">
        <f>IFERROR(__xludf.DUMMYFUNCTION("""COMPUTED_VALUE"""),"")</f>
        <v/>
      </c>
      <c r="BC21" s="5" t="str">
        <f>IFERROR(__xludf.DUMMYFUNCTION("""COMPUTED_VALUE"""),"")</f>
        <v/>
      </c>
      <c r="BD21" s="5" t="str">
        <f>IFERROR(__xludf.DUMMYFUNCTION("""COMPUTED_VALUE"""),"")</f>
        <v/>
      </c>
      <c r="BE21" s="5" t="str">
        <f>IFERROR(__xludf.DUMMYFUNCTION("""COMPUTED_VALUE"""),"")</f>
        <v/>
      </c>
      <c r="BF21" s="5" t="str">
        <f>IFERROR(__xludf.DUMMYFUNCTION("""COMPUTED_VALUE"""),"")</f>
        <v/>
      </c>
      <c r="BG21" s="5" t="str">
        <f>IFERROR(__xludf.DUMMYFUNCTION("""COMPUTED_VALUE"""),"")</f>
        <v/>
      </c>
      <c r="BH21" s="5" t="str">
        <f>IFERROR(__xludf.DUMMYFUNCTION("""COMPUTED_VALUE"""),"")</f>
        <v/>
      </c>
      <c r="BI21" s="5" t="str">
        <f>IFERROR(__xludf.DUMMYFUNCTION("""COMPUTED_VALUE"""),"")</f>
        <v/>
      </c>
      <c r="BJ21" s="5" t="str">
        <f>IFERROR(__xludf.DUMMYFUNCTION("""COMPUTED_VALUE"""),"")</f>
        <v/>
      </c>
      <c r="BK21" s="5" t="str">
        <f>IFERROR(__xludf.DUMMYFUNCTION("""COMPUTED_VALUE"""),"")</f>
        <v/>
      </c>
      <c r="BL21" s="5" t="str">
        <f>IFERROR(__xludf.DUMMYFUNCTION("""COMPUTED_VALUE"""),"")</f>
        <v/>
      </c>
      <c r="BM21" s="5" t="str">
        <f>IFERROR(__xludf.DUMMYFUNCTION("""COMPUTED_VALUE"""),"")</f>
        <v/>
      </c>
    </row>
    <row r="22">
      <c r="A22" s="5" t="str">
        <f>IFERROR(__xludf.DUMMYFUNCTION("""COMPUTED_VALUE"""),"Fazi")</f>
        <v>Fazi</v>
      </c>
      <c r="B22" s="5" t="str">
        <f>IFERROR(__xludf.DUMMYFUNCTION("""COMPUTED_VALUE"""),"Star Gems")</f>
        <v>Star Gems</v>
      </c>
      <c r="C22" s="5" t="str">
        <f>IFERROR(__xludf.DUMMYFUNCTION("""COMPUTED_VALUE"""),"StarGems")</f>
        <v>StarGems</v>
      </c>
      <c r="D22" s="6">
        <f>IFERROR(__xludf.DUMMYFUNCTION("""COMPUTED_VALUE"""),43313.0)</f>
        <v>43313</v>
      </c>
      <c r="E22" s="5" t="str">
        <f>IFERROR(__xludf.DUMMYFUNCTION("""COMPUTED_VALUE"""),"Slot")</f>
        <v>Slot</v>
      </c>
      <c r="F22" s="5">
        <f>IFERROR(__xludf.DUMMYFUNCTION("""COMPUTED_VALUE"""),23.9)</f>
        <v>23.9</v>
      </c>
      <c r="G22" s="5" t="str">
        <f>IFERROR(__xludf.DUMMYFUNCTION("""COMPUTED_VALUE"""),"5x3")</f>
        <v>5x3</v>
      </c>
      <c r="H22" s="5" t="str">
        <f>IFERROR(__xludf.DUMMYFUNCTION("""COMPUTED_VALUE"""),"10")</f>
        <v>10</v>
      </c>
      <c r="I22" s="5" t="str">
        <f>IFERROR(__xludf.DUMMYFUNCTION("""COMPUTED_VALUE"""),"1,3,5,7,10")</f>
        <v>1,3,5,7,10</v>
      </c>
      <c r="J22" s="5" t="str">
        <f>IFERROR(__xludf.DUMMYFUNCTION("""COMPUTED_VALUE"""),"96.05%")</f>
        <v>96.05%</v>
      </c>
      <c r="K22" s="5" t="str">
        <f>IFERROR(__xludf.DUMMYFUNCTION("""COMPUTED_VALUE"""),"Low")</f>
        <v>Low</v>
      </c>
      <c r="L22" s="5" t="str">
        <f>IFERROR(__xludf.DUMMYFUNCTION("""COMPUTED_VALUE"""),"20.28%")</f>
        <v>20.28%</v>
      </c>
      <c r="M22" s="5" t="str">
        <f>IFERROR(__xludf.DUMMYFUNCTION("""COMPUTED_VALUE"""),"x581")</f>
        <v>x581</v>
      </c>
      <c r="N22" s="5" t="str">
        <f>IFERROR(__xludf.DUMMYFUNCTION("""COMPUTED_VALUE"""),"0.10/40")</f>
        <v>0.10/40</v>
      </c>
      <c r="O22" s="5" t="str">
        <f>IFERROR(__xludf.DUMMYFUNCTION("""COMPUTED_VALUE"""),"Yes")</f>
        <v>Yes</v>
      </c>
      <c r="P22" s="5" t="str">
        <f>IFERROR(__xludf.DUMMYFUNCTION("""COMPUTED_VALUE"""),"Wild Symbol, Respin, Bothways")</f>
        <v>Wild Symbol, Respin, Bothways</v>
      </c>
      <c r="Q22" s="7" t="str">
        <f>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R22" s="5" t="str">
        <f>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S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IFERROR(__xludf.DUMMYFUNCTION("""COMPUTED_VALUE"""),"Yes")</f>
        <v>Yes</v>
      </c>
      <c r="AH22" s="5" t="str">
        <f>IFERROR(__xludf.DUMMYFUNCTION("""COMPUTED_VALUE"""),"Yes")</f>
        <v>Yes</v>
      </c>
      <c r="AI22" s="5" t="str">
        <f>IFERROR(__xludf.DUMMYFUNCTION("""COMPUTED_VALUE"""),"Yes")</f>
        <v>Yes</v>
      </c>
      <c r="AJ22" s="5" t="str">
        <f>IFERROR(__xludf.DUMMYFUNCTION("""COMPUTED_VALUE"""),"Yes")</f>
        <v>Yes</v>
      </c>
      <c r="AK22" s="5" t="str">
        <f>IFERROR(__xludf.DUMMYFUNCTION("""COMPUTED_VALUE"""),"Yes")</f>
        <v>Yes</v>
      </c>
      <c r="AL22" s="5" t="str">
        <f>IFERROR(__xludf.DUMMYFUNCTION("""COMPUTED_VALUE"""),"Yes")</f>
        <v>Yes</v>
      </c>
      <c r="AM22" s="5" t="str">
        <f>IFERROR(__xludf.DUMMYFUNCTION("""COMPUTED_VALUE"""),"Yes")</f>
        <v>Yes</v>
      </c>
      <c r="AN22" s="5" t="str">
        <f>IFERROR(__xludf.DUMMYFUNCTION("""COMPUTED_VALUE"""),"Yes")</f>
        <v>Yes</v>
      </c>
      <c r="AO22" s="5" t="str">
        <f>IFERROR(__xludf.DUMMYFUNCTION("""COMPUTED_VALUE"""),"Yes")</f>
        <v>Yes</v>
      </c>
      <c r="AP22" s="5" t="str">
        <f>IFERROR(__xludf.DUMMYFUNCTION("""COMPUTED_VALUE"""),"Yes")</f>
        <v>Yes</v>
      </c>
      <c r="AQ22" s="5" t="str">
        <f>IFERROR(__xludf.DUMMYFUNCTION("""COMPUTED_VALUE"""),"Yes")</f>
        <v>Yes</v>
      </c>
      <c r="AR22" s="5" t="str">
        <f>IFERROR(__xludf.DUMMYFUNCTION("""COMPUTED_VALUE"""),"Yes")</f>
        <v>Yes</v>
      </c>
      <c r="AS22" s="5" t="str">
        <f>IFERROR(__xludf.DUMMYFUNCTION("""COMPUTED_VALUE"""),"Yes")</f>
        <v>Yes</v>
      </c>
      <c r="AT22" s="5" t="str">
        <f>IFERROR(__xludf.DUMMYFUNCTION("""COMPUTED_VALUE"""),"No")</f>
        <v>No</v>
      </c>
      <c r="AU22" s="5"/>
      <c r="AV22" s="5" t="str">
        <f>IFERROR(__xludf.DUMMYFUNCTION("""COMPUTED_VALUE"""),"")</f>
        <v/>
      </c>
      <c r="AW22" s="5" t="str">
        <f>IFERROR(__xludf.DUMMYFUNCTION("""COMPUTED_VALUE"""),"")</f>
        <v/>
      </c>
      <c r="AX22" s="5" t="str">
        <f>IFERROR(__xludf.DUMMYFUNCTION("""COMPUTED_VALUE"""),"")</f>
        <v/>
      </c>
      <c r="AY22" s="5" t="str">
        <f>IFERROR(__xludf.DUMMYFUNCTION("""COMPUTED_VALUE"""),"")</f>
        <v/>
      </c>
      <c r="AZ22" s="5" t="str">
        <f>IFERROR(__xludf.DUMMYFUNCTION("""COMPUTED_VALUE"""),"")</f>
        <v/>
      </c>
      <c r="BA22" s="5" t="str">
        <f>IFERROR(__xludf.DUMMYFUNCTION("""COMPUTED_VALUE"""),"")</f>
        <v/>
      </c>
      <c r="BB22" s="5" t="str">
        <f>IFERROR(__xludf.DUMMYFUNCTION("""COMPUTED_VALUE"""),"Available")</f>
        <v>Available</v>
      </c>
      <c r="BC22" s="5" t="str">
        <f>IFERROR(__xludf.DUMMYFUNCTION("""COMPUTED_VALUE"""),"")</f>
        <v/>
      </c>
      <c r="BD22" s="5" t="str">
        <f>IFERROR(__xludf.DUMMYFUNCTION("""COMPUTED_VALUE"""),"")</f>
        <v/>
      </c>
      <c r="BE22" s="5" t="str">
        <f>IFERROR(__xludf.DUMMYFUNCTION("""COMPUTED_VALUE"""),"")</f>
        <v/>
      </c>
      <c r="BF22" s="5" t="str">
        <f>IFERROR(__xludf.DUMMYFUNCTION("""COMPUTED_VALUE"""),"")</f>
        <v/>
      </c>
      <c r="BG22" s="5" t="str">
        <f>IFERROR(__xludf.DUMMYFUNCTION("""COMPUTED_VALUE"""),"")</f>
        <v/>
      </c>
      <c r="BH22" s="5" t="str">
        <f>IFERROR(__xludf.DUMMYFUNCTION("""COMPUTED_VALUE"""),"")</f>
        <v/>
      </c>
      <c r="BI22" s="5" t="str">
        <f>IFERROR(__xludf.DUMMYFUNCTION("""COMPUTED_VALUE"""),"")</f>
        <v/>
      </c>
      <c r="BJ22" s="5" t="str">
        <f>IFERROR(__xludf.DUMMYFUNCTION("""COMPUTED_VALUE"""),"")</f>
        <v/>
      </c>
      <c r="BK22" s="5" t="str">
        <f>IFERROR(__xludf.DUMMYFUNCTION("""COMPUTED_VALUE"""),"Available")</f>
        <v>Available</v>
      </c>
      <c r="BL22" s="5" t="str">
        <f>IFERROR(__xludf.DUMMYFUNCTION("""COMPUTED_VALUE"""),"")</f>
        <v/>
      </c>
      <c r="BM22" s="5" t="str">
        <f>IFERROR(__xludf.DUMMYFUNCTION("""COMPUTED_VALUE"""),"")</f>
        <v/>
      </c>
    </row>
    <row r="23">
      <c r="A23" s="5" t="str">
        <f>IFERROR(__xludf.DUMMYFUNCTION("""COMPUTED_VALUE"""),"Fazi")</f>
        <v>Fazi</v>
      </c>
      <c r="B23" s="5" t="str">
        <f>IFERROR(__xludf.DUMMYFUNCTION("""COMPUTED_VALUE"""),"Templars Quest")</f>
        <v>Templars Quest</v>
      </c>
      <c r="C23" s="5" t="str">
        <f>IFERROR(__xludf.DUMMYFUNCTION("""COMPUTED_VALUE"""),"TemplarsQuest")</f>
        <v>TemplarsQuest</v>
      </c>
      <c r="D23" s="6">
        <f>IFERROR(__xludf.DUMMYFUNCTION("""COMPUTED_VALUE"""),43374.0)</f>
        <v>43374</v>
      </c>
      <c r="E23" s="5" t="str">
        <f>IFERROR(__xludf.DUMMYFUNCTION("""COMPUTED_VALUE"""),"Slot")</f>
        <v>Slot</v>
      </c>
      <c r="F23" s="5">
        <f>IFERROR(__xludf.DUMMYFUNCTION("""COMPUTED_VALUE"""),55.7)</f>
        <v>55.7</v>
      </c>
      <c r="G23" s="5" t="str">
        <f>IFERROR(__xludf.DUMMYFUNCTION("""COMPUTED_VALUE"""),"5x3")</f>
        <v>5x3</v>
      </c>
      <c r="H23" s="5" t="str">
        <f>IFERROR(__xludf.DUMMYFUNCTION("""COMPUTED_VALUE"""),"10")</f>
        <v>10</v>
      </c>
      <c r="I23" s="5" t="str">
        <f>IFERROR(__xludf.DUMMYFUNCTION("""COMPUTED_VALUE"""),"10")</f>
        <v>10</v>
      </c>
      <c r="J23" s="5" t="str">
        <f>IFERROR(__xludf.DUMMYFUNCTION("""COMPUTED_VALUE"""),"95.499%")</f>
        <v>95.499%</v>
      </c>
      <c r="K23" s="5" t="str">
        <f>IFERROR(__xludf.DUMMYFUNCTION("""COMPUTED_VALUE"""),"Medium")</f>
        <v>Medium</v>
      </c>
      <c r="L23" s="5" t="str">
        <f>IFERROR(__xludf.DUMMYFUNCTION("""COMPUTED_VALUE"""),"27.76%")</f>
        <v>27.76%</v>
      </c>
      <c r="M23" s="5" t="str">
        <f>IFERROR(__xludf.DUMMYFUNCTION("""COMPUTED_VALUE"""),"x292")</f>
        <v>x292</v>
      </c>
      <c r="N23" s="5" t="str">
        <f>IFERROR(__xludf.DUMMYFUNCTION("""COMPUTED_VALUE"""),"0.10/40")</f>
        <v>0.10/40</v>
      </c>
      <c r="O23" s="5" t="str">
        <f>IFERROR(__xludf.DUMMYFUNCTION("""COMPUTED_VALUE"""),"Yes")</f>
        <v>Yes</v>
      </c>
      <c r="P23" s="5" t="str">
        <f>IFERROR(__xludf.DUMMYFUNCTION("""COMPUTED_VALUE"""),"Wild Symbol, Hold and Win")</f>
        <v>Wild Symbol, Hold and Win</v>
      </c>
      <c r="Q23" s="7" t="str">
        <f>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R23" s="5" t="str">
        <f>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S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IFERROR(__xludf.DUMMYFUNCTION("""COMPUTED_VALUE"""),"Yes")</f>
        <v>Yes</v>
      </c>
      <c r="AJ23" s="5" t="str">
        <f>IFERROR(__xludf.DUMMYFUNCTION("""COMPUTED_VALUE"""),"Yes")</f>
        <v>Yes</v>
      </c>
      <c r="AK23" s="5" t="str">
        <f>IFERROR(__xludf.DUMMYFUNCTION("""COMPUTED_VALUE"""),"Yes")</f>
        <v>Yes</v>
      </c>
      <c r="AL23" s="5" t="str">
        <f>IFERROR(__xludf.DUMMYFUNCTION("""COMPUTED_VALUE"""),"Yes")</f>
        <v>Yes</v>
      </c>
      <c r="AM23" s="5" t="str">
        <f>IFERROR(__xludf.DUMMYFUNCTION("""COMPUTED_VALUE"""),"Yes")</f>
        <v>Yes</v>
      </c>
      <c r="AN23" s="5" t="str">
        <f>IFERROR(__xludf.DUMMYFUNCTION("""COMPUTED_VALUE"""),"Yes")</f>
        <v>Yes</v>
      </c>
      <c r="AO23" s="5" t="str">
        <f>IFERROR(__xludf.DUMMYFUNCTION("""COMPUTED_VALUE"""),"Yes")</f>
        <v>Yes</v>
      </c>
      <c r="AP23" s="5" t="str">
        <f>IFERROR(__xludf.DUMMYFUNCTION("""COMPUTED_VALUE"""),"Yes")</f>
        <v>Yes</v>
      </c>
      <c r="AQ23" s="5" t="str">
        <f>IFERROR(__xludf.DUMMYFUNCTION("""COMPUTED_VALUE"""),"Yes")</f>
        <v>Yes</v>
      </c>
      <c r="AR23" s="5" t="str">
        <f>IFERROR(__xludf.DUMMYFUNCTION("""COMPUTED_VALUE"""),"Yes")</f>
        <v>Yes</v>
      </c>
      <c r="AS23" s="5" t="str">
        <f>IFERROR(__xludf.DUMMYFUNCTION("""COMPUTED_VALUE"""),"Yes")</f>
        <v>Yes</v>
      </c>
      <c r="AT23" s="5" t="str">
        <f>IFERROR(__xludf.DUMMYFUNCTION("""COMPUTED_VALUE"""),"No")</f>
        <v>No</v>
      </c>
      <c r="AU23" s="5"/>
      <c r="AV23" s="5" t="str">
        <f>IFERROR(__xludf.DUMMYFUNCTION("""COMPUTED_VALUE"""),"")</f>
        <v/>
      </c>
      <c r="AW23" s="5" t="str">
        <f>IFERROR(__xludf.DUMMYFUNCTION("""COMPUTED_VALUE"""),"")</f>
        <v/>
      </c>
      <c r="AX23" s="5" t="str">
        <f>IFERROR(__xludf.DUMMYFUNCTION("""COMPUTED_VALUE"""),"")</f>
        <v/>
      </c>
      <c r="AY23" s="5" t="str">
        <f>IFERROR(__xludf.DUMMYFUNCTION("""COMPUTED_VALUE"""),"")</f>
        <v/>
      </c>
      <c r="AZ23" s="5" t="str">
        <f>IFERROR(__xludf.DUMMYFUNCTION("""COMPUTED_VALUE"""),"")</f>
        <v/>
      </c>
      <c r="BA23" s="5" t="str">
        <f>IFERROR(__xludf.DUMMYFUNCTION("""COMPUTED_VALUE"""),"")</f>
        <v/>
      </c>
      <c r="BB23" s="5" t="str">
        <f>IFERROR(__xludf.DUMMYFUNCTION("""COMPUTED_VALUE"""),"")</f>
        <v/>
      </c>
      <c r="BC23" s="5" t="str">
        <f>IFERROR(__xludf.DUMMYFUNCTION("""COMPUTED_VALUE"""),"")</f>
        <v/>
      </c>
      <c r="BD23" s="5" t="str">
        <f>IFERROR(__xludf.DUMMYFUNCTION("""COMPUTED_VALUE"""),"")</f>
        <v/>
      </c>
      <c r="BE23" s="5" t="str">
        <f>IFERROR(__xludf.DUMMYFUNCTION("""COMPUTED_VALUE"""),"")</f>
        <v/>
      </c>
      <c r="BF23" s="5" t="str">
        <f>IFERROR(__xludf.DUMMYFUNCTION("""COMPUTED_VALUE"""),"")</f>
        <v/>
      </c>
      <c r="BG23" s="5" t="str">
        <f>IFERROR(__xludf.DUMMYFUNCTION("""COMPUTED_VALUE"""),"")</f>
        <v/>
      </c>
      <c r="BH23" s="5" t="str">
        <f>IFERROR(__xludf.DUMMYFUNCTION("""COMPUTED_VALUE"""),"")</f>
        <v/>
      </c>
      <c r="BI23" s="5" t="str">
        <f>IFERROR(__xludf.DUMMYFUNCTION("""COMPUTED_VALUE"""),"")</f>
        <v/>
      </c>
      <c r="BJ23" s="5" t="str">
        <f>IFERROR(__xludf.DUMMYFUNCTION("""COMPUTED_VALUE"""),"")</f>
        <v/>
      </c>
      <c r="BK23" s="5" t="str">
        <f>IFERROR(__xludf.DUMMYFUNCTION("""COMPUTED_VALUE"""),"")</f>
        <v/>
      </c>
      <c r="BL23" s="5" t="str">
        <f>IFERROR(__xludf.DUMMYFUNCTION("""COMPUTED_VALUE"""),"")</f>
        <v/>
      </c>
      <c r="BM23" s="5" t="str">
        <f>IFERROR(__xludf.DUMMYFUNCTION("""COMPUTED_VALUE"""),"")</f>
        <v/>
      </c>
    </row>
    <row r="24">
      <c r="A24" s="5" t="str">
        <f>IFERROR(__xludf.DUMMYFUNCTION("""COMPUTED_VALUE"""),"Fazi")</f>
        <v>Fazi</v>
      </c>
      <c r="B24" s="5" t="str">
        <f>IFERROR(__xludf.DUMMYFUNCTION("""COMPUTED_VALUE"""),"Space Guardians")</f>
        <v>Space Guardians</v>
      </c>
      <c r="C24" s="5" t="str">
        <f>IFERROR(__xludf.DUMMYFUNCTION("""COMPUTED_VALUE"""),"SpaceGuardians")</f>
        <v>SpaceGuardians</v>
      </c>
      <c r="D24" s="6">
        <f>IFERROR(__xludf.DUMMYFUNCTION("""COMPUTED_VALUE"""),43282.0)</f>
        <v>43282</v>
      </c>
      <c r="E24" s="5" t="str">
        <f>IFERROR(__xludf.DUMMYFUNCTION("""COMPUTED_VALUE"""),"Slot")</f>
        <v>Slot</v>
      </c>
      <c r="F24" s="5">
        <f>IFERROR(__xludf.DUMMYFUNCTION("""COMPUTED_VALUE"""),26.8)</f>
        <v>26.8</v>
      </c>
      <c r="G24" s="5" t="str">
        <f>IFERROR(__xludf.DUMMYFUNCTION("""COMPUTED_VALUE"""),"5x3")</f>
        <v>5x3</v>
      </c>
      <c r="H24" s="5" t="str">
        <f>IFERROR(__xludf.DUMMYFUNCTION("""COMPUTED_VALUE"""),"10")</f>
        <v>10</v>
      </c>
      <c r="I24" s="5" t="str">
        <f>IFERROR(__xludf.DUMMYFUNCTION("""COMPUTED_VALUE"""),"1,3,5,7,10")</f>
        <v>1,3,5,7,10</v>
      </c>
      <c r="J24" s="5" t="str">
        <f>IFERROR(__xludf.DUMMYFUNCTION("""COMPUTED_VALUE"""),"95.544%")</f>
        <v>95.544%</v>
      </c>
      <c r="K24" s="5" t="str">
        <f>IFERROR(__xludf.DUMMYFUNCTION("""COMPUTED_VALUE"""),"Medium")</f>
        <v>Medium</v>
      </c>
      <c r="L24" s="5" t="str">
        <f>IFERROR(__xludf.DUMMYFUNCTION("""COMPUTED_VALUE"""),"13.02%")</f>
        <v>13.02%</v>
      </c>
      <c r="M24" s="5" t="str">
        <f>IFERROR(__xludf.DUMMYFUNCTION("""COMPUTED_VALUE"""),"x1611")</f>
        <v>x1611</v>
      </c>
      <c r="N24" s="5" t="str">
        <f>IFERROR(__xludf.DUMMYFUNCTION("""COMPUTED_VALUE"""),"0.10/40")</f>
        <v>0.10/40</v>
      </c>
      <c r="O24" s="5" t="str">
        <f>IFERROR(__xludf.DUMMYFUNCTION("""COMPUTED_VALUE"""),"Yes")</f>
        <v>Yes</v>
      </c>
      <c r="P24" s="5" t="str">
        <f>IFERROR(__xludf.DUMMYFUNCTION("""COMPUTED_VALUE"""),"Expanding Wild, Respin, Bothways")</f>
        <v>Expanding Wild, Respin, Bothways</v>
      </c>
      <c r="Q24" s="7" t="str">
        <f>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R24" s="5" t="str">
        <f>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S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t="str">
        <f>IFERROR(__xludf.DUMMYFUNCTION("""COMPUTED_VALUE"""),"Yes")</f>
        <v>Yes</v>
      </c>
      <c r="Z24" s="5" t="str">
        <f>IFERROR(__xludf.DUMMYFUNCTION("""COMPUTED_VALUE"""),"Yes")</f>
        <v>Yes</v>
      </c>
      <c r="AA24" s="5" t="str">
        <f>IFERROR(__xludf.DUMMYFUNCTION("""COMPUTED_VALUE"""),"Yes")</f>
        <v>Yes</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IFERROR(__xludf.DUMMYFUNCTION("""COMPUTED_VALUE"""),"Yes")</f>
        <v>Yes</v>
      </c>
      <c r="AH24" s="5" t="str">
        <f>IFERROR(__xludf.DUMMYFUNCTION("""COMPUTED_VALUE"""),"Yes")</f>
        <v>Yes</v>
      </c>
      <c r="AI24" s="5" t="str">
        <f>IFERROR(__xludf.DUMMYFUNCTION("""COMPUTED_VALUE"""),"Yes")</f>
        <v>Yes</v>
      </c>
      <c r="AJ24" s="5" t="str">
        <f>IFERROR(__xludf.DUMMYFUNCTION("""COMPUTED_VALUE"""),"Yes")</f>
        <v>Yes</v>
      </c>
      <c r="AK24" s="5" t="str">
        <f>IFERROR(__xludf.DUMMYFUNCTION("""COMPUTED_VALUE"""),"Yes")</f>
        <v>Yes</v>
      </c>
      <c r="AL24" s="5" t="str">
        <f>IFERROR(__xludf.DUMMYFUNCTION("""COMPUTED_VALUE"""),"Yes")</f>
        <v>Yes</v>
      </c>
      <c r="AM24" s="5" t="str">
        <f>IFERROR(__xludf.DUMMYFUNCTION("""COMPUTED_VALUE"""),"Yes")</f>
        <v>Yes</v>
      </c>
      <c r="AN24" s="5" t="str">
        <f>IFERROR(__xludf.DUMMYFUNCTION("""COMPUTED_VALUE"""),"Yes")</f>
        <v>Yes</v>
      </c>
      <c r="AO24" s="5" t="str">
        <f>IFERROR(__xludf.DUMMYFUNCTION("""COMPUTED_VALUE"""),"Yes")</f>
        <v>Yes</v>
      </c>
      <c r="AP24" s="5" t="str">
        <f>IFERROR(__xludf.DUMMYFUNCTION("""COMPUTED_VALUE"""),"Yes")</f>
        <v>Yes</v>
      </c>
      <c r="AQ24" s="5" t="str">
        <f>IFERROR(__xludf.DUMMYFUNCTION("""COMPUTED_VALUE"""),"Yes")</f>
        <v>Yes</v>
      </c>
      <c r="AR24" s="5" t="str">
        <f>IFERROR(__xludf.DUMMYFUNCTION("""COMPUTED_VALUE"""),"Yes")</f>
        <v>Yes</v>
      </c>
      <c r="AS24" s="5" t="str">
        <f>IFERROR(__xludf.DUMMYFUNCTION("""COMPUTED_VALUE"""),"Yes")</f>
        <v>Yes</v>
      </c>
      <c r="AT24" s="5" t="str">
        <f>IFERROR(__xludf.DUMMYFUNCTION("""COMPUTED_VALUE"""),"No")</f>
        <v>No</v>
      </c>
      <c r="AU24" s="5"/>
      <c r="AV24" s="5" t="str">
        <f>IFERROR(__xludf.DUMMYFUNCTION("""COMPUTED_VALUE"""),"")</f>
        <v/>
      </c>
      <c r="AW24" s="5" t="str">
        <f>IFERROR(__xludf.DUMMYFUNCTION("""COMPUTED_VALUE"""),"")</f>
        <v/>
      </c>
      <c r="AX24" s="5" t="str">
        <f>IFERROR(__xludf.DUMMYFUNCTION("""COMPUTED_VALUE"""),"")</f>
        <v/>
      </c>
      <c r="AY24" s="5" t="str">
        <f>IFERROR(__xludf.DUMMYFUNCTION("""COMPUTED_VALUE"""),"")</f>
        <v/>
      </c>
      <c r="AZ24" s="5" t="str">
        <f>IFERROR(__xludf.DUMMYFUNCTION("""COMPUTED_VALUE"""),"")</f>
        <v/>
      </c>
      <c r="BA24" s="5" t="str">
        <f>IFERROR(__xludf.DUMMYFUNCTION("""COMPUTED_VALUE"""),"")</f>
        <v/>
      </c>
      <c r="BB24" s="5" t="str">
        <f>IFERROR(__xludf.DUMMYFUNCTION("""COMPUTED_VALUE"""),"")</f>
        <v/>
      </c>
      <c r="BC24" s="5" t="str">
        <f>IFERROR(__xludf.DUMMYFUNCTION("""COMPUTED_VALUE"""),"")</f>
        <v/>
      </c>
      <c r="BD24" s="5" t="str">
        <f>IFERROR(__xludf.DUMMYFUNCTION("""COMPUTED_VALUE"""),"")</f>
        <v/>
      </c>
      <c r="BE24" s="5" t="str">
        <f>IFERROR(__xludf.DUMMYFUNCTION("""COMPUTED_VALUE"""),"")</f>
        <v/>
      </c>
      <c r="BF24" s="5" t="str">
        <f>IFERROR(__xludf.DUMMYFUNCTION("""COMPUTED_VALUE"""),"")</f>
        <v/>
      </c>
      <c r="BG24" s="5" t="str">
        <f>IFERROR(__xludf.DUMMYFUNCTION("""COMPUTED_VALUE"""),"")</f>
        <v/>
      </c>
      <c r="BH24" s="5" t="str">
        <f>IFERROR(__xludf.DUMMYFUNCTION("""COMPUTED_VALUE"""),"")</f>
        <v/>
      </c>
      <c r="BI24" s="5" t="str">
        <f>IFERROR(__xludf.DUMMYFUNCTION("""COMPUTED_VALUE"""),"")</f>
        <v/>
      </c>
      <c r="BJ24" s="5" t="str">
        <f>IFERROR(__xludf.DUMMYFUNCTION("""COMPUTED_VALUE"""),"")</f>
        <v/>
      </c>
      <c r="BK24" s="5" t="str">
        <f>IFERROR(__xludf.DUMMYFUNCTION("""COMPUTED_VALUE"""),"")</f>
        <v/>
      </c>
      <c r="BL24" s="5" t="str">
        <f>IFERROR(__xludf.DUMMYFUNCTION("""COMPUTED_VALUE"""),"")</f>
        <v/>
      </c>
      <c r="BM24" s="5" t="str">
        <f>IFERROR(__xludf.DUMMYFUNCTION("""COMPUTED_VALUE"""),"")</f>
        <v/>
      </c>
    </row>
    <row r="25">
      <c r="A25" s="5" t="str">
        <f>IFERROR(__xludf.DUMMYFUNCTION("""COMPUTED_VALUE"""),"Fazi")</f>
        <v>Fazi</v>
      </c>
      <c r="B25" s="5" t="str">
        <f>IFERROR(__xludf.DUMMYFUNCTION("""COMPUTED_VALUE"""),"Starlight")</f>
        <v>Starlight</v>
      </c>
      <c r="C25" s="5" t="str">
        <f>IFERROR(__xludf.DUMMYFUNCTION("""COMPUTED_VALUE"""),"Starlight")</f>
        <v>Starlight</v>
      </c>
      <c r="D25" s="6">
        <f>IFERROR(__xludf.DUMMYFUNCTION("""COMPUTED_VALUE"""),43344.0)</f>
        <v>43344</v>
      </c>
      <c r="E25" s="5" t="str">
        <f>IFERROR(__xludf.DUMMYFUNCTION("""COMPUTED_VALUE"""),"Slot")</f>
        <v>Slot</v>
      </c>
      <c r="F25" s="5">
        <f>IFERROR(__xludf.DUMMYFUNCTION("""COMPUTED_VALUE"""),32.7)</f>
        <v>32.7</v>
      </c>
      <c r="G25" s="5" t="str">
        <f>IFERROR(__xludf.DUMMYFUNCTION("""COMPUTED_VALUE"""),"5x3")</f>
        <v>5x3</v>
      </c>
      <c r="H25" s="5" t="str">
        <f>IFERROR(__xludf.DUMMYFUNCTION("""COMPUTED_VALUE"""),"10")</f>
        <v>10</v>
      </c>
      <c r="I25" s="5" t="str">
        <f>IFERROR(__xludf.DUMMYFUNCTION("""COMPUTED_VALUE"""),"1,3,5,7,10")</f>
        <v>1,3,5,7,10</v>
      </c>
      <c r="J25" s="5" t="str">
        <f>IFERROR(__xludf.DUMMYFUNCTION("""COMPUTED_VALUE"""),"96.05%")</f>
        <v>96.05%</v>
      </c>
      <c r="K25" s="5" t="str">
        <f>IFERROR(__xludf.DUMMYFUNCTION("""COMPUTED_VALUE"""),"Low")</f>
        <v>Low</v>
      </c>
      <c r="L25" s="5" t="str">
        <f>IFERROR(__xludf.DUMMYFUNCTION("""COMPUTED_VALUE"""),"20.28%")</f>
        <v>20.28%</v>
      </c>
      <c r="M25" s="5" t="str">
        <f>IFERROR(__xludf.DUMMYFUNCTION("""COMPUTED_VALUE"""),"x581")</f>
        <v>x581</v>
      </c>
      <c r="N25" s="5" t="str">
        <f>IFERROR(__xludf.DUMMYFUNCTION("""COMPUTED_VALUE"""),"0.10/40")</f>
        <v>0.10/40</v>
      </c>
      <c r="O25" s="5" t="str">
        <f>IFERROR(__xludf.DUMMYFUNCTION("""COMPUTED_VALUE"""),"Yes")</f>
        <v>Yes</v>
      </c>
      <c r="P25" s="5" t="str">
        <f>IFERROR(__xludf.DUMMYFUNCTION("""COMPUTED_VALUE"""),"Expanding Wild, Respin, Bothways")</f>
        <v>Expanding Wild, Respin, Bothways</v>
      </c>
      <c r="Q25" s="7" t="str">
        <f>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R25" s="5" t="str">
        <f>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S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IFERROR(__xludf.DUMMYFUNCTION("""COMPUTED_VALUE"""),"Yes")</f>
        <v>Yes</v>
      </c>
      <c r="AJ25" s="5" t="str">
        <f>IFERROR(__xludf.DUMMYFUNCTION("""COMPUTED_VALUE"""),"Yes")</f>
        <v>Yes</v>
      </c>
      <c r="AK25" s="5" t="str">
        <f>IFERROR(__xludf.DUMMYFUNCTION("""COMPUTED_VALUE"""),"Yes")</f>
        <v>Yes</v>
      </c>
      <c r="AL25" s="5" t="str">
        <f>IFERROR(__xludf.DUMMYFUNCTION("""COMPUTED_VALUE"""),"Yes")</f>
        <v>Yes</v>
      </c>
      <c r="AM25" s="5" t="str">
        <f>IFERROR(__xludf.DUMMYFUNCTION("""COMPUTED_VALUE"""),"Yes")</f>
        <v>Yes</v>
      </c>
      <c r="AN25" s="5" t="str">
        <f>IFERROR(__xludf.DUMMYFUNCTION("""COMPUTED_VALUE"""),"Yes")</f>
        <v>Yes</v>
      </c>
      <c r="AO25" s="5" t="str">
        <f>IFERROR(__xludf.DUMMYFUNCTION("""COMPUTED_VALUE"""),"Yes")</f>
        <v>Yes</v>
      </c>
      <c r="AP25" s="5" t="str">
        <f>IFERROR(__xludf.DUMMYFUNCTION("""COMPUTED_VALUE"""),"Yes")</f>
        <v>Yes</v>
      </c>
      <c r="AQ25" s="5" t="str">
        <f>IFERROR(__xludf.DUMMYFUNCTION("""COMPUTED_VALUE"""),"Yes")</f>
        <v>Yes</v>
      </c>
      <c r="AR25" s="5" t="str">
        <f>IFERROR(__xludf.DUMMYFUNCTION("""COMPUTED_VALUE"""),"Yes")</f>
        <v>Yes</v>
      </c>
      <c r="AS25" s="5" t="str">
        <f>IFERROR(__xludf.DUMMYFUNCTION("""COMPUTED_VALUE"""),"Yes")</f>
        <v>Yes</v>
      </c>
      <c r="AT25" s="5" t="str">
        <f>IFERROR(__xludf.DUMMYFUNCTION("""COMPUTED_VALUE"""),"No")</f>
        <v>No</v>
      </c>
      <c r="AU25" s="5"/>
      <c r="AV25" s="5" t="str">
        <f>IFERROR(__xludf.DUMMYFUNCTION("""COMPUTED_VALUE"""),"")</f>
        <v/>
      </c>
      <c r="AW25" s="5" t="str">
        <f>IFERROR(__xludf.DUMMYFUNCTION("""COMPUTED_VALUE"""),"")</f>
        <v/>
      </c>
      <c r="AX25" s="5" t="str">
        <f>IFERROR(__xludf.DUMMYFUNCTION("""COMPUTED_VALUE"""),"")</f>
        <v/>
      </c>
      <c r="AY25" s="5" t="str">
        <f>IFERROR(__xludf.DUMMYFUNCTION("""COMPUTED_VALUE"""),"")</f>
        <v/>
      </c>
      <c r="AZ25" s="5" t="str">
        <f>IFERROR(__xludf.DUMMYFUNCTION("""COMPUTED_VALUE"""),"Available")</f>
        <v>Available</v>
      </c>
      <c r="BA25" s="5" t="str">
        <f>IFERROR(__xludf.DUMMYFUNCTION("""COMPUTED_VALUE"""),"Available")</f>
        <v>Available</v>
      </c>
      <c r="BB25" s="5" t="str">
        <f>IFERROR(__xludf.DUMMYFUNCTION("""COMPUTED_VALUE"""),"")</f>
        <v/>
      </c>
      <c r="BC25" s="5" t="str">
        <f>IFERROR(__xludf.DUMMYFUNCTION("""COMPUTED_VALUE"""),"")</f>
        <v/>
      </c>
      <c r="BD25" s="5" t="str">
        <f>IFERROR(__xludf.DUMMYFUNCTION("""COMPUTED_VALUE"""),"")</f>
        <v/>
      </c>
      <c r="BE25" s="5" t="str">
        <f>IFERROR(__xludf.DUMMYFUNCTION("""COMPUTED_VALUE"""),"Available")</f>
        <v>Available</v>
      </c>
      <c r="BF25" s="5" t="str">
        <f>IFERROR(__xludf.DUMMYFUNCTION("""COMPUTED_VALUE"""),"")</f>
        <v/>
      </c>
      <c r="BG25" s="5" t="str">
        <f>IFERROR(__xludf.DUMMYFUNCTION("""COMPUTED_VALUE"""),"Available")</f>
        <v>Available</v>
      </c>
      <c r="BH25" s="5" t="str">
        <f>IFERROR(__xludf.DUMMYFUNCTION("""COMPUTED_VALUE"""),"")</f>
        <v/>
      </c>
      <c r="BI25" s="5" t="str">
        <f>IFERROR(__xludf.DUMMYFUNCTION("""COMPUTED_VALUE"""),"")</f>
        <v/>
      </c>
      <c r="BJ25" s="5" t="str">
        <f>IFERROR(__xludf.DUMMYFUNCTION("""COMPUTED_VALUE"""),"")</f>
        <v/>
      </c>
      <c r="BK25" s="5" t="str">
        <f>IFERROR(__xludf.DUMMYFUNCTION("""COMPUTED_VALUE"""),"")</f>
        <v/>
      </c>
      <c r="BL25" s="5" t="str">
        <f>IFERROR(__xludf.DUMMYFUNCTION("""COMPUTED_VALUE"""),"")</f>
        <v/>
      </c>
      <c r="BM25" s="5" t="str">
        <f>IFERROR(__xludf.DUMMYFUNCTION("""COMPUTED_VALUE"""),"")</f>
        <v/>
      </c>
    </row>
    <row r="26">
      <c r="A26" s="5" t="str">
        <f>IFERROR(__xludf.DUMMYFUNCTION("""COMPUTED_VALUE"""),"Fazi")</f>
        <v>Fazi</v>
      </c>
      <c r="B26" s="5" t="str">
        <f>IFERROR(__xludf.DUMMYFUNCTION("""COMPUTED_VALUE"""),"Triple Hot")</f>
        <v>Triple Hot</v>
      </c>
      <c r="C26" s="5" t="str">
        <f>IFERROR(__xludf.DUMMYFUNCTION("""COMPUTED_VALUE"""),"TripleHot")</f>
        <v>TripleHot</v>
      </c>
      <c r="D26" s="6">
        <f>IFERROR(__xludf.DUMMYFUNCTION("""COMPUTED_VALUE"""),43531.0)</f>
        <v>43531</v>
      </c>
      <c r="E26" s="5" t="str">
        <f>IFERROR(__xludf.DUMMYFUNCTION("""COMPUTED_VALUE"""),"Slot")</f>
        <v>Slot</v>
      </c>
      <c r="F26" s="5">
        <f>IFERROR(__xludf.DUMMYFUNCTION("""COMPUTED_VALUE"""),24.7)</f>
        <v>24.7</v>
      </c>
      <c r="G26" s="5" t="str">
        <f>IFERROR(__xludf.DUMMYFUNCTION("""COMPUTED_VALUE"""),"3x3")</f>
        <v>3x3</v>
      </c>
      <c r="H26" s="5" t="str">
        <f>IFERROR(__xludf.DUMMYFUNCTION("""COMPUTED_VALUE"""),"5")</f>
        <v>5</v>
      </c>
      <c r="I26" s="5" t="str">
        <f>IFERROR(__xludf.DUMMYFUNCTION("""COMPUTED_VALUE"""),"5")</f>
        <v>5</v>
      </c>
      <c r="J26" s="5" t="str">
        <f>IFERROR(__xludf.DUMMYFUNCTION("""COMPUTED_VALUE"""),"95.513%")</f>
        <v>95.513%</v>
      </c>
      <c r="K26" s="5" t="str">
        <f>IFERROR(__xludf.DUMMYFUNCTION("""COMPUTED_VALUE"""),"Low")</f>
        <v>Low</v>
      </c>
      <c r="L26" s="5" t="str">
        <f>IFERROR(__xludf.DUMMYFUNCTION("""COMPUTED_VALUE"""),"6.51%")</f>
        <v>6.51%</v>
      </c>
      <c r="M26" s="5" t="str">
        <f>IFERROR(__xludf.DUMMYFUNCTION("""COMPUTED_VALUE"""),"x60")</f>
        <v>x60</v>
      </c>
      <c r="N26" s="5" t="str">
        <f>IFERROR(__xludf.DUMMYFUNCTION("""COMPUTED_VALUE"""),"0.05/30")</f>
        <v>0.05/30</v>
      </c>
      <c r="O26" s="5" t="str">
        <f>IFERROR(__xludf.DUMMYFUNCTION("""COMPUTED_VALUE"""),"Yes")</f>
        <v>Yes</v>
      </c>
      <c r="P26" s="5"/>
      <c r="Q26" s="7" t="str">
        <f>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R26" s="5" t="str">
        <f>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S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IFERROR(__xludf.DUMMYFUNCTION("""COMPUTED_VALUE"""),"Yes")</f>
        <v>Yes</v>
      </c>
      <c r="AA26" s="5" t="str">
        <f>IFERROR(__xludf.DUMMYFUNCTION("""COMPUTED_VALUE"""),"Yes")</f>
        <v>Yes</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IFERROR(__xludf.DUMMYFUNCTION("""COMPUTED_VALUE"""),"Yes")</f>
        <v>Yes</v>
      </c>
      <c r="AH26" s="5" t="str">
        <f>IFERROR(__xludf.DUMMYFUNCTION("""COMPUTED_VALUE"""),"Yes")</f>
        <v>Yes</v>
      </c>
      <c r="AI26" s="5" t="str">
        <f>IFERROR(__xludf.DUMMYFUNCTION("""COMPUTED_VALUE"""),"Yes")</f>
        <v>Yes</v>
      </c>
      <c r="AJ26" s="5" t="str">
        <f>IFERROR(__xludf.DUMMYFUNCTION("""COMPUTED_VALUE"""),"Yes")</f>
        <v>Yes</v>
      </c>
      <c r="AK26" s="5" t="str">
        <f>IFERROR(__xludf.DUMMYFUNCTION("""COMPUTED_VALUE"""),"Yes")</f>
        <v>Yes</v>
      </c>
      <c r="AL26" s="5" t="str">
        <f>IFERROR(__xludf.DUMMYFUNCTION("""COMPUTED_VALUE"""),"Yes")</f>
        <v>Yes</v>
      </c>
      <c r="AM26" s="5" t="str">
        <f>IFERROR(__xludf.DUMMYFUNCTION("""COMPUTED_VALUE"""),"Yes")</f>
        <v>Yes</v>
      </c>
      <c r="AN26" s="5" t="str">
        <f>IFERROR(__xludf.DUMMYFUNCTION("""COMPUTED_VALUE"""),"Yes")</f>
        <v>Yes</v>
      </c>
      <c r="AO26" s="5" t="str">
        <f>IFERROR(__xludf.DUMMYFUNCTION("""COMPUTED_VALUE"""),"Yes")</f>
        <v>Yes</v>
      </c>
      <c r="AP26" s="5" t="str">
        <f>IFERROR(__xludf.DUMMYFUNCTION("""COMPUTED_VALUE"""),"Yes")</f>
        <v>Yes</v>
      </c>
      <c r="AQ26" s="5" t="str">
        <f>IFERROR(__xludf.DUMMYFUNCTION("""COMPUTED_VALUE"""),"Yes")</f>
        <v>Yes</v>
      </c>
      <c r="AR26" s="5" t="str">
        <f>IFERROR(__xludf.DUMMYFUNCTION("""COMPUTED_VALUE"""),"Yes")</f>
        <v>Yes</v>
      </c>
      <c r="AS26" s="5" t="str">
        <f>IFERROR(__xludf.DUMMYFUNCTION("""COMPUTED_VALUE"""),"Yes")</f>
        <v>Yes</v>
      </c>
      <c r="AT26" s="5" t="str">
        <f>IFERROR(__xludf.DUMMYFUNCTION("""COMPUTED_VALUE"""),"No")</f>
        <v>No</v>
      </c>
      <c r="AU26" s="5"/>
      <c r="AV26" s="5" t="str">
        <f>IFERROR(__xludf.DUMMYFUNCTION("""COMPUTED_VALUE"""),"")</f>
        <v/>
      </c>
      <c r="AW26" s="5" t="str">
        <f>IFERROR(__xludf.DUMMYFUNCTION("""COMPUTED_VALUE"""),"")</f>
        <v/>
      </c>
      <c r="AX26" s="5" t="str">
        <f>IFERROR(__xludf.DUMMYFUNCTION("""COMPUTED_VALUE"""),"")</f>
        <v/>
      </c>
      <c r="AY26" s="5" t="str">
        <f>IFERROR(__xludf.DUMMYFUNCTION("""COMPUTED_VALUE"""),"")</f>
        <v/>
      </c>
      <c r="AZ26" s="5" t="str">
        <f>IFERROR(__xludf.DUMMYFUNCTION("""COMPUTED_VALUE"""),"")</f>
        <v/>
      </c>
      <c r="BA26" s="5" t="str">
        <f>IFERROR(__xludf.DUMMYFUNCTION("""COMPUTED_VALUE"""),"")</f>
        <v/>
      </c>
      <c r="BB26" s="5" t="str">
        <f>IFERROR(__xludf.DUMMYFUNCTION("""COMPUTED_VALUE"""),"")</f>
        <v/>
      </c>
      <c r="BC26" s="5" t="str">
        <f>IFERROR(__xludf.DUMMYFUNCTION("""COMPUTED_VALUE"""),"")</f>
        <v/>
      </c>
      <c r="BD26" s="5" t="str">
        <f>IFERROR(__xludf.DUMMYFUNCTION("""COMPUTED_VALUE"""),"")</f>
        <v/>
      </c>
      <c r="BE26" s="5" t="str">
        <f>IFERROR(__xludf.DUMMYFUNCTION("""COMPUTED_VALUE"""),"")</f>
        <v/>
      </c>
      <c r="BF26" s="5" t="str">
        <f>IFERROR(__xludf.DUMMYFUNCTION("""COMPUTED_VALUE"""),"")</f>
        <v/>
      </c>
      <c r="BG26" s="5" t="str">
        <f>IFERROR(__xludf.DUMMYFUNCTION("""COMPUTED_VALUE"""),"")</f>
        <v/>
      </c>
      <c r="BH26" s="5" t="str">
        <f>IFERROR(__xludf.DUMMYFUNCTION("""COMPUTED_VALUE"""),"")</f>
        <v/>
      </c>
      <c r="BI26" s="5" t="str">
        <f>IFERROR(__xludf.DUMMYFUNCTION("""COMPUTED_VALUE"""),"")</f>
        <v/>
      </c>
      <c r="BJ26" s="5" t="str">
        <f>IFERROR(__xludf.DUMMYFUNCTION("""COMPUTED_VALUE"""),"")</f>
        <v/>
      </c>
      <c r="BK26" s="5" t="str">
        <f>IFERROR(__xludf.DUMMYFUNCTION("""COMPUTED_VALUE"""),"Available")</f>
        <v>Available</v>
      </c>
      <c r="BL26" s="5" t="str">
        <f>IFERROR(__xludf.DUMMYFUNCTION("""COMPUTED_VALUE"""),"")</f>
        <v/>
      </c>
      <c r="BM26" s="5" t="str">
        <f>IFERROR(__xludf.DUMMYFUNCTION("""COMPUTED_VALUE"""),"")</f>
        <v/>
      </c>
    </row>
    <row r="27">
      <c r="A27" s="5" t="str">
        <f>IFERROR(__xludf.DUMMYFUNCTION("""COMPUTED_VALUE"""),"Fazi")</f>
        <v>Fazi</v>
      </c>
      <c r="B27" s="5" t="str">
        <f>IFERROR(__xludf.DUMMYFUNCTION("""COMPUTED_VALUE"""),"Crystal Hot 40")</f>
        <v>Crystal Hot 40</v>
      </c>
      <c r="C27" s="5" t="str">
        <f>IFERROR(__xludf.DUMMYFUNCTION("""COMPUTED_VALUE"""),"CrystalHot40")</f>
        <v>CrystalHot40</v>
      </c>
      <c r="D27" s="6">
        <f>IFERROR(__xludf.DUMMYFUNCTION("""COMPUTED_VALUE"""),43555.0)</f>
        <v>43555</v>
      </c>
      <c r="E27" s="5" t="str">
        <f>IFERROR(__xludf.DUMMYFUNCTION("""COMPUTED_VALUE"""),"Slot")</f>
        <v>Slot</v>
      </c>
      <c r="F27" s="5">
        <f>IFERROR(__xludf.DUMMYFUNCTION("""COMPUTED_VALUE"""),31.5)</f>
        <v>31.5</v>
      </c>
      <c r="G27" s="5" t="str">
        <f>IFERROR(__xludf.DUMMYFUNCTION("""COMPUTED_VALUE"""),"5x4")</f>
        <v>5x4</v>
      </c>
      <c r="H27" s="5" t="str">
        <f>IFERROR(__xludf.DUMMYFUNCTION("""COMPUTED_VALUE"""),"40")</f>
        <v>40</v>
      </c>
      <c r="I27" s="5" t="str">
        <f>IFERROR(__xludf.DUMMYFUNCTION("""COMPUTED_VALUE"""),"40")</f>
        <v>40</v>
      </c>
      <c r="J27" s="5" t="str">
        <f>IFERROR(__xludf.DUMMYFUNCTION("""COMPUTED_VALUE"""),"96.584%")</f>
        <v>96.584%</v>
      </c>
      <c r="K27" s="5" t="str">
        <f>IFERROR(__xludf.DUMMYFUNCTION("""COMPUTED_VALUE"""),"Low")</f>
        <v>Low</v>
      </c>
      <c r="L27" s="5" t="str">
        <f>IFERROR(__xludf.DUMMYFUNCTION("""COMPUTED_VALUE"""),"16.73%")</f>
        <v>16.73%</v>
      </c>
      <c r="M27" s="5" t="str">
        <f>IFERROR(__xludf.DUMMYFUNCTION("""COMPUTED_VALUE"""),"x1000")</f>
        <v>x1000</v>
      </c>
      <c r="N27" s="5" t="str">
        <f>IFERROR(__xludf.DUMMYFUNCTION("""COMPUTED_VALUE"""),"0.4/60")</f>
        <v>0.4/60</v>
      </c>
      <c r="O27" s="5" t="str">
        <f>IFERROR(__xludf.DUMMYFUNCTION("""COMPUTED_VALUE"""),"Yes")</f>
        <v>Yes</v>
      </c>
      <c r="P27" s="5" t="str">
        <f>IFERROR(__xludf.DUMMYFUNCTION("""COMPUTED_VALUE"""),"Wild Symbol, Scatter")</f>
        <v>Wild Symbol, Scatter</v>
      </c>
      <c r="Q27" s="7" t="str">
        <f>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R27"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t="str">
        <f>IFERROR(__xludf.DUMMYFUNCTION("""COMPUTED_VALUE"""),"Yes")</f>
        <v>Yes</v>
      </c>
      <c r="Z27" s="5" t="str">
        <f>IFERROR(__xludf.DUMMYFUNCTION("""COMPUTED_VALUE"""),"Yes")</f>
        <v>Yes</v>
      </c>
      <c r="AA27" s="5" t="str">
        <f>IFERROR(__xludf.DUMMYFUNCTION("""COMPUTED_VALUE"""),"Yes")</f>
        <v>Yes</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IFERROR(__xludf.DUMMYFUNCTION("""COMPUTED_VALUE"""),"Yes")</f>
        <v>Yes</v>
      </c>
      <c r="AH27" s="5" t="str">
        <f>IFERROR(__xludf.DUMMYFUNCTION("""COMPUTED_VALUE"""),"Yes")</f>
        <v>Yes</v>
      </c>
      <c r="AI27" s="5" t="str">
        <f>IFERROR(__xludf.DUMMYFUNCTION("""COMPUTED_VALUE"""),"Yes")</f>
        <v>Yes</v>
      </c>
      <c r="AJ27" s="5" t="str">
        <f>IFERROR(__xludf.DUMMYFUNCTION("""COMPUTED_VALUE"""),"Yes")</f>
        <v>Yes</v>
      </c>
      <c r="AK27" s="5" t="str">
        <f>IFERROR(__xludf.DUMMYFUNCTION("""COMPUTED_VALUE"""),"Yes")</f>
        <v>Yes</v>
      </c>
      <c r="AL27" s="5" t="str">
        <f>IFERROR(__xludf.DUMMYFUNCTION("""COMPUTED_VALUE"""),"Yes")</f>
        <v>Yes</v>
      </c>
      <c r="AM27" s="5" t="str">
        <f>IFERROR(__xludf.DUMMYFUNCTION("""COMPUTED_VALUE"""),"Yes")</f>
        <v>Yes</v>
      </c>
      <c r="AN27" s="5" t="str">
        <f>IFERROR(__xludf.DUMMYFUNCTION("""COMPUTED_VALUE"""),"Yes")</f>
        <v>Yes</v>
      </c>
      <c r="AO27" s="5" t="str">
        <f>IFERROR(__xludf.DUMMYFUNCTION("""COMPUTED_VALUE"""),"Yes")</f>
        <v>Yes</v>
      </c>
      <c r="AP27" s="5" t="str">
        <f>IFERROR(__xludf.DUMMYFUNCTION("""COMPUTED_VALUE"""),"Yes")</f>
        <v>Yes</v>
      </c>
      <c r="AQ27" s="5" t="str">
        <f>IFERROR(__xludf.DUMMYFUNCTION("""COMPUTED_VALUE"""),"Yes")</f>
        <v>Yes</v>
      </c>
      <c r="AR27" s="5" t="str">
        <f>IFERROR(__xludf.DUMMYFUNCTION("""COMPUTED_VALUE"""),"Yes")</f>
        <v>Yes</v>
      </c>
      <c r="AS27" s="5" t="str">
        <f>IFERROR(__xludf.DUMMYFUNCTION("""COMPUTED_VALUE"""),"Yes")</f>
        <v>Yes</v>
      </c>
      <c r="AT27" s="5" t="str">
        <f>IFERROR(__xludf.DUMMYFUNCTION("""COMPUTED_VALUE"""),"No")</f>
        <v>No</v>
      </c>
      <c r="AU27" s="5"/>
      <c r="AV27" s="5" t="str">
        <f>IFERROR(__xludf.DUMMYFUNCTION("""COMPUTED_VALUE"""),"Available")</f>
        <v>Available</v>
      </c>
      <c r="AW27" s="5" t="str">
        <f>IFERROR(__xludf.DUMMYFUNCTION("""COMPUTED_VALUE"""),"Available")</f>
        <v>Available</v>
      </c>
      <c r="AX27" s="5" t="str">
        <f>IFERROR(__xludf.DUMMYFUNCTION("""COMPUTED_VALUE"""),"Available")</f>
        <v>Available</v>
      </c>
      <c r="AY27" s="5" t="str">
        <f>IFERROR(__xludf.DUMMYFUNCTION("""COMPUTED_VALUE"""),"Available")</f>
        <v>Available</v>
      </c>
      <c r="AZ27" s="5" t="str">
        <f>IFERROR(__xludf.DUMMYFUNCTION("""COMPUTED_VALUE"""),"Available")</f>
        <v>Available</v>
      </c>
      <c r="BA27" s="5" t="str">
        <f>IFERROR(__xludf.DUMMYFUNCTION("""COMPUTED_VALUE"""),"Available")</f>
        <v>Available</v>
      </c>
      <c r="BB27" s="5" t="str">
        <f>IFERROR(__xludf.DUMMYFUNCTION("""COMPUTED_VALUE"""),"Available")</f>
        <v>Available</v>
      </c>
      <c r="BC27" s="5" t="str">
        <f>IFERROR(__xludf.DUMMYFUNCTION("""COMPUTED_VALUE"""),"Available")</f>
        <v>Available</v>
      </c>
      <c r="BD27" s="5" t="str">
        <f>IFERROR(__xludf.DUMMYFUNCTION("""COMPUTED_VALUE"""),"Available")</f>
        <v>Available</v>
      </c>
      <c r="BE27" s="5" t="str">
        <f>IFERROR(__xludf.DUMMYFUNCTION("""COMPUTED_VALUE"""),"Available")</f>
        <v>Available</v>
      </c>
      <c r="BF27" s="5" t="str">
        <f>IFERROR(__xludf.DUMMYFUNCTION("""COMPUTED_VALUE"""),"Available")</f>
        <v>Available</v>
      </c>
      <c r="BG27" s="5" t="str">
        <f>IFERROR(__xludf.DUMMYFUNCTION("""COMPUTED_VALUE"""),"Available")</f>
        <v>Available</v>
      </c>
      <c r="BH27" s="5" t="str">
        <f>IFERROR(__xludf.DUMMYFUNCTION("""COMPUTED_VALUE"""),"Available")</f>
        <v>Available</v>
      </c>
      <c r="BI27" s="5" t="str">
        <f>IFERROR(__xludf.DUMMYFUNCTION("""COMPUTED_VALUE"""),"Available")</f>
        <v>Available</v>
      </c>
      <c r="BJ27" s="5" t="str">
        <f>IFERROR(__xludf.DUMMYFUNCTION("""COMPUTED_VALUE"""),"")</f>
        <v/>
      </c>
      <c r="BK27" s="5" t="str">
        <f>IFERROR(__xludf.DUMMYFUNCTION("""COMPUTED_VALUE"""),"Available")</f>
        <v>Available</v>
      </c>
      <c r="BL27" s="5" t="str">
        <f>IFERROR(__xludf.DUMMYFUNCTION("""COMPUTED_VALUE"""),"")</f>
        <v/>
      </c>
      <c r="BM27" s="5" t="str">
        <f>IFERROR(__xludf.DUMMYFUNCTION("""COMPUTED_VALUE"""),"")</f>
        <v/>
      </c>
    </row>
    <row r="28">
      <c r="A28" s="5" t="str">
        <f>IFERROR(__xludf.DUMMYFUNCTION("""COMPUTED_VALUE"""),"Fazi")</f>
        <v>Fazi</v>
      </c>
      <c r="B28" s="5" t="str">
        <f>IFERROR(__xludf.DUMMYFUNCTION("""COMPUTED_VALUE"""),"Turbo Dice 40")</f>
        <v>Turbo Dice 40</v>
      </c>
      <c r="C28" s="5" t="str">
        <f>IFERROR(__xludf.DUMMYFUNCTION("""COMPUTED_VALUE"""),"TurboDice40")</f>
        <v>TurboDice40</v>
      </c>
      <c r="D28" s="6">
        <f>IFERROR(__xludf.DUMMYFUNCTION("""COMPUTED_VALUE"""),43843.0)</f>
        <v>43843</v>
      </c>
      <c r="E28" s="5" t="str">
        <f>IFERROR(__xludf.DUMMYFUNCTION("""COMPUTED_VALUE"""),"Slot")</f>
        <v>Slot</v>
      </c>
      <c r="F28" s="5">
        <f>IFERROR(__xludf.DUMMYFUNCTION("""COMPUTED_VALUE"""),19.3)</f>
        <v>19.3</v>
      </c>
      <c r="G28" s="5" t="str">
        <f>IFERROR(__xludf.DUMMYFUNCTION("""COMPUTED_VALUE"""),"5x4")</f>
        <v>5x4</v>
      </c>
      <c r="H28" s="5" t="str">
        <f>IFERROR(__xludf.DUMMYFUNCTION("""COMPUTED_VALUE"""),"40")</f>
        <v>40</v>
      </c>
      <c r="I28" s="5" t="str">
        <f>IFERROR(__xludf.DUMMYFUNCTION("""COMPUTED_VALUE"""),"40")</f>
        <v>40</v>
      </c>
      <c r="J28" s="5" t="str">
        <f>IFERROR(__xludf.DUMMYFUNCTION("""COMPUTED_VALUE"""),"96.584%")</f>
        <v>96.584%</v>
      </c>
      <c r="K28" s="5" t="str">
        <f>IFERROR(__xludf.DUMMYFUNCTION("""COMPUTED_VALUE"""),"Low")</f>
        <v>Low</v>
      </c>
      <c r="L28" s="5" t="str">
        <f>IFERROR(__xludf.DUMMYFUNCTION("""COMPUTED_VALUE"""),"16.735%")</f>
        <v>16.735%</v>
      </c>
      <c r="M28" s="5" t="str">
        <f>IFERROR(__xludf.DUMMYFUNCTION("""COMPUTED_VALUE"""),"x1000")</f>
        <v>x1000</v>
      </c>
      <c r="N28" s="5" t="str">
        <f>IFERROR(__xludf.DUMMYFUNCTION("""COMPUTED_VALUE"""),"0.40/60")</f>
        <v>0.40/60</v>
      </c>
      <c r="O28" s="5" t="str">
        <f>IFERROR(__xludf.DUMMYFUNCTION("""COMPUTED_VALUE"""),"Yes")</f>
        <v>Yes</v>
      </c>
      <c r="P28" s="5" t="str">
        <f>IFERROR(__xludf.DUMMYFUNCTION("""COMPUTED_VALUE"""),"Scatter, Wild Symbol")</f>
        <v>Scatter, Wild Symbol</v>
      </c>
      <c r="Q28" s="7" t="str">
        <f>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R28" s="5" t="str">
        <f>IFERROR(__xludf.DUMMYFUNCTION("""COMPUTED_VALUE"""),"Roll your dice and feel the power of wining enormous price! Try your luck with the incredible magic of turbo dice!")</f>
        <v>Roll your dice and feel the power of wining enormous price! Try your luck with the incredible magic of turbo dice!</v>
      </c>
      <c r="S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t="str">
        <f>IFERROR(__xludf.DUMMYFUNCTION("""COMPUTED_VALUE"""),"Yes")</f>
        <v>Yes</v>
      </c>
      <c r="Z28" s="5" t="str">
        <f>IFERROR(__xludf.DUMMYFUNCTION("""COMPUTED_VALUE"""),"Yes")</f>
        <v>Yes</v>
      </c>
      <c r="AA28" s="5" t="str">
        <f>IFERROR(__xludf.DUMMYFUNCTION("""COMPUTED_VALUE"""),"Yes")</f>
        <v>Yes</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IFERROR(__xludf.DUMMYFUNCTION("""COMPUTED_VALUE"""),"Yes")</f>
        <v>Yes</v>
      </c>
      <c r="AH28" s="5" t="str">
        <f>IFERROR(__xludf.DUMMYFUNCTION("""COMPUTED_VALUE"""),"Yes")</f>
        <v>Yes</v>
      </c>
      <c r="AI28" s="5" t="str">
        <f>IFERROR(__xludf.DUMMYFUNCTION("""COMPUTED_VALUE"""),"Yes")</f>
        <v>Yes</v>
      </c>
      <c r="AJ28" s="5" t="str">
        <f>IFERROR(__xludf.DUMMYFUNCTION("""COMPUTED_VALUE"""),"Yes")</f>
        <v>Yes</v>
      </c>
      <c r="AK28" s="5" t="str">
        <f>IFERROR(__xludf.DUMMYFUNCTION("""COMPUTED_VALUE"""),"Yes")</f>
        <v>Yes</v>
      </c>
      <c r="AL28" s="5" t="str">
        <f>IFERROR(__xludf.DUMMYFUNCTION("""COMPUTED_VALUE"""),"Yes")</f>
        <v>Yes</v>
      </c>
      <c r="AM28" s="5" t="str">
        <f>IFERROR(__xludf.DUMMYFUNCTION("""COMPUTED_VALUE"""),"Yes")</f>
        <v>Yes</v>
      </c>
      <c r="AN28" s="5" t="str">
        <f>IFERROR(__xludf.DUMMYFUNCTION("""COMPUTED_VALUE"""),"Yes")</f>
        <v>Yes</v>
      </c>
      <c r="AO28" s="5" t="str">
        <f>IFERROR(__xludf.DUMMYFUNCTION("""COMPUTED_VALUE"""),"Yes")</f>
        <v>Yes</v>
      </c>
      <c r="AP28" s="5" t="str">
        <f>IFERROR(__xludf.DUMMYFUNCTION("""COMPUTED_VALUE"""),"Yes")</f>
        <v>Yes</v>
      </c>
      <c r="AQ28" s="5" t="str">
        <f>IFERROR(__xludf.DUMMYFUNCTION("""COMPUTED_VALUE"""),"Yes")</f>
        <v>Yes</v>
      </c>
      <c r="AR28" s="5" t="str">
        <f>IFERROR(__xludf.DUMMYFUNCTION("""COMPUTED_VALUE"""),"Yes")</f>
        <v>Yes</v>
      </c>
      <c r="AS28" s="5" t="str">
        <f>IFERROR(__xludf.DUMMYFUNCTION("""COMPUTED_VALUE"""),"Yes")</f>
        <v>Yes</v>
      </c>
      <c r="AT28" s="5" t="str">
        <f>IFERROR(__xludf.DUMMYFUNCTION("""COMPUTED_VALUE"""),"No")</f>
        <v>No</v>
      </c>
      <c r="AU28" s="5"/>
      <c r="AV28" s="5" t="str">
        <f>IFERROR(__xludf.DUMMYFUNCTION("""COMPUTED_VALUE"""),"")</f>
        <v/>
      </c>
      <c r="AW28" s="5" t="str">
        <f>IFERROR(__xludf.DUMMYFUNCTION("""COMPUTED_VALUE"""),"")</f>
        <v/>
      </c>
      <c r="AX28" s="5" t="str">
        <f>IFERROR(__xludf.DUMMYFUNCTION("""COMPUTED_VALUE"""),"")</f>
        <v/>
      </c>
      <c r="AY28" s="5" t="str">
        <f>IFERROR(__xludf.DUMMYFUNCTION("""COMPUTED_VALUE"""),"")</f>
        <v/>
      </c>
      <c r="AZ28" s="5" t="str">
        <f>IFERROR(__xludf.DUMMYFUNCTION("""COMPUTED_VALUE"""),"")</f>
        <v/>
      </c>
      <c r="BA28" s="5" t="str">
        <f>IFERROR(__xludf.DUMMYFUNCTION("""COMPUTED_VALUE"""),"")</f>
        <v/>
      </c>
      <c r="BB28" s="5" t="str">
        <f>IFERROR(__xludf.DUMMYFUNCTION("""COMPUTED_VALUE"""),"")</f>
        <v/>
      </c>
      <c r="BC28" s="5" t="str">
        <f>IFERROR(__xludf.DUMMYFUNCTION("""COMPUTED_VALUE"""),"")</f>
        <v/>
      </c>
      <c r="BD28" s="5" t="str">
        <f>IFERROR(__xludf.DUMMYFUNCTION("""COMPUTED_VALUE"""),"")</f>
        <v/>
      </c>
      <c r="BE28" s="5" t="str">
        <f>IFERROR(__xludf.DUMMYFUNCTION("""COMPUTED_VALUE"""),"")</f>
        <v/>
      </c>
      <c r="BF28" s="5" t="str">
        <f>IFERROR(__xludf.DUMMYFUNCTION("""COMPUTED_VALUE"""),"")</f>
        <v/>
      </c>
      <c r="BG28" s="5" t="str">
        <f>IFERROR(__xludf.DUMMYFUNCTION("""COMPUTED_VALUE"""),"")</f>
        <v/>
      </c>
      <c r="BH28" s="5" t="str">
        <f>IFERROR(__xludf.DUMMYFUNCTION("""COMPUTED_VALUE"""),"")</f>
        <v/>
      </c>
      <c r="BI28" s="5" t="str">
        <f>IFERROR(__xludf.DUMMYFUNCTION("""COMPUTED_VALUE"""),"")</f>
        <v/>
      </c>
      <c r="BJ28" s="5" t="str">
        <f>IFERROR(__xludf.DUMMYFUNCTION("""COMPUTED_VALUE"""),"")</f>
        <v/>
      </c>
      <c r="BK28" s="5" t="str">
        <f>IFERROR(__xludf.DUMMYFUNCTION("""COMPUTED_VALUE"""),"")</f>
        <v/>
      </c>
      <c r="BL28" s="5" t="str">
        <f>IFERROR(__xludf.DUMMYFUNCTION("""COMPUTED_VALUE"""),"")</f>
        <v/>
      </c>
      <c r="BM28" s="5" t="str">
        <f>IFERROR(__xludf.DUMMYFUNCTION("""COMPUTED_VALUE"""),"")</f>
        <v/>
      </c>
    </row>
    <row r="29">
      <c r="A29" s="5" t="str">
        <f>IFERROR(__xludf.DUMMYFUNCTION("""COMPUTED_VALUE"""),"Fazi")</f>
        <v>Fazi</v>
      </c>
      <c r="B29" s="5" t="str">
        <f>IFERROR(__xludf.DUMMYFUNCTION("""COMPUTED_VALUE"""),"Triple Dice")</f>
        <v>Triple Dice</v>
      </c>
      <c r="C29" s="5" t="str">
        <f>IFERROR(__xludf.DUMMYFUNCTION("""COMPUTED_VALUE"""),"TripleDice")</f>
        <v>TripleDice</v>
      </c>
      <c r="D29" s="6">
        <f>IFERROR(__xludf.DUMMYFUNCTION("""COMPUTED_VALUE"""),43531.0)</f>
        <v>43531</v>
      </c>
      <c r="E29" s="5" t="str">
        <f>IFERROR(__xludf.DUMMYFUNCTION("""COMPUTED_VALUE"""),"Slot")</f>
        <v>Slot</v>
      </c>
      <c r="F29" s="5">
        <f>IFERROR(__xludf.DUMMYFUNCTION("""COMPUTED_VALUE"""),24.1)</f>
        <v>24.1</v>
      </c>
      <c r="G29" s="5" t="str">
        <f>IFERROR(__xludf.DUMMYFUNCTION("""COMPUTED_VALUE"""),"3x3")</f>
        <v>3x3</v>
      </c>
      <c r="H29" s="5" t="str">
        <f>IFERROR(__xludf.DUMMYFUNCTION("""COMPUTED_VALUE"""),"5")</f>
        <v>5</v>
      </c>
      <c r="I29" s="5" t="str">
        <f>IFERROR(__xludf.DUMMYFUNCTION("""COMPUTED_VALUE"""),"5")</f>
        <v>5</v>
      </c>
      <c r="J29" s="5" t="str">
        <f>IFERROR(__xludf.DUMMYFUNCTION("""COMPUTED_VALUE"""),"95.513%")</f>
        <v>95.513%</v>
      </c>
      <c r="K29" s="5" t="str">
        <f>IFERROR(__xludf.DUMMYFUNCTION("""COMPUTED_VALUE"""),"Low")</f>
        <v>Low</v>
      </c>
      <c r="L29" s="5" t="str">
        <f>IFERROR(__xludf.DUMMYFUNCTION("""COMPUTED_VALUE"""),"6.51%")</f>
        <v>6.51%</v>
      </c>
      <c r="M29" s="5" t="str">
        <f>IFERROR(__xludf.DUMMYFUNCTION("""COMPUTED_VALUE"""),"x60")</f>
        <v>x60</v>
      </c>
      <c r="N29" s="5" t="str">
        <f>IFERROR(__xludf.DUMMYFUNCTION("""COMPUTED_VALUE"""),"0.05/30")</f>
        <v>0.05/30</v>
      </c>
      <c r="O29" s="5" t="str">
        <f>IFERROR(__xludf.DUMMYFUNCTION("""COMPUTED_VALUE"""),"Yes")</f>
        <v>Yes</v>
      </c>
      <c r="P29" s="5"/>
      <c r="Q29" s="7" t="str">
        <f>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R29" s="5" t="str">
        <f>IFERROR(__xludf.DUMMYFUNCTION("""COMPUTED_VALUE"""),"If you feel lucky come and play sassy Triple Dice in retro style with 3x3 and 5 lines.")</f>
        <v>If you feel lucky come and play sassy Triple Dice in retro style with 3x3 and 5 lines.</v>
      </c>
      <c r="S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IFERROR(__xludf.DUMMYFUNCTION("""COMPUTED_VALUE"""),"Yes")</f>
        <v>Yes</v>
      </c>
      <c r="AJ29" s="5" t="str">
        <f>IFERROR(__xludf.DUMMYFUNCTION("""COMPUTED_VALUE"""),"Yes")</f>
        <v>Yes</v>
      </c>
      <c r="AK29" s="5" t="str">
        <f>IFERROR(__xludf.DUMMYFUNCTION("""COMPUTED_VALUE"""),"Yes")</f>
        <v>Yes</v>
      </c>
      <c r="AL29" s="5" t="str">
        <f>IFERROR(__xludf.DUMMYFUNCTION("""COMPUTED_VALUE"""),"Yes")</f>
        <v>Yes</v>
      </c>
      <c r="AM29" s="5" t="str">
        <f>IFERROR(__xludf.DUMMYFUNCTION("""COMPUTED_VALUE"""),"Yes")</f>
        <v>Yes</v>
      </c>
      <c r="AN29" s="5" t="str">
        <f>IFERROR(__xludf.DUMMYFUNCTION("""COMPUTED_VALUE"""),"Yes")</f>
        <v>Yes</v>
      </c>
      <c r="AO29" s="5" t="str">
        <f>IFERROR(__xludf.DUMMYFUNCTION("""COMPUTED_VALUE"""),"Yes")</f>
        <v>Yes</v>
      </c>
      <c r="AP29" s="5" t="str">
        <f>IFERROR(__xludf.DUMMYFUNCTION("""COMPUTED_VALUE"""),"Yes")</f>
        <v>Yes</v>
      </c>
      <c r="AQ29" s="5" t="str">
        <f>IFERROR(__xludf.DUMMYFUNCTION("""COMPUTED_VALUE"""),"Yes")</f>
        <v>Yes</v>
      </c>
      <c r="AR29" s="5" t="str">
        <f>IFERROR(__xludf.DUMMYFUNCTION("""COMPUTED_VALUE"""),"Yes")</f>
        <v>Yes</v>
      </c>
      <c r="AS29" s="5" t="str">
        <f>IFERROR(__xludf.DUMMYFUNCTION("""COMPUTED_VALUE"""),"Yes")</f>
        <v>Yes</v>
      </c>
      <c r="AT29" s="5" t="str">
        <f>IFERROR(__xludf.DUMMYFUNCTION("""COMPUTED_VALUE"""),"No")</f>
        <v>No</v>
      </c>
      <c r="AU29" s="5"/>
      <c r="AV29" s="5" t="str">
        <f>IFERROR(__xludf.DUMMYFUNCTION("""COMPUTED_VALUE"""),"")</f>
        <v/>
      </c>
      <c r="AW29" s="5" t="str">
        <f>IFERROR(__xludf.DUMMYFUNCTION("""COMPUTED_VALUE"""),"")</f>
        <v/>
      </c>
      <c r="AX29" s="5" t="str">
        <f>IFERROR(__xludf.DUMMYFUNCTION("""COMPUTED_VALUE"""),"")</f>
        <v/>
      </c>
      <c r="AY29" s="5" t="str">
        <f>IFERROR(__xludf.DUMMYFUNCTION("""COMPUTED_VALUE"""),"")</f>
        <v/>
      </c>
      <c r="AZ29" s="5" t="str">
        <f>IFERROR(__xludf.DUMMYFUNCTION("""COMPUTED_VALUE"""),"")</f>
        <v/>
      </c>
      <c r="BA29" s="5" t="str">
        <f>IFERROR(__xludf.DUMMYFUNCTION("""COMPUTED_VALUE"""),"")</f>
        <v/>
      </c>
      <c r="BB29" s="5" t="str">
        <f>IFERROR(__xludf.DUMMYFUNCTION("""COMPUTED_VALUE"""),"")</f>
        <v/>
      </c>
      <c r="BC29" s="5" t="str">
        <f>IFERROR(__xludf.DUMMYFUNCTION("""COMPUTED_VALUE"""),"")</f>
        <v/>
      </c>
      <c r="BD29" s="5" t="str">
        <f>IFERROR(__xludf.DUMMYFUNCTION("""COMPUTED_VALUE"""),"")</f>
        <v/>
      </c>
      <c r="BE29" s="5" t="str">
        <f>IFERROR(__xludf.DUMMYFUNCTION("""COMPUTED_VALUE"""),"")</f>
        <v/>
      </c>
      <c r="BF29" s="5" t="str">
        <f>IFERROR(__xludf.DUMMYFUNCTION("""COMPUTED_VALUE"""),"")</f>
        <v/>
      </c>
      <c r="BG29" s="5" t="str">
        <f>IFERROR(__xludf.DUMMYFUNCTION("""COMPUTED_VALUE"""),"")</f>
        <v/>
      </c>
      <c r="BH29" s="5" t="str">
        <f>IFERROR(__xludf.DUMMYFUNCTION("""COMPUTED_VALUE"""),"")</f>
        <v/>
      </c>
      <c r="BI29" s="5" t="str">
        <f>IFERROR(__xludf.DUMMYFUNCTION("""COMPUTED_VALUE"""),"")</f>
        <v/>
      </c>
      <c r="BJ29" s="5" t="str">
        <f>IFERROR(__xludf.DUMMYFUNCTION("""COMPUTED_VALUE"""),"")</f>
        <v/>
      </c>
      <c r="BK29" s="5" t="str">
        <f>IFERROR(__xludf.DUMMYFUNCTION("""COMPUTED_VALUE"""),"")</f>
        <v/>
      </c>
      <c r="BL29" s="5" t="str">
        <f>IFERROR(__xludf.DUMMYFUNCTION("""COMPUTED_VALUE"""),"")</f>
        <v/>
      </c>
      <c r="BM29" s="5" t="str">
        <f>IFERROR(__xludf.DUMMYFUNCTION("""COMPUTED_VALUE"""),"")</f>
        <v/>
      </c>
    </row>
    <row r="30">
      <c r="A30" s="5" t="str">
        <f>IFERROR(__xludf.DUMMYFUNCTION("""COMPUTED_VALUE"""),"Fazi")</f>
        <v>Fazi</v>
      </c>
      <c r="B30" s="5" t="str">
        <f>IFERROR(__xludf.DUMMYFUNCTION("""COMPUTED_VALUE"""),"Katanas Of Time")</f>
        <v>Katanas Of Time</v>
      </c>
      <c r="C30" s="5" t="str">
        <f>IFERROR(__xludf.DUMMYFUNCTION("""COMPUTED_VALUE"""),"KatanasOfTime")</f>
        <v>KatanasOfTime</v>
      </c>
      <c r="D30" s="6">
        <f>IFERROR(__xludf.DUMMYFUNCTION("""COMPUTED_VALUE"""),42947.0)</f>
        <v>42947</v>
      </c>
      <c r="E30" s="5" t="str">
        <f>IFERROR(__xludf.DUMMYFUNCTION("""COMPUTED_VALUE"""),"Slot")</f>
        <v>Slot</v>
      </c>
      <c r="F30" s="5">
        <f>IFERROR(__xludf.DUMMYFUNCTION("""COMPUTED_VALUE"""),36.1)</f>
        <v>36.1</v>
      </c>
      <c r="G30" s="5" t="str">
        <f>IFERROR(__xludf.DUMMYFUNCTION("""COMPUTED_VALUE"""),"5x3")</f>
        <v>5x3</v>
      </c>
      <c r="H30" s="5" t="str">
        <f>IFERROR(__xludf.DUMMYFUNCTION("""COMPUTED_VALUE"""),"20")</f>
        <v>20</v>
      </c>
      <c r="I30" s="5" t="str">
        <f>IFERROR(__xludf.DUMMYFUNCTION("""COMPUTED_VALUE"""),"1,3,5,9,10,20")</f>
        <v>1,3,5,9,10,20</v>
      </c>
      <c r="J30" s="5" t="str">
        <f>IFERROR(__xludf.DUMMYFUNCTION("""COMPUTED_VALUE"""),"96.087%")</f>
        <v>96.087%</v>
      </c>
      <c r="K30" s="5" t="str">
        <f>IFERROR(__xludf.DUMMYFUNCTION("""COMPUTED_VALUE"""),"High")</f>
        <v>High</v>
      </c>
      <c r="L30" s="5" t="str">
        <f>IFERROR(__xludf.DUMMYFUNCTION("""COMPUTED_VALUE"""),"38.06%")</f>
        <v>38.06%</v>
      </c>
      <c r="M30" s="5" t="str">
        <f>IFERROR(__xludf.DUMMYFUNCTION("""COMPUTED_VALUE"""),"x4063")</f>
        <v>x4063</v>
      </c>
      <c r="N30" s="5" t="str">
        <f>IFERROR(__xludf.DUMMYFUNCTION("""COMPUTED_VALUE"""),"0.01/50")</f>
        <v>0.01/50</v>
      </c>
      <c r="O30" s="5" t="str">
        <f>IFERROR(__xludf.DUMMYFUNCTION("""COMPUTED_VALUE"""),"Yes")</f>
        <v>Yes</v>
      </c>
      <c r="P30" s="5" t="str">
        <f>IFERROR(__xludf.DUMMYFUNCTION("""COMPUTED_VALUE"""),"Bonus Game with Multiplier, Wild Multiplier, Scatter")</f>
        <v>Bonus Game with Multiplier, Wild Multiplier, Scatter</v>
      </c>
      <c r="Q30" s="7" t="str">
        <f>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R30" s="5" t="str">
        <f>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S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IFERROR(__xludf.DUMMYFUNCTION("""COMPUTED_VALUE"""),"Yes")</f>
        <v>Yes</v>
      </c>
      <c r="AH30" s="5" t="str">
        <f>IFERROR(__xludf.DUMMYFUNCTION("""COMPUTED_VALUE"""),"Yes")</f>
        <v>Yes</v>
      </c>
      <c r="AI30" s="5" t="str">
        <f>IFERROR(__xludf.DUMMYFUNCTION("""COMPUTED_VALUE"""),"Yes")</f>
        <v>Yes</v>
      </c>
      <c r="AJ30" s="5" t="str">
        <f>IFERROR(__xludf.DUMMYFUNCTION("""COMPUTED_VALUE"""),"Yes")</f>
        <v>Yes</v>
      </c>
      <c r="AK30" s="5" t="str">
        <f>IFERROR(__xludf.DUMMYFUNCTION("""COMPUTED_VALUE"""),"Yes")</f>
        <v>Yes</v>
      </c>
      <c r="AL30" s="5" t="str">
        <f>IFERROR(__xludf.DUMMYFUNCTION("""COMPUTED_VALUE"""),"Yes")</f>
        <v>Yes</v>
      </c>
      <c r="AM30" s="5" t="str">
        <f>IFERROR(__xludf.DUMMYFUNCTION("""COMPUTED_VALUE"""),"Yes")</f>
        <v>Yes</v>
      </c>
      <c r="AN30" s="5" t="str">
        <f>IFERROR(__xludf.DUMMYFUNCTION("""COMPUTED_VALUE"""),"Yes")</f>
        <v>Yes</v>
      </c>
      <c r="AO30" s="5" t="str">
        <f>IFERROR(__xludf.DUMMYFUNCTION("""COMPUTED_VALUE"""),"Yes")</f>
        <v>Yes</v>
      </c>
      <c r="AP30" s="5" t="str">
        <f>IFERROR(__xludf.DUMMYFUNCTION("""COMPUTED_VALUE"""),"Yes")</f>
        <v>Yes</v>
      </c>
      <c r="AQ30" s="5" t="str">
        <f>IFERROR(__xludf.DUMMYFUNCTION("""COMPUTED_VALUE"""),"Yes")</f>
        <v>Yes</v>
      </c>
      <c r="AR30" s="5" t="str">
        <f>IFERROR(__xludf.DUMMYFUNCTION("""COMPUTED_VALUE"""),"Yes")</f>
        <v>Yes</v>
      </c>
      <c r="AS30" s="5" t="str">
        <f>IFERROR(__xludf.DUMMYFUNCTION("""COMPUTED_VALUE"""),"Yes")</f>
        <v>Yes</v>
      </c>
      <c r="AT30" s="5" t="str">
        <f>IFERROR(__xludf.DUMMYFUNCTION("""COMPUTED_VALUE"""),"No")</f>
        <v>No</v>
      </c>
      <c r="AU30" s="5"/>
      <c r="AV30" s="5" t="str">
        <f>IFERROR(__xludf.DUMMYFUNCTION("""COMPUTED_VALUE"""),"")</f>
        <v/>
      </c>
      <c r="AW30" s="5" t="str">
        <f>IFERROR(__xludf.DUMMYFUNCTION("""COMPUTED_VALUE"""),"")</f>
        <v/>
      </c>
      <c r="AX30" s="5" t="str">
        <f>IFERROR(__xludf.DUMMYFUNCTION("""COMPUTED_VALUE"""),"")</f>
        <v/>
      </c>
      <c r="AY30" s="5" t="str">
        <f>IFERROR(__xludf.DUMMYFUNCTION("""COMPUTED_VALUE"""),"")</f>
        <v/>
      </c>
      <c r="AZ30" s="5" t="str">
        <f>IFERROR(__xludf.DUMMYFUNCTION("""COMPUTED_VALUE"""),"")</f>
        <v/>
      </c>
      <c r="BA30" s="5" t="str">
        <f>IFERROR(__xludf.DUMMYFUNCTION("""COMPUTED_VALUE"""),"")</f>
        <v/>
      </c>
      <c r="BB30" s="5" t="str">
        <f>IFERROR(__xludf.DUMMYFUNCTION("""COMPUTED_VALUE"""),"")</f>
        <v/>
      </c>
      <c r="BC30" s="5" t="str">
        <f>IFERROR(__xludf.DUMMYFUNCTION("""COMPUTED_VALUE"""),"")</f>
        <v/>
      </c>
      <c r="BD30" s="5" t="str">
        <f>IFERROR(__xludf.DUMMYFUNCTION("""COMPUTED_VALUE"""),"")</f>
        <v/>
      </c>
      <c r="BE30" s="5" t="str">
        <f>IFERROR(__xludf.DUMMYFUNCTION("""COMPUTED_VALUE"""),"")</f>
        <v/>
      </c>
      <c r="BF30" s="5" t="str">
        <f>IFERROR(__xludf.DUMMYFUNCTION("""COMPUTED_VALUE"""),"")</f>
        <v/>
      </c>
      <c r="BG30" s="5" t="str">
        <f>IFERROR(__xludf.DUMMYFUNCTION("""COMPUTED_VALUE"""),"")</f>
        <v/>
      </c>
      <c r="BH30" s="5" t="str">
        <f>IFERROR(__xludf.DUMMYFUNCTION("""COMPUTED_VALUE"""),"")</f>
        <v/>
      </c>
      <c r="BI30" s="5" t="str">
        <f>IFERROR(__xludf.DUMMYFUNCTION("""COMPUTED_VALUE"""),"")</f>
        <v/>
      </c>
      <c r="BJ30" s="5" t="str">
        <f>IFERROR(__xludf.DUMMYFUNCTION("""COMPUTED_VALUE"""),"")</f>
        <v/>
      </c>
      <c r="BK30" s="5" t="str">
        <f>IFERROR(__xludf.DUMMYFUNCTION("""COMPUTED_VALUE"""),"")</f>
        <v/>
      </c>
      <c r="BL30" s="5" t="str">
        <f>IFERROR(__xludf.DUMMYFUNCTION("""COMPUTED_VALUE"""),"")</f>
        <v/>
      </c>
      <c r="BM30" s="5" t="str">
        <f>IFERROR(__xludf.DUMMYFUNCTION("""COMPUTED_VALUE"""),"")</f>
        <v/>
      </c>
    </row>
    <row r="31">
      <c r="A31" s="5" t="str">
        <f>IFERROR(__xludf.DUMMYFUNCTION("""COMPUTED_VALUE"""),"Fazi")</f>
        <v>Fazi</v>
      </c>
      <c r="B31" s="5" t="str">
        <f>IFERROR(__xludf.DUMMYFUNCTION("""COMPUTED_VALUE"""),"Retro 7 Hot")</f>
        <v>Retro 7 Hot</v>
      </c>
      <c r="C31" s="5" t="str">
        <f>IFERROR(__xludf.DUMMYFUNCTION("""COMPUTED_VALUE"""),"Retro7Hot")</f>
        <v>Retro7Hot</v>
      </c>
      <c r="D31" s="6">
        <f>IFERROR(__xludf.DUMMYFUNCTION("""COMPUTED_VALUE"""),43646.0)</f>
        <v>43646</v>
      </c>
      <c r="E31" s="5" t="str">
        <f>IFERROR(__xludf.DUMMYFUNCTION("""COMPUTED_VALUE"""),"Slot")</f>
        <v>Slot</v>
      </c>
      <c r="F31" s="5">
        <f>IFERROR(__xludf.DUMMYFUNCTION("""COMPUTED_VALUE"""),25.7)</f>
        <v>25.7</v>
      </c>
      <c r="G31" s="5" t="str">
        <f>IFERROR(__xludf.DUMMYFUNCTION("""COMPUTED_VALUE"""),"3x3")</f>
        <v>3x3</v>
      </c>
      <c r="H31" s="5" t="str">
        <f>IFERROR(__xludf.DUMMYFUNCTION("""COMPUTED_VALUE"""),"5")</f>
        <v>5</v>
      </c>
      <c r="I31" s="5" t="str">
        <f>IFERROR(__xludf.DUMMYFUNCTION("""COMPUTED_VALUE"""),"5")</f>
        <v>5</v>
      </c>
      <c r="J31" s="5" t="str">
        <f>IFERROR(__xludf.DUMMYFUNCTION("""COMPUTED_VALUE"""),"95.513%")</f>
        <v>95.513%</v>
      </c>
      <c r="K31" s="5" t="str">
        <f>IFERROR(__xludf.DUMMYFUNCTION("""COMPUTED_VALUE"""),"Low")</f>
        <v>Low</v>
      </c>
      <c r="L31" s="5" t="str">
        <f>IFERROR(__xludf.DUMMYFUNCTION("""COMPUTED_VALUE"""),"6.51%")</f>
        <v>6.51%</v>
      </c>
      <c r="M31" s="5" t="str">
        <f>IFERROR(__xludf.DUMMYFUNCTION("""COMPUTED_VALUE"""),"x60")</f>
        <v>x60</v>
      </c>
      <c r="N31" s="5" t="str">
        <f>IFERROR(__xludf.DUMMYFUNCTION("""COMPUTED_VALUE"""),"0.05/30")</f>
        <v>0.05/30</v>
      </c>
      <c r="O31" s="5" t="str">
        <f>IFERROR(__xludf.DUMMYFUNCTION("""COMPUTED_VALUE"""),"Yes")</f>
        <v>Yes</v>
      </c>
      <c r="P31" s="5"/>
      <c r="Q31" s="7" t="str">
        <f>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R31" s="5" t="str">
        <f>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S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IFERROR(__xludf.DUMMYFUNCTION("""COMPUTED_VALUE"""),"Yes")</f>
        <v>Yes</v>
      </c>
      <c r="AH31" s="5" t="str">
        <f>IFERROR(__xludf.DUMMYFUNCTION("""COMPUTED_VALUE"""),"Yes")</f>
        <v>Yes</v>
      </c>
      <c r="AI31" s="5" t="str">
        <f>IFERROR(__xludf.DUMMYFUNCTION("""COMPUTED_VALUE"""),"Yes")</f>
        <v>Yes</v>
      </c>
      <c r="AJ31" s="5" t="str">
        <f>IFERROR(__xludf.DUMMYFUNCTION("""COMPUTED_VALUE"""),"Yes")</f>
        <v>Yes</v>
      </c>
      <c r="AK31" s="5" t="str">
        <f>IFERROR(__xludf.DUMMYFUNCTION("""COMPUTED_VALUE"""),"Yes")</f>
        <v>Yes</v>
      </c>
      <c r="AL31" s="5" t="str">
        <f>IFERROR(__xludf.DUMMYFUNCTION("""COMPUTED_VALUE"""),"Yes")</f>
        <v>Yes</v>
      </c>
      <c r="AM31" s="5" t="str">
        <f>IFERROR(__xludf.DUMMYFUNCTION("""COMPUTED_VALUE"""),"Yes")</f>
        <v>Yes</v>
      </c>
      <c r="AN31" s="5" t="str">
        <f>IFERROR(__xludf.DUMMYFUNCTION("""COMPUTED_VALUE"""),"Yes")</f>
        <v>Yes</v>
      </c>
      <c r="AO31" s="5" t="str">
        <f>IFERROR(__xludf.DUMMYFUNCTION("""COMPUTED_VALUE"""),"Yes")</f>
        <v>Yes</v>
      </c>
      <c r="AP31" s="5" t="str">
        <f>IFERROR(__xludf.DUMMYFUNCTION("""COMPUTED_VALUE"""),"Yes")</f>
        <v>Yes</v>
      </c>
      <c r="AQ31" s="5" t="str">
        <f>IFERROR(__xludf.DUMMYFUNCTION("""COMPUTED_VALUE"""),"Yes")</f>
        <v>Yes</v>
      </c>
      <c r="AR31" s="5" t="str">
        <f>IFERROR(__xludf.DUMMYFUNCTION("""COMPUTED_VALUE"""),"Yes")</f>
        <v>Yes</v>
      </c>
      <c r="AS31" s="5" t="str">
        <f>IFERROR(__xludf.DUMMYFUNCTION("""COMPUTED_VALUE"""),"Yes")</f>
        <v>Yes</v>
      </c>
      <c r="AT31" s="5" t="str">
        <f>IFERROR(__xludf.DUMMYFUNCTION("""COMPUTED_VALUE"""),"No")</f>
        <v>No</v>
      </c>
      <c r="AU31" s="5"/>
      <c r="AV31" s="5" t="str">
        <f>IFERROR(__xludf.DUMMYFUNCTION("""COMPUTED_VALUE"""),"Available")</f>
        <v>Available</v>
      </c>
      <c r="AW31" s="5" t="str">
        <f>IFERROR(__xludf.DUMMYFUNCTION("""COMPUTED_VALUE"""),"Available")</f>
        <v>Available</v>
      </c>
      <c r="AX31" s="5" t="str">
        <f>IFERROR(__xludf.DUMMYFUNCTION("""COMPUTED_VALUE"""),"Available")</f>
        <v>Available</v>
      </c>
      <c r="AY31" s="5" t="str">
        <f>IFERROR(__xludf.DUMMYFUNCTION("""COMPUTED_VALUE"""),"")</f>
        <v/>
      </c>
      <c r="AZ31" s="5" t="str">
        <f>IFERROR(__xludf.DUMMYFUNCTION("""COMPUTED_VALUE"""),"Available")</f>
        <v>Available</v>
      </c>
      <c r="BA31" s="5" t="str">
        <f>IFERROR(__xludf.DUMMYFUNCTION("""COMPUTED_VALUE"""),"Available")</f>
        <v>Available</v>
      </c>
      <c r="BB31" s="5" t="str">
        <f>IFERROR(__xludf.DUMMYFUNCTION("""COMPUTED_VALUE"""),"Available")</f>
        <v>Available</v>
      </c>
      <c r="BC31" s="5" t="str">
        <f>IFERROR(__xludf.DUMMYFUNCTION("""COMPUTED_VALUE"""),"Available")</f>
        <v>Available</v>
      </c>
      <c r="BD31" s="5" t="str">
        <f>IFERROR(__xludf.DUMMYFUNCTION("""COMPUTED_VALUE"""),"")</f>
        <v/>
      </c>
      <c r="BE31" s="5" t="str">
        <f>IFERROR(__xludf.DUMMYFUNCTION("""COMPUTED_VALUE"""),"Available")</f>
        <v>Available</v>
      </c>
      <c r="BF31" s="5" t="str">
        <f>IFERROR(__xludf.DUMMYFUNCTION("""COMPUTED_VALUE"""),"")</f>
        <v/>
      </c>
      <c r="BG31" s="5" t="str">
        <f>IFERROR(__xludf.DUMMYFUNCTION("""COMPUTED_VALUE"""),"")</f>
        <v/>
      </c>
      <c r="BH31" s="5" t="str">
        <f>IFERROR(__xludf.DUMMYFUNCTION("""COMPUTED_VALUE"""),"")</f>
        <v/>
      </c>
      <c r="BI31" s="5" t="str">
        <f>IFERROR(__xludf.DUMMYFUNCTION("""COMPUTED_VALUE"""),"")</f>
        <v/>
      </c>
      <c r="BJ31" s="5" t="str">
        <f>IFERROR(__xludf.DUMMYFUNCTION("""COMPUTED_VALUE"""),"")</f>
        <v/>
      </c>
      <c r="BK31" s="5" t="str">
        <f>IFERROR(__xludf.DUMMYFUNCTION("""COMPUTED_VALUE"""),"Available")</f>
        <v>Available</v>
      </c>
      <c r="BL31" s="5" t="str">
        <f>IFERROR(__xludf.DUMMYFUNCTION("""COMPUTED_VALUE"""),"")</f>
        <v/>
      </c>
      <c r="BM31" s="5" t="str">
        <f>IFERROR(__xludf.DUMMYFUNCTION("""COMPUTED_VALUE"""),"")</f>
        <v/>
      </c>
    </row>
    <row r="32">
      <c r="A32" s="5" t="str">
        <f>IFERROR(__xludf.DUMMYFUNCTION("""COMPUTED_VALUE"""),"Fazi")</f>
        <v>Fazi</v>
      </c>
      <c r="B32" s="5" t="str">
        <f>IFERROR(__xludf.DUMMYFUNCTION("""COMPUTED_VALUE"""),"Star Runner")</f>
        <v>Star Runner</v>
      </c>
      <c r="C32" s="5" t="str">
        <f>IFERROR(__xludf.DUMMYFUNCTION("""COMPUTED_VALUE"""),"StarRunner")</f>
        <v>StarRunner</v>
      </c>
      <c r="D32" s="6">
        <f>IFERROR(__xludf.DUMMYFUNCTION("""COMPUTED_VALUE"""),43705.0)</f>
        <v>43705</v>
      </c>
      <c r="E32" s="5" t="str">
        <f>IFERROR(__xludf.DUMMYFUNCTION("""COMPUTED_VALUE"""),"Slot")</f>
        <v>Slot</v>
      </c>
      <c r="F32" s="5">
        <f>IFERROR(__xludf.DUMMYFUNCTION("""COMPUTED_VALUE"""),29.6)</f>
        <v>29.6</v>
      </c>
      <c r="G32" s="5" t="str">
        <f>IFERROR(__xludf.DUMMYFUNCTION("""COMPUTED_VALUE"""),"5x3")</f>
        <v>5x3</v>
      </c>
      <c r="H32" s="5" t="str">
        <f>IFERROR(__xludf.DUMMYFUNCTION("""COMPUTED_VALUE"""),"10")</f>
        <v>10</v>
      </c>
      <c r="I32" s="5" t="str">
        <f>IFERROR(__xludf.DUMMYFUNCTION("""COMPUTED_VALUE"""),"1,3,5,7,10")</f>
        <v>1,3,5,7,10</v>
      </c>
      <c r="J32" s="5" t="str">
        <f>IFERROR(__xludf.DUMMYFUNCTION("""COMPUTED_VALUE"""),"96.077%")</f>
        <v>96.077%</v>
      </c>
      <c r="K32" s="5" t="str">
        <f>IFERROR(__xludf.DUMMYFUNCTION("""COMPUTED_VALUE"""),"Medium")</f>
        <v>Medium</v>
      </c>
      <c r="L32" s="5" t="str">
        <f>IFERROR(__xludf.DUMMYFUNCTION("""COMPUTED_VALUE"""),"19.55%")</f>
        <v>19.55%</v>
      </c>
      <c r="M32" s="5" t="str">
        <f>IFERROR(__xludf.DUMMYFUNCTION("""COMPUTED_VALUE"""),"x598")</f>
        <v>x598</v>
      </c>
      <c r="N32" s="5" t="str">
        <f>IFERROR(__xludf.DUMMYFUNCTION("""COMPUTED_VALUE"""),"0.10/40")</f>
        <v>0.10/40</v>
      </c>
      <c r="O32" s="5" t="str">
        <f>IFERROR(__xludf.DUMMYFUNCTION("""COMPUTED_VALUE"""),"Yes")</f>
        <v>Yes</v>
      </c>
      <c r="P32" s="5" t="str">
        <f>IFERROR(__xludf.DUMMYFUNCTION("""COMPUTED_VALUE"""),"Wild Symbol, Respin, Bothways")</f>
        <v>Wild Symbol, Respin, Bothways</v>
      </c>
      <c r="Q32" s="7" t="str">
        <f>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R32" s="5" t="str">
        <f>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S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IFERROR(__xludf.DUMMYFUNCTION("""COMPUTED_VALUE"""),"Yes")</f>
        <v>Yes</v>
      </c>
      <c r="AJ32" s="5" t="str">
        <f>IFERROR(__xludf.DUMMYFUNCTION("""COMPUTED_VALUE"""),"Yes")</f>
        <v>Yes</v>
      </c>
      <c r="AK32" s="5" t="str">
        <f>IFERROR(__xludf.DUMMYFUNCTION("""COMPUTED_VALUE"""),"Yes")</f>
        <v>Yes</v>
      </c>
      <c r="AL32" s="5" t="str">
        <f>IFERROR(__xludf.DUMMYFUNCTION("""COMPUTED_VALUE"""),"Yes")</f>
        <v>Yes</v>
      </c>
      <c r="AM32" s="5" t="str">
        <f>IFERROR(__xludf.DUMMYFUNCTION("""COMPUTED_VALUE"""),"Yes")</f>
        <v>Yes</v>
      </c>
      <c r="AN32" s="5" t="str">
        <f>IFERROR(__xludf.DUMMYFUNCTION("""COMPUTED_VALUE"""),"Yes")</f>
        <v>Yes</v>
      </c>
      <c r="AO32" s="5" t="str">
        <f>IFERROR(__xludf.DUMMYFUNCTION("""COMPUTED_VALUE"""),"Yes")</f>
        <v>Yes</v>
      </c>
      <c r="AP32" s="5" t="str">
        <f>IFERROR(__xludf.DUMMYFUNCTION("""COMPUTED_VALUE"""),"Yes")</f>
        <v>Yes</v>
      </c>
      <c r="AQ32" s="5" t="str">
        <f>IFERROR(__xludf.DUMMYFUNCTION("""COMPUTED_VALUE"""),"Yes")</f>
        <v>Yes</v>
      </c>
      <c r="AR32" s="5" t="str">
        <f>IFERROR(__xludf.DUMMYFUNCTION("""COMPUTED_VALUE"""),"Yes")</f>
        <v>Yes</v>
      </c>
      <c r="AS32" s="5" t="str">
        <f>IFERROR(__xludf.DUMMYFUNCTION("""COMPUTED_VALUE"""),"Yes")</f>
        <v>Yes</v>
      </c>
      <c r="AT32" s="5" t="str">
        <f>IFERROR(__xludf.DUMMYFUNCTION("""COMPUTED_VALUE"""),"No")</f>
        <v>No</v>
      </c>
      <c r="AU32" s="5"/>
      <c r="AV32" s="5" t="str">
        <f>IFERROR(__xludf.DUMMYFUNCTION("""COMPUTED_VALUE"""),"")</f>
        <v/>
      </c>
      <c r="AW32" s="5" t="str">
        <f>IFERROR(__xludf.DUMMYFUNCTION("""COMPUTED_VALUE"""),"")</f>
        <v/>
      </c>
      <c r="AX32" s="5" t="str">
        <f>IFERROR(__xludf.DUMMYFUNCTION("""COMPUTED_VALUE"""),"")</f>
        <v/>
      </c>
      <c r="AY32" s="5" t="str">
        <f>IFERROR(__xludf.DUMMYFUNCTION("""COMPUTED_VALUE"""),"")</f>
        <v/>
      </c>
      <c r="AZ32" s="5" t="str">
        <f>IFERROR(__xludf.DUMMYFUNCTION("""COMPUTED_VALUE"""),"")</f>
        <v/>
      </c>
      <c r="BA32" s="5" t="str">
        <f>IFERROR(__xludf.DUMMYFUNCTION("""COMPUTED_VALUE"""),"")</f>
        <v/>
      </c>
      <c r="BB32" s="5" t="str">
        <f>IFERROR(__xludf.DUMMYFUNCTION("""COMPUTED_VALUE"""),"")</f>
        <v/>
      </c>
      <c r="BC32" s="5" t="str">
        <f>IFERROR(__xludf.DUMMYFUNCTION("""COMPUTED_VALUE"""),"")</f>
        <v/>
      </c>
      <c r="BD32" s="5" t="str">
        <f>IFERROR(__xludf.DUMMYFUNCTION("""COMPUTED_VALUE"""),"")</f>
        <v/>
      </c>
      <c r="BE32" s="5" t="str">
        <f>IFERROR(__xludf.DUMMYFUNCTION("""COMPUTED_VALUE"""),"")</f>
        <v/>
      </c>
      <c r="BF32" s="5" t="str">
        <f>IFERROR(__xludf.DUMMYFUNCTION("""COMPUTED_VALUE"""),"")</f>
        <v/>
      </c>
      <c r="BG32" s="5" t="str">
        <f>IFERROR(__xludf.DUMMYFUNCTION("""COMPUTED_VALUE"""),"")</f>
        <v/>
      </c>
      <c r="BH32" s="5" t="str">
        <f>IFERROR(__xludf.DUMMYFUNCTION("""COMPUTED_VALUE"""),"")</f>
        <v/>
      </c>
      <c r="BI32" s="5" t="str">
        <f>IFERROR(__xludf.DUMMYFUNCTION("""COMPUTED_VALUE"""),"")</f>
        <v/>
      </c>
      <c r="BJ32" s="5" t="str">
        <f>IFERROR(__xludf.DUMMYFUNCTION("""COMPUTED_VALUE"""),"")</f>
        <v/>
      </c>
      <c r="BK32" s="5" t="str">
        <f>IFERROR(__xludf.DUMMYFUNCTION("""COMPUTED_VALUE"""),"")</f>
        <v/>
      </c>
      <c r="BL32" s="5" t="str">
        <f>IFERROR(__xludf.DUMMYFUNCTION("""COMPUTED_VALUE"""),"")</f>
        <v/>
      </c>
      <c r="BM32" s="5" t="str">
        <f>IFERROR(__xludf.DUMMYFUNCTION("""COMPUTED_VALUE"""),"")</f>
        <v/>
      </c>
    </row>
    <row r="33">
      <c r="A33" s="5" t="str">
        <f>IFERROR(__xludf.DUMMYFUNCTION("""COMPUTED_VALUE"""),"Fazi")</f>
        <v>Fazi</v>
      </c>
      <c r="B33" s="5" t="str">
        <f>IFERROR(__xludf.DUMMYFUNCTION("""COMPUTED_VALUE"""),"Aloha Charm")</f>
        <v>Aloha Charm</v>
      </c>
      <c r="C33" s="5" t="str">
        <f>IFERROR(__xludf.DUMMYFUNCTION("""COMPUTED_VALUE"""),"AlohaCharm")</f>
        <v>AlohaCharm</v>
      </c>
      <c r="D33" s="6">
        <f>IFERROR(__xludf.DUMMYFUNCTION("""COMPUTED_VALUE"""),43738.0)</f>
        <v>43738</v>
      </c>
      <c r="E33" s="5" t="str">
        <f>IFERROR(__xludf.DUMMYFUNCTION("""COMPUTED_VALUE"""),"Slot")</f>
        <v>Slot</v>
      </c>
      <c r="F33" s="5">
        <f>IFERROR(__xludf.DUMMYFUNCTION("""COMPUTED_VALUE"""),29.6)</f>
        <v>29.6</v>
      </c>
      <c r="G33" s="5" t="str">
        <f>IFERROR(__xludf.DUMMYFUNCTION("""COMPUTED_VALUE"""),"5x3")</f>
        <v>5x3</v>
      </c>
      <c r="H33" s="5" t="str">
        <f>IFERROR(__xludf.DUMMYFUNCTION("""COMPUTED_VALUE"""),"10")</f>
        <v>10</v>
      </c>
      <c r="I33" s="5" t="str">
        <f>IFERROR(__xludf.DUMMYFUNCTION("""COMPUTED_VALUE"""),"1,3,5,7,9,10")</f>
        <v>1,3,5,7,9,10</v>
      </c>
      <c r="J33" s="5" t="str">
        <f>IFERROR(__xludf.DUMMYFUNCTION("""COMPUTED_VALUE"""),"95.125%")</f>
        <v>95.125%</v>
      </c>
      <c r="K33" s="5" t="str">
        <f>IFERROR(__xludf.DUMMYFUNCTION("""COMPUTED_VALUE"""),"High")</f>
        <v>High</v>
      </c>
      <c r="L33" s="5" t="str">
        <f>IFERROR(__xludf.DUMMYFUNCTION("""COMPUTED_VALUE"""),"25.18%")</f>
        <v>25.18%</v>
      </c>
      <c r="M33" s="5" t="str">
        <f>IFERROR(__xludf.DUMMYFUNCTION("""COMPUTED_VALUE"""),"x4016")</f>
        <v>x4016</v>
      </c>
      <c r="N33" s="5" t="str">
        <f>IFERROR(__xludf.DUMMYFUNCTION("""COMPUTED_VALUE"""),"0.01/40")</f>
        <v>0.01/40</v>
      </c>
      <c r="O33" s="5" t="str">
        <f>IFERROR(__xludf.DUMMYFUNCTION("""COMPUTED_VALUE"""),"Yes")</f>
        <v>Yes</v>
      </c>
      <c r="P33" s="5" t="str">
        <f>IFERROR(__xludf.DUMMYFUNCTION("""COMPUTED_VALUE"""),"Wild Symbol, Scatter, Bonus Game with Free Spins, Win Multiplier")</f>
        <v>Wild Symbol, Scatter, Bonus Game with Free Spins, Win Multiplier</v>
      </c>
      <c r="Q33" s="7" t="str">
        <f>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R33" s="5" t="str">
        <f>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S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t="str">
        <f>IFERROR(__xludf.DUMMYFUNCTION("""COMPUTED_VALUE"""),"Yes")</f>
        <v>Yes</v>
      </c>
      <c r="AN33" s="5" t="str">
        <f>IFERROR(__xludf.DUMMYFUNCTION("""COMPUTED_VALUE"""),"Yes")</f>
        <v>Yes</v>
      </c>
      <c r="AO33" s="5" t="str">
        <f>IFERROR(__xludf.DUMMYFUNCTION("""COMPUTED_VALUE"""),"Yes")</f>
        <v>Yes</v>
      </c>
      <c r="AP33" s="5" t="str">
        <f>IFERROR(__xludf.DUMMYFUNCTION("""COMPUTED_VALUE"""),"Yes")</f>
        <v>Yes</v>
      </c>
      <c r="AQ33" s="5" t="str">
        <f>IFERROR(__xludf.DUMMYFUNCTION("""COMPUTED_VALUE"""),"Yes")</f>
        <v>Yes</v>
      </c>
      <c r="AR33" s="5" t="str">
        <f>IFERROR(__xludf.DUMMYFUNCTION("""COMPUTED_VALUE"""),"Yes")</f>
        <v>Yes</v>
      </c>
      <c r="AS33" s="5" t="str">
        <f>IFERROR(__xludf.DUMMYFUNCTION("""COMPUTED_VALUE"""),"Yes")</f>
        <v>Yes</v>
      </c>
      <c r="AT33" s="5" t="str">
        <f>IFERROR(__xludf.DUMMYFUNCTION("""COMPUTED_VALUE"""),"No")</f>
        <v>No</v>
      </c>
      <c r="AU33" s="5"/>
      <c r="AV33" s="5" t="str">
        <f>IFERROR(__xludf.DUMMYFUNCTION("""COMPUTED_VALUE"""),"")</f>
        <v/>
      </c>
      <c r="AW33" s="5" t="str">
        <f>IFERROR(__xludf.DUMMYFUNCTION("""COMPUTED_VALUE"""),"")</f>
        <v/>
      </c>
      <c r="AX33" s="5" t="str">
        <f>IFERROR(__xludf.DUMMYFUNCTION("""COMPUTED_VALUE"""),"")</f>
        <v/>
      </c>
      <c r="AY33" s="5" t="str">
        <f>IFERROR(__xludf.DUMMYFUNCTION("""COMPUTED_VALUE"""),"")</f>
        <v/>
      </c>
      <c r="AZ33" s="5" t="str">
        <f>IFERROR(__xludf.DUMMYFUNCTION("""COMPUTED_VALUE"""),"Available")</f>
        <v>Available</v>
      </c>
      <c r="BA33" s="5" t="str">
        <f>IFERROR(__xludf.DUMMYFUNCTION("""COMPUTED_VALUE"""),"Available")</f>
        <v>Available</v>
      </c>
      <c r="BB33" s="5" t="str">
        <f>IFERROR(__xludf.DUMMYFUNCTION("""COMPUTED_VALUE"""),"Available")</f>
        <v>Available</v>
      </c>
      <c r="BC33" s="5" t="str">
        <f>IFERROR(__xludf.DUMMYFUNCTION("""COMPUTED_VALUE"""),"")</f>
        <v/>
      </c>
      <c r="BD33" s="5" t="str">
        <f>IFERROR(__xludf.DUMMYFUNCTION("""COMPUTED_VALUE"""),"Available")</f>
        <v>Available</v>
      </c>
      <c r="BE33" s="5" t="str">
        <f>IFERROR(__xludf.DUMMYFUNCTION("""COMPUTED_VALUE"""),"")</f>
        <v/>
      </c>
      <c r="BF33" s="5" t="str">
        <f>IFERROR(__xludf.DUMMYFUNCTION("""COMPUTED_VALUE"""),"")</f>
        <v/>
      </c>
      <c r="BG33" s="5" t="str">
        <f>IFERROR(__xludf.DUMMYFUNCTION("""COMPUTED_VALUE"""),"")</f>
        <v/>
      </c>
      <c r="BH33" s="5" t="str">
        <f>IFERROR(__xludf.DUMMYFUNCTION("""COMPUTED_VALUE"""),"")</f>
        <v/>
      </c>
      <c r="BI33" s="5" t="str">
        <f>IFERROR(__xludf.DUMMYFUNCTION("""COMPUTED_VALUE"""),"")</f>
        <v/>
      </c>
      <c r="BJ33" s="5" t="str">
        <f>IFERROR(__xludf.DUMMYFUNCTION("""COMPUTED_VALUE"""),"Available")</f>
        <v>Available</v>
      </c>
      <c r="BK33" s="5" t="str">
        <f>IFERROR(__xludf.DUMMYFUNCTION("""COMPUTED_VALUE"""),"")</f>
        <v/>
      </c>
      <c r="BL33" s="5" t="str">
        <f>IFERROR(__xludf.DUMMYFUNCTION("""COMPUTED_VALUE"""),"")</f>
        <v/>
      </c>
      <c r="BM33" s="5" t="str">
        <f>IFERROR(__xludf.DUMMYFUNCTION("""COMPUTED_VALUE"""),"")</f>
        <v/>
      </c>
    </row>
    <row r="34">
      <c r="A34" s="5" t="str">
        <f>IFERROR(__xludf.DUMMYFUNCTION("""COMPUTED_VALUE"""),"Fazi")</f>
        <v>Fazi</v>
      </c>
      <c r="B34" s="5" t="str">
        <f>IFERROR(__xludf.DUMMYFUNCTION("""COMPUTED_VALUE"""),"Fruits And Stars 40")</f>
        <v>Fruits And Stars 40</v>
      </c>
      <c r="C34" s="5" t="str">
        <f>IFERROR(__xludf.DUMMYFUNCTION("""COMPUTED_VALUE"""),"FruitsAndStars40")</f>
        <v>FruitsAndStars40</v>
      </c>
      <c r="D34" s="6">
        <f>IFERROR(__xludf.DUMMYFUNCTION("""COMPUTED_VALUE"""),43766.0)</f>
        <v>43766</v>
      </c>
      <c r="E34" s="5" t="str">
        <f>IFERROR(__xludf.DUMMYFUNCTION("""COMPUTED_VALUE"""),"Slot")</f>
        <v>Slot</v>
      </c>
      <c r="F34" s="5">
        <f>IFERROR(__xludf.DUMMYFUNCTION("""COMPUTED_VALUE"""),29.4)</f>
        <v>29.4</v>
      </c>
      <c r="G34" s="5" t="str">
        <f>IFERROR(__xludf.DUMMYFUNCTION("""COMPUTED_VALUE"""),"5x3")</f>
        <v>5x3</v>
      </c>
      <c r="H34" s="5" t="str">
        <f>IFERROR(__xludf.DUMMYFUNCTION("""COMPUTED_VALUE"""),"40")</f>
        <v>40</v>
      </c>
      <c r="I34" s="5" t="str">
        <f>IFERROR(__xludf.DUMMYFUNCTION("""COMPUTED_VALUE"""),"1,3,5,7,10,15,20,25,30,35,40")</f>
        <v>1,3,5,7,10,15,20,25,30,35,40</v>
      </c>
      <c r="J34" s="5" t="str">
        <f>IFERROR(__xludf.DUMMYFUNCTION("""COMPUTED_VALUE"""),"95.79%")</f>
        <v>95.79%</v>
      </c>
      <c r="K34" s="5" t="str">
        <f>IFERROR(__xludf.DUMMYFUNCTION("""COMPUTED_VALUE"""),"Low")</f>
        <v>Low</v>
      </c>
      <c r="L34" s="5" t="str">
        <f>IFERROR(__xludf.DUMMYFUNCTION("""COMPUTED_VALUE"""),"18.24%")</f>
        <v>18.24%</v>
      </c>
      <c r="M34" s="5" t="str">
        <f>IFERROR(__xludf.DUMMYFUNCTION("""COMPUTED_VALUE"""),"x1000")</f>
        <v>x1000</v>
      </c>
      <c r="N34" s="5" t="str">
        <f>IFERROR(__xludf.DUMMYFUNCTION("""COMPUTED_VALUE"""),"0.01/60")</f>
        <v>0.01/60</v>
      </c>
      <c r="O34" s="5" t="str">
        <f>IFERROR(__xludf.DUMMYFUNCTION("""COMPUTED_VALUE"""),"Yes")</f>
        <v>Yes</v>
      </c>
      <c r="P34" s="5" t="str">
        <f>IFERROR(__xludf.DUMMYFUNCTION("""COMPUTED_VALUE"""),"Wild Symbol, Scatter")</f>
        <v>Wild Symbol, Scatter</v>
      </c>
      <c r="Q34" s="7" t="str">
        <f>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R34" s="5" t="str">
        <f>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S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t="str">
        <f>IFERROR(__xludf.DUMMYFUNCTION("""COMPUTED_VALUE"""),"Yes")</f>
        <v>Yes</v>
      </c>
      <c r="AI34" s="5" t="str">
        <f>IFERROR(__xludf.DUMMYFUNCTION("""COMPUTED_VALUE"""),"Yes")</f>
        <v>Yes</v>
      </c>
      <c r="AJ34" s="5" t="str">
        <f>IFERROR(__xludf.DUMMYFUNCTION("""COMPUTED_VALUE"""),"Yes")</f>
        <v>Yes</v>
      </c>
      <c r="AK34" s="5" t="str">
        <f>IFERROR(__xludf.DUMMYFUNCTION("""COMPUTED_VALUE"""),"Yes")</f>
        <v>Yes</v>
      </c>
      <c r="AL34" s="5" t="str">
        <f>IFERROR(__xludf.DUMMYFUNCTION("""COMPUTED_VALUE"""),"Yes")</f>
        <v>Yes</v>
      </c>
      <c r="AM34" s="5" t="str">
        <f>IFERROR(__xludf.DUMMYFUNCTION("""COMPUTED_VALUE"""),"Yes")</f>
        <v>Yes</v>
      </c>
      <c r="AN34" s="5" t="str">
        <f>IFERROR(__xludf.DUMMYFUNCTION("""COMPUTED_VALUE"""),"Yes")</f>
        <v>Yes</v>
      </c>
      <c r="AO34" s="5" t="str">
        <f>IFERROR(__xludf.DUMMYFUNCTION("""COMPUTED_VALUE"""),"Yes")</f>
        <v>Yes</v>
      </c>
      <c r="AP34" s="5" t="str">
        <f>IFERROR(__xludf.DUMMYFUNCTION("""COMPUTED_VALUE"""),"Yes")</f>
        <v>Yes</v>
      </c>
      <c r="AQ34" s="5" t="str">
        <f>IFERROR(__xludf.DUMMYFUNCTION("""COMPUTED_VALUE"""),"Yes")</f>
        <v>Yes</v>
      </c>
      <c r="AR34" s="5" t="str">
        <f>IFERROR(__xludf.DUMMYFUNCTION("""COMPUTED_VALUE"""),"Yes")</f>
        <v>Yes</v>
      </c>
      <c r="AS34" s="5" t="str">
        <f>IFERROR(__xludf.DUMMYFUNCTION("""COMPUTED_VALUE"""),"Yes")</f>
        <v>Yes</v>
      </c>
      <c r="AT34" s="5" t="str">
        <f>IFERROR(__xludf.DUMMYFUNCTION("""COMPUTED_VALUE"""),"No")</f>
        <v>No</v>
      </c>
      <c r="AU34" s="5"/>
      <c r="AV34" s="5" t="str">
        <f>IFERROR(__xludf.DUMMYFUNCTION("""COMPUTED_VALUE"""),"")</f>
        <v/>
      </c>
      <c r="AW34" s="5" t="str">
        <f>IFERROR(__xludf.DUMMYFUNCTION("""COMPUTED_VALUE"""),"")</f>
        <v/>
      </c>
      <c r="AX34" s="5" t="str">
        <f>IFERROR(__xludf.DUMMYFUNCTION("""COMPUTED_VALUE"""),"")</f>
        <v/>
      </c>
      <c r="AY34" s="5" t="str">
        <f>IFERROR(__xludf.DUMMYFUNCTION("""COMPUTED_VALUE"""),"")</f>
        <v/>
      </c>
      <c r="AZ34" s="5" t="str">
        <f>IFERROR(__xludf.DUMMYFUNCTION("""COMPUTED_VALUE"""),"Available")</f>
        <v>Available</v>
      </c>
      <c r="BA34" s="5" t="str">
        <f>IFERROR(__xludf.DUMMYFUNCTION("""COMPUTED_VALUE"""),"Available")</f>
        <v>Available</v>
      </c>
      <c r="BB34" s="5" t="str">
        <f>IFERROR(__xludf.DUMMYFUNCTION("""COMPUTED_VALUE"""),"Available")</f>
        <v>Available</v>
      </c>
      <c r="BC34" s="5" t="str">
        <f>IFERROR(__xludf.DUMMYFUNCTION("""COMPUTED_VALUE"""),"Available")</f>
        <v>Available</v>
      </c>
      <c r="BD34" s="5" t="str">
        <f>IFERROR(__xludf.DUMMYFUNCTION("""COMPUTED_VALUE"""),"")</f>
        <v/>
      </c>
      <c r="BE34" s="5" t="str">
        <f>IFERROR(__xludf.DUMMYFUNCTION("""COMPUTED_VALUE"""),"")</f>
        <v/>
      </c>
      <c r="BF34" s="5" t="str">
        <f>IFERROR(__xludf.DUMMYFUNCTION("""COMPUTED_VALUE"""),"")</f>
        <v/>
      </c>
      <c r="BG34" s="5" t="str">
        <f>IFERROR(__xludf.DUMMYFUNCTION("""COMPUTED_VALUE"""),"")</f>
        <v/>
      </c>
      <c r="BH34" s="5" t="str">
        <f>IFERROR(__xludf.DUMMYFUNCTION("""COMPUTED_VALUE"""),"")</f>
        <v/>
      </c>
      <c r="BI34" s="5" t="str">
        <f>IFERROR(__xludf.DUMMYFUNCTION("""COMPUTED_VALUE"""),"")</f>
        <v/>
      </c>
      <c r="BJ34" s="5" t="str">
        <f>IFERROR(__xludf.DUMMYFUNCTION("""COMPUTED_VALUE"""),"")</f>
        <v/>
      </c>
      <c r="BK34" s="5" t="str">
        <f>IFERROR(__xludf.DUMMYFUNCTION("""COMPUTED_VALUE"""),"Available")</f>
        <v>Available</v>
      </c>
      <c r="BL34" s="5" t="str">
        <f>IFERROR(__xludf.DUMMYFUNCTION("""COMPUTED_VALUE"""),"")</f>
        <v/>
      </c>
      <c r="BM34" s="5" t="str">
        <f>IFERROR(__xludf.DUMMYFUNCTION("""COMPUTED_VALUE"""),"")</f>
        <v/>
      </c>
    </row>
    <row r="35">
      <c r="A35" s="5" t="str">
        <f>IFERROR(__xludf.DUMMYFUNCTION("""COMPUTED_VALUE"""),"Fazi")</f>
        <v>Fazi</v>
      </c>
      <c r="B35" s="5" t="str">
        <f>IFERROR(__xludf.DUMMYFUNCTION("""COMPUTED_VALUE"""),"Twinkling Hot 5")</f>
        <v>Twinkling Hot 5</v>
      </c>
      <c r="C35" s="5" t="str">
        <f>IFERROR(__xludf.DUMMYFUNCTION("""COMPUTED_VALUE"""),"TwinklingHot5")</f>
        <v>TwinklingHot5</v>
      </c>
      <c r="D35" s="6">
        <f>IFERROR(__xludf.DUMMYFUNCTION("""COMPUTED_VALUE"""),43815.0)</f>
        <v>43815</v>
      </c>
      <c r="E35" s="5" t="str">
        <f>IFERROR(__xludf.DUMMYFUNCTION("""COMPUTED_VALUE"""),"Slot")</f>
        <v>Slot</v>
      </c>
      <c r="F35" s="5">
        <f>IFERROR(__xludf.DUMMYFUNCTION("""COMPUTED_VALUE"""),27.6)</f>
        <v>27.6</v>
      </c>
      <c r="G35" s="5" t="str">
        <f>IFERROR(__xludf.DUMMYFUNCTION("""COMPUTED_VALUE"""),"5x3")</f>
        <v>5x3</v>
      </c>
      <c r="H35" s="5" t="str">
        <f>IFERROR(__xludf.DUMMYFUNCTION("""COMPUTED_VALUE"""),"5")</f>
        <v>5</v>
      </c>
      <c r="I35" s="5" t="str">
        <f>IFERROR(__xludf.DUMMYFUNCTION("""COMPUTED_VALUE"""),"5")</f>
        <v>5</v>
      </c>
      <c r="J35" s="5" t="str">
        <f>IFERROR(__xludf.DUMMYFUNCTION("""COMPUTED_VALUE"""),"95.656%")</f>
        <v>95.656%</v>
      </c>
      <c r="K35" s="5" t="str">
        <f>IFERROR(__xludf.DUMMYFUNCTION("""COMPUTED_VALUE"""),"Medium")</f>
        <v>Medium</v>
      </c>
      <c r="L35" s="5" t="str">
        <f>IFERROR(__xludf.DUMMYFUNCTION("""COMPUTED_VALUE"""),"12.49%")</f>
        <v>12.49%</v>
      </c>
      <c r="M35" s="5" t="str">
        <f>IFERROR(__xludf.DUMMYFUNCTION("""COMPUTED_VALUE"""),"x1000")</f>
        <v>x1000</v>
      </c>
      <c r="N35" s="5" t="str">
        <f>IFERROR(__xludf.DUMMYFUNCTION("""COMPUTED_VALUE"""),"0.05/30")</f>
        <v>0.05/30</v>
      </c>
      <c r="O35" s="5" t="str">
        <f>IFERROR(__xludf.DUMMYFUNCTION("""COMPUTED_VALUE"""),"Yes")</f>
        <v>Yes</v>
      </c>
      <c r="P35" s="5" t="str">
        <f>IFERROR(__xludf.DUMMYFUNCTION("""COMPUTED_VALUE"""),"Scatter")</f>
        <v>Scatter</v>
      </c>
      <c r="Q35" s="7" t="str">
        <f>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R35" s="5" t="str">
        <f>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S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IFERROR(__xludf.DUMMYFUNCTION("""COMPUTED_VALUE"""),"Yes")</f>
        <v>Yes</v>
      </c>
      <c r="AH35" s="5" t="str">
        <f>IFERROR(__xludf.DUMMYFUNCTION("""COMPUTED_VALUE"""),"Yes")</f>
        <v>Yes</v>
      </c>
      <c r="AI35" s="5" t="str">
        <f>IFERROR(__xludf.DUMMYFUNCTION("""COMPUTED_VALUE"""),"Yes")</f>
        <v>Yes</v>
      </c>
      <c r="AJ35" s="5" t="str">
        <f>IFERROR(__xludf.DUMMYFUNCTION("""COMPUTED_VALUE"""),"Yes")</f>
        <v>Yes</v>
      </c>
      <c r="AK35" s="5" t="str">
        <f>IFERROR(__xludf.DUMMYFUNCTION("""COMPUTED_VALUE"""),"Yes")</f>
        <v>Yes</v>
      </c>
      <c r="AL35" s="5" t="str">
        <f>IFERROR(__xludf.DUMMYFUNCTION("""COMPUTED_VALUE"""),"Yes")</f>
        <v>Yes</v>
      </c>
      <c r="AM35" s="5" t="str">
        <f>IFERROR(__xludf.DUMMYFUNCTION("""COMPUTED_VALUE"""),"Yes")</f>
        <v>Yes</v>
      </c>
      <c r="AN35" s="5" t="str">
        <f>IFERROR(__xludf.DUMMYFUNCTION("""COMPUTED_VALUE"""),"Yes")</f>
        <v>Yes</v>
      </c>
      <c r="AO35" s="5" t="str">
        <f>IFERROR(__xludf.DUMMYFUNCTION("""COMPUTED_VALUE"""),"Yes")</f>
        <v>Yes</v>
      </c>
      <c r="AP35" s="5" t="str">
        <f>IFERROR(__xludf.DUMMYFUNCTION("""COMPUTED_VALUE"""),"Yes")</f>
        <v>Yes</v>
      </c>
      <c r="AQ35" s="5" t="str">
        <f>IFERROR(__xludf.DUMMYFUNCTION("""COMPUTED_VALUE"""),"Yes")</f>
        <v>Yes</v>
      </c>
      <c r="AR35" s="5" t="str">
        <f>IFERROR(__xludf.DUMMYFUNCTION("""COMPUTED_VALUE"""),"Yes")</f>
        <v>Yes</v>
      </c>
      <c r="AS35" s="5" t="str">
        <f>IFERROR(__xludf.DUMMYFUNCTION("""COMPUTED_VALUE"""),"Yes")</f>
        <v>Yes</v>
      </c>
      <c r="AT35" s="5" t="str">
        <f>IFERROR(__xludf.DUMMYFUNCTION("""COMPUTED_VALUE"""),"No")</f>
        <v>No</v>
      </c>
      <c r="AU35" s="5"/>
      <c r="AV35" s="5" t="str">
        <f>IFERROR(__xludf.DUMMYFUNCTION("""COMPUTED_VALUE"""),"")</f>
        <v/>
      </c>
      <c r="AW35" s="5" t="str">
        <f>IFERROR(__xludf.DUMMYFUNCTION("""COMPUTED_VALUE"""),"Available")</f>
        <v>Available</v>
      </c>
      <c r="AX35" s="5" t="str">
        <f>IFERROR(__xludf.DUMMYFUNCTION("""COMPUTED_VALUE"""),"Available")</f>
        <v>Available</v>
      </c>
      <c r="AY35" s="5" t="str">
        <f>IFERROR(__xludf.DUMMYFUNCTION("""COMPUTED_VALUE"""),"")</f>
        <v/>
      </c>
      <c r="AZ35" s="5" t="str">
        <f>IFERROR(__xludf.DUMMYFUNCTION("""COMPUTED_VALUE"""),"Available")</f>
        <v>Available</v>
      </c>
      <c r="BA35" s="5" t="str">
        <f>IFERROR(__xludf.DUMMYFUNCTION("""COMPUTED_VALUE"""),"Available")</f>
        <v>Available</v>
      </c>
      <c r="BB35" s="5" t="str">
        <f>IFERROR(__xludf.DUMMYFUNCTION("""COMPUTED_VALUE"""),"Available")</f>
        <v>Available</v>
      </c>
      <c r="BC35" s="5" t="str">
        <f>IFERROR(__xludf.DUMMYFUNCTION("""COMPUTED_VALUE"""),"Available")</f>
        <v>Available</v>
      </c>
      <c r="BD35" s="5" t="str">
        <f>IFERROR(__xludf.DUMMYFUNCTION("""COMPUTED_VALUE"""),"")</f>
        <v/>
      </c>
      <c r="BE35" s="5" t="str">
        <f>IFERROR(__xludf.DUMMYFUNCTION("""COMPUTED_VALUE"""),"Available")</f>
        <v>Available</v>
      </c>
      <c r="BF35" s="5" t="str">
        <f>IFERROR(__xludf.DUMMYFUNCTION("""COMPUTED_VALUE"""),"")</f>
        <v/>
      </c>
      <c r="BG35" s="5" t="str">
        <f>IFERROR(__xludf.DUMMYFUNCTION("""COMPUTED_VALUE"""),"Available")</f>
        <v>Available</v>
      </c>
      <c r="BH35" s="5" t="str">
        <f>IFERROR(__xludf.DUMMYFUNCTION("""COMPUTED_VALUE"""),"")</f>
        <v/>
      </c>
      <c r="BI35" s="5" t="str">
        <f>IFERROR(__xludf.DUMMYFUNCTION("""COMPUTED_VALUE"""),"Available")</f>
        <v>Available</v>
      </c>
      <c r="BJ35" s="5" t="str">
        <f>IFERROR(__xludf.DUMMYFUNCTION("""COMPUTED_VALUE"""),"Available")</f>
        <v>Available</v>
      </c>
      <c r="BK35" s="5" t="str">
        <f>IFERROR(__xludf.DUMMYFUNCTION("""COMPUTED_VALUE"""),"Available")</f>
        <v>Available</v>
      </c>
      <c r="BL35" s="5" t="str">
        <f>IFERROR(__xludf.DUMMYFUNCTION("""COMPUTED_VALUE"""),"")</f>
        <v/>
      </c>
      <c r="BM35" s="5" t="str">
        <f>IFERROR(__xludf.DUMMYFUNCTION("""COMPUTED_VALUE"""),"")</f>
        <v/>
      </c>
    </row>
    <row r="36">
      <c r="A36" s="5" t="str">
        <f>IFERROR(__xludf.DUMMYFUNCTION("""COMPUTED_VALUE"""),"Fazi")</f>
        <v>Fazi</v>
      </c>
      <c r="B36" s="5" t="str">
        <f>IFERROR(__xludf.DUMMYFUNCTION("""COMPUTED_VALUE"""),"Dice Of Spells")</f>
        <v>Dice Of Spells</v>
      </c>
      <c r="C36" s="5" t="str">
        <f>IFERROR(__xludf.DUMMYFUNCTION("""COMPUTED_VALUE"""),"DiceOfSpells")</f>
        <v>DiceOfSpells</v>
      </c>
      <c r="D36" s="6">
        <f>IFERROR(__xludf.DUMMYFUNCTION("""COMPUTED_VALUE"""),43922.0)</f>
        <v>43922</v>
      </c>
      <c r="E36" s="5" t="str">
        <f>IFERROR(__xludf.DUMMYFUNCTION("""COMPUTED_VALUE"""),"Slot")</f>
        <v>Slot</v>
      </c>
      <c r="F36" s="5">
        <f>IFERROR(__xludf.DUMMYFUNCTION("""COMPUTED_VALUE"""),37.2)</f>
        <v>37.2</v>
      </c>
      <c r="G36" s="5" t="str">
        <f>IFERROR(__xludf.DUMMYFUNCTION("""COMPUTED_VALUE"""),"5x3")</f>
        <v>5x3</v>
      </c>
      <c r="H36" s="5" t="str">
        <f>IFERROR(__xludf.DUMMYFUNCTION("""COMPUTED_VALUE"""),"10")</f>
        <v>10</v>
      </c>
      <c r="I36" s="5" t="str">
        <f>IFERROR(__xludf.DUMMYFUNCTION("""COMPUTED_VALUE"""),"1,3,5,7,10")</f>
        <v>1,3,5,7,10</v>
      </c>
      <c r="J36" s="5" t="str">
        <f>IFERROR(__xludf.DUMMYFUNCTION("""COMPUTED_VALUE"""),"96.064%")</f>
        <v>96.064%</v>
      </c>
      <c r="K36" s="5" t="str">
        <f>IFERROR(__xludf.DUMMYFUNCTION("""COMPUTED_VALUE"""),"High")</f>
        <v>High</v>
      </c>
      <c r="L36" s="5" t="str">
        <f>IFERROR(__xludf.DUMMYFUNCTION("""COMPUTED_VALUE"""),"31.47%")</f>
        <v>31.47%</v>
      </c>
      <c r="M36" s="5" t="str">
        <f>IFERROR(__xludf.DUMMYFUNCTION("""COMPUTED_VALUE"""),"x5512")</f>
        <v>x5512</v>
      </c>
      <c r="N36" s="5" t="str">
        <f>IFERROR(__xludf.DUMMYFUNCTION("""COMPUTED_VALUE"""),"0.01/40")</f>
        <v>0.01/40</v>
      </c>
      <c r="O36" s="5" t="str">
        <f>IFERROR(__xludf.DUMMYFUNCTION("""COMPUTED_VALUE"""),"Yes")</f>
        <v>Yes</v>
      </c>
      <c r="P36" s="5" t="str">
        <f>IFERROR(__xludf.DUMMYFUNCTION("""COMPUTED_VALUE"""),"Book Of Game, Wild Symbol, Scatter")</f>
        <v>Book Of Game, Wild Symbol, Scatter</v>
      </c>
      <c r="Q36" s="7" t="str">
        <f>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R36" s="5" t="str">
        <f>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S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t="str">
        <f>IFERROR(__xludf.DUMMYFUNCTION("""COMPUTED_VALUE"""),"Yes")</f>
        <v>Yes</v>
      </c>
      <c r="AJ36" s="5" t="str">
        <f>IFERROR(__xludf.DUMMYFUNCTION("""COMPUTED_VALUE"""),"Yes")</f>
        <v>Yes</v>
      </c>
      <c r="AK36" s="5" t="str">
        <f>IFERROR(__xludf.DUMMYFUNCTION("""COMPUTED_VALUE"""),"Yes")</f>
        <v>Yes</v>
      </c>
      <c r="AL36" s="5" t="str">
        <f>IFERROR(__xludf.DUMMYFUNCTION("""COMPUTED_VALUE"""),"Yes")</f>
        <v>Yes</v>
      </c>
      <c r="AM36" s="5" t="str">
        <f>IFERROR(__xludf.DUMMYFUNCTION("""COMPUTED_VALUE"""),"Yes")</f>
        <v>Yes</v>
      </c>
      <c r="AN36" s="5" t="str">
        <f>IFERROR(__xludf.DUMMYFUNCTION("""COMPUTED_VALUE"""),"Yes")</f>
        <v>Yes</v>
      </c>
      <c r="AO36" s="5" t="str">
        <f>IFERROR(__xludf.DUMMYFUNCTION("""COMPUTED_VALUE"""),"Yes")</f>
        <v>Yes</v>
      </c>
      <c r="AP36" s="5" t="str">
        <f>IFERROR(__xludf.DUMMYFUNCTION("""COMPUTED_VALUE"""),"Yes")</f>
        <v>Yes</v>
      </c>
      <c r="AQ36" s="5" t="str">
        <f>IFERROR(__xludf.DUMMYFUNCTION("""COMPUTED_VALUE"""),"Yes")</f>
        <v>Yes</v>
      </c>
      <c r="AR36" s="5" t="str">
        <f>IFERROR(__xludf.DUMMYFUNCTION("""COMPUTED_VALUE"""),"Yes")</f>
        <v>Yes</v>
      </c>
      <c r="AS36" s="5" t="str">
        <f>IFERROR(__xludf.DUMMYFUNCTION("""COMPUTED_VALUE"""),"Yes")</f>
        <v>Yes</v>
      </c>
      <c r="AT36" s="5" t="str">
        <f>IFERROR(__xludf.DUMMYFUNCTION("""COMPUTED_VALUE"""),"No")</f>
        <v>No</v>
      </c>
      <c r="AU36" s="5"/>
      <c r="AV36" s="5" t="str">
        <f>IFERROR(__xludf.DUMMYFUNCTION("""COMPUTED_VALUE"""),"")</f>
        <v/>
      </c>
      <c r="AW36" s="5" t="str">
        <f>IFERROR(__xludf.DUMMYFUNCTION("""COMPUTED_VALUE"""),"")</f>
        <v/>
      </c>
      <c r="AX36" s="5" t="str">
        <f>IFERROR(__xludf.DUMMYFUNCTION("""COMPUTED_VALUE"""),"")</f>
        <v/>
      </c>
      <c r="AY36" s="5" t="str">
        <f>IFERROR(__xludf.DUMMYFUNCTION("""COMPUTED_VALUE"""),"")</f>
        <v/>
      </c>
      <c r="AZ36" s="5" t="str">
        <f>IFERROR(__xludf.DUMMYFUNCTION("""COMPUTED_VALUE"""),"")</f>
        <v/>
      </c>
      <c r="BA36" s="5" t="str">
        <f>IFERROR(__xludf.DUMMYFUNCTION("""COMPUTED_VALUE"""),"")</f>
        <v/>
      </c>
      <c r="BB36" s="5" t="str">
        <f>IFERROR(__xludf.DUMMYFUNCTION("""COMPUTED_VALUE"""),"")</f>
        <v/>
      </c>
      <c r="BC36" s="5" t="str">
        <f>IFERROR(__xludf.DUMMYFUNCTION("""COMPUTED_VALUE"""),"")</f>
        <v/>
      </c>
      <c r="BD36" s="5" t="str">
        <f>IFERROR(__xludf.DUMMYFUNCTION("""COMPUTED_VALUE"""),"")</f>
        <v/>
      </c>
      <c r="BE36" s="5" t="str">
        <f>IFERROR(__xludf.DUMMYFUNCTION("""COMPUTED_VALUE"""),"")</f>
        <v/>
      </c>
      <c r="BF36" s="5" t="str">
        <f>IFERROR(__xludf.DUMMYFUNCTION("""COMPUTED_VALUE"""),"")</f>
        <v/>
      </c>
      <c r="BG36" s="5" t="str">
        <f>IFERROR(__xludf.DUMMYFUNCTION("""COMPUTED_VALUE"""),"")</f>
        <v/>
      </c>
      <c r="BH36" s="5" t="str">
        <f>IFERROR(__xludf.DUMMYFUNCTION("""COMPUTED_VALUE"""),"")</f>
        <v/>
      </c>
      <c r="BI36" s="5" t="str">
        <f>IFERROR(__xludf.DUMMYFUNCTION("""COMPUTED_VALUE"""),"")</f>
        <v/>
      </c>
      <c r="BJ36" s="5" t="str">
        <f>IFERROR(__xludf.DUMMYFUNCTION("""COMPUTED_VALUE"""),"")</f>
        <v/>
      </c>
      <c r="BK36" s="5" t="str">
        <f>IFERROR(__xludf.DUMMYFUNCTION("""COMPUTED_VALUE"""),"")</f>
        <v/>
      </c>
      <c r="BL36" s="5" t="str">
        <f>IFERROR(__xludf.DUMMYFUNCTION("""COMPUTED_VALUE"""),"")</f>
        <v/>
      </c>
      <c r="BM36" s="5" t="str">
        <f>IFERROR(__xludf.DUMMYFUNCTION("""COMPUTED_VALUE"""),"")</f>
        <v/>
      </c>
    </row>
    <row r="37">
      <c r="A37" s="5" t="str">
        <f>IFERROR(__xludf.DUMMYFUNCTION("""COMPUTED_VALUE"""),"Fazi")</f>
        <v>Fazi</v>
      </c>
      <c r="B37" s="5" t="str">
        <f>IFERROR(__xludf.DUMMYFUNCTION("""COMPUTED_VALUE"""),"Cubes And Stars")</f>
        <v>Cubes And Stars</v>
      </c>
      <c r="C37" s="5" t="str">
        <f>IFERROR(__xludf.DUMMYFUNCTION("""COMPUTED_VALUE"""),"CubesAndStars")</f>
        <v>CubesAndStars</v>
      </c>
      <c r="D37" s="6">
        <f>IFERROR(__xludf.DUMMYFUNCTION("""COMPUTED_VALUE"""),43525.0)</f>
        <v>43525</v>
      </c>
      <c r="E37" s="5" t="str">
        <f>IFERROR(__xludf.DUMMYFUNCTION("""COMPUTED_VALUE"""),"Slot")</f>
        <v>Slot</v>
      </c>
      <c r="F37" s="5">
        <f>IFERROR(__xludf.DUMMYFUNCTION("""COMPUTED_VALUE"""),19.7)</f>
        <v>19.7</v>
      </c>
      <c r="G37" s="5" t="str">
        <f>IFERROR(__xludf.DUMMYFUNCTION("""COMPUTED_VALUE"""),"5x3")</f>
        <v>5x3</v>
      </c>
      <c r="H37" s="5" t="str">
        <f>IFERROR(__xludf.DUMMYFUNCTION("""COMPUTED_VALUE"""),"20")</f>
        <v>20</v>
      </c>
      <c r="I37" s="5" t="str">
        <f>IFERROR(__xludf.DUMMYFUNCTION("""COMPUTED_VALUE"""),"1,3,5,7,10,20")</f>
        <v>1,3,5,7,10,20</v>
      </c>
      <c r="J37" s="5" t="str">
        <f>IFERROR(__xludf.DUMMYFUNCTION("""COMPUTED_VALUE"""),"95.79%")</f>
        <v>95.79%</v>
      </c>
      <c r="K37" s="5" t="str">
        <f>IFERROR(__xludf.DUMMYFUNCTION("""COMPUTED_VALUE"""),"Low")</f>
        <v>Low</v>
      </c>
      <c r="L37" s="5" t="str">
        <f>IFERROR(__xludf.DUMMYFUNCTION("""COMPUTED_VALUE"""),"17.45%")</f>
        <v>17.45%</v>
      </c>
      <c r="M37" s="5" t="str">
        <f>IFERROR(__xludf.DUMMYFUNCTION("""COMPUTED_VALUE"""),"x1000")</f>
        <v>x1000</v>
      </c>
      <c r="N37" s="5" t="str">
        <f>IFERROR(__xludf.DUMMYFUNCTION("""COMPUTED_VALUE"""),"0.01/50")</f>
        <v>0.01/50</v>
      </c>
      <c r="O37" s="5" t="str">
        <f>IFERROR(__xludf.DUMMYFUNCTION("""COMPUTED_VALUE"""),"Yes")</f>
        <v>Yes</v>
      </c>
      <c r="P37" s="5" t="str">
        <f>IFERROR(__xludf.DUMMYFUNCTION("""COMPUTED_VALUE"""),"Wild Symbol, Scatter")</f>
        <v>Wild Symbol, Scatter</v>
      </c>
      <c r="Q37" s="7" t="str">
        <f>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R37" s="5" t="str">
        <f>IFERROR(__xludf.DUMMYFUNCTION("""COMPUTED_VALUE"""),"Roll the dice and your day will get better than nice !")</f>
        <v>Roll the dice and your day will get better than nice !</v>
      </c>
      <c r="S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t="str">
        <f>IFERROR(__xludf.DUMMYFUNCTION("""COMPUTED_VALUE"""),"Yes")</f>
        <v>Yes</v>
      </c>
      <c r="AJ37" s="5" t="str">
        <f>IFERROR(__xludf.DUMMYFUNCTION("""COMPUTED_VALUE"""),"Yes")</f>
        <v>Yes</v>
      </c>
      <c r="AK37" s="5" t="str">
        <f>IFERROR(__xludf.DUMMYFUNCTION("""COMPUTED_VALUE"""),"Yes")</f>
        <v>Yes</v>
      </c>
      <c r="AL37" s="5" t="str">
        <f>IFERROR(__xludf.DUMMYFUNCTION("""COMPUTED_VALUE"""),"Yes")</f>
        <v>Yes</v>
      </c>
      <c r="AM37" s="5" t="str">
        <f>IFERROR(__xludf.DUMMYFUNCTION("""COMPUTED_VALUE"""),"Yes")</f>
        <v>Yes</v>
      </c>
      <c r="AN37" s="5" t="str">
        <f>IFERROR(__xludf.DUMMYFUNCTION("""COMPUTED_VALUE"""),"Yes")</f>
        <v>Yes</v>
      </c>
      <c r="AO37" s="5" t="str">
        <f>IFERROR(__xludf.DUMMYFUNCTION("""COMPUTED_VALUE"""),"Yes")</f>
        <v>Yes</v>
      </c>
      <c r="AP37" s="5" t="str">
        <f>IFERROR(__xludf.DUMMYFUNCTION("""COMPUTED_VALUE"""),"Yes")</f>
        <v>Yes</v>
      </c>
      <c r="AQ37" s="5" t="str">
        <f>IFERROR(__xludf.DUMMYFUNCTION("""COMPUTED_VALUE"""),"Yes")</f>
        <v>Yes</v>
      </c>
      <c r="AR37" s="5" t="str">
        <f>IFERROR(__xludf.DUMMYFUNCTION("""COMPUTED_VALUE"""),"Yes")</f>
        <v>Yes</v>
      </c>
      <c r="AS37" s="5" t="str">
        <f>IFERROR(__xludf.DUMMYFUNCTION("""COMPUTED_VALUE"""),"Yes")</f>
        <v>Yes</v>
      </c>
      <c r="AT37" s="5" t="str">
        <f>IFERROR(__xludf.DUMMYFUNCTION("""COMPUTED_VALUE"""),"No")</f>
        <v>No</v>
      </c>
      <c r="AU37" s="5"/>
      <c r="AV37" s="5" t="str">
        <f>IFERROR(__xludf.DUMMYFUNCTION("""COMPUTED_VALUE"""),"")</f>
        <v/>
      </c>
      <c r="AW37" s="5" t="str">
        <f>IFERROR(__xludf.DUMMYFUNCTION("""COMPUTED_VALUE"""),"")</f>
        <v/>
      </c>
      <c r="AX37" s="5" t="str">
        <f>IFERROR(__xludf.DUMMYFUNCTION("""COMPUTED_VALUE"""),"")</f>
        <v/>
      </c>
      <c r="AY37" s="5" t="str">
        <f>IFERROR(__xludf.DUMMYFUNCTION("""COMPUTED_VALUE"""),"")</f>
        <v/>
      </c>
      <c r="AZ37" s="5" t="str">
        <f>IFERROR(__xludf.DUMMYFUNCTION("""COMPUTED_VALUE"""),"")</f>
        <v/>
      </c>
      <c r="BA37" s="5" t="str">
        <f>IFERROR(__xludf.DUMMYFUNCTION("""COMPUTED_VALUE"""),"")</f>
        <v/>
      </c>
      <c r="BB37" s="5" t="str">
        <f>IFERROR(__xludf.DUMMYFUNCTION("""COMPUTED_VALUE"""),"")</f>
        <v/>
      </c>
      <c r="BC37" s="5" t="str">
        <f>IFERROR(__xludf.DUMMYFUNCTION("""COMPUTED_VALUE"""),"")</f>
        <v/>
      </c>
      <c r="BD37" s="5" t="str">
        <f>IFERROR(__xludf.DUMMYFUNCTION("""COMPUTED_VALUE"""),"")</f>
        <v/>
      </c>
      <c r="BE37" s="5" t="str">
        <f>IFERROR(__xludf.DUMMYFUNCTION("""COMPUTED_VALUE"""),"")</f>
        <v/>
      </c>
      <c r="BF37" s="5" t="str">
        <f>IFERROR(__xludf.DUMMYFUNCTION("""COMPUTED_VALUE"""),"")</f>
        <v/>
      </c>
      <c r="BG37" s="5" t="str">
        <f>IFERROR(__xludf.DUMMYFUNCTION("""COMPUTED_VALUE"""),"")</f>
        <v/>
      </c>
      <c r="BH37" s="5" t="str">
        <f>IFERROR(__xludf.DUMMYFUNCTION("""COMPUTED_VALUE"""),"")</f>
        <v/>
      </c>
      <c r="BI37" s="5" t="str">
        <f>IFERROR(__xludf.DUMMYFUNCTION("""COMPUTED_VALUE"""),"")</f>
        <v/>
      </c>
      <c r="BJ37" s="5" t="str">
        <f>IFERROR(__xludf.DUMMYFUNCTION("""COMPUTED_VALUE"""),"")</f>
        <v/>
      </c>
      <c r="BK37" s="5" t="str">
        <f>IFERROR(__xludf.DUMMYFUNCTION("""COMPUTED_VALUE"""),"")</f>
        <v/>
      </c>
      <c r="BL37" s="5" t="str">
        <f>IFERROR(__xludf.DUMMYFUNCTION("""COMPUTED_VALUE"""),"")</f>
        <v/>
      </c>
      <c r="BM37" s="5" t="str">
        <f>IFERROR(__xludf.DUMMYFUNCTION("""COMPUTED_VALUE"""),"")</f>
        <v/>
      </c>
    </row>
    <row r="38">
      <c r="A38" s="5" t="str">
        <f>IFERROR(__xludf.DUMMYFUNCTION("""COMPUTED_VALUE"""),"Fazi")</f>
        <v>Fazi</v>
      </c>
      <c r="B38" s="5" t="str">
        <f>IFERROR(__xludf.DUMMYFUNCTION("""COMPUTED_VALUE"""),"Twinkling Hot 40")</f>
        <v>Twinkling Hot 40</v>
      </c>
      <c r="C38" s="5" t="str">
        <f>IFERROR(__xludf.DUMMYFUNCTION("""COMPUTED_VALUE"""),"TwinklingHot40")</f>
        <v>TwinklingHot40</v>
      </c>
      <c r="D38" s="6">
        <f>IFERROR(__xludf.DUMMYFUNCTION("""COMPUTED_VALUE"""),43843.0)</f>
        <v>43843</v>
      </c>
      <c r="E38" s="5" t="str">
        <f>IFERROR(__xludf.DUMMYFUNCTION("""COMPUTED_VALUE"""),"Slot")</f>
        <v>Slot</v>
      </c>
      <c r="F38" s="5">
        <f>IFERROR(__xludf.DUMMYFUNCTION("""COMPUTED_VALUE"""),27.9)</f>
        <v>27.9</v>
      </c>
      <c r="G38" s="5" t="str">
        <f>IFERROR(__xludf.DUMMYFUNCTION("""COMPUTED_VALUE"""),"5x3")</f>
        <v>5x3</v>
      </c>
      <c r="H38" s="5" t="str">
        <f>IFERROR(__xludf.DUMMYFUNCTION("""COMPUTED_VALUE"""),"40")</f>
        <v>40</v>
      </c>
      <c r="I38" s="5" t="str">
        <f>IFERROR(__xludf.DUMMYFUNCTION("""COMPUTED_VALUE"""),"40")</f>
        <v>40</v>
      </c>
      <c r="J38" s="5" t="str">
        <f>IFERROR(__xludf.DUMMYFUNCTION("""COMPUTED_VALUE"""),"95.656%")</f>
        <v>95.656%</v>
      </c>
      <c r="K38" s="5" t="str">
        <f>IFERROR(__xludf.DUMMYFUNCTION("""COMPUTED_VALUE"""),"Low")</f>
        <v>Low</v>
      </c>
      <c r="L38" s="5" t="str">
        <f>IFERROR(__xludf.DUMMYFUNCTION("""COMPUTED_VALUE"""),"17.87%")</f>
        <v>17.87%</v>
      </c>
      <c r="M38" s="5" t="str">
        <f>IFERROR(__xludf.DUMMYFUNCTION("""COMPUTED_VALUE"""),"x200")</f>
        <v>x200</v>
      </c>
      <c r="N38" s="5" t="str">
        <f>IFERROR(__xludf.DUMMYFUNCTION("""COMPUTED_VALUE"""),"0.40/60")</f>
        <v>0.40/60</v>
      </c>
      <c r="O38" s="5" t="str">
        <f>IFERROR(__xludf.DUMMYFUNCTION("""COMPUTED_VALUE"""),"Yes")</f>
        <v>Yes</v>
      </c>
      <c r="P38" s="5" t="str">
        <f>IFERROR(__xludf.DUMMYFUNCTION("""COMPUTED_VALUE"""),"Scatter")</f>
        <v>Scatter</v>
      </c>
      <c r="Q38" s="7" t="str">
        <f>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R38" s="5" t="str">
        <f>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S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8" s="5" t="str">
        <f>IFERROR(__xludf.DUMMYFUNCTION("""COMPUTED_VALUE"""),"Yes")</f>
        <v>Yes</v>
      </c>
      <c r="U38" s="5" t="str">
        <f>IFERROR(__xludf.DUMMYFUNCTION("""COMPUTED_VALUE"""),"Yes")</f>
        <v>Yes</v>
      </c>
      <c r="V38" s="5" t="str">
        <f>IFERROR(__xludf.DUMMYFUNCTION("""COMPUTED_VALUE"""),"Yes")</f>
        <v>Yes</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IFERROR(__xludf.DUMMYFUNCTION("""COMPUTED_VALUE"""),"Yes")</f>
        <v>Yes</v>
      </c>
      <c r="AH38" s="5" t="str">
        <f>IFERROR(__xludf.DUMMYFUNCTION("""COMPUTED_VALUE"""),"Yes")</f>
        <v>Yes</v>
      </c>
      <c r="AI38" s="5" t="str">
        <f>IFERROR(__xludf.DUMMYFUNCTION("""COMPUTED_VALUE"""),"Yes")</f>
        <v>Yes</v>
      </c>
      <c r="AJ38" s="5" t="str">
        <f>IFERROR(__xludf.DUMMYFUNCTION("""COMPUTED_VALUE"""),"Yes")</f>
        <v>Yes</v>
      </c>
      <c r="AK38" s="5" t="str">
        <f>IFERROR(__xludf.DUMMYFUNCTION("""COMPUTED_VALUE"""),"Yes")</f>
        <v>Yes</v>
      </c>
      <c r="AL38" s="5" t="str">
        <f>IFERROR(__xludf.DUMMYFUNCTION("""COMPUTED_VALUE"""),"Yes")</f>
        <v>Yes</v>
      </c>
      <c r="AM38" s="5" t="str">
        <f>IFERROR(__xludf.DUMMYFUNCTION("""COMPUTED_VALUE"""),"Yes")</f>
        <v>Yes</v>
      </c>
      <c r="AN38" s="5" t="str">
        <f>IFERROR(__xludf.DUMMYFUNCTION("""COMPUTED_VALUE"""),"Yes")</f>
        <v>Yes</v>
      </c>
      <c r="AO38" s="5" t="str">
        <f>IFERROR(__xludf.DUMMYFUNCTION("""COMPUTED_VALUE"""),"Yes")</f>
        <v>Yes</v>
      </c>
      <c r="AP38" s="5" t="str">
        <f>IFERROR(__xludf.DUMMYFUNCTION("""COMPUTED_VALUE"""),"Yes")</f>
        <v>Yes</v>
      </c>
      <c r="AQ38" s="5" t="str">
        <f>IFERROR(__xludf.DUMMYFUNCTION("""COMPUTED_VALUE"""),"Yes")</f>
        <v>Yes</v>
      </c>
      <c r="AR38" s="5" t="str">
        <f>IFERROR(__xludf.DUMMYFUNCTION("""COMPUTED_VALUE"""),"Yes")</f>
        <v>Yes</v>
      </c>
      <c r="AS38" s="5" t="str">
        <f>IFERROR(__xludf.DUMMYFUNCTION("""COMPUTED_VALUE"""),"Yes")</f>
        <v>Yes</v>
      </c>
      <c r="AT38" s="5" t="str">
        <f>IFERROR(__xludf.DUMMYFUNCTION("""COMPUTED_VALUE"""),"No")</f>
        <v>No</v>
      </c>
      <c r="AU38" s="5"/>
      <c r="AV38" s="5" t="str">
        <f>IFERROR(__xludf.DUMMYFUNCTION("""COMPUTED_VALUE"""),"")</f>
        <v/>
      </c>
      <c r="AW38" s="5" t="str">
        <f>IFERROR(__xludf.DUMMYFUNCTION("""COMPUTED_VALUE"""),"")</f>
        <v/>
      </c>
      <c r="AX38" s="5" t="str">
        <f>IFERROR(__xludf.DUMMYFUNCTION("""COMPUTED_VALUE"""),"Available")</f>
        <v>Available</v>
      </c>
      <c r="AY38" s="5" t="str">
        <f>IFERROR(__xludf.DUMMYFUNCTION("""COMPUTED_VALUE"""),"")</f>
        <v/>
      </c>
      <c r="AZ38" s="5" t="str">
        <f>IFERROR(__xludf.DUMMYFUNCTION("""COMPUTED_VALUE"""),"Available")</f>
        <v>Available</v>
      </c>
      <c r="BA38" s="5" t="str">
        <f>IFERROR(__xludf.DUMMYFUNCTION("""COMPUTED_VALUE"""),"Available")</f>
        <v>Available</v>
      </c>
      <c r="BB38" s="5" t="str">
        <f>IFERROR(__xludf.DUMMYFUNCTION("""COMPUTED_VALUE"""),"Available")</f>
        <v>Available</v>
      </c>
      <c r="BC38" s="5" t="str">
        <f>IFERROR(__xludf.DUMMYFUNCTION("""COMPUTED_VALUE"""),"Available")</f>
        <v>Available</v>
      </c>
      <c r="BD38" s="5" t="str">
        <f>IFERROR(__xludf.DUMMYFUNCTION("""COMPUTED_VALUE"""),"")</f>
        <v/>
      </c>
      <c r="BE38" s="5" t="str">
        <f>IFERROR(__xludf.DUMMYFUNCTION("""COMPUTED_VALUE"""),"Available")</f>
        <v>Available</v>
      </c>
      <c r="BF38" s="5" t="str">
        <f>IFERROR(__xludf.DUMMYFUNCTION("""COMPUTED_VALUE"""),"")</f>
        <v/>
      </c>
      <c r="BG38" s="5" t="str">
        <f>IFERROR(__xludf.DUMMYFUNCTION("""COMPUTED_VALUE"""),"Available")</f>
        <v>Available</v>
      </c>
      <c r="BH38" s="5" t="str">
        <f>IFERROR(__xludf.DUMMYFUNCTION("""COMPUTED_VALUE"""),"")</f>
        <v/>
      </c>
      <c r="BI38" s="5" t="str">
        <f>IFERROR(__xludf.DUMMYFUNCTION("""COMPUTED_VALUE"""),"Available")</f>
        <v>Available</v>
      </c>
      <c r="BJ38" s="5" t="str">
        <f>IFERROR(__xludf.DUMMYFUNCTION("""COMPUTED_VALUE"""),"Available")</f>
        <v>Available</v>
      </c>
      <c r="BK38" s="5" t="str">
        <f>IFERROR(__xludf.DUMMYFUNCTION("""COMPUTED_VALUE"""),"Available")</f>
        <v>Available</v>
      </c>
      <c r="BL38" s="5" t="str">
        <f>IFERROR(__xludf.DUMMYFUNCTION("""COMPUTED_VALUE"""),"")</f>
        <v/>
      </c>
      <c r="BM38" s="5" t="str">
        <f>IFERROR(__xludf.DUMMYFUNCTION("""COMPUTED_VALUE"""),"")</f>
        <v/>
      </c>
    </row>
    <row r="39">
      <c r="A39" s="5" t="str">
        <f>IFERROR(__xludf.DUMMYFUNCTION("""COMPUTED_VALUE"""),"Fazi")</f>
        <v>Fazi</v>
      </c>
      <c r="B39" s="5" t="str">
        <f>IFERROR(__xludf.DUMMYFUNCTION("""COMPUTED_VALUE"""),"Book Of Spells Deluxe")</f>
        <v>Book Of Spells Deluxe</v>
      </c>
      <c r="C39" s="5" t="str">
        <f>IFERROR(__xludf.DUMMYFUNCTION("""COMPUTED_VALUE"""),"BookOfSpellsDeluxe")</f>
        <v>BookOfSpellsDeluxe</v>
      </c>
      <c r="D39" s="6">
        <f>IFERROR(__xludf.DUMMYFUNCTION("""COMPUTED_VALUE"""),43872.0)</f>
        <v>43872</v>
      </c>
      <c r="E39" s="5" t="str">
        <f>IFERROR(__xludf.DUMMYFUNCTION("""COMPUTED_VALUE"""),"Slot")</f>
        <v>Slot</v>
      </c>
      <c r="F39" s="5">
        <f>IFERROR(__xludf.DUMMYFUNCTION("""COMPUTED_VALUE"""),41.4)</f>
        <v>41.4</v>
      </c>
      <c r="G39" s="5" t="str">
        <f>IFERROR(__xludf.DUMMYFUNCTION("""COMPUTED_VALUE"""),"5x3")</f>
        <v>5x3</v>
      </c>
      <c r="H39" s="5" t="str">
        <f>IFERROR(__xludf.DUMMYFUNCTION("""COMPUTED_VALUE"""),"10")</f>
        <v>10</v>
      </c>
      <c r="I39" s="5" t="str">
        <f>IFERROR(__xludf.DUMMYFUNCTION("""COMPUTED_VALUE"""),"1,3,5,7,10")</f>
        <v>1,3,5,7,10</v>
      </c>
      <c r="J39" s="5" t="str">
        <f>IFERROR(__xludf.DUMMYFUNCTION("""COMPUTED_VALUE"""),"96.064%")</f>
        <v>96.064%</v>
      </c>
      <c r="K39" s="5" t="str">
        <f>IFERROR(__xludf.DUMMYFUNCTION("""COMPUTED_VALUE"""),"High")</f>
        <v>High</v>
      </c>
      <c r="L39" s="5" t="str">
        <f>IFERROR(__xludf.DUMMYFUNCTION("""COMPUTED_VALUE"""),"31.47%")</f>
        <v>31.47%</v>
      </c>
      <c r="M39" s="5" t="str">
        <f>IFERROR(__xludf.DUMMYFUNCTION("""COMPUTED_VALUE"""),"x5512")</f>
        <v>x5512</v>
      </c>
      <c r="N39" s="5" t="str">
        <f>IFERROR(__xludf.DUMMYFUNCTION("""COMPUTED_VALUE"""),"0.01/40")</f>
        <v>0.01/40</v>
      </c>
      <c r="O39" s="5" t="str">
        <f>IFERROR(__xludf.DUMMYFUNCTION("""COMPUTED_VALUE"""),"Yes")</f>
        <v>Yes</v>
      </c>
      <c r="P39" s="5" t="str">
        <f>IFERROR(__xludf.DUMMYFUNCTION("""COMPUTED_VALUE"""),"Book Of Game, Wild Symbol, Scatter")</f>
        <v>Book Of Game, Wild Symbol, Scatter</v>
      </c>
      <c r="Q39" s="7" t="str">
        <f>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R39"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9" s="5" t="str">
        <f>IFERROR(__xludf.DUMMYFUNCTION("""COMPUTED_VALUE"""),"Yes")</f>
        <v>Yes</v>
      </c>
      <c r="U39" s="5" t="str">
        <f>IFERROR(__xludf.DUMMYFUNCTION("""COMPUTED_VALUE"""),"Yes")</f>
        <v>Yes</v>
      </c>
      <c r="V39" s="5" t="str">
        <f>IFERROR(__xludf.DUMMYFUNCTION("""COMPUTED_VALUE"""),"Yes")</f>
        <v>Yes</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IFERROR(__xludf.DUMMYFUNCTION("""COMPUTED_VALUE"""),"Yes")</f>
        <v>Yes</v>
      </c>
      <c r="AF39" s="5" t="str">
        <f>IFERROR(__xludf.DUMMYFUNCTION("""COMPUTED_VALUE"""),"Yes")</f>
        <v>Yes</v>
      </c>
      <c r="AG39" s="5" t="str">
        <f>IFERROR(__xludf.DUMMYFUNCTION("""COMPUTED_VALUE"""),"Yes")</f>
        <v>Yes</v>
      </c>
      <c r="AH39" s="5" t="str">
        <f>IFERROR(__xludf.DUMMYFUNCTION("""COMPUTED_VALUE"""),"Yes")</f>
        <v>Yes</v>
      </c>
      <c r="AI39" s="5" t="str">
        <f>IFERROR(__xludf.DUMMYFUNCTION("""COMPUTED_VALUE"""),"Yes")</f>
        <v>Yes</v>
      </c>
      <c r="AJ39" s="5" t="str">
        <f>IFERROR(__xludf.DUMMYFUNCTION("""COMPUTED_VALUE"""),"Yes")</f>
        <v>Yes</v>
      </c>
      <c r="AK39" s="5" t="str">
        <f>IFERROR(__xludf.DUMMYFUNCTION("""COMPUTED_VALUE"""),"Yes")</f>
        <v>Yes</v>
      </c>
      <c r="AL39" s="5" t="str">
        <f>IFERROR(__xludf.DUMMYFUNCTION("""COMPUTED_VALUE"""),"Yes")</f>
        <v>Yes</v>
      </c>
      <c r="AM39" s="5" t="str">
        <f>IFERROR(__xludf.DUMMYFUNCTION("""COMPUTED_VALUE"""),"Yes")</f>
        <v>Yes</v>
      </c>
      <c r="AN39" s="5" t="str">
        <f>IFERROR(__xludf.DUMMYFUNCTION("""COMPUTED_VALUE"""),"Yes")</f>
        <v>Yes</v>
      </c>
      <c r="AO39" s="5" t="str">
        <f>IFERROR(__xludf.DUMMYFUNCTION("""COMPUTED_VALUE"""),"Yes")</f>
        <v>Yes</v>
      </c>
      <c r="AP39" s="5" t="str">
        <f>IFERROR(__xludf.DUMMYFUNCTION("""COMPUTED_VALUE"""),"Yes")</f>
        <v>Yes</v>
      </c>
      <c r="AQ39" s="5" t="str">
        <f>IFERROR(__xludf.DUMMYFUNCTION("""COMPUTED_VALUE"""),"Yes")</f>
        <v>Yes</v>
      </c>
      <c r="AR39" s="5" t="str">
        <f>IFERROR(__xludf.DUMMYFUNCTION("""COMPUTED_VALUE"""),"Yes")</f>
        <v>Yes</v>
      </c>
      <c r="AS39" s="5" t="str">
        <f>IFERROR(__xludf.DUMMYFUNCTION("""COMPUTED_VALUE"""),"Yes")</f>
        <v>Yes</v>
      </c>
      <c r="AT39" s="5" t="str">
        <f>IFERROR(__xludf.DUMMYFUNCTION("""COMPUTED_VALUE"""),"No")</f>
        <v>No</v>
      </c>
      <c r="AU39" s="5"/>
      <c r="AV39" s="5" t="str">
        <f>IFERROR(__xludf.DUMMYFUNCTION("""COMPUTED_VALUE"""),"")</f>
        <v/>
      </c>
      <c r="AW39" s="5" t="str">
        <f>IFERROR(__xludf.DUMMYFUNCTION("""COMPUTED_VALUE"""),"")</f>
        <v/>
      </c>
      <c r="AX39" s="5" t="str">
        <f>IFERROR(__xludf.DUMMYFUNCTION("""COMPUTED_VALUE"""),"Available")</f>
        <v>Available</v>
      </c>
      <c r="AY39" s="5" t="str">
        <f>IFERROR(__xludf.DUMMYFUNCTION("""COMPUTED_VALUE"""),"")</f>
        <v/>
      </c>
      <c r="AZ39" s="5" t="str">
        <f>IFERROR(__xludf.DUMMYFUNCTION("""COMPUTED_VALUE"""),"Available")</f>
        <v>Available</v>
      </c>
      <c r="BA39" s="5" t="str">
        <f>IFERROR(__xludf.DUMMYFUNCTION("""COMPUTED_VALUE"""),"Available")</f>
        <v>Available</v>
      </c>
      <c r="BB39" s="5" t="str">
        <f>IFERROR(__xludf.DUMMYFUNCTION("""COMPUTED_VALUE"""),"Available")</f>
        <v>Available</v>
      </c>
      <c r="BC39" s="5" t="str">
        <f>IFERROR(__xludf.DUMMYFUNCTION("""COMPUTED_VALUE"""),"Available")</f>
        <v>Available</v>
      </c>
      <c r="BD39" s="5" t="str">
        <f>IFERROR(__xludf.DUMMYFUNCTION("""COMPUTED_VALUE"""),"")</f>
        <v/>
      </c>
      <c r="BE39" s="5" t="str">
        <f>IFERROR(__xludf.DUMMYFUNCTION("""COMPUTED_VALUE"""),"")</f>
        <v/>
      </c>
      <c r="BF39" s="5" t="str">
        <f>IFERROR(__xludf.DUMMYFUNCTION("""COMPUTED_VALUE"""),"")</f>
        <v/>
      </c>
      <c r="BG39" s="5" t="str">
        <f>IFERROR(__xludf.DUMMYFUNCTION("""COMPUTED_VALUE"""),"")</f>
        <v/>
      </c>
      <c r="BH39" s="5" t="str">
        <f>IFERROR(__xludf.DUMMYFUNCTION("""COMPUTED_VALUE"""),"")</f>
        <v/>
      </c>
      <c r="BI39" s="5" t="str">
        <f>IFERROR(__xludf.DUMMYFUNCTION("""COMPUTED_VALUE"""),"")</f>
        <v/>
      </c>
      <c r="BJ39" s="5" t="str">
        <f>IFERROR(__xludf.DUMMYFUNCTION("""COMPUTED_VALUE"""),"Available")</f>
        <v>Available</v>
      </c>
      <c r="BK39" s="5" t="str">
        <f>IFERROR(__xludf.DUMMYFUNCTION("""COMPUTED_VALUE"""),"Available")</f>
        <v>Available</v>
      </c>
      <c r="BL39" s="5" t="str">
        <f>IFERROR(__xludf.DUMMYFUNCTION("""COMPUTED_VALUE"""),"")</f>
        <v/>
      </c>
      <c r="BM39" s="5" t="str">
        <f>IFERROR(__xludf.DUMMYFUNCTION("""COMPUTED_VALUE"""),"")</f>
        <v/>
      </c>
    </row>
    <row r="40">
      <c r="A40" s="5" t="str">
        <f>IFERROR(__xludf.DUMMYFUNCTION("""COMPUTED_VALUE"""),"Fazi")</f>
        <v>Fazi</v>
      </c>
      <c r="B40" s="5" t="str">
        <f>IFERROR(__xludf.DUMMYFUNCTION("""COMPUTED_VALUE"""),"Jazzy Fruits")</f>
        <v>Jazzy Fruits</v>
      </c>
      <c r="C40" s="5" t="str">
        <f>IFERROR(__xludf.DUMMYFUNCTION("""COMPUTED_VALUE"""),"JazzyFruits")</f>
        <v>JazzyFruits</v>
      </c>
      <c r="D40" s="6">
        <f>IFERROR(__xludf.DUMMYFUNCTION("""COMPUTED_VALUE"""),43899.0)</f>
        <v>43899</v>
      </c>
      <c r="E40" s="5" t="str">
        <f>IFERROR(__xludf.DUMMYFUNCTION("""COMPUTED_VALUE"""),"Slot")</f>
        <v>Slot</v>
      </c>
      <c r="F40" s="5">
        <f>IFERROR(__xludf.DUMMYFUNCTION("""COMPUTED_VALUE"""),23.7)</f>
        <v>23.7</v>
      </c>
      <c r="G40" s="5" t="str">
        <f>IFERROR(__xludf.DUMMYFUNCTION("""COMPUTED_VALUE"""),"5x3")</f>
        <v>5x3</v>
      </c>
      <c r="H40" s="5" t="str">
        <f>IFERROR(__xludf.DUMMYFUNCTION("""COMPUTED_VALUE"""),"5")</f>
        <v>5</v>
      </c>
      <c r="I40" s="5" t="str">
        <f>IFERROR(__xludf.DUMMYFUNCTION("""COMPUTED_VALUE"""),"5")</f>
        <v>5</v>
      </c>
      <c r="J40" s="5" t="str">
        <f>IFERROR(__xludf.DUMMYFUNCTION("""COMPUTED_VALUE"""),"95.656%")</f>
        <v>95.656%</v>
      </c>
      <c r="K40" s="5" t="str">
        <f>IFERROR(__xludf.DUMMYFUNCTION("""COMPUTED_VALUE"""),"Medium")</f>
        <v>Medium</v>
      </c>
      <c r="L40" s="5" t="str">
        <f>IFERROR(__xludf.DUMMYFUNCTION("""COMPUTED_VALUE"""),"12.49%")</f>
        <v>12.49%</v>
      </c>
      <c r="M40" s="5" t="str">
        <f>IFERROR(__xludf.DUMMYFUNCTION("""COMPUTED_VALUE"""),"x1000")</f>
        <v>x1000</v>
      </c>
      <c r="N40" s="5" t="str">
        <f>IFERROR(__xludf.DUMMYFUNCTION("""COMPUTED_VALUE"""),"0.05/30")</f>
        <v>0.05/30</v>
      </c>
      <c r="O40" s="5" t="str">
        <f>IFERROR(__xludf.DUMMYFUNCTION("""COMPUTED_VALUE"""),"Yes")</f>
        <v>Yes</v>
      </c>
      <c r="P40" s="5" t="str">
        <f>IFERROR(__xludf.DUMMYFUNCTION("""COMPUTED_VALUE"""),"Scatter")</f>
        <v>Scatter</v>
      </c>
      <c r="Q40" s="7" t="str">
        <f>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R40" s="5" t="str">
        <f>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S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IFERROR(__xludf.DUMMYFUNCTION("""COMPUTED_VALUE"""),"Yes")</f>
        <v>Yes</v>
      </c>
      <c r="AH40" s="5" t="str">
        <f>IFERROR(__xludf.DUMMYFUNCTION("""COMPUTED_VALUE"""),"Yes")</f>
        <v>Yes</v>
      </c>
      <c r="AI40" s="5" t="str">
        <f>IFERROR(__xludf.DUMMYFUNCTION("""COMPUTED_VALUE"""),"Yes")</f>
        <v>Yes</v>
      </c>
      <c r="AJ40" s="5" t="str">
        <f>IFERROR(__xludf.DUMMYFUNCTION("""COMPUTED_VALUE"""),"Yes")</f>
        <v>Yes</v>
      </c>
      <c r="AK40" s="5" t="str">
        <f>IFERROR(__xludf.DUMMYFUNCTION("""COMPUTED_VALUE"""),"Yes")</f>
        <v>Yes</v>
      </c>
      <c r="AL40" s="5" t="str">
        <f>IFERROR(__xludf.DUMMYFUNCTION("""COMPUTED_VALUE"""),"Yes")</f>
        <v>Yes</v>
      </c>
      <c r="AM40" s="5" t="str">
        <f>IFERROR(__xludf.DUMMYFUNCTION("""COMPUTED_VALUE"""),"Yes")</f>
        <v>Yes</v>
      </c>
      <c r="AN40" s="5" t="str">
        <f>IFERROR(__xludf.DUMMYFUNCTION("""COMPUTED_VALUE"""),"Yes")</f>
        <v>Yes</v>
      </c>
      <c r="AO40" s="5" t="str">
        <f>IFERROR(__xludf.DUMMYFUNCTION("""COMPUTED_VALUE"""),"Yes")</f>
        <v>Yes</v>
      </c>
      <c r="AP40" s="5" t="str">
        <f>IFERROR(__xludf.DUMMYFUNCTION("""COMPUTED_VALUE"""),"Yes")</f>
        <v>Yes</v>
      </c>
      <c r="AQ40" s="5" t="str">
        <f>IFERROR(__xludf.DUMMYFUNCTION("""COMPUTED_VALUE"""),"Yes")</f>
        <v>Yes</v>
      </c>
      <c r="AR40" s="5" t="str">
        <f>IFERROR(__xludf.DUMMYFUNCTION("""COMPUTED_VALUE"""),"Yes")</f>
        <v>Yes</v>
      </c>
      <c r="AS40" s="5" t="str">
        <f>IFERROR(__xludf.DUMMYFUNCTION("""COMPUTED_VALUE"""),"Yes")</f>
        <v>Yes</v>
      </c>
      <c r="AT40" s="5" t="str">
        <f>IFERROR(__xludf.DUMMYFUNCTION("""COMPUTED_VALUE"""),"No")</f>
        <v>No</v>
      </c>
      <c r="AU40" s="5"/>
      <c r="AV40" s="5" t="str">
        <f>IFERROR(__xludf.DUMMYFUNCTION("""COMPUTED_VALUE"""),"")</f>
        <v/>
      </c>
      <c r="AW40" s="5" t="str">
        <f>IFERROR(__xludf.DUMMYFUNCTION("""COMPUTED_VALUE"""),"")</f>
        <v/>
      </c>
      <c r="AX40" s="5" t="str">
        <f>IFERROR(__xludf.DUMMYFUNCTION("""COMPUTED_VALUE"""),"")</f>
        <v/>
      </c>
      <c r="AY40" s="5" t="str">
        <f>IFERROR(__xludf.DUMMYFUNCTION("""COMPUTED_VALUE"""),"")</f>
        <v/>
      </c>
      <c r="AZ40" s="5" t="str">
        <f>IFERROR(__xludf.DUMMYFUNCTION("""COMPUTED_VALUE"""),"Available")</f>
        <v>Available</v>
      </c>
      <c r="BA40" s="5" t="str">
        <f>IFERROR(__xludf.DUMMYFUNCTION("""COMPUTED_VALUE"""),"Available")</f>
        <v>Available</v>
      </c>
      <c r="BB40" s="5" t="str">
        <f>IFERROR(__xludf.DUMMYFUNCTION("""COMPUTED_VALUE"""),"Available")</f>
        <v>Available</v>
      </c>
      <c r="BC40" s="5" t="str">
        <f>IFERROR(__xludf.DUMMYFUNCTION("""COMPUTED_VALUE"""),"")</f>
        <v/>
      </c>
      <c r="BD40" s="5" t="str">
        <f>IFERROR(__xludf.DUMMYFUNCTION("""COMPUTED_VALUE"""),"")</f>
        <v/>
      </c>
      <c r="BE40" s="5" t="str">
        <f>IFERROR(__xludf.DUMMYFUNCTION("""COMPUTED_VALUE"""),"")</f>
        <v/>
      </c>
      <c r="BF40" s="5" t="str">
        <f>IFERROR(__xludf.DUMMYFUNCTION("""COMPUTED_VALUE"""),"")</f>
        <v/>
      </c>
      <c r="BG40" s="5" t="str">
        <f>IFERROR(__xludf.DUMMYFUNCTION("""COMPUTED_VALUE"""),"")</f>
        <v/>
      </c>
      <c r="BH40" s="5" t="str">
        <f>IFERROR(__xludf.DUMMYFUNCTION("""COMPUTED_VALUE"""),"")</f>
        <v/>
      </c>
      <c r="BI40" s="5" t="str">
        <f>IFERROR(__xludf.DUMMYFUNCTION("""COMPUTED_VALUE"""),"")</f>
        <v/>
      </c>
      <c r="BJ40" s="5" t="str">
        <f>IFERROR(__xludf.DUMMYFUNCTION("""COMPUTED_VALUE"""),"")</f>
        <v/>
      </c>
      <c r="BK40" s="5" t="str">
        <f>IFERROR(__xludf.DUMMYFUNCTION("""COMPUTED_VALUE"""),"Available")</f>
        <v>Available</v>
      </c>
      <c r="BL40" s="5" t="str">
        <f>IFERROR(__xludf.DUMMYFUNCTION("""COMPUTED_VALUE"""),"")</f>
        <v/>
      </c>
      <c r="BM40" s="5" t="str">
        <f>IFERROR(__xludf.DUMMYFUNCTION("""COMPUTED_VALUE"""),"")</f>
        <v/>
      </c>
    </row>
    <row r="41">
      <c r="A41" s="5" t="str">
        <f>IFERROR(__xludf.DUMMYFUNCTION("""COMPUTED_VALUE"""),"Fazi")</f>
        <v>Fazi</v>
      </c>
      <c r="B41" s="5" t="str">
        <f>IFERROR(__xludf.DUMMYFUNCTION("""COMPUTED_VALUE"""),"Crystal Hot 80")</f>
        <v>Crystal Hot 80</v>
      </c>
      <c r="C41" s="5" t="str">
        <f>IFERROR(__xludf.DUMMYFUNCTION("""COMPUTED_VALUE"""),"CrystalHot80")</f>
        <v>CrystalHot80</v>
      </c>
      <c r="D41" s="6">
        <f>IFERROR(__xludf.DUMMYFUNCTION("""COMPUTED_VALUE"""),43948.0)</f>
        <v>43948</v>
      </c>
      <c r="E41" s="5" t="str">
        <f>IFERROR(__xludf.DUMMYFUNCTION("""COMPUTED_VALUE"""),"Slot")</f>
        <v>Slot</v>
      </c>
      <c r="F41" s="5">
        <f>IFERROR(__xludf.DUMMYFUNCTION("""COMPUTED_VALUE"""),29.5)</f>
        <v>29.5</v>
      </c>
      <c r="G41" s="5" t="str">
        <f>IFERROR(__xludf.DUMMYFUNCTION("""COMPUTED_VALUE"""),"5x4")</f>
        <v>5x4</v>
      </c>
      <c r="H41" s="5" t="str">
        <f>IFERROR(__xludf.DUMMYFUNCTION("""COMPUTED_VALUE"""),"80")</f>
        <v>80</v>
      </c>
      <c r="I41" s="5" t="str">
        <f>IFERROR(__xludf.DUMMYFUNCTION("""COMPUTED_VALUE"""),"80")</f>
        <v>80</v>
      </c>
      <c r="J41" s="5" t="str">
        <f>IFERROR(__xludf.DUMMYFUNCTION("""COMPUTED_VALUE"""),"96.584%")</f>
        <v>96.584%</v>
      </c>
      <c r="K41" s="5" t="str">
        <f>IFERROR(__xludf.DUMMYFUNCTION("""COMPUTED_VALUE"""),"Low")</f>
        <v>Low</v>
      </c>
      <c r="L41" s="5" t="str">
        <f>IFERROR(__xludf.DUMMYFUNCTION("""COMPUTED_VALUE"""),"20.81%")</f>
        <v>20.81%</v>
      </c>
      <c r="M41" s="5" t="str">
        <f>IFERROR(__xludf.DUMMYFUNCTION("""COMPUTED_VALUE"""),"x1000")</f>
        <v>x1000</v>
      </c>
      <c r="N41" s="5" t="str">
        <f>IFERROR(__xludf.DUMMYFUNCTION("""COMPUTED_VALUE"""),"0.8/80")</f>
        <v>0.8/80</v>
      </c>
      <c r="O41" s="5" t="str">
        <f>IFERROR(__xludf.DUMMYFUNCTION("""COMPUTED_VALUE"""),"Yes")</f>
        <v>Yes</v>
      </c>
      <c r="P41" s="5" t="str">
        <f>IFERROR(__xludf.DUMMYFUNCTION("""COMPUTED_VALUE"""),"Scatter, Wild Symbol")</f>
        <v>Scatter, Wild Symbol</v>
      </c>
      <c r="Q41" s="7" t="str">
        <f>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R41" s="5" t="str">
        <f>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S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IFERROR(__xludf.DUMMYFUNCTION("""COMPUTED_VALUE"""),"Yes")</f>
        <v>Yes</v>
      </c>
      <c r="AH41" s="5" t="str">
        <f>IFERROR(__xludf.DUMMYFUNCTION("""COMPUTED_VALUE"""),"Yes")</f>
        <v>Yes</v>
      </c>
      <c r="AI41" s="5" t="str">
        <f>IFERROR(__xludf.DUMMYFUNCTION("""COMPUTED_VALUE"""),"Yes")</f>
        <v>Yes</v>
      </c>
      <c r="AJ41" s="5" t="str">
        <f>IFERROR(__xludf.DUMMYFUNCTION("""COMPUTED_VALUE"""),"Yes")</f>
        <v>Yes</v>
      </c>
      <c r="AK41" s="5" t="str">
        <f>IFERROR(__xludf.DUMMYFUNCTION("""COMPUTED_VALUE"""),"Yes")</f>
        <v>Yes</v>
      </c>
      <c r="AL41" s="5" t="str">
        <f>IFERROR(__xludf.DUMMYFUNCTION("""COMPUTED_VALUE"""),"Yes")</f>
        <v>Yes</v>
      </c>
      <c r="AM41" s="5" t="str">
        <f>IFERROR(__xludf.DUMMYFUNCTION("""COMPUTED_VALUE"""),"Yes")</f>
        <v>Yes</v>
      </c>
      <c r="AN41" s="5" t="str">
        <f>IFERROR(__xludf.DUMMYFUNCTION("""COMPUTED_VALUE"""),"Yes")</f>
        <v>Yes</v>
      </c>
      <c r="AO41" s="5" t="str">
        <f>IFERROR(__xludf.DUMMYFUNCTION("""COMPUTED_VALUE"""),"Yes")</f>
        <v>Yes</v>
      </c>
      <c r="AP41" s="5" t="str">
        <f>IFERROR(__xludf.DUMMYFUNCTION("""COMPUTED_VALUE"""),"Yes")</f>
        <v>Yes</v>
      </c>
      <c r="AQ41" s="5" t="str">
        <f>IFERROR(__xludf.DUMMYFUNCTION("""COMPUTED_VALUE"""),"Yes")</f>
        <v>Yes</v>
      </c>
      <c r="AR41" s="5" t="str">
        <f>IFERROR(__xludf.DUMMYFUNCTION("""COMPUTED_VALUE"""),"Yes")</f>
        <v>Yes</v>
      </c>
      <c r="AS41" s="5" t="str">
        <f>IFERROR(__xludf.DUMMYFUNCTION("""COMPUTED_VALUE"""),"Yes")</f>
        <v>Yes</v>
      </c>
      <c r="AT41" s="5" t="str">
        <f>IFERROR(__xludf.DUMMYFUNCTION("""COMPUTED_VALUE"""),"No")</f>
        <v>No</v>
      </c>
      <c r="AU41" s="5"/>
      <c r="AV41" s="5" t="str">
        <f>IFERROR(__xludf.DUMMYFUNCTION("""COMPUTED_VALUE"""),"Available")</f>
        <v>Available</v>
      </c>
      <c r="AW41" s="5" t="str">
        <f>IFERROR(__xludf.DUMMYFUNCTION("""COMPUTED_VALUE"""),"Available")</f>
        <v>Available</v>
      </c>
      <c r="AX41" s="5" t="str">
        <f>IFERROR(__xludf.DUMMYFUNCTION("""COMPUTED_VALUE"""),"Available")</f>
        <v>Available</v>
      </c>
      <c r="AY41" s="5" t="str">
        <f>IFERROR(__xludf.DUMMYFUNCTION("""COMPUTED_VALUE"""),"Available")</f>
        <v>Available</v>
      </c>
      <c r="AZ41" s="5" t="str">
        <f>IFERROR(__xludf.DUMMYFUNCTION("""COMPUTED_VALUE"""),"Available")</f>
        <v>Available</v>
      </c>
      <c r="BA41" s="5" t="str">
        <f>IFERROR(__xludf.DUMMYFUNCTION("""COMPUTED_VALUE"""),"")</f>
        <v/>
      </c>
      <c r="BB41" s="5" t="str">
        <f>IFERROR(__xludf.DUMMYFUNCTION("""COMPUTED_VALUE"""),"Available")</f>
        <v>Available</v>
      </c>
      <c r="BC41" s="5" t="str">
        <f>IFERROR(__xludf.DUMMYFUNCTION("""COMPUTED_VALUE"""),"Available")</f>
        <v>Available</v>
      </c>
      <c r="BD41" s="5" t="str">
        <f>IFERROR(__xludf.DUMMYFUNCTION("""COMPUTED_VALUE"""),"")</f>
        <v/>
      </c>
      <c r="BE41" s="5" t="str">
        <f>IFERROR(__xludf.DUMMYFUNCTION("""COMPUTED_VALUE"""),"")</f>
        <v/>
      </c>
      <c r="BF41" s="5" t="str">
        <f>IFERROR(__xludf.DUMMYFUNCTION("""COMPUTED_VALUE"""),"Available")</f>
        <v>Available</v>
      </c>
      <c r="BG41" s="5" t="str">
        <f>IFERROR(__xludf.DUMMYFUNCTION("""COMPUTED_VALUE"""),"Available")</f>
        <v>Available</v>
      </c>
      <c r="BH41" s="5" t="str">
        <f>IFERROR(__xludf.DUMMYFUNCTION("""COMPUTED_VALUE"""),"")</f>
        <v/>
      </c>
      <c r="BI41" s="5" t="str">
        <f>IFERROR(__xludf.DUMMYFUNCTION("""COMPUTED_VALUE"""),"")</f>
        <v/>
      </c>
      <c r="BJ41" s="5" t="str">
        <f>IFERROR(__xludf.DUMMYFUNCTION("""COMPUTED_VALUE"""),"Available")</f>
        <v>Available</v>
      </c>
      <c r="BK41" s="5" t="str">
        <f>IFERROR(__xludf.DUMMYFUNCTION("""COMPUTED_VALUE"""),"Available")</f>
        <v>Available</v>
      </c>
      <c r="BL41" s="5" t="str">
        <f>IFERROR(__xludf.DUMMYFUNCTION("""COMPUTED_VALUE"""),"")</f>
        <v/>
      </c>
      <c r="BM41" s="5" t="str">
        <f>IFERROR(__xludf.DUMMYFUNCTION("""COMPUTED_VALUE"""),"Available")</f>
        <v>Available</v>
      </c>
    </row>
    <row r="42">
      <c r="A42" s="5" t="str">
        <f>IFERROR(__xludf.DUMMYFUNCTION("""COMPUTED_VALUE"""),"Fazi")</f>
        <v>Fazi</v>
      </c>
      <c r="B42" s="5" t="str">
        <f>IFERROR(__xludf.DUMMYFUNCTION("""COMPUTED_VALUE"""),"Crystal Hot 40 Deluxe")</f>
        <v>Crystal Hot 40 Deluxe</v>
      </c>
      <c r="C42" s="5" t="str">
        <f>IFERROR(__xludf.DUMMYFUNCTION("""COMPUTED_VALUE"""),"CrystalHot40Deluxe")</f>
        <v>CrystalHot40Deluxe</v>
      </c>
      <c r="D42" s="6">
        <f>IFERROR(__xludf.DUMMYFUNCTION("""COMPUTED_VALUE"""),43976.0)</f>
        <v>43976</v>
      </c>
      <c r="E42" s="5" t="str">
        <f>IFERROR(__xludf.DUMMYFUNCTION("""COMPUTED_VALUE"""),"Slot")</f>
        <v>Slot</v>
      </c>
      <c r="F42" s="5">
        <f>IFERROR(__xludf.DUMMYFUNCTION("""COMPUTED_VALUE"""),28.8)</f>
        <v>28.8</v>
      </c>
      <c r="G42" s="5" t="str">
        <f>IFERROR(__xludf.DUMMYFUNCTION("""COMPUTED_VALUE"""),"5x4")</f>
        <v>5x4</v>
      </c>
      <c r="H42" s="5" t="str">
        <f>IFERROR(__xludf.DUMMYFUNCTION("""COMPUTED_VALUE"""),"40")</f>
        <v>40</v>
      </c>
      <c r="I42" s="5" t="str">
        <f>IFERROR(__xludf.DUMMYFUNCTION("""COMPUTED_VALUE"""),"40")</f>
        <v>40</v>
      </c>
      <c r="J42" s="5" t="str">
        <f>IFERROR(__xludf.DUMMYFUNCTION("""COMPUTED_VALUE"""),"96.433%")</f>
        <v>96.433%</v>
      </c>
      <c r="K42" s="5" t="str">
        <f>IFERROR(__xludf.DUMMYFUNCTION("""COMPUTED_VALUE"""),"Low")</f>
        <v>Low</v>
      </c>
      <c r="L42" s="5" t="str">
        <f>IFERROR(__xludf.DUMMYFUNCTION("""COMPUTED_VALUE"""),"19.94%")</f>
        <v>19.94%</v>
      </c>
      <c r="M42" s="5" t="str">
        <f>IFERROR(__xludf.DUMMYFUNCTION("""COMPUTED_VALUE"""),"x1000")</f>
        <v>x1000</v>
      </c>
      <c r="N42" s="5" t="str">
        <f>IFERROR(__xludf.DUMMYFUNCTION("""COMPUTED_VALUE"""),"0.4/40")</f>
        <v>0.4/40</v>
      </c>
      <c r="O42" s="5" t="str">
        <f>IFERROR(__xludf.DUMMYFUNCTION("""COMPUTED_VALUE"""),"Yes")</f>
        <v>Yes</v>
      </c>
      <c r="P42" s="5" t="str">
        <f>IFERROR(__xludf.DUMMYFUNCTION("""COMPUTED_VALUE"""),"Scatter, Wild Symbol")</f>
        <v>Scatter, Wild Symbol</v>
      </c>
      <c r="Q42"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R42" s="5" t="str">
        <f>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S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IFERROR(__xludf.DUMMYFUNCTION("""COMPUTED_VALUE"""),"Yes")</f>
        <v>Yes</v>
      </c>
      <c r="AJ42" s="5" t="str">
        <f>IFERROR(__xludf.DUMMYFUNCTION("""COMPUTED_VALUE"""),"Yes")</f>
        <v>Yes</v>
      </c>
      <c r="AK42" s="5" t="str">
        <f>IFERROR(__xludf.DUMMYFUNCTION("""COMPUTED_VALUE"""),"Yes")</f>
        <v>Yes</v>
      </c>
      <c r="AL42" s="5" t="str">
        <f>IFERROR(__xludf.DUMMYFUNCTION("""COMPUTED_VALUE"""),"Yes")</f>
        <v>Yes</v>
      </c>
      <c r="AM42" s="5" t="str">
        <f>IFERROR(__xludf.DUMMYFUNCTION("""COMPUTED_VALUE"""),"Yes")</f>
        <v>Yes</v>
      </c>
      <c r="AN42" s="5" t="str">
        <f>IFERROR(__xludf.DUMMYFUNCTION("""COMPUTED_VALUE"""),"Yes")</f>
        <v>Yes</v>
      </c>
      <c r="AO42" s="5" t="str">
        <f>IFERROR(__xludf.DUMMYFUNCTION("""COMPUTED_VALUE"""),"Yes")</f>
        <v>Yes</v>
      </c>
      <c r="AP42" s="5" t="str">
        <f>IFERROR(__xludf.DUMMYFUNCTION("""COMPUTED_VALUE"""),"Yes")</f>
        <v>Yes</v>
      </c>
      <c r="AQ42" s="5" t="str">
        <f>IFERROR(__xludf.DUMMYFUNCTION("""COMPUTED_VALUE"""),"Yes")</f>
        <v>Yes</v>
      </c>
      <c r="AR42" s="5" t="str">
        <f>IFERROR(__xludf.DUMMYFUNCTION("""COMPUTED_VALUE"""),"Yes")</f>
        <v>Yes</v>
      </c>
      <c r="AS42" s="5" t="str">
        <f>IFERROR(__xludf.DUMMYFUNCTION("""COMPUTED_VALUE"""),"Yes")</f>
        <v>Yes</v>
      </c>
      <c r="AT42" s="5" t="str">
        <f>IFERROR(__xludf.DUMMYFUNCTION("""COMPUTED_VALUE"""),"No")</f>
        <v>No</v>
      </c>
      <c r="AU42" s="5"/>
      <c r="AV42" s="5" t="str">
        <f>IFERROR(__xludf.DUMMYFUNCTION("""COMPUTED_VALUE"""),"Available")</f>
        <v>Available</v>
      </c>
      <c r="AW42" s="5" t="str">
        <f>IFERROR(__xludf.DUMMYFUNCTION("""COMPUTED_VALUE"""),"")</f>
        <v/>
      </c>
      <c r="AX42" s="5" t="str">
        <f>IFERROR(__xludf.DUMMYFUNCTION("""COMPUTED_VALUE"""),"Available")</f>
        <v>Available</v>
      </c>
      <c r="AY42" s="5" t="str">
        <f>IFERROR(__xludf.DUMMYFUNCTION("""COMPUTED_VALUE"""),"")</f>
        <v/>
      </c>
      <c r="AZ42" s="5" t="str">
        <f>IFERROR(__xludf.DUMMYFUNCTION("""COMPUTED_VALUE"""),"Available")</f>
        <v>Available</v>
      </c>
      <c r="BA42" s="5" t="str">
        <f>IFERROR(__xludf.DUMMYFUNCTION("""COMPUTED_VALUE"""),"Available")</f>
        <v>Available</v>
      </c>
      <c r="BB42" s="5" t="str">
        <f>IFERROR(__xludf.DUMMYFUNCTION("""COMPUTED_VALUE"""),"Available")</f>
        <v>Available</v>
      </c>
      <c r="BC42" s="5" t="str">
        <f>IFERROR(__xludf.DUMMYFUNCTION("""COMPUTED_VALUE"""),"Available")</f>
        <v>Available</v>
      </c>
      <c r="BD42" s="5" t="str">
        <f>IFERROR(__xludf.DUMMYFUNCTION("""COMPUTED_VALUE"""),"")</f>
        <v/>
      </c>
      <c r="BE42" s="5" t="str">
        <f>IFERROR(__xludf.DUMMYFUNCTION("""COMPUTED_VALUE"""),"")</f>
        <v/>
      </c>
      <c r="BF42" s="5" t="str">
        <f>IFERROR(__xludf.DUMMYFUNCTION("""COMPUTED_VALUE"""),"")</f>
        <v/>
      </c>
      <c r="BG42" s="5" t="str">
        <f>IFERROR(__xludf.DUMMYFUNCTION("""COMPUTED_VALUE"""),"Available")</f>
        <v>Available</v>
      </c>
      <c r="BH42" s="5" t="str">
        <f>IFERROR(__xludf.DUMMYFUNCTION("""COMPUTED_VALUE"""),"")</f>
        <v/>
      </c>
      <c r="BI42" s="5" t="str">
        <f>IFERROR(__xludf.DUMMYFUNCTION("""COMPUTED_VALUE"""),"")</f>
        <v/>
      </c>
      <c r="BJ42" s="5" t="str">
        <f>IFERROR(__xludf.DUMMYFUNCTION("""COMPUTED_VALUE"""),"Available")</f>
        <v>Available</v>
      </c>
      <c r="BK42" s="5" t="str">
        <f>IFERROR(__xludf.DUMMYFUNCTION("""COMPUTED_VALUE"""),"Available")</f>
        <v>Available</v>
      </c>
      <c r="BL42" s="5" t="str">
        <f>IFERROR(__xludf.DUMMYFUNCTION("""COMPUTED_VALUE"""),"")</f>
        <v/>
      </c>
      <c r="BM42" s="5" t="str">
        <f>IFERROR(__xludf.DUMMYFUNCTION("""COMPUTED_VALUE"""),"")</f>
        <v/>
      </c>
    </row>
    <row r="43">
      <c r="A43" s="5" t="str">
        <f>IFERROR(__xludf.DUMMYFUNCTION("""COMPUTED_VALUE"""),"Fazi")</f>
        <v>Fazi</v>
      </c>
      <c r="B43" s="5" t="str">
        <f>IFERROR(__xludf.DUMMYFUNCTION("""COMPUTED_VALUE"""),"Wild Hot 40")</f>
        <v>Wild Hot 40</v>
      </c>
      <c r="C43" s="5" t="str">
        <f>IFERROR(__xludf.DUMMYFUNCTION("""COMPUTED_VALUE"""),"WildHot40")</f>
        <v>WildHot40</v>
      </c>
      <c r="D43" s="6">
        <f>IFERROR(__xludf.DUMMYFUNCTION("""COMPUTED_VALUE"""),43872.0)</f>
        <v>43872</v>
      </c>
      <c r="E43" s="5" t="str">
        <f>IFERROR(__xludf.DUMMYFUNCTION("""COMPUTED_VALUE"""),"Slot")</f>
        <v>Slot</v>
      </c>
      <c r="F43" s="5">
        <f>IFERROR(__xludf.DUMMYFUNCTION("""COMPUTED_VALUE"""),27.7)</f>
        <v>27.7</v>
      </c>
      <c r="G43" s="5" t="str">
        <f>IFERROR(__xludf.DUMMYFUNCTION("""COMPUTED_VALUE"""),"5x4")</f>
        <v>5x4</v>
      </c>
      <c r="H43" s="5" t="str">
        <f>IFERROR(__xludf.DUMMYFUNCTION("""COMPUTED_VALUE"""),"40")</f>
        <v>40</v>
      </c>
      <c r="I43" s="5" t="str">
        <f>IFERROR(__xludf.DUMMYFUNCTION("""COMPUTED_VALUE"""),"40")</f>
        <v>40</v>
      </c>
      <c r="J43" s="5" t="str">
        <f>IFERROR(__xludf.DUMMYFUNCTION("""COMPUTED_VALUE"""),"96.584%")</f>
        <v>96.584%</v>
      </c>
      <c r="K43" s="5" t="str">
        <f>IFERROR(__xludf.DUMMYFUNCTION("""COMPUTED_VALUE"""),"Low")</f>
        <v>Low</v>
      </c>
      <c r="L43" s="5" t="str">
        <f>IFERROR(__xludf.DUMMYFUNCTION("""COMPUTED_VALUE"""),"16.73%")</f>
        <v>16.73%</v>
      </c>
      <c r="M43" s="5" t="str">
        <f>IFERROR(__xludf.DUMMYFUNCTION("""COMPUTED_VALUE"""),"x1000")</f>
        <v>x1000</v>
      </c>
      <c r="N43" s="5" t="str">
        <f>IFERROR(__xludf.DUMMYFUNCTION("""COMPUTED_VALUE"""),"0.40/60")</f>
        <v>0.40/60</v>
      </c>
      <c r="O43" s="5" t="str">
        <f>IFERROR(__xludf.DUMMYFUNCTION("""COMPUTED_VALUE"""),"Yes")</f>
        <v>Yes</v>
      </c>
      <c r="P43" s="5" t="str">
        <f>IFERROR(__xludf.DUMMYFUNCTION("""COMPUTED_VALUE"""),"Wild Symbol, Scatter")</f>
        <v>Wild Symbol, Scatter</v>
      </c>
      <c r="Q43" s="7" t="str">
        <f>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R43" s="5" t="str">
        <f>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S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IFERROR(__xludf.DUMMYFUNCTION("""COMPUTED_VALUE"""),"Yes")</f>
        <v>Yes</v>
      </c>
      <c r="AJ43" s="5" t="str">
        <f>IFERROR(__xludf.DUMMYFUNCTION("""COMPUTED_VALUE"""),"Yes")</f>
        <v>Yes</v>
      </c>
      <c r="AK43" s="5" t="str">
        <f>IFERROR(__xludf.DUMMYFUNCTION("""COMPUTED_VALUE"""),"Yes")</f>
        <v>Yes</v>
      </c>
      <c r="AL43" s="5" t="str">
        <f>IFERROR(__xludf.DUMMYFUNCTION("""COMPUTED_VALUE"""),"Yes")</f>
        <v>Yes</v>
      </c>
      <c r="AM43" s="5" t="str">
        <f>IFERROR(__xludf.DUMMYFUNCTION("""COMPUTED_VALUE"""),"Yes")</f>
        <v>Yes</v>
      </c>
      <c r="AN43" s="5" t="str">
        <f>IFERROR(__xludf.DUMMYFUNCTION("""COMPUTED_VALUE"""),"Yes")</f>
        <v>Yes</v>
      </c>
      <c r="AO43" s="5" t="str">
        <f>IFERROR(__xludf.DUMMYFUNCTION("""COMPUTED_VALUE"""),"Yes")</f>
        <v>Yes</v>
      </c>
      <c r="AP43" s="5" t="str">
        <f>IFERROR(__xludf.DUMMYFUNCTION("""COMPUTED_VALUE"""),"Yes")</f>
        <v>Yes</v>
      </c>
      <c r="AQ43" s="5" t="str">
        <f>IFERROR(__xludf.DUMMYFUNCTION("""COMPUTED_VALUE"""),"Yes")</f>
        <v>Yes</v>
      </c>
      <c r="AR43" s="5" t="str">
        <f>IFERROR(__xludf.DUMMYFUNCTION("""COMPUTED_VALUE"""),"Yes")</f>
        <v>Yes</v>
      </c>
      <c r="AS43" s="5" t="str">
        <f>IFERROR(__xludf.DUMMYFUNCTION("""COMPUTED_VALUE"""),"Yes")</f>
        <v>Yes</v>
      </c>
      <c r="AT43" s="5" t="str">
        <f>IFERROR(__xludf.DUMMYFUNCTION("""COMPUTED_VALUE"""),"No")</f>
        <v>No</v>
      </c>
      <c r="AU43" s="5"/>
      <c r="AV43" s="5" t="str">
        <f>IFERROR(__xludf.DUMMYFUNCTION("""COMPUTED_VALUE"""),"Available")</f>
        <v>Available</v>
      </c>
      <c r="AW43" s="5" t="str">
        <f>IFERROR(__xludf.DUMMYFUNCTION("""COMPUTED_VALUE"""),"Available")</f>
        <v>Available</v>
      </c>
      <c r="AX43" s="5" t="str">
        <f>IFERROR(__xludf.DUMMYFUNCTION("""COMPUTED_VALUE"""),"Available")</f>
        <v>Available</v>
      </c>
      <c r="AY43" s="5" t="str">
        <f>IFERROR(__xludf.DUMMYFUNCTION("""COMPUTED_VALUE"""),"Available")</f>
        <v>Available</v>
      </c>
      <c r="AZ43" s="5" t="str">
        <f>IFERROR(__xludf.DUMMYFUNCTION("""COMPUTED_VALUE"""),"Available")</f>
        <v>Available</v>
      </c>
      <c r="BA43" s="5" t="str">
        <f>IFERROR(__xludf.DUMMYFUNCTION("""COMPUTED_VALUE"""),"Available")</f>
        <v>Available</v>
      </c>
      <c r="BB43" s="5" t="str">
        <f>IFERROR(__xludf.DUMMYFUNCTION("""COMPUTED_VALUE"""),"Available")</f>
        <v>Available</v>
      </c>
      <c r="BC43" s="5" t="str">
        <f>IFERROR(__xludf.DUMMYFUNCTION("""COMPUTED_VALUE"""),"Available")</f>
        <v>Available</v>
      </c>
      <c r="BD43" s="5" t="str">
        <f>IFERROR(__xludf.DUMMYFUNCTION("""COMPUTED_VALUE"""),"Available")</f>
        <v>Available</v>
      </c>
      <c r="BE43" s="5" t="str">
        <f>IFERROR(__xludf.DUMMYFUNCTION("""COMPUTED_VALUE"""),"Available")</f>
        <v>Available</v>
      </c>
      <c r="BF43" s="5" t="str">
        <f>IFERROR(__xludf.DUMMYFUNCTION("""COMPUTED_VALUE"""),"Available")</f>
        <v>Available</v>
      </c>
      <c r="BG43" s="5" t="str">
        <f>IFERROR(__xludf.DUMMYFUNCTION("""COMPUTED_VALUE"""),"Available")</f>
        <v>Available</v>
      </c>
      <c r="BH43" s="5" t="str">
        <f>IFERROR(__xludf.DUMMYFUNCTION("""COMPUTED_VALUE"""),"Available")</f>
        <v>Available</v>
      </c>
      <c r="BI43" s="5" t="str">
        <f>IFERROR(__xludf.DUMMYFUNCTION("""COMPUTED_VALUE"""),"Available")</f>
        <v>Available</v>
      </c>
      <c r="BJ43" s="5" t="str">
        <f>IFERROR(__xludf.DUMMYFUNCTION("""COMPUTED_VALUE"""),"Available")</f>
        <v>Available</v>
      </c>
      <c r="BK43" s="5" t="str">
        <f>IFERROR(__xludf.DUMMYFUNCTION("""COMPUTED_VALUE"""),"Available")</f>
        <v>Available</v>
      </c>
      <c r="BL43" s="5" t="str">
        <f>IFERROR(__xludf.DUMMYFUNCTION("""COMPUTED_VALUE"""),"Available")</f>
        <v>Available</v>
      </c>
      <c r="BM43" s="5" t="str">
        <f>IFERROR(__xludf.DUMMYFUNCTION("""COMPUTED_VALUE"""),"Available")</f>
        <v>Available</v>
      </c>
    </row>
    <row r="44">
      <c r="A44" s="5" t="str">
        <f>IFERROR(__xludf.DUMMYFUNCTION("""COMPUTED_VALUE"""),"Fazi")</f>
        <v>Fazi</v>
      </c>
      <c r="B44" s="5" t="str">
        <f>IFERROR(__xludf.DUMMYFUNCTION("""COMPUTED_VALUE"""),"Dolphin's Shine")</f>
        <v>Dolphin's Shine</v>
      </c>
      <c r="C44" s="5" t="str">
        <f>IFERROR(__xludf.DUMMYFUNCTION("""COMPUTED_VALUE"""),"DolphinsShine")</f>
        <v>DolphinsShine</v>
      </c>
      <c r="D44" s="6">
        <f>IFERROR(__xludf.DUMMYFUNCTION("""COMPUTED_VALUE"""),44221.0)</f>
        <v>44221</v>
      </c>
      <c r="E44" s="5" t="str">
        <f>IFERROR(__xludf.DUMMYFUNCTION("""COMPUTED_VALUE"""),"Slot")</f>
        <v>Slot</v>
      </c>
      <c r="F44" s="5">
        <f>IFERROR(__xludf.DUMMYFUNCTION("""COMPUTED_VALUE"""),27.9)</f>
        <v>27.9</v>
      </c>
      <c r="G44" s="5" t="str">
        <f>IFERROR(__xludf.DUMMYFUNCTION("""COMPUTED_VALUE"""),"5x3")</f>
        <v>5x3</v>
      </c>
      <c r="H44" s="5" t="str">
        <f>IFERROR(__xludf.DUMMYFUNCTION("""COMPUTED_VALUE"""),"9")</f>
        <v>9</v>
      </c>
      <c r="I44" s="5" t="str">
        <f>IFERROR(__xludf.DUMMYFUNCTION("""COMPUTED_VALUE"""),"9")</f>
        <v>9</v>
      </c>
      <c r="J44" s="5" t="str">
        <f>IFERROR(__xludf.DUMMYFUNCTION("""COMPUTED_VALUE"""),"96.17%")</f>
        <v>96.17%</v>
      </c>
      <c r="K44" s="5" t="str">
        <f>IFERROR(__xludf.DUMMYFUNCTION("""COMPUTED_VALUE"""),"High")</f>
        <v>High</v>
      </c>
      <c r="L44" s="5" t="str">
        <f>IFERROR(__xludf.DUMMYFUNCTION("""COMPUTED_VALUE"""),"24.7%")</f>
        <v>24.7%</v>
      </c>
      <c r="M44" s="5" t="str">
        <f>IFERROR(__xludf.DUMMYFUNCTION("""COMPUTED_VALUE"""),"x4319")</f>
        <v>x4319</v>
      </c>
      <c r="N44" s="5" t="str">
        <f>IFERROR(__xludf.DUMMYFUNCTION("""COMPUTED_VALUE"""),"0.09/36")</f>
        <v>0.09/36</v>
      </c>
      <c r="O44" s="5" t="str">
        <f>IFERROR(__xludf.DUMMYFUNCTION("""COMPUTED_VALUE"""),"Yes")</f>
        <v>Yes</v>
      </c>
      <c r="P44" s="5" t="str">
        <f>IFERROR(__xludf.DUMMYFUNCTION("""COMPUTED_VALUE"""),"Bonus Game with Multiplier, Wild Multiplier, Scatter")</f>
        <v>Bonus Game with Multiplier, Wild Multiplier, Scatter</v>
      </c>
      <c r="Q44" s="7" t="str">
        <f>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R44" s="5" t="str">
        <f>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S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t="str">
        <f>IFERROR(__xludf.DUMMYFUNCTION("""COMPUTED_VALUE"""),"Yes")</f>
        <v>Yes</v>
      </c>
      <c r="AJ44" s="5" t="str">
        <f>IFERROR(__xludf.DUMMYFUNCTION("""COMPUTED_VALUE"""),"Yes")</f>
        <v>Yes</v>
      </c>
      <c r="AK44" s="5" t="str">
        <f>IFERROR(__xludf.DUMMYFUNCTION("""COMPUTED_VALUE"""),"Yes")</f>
        <v>Yes</v>
      </c>
      <c r="AL44" s="5" t="str">
        <f>IFERROR(__xludf.DUMMYFUNCTION("""COMPUTED_VALUE"""),"Yes")</f>
        <v>Yes</v>
      </c>
      <c r="AM44" s="5" t="str">
        <f>IFERROR(__xludf.DUMMYFUNCTION("""COMPUTED_VALUE"""),"Yes")</f>
        <v>Yes</v>
      </c>
      <c r="AN44" s="5" t="str">
        <f>IFERROR(__xludf.DUMMYFUNCTION("""COMPUTED_VALUE"""),"Yes")</f>
        <v>Yes</v>
      </c>
      <c r="AO44" s="5" t="str">
        <f>IFERROR(__xludf.DUMMYFUNCTION("""COMPUTED_VALUE"""),"Yes")</f>
        <v>Yes</v>
      </c>
      <c r="AP44" s="5" t="str">
        <f>IFERROR(__xludf.DUMMYFUNCTION("""COMPUTED_VALUE"""),"Yes")</f>
        <v>Yes</v>
      </c>
      <c r="AQ44" s="5" t="str">
        <f>IFERROR(__xludf.DUMMYFUNCTION("""COMPUTED_VALUE"""),"Yes")</f>
        <v>Yes</v>
      </c>
      <c r="AR44" s="5" t="str">
        <f>IFERROR(__xludf.DUMMYFUNCTION("""COMPUTED_VALUE"""),"Yes")</f>
        <v>Yes</v>
      </c>
      <c r="AS44" s="5" t="str">
        <f>IFERROR(__xludf.DUMMYFUNCTION("""COMPUTED_VALUE"""),"Yes")</f>
        <v>Yes</v>
      </c>
      <c r="AT44" s="5" t="str">
        <f>IFERROR(__xludf.DUMMYFUNCTION("""COMPUTED_VALUE"""),"No")</f>
        <v>No</v>
      </c>
      <c r="AU44" s="5"/>
      <c r="AV44" s="5" t="str">
        <f>IFERROR(__xludf.DUMMYFUNCTION("""COMPUTED_VALUE"""),"")</f>
        <v/>
      </c>
      <c r="AW44" s="5" t="str">
        <f>IFERROR(__xludf.DUMMYFUNCTION("""COMPUTED_VALUE"""),"")</f>
        <v/>
      </c>
      <c r="AX44" s="5" t="str">
        <f>IFERROR(__xludf.DUMMYFUNCTION("""COMPUTED_VALUE"""),"Available")</f>
        <v>Available</v>
      </c>
      <c r="AY44" s="5" t="str">
        <f>IFERROR(__xludf.DUMMYFUNCTION("""COMPUTED_VALUE"""),"")</f>
        <v/>
      </c>
      <c r="AZ44" s="5" t="str">
        <f>IFERROR(__xludf.DUMMYFUNCTION("""COMPUTED_VALUE"""),"Available")</f>
        <v>Available</v>
      </c>
      <c r="BA44" s="5" t="str">
        <f>IFERROR(__xludf.DUMMYFUNCTION("""COMPUTED_VALUE"""),"Available")</f>
        <v>Available</v>
      </c>
      <c r="BB44" s="5" t="str">
        <f>IFERROR(__xludf.DUMMYFUNCTION("""COMPUTED_VALUE"""),"Available")</f>
        <v>Available</v>
      </c>
      <c r="BC44" s="5" t="str">
        <f>IFERROR(__xludf.DUMMYFUNCTION("""COMPUTED_VALUE"""),"Available")</f>
        <v>Available</v>
      </c>
      <c r="BD44" s="5" t="str">
        <f>IFERROR(__xludf.DUMMYFUNCTION("""COMPUTED_VALUE"""),"")</f>
        <v/>
      </c>
      <c r="BE44" s="5" t="str">
        <f>IFERROR(__xludf.DUMMYFUNCTION("""COMPUTED_VALUE"""),"")</f>
        <v/>
      </c>
      <c r="BF44" s="5" t="str">
        <f>IFERROR(__xludf.DUMMYFUNCTION("""COMPUTED_VALUE"""),"")</f>
        <v/>
      </c>
      <c r="BG44" s="5" t="str">
        <f>IFERROR(__xludf.DUMMYFUNCTION("""COMPUTED_VALUE"""),"")</f>
        <v/>
      </c>
      <c r="BH44" s="5" t="str">
        <f>IFERROR(__xludf.DUMMYFUNCTION("""COMPUTED_VALUE"""),"")</f>
        <v/>
      </c>
      <c r="BI44" s="5" t="str">
        <f>IFERROR(__xludf.DUMMYFUNCTION("""COMPUTED_VALUE"""),"")</f>
        <v/>
      </c>
      <c r="BJ44" s="5" t="str">
        <f>IFERROR(__xludf.DUMMYFUNCTION("""COMPUTED_VALUE"""),"Available")</f>
        <v>Available</v>
      </c>
      <c r="BK44" s="5" t="str">
        <f>IFERROR(__xludf.DUMMYFUNCTION("""COMPUTED_VALUE"""),"Available")</f>
        <v>Available</v>
      </c>
      <c r="BL44" s="5" t="str">
        <f>IFERROR(__xludf.DUMMYFUNCTION("""COMPUTED_VALUE"""),"")</f>
        <v/>
      </c>
      <c r="BM44" s="5" t="str">
        <f>IFERROR(__xludf.DUMMYFUNCTION("""COMPUTED_VALUE"""),"")</f>
        <v/>
      </c>
    </row>
    <row r="45">
      <c r="A45" s="5" t="str">
        <f>IFERROR(__xludf.DUMMYFUNCTION("""COMPUTED_VALUE"""),"Fazi")</f>
        <v>Fazi</v>
      </c>
      <c r="B45" s="5" t="str">
        <f>IFERROR(__xludf.DUMMYFUNCTION("""COMPUTED_VALUE"""),"Golden Crown")</f>
        <v>Golden Crown</v>
      </c>
      <c r="C45" s="5" t="str">
        <f>IFERROR(__xludf.DUMMYFUNCTION("""COMPUTED_VALUE"""),"GoldenCrown")</f>
        <v>GoldenCrown</v>
      </c>
      <c r="D45" s="6">
        <f>IFERROR(__xludf.DUMMYFUNCTION("""COMPUTED_VALUE"""),44256.0)</f>
        <v>44256</v>
      </c>
      <c r="E45" s="5" t="str">
        <f>IFERROR(__xludf.DUMMYFUNCTION("""COMPUTED_VALUE"""),"Slot")</f>
        <v>Slot</v>
      </c>
      <c r="F45" s="5">
        <f>IFERROR(__xludf.DUMMYFUNCTION("""COMPUTED_VALUE"""),46.2)</f>
        <v>46.2</v>
      </c>
      <c r="G45" s="5" t="str">
        <f>IFERROR(__xludf.DUMMYFUNCTION("""COMPUTED_VALUE"""),"5x3")</f>
        <v>5x3</v>
      </c>
      <c r="H45" s="5" t="str">
        <f>IFERROR(__xludf.DUMMYFUNCTION("""COMPUTED_VALUE"""),"10")</f>
        <v>10</v>
      </c>
      <c r="I45" s="5" t="str">
        <f>IFERROR(__xludf.DUMMYFUNCTION("""COMPUTED_VALUE"""),"10")</f>
        <v>10</v>
      </c>
      <c r="J45" s="5" t="str">
        <f>IFERROR(__xludf.DUMMYFUNCTION("""COMPUTED_VALUE"""),"95.962%")</f>
        <v>95.962%</v>
      </c>
      <c r="K45" s="5" t="str">
        <f>IFERROR(__xludf.DUMMYFUNCTION("""COMPUTED_VALUE"""),"Medium")</f>
        <v>Medium</v>
      </c>
      <c r="L45" s="5" t="str">
        <f>IFERROR(__xludf.DUMMYFUNCTION("""COMPUTED_VALUE"""),"14.63%")</f>
        <v>14.63%</v>
      </c>
      <c r="M45" s="5" t="str">
        <f>IFERROR(__xludf.DUMMYFUNCTION("""COMPUTED_VALUE"""),"x1538")</f>
        <v>x1538</v>
      </c>
      <c r="N45" s="5" t="str">
        <f>IFERROR(__xludf.DUMMYFUNCTION("""COMPUTED_VALUE"""),"0.1/40")</f>
        <v>0.1/40</v>
      </c>
      <c r="O45" s="5" t="str">
        <f>IFERROR(__xludf.DUMMYFUNCTION("""COMPUTED_VALUE"""),"Yes")</f>
        <v>Yes</v>
      </c>
      <c r="P45" s="5" t="str">
        <f>IFERROR(__xludf.DUMMYFUNCTION("""COMPUTED_VALUE"""),"Scatter, Expanding Wild")</f>
        <v>Scatter, Expanding Wild</v>
      </c>
      <c r="Q45"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R45" s="5" t="str">
        <f>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S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IFERROR(__xludf.DUMMYFUNCTION("""COMPUTED_VALUE"""),"Yes")</f>
        <v>Yes</v>
      </c>
      <c r="AJ45" s="5" t="str">
        <f>IFERROR(__xludf.DUMMYFUNCTION("""COMPUTED_VALUE"""),"Yes")</f>
        <v>Yes</v>
      </c>
      <c r="AK45" s="5" t="str">
        <f>IFERROR(__xludf.DUMMYFUNCTION("""COMPUTED_VALUE"""),"Yes")</f>
        <v>Yes</v>
      </c>
      <c r="AL45" s="5" t="str">
        <f>IFERROR(__xludf.DUMMYFUNCTION("""COMPUTED_VALUE"""),"Yes")</f>
        <v>Yes</v>
      </c>
      <c r="AM45" s="5" t="str">
        <f>IFERROR(__xludf.DUMMYFUNCTION("""COMPUTED_VALUE"""),"Yes")</f>
        <v>Yes</v>
      </c>
      <c r="AN45" s="5" t="str">
        <f>IFERROR(__xludf.DUMMYFUNCTION("""COMPUTED_VALUE"""),"Yes")</f>
        <v>Yes</v>
      </c>
      <c r="AO45" s="5" t="str">
        <f>IFERROR(__xludf.DUMMYFUNCTION("""COMPUTED_VALUE"""),"Yes")</f>
        <v>Yes</v>
      </c>
      <c r="AP45" s="5" t="str">
        <f>IFERROR(__xludf.DUMMYFUNCTION("""COMPUTED_VALUE"""),"Yes")</f>
        <v>Yes</v>
      </c>
      <c r="AQ45" s="5" t="str">
        <f>IFERROR(__xludf.DUMMYFUNCTION("""COMPUTED_VALUE"""),"Yes")</f>
        <v>Yes</v>
      </c>
      <c r="AR45" s="5" t="str">
        <f>IFERROR(__xludf.DUMMYFUNCTION("""COMPUTED_VALUE"""),"Yes")</f>
        <v>Yes</v>
      </c>
      <c r="AS45" s="5" t="str">
        <f>IFERROR(__xludf.DUMMYFUNCTION("""COMPUTED_VALUE"""),"Yes")</f>
        <v>Yes</v>
      </c>
      <c r="AT45" s="5" t="str">
        <f>IFERROR(__xludf.DUMMYFUNCTION("""COMPUTED_VALUE"""),"No")</f>
        <v>No</v>
      </c>
      <c r="AU45" s="5"/>
      <c r="AV45" s="5" t="str">
        <f>IFERROR(__xludf.DUMMYFUNCTION("""COMPUTED_VALUE"""),"Available")</f>
        <v>Available</v>
      </c>
      <c r="AW45" s="5" t="str">
        <f>IFERROR(__xludf.DUMMYFUNCTION("""COMPUTED_VALUE"""),"Available")</f>
        <v>Available</v>
      </c>
      <c r="AX45" s="5" t="str">
        <f>IFERROR(__xludf.DUMMYFUNCTION("""COMPUTED_VALUE"""),"Available")</f>
        <v>Available</v>
      </c>
      <c r="AY45" s="5" t="str">
        <f>IFERROR(__xludf.DUMMYFUNCTION("""COMPUTED_VALUE"""),"Available")</f>
        <v>Available</v>
      </c>
      <c r="AZ45" s="5" t="str">
        <f>IFERROR(__xludf.DUMMYFUNCTION("""COMPUTED_VALUE"""),"Available")</f>
        <v>Available</v>
      </c>
      <c r="BA45" s="5" t="str">
        <f>IFERROR(__xludf.DUMMYFUNCTION("""COMPUTED_VALUE"""),"Available")</f>
        <v>Available</v>
      </c>
      <c r="BB45" s="5" t="str">
        <f>IFERROR(__xludf.DUMMYFUNCTION("""COMPUTED_VALUE"""),"Available")</f>
        <v>Available</v>
      </c>
      <c r="BC45" s="5" t="str">
        <f>IFERROR(__xludf.DUMMYFUNCTION("""COMPUTED_VALUE"""),"Available")</f>
        <v>Available</v>
      </c>
      <c r="BD45" s="5" t="str">
        <f>IFERROR(__xludf.DUMMYFUNCTION("""COMPUTED_VALUE"""),"Available")</f>
        <v>Available</v>
      </c>
      <c r="BE45" s="5" t="str">
        <f>IFERROR(__xludf.DUMMYFUNCTION("""COMPUTED_VALUE"""),"Available")</f>
        <v>Available</v>
      </c>
      <c r="BF45" s="5" t="str">
        <f>IFERROR(__xludf.DUMMYFUNCTION("""COMPUTED_VALUE"""),"Available")</f>
        <v>Available</v>
      </c>
      <c r="BG45" s="5" t="str">
        <f>IFERROR(__xludf.DUMMYFUNCTION("""COMPUTED_VALUE"""),"Available")</f>
        <v>Available</v>
      </c>
      <c r="BH45" s="5" t="str">
        <f>IFERROR(__xludf.DUMMYFUNCTION("""COMPUTED_VALUE"""),"Available")</f>
        <v>Available</v>
      </c>
      <c r="BI45" s="5" t="str">
        <f>IFERROR(__xludf.DUMMYFUNCTION("""COMPUTED_VALUE"""),"Available")</f>
        <v>Available</v>
      </c>
      <c r="BJ45" s="5" t="str">
        <f>IFERROR(__xludf.DUMMYFUNCTION("""COMPUTED_VALUE"""),"Available")</f>
        <v>Available</v>
      </c>
      <c r="BK45" s="5" t="str">
        <f>IFERROR(__xludf.DUMMYFUNCTION("""COMPUTED_VALUE"""),"Available")</f>
        <v>Available</v>
      </c>
      <c r="BL45" s="5" t="str">
        <f>IFERROR(__xludf.DUMMYFUNCTION("""COMPUTED_VALUE"""),"")</f>
        <v/>
      </c>
      <c r="BM45" s="5" t="str">
        <f>IFERROR(__xludf.DUMMYFUNCTION("""COMPUTED_VALUE"""),"Available")</f>
        <v>Available</v>
      </c>
    </row>
    <row r="46">
      <c r="A46" s="5" t="str">
        <f>IFERROR(__xludf.DUMMYFUNCTION("""COMPUTED_VALUE"""),"Fazi")</f>
        <v>Fazi</v>
      </c>
      <c r="B46" s="5" t="str">
        <f>IFERROR(__xludf.DUMMYFUNCTION("""COMPUTED_VALUE"""),"Mystery Joker Hot")</f>
        <v>Mystery Joker Hot</v>
      </c>
      <c r="C46" s="5" t="str">
        <f>IFERROR(__xludf.DUMMYFUNCTION("""COMPUTED_VALUE"""),"MysteryJokerHot")</f>
        <v>MysteryJokerHot</v>
      </c>
      <c r="D46" s="6">
        <f>IFERROR(__xludf.DUMMYFUNCTION("""COMPUTED_VALUE"""),44341.0)</f>
        <v>44341</v>
      </c>
      <c r="E46" s="5" t="str">
        <f>IFERROR(__xludf.DUMMYFUNCTION("""COMPUTED_VALUE"""),"Slot")</f>
        <v>Slot</v>
      </c>
      <c r="F46" s="5">
        <f>IFERROR(__xludf.DUMMYFUNCTION("""COMPUTED_VALUE"""),28.2)</f>
        <v>28.2</v>
      </c>
      <c r="G46" s="5" t="str">
        <f>IFERROR(__xludf.DUMMYFUNCTION("""COMPUTED_VALUE"""),"3x3")</f>
        <v>3x3</v>
      </c>
      <c r="H46" s="5" t="str">
        <f>IFERROR(__xludf.DUMMYFUNCTION("""COMPUTED_VALUE"""),"27")</f>
        <v>27</v>
      </c>
      <c r="I46" s="5" t="str">
        <f>IFERROR(__xludf.DUMMYFUNCTION("""COMPUTED_VALUE"""),"27")</f>
        <v>27</v>
      </c>
      <c r="J46" s="5" t="str">
        <f>IFERROR(__xludf.DUMMYFUNCTION("""COMPUTED_VALUE"""),"96.291%")</f>
        <v>96.291%</v>
      </c>
      <c r="K46" s="5" t="str">
        <f>IFERROR(__xludf.DUMMYFUNCTION("""COMPUTED_VALUE"""),"Medium")</f>
        <v>Medium</v>
      </c>
      <c r="L46" s="5" t="str">
        <f>IFERROR(__xludf.DUMMYFUNCTION("""COMPUTED_VALUE"""),"7.95%")</f>
        <v>7.95%</v>
      </c>
      <c r="M46" s="5" t="str">
        <f>IFERROR(__xludf.DUMMYFUNCTION("""COMPUTED_VALUE"""),"x540")</f>
        <v>x540</v>
      </c>
      <c r="N46" s="5" t="str">
        <f>IFERROR(__xludf.DUMMYFUNCTION("""COMPUTED_VALUE"""),"0.1/50")</f>
        <v>0.1/50</v>
      </c>
      <c r="O46" s="5" t="str">
        <f>IFERROR(__xludf.DUMMYFUNCTION("""COMPUTED_VALUE"""),"Yes")</f>
        <v>Yes</v>
      </c>
      <c r="P46" s="5" t="str">
        <f>IFERROR(__xludf.DUMMYFUNCTION("""COMPUTED_VALUE"""),"Wild Symbol, Respin, Win Multiplier")</f>
        <v>Wild Symbol, Respin, Win Multiplier</v>
      </c>
      <c r="Q46" s="7" t="str">
        <f>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R46" s="5" t="str">
        <f>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S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IFERROR(__xludf.DUMMYFUNCTION("""COMPUTED_VALUE"""),"Yes")</f>
        <v>Yes</v>
      </c>
      <c r="AH46" s="5" t="str">
        <f>IFERROR(__xludf.DUMMYFUNCTION("""COMPUTED_VALUE"""),"Yes")</f>
        <v>Yes</v>
      </c>
      <c r="AI46" s="5" t="str">
        <f>IFERROR(__xludf.DUMMYFUNCTION("""COMPUTED_VALUE"""),"Yes")</f>
        <v>Yes</v>
      </c>
      <c r="AJ46" s="5" t="str">
        <f>IFERROR(__xludf.DUMMYFUNCTION("""COMPUTED_VALUE"""),"Yes")</f>
        <v>Yes</v>
      </c>
      <c r="AK46" s="5" t="str">
        <f>IFERROR(__xludf.DUMMYFUNCTION("""COMPUTED_VALUE"""),"Yes")</f>
        <v>Yes</v>
      </c>
      <c r="AL46" s="5" t="str">
        <f>IFERROR(__xludf.DUMMYFUNCTION("""COMPUTED_VALUE"""),"Yes")</f>
        <v>Yes</v>
      </c>
      <c r="AM46" s="5" t="str">
        <f>IFERROR(__xludf.DUMMYFUNCTION("""COMPUTED_VALUE"""),"Yes")</f>
        <v>Yes</v>
      </c>
      <c r="AN46" s="5" t="str">
        <f>IFERROR(__xludf.DUMMYFUNCTION("""COMPUTED_VALUE"""),"Yes")</f>
        <v>Yes</v>
      </c>
      <c r="AO46" s="5" t="str">
        <f>IFERROR(__xludf.DUMMYFUNCTION("""COMPUTED_VALUE"""),"Yes")</f>
        <v>Yes</v>
      </c>
      <c r="AP46" s="5" t="str">
        <f>IFERROR(__xludf.DUMMYFUNCTION("""COMPUTED_VALUE"""),"Yes")</f>
        <v>Yes</v>
      </c>
      <c r="AQ46" s="5" t="str">
        <f>IFERROR(__xludf.DUMMYFUNCTION("""COMPUTED_VALUE"""),"Yes")</f>
        <v>Yes</v>
      </c>
      <c r="AR46" s="5" t="str">
        <f>IFERROR(__xludf.DUMMYFUNCTION("""COMPUTED_VALUE"""),"Yes")</f>
        <v>Yes</v>
      </c>
      <c r="AS46" s="5" t="str">
        <f>IFERROR(__xludf.DUMMYFUNCTION("""COMPUTED_VALUE"""),"Yes")</f>
        <v>Yes</v>
      </c>
      <c r="AT46" s="5" t="str">
        <f>IFERROR(__xludf.DUMMYFUNCTION("""COMPUTED_VALUE"""),"No")</f>
        <v>No</v>
      </c>
      <c r="AU46" s="5"/>
      <c r="AV46" s="5" t="str">
        <f>IFERROR(__xludf.DUMMYFUNCTION("""COMPUTED_VALUE"""),"")</f>
        <v/>
      </c>
      <c r="AW46" s="5" t="str">
        <f>IFERROR(__xludf.DUMMYFUNCTION("""COMPUTED_VALUE"""),"")</f>
        <v/>
      </c>
      <c r="AX46" s="5" t="str">
        <f>IFERROR(__xludf.DUMMYFUNCTION("""COMPUTED_VALUE"""),"")</f>
        <v/>
      </c>
      <c r="AY46" s="5" t="str">
        <f>IFERROR(__xludf.DUMMYFUNCTION("""COMPUTED_VALUE"""),"")</f>
        <v/>
      </c>
      <c r="AZ46" s="5" t="str">
        <f>IFERROR(__xludf.DUMMYFUNCTION("""COMPUTED_VALUE"""),"Available")</f>
        <v>Available</v>
      </c>
      <c r="BA46" s="5" t="str">
        <f>IFERROR(__xludf.DUMMYFUNCTION("""COMPUTED_VALUE"""),"Available")</f>
        <v>Available</v>
      </c>
      <c r="BB46" s="5" t="str">
        <f>IFERROR(__xludf.DUMMYFUNCTION("""COMPUTED_VALUE"""),"Available")</f>
        <v>Available</v>
      </c>
      <c r="BC46" s="5" t="str">
        <f>IFERROR(__xludf.DUMMYFUNCTION("""COMPUTED_VALUE"""),"Available")</f>
        <v>Available</v>
      </c>
      <c r="BD46" s="5" t="str">
        <f>IFERROR(__xludf.DUMMYFUNCTION("""COMPUTED_VALUE"""),"")</f>
        <v/>
      </c>
      <c r="BE46" s="5" t="str">
        <f>IFERROR(__xludf.DUMMYFUNCTION("""COMPUTED_VALUE"""),"")</f>
        <v/>
      </c>
      <c r="BF46" s="5" t="str">
        <f>IFERROR(__xludf.DUMMYFUNCTION("""COMPUTED_VALUE"""),"Available")</f>
        <v>Available</v>
      </c>
      <c r="BG46" s="5" t="str">
        <f>IFERROR(__xludf.DUMMYFUNCTION("""COMPUTED_VALUE"""),"Available")</f>
        <v>Available</v>
      </c>
      <c r="BH46" s="5" t="str">
        <f>IFERROR(__xludf.DUMMYFUNCTION("""COMPUTED_VALUE"""),"")</f>
        <v/>
      </c>
      <c r="BI46" s="5" t="str">
        <f>IFERROR(__xludf.DUMMYFUNCTION("""COMPUTED_VALUE"""),"")</f>
        <v/>
      </c>
      <c r="BJ46" s="5" t="str">
        <f>IFERROR(__xludf.DUMMYFUNCTION("""COMPUTED_VALUE"""),"")</f>
        <v/>
      </c>
      <c r="BK46" s="5" t="str">
        <f>IFERROR(__xludf.DUMMYFUNCTION("""COMPUTED_VALUE"""),"Available")</f>
        <v>Available</v>
      </c>
      <c r="BL46" s="5" t="str">
        <f>IFERROR(__xludf.DUMMYFUNCTION("""COMPUTED_VALUE"""),"")</f>
        <v/>
      </c>
      <c r="BM46" s="5" t="str">
        <f>IFERROR(__xludf.DUMMYFUNCTION("""COMPUTED_VALUE"""),"")</f>
        <v/>
      </c>
    </row>
    <row r="47">
      <c r="A47" s="5" t="str">
        <f>IFERROR(__xludf.DUMMYFUNCTION("""COMPUTED_VALUE"""),"Fazi")</f>
        <v>Fazi</v>
      </c>
      <c r="B47" s="5" t="str">
        <f>IFERROR(__xludf.DUMMYFUNCTION("""COMPUTED_VALUE"""),"Crystal Joker Hot")</f>
        <v>Crystal Joker Hot</v>
      </c>
      <c r="C47" s="5" t="str">
        <f>IFERROR(__xludf.DUMMYFUNCTION("""COMPUTED_VALUE"""),"CrystalJokerHot")</f>
        <v>CrystalJokerHot</v>
      </c>
      <c r="D47" s="6">
        <f>IFERROR(__xludf.DUMMYFUNCTION("""COMPUTED_VALUE"""),44285.0)</f>
        <v>44285</v>
      </c>
      <c r="E47" s="5" t="str">
        <f>IFERROR(__xludf.DUMMYFUNCTION("""COMPUTED_VALUE"""),"Slot")</f>
        <v>Slot</v>
      </c>
      <c r="F47" s="5">
        <f>IFERROR(__xludf.DUMMYFUNCTION("""COMPUTED_VALUE"""),23.2)</f>
        <v>23.2</v>
      </c>
      <c r="G47" s="5" t="str">
        <f>IFERROR(__xludf.DUMMYFUNCTION("""COMPUTED_VALUE"""),"5x4")</f>
        <v>5x4</v>
      </c>
      <c r="H47" s="5" t="str">
        <f>IFERROR(__xludf.DUMMYFUNCTION("""COMPUTED_VALUE"""),"40")</f>
        <v>40</v>
      </c>
      <c r="I47" s="5" t="str">
        <f>IFERROR(__xludf.DUMMYFUNCTION("""COMPUTED_VALUE"""),"40")</f>
        <v>40</v>
      </c>
      <c r="J47" s="5" t="str">
        <f>IFERROR(__xludf.DUMMYFUNCTION("""COMPUTED_VALUE"""),"96.584%")</f>
        <v>96.584%</v>
      </c>
      <c r="K47" s="5" t="str">
        <f>IFERROR(__xludf.DUMMYFUNCTION("""COMPUTED_VALUE"""),"Low")</f>
        <v>Low</v>
      </c>
      <c r="L47" s="5" t="str">
        <f>IFERROR(__xludf.DUMMYFUNCTION("""COMPUTED_VALUE"""),"16.73%")</f>
        <v>16.73%</v>
      </c>
      <c r="M47" s="5" t="str">
        <f>IFERROR(__xludf.DUMMYFUNCTION("""COMPUTED_VALUE"""),"x1000")</f>
        <v>x1000</v>
      </c>
      <c r="N47" s="5" t="str">
        <f>IFERROR(__xludf.DUMMYFUNCTION("""COMPUTED_VALUE"""),"0.4/60")</f>
        <v>0.4/60</v>
      </c>
      <c r="O47" s="5" t="str">
        <f>IFERROR(__xludf.DUMMYFUNCTION("""COMPUTED_VALUE"""),"Yes")</f>
        <v>Yes</v>
      </c>
      <c r="P47" s="5" t="str">
        <f>IFERROR(__xludf.DUMMYFUNCTION("""COMPUTED_VALUE"""),"Scatter, Wild Symbol")</f>
        <v>Scatter, Wild Symbol</v>
      </c>
      <c r="Q47" s="7" t="str">
        <f>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R47" s="5" t="str">
        <f>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S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IFERROR(__xludf.DUMMYFUNCTION("""COMPUTED_VALUE"""),"Yes")</f>
        <v>Yes</v>
      </c>
      <c r="AJ47" s="5" t="str">
        <f>IFERROR(__xludf.DUMMYFUNCTION("""COMPUTED_VALUE"""),"Yes")</f>
        <v>Yes</v>
      </c>
      <c r="AK47" s="5" t="str">
        <f>IFERROR(__xludf.DUMMYFUNCTION("""COMPUTED_VALUE"""),"Yes")</f>
        <v>Yes</v>
      </c>
      <c r="AL47" s="5" t="str">
        <f>IFERROR(__xludf.DUMMYFUNCTION("""COMPUTED_VALUE"""),"Yes")</f>
        <v>Yes</v>
      </c>
      <c r="AM47" s="5" t="str">
        <f>IFERROR(__xludf.DUMMYFUNCTION("""COMPUTED_VALUE"""),"Yes")</f>
        <v>Yes</v>
      </c>
      <c r="AN47" s="5" t="str">
        <f>IFERROR(__xludf.DUMMYFUNCTION("""COMPUTED_VALUE"""),"Yes")</f>
        <v>Yes</v>
      </c>
      <c r="AO47" s="5" t="str">
        <f>IFERROR(__xludf.DUMMYFUNCTION("""COMPUTED_VALUE"""),"Yes")</f>
        <v>Yes</v>
      </c>
      <c r="AP47" s="5" t="str">
        <f>IFERROR(__xludf.DUMMYFUNCTION("""COMPUTED_VALUE"""),"Yes")</f>
        <v>Yes</v>
      </c>
      <c r="AQ47" s="5" t="str">
        <f>IFERROR(__xludf.DUMMYFUNCTION("""COMPUTED_VALUE"""),"Yes")</f>
        <v>Yes</v>
      </c>
      <c r="AR47" s="5" t="str">
        <f>IFERROR(__xludf.DUMMYFUNCTION("""COMPUTED_VALUE"""),"Yes")</f>
        <v>Yes</v>
      </c>
      <c r="AS47" s="5" t="str">
        <f>IFERROR(__xludf.DUMMYFUNCTION("""COMPUTED_VALUE"""),"Yes")</f>
        <v>Yes</v>
      </c>
      <c r="AT47" s="5" t="str">
        <f>IFERROR(__xludf.DUMMYFUNCTION("""COMPUTED_VALUE"""),"No")</f>
        <v>No</v>
      </c>
      <c r="AU47" s="5"/>
      <c r="AV47" s="5" t="str">
        <f>IFERROR(__xludf.DUMMYFUNCTION("""COMPUTED_VALUE"""),"Available")</f>
        <v>Available</v>
      </c>
      <c r="AW47" s="5" t="str">
        <f>IFERROR(__xludf.DUMMYFUNCTION("""COMPUTED_VALUE"""),"")</f>
        <v/>
      </c>
      <c r="AX47" s="5" t="str">
        <f>IFERROR(__xludf.DUMMYFUNCTION("""COMPUTED_VALUE"""),"Available")</f>
        <v>Available</v>
      </c>
      <c r="AY47" s="5" t="str">
        <f>IFERROR(__xludf.DUMMYFUNCTION("""COMPUTED_VALUE"""),"")</f>
        <v/>
      </c>
      <c r="AZ47" s="5" t="str">
        <f>IFERROR(__xludf.DUMMYFUNCTION("""COMPUTED_VALUE"""),"Available")</f>
        <v>Available</v>
      </c>
      <c r="BA47" s="5" t="str">
        <f>IFERROR(__xludf.DUMMYFUNCTION("""COMPUTED_VALUE"""),"Available")</f>
        <v>Available</v>
      </c>
      <c r="BB47" s="5" t="str">
        <f>IFERROR(__xludf.DUMMYFUNCTION("""COMPUTED_VALUE"""),"Available")</f>
        <v>Available</v>
      </c>
      <c r="BC47" s="5" t="str">
        <f>IFERROR(__xludf.DUMMYFUNCTION("""COMPUTED_VALUE"""),"Available")</f>
        <v>Available</v>
      </c>
      <c r="BD47" s="5" t="str">
        <f>IFERROR(__xludf.DUMMYFUNCTION("""COMPUTED_VALUE"""),"Available")</f>
        <v>Available</v>
      </c>
      <c r="BE47" s="5" t="str">
        <f>IFERROR(__xludf.DUMMYFUNCTION("""COMPUTED_VALUE"""),"")</f>
        <v/>
      </c>
      <c r="BF47" s="5" t="str">
        <f>IFERROR(__xludf.DUMMYFUNCTION("""COMPUTED_VALUE"""),"")</f>
        <v/>
      </c>
      <c r="BG47" s="5" t="str">
        <f>IFERROR(__xludf.DUMMYFUNCTION("""COMPUTED_VALUE"""),"Available")</f>
        <v>Available</v>
      </c>
      <c r="BH47" s="5" t="str">
        <f>IFERROR(__xludf.DUMMYFUNCTION("""COMPUTED_VALUE"""),"")</f>
        <v/>
      </c>
      <c r="BI47" s="5" t="str">
        <f>IFERROR(__xludf.DUMMYFUNCTION("""COMPUTED_VALUE"""),"")</f>
        <v/>
      </c>
      <c r="BJ47" s="5" t="str">
        <f>IFERROR(__xludf.DUMMYFUNCTION("""COMPUTED_VALUE"""),"Available")</f>
        <v>Available</v>
      </c>
      <c r="BK47" s="5" t="str">
        <f>IFERROR(__xludf.DUMMYFUNCTION("""COMPUTED_VALUE"""),"Available")</f>
        <v>Available</v>
      </c>
      <c r="BL47" s="5" t="str">
        <f>IFERROR(__xludf.DUMMYFUNCTION("""COMPUTED_VALUE"""),"")</f>
        <v/>
      </c>
      <c r="BM47" s="5" t="str">
        <f>IFERROR(__xludf.DUMMYFUNCTION("""COMPUTED_VALUE"""),"Available")</f>
        <v>Available</v>
      </c>
    </row>
    <row r="48">
      <c r="A48" s="5" t="str">
        <f>IFERROR(__xludf.DUMMYFUNCTION("""COMPUTED_VALUE"""),"Fazi")</f>
        <v>Fazi</v>
      </c>
      <c r="B48" s="5" t="str">
        <f>IFERROR(__xludf.DUMMYFUNCTION("""COMPUTED_VALUE"""),"Fruity Joker Hot")</f>
        <v>Fruity Joker Hot</v>
      </c>
      <c r="C48" s="5" t="str">
        <f>IFERROR(__xludf.DUMMYFUNCTION("""COMPUTED_VALUE"""),"FruityJokerHot")</f>
        <v>FruityJokerHot</v>
      </c>
      <c r="D48" s="6">
        <f>IFERROR(__xludf.DUMMYFUNCTION("""COMPUTED_VALUE"""),44312.0)</f>
        <v>44312</v>
      </c>
      <c r="E48" s="5" t="str">
        <f>IFERROR(__xludf.DUMMYFUNCTION("""COMPUTED_VALUE"""),"Slot")</f>
        <v>Slot</v>
      </c>
      <c r="F48" s="5">
        <f>IFERROR(__xludf.DUMMYFUNCTION("""COMPUTED_VALUE"""),26.9)</f>
        <v>26.9</v>
      </c>
      <c r="G48" s="5" t="str">
        <f>IFERROR(__xludf.DUMMYFUNCTION("""COMPUTED_VALUE"""),"5x3")</f>
        <v>5x3</v>
      </c>
      <c r="H48" s="5" t="str">
        <f>IFERROR(__xludf.DUMMYFUNCTION("""COMPUTED_VALUE"""),"20")</f>
        <v>20</v>
      </c>
      <c r="I48" s="5" t="str">
        <f>IFERROR(__xludf.DUMMYFUNCTION("""COMPUTED_VALUE"""),"20")</f>
        <v>20</v>
      </c>
      <c r="J48" s="5" t="str">
        <f>IFERROR(__xludf.DUMMYFUNCTION("""COMPUTED_VALUE"""),"96.019%")</f>
        <v>96.019%</v>
      </c>
      <c r="K48" s="5" t="str">
        <f>IFERROR(__xludf.DUMMYFUNCTION("""COMPUTED_VALUE"""),"Low")</f>
        <v>Low</v>
      </c>
      <c r="L48" s="5" t="str">
        <f>IFERROR(__xludf.DUMMYFUNCTION("""COMPUTED_VALUE"""),"19.77%")</f>
        <v>19.77%</v>
      </c>
      <c r="M48" s="5" t="str">
        <f>IFERROR(__xludf.DUMMYFUNCTION("""COMPUTED_VALUE"""),"x1500")</f>
        <v>x1500</v>
      </c>
      <c r="N48" s="5" t="str">
        <f>IFERROR(__xludf.DUMMYFUNCTION("""COMPUTED_VALUE"""),"0.2/50")</f>
        <v>0.2/50</v>
      </c>
      <c r="O48" s="5" t="str">
        <f>IFERROR(__xludf.DUMMYFUNCTION("""COMPUTED_VALUE"""),"Yes")</f>
        <v>Yes</v>
      </c>
      <c r="P48" s="5" t="str">
        <f>IFERROR(__xludf.DUMMYFUNCTION("""COMPUTED_VALUE"""),"Scatter, Wild Symbol")</f>
        <v>Scatter, Wild Symbol</v>
      </c>
      <c r="Q48" s="7" t="str">
        <f>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R48" s="5" t="str">
        <f>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S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IFERROR(__xludf.DUMMYFUNCTION("""COMPUTED_VALUE"""),"Yes")</f>
        <v>Yes</v>
      </c>
      <c r="AH48" s="5" t="str">
        <f>IFERROR(__xludf.DUMMYFUNCTION("""COMPUTED_VALUE"""),"Yes")</f>
        <v>Yes</v>
      </c>
      <c r="AI48" s="5" t="str">
        <f>IFERROR(__xludf.DUMMYFUNCTION("""COMPUTED_VALUE"""),"Yes")</f>
        <v>Yes</v>
      </c>
      <c r="AJ48" s="5" t="str">
        <f>IFERROR(__xludf.DUMMYFUNCTION("""COMPUTED_VALUE"""),"Yes")</f>
        <v>Yes</v>
      </c>
      <c r="AK48" s="5" t="str">
        <f>IFERROR(__xludf.DUMMYFUNCTION("""COMPUTED_VALUE"""),"Yes")</f>
        <v>Yes</v>
      </c>
      <c r="AL48" s="5" t="str">
        <f>IFERROR(__xludf.DUMMYFUNCTION("""COMPUTED_VALUE"""),"Yes")</f>
        <v>Yes</v>
      </c>
      <c r="AM48" s="5" t="str">
        <f>IFERROR(__xludf.DUMMYFUNCTION("""COMPUTED_VALUE"""),"Yes")</f>
        <v>Yes</v>
      </c>
      <c r="AN48" s="5" t="str">
        <f>IFERROR(__xludf.DUMMYFUNCTION("""COMPUTED_VALUE"""),"Yes")</f>
        <v>Yes</v>
      </c>
      <c r="AO48" s="5" t="str">
        <f>IFERROR(__xludf.DUMMYFUNCTION("""COMPUTED_VALUE"""),"Yes")</f>
        <v>Yes</v>
      </c>
      <c r="AP48" s="5" t="str">
        <f>IFERROR(__xludf.DUMMYFUNCTION("""COMPUTED_VALUE"""),"Yes")</f>
        <v>Yes</v>
      </c>
      <c r="AQ48" s="5" t="str">
        <f>IFERROR(__xludf.DUMMYFUNCTION("""COMPUTED_VALUE"""),"Yes")</f>
        <v>Yes</v>
      </c>
      <c r="AR48" s="5" t="str">
        <f>IFERROR(__xludf.DUMMYFUNCTION("""COMPUTED_VALUE"""),"Yes")</f>
        <v>Yes</v>
      </c>
      <c r="AS48" s="5" t="str">
        <f>IFERROR(__xludf.DUMMYFUNCTION("""COMPUTED_VALUE"""),"Yes")</f>
        <v>Yes</v>
      </c>
      <c r="AT48" s="5" t="str">
        <f>IFERROR(__xludf.DUMMYFUNCTION("""COMPUTED_VALUE"""),"No")</f>
        <v>No</v>
      </c>
      <c r="AU48" s="5"/>
      <c r="AV48" s="5" t="str">
        <f>IFERROR(__xludf.DUMMYFUNCTION("""COMPUTED_VALUE"""),"")</f>
        <v/>
      </c>
      <c r="AW48" s="5" t="str">
        <f>IFERROR(__xludf.DUMMYFUNCTION("""COMPUTED_VALUE"""),"")</f>
        <v/>
      </c>
      <c r="AX48" s="5" t="str">
        <f>IFERROR(__xludf.DUMMYFUNCTION("""COMPUTED_VALUE"""),"")</f>
        <v/>
      </c>
      <c r="AY48" s="5" t="str">
        <f>IFERROR(__xludf.DUMMYFUNCTION("""COMPUTED_VALUE"""),"")</f>
        <v/>
      </c>
      <c r="AZ48" s="5" t="str">
        <f>IFERROR(__xludf.DUMMYFUNCTION("""COMPUTED_VALUE"""),"Available")</f>
        <v>Available</v>
      </c>
      <c r="BA48" s="5" t="str">
        <f>IFERROR(__xludf.DUMMYFUNCTION("""COMPUTED_VALUE"""),"Available")</f>
        <v>Available</v>
      </c>
      <c r="BB48" s="5" t="str">
        <f>IFERROR(__xludf.DUMMYFUNCTION("""COMPUTED_VALUE"""),"Available")</f>
        <v>Available</v>
      </c>
      <c r="BC48" s="5" t="str">
        <f>IFERROR(__xludf.DUMMYFUNCTION("""COMPUTED_VALUE"""),"Available")</f>
        <v>Available</v>
      </c>
      <c r="BD48" s="5" t="str">
        <f>IFERROR(__xludf.DUMMYFUNCTION("""COMPUTED_VALUE"""),"")</f>
        <v/>
      </c>
      <c r="BE48" s="5" t="str">
        <f>IFERROR(__xludf.DUMMYFUNCTION("""COMPUTED_VALUE"""),"")</f>
        <v/>
      </c>
      <c r="BF48" s="5" t="str">
        <f>IFERROR(__xludf.DUMMYFUNCTION("""COMPUTED_VALUE"""),"")</f>
        <v/>
      </c>
      <c r="BG48" s="5" t="str">
        <f>IFERROR(__xludf.DUMMYFUNCTION("""COMPUTED_VALUE"""),"Available")</f>
        <v>Available</v>
      </c>
      <c r="BH48" s="5" t="str">
        <f>IFERROR(__xludf.DUMMYFUNCTION("""COMPUTED_VALUE"""),"")</f>
        <v/>
      </c>
      <c r="BI48" s="5" t="str">
        <f>IFERROR(__xludf.DUMMYFUNCTION("""COMPUTED_VALUE"""),"")</f>
        <v/>
      </c>
      <c r="BJ48" s="5" t="str">
        <f>IFERROR(__xludf.DUMMYFUNCTION("""COMPUTED_VALUE"""),"Available")</f>
        <v>Available</v>
      </c>
      <c r="BK48" s="5" t="str">
        <f>IFERROR(__xludf.DUMMYFUNCTION("""COMPUTED_VALUE"""),"Available")</f>
        <v>Available</v>
      </c>
      <c r="BL48" s="5" t="str">
        <f>IFERROR(__xludf.DUMMYFUNCTION("""COMPUTED_VALUE"""),"")</f>
        <v/>
      </c>
      <c r="BM48" s="5" t="str">
        <f>IFERROR(__xludf.DUMMYFUNCTION("""COMPUTED_VALUE"""),"")</f>
        <v/>
      </c>
    </row>
    <row r="49">
      <c r="A49" s="5" t="str">
        <f>IFERROR(__xludf.DUMMYFUNCTION("""COMPUTED_VALUE"""),"Fazi")</f>
        <v>Fazi</v>
      </c>
      <c r="B49" s="5" t="str">
        <f>IFERROR(__xludf.DUMMYFUNCTION("""COMPUTED_VALUE"""),"Wild Kingdom")</f>
        <v>Wild Kingdom</v>
      </c>
      <c r="C49" s="5" t="str">
        <f>IFERROR(__xludf.DUMMYFUNCTION("""COMPUTED_VALUE"""),"WildKingdom")</f>
        <v>WildKingdom</v>
      </c>
      <c r="D49" s="6">
        <f>IFERROR(__xludf.DUMMYFUNCTION("""COMPUTED_VALUE"""),44364.0)</f>
        <v>44364</v>
      </c>
      <c r="E49" s="5" t="str">
        <f>IFERROR(__xludf.DUMMYFUNCTION("""COMPUTED_VALUE"""),"Slot")</f>
        <v>Slot</v>
      </c>
      <c r="F49" s="5">
        <f>IFERROR(__xludf.DUMMYFUNCTION("""COMPUTED_VALUE"""),21.3)</f>
        <v>21.3</v>
      </c>
      <c r="G49" s="5" t="str">
        <f>IFERROR(__xludf.DUMMYFUNCTION("""COMPUTED_VALUE"""),"5x3")</f>
        <v>5x3</v>
      </c>
      <c r="H49" s="5" t="str">
        <f>IFERROR(__xludf.DUMMYFUNCTION("""COMPUTED_VALUE"""),"15")</f>
        <v>15</v>
      </c>
      <c r="I49" s="5" t="str">
        <f>IFERROR(__xludf.DUMMYFUNCTION("""COMPUTED_VALUE"""),"1,3,5,9,15")</f>
        <v>1,3,5,9,15</v>
      </c>
      <c r="J49" s="5" t="str">
        <f>IFERROR(__xludf.DUMMYFUNCTION("""COMPUTED_VALUE"""),"96.142%")</f>
        <v>96.142%</v>
      </c>
      <c r="K49" s="5" t="str">
        <f>IFERROR(__xludf.DUMMYFUNCTION("""COMPUTED_VALUE"""),"High")</f>
        <v>High</v>
      </c>
      <c r="L49" s="5" t="str">
        <f>IFERROR(__xludf.DUMMYFUNCTION("""COMPUTED_VALUE"""),"28.08%")</f>
        <v>28.08%</v>
      </c>
      <c r="M49" s="5" t="str">
        <f>IFERROR(__xludf.DUMMYFUNCTION("""COMPUTED_VALUE"""),"x1530")</f>
        <v>x1530</v>
      </c>
      <c r="N49" s="5" t="str">
        <f>IFERROR(__xludf.DUMMYFUNCTION("""COMPUTED_VALUE"""),"0.15/45")</f>
        <v>0.15/45</v>
      </c>
      <c r="O49" s="5" t="str">
        <f>IFERROR(__xludf.DUMMYFUNCTION("""COMPUTED_VALUE"""),"Yes")</f>
        <v>Yes</v>
      </c>
      <c r="P49" s="5" t="str">
        <f>IFERROR(__xludf.DUMMYFUNCTION("""COMPUTED_VALUE"""),"Wild Symbol, Bonus Game with Free Spins, Respin, Sticky Wild")</f>
        <v>Wild Symbol, Bonus Game with Free Spins, Respin, Sticky Wild</v>
      </c>
      <c r="Q49" s="7" t="str">
        <f>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R49" s="5" t="str">
        <f>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S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t="str">
        <f>IFERROR(__xludf.DUMMYFUNCTION("""COMPUTED_VALUE"""),"Yes")</f>
        <v>Yes</v>
      </c>
      <c r="AJ49" s="5" t="str">
        <f>IFERROR(__xludf.DUMMYFUNCTION("""COMPUTED_VALUE"""),"Yes")</f>
        <v>Yes</v>
      </c>
      <c r="AK49" s="5" t="str">
        <f>IFERROR(__xludf.DUMMYFUNCTION("""COMPUTED_VALUE"""),"Yes")</f>
        <v>Yes</v>
      </c>
      <c r="AL49" s="5" t="str">
        <f>IFERROR(__xludf.DUMMYFUNCTION("""COMPUTED_VALUE"""),"Yes")</f>
        <v>Yes</v>
      </c>
      <c r="AM49" s="5" t="str">
        <f>IFERROR(__xludf.DUMMYFUNCTION("""COMPUTED_VALUE"""),"Yes")</f>
        <v>Yes</v>
      </c>
      <c r="AN49" s="5" t="str">
        <f>IFERROR(__xludf.DUMMYFUNCTION("""COMPUTED_VALUE"""),"Yes")</f>
        <v>Yes</v>
      </c>
      <c r="AO49" s="5" t="str">
        <f>IFERROR(__xludf.DUMMYFUNCTION("""COMPUTED_VALUE"""),"Yes")</f>
        <v>Yes</v>
      </c>
      <c r="AP49" s="5" t="str">
        <f>IFERROR(__xludf.DUMMYFUNCTION("""COMPUTED_VALUE"""),"Yes")</f>
        <v>Yes</v>
      </c>
      <c r="AQ49" s="5" t="str">
        <f>IFERROR(__xludf.DUMMYFUNCTION("""COMPUTED_VALUE"""),"Yes")</f>
        <v>Yes</v>
      </c>
      <c r="AR49" s="5" t="str">
        <f>IFERROR(__xludf.DUMMYFUNCTION("""COMPUTED_VALUE"""),"Yes")</f>
        <v>Yes</v>
      </c>
      <c r="AS49" s="5" t="str">
        <f>IFERROR(__xludf.DUMMYFUNCTION("""COMPUTED_VALUE"""),"Yes")</f>
        <v>Yes</v>
      </c>
      <c r="AT49" s="5" t="str">
        <f>IFERROR(__xludf.DUMMYFUNCTION("""COMPUTED_VALUE"""),"No")</f>
        <v>No</v>
      </c>
      <c r="AU49" s="5"/>
      <c r="AV49" s="5" t="str">
        <f>IFERROR(__xludf.DUMMYFUNCTION("""COMPUTED_VALUE"""),"Available")</f>
        <v>Available</v>
      </c>
      <c r="AW49" s="5" t="str">
        <f>IFERROR(__xludf.DUMMYFUNCTION("""COMPUTED_VALUE"""),"")</f>
        <v/>
      </c>
      <c r="AX49" s="5" t="str">
        <f>IFERROR(__xludf.DUMMYFUNCTION("""COMPUTED_VALUE"""),"Available")</f>
        <v>Available</v>
      </c>
      <c r="AY49" s="5" t="str">
        <f>IFERROR(__xludf.DUMMYFUNCTION("""COMPUTED_VALUE"""),"Available")</f>
        <v>Available</v>
      </c>
      <c r="AZ49" s="5" t="str">
        <f>IFERROR(__xludf.DUMMYFUNCTION("""COMPUTED_VALUE"""),"Available")</f>
        <v>Available</v>
      </c>
      <c r="BA49" s="5" t="str">
        <f>IFERROR(__xludf.DUMMYFUNCTION("""COMPUTED_VALUE"""),"Available")</f>
        <v>Available</v>
      </c>
      <c r="BB49" s="5" t="str">
        <f>IFERROR(__xludf.DUMMYFUNCTION("""COMPUTED_VALUE"""),"Available")</f>
        <v>Available</v>
      </c>
      <c r="BC49" s="5" t="str">
        <f>IFERROR(__xludf.DUMMYFUNCTION("""COMPUTED_VALUE"""),"")</f>
        <v/>
      </c>
      <c r="BD49" s="5" t="str">
        <f>IFERROR(__xludf.DUMMYFUNCTION("""COMPUTED_VALUE"""),"")</f>
        <v/>
      </c>
      <c r="BE49" s="5" t="str">
        <f>IFERROR(__xludf.DUMMYFUNCTION("""COMPUTED_VALUE"""),"")</f>
        <v/>
      </c>
      <c r="BF49" s="5" t="str">
        <f>IFERROR(__xludf.DUMMYFUNCTION("""COMPUTED_VALUE"""),"")</f>
        <v/>
      </c>
      <c r="BG49" s="5" t="str">
        <f>IFERROR(__xludf.DUMMYFUNCTION("""COMPUTED_VALUE"""),"")</f>
        <v/>
      </c>
      <c r="BH49" s="5" t="str">
        <f>IFERROR(__xludf.DUMMYFUNCTION("""COMPUTED_VALUE"""),"")</f>
        <v/>
      </c>
      <c r="BI49" s="5" t="str">
        <f>IFERROR(__xludf.DUMMYFUNCTION("""COMPUTED_VALUE"""),"")</f>
        <v/>
      </c>
      <c r="BJ49" s="5" t="str">
        <f>IFERROR(__xludf.DUMMYFUNCTION("""COMPUTED_VALUE"""),"Available")</f>
        <v>Available</v>
      </c>
      <c r="BK49" s="5" t="str">
        <f>IFERROR(__xludf.DUMMYFUNCTION("""COMPUTED_VALUE"""),"Available")</f>
        <v>Available</v>
      </c>
      <c r="BL49" s="5" t="str">
        <f>IFERROR(__xludf.DUMMYFUNCTION("""COMPUTED_VALUE"""),"")</f>
        <v/>
      </c>
      <c r="BM49" s="5" t="str">
        <f>IFERROR(__xludf.DUMMYFUNCTION("""COMPUTED_VALUE"""),"")</f>
        <v/>
      </c>
    </row>
    <row r="50">
      <c r="A50" s="5" t="str">
        <f>IFERROR(__xludf.DUMMYFUNCTION("""COMPUTED_VALUE"""),"Fazi")</f>
        <v>Fazi</v>
      </c>
      <c r="B50" s="5" t="str">
        <f>IFERROR(__xludf.DUMMYFUNCTION("""COMPUTED_VALUE"""),"Book Of Luxor Double")</f>
        <v>Book Of Luxor Double</v>
      </c>
      <c r="C50" s="5" t="str">
        <f>IFERROR(__xludf.DUMMYFUNCTION("""COMPUTED_VALUE"""),"BookOfLuxorDouble")</f>
        <v>BookOfLuxorDouble</v>
      </c>
      <c r="D50" s="6">
        <f>IFERROR(__xludf.DUMMYFUNCTION("""COMPUTED_VALUE"""),44494.0)</f>
        <v>44494</v>
      </c>
      <c r="E50" s="5" t="str">
        <f>IFERROR(__xludf.DUMMYFUNCTION("""COMPUTED_VALUE"""),"Slot")</f>
        <v>Slot</v>
      </c>
      <c r="F50" s="5">
        <f>IFERROR(__xludf.DUMMYFUNCTION("""COMPUTED_VALUE"""),40.4)</f>
        <v>40.4</v>
      </c>
      <c r="G50" s="5" t="str">
        <f>IFERROR(__xludf.DUMMYFUNCTION("""COMPUTED_VALUE"""),"5x3")</f>
        <v>5x3</v>
      </c>
      <c r="H50" s="5" t="str">
        <f>IFERROR(__xludf.DUMMYFUNCTION("""COMPUTED_VALUE"""),"20")</f>
        <v>20</v>
      </c>
      <c r="I50" s="5" t="str">
        <f>IFERROR(__xludf.DUMMYFUNCTION("""COMPUTED_VALUE"""),"1,3,5,7,10")</f>
        <v>1,3,5,7,10</v>
      </c>
      <c r="J50" s="5" t="str">
        <f>IFERROR(__xludf.DUMMYFUNCTION("""COMPUTED_VALUE"""),"96.201%")</f>
        <v>96.201%</v>
      </c>
      <c r="K50" s="5" t="str">
        <f>IFERROR(__xludf.DUMMYFUNCTION("""COMPUTED_VALUE"""),"High")</f>
        <v>High</v>
      </c>
      <c r="L50" s="5" t="str">
        <f>IFERROR(__xludf.DUMMYFUNCTION("""COMPUTED_VALUE"""),"30.82%")</f>
        <v>30.82%</v>
      </c>
      <c r="M50" s="5" t="str">
        <f>IFERROR(__xludf.DUMMYFUNCTION("""COMPUTED_VALUE"""),"x5456")</f>
        <v>x5456</v>
      </c>
      <c r="N50" s="5" t="str">
        <f>IFERROR(__xludf.DUMMYFUNCTION("""COMPUTED_VALUE"""),"0.01/40")</f>
        <v>0.01/40</v>
      </c>
      <c r="O50" s="5" t="str">
        <f>IFERROR(__xludf.DUMMYFUNCTION("""COMPUTED_VALUE"""),"Yes")</f>
        <v>Yes</v>
      </c>
      <c r="P50" s="5" t="str">
        <f>IFERROR(__xludf.DUMMYFUNCTION("""COMPUTED_VALUE"""),"Buy Bonus, Book Of Game, Bonus Game with Free Spins")</f>
        <v>Buy Bonus, Book Of Game, Bonus Game with Free Spins</v>
      </c>
      <c r="Q50" s="7" t="str">
        <f>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R50"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IFERROR(__xludf.DUMMYFUNCTION("""COMPUTED_VALUE"""),"Yes")</f>
        <v>Yes</v>
      </c>
      <c r="AH50" s="5" t="str">
        <f>IFERROR(__xludf.DUMMYFUNCTION("""COMPUTED_VALUE"""),"Yes")</f>
        <v>Yes</v>
      </c>
      <c r="AI50" s="5" t="str">
        <f>IFERROR(__xludf.DUMMYFUNCTION("""COMPUTED_VALUE"""),"Yes")</f>
        <v>Yes</v>
      </c>
      <c r="AJ50" s="5" t="str">
        <f>IFERROR(__xludf.DUMMYFUNCTION("""COMPUTED_VALUE"""),"Yes")</f>
        <v>Yes</v>
      </c>
      <c r="AK50" s="5" t="str">
        <f>IFERROR(__xludf.DUMMYFUNCTION("""COMPUTED_VALUE"""),"Yes")</f>
        <v>Yes</v>
      </c>
      <c r="AL50" s="5" t="str">
        <f>IFERROR(__xludf.DUMMYFUNCTION("""COMPUTED_VALUE"""),"Yes")</f>
        <v>Yes</v>
      </c>
      <c r="AM50" s="5" t="str">
        <f>IFERROR(__xludf.DUMMYFUNCTION("""COMPUTED_VALUE"""),"Yes")</f>
        <v>Yes</v>
      </c>
      <c r="AN50" s="5" t="str">
        <f>IFERROR(__xludf.DUMMYFUNCTION("""COMPUTED_VALUE"""),"Yes")</f>
        <v>Yes</v>
      </c>
      <c r="AO50" s="5" t="str">
        <f>IFERROR(__xludf.DUMMYFUNCTION("""COMPUTED_VALUE"""),"Yes")</f>
        <v>Yes</v>
      </c>
      <c r="AP50" s="5" t="str">
        <f>IFERROR(__xludf.DUMMYFUNCTION("""COMPUTED_VALUE"""),"Yes")</f>
        <v>Yes</v>
      </c>
      <c r="AQ50" s="5" t="str">
        <f>IFERROR(__xludf.DUMMYFUNCTION("""COMPUTED_VALUE"""),"Yes")</f>
        <v>Yes</v>
      </c>
      <c r="AR50" s="5" t="str">
        <f>IFERROR(__xludf.DUMMYFUNCTION("""COMPUTED_VALUE"""),"Yes")</f>
        <v>Yes</v>
      </c>
      <c r="AS50" s="5" t="str">
        <f>IFERROR(__xludf.DUMMYFUNCTION("""COMPUTED_VALUE"""),"Yes")</f>
        <v>Yes</v>
      </c>
      <c r="AT50" s="5" t="str">
        <f>IFERROR(__xludf.DUMMYFUNCTION("""COMPUTED_VALUE"""),"No")</f>
        <v>No</v>
      </c>
      <c r="AU50" s="5"/>
      <c r="AV50" s="5" t="str">
        <f>IFERROR(__xludf.DUMMYFUNCTION("""COMPUTED_VALUE"""),"Available")</f>
        <v>Available</v>
      </c>
      <c r="AW50" s="5" t="str">
        <f>IFERROR(__xludf.DUMMYFUNCTION("""COMPUTED_VALUE"""),"")</f>
        <v/>
      </c>
      <c r="AX50" s="5" t="str">
        <f>IFERROR(__xludf.DUMMYFUNCTION("""COMPUTED_VALUE"""),"Available")</f>
        <v>Available</v>
      </c>
      <c r="AY50" s="5" t="str">
        <f>IFERROR(__xludf.DUMMYFUNCTION("""COMPUTED_VALUE"""),"Available")</f>
        <v>Available</v>
      </c>
      <c r="AZ50" s="5" t="str">
        <f>IFERROR(__xludf.DUMMYFUNCTION("""COMPUTED_VALUE"""),"Available")</f>
        <v>Available</v>
      </c>
      <c r="BA50" s="5" t="str">
        <f>IFERROR(__xludf.DUMMYFUNCTION("""COMPUTED_VALUE"""),"Available")</f>
        <v>Available</v>
      </c>
      <c r="BB50" s="5" t="str">
        <f>IFERROR(__xludf.DUMMYFUNCTION("""COMPUTED_VALUE"""),"Available")</f>
        <v>Available</v>
      </c>
      <c r="BC50" s="5" t="str">
        <f>IFERROR(__xludf.DUMMYFUNCTION("""COMPUTED_VALUE"""),"Available")</f>
        <v>Available</v>
      </c>
      <c r="BD50" s="5" t="str">
        <f>IFERROR(__xludf.DUMMYFUNCTION("""COMPUTED_VALUE"""),"")</f>
        <v/>
      </c>
      <c r="BE50" s="5" t="str">
        <f>IFERROR(__xludf.DUMMYFUNCTION("""COMPUTED_VALUE"""),"")</f>
        <v/>
      </c>
      <c r="BF50" s="5" t="str">
        <f>IFERROR(__xludf.DUMMYFUNCTION("""COMPUTED_VALUE"""),"")</f>
        <v/>
      </c>
      <c r="BG50" s="5" t="str">
        <f>IFERROR(__xludf.DUMMYFUNCTION("""COMPUTED_VALUE"""),"")</f>
        <v/>
      </c>
      <c r="BH50" s="5" t="str">
        <f>IFERROR(__xludf.DUMMYFUNCTION("""COMPUTED_VALUE"""),"Available")</f>
        <v>Available</v>
      </c>
      <c r="BI50" s="5" t="str">
        <f>IFERROR(__xludf.DUMMYFUNCTION("""COMPUTED_VALUE"""),"Available")</f>
        <v>Available</v>
      </c>
      <c r="BJ50" s="5" t="str">
        <f>IFERROR(__xludf.DUMMYFUNCTION("""COMPUTED_VALUE"""),"Available")</f>
        <v>Available</v>
      </c>
      <c r="BK50" s="5" t="str">
        <f>IFERROR(__xludf.DUMMYFUNCTION("""COMPUTED_VALUE"""),"Available")</f>
        <v>Available</v>
      </c>
      <c r="BL50" s="5" t="str">
        <f>IFERROR(__xludf.DUMMYFUNCTION("""COMPUTED_VALUE"""),"")</f>
        <v/>
      </c>
      <c r="BM50" s="5" t="str">
        <f>IFERROR(__xludf.DUMMYFUNCTION("""COMPUTED_VALUE"""),"Available")</f>
        <v>Available</v>
      </c>
    </row>
    <row r="51">
      <c r="A51" s="5" t="str">
        <f>IFERROR(__xludf.DUMMYFUNCTION("""COMPUTED_VALUE"""),"Fazi")</f>
        <v>Fazi</v>
      </c>
      <c r="B51" s="5" t="str">
        <f>IFERROR(__xludf.DUMMYFUNCTION("""COMPUTED_VALUE"""),"Mega Cubes Deluxe")</f>
        <v>Mega Cubes Deluxe</v>
      </c>
      <c r="C51" s="5" t="str">
        <f>IFERROR(__xludf.DUMMYFUNCTION("""COMPUTED_VALUE"""),"MegaCubesDeluxe")</f>
        <v>MegaCubesDeluxe</v>
      </c>
      <c r="D51" s="6">
        <f>IFERROR(__xludf.DUMMYFUNCTION("""COMPUTED_VALUE"""),44399.0)</f>
        <v>44399</v>
      </c>
      <c r="E51" s="5" t="str">
        <f>IFERROR(__xludf.DUMMYFUNCTION("""COMPUTED_VALUE"""),"Slot")</f>
        <v>Slot</v>
      </c>
      <c r="F51" s="5">
        <f>IFERROR(__xludf.DUMMYFUNCTION("""COMPUTED_VALUE"""),15.5)</f>
        <v>15.5</v>
      </c>
      <c r="G51" s="5" t="str">
        <f>IFERROR(__xludf.DUMMYFUNCTION("""COMPUTED_VALUE"""),"5x3")</f>
        <v>5x3</v>
      </c>
      <c r="H51" s="5" t="str">
        <f>IFERROR(__xludf.DUMMYFUNCTION("""COMPUTED_VALUE"""),"5")</f>
        <v>5</v>
      </c>
      <c r="I51" s="5" t="str">
        <f>IFERROR(__xludf.DUMMYFUNCTION("""COMPUTED_VALUE"""),"5")</f>
        <v>5</v>
      </c>
      <c r="J51" s="5" t="str">
        <f>IFERROR(__xludf.DUMMYFUNCTION("""COMPUTED_VALUE"""),"95.485%")</f>
        <v>95.485%</v>
      </c>
      <c r="K51" s="5" t="str">
        <f>IFERROR(__xludf.DUMMYFUNCTION("""COMPUTED_VALUE"""),"Medium")</f>
        <v>Medium</v>
      </c>
      <c r="L51" s="5" t="str">
        <f>IFERROR(__xludf.DUMMYFUNCTION("""COMPUTED_VALUE"""),"12.49%")</f>
        <v>12.49%</v>
      </c>
      <c r="M51" s="5" t="str">
        <f>IFERROR(__xludf.DUMMYFUNCTION("""COMPUTED_VALUE"""),"x480")</f>
        <v>x480</v>
      </c>
      <c r="N51" s="5" t="str">
        <f>IFERROR(__xludf.DUMMYFUNCTION("""COMPUTED_VALUE"""),"0.05/30")</f>
        <v>0.05/30</v>
      </c>
      <c r="O51" s="5" t="str">
        <f>IFERROR(__xludf.DUMMYFUNCTION("""COMPUTED_VALUE"""),"Yes")</f>
        <v>Yes</v>
      </c>
      <c r="P51" s="5" t="str">
        <f>IFERROR(__xludf.DUMMYFUNCTION("""COMPUTED_VALUE"""),"Scatter")</f>
        <v>Scatter</v>
      </c>
      <c r="Q51" s="7" t="str">
        <f>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R51" s="5" t="str">
        <f>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S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1" s="5" t="str">
        <f>IFERROR(__xludf.DUMMYFUNCTION("""COMPUTED_VALUE"""),"Yes")</f>
        <v>Yes</v>
      </c>
      <c r="U51" s="5" t="str">
        <f>IFERROR(__xludf.DUMMYFUNCTION("""COMPUTED_VALUE"""),"Yes")</f>
        <v>Yes</v>
      </c>
      <c r="V51" s="5" t="str">
        <f>IFERROR(__xludf.DUMMYFUNCTION("""COMPUTED_VALUE"""),"Yes")</f>
        <v>Yes</v>
      </c>
      <c r="W51" s="5" t="str">
        <f>IFERROR(__xludf.DUMMYFUNCTION("""COMPUTED_VALUE"""),"Yes")</f>
        <v>Yes</v>
      </c>
      <c r="X51" s="5" t="str">
        <f>IFERROR(__xludf.DUMMYFUNCTION("""COMPUTED_VALUE"""),"Yes")</f>
        <v>Yes</v>
      </c>
      <c r="Y51" s="5" t="str">
        <f>IFERROR(__xludf.DUMMYFUNCTION("""COMPUTED_VALUE"""),"Yes")</f>
        <v>Yes</v>
      </c>
      <c r="Z51" s="5" t="str">
        <f>IFERROR(__xludf.DUMMYFUNCTION("""COMPUTED_VALUE"""),"Yes")</f>
        <v>Yes</v>
      </c>
      <c r="AA51" s="5" t="str">
        <f>IFERROR(__xludf.DUMMYFUNCTION("""COMPUTED_VALUE"""),"Yes")</f>
        <v>Yes</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IFERROR(__xludf.DUMMYFUNCTION("""COMPUTED_VALUE"""),"Yes")</f>
        <v>Yes</v>
      </c>
      <c r="AH51" s="5" t="str">
        <f>IFERROR(__xludf.DUMMYFUNCTION("""COMPUTED_VALUE"""),"Yes")</f>
        <v>Yes</v>
      </c>
      <c r="AI51" s="5" t="str">
        <f>IFERROR(__xludf.DUMMYFUNCTION("""COMPUTED_VALUE"""),"Yes")</f>
        <v>Yes</v>
      </c>
      <c r="AJ51" s="5" t="str">
        <f>IFERROR(__xludf.DUMMYFUNCTION("""COMPUTED_VALUE"""),"Yes")</f>
        <v>Yes</v>
      </c>
      <c r="AK51" s="5" t="str">
        <f>IFERROR(__xludf.DUMMYFUNCTION("""COMPUTED_VALUE"""),"Yes")</f>
        <v>Yes</v>
      </c>
      <c r="AL51" s="5" t="str">
        <f>IFERROR(__xludf.DUMMYFUNCTION("""COMPUTED_VALUE"""),"Yes")</f>
        <v>Yes</v>
      </c>
      <c r="AM51" s="5" t="str">
        <f>IFERROR(__xludf.DUMMYFUNCTION("""COMPUTED_VALUE"""),"Yes")</f>
        <v>Yes</v>
      </c>
      <c r="AN51" s="5" t="str">
        <f>IFERROR(__xludf.DUMMYFUNCTION("""COMPUTED_VALUE"""),"Yes")</f>
        <v>Yes</v>
      </c>
      <c r="AO51" s="5" t="str">
        <f>IFERROR(__xludf.DUMMYFUNCTION("""COMPUTED_VALUE"""),"Yes")</f>
        <v>Yes</v>
      </c>
      <c r="AP51" s="5" t="str">
        <f>IFERROR(__xludf.DUMMYFUNCTION("""COMPUTED_VALUE"""),"Yes")</f>
        <v>Yes</v>
      </c>
      <c r="AQ51" s="5" t="str">
        <f>IFERROR(__xludf.DUMMYFUNCTION("""COMPUTED_VALUE"""),"Yes")</f>
        <v>Yes</v>
      </c>
      <c r="AR51" s="5" t="str">
        <f>IFERROR(__xludf.DUMMYFUNCTION("""COMPUTED_VALUE"""),"Yes")</f>
        <v>Yes</v>
      </c>
      <c r="AS51" s="5" t="str">
        <f>IFERROR(__xludf.DUMMYFUNCTION("""COMPUTED_VALUE"""),"Yes")</f>
        <v>Yes</v>
      </c>
      <c r="AT51" s="5" t="str">
        <f>IFERROR(__xludf.DUMMYFUNCTION("""COMPUTED_VALUE"""),"No")</f>
        <v>No</v>
      </c>
      <c r="AU51" s="5"/>
      <c r="AV51" s="5" t="str">
        <f>IFERROR(__xludf.DUMMYFUNCTION("""COMPUTED_VALUE"""),"Available")</f>
        <v>Available</v>
      </c>
      <c r="AW51" s="5" t="str">
        <f>IFERROR(__xludf.DUMMYFUNCTION("""COMPUTED_VALUE"""),"")</f>
        <v/>
      </c>
      <c r="AX51" s="5" t="str">
        <f>IFERROR(__xludf.DUMMYFUNCTION("""COMPUTED_VALUE"""),"")</f>
        <v/>
      </c>
      <c r="AY51" s="5" t="str">
        <f>IFERROR(__xludf.DUMMYFUNCTION("""COMPUTED_VALUE"""),"")</f>
        <v/>
      </c>
      <c r="AZ51" s="5" t="str">
        <f>IFERROR(__xludf.DUMMYFUNCTION("""COMPUTED_VALUE"""),"")</f>
        <v/>
      </c>
      <c r="BA51" s="5" t="str">
        <f>IFERROR(__xludf.DUMMYFUNCTION("""COMPUTED_VALUE"""),"")</f>
        <v/>
      </c>
      <c r="BB51" s="5" t="str">
        <f>IFERROR(__xludf.DUMMYFUNCTION("""COMPUTED_VALUE"""),"")</f>
        <v/>
      </c>
      <c r="BC51" s="5" t="str">
        <f>IFERROR(__xludf.DUMMYFUNCTION("""COMPUTED_VALUE"""),"")</f>
        <v/>
      </c>
      <c r="BD51" s="5" t="str">
        <f>IFERROR(__xludf.DUMMYFUNCTION("""COMPUTED_VALUE"""),"")</f>
        <v/>
      </c>
      <c r="BE51" s="5" t="str">
        <f>IFERROR(__xludf.DUMMYFUNCTION("""COMPUTED_VALUE"""),"")</f>
        <v/>
      </c>
      <c r="BF51" s="5" t="str">
        <f>IFERROR(__xludf.DUMMYFUNCTION("""COMPUTED_VALUE"""),"")</f>
        <v/>
      </c>
      <c r="BG51" s="5" t="str">
        <f>IFERROR(__xludf.DUMMYFUNCTION("""COMPUTED_VALUE"""),"")</f>
        <v/>
      </c>
      <c r="BH51" s="5" t="str">
        <f>IFERROR(__xludf.DUMMYFUNCTION("""COMPUTED_VALUE"""),"")</f>
        <v/>
      </c>
      <c r="BI51" s="5" t="str">
        <f>IFERROR(__xludf.DUMMYFUNCTION("""COMPUTED_VALUE"""),"")</f>
        <v/>
      </c>
      <c r="BJ51" s="5" t="str">
        <f>IFERROR(__xludf.DUMMYFUNCTION("""COMPUTED_VALUE"""),"")</f>
        <v/>
      </c>
      <c r="BK51" s="5" t="str">
        <f>IFERROR(__xludf.DUMMYFUNCTION("""COMPUTED_VALUE"""),"")</f>
        <v/>
      </c>
      <c r="BL51" s="5" t="str">
        <f>IFERROR(__xludf.DUMMYFUNCTION("""COMPUTED_VALUE"""),"")</f>
        <v/>
      </c>
      <c r="BM51" s="5" t="str">
        <f>IFERROR(__xludf.DUMMYFUNCTION("""COMPUTED_VALUE"""),"")</f>
        <v/>
      </c>
    </row>
    <row r="52">
      <c r="A52" s="5" t="str">
        <f>IFERROR(__xludf.DUMMYFUNCTION("""COMPUTED_VALUE"""),"Fazi")</f>
        <v>Fazi</v>
      </c>
      <c r="B52" s="5" t="str">
        <f>IFERROR(__xludf.DUMMYFUNCTION("""COMPUTED_VALUE"""),"Lolla's World")</f>
        <v>Lolla's World</v>
      </c>
      <c r="C52" s="5" t="str">
        <f>IFERROR(__xludf.DUMMYFUNCTION("""COMPUTED_VALUE"""),"LollasWorld")</f>
        <v>LollasWorld</v>
      </c>
      <c r="D52" s="6">
        <f>IFERROR(__xludf.DUMMYFUNCTION("""COMPUTED_VALUE"""),44434.0)</f>
        <v>44434</v>
      </c>
      <c r="E52" s="5" t="str">
        <f>IFERROR(__xludf.DUMMYFUNCTION("""COMPUTED_VALUE"""),"Slot")</f>
        <v>Slot</v>
      </c>
      <c r="F52" s="5">
        <f>IFERROR(__xludf.DUMMYFUNCTION("""COMPUTED_VALUE"""),29.3)</f>
        <v>29.3</v>
      </c>
      <c r="G52" s="5" t="str">
        <f>IFERROR(__xludf.DUMMYFUNCTION("""COMPUTED_VALUE"""),"5x4")</f>
        <v>5x4</v>
      </c>
      <c r="H52" s="5" t="str">
        <f>IFERROR(__xludf.DUMMYFUNCTION("""COMPUTED_VALUE"""),"40")</f>
        <v>40</v>
      </c>
      <c r="I52" s="5" t="str">
        <f>IFERROR(__xludf.DUMMYFUNCTION("""COMPUTED_VALUE"""),"40")</f>
        <v>40</v>
      </c>
      <c r="J52" s="5" t="str">
        <f>IFERROR(__xludf.DUMMYFUNCTION("""COMPUTED_VALUE"""),"95.479%")</f>
        <v>95.479%</v>
      </c>
      <c r="K52" s="5" t="str">
        <f>IFERROR(__xludf.DUMMYFUNCTION("""COMPUTED_VALUE"""),"Medium")</f>
        <v>Medium</v>
      </c>
      <c r="L52" s="5" t="str">
        <f>IFERROR(__xludf.DUMMYFUNCTION("""COMPUTED_VALUE"""),"14.8%")</f>
        <v>14.8%</v>
      </c>
      <c r="M52" s="5" t="str">
        <f>IFERROR(__xludf.DUMMYFUNCTION("""COMPUTED_VALUE"""),"x1000")</f>
        <v>x1000</v>
      </c>
      <c r="N52" s="5" t="str">
        <f>IFERROR(__xludf.DUMMYFUNCTION("""COMPUTED_VALUE"""),"0.4/60")</f>
        <v>0.4/60</v>
      </c>
      <c r="O52" s="5" t="str">
        <f>IFERROR(__xludf.DUMMYFUNCTION("""COMPUTED_VALUE"""),"Yes")</f>
        <v>Yes</v>
      </c>
      <c r="P52" s="5" t="str">
        <f>IFERROR(__xludf.DUMMYFUNCTION("""COMPUTED_VALUE"""),"Scatter, Wild Symbol")</f>
        <v>Scatter, Wild Symbol</v>
      </c>
      <c r="Q52" s="7" t="str">
        <f>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R52" s="5" t="str">
        <f>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S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2" s="5" t="str">
        <f>IFERROR(__xludf.DUMMYFUNCTION("""COMPUTED_VALUE"""),"Yes")</f>
        <v>Yes</v>
      </c>
      <c r="U52" s="5" t="str">
        <f>IFERROR(__xludf.DUMMYFUNCTION("""COMPUTED_VALUE"""),"Yes")</f>
        <v>Yes</v>
      </c>
      <c r="V52" s="5" t="str">
        <f>IFERROR(__xludf.DUMMYFUNCTION("""COMPUTED_VALUE"""),"Yes")</f>
        <v>Yes</v>
      </c>
      <c r="W52" s="5" t="str">
        <f>IFERROR(__xludf.DUMMYFUNCTION("""COMPUTED_VALUE"""),"Yes")</f>
        <v>Yes</v>
      </c>
      <c r="X52" s="5" t="str">
        <f>IFERROR(__xludf.DUMMYFUNCTION("""COMPUTED_VALUE"""),"Yes")</f>
        <v>Yes</v>
      </c>
      <c r="Y52" s="5" t="str">
        <f>IFERROR(__xludf.DUMMYFUNCTION("""COMPUTED_VALUE"""),"Yes")</f>
        <v>Yes</v>
      </c>
      <c r="Z52" s="5" t="str">
        <f>IFERROR(__xludf.DUMMYFUNCTION("""COMPUTED_VALUE"""),"Yes")</f>
        <v>Yes</v>
      </c>
      <c r="AA52" s="5" t="str">
        <f>IFERROR(__xludf.DUMMYFUNCTION("""COMPUTED_VALUE"""),"Yes")</f>
        <v>Yes</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IFERROR(__xludf.DUMMYFUNCTION("""COMPUTED_VALUE"""),"Yes")</f>
        <v>Yes</v>
      </c>
      <c r="AH52" s="5" t="str">
        <f>IFERROR(__xludf.DUMMYFUNCTION("""COMPUTED_VALUE"""),"Yes")</f>
        <v>Yes</v>
      </c>
      <c r="AI52" s="5" t="str">
        <f>IFERROR(__xludf.DUMMYFUNCTION("""COMPUTED_VALUE"""),"Yes")</f>
        <v>Yes</v>
      </c>
      <c r="AJ52" s="5" t="str">
        <f>IFERROR(__xludf.DUMMYFUNCTION("""COMPUTED_VALUE"""),"Yes")</f>
        <v>Yes</v>
      </c>
      <c r="AK52" s="5" t="str">
        <f>IFERROR(__xludf.DUMMYFUNCTION("""COMPUTED_VALUE"""),"Yes")</f>
        <v>Yes</v>
      </c>
      <c r="AL52" s="5" t="str">
        <f>IFERROR(__xludf.DUMMYFUNCTION("""COMPUTED_VALUE"""),"Yes")</f>
        <v>Yes</v>
      </c>
      <c r="AM52" s="5" t="str">
        <f>IFERROR(__xludf.DUMMYFUNCTION("""COMPUTED_VALUE"""),"Yes")</f>
        <v>Yes</v>
      </c>
      <c r="AN52" s="5" t="str">
        <f>IFERROR(__xludf.DUMMYFUNCTION("""COMPUTED_VALUE"""),"Yes")</f>
        <v>Yes</v>
      </c>
      <c r="AO52" s="5" t="str">
        <f>IFERROR(__xludf.DUMMYFUNCTION("""COMPUTED_VALUE"""),"Yes")</f>
        <v>Yes</v>
      </c>
      <c r="AP52" s="5" t="str">
        <f>IFERROR(__xludf.DUMMYFUNCTION("""COMPUTED_VALUE"""),"Yes")</f>
        <v>Yes</v>
      </c>
      <c r="AQ52" s="5" t="str">
        <f>IFERROR(__xludf.DUMMYFUNCTION("""COMPUTED_VALUE"""),"Yes")</f>
        <v>Yes</v>
      </c>
      <c r="AR52" s="5" t="str">
        <f>IFERROR(__xludf.DUMMYFUNCTION("""COMPUTED_VALUE"""),"Yes")</f>
        <v>Yes</v>
      </c>
      <c r="AS52" s="5" t="str">
        <f>IFERROR(__xludf.DUMMYFUNCTION("""COMPUTED_VALUE"""),"Yes")</f>
        <v>Yes</v>
      </c>
      <c r="AT52" s="5" t="str">
        <f>IFERROR(__xludf.DUMMYFUNCTION("""COMPUTED_VALUE"""),"No")</f>
        <v>No</v>
      </c>
      <c r="AU52" s="5"/>
      <c r="AV52" s="5" t="str">
        <f>IFERROR(__xludf.DUMMYFUNCTION("""COMPUTED_VALUE"""),"Available")</f>
        <v>Available</v>
      </c>
      <c r="AW52" s="5" t="str">
        <f>IFERROR(__xludf.DUMMYFUNCTION("""COMPUTED_VALUE"""),"Available")</f>
        <v>Available</v>
      </c>
      <c r="AX52" s="5" t="str">
        <f>IFERROR(__xludf.DUMMYFUNCTION("""COMPUTED_VALUE"""),"Available")</f>
        <v>Available</v>
      </c>
      <c r="AY52" s="5" t="str">
        <f>IFERROR(__xludf.DUMMYFUNCTION("""COMPUTED_VALUE"""),"Available")</f>
        <v>Available</v>
      </c>
      <c r="AZ52" s="5" t="str">
        <f>IFERROR(__xludf.DUMMYFUNCTION("""COMPUTED_VALUE"""),"Available")</f>
        <v>Available</v>
      </c>
      <c r="BA52" s="5" t="str">
        <f>IFERROR(__xludf.DUMMYFUNCTION("""COMPUTED_VALUE"""),"")</f>
        <v/>
      </c>
      <c r="BB52" s="5" t="str">
        <f>IFERROR(__xludf.DUMMYFUNCTION("""COMPUTED_VALUE"""),"Available")</f>
        <v>Available</v>
      </c>
      <c r="BC52" s="5" t="str">
        <f>IFERROR(__xludf.DUMMYFUNCTION("""COMPUTED_VALUE"""),"Available")</f>
        <v>Available</v>
      </c>
      <c r="BD52" s="5" t="str">
        <f>IFERROR(__xludf.DUMMYFUNCTION("""COMPUTED_VALUE"""),"Available")</f>
        <v>Available</v>
      </c>
      <c r="BE52" s="5" t="str">
        <f>IFERROR(__xludf.DUMMYFUNCTION("""COMPUTED_VALUE"""),"Available")</f>
        <v>Available</v>
      </c>
      <c r="BF52" s="5" t="str">
        <f>IFERROR(__xludf.DUMMYFUNCTION("""COMPUTED_VALUE"""),"Available")</f>
        <v>Available</v>
      </c>
      <c r="BG52" s="5" t="str">
        <f>IFERROR(__xludf.DUMMYFUNCTION("""COMPUTED_VALUE"""),"Available")</f>
        <v>Available</v>
      </c>
      <c r="BH52" s="5" t="str">
        <f>IFERROR(__xludf.DUMMYFUNCTION("""COMPUTED_VALUE"""),"Available")</f>
        <v>Available</v>
      </c>
      <c r="BI52" s="5" t="str">
        <f>IFERROR(__xludf.DUMMYFUNCTION("""COMPUTED_VALUE"""),"Available")</f>
        <v>Available</v>
      </c>
      <c r="BJ52" s="5" t="str">
        <f>IFERROR(__xludf.DUMMYFUNCTION("""COMPUTED_VALUE"""),"Available")</f>
        <v>Available</v>
      </c>
      <c r="BK52" s="5" t="str">
        <f>IFERROR(__xludf.DUMMYFUNCTION("""COMPUTED_VALUE"""),"Available")</f>
        <v>Available</v>
      </c>
      <c r="BL52" s="5" t="str">
        <f>IFERROR(__xludf.DUMMYFUNCTION("""COMPUTED_VALUE"""),"")</f>
        <v/>
      </c>
      <c r="BM52" s="5" t="str">
        <f>IFERROR(__xludf.DUMMYFUNCTION("""COMPUTED_VALUE"""),"Available")</f>
        <v>Available</v>
      </c>
    </row>
    <row r="53">
      <c r="A53" s="5" t="str">
        <f>IFERROR(__xludf.DUMMYFUNCTION("""COMPUTED_VALUE"""),"Fazi")</f>
        <v>Fazi</v>
      </c>
      <c r="B53" s="5" t="str">
        <f>IFERROR(__xludf.DUMMYFUNCTION("""COMPUTED_VALUE"""),"Very Hot 5")</f>
        <v>Very Hot 5</v>
      </c>
      <c r="C53" s="5" t="str">
        <f>IFERROR(__xludf.DUMMYFUNCTION("""COMPUTED_VALUE"""),"VeryHot5")</f>
        <v>VeryHot5</v>
      </c>
      <c r="D53" s="6">
        <f>IFERROR(__xludf.DUMMYFUNCTION("""COMPUTED_VALUE"""),44420.0)</f>
        <v>44420</v>
      </c>
      <c r="E53" s="5" t="str">
        <f>IFERROR(__xludf.DUMMYFUNCTION("""COMPUTED_VALUE"""),"Slot")</f>
        <v>Slot</v>
      </c>
      <c r="F53" s="5">
        <f>IFERROR(__xludf.DUMMYFUNCTION("""COMPUTED_VALUE"""),17.3)</f>
        <v>17.3</v>
      </c>
      <c r="G53" s="5" t="str">
        <f>IFERROR(__xludf.DUMMYFUNCTION("""COMPUTED_VALUE"""),"5x3")</f>
        <v>5x3</v>
      </c>
      <c r="H53" s="5" t="str">
        <f>IFERROR(__xludf.DUMMYFUNCTION("""COMPUTED_VALUE"""),"5")</f>
        <v>5</v>
      </c>
      <c r="I53" s="5" t="str">
        <f>IFERROR(__xludf.DUMMYFUNCTION("""COMPUTED_VALUE"""),"5")</f>
        <v>5</v>
      </c>
      <c r="J53" s="5" t="str">
        <f>IFERROR(__xludf.DUMMYFUNCTION("""COMPUTED_VALUE"""),"96.447%")</f>
        <v>96.447%</v>
      </c>
      <c r="K53" s="5" t="str">
        <f>IFERROR(__xludf.DUMMYFUNCTION("""COMPUTED_VALUE"""),"Medium")</f>
        <v>Medium</v>
      </c>
      <c r="L53" s="5" t="str">
        <f>IFERROR(__xludf.DUMMYFUNCTION("""COMPUTED_VALUE"""),"14.51%")</f>
        <v>14.51%</v>
      </c>
      <c r="M53" s="5" t="str">
        <f>IFERROR(__xludf.DUMMYFUNCTION("""COMPUTED_VALUE"""),"x1222")</f>
        <v>x1222</v>
      </c>
      <c r="N53" s="5" t="str">
        <f>IFERROR(__xludf.DUMMYFUNCTION("""COMPUTED_VALUE"""),"0.05/30")</f>
        <v>0.05/30</v>
      </c>
      <c r="O53" s="5" t="str">
        <f>IFERROR(__xludf.DUMMYFUNCTION("""COMPUTED_VALUE"""),"Yes")</f>
        <v>Yes</v>
      </c>
      <c r="P53" s="5" t="str">
        <f>IFERROR(__xludf.DUMMYFUNCTION("""COMPUTED_VALUE"""),"Scatter, Expanding Wild")</f>
        <v>Scatter, Expanding Wild</v>
      </c>
      <c r="Q53" s="7" t="str">
        <f>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R53" s="5" t="str">
        <f>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S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IFERROR(__xludf.DUMMYFUNCTION("""COMPUTED_VALUE"""),"Yes")</f>
        <v>Yes</v>
      </c>
      <c r="AH53" s="5" t="str">
        <f>IFERROR(__xludf.DUMMYFUNCTION("""COMPUTED_VALUE"""),"Yes")</f>
        <v>Yes</v>
      </c>
      <c r="AI53" s="5" t="str">
        <f>IFERROR(__xludf.DUMMYFUNCTION("""COMPUTED_VALUE"""),"Yes")</f>
        <v>Yes</v>
      </c>
      <c r="AJ53" s="5" t="str">
        <f>IFERROR(__xludf.DUMMYFUNCTION("""COMPUTED_VALUE"""),"Yes")</f>
        <v>Yes</v>
      </c>
      <c r="AK53" s="5" t="str">
        <f>IFERROR(__xludf.DUMMYFUNCTION("""COMPUTED_VALUE"""),"Yes")</f>
        <v>Yes</v>
      </c>
      <c r="AL53" s="5" t="str">
        <f>IFERROR(__xludf.DUMMYFUNCTION("""COMPUTED_VALUE"""),"Yes")</f>
        <v>Yes</v>
      </c>
      <c r="AM53" s="5" t="str">
        <f>IFERROR(__xludf.DUMMYFUNCTION("""COMPUTED_VALUE"""),"Yes")</f>
        <v>Yes</v>
      </c>
      <c r="AN53" s="5" t="str">
        <f>IFERROR(__xludf.DUMMYFUNCTION("""COMPUTED_VALUE"""),"Yes")</f>
        <v>Yes</v>
      </c>
      <c r="AO53" s="5" t="str">
        <f>IFERROR(__xludf.DUMMYFUNCTION("""COMPUTED_VALUE"""),"Yes")</f>
        <v>Yes</v>
      </c>
      <c r="AP53" s="5" t="str">
        <f>IFERROR(__xludf.DUMMYFUNCTION("""COMPUTED_VALUE"""),"Yes")</f>
        <v>Yes</v>
      </c>
      <c r="AQ53" s="5" t="str">
        <f>IFERROR(__xludf.DUMMYFUNCTION("""COMPUTED_VALUE"""),"Yes")</f>
        <v>Yes</v>
      </c>
      <c r="AR53" s="5" t="str">
        <f>IFERROR(__xludf.DUMMYFUNCTION("""COMPUTED_VALUE"""),"Yes")</f>
        <v>Yes</v>
      </c>
      <c r="AS53" s="5" t="str">
        <f>IFERROR(__xludf.DUMMYFUNCTION("""COMPUTED_VALUE"""),"Yes")</f>
        <v>Yes</v>
      </c>
      <c r="AT53" s="5" t="str">
        <f>IFERROR(__xludf.DUMMYFUNCTION("""COMPUTED_VALUE"""),"No")</f>
        <v>No</v>
      </c>
      <c r="AU53" s="5"/>
      <c r="AV53" s="5" t="str">
        <f>IFERROR(__xludf.DUMMYFUNCTION("""COMPUTED_VALUE"""),"Available")</f>
        <v>Available</v>
      </c>
      <c r="AW53" s="5" t="str">
        <f>IFERROR(__xludf.DUMMYFUNCTION("""COMPUTED_VALUE"""),"Available")</f>
        <v>Available</v>
      </c>
      <c r="AX53" s="5" t="str">
        <f>IFERROR(__xludf.DUMMYFUNCTION("""COMPUTED_VALUE"""),"Available")</f>
        <v>Available</v>
      </c>
      <c r="AY53" s="5" t="str">
        <f>IFERROR(__xludf.DUMMYFUNCTION("""COMPUTED_VALUE"""),"Available")</f>
        <v>Available</v>
      </c>
      <c r="AZ53" s="5" t="str">
        <f>IFERROR(__xludf.DUMMYFUNCTION("""COMPUTED_VALUE"""),"Available")</f>
        <v>Available</v>
      </c>
      <c r="BA53" s="5" t="str">
        <f>IFERROR(__xludf.DUMMYFUNCTION("""COMPUTED_VALUE"""),"Available")</f>
        <v>Available</v>
      </c>
      <c r="BB53" s="5" t="str">
        <f>IFERROR(__xludf.DUMMYFUNCTION("""COMPUTED_VALUE"""),"Available")</f>
        <v>Available</v>
      </c>
      <c r="BC53" s="5" t="str">
        <f>IFERROR(__xludf.DUMMYFUNCTION("""COMPUTED_VALUE"""),"Available")</f>
        <v>Available</v>
      </c>
      <c r="BD53" s="5" t="str">
        <f>IFERROR(__xludf.DUMMYFUNCTION("""COMPUTED_VALUE"""),"Available")</f>
        <v>Available</v>
      </c>
      <c r="BE53" s="5" t="str">
        <f>IFERROR(__xludf.DUMMYFUNCTION("""COMPUTED_VALUE"""),"Available")</f>
        <v>Available</v>
      </c>
      <c r="BF53" s="5" t="str">
        <f>IFERROR(__xludf.DUMMYFUNCTION("""COMPUTED_VALUE"""),"Available")</f>
        <v>Available</v>
      </c>
      <c r="BG53" s="5" t="str">
        <f>IFERROR(__xludf.DUMMYFUNCTION("""COMPUTED_VALUE"""),"Available")</f>
        <v>Available</v>
      </c>
      <c r="BH53" s="5" t="str">
        <f>IFERROR(__xludf.DUMMYFUNCTION("""COMPUTED_VALUE"""),"Available")</f>
        <v>Available</v>
      </c>
      <c r="BI53" s="5" t="str">
        <f>IFERROR(__xludf.DUMMYFUNCTION("""COMPUTED_VALUE"""),"Available")</f>
        <v>Available</v>
      </c>
      <c r="BJ53" s="5" t="str">
        <f>IFERROR(__xludf.DUMMYFUNCTION("""COMPUTED_VALUE"""),"Available")</f>
        <v>Available</v>
      </c>
      <c r="BK53" s="5" t="str">
        <f>IFERROR(__xludf.DUMMYFUNCTION("""COMPUTED_VALUE"""),"Available")</f>
        <v>Available</v>
      </c>
      <c r="BL53" s="5" t="str">
        <f>IFERROR(__xludf.DUMMYFUNCTION("""COMPUTED_VALUE"""),"Available")</f>
        <v>Available</v>
      </c>
      <c r="BM53" s="5" t="str">
        <f>IFERROR(__xludf.DUMMYFUNCTION("""COMPUTED_VALUE"""),"Available")</f>
        <v>Available</v>
      </c>
    </row>
    <row r="54">
      <c r="A54" s="5" t="str">
        <f>IFERROR(__xludf.DUMMYFUNCTION("""COMPUTED_VALUE"""),"Fazi")</f>
        <v>Fazi</v>
      </c>
      <c r="B54" s="5" t="str">
        <f>IFERROR(__xludf.DUMMYFUNCTION("""COMPUTED_VALUE"""),"Very Hot 40")</f>
        <v>Very Hot 40</v>
      </c>
      <c r="C54" s="5" t="str">
        <f>IFERROR(__xludf.DUMMYFUNCTION("""COMPUTED_VALUE"""),"VeryHot40")</f>
        <v>VeryHot40</v>
      </c>
      <c r="D54" s="6">
        <f>IFERROR(__xludf.DUMMYFUNCTION("""COMPUTED_VALUE"""),44420.0)</f>
        <v>44420</v>
      </c>
      <c r="E54" s="5" t="str">
        <f>IFERROR(__xludf.DUMMYFUNCTION("""COMPUTED_VALUE"""),"Slot")</f>
        <v>Slot</v>
      </c>
      <c r="F54" s="5">
        <f>IFERROR(__xludf.DUMMYFUNCTION("""COMPUTED_VALUE"""),17.4)</f>
        <v>17.4</v>
      </c>
      <c r="G54" s="5" t="str">
        <f>IFERROR(__xludf.DUMMYFUNCTION("""COMPUTED_VALUE"""),"5x3")</f>
        <v>5x3</v>
      </c>
      <c r="H54" s="5" t="str">
        <f>IFERROR(__xludf.DUMMYFUNCTION("""COMPUTED_VALUE"""),"40")</f>
        <v>40</v>
      </c>
      <c r="I54" s="5" t="str">
        <f>IFERROR(__xludf.DUMMYFUNCTION("""COMPUTED_VALUE"""),"40")</f>
        <v>40</v>
      </c>
      <c r="J54" s="5" t="str">
        <f>IFERROR(__xludf.DUMMYFUNCTION("""COMPUTED_VALUE"""),"96.53%")</f>
        <v>96.53%</v>
      </c>
      <c r="K54" s="5" t="str">
        <f>IFERROR(__xludf.DUMMYFUNCTION("""COMPUTED_VALUE"""),"Low")</f>
        <v>Low</v>
      </c>
      <c r="L54" s="5" t="str">
        <f>IFERROR(__xludf.DUMMYFUNCTION("""COMPUTED_VALUE"""),"23.38%")</f>
        <v>23.38%</v>
      </c>
      <c r="M54" s="5" t="str">
        <f>IFERROR(__xludf.DUMMYFUNCTION("""COMPUTED_VALUE"""),"x876.75")</f>
        <v>x876.75</v>
      </c>
      <c r="N54" s="5" t="str">
        <f>IFERROR(__xludf.DUMMYFUNCTION("""COMPUTED_VALUE"""),"0.4/60")</f>
        <v>0.4/60</v>
      </c>
      <c r="O54" s="5" t="str">
        <f>IFERROR(__xludf.DUMMYFUNCTION("""COMPUTED_VALUE"""),"Yes")</f>
        <v>Yes</v>
      </c>
      <c r="P54" s="5" t="str">
        <f>IFERROR(__xludf.DUMMYFUNCTION("""COMPUTED_VALUE"""),"Scatter, Expanding Wild")</f>
        <v>Scatter, Expanding Wild</v>
      </c>
      <c r="Q54" s="7" t="str">
        <f>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R54" s="5" t="str">
        <f>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S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4" s="5" t="str">
        <f>IFERROR(__xludf.DUMMYFUNCTION("""COMPUTED_VALUE"""),"Yes")</f>
        <v>Yes</v>
      </c>
      <c r="U54" s="5" t="str">
        <f>IFERROR(__xludf.DUMMYFUNCTION("""COMPUTED_VALUE"""),"Yes")</f>
        <v>Yes</v>
      </c>
      <c r="V54" s="5" t="str">
        <f>IFERROR(__xludf.DUMMYFUNCTION("""COMPUTED_VALUE"""),"Yes")</f>
        <v>Yes</v>
      </c>
      <c r="W54" s="5" t="str">
        <f>IFERROR(__xludf.DUMMYFUNCTION("""COMPUTED_VALUE"""),"Yes")</f>
        <v>Yes</v>
      </c>
      <c r="X54" s="5" t="str">
        <f>IFERROR(__xludf.DUMMYFUNCTION("""COMPUTED_VALUE"""),"Yes")</f>
        <v>Yes</v>
      </c>
      <c r="Y54" s="5" t="str">
        <f>IFERROR(__xludf.DUMMYFUNCTION("""COMPUTED_VALUE"""),"Yes")</f>
        <v>Yes</v>
      </c>
      <c r="Z54" s="5" t="str">
        <f>IFERROR(__xludf.DUMMYFUNCTION("""COMPUTED_VALUE"""),"Yes")</f>
        <v>Yes</v>
      </c>
      <c r="AA54" s="5" t="str">
        <f>IFERROR(__xludf.DUMMYFUNCTION("""COMPUTED_VALUE"""),"Yes")</f>
        <v>Yes</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IFERROR(__xludf.DUMMYFUNCTION("""COMPUTED_VALUE"""),"Yes")</f>
        <v>Yes</v>
      </c>
      <c r="AH54" s="5" t="str">
        <f>IFERROR(__xludf.DUMMYFUNCTION("""COMPUTED_VALUE"""),"Yes")</f>
        <v>Yes</v>
      </c>
      <c r="AI54" s="5" t="str">
        <f>IFERROR(__xludf.DUMMYFUNCTION("""COMPUTED_VALUE"""),"Yes")</f>
        <v>Yes</v>
      </c>
      <c r="AJ54" s="5" t="str">
        <f>IFERROR(__xludf.DUMMYFUNCTION("""COMPUTED_VALUE"""),"Yes")</f>
        <v>Yes</v>
      </c>
      <c r="AK54" s="5" t="str">
        <f>IFERROR(__xludf.DUMMYFUNCTION("""COMPUTED_VALUE"""),"Yes")</f>
        <v>Yes</v>
      </c>
      <c r="AL54" s="5" t="str">
        <f>IFERROR(__xludf.DUMMYFUNCTION("""COMPUTED_VALUE"""),"Yes")</f>
        <v>Yes</v>
      </c>
      <c r="AM54" s="5" t="str">
        <f>IFERROR(__xludf.DUMMYFUNCTION("""COMPUTED_VALUE"""),"Yes")</f>
        <v>Yes</v>
      </c>
      <c r="AN54" s="5" t="str">
        <f>IFERROR(__xludf.DUMMYFUNCTION("""COMPUTED_VALUE"""),"Yes")</f>
        <v>Yes</v>
      </c>
      <c r="AO54" s="5" t="str">
        <f>IFERROR(__xludf.DUMMYFUNCTION("""COMPUTED_VALUE"""),"Yes")</f>
        <v>Yes</v>
      </c>
      <c r="AP54" s="5" t="str">
        <f>IFERROR(__xludf.DUMMYFUNCTION("""COMPUTED_VALUE"""),"Yes")</f>
        <v>Yes</v>
      </c>
      <c r="AQ54" s="5" t="str">
        <f>IFERROR(__xludf.DUMMYFUNCTION("""COMPUTED_VALUE"""),"Yes")</f>
        <v>Yes</v>
      </c>
      <c r="AR54" s="5" t="str">
        <f>IFERROR(__xludf.DUMMYFUNCTION("""COMPUTED_VALUE"""),"Yes")</f>
        <v>Yes</v>
      </c>
      <c r="AS54" s="5" t="str">
        <f>IFERROR(__xludf.DUMMYFUNCTION("""COMPUTED_VALUE"""),"Yes")</f>
        <v>Yes</v>
      </c>
      <c r="AT54" s="5" t="str">
        <f>IFERROR(__xludf.DUMMYFUNCTION("""COMPUTED_VALUE"""),"No")</f>
        <v>No</v>
      </c>
      <c r="AU54" s="5"/>
      <c r="AV54" s="5" t="str">
        <f>IFERROR(__xludf.DUMMYFUNCTION("""COMPUTED_VALUE"""),"Available")</f>
        <v>Available</v>
      </c>
      <c r="AW54" s="5" t="str">
        <f>IFERROR(__xludf.DUMMYFUNCTION("""COMPUTED_VALUE"""),"Available")</f>
        <v>Available</v>
      </c>
      <c r="AX54" s="5" t="str">
        <f>IFERROR(__xludf.DUMMYFUNCTION("""COMPUTED_VALUE"""),"Available")</f>
        <v>Available</v>
      </c>
      <c r="AY54" s="5" t="str">
        <f>IFERROR(__xludf.DUMMYFUNCTION("""COMPUTED_VALUE"""),"Available")</f>
        <v>Available</v>
      </c>
      <c r="AZ54" s="5" t="str">
        <f>IFERROR(__xludf.DUMMYFUNCTION("""COMPUTED_VALUE"""),"Available")</f>
        <v>Available</v>
      </c>
      <c r="BA54" s="5" t="str">
        <f>IFERROR(__xludf.DUMMYFUNCTION("""COMPUTED_VALUE"""),"Available")</f>
        <v>Available</v>
      </c>
      <c r="BB54" s="5" t="str">
        <f>IFERROR(__xludf.DUMMYFUNCTION("""COMPUTED_VALUE"""),"Available")</f>
        <v>Available</v>
      </c>
      <c r="BC54" s="5" t="str">
        <f>IFERROR(__xludf.DUMMYFUNCTION("""COMPUTED_VALUE"""),"Available")</f>
        <v>Available</v>
      </c>
      <c r="BD54" s="5" t="str">
        <f>IFERROR(__xludf.DUMMYFUNCTION("""COMPUTED_VALUE"""),"Available")</f>
        <v>Available</v>
      </c>
      <c r="BE54" s="5" t="str">
        <f>IFERROR(__xludf.DUMMYFUNCTION("""COMPUTED_VALUE"""),"Available")</f>
        <v>Available</v>
      </c>
      <c r="BF54" s="5" t="str">
        <f>IFERROR(__xludf.DUMMYFUNCTION("""COMPUTED_VALUE"""),"Available")</f>
        <v>Available</v>
      </c>
      <c r="BG54" s="5" t="str">
        <f>IFERROR(__xludf.DUMMYFUNCTION("""COMPUTED_VALUE"""),"Available")</f>
        <v>Available</v>
      </c>
      <c r="BH54" s="5" t="str">
        <f>IFERROR(__xludf.DUMMYFUNCTION("""COMPUTED_VALUE"""),"")</f>
        <v/>
      </c>
      <c r="BI54" s="5" t="str">
        <f>IFERROR(__xludf.DUMMYFUNCTION("""COMPUTED_VALUE"""),"Available")</f>
        <v>Available</v>
      </c>
      <c r="BJ54" s="5" t="str">
        <f>IFERROR(__xludf.DUMMYFUNCTION("""COMPUTED_VALUE"""),"Available")</f>
        <v>Available</v>
      </c>
      <c r="BK54" s="5" t="str">
        <f>IFERROR(__xludf.DUMMYFUNCTION("""COMPUTED_VALUE"""),"Available")</f>
        <v>Available</v>
      </c>
      <c r="BL54" s="5" t="str">
        <f>IFERROR(__xludf.DUMMYFUNCTION("""COMPUTED_VALUE"""),"")</f>
        <v/>
      </c>
      <c r="BM54" s="5" t="str">
        <f>IFERROR(__xludf.DUMMYFUNCTION("""COMPUTED_VALUE"""),"Available")</f>
        <v>Available</v>
      </c>
    </row>
    <row r="55">
      <c r="A55" s="5" t="str">
        <f>IFERROR(__xludf.DUMMYFUNCTION("""COMPUTED_VALUE"""),"Fazi")</f>
        <v>Fazi</v>
      </c>
      <c r="B55" s="5" t="str">
        <f>IFERROR(__xludf.DUMMYFUNCTION("""COMPUTED_VALUE"""),"Jewels Beat")</f>
        <v>Jewels Beat</v>
      </c>
      <c r="C55" s="5" t="str">
        <f>IFERROR(__xludf.DUMMYFUNCTION("""COMPUTED_VALUE"""),"JewelsBeat")</f>
        <v>JewelsBeat</v>
      </c>
      <c r="D55" s="6">
        <f>IFERROR(__xludf.DUMMYFUNCTION("""COMPUTED_VALUE"""),44561.0)</f>
        <v>44561</v>
      </c>
      <c r="E55" s="5" t="str">
        <f>IFERROR(__xludf.DUMMYFUNCTION("""COMPUTED_VALUE"""),"Slot")</f>
        <v>Slot</v>
      </c>
      <c r="F55" s="5">
        <f>IFERROR(__xludf.DUMMYFUNCTION("""COMPUTED_VALUE"""),23.7)</f>
        <v>23.7</v>
      </c>
      <c r="G55" s="5" t="str">
        <f>IFERROR(__xludf.DUMMYFUNCTION("""COMPUTED_VALUE"""),"5x3")</f>
        <v>5x3</v>
      </c>
      <c r="H55" s="5" t="str">
        <f>IFERROR(__xludf.DUMMYFUNCTION("""COMPUTED_VALUE"""),"10")</f>
        <v>10</v>
      </c>
      <c r="I55" s="5" t="str">
        <f>IFERROR(__xludf.DUMMYFUNCTION("""COMPUTED_VALUE"""),"1,3,5,7,10")</f>
        <v>1,3,5,7,10</v>
      </c>
      <c r="J55" s="5" t="str">
        <f>IFERROR(__xludf.DUMMYFUNCTION("""COMPUTED_VALUE"""),"95.421%")</f>
        <v>95.421%</v>
      </c>
      <c r="K55" s="5" t="str">
        <f>IFERROR(__xludf.DUMMYFUNCTION("""COMPUTED_VALUE"""),"Medium")</f>
        <v>Medium</v>
      </c>
      <c r="L55" s="5" t="str">
        <f>IFERROR(__xludf.DUMMYFUNCTION("""COMPUTED_VALUE"""),"15.82%")</f>
        <v>15.82%</v>
      </c>
      <c r="M55" s="5" t="str">
        <f>IFERROR(__xludf.DUMMYFUNCTION("""COMPUTED_VALUE"""),"x5000")</f>
        <v>x5000</v>
      </c>
      <c r="N55" s="5" t="str">
        <f>IFERROR(__xludf.DUMMYFUNCTION("""COMPUTED_VALUE"""),"0.01/40")</f>
        <v>0.01/40</v>
      </c>
      <c r="O55" s="5" t="str">
        <f>IFERROR(__xludf.DUMMYFUNCTION("""COMPUTED_VALUE"""),"Yes")</f>
        <v>Yes</v>
      </c>
      <c r="P55" s="5" t="str">
        <f>IFERROR(__xludf.DUMMYFUNCTION("""COMPUTED_VALUE"""),"Adjacent pays, Scatter")</f>
        <v>Adjacent pays, Scatter</v>
      </c>
      <c r="Q55" s="7" t="str">
        <f>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R55" s="5" t="str">
        <f>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S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IFERROR(__xludf.DUMMYFUNCTION("""COMPUTED_VALUE"""),"Yes")</f>
        <v>Yes</v>
      </c>
      <c r="AH55" s="5" t="str">
        <f>IFERROR(__xludf.DUMMYFUNCTION("""COMPUTED_VALUE"""),"Yes")</f>
        <v>Yes</v>
      </c>
      <c r="AI55" s="5" t="str">
        <f>IFERROR(__xludf.DUMMYFUNCTION("""COMPUTED_VALUE"""),"Yes")</f>
        <v>Yes</v>
      </c>
      <c r="AJ55" s="5" t="str">
        <f>IFERROR(__xludf.DUMMYFUNCTION("""COMPUTED_VALUE"""),"Yes")</f>
        <v>Yes</v>
      </c>
      <c r="AK55" s="5" t="str">
        <f>IFERROR(__xludf.DUMMYFUNCTION("""COMPUTED_VALUE"""),"Yes")</f>
        <v>Yes</v>
      </c>
      <c r="AL55" s="5" t="str">
        <f>IFERROR(__xludf.DUMMYFUNCTION("""COMPUTED_VALUE"""),"Yes")</f>
        <v>Yes</v>
      </c>
      <c r="AM55" s="5" t="str">
        <f>IFERROR(__xludf.DUMMYFUNCTION("""COMPUTED_VALUE"""),"Yes")</f>
        <v>Yes</v>
      </c>
      <c r="AN55" s="5" t="str">
        <f>IFERROR(__xludf.DUMMYFUNCTION("""COMPUTED_VALUE"""),"Yes")</f>
        <v>Yes</v>
      </c>
      <c r="AO55" s="5" t="str">
        <f>IFERROR(__xludf.DUMMYFUNCTION("""COMPUTED_VALUE"""),"Yes")</f>
        <v>Yes</v>
      </c>
      <c r="AP55" s="5" t="str">
        <f>IFERROR(__xludf.DUMMYFUNCTION("""COMPUTED_VALUE"""),"Yes")</f>
        <v>Yes</v>
      </c>
      <c r="AQ55" s="5" t="str">
        <f>IFERROR(__xludf.DUMMYFUNCTION("""COMPUTED_VALUE"""),"Yes")</f>
        <v>Yes</v>
      </c>
      <c r="AR55" s="5" t="str">
        <f>IFERROR(__xludf.DUMMYFUNCTION("""COMPUTED_VALUE"""),"Yes")</f>
        <v>Yes</v>
      </c>
      <c r="AS55" s="5" t="str">
        <f>IFERROR(__xludf.DUMMYFUNCTION("""COMPUTED_VALUE"""),"Yes")</f>
        <v>Yes</v>
      </c>
      <c r="AT55" s="5" t="str">
        <f>IFERROR(__xludf.DUMMYFUNCTION("""COMPUTED_VALUE"""),"No")</f>
        <v>No</v>
      </c>
      <c r="AU55" s="5"/>
      <c r="AV55" s="5" t="str">
        <f>IFERROR(__xludf.DUMMYFUNCTION("""COMPUTED_VALUE"""),"")</f>
        <v/>
      </c>
      <c r="AW55" s="5" t="str">
        <f>IFERROR(__xludf.DUMMYFUNCTION("""COMPUTED_VALUE"""),"")</f>
        <v/>
      </c>
      <c r="AX55" s="5" t="str">
        <f>IFERROR(__xludf.DUMMYFUNCTION("""COMPUTED_VALUE"""),"Available")</f>
        <v>Available</v>
      </c>
      <c r="AY55" s="5" t="str">
        <f>IFERROR(__xludf.DUMMYFUNCTION("""COMPUTED_VALUE"""),"")</f>
        <v/>
      </c>
      <c r="AZ55" s="5" t="str">
        <f>IFERROR(__xludf.DUMMYFUNCTION("""COMPUTED_VALUE"""),"Available")</f>
        <v>Available</v>
      </c>
      <c r="BA55" s="5" t="str">
        <f>IFERROR(__xludf.DUMMYFUNCTION("""COMPUTED_VALUE"""),"Available")</f>
        <v>Available</v>
      </c>
      <c r="BB55" s="5" t="str">
        <f>IFERROR(__xludf.DUMMYFUNCTION("""COMPUTED_VALUE"""),"Available")</f>
        <v>Available</v>
      </c>
      <c r="BC55" s="5" t="str">
        <f>IFERROR(__xludf.DUMMYFUNCTION("""COMPUTED_VALUE"""),"Available")</f>
        <v>Available</v>
      </c>
      <c r="BD55" s="5" t="str">
        <f>IFERROR(__xludf.DUMMYFUNCTION("""COMPUTED_VALUE"""),"")</f>
        <v/>
      </c>
      <c r="BE55" s="5" t="str">
        <f>IFERROR(__xludf.DUMMYFUNCTION("""COMPUTED_VALUE"""),"Available")</f>
        <v>Available</v>
      </c>
      <c r="BF55" s="5" t="str">
        <f>IFERROR(__xludf.DUMMYFUNCTION("""COMPUTED_VALUE"""),"")</f>
        <v/>
      </c>
      <c r="BG55" s="5" t="str">
        <f>IFERROR(__xludf.DUMMYFUNCTION("""COMPUTED_VALUE"""),"")</f>
        <v/>
      </c>
      <c r="BH55" s="5" t="str">
        <f>IFERROR(__xludf.DUMMYFUNCTION("""COMPUTED_VALUE"""),"")</f>
        <v/>
      </c>
      <c r="BI55" s="5" t="str">
        <f>IFERROR(__xludf.DUMMYFUNCTION("""COMPUTED_VALUE"""),"")</f>
        <v/>
      </c>
      <c r="BJ55" s="5" t="str">
        <f>IFERROR(__xludf.DUMMYFUNCTION("""COMPUTED_VALUE"""),"Available")</f>
        <v>Available</v>
      </c>
      <c r="BK55" s="5" t="str">
        <f>IFERROR(__xludf.DUMMYFUNCTION("""COMPUTED_VALUE"""),"")</f>
        <v/>
      </c>
      <c r="BL55" s="5" t="str">
        <f>IFERROR(__xludf.DUMMYFUNCTION("""COMPUTED_VALUE"""),"")</f>
        <v/>
      </c>
      <c r="BM55" s="5" t="str">
        <f>IFERROR(__xludf.DUMMYFUNCTION("""COMPUTED_VALUE"""),"")</f>
        <v/>
      </c>
    </row>
    <row r="56">
      <c r="A56" s="5" t="str">
        <f>IFERROR(__xludf.DUMMYFUNCTION("""COMPUTED_VALUE"""),"Fazi")</f>
        <v>Fazi</v>
      </c>
      <c r="B56" s="5" t="str">
        <f>IFERROR(__xludf.DUMMYFUNCTION("""COMPUTED_VALUE"""),"Heating Ice")</f>
        <v>Heating Ice</v>
      </c>
      <c r="C56" s="5" t="str">
        <f>IFERROR(__xludf.DUMMYFUNCTION("""COMPUTED_VALUE"""),"HeatingIce")</f>
        <v>HeatingIce</v>
      </c>
      <c r="D56" s="6">
        <f>IFERROR(__xludf.DUMMYFUNCTION("""COMPUTED_VALUE"""),44561.0)</f>
        <v>44561</v>
      </c>
      <c r="E56" s="5" t="str">
        <f>IFERROR(__xludf.DUMMYFUNCTION("""COMPUTED_VALUE"""),"Slot")</f>
        <v>Slot</v>
      </c>
      <c r="F56" s="5">
        <f>IFERROR(__xludf.DUMMYFUNCTION("""COMPUTED_VALUE"""),35.5)</f>
        <v>35.5</v>
      </c>
      <c r="G56" s="5" t="str">
        <f>IFERROR(__xludf.DUMMYFUNCTION("""COMPUTED_VALUE"""),"3x3")</f>
        <v>3x3</v>
      </c>
      <c r="H56" s="5" t="str">
        <f>IFERROR(__xludf.DUMMYFUNCTION("""COMPUTED_VALUE"""),"27")</f>
        <v>27</v>
      </c>
      <c r="I56" s="5" t="str">
        <f>IFERROR(__xludf.DUMMYFUNCTION("""COMPUTED_VALUE"""),"27")</f>
        <v>27</v>
      </c>
      <c r="J56" s="5" t="str">
        <f>IFERROR(__xludf.DUMMYFUNCTION("""COMPUTED_VALUE"""),"96.352%")</f>
        <v>96.352%</v>
      </c>
      <c r="K56" s="5" t="str">
        <f>IFERROR(__xludf.DUMMYFUNCTION("""COMPUTED_VALUE"""),"Medium")</f>
        <v>Medium</v>
      </c>
      <c r="L56" s="5" t="str">
        <f>IFERROR(__xludf.DUMMYFUNCTION("""COMPUTED_VALUE"""),"8.02%")</f>
        <v>8.02%</v>
      </c>
      <c r="M56" s="5" t="str">
        <f>IFERROR(__xludf.DUMMYFUNCTION("""COMPUTED_VALUE"""),"x360")</f>
        <v>x360</v>
      </c>
      <c r="N56" s="5" t="str">
        <f>IFERROR(__xludf.DUMMYFUNCTION("""COMPUTED_VALUE"""),"0.1/50")</f>
        <v>0.1/50</v>
      </c>
      <c r="O56" s="5" t="str">
        <f>IFERROR(__xludf.DUMMYFUNCTION("""COMPUTED_VALUE"""),"Yes")</f>
        <v>Yes</v>
      </c>
      <c r="P56" s="5" t="str">
        <f>IFERROR(__xludf.DUMMYFUNCTION("""COMPUTED_VALUE"""),"Respin, Mystery symbol")</f>
        <v>Respin, Mystery symbol</v>
      </c>
      <c r="Q56" s="7" t="str">
        <f>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R56" s="5" t="str">
        <f>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S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t="str">
        <f>IFERROR(__xludf.DUMMYFUNCTION("""COMPUTED_VALUE"""),"Yes")</f>
        <v>Yes</v>
      </c>
      <c r="AJ56" s="5" t="str">
        <f>IFERROR(__xludf.DUMMYFUNCTION("""COMPUTED_VALUE"""),"Yes")</f>
        <v>Yes</v>
      </c>
      <c r="AK56" s="5" t="str">
        <f>IFERROR(__xludf.DUMMYFUNCTION("""COMPUTED_VALUE"""),"Yes")</f>
        <v>Yes</v>
      </c>
      <c r="AL56" s="5" t="str">
        <f>IFERROR(__xludf.DUMMYFUNCTION("""COMPUTED_VALUE"""),"Yes")</f>
        <v>Yes</v>
      </c>
      <c r="AM56" s="5" t="str">
        <f>IFERROR(__xludf.DUMMYFUNCTION("""COMPUTED_VALUE"""),"Yes")</f>
        <v>Yes</v>
      </c>
      <c r="AN56" s="5" t="str">
        <f>IFERROR(__xludf.DUMMYFUNCTION("""COMPUTED_VALUE"""),"Yes")</f>
        <v>Yes</v>
      </c>
      <c r="AO56" s="5" t="str">
        <f>IFERROR(__xludf.DUMMYFUNCTION("""COMPUTED_VALUE"""),"Yes")</f>
        <v>Yes</v>
      </c>
      <c r="AP56" s="5" t="str">
        <f>IFERROR(__xludf.DUMMYFUNCTION("""COMPUTED_VALUE"""),"Yes")</f>
        <v>Yes</v>
      </c>
      <c r="AQ56" s="5" t="str">
        <f>IFERROR(__xludf.DUMMYFUNCTION("""COMPUTED_VALUE"""),"Yes")</f>
        <v>Yes</v>
      </c>
      <c r="AR56" s="5" t="str">
        <f>IFERROR(__xludf.DUMMYFUNCTION("""COMPUTED_VALUE"""),"Yes")</f>
        <v>Yes</v>
      </c>
      <c r="AS56" s="5" t="str">
        <f>IFERROR(__xludf.DUMMYFUNCTION("""COMPUTED_VALUE"""),"Yes")</f>
        <v>Yes</v>
      </c>
      <c r="AT56" s="5" t="str">
        <f>IFERROR(__xludf.DUMMYFUNCTION("""COMPUTED_VALUE"""),"No")</f>
        <v>No</v>
      </c>
      <c r="AU56" s="5"/>
      <c r="AV56" s="5" t="str">
        <f>IFERROR(__xludf.DUMMYFUNCTION("""COMPUTED_VALUE"""),"Available")</f>
        <v>Available</v>
      </c>
      <c r="AW56" s="5" t="str">
        <f>IFERROR(__xludf.DUMMYFUNCTION("""COMPUTED_VALUE"""),"")</f>
        <v/>
      </c>
      <c r="AX56" s="5" t="str">
        <f>IFERROR(__xludf.DUMMYFUNCTION("""COMPUTED_VALUE"""),"Available")</f>
        <v>Available</v>
      </c>
      <c r="AY56" s="5" t="str">
        <f>IFERROR(__xludf.DUMMYFUNCTION("""COMPUTED_VALUE"""),"")</f>
        <v/>
      </c>
      <c r="AZ56" s="5" t="str">
        <f>IFERROR(__xludf.DUMMYFUNCTION("""COMPUTED_VALUE"""),"Available")</f>
        <v>Available</v>
      </c>
      <c r="BA56" s="5" t="str">
        <f>IFERROR(__xludf.DUMMYFUNCTION("""COMPUTED_VALUE"""),"Available")</f>
        <v>Available</v>
      </c>
      <c r="BB56" s="5" t="str">
        <f>IFERROR(__xludf.DUMMYFUNCTION("""COMPUTED_VALUE"""),"Available")</f>
        <v>Available</v>
      </c>
      <c r="BC56" s="5" t="str">
        <f>IFERROR(__xludf.DUMMYFUNCTION("""COMPUTED_VALUE"""),"Available")</f>
        <v>Available</v>
      </c>
      <c r="BD56" s="5" t="str">
        <f>IFERROR(__xludf.DUMMYFUNCTION("""COMPUTED_VALUE"""),"")</f>
        <v/>
      </c>
      <c r="BE56" s="5" t="str">
        <f>IFERROR(__xludf.DUMMYFUNCTION("""COMPUTED_VALUE"""),"Available")</f>
        <v>Available</v>
      </c>
      <c r="BF56" s="5" t="str">
        <f>IFERROR(__xludf.DUMMYFUNCTION("""COMPUTED_VALUE"""),"Available")</f>
        <v>Available</v>
      </c>
      <c r="BG56" s="5" t="str">
        <f>IFERROR(__xludf.DUMMYFUNCTION("""COMPUTED_VALUE"""),"")</f>
        <v/>
      </c>
      <c r="BH56" s="5" t="str">
        <f>IFERROR(__xludf.DUMMYFUNCTION("""COMPUTED_VALUE"""),"")</f>
        <v/>
      </c>
      <c r="BI56" s="5" t="str">
        <f>IFERROR(__xludf.DUMMYFUNCTION("""COMPUTED_VALUE"""),"Available")</f>
        <v>Available</v>
      </c>
      <c r="BJ56" s="5" t="str">
        <f>IFERROR(__xludf.DUMMYFUNCTION("""COMPUTED_VALUE"""),"Available")</f>
        <v>Available</v>
      </c>
      <c r="BK56" s="5" t="str">
        <f>IFERROR(__xludf.DUMMYFUNCTION("""COMPUTED_VALUE"""),"Available")</f>
        <v>Available</v>
      </c>
      <c r="BL56" s="5" t="str">
        <f>IFERROR(__xludf.DUMMYFUNCTION("""COMPUTED_VALUE"""),"")</f>
        <v/>
      </c>
      <c r="BM56" s="5" t="str">
        <f>IFERROR(__xludf.DUMMYFUNCTION("""COMPUTED_VALUE"""),"")</f>
        <v/>
      </c>
    </row>
    <row r="57">
      <c r="A57" s="5" t="str">
        <f>IFERROR(__xludf.DUMMYFUNCTION("""COMPUTED_VALUE"""),"Fazi")</f>
        <v>Fazi</v>
      </c>
      <c r="B57" s="5" t="str">
        <f>IFERROR(__xludf.DUMMYFUNCTION("""COMPUTED_VALUE"""),"Heating Ice Deluxe")</f>
        <v>Heating Ice Deluxe</v>
      </c>
      <c r="C57" s="5" t="str">
        <f>IFERROR(__xludf.DUMMYFUNCTION("""COMPUTED_VALUE"""),"HeatingIceDeluxe")</f>
        <v>HeatingIceDeluxe</v>
      </c>
      <c r="D57" s="6">
        <f>IFERROR(__xludf.DUMMYFUNCTION("""COMPUTED_VALUE"""),44551.0)</f>
        <v>44551</v>
      </c>
      <c r="E57" s="5" t="str">
        <f>IFERROR(__xludf.DUMMYFUNCTION("""COMPUTED_VALUE"""),"Slot")</f>
        <v>Slot</v>
      </c>
      <c r="F57" s="5">
        <f>IFERROR(__xludf.DUMMYFUNCTION("""COMPUTED_VALUE"""),38.4)</f>
        <v>38.4</v>
      </c>
      <c r="G57" s="5" t="str">
        <f>IFERROR(__xludf.DUMMYFUNCTION("""COMPUTED_VALUE"""),"3x3")</f>
        <v>3x3</v>
      </c>
      <c r="H57" s="5" t="str">
        <f>IFERROR(__xludf.DUMMYFUNCTION("""COMPUTED_VALUE"""),"27")</f>
        <v>27</v>
      </c>
      <c r="I57" s="5" t="str">
        <f>IFERROR(__xludf.DUMMYFUNCTION("""COMPUTED_VALUE"""),"27")</f>
        <v>27</v>
      </c>
      <c r="J57" s="5" t="str">
        <f>IFERROR(__xludf.DUMMYFUNCTION("""COMPUTED_VALUE"""),"96.352%")</f>
        <v>96.352%</v>
      </c>
      <c r="K57" s="5" t="str">
        <f>IFERROR(__xludf.DUMMYFUNCTION("""COMPUTED_VALUE"""),"Medium")</f>
        <v>Medium</v>
      </c>
      <c r="L57" s="5" t="str">
        <f>IFERROR(__xludf.DUMMYFUNCTION("""COMPUTED_VALUE"""),"8.02%")</f>
        <v>8.02%</v>
      </c>
      <c r="M57" s="5" t="str">
        <f>IFERROR(__xludf.DUMMYFUNCTION("""COMPUTED_VALUE"""),"x360")</f>
        <v>x360</v>
      </c>
      <c r="N57" s="5" t="str">
        <f>IFERROR(__xludf.DUMMYFUNCTION("""COMPUTED_VALUE"""),"0.1/50")</f>
        <v>0.1/50</v>
      </c>
      <c r="O57" s="5" t="str">
        <f>IFERROR(__xludf.DUMMYFUNCTION("""COMPUTED_VALUE"""),"Yes")</f>
        <v>Yes</v>
      </c>
      <c r="P57" s="5" t="str">
        <f>IFERROR(__xludf.DUMMYFUNCTION("""COMPUTED_VALUE"""),"Respin, Mystery symbol")</f>
        <v>Respin, Mystery symbol</v>
      </c>
      <c r="Q57" s="7" t="str">
        <f>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R57" s="5" t="str">
        <f>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S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IFERROR(__xludf.DUMMYFUNCTION("""COMPUTED_VALUE"""),"Yes")</f>
        <v>Yes</v>
      </c>
      <c r="AH57" s="5" t="str">
        <f>IFERROR(__xludf.DUMMYFUNCTION("""COMPUTED_VALUE"""),"Yes")</f>
        <v>Yes</v>
      </c>
      <c r="AI57" s="5" t="str">
        <f>IFERROR(__xludf.DUMMYFUNCTION("""COMPUTED_VALUE"""),"Yes")</f>
        <v>Yes</v>
      </c>
      <c r="AJ57" s="5" t="str">
        <f>IFERROR(__xludf.DUMMYFUNCTION("""COMPUTED_VALUE"""),"Yes")</f>
        <v>Yes</v>
      </c>
      <c r="AK57" s="5" t="str">
        <f>IFERROR(__xludf.DUMMYFUNCTION("""COMPUTED_VALUE"""),"Yes")</f>
        <v>Yes</v>
      </c>
      <c r="AL57" s="5" t="str">
        <f>IFERROR(__xludf.DUMMYFUNCTION("""COMPUTED_VALUE"""),"Yes")</f>
        <v>Yes</v>
      </c>
      <c r="AM57" s="5" t="str">
        <f>IFERROR(__xludf.DUMMYFUNCTION("""COMPUTED_VALUE"""),"Yes")</f>
        <v>Yes</v>
      </c>
      <c r="AN57" s="5" t="str">
        <f>IFERROR(__xludf.DUMMYFUNCTION("""COMPUTED_VALUE"""),"Yes")</f>
        <v>Yes</v>
      </c>
      <c r="AO57" s="5" t="str">
        <f>IFERROR(__xludf.DUMMYFUNCTION("""COMPUTED_VALUE"""),"Yes")</f>
        <v>Yes</v>
      </c>
      <c r="AP57" s="5" t="str">
        <f>IFERROR(__xludf.DUMMYFUNCTION("""COMPUTED_VALUE"""),"Yes")</f>
        <v>Yes</v>
      </c>
      <c r="AQ57" s="5" t="str">
        <f>IFERROR(__xludf.DUMMYFUNCTION("""COMPUTED_VALUE"""),"Yes")</f>
        <v>Yes</v>
      </c>
      <c r="AR57" s="5" t="str">
        <f>IFERROR(__xludf.DUMMYFUNCTION("""COMPUTED_VALUE"""),"Yes")</f>
        <v>Yes</v>
      </c>
      <c r="AS57" s="5" t="str">
        <f>IFERROR(__xludf.DUMMYFUNCTION("""COMPUTED_VALUE"""),"Yes")</f>
        <v>Yes</v>
      </c>
      <c r="AT57" s="5" t="str">
        <f>IFERROR(__xludf.DUMMYFUNCTION("""COMPUTED_VALUE"""),"No")</f>
        <v>No</v>
      </c>
      <c r="AU57" s="5"/>
      <c r="AV57" s="5" t="str">
        <f>IFERROR(__xludf.DUMMYFUNCTION("""COMPUTED_VALUE"""),"Available")</f>
        <v>Available</v>
      </c>
      <c r="AW57" s="5" t="str">
        <f>IFERROR(__xludf.DUMMYFUNCTION("""COMPUTED_VALUE"""),"")</f>
        <v/>
      </c>
      <c r="AX57" s="5" t="str">
        <f>IFERROR(__xludf.DUMMYFUNCTION("""COMPUTED_VALUE"""),"Available")</f>
        <v>Available</v>
      </c>
      <c r="AY57" s="5" t="str">
        <f>IFERROR(__xludf.DUMMYFUNCTION("""COMPUTED_VALUE"""),"")</f>
        <v/>
      </c>
      <c r="AZ57" s="5" t="str">
        <f>IFERROR(__xludf.DUMMYFUNCTION("""COMPUTED_VALUE"""),"Available")</f>
        <v>Available</v>
      </c>
      <c r="BA57" s="5" t="str">
        <f>IFERROR(__xludf.DUMMYFUNCTION("""COMPUTED_VALUE"""),"Available")</f>
        <v>Available</v>
      </c>
      <c r="BB57" s="5" t="str">
        <f>IFERROR(__xludf.DUMMYFUNCTION("""COMPUTED_VALUE"""),"Available")</f>
        <v>Available</v>
      </c>
      <c r="BC57" s="5" t="str">
        <f>IFERROR(__xludf.DUMMYFUNCTION("""COMPUTED_VALUE"""),"Available")</f>
        <v>Available</v>
      </c>
      <c r="BD57" s="5" t="str">
        <f>IFERROR(__xludf.DUMMYFUNCTION("""COMPUTED_VALUE"""),"")</f>
        <v/>
      </c>
      <c r="BE57" s="5" t="str">
        <f>IFERROR(__xludf.DUMMYFUNCTION("""COMPUTED_VALUE"""),"Available")</f>
        <v>Available</v>
      </c>
      <c r="BF57" s="5" t="str">
        <f>IFERROR(__xludf.DUMMYFUNCTION("""COMPUTED_VALUE"""),"")</f>
        <v/>
      </c>
      <c r="BG57" s="5" t="str">
        <f>IFERROR(__xludf.DUMMYFUNCTION("""COMPUTED_VALUE"""),"Available")</f>
        <v>Available</v>
      </c>
      <c r="BH57" s="5" t="str">
        <f>IFERROR(__xludf.DUMMYFUNCTION("""COMPUTED_VALUE"""),"")</f>
        <v/>
      </c>
      <c r="BI57" s="5" t="str">
        <f>IFERROR(__xludf.DUMMYFUNCTION("""COMPUTED_VALUE"""),"")</f>
        <v/>
      </c>
      <c r="BJ57" s="5" t="str">
        <f>IFERROR(__xludf.DUMMYFUNCTION("""COMPUTED_VALUE"""),"Available")</f>
        <v>Available</v>
      </c>
      <c r="BK57" s="5" t="str">
        <f>IFERROR(__xludf.DUMMYFUNCTION("""COMPUTED_VALUE"""),"Available")</f>
        <v>Available</v>
      </c>
      <c r="BL57" s="5" t="str">
        <f>IFERROR(__xludf.DUMMYFUNCTION("""COMPUTED_VALUE"""),"")</f>
        <v/>
      </c>
      <c r="BM57" s="5" t="str">
        <f>IFERROR(__xludf.DUMMYFUNCTION("""COMPUTED_VALUE"""),"Available")</f>
        <v>Available</v>
      </c>
    </row>
    <row r="58">
      <c r="A58" s="5" t="str">
        <f>IFERROR(__xludf.DUMMYFUNCTION("""COMPUTED_VALUE"""),"Fazi")</f>
        <v>Fazi</v>
      </c>
      <c r="B58" s="5" t="str">
        <f>IFERROR(__xludf.DUMMYFUNCTION("""COMPUTED_VALUE"""),"Fluo Dice 5")</f>
        <v>Fluo Dice 5</v>
      </c>
      <c r="C58" s="5" t="str">
        <f>IFERROR(__xludf.DUMMYFUNCTION("""COMPUTED_VALUE"""),"FluoDice5")</f>
        <v>FluoDice5</v>
      </c>
      <c r="D58" s="6">
        <f>IFERROR(__xludf.DUMMYFUNCTION("""COMPUTED_VALUE"""),38544.0)</f>
        <v>38544</v>
      </c>
      <c r="E58" s="5" t="str">
        <f>IFERROR(__xludf.DUMMYFUNCTION("""COMPUTED_VALUE"""),"Slot")</f>
        <v>Slot</v>
      </c>
      <c r="F58" s="5">
        <f>IFERROR(__xludf.DUMMYFUNCTION("""COMPUTED_VALUE"""),31.9)</f>
        <v>31.9</v>
      </c>
      <c r="G58" s="5" t="str">
        <f>IFERROR(__xludf.DUMMYFUNCTION("""COMPUTED_VALUE"""),"5x3")</f>
        <v>5x3</v>
      </c>
      <c r="H58" s="5" t="str">
        <f>IFERROR(__xludf.DUMMYFUNCTION("""COMPUTED_VALUE"""),"5")</f>
        <v>5</v>
      </c>
      <c r="I58" s="5" t="str">
        <f>IFERROR(__xludf.DUMMYFUNCTION("""COMPUTED_VALUE"""),"5")</f>
        <v>5</v>
      </c>
      <c r="J58" s="5" t="str">
        <f>IFERROR(__xludf.DUMMYFUNCTION("""COMPUTED_VALUE"""),"95.74%")</f>
        <v>95.74%</v>
      </c>
      <c r="K58" s="5" t="str">
        <f>IFERROR(__xludf.DUMMYFUNCTION("""COMPUTED_VALUE"""),"Medium")</f>
        <v>Medium</v>
      </c>
      <c r="L58" s="5" t="str">
        <f>IFERROR(__xludf.DUMMYFUNCTION("""COMPUTED_VALUE"""),"12.55%")</f>
        <v>12.55%</v>
      </c>
      <c r="M58" s="5" t="str">
        <f>IFERROR(__xludf.DUMMYFUNCTION("""COMPUTED_VALUE"""),"x1000")</f>
        <v>x1000</v>
      </c>
      <c r="N58" s="5" t="str">
        <f>IFERROR(__xludf.DUMMYFUNCTION("""COMPUTED_VALUE"""),"0.05/30")</f>
        <v>0.05/30</v>
      </c>
      <c r="O58" s="5" t="str">
        <f>IFERROR(__xludf.DUMMYFUNCTION("""COMPUTED_VALUE"""),"Yes")</f>
        <v>Yes</v>
      </c>
      <c r="P58" s="5" t="str">
        <f>IFERROR(__xludf.DUMMYFUNCTION("""COMPUTED_VALUE"""),"Scatter")</f>
        <v>Scatter</v>
      </c>
      <c r="Q58" s="7" t="str">
        <f>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R58" s="5" t="str">
        <f>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S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8" s="5" t="str">
        <f>IFERROR(__xludf.DUMMYFUNCTION("""COMPUTED_VALUE"""),"Yes")</f>
        <v>Yes</v>
      </c>
      <c r="U58" s="5" t="str">
        <f>IFERROR(__xludf.DUMMYFUNCTION("""COMPUTED_VALUE"""),"Yes")</f>
        <v>Yes</v>
      </c>
      <c r="V58" s="5" t="str">
        <f>IFERROR(__xludf.DUMMYFUNCTION("""COMPUTED_VALUE"""),"Yes")</f>
        <v>Yes</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IFERROR(__xludf.DUMMYFUNCTION("""COMPUTED_VALUE"""),"Yes")</f>
        <v>Yes</v>
      </c>
      <c r="AJ58" s="5" t="str">
        <f>IFERROR(__xludf.DUMMYFUNCTION("""COMPUTED_VALUE"""),"Yes")</f>
        <v>Yes</v>
      </c>
      <c r="AK58" s="5" t="str">
        <f>IFERROR(__xludf.DUMMYFUNCTION("""COMPUTED_VALUE"""),"Yes")</f>
        <v>Yes</v>
      </c>
      <c r="AL58" s="5" t="str">
        <f>IFERROR(__xludf.DUMMYFUNCTION("""COMPUTED_VALUE"""),"Yes")</f>
        <v>Yes</v>
      </c>
      <c r="AM58" s="5" t="str">
        <f>IFERROR(__xludf.DUMMYFUNCTION("""COMPUTED_VALUE"""),"Yes")</f>
        <v>Yes</v>
      </c>
      <c r="AN58" s="5" t="str">
        <f>IFERROR(__xludf.DUMMYFUNCTION("""COMPUTED_VALUE"""),"Yes")</f>
        <v>Yes</v>
      </c>
      <c r="AO58" s="5" t="str">
        <f>IFERROR(__xludf.DUMMYFUNCTION("""COMPUTED_VALUE"""),"Yes")</f>
        <v>Yes</v>
      </c>
      <c r="AP58" s="5" t="str">
        <f>IFERROR(__xludf.DUMMYFUNCTION("""COMPUTED_VALUE"""),"Yes")</f>
        <v>Yes</v>
      </c>
      <c r="AQ58" s="5" t="str">
        <f>IFERROR(__xludf.DUMMYFUNCTION("""COMPUTED_VALUE"""),"Yes")</f>
        <v>Yes</v>
      </c>
      <c r="AR58" s="5" t="str">
        <f>IFERROR(__xludf.DUMMYFUNCTION("""COMPUTED_VALUE"""),"Yes")</f>
        <v>Yes</v>
      </c>
      <c r="AS58" s="5" t="str">
        <f>IFERROR(__xludf.DUMMYFUNCTION("""COMPUTED_VALUE"""),"Yes")</f>
        <v>Yes</v>
      </c>
      <c r="AT58" s="5" t="str">
        <f>IFERROR(__xludf.DUMMYFUNCTION("""COMPUTED_VALUE"""),"No")</f>
        <v>No</v>
      </c>
      <c r="AU58" s="5"/>
      <c r="AV58" s="5" t="str">
        <f>IFERROR(__xludf.DUMMYFUNCTION("""COMPUTED_VALUE"""),"")</f>
        <v/>
      </c>
      <c r="AW58" s="5" t="str">
        <f>IFERROR(__xludf.DUMMYFUNCTION("""COMPUTED_VALUE"""),"")</f>
        <v/>
      </c>
      <c r="AX58" s="5" t="str">
        <f>IFERROR(__xludf.DUMMYFUNCTION("""COMPUTED_VALUE"""),"")</f>
        <v/>
      </c>
      <c r="AY58" s="5" t="str">
        <f>IFERROR(__xludf.DUMMYFUNCTION("""COMPUTED_VALUE"""),"")</f>
        <v/>
      </c>
      <c r="AZ58" s="5" t="str">
        <f>IFERROR(__xludf.DUMMYFUNCTION("""COMPUTED_VALUE"""),"")</f>
        <v/>
      </c>
      <c r="BA58" s="5" t="str">
        <f>IFERROR(__xludf.DUMMYFUNCTION("""COMPUTED_VALUE"""),"")</f>
        <v/>
      </c>
      <c r="BB58" s="5" t="str">
        <f>IFERROR(__xludf.DUMMYFUNCTION("""COMPUTED_VALUE"""),"")</f>
        <v/>
      </c>
      <c r="BC58" s="5" t="str">
        <f>IFERROR(__xludf.DUMMYFUNCTION("""COMPUTED_VALUE"""),"")</f>
        <v/>
      </c>
      <c r="BD58" s="5" t="str">
        <f>IFERROR(__xludf.DUMMYFUNCTION("""COMPUTED_VALUE"""),"")</f>
        <v/>
      </c>
      <c r="BE58" s="5" t="str">
        <f>IFERROR(__xludf.DUMMYFUNCTION("""COMPUTED_VALUE"""),"")</f>
        <v/>
      </c>
      <c r="BF58" s="5" t="str">
        <f>IFERROR(__xludf.DUMMYFUNCTION("""COMPUTED_VALUE"""),"")</f>
        <v/>
      </c>
      <c r="BG58" s="5" t="str">
        <f>IFERROR(__xludf.DUMMYFUNCTION("""COMPUTED_VALUE"""),"")</f>
        <v/>
      </c>
      <c r="BH58" s="5" t="str">
        <f>IFERROR(__xludf.DUMMYFUNCTION("""COMPUTED_VALUE"""),"")</f>
        <v/>
      </c>
      <c r="BI58" s="5" t="str">
        <f>IFERROR(__xludf.DUMMYFUNCTION("""COMPUTED_VALUE"""),"")</f>
        <v/>
      </c>
      <c r="BJ58" s="5" t="str">
        <f>IFERROR(__xludf.DUMMYFUNCTION("""COMPUTED_VALUE"""),"")</f>
        <v/>
      </c>
      <c r="BK58" s="5" t="str">
        <f>IFERROR(__xludf.DUMMYFUNCTION("""COMPUTED_VALUE"""),"")</f>
        <v/>
      </c>
      <c r="BL58" s="5" t="str">
        <f>IFERROR(__xludf.DUMMYFUNCTION("""COMPUTED_VALUE"""),"")</f>
        <v/>
      </c>
      <c r="BM58" s="5" t="str">
        <f>IFERROR(__xludf.DUMMYFUNCTION("""COMPUTED_VALUE"""),"")</f>
        <v/>
      </c>
    </row>
    <row r="59">
      <c r="A59" s="5" t="str">
        <f>IFERROR(__xludf.DUMMYFUNCTION("""COMPUTED_VALUE"""),"Fazi")</f>
        <v>Fazi</v>
      </c>
      <c r="B59" s="5" t="str">
        <f>IFERROR(__xludf.DUMMYFUNCTION("""COMPUTED_VALUE"""),"Fluo Hot 5")</f>
        <v>Fluo Hot 5</v>
      </c>
      <c r="C59" s="5" t="str">
        <f>IFERROR(__xludf.DUMMYFUNCTION("""COMPUTED_VALUE"""),"FluoHot5")</f>
        <v>FluoHot5</v>
      </c>
      <c r="D59" s="6">
        <f>IFERROR(__xludf.DUMMYFUNCTION("""COMPUTED_VALUE"""),44561.0)</f>
        <v>44561</v>
      </c>
      <c r="E59" s="5" t="str">
        <f>IFERROR(__xludf.DUMMYFUNCTION("""COMPUTED_VALUE"""),"Slot")</f>
        <v>Slot</v>
      </c>
      <c r="F59" s="5">
        <f>IFERROR(__xludf.DUMMYFUNCTION("""COMPUTED_VALUE"""),33.0)</f>
        <v>33</v>
      </c>
      <c r="G59" s="5" t="str">
        <f>IFERROR(__xludf.DUMMYFUNCTION("""COMPUTED_VALUE"""),"5x3")</f>
        <v>5x3</v>
      </c>
      <c r="H59" s="5" t="str">
        <f>IFERROR(__xludf.DUMMYFUNCTION("""COMPUTED_VALUE"""),"5")</f>
        <v>5</v>
      </c>
      <c r="I59" s="5" t="str">
        <f>IFERROR(__xludf.DUMMYFUNCTION("""COMPUTED_VALUE"""),"5")</f>
        <v>5</v>
      </c>
      <c r="J59" s="5" t="str">
        <f>IFERROR(__xludf.DUMMYFUNCTION("""COMPUTED_VALUE"""),"95.74%")</f>
        <v>95.74%</v>
      </c>
      <c r="K59" s="5" t="str">
        <f>IFERROR(__xludf.DUMMYFUNCTION("""COMPUTED_VALUE"""),"Medium")</f>
        <v>Medium</v>
      </c>
      <c r="L59" s="5" t="str">
        <f>IFERROR(__xludf.DUMMYFUNCTION("""COMPUTED_VALUE"""),"12.55%")</f>
        <v>12.55%</v>
      </c>
      <c r="M59" s="5" t="str">
        <f>IFERROR(__xludf.DUMMYFUNCTION("""COMPUTED_VALUE"""),"x1000")</f>
        <v>x1000</v>
      </c>
      <c r="N59" s="5" t="str">
        <f>IFERROR(__xludf.DUMMYFUNCTION("""COMPUTED_VALUE"""),"0.05/30")</f>
        <v>0.05/30</v>
      </c>
      <c r="O59" s="5" t="str">
        <f>IFERROR(__xludf.DUMMYFUNCTION("""COMPUTED_VALUE"""),"Yes")</f>
        <v>Yes</v>
      </c>
      <c r="P59" s="5" t="str">
        <f>IFERROR(__xludf.DUMMYFUNCTION("""COMPUTED_VALUE"""),"Scatter")</f>
        <v>Scatter</v>
      </c>
      <c r="Q59" s="7" t="str">
        <f>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R59" s="5" t="str">
        <f>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S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IFERROR(__xludf.DUMMYFUNCTION("""COMPUTED_VALUE"""),"Yes")</f>
        <v>Yes</v>
      </c>
      <c r="AJ59" s="5" t="str">
        <f>IFERROR(__xludf.DUMMYFUNCTION("""COMPUTED_VALUE"""),"Yes")</f>
        <v>Yes</v>
      </c>
      <c r="AK59" s="5" t="str">
        <f>IFERROR(__xludf.DUMMYFUNCTION("""COMPUTED_VALUE"""),"Yes")</f>
        <v>Yes</v>
      </c>
      <c r="AL59" s="5" t="str">
        <f>IFERROR(__xludf.DUMMYFUNCTION("""COMPUTED_VALUE"""),"Yes")</f>
        <v>Yes</v>
      </c>
      <c r="AM59" s="5" t="str">
        <f>IFERROR(__xludf.DUMMYFUNCTION("""COMPUTED_VALUE"""),"Yes")</f>
        <v>Yes</v>
      </c>
      <c r="AN59" s="5" t="str">
        <f>IFERROR(__xludf.DUMMYFUNCTION("""COMPUTED_VALUE"""),"Yes")</f>
        <v>Yes</v>
      </c>
      <c r="AO59" s="5" t="str">
        <f>IFERROR(__xludf.DUMMYFUNCTION("""COMPUTED_VALUE"""),"Yes")</f>
        <v>Yes</v>
      </c>
      <c r="AP59" s="5" t="str">
        <f>IFERROR(__xludf.DUMMYFUNCTION("""COMPUTED_VALUE"""),"Yes")</f>
        <v>Yes</v>
      </c>
      <c r="AQ59" s="5" t="str">
        <f>IFERROR(__xludf.DUMMYFUNCTION("""COMPUTED_VALUE"""),"Yes")</f>
        <v>Yes</v>
      </c>
      <c r="AR59" s="5" t="str">
        <f>IFERROR(__xludf.DUMMYFUNCTION("""COMPUTED_VALUE"""),"Yes")</f>
        <v>Yes</v>
      </c>
      <c r="AS59" s="5" t="str">
        <f>IFERROR(__xludf.DUMMYFUNCTION("""COMPUTED_VALUE"""),"Yes")</f>
        <v>Yes</v>
      </c>
      <c r="AT59" s="5" t="str">
        <f>IFERROR(__xludf.DUMMYFUNCTION("""COMPUTED_VALUE"""),"No")</f>
        <v>No</v>
      </c>
      <c r="AU59" s="5"/>
      <c r="AV59" s="5" t="str">
        <f>IFERROR(__xludf.DUMMYFUNCTION("""COMPUTED_VALUE"""),"Available")</f>
        <v>Available</v>
      </c>
      <c r="AW59" s="5" t="str">
        <f>IFERROR(__xludf.DUMMYFUNCTION("""COMPUTED_VALUE"""),"")</f>
        <v/>
      </c>
      <c r="AX59" s="5" t="str">
        <f>IFERROR(__xludf.DUMMYFUNCTION("""COMPUTED_VALUE"""),"Available")</f>
        <v>Available</v>
      </c>
      <c r="AY59" s="5" t="str">
        <f>IFERROR(__xludf.DUMMYFUNCTION("""COMPUTED_VALUE"""),"")</f>
        <v/>
      </c>
      <c r="AZ59" s="5" t="str">
        <f>IFERROR(__xludf.DUMMYFUNCTION("""COMPUTED_VALUE"""),"Available")</f>
        <v>Available</v>
      </c>
      <c r="BA59" s="5" t="str">
        <f>IFERROR(__xludf.DUMMYFUNCTION("""COMPUTED_VALUE"""),"Available")</f>
        <v>Available</v>
      </c>
      <c r="BB59" s="5" t="str">
        <f>IFERROR(__xludf.DUMMYFUNCTION("""COMPUTED_VALUE"""),"Available")</f>
        <v>Available</v>
      </c>
      <c r="BC59" s="5" t="str">
        <f>IFERROR(__xludf.DUMMYFUNCTION("""COMPUTED_VALUE"""),"Available")</f>
        <v>Available</v>
      </c>
      <c r="BD59" s="5" t="str">
        <f>IFERROR(__xludf.DUMMYFUNCTION("""COMPUTED_VALUE"""),"")</f>
        <v/>
      </c>
      <c r="BE59" s="5" t="str">
        <f>IFERROR(__xludf.DUMMYFUNCTION("""COMPUTED_VALUE"""),"")</f>
        <v/>
      </c>
      <c r="BF59" s="5" t="str">
        <f>IFERROR(__xludf.DUMMYFUNCTION("""COMPUTED_VALUE"""),"")</f>
        <v/>
      </c>
      <c r="BG59" s="5" t="str">
        <f>IFERROR(__xludf.DUMMYFUNCTION("""COMPUTED_VALUE"""),"")</f>
        <v/>
      </c>
      <c r="BH59" s="5" t="str">
        <f>IFERROR(__xludf.DUMMYFUNCTION("""COMPUTED_VALUE"""),"")</f>
        <v/>
      </c>
      <c r="BI59" s="5" t="str">
        <f>IFERROR(__xludf.DUMMYFUNCTION("""COMPUTED_VALUE"""),"")</f>
        <v/>
      </c>
      <c r="BJ59" s="5" t="str">
        <f>IFERROR(__xludf.DUMMYFUNCTION("""COMPUTED_VALUE"""),"Available")</f>
        <v>Available</v>
      </c>
      <c r="BK59" s="5" t="str">
        <f>IFERROR(__xludf.DUMMYFUNCTION("""COMPUTED_VALUE"""),"")</f>
        <v/>
      </c>
      <c r="BL59" s="5" t="str">
        <f>IFERROR(__xludf.DUMMYFUNCTION("""COMPUTED_VALUE"""),"")</f>
        <v/>
      </c>
      <c r="BM59" s="5" t="str">
        <f>IFERROR(__xludf.DUMMYFUNCTION("""COMPUTED_VALUE"""),"")</f>
        <v/>
      </c>
    </row>
    <row r="60">
      <c r="A60" s="5" t="str">
        <f>IFERROR(__xludf.DUMMYFUNCTION("""COMPUTED_VALUE"""),"Fazi")</f>
        <v>Fazi</v>
      </c>
      <c r="B60" s="5" t="str">
        <f>IFERROR(__xludf.DUMMYFUNCTION("""COMPUTED_VALUE"""),"Heating Dice")</f>
        <v>Heating Dice</v>
      </c>
      <c r="C60" s="5" t="str">
        <f>IFERROR(__xludf.DUMMYFUNCTION("""COMPUTED_VALUE"""),"HeatingDice")</f>
        <v>HeatingDice</v>
      </c>
      <c r="D60" s="6">
        <f>IFERROR(__xludf.DUMMYFUNCTION("""COMPUTED_VALUE"""),44561.0)</f>
        <v>44561</v>
      </c>
      <c r="E60" s="5" t="str">
        <f>IFERROR(__xludf.DUMMYFUNCTION("""COMPUTED_VALUE"""),"Slot")</f>
        <v>Slot</v>
      </c>
      <c r="F60" s="5">
        <f>IFERROR(__xludf.DUMMYFUNCTION("""COMPUTED_VALUE"""),33.1)</f>
        <v>33.1</v>
      </c>
      <c r="G60" s="5" t="str">
        <f>IFERROR(__xludf.DUMMYFUNCTION("""COMPUTED_VALUE"""),"3x3")</f>
        <v>3x3</v>
      </c>
      <c r="H60" s="5" t="str">
        <f>IFERROR(__xludf.DUMMYFUNCTION("""COMPUTED_VALUE"""),"27")</f>
        <v>27</v>
      </c>
      <c r="I60" s="5" t="str">
        <f>IFERROR(__xludf.DUMMYFUNCTION("""COMPUTED_VALUE"""),"27")</f>
        <v>27</v>
      </c>
      <c r="J60" s="5" t="str">
        <f>IFERROR(__xludf.DUMMYFUNCTION("""COMPUTED_VALUE"""),"96.352%")</f>
        <v>96.352%</v>
      </c>
      <c r="K60" s="5" t="str">
        <f>IFERROR(__xludf.DUMMYFUNCTION("""COMPUTED_VALUE"""),"Medium")</f>
        <v>Medium</v>
      </c>
      <c r="L60" s="5" t="str">
        <f>IFERROR(__xludf.DUMMYFUNCTION("""COMPUTED_VALUE"""),"8.02%")</f>
        <v>8.02%</v>
      </c>
      <c r="M60" s="5" t="str">
        <f>IFERROR(__xludf.DUMMYFUNCTION("""COMPUTED_VALUE"""),"x360")</f>
        <v>x360</v>
      </c>
      <c r="N60" s="5" t="str">
        <f>IFERROR(__xludf.DUMMYFUNCTION("""COMPUTED_VALUE"""),"0.1/50")</f>
        <v>0.1/50</v>
      </c>
      <c r="O60" s="5" t="str">
        <f>IFERROR(__xludf.DUMMYFUNCTION("""COMPUTED_VALUE"""),"Yes")</f>
        <v>Yes</v>
      </c>
      <c r="P60" s="5" t="str">
        <f>IFERROR(__xludf.DUMMYFUNCTION("""COMPUTED_VALUE"""),"Respin, Mystery symbol")</f>
        <v>Respin, Mystery symbol</v>
      </c>
      <c r="Q60" s="7" t="str">
        <f>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R60" s="5" t="str">
        <f>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S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IFERROR(__xludf.DUMMYFUNCTION("""COMPUTED_VALUE"""),"Yes")</f>
        <v>Yes</v>
      </c>
      <c r="AH60" s="5" t="str">
        <f>IFERROR(__xludf.DUMMYFUNCTION("""COMPUTED_VALUE"""),"Yes")</f>
        <v>Yes</v>
      </c>
      <c r="AI60" s="5" t="str">
        <f>IFERROR(__xludf.DUMMYFUNCTION("""COMPUTED_VALUE"""),"Yes")</f>
        <v>Yes</v>
      </c>
      <c r="AJ60" s="5" t="str">
        <f>IFERROR(__xludf.DUMMYFUNCTION("""COMPUTED_VALUE"""),"Yes")</f>
        <v>Yes</v>
      </c>
      <c r="AK60" s="5" t="str">
        <f>IFERROR(__xludf.DUMMYFUNCTION("""COMPUTED_VALUE"""),"Yes")</f>
        <v>Yes</v>
      </c>
      <c r="AL60" s="5" t="str">
        <f>IFERROR(__xludf.DUMMYFUNCTION("""COMPUTED_VALUE"""),"Yes")</f>
        <v>Yes</v>
      </c>
      <c r="AM60" s="5" t="str">
        <f>IFERROR(__xludf.DUMMYFUNCTION("""COMPUTED_VALUE"""),"Yes")</f>
        <v>Yes</v>
      </c>
      <c r="AN60" s="5" t="str">
        <f>IFERROR(__xludf.DUMMYFUNCTION("""COMPUTED_VALUE"""),"Yes")</f>
        <v>Yes</v>
      </c>
      <c r="AO60" s="5" t="str">
        <f>IFERROR(__xludf.DUMMYFUNCTION("""COMPUTED_VALUE"""),"Yes")</f>
        <v>Yes</v>
      </c>
      <c r="AP60" s="5" t="str">
        <f>IFERROR(__xludf.DUMMYFUNCTION("""COMPUTED_VALUE"""),"Yes")</f>
        <v>Yes</v>
      </c>
      <c r="AQ60" s="5" t="str">
        <f>IFERROR(__xludf.DUMMYFUNCTION("""COMPUTED_VALUE"""),"Yes")</f>
        <v>Yes</v>
      </c>
      <c r="AR60" s="5" t="str">
        <f>IFERROR(__xludf.DUMMYFUNCTION("""COMPUTED_VALUE"""),"Yes")</f>
        <v>Yes</v>
      </c>
      <c r="AS60" s="5" t="str">
        <f>IFERROR(__xludf.DUMMYFUNCTION("""COMPUTED_VALUE"""),"Yes")</f>
        <v>Yes</v>
      </c>
      <c r="AT60" s="5" t="str">
        <f>IFERROR(__xludf.DUMMYFUNCTION("""COMPUTED_VALUE"""),"No")</f>
        <v>No</v>
      </c>
      <c r="AU60" s="5"/>
      <c r="AV60" s="5" t="str">
        <f>IFERROR(__xludf.DUMMYFUNCTION("""COMPUTED_VALUE"""),"")</f>
        <v/>
      </c>
      <c r="AW60" s="5" t="str">
        <f>IFERROR(__xludf.DUMMYFUNCTION("""COMPUTED_VALUE"""),"")</f>
        <v/>
      </c>
      <c r="AX60" s="5" t="str">
        <f>IFERROR(__xludf.DUMMYFUNCTION("""COMPUTED_VALUE"""),"")</f>
        <v/>
      </c>
      <c r="AY60" s="5" t="str">
        <f>IFERROR(__xludf.DUMMYFUNCTION("""COMPUTED_VALUE"""),"")</f>
        <v/>
      </c>
      <c r="AZ60" s="5" t="str">
        <f>IFERROR(__xludf.DUMMYFUNCTION("""COMPUTED_VALUE"""),"")</f>
        <v/>
      </c>
      <c r="BA60" s="5" t="str">
        <f>IFERROR(__xludf.DUMMYFUNCTION("""COMPUTED_VALUE"""),"")</f>
        <v/>
      </c>
      <c r="BB60" s="5" t="str">
        <f>IFERROR(__xludf.DUMMYFUNCTION("""COMPUTED_VALUE"""),"")</f>
        <v/>
      </c>
      <c r="BC60" s="5" t="str">
        <f>IFERROR(__xludf.DUMMYFUNCTION("""COMPUTED_VALUE"""),"")</f>
        <v/>
      </c>
      <c r="BD60" s="5" t="str">
        <f>IFERROR(__xludf.DUMMYFUNCTION("""COMPUTED_VALUE"""),"")</f>
        <v/>
      </c>
      <c r="BE60" s="5" t="str">
        <f>IFERROR(__xludf.DUMMYFUNCTION("""COMPUTED_VALUE"""),"")</f>
        <v/>
      </c>
      <c r="BF60" s="5" t="str">
        <f>IFERROR(__xludf.DUMMYFUNCTION("""COMPUTED_VALUE"""),"")</f>
        <v/>
      </c>
      <c r="BG60" s="5" t="str">
        <f>IFERROR(__xludf.DUMMYFUNCTION("""COMPUTED_VALUE"""),"")</f>
        <v/>
      </c>
      <c r="BH60" s="5" t="str">
        <f>IFERROR(__xludf.DUMMYFUNCTION("""COMPUTED_VALUE"""),"")</f>
        <v/>
      </c>
      <c r="BI60" s="5" t="str">
        <f>IFERROR(__xludf.DUMMYFUNCTION("""COMPUTED_VALUE"""),"")</f>
        <v/>
      </c>
      <c r="BJ60" s="5" t="str">
        <f>IFERROR(__xludf.DUMMYFUNCTION("""COMPUTED_VALUE"""),"")</f>
        <v/>
      </c>
      <c r="BK60" s="5" t="str">
        <f>IFERROR(__xludf.DUMMYFUNCTION("""COMPUTED_VALUE"""),"")</f>
        <v/>
      </c>
      <c r="BL60" s="5" t="str">
        <f>IFERROR(__xludf.DUMMYFUNCTION("""COMPUTED_VALUE"""),"")</f>
        <v/>
      </c>
      <c r="BM60" s="5" t="str">
        <f>IFERROR(__xludf.DUMMYFUNCTION("""COMPUTED_VALUE"""),"")</f>
        <v/>
      </c>
    </row>
    <row r="61">
      <c r="A61" s="5" t="str">
        <f>IFERROR(__xludf.DUMMYFUNCTION("""COMPUTED_VALUE"""),"Fazi")</f>
        <v>Fazi</v>
      </c>
      <c r="B61" s="5" t="str">
        <f>IFERROR(__xludf.DUMMYFUNCTION("""COMPUTED_VALUE"""),"Crystal Jewels")</f>
        <v>Crystal Jewels</v>
      </c>
      <c r="C61" s="5" t="str">
        <f>IFERROR(__xludf.DUMMYFUNCTION("""COMPUTED_VALUE"""),"CrystalJewels")</f>
        <v>CrystalJewels</v>
      </c>
      <c r="D61" s="6">
        <f>IFERROR(__xludf.DUMMYFUNCTION("""COMPUTED_VALUE"""),44434.0)</f>
        <v>44434</v>
      </c>
      <c r="E61" s="5" t="str">
        <f>IFERROR(__xludf.DUMMYFUNCTION("""COMPUTED_VALUE"""),"Slot")</f>
        <v>Slot</v>
      </c>
      <c r="F61" s="5">
        <f>IFERROR(__xludf.DUMMYFUNCTION("""COMPUTED_VALUE"""),30.8)</f>
        <v>30.8</v>
      </c>
      <c r="G61" s="5" t="str">
        <f>IFERROR(__xludf.DUMMYFUNCTION("""COMPUTED_VALUE"""),"5x3")</f>
        <v>5x3</v>
      </c>
      <c r="H61" s="5" t="str">
        <f>IFERROR(__xludf.DUMMYFUNCTION("""COMPUTED_VALUE"""),"10")</f>
        <v>10</v>
      </c>
      <c r="I61" s="5" t="str">
        <f>IFERROR(__xludf.DUMMYFUNCTION("""COMPUTED_VALUE"""),"1,3,5,7,10")</f>
        <v>1,3,5,7,10</v>
      </c>
      <c r="J61" s="5" t="str">
        <f>IFERROR(__xludf.DUMMYFUNCTION("""COMPUTED_VALUE"""),"96.077%")</f>
        <v>96.077%</v>
      </c>
      <c r="K61" s="5" t="str">
        <f>IFERROR(__xludf.DUMMYFUNCTION("""COMPUTED_VALUE"""),"Medium")</f>
        <v>Medium</v>
      </c>
      <c r="L61" s="5" t="str">
        <f>IFERROR(__xludf.DUMMYFUNCTION("""COMPUTED_VALUE"""),"19.54%")</f>
        <v>19.54%</v>
      </c>
      <c r="M61" s="5" t="str">
        <f>IFERROR(__xludf.DUMMYFUNCTION("""COMPUTED_VALUE"""),"x598")</f>
        <v>x598</v>
      </c>
      <c r="N61" s="5" t="str">
        <f>IFERROR(__xludf.DUMMYFUNCTION("""COMPUTED_VALUE"""),"0.01/40")</f>
        <v>0.01/40</v>
      </c>
      <c r="O61" s="5" t="str">
        <f>IFERROR(__xludf.DUMMYFUNCTION("""COMPUTED_VALUE"""),"Yes")</f>
        <v>Yes</v>
      </c>
      <c r="P61" s="5" t="str">
        <f>IFERROR(__xludf.DUMMYFUNCTION("""COMPUTED_VALUE"""),"Wild Symbol, Respin, Bothways")</f>
        <v>Wild Symbol, Respin, Bothways</v>
      </c>
      <c r="Q61" s="7" t="str">
        <f>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R61" s="5" t="str">
        <f>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S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1" s="5" t="str">
        <f>IFERROR(__xludf.DUMMYFUNCTION("""COMPUTED_VALUE"""),"Yes")</f>
        <v>Yes</v>
      </c>
      <c r="U61" s="5" t="str">
        <f>IFERROR(__xludf.DUMMYFUNCTION("""COMPUTED_VALUE"""),"Yes")</f>
        <v>Yes</v>
      </c>
      <c r="V61" s="5" t="str">
        <f>IFERROR(__xludf.DUMMYFUNCTION("""COMPUTED_VALUE"""),"Yes")</f>
        <v>Yes</v>
      </c>
      <c r="W61" s="5" t="str">
        <f>IFERROR(__xludf.DUMMYFUNCTION("""COMPUTED_VALUE"""),"Yes")</f>
        <v>Yes</v>
      </c>
      <c r="X61" s="5" t="str">
        <f>IFERROR(__xludf.DUMMYFUNCTION("""COMPUTED_VALUE"""),"Yes")</f>
        <v>Yes</v>
      </c>
      <c r="Y61" s="5" t="str">
        <f>IFERROR(__xludf.DUMMYFUNCTION("""COMPUTED_VALUE"""),"Yes")</f>
        <v>Yes</v>
      </c>
      <c r="Z61" s="5" t="str">
        <f>IFERROR(__xludf.DUMMYFUNCTION("""COMPUTED_VALUE"""),"Yes")</f>
        <v>Yes</v>
      </c>
      <c r="AA61" s="5" t="str">
        <f>IFERROR(__xludf.DUMMYFUNCTION("""COMPUTED_VALUE"""),"Yes")</f>
        <v>Yes</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IFERROR(__xludf.DUMMYFUNCTION("""COMPUTED_VALUE"""),"Yes")</f>
        <v>Yes</v>
      </c>
      <c r="AH61" s="5" t="str">
        <f>IFERROR(__xludf.DUMMYFUNCTION("""COMPUTED_VALUE"""),"Yes")</f>
        <v>Yes</v>
      </c>
      <c r="AI61" s="5" t="str">
        <f>IFERROR(__xludf.DUMMYFUNCTION("""COMPUTED_VALUE"""),"Yes")</f>
        <v>Yes</v>
      </c>
      <c r="AJ61" s="5" t="str">
        <f>IFERROR(__xludf.DUMMYFUNCTION("""COMPUTED_VALUE"""),"Yes")</f>
        <v>Yes</v>
      </c>
      <c r="AK61" s="5" t="str">
        <f>IFERROR(__xludf.DUMMYFUNCTION("""COMPUTED_VALUE"""),"Yes")</f>
        <v>Yes</v>
      </c>
      <c r="AL61" s="5" t="str">
        <f>IFERROR(__xludf.DUMMYFUNCTION("""COMPUTED_VALUE"""),"Yes")</f>
        <v>Yes</v>
      </c>
      <c r="AM61" s="5" t="str">
        <f>IFERROR(__xludf.DUMMYFUNCTION("""COMPUTED_VALUE"""),"Yes")</f>
        <v>Yes</v>
      </c>
      <c r="AN61" s="5" t="str">
        <f>IFERROR(__xludf.DUMMYFUNCTION("""COMPUTED_VALUE"""),"Yes")</f>
        <v>Yes</v>
      </c>
      <c r="AO61" s="5" t="str">
        <f>IFERROR(__xludf.DUMMYFUNCTION("""COMPUTED_VALUE"""),"Yes")</f>
        <v>Yes</v>
      </c>
      <c r="AP61" s="5" t="str">
        <f>IFERROR(__xludf.DUMMYFUNCTION("""COMPUTED_VALUE"""),"Yes")</f>
        <v>Yes</v>
      </c>
      <c r="AQ61" s="5" t="str">
        <f>IFERROR(__xludf.DUMMYFUNCTION("""COMPUTED_VALUE"""),"Yes")</f>
        <v>Yes</v>
      </c>
      <c r="AR61" s="5" t="str">
        <f>IFERROR(__xludf.DUMMYFUNCTION("""COMPUTED_VALUE"""),"Yes")</f>
        <v>Yes</v>
      </c>
      <c r="AS61" s="5" t="str">
        <f>IFERROR(__xludf.DUMMYFUNCTION("""COMPUTED_VALUE"""),"Yes")</f>
        <v>Yes</v>
      </c>
      <c r="AT61" s="5" t="str">
        <f>IFERROR(__xludf.DUMMYFUNCTION("""COMPUTED_VALUE"""),"No")</f>
        <v>No</v>
      </c>
      <c r="AU61" s="5"/>
      <c r="AV61" s="5" t="str">
        <f>IFERROR(__xludf.DUMMYFUNCTION("""COMPUTED_VALUE"""),"")</f>
        <v/>
      </c>
      <c r="AW61" s="5" t="str">
        <f>IFERROR(__xludf.DUMMYFUNCTION("""COMPUTED_VALUE"""),"")</f>
        <v/>
      </c>
      <c r="AX61" s="5" t="str">
        <f>IFERROR(__xludf.DUMMYFUNCTION("""COMPUTED_VALUE"""),"Available")</f>
        <v>Available</v>
      </c>
      <c r="AY61" s="5" t="str">
        <f>IFERROR(__xludf.DUMMYFUNCTION("""COMPUTED_VALUE"""),"")</f>
        <v/>
      </c>
      <c r="AZ61" s="5" t="str">
        <f>IFERROR(__xludf.DUMMYFUNCTION("""COMPUTED_VALUE"""),"Available")</f>
        <v>Available</v>
      </c>
      <c r="BA61" s="5" t="str">
        <f>IFERROR(__xludf.DUMMYFUNCTION("""COMPUTED_VALUE"""),"Available")</f>
        <v>Available</v>
      </c>
      <c r="BB61" s="5" t="str">
        <f>IFERROR(__xludf.DUMMYFUNCTION("""COMPUTED_VALUE"""),"Available")</f>
        <v>Available</v>
      </c>
      <c r="BC61" s="5" t="str">
        <f>IFERROR(__xludf.DUMMYFUNCTION("""COMPUTED_VALUE"""),"Available")</f>
        <v>Available</v>
      </c>
      <c r="BD61" s="5" t="str">
        <f>IFERROR(__xludf.DUMMYFUNCTION("""COMPUTED_VALUE"""),"")</f>
        <v/>
      </c>
      <c r="BE61" s="5" t="str">
        <f>IFERROR(__xludf.DUMMYFUNCTION("""COMPUTED_VALUE"""),"")</f>
        <v/>
      </c>
      <c r="BF61" s="5" t="str">
        <f>IFERROR(__xludf.DUMMYFUNCTION("""COMPUTED_VALUE"""),"")</f>
        <v/>
      </c>
      <c r="BG61" s="5" t="str">
        <f>IFERROR(__xludf.DUMMYFUNCTION("""COMPUTED_VALUE"""),"Available")</f>
        <v>Available</v>
      </c>
      <c r="BH61" s="5" t="str">
        <f>IFERROR(__xludf.DUMMYFUNCTION("""COMPUTED_VALUE"""),"")</f>
        <v/>
      </c>
      <c r="BI61" s="5" t="str">
        <f>IFERROR(__xludf.DUMMYFUNCTION("""COMPUTED_VALUE"""),"")</f>
        <v/>
      </c>
      <c r="BJ61" s="5" t="str">
        <f>IFERROR(__xludf.DUMMYFUNCTION("""COMPUTED_VALUE"""),"")</f>
        <v/>
      </c>
      <c r="BK61" s="5" t="str">
        <f>IFERROR(__xludf.DUMMYFUNCTION("""COMPUTED_VALUE"""),"Available")</f>
        <v>Available</v>
      </c>
      <c r="BL61" s="5" t="str">
        <f>IFERROR(__xludf.DUMMYFUNCTION("""COMPUTED_VALUE"""),"")</f>
        <v/>
      </c>
      <c r="BM61" s="5" t="str">
        <f>IFERROR(__xludf.DUMMYFUNCTION("""COMPUTED_VALUE"""),"")</f>
        <v/>
      </c>
    </row>
    <row r="62">
      <c r="A62" s="5" t="str">
        <f>IFERROR(__xludf.DUMMYFUNCTION("""COMPUTED_VALUE"""),"Fazi")</f>
        <v>Fazi</v>
      </c>
      <c r="B62" s="5" t="str">
        <f>IFERROR(__xludf.DUMMYFUNCTION("""COMPUTED_VALUE"""),"Twinkling Hot 80")</f>
        <v>Twinkling Hot 80</v>
      </c>
      <c r="C62" s="5" t="str">
        <f>IFERROR(__xludf.DUMMYFUNCTION("""COMPUTED_VALUE"""),"TwinklingHot80")</f>
        <v>TwinklingHot80</v>
      </c>
      <c r="D62" s="6">
        <f>IFERROR(__xludf.DUMMYFUNCTION("""COMPUTED_VALUE"""),44390.0)</f>
        <v>44390</v>
      </c>
      <c r="E62" s="5" t="str">
        <f>IFERROR(__xludf.DUMMYFUNCTION("""COMPUTED_VALUE"""),"Slot")</f>
        <v>Slot</v>
      </c>
      <c r="F62" s="5">
        <f>IFERROR(__xludf.DUMMYFUNCTION("""COMPUTED_VALUE"""),27.6)</f>
        <v>27.6</v>
      </c>
      <c r="G62" s="5" t="str">
        <f>IFERROR(__xludf.DUMMYFUNCTION("""COMPUTED_VALUE"""),"5x3")</f>
        <v>5x3</v>
      </c>
      <c r="H62" s="5" t="str">
        <f>IFERROR(__xludf.DUMMYFUNCTION("""COMPUTED_VALUE"""),"80")</f>
        <v>80</v>
      </c>
      <c r="I62" s="5" t="str">
        <f>IFERROR(__xludf.DUMMYFUNCTION("""COMPUTED_VALUE"""),"80")</f>
        <v>80</v>
      </c>
      <c r="J62" s="5" t="str">
        <f>IFERROR(__xludf.DUMMYFUNCTION("""COMPUTED_VALUE"""),"95.656%")</f>
        <v>95.656%</v>
      </c>
      <c r="K62" s="5" t="str">
        <f>IFERROR(__xludf.DUMMYFUNCTION("""COMPUTED_VALUE"""),"Low")</f>
        <v>Low</v>
      </c>
      <c r="L62" s="5" t="str">
        <f>IFERROR(__xludf.DUMMYFUNCTION("""COMPUTED_VALUE"""),"17.87%")</f>
        <v>17.87%</v>
      </c>
      <c r="M62" s="5" t="str">
        <f>IFERROR(__xludf.DUMMYFUNCTION("""COMPUTED_VALUE"""),"x200")</f>
        <v>x200</v>
      </c>
      <c r="N62" s="5" t="str">
        <f>IFERROR(__xludf.DUMMYFUNCTION("""COMPUTED_VALUE"""),"0.8/80")</f>
        <v>0.8/80</v>
      </c>
      <c r="O62" s="5" t="str">
        <f>IFERROR(__xludf.DUMMYFUNCTION("""COMPUTED_VALUE"""),"Yes")</f>
        <v>Yes</v>
      </c>
      <c r="P62" s="5" t="str">
        <f>IFERROR(__xludf.DUMMYFUNCTION("""COMPUTED_VALUE"""),"Scatter")</f>
        <v>Scatter</v>
      </c>
      <c r="Q62" s="7" t="str">
        <f>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R62" s="5" t="str">
        <f>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S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IFERROR(__xludf.DUMMYFUNCTION("""COMPUTED_VALUE"""),"Yes")</f>
        <v>Yes</v>
      </c>
      <c r="AJ62" s="5" t="str">
        <f>IFERROR(__xludf.DUMMYFUNCTION("""COMPUTED_VALUE"""),"Yes")</f>
        <v>Yes</v>
      </c>
      <c r="AK62" s="5" t="str">
        <f>IFERROR(__xludf.DUMMYFUNCTION("""COMPUTED_VALUE"""),"Yes")</f>
        <v>Yes</v>
      </c>
      <c r="AL62" s="5" t="str">
        <f>IFERROR(__xludf.DUMMYFUNCTION("""COMPUTED_VALUE"""),"Yes")</f>
        <v>Yes</v>
      </c>
      <c r="AM62" s="5" t="str">
        <f>IFERROR(__xludf.DUMMYFUNCTION("""COMPUTED_VALUE"""),"Yes")</f>
        <v>Yes</v>
      </c>
      <c r="AN62" s="5" t="str">
        <f>IFERROR(__xludf.DUMMYFUNCTION("""COMPUTED_VALUE"""),"Yes")</f>
        <v>Yes</v>
      </c>
      <c r="AO62" s="5" t="str">
        <f>IFERROR(__xludf.DUMMYFUNCTION("""COMPUTED_VALUE"""),"Yes")</f>
        <v>Yes</v>
      </c>
      <c r="AP62" s="5" t="str">
        <f>IFERROR(__xludf.DUMMYFUNCTION("""COMPUTED_VALUE"""),"Yes")</f>
        <v>Yes</v>
      </c>
      <c r="AQ62" s="5" t="str">
        <f>IFERROR(__xludf.DUMMYFUNCTION("""COMPUTED_VALUE"""),"Yes")</f>
        <v>Yes</v>
      </c>
      <c r="AR62" s="5" t="str">
        <f>IFERROR(__xludf.DUMMYFUNCTION("""COMPUTED_VALUE"""),"Yes")</f>
        <v>Yes</v>
      </c>
      <c r="AS62" s="5" t="str">
        <f>IFERROR(__xludf.DUMMYFUNCTION("""COMPUTED_VALUE"""),"Yes")</f>
        <v>Yes</v>
      </c>
      <c r="AT62" s="5" t="str">
        <f>IFERROR(__xludf.DUMMYFUNCTION("""COMPUTED_VALUE"""),"No")</f>
        <v>No</v>
      </c>
      <c r="AU62" s="5"/>
      <c r="AV62" s="5" t="str">
        <f>IFERROR(__xludf.DUMMYFUNCTION("""COMPUTED_VALUE"""),"")</f>
        <v/>
      </c>
      <c r="AW62" s="5" t="str">
        <f>IFERROR(__xludf.DUMMYFUNCTION("""COMPUTED_VALUE"""),"")</f>
        <v/>
      </c>
      <c r="AX62" s="5" t="str">
        <f>IFERROR(__xludf.DUMMYFUNCTION("""COMPUTED_VALUE"""),"Available")</f>
        <v>Available</v>
      </c>
      <c r="AY62" s="5" t="str">
        <f>IFERROR(__xludf.DUMMYFUNCTION("""COMPUTED_VALUE"""),"")</f>
        <v/>
      </c>
      <c r="AZ62" s="5" t="str">
        <f>IFERROR(__xludf.DUMMYFUNCTION("""COMPUTED_VALUE"""),"Available")</f>
        <v>Available</v>
      </c>
      <c r="BA62" s="5" t="str">
        <f>IFERROR(__xludf.DUMMYFUNCTION("""COMPUTED_VALUE"""),"Available")</f>
        <v>Available</v>
      </c>
      <c r="BB62" s="5" t="str">
        <f>IFERROR(__xludf.DUMMYFUNCTION("""COMPUTED_VALUE"""),"Available")</f>
        <v>Available</v>
      </c>
      <c r="BC62" s="5" t="str">
        <f>IFERROR(__xludf.DUMMYFUNCTION("""COMPUTED_VALUE"""),"Available")</f>
        <v>Available</v>
      </c>
      <c r="BD62" s="5" t="str">
        <f>IFERROR(__xludf.DUMMYFUNCTION("""COMPUTED_VALUE"""),"")</f>
        <v/>
      </c>
      <c r="BE62" s="5" t="str">
        <f>IFERROR(__xludf.DUMMYFUNCTION("""COMPUTED_VALUE"""),"")</f>
        <v/>
      </c>
      <c r="BF62" s="5" t="str">
        <f>IFERROR(__xludf.DUMMYFUNCTION("""COMPUTED_VALUE"""),"")</f>
        <v/>
      </c>
      <c r="BG62" s="5" t="str">
        <f>IFERROR(__xludf.DUMMYFUNCTION("""COMPUTED_VALUE"""),"")</f>
        <v/>
      </c>
      <c r="BH62" s="5" t="str">
        <f>IFERROR(__xludf.DUMMYFUNCTION("""COMPUTED_VALUE"""),"")</f>
        <v/>
      </c>
      <c r="BI62" s="5" t="str">
        <f>IFERROR(__xludf.DUMMYFUNCTION("""COMPUTED_VALUE"""),"")</f>
        <v/>
      </c>
      <c r="BJ62" s="5" t="str">
        <f>IFERROR(__xludf.DUMMYFUNCTION("""COMPUTED_VALUE"""),"Available")</f>
        <v>Available</v>
      </c>
      <c r="BK62" s="5" t="str">
        <f>IFERROR(__xludf.DUMMYFUNCTION("""COMPUTED_VALUE"""),"Available")</f>
        <v>Available</v>
      </c>
      <c r="BL62" s="5" t="str">
        <f>IFERROR(__xludf.DUMMYFUNCTION("""COMPUTED_VALUE"""),"")</f>
        <v/>
      </c>
      <c r="BM62" s="5" t="str">
        <f>IFERROR(__xludf.DUMMYFUNCTION("""COMPUTED_VALUE"""),"")</f>
        <v/>
      </c>
    </row>
    <row r="63">
      <c r="A63" s="5" t="str">
        <f>IFERROR(__xludf.DUMMYFUNCTION("""COMPUTED_VALUE"""),"Fazi")</f>
        <v>Fazi</v>
      </c>
      <c r="B63" s="5" t="str">
        <f>IFERROR(__xludf.DUMMYFUNCTION("""COMPUTED_VALUE"""),"Lucky Brilliants")</f>
        <v>Lucky Brilliants</v>
      </c>
      <c r="C63" s="5" t="str">
        <f>IFERROR(__xludf.DUMMYFUNCTION("""COMPUTED_VALUE"""),"LuckyBrilliants")</f>
        <v>LuckyBrilliants</v>
      </c>
      <c r="D63" s="6">
        <f>IFERROR(__xludf.DUMMYFUNCTION("""COMPUTED_VALUE"""),44452.0)</f>
        <v>44452</v>
      </c>
      <c r="E63" s="5" t="str">
        <f>IFERROR(__xludf.DUMMYFUNCTION("""COMPUTED_VALUE"""),"Slot")</f>
        <v>Slot</v>
      </c>
      <c r="F63" s="5">
        <f>IFERROR(__xludf.DUMMYFUNCTION("""COMPUTED_VALUE"""),12.9)</f>
        <v>12.9</v>
      </c>
      <c r="G63" s="5" t="str">
        <f>IFERROR(__xludf.DUMMYFUNCTION("""COMPUTED_VALUE"""),"5x3")</f>
        <v>5x3</v>
      </c>
      <c r="H63" s="5" t="str">
        <f>IFERROR(__xludf.DUMMYFUNCTION("""COMPUTED_VALUE"""),"20")</f>
        <v>20</v>
      </c>
      <c r="I63" s="5" t="str">
        <f>IFERROR(__xludf.DUMMYFUNCTION("""COMPUTED_VALUE"""),"20")</f>
        <v>20</v>
      </c>
      <c r="J63" s="5" t="str">
        <f>IFERROR(__xludf.DUMMYFUNCTION("""COMPUTED_VALUE"""),"95.656%")</f>
        <v>95.656%</v>
      </c>
      <c r="K63" s="5" t="str">
        <f>IFERROR(__xludf.DUMMYFUNCTION("""COMPUTED_VALUE"""),"Low")</f>
        <v>Low</v>
      </c>
      <c r="L63" s="5" t="str">
        <f>IFERROR(__xludf.DUMMYFUNCTION("""COMPUTED_VALUE"""),"17.08%")</f>
        <v>17.08%</v>
      </c>
      <c r="M63" s="5" t="str">
        <f>IFERROR(__xludf.DUMMYFUNCTION("""COMPUTED_VALUE"""),"x250")</f>
        <v>x250</v>
      </c>
      <c r="N63" s="5" t="str">
        <f>IFERROR(__xludf.DUMMYFUNCTION("""COMPUTED_VALUE"""),"0.2/50")</f>
        <v>0.2/50</v>
      </c>
      <c r="O63" s="5" t="str">
        <f>IFERROR(__xludf.DUMMYFUNCTION("""COMPUTED_VALUE"""),"Yes")</f>
        <v>Yes</v>
      </c>
      <c r="P63" s="5" t="str">
        <f>IFERROR(__xludf.DUMMYFUNCTION("""COMPUTED_VALUE"""),"Scatter")</f>
        <v>Scatter</v>
      </c>
      <c r="Q63" s="7" t="str">
        <f>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R63" s="5" t="str">
        <f>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S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3" s="5" t="str">
        <f>IFERROR(__xludf.DUMMYFUNCTION("""COMPUTED_VALUE"""),"Yes")</f>
        <v>Yes</v>
      </c>
      <c r="U63" s="5" t="str">
        <f>IFERROR(__xludf.DUMMYFUNCTION("""COMPUTED_VALUE"""),"Yes")</f>
        <v>Yes</v>
      </c>
      <c r="V63" s="5" t="str">
        <f>IFERROR(__xludf.DUMMYFUNCTION("""COMPUTED_VALUE"""),"Yes")</f>
        <v>Yes</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IFERROR(__xludf.DUMMYFUNCTION("""COMPUTED_VALUE"""),"Yes")</f>
        <v>Yes</v>
      </c>
      <c r="AH63" s="5" t="str">
        <f>IFERROR(__xludf.DUMMYFUNCTION("""COMPUTED_VALUE"""),"Yes")</f>
        <v>Yes</v>
      </c>
      <c r="AI63" s="5" t="str">
        <f>IFERROR(__xludf.DUMMYFUNCTION("""COMPUTED_VALUE"""),"Yes")</f>
        <v>Yes</v>
      </c>
      <c r="AJ63" s="5" t="str">
        <f>IFERROR(__xludf.DUMMYFUNCTION("""COMPUTED_VALUE"""),"Yes")</f>
        <v>Yes</v>
      </c>
      <c r="AK63" s="5" t="str">
        <f>IFERROR(__xludf.DUMMYFUNCTION("""COMPUTED_VALUE"""),"Yes")</f>
        <v>Yes</v>
      </c>
      <c r="AL63" s="5" t="str">
        <f>IFERROR(__xludf.DUMMYFUNCTION("""COMPUTED_VALUE"""),"Yes")</f>
        <v>Yes</v>
      </c>
      <c r="AM63" s="5" t="str">
        <f>IFERROR(__xludf.DUMMYFUNCTION("""COMPUTED_VALUE"""),"Yes")</f>
        <v>Yes</v>
      </c>
      <c r="AN63" s="5" t="str">
        <f>IFERROR(__xludf.DUMMYFUNCTION("""COMPUTED_VALUE"""),"Yes")</f>
        <v>Yes</v>
      </c>
      <c r="AO63" s="5" t="str">
        <f>IFERROR(__xludf.DUMMYFUNCTION("""COMPUTED_VALUE"""),"Yes")</f>
        <v>Yes</v>
      </c>
      <c r="AP63" s="5" t="str">
        <f>IFERROR(__xludf.DUMMYFUNCTION("""COMPUTED_VALUE"""),"Yes")</f>
        <v>Yes</v>
      </c>
      <c r="AQ63" s="5" t="str">
        <f>IFERROR(__xludf.DUMMYFUNCTION("""COMPUTED_VALUE"""),"Yes")</f>
        <v>Yes</v>
      </c>
      <c r="AR63" s="5" t="str">
        <f>IFERROR(__xludf.DUMMYFUNCTION("""COMPUTED_VALUE"""),"Yes")</f>
        <v>Yes</v>
      </c>
      <c r="AS63" s="5" t="str">
        <f>IFERROR(__xludf.DUMMYFUNCTION("""COMPUTED_VALUE"""),"Yes")</f>
        <v>Yes</v>
      </c>
      <c r="AT63" s="5" t="str">
        <f>IFERROR(__xludf.DUMMYFUNCTION("""COMPUTED_VALUE"""),"No")</f>
        <v>No</v>
      </c>
      <c r="AU63" s="5"/>
      <c r="AV63" s="5" t="str">
        <f>IFERROR(__xludf.DUMMYFUNCTION("""COMPUTED_VALUE"""),"")</f>
        <v/>
      </c>
      <c r="AW63" s="5" t="str">
        <f>IFERROR(__xludf.DUMMYFUNCTION("""COMPUTED_VALUE"""),"")</f>
        <v/>
      </c>
      <c r="AX63" s="5" t="str">
        <f>IFERROR(__xludf.DUMMYFUNCTION("""COMPUTED_VALUE"""),"Available")</f>
        <v>Available</v>
      </c>
      <c r="AY63" s="5" t="str">
        <f>IFERROR(__xludf.DUMMYFUNCTION("""COMPUTED_VALUE"""),"")</f>
        <v/>
      </c>
      <c r="AZ63" s="5" t="str">
        <f>IFERROR(__xludf.DUMMYFUNCTION("""COMPUTED_VALUE"""),"")</f>
        <v/>
      </c>
      <c r="BA63" s="5" t="str">
        <f>IFERROR(__xludf.DUMMYFUNCTION("""COMPUTED_VALUE"""),"")</f>
        <v/>
      </c>
      <c r="BB63" s="5" t="str">
        <f>IFERROR(__xludf.DUMMYFUNCTION("""COMPUTED_VALUE"""),"Available")</f>
        <v>Available</v>
      </c>
      <c r="BC63" s="5" t="str">
        <f>IFERROR(__xludf.DUMMYFUNCTION("""COMPUTED_VALUE"""),"Available")</f>
        <v>Available</v>
      </c>
      <c r="BD63" s="5" t="str">
        <f>IFERROR(__xludf.DUMMYFUNCTION("""COMPUTED_VALUE"""),"")</f>
        <v/>
      </c>
      <c r="BE63" s="5" t="str">
        <f>IFERROR(__xludf.DUMMYFUNCTION("""COMPUTED_VALUE"""),"")</f>
        <v/>
      </c>
      <c r="BF63" s="5" t="str">
        <f>IFERROR(__xludf.DUMMYFUNCTION("""COMPUTED_VALUE"""),"")</f>
        <v/>
      </c>
      <c r="BG63" s="5" t="str">
        <f>IFERROR(__xludf.DUMMYFUNCTION("""COMPUTED_VALUE"""),"")</f>
        <v/>
      </c>
      <c r="BH63" s="5" t="str">
        <f>IFERROR(__xludf.DUMMYFUNCTION("""COMPUTED_VALUE"""),"")</f>
        <v/>
      </c>
      <c r="BI63" s="5" t="str">
        <f>IFERROR(__xludf.DUMMYFUNCTION("""COMPUTED_VALUE"""),"")</f>
        <v/>
      </c>
      <c r="BJ63" s="5" t="str">
        <f>IFERROR(__xludf.DUMMYFUNCTION("""COMPUTED_VALUE"""),"")</f>
        <v/>
      </c>
      <c r="BK63" s="5" t="str">
        <f>IFERROR(__xludf.DUMMYFUNCTION("""COMPUTED_VALUE"""),"Available")</f>
        <v>Available</v>
      </c>
      <c r="BL63" s="5" t="str">
        <f>IFERROR(__xludf.DUMMYFUNCTION("""COMPUTED_VALUE"""),"")</f>
        <v/>
      </c>
      <c r="BM63" s="5" t="str">
        <f>IFERROR(__xludf.DUMMYFUNCTION("""COMPUTED_VALUE"""),"")</f>
        <v/>
      </c>
    </row>
    <row r="64">
      <c r="A64" s="5" t="str">
        <f>IFERROR(__xludf.DUMMYFUNCTION("""COMPUTED_VALUE"""),"Fazi")</f>
        <v>Fazi</v>
      </c>
      <c r="B64" s="5" t="str">
        <f>IFERROR(__xludf.DUMMYFUNCTION("""COMPUTED_VALUE"""),"Crystal Hot 40 Free")</f>
        <v>Crystal Hot 40 Free</v>
      </c>
      <c r="C64" s="5" t="str">
        <f>IFERROR(__xludf.DUMMYFUNCTION("""COMPUTED_VALUE"""),"CrystalHot40Free")</f>
        <v>CrystalHot40Free</v>
      </c>
      <c r="D64" s="6">
        <f>IFERROR(__xludf.DUMMYFUNCTION("""COMPUTED_VALUE"""),44487.0)</f>
        <v>44487</v>
      </c>
      <c r="E64" s="5" t="str">
        <f>IFERROR(__xludf.DUMMYFUNCTION("""COMPUTED_VALUE"""),"Slot")</f>
        <v>Slot</v>
      </c>
      <c r="F64" s="5">
        <f>IFERROR(__xludf.DUMMYFUNCTION("""COMPUTED_VALUE"""),32.9)</f>
        <v>32.9</v>
      </c>
      <c r="G64" s="5" t="str">
        <f>IFERROR(__xludf.DUMMYFUNCTION("""COMPUTED_VALUE"""),"5x4")</f>
        <v>5x4</v>
      </c>
      <c r="H64" s="5" t="str">
        <f>IFERROR(__xludf.DUMMYFUNCTION("""COMPUTED_VALUE"""),"40")</f>
        <v>40</v>
      </c>
      <c r="I64" s="5" t="str">
        <f>IFERROR(__xludf.DUMMYFUNCTION("""COMPUTED_VALUE"""),"40")</f>
        <v>40</v>
      </c>
      <c r="J64" s="5" t="str">
        <f>IFERROR(__xludf.DUMMYFUNCTION("""COMPUTED_VALUE"""),"96.024%")</f>
        <v>96.024%</v>
      </c>
      <c r="K64" s="5" t="str">
        <f>IFERROR(__xludf.DUMMYFUNCTION("""COMPUTED_VALUE"""),"Low")</f>
        <v>Low</v>
      </c>
      <c r="L64" s="5" t="str">
        <f>IFERROR(__xludf.DUMMYFUNCTION("""COMPUTED_VALUE"""),"17.23%")</f>
        <v>17.23%</v>
      </c>
      <c r="M64" s="5" t="str">
        <f>IFERROR(__xludf.DUMMYFUNCTION("""COMPUTED_VALUE"""),"x1046")</f>
        <v>x1046</v>
      </c>
      <c r="N64" s="5" t="str">
        <f>IFERROR(__xludf.DUMMYFUNCTION("""COMPUTED_VALUE"""),"0.4/60")</f>
        <v>0.4/60</v>
      </c>
      <c r="O64" s="5" t="str">
        <f>IFERROR(__xludf.DUMMYFUNCTION("""COMPUTED_VALUE"""),"Yes")</f>
        <v>Yes</v>
      </c>
      <c r="P64" s="5" t="str">
        <f>IFERROR(__xludf.DUMMYFUNCTION("""COMPUTED_VALUE"""),"Buy Bonus, Wild Symbol, Bonus Game with Free Spins")</f>
        <v>Buy Bonus, Wild Symbol, Bonus Game with Free Spins</v>
      </c>
      <c r="Q64" s="7" t="str">
        <f>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R64" s="5" t="str">
        <f>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S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IFERROR(__xludf.DUMMYFUNCTION("""COMPUTED_VALUE"""),"Yes")</f>
        <v>Yes</v>
      </c>
      <c r="AH64" s="5" t="str">
        <f>IFERROR(__xludf.DUMMYFUNCTION("""COMPUTED_VALUE"""),"Yes")</f>
        <v>Yes</v>
      </c>
      <c r="AI64" s="5" t="str">
        <f>IFERROR(__xludf.DUMMYFUNCTION("""COMPUTED_VALUE"""),"Yes")</f>
        <v>Yes</v>
      </c>
      <c r="AJ64" s="5" t="str">
        <f>IFERROR(__xludf.DUMMYFUNCTION("""COMPUTED_VALUE"""),"Yes")</f>
        <v>Yes</v>
      </c>
      <c r="AK64" s="5" t="str">
        <f>IFERROR(__xludf.DUMMYFUNCTION("""COMPUTED_VALUE"""),"Yes")</f>
        <v>Yes</v>
      </c>
      <c r="AL64" s="5" t="str">
        <f>IFERROR(__xludf.DUMMYFUNCTION("""COMPUTED_VALUE"""),"Yes")</f>
        <v>Yes</v>
      </c>
      <c r="AM64" s="5" t="str">
        <f>IFERROR(__xludf.DUMMYFUNCTION("""COMPUTED_VALUE"""),"Yes")</f>
        <v>Yes</v>
      </c>
      <c r="AN64" s="5" t="str">
        <f>IFERROR(__xludf.DUMMYFUNCTION("""COMPUTED_VALUE"""),"Yes")</f>
        <v>Yes</v>
      </c>
      <c r="AO64" s="5" t="str">
        <f>IFERROR(__xludf.DUMMYFUNCTION("""COMPUTED_VALUE"""),"Yes")</f>
        <v>Yes</v>
      </c>
      <c r="AP64" s="5" t="str">
        <f>IFERROR(__xludf.DUMMYFUNCTION("""COMPUTED_VALUE"""),"Yes")</f>
        <v>Yes</v>
      </c>
      <c r="AQ64" s="5" t="str">
        <f>IFERROR(__xludf.DUMMYFUNCTION("""COMPUTED_VALUE"""),"Yes")</f>
        <v>Yes</v>
      </c>
      <c r="AR64" s="5" t="str">
        <f>IFERROR(__xludf.DUMMYFUNCTION("""COMPUTED_VALUE"""),"Yes")</f>
        <v>Yes</v>
      </c>
      <c r="AS64" s="5" t="str">
        <f>IFERROR(__xludf.DUMMYFUNCTION("""COMPUTED_VALUE"""),"Yes")</f>
        <v>Yes</v>
      </c>
      <c r="AT64" s="5" t="str">
        <f>IFERROR(__xludf.DUMMYFUNCTION("""COMPUTED_VALUE"""),"No")</f>
        <v>No</v>
      </c>
      <c r="AU64" s="5"/>
      <c r="AV64" s="5" t="str">
        <f>IFERROR(__xludf.DUMMYFUNCTION("""COMPUTED_VALUE"""),"Available")</f>
        <v>Available</v>
      </c>
      <c r="AW64" s="5" t="str">
        <f>IFERROR(__xludf.DUMMYFUNCTION("""COMPUTED_VALUE"""),"Available")</f>
        <v>Available</v>
      </c>
      <c r="AX64" s="5" t="str">
        <f>IFERROR(__xludf.DUMMYFUNCTION("""COMPUTED_VALUE"""),"Available")</f>
        <v>Available</v>
      </c>
      <c r="AY64" s="5" t="str">
        <f>IFERROR(__xludf.DUMMYFUNCTION("""COMPUTED_VALUE"""),"Available")</f>
        <v>Available</v>
      </c>
      <c r="AZ64" s="5" t="str">
        <f>IFERROR(__xludf.DUMMYFUNCTION("""COMPUTED_VALUE"""),"Available")</f>
        <v>Available</v>
      </c>
      <c r="BA64" s="5" t="str">
        <f>IFERROR(__xludf.DUMMYFUNCTION("""COMPUTED_VALUE"""),"Available")</f>
        <v>Available</v>
      </c>
      <c r="BB64" s="5" t="str">
        <f>IFERROR(__xludf.DUMMYFUNCTION("""COMPUTED_VALUE"""),"Available")</f>
        <v>Available</v>
      </c>
      <c r="BC64" s="5" t="str">
        <f>IFERROR(__xludf.DUMMYFUNCTION("""COMPUTED_VALUE"""),"Available")</f>
        <v>Available</v>
      </c>
      <c r="BD64" s="5" t="str">
        <f>IFERROR(__xludf.DUMMYFUNCTION("""COMPUTED_VALUE"""),"")</f>
        <v/>
      </c>
      <c r="BE64" s="5" t="str">
        <f>IFERROR(__xludf.DUMMYFUNCTION("""COMPUTED_VALUE"""),"Available")</f>
        <v>Available</v>
      </c>
      <c r="BF64" s="5" t="str">
        <f>IFERROR(__xludf.DUMMYFUNCTION("""COMPUTED_VALUE"""),"")</f>
        <v/>
      </c>
      <c r="BG64" s="5" t="str">
        <f>IFERROR(__xludf.DUMMYFUNCTION("""COMPUTED_VALUE"""),"Available")</f>
        <v>Available</v>
      </c>
      <c r="BH64" s="5" t="str">
        <f>IFERROR(__xludf.DUMMYFUNCTION("""COMPUTED_VALUE"""),"")</f>
        <v/>
      </c>
      <c r="BI64" s="5" t="str">
        <f>IFERROR(__xludf.DUMMYFUNCTION("""COMPUTED_VALUE"""),"Available")</f>
        <v>Available</v>
      </c>
      <c r="BJ64" s="5" t="str">
        <f>IFERROR(__xludf.DUMMYFUNCTION("""COMPUTED_VALUE"""),"Available")</f>
        <v>Available</v>
      </c>
      <c r="BK64" s="5" t="str">
        <f>IFERROR(__xludf.DUMMYFUNCTION("""COMPUTED_VALUE"""),"Available")</f>
        <v>Available</v>
      </c>
      <c r="BL64" s="5" t="str">
        <f>IFERROR(__xludf.DUMMYFUNCTION("""COMPUTED_VALUE"""),"")</f>
        <v/>
      </c>
      <c r="BM64" s="5" t="str">
        <f>IFERROR(__xludf.DUMMYFUNCTION("""COMPUTED_VALUE"""),"")</f>
        <v/>
      </c>
    </row>
    <row r="65">
      <c r="A65" s="5" t="str">
        <f>IFERROR(__xludf.DUMMYFUNCTION("""COMPUTED_VALUE"""),"Fazi")</f>
        <v>Fazi</v>
      </c>
      <c r="B65" s="5" t="str">
        <f>IFERROR(__xludf.DUMMYFUNCTION("""COMPUTED_VALUE"""),"El Grande Toro")</f>
        <v>El Grande Toro</v>
      </c>
      <c r="C65" s="5" t="str">
        <f>IFERROR(__xludf.DUMMYFUNCTION("""COMPUTED_VALUE"""),"ElGrandeToro")</f>
        <v>ElGrandeToro</v>
      </c>
      <c r="D65" s="6">
        <f>IFERROR(__xludf.DUMMYFUNCTION("""COMPUTED_VALUE"""),44515.0)</f>
        <v>44515</v>
      </c>
      <c r="E65" s="5" t="str">
        <f>IFERROR(__xludf.DUMMYFUNCTION("""COMPUTED_VALUE"""),"Slot")</f>
        <v>Slot</v>
      </c>
      <c r="F65" s="5">
        <f>IFERROR(__xludf.DUMMYFUNCTION("""COMPUTED_VALUE"""),38.9)</f>
        <v>38.9</v>
      </c>
      <c r="G65" s="5" t="str">
        <f>IFERROR(__xludf.DUMMYFUNCTION("""COMPUTED_VALUE"""),"5x3")</f>
        <v>5x3</v>
      </c>
      <c r="H65" s="5" t="str">
        <f>IFERROR(__xludf.DUMMYFUNCTION("""COMPUTED_VALUE"""),"10")</f>
        <v>10</v>
      </c>
      <c r="I65" s="5" t="str">
        <f>IFERROR(__xludf.DUMMYFUNCTION("""COMPUTED_VALUE"""),"10")</f>
        <v>10</v>
      </c>
      <c r="J65" s="5" t="str">
        <f>IFERROR(__xludf.DUMMYFUNCTION("""COMPUTED_VALUE"""),"96.016%")</f>
        <v>96.016%</v>
      </c>
      <c r="K65" s="5" t="str">
        <f>IFERROR(__xludf.DUMMYFUNCTION("""COMPUTED_VALUE"""),"High")</f>
        <v>High</v>
      </c>
      <c r="L65" s="5" t="str">
        <f>IFERROR(__xludf.DUMMYFUNCTION("""COMPUTED_VALUE"""),"31.33%")</f>
        <v>31.33%</v>
      </c>
      <c r="M65" s="5" t="str">
        <f>IFERROR(__xludf.DUMMYFUNCTION("""COMPUTED_VALUE"""),"x3755")</f>
        <v>x3755</v>
      </c>
      <c r="N65" s="5" t="str">
        <f>IFERROR(__xludf.DUMMYFUNCTION("""COMPUTED_VALUE"""),"0.1/50")</f>
        <v>0.1/50</v>
      </c>
      <c r="O65" s="5" t="str">
        <f>IFERROR(__xludf.DUMMYFUNCTION("""COMPUTED_VALUE"""),"Yes")</f>
        <v>Yes</v>
      </c>
      <c r="P65" s="5" t="str">
        <f>IFERROR(__xludf.DUMMYFUNCTION("""COMPUTED_VALUE"""),"Buy Bonus, Sticky Wild, Wild Symbol, Bonus Game with Free Spins")</f>
        <v>Buy Bonus, Sticky Wild, Wild Symbol, Bonus Game with Free Spins</v>
      </c>
      <c r="Q65" s="7" t="str">
        <f>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R65" s="5" t="str">
        <f>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S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5" s="5" t="str">
        <f>IFERROR(__xludf.DUMMYFUNCTION("""COMPUTED_VALUE"""),"Yes")</f>
        <v>Yes</v>
      </c>
      <c r="U65" s="5" t="str">
        <f>IFERROR(__xludf.DUMMYFUNCTION("""COMPUTED_VALUE"""),"Yes")</f>
        <v>Yes</v>
      </c>
      <c r="V65" s="5" t="str">
        <f>IFERROR(__xludf.DUMMYFUNCTION("""COMPUTED_VALUE"""),"Yes")</f>
        <v>Yes</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IFERROR(__xludf.DUMMYFUNCTION("""COMPUTED_VALUE"""),"Yes")</f>
        <v>Yes</v>
      </c>
      <c r="AJ65" s="5" t="str">
        <f>IFERROR(__xludf.DUMMYFUNCTION("""COMPUTED_VALUE"""),"Yes")</f>
        <v>Yes</v>
      </c>
      <c r="AK65" s="5" t="str">
        <f>IFERROR(__xludf.DUMMYFUNCTION("""COMPUTED_VALUE"""),"Yes")</f>
        <v>Yes</v>
      </c>
      <c r="AL65" s="5" t="str">
        <f>IFERROR(__xludf.DUMMYFUNCTION("""COMPUTED_VALUE"""),"Yes")</f>
        <v>Yes</v>
      </c>
      <c r="AM65" s="5" t="str">
        <f>IFERROR(__xludf.DUMMYFUNCTION("""COMPUTED_VALUE"""),"Yes")</f>
        <v>Yes</v>
      </c>
      <c r="AN65" s="5" t="str">
        <f>IFERROR(__xludf.DUMMYFUNCTION("""COMPUTED_VALUE"""),"Yes")</f>
        <v>Yes</v>
      </c>
      <c r="AO65" s="5" t="str">
        <f>IFERROR(__xludf.DUMMYFUNCTION("""COMPUTED_VALUE"""),"Yes")</f>
        <v>Yes</v>
      </c>
      <c r="AP65" s="5" t="str">
        <f>IFERROR(__xludf.DUMMYFUNCTION("""COMPUTED_VALUE"""),"Yes")</f>
        <v>Yes</v>
      </c>
      <c r="AQ65" s="5" t="str">
        <f>IFERROR(__xludf.DUMMYFUNCTION("""COMPUTED_VALUE"""),"Yes")</f>
        <v>Yes</v>
      </c>
      <c r="AR65" s="5" t="str">
        <f>IFERROR(__xludf.DUMMYFUNCTION("""COMPUTED_VALUE"""),"Yes")</f>
        <v>Yes</v>
      </c>
      <c r="AS65" s="5" t="str">
        <f>IFERROR(__xludf.DUMMYFUNCTION("""COMPUTED_VALUE"""),"Yes")</f>
        <v>Yes</v>
      </c>
      <c r="AT65" s="5" t="str">
        <f>IFERROR(__xludf.DUMMYFUNCTION("""COMPUTED_VALUE"""),"No")</f>
        <v>No</v>
      </c>
      <c r="AU65" s="5"/>
      <c r="AV65" s="5" t="str">
        <f>IFERROR(__xludf.DUMMYFUNCTION("""COMPUTED_VALUE"""),"Available")</f>
        <v>Available</v>
      </c>
      <c r="AW65" s="5" t="str">
        <f>IFERROR(__xludf.DUMMYFUNCTION("""COMPUTED_VALUE"""),"")</f>
        <v/>
      </c>
      <c r="AX65" s="5" t="str">
        <f>IFERROR(__xludf.DUMMYFUNCTION("""COMPUTED_VALUE"""),"Available")</f>
        <v>Available</v>
      </c>
      <c r="AY65" s="5" t="str">
        <f>IFERROR(__xludf.DUMMYFUNCTION("""COMPUTED_VALUE"""),"")</f>
        <v/>
      </c>
      <c r="AZ65" s="5" t="str">
        <f>IFERROR(__xludf.DUMMYFUNCTION("""COMPUTED_VALUE"""),"Available")</f>
        <v>Available</v>
      </c>
      <c r="BA65" s="5" t="str">
        <f>IFERROR(__xludf.DUMMYFUNCTION("""COMPUTED_VALUE"""),"Available")</f>
        <v>Available</v>
      </c>
      <c r="BB65" s="5" t="str">
        <f>IFERROR(__xludf.DUMMYFUNCTION("""COMPUTED_VALUE"""),"Available")</f>
        <v>Available</v>
      </c>
      <c r="BC65" s="5" t="str">
        <f>IFERROR(__xludf.DUMMYFUNCTION("""COMPUTED_VALUE"""),"Available")</f>
        <v>Available</v>
      </c>
      <c r="BD65" s="5" t="str">
        <f>IFERROR(__xludf.DUMMYFUNCTION("""COMPUTED_VALUE"""),"")</f>
        <v/>
      </c>
      <c r="BE65" s="5" t="str">
        <f>IFERROR(__xludf.DUMMYFUNCTION("""COMPUTED_VALUE"""),"Available")</f>
        <v>Available</v>
      </c>
      <c r="BF65" s="5" t="str">
        <f>IFERROR(__xludf.DUMMYFUNCTION("""COMPUTED_VALUE"""),"")</f>
        <v/>
      </c>
      <c r="BG65" s="5" t="str">
        <f>IFERROR(__xludf.DUMMYFUNCTION("""COMPUTED_VALUE"""),"")</f>
        <v/>
      </c>
      <c r="BH65" s="5" t="str">
        <f>IFERROR(__xludf.DUMMYFUNCTION("""COMPUTED_VALUE"""),"")</f>
        <v/>
      </c>
      <c r="BI65" s="5" t="str">
        <f>IFERROR(__xludf.DUMMYFUNCTION("""COMPUTED_VALUE"""),"")</f>
        <v/>
      </c>
      <c r="BJ65" s="5" t="str">
        <f>IFERROR(__xludf.DUMMYFUNCTION("""COMPUTED_VALUE"""),"Available")</f>
        <v>Available</v>
      </c>
      <c r="BK65" s="5" t="str">
        <f>IFERROR(__xludf.DUMMYFUNCTION("""COMPUTED_VALUE"""),"Available")</f>
        <v>Available</v>
      </c>
      <c r="BL65" s="5" t="str">
        <f>IFERROR(__xludf.DUMMYFUNCTION("""COMPUTED_VALUE"""),"")</f>
        <v/>
      </c>
      <c r="BM65" s="5" t="str">
        <f>IFERROR(__xludf.DUMMYFUNCTION("""COMPUTED_VALUE"""),"")</f>
        <v/>
      </c>
    </row>
    <row r="66">
      <c r="A66" s="5" t="str">
        <f>IFERROR(__xludf.DUMMYFUNCTION("""COMPUTED_VALUE"""),"Fazi")</f>
        <v>Fazi</v>
      </c>
      <c r="B66" s="5" t="str">
        <f>IFERROR(__xludf.DUMMYFUNCTION("""COMPUTED_VALUE"""),"Winning Stars")</f>
        <v>Winning Stars</v>
      </c>
      <c r="C66" s="5" t="str">
        <f>IFERROR(__xludf.DUMMYFUNCTION("""COMPUTED_VALUE"""),"WinningStars")</f>
        <v>WinningStars</v>
      </c>
      <c r="D66" s="6">
        <f>IFERROR(__xludf.DUMMYFUNCTION("""COMPUTED_VALUE"""),44531.0)</f>
        <v>44531</v>
      </c>
      <c r="E66" s="5" t="str">
        <f>IFERROR(__xludf.DUMMYFUNCTION("""COMPUTED_VALUE"""),"Slot")</f>
        <v>Slot</v>
      </c>
      <c r="F66" s="5">
        <f>IFERROR(__xludf.DUMMYFUNCTION("""COMPUTED_VALUE"""),26.0)</f>
        <v>26</v>
      </c>
      <c r="G66" s="5" t="str">
        <f>IFERROR(__xludf.DUMMYFUNCTION("""COMPUTED_VALUE"""),"5x3")</f>
        <v>5x3</v>
      </c>
      <c r="H66" s="5" t="str">
        <f>IFERROR(__xludf.DUMMYFUNCTION("""COMPUTED_VALUE"""),"10")</f>
        <v>10</v>
      </c>
      <c r="I66" s="5" t="str">
        <f>IFERROR(__xludf.DUMMYFUNCTION("""COMPUTED_VALUE"""),"10")</f>
        <v>10</v>
      </c>
      <c r="J66" s="5" t="str">
        <f>IFERROR(__xludf.DUMMYFUNCTION("""COMPUTED_VALUE"""),"95.544%")</f>
        <v>95.544%</v>
      </c>
      <c r="K66" s="5" t="str">
        <f>IFERROR(__xludf.DUMMYFUNCTION("""COMPUTED_VALUE"""),"Medium")</f>
        <v>Medium</v>
      </c>
      <c r="L66" s="5" t="str">
        <f>IFERROR(__xludf.DUMMYFUNCTION("""COMPUTED_VALUE"""),"13.02%")</f>
        <v>13.02%</v>
      </c>
      <c r="M66" s="5" t="str">
        <f>IFERROR(__xludf.DUMMYFUNCTION("""COMPUTED_VALUE"""),"x1611")</f>
        <v>x1611</v>
      </c>
      <c r="N66" s="5" t="str">
        <f>IFERROR(__xludf.DUMMYFUNCTION("""COMPUTED_VALUE"""),"0.10/40")</f>
        <v>0.10/40</v>
      </c>
      <c r="O66" s="5" t="str">
        <f>IFERROR(__xludf.DUMMYFUNCTION("""COMPUTED_VALUE"""),"Yes")</f>
        <v>Yes</v>
      </c>
      <c r="P66" s="5" t="str">
        <f>IFERROR(__xludf.DUMMYFUNCTION("""COMPUTED_VALUE"""),"Expanding Wild, Respin, Bothways")</f>
        <v>Expanding Wild, Respin, Bothways</v>
      </c>
      <c r="Q66" s="7" t="str">
        <f>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R66" s="5" t="str">
        <f>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S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IFERROR(__xludf.DUMMYFUNCTION("""COMPUTED_VALUE"""),"Yes")</f>
        <v>Yes</v>
      </c>
      <c r="AF66" s="5" t="str">
        <f>IFERROR(__xludf.DUMMYFUNCTION("""COMPUTED_VALUE"""),"Yes")</f>
        <v>Yes</v>
      </c>
      <c r="AG66" s="5" t="str">
        <f>IFERROR(__xludf.DUMMYFUNCTION("""COMPUTED_VALUE"""),"Yes")</f>
        <v>Yes</v>
      </c>
      <c r="AH66" s="5" t="str">
        <f>IFERROR(__xludf.DUMMYFUNCTION("""COMPUTED_VALUE"""),"Yes")</f>
        <v>Yes</v>
      </c>
      <c r="AI66" s="5" t="str">
        <f>IFERROR(__xludf.DUMMYFUNCTION("""COMPUTED_VALUE"""),"Yes")</f>
        <v>Yes</v>
      </c>
      <c r="AJ66" s="5" t="str">
        <f>IFERROR(__xludf.DUMMYFUNCTION("""COMPUTED_VALUE"""),"Yes")</f>
        <v>Yes</v>
      </c>
      <c r="AK66" s="5" t="str">
        <f>IFERROR(__xludf.DUMMYFUNCTION("""COMPUTED_VALUE"""),"Yes")</f>
        <v>Yes</v>
      </c>
      <c r="AL66" s="5" t="str">
        <f>IFERROR(__xludf.DUMMYFUNCTION("""COMPUTED_VALUE"""),"Yes")</f>
        <v>Yes</v>
      </c>
      <c r="AM66" s="5" t="str">
        <f>IFERROR(__xludf.DUMMYFUNCTION("""COMPUTED_VALUE"""),"Yes")</f>
        <v>Yes</v>
      </c>
      <c r="AN66" s="5" t="str">
        <f>IFERROR(__xludf.DUMMYFUNCTION("""COMPUTED_VALUE"""),"Yes")</f>
        <v>Yes</v>
      </c>
      <c r="AO66" s="5" t="str">
        <f>IFERROR(__xludf.DUMMYFUNCTION("""COMPUTED_VALUE"""),"Yes")</f>
        <v>Yes</v>
      </c>
      <c r="AP66" s="5" t="str">
        <f>IFERROR(__xludf.DUMMYFUNCTION("""COMPUTED_VALUE"""),"Yes")</f>
        <v>Yes</v>
      </c>
      <c r="AQ66" s="5" t="str">
        <f>IFERROR(__xludf.DUMMYFUNCTION("""COMPUTED_VALUE"""),"Yes")</f>
        <v>Yes</v>
      </c>
      <c r="AR66" s="5" t="str">
        <f>IFERROR(__xludf.DUMMYFUNCTION("""COMPUTED_VALUE"""),"Yes")</f>
        <v>Yes</v>
      </c>
      <c r="AS66" s="5" t="str">
        <f>IFERROR(__xludf.DUMMYFUNCTION("""COMPUTED_VALUE"""),"Yes")</f>
        <v>Yes</v>
      </c>
      <c r="AT66" s="5" t="str">
        <f>IFERROR(__xludf.DUMMYFUNCTION("""COMPUTED_VALUE"""),"No")</f>
        <v>No</v>
      </c>
      <c r="AU66" s="5"/>
      <c r="AV66" s="5" t="str">
        <f>IFERROR(__xludf.DUMMYFUNCTION("""COMPUTED_VALUE"""),"")</f>
        <v/>
      </c>
      <c r="AW66" s="5" t="str">
        <f>IFERROR(__xludf.DUMMYFUNCTION("""COMPUTED_VALUE"""),"")</f>
        <v/>
      </c>
      <c r="AX66" s="5" t="str">
        <f>IFERROR(__xludf.DUMMYFUNCTION("""COMPUTED_VALUE"""),"Available")</f>
        <v>Available</v>
      </c>
      <c r="AY66" s="5" t="str">
        <f>IFERROR(__xludf.DUMMYFUNCTION("""COMPUTED_VALUE"""),"")</f>
        <v/>
      </c>
      <c r="AZ66" s="5" t="str">
        <f>IFERROR(__xludf.DUMMYFUNCTION("""COMPUTED_VALUE"""),"Available")</f>
        <v>Available</v>
      </c>
      <c r="BA66" s="5" t="str">
        <f>IFERROR(__xludf.DUMMYFUNCTION("""COMPUTED_VALUE"""),"Available")</f>
        <v>Available</v>
      </c>
      <c r="BB66" s="5" t="str">
        <f>IFERROR(__xludf.DUMMYFUNCTION("""COMPUTED_VALUE"""),"Available")</f>
        <v>Available</v>
      </c>
      <c r="BC66" s="5" t="str">
        <f>IFERROR(__xludf.DUMMYFUNCTION("""COMPUTED_VALUE"""),"Available")</f>
        <v>Available</v>
      </c>
      <c r="BD66" s="5" t="str">
        <f>IFERROR(__xludf.DUMMYFUNCTION("""COMPUTED_VALUE"""),"")</f>
        <v/>
      </c>
      <c r="BE66" s="5" t="str">
        <f>IFERROR(__xludf.DUMMYFUNCTION("""COMPUTED_VALUE"""),"")</f>
        <v/>
      </c>
      <c r="BF66" s="5" t="str">
        <f>IFERROR(__xludf.DUMMYFUNCTION("""COMPUTED_VALUE"""),"")</f>
        <v/>
      </c>
      <c r="BG66" s="5" t="str">
        <f>IFERROR(__xludf.DUMMYFUNCTION("""COMPUTED_VALUE"""),"")</f>
        <v/>
      </c>
      <c r="BH66" s="5" t="str">
        <f>IFERROR(__xludf.DUMMYFUNCTION("""COMPUTED_VALUE"""),"")</f>
        <v/>
      </c>
      <c r="BI66" s="5" t="str">
        <f>IFERROR(__xludf.DUMMYFUNCTION("""COMPUTED_VALUE"""),"")</f>
        <v/>
      </c>
      <c r="BJ66" s="5" t="str">
        <f>IFERROR(__xludf.DUMMYFUNCTION("""COMPUTED_VALUE"""),"Available")</f>
        <v>Available</v>
      </c>
      <c r="BK66" s="5" t="str">
        <f>IFERROR(__xludf.DUMMYFUNCTION("""COMPUTED_VALUE"""),"Available")</f>
        <v>Available</v>
      </c>
      <c r="BL66" s="5" t="str">
        <f>IFERROR(__xludf.DUMMYFUNCTION("""COMPUTED_VALUE"""),"")</f>
        <v/>
      </c>
      <c r="BM66" s="5" t="str">
        <f>IFERROR(__xludf.DUMMYFUNCTION("""COMPUTED_VALUE"""),"")</f>
        <v/>
      </c>
    </row>
    <row r="67">
      <c r="A67" s="5" t="str">
        <f>IFERROR(__xludf.DUMMYFUNCTION("""COMPUTED_VALUE"""),"Fazi")</f>
        <v>Fazi</v>
      </c>
      <c r="B67" s="5" t="str">
        <f>IFERROR(__xludf.DUMMYFUNCTION("""COMPUTED_VALUE"""),"Crystal Hot 100")</f>
        <v>Crystal Hot 100</v>
      </c>
      <c r="C67" s="5" t="str">
        <f>IFERROR(__xludf.DUMMYFUNCTION("""COMPUTED_VALUE"""),"CrystalHot100")</f>
        <v>CrystalHot100</v>
      </c>
      <c r="D67" s="6">
        <f>IFERROR(__xludf.DUMMYFUNCTION("""COMPUTED_VALUE"""),44480.0)</f>
        <v>44480</v>
      </c>
      <c r="E67" s="5" t="str">
        <f>IFERROR(__xludf.DUMMYFUNCTION("""COMPUTED_VALUE"""),"Slot")</f>
        <v>Slot</v>
      </c>
      <c r="F67" s="5">
        <f>IFERROR(__xludf.DUMMYFUNCTION("""COMPUTED_VALUE"""),30.8)</f>
        <v>30.8</v>
      </c>
      <c r="G67" s="5" t="str">
        <f>IFERROR(__xludf.DUMMYFUNCTION("""COMPUTED_VALUE"""),"5x4")</f>
        <v>5x4</v>
      </c>
      <c r="H67" s="5" t="str">
        <f>IFERROR(__xludf.DUMMYFUNCTION("""COMPUTED_VALUE"""),"100")</f>
        <v>100</v>
      </c>
      <c r="I67" s="5" t="str">
        <f>IFERROR(__xludf.DUMMYFUNCTION("""COMPUTED_VALUE"""),"100")</f>
        <v>100</v>
      </c>
      <c r="J67" s="5" t="str">
        <f>IFERROR(__xludf.DUMMYFUNCTION("""COMPUTED_VALUE"""),"96.584%")</f>
        <v>96.584%</v>
      </c>
      <c r="K67" s="5" t="str">
        <f>IFERROR(__xludf.DUMMYFUNCTION("""COMPUTED_VALUE"""),"Low")</f>
        <v>Low</v>
      </c>
      <c r="L67" s="5" t="str">
        <f>IFERROR(__xludf.DUMMYFUNCTION("""COMPUTED_VALUE"""),"20.81%")</f>
        <v>20.81%</v>
      </c>
      <c r="M67" s="5" t="str">
        <f>IFERROR(__xludf.DUMMYFUNCTION("""COMPUTED_VALUE"""),"x1000")</f>
        <v>x1000</v>
      </c>
      <c r="N67" s="5" t="str">
        <f>IFERROR(__xludf.DUMMYFUNCTION("""COMPUTED_VALUE"""),"1/100")</f>
        <v>1/100</v>
      </c>
      <c r="O67" s="5" t="str">
        <f>IFERROR(__xludf.DUMMYFUNCTION("""COMPUTED_VALUE"""),"Yes")</f>
        <v>Yes</v>
      </c>
      <c r="P67" s="5" t="str">
        <f>IFERROR(__xludf.DUMMYFUNCTION("""COMPUTED_VALUE"""),"Wild Symbol, Scatter")</f>
        <v>Wild Symbol, Scatter</v>
      </c>
      <c r="Q67" s="7" t="str">
        <f>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R67" s="5" t="str">
        <f>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S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IFERROR(__xludf.DUMMYFUNCTION("""COMPUTED_VALUE"""),"Yes")</f>
        <v>Yes</v>
      </c>
      <c r="AF67" s="5" t="str">
        <f>IFERROR(__xludf.DUMMYFUNCTION("""COMPUTED_VALUE"""),"Yes")</f>
        <v>Yes</v>
      </c>
      <c r="AG67" s="5" t="str">
        <f>IFERROR(__xludf.DUMMYFUNCTION("""COMPUTED_VALUE"""),"Yes")</f>
        <v>Yes</v>
      </c>
      <c r="AH67" s="5" t="str">
        <f>IFERROR(__xludf.DUMMYFUNCTION("""COMPUTED_VALUE"""),"Yes")</f>
        <v>Yes</v>
      </c>
      <c r="AI67" s="5" t="str">
        <f>IFERROR(__xludf.DUMMYFUNCTION("""COMPUTED_VALUE"""),"Yes")</f>
        <v>Yes</v>
      </c>
      <c r="AJ67" s="5" t="str">
        <f>IFERROR(__xludf.DUMMYFUNCTION("""COMPUTED_VALUE"""),"Yes")</f>
        <v>Yes</v>
      </c>
      <c r="AK67" s="5" t="str">
        <f>IFERROR(__xludf.DUMMYFUNCTION("""COMPUTED_VALUE"""),"Yes")</f>
        <v>Yes</v>
      </c>
      <c r="AL67" s="5" t="str">
        <f>IFERROR(__xludf.DUMMYFUNCTION("""COMPUTED_VALUE"""),"Yes")</f>
        <v>Yes</v>
      </c>
      <c r="AM67" s="5" t="str">
        <f>IFERROR(__xludf.DUMMYFUNCTION("""COMPUTED_VALUE"""),"Yes")</f>
        <v>Yes</v>
      </c>
      <c r="AN67" s="5" t="str">
        <f>IFERROR(__xludf.DUMMYFUNCTION("""COMPUTED_VALUE"""),"Yes")</f>
        <v>Yes</v>
      </c>
      <c r="AO67" s="5" t="str">
        <f>IFERROR(__xludf.DUMMYFUNCTION("""COMPUTED_VALUE"""),"Yes")</f>
        <v>Yes</v>
      </c>
      <c r="AP67" s="5" t="str">
        <f>IFERROR(__xludf.DUMMYFUNCTION("""COMPUTED_VALUE"""),"Yes")</f>
        <v>Yes</v>
      </c>
      <c r="AQ67" s="5" t="str">
        <f>IFERROR(__xludf.DUMMYFUNCTION("""COMPUTED_VALUE"""),"Yes")</f>
        <v>Yes</v>
      </c>
      <c r="AR67" s="5" t="str">
        <f>IFERROR(__xludf.DUMMYFUNCTION("""COMPUTED_VALUE"""),"Yes")</f>
        <v>Yes</v>
      </c>
      <c r="AS67" s="5" t="str">
        <f>IFERROR(__xludf.DUMMYFUNCTION("""COMPUTED_VALUE"""),"Yes")</f>
        <v>Yes</v>
      </c>
      <c r="AT67" s="5" t="str">
        <f>IFERROR(__xludf.DUMMYFUNCTION("""COMPUTED_VALUE"""),"No")</f>
        <v>No</v>
      </c>
      <c r="AU67" s="5"/>
      <c r="AV67" s="5" t="str">
        <f>IFERROR(__xludf.DUMMYFUNCTION("""COMPUTED_VALUE"""),"Available")</f>
        <v>Available</v>
      </c>
      <c r="AW67" s="5" t="str">
        <f>IFERROR(__xludf.DUMMYFUNCTION("""COMPUTED_VALUE"""),"")</f>
        <v/>
      </c>
      <c r="AX67" s="5" t="str">
        <f>IFERROR(__xludf.DUMMYFUNCTION("""COMPUTED_VALUE"""),"Available")</f>
        <v>Available</v>
      </c>
      <c r="AY67" s="5" t="str">
        <f>IFERROR(__xludf.DUMMYFUNCTION("""COMPUTED_VALUE"""),"")</f>
        <v/>
      </c>
      <c r="AZ67" s="5" t="str">
        <f>IFERROR(__xludf.DUMMYFUNCTION("""COMPUTED_VALUE"""),"Available")</f>
        <v>Available</v>
      </c>
      <c r="BA67" s="5" t="str">
        <f>IFERROR(__xludf.DUMMYFUNCTION("""COMPUTED_VALUE"""),"Available")</f>
        <v>Available</v>
      </c>
      <c r="BB67" s="5" t="str">
        <f>IFERROR(__xludf.DUMMYFUNCTION("""COMPUTED_VALUE"""),"Available")</f>
        <v>Available</v>
      </c>
      <c r="BC67" s="5" t="str">
        <f>IFERROR(__xludf.DUMMYFUNCTION("""COMPUTED_VALUE"""),"Available")</f>
        <v>Available</v>
      </c>
      <c r="BD67" s="5" t="str">
        <f>IFERROR(__xludf.DUMMYFUNCTION("""COMPUTED_VALUE"""),"")</f>
        <v/>
      </c>
      <c r="BE67" s="5" t="str">
        <f>IFERROR(__xludf.DUMMYFUNCTION("""COMPUTED_VALUE"""),"Available")</f>
        <v>Available</v>
      </c>
      <c r="BF67" s="5" t="str">
        <f>IFERROR(__xludf.DUMMYFUNCTION("""COMPUTED_VALUE"""),"Available")</f>
        <v>Available</v>
      </c>
      <c r="BG67" s="5" t="str">
        <f>IFERROR(__xludf.DUMMYFUNCTION("""COMPUTED_VALUE"""),"")</f>
        <v/>
      </c>
      <c r="BH67" s="5" t="str">
        <f>IFERROR(__xludf.DUMMYFUNCTION("""COMPUTED_VALUE"""),"")</f>
        <v/>
      </c>
      <c r="BI67" s="5" t="str">
        <f>IFERROR(__xludf.DUMMYFUNCTION("""COMPUTED_VALUE"""),"")</f>
        <v/>
      </c>
      <c r="BJ67" s="5" t="str">
        <f>IFERROR(__xludf.DUMMYFUNCTION("""COMPUTED_VALUE"""),"Available")</f>
        <v>Available</v>
      </c>
      <c r="BK67" s="5" t="str">
        <f>IFERROR(__xludf.DUMMYFUNCTION("""COMPUTED_VALUE"""),"Available")</f>
        <v>Available</v>
      </c>
      <c r="BL67" s="5" t="str">
        <f>IFERROR(__xludf.DUMMYFUNCTION("""COMPUTED_VALUE"""),"")</f>
        <v/>
      </c>
      <c r="BM67" s="5" t="str">
        <f>IFERROR(__xludf.DUMMYFUNCTION("""COMPUTED_VALUE"""),"")</f>
        <v/>
      </c>
    </row>
    <row r="68">
      <c r="A68" s="5" t="str">
        <f>IFERROR(__xludf.DUMMYFUNCTION("""COMPUTED_VALUE"""),"Fazi")</f>
        <v>Fazi</v>
      </c>
      <c r="B68" s="5" t="str">
        <f>IFERROR(__xludf.DUMMYFUNCTION("""COMPUTED_VALUE"""),"Turbo Hot 80")</f>
        <v>Turbo Hot 80</v>
      </c>
      <c r="C68" s="5" t="str">
        <f>IFERROR(__xludf.DUMMYFUNCTION("""COMPUTED_VALUE"""),"TurboHot80")</f>
        <v>TurboHot80</v>
      </c>
      <c r="D68" s="6">
        <f>IFERROR(__xludf.DUMMYFUNCTION("""COMPUTED_VALUE"""),44503.0)</f>
        <v>44503</v>
      </c>
      <c r="E68" s="5" t="str">
        <f>IFERROR(__xludf.DUMMYFUNCTION("""COMPUTED_VALUE"""),"Slot")</f>
        <v>Slot</v>
      </c>
      <c r="F68" s="5">
        <f>IFERROR(__xludf.DUMMYFUNCTION("""COMPUTED_VALUE"""),22.6)</f>
        <v>22.6</v>
      </c>
      <c r="G68" s="5" t="str">
        <f>IFERROR(__xludf.DUMMYFUNCTION("""COMPUTED_VALUE"""),"5x4")</f>
        <v>5x4</v>
      </c>
      <c r="H68" s="5" t="str">
        <f>IFERROR(__xludf.DUMMYFUNCTION("""COMPUTED_VALUE"""),"80")</f>
        <v>80</v>
      </c>
      <c r="I68" s="5" t="str">
        <f>IFERROR(__xludf.DUMMYFUNCTION("""COMPUTED_VALUE"""),"80")</f>
        <v>80</v>
      </c>
      <c r="J68" s="5" t="str">
        <f>IFERROR(__xludf.DUMMYFUNCTION("""COMPUTED_VALUE"""),"96.584%")</f>
        <v>96.584%</v>
      </c>
      <c r="K68" s="5" t="str">
        <f>IFERROR(__xludf.DUMMYFUNCTION("""COMPUTED_VALUE"""),"Low")</f>
        <v>Low</v>
      </c>
      <c r="L68" s="5" t="str">
        <f>IFERROR(__xludf.DUMMYFUNCTION("""COMPUTED_VALUE"""),"20.81%")</f>
        <v>20.81%</v>
      </c>
      <c r="M68" s="5" t="str">
        <f>IFERROR(__xludf.DUMMYFUNCTION("""COMPUTED_VALUE"""),"x1000")</f>
        <v>x1000</v>
      </c>
      <c r="N68" s="5" t="str">
        <f>IFERROR(__xludf.DUMMYFUNCTION("""COMPUTED_VALUE"""),"0.8/80")</f>
        <v>0.8/80</v>
      </c>
      <c r="O68" s="5" t="str">
        <f>IFERROR(__xludf.DUMMYFUNCTION("""COMPUTED_VALUE"""),"Yes")</f>
        <v>Yes</v>
      </c>
      <c r="P68" s="5" t="str">
        <f>IFERROR(__xludf.DUMMYFUNCTION("""COMPUTED_VALUE"""),"Wild Symbol, Scatter")</f>
        <v>Wild Symbol, Scatter</v>
      </c>
      <c r="Q68" s="7" t="str">
        <f>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R68" s="5" t="str">
        <f>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S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8" s="5" t="str">
        <f>IFERROR(__xludf.DUMMYFUNCTION("""COMPUTED_VALUE"""),"Yes")</f>
        <v>Yes</v>
      </c>
      <c r="U68" s="5" t="str">
        <f>IFERROR(__xludf.DUMMYFUNCTION("""COMPUTED_VALUE"""),"Yes")</f>
        <v>Yes</v>
      </c>
      <c r="V68" s="5" t="str">
        <f>IFERROR(__xludf.DUMMYFUNCTION("""COMPUTED_VALUE"""),"Yes")</f>
        <v>Yes</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IFERROR(__xludf.DUMMYFUNCTION("""COMPUTED_VALUE"""),"Yes")</f>
        <v>Yes</v>
      </c>
      <c r="AF68" s="5" t="str">
        <f>IFERROR(__xludf.DUMMYFUNCTION("""COMPUTED_VALUE"""),"Yes")</f>
        <v>Yes</v>
      </c>
      <c r="AG68" s="5" t="str">
        <f>IFERROR(__xludf.DUMMYFUNCTION("""COMPUTED_VALUE"""),"Yes")</f>
        <v>Yes</v>
      </c>
      <c r="AH68" s="5" t="str">
        <f>IFERROR(__xludf.DUMMYFUNCTION("""COMPUTED_VALUE"""),"Yes")</f>
        <v>Yes</v>
      </c>
      <c r="AI68" s="5" t="str">
        <f>IFERROR(__xludf.DUMMYFUNCTION("""COMPUTED_VALUE"""),"Yes")</f>
        <v>Yes</v>
      </c>
      <c r="AJ68" s="5" t="str">
        <f>IFERROR(__xludf.DUMMYFUNCTION("""COMPUTED_VALUE"""),"Yes")</f>
        <v>Yes</v>
      </c>
      <c r="AK68" s="5" t="str">
        <f>IFERROR(__xludf.DUMMYFUNCTION("""COMPUTED_VALUE"""),"Yes")</f>
        <v>Yes</v>
      </c>
      <c r="AL68" s="5" t="str">
        <f>IFERROR(__xludf.DUMMYFUNCTION("""COMPUTED_VALUE"""),"Yes")</f>
        <v>Yes</v>
      </c>
      <c r="AM68" s="5" t="str">
        <f>IFERROR(__xludf.DUMMYFUNCTION("""COMPUTED_VALUE"""),"Yes")</f>
        <v>Yes</v>
      </c>
      <c r="AN68" s="5" t="str">
        <f>IFERROR(__xludf.DUMMYFUNCTION("""COMPUTED_VALUE"""),"Yes")</f>
        <v>Yes</v>
      </c>
      <c r="AO68" s="5" t="str">
        <f>IFERROR(__xludf.DUMMYFUNCTION("""COMPUTED_VALUE"""),"Yes")</f>
        <v>Yes</v>
      </c>
      <c r="AP68" s="5" t="str">
        <f>IFERROR(__xludf.DUMMYFUNCTION("""COMPUTED_VALUE"""),"Yes")</f>
        <v>Yes</v>
      </c>
      <c r="AQ68" s="5" t="str">
        <f>IFERROR(__xludf.DUMMYFUNCTION("""COMPUTED_VALUE"""),"Yes")</f>
        <v>Yes</v>
      </c>
      <c r="AR68" s="5" t="str">
        <f>IFERROR(__xludf.DUMMYFUNCTION("""COMPUTED_VALUE"""),"Yes")</f>
        <v>Yes</v>
      </c>
      <c r="AS68" s="5" t="str">
        <f>IFERROR(__xludf.DUMMYFUNCTION("""COMPUTED_VALUE"""),"Yes")</f>
        <v>Yes</v>
      </c>
      <c r="AT68" s="5" t="str">
        <f>IFERROR(__xludf.DUMMYFUNCTION("""COMPUTED_VALUE"""),"No")</f>
        <v>No</v>
      </c>
      <c r="AU68" s="5"/>
      <c r="AV68" s="5" t="str">
        <f>IFERROR(__xludf.DUMMYFUNCTION("""COMPUTED_VALUE"""),"")</f>
        <v/>
      </c>
      <c r="AW68" s="5" t="str">
        <f>IFERROR(__xludf.DUMMYFUNCTION("""COMPUTED_VALUE"""),"")</f>
        <v/>
      </c>
      <c r="AX68" s="5" t="str">
        <f>IFERROR(__xludf.DUMMYFUNCTION("""COMPUTED_VALUE"""),"Available")</f>
        <v>Available</v>
      </c>
      <c r="AY68" s="5" t="str">
        <f>IFERROR(__xludf.DUMMYFUNCTION("""COMPUTED_VALUE"""),"")</f>
        <v/>
      </c>
      <c r="AZ68" s="5" t="str">
        <f>IFERROR(__xludf.DUMMYFUNCTION("""COMPUTED_VALUE"""),"Available")</f>
        <v>Available</v>
      </c>
      <c r="BA68" s="5" t="str">
        <f>IFERROR(__xludf.DUMMYFUNCTION("""COMPUTED_VALUE"""),"Available")</f>
        <v>Available</v>
      </c>
      <c r="BB68" s="5" t="str">
        <f>IFERROR(__xludf.DUMMYFUNCTION("""COMPUTED_VALUE"""),"Available")</f>
        <v>Available</v>
      </c>
      <c r="BC68" s="5" t="str">
        <f>IFERROR(__xludf.DUMMYFUNCTION("""COMPUTED_VALUE"""),"Available")</f>
        <v>Available</v>
      </c>
      <c r="BD68" s="5" t="str">
        <f>IFERROR(__xludf.DUMMYFUNCTION("""COMPUTED_VALUE"""),"")</f>
        <v/>
      </c>
      <c r="BE68" s="5" t="str">
        <f>IFERROR(__xludf.DUMMYFUNCTION("""COMPUTED_VALUE"""),"")</f>
        <v/>
      </c>
      <c r="BF68" s="5" t="str">
        <f>IFERROR(__xludf.DUMMYFUNCTION("""COMPUTED_VALUE"""),"")</f>
        <v/>
      </c>
      <c r="BG68" s="5" t="str">
        <f>IFERROR(__xludf.DUMMYFUNCTION("""COMPUTED_VALUE"""),"Available")</f>
        <v>Available</v>
      </c>
      <c r="BH68" s="5" t="str">
        <f>IFERROR(__xludf.DUMMYFUNCTION("""COMPUTED_VALUE"""),"")</f>
        <v/>
      </c>
      <c r="BI68" s="5" t="str">
        <f>IFERROR(__xludf.DUMMYFUNCTION("""COMPUTED_VALUE"""),"")</f>
        <v/>
      </c>
      <c r="BJ68" s="5" t="str">
        <f>IFERROR(__xludf.DUMMYFUNCTION("""COMPUTED_VALUE"""),"Available")</f>
        <v>Available</v>
      </c>
      <c r="BK68" s="5" t="str">
        <f>IFERROR(__xludf.DUMMYFUNCTION("""COMPUTED_VALUE"""),"Available")</f>
        <v>Available</v>
      </c>
      <c r="BL68" s="5" t="str">
        <f>IFERROR(__xludf.DUMMYFUNCTION("""COMPUTED_VALUE"""),"")</f>
        <v/>
      </c>
      <c r="BM68" s="5" t="str">
        <f>IFERROR(__xludf.DUMMYFUNCTION("""COMPUTED_VALUE"""),"")</f>
        <v/>
      </c>
    </row>
    <row r="69">
      <c r="A69" s="5" t="str">
        <f>IFERROR(__xludf.DUMMYFUNCTION("""COMPUTED_VALUE"""),"Fazi")</f>
        <v>Fazi</v>
      </c>
      <c r="B69" s="5" t="str">
        <f>IFERROR(__xludf.DUMMYFUNCTION("""COMPUTED_VALUE"""),"Seven Classic Slot")</f>
        <v>Seven Classic Slot</v>
      </c>
      <c r="C69" s="5" t="str">
        <f>IFERROR(__xludf.DUMMYFUNCTION("""COMPUTED_VALUE"""),"SevenClassicHot")</f>
        <v>SevenClassicHot</v>
      </c>
      <c r="D69" s="6">
        <f>IFERROR(__xludf.DUMMYFUNCTION("""COMPUTED_VALUE"""),44547.0)</f>
        <v>44547</v>
      </c>
      <c r="E69" s="5" t="str">
        <f>IFERROR(__xludf.DUMMYFUNCTION("""COMPUTED_VALUE"""),"Slot")</f>
        <v>Slot</v>
      </c>
      <c r="F69" s="5">
        <f>IFERROR(__xludf.DUMMYFUNCTION("""COMPUTED_VALUE"""),17.0)</f>
        <v>17</v>
      </c>
      <c r="G69" s="5" t="str">
        <f>IFERROR(__xludf.DUMMYFUNCTION("""COMPUTED_VALUE"""),"5x3")</f>
        <v>5x3</v>
      </c>
      <c r="H69" s="5" t="str">
        <f>IFERROR(__xludf.DUMMYFUNCTION("""COMPUTED_VALUE"""),"20")</f>
        <v>20</v>
      </c>
      <c r="I69" s="5" t="str">
        <f>IFERROR(__xludf.DUMMYFUNCTION("""COMPUTED_VALUE"""),"1,3,5,9,10,20")</f>
        <v>1,3,5,9,10,20</v>
      </c>
      <c r="J69" s="5" t="str">
        <f>IFERROR(__xludf.DUMMYFUNCTION("""COMPUTED_VALUE"""),"96.134%")</f>
        <v>96.134%</v>
      </c>
      <c r="K69" s="5" t="str">
        <f>IFERROR(__xludf.DUMMYFUNCTION("""COMPUTED_VALUE"""),"High")</f>
        <v>High</v>
      </c>
      <c r="L69" s="5" t="str">
        <f>IFERROR(__xludf.DUMMYFUNCTION("""COMPUTED_VALUE"""),"26.95%")</f>
        <v>26.95%</v>
      </c>
      <c r="M69" s="5" t="str">
        <f>IFERROR(__xludf.DUMMYFUNCTION("""COMPUTED_VALUE"""),"x4200")</f>
        <v>x4200</v>
      </c>
      <c r="N69" s="5" t="str">
        <f>IFERROR(__xludf.DUMMYFUNCTION("""COMPUTED_VALUE"""),"0.2/80")</f>
        <v>0.2/80</v>
      </c>
      <c r="O69" s="5" t="str">
        <f>IFERROR(__xludf.DUMMYFUNCTION("""COMPUTED_VALUE"""),"Yes")</f>
        <v>Yes</v>
      </c>
      <c r="P69" s="5" t="str">
        <f>IFERROR(__xludf.DUMMYFUNCTION("""COMPUTED_VALUE"""),"Wild Symbol, Bonus Game with Free Spins")</f>
        <v>Wild Symbol, Bonus Game with Free Spins</v>
      </c>
      <c r="Q69" s="7" t="str">
        <f>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R69" s="5" t="str">
        <f>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S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IFERROR(__xludf.DUMMYFUNCTION("""COMPUTED_VALUE"""),"Yes")</f>
        <v>Yes</v>
      </c>
      <c r="AF69" s="5" t="str">
        <f>IFERROR(__xludf.DUMMYFUNCTION("""COMPUTED_VALUE"""),"Yes")</f>
        <v>Yes</v>
      </c>
      <c r="AG69" s="5" t="str">
        <f>IFERROR(__xludf.DUMMYFUNCTION("""COMPUTED_VALUE"""),"Yes")</f>
        <v>Yes</v>
      </c>
      <c r="AH69" s="5" t="str">
        <f>IFERROR(__xludf.DUMMYFUNCTION("""COMPUTED_VALUE"""),"Yes")</f>
        <v>Yes</v>
      </c>
      <c r="AI69" s="5" t="str">
        <f>IFERROR(__xludf.DUMMYFUNCTION("""COMPUTED_VALUE"""),"Yes")</f>
        <v>Yes</v>
      </c>
      <c r="AJ69" s="5" t="str">
        <f>IFERROR(__xludf.DUMMYFUNCTION("""COMPUTED_VALUE"""),"Yes")</f>
        <v>Yes</v>
      </c>
      <c r="AK69" s="5" t="str">
        <f>IFERROR(__xludf.DUMMYFUNCTION("""COMPUTED_VALUE"""),"Yes")</f>
        <v>Yes</v>
      </c>
      <c r="AL69" s="5" t="str">
        <f>IFERROR(__xludf.DUMMYFUNCTION("""COMPUTED_VALUE"""),"Yes")</f>
        <v>Yes</v>
      </c>
      <c r="AM69" s="5" t="str">
        <f>IFERROR(__xludf.DUMMYFUNCTION("""COMPUTED_VALUE"""),"Yes")</f>
        <v>Yes</v>
      </c>
      <c r="AN69" s="5" t="str">
        <f>IFERROR(__xludf.DUMMYFUNCTION("""COMPUTED_VALUE"""),"Yes")</f>
        <v>Yes</v>
      </c>
      <c r="AO69" s="5" t="str">
        <f>IFERROR(__xludf.DUMMYFUNCTION("""COMPUTED_VALUE"""),"Yes")</f>
        <v>Yes</v>
      </c>
      <c r="AP69" s="5" t="str">
        <f>IFERROR(__xludf.DUMMYFUNCTION("""COMPUTED_VALUE"""),"Yes")</f>
        <v>Yes</v>
      </c>
      <c r="AQ69" s="5" t="str">
        <f>IFERROR(__xludf.DUMMYFUNCTION("""COMPUTED_VALUE"""),"Yes")</f>
        <v>Yes</v>
      </c>
      <c r="AR69" s="5" t="str">
        <f>IFERROR(__xludf.DUMMYFUNCTION("""COMPUTED_VALUE"""),"Yes")</f>
        <v>Yes</v>
      </c>
      <c r="AS69" s="5" t="str">
        <f>IFERROR(__xludf.DUMMYFUNCTION("""COMPUTED_VALUE"""),"Yes")</f>
        <v>Yes</v>
      </c>
      <c r="AT69" s="5" t="str">
        <f>IFERROR(__xludf.DUMMYFUNCTION("""COMPUTED_VALUE"""),"No")</f>
        <v>No</v>
      </c>
      <c r="AU69" s="5"/>
      <c r="AV69" s="5" t="str">
        <f>IFERROR(__xludf.DUMMYFUNCTION("""COMPUTED_VALUE"""),"")</f>
        <v/>
      </c>
      <c r="AW69" s="5" t="str">
        <f>IFERROR(__xludf.DUMMYFUNCTION("""COMPUTED_VALUE"""),"")</f>
        <v/>
      </c>
      <c r="AX69" s="5" t="str">
        <f>IFERROR(__xludf.DUMMYFUNCTION("""COMPUTED_VALUE"""),"Available")</f>
        <v>Available</v>
      </c>
      <c r="AY69" s="5" t="str">
        <f>IFERROR(__xludf.DUMMYFUNCTION("""COMPUTED_VALUE"""),"")</f>
        <v/>
      </c>
      <c r="AZ69" s="5" t="str">
        <f>IFERROR(__xludf.DUMMYFUNCTION("""COMPUTED_VALUE"""),"Available")</f>
        <v>Available</v>
      </c>
      <c r="BA69" s="5" t="str">
        <f>IFERROR(__xludf.DUMMYFUNCTION("""COMPUTED_VALUE"""),"Available")</f>
        <v>Available</v>
      </c>
      <c r="BB69" s="5" t="str">
        <f>IFERROR(__xludf.DUMMYFUNCTION("""COMPUTED_VALUE"""),"Available")</f>
        <v>Available</v>
      </c>
      <c r="BC69" s="5" t="str">
        <f>IFERROR(__xludf.DUMMYFUNCTION("""COMPUTED_VALUE"""),"Available")</f>
        <v>Available</v>
      </c>
      <c r="BD69" s="5" t="str">
        <f>IFERROR(__xludf.DUMMYFUNCTION("""COMPUTED_VALUE"""),"")</f>
        <v/>
      </c>
      <c r="BE69" s="5" t="str">
        <f>IFERROR(__xludf.DUMMYFUNCTION("""COMPUTED_VALUE"""),"")</f>
        <v/>
      </c>
      <c r="BF69" s="5" t="str">
        <f>IFERROR(__xludf.DUMMYFUNCTION("""COMPUTED_VALUE"""),"")</f>
        <v/>
      </c>
      <c r="BG69" s="5" t="str">
        <f>IFERROR(__xludf.DUMMYFUNCTION("""COMPUTED_VALUE"""),"")</f>
        <v/>
      </c>
      <c r="BH69" s="5" t="str">
        <f>IFERROR(__xludf.DUMMYFUNCTION("""COMPUTED_VALUE"""),"")</f>
        <v/>
      </c>
      <c r="BI69" s="5" t="str">
        <f>IFERROR(__xludf.DUMMYFUNCTION("""COMPUTED_VALUE"""),"")</f>
        <v/>
      </c>
      <c r="BJ69" s="5" t="str">
        <f>IFERROR(__xludf.DUMMYFUNCTION("""COMPUTED_VALUE"""),"Available")</f>
        <v>Available</v>
      </c>
      <c r="BK69" s="5" t="str">
        <f>IFERROR(__xludf.DUMMYFUNCTION("""COMPUTED_VALUE"""),"Available")</f>
        <v>Available</v>
      </c>
      <c r="BL69" s="5" t="str">
        <f>IFERROR(__xludf.DUMMYFUNCTION("""COMPUTED_VALUE"""),"")</f>
        <v/>
      </c>
      <c r="BM69" s="5" t="str">
        <f>IFERROR(__xludf.DUMMYFUNCTION("""COMPUTED_VALUE"""),"")</f>
        <v/>
      </c>
    </row>
    <row r="70">
      <c r="A70" s="5" t="str">
        <f>IFERROR(__xludf.DUMMYFUNCTION("""COMPUTED_VALUE"""),"Fazi")</f>
        <v>Fazi</v>
      </c>
      <c r="B70" s="5" t="str">
        <f>IFERROR(__xludf.DUMMYFUNCTION("""COMPUTED_VALUE"""),"Turbo Hot 100")</f>
        <v>Turbo Hot 100</v>
      </c>
      <c r="C70" s="5" t="str">
        <f>IFERROR(__xludf.DUMMYFUNCTION("""COMPUTED_VALUE"""),"TurboHot100")</f>
        <v>TurboHot100</v>
      </c>
      <c r="D70" s="6">
        <f>IFERROR(__xludf.DUMMYFUNCTION("""COMPUTED_VALUE"""),44524.0)</f>
        <v>44524</v>
      </c>
      <c r="E70" s="5" t="str">
        <f>IFERROR(__xludf.DUMMYFUNCTION("""COMPUTED_VALUE"""),"Slot")</f>
        <v>Slot</v>
      </c>
      <c r="F70" s="5">
        <f>IFERROR(__xludf.DUMMYFUNCTION("""COMPUTED_VALUE"""),22.5)</f>
        <v>22.5</v>
      </c>
      <c r="G70" s="5" t="str">
        <f>IFERROR(__xludf.DUMMYFUNCTION("""COMPUTED_VALUE"""),"5x4")</f>
        <v>5x4</v>
      </c>
      <c r="H70" s="5" t="str">
        <f>IFERROR(__xludf.DUMMYFUNCTION("""COMPUTED_VALUE"""),"100")</f>
        <v>100</v>
      </c>
      <c r="I70" s="5" t="str">
        <f>IFERROR(__xludf.DUMMYFUNCTION("""COMPUTED_VALUE"""),"100")</f>
        <v>100</v>
      </c>
      <c r="J70" s="5" t="str">
        <f>IFERROR(__xludf.DUMMYFUNCTION("""COMPUTED_VALUE"""),"96.584%")</f>
        <v>96.584%</v>
      </c>
      <c r="K70" s="5" t="str">
        <f>IFERROR(__xludf.DUMMYFUNCTION("""COMPUTED_VALUE"""),"Low")</f>
        <v>Low</v>
      </c>
      <c r="L70" s="5" t="str">
        <f>IFERROR(__xludf.DUMMYFUNCTION("""COMPUTED_VALUE"""),"20.81%")</f>
        <v>20.81%</v>
      </c>
      <c r="M70" s="5" t="str">
        <f>IFERROR(__xludf.DUMMYFUNCTION("""COMPUTED_VALUE"""),"x1000")</f>
        <v>x1000</v>
      </c>
      <c r="N70" s="5" t="str">
        <f>IFERROR(__xludf.DUMMYFUNCTION("""COMPUTED_VALUE"""),"1/100")</f>
        <v>1/100</v>
      </c>
      <c r="O70" s="5" t="str">
        <f>IFERROR(__xludf.DUMMYFUNCTION("""COMPUTED_VALUE"""),"Yes")</f>
        <v>Yes</v>
      </c>
      <c r="P70" s="5" t="str">
        <f>IFERROR(__xludf.DUMMYFUNCTION("""COMPUTED_VALUE"""),"Wild Symbol, Scatter")</f>
        <v>Wild Symbol, Scatter</v>
      </c>
      <c r="Q70" s="7" t="str">
        <f>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R70" s="5" t="str">
        <f>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S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0" s="5" t="str">
        <f>IFERROR(__xludf.DUMMYFUNCTION("""COMPUTED_VALUE"""),"Yes")</f>
        <v>Yes</v>
      </c>
      <c r="U70" s="5" t="str">
        <f>IFERROR(__xludf.DUMMYFUNCTION("""COMPUTED_VALUE"""),"Yes")</f>
        <v>Yes</v>
      </c>
      <c r="V70" s="5" t="str">
        <f>IFERROR(__xludf.DUMMYFUNCTION("""COMPUTED_VALUE"""),"Yes")</f>
        <v>Yes</v>
      </c>
      <c r="W70" s="5" t="str">
        <f>IFERROR(__xludf.DUMMYFUNCTION("""COMPUTED_VALUE"""),"Yes")</f>
        <v>Yes</v>
      </c>
      <c r="X70" s="5" t="str">
        <f>IFERROR(__xludf.DUMMYFUNCTION("""COMPUTED_VALUE"""),"Yes")</f>
        <v>Yes</v>
      </c>
      <c r="Y70" s="5" t="str">
        <f>IFERROR(__xludf.DUMMYFUNCTION("""COMPUTED_VALUE"""),"Yes")</f>
        <v>Yes</v>
      </c>
      <c r="Z70" s="5" t="str">
        <f>IFERROR(__xludf.DUMMYFUNCTION("""COMPUTED_VALUE"""),"Yes")</f>
        <v>Yes</v>
      </c>
      <c r="AA70" s="5" t="str">
        <f>IFERROR(__xludf.DUMMYFUNCTION("""COMPUTED_VALUE"""),"Yes")</f>
        <v>Yes</v>
      </c>
      <c r="AB70" s="5" t="str">
        <f>IFERROR(__xludf.DUMMYFUNCTION("""COMPUTED_VALUE"""),"Yes")</f>
        <v>Yes</v>
      </c>
      <c r="AC70" s="5" t="str">
        <f>IFERROR(__xludf.DUMMYFUNCTION("""COMPUTED_VALUE"""),"Yes")</f>
        <v>Yes</v>
      </c>
      <c r="AD70" s="5" t="str">
        <f>IFERROR(__xludf.DUMMYFUNCTION("""COMPUTED_VALUE"""),"Yes")</f>
        <v>Yes</v>
      </c>
      <c r="AE70" s="5" t="str">
        <f>IFERROR(__xludf.DUMMYFUNCTION("""COMPUTED_VALUE"""),"Yes")</f>
        <v>Yes</v>
      </c>
      <c r="AF70" s="5" t="str">
        <f>IFERROR(__xludf.DUMMYFUNCTION("""COMPUTED_VALUE"""),"Yes")</f>
        <v>Yes</v>
      </c>
      <c r="AG70" s="5" t="str">
        <f>IFERROR(__xludf.DUMMYFUNCTION("""COMPUTED_VALUE"""),"Yes")</f>
        <v>Yes</v>
      </c>
      <c r="AH70" s="5" t="str">
        <f>IFERROR(__xludf.DUMMYFUNCTION("""COMPUTED_VALUE"""),"Yes")</f>
        <v>Yes</v>
      </c>
      <c r="AI70" s="5" t="str">
        <f>IFERROR(__xludf.DUMMYFUNCTION("""COMPUTED_VALUE"""),"Yes")</f>
        <v>Yes</v>
      </c>
      <c r="AJ70" s="5" t="str">
        <f>IFERROR(__xludf.DUMMYFUNCTION("""COMPUTED_VALUE"""),"Yes")</f>
        <v>Yes</v>
      </c>
      <c r="AK70" s="5" t="str">
        <f>IFERROR(__xludf.DUMMYFUNCTION("""COMPUTED_VALUE"""),"Yes")</f>
        <v>Yes</v>
      </c>
      <c r="AL70" s="5" t="str">
        <f>IFERROR(__xludf.DUMMYFUNCTION("""COMPUTED_VALUE"""),"Yes")</f>
        <v>Yes</v>
      </c>
      <c r="AM70" s="5" t="str">
        <f>IFERROR(__xludf.DUMMYFUNCTION("""COMPUTED_VALUE"""),"Yes")</f>
        <v>Yes</v>
      </c>
      <c r="AN70" s="5" t="str">
        <f>IFERROR(__xludf.DUMMYFUNCTION("""COMPUTED_VALUE"""),"Yes")</f>
        <v>Yes</v>
      </c>
      <c r="AO70" s="5" t="str">
        <f>IFERROR(__xludf.DUMMYFUNCTION("""COMPUTED_VALUE"""),"Yes")</f>
        <v>Yes</v>
      </c>
      <c r="AP70" s="5" t="str">
        <f>IFERROR(__xludf.DUMMYFUNCTION("""COMPUTED_VALUE"""),"Yes")</f>
        <v>Yes</v>
      </c>
      <c r="AQ70" s="5" t="str">
        <f>IFERROR(__xludf.DUMMYFUNCTION("""COMPUTED_VALUE"""),"Yes")</f>
        <v>Yes</v>
      </c>
      <c r="AR70" s="5" t="str">
        <f>IFERROR(__xludf.DUMMYFUNCTION("""COMPUTED_VALUE"""),"Yes")</f>
        <v>Yes</v>
      </c>
      <c r="AS70" s="5" t="str">
        <f>IFERROR(__xludf.DUMMYFUNCTION("""COMPUTED_VALUE"""),"Yes")</f>
        <v>Yes</v>
      </c>
      <c r="AT70" s="5" t="str">
        <f>IFERROR(__xludf.DUMMYFUNCTION("""COMPUTED_VALUE"""),"No")</f>
        <v>No</v>
      </c>
      <c r="AU70" s="5"/>
      <c r="AV70" s="5" t="str">
        <f>IFERROR(__xludf.DUMMYFUNCTION("""COMPUTED_VALUE"""),"")</f>
        <v/>
      </c>
      <c r="AW70" s="5" t="str">
        <f>IFERROR(__xludf.DUMMYFUNCTION("""COMPUTED_VALUE"""),"")</f>
        <v/>
      </c>
      <c r="AX70" s="5" t="str">
        <f>IFERROR(__xludf.DUMMYFUNCTION("""COMPUTED_VALUE"""),"Available")</f>
        <v>Available</v>
      </c>
      <c r="AY70" s="5" t="str">
        <f>IFERROR(__xludf.DUMMYFUNCTION("""COMPUTED_VALUE"""),"")</f>
        <v/>
      </c>
      <c r="AZ70" s="5" t="str">
        <f>IFERROR(__xludf.DUMMYFUNCTION("""COMPUTED_VALUE"""),"Available")</f>
        <v>Available</v>
      </c>
      <c r="BA70" s="5" t="str">
        <f>IFERROR(__xludf.DUMMYFUNCTION("""COMPUTED_VALUE"""),"Available")</f>
        <v>Available</v>
      </c>
      <c r="BB70" s="5" t="str">
        <f>IFERROR(__xludf.DUMMYFUNCTION("""COMPUTED_VALUE"""),"Available")</f>
        <v>Available</v>
      </c>
      <c r="BC70" s="5" t="str">
        <f>IFERROR(__xludf.DUMMYFUNCTION("""COMPUTED_VALUE"""),"Available")</f>
        <v>Available</v>
      </c>
      <c r="BD70" s="5" t="str">
        <f>IFERROR(__xludf.DUMMYFUNCTION("""COMPUTED_VALUE"""),"")</f>
        <v/>
      </c>
      <c r="BE70" s="5" t="str">
        <f>IFERROR(__xludf.DUMMYFUNCTION("""COMPUTED_VALUE"""),"")</f>
        <v/>
      </c>
      <c r="BF70" s="5" t="str">
        <f>IFERROR(__xludf.DUMMYFUNCTION("""COMPUTED_VALUE"""),"")</f>
        <v/>
      </c>
      <c r="BG70" s="5" t="str">
        <f>IFERROR(__xludf.DUMMYFUNCTION("""COMPUTED_VALUE"""),"")</f>
        <v/>
      </c>
      <c r="BH70" s="5" t="str">
        <f>IFERROR(__xludf.DUMMYFUNCTION("""COMPUTED_VALUE"""),"")</f>
        <v/>
      </c>
      <c r="BI70" s="5" t="str">
        <f>IFERROR(__xludf.DUMMYFUNCTION("""COMPUTED_VALUE"""),"")</f>
        <v/>
      </c>
      <c r="BJ70" s="5" t="str">
        <f>IFERROR(__xludf.DUMMYFUNCTION("""COMPUTED_VALUE"""),"Available")</f>
        <v>Available</v>
      </c>
      <c r="BK70" s="5" t="str">
        <f>IFERROR(__xludf.DUMMYFUNCTION("""COMPUTED_VALUE"""),"Available")</f>
        <v>Available</v>
      </c>
      <c r="BL70" s="5" t="str">
        <f>IFERROR(__xludf.DUMMYFUNCTION("""COMPUTED_VALUE"""),"")</f>
        <v/>
      </c>
      <c r="BM70" s="5" t="str">
        <f>IFERROR(__xludf.DUMMYFUNCTION("""COMPUTED_VALUE"""),"")</f>
        <v/>
      </c>
    </row>
    <row r="71">
      <c r="A71" s="5" t="str">
        <f>IFERROR(__xludf.DUMMYFUNCTION("""COMPUTED_VALUE"""),"Fazi")</f>
        <v>Fazi</v>
      </c>
      <c r="B71" s="5" t="str">
        <f>IFERROR(__xludf.DUMMYFUNCTION("""COMPUTED_VALUE"""),"Bonus Bells")</f>
        <v>Bonus Bells</v>
      </c>
      <c r="C71" s="5" t="str">
        <f>IFERROR(__xludf.DUMMYFUNCTION("""COMPUTED_VALUE"""),"BonusBells")</f>
        <v>BonusBells</v>
      </c>
      <c r="D71" s="6">
        <f>IFERROR(__xludf.DUMMYFUNCTION("""COMPUTED_VALUE"""),44880.0)</f>
        <v>44880</v>
      </c>
      <c r="E71" s="5" t="str">
        <f>IFERROR(__xludf.DUMMYFUNCTION("""COMPUTED_VALUE"""),"Slot")</f>
        <v>Slot</v>
      </c>
      <c r="F71" s="5">
        <f>IFERROR(__xludf.DUMMYFUNCTION("""COMPUTED_VALUE"""),231.0)</f>
        <v>231</v>
      </c>
      <c r="G71" s="5" t="str">
        <f>IFERROR(__xludf.DUMMYFUNCTION("""COMPUTED_VALUE"""),"5x3")</f>
        <v>5x3</v>
      </c>
      <c r="H71" s="5" t="str">
        <f>IFERROR(__xludf.DUMMYFUNCTION("""COMPUTED_VALUE"""),"10")</f>
        <v>10</v>
      </c>
      <c r="I71" s="5" t="str">
        <f>IFERROR(__xludf.DUMMYFUNCTION("""COMPUTED_VALUE"""),"10")</f>
        <v>10</v>
      </c>
      <c r="J71" s="5" t="str">
        <f>IFERROR(__xludf.DUMMYFUNCTION("""COMPUTED_VALUE"""),"96.247%")</f>
        <v>96.247%</v>
      </c>
      <c r="K71" s="5" t="str">
        <f>IFERROR(__xludf.DUMMYFUNCTION("""COMPUTED_VALUE"""),"High")</f>
        <v>High</v>
      </c>
      <c r="L71" s="5" t="str">
        <f>IFERROR(__xludf.DUMMYFUNCTION("""COMPUTED_VALUE"""),"12.636%")</f>
        <v>12.636%</v>
      </c>
      <c r="M71" s="5" t="str">
        <f>IFERROR(__xludf.DUMMYFUNCTION("""COMPUTED_VALUE"""),"x12104")</f>
        <v>x12104</v>
      </c>
      <c r="N71" s="5" t="str">
        <f>IFERROR(__xludf.DUMMYFUNCTION("""COMPUTED_VALUE"""),"0.1/40")</f>
        <v>0.1/40</v>
      </c>
      <c r="O71" s="5" t="str">
        <f>IFERROR(__xludf.DUMMYFUNCTION("""COMPUTED_VALUE"""),"Yes")</f>
        <v>Yes</v>
      </c>
      <c r="P71" s="5" t="str">
        <f>IFERROR(__xludf.DUMMYFUNCTION("""COMPUTED_VALUE"""),"Buy Bonus, Wild Symbol, Expanding Wild, Bonus Game with Free Spins")</f>
        <v>Buy Bonus, Wild Symbol, Expanding Wild, Bonus Game with Free Spins</v>
      </c>
      <c r="Q71" s="7" t="str">
        <f>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R71" s="5" t="str">
        <f>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S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IFERROR(__xludf.DUMMYFUNCTION("""COMPUTED_VALUE"""),"Yes")</f>
        <v>Yes</v>
      </c>
      <c r="AA71" s="5" t="str">
        <f>IFERROR(__xludf.DUMMYFUNCTION("""COMPUTED_VALUE"""),"Yes")</f>
        <v>Yes</v>
      </c>
      <c r="AB71" s="5" t="str">
        <f>IFERROR(__xludf.DUMMYFUNCTION("""COMPUTED_VALUE"""),"Yes")</f>
        <v>Yes</v>
      </c>
      <c r="AC71" s="5" t="str">
        <f>IFERROR(__xludf.DUMMYFUNCTION("""COMPUTED_VALUE"""),"Yes")</f>
        <v>Yes</v>
      </c>
      <c r="AD71" s="5" t="str">
        <f>IFERROR(__xludf.DUMMYFUNCTION("""COMPUTED_VALUE"""),"Yes")</f>
        <v>Yes</v>
      </c>
      <c r="AE71" s="5" t="str">
        <f>IFERROR(__xludf.DUMMYFUNCTION("""COMPUTED_VALUE"""),"Yes")</f>
        <v>Yes</v>
      </c>
      <c r="AF71" s="5" t="str">
        <f>IFERROR(__xludf.DUMMYFUNCTION("""COMPUTED_VALUE"""),"Yes")</f>
        <v>Yes</v>
      </c>
      <c r="AG71" s="5" t="str">
        <f>IFERROR(__xludf.DUMMYFUNCTION("""COMPUTED_VALUE"""),"Yes")</f>
        <v>Yes</v>
      </c>
      <c r="AH71" s="5" t="str">
        <f>IFERROR(__xludf.DUMMYFUNCTION("""COMPUTED_VALUE"""),"Yes")</f>
        <v>Yes</v>
      </c>
      <c r="AI71" s="5" t="str">
        <f>IFERROR(__xludf.DUMMYFUNCTION("""COMPUTED_VALUE"""),"Yes")</f>
        <v>Yes</v>
      </c>
      <c r="AJ71" s="5" t="str">
        <f>IFERROR(__xludf.DUMMYFUNCTION("""COMPUTED_VALUE"""),"Yes")</f>
        <v>Yes</v>
      </c>
      <c r="AK71" s="5" t="str">
        <f>IFERROR(__xludf.DUMMYFUNCTION("""COMPUTED_VALUE"""),"Yes")</f>
        <v>Yes</v>
      </c>
      <c r="AL71" s="5" t="str">
        <f>IFERROR(__xludf.DUMMYFUNCTION("""COMPUTED_VALUE"""),"Yes")</f>
        <v>Yes</v>
      </c>
      <c r="AM71" s="5" t="str">
        <f>IFERROR(__xludf.DUMMYFUNCTION("""COMPUTED_VALUE"""),"Yes")</f>
        <v>Yes</v>
      </c>
      <c r="AN71" s="5" t="str">
        <f>IFERROR(__xludf.DUMMYFUNCTION("""COMPUTED_VALUE"""),"Yes")</f>
        <v>Yes</v>
      </c>
      <c r="AO71" s="5" t="str">
        <f>IFERROR(__xludf.DUMMYFUNCTION("""COMPUTED_VALUE"""),"Yes")</f>
        <v>Yes</v>
      </c>
      <c r="AP71" s="5" t="str">
        <f>IFERROR(__xludf.DUMMYFUNCTION("""COMPUTED_VALUE"""),"Yes")</f>
        <v>Yes</v>
      </c>
      <c r="AQ71" s="5" t="str">
        <f>IFERROR(__xludf.DUMMYFUNCTION("""COMPUTED_VALUE"""),"Yes")</f>
        <v>Yes</v>
      </c>
      <c r="AR71" s="5" t="str">
        <f>IFERROR(__xludf.DUMMYFUNCTION("""COMPUTED_VALUE"""),"Yes")</f>
        <v>Yes</v>
      </c>
      <c r="AS71" s="5" t="str">
        <f>IFERROR(__xludf.DUMMYFUNCTION("""COMPUTED_VALUE"""),"Yes")</f>
        <v>Yes</v>
      </c>
      <c r="AT71" s="5" t="str">
        <f>IFERROR(__xludf.DUMMYFUNCTION("""COMPUTED_VALUE"""),"No")</f>
        <v>No</v>
      </c>
      <c r="AU71" s="5"/>
      <c r="AV71" s="5" t="str">
        <f>IFERROR(__xludf.DUMMYFUNCTION("""COMPUTED_VALUE"""),"")</f>
        <v/>
      </c>
      <c r="AW71" s="5" t="str">
        <f>IFERROR(__xludf.DUMMYFUNCTION("""COMPUTED_VALUE"""),"")</f>
        <v/>
      </c>
      <c r="AX71" s="5" t="str">
        <f>IFERROR(__xludf.DUMMYFUNCTION("""COMPUTED_VALUE"""),"")</f>
        <v/>
      </c>
      <c r="AY71" s="5" t="str">
        <f>IFERROR(__xludf.DUMMYFUNCTION("""COMPUTED_VALUE"""),"")</f>
        <v/>
      </c>
      <c r="AZ71" s="5" t="str">
        <f>IFERROR(__xludf.DUMMYFUNCTION("""COMPUTED_VALUE"""),"")</f>
        <v/>
      </c>
      <c r="BA71" s="5" t="str">
        <f>IFERROR(__xludf.DUMMYFUNCTION("""COMPUTED_VALUE"""),"")</f>
        <v/>
      </c>
      <c r="BB71" s="5" t="str">
        <f>IFERROR(__xludf.DUMMYFUNCTION("""COMPUTED_VALUE"""),"")</f>
        <v/>
      </c>
      <c r="BC71" s="5" t="str">
        <f>IFERROR(__xludf.DUMMYFUNCTION("""COMPUTED_VALUE"""),"")</f>
        <v/>
      </c>
      <c r="BD71" s="5" t="str">
        <f>IFERROR(__xludf.DUMMYFUNCTION("""COMPUTED_VALUE"""),"")</f>
        <v/>
      </c>
      <c r="BE71" s="5" t="str">
        <f>IFERROR(__xludf.DUMMYFUNCTION("""COMPUTED_VALUE"""),"")</f>
        <v/>
      </c>
      <c r="BF71" s="5" t="str">
        <f>IFERROR(__xludf.DUMMYFUNCTION("""COMPUTED_VALUE"""),"")</f>
        <v/>
      </c>
      <c r="BG71" s="5" t="str">
        <f>IFERROR(__xludf.DUMMYFUNCTION("""COMPUTED_VALUE"""),"")</f>
        <v/>
      </c>
      <c r="BH71" s="5" t="str">
        <f>IFERROR(__xludf.DUMMYFUNCTION("""COMPUTED_VALUE"""),"")</f>
        <v/>
      </c>
      <c r="BI71" s="5" t="str">
        <f>IFERROR(__xludf.DUMMYFUNCTION("""COMPUTED_VALUE"""),"")</f>
        <v/>
      </c>
      <c r="BJ71" s="5" t="str">
        <f>IFERROR(__xludf.DUMMYFUNCTION("""COMPUTED_VALUE"""),"")</f>
        <v/>
      </c>
      <c r="BK71" s="5" t="str">
        <f>IFERROR(__xludf.DUMMYFUNCTION("""COMPUTED_VALUE"""),"")</f>
        <v/>
      </c>
      <c r="BL71" s="5" t="str">
        <f>IFERROR(__xludf.DUMMYFUNCTION("""COMPUTED_VALUE"""),"")</f>
        <v/>
      </c>
      <c r="BM71" s="5" t="str">
        <f>IFERROR(__xludf.DUMMYFUNCTION("""COMPUTED_VALUE"""),"")</f>
        <v/>
      </c>
    </row>
    <row r="72">
      <c r="A72" s="5" t="str">
        <f>IFERROR(__xludf.DUMMYFUNCTION("""COMPUTED_VALUE"""),"Fazi")</f>
        <v>Fazi</v>
      </c>
      <c r="B72" s="5" t="str">
        <f>IFERROR(__xludf.DUMMYFUNCTION("""COMPUTED_VALUE"""),"Fruity Hot")</f>
        <v>Fruity Hot</v>
      </c>
      <c r="C72" s="5" t="str">
        <f>IFERROR(__xludf.DUMMYFUNCTION("""COMPUTED_VALUE"""),"FruityHot")</f>
        <v>FruityHot</v>
      </c>
      <c r="D72" s="6">
        <f>IFERROR(__xludf.DUMMYFUNCTION("""COMPUTED_VALUE"""),44539.0)</f>
        <v>44539</v>
      </c>
      <c r="E72" s="5" t="str">
        <f>IFERROR(__xludf.DUMMYFUNCTION("""COMPUTED_VALUE"""),"Slot")</f>
        <v>Slot</v>
      </c>
      <c r="F72" s="5">
        <f>IFERROR(__xludf.DUMMYFUNCTION("""COMPUTED_VALUE"""),13.9)</f>
        <v>13.9</v>
      </c>
      <c r="G72" s="5" t="str">
        <f>IFERROR(__xludf.DUMMYFUNCTION("""COMPUTED_VALUE"""),"5x3")</f>
        <v>5x3</v>
      </c>
      <c r="H72" s="5" t="str">
        <f>IFERROR(__xludf.DUMMYFUNCTION("""COMPUTED_VALUE"""),"20")</f>
        <v>20</v>
      </c>
      <c r="I72" s="5" t="str">
        <f>IFERROR(__xludf.DUMMYFUNCTION("""COMPUTED_VALUE"""),"1,3,5,9,10,15,20")</f>
        <v>1,3,5,9,10,15,20</v>
      </c>
      <c r="J72" s="5" t="str">
        <f>IFERROR(__xludf.DUMMYFUNCTION("""COMPUTED_VALUE"""),"95.79%")</f>
        <v>95.79%</v>
      </c>
      <c r="K72" s="5" t="str">
        <f>IFERROR(__xludf.DUMMYFUNCTION("""COMPUTED_VALUE"""),"Low")</f>
        <v>Low</v>
      </c>
      <c r="L72" s="5" t="str">
        <f>IFERROR(__xludf.DUMMYFUNCTION("""COMPUTED_VALUE"""),"16.19%")</f>
        <v>16.19%</v>
      </c>
      <c r="M72" s="5" t="str">
        <f>IFERROR(__xludf.DUMMYFUNCTION("""COMPUTED_VALUE"""),"x1000")</f>
        <v>x1000</v>
      </c>
      <c r="N72" s="5" t="str">
        <f>IFERROR(__xludf.DUMMYFUNCTION("""COMPUTED_VALUE"""),"0.2/50")</f>
        <v>0.2/50</v>
      </c>
      <c r="O72" s="5" t="str">
        <f>IFERROR(__xludf.DUMMYFUNCTION("""COMPUTED_VALUE"""),"Yes")</f>
        <v>Yes</v>
      </c>
      <c r="P72" s="5" t="str">
        <f>IFERROR(__xludf.DUMMYFUNCTION("""COMPUTED_VALUE"""),"Wild Symbol, Scatter")</f>
        <v>Wild Symbol, Scatter</v>
      </c>
      <c r="Q72" s="7" t="str">
        <f>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R72"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2" s="5" t="str">
        <f>IFERROR(__xludf.DUMMYFUNCTION("""COMPUTED_VALUE"""),"Yes")</f>
        <v>Yes</v>
      </c>
      <c r="U72" s="5" t="str">
        <f>IFERROR(__xludf.DUMMYFUNCTION("""COMPUTED_VALUE"""),"Yes")</f>
        <v>Yes</v>
      </c>
      <c r="V72" s="5" t="str">
        <f>IFERROR(__xludf.DUMMYFUNCTION("""COMPUTED_VALUE"""),"Yes")</f>
        <v>Yes</v>
      </c>
      <c r="W72" s="5" t="str">
        <f>IFERROR(__xludf.DUMMYFUNCTION("""COMPUTED_VALUE"""),"Yes")</f>
        <v>Yes</v>
      </c>
      <c r="X72" s="5" t="str">
        <f>IFERROR(__xludf.DUMMYFUNCTION("""COMPUTED_VALUE"""),"Yes")</f>
        <v>Yes</v>
      </c>
      <c r="Y72" s="5" t="str">
        <f>IFERROR(__xludf.DUMMYFUNCTION("""COMPUTED_VALUE"""),"Yes")</f>
        <v>Yes</v>
      </c>
      <c r="Z72" s="5" t="str">
        <f>IFERROR(__xludf.DUMMYFUNCTION("""COMPUTED_VALUE"""),"Yes")</f>
        <v>Yes</v>
      </c>
      <c r="AA72" s="5" t="str">
        <f>IFERROR(__xludf.DUMMYFUNCTION("""COMPUTED_VALUE"""),"Yes")</f>
        <v>Yes</v>
      </c>
      <c r="AB72" s="5" t="str">
        <f>IFERROR(__xludf.DUMMYFUNCTION("""COMPUTED_VALUE"""),"Yes")</f>
        <v>Yes</v>
      </c>
      <c r="AC72" s="5" t="str">
        <f>IFERROR(__xludf.DUMMYFUNCTION("""COMPUTED_VALUE"""),"Yes")</f>
        <v>Yes</v>
      </c>
      <c r="AD72" s="5" t="str">
        <f>IFERROR(__xludf.DUMMYFUNCTION("""COMPUTED_VALUE"""),"Yes")</f>
        <v>Yes</v>
      </c>
      <c r="AE72" s="5" t="str">
        <f>IFERROR(__xludf.DUMMYFUNCTION("""COMPUTED_VALUE"""),"Yes")</f>
        <v>Yes</v>
      </c>
      <c r="AF72" s="5" t="str">
        <f>IFERROR(__xludf.DUMMYFUNCTION("""COMPUTED_VALUE"""),"Yes")</f>
        <v>Yes</v>
      </c>
      <c r="AG72" s="5" t="str">
        <f>IFERROR(__xludf.DUMMYFUNCTION("""COMPUTED_VALUE"""),"Yes")</f>
        <v>Yes</v>
      </c>
      <c r="AH72" s="5" t="str">
        <f>IFERROR(__xludf.DUMMYFUNCTION("""COMPUTED_VALUE"""),"Yes")</f>
        <v>Yes</v>
      </c>
      <c r="AI72" s="5" t="str">
        <f>IFERROR(__xludf.DUMMYFUNCTION("""COMPUTED_VALUE"""),"Yes")</f>
        <v>Yes</v>
      </c>
      <c r="AJ72" s="5" t="str">
        <f>IFERROR(__xludf.DUMMYFUNCTION("""COMPUTED_VALUE"""),"Yes")</f>
        <v>Yes</v>
      </c>
      <c r="AK72" s="5" t="str">
        <f>IFERROR(__xludf.DUMMYFUNCTION("""COMPUTED_VALUE"""),"Yes")</f>
        <v>Yes</v>
      </c>
      <c r="AL72" s="5" t="str">
        <f>IFERROR(__xludf.DUMMYFUNCTION("""COMPUTED_VALUE"""),"Yes")</f>
        <v>Yes</v>
      </c>
      <c r="AM72" s="5" t="str">
        <f>IFERROR(__xludf.DUMMYFUNCTION("""COMPUTED_VALUE"""),"Yes")</f>
        <v>Yes</v>
      </c>
      <c r="AN72" s="5" t="str">
        <f>IFERROR(__xludf.DUMMYFUNCTION("""COMPUTED_VALUE"""),"Yes")</f>
        <v>Yes</v>
      </c>
      <c r="AO72" s="5" t="str">
        <f>IFERROR(__xludf.DUMMYFUNCTION("""COMPUTED_VALUE"""),"Yes")</f>
        <v>Yes</v>
      </c>
      <c r="AP72" s="5" t="str">
        <f>IFERROR(__xludf.DUMMYFUNCTION("""COMPUTED_VALUE"""),"Yes")</f>
        <v>Yes</v>
      </c>
      <c r="AQ72" s="5" t="str">
        <f>IFERROR(__xludf.DUMMYFUNCTION("""COMPUTED_VALUE"""),"Yes")</f>
        <v>Yes</v>
      </c>
      <c r="AR72" s="5" t="str">
        <f>IFERROR(__xludf.DUMMYFUNCTION("""COMPUTED_VALUE"""),"Yes")</f>
        <v>Yes</v>
      </c>
      <c r="AS72" s="5" t="str">
        <f>IFERROR(__xludf.DUMMYFUNCTION("""COMPUTED_VALUE"""),"Yes")</f>
        <v>Yes</v>
      </c>
      <c r="AT72" s="5" t="str">
        <f>IFERROR(__xludf.DUMMYFUNCTION("""COMPUTED_VALUE"""),"No")</f>
        <v>No</v>
      </c>
      <c r="AU72" s="5"/>
      <c r="AV72" s="5" t="str">
        <f>IFERROR(__xludf.DUMMYFUNCTION("""COMPUTED_VALUE"""),"Available")</f>
        <v>Available</v>
      </c>
      <c r="AW72" s="5" t="str">
        <f>IFERROR(__xludf.DUMMYFUNCTION("""COMPUTED_VALUE"""),"")</f>
        <v/>
      </c>
      <c r="AX72" s="5" t="str">
        <f>IFERROR(__xludf.DUMMYFUNCTION("""COMPUTED_VALUE"""),"Available")</f>
        <v>Available</v>
      </c>
      <c r="AY72" s="5" t="str">
        <f>IFERROR(__xludf.DUMMYFUNCTION("""COMPUTED_VALUE"""),"Available")</f>
        <v>Available</v>
      </c>
      <c r="AZ72" s="5" t="str">
        <f>IFERROR(__xludf.DUMMYFUNCTION("""COMPUTED_VALUE"""),"Available")</f>
        <v>Available</v>
      </c>
      <c r="BA72" s="5" t="str">
        <f>IFERROR(__xludf.DUMMYFUNCTION("""COMPUTED_VALUE"""),"Available")</f>
        <v>Available</v>
      </c>
      <c r="BB72" s="5" t="str">
        <f>IFERROR(__xludf.DUMMYFUNCTION("""COMPUTED_VALUE"""),"Available")</f>
        <v>Available</v>
      </c>
      <c r="BC72" s="5" t="str">
        <f>IFERROR(__xludf.DUMMYFUNCTION("""COMPUTED_VALUE"""),"Available")</f>
        <v>Available</v>
      </c>
      <c r="BD72" s="5" t="str">
        <f>IFERROR(__xludf.DUMMYFUNCTION("""COMPUTED_VALUE"""),"")</f>
        <v/>
      </c>
      <c r="BE72" s="5" t="str">
        <f>IFERROR(__xludf.DUMMYFUNCTION("""COMPUTED_VALUE"""),"Available")</f>
        <v>Available</v>
      </c>
      <c r="BF72" s="5" t="str">
        <f>IFERROR(__xludf.DUMMYFUNCTION("""COMPUTED_VALUE"""),"")</f>
        <v/>
      </c>
      <c r="BG72" s="5" t="str">
        <f>IFERROR(__xludf.DUMMYFUNCTION("""COMPUTED_VALUE"""),"")</f>
        <v/>
      </c>
      <c r="BH72" s="5" t="str">
        <f>IFERROR(__xludf.DUMMYFUNCTION("""COMPUTED_VALUE"""),"")</f>
        <v/>
      </c>
      <c r="BI72" s="5" t="str">
        <f>IFERROR(__xludf.DUMMYFUNCTION("""COMPUTED_VALUE"""),"")</f>
        <v/>
      </c>
      <c r="BJ72" s="5" t="str">
        <f>IFERROR(__xludf.DUMMYFUNCTION("""COMPUTED_VALUE"""),"Available")</f>
        <v>Available</v>
      </c>
      <c r="BK72" s="5" t="str">
        <f>IFERROR(__xludf.DUMMYFUNCTION("""COMPUTED_VALUE"""),"Available")</f>
        <v>Available</v>
      </c>
      <c r="BL72" s="5" t="str">
        <f>IFERROR(__xludf.DUMMYFUNCTION("""COMPUTED_VALUE"""),"")</f>
        <v/>
      </c>
      <c r="BM72" s="5" t="str">
        <f>IFERROR(__xludf.DUMMYFUNCTION("""COMPUTED_VALUE"""),"")</f>
        <v/>
      </c>
    </row>
    <row r="73">
      <c r="A73" s="5" t="str">
        <f>IFERROR(__xludf.DUMMYFUNCTION("""COMPUTED_VALUE"""),"Fazi")</f>
        <v>Fazi</v>
      </c>
      <c r="B73" s="5" t="str">
        <f>IFERROR(__xludf.DUMMYFUNCTION("""COMPUTED_VALUE"""),"Eye Of Tut")</f>
        <v>Eye Of Tut</v>
      </c>
      <c r="C73" s="5" t="str">
        <f>IFERROR(__xludf.DUMMYFUNCTION("""COMPUTED_VALUE"""),"EyeOfTut")</f>
        <v>EyeOfTut</v>
      </c>
      <c r="D73" s="6">
        <f>IFERROR(__xludf.DUMMYFUNCTION("""COMPUTED_VALUE"""),44742.0)</f>
        <v>44742</v>
      </c>
      <c r="E73" s="5" t="str">
        <f>IFERROR(__xludf.DUMMYFUNCTION("""COMPUTED_VALUE"""),"Slot")</f>
        <v>Slot</v>
      </c>
      <c r="F73" s="5">
        <f>IFERROR(__xludf.DUMMYFUNCTION("""COMPUTED_VALUE"""),38.2)</f>
        <v>38.2</v>
      </c>
      <c r="G73" s="5" t="str">
        <f>IFERROR(__xludf.DUMMYFUNCTION("""COMPUTED_VALUE"""),"5x3")</f>
        <v>5x3</v>
      </c>
      <c r="H73" s="5" t="str">
        <f>IFERROR(__xludf.DUMMYFUNCTION("""COMPUTED_VALUE"""),"15")</f>
        <v>15</v>
      </c>
      <c r="I73" s="5" t="str">
        <f>IFERROR(__xludf.DUMMYFUNCTION("""COMPUTED_VALUE"""),"15")</f>
        <v>15</v>
      </c>
      <c r="J73" s="5" t="str">
        <f>IFERROR(__xludf.DUMMYFUNCTION("""COMPUTED_VALUE"""),"96.142%")</f>
        <v>96.142%</v>
      </c>
      <c r="K73" s="5" t="str">
        <f>IFERROR(__xludf.DUMMYFUNCTION("""COMPUTED_VALUE"""),"High")</f>
        <v>High</v>
      </c>
      <c r="L73" s="5" t="str">
        <f>IFERROR(__xludf.DUMMYFUNCTION("""COMPUTED_VALUE"""),"28.08%")</f>
        <v>28.08%</v>
      </c>
      <c r="M73" s="5" t="str">
        <f>IFERROR(__xludf.DUMMYFUNCTION("""COMPUTED_VALUE"""),"x1530")</f>
        <v>x1530</v>
      </c>
      <c r="N73" s="5" t="str">
        <f>IFERROR(__xludf.DUMMYFUNCTION("""COMPUTED_VALUE"""),"0.01/45")</f>
        <v>0.01/45</v>
      </c>
      <c r="O73" s="5" t="str">
        <f>IFERROR(__xludf.DUMMYFUNCTION("""COMPUTED_VALUE"""),"Yes")</f>
        <v>Yes</v>
      </c>
      <c r="P73" s="5" t="str">
        <f>IFERROR(__xludf.DUMMYFUNCTION("""COMPUTED_VALUE"""),"Wild Symbol, Bonus Game with Free Spins, Sticky Wild")</f>
        <v>Wild Symbol, Bonus Game with Free Spins, Sticky Wild</v>
      </c>
      <c r="Q73" s="7" t="str">
        <f>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R73" s="5" t="str">
        <f>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S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3" s="5" t="str">
        <f>IFERROR(__xludf.DUMMYFUNCTION("""COMPUTED_VALUE"""),"Yes")</f>
        <v>Yes</v>
      </c>
      <c r="U73" s="5" t="str">
        <f>IFERROR(__xludf.DUMMYFUNCTION("""COMPUTED_VALUE"""),"Yes")</f>
        <v>Yes</v>
      </c>
      <c r="V73" s="5" t="str">
        <f>IFERROR(__xludf.DUMMYFUNCTION("""COMPUTED_VALUE"""),"Yes")</f>
        <v>Yes</v>
      </c>
      <c r="W73" s="5" t="str">
        <f>IFERROR(__xludf.DUMMYFUNCTION("""COMPUTED_VALUE"""),"Yes")</f>
        <v>Yes</v>
      </c>
      <c r="X73" s="5" t="str">
        <f>IFERROR(__xludf.DUMMYFUNCTION("""COMPUTED_VALUE"""),"Yes")</f>
        <v>Yes</v>
      </c>
      <c r="Y73" s="5" t="str">
        <f>IFERROR(__xludf.DUMMYFUNCTION("""COMPUTED_VALUE"""),"Yes")</f>
        <v>Yes</v>
      </c>
      <c r="Z73" s="5" t="str">
        <f>IFERROR(__xludf.DUMMYFUNCTION("""COMPUTED_VALUE"""),"Yes")</f>
        <v>Yes</v>
      </c>
      <c r="AA73" s="5" t="str">
        <f>IFERROR(__xludf.DUMMYFUNCTION("""COMPUTED_VALUE"""),"Yes")</f>
        <v>Yes</v>
      </c>
      <c r="AB73" s="5" t="str">
        <f>IFERROR(__xludf.DUMMYFUNCTION("""COMPUTED_VALUE"""),"Yes")</f>
        <v>Yes</v>
      </c>
      <c r="AC73" s="5" t="str">
        <f>IFERROR(__xludf.DUMMYFUNCTION("""COMPUTED_VALUE"""),"Yes")</f>
        <v>Yes</v>
      </c>
      <c r="AD73" s="5" t="str">
        <f>IFERROR(__xludf.DUMMYFUNCTION("""COMPUTED_VALUE"""),"Yes")</f>
        <v>Yes</v>
      </c>
      <c r="AE73" s="5" t="str">
        <f>IFERROR(__xludf.DUMMYFUNCTION("""COMPUTED_VALUE"""),"Yes")</f>
        <v>Yes</v>
      </c>
      <c r="AF73" s="5" t="str">
        <f>IFERROR(__xludf.DUMMYFUNCTION("""COMPUTED_VALUE"""),"Yes")</f>
        <v>Yes</v>
      </c>
      <c r="AG73" s="5" t="str">
        <f>IFERROR(__xludf.DUMMYFUNCTION("""COMPUTED_VALUE"""),"Yes")</f>
        <v>Yes</v>
      </c>
      <c r="AH73" s="5" t="str">
        <f>IFERROR(__xludf.DUMMYFUNCTION("""COMPUTED_VALUE"""),"Yes")</f>
        <v>Yes</v>
      </c>
      <c r="AI73" s="5" t="str">
        <f>IFERROR(__xludf.DUMMYFUNCTION("""COMPUTED_VALUE"""),"Yes")</f>
        <v>Yes</v>
      </c>
      <c r="AJ73" s="5" t="str">
        <f>IFERROR(__xludf.DUMMYFUNCTION("""COMPUTED_VALUE"""),"Yes")</f>
        <v>Yes</v>
      </c>
      <c r="AK73" s="5" t="str">
        <f>IFERROR(__xludf.DUMMYFUNCTION("""COMPUTED_VALUE"""),"Yes")</f>
        <v>Yes</v>
      </c>
      <c r="AL73" s="5" t="str">
        <f>IFERROR(__xludf.DUMMYFUNCTION("""COMPUTED_VALUE"""),"Yes")</f>
        <v>Yes</v>
      </c>
      <c r="AM73" s="5" t="str">
        <f>IFERROR(__xludf.DUMMYFUNCTION("""COMPUTED_VALUE"""),"Yes")</f>
        <v>Yes</v>
      </c>
      <c r="AN73" s="5" t="str">
        <f>IFERROR(__xludf.DUMMYFUNCTION("""COMPUTED_VALUE"""),"Yes")</f>
        <v>Yes</v>
      </c>
      <c r="AO73" s="5" t="str">
        <f>IFERROR(__xludf.DUMMYFUNCTION("""COMPUTED_VALUE"""),"Yes")</f>
        <v>Yes</v>
      </c>
      <c r="AP73" s="5" t="str">
        <f>IFERROR(__xludf.DUMMYFUNCTION("""COMPUTED_VALUE"""),"Yes")</f>
        <v>Yes</v>
      </c>
      <c r="AQ73" s="5" t="str">
        <f>IFERROR(__xludf.DUMMYFUNCTION("""COMPUTED_VALUE"""),"Yes")</f>
        <v>Yes</v>
      </c>
      <c r="AR73" s="5" t="str">
        <f>IFERROR(__xludf.DUMMYFUNCTION("""COMPUTED_VALUE"""),"Yes")</f>
        <v>Yes</v>
      </c>
      <c r="AS73" s="5" t="str">
        <f>IFERROR(__xludf.DUMMYFUNCTION("""COMPUTED_VALUE"""),"Yes")</f>
        <v>Yes</v>
      </c>
      <c r="AT73" s="5" t="str">
        <f>IFERROR(__xludf.DUMMYFUNCTION("""COMPUTED_VALUE"""),"No")</f>
        <v>No</v>
      </c>
      <c r="AU73" s="5"/>
      <c r="AV73" s="5" t="str">
        <f>IFERROR(__xludf.DUMMYFUNCTION("""COMPUTED_VALUE"""),"")</f>
        <v/>
      </c>
      <c r="AW73" s="5" t="str">
        <f>IFERROR(__xludf.DUMMYFUNCTION("""COMPUTED_VALUE"""),"")</f>
        <v/>
      </c>
      <c r="AX73" s="5" t="str">
        <f>IFERROR(__xludf.DUMMYFUNCTION("""COMPUTED_VALUE"""),"")</f>
        <v/>
      </c>
      <c r="AY73" s="5" t="str">
        <f>IFERROR(__xludf.DUMMYFUNCTION("""COMPUTED_VALUE"""),"")</f>
        <v/>
      </c>
      <c r="AZ73" s="5" t="str">
        <f>IFERROR(__xludf.DUMMYFUNCTION("""COMPUTED_VALUE"""),"")</f>
        <v/>
      </c>
      <c r="BA73" s="5" t="str">
        <f>IFERROR(__xludf.DUMMYFUNCTION("""COMPUTED_VALUE"""),"")</f>
        <v/>
      </c>
      <c r="BB73" s="5" t="str">
        <f>IFERROR(__xludf.DUMMYFUNCTION("""COMPUTED_VALUE"""),"Available")</f>
        <v>Available</v>
      </c>
      <c r="BC73" s="5" t="str">
        <f>IFERROR(__xludf.DUMMYFUNCTION("""COMPUTED_VALUE"""),"")</f>
        <v/>
      </c>
      <c r="BD73" s="5" t="str">
        <f>IFERROR(__xludf.DUMMYFUNCTION("""COMPUTED_VALUE"""),"")</f>
        <v/>
      </c>
      <c r="BE73" s="5" t="str">
        <f>IFERROR(__xludf.DUMMYFUNCTION("""COMPUTED_VALUE"""),"")</f>
        <v/>
      </c>
      <c r="BF73" s="5" t="str">
        <f>IFERROR(__xludf.DUMMYFUNCTION("""COMPUTED_VALUE"""),"")</f>
        <v/>
      </c>
      <c r="BG73" s="5" t="str">
        <f>IFERROR(__xludf.DUMMYFUNCTION("""COMPUTED_VALUE"""),"")</f>
        <v/>
      </c>
      <c r="BH73" s="5" t="str">
        <f>IFERROR(__xludf.DUMMYFUNCTION("""COMPUTED_VALUE"""),"")</f>
        <v/>
      </c>
      <c r="BI73" s="5" t="str">
        <f>IFERROR(__xludf.DUMMYFUNCTION("""COMPUTED_VALUE"""),"Available")</f>
        <v>Available</v>
      </c>
      <c r="BJ73" s="5" t="str">
        <f>IFERROR(__xludf.DUMMYFUNCTION("""COMPUTED_VALUE"""),"")</f>
        <v/>
      </c>
      <c r="BK73" s="5" t="str">
        <f>IFERROR(__xludf.DUMMYFUNCTION("""COMPUTED_VALUE"""),"")</f>
        <v/>
      </c>
      <c r="BL73" s="5" t="str">
        <f>IFERROR(__xludf.DUMMYFUNCTION("""COMPUTED_VALUE"""),"")</f>
        <v/>
      </c>
      <c r="BM73" s="5" t="str">
        <f>IFERROR(__xludf.DUMMYFUNCTION("""COMPUTED_VALUE"""),"")</f>
        <v/>
      </c>
    </row>
    <row r="74">
      <c r="A74" s="5" t="str">
        <f>IFERROR(__xludf.DUMMYFUNCTION("""COMPUTED_VALUE"""),"Fazi")</f>
        <v>Fazi</v>
      </c>
      <c r="B74" s="5" t="str">
        <f>IFERROR(__xludf.DUMMYFUNCTION("""COMPUTED_VALUE"""),"Fruity Win 40")</f>
        <v>Fruity Win 40</v>
      </c>
      <c r="C74" s="5" t="str">
        <f>IFERROR(__xludf.DUMMYFUNCTION("""COMPUTED_VALUE"""),"FruityWin40")</f>
        <v>FruityWin40</v>
      </c>
      <c r="D74" s="6">
        <f>IFERROR(__xludf.DUMMYFUNCTION("""COMPUTED_VALUE"""),44606.0)</f>
        <v>44606</v>
      </c>
      <c r="E74" s="5" t="str">
        <f>IFERROR(__xludf.DUMMYFUNCTION("""COMPUTED_VALUE"""),"Slot")</f>
        <v>Slot</v>
      </c>
      <c r="F74" s="5">
        <f>IFERROR(__xludf.DUMMYFUNCTION("""COMPUTED_VALUE"""),26.5)</f>
        <v>26.5</v>
      </c>
      <c r="G74" s="5" t="str">
        <f>IFERROR(__xludf.DUMMYFUNCTION("""COMPUTED_VALUE"""),"5x4")</f>
        <v>5x4</v>
      </c>
      <c r="H74" s="5" t="str">
        <f>IFERROR(__xludf.DUMMYFUNCTION("""COMPUTED_VALUE"""),"40")</f>
        <v>40</v>
      </c>
      <c r="I74" s="5" t="str">
        <f>IFERROR(__xludf.DUMMYFUNCTION("""COMPUTED_VALUE"""),"40")</f>
        <v>40</v>
      </c>
      <c r="J74" s="5" t="str">
        <f>IFERROR(__xludf.DUMMYFUNCTION("""COMPUTED_VALUE"""),"96.584%")</f>
        <v>96.584%</v>
      </c>
      <c r="K74" s="5" t="str">
        <f>IFERROR(__xludf.DUMMYFUNCTION("""COMPUTED_VALUE"""),"Low")</f>
        <v>Low</v>
      </c>
      <c r="L74" s="5" t="str">
        <f>IFERROR(__xludf.DUMMYFUNCTION("""COMPUTED_VALUE"""),"16.73%")</f>
        <v>16.73%</v>
      </c>
      <c r="M74" s="5" t="str">
        <f>IFERROR(__xludf.DUMMYFUNCTION("""COMPUTED_VALUE"""),"x1000")</f>
        <v>x1000</v>
      </c>
      <c r="N74" s="5" t="str">
        <f>IFERROR(__xludf.DUMMYFUNCTION("""COMPUTED_VALUE"""),"0.4/60")</f>
        <v>0.4/60</v>
      </c>
      <c r="O74" s="5" t="str">
        <f>IFERROR(__xludf.DUMMYFUNCTION("""COMPUTED_VALUE"""),"Yes")</f>
        <v>Yes</v>
      </c>
      <c r="P74" s="5" t="str">
        <f>IFERROR(__xludf.DUMMYFUNCTION("""COMPUTED_VALUE"""),"Expanding Wild, Scatter")</f>
        <v>Expanding Wild, Scatter</v>
      </c>
      <c r="Q74" s="7" t="str">
        <f>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R74"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IFERROR(__xludf.DUMMYFUNCTION("""COMPUTED_VALUE"""),"Yes")</f>
        <v>Yes</v>
      </c>
      <c r="AA74" s="5" t="str">
        <f>IFERROR(__xludf.DUMMYFUNCTION("""COMPUTED_VALUE"""),"Yes")</f>
        <v>Yes</v>
      </c>
      <c r="AB74" s="5" t="str">
        <f>IFERROR(__xludf.DUMMYFUNCTION("""COMPUTED_VALUE"""),"Yes")</f>
        <v>Yes</v>
      </c>
      <c r="AC74" s="5" t="str">
        <f>IFERROR(__xludf.DUMMYFUNCTION("""COMPUTED_VALUE"""),"Yes")</f>
        <v>Yes</v>
      </c>
      <c r="AD74" s="5" t="str">
        <f>IFERROR(__xludf.DUMMYFUNCTION("""COMPUTED_VALUE"""),"Yes")</f>
        <v>Yes</v>
      </c>
      <c r="AE74" s="5" t="str">
        <f>IFERROR(__xludf.DUMMYFUNCTION("""COMPUTED_VALUE"""),"Yes")</f>
        <v>Yes</v>
      </c>
      <c r="AF74" s="5" t="str">
        <f>IFERROR(__xludf.DUMMYFUNCTION("""COMPUTED_VALUE"""),"Yes")</f>
        <v>Yes</v>
      </c>
      <c r="AG74" s="5" t="str">
        <f>IFERROR(__xludf.DUMMYFUNCTION("""COMPUTED_VALUE"""),"Yes")</f>
        <v>Yes</v>
      </c>
      <c r="AH74" s="5" t="str">
        <f>IFERROR(__xludf.DUMMYFUNCTION("""COMPUTED_VALUE"""),"Yes")</f>
        <v>Yes</v>
      </c>
      <c r="AI74" s="5" t="str">
        <f>IFERROR(__xludf.DUMMYFUNCTION("""COMPUTED_VALUE"""),"Yes")</f>
        <v>Yes</v>
      </c>
      <c r="AJ74" s="5" t="str">
        <f>IFERROR(__xludf.DUMMYFUNCTION("""COMPUTED_VALUE"""),"Yes")</f>
        <v>Yes</v>
      </c>
      <c r="AK74" s="5" t="str">
        <f>IFERROR(__xludf.DUMMYFUNCTION("""COMPUTED_VALUE"""),"Yes")</f>
        <v>Yes</v>
      </c>
      <c r="AL74" s="5" t="str">
        <f>IFERROR(__xludf.DUMMYFUNCTION("""COMPUTED_VALUE"""),"Yes")</f>
        <v>Yes</v>
      </c>
      <c r="AM74" s="5" t="str">
        <f>IFERROR(__xludf.DUMMYFUNCTION("""COMPUTED_VALUE"""),"Yes")</f>
        <v>Yes</v>
      </c>
      <c r="AN74" s="5" t="str">
        <f>IFERROR(__xludf.DUMMYFUNCTION("""COMPUTED_VALUE"""),"Yes")</f>
        <v>Yes</v>
      </c>
      <c r="AO74" s="5" t="str">
        <f>IFERROR(__xludf.DUMMYFUNCTION("""COMPUTED_VALUE"""),"Yes")</f>
        <v>Yes</v>
      </c>
      <c r="AP74" s="5" t="str">
        <f>IFERROR(__xludf.DUMMYFUNCTION("""COMPUTED_VALUE"""),"Yes")</f>
        <v>Yes</v>
      </c>
      <c r="AQ74" s="5" t="str">
        <f>IFERROR(__xludf.DUMMYFUNCTION("""COMPUTED_VALUE"""),"Yes")</f>
        <v>Yes</v>
      </c>
      <c r="AR74" s="5" t="str">
        <f>IFERROR(__xludf.DUMMYFUNCTION("""COMPUTED_VALUE"""),"Yes")</f>
        <v>Yes</v>
      </c>
      <c r="AS74" s="5" t="str">
        <f>IFERROR(__xludf.DUMMYFUNCTION("""COMPUTED_VALUE"""),"Yes")</f>
        <v>Yes</v>
      </c>
      <c r="AT74" s="5" t="str">
        <f>IFERROR(__xludf.DUMMYFUNCTION("""COMPUTED_VALUE"""),"No")</f>
        <v>No</v>
      </c>
      <c r="AU74" s="5"/>
      <c r="AV74" s="5" t="str">
        <f>IFERROR(__xludf.DUMMYFUNCTION("""COMPUTED_VALUE"""),"Available")</f>
        <v>Available</v>
      </c>
      <c r="AW74" s="5" t="str">
        <f>IFERROR(__xludf.DUMMYFUNCTION("""COMPUTED_VALUE"""),"Available")</f>
        <v>Available</v>
      </c>
      <c r="AX74" s="5" t="str">
        <f>IFERROR(__xludf.DUMMYFUNCTION("""COMPUTED_VALUE"""),"Available")</f>
        <v>Available</v>
      </c>
      <c r="AY74" s="5" t="str">
        <f>IFERROR(__xludf.DUMMYFUNCTION("""COMPUTED_VALUE"""),"Available")</f>
        <v>Available</v>
      </c>
      <c r="AZ74" s="5" t="str">
        <f>IFERROR(__xludf.DUMMYFUNCTION("""COMPUTED_VALUE"""),"Available")</f>
        <v>Available</v>
      </c>
      <c r="BA74" s="5" t="str">
        <f>IFERROR(__xludf.DUMMYFUNCTION("""COMPUTED_VALUE"""),"Available")</f>
        <v>Available</v>
      </c>
      <c r="BB74" s="5" t="str">
        <f>IFERROR(__xludf.DUMMYFUNCTION("""COMPUTED_VALUE"""),"Available")</f>
        <v>Available</v>
      </c>
      <c r="BC74" s="5" t="str">
        <f>IFERROR(__xludf.DUMMYFUNCTION("""COMPUTED_VALUE"""),"Available")</f>
        <v>Available</v>
      </c>
      <c r="BD74" s="5" t="str">
        <f>IFERROR(__xludf.DUMMYFUNCTION("""COMPUTED_VALUE"""),"")</f>
        <v/>
      </c>
      <c r="BE74" s="5" t="str">
        <f>IFERROR(__xludf.DUMMYFUNCTION("""COMPUTED_VALUE"""),"")</f>
        <v/>
      </c>
      <c r="BF74" s="5" t="str">
        <f>IFERROR(__xludf.DUMMYFUNCTION("""COMPUTED_VALUE"""),"Available")</f>
        <v>Available</v>
      </c>
      <c r="BG74" s="5" t="str">
        <f>IFERROR(__xludf.DUMMYFUNCTION("""COMPUTED_VALUE"""),"Available")</f>
        <v>Available</v>
      </c>
      <c r="BH74" s="5" t="str">
        <f>IFERROR(__xludf.DUMMYFUNCTION("""COMPUTED_VALUE"""),"")</f>
        <v/>
      </c>
      <c r="BI74" s="5" t="str">
        <f>IFERROR(__xludf.DUMMYFUNCTION("""COMPUTED_VALUE"""),"")</f>
        <v/>
      </c>
      <c r="BJ74" s="5" t="str">
        <f>IFERROR(__xludf.DUMMYFUNCTION("""COMPUTED_VALUE"""),"")</f>
        <v/>
      </c>
      <c r="BK74" s="5" t="str">
        <f>IFERROR(__xludf.DUMMYFUNCTION("""COMPUTED_VALUE"""),"Available")</f>
        <v>Available</v>
      </c>
      <c r="BL74" s="5" t="str">
        <f>IFERROR(__xludf.DUMMYFUNCTION("""COMPUTED_VALUE"""),"")</f>
        <v/>
      </c>
      <c r="BM74" s="5" t="str">
        <f>IFERROR(__xludf.DUMMYFUNCTION("""COMPUTED_VALUE"""),"Available")</f>
        <v>Available</v>
      </c>
    </row>
    <row r="75">
      <c r="A75" s="5" t="str">
        <f>IFERROR(__xludf.DUMMYFUNCTION("""COMPUTED_VALUE"""),"Fazi")</f>
        <v>Fazi</v>
      </c>
      <c r="B75" s="5" t="str">
        <f>IFERROR(__xludf.DUMMYFUNCTION("""COMPUTED_VALUE"""),"Very Hot 20")</f>
        <v>Very Hot 20</v>
      </c>
      <c r="C75" s="5" t="str">
        <f>IFERROR(__xludf.DUMMYFUNCTION("""COMPUTED_VALUE"""),"VeryHot20")</f>
        <v>VeryHot20</v>
      </c>
      <c r="D75" s="6">
        <f>IFERROR(__xludf.DUMMYFUNCTION("""COMPUTED_VALUE"""),44613.0)</f>
        <v>44613</v>
      </c>
      <c r="E75" s="5" t="str">
        <f>IFERROR(__xludf.DUMMYFUNCTION("""COMPUTED_VALUE"""),"Slot")</f>
        <v>Slot</v>
      </c>
      <c r="F75" s="5">
        <f>IFERROR(__xludf.DUMMYFUNCTION("""COMPUTED_VALUE"""),17.3)</f>
        <v>17.3</v>
      </c>
      <c r="G75" s="5" t="str">
        <f>IFERROR(__xludf.DUMMYFUNCTION("""COMPUTED_VALUE"""),"5x3")</f>
        <v>5x3</v>
      </c>
      <c r="H75" s="5" t="str">
        <f>IFERROR(__xludf.DUMMYFUNCTION("""COMPUTED_VALUE"""),"20")</f>
        <v>20</v>
      </c>
      <c r="I75" s="5" t="str">
        <f>IFERROR(__xludf.DUMMYFUNCTION("""COMPUTED_VALUE"""),"20")</f>
        <v>20</v>
      </c>
      <c r="J75" s="5" t="str">
        <f>IFERROR(__xludf.DUMMYFUNCTION("""COMPUTED_VALUE"""),"96.504%")</f>
        <v>96.504%</v>
      </c>
      <c r="K75" s="5" t="str">
        <f>IFERROR(__xludf.DUMMYFUNCTION("""COMPUTED_VALUE"""),"Medium")</f>
        <v>Medium</v>
      </c>
      <c r="L75" s="5" t="str">
        <f>IFERROR(__xludf.DUMMYFUNCTION("""COMPUTED_VALUE"""),"21.75%")</f>
        <v>21.75%</v>
      </c>
      <c r="M75" s="5" t="str">
        <f>IFERROR(__xludf.DUMMYFUNCTION("""COMPUTED_VALUE"""),"x1231.5")</f>
        <v>x1231.5</v>
      </c>
      <c r="N75" s="5" t="str">
        <f>IFERROR(__xludf.DUMMYFUNCTION("""COMPUTED_VALUE"""),"0.2/50")</f>
        <v>0.2/50</v>
      </c>
      <c r="O75" s="5" t="str">
        <f>IFERROR(__xludf.DUMMYFUNCTION("""COMPUTED_VALUE"""),"Yes")</f>
        <v>Yes</v>
      </c>
      <c r="P75" s="5" t="str">
        <f>IFERROR(__xludf.DUMMYFUNCTION("""COMPUTED_VALUE"""),"Scatter, Expanding Wild")</f>
        <v>Scatter, Expanding Wild</v>
      </c>
      <c r="Q75" s="7" t="str">
        <f>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R75" s="5" t="str">
        <f>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S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5" s="5" t="str">
        <f>IFERROR(__xludf.DUMMYFUNCTION("""COMPUTED_VALUE"""),"Yes")</f>
        <v>Yes</v>
      </c>
      <c r="U75" s="5" t="str">
        <f>IFERROR(__xludf.DUMMYFUNCTION("""COMPUTED_VALUE"""),"Yes")</f>
        <v>Yes</v>
      </c>
      <c r="V75" s="5" t="str">
        <f>IFERROR(__xludf.DUMMYFUNCTION("""COMPUTED_VALUE"""),"Yes")</f>
        <v>Yes</v>
      </c>
      <c r="W75" s="5" t="str">
        <f>IFERROR(__xludf.DUMMYFUNCTION("""COMPUTED_VALUE"""),"Yes")</f>
        <v>Yes</v>
      </c>
      <c r="X75" s="5" t="str">
        <f>IFERROR(__xludf.DUMMYFUNCTION("""COMPUTED_VALUE"""),"Yes")</f>
        <v>Yes</v>
      </c>
      <c r="Y75" s="5" t="str">
        <f>IFERROR(__xludf.DUMMYFUNCTION("""COMPUTED_VALUE"""),"Yes")</f>
        <v>Yes</v>
      </c>
      <c r="Z75" s="5" t="str">
        <f>IFERROR(__xludf.DUMMYFUNCTION("""COMPUTED_VALUE"""),"Yes")</f>
        <v>Yes</v>
      </c>
      <c r="AA75" s="5" t="str">
        <f>IFERROR(__xludf.DUMMYFUNCTION("""COMPUTED_VALUE"""),"Yes")</f>
        <v>Yes</v>
      </c>
      <c r="AB75" s="5" t="str">
        <f>IFERROR(__xludf.DUMMYFUNCTION("""COMPUTED_VALUE"""),"Yes")</f>
        <v>Yes</v>
      </c>
      <c r="AC75" s="5" t="str">
        <f>IFERROR(__xludf.DUMMYFUNCTION("""COMPUTED_VALUE"""),"Yes")</f>
        <v>Yes</v>
      </c>
      <c r="AD75" s="5" t="str">
        <f>IFERROR(__xludf.DUMMYFUNCTION("""COMPUTED_VALUE"""),"Yes")</f>
        <v>Yes</v>
      </c>
      <c r="AE75" s="5" t="str">
        <f>IFERROR(__xludf.DUMMYFUNCTION("""COMPUTED_VALUE"""),"Yes")</f>
        <v>Yes</v>
      </c>
      <c r="AF75" s="5" t="str">
        <f>IFERROR(__xludf.DUMMYFUNCTION("""COMPUTED_VALUE"""),"Yes")</f>
        <v>Yes</v>
      </c>
      <c r="AG75" s="5" t="str">
        <f>IFERROR(__xludf.DUMMYFUNCTION("""COMPUTED_VALUE"""),"Yes")</f>
        <v>Yes</v>
      </c>
      <c r="AH75" s="5" t="str">
        <f>IFERROR(__xludf.DUMMYFUNCTION("""COMPUTED_VALUE"""),"Yes")</f>
        <v>Yes</v>
      </c>
      <c r="AI75" s="5" t="str">
        <f>IFERROR(__xludf.DUMMYFUNCTION("""COMPUTED_VALUE"""),"Yes")</f>
        <v>Yes</v>
      </c>
      <c r="AJ75" s="5" t="str">
        <f>IFERROR(__xludf.DUMMYFUNCTION("""COMPUTED_VALUE"""),"Yes")</f>
        <v>Yes</v>
      </c>
      <c r="AK75" s="5" t="str">
        <f>IFERROR(__xludf.DUMMYFUNCTION("""COMPUTED_VALUE"""),"Yes")</f>
        <v>Yes</v>
      </c>
      <c r="AL75" s="5" t="str">
        <f>IFERROR(__xludf.DUMMYFUNCTION("""COMPUTED_VALUE"""),"Yes")</f>
        <v>Yes</v>
      </c>
      <c r="AM75" s="5" t="str">
        <f>IFERROR(__xludf.DUMMYFUNCTION("""COMPUTED_VALUE"""),"Yes")</f>
        <v>Yes</v>
      </c>
      <c r="AN75" s="5" t="str">
        <f>IFERROR(__xludf.DUMMYFUNCTION("""COMPUTED_VALUE"""),"Yes")</f>
        <v>Yes</v>
      </c>
      <c r="AO75" s="5" t="str">
        <f>IFERROR(__xludf.DUMMYFUNCTION("""COMPUTED_VALUE"""),"Yes")</f>
        <v>Yes</v>
      </c>
      <c r="AP75" s="5" t="str">
        <f>IFERROR(__xludf.DUMMYFUNCTION("""COMPUTED_VALUE"""),"Yes")</f>
        <v>Yes</v>
      </c>
      <c r="AQ75" s="5" t="str">
        <f>IFERROR(__xludf.DUMMYFUNCTION("""COMPUTED_VALUE"""),"Yes")</f>
        <v>Yes</v>
      </c>
      <c r="AR75" s="5" t="str">
        <f>IFERROR(__xludf.DUMMYFUNCTION("""COMPUTED_VALUE"""),"Yes")</f>
        <v>Yes</v>
      </c>
      <c r="AS75" s="5" t="str">
        <f>IFERROR(__xludf.DUMMYFUNCTION("""COMPUTED_VALUE"""),"Yes")</f>
        <v>Yes</v>
      </c>
      <c r="AT75" s="5" t="str">
        <f>IFERROR(__xludf.DUMMYFUNCTION("""COMPUTED_VALUE"""),"No")</f>
        <v>No</v>
      </c>
      <c r="AU75" s="5"/>
      <c r="AV75" s="5" t="str">
        <f>IFERROR(__xludf.DUMMYFUNCTION("""COMPUTED_VALUE"""),"Available")</f>
        <v>Available</v>
      </c>
      <c r="AW75" s="5" t="str">
        <f>IFERROR(__xludf.DUMMYFUNCTION("""COMPUTED_VALUE"""),"")</f>
        <v/>
      </c>
      <c r="AX75" s="5" t="str">
        <f>IFERROR(__xludf.DUMMYFUNCTION("""COMPUTED_VALUE"""),"Available")</f>
        <v>Available</v>
      </c>
      <c r="AY75" s="5" t="str">
        <f>IFERROR(__xludf.DUMMYFUNCTION("""COMPUTED_VALUE"""),"")</f>
        <v/>
      </c>
      <c r="AZ75" s="5" t="str">
        <f>IFERROR(__xludf.DUMMYFUNCTION("""COMPUTED_VALUE"""),"Available")</f>
        <v>Available</v>
      </c>
      <c r="BA75" s="5" t="str">
        <f>IFERROR(__xludf.DUMMYFUNCTION("""COMPUTED_VALUE"""),"Available")</f>
        <v>Available</v>
      </c>
      <c r="BB75" s="5" t="str">
        <f>IFERROR(__xludf.DUMMYFUNCTION("""COMPUTED_VALUE"""),"Available")</f>
        <v>Available</v>
      </c>
      <c r="BC75" s="5" t="str">
        <f>IFERROR(__xludf.DUMMYFUNCTION("""COMPUTED_VALUE"""),"Available")</f>
        <v>Available</v>
      </c>
      <c r="BD75" s="5" t="str">
        <f>IFERROR(__xludf.DUMMYFUNCTION("""COMPUTED_VALUE"""),"")</f>
        <v/>
      </c>
      <c r="BE75" s="5" t="str">
        <f>IFERROR(__xludf.DUMMYFUNCTION("""COMPUTED_VALUE"""),"")</f>
        <v/>
      </c>
      <c r="BF75" s="5" t="str">
        <f>IFERROR(__xludf.DUMMYFUNCTION("""COMPUTED_VALUE"""),"")</f>
        <v/>
      </c>
      <c r="BG75" s="5" t="str">
        <f>IFERROR(__xludf.DUMMYFUNCTION("""COMPUTED_VALUE"""),"Available")</f>
        <v>Available</v>
      </c>
      <c r="BH75" s="5" t="str">
        <f>IFERROR(__xludf.DUMMYFUNCTION("""COMPUTED_VALUE"""),"")</f>
        <v/>
      </c>
      <c r="BI75" s="5" t="str">
        <f>IFERROR(__xludf.DUMMYFUNCTION("""COMPUTED_VALUE"""),"")</f>
        <v/>
      </c>
      <c r="BJ75" s="5" t="str">
        <f>IFERROR(__xludf.DUMMYFUNCTION("""COMPUTED_VALUE"""),"")</f>
        <v/>
      </c>
      <c r="BK75" s="5" t="str">
        <f>IFERROR(__xludf.DUMMYFUNCTION("""COMPUTED_VALUE"""),"Available")</f>
        <v>Available</v>
      </c>
      <c r="BL75" s="5" t="str">
        <f>IFERROR(__xludf.DUMMYFUNCTION("""COMPUTED_VALUE"""),"")</f>
        <v/>
      </c>
      <c r="BM75" s="5" t="str">
        <f>IFERROR(__xludf.DUMMYFUNCTION("""COMPUTED_VALUE"""),"")</f>
        <v/>
      </c>
    </row>
    <row r="76">
      <c r="A76" s="5" t="str">
        <f>IFERROR(__xludf.DUMMYFUNCTION("""COMPUTED_VALUE"""),"Fazi")</f>
        <v>Fazi</v>
      </c>
      <c r="B76" s="5" t="str">
        <f>IFERROR(__xludf.DUMMYFUNCTION("""COMPUTED_VALUE"""),"King Of Thunder")</f>
        <v>King Of Thunder</v>
      </c>
      <c r="C76" s="5" t="str">
        <f>IFERROR(__xludf.DUMMYFUNCTION("""COMPUTED_VALUE"""),"KingOfThunder")</f>
        <v>KingOfThunder</v>
      </c>
      <c r="D76" s="6">
        <f>IFERROR(__xludf.DUMMYFUNCTION("""COMPUTED_VALUE"""),44911.0)</f>
        <v>44911</v>
      </c>
      <c r="E76" s="5" t="str">
        <f>IFERROR(__xludf.DUMMYFUNCTION("""COMPUTED_VALUE"""),"Slot")</f>
        <v>Slot</v>
      </c>
      <c r="F76" s="5">
        <f>IFERROR(__xludf.DUMMYFUNCTION("""COMPUTED_VALUE"""),77.3)</f>
        <v>77.3</v>
      </c>
      <c r="G76" s="5" t="str">
        <f>IFERROR(__xludf.DUMMYFUNCTION("""COMPUTED_VALUE"""),"5x3")</f>
        <v>5x3</v>
      </c>
      <c r="H76" s="5" t="str">
        <f>IFERROR(__xludf.DUMMYFUNCTION("""COMPUTED_VALUE"""),"10")</f>
        <v>10</v>
      </c>
      <c r="I76" s="5" t="str">
        <f>IFERROR(__xludf.DUMMYFUNCTION("""COMPUTED_VALUE"""),"10")</f>
        <v>10</v>
      </c>
      <c r="J76" s="5" t="str">
        <f>IFERROR(__xludf.DUMMYFUNCTION("""COMPUTED_VALUE"""),"96.214%")</f>
        <v>96.214%</v>
      </c>
      <c r="K76" s="5" t="str">
        <f>IFERROR(__xludf.DUMMYFUNCTION("""COMPUTED_VALUE"""),"Medium")</f>
        <v>Medium</v>
      </c>
      <c r="L76" s="5" t="str">
        <f>IFERROR(__xludf.DUMMYFUNCTION("""COMPUTED_VALUE"""),"15.02%")</f>
        <v>15.02%</v>
      </c>
      <c r="M76" s="5" t="str">
        <f>IFERROR(__xludf.DUMMYFUNCTION("""COMPUTED_VALUE"""),"x1656")</f>
        <v>x1656</v>
      </c>
      <c r="N76" s="5" t="str">
        <f>IFERROR(__xludf.DUMMYFUNCTION("""COMPUTED_VALUE"""),"0.1/40")</f>
        <v>0.1/40</v>
      </c>
      <c r="O76" s="5" t="str">
        <f>IFERROR(__xludf.DUMMYFUNCTION("""COMPUTED_VALUE"""),"Yes")</f>
        <v>Yes</v>
      </c>
      <c r="P76" s="5" t="str">
        <f>IFERROR(__xludf.DUMMYFUNCTION("""COMPUTED_VALUE"""),"Buy Bonus, Shifting Wild, Bonus Game with Free Spins")</f>
        <v>Buy Bonus, Shifting Wild, Bonus Game with Free Spins</v>
      </c>
      <c r="Q76" s="7" t="str">
        <f>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R76" s="5" t="str">
        <f>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S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IFERROR(__xludf.DUMMYFUNCTION("""COMPUTED_VALUE"""),"Yes")</f>
        <v>Yes</v>
      </c>
      <c r="AA76" s="5" t="str">
        <f>IFERROR(__xludf.DUMMYFUNCTION("""COMPUTED_VALUE"""),"Yes")</f>
        <v>Yes</v>
      </c>
      <c r="AB76" s="5" t="str">
        <f>IFERROR(__xludf.DUMMYFUNCTION("""COMPUTED_VALUE"""),"Yes")</f>
        <v>Yes</v>
      </c>
      <c r="AC76" s="5" t="str">
        <f>IFERROR(__xludf.DUMMYFUNCTION("""COMPUTED_VALUE"""),"Yes")</f>
        <v>Yes</v>
      </c>
      <c r="AD76" s="5" t="str">
        <f>IFERROR(__xludf.DUMMYFUNCTION("""COMPUTED_VALUE"""),"Yes")</f>
        <v>Yes</v>
      </c>
      <c r="AE76" s="5" t="str">
        <f>IFERROR(__xludf.DUMMYFUNCTION("""COMPUTED_VALUE"""),"Yes")</f>
        <v>Yes</v>
      </c>
      <c r="AF76" s="5" t="str">
        <f>IFERROR(__xludf.DUMMYFUNCTION("""COMPUTED_VALUE"""),"Yes")</f>
        <v>Yes</v>
      </c>
      <c r="AG76" s="5" t="str">
        <f>IFERROR(__xludf.DUMMYFUNCTION("""COMPUTED_VALUE"""),"Yes")</f>
        <v>Yes</v>
      </c>
      <c r="AH76" s="5" t="str">
        <f>IFERROR(__xludf.DUMMYFUNCTION("""COMPUTED_VALUE"""),"Yes")</f>
        <v>Yes</v>
      </c>
      <c r="AI76" s="5" t="str">
        <f>IFERROR(__xludf.DUMMYFUNCTION("""COMPUTED_VALUE"""),"Yes")</f>
        <v>Yes</v>
      </c>
      <c r="AJ76" s="5" t="str">
        <f>IFERROR(__xludf.DUMMYFUNCTION("""COMPUTED_VALUE"""),"Yes")</f>
        <v>Yes</v>
      </c>
      <c r="AK76" s="5" t="str">
        <f>IFERROR(__xludf.DUMMYFUNCTION("""COMPUTED_VALUE"""),"Yes")</f>
        <v>Yes</v>
      </c>
      <c r="AL76" s="5" t="str">
        <f>IFERROR(__xludf.DUMMYFUNCTION("""COMPUTED_VALUE"""),"Yes")</f>
        <v>Yes</v>
      </c>
      <c r="AM76" s="5" t="str">
        <f>IFERROR(__xludf.DUMMYFUNCTION("""COMPUTED_VALUE"""),"Yes")</f>
        <v>Yes</v>
      </c>
      <c r="AN76" s="5" t="str">
        <f>IFERROR(__xludf.DUMMYFUNCTION("""COMPUTED_VALUE"""),"Yes")</f>
        <v>Yes</v>
      </c>
      <c r="AO76" s="5" t="str">
        <f>IFERROR(__xludf.DUMMYFUNCTION("""COMPUTED_VALUE"""),"Yes")</f>
        <v>Yes</v>
      </c>
      <c r="AP76" s="5" t="str">
        <f>IFERROR(__xludf.DUMMYFUNCTION("""COMPUTED_VALUE"""),"Yes")</f>
        <v>Yes</v>
      </c>
      <c r="AQ76" s="5" t="str">
        <f>IFERROR(__xludf.DUMMYFUNCTION("""COMPUTED_VALUE"""),"Yes")</f>
        <v>Yes</v>
      </c>
      <c r="AR76" s="5" t="str">
        <f>IFERROR(__xludf.DUMMYFUNCTION("""COMPUTED_VALUE"""),"Yes")</f>
        <v>Yes</v>
      </c>
      <c r="AS76" s="5" t="str">
        <f>IFERROR(__xludf.DUMMYFUNCTION("""COMPUTED_VALUE"""),"Yes")</f>
        <v>Yes</v>
      </c>
      <c r="AT76" s="5" t="str">
        <f>IFERROR(__xludf.DUMMYFUNCTION("""COMPUTED_VALUE"""),"No")</f>
        <v>No</v>
      </c>
      <c r="AU76" s="5"/>
      <c r="AV76" s="5" t="str">
        <f>IFERROR(__xludf.DUMMYFUNCTION("""COMPUTED_VALUE"""),"")</f>
        <v/>
      </c>
      <c r="AW76" s="5" t="str">
        <f>IFERROR(__xludf.DUMMYFUNCTION("""COMPUTED_VALUE"""),"")</f>
        <v/>
      </c>
      <c r="AX76" s="5" t="str">
        <f>IFERROR(__xludf.DUMMYFUNCTION("""COMPUTED_VALUE"""),"")</f>
        <v/>
      </c>
      <c r="AY76" s="5" t="str">
        <f>IFERROR(__xludf.DUMMYFUNCTION("""COMPUTED_VALUE"""),"")</f>
        <v/>
      </c>
      <c r="AZ76" s="5" t="str">
        <f>IFERROR(__xludf.DUMMYFUNCTION("""COMPUTED_VALUE"""),"Available")</f>
        <v>Available</v>
      </c>
      <c r="BA76" s="5" t="str">
        <f>IFERROR(__xludf.DUMMYFUNCTION("""COMPUTED_VALUE"""),"Available")</f>
        <v>Available</v>
      </c>
      <c r="BB76" s="5" t="str">
        <f>IFERROR(__xludf.DUMMYFUNCTION("""COMPUTED_VALUE"""),"")</f>
        <v/>
      </c>
      <c r="BC76" s="5" t="str">
        <f>IFERROR(__xludf.DUMMYFUNCTION("""COMPUTED_VALUE"""),"")</f>
        <v/>
      </c>
      <c r="BD76" s="5" t="str">
        <f>IFERROR(__xludf.DUMMYFUNCTION("""COMPUTED_VALUE"""),"")</f>
        <v/>
      </c>
      <c r="BE76" s="5" t="str">
        <f>IFERROR(__xludf.DUMMYFUNCTION("""COMPUTED_VALUE"""),"")</f>
        <v/>
      </c>
      <c r="BF76" s="5" t="str">
        <f>IFERROR(__xludf.DUMMYFUNCTION("""COMPUTED_VALUE"""),"")</f>
        <v/>
      </c>
      <c r="BG76" s="5" t="str">
        <f>IFERROR(__xludf.DUMMYFUNCTION("""COMPUTED_VALUE"""),"")</f>
        <v/>
      </c>
      <c r="BH76" s="5" t="str">
        <f>IFERROR(__xludf.DUMMYFUNCTION("""COMPUTED_VALUE"""),"")</f>
        <v/>
      </c>
      <c r="BI76" s="5" t="str">
        <f>IFERROR(__xludf.DUMMYFUNCTION("""COMPUTED_VALUE"""),"")</f>
        <v/>
      </c>
      <c r="BJ76" s="5" t="str">
        <f>IFERROR(__xludf.DUMMYFUNCTION("""COMPUTED_VALUE"""),"")</f>
        <v/>
      </c>
      <c r="BK76" s="5" t="str">
        <f>IFERROR(__xludf.DUMMYFUNCTION("""COMPUTED_VALUE"""),"")</f>
        <v/>
      </c>
      <c r="BL76" s="5" t="str">
        <f>IFERROR(__xludf.DUMMYFUNCTION("""COMPUTED_VALUE"""),"")</f>
        <v/>
      </c>
      <c r="BM76" s="5" t="str">
        <f>IFERROR(__xludf.DUMMYFUNCTION("""COMPUTED_VALUE"""),"")</f>
        <v/>
      </c>
    </row>
    <row r="77">
      <c r="A77" s="5" t="str">
        <f>IFERROR(__xludf.DUMMYFUNCTION("""COMPUTED_VALUE"""),"Fazi")</f>
        <v>Fazi</v>
      </c>
      <c r="B77" s="5" t="str">
        <f>IFERROR(__xludf.DUMMYFUNCTION("""COMPUTED_VALUE"""),"Book Of Spells 2")</f>
        <v>Book Of Spells 2</v>
      </c>
      <c r="C77" s="5" t="str">
        <f>IFERROR(__xludf.DUMMYFUNCTION("""COMPUTED_VALUE"""),"BookOfSpells2")</f>
        <v>BookOfSpells2</v>
      </c>
      <c r="D77" s="6">
        <f>IFERROR(__xludf.DUMMYFUNCTION("""COMPUTED_VALUE"""),44759.0)</f>
        <v>44759</v>
      </c>
      <c r="E77" s="5" t="str">
        <f>IFERROR(__xludf.DUMMYFUNCTION("""COMPUTED_VALUE"""),"Slot")</f>
        <v>Slot</v>
      </c>
      <c r="F77" s="5">
        <f>IFERROR(__xludf.DUMMYFUNCTION("""COMPUTED_VALUE"""),31.1)</f>
        <v>31.1</v>
      </c>
      <c r="G77" s="5" t="str">
        <f>IFERROR(__xludf.DUMMYFUNCTION("""COMPUTED_VALUE"""),"5x3")</f>
        <v>5x3</v>
      </c>
      <c r="H77" s="5" t="str">
        <f>IFERROR(__xludf.DUMMYFUNCTION("""COMPUTED_VALUE"""),"10")</f>
        <v>10</v>
      </c>
      <c r="I77" s="5" t="str">
        <f>IFERROR(__xludf.DUMMYFUNCTION("""COMPUTED_VALUE"""),"1,3,5,7,10")</f>
        <v>1,3,5,7,10</v>
      </c>
      <c r="J77" s="5" t="str">
        <f>IFERROR(__xludf.DUMMYFUNCTION("""COMPUTED_VALUE"""),"96.064%")</f>
        <v>96.064%</v>
      </c>
      <c r="K77" s="5" t="str">
        <f>IFERROR(__xludf.DUMMYFUNCTION("""COMPUTED_VALUE"""),"High")</f>
        <v>High</v>
      </c>
      <c r="L77" s="5" t="str">
        <f>IFERROR(__xludf.DUMMYFUNCTION("""COMPUTED_VALUE"""),"31.47%")</f>
        <v>31.47%</v>
      </c>
      <c r="M77" s="5" t="str">
        <f>IFERROR(__xludf.DUMMYFUNCTION("""COMPUTED_VALUE"""),"x5512")</f>
        <v>x5512</v>
      </c>
      <c r="N77" s="5" t="str">
        <f>IFERROR(__xludf.DUMMYFUNCTION("""COMPUTED_VALUE"""),"0.01/40")</f>
        <v>0.01/40</v>
      </c>
      <c r="O77" s="5" t="str">
        <f>IFERROR(__xludf.DUMMYFUNCTION("""COMPUTED_VALUE"""),"Yes")</f>
        <v>Yes</v>
      </c>
      <c r="P77" s="5" t="str">
        <f>IFERROR(__xludf.DUMMYFUNCTION("""COMPUTED_VALUE"""),"Buy Bonus, Book Of Game, Expanding Wild, Bonus Game with Free Spins")</f>
        <v>Buy Bonus, Book Of Game, Expanding Wild, Bonus Game with Free Spins</v>
      </c>
      <c r="Q77" s="7" t="str">
        <f>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R77" s="5" t="str">
        <f>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S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IFERROR(__xludf.DUMMYFUNCTION("""COMPUTED_VALUE"""),"Yes")</f>
        <v>Yes</v>
      </c>
      <c r="AA77" s="5" t="str">
        <f>IFERROR(__xludf.DUMMYFUNCTION("""COMPUTED_VALUE"""),"Yes")</f>
        <v>Yes</v>
      </c>
      <c r="AB77" s="5" t="str">
        <f>IFERROR(__xludf.DUMMYFUNCTION("""COMPUTED_VALUE"""),"Yes")</f>
        <v>Yes</v>
      </c>
      <c r="AC77" s="5" t="str">
        <f>IFERROR(__xludf.DUMMYFUNCTION("""COMPUTED_VALUE"""),"Yes")</f>
        <v>Yes</v>
      </c>
      <c r="AD77" s="5" t="str">
        <f>IFERROR(__xludf.DUMMYFUNCTION("""COMPUTED_VALUE"""),"Yes")</f>
        <v>Yes</v>
      </c>
      <c r="AE77" s="5" t="str">
        <f>IFERROR(__xludf.DUMMYFUNCTION("""COMPUTED_VALUE"""),"Yes")</f>
        <v>Yes</v>
      </c>
      <c r="AF77" s="5" t="str">
        <f>IFERROR(__xludf.DUMMYFUNCTION("""COMPUTED_VALUE"""),"Yes")</f>
        <v>Yes</v>
      </c>
      <c r="AG77" s="5" t="str">
        <f>IFERROR(__xludf.DUMMYFUNCTION("""COMPUTED_VALUE"""),"Yes")</f>
        <v>Yes</v>
      </c>
      <c r="AH77" s="5" t="str">
        <f>IFERROR(__xludf.DUMMYFUNCTION("""COMPUTED_VALUE"""),"Yes")</f>
        <v>Yes</v>
      </c>
      <c r="AI77" s="5" t="str">
        <f>IFERROR(__xludf.DUMMYFUNCTION("""COMPUTED_VALUE"""),"Yes")</f>
        <v>Yes</v>
      </c>
      <c r="AJ77" s="5" t="str">
        <f>IFERROR(__xludf.DUMMYFUNCTION("""COMPUTED_VALUE"""),"Yes")</f>
        <v>Yes</v>
      </c>
      <c r="AK77" s="5" t="str">
        <f>IFERROR(__xludf.DUMMYFUNCTION("""COMPUTED_VALUE"""),"Yes")</f>
        <v>Yes</v>
      </c>
      <c r="AL77" s="5" t="str">
        <f>IFERROR(__xludf.DUMMYFUNCTION("""COMPUTED_VALUE"""),"Yes")</f>
        <v>Yes</v>
      </c>
      <c r="AM77" s="5" t="str">
        <f>IFERROR(__xludf.DUMMYFUNCTION("""COMPUTED_VALUE"""),"Yes")</f>
        <v>Yes</v>
      </c>
      <c r="AN77" s="5" t="str">
        <f>IFERROR(__xludf.DUMMYFUNCTION("""COMPUTED_VALUE"""),"Yes")</f>
        <v>Yes</v>
      </c>
      <c r="AO77" s="5" t="str">
        <f>IFERROR(__xludf.DUMMYFUNCTION("""COMPUTED_VALUE"""),"Yes")</f>
        <v>Yes</v>
      </c>
      <c r="AP77" s="5" t="str">
        <f>IFERROR(__xludf.DUMMYFUNCTION("""COMPUTED_VALUE"""),"Yes")</f>
        <v>Yes</v>
      </c>
      <c r="AQ77" s="5" t="str">
        <f>IFERROR(__xludf.DUMMYFUNCTION("""COMPUTED_VALUE"""),"Yes")</f>
        <v>Yes</v>
      </c>
      <c r="AR77" s="5" t="str">
        <f>IFERROR(__xludf.DUMMYFUNCTION("""COMPUTED_VALUE"""),"Yes")</f>
        <v>Yes</v>
      </c>
      <c r="AS77" s="5" t="str">
        <f>IFERROR(__xludf.DUMMYFUNCTION("""COMPUTED_VALUE"""),"Yes")</f>
        <v>Yes</v>
      </c>
      <c r="AT77" s="5" t="str">
        <f>IFERROR(__xludf.DUMMYFUNCTION("""COMPUTED_VALUE"""),"No")</f>
        <v>No</v>
      </c>
      <c r="AU77" s="5"/>
      <c r="AV77" s="5" t="str">
        <f>IFERROR(__xludf.DUMMYFUNCTION("""COMPUTED_VALUE"""),"Available")</f>
        <v>Available</v>
      </c>
      <c r="AW77" s="5" t="str">
        <f>IFERROR(__xludf.DUMMYFUNCTION("""COMPUTED_VALUE"""),"")</f>
        <v/>
      </c>
      <c r="AX77" s="5" t="str">
        <f>IFERROR(__xludf.DUMMYFUNCTION("""COMPUTED_VALUE"""),"")</f>
        <v/>
      </c>
      <c r="AY77" s="5" t="str">
        <f>IFERROR(__xludf.DUMMYFUNCTION("""COMPUTED_VALUE"""),"Available")</f>
        <v>Available</v>
      </c>
      <c r="AZ77" s="5" t="str">
        <f>IFERROR(__xludf.DUMMYFUNCTION("""COMPUTED_VALUE"""),"")</f>
        <v/>
      </c>
      <c r="BA77" s="5" t="str">
        <f>IFERROR(__xludf.DUMMYFUNCTION("""COMPUTED_VALUE"""),"")</f>
        <v/>
      </c>
      <c r="BB77" s="5" t="str">
        <f>IFERROR(__xludf.DUMMYFUNCTION("""COMPUTED_VALUE"""),"Available")</f>
        <v>Available</v>
      </c>
      <c r="BC77" s="5" t="str">
        <f>IFERROR(__xludf.DUMMYFUNCTION("""COMPUTED_VALUE"""),"")</f>
        <v/>
      </c>
      <c r="BD77" s="5" t="str">
        <f>IFERROR(__xludf.DUMMYFUNCTION("""COMPUTED_VALUE"""),"")</f>
        <v/>
      </c>
      <c r="BE77" s="5" t="str">
        <f>IFERROR(__xludf.DUMMYFUNCTION("""COMPUTED_VALUE"""),"")</f>
        <v/>
      </c>
      <c r="BF77" s="5" t="str">
        <f>IFERROR(__xludf.DUMMYFUNCTION("""COMPUTED_VALUE"""),"")</f>
        <v/>
      </c>
      <c r="BG77" s="5" t="str">
        <f>IFERROR(__xludf.DUMMYFUNCTION("""COMPUTED_VALUE"""),"")</f>
        <v/>
      </c>
      <c r="BH77" s="5" t="str">
        <f>IFERROR(__xludf.DUMMYFUNCTION("""COMPUTED_VALUE"""),"")</f>
        <v/>
      </c>
      <c r="BI77" s="5" t="str">
        <f>IFERROR(__xludf.DUMMYFUNCTION("""COMPUTED_VALUE"""),"Available")</f>
        <v>Available</v>
      </c>
      <c r="BJ77" s="5" t="str">
        <f>IFERROR(__xludf.DUMMYFUNCTION("""COMPUTED_VALUE"""),"")</f>
        <v/>
      </c>
      <c r="BK77" s="5" t="str">
        <f>IFERROR(__xludf.DUMMYFUNCTION("""COMPUTED_VALUE"""),"")</f>
        <v/>
      </c>
      <c r="BL77" s="5" t="str">
        <f>IFERROR(__xludf.DUMMYFUNCTION("""COMPUTED_VALUE"""),"")</f>
        <v/>
      </c>
      <c r="BM77" s="5" t="str">
        <f>IFERROR(__xludf.DUMMYFUNCTION("""COMPUTED_VALUE"""),"")</f>
        <v/>
      </c>
    </row>
    <row r="78">
      <c r="A78" s="5" t="str">
        <f>IFERROR(__xludf.DUMMYFUNCTION("""COMPUTED_VALUE"""),"Fazi")</f>
        <v>Fazi</v>
      </c>
      <c r="B78" s="5" t="str">
        <f>IFERROR(__xludf.DUMMYFUNCTION("""COMPUTED_VALUE"""),"Crystal Hot 40 Max")</f>
        <v>Crystal Hot 40 Max</v>
      </c>
      <c r="C78" s="5" t="str">
        <f>IFERROR(__xludf.DUMMYFUNCTION("""COMPUTED_VALUE"""),"CrystalHot40Max")</f>
        <v>CrystalHot40Max</v>
      </c>
      <c r="D78" s="6">
        <f>IFERROR(__xludf.DUMMYFUNCTION("""COMPUTED_VALUE"""),44679.0)</f>
        <v>44679</v>
      </c>
      <c r="E78" s="5" t="str">
        <f>IFERROR(__xludf.DUMMYFUNCTION("""COMPUTED_VALUE"""),"Slot")</f>
        <v>Slot</v>
      </c>
      <c r="F78" s="5">
        <f>IFERROR(__xludf.DUMMYFUNCTION("""COMPUTED_VALUE"""),32.7)</f>
        <v>32.7</v>
      </c>
      <c r="G78" s="5" t="str">
        <f>IFERROR(__xludf.DUMMYFUNCTION("""COMPUTED_VALUE"""),"5x4")</f>
        <v>5x4</v>
      </c>
      <c r="H78" s="5" t="str">
        <f>IFERROR(__xludf.DUMMYFUNCTION("""COMPUTED_VALUE"""),"40")</f>
        <v>40</v>
      </c>
      <c r="I78" s="5" t="str">
        <f>IFERROR(__xludf.DUMMYFUNCTION("""COMPUTED_VALUE"""),"40")</f>
        <v>40</v>
      </c>
      <c r="J78" s="5" t="str">
        <f>IFERROR(__xludf.DUMMYFUNCTION("""COMPUTED_VALUE"""),"96.031%")</f>
        <v>96.031%</v>
      </c>
      <c r="K78" s="5" t="str">
        <f>IFERROR(__xludf.DUMMYFUNCTION("""COMPUTED_VALUE"""),"Low")</f>
        <v>Low</v>
      </c>
      <c r="L78" s="5" t="str">
        <f>IFERROR(__xludf.DUMMYFUNCTION("""COMPUTED_VALUE"""),"14.28%")</f>
        <v>14.28%</v>
      </c>
      <c r="M78" s="5" t="str">
        <f>IFERROR(__xludf.DUMMYFUNCTION("""COMPUTED_VALUE"""),"x1000")</f>
        <v>x1000</v>
      </c>
      <c r="N78" s="5" t="str">
        <f>IFERROR(__xludf.DUMMYFUNCTION("""COMPUTED_VALUE"""),"0.4/60")</f>
        <v>0.4/60</v>
      </c>
      <c r="O78" s="5" t="str">
        <f>IFERROR(__xludf.DUMMYFUNCTION("""COMPUTED_VALUE"""),"Yes")</f>
        <v>Yes</v>
      </c>
      <c r="P78" s="5" t="str">
        <f>IFERROR(__xludf.DUMMYFUNCTION("""COMPUTED_VALUE"""),"Wild Symbol, Scatter, Expanding Wild")</f>
        <v>Wild Symbol, Scatter, Expanding Wild</v>
      </c>
      <c r="Q78" s="7" t="str">
        <f>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R78"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8" s="5" t="str">
        <f>IFERROR(__xludf.DUMMYFUNCTION("""COMPUTED_VALUE"""),"Yes")</f>
        <v>Yes</v>
      </c>
      <c r="U78" s="5" t="str">
        <f>IFERROR(__xludf.DUMMYFUNCTION("""COMPUTED_VALUE"""),"Yes")</f>
        <v>Yes</v>
      </c>
      <c r="V78" s="5" t="str">
        <f>IFERROR(__xludf.DUMMYFUNCTION("""COMPUTED_VALUE"""),"Yes")</f>
        <v>Yes</v>
      </c>
      <c r="W78" s="5" t="str">
        <f>IFERROR(__xludf.DUMMYFUNCTION("""COMPUTED_VALUE"""),"Yes")</f>
        <v>Yes</v>
      </c>
      <c r="X78" s="5" t="str">
        <f>IFERROR(__xludf.DUMMYFUNCTION("""COMPUTED_VALUE"""),"Yes")</f>
        <v>Yes</v>
      </c>
      <c r="Y78" s="5" t="str">
        <f>IFERROR(__xludf.DUMMYFUNCTION("""COMPUTED_VALUE"""),"Yes")</f>
        <v>Yes</v>
      </c>
      <c r="Z78" s="5" t="str">
        <f>IFERROR(__xludf.DUMMYFUNCTION("""COMPUTED_VALUE"""),"Yes")</f>
        <v>Yes</v>
      </c>
      <c r="AA78" s="5" t="str">
        <f>IFERROR(__xludf.DUMMYFUNCTION("""COMPUTED_VALUE"""),"Yes")</f>
        <v>Yes</v>
      </c>
      <c r="AB78" s="5" t="str">
        <f>IFERROR(__xludf.DUMMYFUNCTION("""COMPUTED_VALUE"""),"Yes")</f>
        <v>Yes</v>
      </c>
      <c r="AC78" s="5" t="str">
        <f>IFERROR(__xludf.DUMMYFUNCTION("""COMPUTED_VALUE"""),"Yes")</f>
        <v>Yes</v>
      </c>
      <c r="AD78" s="5" t="str">
        <f>IFERROR(__xludf.DUMMYFUNCTION("""COMPUTED_VALUE"""),"Yes")</f>
        <v>Yes</v>
      </c>
      <c r="AE78" s="5" t="str">
        <f>IFERROR(__xludf.DUMMYFUNCTION("""COMPUTED_VALUE"""),"Yes")</f>
        <v>Yes</v>
      </c>
      <c r="AF78" s="5" t="str">
        <f>IFERROR(__xludf.DUMMYFUNCTION("""COMPUTED_VALUE"""),"Yes")</f>
        <v>Yes</v>
      </c>
      <c r="AG78" s="5" t="str">
        <f>IFERROR(__xludf.DUMMYFUNCTION("""COMPUTED_VALUE"""),"Yes")</f>
        <v>Yes</v>
      </c>
      <c r="AH78" s="5" t="str">
        <f>IFERROR(__xludf.DUMMYFUNCTION("""COMPUTED_VALUE"""),"Yes")</f>
        <v>Yes</v>
      </c>
      <c r="AI78" s="5" t="str">
        <f>IFERROR(__xludf.DUMMYFUNCTION("""COMPUTED_VALUE"""),"Yes")</f>
        <v>Yes</v>
      </c>
      <c r="AJ78" s="5" t="str">
        <f>IFERROR(__xludf.DUMMYFUNCTION("""COMPUTED_VALUE"""),"Yes")</f>
        <v>Yes</v>
      </c>
      <c r="AK78" s="5" t="str">
        <f>IFERROR(__xludf.DUMMYFUNCTION("""COMPUTED_VALUE"""),"Yes")</f>
        <v>Yes</v>
      </c>
      <c r="AL78" s="5" t="str">
        <f>IFERROR(__xludf.DUMMYFUNCTION("""COMPUTED_VALUE"""),"Yes")</f>
        <v>Yes</v>
      </c>
      <c r="AM78" s="5" t="str">
        <f>IFERROR(__xludf.DUMMYFUNCTION("""COMPUTED_VALUE"""),"Yes")</f>
        <v>Yes</v>
      </c>
      <c r="AN78" s="5" t="str">
        <f>IFERROR(__xludf.DUMMYFUNCTION("""COMPUTED_VALUE"""),"Yes")</f>
        <v>Yes</v>
      </c>
      <c r="AO78" s="5" t="str">
        <f>IFERROR(__xludf.DUMMYFUNCTION("""COMPUTED_VALUE"""),"Yes")</f>
        <v>Yes</v>
      </c>
      <c r="AP78" s="5" t="str">
        <f>IFERROR(__xludf.DUMMYFUNCTION("""COMPUTED_VALUE"""),"Yes")</f>
        <v>Yes</v>
      </c>
      <c r="AQ78" s="5" t="str">
        <f>IFERROR(__xludf.DUMMYFUNCTION("""COMPUTED_VALUE"""),"Yes")</f>
        <v>Yes</v>
      </c>
      <c r="AR78" s="5" t="str">
        <f>IFERROR(__xludf.DUMMYFUNCTION("""COMPUTED_VALUE"""),"Yes")</f>
        <v>Yes</v>
      </c>
      <c r="AS78" s="5" t="str">
        <f>IFERROR(__xludf.DUMMYFUNCTION("""COMPUTED_VALUE"""),"Yes")</f>
        <v>Yes</v>
      </c>
      <c r="AT78" s="5" t="str">
        <f>IFERROR(__xludf.DUMMYFUNCTION("""COMPUTED_VALUE"""),"No")</f>
        <v>No</v>
      </c>
      <c r="AU78" s="5"/>
      <c r="AV78" s="5" t="str">
        <f>IFERROR(__xludf.DUMMYFUNCTION("""COMPUTED_VALUE"""),"Available")</f>
        <v>Available</v>
      </c>
      <c r="AW78" s="5" t="str">
        <f>IFERROR(__xludf.DUMMYFUNCTION("""COMPUTED_VALUE"""),"")</f>
        <v/>
      </c>
      <c r="AX78" s="5" t="str">
        <f>IFERROR(__xludf.DUMMYFUNCTION("""COMPUTED_VALUE"""),"Available")</f>
        <v>Available</v>
      </c>
      <c r="AY78" s="5" t="str">
        <f>IFERROR(__xludf.DUMMYFUNCTION("""COMPUTED_VALUE"""),"Available")</f>
        <v>Available</v>
      </c>
      <c r="AZ78" s="5" t="str">
        <f>IFERROR(__xludf.DUMMYFUNCTION("""COMPUTED_VALUE"""),"Available")</f>
        <v>Available</v>
      </c>
      <c r="BA78" s="5" t="str">
        <f>IFERROR(__xludf.DUMMYFUNCTION("""COMPUTED_VALUE"""),"Available")</f>
        <v>Available</v>
      </c>
      <c r="BB78" s="5" t="str">
        <f>IFERROR(__xludf.DUMMYFUNCTION("""COMPUTED_VALUE"""),"Available")</f>
        <v>Available</v>
      </c>
      <c r="BC78" s="5" t="str">
        <f>IFERROR(__xludf.DUMMYFUNCTION("""COMPUTED_VALUE"""),"Available")</f>
        <v>Available</v>
      </c>
      <c r="BD78" s="5" t="str">
        <f>IFERROR(__xludf.DUMMYFUNCTION("""COMPUTED_VALUE"""),"")</f>
        <v/>
      </c>
      <c r="BE78" s="5" t="str">
        <f>IFERROR(__xludf.DUMMYFUNCTION("""COMPUTED_VALUE"""),"")</f>
        <v/>
      </c>
      <c r="BF78" s="5" t="str">
        <f>IFERROR(__xludf.DUMMYFUNCTION("""COMPUTED_VALUE"""),"")</f>
        <v/>
      </c>
      <c r="BG78" s="5" t="str">
        <f>IFERROR(__xludf.DUMMYFUNCTION("""COMPUTED_VALUE"""),"Available")</f>
        <v>Available</v>
      </c>
      <c r="BH78" s="5" t="str">
        <f>IFERROR(__xludf.DUMMYFUNCTION("""COMPUTED_VALUE"""),"")</f>
        <v/>
      </c>
      <c r="BI78" s="5" t="str">
        <f>IFERROR(__xludf.DUMMYFUNCTION("""COMPUTED_VALUE"""),"Available")</f>
        <v>Available</v>
      </c>
      <c r="BJ78" s="5" t="str">
        <f>IFERROR(__xludf.DUMMYFUNCTION("""COMPUTED_VALUE"""),"")</f>
        <v/>
      </c>
      <c r="BK78" s="5" t="str">
        <f>IFERROR(__xludf.DUMMYFUNCTION("""COMPUTED_VALUE"""),"")</f>
        <v/>
      </c>
      <c r="BL78" s="5" t="str">
        <f>IFERROR(__xludf.DUMMYFUNCTION("""COMPUTED_VALUE"""),"")</f>
        <v/>
      </c>
      <c r="BM78" s="5" t="str">
        <f>IFERROR(__xludf.DUMMYFUNCTION("""COMPUTED_VALUE"""),"")</f>
        <v/>
      </c>
    </row>
    <row r="79">
      <c r="A79" s="5" t="str">
        <f>IFERROR(__xludf.DUMMYFUNCTION("""COMPUTED_VALUE"""),"Fazi")</f>
        <v>Fazi</v>
      </c>
      <c r="B79" s="5" t="str">
        <f>IFERROR(__xludf.DUMMYFUNCTION("""COMPUTED_VALUE"""),"Fruity Win 20")</f>
        <v>Fruity Win 20</v>
      </c>
      <c r="C79" s="5" t="str">
        <f>IFERROR(__xludf.DUMMYFUNCTION("""COMPUTED_VALUE"""),"FruityWin20")</f>
        <v>FruityWin20</v>
      </c>
      <c r="D79" s="6">
        <f>IFERROR(__xludf.DUMMYFUNCTION("""COMPUTED_VALUE"""),44693.0)</f>
        <v>44693</v>
      </c>
      <c r="E79" s="5" t="str">
        <f>IFERROR(__xludf.DUMMYFUNCTION("""COMPUTED_VALUE"""),"Slot")</f>
        <v>Slot</v>
      </c>
      <c r="F79" s="5">
        <f>IFERROR(__xludf.DUMMYFUNCTION("""COMPUTED_VALUE"""),29.2)</f>
        <v>29.2</v>
      </c>
      <c r="G79" s="5" t="str">
        <f>IFERROR(__xludf.DUMMYFUNCTION("""COMPUTED_VALUE"""),"5x4")</f>
        <v>5x4</v>
      </c>
      <c r="H79" s="5" t="str">
        <f>IFERROR(__xludf.DUMMYFUNCTION("""COMPUTED_VALUE"""),"20")</f>
        <v>20</v>
      </c>
      <c r="I79" s="5" t="str">
        <f>IFERROR(__xludf.DUMMYFUNCTION("""COMPUTED_VALUE"""),"20")</f>
        <v>20</v>
      </c>
      <c r="J79" s="5" t="str">
        <f>IFERROR(__xludf.DUMMYFUNCTION("""COMPUTED_VALUE"""),"96.584%")</f>
        <v>96.584%</v>
      </c>
      <c r="K79" s="5" t="str">
        <f>IFERROR(__xludf.DUMMYFUNCTION("""COMPUTED_VALUE"""),"Low")</f>
        <v>Low</v>
      </c>
      <c r="L79" s="5" t="str">
        <f>IFERROR(__xludf.DUMMYFUNCTION("""COMPUTED_VALUE"""),"16.73%")</f>
        <v>16.73%</v>
      </c>
      <c r="M79" s="5" t="str">
        <f>IFERROR(__xludf.DUMMYFUNCTION("""COMPUTED_VALUE"""),"x1000")</f>
        <v>x1000</v>
      </c>
      <c r="N79" s="5" t="str">
        <f>IFERROR(__xludf.DUMMYFUNCTION("""COMPUTED_VALUE"""),"0.4/60")</f>
        <v>0.4/60</v>
      </c>
      <c r="O79" s="5" t="str">
        <f>IFERROR(__xludf.DUMMYFUNCTION("""COMPUTED_VALUE"""),"Yes")</f>
        <v>Yes</v>
      </c>
      <c r="P79" s="5" t="str">
        <f>IFERROR(__xludf.DUMMYFUNCTION("""COMPUTED_VALUE"""),"Wild Symbol, Scatter")</f>
        <v>Wild Symbol, Scatter</v>
      </c>
      <c r="Q79" s="7" t="str">
        <f>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R79"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9" s="5" t="str">
        <f>IFERROR(__xludf.DUMMYFUNCTION("""COMPUTED_VALUE"""),"Yes")</f>
        <v>Yes</v>
      </c>
      <c r="U79" s="5" t="str">
        <f>IFERROR(__xludf.DUMMYFUNCTION("""COMPUTED_VALUE"""),"Yes")</f>
        <v>Yes</v>
      </c>
      <c r="V79" s="5" t="str">
        <f>IFERROR(__xludf.DUMMYFUNCTION("""COMPUTED_VALUE"""),"Yes")</f>
        <v>Yes</v>
      </c>
      <c r="W79" s="5" t="str">
        <f>IFERROR(__xludf.DUMMYFUNCTION("""COMPUTED_VALUE"""),"Yes")</f>
        <v>Yes</v>
      </c>
      <c r="X79" s="5" t="str">
        <f>IFERROR(__xludf.DUMMYFUNCTION("""COMPUTED_VALUE"""),"Yes")</f>
        <v>Yes</v>
      </c>
      <c r="Y79" s="5" t="str">
        <f>IFERROR(__xludf.DUMMYFUNCTION("""COMPUTED_VALUE"""),"Yes")</f>
        <v>Yes</v>
      </c>
      <c r="Z79" s="5" t="str">
        <f>IFERROR(__xludf.DUMMYFUNCTION("""COMPUTED_VALUE"""),"Yes")</f>
        <v>Yes</v>
      </c>
      <c r="AA79" s="5" t="str">
        <f>IFERROR(__xludf.DUMMYFUNCTION("""COMPUTED_VALUE"""),"Yes")</f>
        <v>Yes</v>
      </c>
      <c r="AB79" s="5" t="str">
        <f>IFERROR(__xludf.DUMMYFUNCTION("""COMPUTED_VALUE"""),"Yes")</f>
        <v>Yes</v>
      </c>
      <c r="AC79" s="5" t="str">
        <f>IFERROR(__xludf.DUMMYFUNCTION("""COMPUTED_VALUE"""),"Yes")</f>
        <v>Yes</v>
      </c>
      <c r="AD79" s="5" t="str">
        <f>IFERROR(__xludf.DUMMYFUNCTION("""COMPUTED_VALUE"""),"Yes")</f>
        <v>Yes</v>
      </c>
      <c r="AE79" s="5" t="str">
        <f>IFERROR(__xludf.DUMMYFUNCTION("""COMPUTED_VALUE"""),"Yes")</f>
        <v>Yes</v>
      </c>
      <c r="AF79" s="5" t="str">
        <f>IFERROR(__xludf.DUMMYFUNCTION("""COMPUTED_VALUE"""),"Yes")</f>
        <v>Yes</v>
      </c>
      <c r="AG79" s="5" t="str">
        <f>IFERROR(__xludf.DUMMYFUNCTION("""COMPUTED_VALUE"""),"Yes")</f>
        <v>Yes</v>
      </c>
      <c r="AH79" s="5" t="str">
        <f>IFERROR(__xludf.DUMMYFUNCTION("""COMPUTED_VALUE"""),"Yes")</f>
        <v>Yes</v>
      </c>
      <c r="AI79" s="5" t="str">
        <f>IFERROR(__xludf.DUMMYFUNCTION("""COMPUTED_VALUE"""),"Yes")</f>
        <v>Yes</v>
      </c>
      <c r="AJ79" s="5" t="str">
        <f>IFERROR(__xludf.DUMMYFUNCTION("""COMPUTED_VALUE"""),"Yes")</f>
        <v>Yes</v>
      </c>
      <c r="AK79" s="5" t="str">
        <f>IFERROR(__xludf.DUMMYFUNCTION("""COMPUTED_VALUE"""),"Yes")</f>
        <v>Yes</v>
      </c>
      <c r="AL79" s="5" t="str">
        <f>IFERROR(__xludf.DUMMYFUNCTION("""COMPUTED_VALUE"""),"Yes")</f>
        <v>Yes</v>
      </c>
      <c r="AM79" s="5" t="str">
        <f>IFERROR(__xludf.DUMMYFUNCTION("""COMPUTED_VALUE"""),"Yes")</f>
        <v>Yes</v>
      </c>
      <c r="AN79" s="5" t="str">
        <f>IFERROR(__xludf.DUMMYFUNCTION("""COMPUTED_VALUE"""),"Yes")</f>
        <v>Yes</v>
      </c>
      <c r="AO79" s="5" t="str">
        <f>IFERROR(__xludf.DUMMYFUNCTION("""COMPUTED_VALUE"""),"Yes")</f>
        <v>Yes</v>
      </c>
      <c r="AP79" s="5" t="str">
        <f>IFERROR(__xludf.DUMMYFUNCTION("""COMPUTED_VALUE"""),"Yes")</f>
        <v>Yes</v>
      </c>
      <c r="AQ79" s="5" t="str">
        <f>IFERROR(__xludf.DUMMYFUNCTION("""COMPUTED_VALUE"""),"Yes")</f>
        <v>Yes</v>
      </c>
      <c r="AR79" s="5" t="str">
        <f>IFERROR(__xludf.DUMMYFUNCTION("""COMPUTED_VALUE"""),"Yes")</f>
        <v>Yes</v>
      </c>
      <c r="AS79" s="5" t="str">
        <f>IFERROR(__xludf.DUMMYFUNCTION("""COMPUTED_VALUE"""),"Yes")</f>
        <v>Yes</v>
      </c>
      <c r="AT79" s="5" t="str">
        <f>IFERROR(__xludf.DUMMYFUNCTION("""COMPUTED_VALUE"""),"No")</f>
        <v>No</v>
      </c>
      <c r="AU79" s="5"/>
      <c r="AV79" s="5" t="str">
        <f>IFERROR(__xludf.DUMMYFUNCTION("""COMPUTED_VALUE"""),"Available")</f>
        <v>Available</v>
      </c>
      <c r="AW79" s="5" t="str">
        <f>IFERROR(__xludf.DUMMYFUNCTION("""COMPUTED_VALUE"""),"Available")</f>
        <v>Available</v>
      </c>
      <c r="AX79" s="5" t="str">
        <f>IFERROR(__xludf.DUMMYFUNCTION("""COMPUTED_VALUE"""),"")</f>
        <v/>
      </c>
      <c r="AY79" s="5" t="str">
        <f>IFERROR(__xludf.DUMMYFUNCTION("""COMPUTED_VALUE"""),"")</f>
        <v/>
      </c>
      <c r="AZ79" s="5" t="str">
        <f>IFERROR(__xludf.DUMMYFUNCTION("""COMPUTED_VALUE"""),"Available")</f>
        <v>Available</v>
      </c>
      <c r="BA79" s="5" t="str">
        <f>IFERROR(__xludf.DUMMYFUNCTION("""COMPUTED_VALUE"""),"Available")</f>
        <v>Available</v>
      </c>
      <c r="BB79" s="5" t="str">
        <f>IFERROR(__xludf.DUMMYFUNCTION("""COMPUTED_VALUE"""),"Available")</f>
        <v>Available</v>
      </c>
      <c r="BC79" s="5" t="str">
        <f>IFERROR(__xludf.DUMMYFUNCTION("""COMPUTED_VALUE"""),"Available")</f>
        <v>Available</v>
      </c>
      <c r="BD79" s="5" t="str">
        <f>IFERROR(__xludf.DUMMYFUNCTION("""COMPUTED_VALUE"""),"Available")</f>
        <v>Available</v>
      </c>
      <c r="BE79" s="5" t="str">
        <f>IFERROR(__xludf.DUMMYFUNCTION("""COMPUTED_VALUE"""),"")</f>
        <v/>
      </c>
      <c r="BF79" s="5" t="str">
        <f>IFERROR(__xludf.DUMMYFUNCTION("""COMPUTED_VALUE"""),"Available")</f>
        <v>Available</v>
      </c>
      <c r="BG79" s="5" t="str">
        <f>IFERROR(__xludf.DUMMYFUNCTION("""COMPUTED_VALUE"""),"")</f>
        <v/>
      </c>
      <c r="BH79" s="5" t="str">
        <f>IFERROR(__xludf.DUMMYFUNCTION("""COMPUTED_VALUE"""),"")</f>
        <v/>
      </c>
      <c r="BI79" s="5" t="str">
        <f>IFERROR(__xludf.DUMMYFUNCTION("""COMPUTED_VALUE"""),"")</f>
        <v/>
      </c>
      <c r="BJ79" s="5" t="str">
        <f>IFERROR(__xludf.DUMMYFUNCTION("""COMPUTED_VALUE"""),"")</f>
        <v/>
      </c>
      <c r="BK79" s="5" t="str">
        <f>IFERROR(__xludf.DUMMYFUNCTION("""COMPUTED_VALUE"""),"")</f>
        <v/>
      </c>
      <c r="BL79" s="5" t="str">
        <f>IFERROR(__xludf.DUMMYFUNCTION("""COMPUTED_VALUE"""),"")</f>
        <v/>
      </c>
      <c r="BM79" s="5" t="str">
        <f>IFERROR(__xludf.DUMMYFUNCTION("""COMPUTED_VALUE"""),"Available")</f>
        <v>Available</v>
      </c>
    </row>
    <row r="80">
      <c r="A80" s="5" t="str">
        <f>IFERROR(__xludf.DUMMYFUNCTION("""COMPUTED_VALUE"""),"Fazi")</f>
        <v>Fazi</v>
      </c>
      <c r="B80" s="5" t="str">
        <f>IFERROR(__xludf.DUMMYFUNCTION("""COMPUTED_VALUE"""),"Fruity Hot 5")</f>
        <v>Fruity Hot 5</v>
      </c>
      <c r="C80" s="5" t="str">
        <f>IFERROR(__xludf.DUMMYFUNCTION("""COMPUTED_VALUE"""),"FruityHot5")</f>
        <v>FruityHot5</v>
      </c>
      <c r="D80" s="6">
        <f>IFERROR(__xludf.DUMMYFUNCTION("""COMPUTED_VALUE"""),44623.0)</f>
        <v>44623</v>
      </c>
      <c r="E80" s="5" t="str">
        <f>IFERROR(__xludf.DUMMYFUNCTION("""COMPUTED_VALUE"""),"Slot")</f>
        <v>Slot</v>
      </c>
      <c r="F80" s="5">
        <f>IFERROR(__xludf.DUMMYFUNCTION("""COMPUTED_VALUE"""),14.4)</f>
        <v>14.4</v>
      </c>
      <c r="G80" s="5" t="str">
        <f>IFERROR(__xludf.DUMMYFUNCTION("""COMPUTED_VALUE"""),"5x3")</f>
        <v>5x3</v>
      </c>
      <c r="H80" s="5" t="str">
        <f>IFERROR(__xludf.DUMMYFUNCTION("""COMPUTED_VALUE"""),"5")</f>
        <v>5</v>
      </c>
      <c r="I80" s="5" t="str">
        <f>IFERROR(__xludf.DUMMYFUNCTION("""COMPUTED_VALUE"""),"5")</f>
        <v>5</v>
      </c>
      <c r="J80" s="5" t="str">
        <f>IFERROR(__xludf.DUMMYFUNCTION("""COMPUTED_VALUE"""),"95.79%")</f>
        <v>95.79%</v>
      </c>
      <c r="K80" s="5" t="str">
        <f>IFERROR(__xludf.DUMMYFUNCTION("""COMPUTED_VALUE"""),"Low")</f>
        <v>Low</v>
      </c>
      <c r="L80" s="5" t="str">
        <f>IFERROR(__xludf.DUMMYFUNCTION("""COMPUTED_VALUE"""),"12.847%")</f>
        <v>12.847%</v>
      </c>
      <c r="M80" s="5" t="str">
        <f>IFERROR(__xludf.DUMMYFUNCTION("""COMPUTED_VALUE"""),"x1000")</f>
        <v>x1000</v>
      </c>
      <c r="N80" s="5" t="str">
        <f>IFERROR(__xludf.DUMMYFUNCTION("""COMPUTED_VALUE"""),"0.05/30")</f>
        <v>0.05/30</v>
      </c>
      <c r="O80" s="5" t="str">
        <f>IFERROR(__xludf.DUMMYFUNCTION("""COMPUTED_VALUE"""),"Yes")</f>
        <v>Yes</v>
      </c>
      <c r="P80" s="5" t="str">
        <f>IFERROR(__xludf.DUMMYFUNCTION("""COMPUTED_VALUE"""),"Wild Symbol, Scatter")</f>
        <v>Wild Symbol, Scatter</v>
      </c>
      <c r="Q80" s="7" t="str">
        <f>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R80"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0" s="5" t="str">
        <f>IFERROR(__xludf.DUMMYFUNCTION("""COMPUTED_VALUE"""),"Yes")</f>
        <v>Yes</v>
      </c>
      <c r="U80" s="5" t="str">
        <f>IFERROR(__xludf.DUMMYFUNCTION("""COMPUTED_VALUE"""),"Yes")</f>
        <v>Yes</v>
      </c>
      <c r="V80" s="5" t="str">
        <f>IFERROR(__xludf.DUMMYFUNCTION("""COMPUTED_VALUE"""),"Yes")</f>
        <v>Yes</v>
      </c>
      <c r="W80" s="5" t="str">
        <f>IFERROR(__xludf.DUMMYFUNCTION("""COMPUTED_VALUE"""),"Yes")</f>
        <v>Yes</v>
      </c>
      <c r="X80" s="5" t="str">
        <f>IFERROR(__xludf.DUMMYFUNCTION("""COMPUTED_VALUE"""),"Yes")</f>
        <v>Yes</v>
      </c>
      <c r="Y80" s="5" t="str">
        <f>IFERROR(__xludf.DUMMYFUNCTION("""COMPUTED_VALUE"""),"Yes")</f>
        <v>Yes</v>
      </c>
      <c r="Z80" s="5" t="str">
        <f>IFERROR(__xludf.DUMMYFUNCTION("""COMPUTED_VALUE"""),"Yes")</f>
        <v>Yes</v>
      </c>
      <c r="AA80" s="5" t="str">
        <f>IFERROR(__xludf.DUMMYFUNCTION("""COMPUTED_VALUE"""),"Yes")</f>
        <v>Yes</v>
      </c>
      <c r="AB80" s="5" t="str">
        <f>IFERROR(__xludf.DUMMYFUNCTION("""COMPUTED_VALUE"""),"Yes")</f>
        <v>Yes</v>
      </c>
      <c r="AC80" s="5" t="str">
        <f>IFERROR(__xludf.DUMMYFUNCTION("""COMPUTED_VALUE"""),"Yes")</f>
        <v>Yes</v>
      </c>
      <c r="AD80" s="5" t="str">
        <f>IFERROR(__xludf.DUMMYFUNCTION("""COMPUTED_VALUE"""),"Yes")</f>
        <v>Yes</v>
      </c>
      <c r="AE80" s="5" t="str">
        <f>IFERROR(__xludf.DUMMYFUNCTION("""COMPUTED_VALUE"""),"Yes")</f>
        <v>Yes</v>
      </c>
      <c r="AF80" s="5" t="str">
        <f>IFERROR(__xludf.DUMMYFUNCTION("""COMPUTED_VALUE"""),"Yes")</f>
        <v>Yes</v>
      </c>
      <c r="AG80" s="5" t="str">
        <f>IFERROR(__xludf.DUMMYFUNCTION("""COMPUTED_VALUE"""),"Yes")</f>
        <v>Yes</v>
      </c>
      <c r="AH80" s="5" t="str">
        <f>IFERROR(__xludf.DUMMYFUNCTION("""COMPUTED_VALUE"""),"Yes")</f>
        <v>Yes</v>
      </c>
      <c r="AI80" s="5" t="str">
        <f>IFERROR(__xludf.DUMMYFUNCTION("""COMPUTED_VALUE"""),"Yes")</f>
        <v>Yes</v>
      </c>
      <c r="AJ80" s="5" t="str">
        <f>IFERROR(__xludf.DUMMYFUNCTION("""COMPUTED_VALUE"""),"Yes")</f>
        <v>Yes</v>
      </c>
      <c r="AK80" s="5" t="str">
        <f>IFERROR(__xludf.DUMMYFUNCTION("""COMPUTED_VALUE"""),"Yes")</f>
        <v>Yes</v>
      </c>
      <c r="AL80" s="5" t="str">
        <f>IFERROR(__xludf.DUMMYFUNCTION("""COMPUTED_VALUE"""),"Yes")</f>
        <v>Yes</v>
      </c>
      <c r="AM80" s="5" t="str">
        <f>IFERROR(__xludf.DUMMYFUNCTION("""COMPUTED_VALUE"""),"Yes")</f>
        <v>Yes</v>
      </c>
      <c r="AN80" s="5" t="str">
        <f>IFERROR(__xludf.DUMMYFUNCTION("""COMPUTED_VALUE"""),"Yes")</f>
        <v>Yes</v>
      </c>
      <c r="AO80" s="5" t="str">
        <f>IFERROR(__xludf.DUMMYFUNCTION("""COMPUTED_VALUE"""),"Yes")</f>
        <v>Yes</v>
      </c>
      <c r="AP80" s="5" t="str">
        <f>IFERROR(__xludf.DUMMYFUNCTION("""COMPUTED_VALUE"""),"Yes")</f>
        <v>Yes</v>
      </c>
      <c r="AQ80" s="5" t="str">
        <f>IFERROR(__xludf.DUMMYFUNCTION("""COMPUTED_VALUE"""),"Yes")</f>
        <v>Yes</v>
      </c>
      <c r="AR80" s="5" t="str">
        <f>IFERROR(__xludf.DUMMYFUNCTION("""COMPUTED_VALUE"""),"Yes")</f>
        <v>Yes</v>
      </c>
      <c r="AS80" s="5" t="str">
        <f>IFERROR(__xludf.DUMMYFUNCTION("""COMPUTED_VALUE"""),"Yes")</f>
        <v>Yes</v>
      </c>
      <c r="AT80" s="5" t="str">
        <f>IFERROR(__xludf.DUMMYFUNCTION("""COMPUTED_VALUE"""),"No")</f>
        <v>No</v>
      </c>
      <c r="AU80" s="5"/>
      <c r="AV80" s="5" t="str">
        <f>IFERROR(__xludf.DUMMYFUNCTION("""COMPUTED_VALUE"""),"Available")</f>
        <v>Available</v>
      </c>
      <c r="AW80" s="5" t="str">
        <f>IFERROR(__xludf.DUMMYFUNCTION("""COMPUTED_VALUE"""),"")</f>
        <v/>
      </c>
      <c r="AX80" s="5" t="str">
        <f>IFERROR(__xludf.DUMMYFUNCTION("""COMPUTED_VALUE"""),"")</f>
        <v/>
      </c>
      <c r="AY80" s="5" t="str">
        <f>IFERROR(__xludf.DUMMYFUNCTION("""COMPUTED_VALUE"""),"")</f>
        <v/>
      </c>
      <c r="AZ80" s="5" t="str">
        <f>IFERROR(__xludf.DUMMYFUNCTION("""COMPUTED_VALUE"""),"Available")</f>
        <v>Available</v>
      </c>
      <c r="BA80" s="5" t="str">
        <f>IFERROR(__xludf.DUMMYFUNCTION("""COMPUTED_VALUE"""),"Available")</f>
        <v>Available</v>
      </c>
      <c r="BB80" s="5" t="str">
        <f>IFERROR(__xludf.DUMMYFUNCTION("""COMPUTED_VALUE"""),"Available")</f>
        <v>Available</v>
      </c>
      <c r="BC80" s="5" t="str">
        <f>IFERROR(__xludf.DUMMYFUNCTION("""COMPUTED_VALUE"""),"")</f>
        <v/>
      </c>
      <c r="BD80" s="5" t="str">
        <f>IFERROR(__xludf.DUMMYFUNCTION("""COMPUTED_VALUE"""),"")</f>
        <v/>
      </c>
      <c r="BE80" s="5" t="str">
        <f>IFERROR(__xludf.DUMMYFUNCTION("""COMPUTED_VALUE"""),"")</f>
        <v/>
      </c>
      <c r="BF80" s="5" t="str">
        <f>IFERROR(__xludf.DUMMYFUNCTION("""COMPUTED_VALUE"""),"")</f>
        <v/>
      </c>
      <c r="BG80" s="5" t="str">
        <f>IFERROR(__xludf.DUMMYFUNCTION("""COMPUTED_VALUE"""),"")</f>
        <v/>
      </c>
      <c r="BH80" s="5" t="str">
        <f>IFERROR(__xludf.DUMMYFUNCTION("""COMPUTED_VALUE"""),"")</f>
        <v/>
      </c>
      <c r="BI80" s="5" t="str">
        <f>IFERROR(__xludf.DUMMYFUNCTION("""COMPUTED_VALUE"""),"")</f>
        <v/>
      </c>
      <c r="BJ80" s="5" t="str">
        <f>IFERROR(__xludf.DUMMYFUNCTION("""COMPUTED_VALUE"""),"")</f>
        <v/>
      </c>
      <c r="BK80" s="5" t="str">
        <f>IFERROR(__xludf.DUMMYFUNCTION("""COMPUTED_VALUE"""),"")</f>
        <v/>
      </c>
      <c r="BL80" s="5" t="str">
        <f>IFERROR(__xludf.DUMMYFUNCTION("""COMPUTED_VALUE"""),"")</f>
        <v/>
      </c>
      <c r="BM80" s="5" t="str">
        <f>IFERROR(__xludf.DUMMYFUNCTION("""COMPUTED_VALUE"""),"Available")</f>
        <v>Available</v>
      </c>
    </row>
    <row r="81">
      <c r="A81" s="5" t="str">
        <f>IFERROR(__xludf.DUMMYFUNCTION("""COMPUTED_VALUE"""),"Fazi")</f>
        <v>Fazi</v>
      </c>
      <c r="B81" s="5" t="str">
        <f>IFERROR(__xludf.DUMMYFUNCTION("""COMPUTED_VALUE"""),"Giga Hot 40")</f>
        <v>Giga Hot 40</v>
      </c>
      <c r="C81" s="5" t="str">
        <f>IFERROR(__xludf.DUMMYFUNCTION("""COMPUTED_VALUE"""),"GigaHot40")</f>
        <v>GigaHot40</v>
      </c>
      <c r="D81" s="6">
        <f>IFERROR(__xludf.DUMMYFUNCTION("""COMPUTED_VALUE"""),44714.0)</f>
        <v>44714</v>
      </c>
      <c r="E81" s="5" t="str">
        <f>IFERROR(__xludf.DUMMYFUNCTION("""COMPUTED_VALUE"""),"Slot")</f>
        <v>Slot</v>
      </c>
      <c r="F81" s="5">
        <f>IFERROR(__xludf.DUMMYFUNCTION("""COMPUTED_VALUE"""),3.3)</f>
        <v>3.3</v>
      </c>
      <c r="G81" s="5" t="str">
        <f>IFERROR(__xludf.DUMMYFUNCTION("""COMPUTED_VALUE"""),"5x4")</f>
        <v>5x4</v>
      </c>
      <c r="H81" s="5" t="str">
        <f>IFERROR(__xludf.DUMMYFUNCTION("""COMPUTED_VALUE"""),"40")</f>
        <v>40</v>
      </c>
      <c r="I81" s="5" t="str">
        <f>IFERROR(__xludf.DUMMYFUNCTION("""COMPUTED_VALUE"""),"40")</f>
        <v>40</v>
      </c>
      <c r="J81" s="5" t="str">
        <f>IFERROR(__xludf.DUMMYFUNCTION("""COMPUTED_VALUE"""),"96.584%")</f>
        <v>96.584%</v>
      </c>
      <c r="K81" s="5" t="str">
        <f>IFERROR(__xludf.DUMMYFUNCTION("""COMPUTED_VALUE"""),"Low")</f>
        <v>Low</v>
      </c>
      <c r="L81" s="5" t="str">
        <f>IFERROR(__xludf.DUMMYFUNCTION("""COMPUTED_VALUE"""),"16.725%")</f>
        <v>16.725%</v>
      </c>
      <c r="M81" s="5" t="str">
        <f>IFERROR(__xludf.DUMMYFUNCTION("""COMPUTED_VALUE"""),"x1000")</f>
        <v>x1000</v>
      </c>
      <c r="N81" s="5" t="str">
        <f>IFERROR(__xludf.DUMMYFUNCTION("""COMPUTED_VALUE"""),"0.4/60")</f>
        <v>0.4/60</v>
      </c>
      <c r="O81" s="5" t="str">
        <f>IFERROR(__xludf.DUMMYFUNCTION("""COMPUTED_VALUE"""),"Yes")</f>
        <v>Yes</v>
      </c>
      <c r="P81" s="5" t="str">
        <f>IFERROR(__xludf.DUMMYFUNCTION("""COMPUTED_VALUE"""),"Wild Symbol, Scatter")</f>
        <v>Wild Symbol, Scatter</v>
      </c>
      <c r="Q81" s="7" t="str">
        <f>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R81" s="5" t="str">
        <f>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S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1" s="5" t="str">
        <f>IFERROR(__xludf.DUMMYFUNCTION("""COMPUTED_VALUE"""),"Yes")</f>
        <v>Yes</v>
      </c>
      <c r="U81" s="5" t="str">
        <f>IFERROR(__xludf.DUMMYFUNCTION("""COMPUTED_VALUE"""),"Yes")</f>
        <v>Yes</v>
      </c>
      <c r="V81" s="5" t="str">
        <f>IFERROR(__xludf.DUMMYFUNCTION("""COMPUTED_VALUE"""),"Yes")</f>
        <v>Yes</v>
      </c>
      <c r="W81" s="5" t="str">
        <f>IFERROR(__xludf.DUMMYFUNCTION("""COMPUTED_VALUE"""),"Yes")</f>
        <v>Yes</v>
      </c>
      <c r="X81" s="5" t="str">
        <f>IFERROR(__xludf.DUMMYFUNCTION("""COMPUTED_VALUE"""),"Yes")</f>
        <v>Yes</v>
      </c>
      <c r="Y81" s="5" t="str">
        <f>IFERROR(__xludf.DUMMYFUNCTION("""COMPUTED_VALUE"""),"Yes")</f>
        <v>Yes</v>
      </c>
      <c r="Z81" s="5" t="str">
        <f>IFERROR(__xludf.DUMMYFUNCTION("""COMPUTED_VALUE"""),"Yes")</f>
        <v>Yes</v>
      </c>
      <c r="AA81" s="5" t="str">
        <f>IFERROR(__xludf.DUMMYFUNCTION("""COMPUTED_VALUE"""),"Yes")</f>
        <v>Yes</v>
      </c>
      <c r="AB81" s="5" t="str">
        <f>IFERROR(__xludf.DUMMYFUNCTION("""COMPUTED_VALUE"""),"Yes")</f>
        <v>Yes</v>
      </c>
      <c r="AC81" s="5" t="str">
        <f>IFERROR(__xludf.DUMMYFUNCTION("""COMPUTED_VALUE"""),"Yes")</f>
        <v>Yes</v>
      </c>
      <c r="AD81" s="5" t="str">
        <f>IFERROR(__xludf.DUMMYFUNCTION("""COMPUTED_VALUE"""),"Yes")</f>
        <v>Yes</v>
      </c>
      <c r="AE81" s="5" t="str">
        <f>IFERROR(__xludf.DUMMYFUNCTION("""COMPUTED_VALUE"""),"Yes")</f>
        <v>Yes</v>
      </c>
      <c r="AF81" s="5" t="str">
        <f>IFERROR(__xludf.DUMMYFUNCTION("""COMPUTED_VALUE"""),"Yes")</f>
        <v>Yes</v>
      </c>
      <c r="AG81" s="5" t="str">
        <f>IFERROR(__xludf.DUMMYFUNCTION("""COMPUTED_VALUE"""),"Yes")</f>
        <v>Yes</v>
      </c>
      <c r="AH81" s="5" t="str">
        <f>IFERROR(__xludf.DUMMYFUNCTION("""COMPUTED_VALUE"""),"Yes")</f>
        <v>Yes</v>
      </c>
      <c r="AI81" s="5" t="str">
        <f>IFERROR(__xludf.DUMMYFUNCTION("""COMPUTED_VALUE"""),"Yes")</f>
        <v>Yes</v>
      </c>
      <c r="AJ81" s="5" t="str">
        <f>IFERROR(__xludf.DUMMYFUNCTION("""COMPUTED_VALUE"""),"Yes")</f>
        <v>Yes</v>
      </c>
      <c r="AK81" s="5" t="str">
        <f>IFERROR(__xludf.DUMMYFUNCTION("""COMPUTED_VALUE"""),"Yes")</f>
        <v>Yes</v>
      </c>
      <c r="AL81" s="5" t="str">
        <f>IFERROR(__xludf.DUMMYFUNCTION("""COMPUTED_VALUE"""),"Yes")</f>
        <v>Yes</v>
      </c>
      <c r="AM81" s="5" t="str">
        <f>IFERROR(__xludf.DUMMYFUNCTION("""COMPUTED_VALUE"""),"Yes")</f>
        <v>Yes</v>
      </c>
      <c r="AN81" s="5" t="str">
        <f>IFERROR(__xludf.DUMMYFUNCTION("""COMPUTED_VALUE"""),"Yes")</f>
        <v>Yes</v>
      </c>
      <c r="AO81" s="5" t="str">
        <f>IFERROR(__xludf.DUMMYFUNCTION("""COMPUTED_VALUE"""),"Yes")</f>
        <v>Yes</v>
      </c>
      <c r="AP81" s="5" t="str">
        <f>IFERROR(__xludf.DUMMYFUNCTION("""COMPUTED_VALUE"""),"Yes")</f>
        <v>Yes</v>
      </c>
      <c r="AQ81" s="5" t="str">
        <f>IFERROR(__xludf.DUMMYFUNCTION("""COMPUTED_VALUE"""),"Yes")</f>
        <v>Yes</v>
      </c>
      <c r="AR81" s="5" t="str">
        <f>IFERROR(__xludf.DUMMYFUNCTION("""COMPUTED_VALUE"""),"Yes")</f>
        <v>Yes</v>
      </c>
      <c r="AS81" s="5" t="str">
        <f>IFERROR(__xludf.DUMMYFUNCTION("""COMPUTED_VALUE"""),"Yes")</f>
        <v>Yes</v>
      </c>
      <c r="AT81" s="5" t="str">
        <f>IFERROR(__xludf.DUMMYFUNCTION("""COMPUTED_VALUE"""),"No")</f>
        <v>No</v>
      </c>
      <c r="AU81" s="5"/>
      <c r="AV81" s="5" t="str">
        <f>IFERROR(__xludf.DUMMYFUNCTION("""COMPUTED_VALUE"""),"Available")</f>
        <v>Available</v>
      </c>
      <c r="AW81" s="5" t="str">
        <f>IFERROR(__xludf.DUMMYFUNCTION("""COMPUTED_VALUE"""),"Available")</f>
        <v>Available</v>
      </c>
      <c r="AX81" s="5" t="str">
        <f>IFERROR(__xludf.DUMMYFUNCTION("""COMPUTED_VALUE"""),"")</f>
        <v/>
      </c>
      <c r="AY81" s="5" t="str">
        <f>IFERROR(__xludf.DUMMYFUNCTION("""COMPUTED_VALUE"""),"Available")</f>
        <v>Available</v>
      </c>
      <c r="AZ81" s="5" t="str">
        <f>IFERROR(__xludf.DUMMYFUNCTION("""COMPUTED_VALUE"""),"Available")</f>
        <v>Available</v>
      </c>
      <c r="BA81" s="5" t="str">
        <f>IFERROR(__xludf.DUMMYFUNCTION("""COMPUTED_VALUE"""),"Available")</f>
        <v>Available</v>
      </c>
      <c r="BB81" s="5" t="str">
        <f>IFERROR(__xludf.DUMMYFUNCTION("""COMPUTED_VALUE"""),"Available")</f>
        <v>Available</v>
      </c>
      <c r="BC81" s="5" t="str">
        <f>IFERROR(__xludf.DUMMYFUNCTION("""COMPUTED_VALUE"""),"Available")</f>
        <v>Available</v>
      </c>
      <c r="BD81" s="5" t="str">
        <f>IFERROR(__xludf.DUMMYFUNCTION("""COMPUTED_VALUE"""),"Available")</f>
        <v>Available</v>
      </c>
      <c r="BE81" s="5" t="str">
        <f>IFERROR(__xludf.DUMMYFUNCTION("""COMPUTED_VALUE"""),"")</f>
        <v/>
      </c>
      <c r="BF81" s="5" t="str">
        <f>IFERROR(__xludf.DUMMYFUNCTION("""COMPUTED_VALUE"""),"Available")</f>
        <v>Available</v>
      </c>
      <c r="BG81" s="5" t="str">
        <f>IFERROR(__xludf.DUMMYFUNCTION("""COMPUTED_VALUE"""),"")</f>
        <v/>
      </c>
      <c r="BH81" s="5" t="str">
        <f>IFERROR(__xludf.DUMMYFUNCTION("""COMPUTED_VALUE"""),"")</f>
        <v/>
      </c>
      <c r="BI81" s="5" t="str">
        <f>IFERROR(__xludf.DUMMYFUNCTION("""COMPUTED_VALUE"""),"Available")</f>
        <v>Available</v>
      </c>
      <c r="BJ81" s="5" t="str">
        <f>IFERROR(__xludf.DUMMYFUNCTION("""COMPUTED_VALUE"""),"")</f>
        <v/>
      </c>
      <c r="BK81" s="5" t="str">
        <f>IFERROR(__xludf.DUMMYFUNCTION("""COMPUTED_VALUE"""),"")</f>
        <v/>
      </c>
      <c r="BL81" s="5" t="str">
        <f>IFERROR(__xludf.DUMMYFUNCTION("""COMPUTED_VALUE"""),"")</f>
        <v/>
      </c>
      <c r="BM81" s="5" t="str">
        <f>IFERROR(__xludf.DUMMYFUNCTION("""COMPUTED_VALUE"""),"")</f>
        <v/>
      </c>
    </row>
    <row r="82">
      <c r="A82" s="5" t="str">
        <f>IFERROR(__xludf.DUMMYFUNCTION("""COMPUTED_VALUE"""),"Fazi")</f>
        <v>Fazi</v>
      </c>
      <c r="B82" s="5" t="str">
        <f>IFERROR(__xludf.DUMMYFUNCTION("""COMPUTED_VALUE"""),"Fruity Face")</f>
        <v>Fruity Face</v>
      </c>
      <c r="C82" s="5" t="str">
        <f>IFERROR(__xludf.DUMMYFUNCTION("""COMPUTED_VALUE"""),"FruityFace")</f>
        <v>FruityFace</v>
      </c>
      <c r="D82" s="6">
        <f>IFERROR(__xludf.DUMMYFUNCTION("""COMPUTED_VALUE"""),44719.0)</f>
        <v>44719</v>
      </c>
      <c r="E82" s="5" t="str">
        <f>IFERROR(__xludf.DUMMYFUNCTION("""COMPUTED_VALUE"""),"Slot")</f>
        <v>Slot</v>
      </c>
      <c r="F82" s="5">
        <f>IFERROR(__xludf.DUMMYFUNCTION("""COMPUTED_VALUE"""),18.8)</f>
        <v>18.8</v>
      </c>
      <c r="G82" s="5" t="str">
        <f>IFERROR(__xludf.DUMMYFUNCTION("""COMPUTED_VALUE"""),"5x3")</f>
        <v>5x3</v>
      </c>
      <c r="H82" s="5" t="str">
        <f>IFERROR(__xludf.DUMMYFUNCTION("""COMPUTED_VALUE"""),"5")</f>
        <v>5</v>
      </c>
      <c r="I82" s="5" t="str">
        <f>IFERROR(__xludf.DUMMYFUNCTION("""COMPUTED_VALUE"""),"5")</f>
        <v>5</v>
      </c>
      <c r="J82" s="5" t="str">
        <f>IFERROR(__xludf.DUMMYFUNCTION("""COMPUTED_VALUE"""),"96.25%")</f>
        <v>96.25%</v>
      </c>
      <c r="K82" s="5" t="str">
        <f>IFERROR(__xludf.DUMMYFUNCTION("""COMPUTED_VALUE"""),"Medium")</f>
        <v>Medium</v>
      </c>
      <c r="L82" s="5" t="str">
        <f>IFERROR(__xludf.DUMMYFUNCTION("""COMPUTED_VALUE"""),"10.46%")</f>
        <v>10.46%</v>
      </c>
      <c r="M82" s="5" t="str">
        <f>IFERROR(__xludf.DUMMYFUNCTION("""COMPUTED_VALUE"""),"x1040")</f>
        <v>x1040</v>
      </c>
      <c r="N82" s="5" t="str">
        <f>IFERROR(__xludf.DUMMYFUNCTION("""COMPUTED_VALUE"""),"0.05/30")</f>
        <v>0.05/30</v>
      </c>
      <c r="O82" s="5" t="str">
        <f>IFERROR(__xludf.DUMMYFUNCTION("""COMPUTED_VALUE"""),"Yes")</f>
        <v>Yes</v>
      </c>
      <c r="P82" s="5"/>
      <c r="Q82" s="7" t="str">
        <f>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R82" s="5" t="str">
        <f>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S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2" s="5" t="str">
        <f>IFERROR(__xludf.DUMMYFUNCTION("""COMPUTED_VALUE"""),"Yes")</f>
        <v>Yes</v>
      </c>
      <c r="U82" s="5" t="str">
        <f>IFERROR(__xludf.DUMMYFUNCTION("""COMPUTED_VALUE"""),"Yes")</f>
        <v>Yes</v>
      </c>
      <c r="V82" s="5" t="str">
        <f>IFERROR(__xludf.DUMMYFUNCTION("""COMPUTED_VALUE"""),"Yes")</f>
        <v>Yes</v>
      </c>
      <c r="W82" s="5" t="str">
        <f>IFERROR(__xludf.DUMMYFUNCTION("""COMPUTED_VALUE"""),"Yes")</f>
        <v>Yes</v>
      </c>
      <c r="X82" s="5" t="str">
        <f>IFERROR(__xludf.DUMMYFUNCTION("""COMPUTED_VALUE"""),"Yes")</f>
        <v>Yes</v>
      </c>
      <c r="Y82" s="5" t="str">
        <f>IFERROR(__xludf.DUMMYFUNCTION("""COMPUTED_VALUE"""),"Yes")</f>
        <v>Yes</v>
      </c>
      <c r="Z82" s="5" t="str">
        <f>IFERROR(__xludf.DUMMYFUNCTION("""COMPUTED_VALUE"""),"Yes")</f>
        <v>Yes</v>
      </c>
      <c r="AA82" s="5" t="str">
        <f>IFERROR(__xludf.DUMMYFUNCTION("""COMPUTED_VALUE"""),"Yes")</f>
        <v>Yes</v>
      </c>
      <c r="AB82" s="5" t="str">
        <f>IFERROR(__xludf.DUMMYFUNCTION("""COMPUTED_VALUE"""),"Yes")</f>
        <v>Yes</v>
      </c>
      <c r="AC82" s="5" t="str">
        <f>IFERROR(__xludf.DUMMYFUNCTION("""COMPUTED_VALUE"""),"Yes")</f>
        <v>Yes</v>
      </c>
      <c r="AD82" s="5" t="str">
        <f>IFERROR(__xludf.DUMMYFUNCTION("""COMPUTED_VALUE"""),"Yes")</f>
        <v>Yes</v>
      </c>
      <c r="AE82" s="5" t="str">
        <f>IFERROR(__xludf.DUMMYFUNCTION("""COMPUTED_VALUE"""),"Yes")</f>
        <v>Yes</v>
      </c>
      <c r="AF82" s="5" t="str">
        <f>IFERROR(__xludf.DUMMYFUNCTION("""COMPUTED_VALUE"""),"Yes")</f>
        <v>Yes</v>
      </c>
      <c r="AG82" s="5" t="str">
        <f>IFERROR(__xludf.DUMMYFUNCTION("""COMPUTED_VALUE"""),"Yes")</f>
        <v>Yes</v>
      </c>
      <c r="AH82" s="5" t="str">
        <f>IFERROR(__xludf.DUMMYFUNCTION("""COMPUTED_VALUE"""),"Yes")</f>
        <v>Yes</v>
      </c>
      <c r="AI82" s="5" t="str">
        <f>IFERROR(__xludf.DUMMYFUNCTION("""COMPUTED_VALUE"""),"Yes")</f>
        <v>Yes</v>
      </c>
      <c r="AJ82" s="5" t="str">
        <f>IFERROR(__xludf.DUMMYFUNCTION("""COMPUTED_VALUE"""),"Yes")</f>
        <v>Yes</v>
      </c>
      <c r="AK82" s="5" t="str">
        <f>IFERROR(__xludf.DUMMYFUNCTION("""COMPUTED_VALUE"""),"Yes")</f>
        <v>Yes</v>
      </c>
      <c r="AL82" s="5" t="str">
        <f>IFERROR(__xludf.DUMMYFUNCTION("""COMPUTED_VALUE"""),"Yes")</f>
        <v>Yes</v>
      </c>
      <c r="AM82" s="5" t="str">
        <f>IFERROR(__xludf.DUMMYFUNCTION("""COMPUTED_VALUE"""),"Yes")</f>
        <v>Yes</v>
      </c>
      <c r="AN82" s="5" t="str">
        <f>IFERROR(__xludf.DUMMYFUNCTION("""COMPUTED_VALUE"""),"Yes")</f>
        <v>Yes</v>
      </c>
      <c r="AO82" s="5" t="str">
        <f>IFERROR(__xludf.DUMMYFUNCTION("""COMPUTED_VALUE"""),"Yes")</f>
        <v>Yes</v>
      </c>
      <c r="AP82" s="5" t="str">
        <f>IFERROR(__xludf.DUMMYFUNCTION("""COMPUTED_VALUE"""),"Yes")</f>
        <v>Yes</v>
      </c>
      <c r="AQ82" s="5" t="str">
        <f>IFERROR(__xludf.DUMMYFUNCTION("""COMPUTED_VALUE"""),"Yes")</f>
        <v>Yes</v>
      </c>
      <c r="AR82" s="5" t="str">
        <f>IFERROR(__xludf.DUMMYFUNCTION("""COMPUTED_VALUE"""),"Yes")</f>
        <v>Yes</v>
      </c>
      <c r="AS82" s="5" t="str">
        <f>IFERROR(__xludf.DUMMYFUNCTION("""COMPUTED_VALUE"""),"Yes")</f>
        <v>Yes</v>
      </c>
      <c r="AT82" s="5" t="str">
        <f>IFERROR(__xludf.DUMMYFUNCTION("""COMPUTED_VALUE"""),"No")</f>
        <v>No</v>
      </c>
      <c r="AU82" s="5"/>
      <c r="AV82" s="5" t="str">
        <f>IFERROR(__xludf.DUMMYFUNCTION("""COMPUTED_VALUE"""),"")</f>
        <v/>
      </c>
      <c r="AW82" s="5" t="str">
        <f>IFERROR(__xludf.DUMMYFUNCTION("""COMPUTED_VALUE"""),"")</f>
        <v/>
      </c>
      <c r="AX82" s="5" t="str">
        <f>IFERROR(__xludf.DUMMYFUNCTION("""COMPUTED_VALUE"""),"")</f>
        <v/>
      </c>
      <c r="AY82" s="5" t="str">
        <f>IFERROR(__xludf.DUMMYFUNCTION("""COMPUTED_VALUE"""),"")</f>
        <v/>
      </c>
      <c r="AZ82" s="5" t="str">
        <f>IFERROR(__xludf.DUMMYFUNCTION("""COMPUTED_VALUE"""),"")</f>
        <v/>
      </c>
      <c r="BA82" s="5" t="str">
        <f>IFERROR(__xludf.DUMMYFUNCTION("""COMPUTED_VALUE"""),"")</f>
        <v/>
      </c>
      <c r="BB82" s="5" t="str">
        <f>IFERROR(__xludf.DUMMYFUNCTION("""COMPUTED_VALUE"""),"")</f>
        <v/>
      </c>
      <c r="BC82" s="5" t="str">
        <f>IFERROR(__xludf.DUMMYFUNCTION("""COMPUTED_VALUE"""),"")</f>
        <v/>
      </c>
      <c r="BD82" s="5" t="str">
        <f>IFERROR(__xludf.DUMMYFUNCTION("""COMPUTED_VALUE"""),"")</f>
        <v/>
      </c>
      <c r="BE82" s="5" t="str">
        <f>IFERROR(__xludf.DUMMYFUNCTION("""COMPUTED_VALUE"""),"")</f>
        <v/>
      </c>
      <c r="BF82" s="5" t="str">
        <f>IFERROR(__xludf.DUMMYFUNCTION("""COMPUTED_VALUE"""),"")</f>
        <v/>
      </c>
      <c r="BG82" s="5" t="str">
        <f>IFERROR(__xludf.DUMMYFUNCTION("""COMPUTED_VALUE"""),"")</f>
        <v/>
      </c>
      <c r="BH82" s="5" t="str">
        <f>IFERROR(__xludf.DUMMYFUNCTION("""COMPUTED_VALUE"""),"")</f>
        <v/>
      </c>
      <c r="BI82" s="5" t="str">
        <f>IFERROR(__xludf.DUMMYFUNCTION("""COMPUTED_VALUE"""),"")</f>
        <v/>
      </c>
      <c r="BJ82" s="5" t="str">
        <f>IFERROR(__xludf.DUMMYFUNCTION("""COMPUTED_VALUE"""),"")</f>
        <v/>
      </c>
      <c r="BK82" s="5" t="str">
        <f>IFERROR(__xludf.DUMMYFUNCTION("""COMPUTED_VALUE"""),"")</f>
        <v/>
      </c>
      <c r="BL82" s="5" t="str">
        <f>IFERROR(__xludf.DUMMYFUNCTION("""COMPUTED_VALUE"""),"")</f>
        <v/>
      </c>
      <c r="BM82" s="5" t="str">
        <f>IFERROR(__xludf.DUMMYFUNCTION("""COMPUTED_VALUE"""),"")</f>
        <v/>
      </c>
    </row>
    <row r="83">
      <c r="A83" s="5" t="str">
        <f>IFERROR(__xludf.DUMMYFUNCTION("""COMPUTED_VALUE"""),"Fazi")</f>
        <v>Fazi</v>
      </c>
      <c r="B83" s="5" t="str">
        <f>IFERROR(__xludf.DUMMYFUNCTION("""COMPUTED_VALUE"""),"Classic Lucky Spin")</f>
        <v>Classic Lucky Spin</v>
      </c>
      <c r="C83" s="5" t="str">
        <f>IFERROR(__xludf.DUMMYFUNCTION("""COMPUTED_VALUE"""),"ClassicLuckySpin")</f>
        <v>ClassicLuckySpin</v>
      </c>
      <c r="D83" s="6">
        <f>IFERROR(__xludf.DUMMYFUNCTION("""COMPUTED_VALUE"""),44727.0)</f>
        <v>44727</v>
      </c>
      <c r="E83" s="5" t="str">
        <f>IFERROR(__xludf.DUMMYFUNCTION("""COMPUTED_VALUE"""),"Slot")</f>
        <v>Slot</v>
      </c>
      <c r="F83" s="5">
        <f>IFERROR(__xludf.DUMMYFUNCTION("""COMPUTED_VALUE"""),45.3)</f>
        <v>45.3</v>
      </c>
      <c r="G83" s="5" t="str">
        <f>IFERROR(__xludf.DUMMYFUNCTION("""COMPUTED_VALUE"""),"3x3")</f>
        <v>3x3</v>
      </c>
      <c r="H83" s="5" t="str">
        <f>IFERROR(__xludf.DUMMYFUNCTION("""COMPUTED_VALUE"""),"5")</f>
        <v>5</v>
      </c>
      <c r="I83" s="5" t="str">
        <f>IFERROR(__xludf.DUMMYFUNCTION("""COMPUTED_VALUE"""),"5")</f>
        <v>5</v>
      </c>
      <c r="J83" s="5" t="str">
        <f>IFERROR(__xludf.DUMMYFUNCTION("""COMPUTED_VALUE"""),"95.513%")</f>
        <v>95.513%</v>
      </c>
      <c r="K83" s="5" t="str">
        <f>IFERROR(__xludf.DUMMYFUNCTION("""COMPUTED_VALUE"""),"Low")</f>
        <v>Low</v>
      </c>
      <c r="L83" s="5" t="str">
        <f>IFERROR(__xludf.DUMMYFUNCTION("""COMPUTED_VALUE"""),"6.51%")</f>
        <v>6.51%</v>
      </c>
      <c r="M83" s="5" t="str">
        <f>IFERROR(__xludf.DUMMYFUNCTION("""COMPUTED_VALUE"""),"x60")</f>
        <v>x60</v>
      </c>
      <c r="N83" s="5" t="str">
        <f>IFERROR(__xludf.DUMMYFUNCTION("""COMPUTED_VALUE"""),"0.05/30")</f>
        <v>0.05/30</v>
      </c>
      <c r="O83" s="5" t="str">
        <f>IFERROR(__xludf.DUMMYFUNCTION("""COMPUTED_VALUE"""),"Yes")</f>
        <v>Yes</v>
      </c>
      <c r="P83" s="5"/>
      <c r="Q83" s="7" t="str">
        <f>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R83" s="5" t="str">
        <f>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S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3" s="5" t="str">
        <f>IFERROR(__xludf.DUMMYFUNCTION("""COMPUTED_VALUE"""),"Yes")</f>
        <v>Yes</v>
      </c>
      <c r="U83" s="5" t="str">
        <f>IFERROR(__xludf.DUMMYFUNCTION("""COMPUTED_VALUE"""),"Yes")</f>
        <v>Yes</v>
      </c>
      <c r="V83" s="5" t="str">
        <f>IFERROR(__xludf.DUMMYFUNCTION("""COMPUTED_VALUE"""),"Yes")</f>
        <v>Yes</v>
      </c>
      <c r="W83" s="5" t="str">
        <f>IFERROR(__xludf.DUMMYFUNCTION("""COMPUTED_VALUE"""),"Yes")</f>
        <v>Yes</v>
      </c>
      <c r="X83" s="5" t="str">
        <f>IFERROR(__xludf.DUMMYFUNCTION("""COMPUTED_VALUE"""),"Yes")</f>
        <v>Yes</v>
      </c>
      <c r="Y83" s="5" t="str">
        <f>IFERROR(__xludf.DUMMYFUNCTION("""COMPUTED_VALUE"""),"Yes")</f>
        <v>Yes</v>
      </c>
      <c r="Z83" s="5" t="str">
        <f>IFERROR(__xludf.DUMMYFUNCTION("""COMPUTED_VALUE"""),"Yes")</f>
        <v>Yes</v>
      </c>
      <c r="AA83" s="5" t="str">
        <f>IFERROR(__xludf.DUMMYFUNCTION("""COMPUTED_VALUE"""),"Yes")</f>
        <v>Yes</v>
      </c>
      <c r="AB83" s="5" t="str">
        <f>IFERROR(__xludf.DUMMYFUNCTION("""COMPUTED_VALUE"""),"Yes")</f>
        <v>Yes</v>
      </c>
      <c r="AC83" s="5" t="str">
        <f>IFERROR(__xludf.DUMMYFUNCTION("""COMPUTED_VALUE"""),"Yes")</f>
        <v>Yes</v>
      </c>
      <c r="AD83" s="5" t="str">
        <f>IFERROR(__xludf.DUMMYFUNCTION("""COMPUTED_VALUE"""),"Yes")</f>
        <v>Yes</v>
      </c>
      <c r="AE83" s="5" t="str">
        <f>IFERROR(__xludf.DUMMYFUNCTION("""COMPUTED_VALUE"""),"Yes")</f>
        <v>Yes</v>
      </c>
      <c r="AF83" s="5" t="str">
        <f>IFERROR(__xludf.DUMMYFUNCTION("""COMPUTED_VALUE"""),"Yes")</f>
        <v>Yes</v>
      </c>
      <c r="AG83" s="5" t="str">
        <f>IFERROR(__xludf.DUMMYFUNCTION("""COMPUTED_VALUE"""),"Yes")</f>
        <v>Yes</v>
      </c>
      <c r="AH83" s="5" t="str">
        <f>IFERROR(__xludf.DUMMYFUNCTION("""COMPUTED_VALUE"""),"Yes")</f>
        <v>Yes</v>
      </c>
      <c r="AI83" s="5" t="str">
        <f>IFERROR(__xludf.DUMMYFUNCTION("""COMPUTED_VALUE"""),"Yes")</f>
        <v>Yes</v>
      </c>
      <c r="AJ83" s="5" t="str">
        <f>IFERROR(__xludf.DUMMYFUNCTION("""COMPUTED_VALUE"""),"Yes")</f>
        <v>Yes</v>
      </c>
      <c r="AK83" s="5" t="str">
        <f>IFERROR(__xludf.DUMMYFUNCTION("""COMPUTED_VALUE"""),"Yes")</f>
        <v>Yes</v>
      </c>
      <c r="AL83" s="5" t="str">
        <f>IFERROR(__xludf.DUMMYFUNCTION("""COMPUTED_VALUE"""),"Yes")</f>
        <v>Yes</v>
      </c>
      <c r="AM83" s="5" t="str">
        <f>IFERROR(__xludf.DUMMYFUNCTION("""COMPUTED_VALUE"""),"Yes")</f>
        <v>Yes</v>
      </c>
      <c r="AN83" s="5" t="str">
        <f>IFERROR(__xludf.DUMMYFUNCTION("""COMPUTED_VALUE"""),"Yes")</f>
        <v>Yes</v>
      </c>
      <c r="AO83" s="5" t="str">
        <f>IFERROR(__xludf.DUMMYFUNCTION("""COMPUTED_VALUE"""),"Yes")</f>
        <v>Yes</v>
      </c>
      <c r="AP83" s="5" t="str">
        <f>IFERROR(__xludf.DUMMYFUNCTION("""COMPUTED_VALUE"""),"Yes")</f>
        <v>Yes</v>
      </c>
      <c r="AQ83" s="5" t="str">
        <f>IFERROR(__xludf.DUMMYFUNCTION("""COMPUTED_VALUE"""),"Yes")</f>
        <v>Yes</v>
      </c>
      <c r="AR83" s="5" t="str">
        <f>IFERROR(__xludf.DUMMYFUNCTION("""COMPUTED_VALUE"""),"Yes")</f>
        <v>Yes</v>
      </c>
      <c r="AS83" s="5" t="str">
        <f>IFERROR(__xludf.DUMMYFUNCTION("""COMPUTED_VALUE"""),"Yes")</f>
        <v>Yes</v>
      </c>
      <c r="AT83" s="5" t="str">
        <f>IFERROR(__xludf.DUMMYFUNCTION("""COMPUTED_VALUE"""),"No")</f>
        <v>No</v>
      </c>
      <c r="AU83" s="5"/>
      <c r="AV83" s="5" t="str">
        <f>IFERROR(__xludf.DUMMYFUNCTION("""COMPUTED_VALUE"""),"")</f>
        <v/>
      </c>
      <c r="AW83" s="5" t="str">
        <f>IFERROR(__xludf.DUMMYFUNCTION("""COMPUTED_VALUE"""),"")</f>
        <v/>
      </c>
      <c r="AX83" s="5" t="str">
        <f>IFERROR(__xludf.DUMMYFUNCTION("""COMPUTED_VALUE"""),"")</f>
        <v/>
      </c>
      <c r="AY83" s="5" t="str">
        <f>IFERROR(__xludf.DUMMYFUNCTION("""COMPUTED_VALUE"""),"")</f>
        <v/>
      </c>
      <c r="AZ83" s="5" t="str">
        <f>IFERROR(__xludf.DUMMYFUNCTION("""COMPUTED_VALUE"""),"")</f>
        <v/>
      </c>
      <c r="BA83" s="5" t="str">
        <f>IFERROR(__xludf.DUMMYFUNCTION("""COMPUTED_VALUE"""),"")</f>
        <v/>
      </c>
      <c r="BB83" s="5" t="str">
        <f>IFERROR(__xludf.DUMMYFUNCTION("""COMPUTED_VALUE"""),"Available")</f>
        <v>Available</v>
      </c>
      <c r="BC83" s="5" t="str">
        <f>IFERROR(__xludf.DUMMYFUNCTION("""COMPUTED_VALUE"""),"Available")</f>
        <v>Available</v>
      </c>
      <c r="BD83" s="5" t="str">
        <f>IFERROR(__xludf.DUMMYFUNCTION("""COMPUTED_VALUE"""),"")</f>
        <v/>
      </c>
      <c r="BE83" s="5" t="str">
        <f>IFERROR(__xludf.DUMMYFUNCTION("""COMPUTED_VALUE"""),"")</f>
        <v/>
      </c>
      <c r="BF83" s="5" t="str">
        <f>IFERROR(__xludf.DUMMYFUNCTION("""COMPUTED_VALUE"""),"")</f>
        <v/>
      </c>
      <c r="BG83" s="5" t="str">
        <f>IFERROR(__xludf.DUMMYFUNCTION("""COMPUTED_VALUE"""),"")</f>
        <v/>
      </c>
      <c r="BH83" s="5" t="str">
        <f>IFERROR(__xludf.DUMMYFUNCTION("""COMPUTED_VALUE"""),"")</f>
        <v/>
      </c>
      <c r="BI83" s="5" t="str">
        <f>IFERROR(__xludf.DUMMYFUNCTION("""COMPUTED_VALUE"""),"Available")</f>
        <v>Available</v>
      </c>
      <c r="BJ83" s="5" t="str">
        <f>IFERROR(__xludf.DUMMYFUNCTION("""COMPUTED_VALUE"""),"")</f>
        <v/>
      </c>
      <c r="BK83" s="5" t="str">
        <f>IFERROR(__xludf.DUMMYFUNCTION("""COMPUTED_VALUE"""),"")</f>
        <v/>
      </c>
      <c r="BL83" s="5" t="str">
        <f>IFERROR(__xludf.DUMMYFUNCTION("""COMPUTED_VALUE"""),"")</f>
        <v/>
      </c>
      <c r="BM83" s="5" t="str">
        <f>IFERROR(__xludf.DUMMYFUNCTION("""COMPUTED_VALUE"""),"")</f>
        <v/>
      </c>
    </row>
    <row r="84">
      <c r="A84" s="5" t="str">
        <f>IFERROR(__xludf.DUMMYFUNCTION("""COMPUTED_VALUE"""),"Fazi")</f>
        <v>Fazi</v>
      </c>
      <c r="B84" s="5" t="str">
        <f>IFERROR(__xludf.DUMMYFUNCTION("""COMPUTED_VALUE"""),"Wild Joker Hot")</f>
        <v>Wild Joker Hot</v>
      </c>
      <c r="C84" s="5" t="str">
        <f>IFERROR(__xludf.DUMMYFUNCTION("""COMPUTED_VALUE"""),"WildJokerHot")</f>
        <v>WildJokerHot</v>
      </c>
      <c r="D84" s="6">
        <f>IFERROR(__xludf.DUMMYFUNCTION("""COMPUTED_VALUE"""),44798.0)</f>
        <v>44798</v>
      </c>
      <c r="E84" s="5" t="str">
        <f>IFERROR(__xludf.DUMMYFUNCTION("""COMPUTED_VALUE"""),"Slot")</f>
        <v>Slot</v>
      </c>
      <c r="F84" s="5">
        <f>IFERROR(__xludf.DUMMYFUNCTION("""COMPUTED_VALUE"""),38.8)</f>
        <v>38.8</v>
      </c>
      <c r="G84" s="5" t="str">
        <f>IFERROR(__xludf.DUMMYFUNCTION("""COMPUTED_VALUE"""),"5x3")</f>
        <v>5x3</v>
      </c>
      <c r="H84" s="5" t="str">
        <f>IFERROR(__xludf.DUMMYFUNCTION("""COMPUTED_VALUE"""),"10")</f>
        <v>10</v>
      </c>
      <c r="I84" s="5" t="str">
        <f>IFERROR(__xludf.DUMMYFUNCTION("""COMPUTED_VALUE"""),"10")</f>
        <v>10</v>
      </c>
      <c r="J84" s="5" t="str">
        <f>IFERROR(__xludf.DUMMYFUNCTION("""COMPUTED_VALUE"""),"96.124%")</f>
        <v>96.124%</v>
      </c>
      <c r="K84" s="5" t="str">
        <f>IFERROR(__xludf.DUMMYFUNCTION("""COMPUTED_VALUE"""),"Medium")</f>
        <v>Medium</v>
      </c>
      <c r="L84" s="5" t="str">
        <f>IFERROR(__xludf.DUMMYFUNCTION("""COMPUTED_VALUE"""),"17.81%")</f>
        <v>17.81%</v>
      </c>
      <c r="M84" s="5" t="str">
        <f>IFERROR(__xludf.DUMMYFUNCTION("""COMPUTED_VALUE"""),"x3092")</f>
        <v>x3092</v>
      </c>
      <c r="N84" s="5" t="str">
        <f>IFERROR(__xludf.DUMMYFUNCTION("""COMPUTED_VALUE"""),"0.10/40")</f>
        <v>0.10/40</v>
      </c>
      <c r="O84" s="5" t="str">
        <f>IFERROR(__xludf.DUMMYFUNCTION("""COMPUTED_VALUE"""),"Yes")</f>
        <v>Yes</v>
      </c>
      <c r="P84" s="5" t="str">
        <f>IFERROR(__xludf.DUMMYFUNCTION("""COMPUTED_VALUE"""),"Scatter, Wild Symbol, Wild Multiplier")</f>
        <v>Scatter, Wild Symbol, Wild Multiplier</v>
      </c>
      <c r="Q84" s="7" t="str">
        <f>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R84" s="5" t="str">
        <f>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S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4" s="5" t="str">
        <f>IFERROR(__xludf.DUMMYFUNCTION("""COMPUTED_VALUE"""),"Yes")</f>
        <v>Yes</v>
      </c>
      <c r="U84" s="5" t="str">
        <f>IFERROR(__xludf.DUMMYFUNCTION("""COMPUTED_VALUE"""),"Yes")</f>
        <v>Yes</v>
      </c>
      <c r="V84" s="5" t="str">
        <f>IFERROR(__xludf.DUMMYFUNCTION("""COMPUTED_VALUE"""),"Yes")</f>
        <v>Yes</v>
      </c>
      <c r="W84" s="5" t="str">
        <f>IFERROR(__xludf.DUMMYFUNCTION("""COMPUTED_VALUE"""),"Yes")</f>
        <v>Yes</v>
      </c>
      <c r="X84" s="5" t="str">
        <f>IFERROR(__xludf.DUMMYFUNCTION("""COMPUTED_VALUE"""),"Yes")</f>
        <v>Yes</v>
      </c>
      <c r="Y84" s="5" t="str">
        <f>IFERROR(__xludf.DUMMYFUNCTION("""COMPUTED_VALUE"""),"Yes")</f>
        <v>Yes</v>
      </c>
      <c r="Z84" s="5" t="str">
        <f>IFERROR(__xludf.DUMMYFUNCTION("""COMPUTED_VALUE"""),"Yes")</f>
        <v>Yes</v>
      </c>
      <c r="AA84" s="5" t="str">
        <f>IFERROR(__xludf.DUMMYFUNCTION("""COMPUTED_VALUE"""),"Yes")</f>
        <v>Yes</v>
      </c>
      <c r="AB84" s="5" t="str">
        <f>IFERROR(__xludf.DUMMYFUNCTION("""COMPUTED_VALUE"""),"Yes")</f>
        <v>Yes</v>
      </c>
      <c r="AC84" s="5" t="str">
        <f>IFERROR(__xludf.DUMMYFUNCTION("""COMPUTED_VALUE"""),"Yes")</f>
        <v>Yes</v>
      </c>
      <c r="AD84" s="5" t="str">
        <f>IFERROR(__xludf.DUMMYFUNCTION("""COMPUTED_VALUE"""),"Yes")</f>
        <v>Yes</v>
      </c>
      <c r="AE84" s="5" t="str">
        <f>IFERROR(__xludf.DUMMYFUNCTION("""COMPUTED_VALUE"""),"Yes")</f>
        <v>Yes</v>
      </c>
      <c r="AF84" s="5" t="str">
        <f>IFERROR(__xludf.DUMMYFUNCTION("""COMPUTED_VALUE"""),"Yes")</f>
        <v>Yes</v>
      </c>
      <c r="AG84" s="5" t="str">
        <f>IFERROR(__xludf.DUMMYFUNCTION("""COMPUTED_VALUE"""),"Yes")</f>
        <v>Yes</v>
      </c>
      <c r="AH84" s="5" t="str">
        <f>IFERROR(__xludf.DUMMYFUNCTION("""COMPUTED_VALUE"""),"Yes")</f>
        <v>Yes</v>
      </c>
      <c r="AI84" s="5" t="str">
        <f>IFERROR(__xludf.DUMMYFUNCTION("""COMPUTED_VALUE"""),"Yes")</f>
        <v>Yes</v>
      </c>
      <c r="AJ84" s="5" t="str">
        <f>IFERROR(__xludf.DUMMYFUNCTION("""COMPUTED_VALUE"""),"Yes")</f>
        <v>Yes</v>
      </c>
      <c r="AK84" s="5" t="str">
        <f>IFERROR(__xludf.DUMMYFUNCTION("""COMPUTED_VALUE"""),"Yes")</f>
        <v>Yes</v>
      </c>
      <c r="AL84" s="5" t="str">
        <f>IFERROR(__xludf.DUMMYFUNCTION("""COMPUTED_VALUE"""),"Yes")</f>
        <v>Yes</v>
      </c>
      <c r="AM84" s="5" t="str">
        <f>IFERROR(__xludf.DUMMYFUNCTION("""COMPUTED_VALUE"""),"Yes")</f>
        <v>Yes</v>
      </c>
      <c r="AN84" s="5" t="str">
        <f>IFERROR(__xludf.DUMMYFUNCTION("""COMPUTED_VALUE"""),"Yes")</f>
        <v>Yes</v>
      </c>
      <c r="AO84" s="5" t="str">
        <f>IFERROR(__xludf.DUMMYFUNCTION("""COMPUTED_VALUE"""),"Yes")</f>
        <v>Yes</v>
      </c>
      <c r="AP84" s="5" t="str">
        <f>IFERROR(__xludf.DUMMYFUNCTION("""COMPUTED_VALUE"""),"Yes")</f>
        <v>Yes</v>
      </c>
      <c r="AQ84" s="5" t="str">
        <f>IFERROR(__xludf.DUMMYFUNCTION("""COMPUTED_VALUE"""),"Yes")</f>
        <v>Yes</v>
      </c>
      <c r="AR84" s="5" t="str">
        <f>IFERROR(__xludf.DUMMYFUNCTION("""COMPUTED_VALUE"""),"Yes")</f>
        <v>Yes</v>
      </c>
      <c r="AS84" s="5" t="str">
        <f>IFERROR(__xludf.DUMMYFUNCTION("""COMPUTED_VALUE"""),"Yes")</f>
        <v>Yes</v>
      </c>
      <c r="AT84" s="5" t="str">
        <f>IFERROR(__xludf.DUMMYFUNCTION("""COMPUTED_VALUE"""),"No")</f>
        <v>No</v>
      </c>
      <c r="AU84" s="5"/>
      <c r="AV84" s="5" t="str">
        <f>IFERROR(__xludf.DUMMYFUNCTION("""COMPUTED_VALUE"""),"Available")</f>
        <v>Available</v>
      </c>
      <c r="AW84" s="5" t="str">
        <f>IFERROR(__xludf.DUMMYFUNCTION("""COMPUTED_VALUE"""),"")</f>
        <v/>
      </c>
      <c r="AX84" s="5" t="str">
        <f>IFERROR(__xludf.DUMMYFUNCTION("""COMPUTED_VALUE"""),"Available")</f>
        <v>Available</v>
      </c>
      <c r="AY84" s="5" t="str">
        <f>IFERROR(__xludf.DUMMYFUNCTION("""COMPUTED_VALUE"""),"Available")</f>
        <v>Available</v>
      </c>
      <c r="AZ84" s="5" t="str">
        <f>IFERROR(__xludf.DUMMYFUNCTION("""COMPUTED_VALUE"""),"Available")</f>
        <v>Available</v>
      </c>
      <c r="BA84" s="5" t="str">
        <f>IFERROR(__xludf.DUMMYFUNCTION("""COMPUTED_VALUE"""),"Available")</f>
        <v>Available</v>
      </c>
      <c r="BB84" s="5" t="str">
        <f>IFERROR(__xludf.DUMMYFUNCTION("""COMPUTED_VALUE"""),"Available")</f>
        <v>Available</v>
      </c>
      <c r="BC84" s="5" t="str">
        <f>IFERROR(__xludf.DUMMYFUNCTION("""COMPUTED_VALUE"""),"Available")</f>
        <v>Available</v>
      </c>
      <c r="BD84" s="5" t="str">
        <f>IFERROR(__xludf.DUMMYFUNCTION("""COMPUTED_VALUE"""),"")</f>
        <v/>
      </c>
      <c r="BE84" s="5" t="str">
        <f>IFERROR(__xludf.DUMMYFUNCTION("""COMPUTED_VALUE"""),"")</f>
        <v/>
      </c>
      <c r="BF84" s="5" t="str">
        <f>IFERROR(__xludf.DUMMYFUNCTION("""COMPUTED_VALUE"""),"Available")</f>
        <v>Available</v>
      </c>
      <c r="BG84" s="5" t="str">
        <f>IFERROR(__xludf.DUMMYFUNCTION("""COMPUTED_VALUE"""),"")</f>
        <v/>
      </c>
      <c r="BH84" s="5" t="str">
        <f>IFERROR(__xludf.DUMMYFUNCTION("""COMPUTED_VALUE"""),"Available")</f>
        <v>Available</v>
      </c>
      <c r="BI84" s="5" t="str">
        <f>IFERROR(__xludf.DUMMYFUNCTION("""COMPUTED_VALUE"""),"")</f>
        <v/>
      </c>
      <c r="BJ84" s="5" t="str">
        <f>IFERROR(__xludf.DUMMYFUNCTION("""COMPUTED_VALUE"""),"")</f>
        <v/>
      </c>
      <c r="BK84" s="5" t="str">
        <f>IFERROR(__xludf.DUMMYFUNCTION("""COMPUTED_VALUE"""),"Available")</f>
        <v>Available</v>
      </c>
      <c r="BL84" s="5" t="str">
        <f>IFERROR(__xludf.DUMMYFUNCTION("""COMPUTED_VALUE"""),"")</f>
        <v/>
      </c>
      <c r="BM84" s="5" t="str">
        <f>IFERROR(__xludf.DUMMYFUNCTION("""COMPUTED_VALUE"""),"Available")</f>
        <v>Available</v>
      </c>
    </row>
    <row r="85">
      <c r="A85" s="5" t="str">
        <f>IFERROR(__xludf.DUMMYFUNCTION("""COMPUTED_VALUE"""),"Fazi")</f>
        <v>Fazi</v>
      </c>
      <c r="B85" s="5" t="str">
        <f>IFERROR(__xludf.DUMMYFUNCTION("""COMPUTED_VALUE"""),"Heating Fruits")</f>
        <v>Heating Fruits</v>
      </c>
      <c r="C85" s="5" t="str">
        <f>IFERROR(__xludf.DUMMYFUNCTION("""COMPUTED_VALUE"""),"HeatingFruits")</f>
        <v>HeatingFruits</v>
      </c>
      <c r="D85" s="6">
        <f>IFERROR(__xludf.DUMMYFUNCTION("""COMPUTED_VALUE"""),44887.0)</f>
        <v>44887</v>
      </c>
      <c r="E85" s="5" t="str">
        <f>IFERROR(__xludf.DUMMYFUNCTION("""COMPUTED_VALUE"""),"Slot")</f>
        <v>Slot</v>
      </c>
      <c r="F85" s="5">
        <f>IFERROR(__xludf.DUMMYFUNCTION("""COMPUTED_VALUE"""),34.0)</f>
        <v>34</v>
      </c>
      <c r="G85" s="5" t="str">
        <f>IFERROR(__xludf.DUMMYFUNCTION("""COMPUTED_VALUE"""),"5x4")</f>
        <v>5x4</v>
      </c>
      <c r="H85" s="5" t="str">
        <f>IFERROR(__xludf.DUMMYFUNCTION("""COMPUTED_VALUE"""),"40")</f>
        <v>40</v>
      </c>
      <c r="I85" s="5" t="str">
        <f>IFERROR(__xludf.DUMMYFUNCTION("""COMPUTED_VALUE"""),"40")</f>
        <v>40</v>
      </c>
      <c r="J85" s="5" t="str">
        <f>IFERROR(__xludf.DUMMYFUNCTION("""COMPUTED_VALUE"""),"96.261%")</f>
        <v>96.261%</v>
      </c>
      <c r="K85" s="5" t="str">
        <f>IFERROR(__xludf.DUMMYFUNCTION("""COMPUTED_VALUE"""),"Medium")</f>
        <v>Medium</v>
      </c>
      <c r="L85" s="5" t="str">
        <f>IFERROR(__xludf.DUMMYFUNCTION("""COMPUTED_VALUE"""),"12.1%")</f>
        <v>12.1%</v>
      </c>
      <c r="M85" s="5" t="str">
        <f>IFERROR(__xludf.DUMMYFUNCTION("""COMPUTED_VALUE"""),"x1000")</f>
        <v>x1000</v>
      </c>
      <c r="N85" s="5" t="str">
        <f>IFERROR(__xludf.DUMMYFUNCTION("""COMPUTED_VALUE"""),"0.4/60")</f>
        <v>0.4/60</v>
      </c>
      <c r="O85" s="5" t="str">
        <f>IFERROR(__xludf.DUMMYFUNCTION("""COMPUTED_VALUE"""),"Yes")</f>
        <v>Yes</v>
      </c>
      <c r="P85" s="5"/>
      <c r="Q85" s="7" t="str">
        <f>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R85" s="5" t="str">
        <f>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S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IFERROR(__xludf.DUMMYFUNCTION("""COMPUTED_VALUE"""),"Yes")</f>
        <v>Yes</v>
      </c>
      <c r="AA85" s="5" t="str">
        <f>IFERROR(__xludf.DUMMYFUNCTION("""COMPUTED_VALUE"""),"Yes")</f>
        <v>Yes</v>
      </c>
      <c r="AB85" s="5" t="str">
        <f>IFERROR(__xludf.DUMMYFUNCTION("""COMPUTED_VALUE"""),"Yes")</f>
        <v>Yes</v>
      </c>
      <c r="AC85" s="5" t="str">
        <f>IFERROR(__xludf.DUMMYFUNCTION("""COMPUTED_VALUE"""),"Yes")</f>
        <v>Yes</v>
      </c>
      <c r="AD85" s="5" t="str">
        <f>IFERROR(__xludf.DUMMYFUNCTION("""COMPUTED_VALUE"""),"Yes")</f>
        <v>Yes</v>
      </c>
      <c r="AE85" s="5" t="str">
        <f>IFERROR(__xludf.DUMMYFUNCTION("""COMPUTED_VALUE"""),"Yes")</f>
        <v>Yes</v>
      </c>
      <c r="AF85" s="5" t="str">
        <f>IFERROR(__xludf.DUMMYFUNCTION("""COMPUTED_VALUE"""),"Yes")</f>
        <v>Yes</v>
      </c>
      <c r="AG85" s="5" t="str">
        <f>IFERROR(__xludf.DUMMYFUNCTION("""COMPUTED_VALUE"""),"Yes")</f>
        <v>Yes</v>
      </c>
      <c r="AH85" s="5" t="str">
        <f>IFERROR(__xludf.DUMMYFUNCTION("""COMPUTED_VALUE"""),"Yes")</f>
        <v>Yes</v>
      </c>
      <c r="AI85" s="5" t="str">
        <f>IFERROR(__xludf.DUMMYFUNCTION("""COMPUTED_VALUE"""),"Yes")</f>
        <v>Yes</v>
      </c>
      <c r="AJ85" s="5" t="str">
        <f>IFERROR(__xludf.DUMMYFUNCTION("""COMPUTED_VALUE"""),"Yes")</f>
        <v>Yes</v>
      </c>
      <c r="AK85" s="5" t="str">
        <f>IFERROR(__xludf.DUMMYFUNCTION("""COMPUTED_VALUE"""),"Yes")</f>
        <v>Yes</v>
      </c>
      <c r="AL85" s="5" t="str">
        <f>IFERROR(__xludf.DUMMYFUNCTION("""COMPUTED_VALUE"""),"Yes")</f>
        <v>Yes</v>
      </c>
      <c r="AM85" s="5" t="str">
        <f>IFERROR(__xludf.DUMMYFUNCTION("""COMPUTED_VALUE"""),"Yes")</f>
        <v>Yes</v>
      </c>
      <c r="AN85" s="5" t="str">
        <f>IFERROR(__xludf.DUMMYFUNCTION("""COMPUTED_VALUE"""),"Yes")</f>
        <v>Yes</v>
      </c>
      <c r="AO85" s="5" t="str">
        <f>IFERROR(__xludf.DUMMYFUNCTION("""COMPUTED_VALUE"""),"Yes")</f>
        <v>Yes</v>
      </c>
      <c r="AP85" s="5" t="str">
        <f>IFERROR(__xludf.DUMMYFUNCTION("""COMPUTED_VALUE"""),"Yes")</f>
        <v>Yes</v>
      </c>
      <c r="AQ85" s="5" t="str">
        <f>IFERROR(__xludf.DUMMYFUNCTION("""COMPUTED_VALUE"""),"Yes")</f>
        <v>Yes</v>
      </c>
      <c r="AR85" s="5" t="str">
        <f>IFERROR(__xludf.DUMMYFUNCTION("""COMPUTED_VALUE"""),"Yes")</f>
        <v>Yes</v>
      </c>
      <c r="AS85" s="5" t="str">
        <f>IFERROR(__xludf.DUMMYFUNCTION("""COMPUTED_VALUE"""),"Yes")</f>
        <v>Yes</v>
      </c>
      <c r="AT85" s="5" t="str">
        <f>IFERROR(__xludf.DUMMYFUNCTION("""COMPUTED_VALUE"""),"No")</f>
        <v>No</v>
      </c>
      <c r="AU85" s="5"/>
      <c r="AV85" s="5" t="str">
        <f>IFERROR(__xludf.DUMMYFUNCTION("""COMPUTED_VALUE"""),"")</f>
        <v/>
      </c>
      <c r="AW85" s="5" t="str">
        <f>IFERROR(__xludf.DUMMYFUNCTION("""COMPUTED_VALUE"""),"")</f>
        <v/>
      </c>
      <c r="AX85" s="5" t="str">
        <f>IFERROR(__xludf.DUMMYFUNCTION("""COMPUTED_VALUE"""),"")</f>
        <v/>
      </c>
      <c r="AY85" s="5" t="str">
        <f>IFERROR(__xludf.DUMMYFUNCTION("""COMPUTED_VALUE"""),"")</f>
        <v/>
      </c>
      <c r="AZ85" s="5" t="str">
        <f>IFERROR(__xludf.DUMMYFUNCTION("""COMPUTED_VALUE"""),"")</f>
        <v/>
      </c>
      <c r="BA85" s="5" t="str">
        <f>IFERROR(__xludf.DUMMYFUNCTION("""COMPUTED_VALUE"""),"")</f>
        <v/>
      </c>
      <c r="BB85" s="5" t="str">
        <f>IFERROR(__xludf.DUMMYFUNCTION("""COMPUTED_VALUE"""),"Available")</f>
        <v>Available</v>
      </c>
      <c r="BC85" s="5" t="str">
        <f>IFERROR(__xludf.DUMMYFUNCTION("""COMPUTED_VALUE"""),"")</f>
        <v/>
      </c>
      <c r="BD85" s="5" t="str">
        <f>IFERROR(__xludf.DUMMYFUNCTION("""COMPUTED_VALUE"""),"")</f>
        <v/>
      </c>
      <c r="BE85" s="5" t="str">
        <f>IFERROR(__xludf.DUMMYFUNCTION("""COMPUTED_VALUE"""),"")</f>
        <v/>
      </c>
      <c r="BF85" s="5" t="str">
        <f>IFERROR(__xludf.DUMMYFUNCTION("""COMPUTED_VALUE"""),"")</f>
        <v/>
      </c>
      <c r="BG85" s="5" t="str">
        <f>IFERROR(__xludf.DUMMYFUNCTION("""COMPUTED_VALUE"""),"")</f>
        <v/>
      </c>
      <c r="BH85" s="5" t="str">
        <f>IFERROR(__xludf.DUMMYFUNCTION("""COMPUTED_VALUE"""),"")</f>
        <v/>
      </c>
      <c r="BI85" s="5" t="str">
        <f>IFERROR(__xludf.DUMMYFUNCTION("""COMPUTED_VALUE"""),"")</f>
        <v/>
      </c>
      <c r="BJ85" s="5" t="str">
        <f>IFERROR(__xludf.DUMMYFUNCTION("""COMPUTED_VALUE"""),"")</f>
        <v/>
      </c>
      <c r="BK85" s="5" t="str">
        <f>IFERROR(__xludf.DUMMYFUNCTION("""COMPUTED_VALUE"""),"")</f>
        <v/>
      </c>
      <c r="BL85" s="5" t="str">
        <f>IFERROR(__xludf.DUMMYFUNCTION("""COMPUTED_VALUE"""),"")</f>
        <v/>
      </c>
      <c r="BM85" s="5" t="str">
        <f>IFERROR(__xludf.DUMMYFUNCTION("""COMPUTED_VALUE"""),"")</f>
        <v/>
      </c>
    </row>
    <row r="86">
      <c r="A86" s="5" t="str">
        <f>IFERROR(__xludf.DUMMYFUNCTION("""COMPUTED_VALUE"""),"Fazi")</f>
        <v>Fazi</v>
      </c>
      <c r="B86" s="5" t="str">
        <f>IFERROR(__xludf.DUMMYFUNCTION("""COMPUTED_VALUE"""),"Power Of The Great")</f>
        <v>Power Of The Great</v>
      </c>
      <c r="C86" s="5" t="str">
        <f>IFERROR(__xludf.DUMMYFUNCTION("""COMPUTED_VALUE"""),"PowerOfTheGreat")</f>
        <v>PowerOfTheGreat</v>
      </c>
      <c r="D86" s="6">
        <f>IFERROR(__xludf.DUMMYFUNCTION("""COMPUTED_VALUE"""),44875.0)</f>
        <v>44875</v>
      </c>
      <c r="E86" s="5" t="str">
        <f>IFERROR(__xludf.DUMMYFUNCTION("""COMPUTED_VALUE"""),"Slot")</f>
        <v>Slot</v>
      </c>
      <c r="F86" s="5">
        <f>IFERROR(__xludf.DUMMYFUNCTION("""COMPUTED_VALUE"""),34.7)</f>
        <v>34.7</v>
      </c>
      <c r="G86" s="5" t="str">
        <f>IFERROR(__xludf.DUMMYFUNCTION("""COMPUTED_VALUE"""),"5x3")</f>
        <v>5x3</v>
      </c>
      <c r="H86" s="5" t="str">
        <f>IFERROR(__xludf.DUMMYFUNCTION("""COMPUTED_VALUE"""),"20")</f>
        <v>20</v>
      </c>
      <c r="I86" s="5" t="str">
        <f>IFERROR(__xludf.DUMMYFUNCTION("""COMPUTED_VALUE"""),"20")</f>
        <v>20</v>
      </c>
      <c r="J86" s="5" t="str">
        <f>IFERROR(__xludf.DUMMYFUNCTION("""COMPUTED_VALUE"""),"95.952%")</f>
        <v>95.952%</v>
      </c>
      <c r="K86" s="5" t="str">
        <f>IFERROR(__xludf.DUMMYFUNCTION("""COMPUTED_VALUE"""),"Medium")</f>
        <v>Medium</v>
      </c>
      <c r="L86" s="5" t="str">
        <f>IFERROR(__xludf.DUMMYFUNCTION("""COMPUTED_VALUE"""),"43.77%")</f>
        <v>43.77%</v>
      </c>
      <c r="M86" s="5" t="str">
        <f>IFERROR(__xludf.DUMMYFUNCTION("""COMPUTED_VALUE"""),"x3910")</f>
        <v>x3910</v>
      </c>
      <c r="N86" s="5" t="str">
        <f>IFERROR(__xludf.DUMMYFUNCTION("""COMPUTED_VALUE"""),"0.2/50")</f>
        <v>0.2/50</v>
      </c>
      <c r="O86" s="5" t="str">
        <f>IFERROR(__xludf.DUMMYFUNCTION("""COMPUTED_VALUE"""),"Yes")</f>
        <v>Yes</v>
      </c>
      <c r="P86" s="5" t="str">
        <f>IFERROR(__xludf.DUMMYFUNCTION("""COMPUTED_VALUE"""),"Wild Symbol, Bonus Game with Free Spins, Cascade Game, Increasing Multiplier")</f>
        <v>Wild Symbol, Bonus Game with Free Spins, Cascade Game, Increasing Multiplier</v>
      </c>
      <c r="Q86" s="7" t="str">
        <f>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R86" s="5" t="str">
        <f>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S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IFERROR(__xludf.DUMMYFUNCTION("""COMPUTED_VALUE"""),"Yes")</f>
        <v>Yes</v>
      </c>
      <c r="AA86" s="5" t="str">
        <f>IFERROR(__xludf.DUMMYFUNCTION("""COMPUTED_VALUE"""),"Yes")</f>
        <v>Yes</v>
      </c>
      <c r="AB86" s="5" t="str">
        <f>IFERROR(__xludf.DUMMYFUNCTION("""COMPUTED_VALUE"""),"Yes")</f>
        <v>Yes</v>
      </c>
      <c r="AC86" s="5" t="str">
        <f>IFERROR(__xludf.DUMMYFUNCTION("""COMPUTED_VALUE"""),"Yes")</f>
        <v>Yes</v>
      </c>
      <c r="AD86" s="5" t="str">
        <f>IFERROR(__xludf.DUMMYFUNCTION("""COMPUTED_VALUE"""),"Yes")</f>
        <v>Yes</v>
      </c>
      <c r="AE86" s="5" t="str">
        <f>IFERROR(__xludf.DUMMYFUNCTION("""COMPUTED_VALUE"""),"Yes")</f>
        <v>Yes</v>
      </c>
      <c r="AF86" s="5" t="str">
        <f>IFERROR(__xludf.DUMMYFUNCTION("""COMPUTED_VALUE"""),"Yes")</f>
        <v>Yes</v>
      </c>
      <c r="AG86" s="5" t="str">
        <f>IFERROR(__xludf.DUMMYFUNCTION("""COMPUTED_VALUE"""),"Yes")</f>
        <v>Yes</v>
      </c>
      <c r="AH86" s="5" t="str">
        <f>IFERROR(__xludf.DUMMYFUNCTION("""COMPUTED_VALUE"""),"Yes")</f>
        <v>Yes</v>
      </c>
      <c r="AI86" s="5" t="str">
        <f>IFERROR(__xludf.DUMMYFUNCTION("""COMPUTED_VALUE"""),"Yes")</f>
        <v>Yes</v>
      </c>
      <c r="AJ86" s="5" t="str">
        <f>IFERROR(__xludf.DUMMYFUNCTION("""COMPUTED_VALUE"""),"Yes")</f>
        <v>Yes</v>
      </c>
      <c r="AK86" s="5" t="str">
        <f>IFERROR(__xludf.DUMMYFUNCTION("""COMPUTED_VALUE"""),"Yes")</f>
        <v>Yes</v>
      </c>
      <c r="AL86" s="5" t="str">
        <f>IFERROR(__xludf.DUMMYFUNCTION("""COMPUTED_VALUE"""),"Yes")</f>
        <v>Yes</v>
      </c>
      <c r="AM86" s="5" t="str">
        <f>IFERROR(__xludf.DUMMYFUNCTION("""COMPUTED_VALUE"""),"Yes")</f>
        <v>Yes</v>
      </c>
      <c r="AN86" s="5" t="str">
        <f>IFERROR(__xludf.DUMMYFUNCTION("""COMPUTED_VALUE"""),"Yes")</f>
        <v>Yes</v>
      </c>
      <c r="AO86" s="5" t="str">
        <f>IFERROR(__xludf.DUMMYFUNCTION("""COMPUTED_VALUE"""),"Yes")</f>
        <v>Yes</v>
      </c>
      <c r="AP86" s="5" t="str">
        <f>IFERROR(__xludf.DUMMYFUNCTION("""COMPUTED_VALUE"""),"Yes")</f>
        <v>Yes</v>
      </c>
      <c r="AQ86" s="5" t="str">
        <f>IFERROR(__xludf.DUMMYFUNCTION("""COMPUTED_VALUE"""),"Yes")</f>
        <v>Yes</v>
      </c>
      <c r="AR86" s="5" t="str">
        <f>IFERROR(__xludf.DUMMYFUNCTION("""COMPUTED_VALUE"""),"Yes")</f>
        <v>Yes</v>
      </c>
      <c r="AS86" s="5" t="str">
        <f>IFERROR(__xludf.DUMMYFUNCTION("""COMPUTED_VALUE"""),"Yes")</f>
        <v>Yes</v>
      </c>
      <c r="AT86" s="5" t="str">
        <f>IFERROR(__xludf.DUMMYFUNCTION("""COMPUTED_VALUE"""),"No")</f>
        <v>No</v>
      </c>
      <c r="AU86" s="5"/>
      <c r="AV86" s="5" t="str">
        <f>IFERROR(__xludf.DUMMYFUNCTION("""COMPUTED_VALUE"""),"")</f>
        <v/>
      </c>
      <c r="AW86" s="5" t="str">
        <f>IFERROR(__xludf.DUMMYFUNCTION("""COMPUTED_VALUE"""),"")</f>
        <v/>
      </c>
      <c r="AX86" s="5" t="str">
        <f>IFERROR(__xludf.DUMMYFUNCTION("""COMPUTED_VALUE"""),"")</f>
        <v/>
      </c>
      <c r="AY86" s="5" t="str">
        <f>IFERROR(__xludf.DUMMYFUNCTION("""COMPUTED_VALUE"""),"")</f>
        <v/>
      </c>
      <c r="AZ86" s="5" t="str">
        <f>IFERROR(__xludf.DUMMYFUNCTION("""COMPUTED_VALUE"""),"")</f>
        <v/>
      </c>
      <c r="BA86" s="5" t="str">
        <f>IFERROR(__xludf.DUMMYFUNCTION("""COMPUTED_VALUE"""),"")</f>
        <v/>
      </c>
      <c r="BB86" s="5" t="str">
        <f>IFERROR(__xludf.DUMMYFUNCTION("""COMPUTED_VALUE"""),"")</f>
        <v/>
      </c>
      <c r="BC86" s="5" t="str">
        <f>IFERROR(__xludf.DUMMYFUNCTION("""COMPUTED_VALUE"""),"")</f>
        <v/>
      </c>
      <c r="BD86" s="5" t="str">
        <f>IFERROR(__xludf.DUMMYFUNCTION("""COMPUTED_VALUE"""),"")</f>
        <v/>
      </c>
      <c r="BE86" s="5" t="str">
        <f>IFERROR(__xludf.DUMMYFUNCTION("""COMPUTED_VALUE"""),"")</f>
        <v/>
      </c>
      <c r="BF86" s="5" t="str">
        <f>IFERROR(__xludf.DUMMYFUNCTION("""COMPUTED_VALUE"""),"")</f>
        <v/>
      </c>
      <c r="BG86" s="5" t="str">
        <f>IFERROR(__xludf.DUMMYFUNCTION("""COMPUTED_VALUE"""),"")</f>
        <v/>
      </c>
      <c r="BH86" s="5" t="str">
        <f>IFERROR(__xludf.DUMMYFUNCTION("""COMPUTED_VALUE"""),"")</f>
        <v/>
      </c>
      <c r="BI86" s="5" t="str">
        <f>IFERROR(__xludf.DUMMYFUNCTION("""COMPUTED_VALUE"""),"")</f>
        <v/>
      </c>
      <c r="BJ86" s="5" t="str">
        <f>IFERROR(__xludf.DUMMYFUNCTION("""COMPUTED_VALUE"""),"")</f>
        <v/>
      </c>
      <c r="BK86" s="5" t="str">
        <f>IFERROR(__xludf.DUMMYFUNCTION("""COMPUTED_VALUE"""),"")</f>
        <v/>
      </c>
      <c r="BL86" s="5" t="str">
        <f>IFERROR(__xludf.DUMMYFUNCTION("""COMPUTED_VALUE"""),"")</f>
        <v/>
      </c>
      <c r="BM86" s="5" t="str">
        <f>IFERROR(__xludf.DUMMYFUNCTION("""COMPUTED_VALUE"""),"")</f>
        <v/>
      </c>
    </row>
    <row r="87">
      <c r="A87" s="5" t="str">
        <f>IFERROR(__xludf.DUMMYFUNCTION("""COMPUTED_VALUE"""),"Fazi")</f>
        <v>Fazi</v>
      </c>
      <c r="B87" s="5" t="str">
        <f>IFERROR(__xludf.DUMMYFUNCTION("""COMPUTED_VALUE"""),"Very Hot 40 Dice")</f>
        <v>Very Hot 40 Dice</v>
      </c>
      <c r="C87" s="5" t="str">
        <f>IFERROR(__xludf.DUMMYFUNCTION("""COMPUTED_VALUE"""),"VeryHot40Dice")</f>
        <v>VeryHot40Dice</v>
      </c>
      <c r="D87" s="6">
        <f>IFERROR(__xludf.DUMMYFUNCTION("""COMPUTED_VALUE"""),44839.0)</f>
        <v>44839</v>
      </c>
      <c r="E87" s="5" t="str">
        <f>IFERROR(__xludf.DUMMYFUNCTION("""COMPUTED_VALUE"""),"Slot")</f>
        <v>Slot</v>
      </c>
      <c r="F87" s="5">
        <f>IFERROR(__xludf.DUMMYFUNCTION("""COMPUTED_VALUE"""),17.4)</f>
        <v>17.4</v>
      </c>
      <c r="G87" s="5" t="str">
        <f>IFERROR(__xludf.DUMMYFUNCTION("""COMPUTED_VALUE"""),"5x3")</f>
        <v>5x3</v>
      </c>
      <c r="H87" s="5" t="str">
        <f>IFERROR(__xludf.DUMMYFUNCTION("""COMPUTED_VALUE"""),"40")</f>
        <v>40</v>
      </c>
      <c r="I87" s="5" t="str">
        <f>IFERROR(__xludf.DUMMYFUNCTION("""COMPUTED_VALUE"""),"40")</f>
        <v>40</v>
      </c>
      <c r="J87" s="5" t="str">
        <f>IFERROR(__xludf.DUMMYFUNCTION("""COMPUTED_VALUE"""),"96.53%")</f>
        <v>96.53%</v>
      </c>
      <c r="K87" s="5" t="str">
        <f>IFERROR(__xludf.DUMMYFUNCTION("""COMPUTED_VALUE"""),"Low")</f>
        <v>Low</v>
      </c>
      <c r="L87" s="5" t="str">
        <f>IFERROR(__xludf.DUMMYFUNCTION("""COMPUTED_VALUE"""),"23.38%")</f>
        <v>23.38%</v>
      </c>
      <c r="M87" s="5" t="str">
        <f>IFERROR(__xludf.DUMMYFUNCTION("""COMPUTED_VALUE"""),"x876.75")</f>
        <v>x876.75</v>
      </c>
      <c r="N87" s="5" t="str">
        <f>IFERROR(__xludf.DUMMYFUNCTION("""COMPUTED_VALUE"""),"0.4/60")</f>
        <v>0.4/60</v>
      </c>
      <c r="O87" s="5" t="str">
        <f>IFERROR(__xludf.DUMMYFUNCTION("""COMPUTED_VALUE"""),"Yes")</f>
        <v>Yes</v>
      </c>
      <c r="P87" s="5" t="str">
        <f>IFERROR(__xludf.DUMMYFUNCTION("""COMPUTED_VALUE"""),"Expanding Wild, Scatter")</f>
        <v>Expanding Wild, Scatter</v>
      </c>
      <c r="Q87" s="7" t="str">
        <f>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R87" s="5" t="str">
        <f>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S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7" s="5" t="str">
        <f>IFERROR(__xludf.DUMMYFUNCTION("""COMPUTED_VALUE"""),"Yes")</f>
        <v>Yes</v>
      </c>
      <c r="U87" s="5" t="str">
        <f>IFERROR(__xludf.DUMMYFUNCTION("""COMPUTED_VALUE"""),"Yes")</f>
        <v>Yes</v>
      </c>
      <c r="V87" s="5" t="str">
        <f>IFERROR(__xludf.DUMMYFUNCTION("""COMPUTED_VALUE"""),"Yes")</f>
        <v>Yes</v>
      </c>
      <c r="W87" s="5" t="str">
        <f>IFERROR(__xludf.DUMMYFUNCTION("""COMPUTED_VALUE"""),"Yes")</f>
        <v>Yes</v>
      </c>
      <c r="X87" s="5" t="str">
        <f>IFERROR(__xludf.DUMMYFUNCTION("""COMPUTED_VALUE"""),"Yes")</f>
        <v>Yes</v>
      </c>
      <c r="Y87" s="5" t="str">
        <f>IFERROR(__xludf.DUMMYFUNCTION("""COMPUTED_VALUE"""),"Yes")</f>
        <v>Yes</v>
      </c>
      <c r="Z87" s="5" t="str">
        <f>IFERROR(__xludf.DUMMYFUNCTION("""COMPUTED_VALUE"""),"Yes")</f>
        <v>Yes</v>
      </c>
      <c r="AA87" s="5" t="str">
        <f>IFERROR(__xludf.DUMMYFUNCTION("""COMPUTED_VALUE"""),"Yes")</f>
        <v>Yes</v>
      </c>
      <c r="AB87" s="5" t="str">
        <f>IFERROR(__xludf.DUMMYFUNCTION("""COMPUTED_VALUE"""),"Yes")</f>
        <v>Yes</v>
      </c>
      <c r="AC87" s="5" t="str">
        <f>IFERROR(__xludf.DUMMYFUNCTION("""COMPUTED_VALUE"""),"Yes")</f>
        <v>Yes</v>
      </c>
      <c r="AD87" s="5" t="str">
        <f>IFERROR(__xludf.DUMMYFUNCTION("""COMPUTED_VALUE"""),"Yes")</f>
        <v>Yes</v>
      </c>
      <c r="AE87" s="5" t="str">
        <f>IFERROR(__xludf.DUMMYFUNCTION("""COMPUTED_VALUE"""),"Yes")</f>
        <v>Yes</v>
      </c>
      <c r="AF87" s="5" t="str">
        <f>IFERROR(__xludf.DUMMYFUNCTION("""COMPUTED_VALUE"""),"Yes")</f>
        <v>Yes</v>
      </c>
      <c r="AG87" s="5" t="str">
        <f>IFERROR(__xludf.DUMMYFUNCTION("""COMPUTED_VALUE"""),"Yes")</f>
        <v>Yes</v>
      </c>
      <c r="AH87" s="5" t="str">
        <f>IFERROR(__xludf.DUMMYFUNCTION("""COMPUTED_VALUE"""),"Yes")</f>
        <v>Yes</v>
      </c>
      <c r="AI87" s="5" t="str">
        <f>IFERROR(__xludf.DUMMYFUNCTION("""COMPUTED_VALUE"""),"Yes")</f>
        <v>Yes</v>
      </c>
      <c r="AJ87" s="5" t="str">
        <f>IFERROR(__xludf.DUMMYFUNCTION("""COMPUTED_VALUE"""),"Yes")</f>
        <v>Yes</v>
      </c>
      <c r="AK87" s="5" t="str">
        <f>IFERROR(__xludf.DUMMYFUNCTION("""COMPUTED_VALUE"""),"Yes")</f>
        <v>Yes</v>
      </c>
      <c r="AL87" s="5" t="str">
        <f>IFERROR(__xludf.DUMMYFUNCTION("""COMPUTED_VALUE"""),"Yes")</f>
        <v>Yes</v>
      </c>
      <c r="AM87" s="5" t="str">
        <f>IFERROR(__xludf.DUMMYFUNCTION("""COMPUTED_VALUE"""),"Yes")</f>
        <v>Yes</v>
      </c>
      <c r="AN87" s="5" t="str">
        <f>IFERROR(__xludf.DUMMYFUNCTION("""COMPUTED_VALUE"""),"Yes")</f>
        <v>Yes</v>
      </c>
      <c r="AO87" s="5" t="str">
        <f>IFERROR(__xludf.DUMMYFUNCTION("""COMPUTED_VALUE"""),"Yes")</f>
        <v>Yes</v>
      </c>
      <c r="AP87" s="5" t="str">
        <f>IFERROR(__xludf.DUMMYFUNCTION("""COMPUTED_VALUE"""),"Yes")</f>
        <v>Yes</v>
      </c>
      <c r="AQ87" s="5" t="str">
        <f>IFERROR(__xludf.DUMMYFUNCTION("""COMPUTED_VALUE"""),"Yes")</f>
        <v>Yes</v>
      </c>
      <c r="AR87" s="5" t="str">
        <f>IFERROR(__xludf.DUMMYFUNCTION("""COMPUTED_VALUE"""),"Yes")</f>
        <v>Yes</v>
      </c>
      <c r="AS87" s="5" t="str">
        <f>IFERROR(__xludf.DUMMYFUNCTION("""COMPUTED_VALUE"""),"Yes")</f>
        <v>Yes</v>
      </c>
      <c r="AT87" s="5" t="str">
        <f>IFERROR(__xludf.DUMMYFUNCTION("""COMPUTED_VALUE"""),"No")</f>
        <v>No</v>
      </c>
      <c r="AU87" s="5"/>
      <c r="AV87" s="5" t="str">
        <f>IFERROR(__xludf.DUMMYFUNCTION("""COMPUTED_VALUE"""),"")</f>
        <v/>
      </c>
      <c r="AW87" s="5" t="str">
        <f>IFERROR(__xludf.DUMMYFUNCTION("""COMPUTED_VALUE"""),"")</f>
        <v/>
      </c>
      <c r="AX87" s="5" t="str">
        <f>IFERROR(__xludf.DUMMYFUNCTION("""COMPUTED_VALUE"""),"")</f>
        <v/>
      </c>
      <c r="AY87" s="5" t="str">
        <f>IFERROR(__xludf.DUMMYFUNCTION("""COMPUTED_VALUE"""),"")</f>
        <v/>
      </c>
      <c r="AZ87" s="5" t="str">
        <f>IFERROR(__xludf.DUMMYFUNCTION("""COMPUTED_VALUE"""),"")</f>
        <v/>
      </c>
      <c r="BA87" s="5" t="str">
        <f>IFERROR(__xludf.DUMMYFUNCTION("""COMPUTED_VALUE"""),"")</f>
        <v/>
      </c>
      <c r="BB87" s="5" t="str">
        <f>IFERROR(__xludf.DUMMYFUNCTION("""COMPUTED_VALUE"""),"")</f>
        <v/>
      </c>
      <c r="BC87" s="5" t="str">
        <f>IFERROR(__xludf.DUMMYFUNCTION("""COMPUTED_VALUE"""),"")</f>
        <v/>
      </c>
      <c r="BD87" s="5" t="str">
        <f>IFERROR(__xludf.DUMMYFUNCTION("""COMPUTED_VALUE"""),"")</f>
        <v/>
      </c>
      <c r="BE87" s="5" t="str">
        <f>IFERROR(__xludf.DUMMYFUNCTION("""COMPUTED_VALUE"""),"")</f>
        <v/>
      </c>
      <c r="BF87" s="5" t="str">
        <f>IFERROR(__xludf.DUMMYFUNCTION("""COMPUTED_VALUE"""),"")</f>
        <v/>
      </c>
      <c r="BG87" s="5" t="str">
        <f>IFERROR(__xludf.DUMMYFUNCTION("""COMPUTED_VALUE"""),"")</f>
        <v/>
      </c>
      <c r="BH87" s="5" t="str">
        <f>IFERROR(__xludf.DUMMYFUNCTION("""COMPUTED_VALUE"""),"")</f>
        <v/>
      </c>
      <c r="BI87" s="5" t="str">
        <f>IFERROR(__xludf.DUMMYFUNCTION("""COMPUTED_VALUE"""),"")</f>
        <v/>
      </c>
      <c r="BJ87" s="5" t="str">
        <f>IFERROR(__xludf.DUMMYFUNCTION("""COMPUTED_VALUE"""),"")</f>
        <v/>
      </c>
      <c r="BK87" s="5" t="str">
        <f>IFERROR(__xludf.DUMMYFUNCTION("""COMPUTED_VALUE"""),"")</f>
        <v/>
      </c>
      <c r="BL87" s="5" t="str">
        <f>IFERROR(__xludf.DUMMYFUNCTION("""COMPUTED_VALUE"""),"")</f>
        <v/>
      </c>
      <c r="BM87" s="5" t="str">
        <f>IFERROR(__xludf.DUMMYFUNCTION("""COMPUTED_VALUE"""),"")</f>
        <v/>
      </c>
    </row>
    <row r="88">
      <c r="A88" s="5" t="str">
        <f>IFERROR(__xludf.DUMMYFUNCTION("""COMPUTED_VALUE"""),"Fazi")</f>
        <v>Fazi</v>
      </c>
      <c r="B88" s="5" t="str">
        <f>IFERROR(__xludf.DUMMYFUNCTION("""COMPUTED_VALUE"""),"Wild Lucky Clover")</f>
        <v>Wild Lucky Clover</v>
      </c>
      <c r="C88" s="5" t="str">
        <f>IFERROR(__xludf.DUMMYFUNCTION("""COMPUTED_VALUE"""),"WildLuckyClover")</f>
        <v>WildLuckyClover</v>
      </c>
      <c r="D88" s="6">
        <f>IFERROR(__xludf.DUMMYFUNCTION("""COMPUTED_VALUE"""),44833.0)</f>
        <v>44833</v>
      </c>
      <c r="E88" s="5" t="str">
        <f>IFERROR(__xludf.DUMMYFUNCTION("""COMPUTED_VALUE"""),"Slot")</f>
        <v>Slot</v>
      </c>
      <c r="F88" s="5">
        <f>IFERROR(__xludf.DUMMYFUNCTION("""COMPUTED_VALUE"""),31.2)</f>
        <v>31.2</v>
      </c>
      <c r="G88" s="5" t="str">
        <f>IFERROR(__xludf.DUMMYFUNCTION("""COMPUTED_VALUE"""),"5x4")</f>
        <v>5x4</v>
      </c>
      <c r="H88" s="5" t="str">
        <f>IFERROR(__xludf.DUMMYFUNCTION("""COMPUTED_VALUE"""),"40")</f>
        <v>40</v>
      </c>
      <c r="I88" s="5" t="str">
        <f>IFERROR(__xludf.DUMMYFUNCTION("""COMPUTED_VALUE"""),"40")</f>
        <v>40</v>
      </c>
      <c r="J88" s="5" t="str">
        <f>IFERROR(__xludf.DUMMYFUNCTION("""COMPUTED_VALUE"""),"96.291%")</f>
        <v>96.291%</v>
      </c>
      <c r="K88" s="5" t="str">
        <f>IFERROR(__xludf.DUMMYFUNCTION("""COMPUTED_VALUE"""),"Medium")</f>
        <v>Medium</v>
      </c>
      <c r="L88" s="5" t="str">
        <f>IFERROR(__xludf.DUMMYFUNCTION("""COMPUTED_VALUE"""),"12.67%")</f>
        <v>12.67%</v>
      </c>
      <c r="M88" s="5" t="str">
        <f>IFERROR(__xludf.DUMMYFUNCTION("""COMPUTED_VALUE"""),"x1043")</f>
        <v>x1043</v>
      </c>
      <c r="N88" s="5" t="str">
        <f>IFERROR(__xludf.DUMMYFUNCTION("""COMPUTED_VALUE"""),"0.40/60")</f>
        <v>0.40/60</v>
      </c>
      <c r="O88" s="5" t="str">
        <f>IFERROR(__xludf.DUMMYFUNCTION("""COMPUTED_VALUE"""),"Yes")</f>
        <v>Yes</v>
      </c>
      <c r="P88" s="5" t="str">
        <f>IFERROR(__xludf.DUMMYFUNCTION("""COMPUTED_VALUE"""),"Buy Bonus, Bonus Game with Free Spins, Converting Wild, Wild Symbol")</f>
        <v>Buy Bonus, Bonus Game with Free Spins, Converting Wild, Wild Symbol</v>
      </c>
      <c r="Q88" s="7" t="str">
        <f>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R88" s="5" t="str">
        <f>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S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8" s="5" t="str">
        <f>IFERROR(__xludf.DUMMYFUNCTION("""COMPUTED_VALUE"""),"Yes")</f>
        <v>Yes</v>
      </c>
      <c r="U88" s="5" t="str">
        <f>IFERROR(__xludf.DUMMYFUNCTION("""COMPUTED_VALUE"""),"Yes")</f>
        <v>Yes</v>
      </c>
      <c r="V88" s="5" t="str">
        <f>IFERROR(__xludf.DUMMYFUNCTION("""COMPUTED_VALUE"""),"Yes")</f>
        <v>Yes</v>
      </c>
      <c r="W88" s="5" t="str">
        <f>IFERROR(__xludf.DUMMYFUNCTION("""COMPUTED_VALUE"""),"Yes")</f>
        <v>Yes</v>
      </c>
      <c r="X88" s="5" t="str">
        <f>IFERROR(__xludf.DUMMYFUNCTION("""COMPUTED_VALUE"""),"Yes")</f>
        <v>Yes</v>
      </c>
      <c r="Y88" s="5" t="str">
        <f>IFERROR(__xludf.DUMMYFUNCTION("""COMPUTED_VALUE"""),"Yes")</f>
        <v>Yes</v>
      </c>
      <c r="Z88" s="5" t="str">
        <f>IFERROR(__xludf.DUMMYFUNCTION("""COMPUTED_VALUE"""),"Yes")</f>
        <v>Yes</v>
      </c>
      <c r="AA88" s="5" t="str">
        <f>IFERROR(__xludf.DUMMYFUNCTION("""COMPUTED_VALUE"""),"Yes")</f>
        <v>Yes</v>
      </c>
      <c r="AB88" s="5" t="str">
        <f>IFERROR(__xludf.DUMMYFUNCTION("""COMPUTED_VALUE"""),"Yes")</f>
        <v>Yes</v>
      </c>
      <c r="AC88" s="5" t="str">
        <f>IFERROR(__xludf.DUMMYFUNCTION("""COMPUTED_VALUE"""),"Yes")</f>
        <v>Yes</v>
      </c>
      <c r="AD88" s="5" t="str">
        <f>IFERROR(__xludf.DUMMYFUNCTION("""COMPUTED_VALUE"""),"Yes")</f>
        <v>Yes</v>
      </c>
      <c r="AE88" s="5" t="str">
        <f>IFERROR(__xludf.DUMMYFUNCTION("""COMPUTED_VALUE"""),"Yes")</f>
        <v>Yes</v>
      </c>
      <c r="AF88" s="5" t="str">
        <f>IFERROR(__xludf.DUMMYFUNCTION("""COMPUTED_VALUE"""),"Yes")</f>
        <v>Yes</v>
      </c>
      <c r="AG88" s="5" t="str">
        <f>IFERROR(__xludf.DUMMYFUNCTION("""COMPUTED_VALUE"""),"Yes")</f>
        <v>Yes</v>
      </c>
      <c r="AH88" s="5" t="str">
        <f>IFERROR(__xludf.DUMMYFUNCTION("""COMPUTED_VALUE"""),"Yes")</f>
        <v>Yes</v>
      </c>
      <c r="AI88" s="5" t="str">
        <f>IFERROR(__xludf.DUMMYFUNCTION("""COMPUTED_VALUE"""),"Yes")</f>
        <v>Yes</v>
      </c>
      <c r="AJ88" s="5" t="str">
        <f>IFERROR(__xludf.DUMMYFUNCTION("""COMPUTED_VALUE"""),"Yes")</f>
        <v>Yes</v>
      </c>
      <c r="AK88" s="5" t="str">
        <f>IFERROR(__xludf.DUMMYFUNCTION("""COMPUTED_VALUE"""),"Yes")</f>
        <v>Yes</v>
      </c>
      <c r="AL88" s="5" t="str">
        <f>IFERROR(__xludf.DUMMYFUNCTION("""COMPUTED_VALUE"""),"Yes")</f>
        <v>Yes</v>
      </c>
      <c r="AM88" s="5" t="str">
        <f>IFERROR(__xludf.DUMMYFUNCTION("""COMPUTED_VALUE"""),"Yes")</f>
        <v>Yes</v>
      </c>
      <c r="AN88" s="5" t="str">
        <f>IFERROR(__xludf.DUMMYFUNCTION("""COMPUTED_VALUE"""),"Yes")</f>
        <v>Yes</v>
      </c>
      <c r="AO88" s="5" t="str">
        <f>IFERROR(__xludf.DUMMYFUNCTION("""COMPUTED_VALUE"""),"Yes")</f>
        <v>Yes</v>
      </c>
      <c r="AP88" s="5" t="str">
        <f>IFERROR(__xludf.DUMMYFUNCTION("""COMPUTED_VALUE"""),"Yes")</f>
        <v>Yes</v>
      </c>
      <c r="AQ88" s="5" t="str">
        <f>IFERROR(__xludf.DUMMYFUNCTION("""COMPUTED_VALUE"""),"Yes")</f>
        <v>Yes</v>
      </c>
      <c r="AR88" s="5" t="str">
        <f>IFERROR(__xludf.DUMMYFUNCTION("""COMPUTED_VALUE"""),"Yes")</f>
        <v>Yes</v>
      </c>
      <c r="AS88" s="5" t="str">
        <f>IFERROR(__xludf.DUMMYFUNCTION("""COMPUTED_VALUE"""),"Yes")</f>
        <v>Yes</v>
      </c>
      <c r="AT88" s="5" t="str">
        <f>IFERROR(__xludf.DUMMYFUNCTION("""COMPUTED_VALUE"""),"No")</f>
        <v>No</v>
      </c>
      <c r="AU88" s="5"/>
      <c r="AV88" s="5" t="str">
        <f>IFERROR(__xludf.DUMMYFUNCTION("""COMPUTED_VALUE"""),"Available")</f>
        <v>Available</v>
      </c>
      <c r="AW88" s="5" t="str">
        <f>IFERROR(__xludf.DUMMYFUNCTION("""COMPUTED_VALUE"""),"Available")</f>
        <v>Available</v>
      </c>
      <c r="AX88" s="5" t="str">
        <f>IFERROR(__xludf.DUMMYFUNCTION("""COMPUTED_VALUE"""),"Available")</f>
        <v>Available</v>
      </c>
      <c r="AY88" s="5" t="str">
        <f>IFERROR(__xludf.DUMMYFUNCTION("""COMPUTED_VALUE"""),"Available")</f>
        <v>Available</v>
      </c>
      <c r="AZ88" s="5" t="str">
        <f>IFERROR(__xludf.DUMMYFUNCTION("""COMPUTED_VALUE"""),"Available")</f>
        <v>Available</v>
      </c>
      <c r="BA88" s="5" t="str">
        <f>IFERROR(__xludf.DUMMYFUNCTION("""COMPUTED_VALUE"""),"Available")</f>
        <v>Available</v>
      </c>
      <c r="BB88" s="5" t="str">
        <f>IFERROR(__xludf.DUMMYFUNCTION("""COMPUTED_VALUE"""),"Available")</f>
        <v>Available</v>
      </c>
      <c r="BC88" s="5" t="str">
        <f>IFERROR(__xludf.DUMMYFUNCTION("""COMPUTED_VALUE"""),"")</f>
        <v/>
      </c>
      <c r="BD88" s="5" t="str">
        <f>IFERROR(__xludf.DUMMYFUNCTION("""COMPUTED_VALUE"""),"Available")</f>
        <v>Available</v>
      </c>
      <c r="BE88" s="5" t="str">
        <f>IFERROR(__xludf.DUMMYFUNCTION("""COMPUTED_VALUE"""),"Available")</f>
        <v>Available</v>
      </c>
      <c r="BF88" s="5" t="str">
        <f>IFERROR(__xludf.DUMMYFUNCTION("""COMPUTED_VALUE"""),"")</f>
        <v/>
      </c>
      <c r="BG88" s="5" t="str">
        <f>IFERROR(__xludf.DUMMYFUNCTION("""COMPUTED_VALUE"""),"Available")</f>
        <v>Available</v>
      </c>
      <c r="BH88" s="5" t="str">
        <f>IFERROR(__xludf.DUMMYFUNCTION("""COMPUTED_VALUE"""),"Available")</f>
        <v>Available</v>
      </c>
      <c r="BI88" s="5" t="str">
        <f>IFERROR(__xludf.DUMMYFUNCTION("""COMPUTED_VALUE"""),"")</f>
        <v/>
      </c>
      <c r="BJ88" s="5" t="str">
        <f>IFERROR(__xludf.DUMMYFUNCTION("""COMPUTED_VALUE"""),"")</f>
        <v/>
      </c>
      <c r="BK88" s="5" t="str">
        <f>IFERROR(__xludf.DUMMYFUNCTION("""COMPUTED_VALUE"""),"Available")</f>
        <v>Available</v>
      </c>
      <c r="BL88" s="5" t="str">
        <f>IFERROR(__xludf.DUMMYFUNCTION("""COMPUTED_VALUE"""),"")</f>
        <v/>
      </c>
      <c r="BM88" s="5" t="str">
        <f>IFERROR(__xludf.DUMMYFUNCTION("""COMPUTED_VALUE"""),"Available")</f>
        <v>Available</v>
      </c>
    </row>
    <row r="89">
      <c r="A89" s="5" t="str">
        <f>IFERROR(__xludf.DUMMYFUNCTION("""COMPUTED_VALUE"""),"Fazi")</f>
        <v>Fazi</v>
      </c>
      <c r="B89" s="5" t="str">
        <f>IFERROR(__xludf.DUMMYFUNCTION("""COMPUTED_VALUE"""),"Fruits And Stars 20 Deluxe")</f>
        <v>Fruits And Stars 20 Deluxe</v>
      </c>
      <c r="C89" s="5" t="str">
        <f>IFERROR(__xludf.DUMMYFUNCTION("""COMPUTED_VALUE"""),"FruitsAndStars20Deluxe")</f>
        <v>FruitsAndStars20Deluxe</v>
      </c>
      <c r="D89" s="6">
        <f>IFERROR(__xludf.DUMMYFUNCTION("""COMPUTED_VALUE"""),44978.0)</f>
        <v>44978</v>
      </c>
      <c r="E89" s="5" t="str">
        <f>IFERROR(__xludf.DUMMYFUNCTION("""COMPUTED_VALUE"""),"Slot")</f>
        <v>Slot</v>
      </c>
      <c r="F89" s="5">
        <f>IFERROR(__xludf.DUMMYFUNCTION("""COMPUTED_VALUE"""),11.5)</f>
        <v>11.5</v>
      </c>
      <c r="G89" s="5" t="str">
        <f>IFERROR(__xludf.DUMMYFUNCTION("""COMPUTED_VALUE"""),"5x3")</f>
        <v>5x3</v>
      </c>
      <c r="H89" s="5" t="str">
        <f>IFERROR(__xludf.DUMMYFUNCTION("""COMPUTED_VALUE"""),"20")</f>
        <v>20</v>
      </c>
      <c r="I89" s="5" t="str">
        <f>IFERROR(__xludf.DUMMYFUNCTION("""COMPUTED_VALUE"""),"20")</f>
        <v>20</v>
      </c>
      <c r="J89" s="5" t="str">
        <f>IFERROR(__xludf.DUMMYFUNCTION("""COMPUTED_VALUE"""),"96.5%")</f>
        <v>96.5%</v>
      </c>
      <c r="K89" s="5" t="str">
        <f>IFERROR(__xludf.DUMMYFUNCTION("""COMPUTED_VALUE"""),"Low")</f>
        <v>Low</v>
      </c>
      <c r="L89" s="5" t="str">
        <f>IFERROR(__xludf.DUMMYFUNCTION("""COMPUTED_VALUE"""),"17.481%")</f>
        <v>17.481%</v>
      </c>
      <c r="M89" s="5" t="str">
        <f>IFERROR(__xludf.DUMMYFUNCTION("""COMPUTED_VALUE"""),"x1000")</f>
        <v>x1000</v>
      </c>
      <c r="N89" s="5" t="str">
        <f>IFERROR(__xludf.DUMMYFUNCTION("""COMPUTED_VALUE"""),"0.2/50")</f>
        <v>0.2/50</v>
      </c>
      <c r="O89" s="5" t="str">
        <f>IFERROR(__xludf.DUMMYFUNCTION("""COMPUTED_VALUE"""),"Yes")</f>
        <v>Yes</v>
      </c>
      <c r="P89" s="5" t="str">
        <f>IFERROR(__xludf.DUMMYFUNCTION("""COMPUTED_VALUE"""),"Scatter, Wild Symbol")</f>
        <v>Scatter, Wild Symbol</v>
      </c>
      <c r="Q89" s="7" t="str">
        <f>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R89" s="5" t="str">
        <f>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S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9" s="5" t="str">
        <f>IFERROR(__xludf.DUMMYFUNCTION("""COMPUTED_VALUE"""),"Yes")</f>
        <v>Yes</v>
      </c>
      <c r="U89" s="5" t="str">
        <f>IFERROR(__xludf.DUMMYFUNCTION("""COMPUTED_VALUE"""),"Yes")</f>
        <v>Yes</v>
      </c>
      <c r="V89" s="5" t="str">
        <f>IFERROR(__xludf.DUMMYFUNCTION("""COMPUTED_VALUE"""),"Yes")</f>
        <v>Yes</v>
      </c>
      <c r="W89" s="5" t="str">
        <f>IFERROR(__xludf.DUMMYFUNCTION("""COMPUTED_VALUE"""),"Yes")</f>
        <v>Yes</v>
      </c>
      <c r="X89" s="5" t="str">
        <f>IFERROR(__xludf.DUMMYFUNCTION("""COMPUTED_VALUE"""),"Yes")</f>
        <v>Yes</v>
      </c>
      <c r="Y89" s="5" t="str">
        <f>IFERROR(__xludf.DUMMYFUNCTION("""COMPUTED_VALUE"""),"Yes")</f>
        <v>Yes</v>
      </c>
      <c r="Z89" s="5" t="str">
        <f>IFERROR(__xludf.DUMMYFUNCTION("""COMPUTED_VALUE"""),"Yes")</f>
        <v>Yes</v>
      </c>
      <c r="AA89" s="5" t="str">
        <f>IFERROR(__xludf.DUMMYFUNCTION("""COMPUTED_VALUE"""),"Yes")</f>
        <v>Yes</v>
      </c>
      <c r="AB89" s="5" t="str">
        <f>IFERROR(__xludf.DUMMYFUNCTION("""COMPUTED_VALUE"""),"Yes")</f>
        <v>Yes</v>
      </c>
      <c r="AC89" s="5" t="str">
        <f>IFERROR(__xludf.DUMMYFUNCTION("""COMPUTED_VALUE"""),"Yes")</f>
        <v>Yes</v>
      </c>
      <c r="AD89" s="5" t="str">
        <f>IFERROR(__xludf.DUMMYFUNCTION("""COMPUTED_VALUE"""),"Yes")</f>
        <v>Yes</v>
      </c>
      <c r="AE89" s="5" t="str">
        <f>IFERROR(__xludf.DUMMYFUNCTION("""COMPUTED_VALUE"""),"Yes")</f>
        <v>Yes</v>
      </c>
      <c r="AF89" s="5" t="str">
        <f>IFERROR(__xludf.DUMMYFUNCTION("""COMPUTED_VALUE"""),"Yes")</f>
        <v>Yes</v>
      </c>
      <c r="AG89" s="5" t="str">
        <f>IFERROR(__xludf.DUMMYFUNCTION("""COMPUTED_VALUE"""),"Yes")</f>
        <v>Yes</v>
      </c>
      <c r="AH89" s="5" t="str">
        <f>IFERROR(__xludf.DUMMYFUNCTION("""COMPUTED_VALUE"""),"Yes")</f>
        <v>Yes</v>
      </c>
      <c r="AI89" s="5" t="str">
        <f>IFERROR(__xludf.DUMMYFUNCTION("""COMPUTED_VALUE"""),"Yes")</f>
        <v>Yes</v>
      </c>
      <c r="AJ89" s="5" t="str">
        <f>IFERROR(__xludf.DUMMYFUNCTION("""COMPUTED_VALUE"""),"Yes")</f>
        <v>Yes</v>
      </c>
      <c r="AK89" s="5" t="str">
        <f>IFERROR(__xludf.DUMMYFUNCTION("""COMPUTED_VALUE"""),"Yes")</f>
        <v>Yes</v>
      </c>
      <c r="AL89" s="5" t="str">
        <f>IFERROR(__xludf.DUMMYFUNCTION("""COMPUTED_VALUE"""),"Yes")</f>
        <v>Yes</v>
      </c>
      <c r="AM89" s="5" t="str">
        <f>IFERROR(__xludf.DUMMYFUNCTION("""COMPUTED_VALUE"""),"Yes")</f>
        <v>Yes</v>
      </c>
      <c r="AN89" s="5" t="str">
        <f>IFERROR(__xludf.DUMMYFUNCTION("""COMPUTED_VALUE"""),"Yes")</f>
        <v>Yes</v>
      </c>
      <c r="AO89" s="5" t="str">
        <f>IFERROR(__xludf.DUMMYFUNCTION("""COMPUTED_VALUE"""),"Yes")</f>
        <v>Yes</v>
      </c>
      <c r="AP89" s="5" t="str">
        <f>IFERROR(__xludf.DUMMYFUNCTION("""COMPUTED_VALUE"""),"Yes")</f>
        <v>Yes</v>
      </c>
      <c r="AQ89" s="5" t="str">
        <f>IFERROR(__xludf.DUMMYFUNCTION("""COMPUTED_VALUE"""),"Yes")</f>
        <v>Yes</v>
      </c>
      <c r="AR89" s="5" t="str">
        <f>IFERROR(__xludf.DUMMYFUNCTION("""COMPUTED_VALUE"""),"Yes")</f>
        <v>Yes</v>
      </c>
      <c r="AS89" s="5" t="str">
        <f>IFERROR(__xludf.DUMMYFUNCTION("""COMPUTED_VALUE"""),"Yes")</f>
        <v>Yes</v>
      </c>
      <c r="AT89" s="5" t="str">
        <f>IFERROR(__xludf.DUMMYFUNCTION("""COMPUTED_VALUE"""),"No")</f>
        <v>No</v>
      </c>
      <c r="AU89" s="5"/>
      <c r="AV89" s="5" t="str">
        <f>IFERROR(__xludf.DUMMYFUNCTION("""COMPUTED_VALUE"""),"")</f>
        <v/>
      </c>
      <c r="AW89" s="5" t="str">
        <f>IFERROR(__xludf.DUMMYFUNCTION("""COMPUTED_VALUE"""),"")</f>
        <v/>
      </c>
      <c r="AX89" s="5" t="str">
        <f>IFERROR(__xludf.DUMMYFUNCTION("""COMPUTED_VALUE"""),"")</f>
        <v/>
      </c>
      <c r="AY89" s="5" t="str">
        <f>IFERROR(__xludf.DUMMYFUNCTION("""COMPUTED_VALUE"""),"")</f>
        <v/>
      </c>
      <c r="AZ89" s="5" t="str">
        <f>IFERROR(__xludf.DUMMYFUNCTION("""COMPUTED_VALUE"""),"Available")</f>
        <v>Available</v>
      </c>
      <c r="BA89" s="5" t="str">
        <f>IFERROR(__xludf.DUMMYFUNCTION("""COMPUTED_VALUE"""),"Available")</f>
        <v>Available</v>
      </c>
      <c r="BB89" s="5" t="str">
        <f>IFERROR(__xludf.DUMMYFUNCTION("""COMPUTED_VALUE"""),"Available")</f>
        <v>Available</v>
      </c>
      <c r="BC89" s="5" t="str">
        <f>IFERROR(__xludf.DUMMYFUNCTION("""COMPUTED_VALUE"""),"Available")</f>
        <v>Available</v>
      </c>
      <c r="BD89" s="5" t="str">
        <f>IFERROR(__xludf.DUMMYFUNCTION("""COMPUTED_VALUE"""),"")</f>
        <v/>
      </c>
      <c r="BE89" s="5" t="str">
        <f>IFERROR(__xludf.DUMMYFUNCTION("""COMPUTED_VALUE"""),"")</f>
        <v/>
      </c>
      <c r="BF89" s="5" t="str">
        <f>IFERROR(__xludf.DUMMYFUNCTION("""COMPUTED_VALUE"""),"")</f>
        <v/>
      </c>
      <c r="BG89" s="5" t="str">
        <f>IFERROR(__xludf.DUMMYFUNCTION("""COMPUTED_VALUE"""),"")</f>
        <v/>
      </c>
      <c r="BH89" s="5" t="str">
        <f>IFERROR(__xludf.DUMMYFUNCTION("""COMPUTED_VALUE"""),"")</f>
        <v/>
      </c>
      <c r="BI89" s="5" t="str">
        <f>IFERROR(__xludf.DUMMYFUNCTION("""COMPUTED_VALUE"""),"")</f>
        <v/>
      </c>
      <c r="BJ89" s="5" t="str">
        <f>IFERROR(__xludf.DUMMYFUNCTION("""COMPUTED_VALUE"""),"")</f>
        <v/>
      </c>
      <c r="BK89" s="5" t="str">
        <f>IFERROR(__xludf.DUMMYFUNCTION("""COMPUTED_VALUE"""),"Available")</f>
        <v>Available</v>
      </c>
      <c r="BL89" s="5" t="str">
        <f>IFERROR(__xludf.DUMMYFUNCTION("""COMPUTED_VALUE"""),"")</f>
        <v/>
      </c>
      <c r="BM89" s="5" t="str">
        <f>IFERROR(__xludf.DUMMYFUNCTION("""COMPUTED_VALUE"""),"")</f>
        <v/>
      </c>
    </row>
    <row r="90">
      <c r="A90" s="5" t="str">
        <f>IFERROR(__xludf.DUMMYFUNCTION("""COMPUTED_VALUE"""),"Fazi")</f>
        <v>Fazi</v>
      </c>
      <c r="B90" s="5" t="str">
        <f>IFERROR(__xludf.DUMMYFUNCTION("""COMPUTED_VALUE"""),"Very Hot 40 Respin")</f>
        <v>Very Hot 40 Respin</v>
      </c>
      <c r="C90" s="5" t="str">
        <f>IFERROR(__xludf.DUMMYFUNCTION("""COMPUTED_VALUE"""),"VeryHot40Respin")</f>
        <v>VeryHot40Respin</v>
      </c>
      <c r="D90" s="6">
        <f>IFERROR(__xludf.DUMMYFUNCTION("""COMPUTED_VALUE"""),44847.0)</f>
        <v>44847</v>
      </c>
      <c r="E90" s="5" t="str">
        <f>IFERROR(__xludf.DUMMYFUNCTION("""COMPUTED_VALUE"""),"Slot")</f>
        <v>Slot</v>
      </c>
      <c r="F90" s="5">
        <f>IFERROR(__xludf.DUMMYFUNCTION("""COMPUTED_VALUE"""),25.2)</f>
        <v>25.2</v>
      </c>
      <c r="G90" s="5" t="str">
        <f>IFERROR(__xludf.DUMMYFUNCTION("""COMPUTED_VALUE"""),"5x3")</f>
        <v>5x3</v>
      </c>
      <c r="H90" s="5" t="str">
        <f>IFERROR(__xludf.DUMMYFUNCTION("""COMPUTED_VALUE"""),"40")</f>
        <v>40</v>
      </c>
      <c r="I90" s="5" t="str">
        <f>IFERROR(__xludf.DUMMYFUNCTION("""COMPUTED_VALUE"""),"40")</f>
        <v>40</v>
      </c>
      <c r="J90" s="5" t="str">
        <f>IFERROR(__xludf.DUMMYFUNCTION("""COMPUTED_VALUE"""),"96.342%")</f>
        <v>96.342%</v>
      </c>
      <c r="K90" s="5" t="str">
        <f>IFERROR(__xludf.DUMMYFUNCTION("""COMPUTED_VALUE"""),"Medium")</f>
        <v>Medium</v>
      </c>
      <c r="L90" s="5" t="str">
        <f>IFERROR(__xludf.DUMMYFUNCTION("""COMPUTED_VALUE"""),"21.45%")</f>
        <v>21.45%</v>
      </c>
      <c r="M90" s="5" t="str">
        <f>IFERROR(__xludf.DUMMYFUNCTION("""COMPUTED_VALUE"""),"x1744")</f>
        <v>x1744</v>
      </c>
      <c r="N90" s="5" t="str">
        <f>IFERROR(__xludf.DUMMYFUNCTION("""COMPUTED_VALUE"""),"0.4/60")</f>
        <v>0.4/60</v>
      </c>
      <c r="O90" s="5" t="str">
        <f>IFERROR(__xludf.DUMMYFUNCTION("""COMPUTED_VALUE"""),"Yes")</f>
        <v>Yes</v>
      </c>
      <c r="P90" s="5" t="str">
        <f>IFERROR(__xludf.DUMMYFUNCTION("""COMPUTED_VALUE"""),"Scatter, Expanding Wild, Respin")</f>
        <v>Scatter, Expanding Wild, Respin</v>
      </c>
      <c r="Q90" s="7" t="str">
        <f>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R90" s="5" t="str">
        <f>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S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0" s="5" t="str">
        <f>IFERROR(__xludf.DUMMYFUNCTION("""COMPUTED_VALUE"""),"Yes")</f>
        <v>Yes</v>
      </c>
      <c r="U90" s="5" t="str">
        <f>IFERROR(__xludf.DUMMYFUNCTION("""COMPUTED_VALUE"""),"Yes")</f>
        <v>Yes</v>
      </c>
      <c r="V90" s="5" t="str">
        <f>IFERROR(__xludf.DUMMYFUNCTION("""COMPUTED_VALUE"""),"Yes")</f>
        <v>Yes</v>
      </c>
      <c r="W90" s="5" t="str">
        <f>IFERROR(__xludf.DUMMYFUNCTION("""COMPUTED_VALUE"""),"Yes")</f>
        <v>Yes</v>
      </c>
      <c r="X90" s="5" t="str">
        <f>IFERROR(__xludf.DUMMYFUNCTION("""COMPUTED_VALUE"""),"Yes")</f>
        <v>Yes</v>
      </c>
      <c r="Y90" s="5" t="str">
        <f>IFERROR(__xludf.DUMMYFUNCTION("""COMPUTED_VALUE"""),"Yes")</f>
        <v>Yes</v>
      </c>
      <c r="Z90" s="5" t="str">
        <f>IFERROR(__xludf.DUMMYFUNCTION("""COMPUTED_VALUE"""),"Yes")</f>
        <v>Yes</v>
      </c>
      <c r="AA90" s="5" t="str">
        <f>IFERROR(__xludf.DUMMYFUNCTION("""COMPUTED_VALUE"""),"Yes")</f>
        <v>Yes</v>
      </c>
      <c r="AB90" s="5" t="str">
        <f>IFERROR(__xludf.DUMMYFUNCTION("""COMPUTED_VALUE"""),"Yes")</f>
        <v>Yes</v>
      </c>
      <c r="AC90" s="5" t="str">
        <f>IFERROR(__xludf.DUMMYFUNCTION("""COMPUTED_VALUE"""),"Yes")</f>
        <v>Yes</v>
      </c>
      <c r="AD90" s="5" t="str">
        <f>IFERROR(__xludf.DUMMYFUNCTION("""COMPUTED_VALUE"""),"Yes")</f>
        <v>Yes</v>
      </c>
      <c r="AE90" s="5" t="str">
        <f>IFERROR(__xludf.DUMMYFUNCTION("""COMPUTED_VALUE"""),"Yes")</f>
        <v>Yes</v>
      </c>
      <c r="AF90" s="5" t="str">
        <f>IFERROR(__xludf.DUMMYFUNCTION("""COMPUTED_VALUE"""),"Yes")</f>
        <v>Yes</v>
      </c>
      <c r="AG90" s="5" t="str">
        <f>IFERROR(__xludf.DUMMYFUNCTION("""COMPUTED_VALUE"""),"Yes")</f>
        <v>Yes</v>
      </c>
      <c r="AH90" s="5" t="str">
        <f>IFERROR(__xludf.DUMMYFUNCTION("""COMPUTED_VALUE"""),"Yes")</f>
        <v>Yes</v>
      </c>
      <c r="AI90" s="5" t="str">
        <f>IFERROR(__xludf.DUMMYFUNCTION("""COMPUTED_VALUE"""),"Yes")</f>
        <v>Yes</v>
      </c>
      <c r="AJ90" s="5" t="str">
        <f>IFERROR(__xludf.DUMMYFUNCTION("""COMPUTED_VALUE"""),"Yes")</f>
        <v>Yes</v>
      </c>
      <c r="AK90" s="5" t="str">
        <f>IFERROR(__xludf.DUMMYFUNCTION("""COMPUTED_VALUE"""),"Yes")</f>
        <v>Yes</v>
      </c>
      <c r="AL90" s="5" t="str">
        <f>IFERROR(__xludf.DUMMYFUNCTION("""COMPUTED_VALUE"""),"Yes")</f>
        <v>Yes</v>
      </c>
      <c r="AM90" s="5" t="str">
        <f>IFERROR(__xludf.DUMMYFUNCTION("""COMPUTED_VALUE"""),"Yes")</f>
        <v>Yes</v>
      </c>
      <c r="AN90" s="5" t="str">
        <f>IFERROR(__xludf.DUMMYFUNCTION("""COMPUTED_VALUE"""),"Yes")</f>
        <v>Yes</v>
      </c>
      <c r="AO90" s="5" t="str">
        <f>IFERROR(__xludf.DUMMYFUNCTION("""COMPUTED_VALUE"""),"Yes")</f>
        <v>Yes</v>
      </c>
      <c r="AP90" s="5" t="str">
        <f>IFERROR(__xludf.DUMMYFUNCTION("""COMPUTED_VALUE"""),"Yes")</f>
        <v>Yes</v>
      </c>
      <c r="AQ90" s="5" t="str">
        <f>IFERROR(__xludf.DUMMYFUNCTION("""COMPUTED_VALUE"""),"Yes")</f>
        <v>Yes</v>
      </c>
      <c r="AR90" s="5" t="str">
        <f>IFERROR(__xludf.DUMMYFUNCTION("""COMPUTED_VALUE"""),"Yes")</f>
        <v>Yes</v>
      </c>
      <c r="AS90" s="5" t="str">
        <f>IFERROR(__xludf.DUMMYFUNCTION("""COMPUTED_VALUE"""),"Yes")</f>
        <v>Yes</v>
      </c>
      <c r="AT90" s="5" t="str">
        <f>IFERROR(__xludf.DUMMYFUNCTION("""COMPUTED_VALUE"""),"No")</f>
        <v>No</v>
      </c>
      <c r="AU90" s="5"/>
      <c r="AV90" s="5" t="str">
        <f>IFERROR(__xludf.DUMMYFUNCTION("""COMPUTED_VALUE"""),"Available")</f>
        <v>Available</v>
      </c>
      <c r="AW90" s="5" t="str">
        <f>IFERROR(__xludf.DUMMYFUNCTION("""COMPUTED_VALUE"""),"")</f>
        <v/>
      </c>
      <c r="AX90" s="5" t="str">
        <f>IFERROR(__xludf.DUMMYFUNCTION("""COMPUTED_VALUE"""),"Available")</f>
        <v>Available</v>
      </c>
      <c r="AY90" s="5" t="str">
        <f>IFERROR(__xludf.DUMMYFUNCTION("""COMPUTED_VALUE"""),"")</f>
        <v/>
      </c>
      <c r="AZ90" s="5" t="str">
        <f>IFERROR(__xludf.DUMMYFUNCTION("""COMPUTED_VALUE"""),"Available")</f>
        <v>Available</v>
      </c>
      <c r="BA90" s="5" t="str">
        <f>IFERROR(__xludf.DUMMYFUNCTION("""COMPUTED_VALUE"""),"Available")</f>
        <v>Available</v>
      </c>
      <c r="BB90" s="5" t="str">
        <f>IFERROR(__xludf.DUMMYFUNCTION("""COMPUTED_VALUE"""),"Available")</f>
        <v>Available</v>
      </c>
      <c r="BC90" s="5" t="str">
        <f>IFERROR(__xludf.DUMMYFUNCTION("""COMPUTED_VALUE"""),"Available")</f>
        <v>Available</v>
      </c>
      <c r="BD90" s="5" t="str">
        <f>IFERROR(__xludf.DUMMYFUNCTION("""COMPUTED_VALUE"""),"")</f>
        <v/>
      </c>
      <c r="BE90" s="5" t="str">
        <f>IFERROR(__xludf.DUMMYFUNCTION("""COMPUTED_VALUE"""),"")</f>
        <v/>
      </c>
      <c r="BF90" s="5" t="str">
        <f>IFERROR(__xludf.DUMMYFUNCTION("""COMPUTED_VALUE"""),"")</f>
        <v/>
      </c>
      <c r="BG90" s="5" t="str">
        <f>IFERROR(__xludf.DUMMYFUNCTION("""COMPUTED_VALUE"""),"Available")</f>
        <v>Available</v>
      </c>
      <c r="BH90" s="5" t="str">
        <f>IFERROR(__xludf.DUMMYFUNCTION("""COMPUTED_VALUE"""),"")</f>
        <v/>
      </c>
      <c r="BI90" s="5" t="str">
        <f>IFERROR(__xludf.DUMMYFUNCTION("""COMPUTED_VALUE"""),"")</f>
        <v/>
      </c>
      <c r="BJ90" s="5" t="str">
        <f>IFERROR(__xludf.DUMMYFUNCTION("""COMPUTED_VALUE"""),"")</f>
        <v/>
      </c>
      <c r="BK90" s="5" t="str">
        <f>IFERROR(__xludf.DUMMYFUNCTION("""COMPUTED_VALUE"""),"Available")</f>
        <v>Available</v>
      </c>
      <c r="BL90" s="5" t="str">
        <f>IFERROR(__xludf.DUMMYFUNCTION("""COMPUTED_VALUE"""),"")</f>
        <v/>
      </c>
      <c r="BM90" s="5" t="str">
        <f>IFERROR(__xludf.DUMMYFUNCTION("""COMPUTED_VALUE"""),"")</f>
        <v/>
      </c>
    </row>
    <row r="91">
      <c r="A91" s="5" t="str">
        <f>IFERROR(__xludf.DUMMYFUNCTION("""COMPUTED_VALUE"""),"Fazi")</f>
        <v>Fazi</v>
      </c>
      <c r="B91" s="5" t="str">
        <f>IFERROR(__xludf.DUMMYFUNCTION("""COMPUTED_VALUE"""),"African Treasure")</f>
        <v>African Treasure</v>
      </c>
      <c r="C91" s="5" t="str">
        <f>IFERROR(__xludf.DUMMYFUNCTION("""COMPUTED_VALUE"""),"AfricanTreasure")</f>
        <v>AfricanTreasure</v>
      </c>
      <c r="D91" s="6">
        <f>IFERROR(__xludf.DUMMYFUNCTION("""COMPUTED_VALUE"""),44922.0)</f>
        <v>44922</v>
      </c>
      <c r="E91" s="5" t="str">
        <f>IFERROR(__xludf.DUMMYFUNCTION("""COMPUTED_VALUE"""),"Slot")</f>
        <v>Slot</v>
      </c>
      <c r="F91" s="5">
        <f>IFERROR(__xludf.DUMMYFUNCTION("""COMPUTED_VALUE"""),6.0)</f>
        <v>6</v>
      </c>
      <c r="G91" s="5" t="str">
        <f>IFERROR(__xludf.DUMMYFUNCTION("""COMPUTED_VALUE"""),"5x3")</f>
        <v>5x3</v>
      </c>
      <c r="H91" s="5" t="str">
        <f>IFERROR(__xludf.DUMMYFUNCTION("""COMPUTED_VALUE"""),"5")</f>
        <v>5</v>
      </c>
      <c r="I91" s="5" t="str">
        <f>IFERROR(__xludf.DUMMYFUNCTION("""COMPUTED_VALUE"""),"5")</f>
        <v>5</v>
      </c>
      <c r="J91" s="5" t="str">
        <f>IFERROR(__xludf.DUMMYFUNCTION("""COMPUTED_VALUE"""),"96.521%")</f>
        <v>96.521%</v>
      </c>
      <c r="K91" s="5" t="str">
        <f>IFERROR(__xludf.DUMMYFUNCTION("""COMPUTED_VALUE"""),"Medium")</f>
        <v>Medium</v>
      </c>
      <c r="L91" s="5" t="str">
        <f>IFERROR(__xludf.DUMMYFUNCTION("""COMPUTED_VALUE"""),"13.01%")</f>
        <v>13.01%</v>
      </c>
      <c r="M91" s="5" t="str">
        <f>IFERROR(__xludf.DUMMYFUNCTION("""COMPUTED_VALUE"""),"x1000")</f>
        <v>x1000</v>
      </c>
      <c r="N91" s="5" t="str">
        <f>IFERROR(__xludf.DUMMYFUNCTION("""COMPUTED_VALUE"""),"0.05/50")</f>
        <v>0.05/50</v>
      </c>
      <c r="O91" s="5" t="str">
        <f>IFERROR(__xludf.DUMMYFUNCTION("""COMPUTED_VALUE"""),"Yes")</f>
        <v>Yes</v>
      </c>
      <c r="P91" s="5" t="str">
        <f>IFERROR(__xludf.DUMMYFUNCTION("""COMPUTED_VALUE"""),"Scatter")</f>
        <v>Scatter</v>
      </c>
      <c r="Q91" s="7" t="str">
        <f>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R91" s="5" t="str">
        <f>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S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1" s="5" t="str">
        <f>IFERROR(__xludf.DUMMYFUNCTION("""COMPUTED_VALUE"""),"Yes")</f>
        <v>Yes</v>
      </c>
      <c r="U91" s="5" t="str">
        <f>IFERROR(__xludf.DUMMYFUNCTION("""COMPUTED_VALUE"""),"Yes")</f>
        <v>Yes</v>
      </c>
      <c r="V91" s="5" t="str">
        <f>IFERROR(__xludf.DUMMYFUNCTION("""COMPUTED_VALUE"""),"Yes")</f>
        <v>Yes</v>
      </c>
      <c r="W91" s="5" t="str">
        <f>IFERROR(__xludf.DUMMYFUNCTION("""COMPUTED_VALUE"""),"Yes")</f>
        <v>Yes</v>
      </c>
      <c r="X91" s="5" t="str">
        <f>IFERROR(__xludf.DUMMYFUNCTION("""COMPUTED_VALUE"""),"Yes")</f>
        <v>Yes</v>
      </c>
      <c r="Y91" s="5" t="str">
        <f>IFERROR(__xludf.DUMMYFUNCTION("""COMPUTED_VALUE"""),"Yes")</f>
        <v>Yes</v>
      </c>
      <c r="Z91" s="5" t="str">
        <f>IFERROR(__xludf.DUMMYFUNCTION("""COMPUTED_VALUE"""),"Yes")</f>
        <v>Yes</v>
      </c>
      <c r="AA91" s="5" t="str">
        <f>IFERROR(__xludf.DUMMYFUNCTION("""COMPUTED_VALUE"""),"Yes")</f>
        <v>Yes</v>
      </c>
      <c r="AB91" s="5" t="str">
        <f>IFERROR(__xludf.DUMMYFUNCTION("""COMPUTED_VALUE"""),"Yes")</f>
        <v>Yes</v>
      </c>
      <c r="AC91" s="5" t="str">
        <f>IFERROR(__xludf.DUMMYFUNCTION("""COMPUTED_VALUE"""),"Yes")</f>
        <v>Yes</v>
      </c>
      <c r="AD91" s="5" t="str">
        <f>IFERROR(__xludf.DUMMYFUNCTION("""COMPUTED_VALUE"""),"Yes")</f>
        <v>Yes</v>
      </c>
      <c r="AE91" s="5" t="str">
        <f>IFERROR(__xludf.DUMMYFUNCTION("""COMPUTED_VALUE"""),"Yes")</f>
        <v>Yes</v>
      </c>
      <c r="AF91" s="5" t="str">
        <f>IFERROR(__xludf.DUMMYFUNCTION("""COMPUTED_VALUE"""),"Yes")</f>
        <v>Yes</v>
      </c>
      <c r="AG91" s="5" t="str">
        <f>IFERROR(__xludf.DUMMYFUNCTION("""COMPUTED_VALUE"""),"Yes")</f>
        <v>Yes</v>
      </c>
      <c r="AH91" s="5" t="str">
        <f>IFERROR(__xludf.DUMMYFUNCTION("""COMPUTED_VALUE"""),"Yes")</f>
        <v>Yes</v>
      </c>
      <c r="AI91" s="5" t="str">
        <f>IFERROR(__xludf.DUMMYFUNCTION("""COMPUTED_VALUE"""),"Yes")</f>
        <v>Yes</v>
      </c>
      <c r="AJ91" s="5" t="str">
        <f>IFERROR(__xludf.DUMMYFUNCTION("""COMPUTED_VALUE"""),"Yes")</f>
        <v>Yes</v>
      </c>
      <c r="AK91" s="5" t="str">
        <f>IFERROR(__xludf.DUMMYFUNCTION("""COMPUTED_VALUE"""),"Yes")</f>
        <v>Yes</v>
      </c>
      <c r="AL91" s="5" t="str">
        <f>IFERROR(__xludf.DUMMYFUNCTION("""COMPUTED_VALUE"""),"Yes")</f>
        <v>Yes</v>
      </c>
      <c r="AM91" s="5" t="str">
        <f>IFERROR(__xludf.DUMMYFUNCTION("""COMPUTED_VALUE"""),"Yes")</f>
        <v>Yes</v>
      </c>
      <c r="AN91" s="5" t="str">
        <f>IFERROR(__xludf.DUMMYFUNCTION("""COMPUTED_VALUE"""),"Yes")</f>
        <v>Yes</v>
      </c>
      <c r="AO91" s="5" t="str">
        <f>IFERROR(__xludf.DUMMYFUNCTION("""COMPUTED_VALUE"""),"Yes")</f>
        <v>Yes</v>
      </c>
      <c r="AP91" s="5" t="str">
        <f>IFERROR(__xludf.DUMMYFUNCTION("""COMPUTED_VALUE"""),"Yes")</f>
        <v>Yes</v>
      </c>
      <c r="AQ91" s="5" t="str">
        <f>IFERROR(__xludf.DUMMYFUNCTION("""COMPUTED_VALUE"""),"Yes")</f>
        <v>Yes</v>
      </c>
      <c r="AR91" s="5" t="str">
        <f>IFERROR(__xludf.DUMMYFUNCTION("""COMPUTED_VALUE"""),"Yes")</f>
        <v>Yes</v>
      </c>
      <c r="AS91" s="5" t="str">
        <f>IFERROR(__xludf.DUMMYFUNCTION("""COMPUTED_VALUE"""),"Yes")</f>
        <v>Yes</v>
      </c>
      <c r="AT91" s="5" t="str">
        <f>IFERROR(__xludf.DUMMYFUNCTION("""COMPUTED_VALUE"""),"No")</f>
        <v>No</v>
      </c>
      <c r="AU91" s="5"/>
      <c r="AV91" s="5" t="str">
        <f>IFERROR(__xludf.DUMMYFUNCTION("""COMPUTED_VALUE"""),"")</f>
        <v/>
      </c>
      <c r="AW91" s="5" t="str">
        <f>IFERROR(__xludf.DUMMYFUNCTION("""COMPUTED_VALUE"""),"")</f>
        <v/>
      </c>
      <c r="AX91" s="5" t="str">
        <f>IFERROR(__xludf.DUMMYFUNCTION("""COMPUTED_VALUE"""),"")</f>
        <v/>
      </c>
      <c r="AY91" s="5" t="str">
        <f>IFERROR(__xludf.DUMMYFUNCTION("""COMPUTED_VALUE"""),"")</f>
        <v/>
      </c>
      <c r="AZ91" s="5" t="str">
        <f>IFERROR(__xludf.DUMMYFUNCTION("""COMPUTED_VALUE"""),"")</f>
        <v/>
      </c>
      <c r="BA91" s="5" t="str">
        <f>IFERROR(__xludf.DUMMYFUNCTION("""COMPUTED_VALUE"""),"")</f>
        <v/>
      </c>
      <c r="BB91" s="5" t="str">
        <f>IFERROR(__xludf.DUMMYFUNCTION("""COMPUTED_VALUE"""),"Available")</f>
        <v>Available</v>
      </c>
      <c r="BC91" s="5" t="str">
        <f>IFERROR(__xludf.DUMMYFUNCTION("""COMPUTED_VALUE"""),"")</f>
        <v/>
      </c>
      <c r="BD91" s="5" t="str">
        <f>IFERROR(__xludf.DUMMYFUNCTION("""COMPUTED_VALUE"""),"Available")</f>
        <v>Available</v>
      </c>
      <c r="BE91" s="5" t="str">
        <f>IFERROR(__xludf.DUMMYFUNCTION("""COMPUTED_VALUE"""),"")</f>
        <v/>
      </c>
      <c r="BF91" s="5" t="str">
        <f>IFERROR(__xludf.DUMMYFUNCTION("""COMPUTED_VALUE"""),"")</f>
        <v/>
      </c>
      <c r="BG91" s="5" t="str">
        <f>IFERROR(__xludf.DUMMYFUNCTION("""COMPUTED_VALUE"""),"")</f>
        <v/>
      </c>
      <c r="BH91" s="5" t="str">
        <f>IFERROR(__xludf.DUMMYFUNCTION("""COMPUTED_VALUE"""),"")</f>
        <v/>
      </c>
      <c r="BI91" s="5" t="str">
        <f>IFERROR(__xludf.DUMMYFUNCTION("""COMPUTED_VALUE"""),"")</f>
        <v/>
      </c>
      <c r="BJ91" s="5" t="str">
        <f>IFERROR(__xludf.DUMMYFUNCTION("""COMPUTED_VALUE"""),"")</f>
        <v/>
      </c>
      <c r="BK91" s="5" t="str">
        <f>IFERROR(__xludf.DUMMYFUNCTION("""COMPUTED_VALUE"""),"")</f>
        <v/>
      </c>
      <c r="BL91" s="5" t="str">
        <f>IFERROR(__xludf.DUMMYFUNCTION("""COMPUTED_VALUE"""),"")</f>
        <v/>
      </c>
      <c r="BM91" s="5" t="str">
        <f>IFERROR(__xludf.DUMMYFUNCTION("""COMPUTED_VALUE"""),"")</f>
        <v/>
      </c>
    </row>
    <row r="92">
      <c r="A92" s="5" t="str">
        <f>IFERROR(__xludf.DUMMYFUNCTION("""COMPUTED_VALUE"""),"Fazi")</f>
        <v>Fazi</v>
      </c>
      <c r="B92" s="5" t="str">
        <f>IFERROR(__xludf.DUMMYFUNCTION("""COMPUTED_VALUE"""),"Wild Hot 40 Blow")</f>
        <v>Wild Hot 40 Blow</v>
      </c>
      <c r="C92" s="5" t="str">
        <f>IFERROR(__xludf.DUMMYFUNCTION("""COMPUTED_VALUE"""),"WildHot40Blow")</f>
        <v>WildHot40Blow</v>
      </c>
      <c r="D92" s="6">
        <f>IFERROR(__xludf.DUMMYFUNCTION("""COMPUTED_VALUE"""),44910.0)</f>
        <v>44910</v>
      </c>
      <c r="E92" s="5" t="str">
        <f>IFERROR(__xludf.DUMMYFUNCTION("""COMPUTED_VALUE"""),"Slot")</f>
        <v>Slot</v>
      </c>
      <c r="F92" s="5">
        <f>IFERROR(__xludf.DUMMYFUNCTION("""COMPUTED_VALUE"""),35.0)</f>
        <v>35</v>
      </c>
      <c r="G92" s="5" t="str">
        <f>IFERROR(__xludf.DUMMYFUNCTION("""COMPUTED_VALUE"""),"5x4")</f>
        <v>5x4</v>
      </c>
      <c r="H92" s="5" t="str">
        <f>IFERROR(__xludf.DUMMYFUNCTION("""COMPUTED_VALUE"""),"40")</f>
        <v>40</v>
      </c>
      <c r="I92" s="5" t="str">
        <f>IFERROR(__xludf.DUMMYFUNCTION("""COMPUTED_VALUE"""),"40")</f>
        <v>40</v>
      </c>
      <c r="J92" s="5" t="str">
        <f>IFERROR(__xludf.DUMMYFUNCTION("""COMPUTED_VALUE"""),"96.269%")</f>
        <v>96.269%</v>
      </c>
      <c r="K92" s="5" t="str">
        <f>IFERROR(__xludf.DUMMYFUNCTION("""COMPUTED_VALUE"""),"Medium")</f>
        <v>Medium</v>
      </c>
      <c r="L92" s="5" t="str">
        <f>IFERROR(__xludf.DUMMYFUNCTION("""COMPUTED_VALUE"""),"13.88%")</f>
        <v>13.88%</v>
      </c>
      <c r="M92" s="5" t="str">
        <f>IFERROR(__xludf.DUMMYFUNCTION("""COMPUTED_VALUE"""),"x1000")</f>
        <v>x1000</v>
      </c>
      <c r="N92" s="5" t="str">
        <f>IFERROR(__xludf.DUMMYFUNCTION("""COMPUTED_VALUE"""),"0.40/60")</f>
        <v>0.40/60</v>
      </c>
      <c r="O92" s="5" t="str">
        <f>IFERROR(__xludf.DUMMYFUNCTION("""COMPUTED_VALUE"""),"Yes")</f>
        <v>Yes</v>
      </c>
      <c r="P92" s="5" t="str">
        <f>IFERROR(__xludf.DUMMYFUNCTION("""COMPUTED_VALUE"""),"Wild Symbol, Scatter, Exploding Wild")</f>
        <v>Wild Symbol, Scatter, Exploding Wild</v>
      </c>
      <c r="Q92" s="7" t="str">
        <f>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R92" s="5" t="str">
        <f>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S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2" s="5" t="str">
        <f>IFERROR(__xludf.DUMMYFUNCTION("""COMPUTED_VALUE"""),"Yes")</f>
        <v>Yes</v>
      </c>
      <c r="U92" s="5" t="str">
        <f>IFERROR(__xludf.DUMMYFUNCTION("""COMPUTED_VALUE"""),"Yes")</f>
        <v>Yes</v>
      </c>
      <c r="V92" s="5" t="str">
        <f>IFERROR(__xludf.DUMMYFUNCTION("""COMPUTED_VALUE"""),"Yes")</f>
        <v>Yes</v>
      </c>
      <c r="W92" s="5" t="str">
        <f>IFERROR(__xludf.DUMMYFUNCTION("""COMPUTED_VALUE"""),"Yes")</f>
        <v>Yes</v>
      </c>
      <c r="X92" s="5" t="str">
        <f>IFERROR(__xludf.DUMMYFUNCTION("""COMPUTED_VALUE"""),"Yes")</f>
        <v>Yes</v>
      </c>
      <c r="Y92" s="5" t="str">
        <f>IFERROR(__xludf.DUMMYFUNCTION("""COMPUTED_VALUE"""),"Yes")</f>
        <v>Yes</v>
      </c>
      <c r="Z92" s="5" t="str">
        <f>IFERROR(__xludf.DUMMYFUNCTION("""COMPUTED_VALUE"""),"Yes")</f>
        <v>Yes</v>
      </c>
      <c r="AA92" s="5" t="str">
        <f>IFERROR(__xludf.DUMMYFUNCTION("""COMPUTED_VALUE"""),"Yes")</f>
        <v>Yes</v>
      </c>
      <c r="AB92" s="5" t="str">
        <f>IFERROR(__xludf.DUMMYFUNCTION("""COMPUTED_VALUE"""),"Yes")</f>
        <v>Yes</v>
      </c>
      <c r="AC92" s="5" t="str">
        <f>IFERROR(__xludf.DUMMYFUNCTION("""COMPUTED_VALUE"""),"Yes")</f>
        <v>Yes</v>
      </c>
      <c r="AD92" s="5" t="str">
        <f>IFERROR(__xludf.DUMMYFUNCTION("""COMPUTED_VALUE"""),"Yes")</f>
        <v>Yes</v>
      </c>
      <c r="AE92" s="5" t="str">
        <f>IFERROR(__xludf.DUMMYFUNCTION("""COMPUTED_VALUE"""),"Yes")</f>
        <v>Yes</v>
      </c>
      <c r="AF92" s="5" t="str">
        <f>IFERROR(__xludf.DUMMYFUNCTION("""COMPUTED_VALUE"""),"Yes")</f>
        <v>Yes</v>
      </c>
      <c r="AG92" s="5" t="str">
        <f>IFERROR(__xludf.DUMMYFUNCTION("""COMPUTED_VALUE"""),"Yes")</f>
        <v>Yes</v>
      </c>
      <c r="AH92" s="5" t="str">
        <f>IFERROR(__xludf.DUMMYFUNCTION("""COMPUTED_VALUE"""),"Yes")</f>
        <v>Yes</v>
      </c>
      <c r="AI92" s="5" t="str">
        <f>IFERROR(__xludf.DUMMYFUNCTION("""COMPUTED_VALUE"""),"Yes")</f>
        <v>Yes</v>
      </c>
      <c r="AJ92" s="5" t="str">
        <f>IFERROR(__xludf.DUMMYFUNCTION("""COMPUTED_VALUE"""),"Yes")</f>
        <v>Yes</v>
      </c>
      <c r="AK92" s="5" t="str">
        <f>IFERROR(__xludf.DUMMYFUNCTION("""COMPUTED_VALUE"""),"Yes")</f>
        <v>Yes</v>
      </c>
      <c r="AL92" s="5" t="str">
        <f>IFERROR(__xludf.DUMMYFUNCTION("""COMPUTED_VALUE"""),"Yes")</f>
        <v>Yes</v>
      </c>
      <c r="AM92" s="5" t="str">
        <f>IFERROR(__xludf.DUMMYFUNCTION("""COMPUTED_VALUE"""),"Yes")</f>
        <v>Yes</v>
      </c>
      <c r="AN92" s="5" t="str">
        <f>IFERROR(__xludf.DUMMYFUNCTION("""COMPUTED_VALUE"""),"Yes")</f>
        <v>Yes</v>
      </c>
      <c r="AO92" s="5" t="str">
        <f>IFERROR(__xludf.DUMMYFUNCTION("""COMPUTED_VALUE"""),"Yes")</f>
        <v>Yes</v>
      </c>
      <c r="AP92" s="5" t="str">
        <f>IFERROR(__xludf.DUMMYFUNCTION("""COMPUTED_VALUE"""),"Yes")</f>
        <v>Yes</v>
      </c>
      <c r="AQ92" s="5" t="str">
        <f>IFERROR(__xludf.DUMMYFUNCTION("""COMPUTED_VALUE"""),"Yes")</f>
        <v>Yes</v>
      </c>
      <c r="AR92" s="5" t="str">
        <f>IFERROR(__xludf.DUMMYFUNCTION("""COMPUTED_VALUE"""),"Yes")</f>
        <v>Yes</v>
      </c>
      <c r="AS92" s="5" t="str">
        <f>IFERROR(__xludf.DUMMYFUNCTION("""COMPUTED_VALUE"""),"Yes")</f>
        <v>Yes</v>
      </c>
      <c r="AT92" s="5" t="str">
        <f>IFERROR(__xludf.DUMMYFUNCTION("""COMPUTED_VALUE"""),"No")</f>
        <v>No</v>
      </c>
      <c r="AU92" s="5"/>
      <c r="AV92" s="5" t="str">
        <f>IFERROR(__xludf.DUMMYFUNCTION("""COMPUTED_VALUE"""),"Available")</f>
        <v>Available</v>
      </c>
      <c r="AW92" s="5" t="str">
        <f>IFERROR(__xludf.DUMMYFUNCTION("""COMPUTED_VALUE"""),"Available")</f>
        <v>Available</v>
      </c>
      <c r="AX92" s="5" t="str">
        <f>IFERROR(__xludf.DUMMYFUNCTION("""COMPUTED_VALUE"""),"Available")</f>
        <v>Available</v>
      </c>
      <c r="AY92" s="5" t="str">
        <f>IFERROR(__xludf.DUMMYFUNCTION("""COMPUTED_VALUE"""),"Available")</f>
        <v>Available</v>
      </c>
      <c r="AZ92" s="5" t="str">
        <f>IFERROR(__xludf.DUMMYFUNCTION("""COMPUTED_VALUE"""),"Available")</f>
        <v>Available</v>
      </c>
      <c r="BA92" s="5" t="str">
        <f>IFERROR(__xludf.DUMMYFUNCTION("""COMPUTED_VALUE"""),"Available")</f>
        <v>Available</v>
      </c>
      <c r="BB92" s="5" t="str">
        <f>IFERROR(__xludf.DUMMYFUNCTION("""COMPUTED_VALUE"""),"Available")</f>
        <v>Available</v>
      </c>
      <c r="BC92" s="5" t="str">
        <f>IFERROR(__xludf.DUMMYFUNCTION("""COMPUTED_VALUE"""),"Available")</f>
        <v>Available</v>
      </c>
      <c r="BD92" s="5" t="str">
        <f>IFERROR(__xludf.DUMMYFUNCTION("""COMPUTED_VALUE"""),"Available")</f>
        <v>Available</v>
      </c>
      <c r="BE92" s="5" t="str">
        <f>IFERROR(__xludf.DUMMYFUNCTION("""COMPUTED_VALUE"""),"Available")</f>
        <v>Available</v>
      </c>
      <c r="BF92" s="5" t="str">
        <f>IFERROR(__xludf.DUMMYFUNCTION("""COMPUTED_VALUE"""),"Available")</f>
        <v>Available</v>
      </c>
      <c r="BG92" s="5" t="str">
        <f>IFERROR(__xludf.DUMMYFUNCTION("""COMPUTED_VALUE"""),"Available")</f>
        <v>Available</v>
      </c>
      <c r="BH92" s="5" t="str">
        <f>IFERROR(__xludf.DUMMYFUNCTION("""COMPUTED_VALUE"""),"Available")</f>
        <v>Available</v>
      </c>
      <c r="BI92" s="5" t="str">
        <f>IFERROR(__xludf.DUMMYFUNCTION("""COMPUTED_VALUE"""),"")</f>
        <v/>
      </c>
      <c r="BJ92" s="5" t="str">
        <f>IFERROR(__xludf.DUMMYFUNCTION("""COMPUTED_VALUE"""),"")</f>
        <v/>
      </c>
      <c r="BK92" s="5" t="str">
        <f>IFERROR(__xludf.DUMMYFUNCTION("""COMPUTED_VALUE"""),"Available")</f>
        <v>Available</v>
      </c>
      <c r="BL92" s="5" t="str">
        <f>IFERROR(__xludf.DUMMYFUNCTION("""COMPUTED_VALUE"""),"")</f>
        <v/>
      </c>
      <c r="BM92" s="5" t="str">
        <f>IFERROR(__xludf.DUMMYFUNCTION("""COMPUTED_VALUE"""),"Available")</f>
        <v>Available</v>
      </c>
    </row>
    <row r="93">
      <c r="A93" s="5" t="str">
        <f>IFERROR(__xludf.DUMMYFUNCTION("""COMPUTED_VALUE"""),"Fazi")</f>
        <v>Fazi</v>
      </c>
      <c r="B93" s="5" t="str">
        <f>IFERROR(__xludf.DUMMYFUNCTION("""COMPUTED_VALUE"""),"Golden Explosion")</f>
        <v>Golden Explosion</v>
      </c>
      <c r="C93" s="5" t="str">
        <f>IFERROR(__xludf.DUMMYFUNCTION("""COMPUTED_VALUE"""),"GoldenExplosion")</f>
        <v>GoldenExplosion</v>
      </c>
      <c r="D93" s="6">
        <f>IFERROR(__xludf.DUMMYFUNCTION("""COMPUTED_VALUE"""),44992.0)</f>
        <v>44992</v>
      </c>
      <c r="E93" s="5" t="str">
        <f>IFERROR(__xludf.DUMMYFUNCTION("""COMPUTED_VALUE"""),"Slot")</f>
        <v>Slot</v>
      </c>
      <c r="F93" s="5">
        <f>IFERROR(__xludf.DUMMYFUNCTION("""COMPUTED_VALUE"""),26.0)</f>
        <v>26</v>
      </c>
      <c r="G93" s="5" t="str">
        <f>IFERROR(__xludf.DUMMYFUNCTION("""COMPUTED_VALUE"""),"5x3")</f>
        <v>5x3</v>
      </c>
      <c r="H93" s="5" t="str">
        <f>IFERROR(__xludf.DUMMYFUNCTION("""COMPUTED_VALUE"""),"10")</f>
        <v>10</v>
      </c>
      <c r="I93" s="5" t="str">
        <f>IFERROR(__xludf.DUMMYFUNCTION("""COMPUTED_VALUE"""),"10")</f>
        <v>10</v>
      </c>
      <c r="J93" s="5" t="str">
        <f>IFERROR(__xludf.DUMMYFUNCTION("""COMPUTED_VALUE"""),"96.597%")</f>
        <v>96.597%</v>
      </c>
      <c r="K93" s="5" t="str">
        <f>IFERROR(__xludf.DUMMYFUNCTION("""COMPUTED_VALUE"""),"High")</f>
        <v>High</v>
      </c>
      <c r="L93" s="5" t="str">
        <f>IFERROR(__xludf.DUMMYFUNCTION("""COMPUTED_VALUE"""),"14.16%")</f>
        <v>14.16%</v>
      </c>
      <c r="M93" s="5" t="str">
        <f>IFERROR(__xludf.DUMMYFUNCTION("""COMPUTED_VALUE"""),"x8250")</f>
        <v>x8250</v>
      </c>
      <c r="N93" s="5" t="str">
        <f>IFERROR(__xludf.DUMMYFUNCTION("""COMPUTED_VALUE"""),"0.1/40")</f>
        <v>0.1/40</v>
      </c>
      <c r="O93" s="5" t="str">
        <f>IFERROR(__xludf.DUMMYFUNCTION("""COMPUTED_VALUE"""),"Yes")</f>
        <v>Yes</v>
      </c>
      <c r="P93" s="5" t="str">
        <f>IFERROR(__xludf.DUMMYFUNCTION("""COMPUTED_VALUE"""),"Expanding Wild, Wild Multiplier, Scatter")</f>
        <v>Expanding Wild, Wild Multiplier, Scatter</v>
      </c>
      <c r="Q93" s="7" t="str">
        <f>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R93" s="5" t="str">
        <f>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S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3" s="5" t="str">
        <f>IFERROR(__xludf.DUMMYFUNCTION("""COMPUTED_VALUE"""),"Yes")</f>
        <v>Yes</v>
      </c>
      <c r="U93" s="5" t="str">
        <f>IFERROR(__xludf.DUMMYFUNCTION("""COMPUTED_VALUE"""),"Yes")</f>
        <v>Yes</v>
      </c>
      <c r="V93" s="5" t="str">
        <f>IFERROR(__xludf.DUMMYFUNCTION("""COMPUTED_VALUE"""),"Yes")</f>
        <v>Yes</v>
      </c>
      <c r="W93" s="5" t="str">
        <f>IFERROR(__xludf.DUMMYFUNCTION("""COMPUTED_VALUE"""),"Yes")</f>
        <v>Yes</v>
      </c>
      <c r="X93" s="5" t="str">
        <f>IFERROR(__xludf.DUMMYFUNCTION("""COMPUTED_VALUE"""),"Yes")</f>
        <v>Yes</v>
      </c>
      <c r="Y93" s="5" t="str">
        <f>IFERROR(__xludf.DUMMYFUNCTION("""COMPUTED_VALUE"""),"Yes")</f>
        <v>Yes</v>
      </c>
      <c r="Z93" s="5" t="str">
        <f>IFERROR(__xludf.DUMMYFUNCTION("""COMPUTED_VALUE"""),"Yes")</f>
        <v>Yes</v>
      </c>
      <c r="AA93" s="5" t="str">
        <f>IFERROR(__xludf.DUMMYFUNCTION("""COMPUTED_VALUE"""),"Yes")</f>
        <v>Yes</v>
      </c>
      <c r="AB93" s="5" t="str">
        <f>IFERROR(__xludf.DUMMYFUNCTION("""COMPUTED_VALUE"""),"Yes")</f>
        <v>Yes</v>
      </c>
      <c r="AC93" s="5" t="str">
        <f>IFERROR(__xludf.DUMMYFUNCTION("""COMPUTED_VALUE"""),"Yes")</f>
        <v>Yes</v>
      </c>
      <c r="AD93" s="5" t="str">
        <f>IFERROR(__xludf.DUMMYFUNCTION("""COMPUTED_VALUE"""),"Yes")</f>
        <v>Yes</v>
      </c>
      <c r="AE93" s="5" t="str">
        <f>IFERROR(__xludf.DUMMYFUNCTION("""COMPUTED_VALUE"""),"Yes")</f>
        <v>Yes</v>
      </c>
      <c r="AF93" s="5" t="str">
        <f>IFERROR(__xludf.DUMMYFUNCTION("""COMPUTED_VALUE"""),"Yes")</f>
        <v>Yes</v>
      </c>
      <c r="AG93" s="5" t="str">
        <f>IFERROR(__xludf.DUMMYFUNCTION("""COMPUTED_VALUE"""),"Yes")</f>
        <v>Yes</v>
      </c>
      <c r="AH93" s="5" t="str">
        <f>IFERROR(__xludf.DUMMYFUNCTION("""COMPUTED_VALUE"""),"Yes")</f>
        <v>Yes</v>
      </c>
      <c r="AI93" s="5" t="str">
        <f>IFERROR(__xludf.DUMMYFUNCTION("""COMPUTED_VALUE"""),"Yes")</f>
        <v>Yes</v>
      </c>
      <c r="AJ93" s="5" t="str">
        <f>IFERROR(__xludf.DUMMYFUNCTION("""COMPUTED_VALUE"""),"Yes")</f>
        <v>Yes</v>
      </c>
      <c r="AK93" s="5" t="str">
        <f>IFERROR(__xludf.DUMMYFUNCTION("""COMPUTED_VALUE"""),"Yes")</f>
        <v>Yes</v>
      </c>
      <c r="AL93" s="5" t="str">
        <f>IFERROR(__xludf.DUMMYFUNCTION("""COMPUTED_VALUE"""),"Yes")</f>
        <v>Yes</v>
      </c>
      <c r="AM93" s="5" t="str">
        <f>IFERROR(__xludf.DUMMYFUNCTION("""COMPUTED_VALUE"""),"Yes")</f>
        <v>Yes</v>
      </c>
      <c r="AN93" s="5" t="str">
        <f>IFERROR(__xludf.DUMMYFUNCTION("""COMPUTED_VALUE"""),"Yes")</f>
        <v>Yes</v>
      </c>
      <c r="AO93" s="5" t="str">
        <f>IFERROR(__xludf.DUMMYFUNCTION("""COMPUTED_VALUE"""),"Yes")</f>
        <v>Yes</v>
      </c>
      <c r="AP93" s="5" t="str">
        <f>IFERROR(__xludf.DUMMYFUNCTION("""COMPUTED_VALUE"""),"Yes")</f>
        <v>Yes</v>
      </c>
      <c r="AQ93" s="5" t="str">
        <f>IFERROR(__xludf.DUMMYFUNCTION("""COMPUTED_VALUE"""),"Yes")</f>
        <v>Yes</v>
      </c>
      <c r="AR93" s="5" t="str">
        <f>IFERROR(__xludf.DUMMYFUNCTION("""COMPUTED_VALUE"""),"Yes")</f>
        <v>Yes</v>
      </c>
      <c r="AS93" s="5" t="str">
        <f>IFERROR(__xludf.DUMMYFUNCTION("""COMPUTED_VALUE"""),"Yes")</f>
        <v>Yes</v>
      </c>
      <c r="AT93" s="5" t="str">
        <f>IFERROR(__xludf.DUMMYFUNCTION("""COMPUTED_VALUE"""),"No")</f>
        <v>No</v>
      </c>
      <c r="AU93" s="5"/>
      <c r="AV93" s="5" t="str">
        <f>IFERROR(__xludf.DUMMYFUNCTION("""COMPUTED_VALUE"""),"")</f>
        <v/>
      </c>
      <c r="AW93" s="5" t="str">
        <f>IFERROR(__xludf.DUMMYFUNCTION("""COMPUTED_VALUE"""),"")</f>
        <v/>
      </c>
      <c r="AX93" s="5" t="str">
        <f>IFERROR(__xludf.DUMMYFUNCTION("""COMPUTED_VALUE"""),"Available")</f>
        <v>Available</v>
      </c>
      <c r="AY93" s="5" t="str">
        <f>IFERROR(__xludf.DUMMYFUNCTION("""COMPUTED_VALUE"""),"Available")</f>
        <v>Available</v>
      </c>
      <c r="AZ93" s="5" t="str">
        <f>IFERROR(__xludf.DUMMYFUNCTION("""COMPUTED_VALUE"""),"Available")</f>
        <v>Available</v>
      </c>
      <c r="BA93" s="5" t="str">
        <f>IFERROR(__xludf.DUMMYFUNCTION("""COMPUTED_VALUE"""),"Available")</f>
        <v>Available</v>
      </c>
      <c r="BB93" s="5" t="str">
        <f>IFERROR(__xludf.DUMMYFUNCTION("""COMPUTED_VALUE"""),"Available")</f>
        <v>Available</v>
      </c>
      <c r="BC93" s="5" t="str">
        <f>IFERROR(__xludf.DUMMYFUNCTION("""COMPUTED_VALUE"""),"Available")</f>
        <v>Available</v>
      </c>
      <c r="BD93" s="5" t="str">
        <f>IFERROR(__xludf.DUMMYFUNCTION("""COMPUTED_VALUE"""),"")</f>
        <v/>
      </c>
      <c r="BE93" s="5" t="str">
        <f>IFERROR(__xludf.DUMMYFUNCTION("""COMPUTED_VALUE"""),"")</f>
        <v/>
      </c>
      <c r="BF93" s="5" t="str">
        <f>IFERROR(__xludf.DUMMYFUNCTION("""COMPUTED_VALUE"""),"")</f>
        <v/>
      </c>
      <c r="BG93" s="5" t="str">
        <f>IFERROR(__xludf.DUMMYFUNCTION("""COMPUTED_VALUE"""),"Available")</f>
        <v>Available</v>
      </c>
      <c r="BH93" s="5" t="str">
        <f>IFERROR(__xludf.DUMMYFUNCTION("""COMPUTED_VALUE"""),"")</f>
        <v/>
      </c>
      <c r="BI93" s="5" t="str">
        <f>IFERROR(__xludf.DUMMYFUNCTION("""COMPUTED_VALUE"""),"")</f>
        <v/>
      </c>
      <c r="BJ93" s="5" t="str">
        <f>IFERROR(__xludf.DUMMYFUNCTION("""COMPUTED_VALUE"""),"")</f>
        <v/>
      </c>
      <c r="BK93" s="5" t="str">
        <f>IFERROR(__xludf.DUMMYFUNCTION("""COMPUTED_VALUE"""),"")</f>
        <v/>
      </c>
      <c r="BL93" s="5" t="str">
        <f>IFERROR(__xludf.DUMMYFUNCTION("""COMPUTED_VALUE"""),"")</f>
        <v/>
      </c>
      <c r="BM93" s="5" t="str">
        <f>IFERROR(__xludf.DUMMYFUNCTION("""COMPUTED_VALUE"""),"")</f>
        <v/>
      </c>
    </row>
    <row r="94">
      <c r="A94" s="5" t="str">
        <f>IFERROR(__xludf.DUMMYFUNCTION("""COMPUTED_VALUE"""),"Fazi")</f>
        <v>Fazi</v>
      </c>
      <c r="B94" s="5" t="str">
        <f>IFERROR(__xludf.DUMMYFUNCTION("""COMPUTED_VALUE"""),"Very Hot 5 Extreme")</f>
        <v>Very Hot 5 Extreme</v>
      </c>
      <c r="C94" s="5" t="str">
        <f>IFERROR(__xludf.DUMMYFUNCTION("""COMPUTED_VALUE"""),"VeryHot5Extreme")</f>
        <v>VeryHot5Extreme</v>
      </c>
      <c r="D94" s="6">
        <f>IFERROR(__xludf.DUMMYFUNCTION("""COMPUTED_VALUE"""),45002.0)</f>
        <v>45002</v>
      </c>
      <c r="E94" s="5" t="str">
        <f>IFERROR(__xludf.DUMMYFUNCTION("""COMPUTED_VALUE"""),"Slot")</f>
        <v>Slot</v>
      </c>
      <c r="F94" s="5">
        <f>IFERROR(__xludf.DUMMYFUNCTION("""COMPUTED_VALUE"""),14.5)</f>
        <v>14.5</v>
      </c>
      <c r="G94" s="5" t="str">
        <f>IFERROR(__xludf.DUMMYFUNCTION("""COMPUTED_VALUE"""),"5x3")</f>
        <v>5x3</v>
      </c>
      <c r="H94" s="5" t="str">
        <f>IFERROR(__xludf.DUMMYFUNCTION("""COMPUTED_VALUE"""),"5")</f>
        <v>5</v>
      </c>
      <c r="I94" s="5" t="str">
        <f>IFERROR(__xludf.DUMMYFUNCTION("""COMPUTED_VALUE"""),"5")</f>
        <v>5</v>
      </c>
      <c r="J94" s="5" t="str">
        <f>IFERROR(__xludf.DUMMYFUNCTION("""COMPUTED_VALUE"""),"96.453%")</f>
        <v>96.453%</v>
      </c>
      <c r="K94" s="5" t="str">
        <f>IFERROR(__xludf.DUMMYFUNCTION("""COMPUTED_VALUE"""),"Medium")</f>
        <v>Medium</v>
      </c>
      <c r="L94" s="5" t="str">
        <f>IFERROR(__xludf.DUMMYFUNCTION("""COMPUTED_VALUE"""),"14.23%")</f>
        <v>14.23%</v>
      </c>
      <c r="M94" s="5" t="str">
        <f>IFERROR(__xludf.DUMMYFUNCTION("""COMPUTED_VALUE"""),"x2624")</f>
        <v>x2624</v>
      </c>
      <c r="N94" s="5" t="str">
        <f>IFERROR(__xludf.DUMMYFUNCTION("""COMPUTED_VALUE"""),"0.05/30")</f>
        <v>0.05/30</v>
      </c>
      <c r="O94" s="5" t="str">
        <f>IFERROR(__xludf.DUMMYFUNCTION("""COMPUTED_VALUE"""),"Yes")</f>
        <v>Yes</v>
      </c>
      <c r="P94" s="5" t="str">
        <f>IFERROR(__xludf.DUMMYFUNCTION("""COMPUTED_VALUE"""),"Expanding Wild, Wild Multiplier, Scatter")</f>
        <v>Expanding Wild, Wild Multiplier, Scatter</v>
      </c>
      <c r="Q94" s="7" t="str">
        <f>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R94" s="5" t="str">
        <f>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S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4" s="5" t="str">
        <f>IFERROR(__xludf.DUMMYFUNCTION("""COMPUTED_VALUE"""),"Yes")</f>
        <v>Yes</v>
      </c>
      <c r="U94" s="5" t="str">
        <f>IFERROR(__xludf.DUMMYFUNCTION("""COMPUTED_VALUE"""),"Yes")</f>
        <v>Yes</v>
      </c>
      <c r="V94" s="5" t="str">
        <f>IFERROR(__xludf.DUMMYFUNCTION("""COMPUTED_VALUE"""),"Yes")</f>
        <v>Yes</v>
      </c>
      <c r="W94" s="5" t="str">
        <f>IFERROR(__xludf.DUMMYFUNCTION("""COMPUTED_VALUE"""),"Yes")</f>
        <v>Yes</v>
      </c>
      <c r="X94" s="5" t="str">
        <f>IFERROR(__xludf.DUMMYFUNCTION("""COMPUTED_VALUE"""),"Yes")</f>
        <v>Yes</v>
      </c>
      <c r="Y94" s="5" t="str">
        <f>IFERROR(__xludf.DUMMYFUNCTION("""COMPUTED_VALUE"""),"Yes")</f>
        <v>Yes</v>
      </c>
      <c r="Z94" s="5" t="str">
        <f>IFERROR(__xludf.DUMMYFUNCTION("""COMPUTED_VALUE"""),"Yes")</f>
        <v>Yes</v>
      </c>
      <c r="AA94" s="5" t="str">
        <f>IFERROR(__xludf.DUMMYFUNCTION("""COMPUTED_VALUE"""),"Yes")</f>
        <v>Yes</v>
      </c>
      <c r="AB94" s="5" t="str">
        <f>IFERROR(__xludf.DUMMYFUNCTION("""COMPUTED_VALUE"""),"Yes")</f>
        <v>Yes</v>
      </c>
      <c r="AC94" s="5" t="str">
        <f>IFERROR(__xludf.DUMMYFUNCTION("""COMPUTED_VALUE"""),"Yes")</f>
        <v>Yes</v>
      </c>
      <c r="AD94" s="5" t="str">
        <f>IFERROR(__xludf.DUMMYFUNCTION("""COMPUTED_VALUE"""),"Yes")</f>
        <v>Yes</v>
      </c>
      <c r="AE94" s="5" t="str">
        <f>IFERROR(__xludf.DUMMYFUNCTION("""COMPUTED_VALUE"""),"Yes")</f>
        <v>Yes</v>
      </c>
      <c r="AF94" s="5" t="str">
        <f>IFERROR(__xludf.DUMMYFUNCTION("""COMPUTED_VALUE"""),"Yes")</f>
        <v>Yes</v>
      </c>
      <c r="AG94" s="5" t="str">
        <f>IFERROR(__xludf.DUMMYFUNCTION("""COMPUTED_VALUE"""),"Yes")</f>
        <v>Yes</v>
      </c>
      <c r="AH94" s="5" t="str">
        <f>IFERROR(__xludf.DUMMYFUNCTION("""COMPUTED_VALUE"""),"Yes")</f>
        <v>Yes</v>
      </c>
      <c r="AI94" s="5" t="str">
        <f>IFERROR(__xludf.DUMMYFUNCTION("""COMPUTED_VALUE"""),"Yes")</f>
        <v>Yes</v>
      </c>
      <c r="AJ94" s="5" t="str">
        <f>IFERROR(__xludf.DUMMYFUNCTION("""COMPUTED_VALUE"""),"Yes")</f>
        <v>Yes</v>
      </c>
      <c r="AK94" s="5" t="str">
        <f>IFERROR(__xludf.DUMMYFUNCTION("""COMPUTED_VALUE"""),"Yes")</f>
        <v>Yes</v>
      </c>
      <c r="AL94" s="5" t="str">
        <f>IFERROR(__xludf.DUMMYFUNCTION("""COMPUTED_VALUE"""),"Yes")</f>
        <v>Yes</v>
      </c>
      <c r="AM94" s="5" t="str">
        <f>IFERROR(__xludf.DUMMYFUNCTION("""COMPUTED_VALUE"""),"Yes")</f>
        <v>Yes</v>
      </c>
      <c r="AN94" s="5" t="str">
        <f>IFERROR(__xludf.DUMMYFUNCTION("""COMPUTED_VALUE"""),"Yes")</f>
        <v>Yes</v>
      </c>
      <c r="AO94" s="5" t="str">
        <f>IFERROR(__xludf.DUMMYFUNCTION("""COMPUTED_VALUE"""),"Yes")</f>
        <v>Yes</v>
      </c>
      <c r="AP94" s="5" t="str">
        <f>IFERROR(__xludf.DUMMYFUNCTION("""COMPUTED_VALUE"""),"Yes")</f>
        <v>Yes</v>
      </c>
      <c r="AQ94" s="5" t="str">
        <f>IFERROR(__xludf.DUMMYFUNCTION("""COMPUTED_VALUE"""),"Yes")</f>
        <v>Yes</v>
      </c>
      <c r="AR94" s="5" t="str">
        <f>IFERROR(__xludf.DUMMYFUNCTION("""COMPUTED_VALUE"""),"Yes")</f>
        <v>Yes</v>
      </c>
      <c r="AS94" s="5" t="str">
        <f>IFERROR(__xludf.DUMMYFUNCTION("""COMPUTED_VALUE"""),"Yes")</f>
        <v>Yes</v>
      </c>
      <c r="AT94" s="5" t="str">
        <f>IFERROR(__xludf.DUMMYFUNCTION("""COMPUTED_VALUE"""),"No")</f>
        <v>No</v>
      </c>
      <c r="AU94" s="5"/>
      <c r="AV94" s="5" t="str">
        <f>IFERROR(__xludf.DUMMYFUNCTION("""COMPUTED_VALUE"""),"")</f>
        <v/>
      </c>
      <c r="AW94" s="5" t="str">
        <f>IFERROR(__xludf.DUMMYFUNCTION("""COMPUTED_VALUE"""),"")</f>
        <v/>
      </c>
      <c r="AX94" s="5" t="str">
        <f>IFERROR(__xludf.DUMMYFUNCTION("""COMPUTED_VALUE"""),"")</f>
        <v/>
      </c>
      <c r="AY94" s="5" t="str">
        <f>IFERROR(__xludf.DUMMYFUNCTION("""COMPUTED_VALUE"""),"Available")</f>
        <v>Available</v>
      </c>
      <c r="AZ94" s="5" t="str">
        <f>IFERROR(__xludf.DUMMYFUNCTION("""COMPUTED_VALUE"""),"Available")</f>
        <v>Available</v>
      </c>
      <c r="BA94" s="5" t="str">
        <f>IFERROR(__xludf.DUMMYFUNCTION("""COMPUTED_VALUE"""),"Available")</f>
        <v>Available</v>
      </c>
      <c r="BB94" s="5" t="str">
        <f>IFERROR(__xludf.DUMMYFUNCTION("""COMPUTED_VALUE"""),"Available")</f>
        <v>Available</v>
      </c>
      <c r="BC94" s="5" t="str">
        <f>IFERROR(__xludf.DUMMYFUNCTION("""COMPUTED_VALUE"""),"Available")</f>
        <v>Available</v>
      </c>
      <c r="BD94" s="5" t="str">
        <f>IFERROR(__xludf.DUMMYFUNCTION("""COMPUTED_VALUE"""),"")</f>
        <v/>
      </c>
      <c r="BE94" s="5" t="str">
        <f>IFERROR(__xludf.DUMMYFUNCTION("""COMPUTED_VALUE"""),"")</f>
        <v/>
      </c>
      <c r="BF94" s="5" t="str">
        <f>IFERROR(__xludf.DUMMYFUNCTION("""COMPUTED_VALUE"""),"")</f>
        <v/>
      </c>
      <c r="BG94" s="5" t="str">
        <f>IFERROR(__xludf.DUMMYFUNCTION("""COMPUTED_VALUE"""),"")</f>
        <v/>
      </c>
      <c r="BH94" s="5" t="str">
        <f>IFERROR(__xludf.DUMMYFUNCTION("""COMPUTED_VALUE"""),"")</f>
        <v/>
      </c>
      <c r="BI94" s="5" t="str">
        <f>IFERROR(__xludf.DUMMYFUNCTION("""COMPUTED_VALUE"""),"")</f>
        <v/>
      </c>
      <c r="BJ94" s="5" t="str">
        <f>IFERROR(__xludf.DUMMYFUNCTION("""COMPUTED_VALUE"""),"")</f>
        <v/>
      </c>
      <c r="BK94" s="5" t="str">
        <f>IFERROR(__xludf.DUMMYFUNCTION("""COMPUTED_VALUE"""),"Available")</f>
        <v>Available</v>
      </c>
      <c r="BL94" s="5" t="str">
        <f>IFERROR(__xludf.DUMMYFUNCTION("""COMPUTED_VALUE"""),"")</f>
        <v/>
      </c>
      <c r="BM94" s="5" t="str">
        <f>IFERROR(__xludf.DUMMYFUNCTION("""COMPUTED_VALUE"""),"")</f>
        <v/>
      </c>
    </row>
    <row r="95">
      <c r="A95" s="5" t="str">
        <f>IFERROR(__xludf.DUMMYFUNCTION("""COMPUTED_VALUE"""),"Fazi")</f>
        <v>Fazi</v>
      </c>
      <c r="B95" s="5" t="str">
        <f>IFERROR(__xludf.DUMMYFUNCTION("""COMPUTED_VALUE"""),"Pixel Hot 40")</f>
        <v>Pixel Hot 40</v>
      </c>
      <c r="C95" s="5" t="str">
        <f>IFERROR(__xludf.DUMMYFUNCTION("""COMPUTED_VALUE"""),"PixelHot40")</f>
        <v>PixelHot40</v>
      </c>
      <c r="D95" s="6">
        <f>IFERROR(__xludf.DUMMYFUNCTION("""COMPUTED_VALUE"""),45001.0)</f>
        <v>45001</v>
      </c>
      <c r="E95" s="5" t="str">
        <f>IFERROR(__xludf.DUMMYFUNCTION("""COMPUTED_VALUE"""),"Slot")</f>
        <v>Slot</v>
      </c>
      <c r="F95" s="5">
        <f>IFERROR(__xludf.DUMMYFUNCTION("""COMPUTED_VALUE"""),5.5)</f>
        <v>5.5</v>
      </c>
      <c r="G95" s="5" t="str">
        <f>IFERROR(__xludf.DUMMYFUNCTION("""COMPUTED_VALUE"""),"5x4")</f>
        <v>5x4</v>
      </c>
      <c r="H95" s="5" t="str">
        <f>IFERROR(__xludf.DUMMYFUNCTION("""COMPUTED_VALUE"""),"40")</f>
        <v>40</v>
      </c>
      <c r="I95" s="5" t="str">
        <f>IFERROR(__xludf.DUMMYFUNCTION("""COMPUTED_VALUE"""),"40")</f>
        <v>40</v>
      </c>
      <c r="J95" s="5" t="str">
        <f>IFERROR(__xludf.DUMMYFUNCTION("""COMPUTED_VALUE"""),"96.584%")</f>
        <v>96.584%</v>
      </c>
      <c r="K95" s="5" t="str">
        <f>IFERROR(__xludf.DUMMYFUNCTION("""COMPUTED_VALUE"""),"Low")</f>
        <v>Low</v>
      </c>
      <c r="L95" s="5" t="str">
        <f>IFERROR(__xludf.DUMMYFUNCTION("""COMPUTED_VALUE"""),"16.73%")</f>
        <v>16.73%</v>
      </c>
      <c r="M95" s="5" t="str">
        <f>IFERROR(__xludf.DUMMYFUNCTION("""COMPUTED_VALUE"""),"x1000")</f>
        <v>x1000</v>
      </c>
      <c r="N95" s="5" t="str">
        <f>IFERROR(__xludf.DUMMYFUNCTION("""COMPUTED_VALUE"""),"0.4/60")</f>
        <v>0.4/60</v>
      </c>
      <c r="O95" s="5" t="str">
        <f>IFERROR(__xludf.DUMMYFUNCTION("""COMPUTED_VALUE"""),"Yes")</f>
        <v>Yes</v>
      </c>
      <c r="P95" s="5" t="str">
        <f>IFERROR(__xludf.DUMMYFUNCTION("""COMPUTED_VALUE"""),"Wild Symbol, Scatter")</f>
        <v>Wild Symbol, Scatter</v>
      </c>
      <c r="Q95" s="7" t="str">
        <f>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R95" s="5" t="str">
        <f>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S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5" s="5" t="str">
        <f>IFERROR(__xludf.DUMMYFUNCTION("""COMPUTED_VALUE"""),"Yes")</f>
        <v>Yes</v>
      </c>
      <c r="U95" s="5" t="str">
        <f>IFERROR(__xludf.DUMMYFUNCTION("""COMPUTED_VALUE"""),"Yes")</f>
        <v>Yes</v>
      </c>
      <c r="V95" s="5" t="str">
        <f>IFERROR(__xludf.DUMMYFUNCTION("""COMPUTED_VALUE"""),"Yes")</f>
        <v>Yes</v>
      </c>
      <c r="W95" s="5" t="str">
        <f>IFERROR(__xludf.DUMMYFUNCTION("""COMPUTED_VALUE"""),"Yes")</f>
        <v>Yes</v>
      </c>
      <c r="X95" s="5" t="str">
        <f>IFERROR(__xludf.DUMMYFUNCTION("""COMPUTED_VALUE"""),"Yes")</f>
        <v>Yes</v>
      </c>
      <c r="Y95" s="5" t="str">
        <f>IFERROR(__xludf.DUMMYFUNCTION("""COMPUTED_VALUE"""),"Yes")</f>
        <v>Yes</v>
      </c>
      <c r="Z95" s="5" t="str">
        <f>IFERROR(__xludf.DUMMYFUNCTION("""COMPUTED_VALUE"""),"Yes")</f>
        <v>Yes</v>
      </c>
      <c r="AA95" s="5" t="str">
        <f>IFERROR(__xludf.DUMMYFUNCTION("""COMPUTED_VALUE"""),"Yes")</f>
        <v>Yes</v>
      </c>
      <c r="AB95" s="5" t="str">
        <f>IFERROR(__xludf.DUMMYFUNCTION("""COMPUTED_VALUE"""),"Yes")</f>
        <v>Yes</v>
      </c>
      <c r="AC95" s="5" t="str">
        <f>IFERROR(__xludf.DUMMYFUNCTION("""COMPUTED_VALUE"""),"Yes")</f>
        <v>Yes</v>
      </c>
      <c r="AD95" s="5" t="str">
        <f>IFERROR(__xludf.DUMMYFUNCTION("""COMPUTED_VALUE"""),"Yes")</f>
        <v>Yes</v>
      </c>
      <c r="AE95" s="5" t="str">
        <f>IFERROR(__xludf.DUMMYFUNCTION("""COMPUTED_VALUE"""),"Yes")</f>
        <v>Yes</v>
      </c>
      <c r="AF95" s="5" t="str">
        <f>IFERROR(__xludf.DUMMYFUNCTION("""COMPUTED_VALUE"""),"Yes")</f>
        <v>Yes</v>
      </c>
      <c r="AG95" s="5" t="str">
        <f>IFERROR(__xludf.DUMMYFUNCTION("""COMPUTED_VALUE"""),"Yes")</f>
        <v>Yes</v>
      </c>
      <c r="AH95" s="5" t="str">
        <f>IFERROR(__xludf.DUMMYFUNCTION("""COMPUTED_VALUE"""),"Yes")</f>
        <v>Yes</v>
      </c>
      <c r="AI95" s="5" t="str">
        <f>IFERROR(__xludf.DUMMYFUNCTION("""COMPUTED_VALUE"""),"Yes")</f>
        <v>Yes</v>
      </c>
      <c r="AJ95" s="5" t="str">
        <f>IFERROR(__xludf.DUMMYFUNCTION("""COMPUTED_VALUE"""),"Yes")</f>
        <v>Yes</v>
      </c>
      <c r="AK95" s="5" t="str">
        <f>IFERROR(__xludf.DUMMYFUNCTION("""COMPUTED_VALUE"""),"Yes")</f>
        <v>Yes</v>
      </c>
      <c r="AL95" s="5" t="str">
        <f>IFERROR(__xludf.DUMMYFUNCTION("""COMPUTED_VALUE"""),"Yes")</f>
        <v>Yes</v>
      </c>
      <c r="AM95" s="5" t="str">
        <f>IFERROR(__xludf.DUMMYFUNCTION("""COMPUTED_VALUE"""),"Yes")</f>
        <v>Yes</v>
      </c>
      <c r="AN95" s="5" t="str">
        <f>IFERROR(__xludf.DUMMYFUNCTION("""COMPUTED_VALUE"""),"Yes")</f>
        <v>Yes</v>
      </c>
      <c r="AO95" s="5" t="str">
        <f>IFERROR(__xludf.DUMMYFUNCTION("""COMPUTED_VALUE"""),"Yes")</f>
        <v>Yes</v>
      </c>
      <c r="AP95" s="5" t="str">
        <f>IFERROR(__xludf.DUMMYFUNCTION("""COMPUTED_VALUE"""),"Yes")</f>
        <v>Yes</v>
      </c>
      <c r="AQ95" s="5" t="str">
        <f>IFERROR(__xludf.DUMMYFUNCTION("""COMPUTED_VALUE"""),"Yes")</f>
        <v>Yes</v>
      </c>
      <c r="AR95" s="5" t="str">
        <f>IFERROR(__xludf.DUMMYFUNCTION("""COMPUTED_VALUE"""),"Yes")</f>
        <v>Yes</v>
      </c>
      <c r="AS95" s="5" t="str">
        <f>IFERROR(__xludf.DUMMYFUNCTION("""COMPUTED_VALUE"""),"Yes")</f>
        <v>Yes</v>
      </c>
      <c r="AT95" s="5" t="str">
        <f>IFERROR(__xludf.DUMMYFUNCTION("""COMPUTED_VALUE"""),"No")</f>
        <v>No</v>
      </c>
      <c r="AU95" s="5"/>
      <c r="AV95" s="5" t="str">
        <f>IFERROR(__xludf.DUMMYFUNCTION("""COMPUTED_VALUE"""),"")</f>
        <v/>
      </c>
      <c r="AW95" s="5" t="str">
        <f>IFERROR(__xludf.DUMMYFUNCTION("""COMPUTED_VALUE"""),"")</f>
        <v/>
      </c>
      <c r="AX95" s="5" t="str">
        <f>IFERROR(__xludf.DUMMYFUNCTION("""COMPUTED_VALUE"""),"")</f>
        <v/>
      </c>
      <c r="AY95" s="5" t="str">
        <f>IFERROR(__xludf.DUMMYFUNCTION("""COMPUTED_VALUE"""),"")</f>
        <v/>
      </c>
      <c r="AZ95" s="5" t="str">
        <f>IFERROR(__xludf.DUMMYFUNCTION("""COMPUTED_VALUE"""),"")</f>
        <v/>
      </c>
      <c r="BA95" s="5" t="str">
        <f>IFERROR(__xludf.DUMMYFUNCTION("""COMPUTED_VALUE"""),"")</f>
        <v/>
      </c>
      <c r="BB95" s="5" t="str">
        <f>IFERROR(__xludf.DUMMYFUNCTION("""COMPUTED_VALUE"""),"")</f>
        <v/>
      </c>
      <c r="BC95" s="5" t="str">
        <f>IFERROR(__xludf.DUMMYFUNCTION("""COMPUTED_VALUE"""),"")</f>
        <v/>
      </c>
      <c r="BD95" s="5" t="str">
        <f>IFERROR(__xludf.DUMMYFUNCTION("""COMPUTED_VALUE"""),"")</f>
        <v/>
      </c>
      <c r="BE95" s="5" t="str">
        <f>IFERROR(__xludf.DUMMYFUNCTION("""COMPUTED_VALUE"""),"")</f>
        <v/>
      </c>
      <c r="BF95" s="5" t="str">
        <f>IFERROR(__xludf.DUMMYFUNCTION("""COMPUTED_VALUE"""),"")</f>
        <v/>
      </c>
      <c r="BG95" s="5" t="str">
        <f>IFERROR(__xludf.DUMMYFUNCTION("""COMPUTED_VALUE"""),"")</f>
        <v/>
      </c>
      <c r="BH95" s="5" t="str">
        <f>IFERROR(__xludf.DUMMYFUNCTION("""COMPUTED_VALUE"""),"")</f>
        <v/>
      </c>
      <c r="BI95" s="5" t="str">
        <f>IFERROR(__xludf.DUMMYFUNCTION("""COMPUTED_VALUE"""),"")</f>
        <v/>
      </c>
      <c r="BJ95" s="5" t="str">
        <f>IFERROR(__xludf.DUMMYFUNCTION("""COMPUTED_VALUE"""),"")</f>
        <v/>
      </c>
      <c r="BK95" s="5" t="str">
        <f>IFERROR(__xludf.DUMMYFUNCTION("""COMPUTED_VALUE"""),"")</f>
        <v/>
      </c>
      <c r="BL95" s="5" t="str">
        <f>IFERROR(__xludf.DUMMYFUNCTION("""COMPUTED_VALUE"""),"")</f>
        <v/>
      </c>
      <c r="BM95" s="5" t="str">
        <f>IFERROR(__xludf.DUMMYFUNCTION("""COMPUTED_VALUE"""),"")</f>
        <v/>
      </c>
    </row>
    <row r="96">
      <c r="A96" s="5" t="str">
        <f>IFERROR(__xludf.DUMMYFUNCTION("""COMPUTED_VALUE"""),"Fazi")</f>
        <v>Fazi</v>
      </c>
      <c r="B96" s="5" t="str">
        <f>IFERROR(__xludf.DUMMYFUNCTION("""COMPUTED_VALUE"""),"Epic Fire 40")</f>
        <v>Epic Fire 40</v>
      </c>
      <c r="C96" s="5" t="str">
        <f>IFERROR(__xludf.DUMMYFUNCTION("""COMPUTED_VALUE"""),"EpicFire40")</f>
        <v>EpicFire40</v>
      </c>
      <c r="D96" s="6">
        <f>IFERROR(__xludf.DUMMYFUNCTION("""COMPUTED_VALUE"""),45132.0)</f>
        <v>45132</v>
      </c>
      <c r="E96" s="5" t="str">
        <f>IFERROR(__xludf.DUMMYFUNCTION("""COMPUTED_VALUE"""),"Slot")</f>
        <v>Slot</v>
      </c>
      <c r="F96" s="5">
        <f>IFERROR(__xludf.DUMMYFUNCTION("""COMPUTED_VALUE"""),28.3)</f>
        <v>28.3</v>
      </c>
      <c r="G96" s="5" t="str">
        <f>IFERROR(__xludf.DUMMYFUNCTION("""COMPUTED_VALUE"""),"5x4")</f>
        <v>5x4</v>
      </c>
      <c r="H96" s="5" t="str">
        <f>IFERROR(__xludf.DUMMYFUNCTION("""COMPUTED_VALUE"""),"40")</f>
        <v>40</v>
      </c>
      <c r="I96" s="5" t="str">
        <f>IFERROR(__xludf.DUMMYFUNCTION("""COMPUTED_VALUE"""),"40")</f>
        <v>40</v>
      </c>
      <c r="J96" s="5" t="str">
        <f>IFERROR(__xludf.DUMMYFUNCTION("""COMPUTED_VALUE"""),"96.507%")</f>
        <v>96.507%</v>
      </c>
      <c r="K96" s="5" t="str">
        <f>IFERROR(__xludf.DUMMYFUNCTION("""COMPUTED_VALUE"""),"Medium")</f>
        <v>Medium</v>
      </c>
      <c r="L96" s="5" t="str">
        <f>IFERROR(__xludf.DUMMYFUNCTION("""COMPUTED_VALUE"""),"14.93%")</f>
        <v>14.93%</v>
      </c>
      <c r="M96" s="5" t="str">
        <f>IFERROR(__xludf.DUMMYFUNCTION("""COMPUTED_VALUE"""),"x1000")</f>
        <v>x1000</v>
      </c>
      <c r="N96" s="5" t="str">
        <f>IFERROR(__xludf.DUMMYFUNCTION("""COMPUTED_VALUE"""),"0.4/60")</f>
        <v>0.4/60</v>
      </c>
      <c r="O96" s="5" t="str">
        <f>IFERROR(__xludf.DUMMYFUNCTION("""COMPUTED_VALUE"""),"Yes")</f>
        <v>Yes</v>
      </c>
      <c r="P96" s="5" t="str">
        <f>IFERROR(__xludf.DUMMYFUNCTION("""COMPUTED_VALUE"""),"Wild Symbol, Scatter")</f>
        <v>Wild Symbol, Scatter</v>
      </c>
      <c r="Q96" s="7" t="str">
        <f>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R96" s="5" t="str">
        <f>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S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6" s="5" t="str">
        <f>IFERROR(__xludf.DUMMYFUNCTION("""COMPUTED_VALUE"""),"Yes")</f>
        <v>Yes</v>
      </c>
      <c r="U96" s="5" t="str">
        <f>IFERROR(__xludf.DUMMYFUNCTION("""COMPUTED_VALUE"""),"Yes")</f>
        <v>Yes</v>
      </c>
      <c r="V96" s="5" t="str">
        <f>IFERROR(__xludf.DUMMYFUNCTION("""COMPUTED_VALUE"""),"Yes")</f>
        <v>Yes</v>
      </c>
      <c r="W96" s="5" t="str">
        <f>IFERROR(__xludf.DUMMYFUNCTION("""COMPUTED_VALUE"""),"Yes")</f>
        <v>Yes</v>
      </c>
      <c r="X96" s="5" t="str">
        <f>IFERROR(__xludf.DUMMYFUNCTION("""COMPUTED_VALUE"""),"Yes")</f>
        <v>Yes</v>
      </c>
      <c r="Y96" s="5" t="str">
        <f>IFERROR(__xludf.DUMMYFUNCTION("""COMPUTED_VALUE"""),"Yes")</f>
        <v>Yes</v>
      </c>
      <c r="Z96" s="5" t="str">
        <f>IFERROR(__xludf.DUMMYFUNCTION("""COMPUTED_VALUE"""),"Yes")</f>
        <v>Yes</v>
      </c>
      <c r="AA96" s="5" t="str">
        <f>IFERROR(__xludf.DUMMYFUNCTION("""COMPUTED_VALUE"""),"Yes")</f>
        <v>Yes</v>
      </c>
      <c r="AB96" s="5" t="str">
        <f>IFERROR(__xludf.DUMMYFUNCTION("""COMPUTED_VALUE"""),"Yes")</f>
        <v>Yes</v>
      </c>
      <c r="AC96" s="5" t="str">
        <f>IFERROR(__xludf.DUMMYFUNCTION("""COMPUTED_VALUE"""),"Yes")</f>
        <v>Yes</v>
      </c>
      <c r="AD96" s="5" t="str">
        <f>IFERROR(__xludf.DUMMYFUNCTION("""COMPUTED_VALUE"""),"Yes")</f>
        <v>Yes</v>
      </c>
      <c r="AE96" s="5" t="str">
        <f>IFERROR(__xludf.DUMMYFUNCTION("""COMPUTED_VALUE"""),"Yes")</f>
        <v>Yes</v>
      </c>
      <c r="AF96" s="5" t="str">
        <f>IFERROR(__xludf.DUMMYFUNCTION("""COMPUTED_VALUE"""),"Yes")</f>
        <v>Yes</v>
      </c>
      <c r="AG96" s="5" t="str">
        <f>IFERROR(__xludf.DUMMYFUNCTION("""COMPUTED_VALUE"""),"Yes")</f>
        <v>Yes</v>
      </c>
      <c r="AH96" s="5" t="str">
        <f>IFERROR(__xludf.DUMMYFUNCTION("""COMPUTED_VALUE"""),"Yes")</f>
        <v>Yes</v>
      </c>
      <c r="AI96" s="5" t="str">
        <f>IFERROR(__xludf.DUMMYFUNCTION("""COMPUTED_VALUE"""),"Yes")</f>
        <v>Yes</v>
      </c>
      <c r="AJ96" s="5" t="str">
        <f>IFERROR(__xludf.DUMMYFUNCTION("""COMPUTED_VALUE"""),"Yes")</f>
        <v>Yes</v>
      </c>
      <c r="AK96" s="5" t="str">
        <f>IFERROR(__xludf.DUMMYFUNCTION("""COMPUTED_VALUE"""),"Yes")</f>
        <v>Yes</v>
      </c>
      <c r="AL96" s="5" t="str">
        <f>IFERROR(__xludf.DUMMYFUNCTION("""COMPUTED_VALUE"""),"Yes")</f>
        <v>Yes</v>
      </c>
      <c r="AM96" s="5" t="str">
        <f>IFERROR(__xludf.DUMMYFUNCTION("""COMPUTED_VALUE"""),"Yes")</f>
        <v>Yes</v>
      </c>
      <c r="AN96" s="5" t="str">
        <f>IFERROR(__xludf.DUMMYFUNCTION("""COMPUTED_VALUE"""),"Yes")</f>
        <v>Yes</v>
      </c>
      <c r="AO96" s="5" t="str">
        <f>IFERROR(__xludf.DUMMYFUNCTION("""COMPUTED_VALUE"""),"Yes")</f>
        <v>Yes</v>
      </c>
      <c r="AP96" s="5" t="str">
        <f>IFERROR(__xludf.DUMMYFUNCTION("""COMPUTED_VALUE"""),"Yes")</f>
        <v>Yes</v>
      </c>
      <c r="AQ96" s="5" t="str">
        <f>IFERROR(__xludf.DUMMYFUNCTION("""COMPUTED_VALUE"""),"Yes")</f>
        <v>Yes</v>
      </c>
      <c r="AR96" s="5" t="str">
        <f>IFERROR(__xludf.DUMMYFUNCTION("""COMPUTED_VALUE"""),"Yes")</f>
        <v>Yes</v>
      </c>
      <c r="AS96" s="5" t="str">
        <f>IFERROR(__xludf.DUMMYFUNCTION("""COMPUTED_VALUE"""),"Yes")</f>
        <v>Yes</v>
      </c>
      <c r="AT96" s="5" t="str">
        <f>IFERROR(__xludf.DUMMYFUNCTION("""COMPUTED_VALUE"""),"No")</f>
        <v>No</v>
      </c>
      <c r="AU96" s="5"/>
      <c r="AV96" s="5" t="str">
        <f>IFERROR(__xludf.DUMMYFUNCTION("""COMPUTED_VALUE"""),"")</f>
        <v/>
      </c>
      <c r="AW96" s="5" t="str">
        <f>IFERROR(__xludf.DUMMYFUNCTION("""COMPUTED_VALUE"""),"")</f>
        <v/>
      </c>
      <c r="AX96" s="5" t="str">
        <f>IFERROR(__xludf.DUMMYFUNCTION("""COMPUTED_VALUE"""),"")</f>
        <v/>
      </c>
      <c r="AY96" s="5" t="str">
        <f>IFERROR(__xludf.DUMMYFUNCTION("""COMPUTED_VALUE"""),"Available")</f>
        <v>Available</v>
      </c>
      <c r="AZ96" s="5" t="str">
        <f>IFERROR(__xludf.DUMMYFUNCTION("""COMPUTED_VALUE"""),"Available")</f>
        <v>Available</v>
      </c>
      <c r="BA96" s="5" t="str">
        <f>IFERROR(__xludf.DUMMYFUNCTION("""COMPUTED_VALUE"""),"Available")</f>
        <v>Available</v>
      </c>
      <c r="BB96" s="5" t="str">
        <f>IFERROR(__xludf.DUMMYFUNCTION("""COMPUTED_VALUE"""),"Available")</f>
        <v>Available</v>
      </c>
      <c r="BC96" s="5" t="str">
        <f>IFERROR(__xludf.DUMMYFUNCTION("""COMPUTED_VALUE"""),"Available")</f>
        <v>Available</v>
      </c>
      <c r="BD96" s="5" t="str">
        <f>IFERROR(__xludf.DUMMYFUNCTION("""COMPUTED_VALUE"""),"")</f>
        <v/>
      </c>
      <c r="BE96" s="5" t="str">
        <f>IFERROR(__xludf.DUMMYFUNCTION("""COMPUTED_VALUE"""),"")</f>
        <v/>
      </c>
      <c r="BF96" s="5" t="str">
        <f>IFERROR(__xludf.DUMMYFUNCTION("""COMPUTED_VALUE"""),"Available")</f>
        <v>Available</v>
      </c>
      <c r="BG96" s="5" t="str">
        <f>IFERROR(__xludf.DUMMYFUNCTION("""COMPUTED_VALUE"""),"Available")</f>
        <v>Available</v>
      </c>
      <c r="BH96" s="5" t="str">
        <f>IFERROR(__xludf.DUMMYFUNCTION("""COMPUTED_VALUE"""),"")</f>
        <v/>
      </c>
      <c r="BI96" s="5" t="str">
        <f>IFERROR(__xludf.DUMMYFUNCTION("""COMPUTED_VALUE"""),"")</f>
        <v/>
      </c>
      <c r="BJ96" s="5" t="str">
        <f>IFERROR(__xludf.DUMMYFUNCTION("""COMPUTED_VALUE"""),"")</f>
        <v/>
      </c>
      <c r="BK96" s="5" t="str">
        <f>IFERROR(__xludf.DUMMYFUNCTION("""COMPUTED_VALUE"""),"Available")</f>
        <v>Available</v>
      </c>
      <c r="BL96" s="5" t="str">
        <f>IFERROR(__xludf.DUMMYFUNCTION("""COMPUTED_VALUE"""),"")</f>
        <v/>
      </c>
      <c r="BM96" s="5" t="str">
        <f>IFERROR(__xludf.DUMMYFUNCTION("""COMPUTED_VALUE"""),"Available")</f>
        <v>Available</v>
      </c>
    </row>
    <row r="97">
      <c r="A97" s="5" t="str">
        <f>IFERROR(__xludf.DUMMYFUNCTION("""COMPUTED_VALUE"""),"Fazi")</f>
        <v>Fazi</v>
      </c>
      <c r="B97" s="5" t="str">
        <f>IFERROR(__xludf.DUMMYFUNCTION("""COMPUTED_VALUE"""),"Golden Crown 40")</f>
        <v>Golden Crown 40</v>
      </c>
      <c r="C97" s="5" t="str">
        <f>IFERROR(__xludf.DUMMYFUNCTION("""COMPUTED_VALUE"""),"GoldenCrown40")</f>
        <v>GoldenCrown40</v>
      </c>
      <c r="D97" s="6">
        <f>IFERROR(__xludf.DUMMYFUNCTION("""COMPUTED_VALUE"""),45027.0)</f>
        <v>45027</v>
      </c>
      <c r="E97" s="5" t="str">
        <f>IFERROR(__xludf.DUMMYFUNCTION("""COMPUTED_VALUE"""),"Slot")</f>
        <v>Slot</v>
      </c>
      <c r="F97" s="5">
        <f>IFERROR(__xludf.DUMMYFUNCTION("""COMPUTED_VALUE"""),19.0)</f>
        <v>19</v>
      </c>
      <c r="G97" s="5" t="str">
        <f>IFERROR(__xludf.DUMMYFUNCTION("""COMPUTED_VALUE"""),"5x3")</f>
        <v>5x3</v>
      </c>
      <c r="H97" s="5" t="str">
        <f>IFERROR(__xludf.DUMMYFUNCTION("""COMPUTED_VALUE"""),"40")</f>
        <v>40</v>
      </c>
      <c r="I97" s="5" t="str">
        <f>IFERROR(__xludf.DUMMYFUNCTION("""COMPUTED_VALUE"""),"40")</f>
        <v>40</v>
      </c>
      <c r="J97" s="5" t="str">
        <f>IFERROR(__xludf.DUMMYFUNCTION("""COMPUTED_VALUE"""),"95.962%")</f>
        <v>95.962%</v>
      </c>
      <c r="K97" s="5" t="str">
        <f>IFERROR(__xludf.DUMMYFUNCTION("""COMPUTED_VALUE"""),"Medium")</f>
        <v>Medium</v>
      </c>
      <c r="L97" s="5" t="str">
        <f>IFERROR(__xludf.DUMMYFUNCTION("""COMPUTED_VALUE"""),"18.35%")</f>
        <v>18.35%</v>
      </c>
      <c r="M97" s="5" t="str">
        <f>IFERROR(__xludf.DUMMYFUNCTION("""COMPUTED_VALUE"""),"x1420.25")</f>
        <v>x1420.25</v>
      </c>
      <c r="N97" s="5" t="str">
        <f>IFERROR(__xludf.DUMMYFUNCTION("""COMPUTED_VALUE"""),"0.4/50")</f>
        <v>0.4/50</v>
      </c>
      <c r="O97" s="5" t="str">
        <f>IFERROR(__xludf.DUMMYFUNCTION("""COMPUTED_VALUE"""),"Yes")</f>
        <v>Yes</v>
      </c>
      <c r="P97" s="5" t="str">
        <f>IFERROR(__xludf.DUMMYFUNCTION("""COMPUTED_VALUE"""),"Scatter, Expanding Wild")</f>
        <v>Scatter, Expanding Wild</v>
      </c>
      <c r="Q97"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R97" s="5" t="str">
        <f>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S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7" s="5" t="str">
        <f>IFERROR(__xludf.DUMMYFUNCTION("""COMPUTED_VALUE"""),"Yes")</f>
        <v>Yes</v>
      </c>
      <c r="U97" s="5" t="str">
        <f>IFERROR(__xludf.DUMMYFUNCTION("""COMPUTED_VALUE"""),"Yes")</f>
        <v>Yes</v>
      </c>
      <c r="V97" s="5" t="str">
        <f>IFERROR(__xludf.DUMMYFUNCTION("""COMPUTED_VALUE"""),"Yes")</f>
        <v>Yes</v>
      </c>
      <c r="W97" s="5" t="str">
        <f>IFERROR(__xludf.DUMMYFUNCTION("""COMPUTED_VALUE"""),"Yes")</f>
        <v>Yes</v>
      </c>
      <c r="X97" s="5" t="str">
        <f>IFERROR(__xludf.DUMMYFUNCTION("""COMPUTED_VALUE"""),"Yes")</f>
        <v>Yes</v>
      </c>
      <c r="Y97" s="5" t="str">
        <f>IFERROR(__xludf.DUMMYFUNCTION("""COMPUTED_VALUE"""),"Yes")</f>
        <v>Yes</v>
      </c>
      <c r="Z97" s="5" t="str">
        <f>IFERROR(__xludf.DUMMYFUNCTION("""COMPUTED_VALUE"""),"Yes")</f>
        <v>Yes</v>
      </c>
      <c r="AA97" s="5" t="str">
        <f>IFERROR(__xludf.DUMMYFUNCTION("""COMPUTED_VALUE"""),"Yes")</f>
        <v>Yes</v>
      </c>
      <c r="AB97" s="5" t="str">
        <f>IFERROR(__xludf.DUMMYFUNCTION("""COMPUTED_VALUE"""),"Yes")</f>
        <v>Yes</v>
      </c>
      <c r="AC97" s="5" t="str">
        <f>IFERROR(__xludf.DUMMYFUNCTION("""COMPUTED_VALUE"""),"Yes")</f>
        <v>Yes</v>
      </c>
      <c r="AD97" s="5" t="str">
        <f>IFERROR(__xludf.DUMMYFUNCTION("""COMPUTED_VALUE"""),"Yes")</f>
        <v>Yes</v>
      </c>
      <c r="AE97" s="5" t="str">
        <f>IFERROR(__xludf.DUMMYFUNCTION("""COMPUTED_VALUE"""),"Yes")</f>
        <v>Yes</v>
      </c>
      <c r="AF97" s="5" t="str">
        <f>IFERROR(__xludf.DUMMYFUNCTION("""COMPUTED_VALUE"""),"Yes")</f>
        <v>Yes</v>
      </c>
      <c r="AG97" s="5" t="str">
        <f>IFERROR(__xludf.DUMMYFUNCTION("""COMPUTED_VALUE"""),"Yes")</f>
        <v>Yes</v>
      </c>
      <c r="AH97" s="5" t="str">
        <f>IFERROR(__xludf.DUMMYFUNCTION("""COMPUTED_VALUE"""),"Yes")</f>
        <v>Yes</v>
      </c>
      <c r="AI97" s="5" t="str">
        <f>IFERROR(__xludf.DUMMYFUNCTION("""COMPUTED_VALUE"""),"Yes")</f>
        <v>Yes</v>
      </c>
      <c r="AJ97" s="5" t="str">
        <f>IFERROR(__xludf.DUMMYFUNCTION("""COMPUTED_VALUE"""),"Yes")</f>
        <v>Yes</v>
      </c>
      <c r="AK97" s="5" t="str">
        <f>IFERROR(__xludf.DUMMYFUNCTION("""COMPUTED_VALUE"""),"Yes")</f>
        <v>Yes</v>
      </c>
      <c r="AL97" s="5" t="str">
        <f>IFERROR(__xludf.DUMMYFUNCTION("""COMPUTED_VALUE"""),"Yes")</f>
        <v>Yes</v>
      </c>
      <c r="AM97" s="5" t="str">
        <f>IFERROR(__xludf.DUMMYFUNCTION("""COMPUTED_VALUE"""),"Yes")</f>
        <v>Yes</v>
      </c>
      <c r="AN97" s="5" t="str">
        <f>IFERROR(__xludf.DUMMYFUNCTION("""COMPUTED_VALUE"""),"Yes")</f>
        <v>Yes</v>
      </c>
      <c r="AO97" s="5" t="str">
        <f>IFERROR(__xludf.DUMMYFUNCTION("""COMPUTED_VALUE"""),"Yes")</f>
        <v>Yes</v>
      </c>
      <c r="AP97" s="5" t="str">
        <f>IFERROR(__xludf.DUMMYFUNCTION("""COMPUTED_VALUE"""),"Yes")</f>
        <v>Yes</v>
      </c>
      <c r="AQ97" s="5" t="str">
        <f>IFERROR(__xludf.DUMMYFUNCTION("""COMPUTED_VALUE"""),"Yes")</f>
        <v>Yes</v>
      </c>
      <c r="AR97" s="5" t="str">
        <f>IFERROR(__xludf.DUMMYFUNCTION("""COMPUTED_VALUE"""),"Yes")</f>
        <v>Yes</v>
      </c>
      <c r="AS97" s="5" t="str">
        <f>IFERROR(__xludf.DUMMYFUNCTION("""COMPUTED_VALUE"""),"Yes")</f>
        <v>Yes</v>
      </c>
      <c r="AT97" s="5" t="str">
        <f>IFERROR(__xludf.DUMMYFUNCTION("""COMPUTED_VALUE"""),"No")</f>
        <v>No</v>
      </c>
      <c r="AU97" s="5"/>
      <c r="AV97" s="5" t="str">
        <f>IFERROR(__xludf.DUMMYFUNCTION("""COMPUTED_VALUE"""),"Available")</f>
        <v>Available</v>
      </c>
      <c r="AW97" s="5" t="str">
        <f>IFERROR(__xludf.DUMMYFUNCTION("""COMPUTED_VALUE"""),"Available")</f>
        <v>Available</v>
      </c>
      <c r="AX97" s="5" t="str">
        <f>IFERROR(__xludf.DUMMYFUNCTION("""COMPUTED_VALUE"""),"Available")</f>
        <v>Available</v>
      </c>
      <c r="AY97" s="5" t="str">
        <f>IFERROR(__xludf.DUMMYFUNCTION("""COMPUTED_VALUE"""),"Available")</f>
        <v>Available</v>
      </c>
      <c r="AZ97" s="5" t="str">
        <f>IFERROR(__xludf.DUMMYFUNCTION("""COMPUTED_VALUE"""),"Available")</f>
        <v>Available</v>
      </c>
      <c r="BA97" s="5" t="str">
        <f>IFERROR(__xludf.DUMMYFUNCTION("""COMPUTED_VALUE"""),"Available")</f>
        <v>Available</v>
      </c>
      <c r="BB97" s="5" t="str">
        <f>IFERROR(__xludf.DUMMYFUNCTION("""COMPUTED_VALUE"""),"Available")</f>
        <v>Available</v>
      </c>
      <c r="BC97" s="5" t="str">
        <f>IFERROR(__xludf.DUMMYFUNCTION("""COMPUTED_VALUE"""),"Available")</f>
        <v>Available</v>
      </c>
      <c r="BD97" s="5" t="str">
        <f>IFERROR(__xludf.DUMMYFUNCTION("""COMPUTED_VALUE"""),"")</f>
        <v/>
      </c>
      <c r="BE97" s="5" t="str">
        <f>IFERROR(__xludf.DUMMYFUNCTION("""COMPUTED_VALUE"""),"")</f>
        <v/>
      </c>
      <c r="BF97" s="5" t="str">
        <f>IFERROR(__xludf.DUMMYFUNCTION("""COMPUTED_VALUE"""),"Available")</f>
        <v>Available</v>
      </c>
      <c r="BG97" s="5" t="str">
        <f>IFERROR(__xludf.DUMMYFUNCTION("""COMPUTED_VALUE"""),"Available")</f>
        <v>Available</v>
      </c>
      <c r="BH97" s="5" t="str">
        <f>IFERROR(__xludf.DUMMYFUNCTION("""COMPUTED_VALUE"""),"")</f>
        <v/>
      </c>
      <c r="BI97" s="5" t="str">
        <f>IFERROR(__xludf.DUMMYFUNCTION("""COMPUTED_VALUE"""),"")</f>
        <v/>
      </c>
      <c r="BJ97" s="5" t="str">
        <f>IFERROR(__xludf.DUMMYFUNCTION("""COMPUTED_VALUE"""),"")</f>
        <v/>
      </c>
      <c r="BK97" s="5" t="str">
        <f>IFERROR(__xludf.DUMMYFUNCTION("""COMPUTED_VALUE"""),"Available")</f>
        <v>Available</v>
      </c>
      <c r="BL97" s="5" t="str">
        <f>IFERROR(__xludf.DUMMYFUNCTION("""COMPUTED_VALUE"""),"")</f>
        <v/>
      </c>
      <c r="BM97" s="5" t="str">
        <f>IFERROR(__xludf.DUMMYFUNCTION("""COMPUTED_VALUE"""),"Available")</f>
        <v>Available</v>
      </c>
    </row>
    <row r="98">
      <c r="A98" s="5" t="str">
        <f>IFERROR(__xludf.DUMMYFUNCTION("""COMPUTED_VALUE"""),"Fazi")</f>
        <v>Fazi</v>
      </c>
      <c r="B98" s="5" t="str">
        <f>IFERROR(__xludf.DUMMYFUNCTION("""COMPUTED_VALUE"""),"Wild 27")</f>
        <v>Wild 27</v>
      </c>
      <c r="C98" s="5" t="str">
        <f>IFERROR(__xludf.DUMMYFUNCTION("""COMPUTED_VALUE"""),"Wild27")</f>
        <v>Wild27</v>
      </c>
      <c r="D98" s="6">
        <f>IFERROR(__xludf.DUMMYFUNCTION("""COMPUTED_VALUE"""),45050.0)</f>
        <v>45050</v>
      </c>
      <c r="E98" s="5" t="str">
        <f>IFERROR(__xludf.DUMMYFUNCTION("""COMPUTED_VALUE"""),"Slot")</f>
        <v>Slot</v>
      </c>
      <c r="F98" s="5">
        <f>IFERROR(__xludf.DUMMYFUNCTION("""COMPUTED_VALUE"""),11.2)</f>
        <v>11.2</v>
      </c>
      <c r="G98" s="5" t="str">
        <f>IFERROR(__xludf.DUMMYFUNCTION("""COMPUTED_VALUE"""),"3x3")</f>
        <v>3x3</v>
      </c>
      <c r="H98" s="5" t="str">
        <f>IFERROR(__xludf.DUMMYFUNCTION("""COMPUTED_VALUE"""),"27")</f>
        <v>27</v>
      </c>
      <c r="I98" s="5" t="str">
        <f>IFERROR(__xludf.DUMMYFUNCTION("""COMPUTED_VALUE"""),"27")</f>
        <v>27</v>
      </c>
      <c r="J98" s="5" t="str">
        <f>IFERROR(__xludf.DUMMYFUNCTION("""COMPUTED_VALUE"""),"96.24%")</f>
        <v>96.24%</v>
      </c>
      <c r="K98" s="5" t="str">
        <f>IFERROR(__xludf.DUMMYFUNCTION("""COMPUTED_VALUE"""),"Low")</f>
        <v>Low</v>
      </c>
      <c r="L98" s="5" t="str">
        <f>IFERROR(__xludf.DUMMYFUNCTION("""COMPUTED_VALUE"""),"6.58%")</f>
        <v>6.58%</v>
      </c>
      <c r="M98" s="5" t="str">
        <f>IFERROR(__xludf.DUMMYFUNCTION("""COMPUTED_VALUE"""),"x108")</f>
        <v>x108</v>
      </c>
      <c r="N98" s="5" t="str">
        <f>IFERROR(__xludf.DUMMYFUNCTION("""COMPUTED_VALUE"""),"0.1/40")</f>
        <v>0.1/40</v>
      </c>
      <c r="O98" s="5" t="str">
        <f>IFERROR(__xludf.DUMMYFUNCTION("""COMPUTED_VALUE"""),"Yes")</f>
        <v>Yes</v>
      </c>
      <c r="P98" s="5" t="str">
        <f>IFERROR(__xludf.DUMMYFUNCTION("""COMPUTED_VALUE"""),"Win Multiplier")</f>
        <v>Win Multiplier</v>
      </c>
      <c r="Q98" s="7" t="str">
        <f>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R98" s="5" t="str">
        <f>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S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8" s="5" t="str">
        <f>IFERROR(__xludf.DUMMYFUNCTION("""COMPUTED_VALUE"""),"Yes")</f>
        <v>Yes</v>
      </c>
      <c r="U98" s="5" t="str">
        <f>IFERROR(__xludf.DUMMYFUNCTION("""COMPUTED_VALUE"""),"Yes")</f>
        <v>Yes</v>
      </c>
      <c r="V98" s="5" t="str">
        <f>IFERROR(__xludf.DUMMYFUNCTION("""COMPUTED_VALUE"""),"Yes")</f>
        <v>Yes</v>
      </c>
      <c r="W98" s="5" t="str">
        <f>IFERROR(__xludf.DUMMYFUNCTION("""COMPUTED_VALUE"""),"Yes")</f>
        <v>Yes</v>
      </c>
      <c r="X98" s="5" t="str">
        <f>IFERROR(__xludf.DUMMYFUNCTION("""COMPUTED_VALUE"""),"Yes")</f>
        <v>Yes</v>
      </c>
      <c r="Y98" s="5" t="str">
        <f>IFERROR(__xludf.DUMMYFUNCTION("""COMPUTED_VALUE"""),"Yes")</f>
        <v>Yes</v>
      </c>
      <c r="Z98" s="5" t="str">
        <f>IFERROR(__xludf.DUMMYFUNCTION("""COMPUTED_VALUE"""),"Yes")</f>
        <v>Yes</v>
      </c>
      <c r="AA98" s="5" t="str">
        <f>IFERROR(__xludf.DUMMYFUNCTION("""COMPUTED_VALUE"""),"Yes")</f>
        <v>Yes</v>
      </c>
      <c r="AB98" s="5" t="str">
        <f>IFERROR(__xludf.DUMMYFUNCTION("""COMPUTED_VALUE"""),"Yes")</f>
        <v>Yes</v>
      </c>
      <c r="AC98" s="5" t="str">
        <f>IFERROR(__xludf.DUMMYFUNCTION("""COMPUTED_VALUE"""),"Yes")</f>
        <v>Yes</v>
      </c>
      <c r="AD98" s="5" t="str">
        <f>IFERROR(__xludf.DUMMYFUNCTION("""COMPUTED_VALUE"""),"Yes")</f>
        <v>Yes</v>
      </c>
      <c r="AE98" s="5" t="str">
        <f>IFERROR(__xludf.DUMMYFUNCTION("""COMPUTED_VALUE"""),"Yes")</f>
        <v>Yes</v>
      </c>
      <c r="AF98" s="5" t="str">
        <f>IFERROR(__xludf.DUMMYFUNCTION("""COMPUTED_VALUE"""),"Yes")</f>
        <v>Yes</v>
      </c>
      <c r="AG98" s="5" t="str">
        <f>IFERROR(__xludf.DUMMYFUNCTION("""COMPUTED_VALUE"""),"Yes")</f>
        <v>Yes</v>
      </c>
      <c r="AH98" s="5" t="str">
        <f>IFERROR(__xludf.DUMMYFUNCTION("""COMPUTED_VALUE"""),"Yes")</f>
        <v>Yes</v>
      </c>
      <c r="AI98" s="5" t="str">
        <f>IFERROR(__xludf.DUMMYFUNCTION("""COMPUTED_VALUE"""),"Yes")</f>
        <v>Yes</v>
      </c>
      <c r="AJ98" s="5" t="str">
        <f>IFERROR(__xludf.DUMMYFUNCTION("""COMPUTED_VALUE"""),"Yes")</f>
        <v>Yes</v>
      </c>
      <c r="AK98" s="5" t="str">
        <f>IFERROR(__xludf.DUMMYFUNCTION("""COMPUTED_VALUE"""),"Yes")</f>
        <v>Yes</v>
      </c>
      <c r="AL98" s="5" t="str">
        <f>IFERROR(__xludf.DUMMYFUNCTION("""COMPUTED_VALUE"""),"Yes")</f>
        <v>Yes</v>
      </c>
      <c r="AM98" s="5" t="str">
        <f>IFERROR(__xludf.DUMMYFUNCTION("""COMPUTED_VALUE"""),"Yes")</f>
        <v>Yes</v>
      </c>
      <c r="AN98" s="5" t="str">
        <f>IFERROR(__xludf.DUMMYFUNCTION("""COMPUTED_VALUE"""),"Yes")</f>
        <v>Yes</v>
      </c>
      <c r="AO98" s="5" t="str">
        <f>IFERROR(__xludf.DUMMYFUNCTION("""COMPUTED_VALUE"""),"Yes")</f>
        <v>Yes</v>
      </c>
      <c r="AP98" s="5" t="str">
        <f>IFERROR(__xludf.DUMMYFUNCTION("""COMPUTED_VALUE"""),"Yes")</f>
        <v>Yes</v>
      </c>
      <c r="AQ98" s="5" t="str">
        <f>IFERROR(__xludf.DUMMYFUNCTION("""COMPUTED_VALUE"""),"Yes")</f>
        <v>Yes</v>
      </c>
      <c r="AR98" s="5" t="str">
        <f>IFERROR(__xludf.DUMMYFUNCTION("""COMPUTED_VALUE"""),"Yes")</f>
        <v>Yes</v>
      </c>
      <c r="AS98" s="5" t="str">
        <f>IFERROR(__xludf.DUMMYFUNCTION("""COMPUTED_VALUE"""),"Yes")</f>
        <v>Yes</v>
      </c>
      <c r="AT98" s="5" t="str">
        <f>IFERROR(__xludf.DUMMYFUNCTION("""COMPUTED_VALUE"""),"No")</f>
        <v>No</v>
      </c>
      <c r="AU98" s="5"/>
      <c r="AV98" s="5" t="str">
        <f>IFERROR(__xludf.DUMMYFUNCTION("""COMPUTED_VALUE"""),"Available")</f>
        <v>Available</v>
      </c>
      <c r="AW98" s="5" t="str">
        <f>IFERROR(__xludf.DUMMYFUNCTION("""COMPUTED_VALUE"""),"")</f>
        <v/>
      </c>
      <c r="AX98" s="5" t="str">
        <f>IFERROR(__xludf.DUMMYFUNCTION("""COMPUTED_VALUE"""),"")</f>
        <v/>
      </c>
      <c r="AY98" s="5" t="str">
        <f>IFERROR(__xludf.DUMMYFUNCTION("""COMPUTED_VALUE"""),"Available")</f>
        <v>Available</v>
      </c>
      <c r="AZ98" s="5" t="str">
        <f>IFERROR(__xludf.DUMMYFUNCTION("""COMPUTED_VALUE"""),"Available")</f>
        <v>Available</v>
      </c>
      <c r="BA98" s="5" t="str">
        <f>IFERROR(__xludf.DUMMYFUNCTION("""COMPUTED_VALUE"""),"Available")</f>
        <v>Available</v>
      </c>
      <c r="BB98" s="5" t="str">
        <f>IFERROR(__xludf.DUMMYFUNCTION("""COMPUTED_VALUE"""),"Available")</f>
        <v>Available</v>
      </c>
      <c r="BC98" s="5" t="str">
        <f>IFERROR(__xludf.DUMMYFUNCTION("""COMPUTED_VALUE"""),"Available")</f>
        <v>Available</v>
      </c>
      <c r="BD98" s="5" t="str">
        <f>IFERROR(__xludf.DUMMYFUNCTION("""COMPUTED_VALUE"""),"")</f>
        <v/>
      </c>
      <c r="BE98" s="5" t="str">
        <f>IFERROR(__xludf.DUMMYFUNCTION("""COMPUTED_VALUE"""),"")</f>
        <v/>
      </c>
      <c r="BF98" s="5" t="str">
        <f>IFERROR(__xludf.DUMMYFUNCTION("""COMPUTED_VALUE"""),"")</f>
        <v/>
      </c>
      <c r="BG98" s="5" t="str">
        <f>IFERROR(__xludf.DUMMYFUNCTION("""COMPUTED_VALUE"""),"")</f>
        <v/>
      </c>
      <c r="BH98" s="5" t="str">
        <f>IFERROR(__xludf.DUMMYFUNCTION("""COMPUTED_VALUE"""),"")</f>
        <v/>
      </c>
      <c r="BI98" s="5" t="str">
        <f>IFERROR(__xludf.DUMMYFUNCTION("""COMPUTED_VALUE"""),"")</f>
        <v/>
      </c>
      <c r="BJ98" s="5" t="str">
        <f>IFERROR(__xludf.DUMMYFUNCTION("""COMPUTED_VALUE"""),"")</f>
        <v/>
      </c>
      <c r="BK98" s="5" t="str">
        <f>IFERROR(__xludf.DUMMYFUNCTION("""COMPUTED_VALUE"""),"Available")</f>
        <v>Available</v>
      </c>
      <c r="BL98" s="5" t="str">
        <f>IFERROR(__xludf.DUMMYFUNCTION("""COMPUTED_VALUE"""),"")</f>
        <v/>
      </c>
      <c r="BM98" s="5" t="str">
        <f>IFERROR(__xludf.DUMMYFUNCTION("""COMPUTED_VALUE"""),"")</f>
        <v/>
      </c>
    </row>
    <row r="99">
      <c r="A99" s="5" t="str">
        <f>IFERROR(__xludf.DUMMYFUNCTION("""COMPUTED_VALUE"""),"Fazi")</f>
        <v>Fazi</v>
      </c>
      <c r="B99" s="5" t="str">
        <f>IFERROR(__xludf.DUMMYFUNCTION("""COMPUTED_VALUE"""),"Wild Hot 40 Free Spins")</f>
        <v>Wild Hot 40 Free Spins</v>
      </c>
      <c r="C99" s="5" t="str">
        <f>IFERROR(__xludf.DUMMYFUNCTION("""COMPUTED_VALUE"""),"WildHot40FreeSpins")</f>
        <v>WildHot40FreeSpins</v>
      </c>
      <c r="D99" s="6">
        <f>IFERROR(__xludf.DUMMYFUNCTION("""COMPUTED_VALUE"""),45043.0)</f>
        <v>45043</v>
      </c>
      <c r="E99" s="5" t="str">
        <f>IFERROR(__xludf.DUMMYFUNCTION("""COMPUTED_VALUE"""),"Slot")</f>
        <v>Slot</v>
      </c>
      <c r="F99" s="5">
        <f>IFERROR(__xludf.DUMMYFUNCTION("""COMPUTED_VALUE"""),32.9)</f>
        <v>32.9</v>
      </c>
      <c r="G99" s="5" t="str">
        <f>IFERROR(__xludf.DUMMYFUNCTION("""COMPUTED_VALUE"""),"5x4")</f>
        <v>5x4</v>
      </c>
      <c r="H99" s="5" t="str">
        <f>IFERROR(__xludf.DUMMYFUNCTION("""COMPUTED_VALUE"""),"40")</f>
        <v>40</v>
      </c>
      <c r="I99" s="5" t="str">
        <f>IFERROR(__xludf.DUMMYFUNCTION("""COMPUTED_VALUE"""),"40")</f>
        <v>40</v>
      </c>
      <c r="J99" s="5" t="str">
        <f>IFERROR(__xludf.DUMMYFUNCTION("""COMPUTED_VALUE"""),"96.024%")</f>
        <v>96.024%</v>
      </c>
      <c r="K99" s="5" t="str">
        <f>IFERROR(__xludf.DUMMYFUNCTION("""COMPUTED_VALUE"""),"Low")</f>
        <v>Low</v>
      </c>
      <c r="L99" s="5" t="str">
        <f>IFERROR(__xludf.DUMMYFUNCTION("""COMPUTED_VALUE"""),"17.23%")</f>
        <v>17.23%</v>
      </c>
      <c r="M99" s="5" t="str">
        <f>IFERROR(__xludf.DUMMYFUNCTION("""COMPUTED_VALUE"""),"x1046")</f>
        <v>x1046</v>
      </c>
      <c r="N99" s="5" t="str">
        <f>IFERROR(__xludf.DUMMYFUNCTION("""COMPUTED_VALUE"""),"0.4/60")</f>
        <v>0.4/60</v>
      </c>
      <c r="O99" s="5" t="str">
        <f>IFERROR(__xludf.DUMMYFUNCTION("""COMPUTED_VALUE"""),"Yes")</f>
        <v>Yes</v>
      </c>
      <c r="P99" s="5" t="str">
        <f>IFERROR(__xludf.DUMMYFUNCTION("""COMPUTED_VALUE"""),"Buy Bonus, Wild Symbol, Bonus Game with Free Spins")</f>
        <v>Buy Bonus, Wild Symbol, Bonus Game with Free Spins</v>
      </c>
      <c r="Q99" s="7" t="str">
        <f>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R99" s="5" t="str">
        <f>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S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9" s="5" t="str">
        <f>IFERROR(__xludf.DUMMYFUNCTION("""COMPUTED_VALUE"""),"Yes")</f>
        <v>Yes</v>
      </c>
      <c r="U99" s="5" t="str">
        <f>IFERROR(__xludf.DUMMYFUNCTION("""COMPUTED_VALUE"""),"Yes")</f>
        <v>Yes</v>
      </c>
      <c r="V99" s="5" t="str">
        <f>IFERROR(__xludf.DUMMYFUNCTION("""COMPUTED_VALUE"""),"Yes")</f>
        <v>Yes</v>
      </c>
      <c r="W99" s="5" t="str">
        <f>IFERROR(__xludf.DUMMYFUNCTION("""COMPUTED_VALUE"""),"Yes")</f>
        <v>Yes</v>
      </c>
      <c r="X99" s="5" t="str">
        <f>IFERROR(__xludf.DUMMYFUNCTION("""COMPUTED_VALUE"""),"Yes")</f>
        <v>Yes</v>
      </c>
      <c r="Y99" s="5" t="str">
        <f>IFERROR(__xludf.DUMMYFUNCTION("""COMPUTED_VALUE"""),"Yes")</f>
        <v>Yes</v>
      </c>
      <c r="Z99" s="5" t="str">
        <f>IFERROR(__xludf.DUMMYFUNCTION("""COMPUTED_VALUE"""),"Yes")</f>
        <v>Yes</v>
      </c>
      <c r="AA99" s="5" t="str">
        <f>IFERROR(__xludf.DUMMYFUNCTION("""COMPUTED_VALUE"""),"Yes")</f>
        <v>Yes</v>
      </c>
      <c r="AB99" s="5" t="str">
        <f>IFERROR(__xludf.DUMMYFUNCTION("""COMPUTED_VALUE"""),"Yes")</f>
        <v>Yes</v>
      </c>
      <c r="AC99" s="5" t="str">
        <f>IFERROR(__xludf.DUMMYFUNCTION("""COMPUTED_VALUE"""),"Yes")</f>
        <v>Yes</v>
      </c>
      <c r="AD99" s="5" t="str">
        <f>IFERROR(__xludf.DUMMYFUNCTION("""COMPUTED_VALUE"""),"Yes")</f>
        <v>Yes</v>
      </c>
      <c r="AE99" s="5" t="str">
        <f>IFERROR(__xludf.DUMMYFUNCTION("""COMPUTED_VALUE"""),"Yes")</f>
        <v>Yes</v>
      </c>
      <c r="AF99" s="5" t="str">
        <f>IFERROR(__xludf.DUMMYFUNCTION("""COMPUTED_VALUE"""),"Yes")</f>
        <v>Yes</v>
      </c>
      <c r="AG99" s="5" t="str">
        <f>IFERROR(__xludf.DUMMYFUNCTION("""COMPUTED_VALUE"""),"Yes")</f>
        <v>Yes</v>
      </c>
      <c r="AH99" s="5" t="str">
        <f>IFERROR(__xludf.DUMMYFUNCTION("""COMPUTED_VALUE"""),"Yes")</f>
        <v>Yes</v>
      </c>
      <c r="AI99" s="5" t="str">
        <f>IFERROR(__xludf.DUMMYFUNCTION("""COMPUTED_VALUE"""),"Yes")</f>
        <v>Yes</v>
      </c>
      <c r="AJ99" s="5" t="str">
        <f>IFERROR(__xludf.DUMMYFUNCTION("""COMPUTED_VALUE"""),"Yes")</f>
        <v>Yes</v>
      </c>
      <c r="AK99" s="5" t="str">
        <f>IFERROR(__xludf.DUMMYFUNCTION("""COMPUTED_VALUE"""),"Yes")</f>
        <v>Yes</v>
      </c>
      <c r="AL99" s="5" t="str">
        <f>IFERROR(__xludf.DUMMYFUNCTION("""COMPUTED_VALUE"""),"Yes")</f>
        <v>Yes</v>
      </c>
      <c r="AM99" s="5" t="str">
        <f>IFERROR(__xludf.DUMMYFUNCTION("""COMPUTED_VALUE"""),"Yes")</f>
        <v>Yes</v>
      </c>
      <c r="AN99" s="5" t="str">
        <f>IFERROR(__xludf.DUMMYFUNCTION("""COMPUTED_VALUE"""),"Yes")</f>
        <v>Yes</v>
      </c>
      <c r="AO99" s="5" t="str">
        <f>IFERROR(__xludf.DUMMYFUNCTION("""COMPUTED_VALUE"""),"Yes")</f>
        <v>Yes</v>
      </c>
      <c r="AP99" s="5" t="str">
        <f>IFERROR(__xludf.DUMMYFUNCTION("""COMPUTED_VALUE"""),"Yes")</f>
        <v>Yes</v>
      </c>
      <c r="AQ99" s="5" t="str">
        <f>IFERROR(__xludf.DUMMYFUNCTION("""COMPUTED_VALUE"""),"Yes")</f>
        <v>Yes</v>
      </c>
      <c r="AR99" s="5" t="str">
        <f>IFERROR(__xludf.DUMMYFUNCTION("""COMPUTED_VALUE"""),"Yes")</f>
        <v>Yes</v>
      </c>
      <c r="AS99" s="5" t="str">
        <f>IFERROR(__xludf.DUMMYFUNCTION("""COMPUTED_VALUE"""),"Yes")</f>
        <v>Yes</v>
      </c>
      <c r="AT99" s="5" t="str">
        <f>IFERROR(__xludf.DUMMYFUNCTION("""COMPUTED_VALUE"""),"No")</f>
        <v>No</v>
      </c>
      <c r="AU99" s="5"/>
      <c r="AV99" s="5" t="str">
        <f>IFERROR(__xludf.DUMMYFUNCTION("""COMPUTED_VALUE"""),"Available")</f>
        <v>Available</v>
      </c>
      <c r="AW99" s="5" t="str">
        <f>IFERROR(__xludf.DUMMYFUNCTION("""COMPUTED_VALUE"""),"Available")</f>
        <v>Available</v>
      </c>
      <c r="AX99" s="5" t="str">
        <f>IFERROR(__xludf.DUMMYFUNCTION("""COMPUTED_VALUE"""),"Available")</f>
        <v>Available</v>
      </c>
      <c r="AY99" s="5" t="str">
        <f>IFERROR(__xludf.DUMMYFUNCTION("""COMPUTED_VALUE"""),"Available")</f>
        <v>Available</v>
      </c>
      <c r="AZ99" s="5" t="str">
        <f>IFERROR(__xludf.DUMMYFUNCTION("""COMPUTED_VALUE"""),"")</f>
        <v/>
      </c>
      <c r="BA99" s="5" t="str">
        <f>IFERROR(__xludf.DUMMYFUNCTION("""COMPUTED_VALUE"""),"")</f>
        <v/>
      </c>
      <c r="BB99" s="5" t="str">
        <f>IFERROR(__xludf.DUMMYFUNCTION("""COMPUTED_VALUE"""),"Available")</f>
        <v>Available</v>
      </c>
      <c r="BC99" s="5" t="str">
        <f>IFERROR(__xludf.DUMMYFUNCTION("""COMPUTED_VALUE"""),"")</f>
        <v/>
      </c>
      <c r="BD99" s="5" t="str">
        <f>IFERROR(__xludf.DUMMYFUNCTION("""COMPUTED_VALUE"""),"")</f>
        <v/>
      </c>
      <c r="BE99" s="5" t="str">
        <f>IFERROR(__xludf.DUMMYFUNCTION("""COMPUTED_VALUE"""),"")</f>
        <v/>
      </c>
      <c r="BF99" s="5" t="str">
        <f>IFERROR(__xludf.DUMMYFUNCTION("""COMPUTED_VALUE"""),"")</f>
        <v/>
      </c>
      <c r="BG99" s="5" t="str">
        <f>IFERROR(__xludf.DUMMYFUNCTION("""COMPUTED_VALUE"""),"Available")</f>
        <v>Available</v>
      </c>
      <c r="BH99" s="5" t="str">
        <f>IFERROR(__xludf.DUMMYFUNCTION("""COMPUTED_VALUE"""),"")</f>
        <v/>
      </c>
      <c r="BI99" s="5" t="str">
        <f>IFERROR(__xludf.DUMMYFUNCTION("""COMPUTED_VALUE"""),"")</f>
        <v/>
      </c>
      <c r="BJ99" s="5" t="str">
        <f>IFERROR(__xludf.DUMMYFUNCTION("""COMPUTED_VALUE"""),"")</f>
        <v/>
      </c>
      <c r="BK99" s="5" t="str">
        <f>IFERROR(__xludf.DUMMYFUNCTION("""COMPUTED_VALUE"""),"Available")</f>
        <v>Available</v>
      </c>
      <c r="BL99" s="5" t="str">
        <f>IFERROR(__xludf.DUMMYFUNCTION("""COMPUTED_VALUE"""),"")</f>
        <v/>
      </c>
      <c r="BM99" s="5" t="str">
        <f>IFERROR(__xludf.DUMMYFUNCTION("""COMPUTED_VALUE"""),"Available")</f>
        <v>Available</v>
      </c>
    </row>
    <row r="100">
      <c r="A100" s="5" t="str">
        <f>IFERROR(__xludf.DUMMYFUNCTION("""COMPUTED_VALUE"""),"Fazi")</f>
        <v>Fazi</v>
      </c>
      <c r="B100" s="5" t="str">
        <f>IFERROR(__xludf.DUMMYFUNCTION("""COMPUTED_VALUE"""),"Pirates Fazi")</f>
        <v>Pirates Fazi</v>
      </c>
      <c r="C100" s="5" t="str">
        <f>IFERROR(__xludf.DUMMYFUNCTION("""COMPUTED_VALUE"""),"PiratesFazi")</f>
        <v>PiratesFazi</v>
      </c>
      <c r="D100" s="6">
        <f>IFERROR(__xludf.DUMMYFUNCTION("""COMPUTED_VALUE"""),45092.0)</f>
        <v>45092</v>
      </c>
      <c r="E100" s="5" t="str">
        <f>IFERROR(__xludf.DUMMYFUNCTION("""COMPUTED_VALUE"""),"Slot")</f>
        <v>Slot</v>
      </c>
      <c r="F100" s="5">
        <f>IFERROR(__xludf.DUMMYFUNCTION("""COMPUTED_VALUE"""),9.0)</f>
        <v>9</v>
      </c>
      <c r="G100" s="5" t="str">
        <f>IFERROR(__xludf.DUMMYFUNCTION("""COMPUTED_VALUE"""),"5x4")</f>
        <v>5x4</v>
      </c>
      <c r="H100" s="5" t="str">
        <f>IFERROR(__xludf.DUMMYFUNCTION("""COMPUTED_VALUE"""),"40")</f>
        <v>40</v>
      </c>
      <c r="I100" s="5" t="str">
        <f>IFERROR(__xludf.DUMMYFUNCTION("""COMPUTED_VALUE"""),"40")</f>
        <v>40</v>
      </c>
      <c r="J100" s="5" t="str">
        <f>IFERROR(__xludf.DUMMYFUNCTION("""COMPUTED_VALUE"""),"96.477%")</f>
        <v>96.477%</v>
      </c>
      <c r="K100" s="5" t="str">
        <f>IFERROR(__xludf.DUMMYFUNCTION("""COMPUTED_VALUE"""),"Medium")</f>
        <v>Medium</v>
      </c>
      <c r="L100" s="5" t="str">
        <f>IFERROR(__xludf.DUMMYFUNCTION("""COMPUTED_VALUE"""),"21.11%")</f>
        <v>21.11%</v>
      </c>
      <c r="M100" s="5" t="str">
        <f>IFERROR(__xludf.DUMMYFUNCTION("""COMPUTED_VALUE"""),"x750")</f>
        <v>x750</v>
      </c>
      <c r="N100" s="5" t="str">
        <f>IFERROR(__xludf.DUMMYFUNCTION("""COMPUTED_VALUE"""),"0.4/40")</f>
        <v>0.4/40</v>
      </c>
      <c r="O100" s="5" t="str">
        <f>IFERROR(__xludf.DUMMYFUNCTION("""COMPUTED_VALUE"""),"Yes")</f>
        <v>Yes</v>
      </c>
      <c r="P100" s="5" t="str">
        <f>IFERROR(__xludf.DUMMYFUNCTION("""COMPUTED_VALUE"""),"Exploding Wild")</f>
        <v>Exploding Wild</v>
      </c>
      <c r="Q100"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R100" s="5" t="str">
        <f>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S1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0" s="5" t="str">
        <f>IFERROR(__xludf.DUMMYFUNCTION("""COMPUTED_VALUE"""),"Yes")</f>
        <v>Yes</v>
      </c>
      <c r="U100" s="5" t="str">
        <f>IFERROR(__xludf.DUMMYFUNCTION("""COMPUTED_VALUE"""),"Yes")</f>
        <v>Yes</v>
      </c>
      <c r="V100" s="5" t="str">
        <f>IFERROR(__xludf.DUMMYFUNCTION("""COMPUTED_VALUE"""),"Yes")</f>
        <v>Yes</v>
      </c>
      <c r="W100" s="5" t="str">
        <f>IFERROR(__xludf.DUMMYFUNCTION("""COMPUTED_VALUE"""),"Yes")</f>
        <v>Yes</v>
      </c>
      <c r="X100" s="5" t="str">
        <f>IFERROR(__xludf.DUMMYFUNCTION("""COMPUTED_VALUE"""),"Yes")</f>
        <v>Yes</v>
      </c>
      <c r="Y100" s="5" t="str">
        <f>IFERROR(__xludf.DUMMYFUNCTION("""COMPUTED_VALUE"""),"Yes")</f>
        <v>Yes</v>
      </c>
      <c r="Z100" s="5" t="str">
        <f>IFERROR(__xludf.DUMMYFUNCTION("""COMPUTED_VALUE"""),"Yes")</f>
        <v>Yes</v>
      </c>
      <c r="AA100" s="5" t="str">
        <f>IFERROR(__xludf.DUMMYFUNCTION("""COMPUTED_VALUE"""),"Yes")</f>
        <v>Yes</v>
      </c>
      <c r="AB100" s="5" t="str">
        <f>IFERROR(__xludf.DUMMYFUNCTION("""COMPUTED_VALUE"""),"Yes")</f>
        <v>Yes</v>
      </c>
      <c r="AC100" s="5" t="str">
        <f>IFERROR(__xludf.DUMMYFUNCTION("""COMPUTED_VALUE"""),"Yes")</f>
        <v>Yes</v>
      </c>
      <c r="AD100" s="5" t="str">
        <f>IFERROR(__xludf.DUMMYFUNCTION("""COMPUTED_VALUE"""),"Yes")</f>
        <v>Yes</v>
      </c>
      <c r="AE100" s="5" t="str">
        <f>IFERROR(__xludf.DUMMYFUNCTION("""COMPUTED_VALUE"""),"Yes")</f>
        <v>Yes</v>
      </c>
      <c r="AF100" s="5" t="str">
        <f>IFERROR(__xludf.DUMMYFUNCTION("""COMPUTED_VALUE"""),"Yes")</f>
        <v>Yes</v>
      </c>
      <c r="AG100" s="5" t="str">
        <f>IFERROR(__xludf.DUMMYFUNCTION("""COMPUTED_VALUE"""),"Yes")</f>
        <v>Yes</v>
      </c>
      <c r="AH100" s="5" t="str">
        <f>IFERROR(__xludf.DUMMYFUNCTION("""COMPUTED_VALUE"""),"Yes")</f>
        <v>Yes</v>
      </c>
      <c r="AI100" s="5" t="str">
        <f>IFERROR(__xludf.DUMMYFUNCTION("""COMPUTED_VALUE"""),"Yes")</f>
        <v>Yes</v>
      </c>
      <c r="AJ100" s="5" t="str">
        <f>IFERROR(__xludf.DUMMYFUNCTION("""COMPUTED_VALUE"""),"Yes")</f>
        <v>Yes</v>
      </c>
      <c r="AK100" s="5" t="str">
        <f>IFERROR(__xludf.DUMMYFUNCTION("""COMPUTED_VALUE"""),"Yes")</f>
        <v>Yes</v>
      </c>
      <c r="AL100" s="5" t="str">
        <f>IFERROR(__xludf.DUMMYFUNCTION("""COMPUTED_VALUE"""),"Yes")</f>
        <v>Yes</v>
      </c>
      <c r="AM100" s="5" t="str">
        <f>IFERROR(__xludf.DUMMYFUNCTION("""COMPUTED_VALUE"""),"Yes")</f>
        <v>Yes</v>
      </c>
      <c r="AN100" s="5" t="str">
        <f>IFERROR(__xludf.DUMMYFUNCTION("""COMPUTED_VALUE"""),"Yes")</f>
        <v>Yes</v>
      </c>
      <c r="AO100" s="5" t="str">
        <f>IFERROR(__xludf.DUMMYFUNCTION("""COMPUTED_VALUE"""),"Yes")</f>
        <v>Yes</v>
      </c>
      <c r="AP100" s="5" t="str">
        <f>IFERROR(__xludf.DUMMYFUNCTION("""COMPUTED_VALUE"""),"Yes")</f>
        <v>Yes</v>
      </c>
      <c r="AQ100" s="5" t="str">
        <f>IFERROR(__xludf.DUMMYFUNCTION("""COMPUTED_VALUE"""),"Yes")</f>
        <v>Yes</v>
      </c>
      <c r="AR100" s="5" t="str">
        <f>IFERROR(__xludf.DUMMYFUNCTION("""COMPUTED_VALUE"""),"Yes")</f>
        <v>Yes</v>
      </c>
      <c r="AS100" s="5" t="str">
        <f>IFERROR(__xludf.DUMMYFUNCTION("""COMPUTED_VALUE"""),"Yes")</f>
        <v>Yes</v>
      </c>
      <c r="AT100" s="5" t="str">
        <f>IFERROR(__xludf.DUMMYFUNCTION("""COMPUTED_VALUE"""),"No")</f>
        <v>No</v>
      </c>
      <c r="AU100" s="5"/>
      <c r="AV100" s="5" t="str">
        <f>IFERROR(__xludf.DUMMYFUNCTION("""COMPUTED_VALUE"""),"")</f>
        <v/>
      </c>
      <c r="AW100" s="5" t="str">
        <f>IFERROR(__xludf.DUMMYFUNCTION("""COMPUTED_VALUE"""),"")</f>
        <v/>
      </c>
      <c r="AX100" s="5" t="str">
        <f>IFERROR(__xludf.DUMMYFUNCTION("""COMPUTED_VALUE"""),"")</f>
        <v/>
      </c>
      <c r="AY100" s="5" t="str">
        <f>IFERROR(__xludf.DUMMYFUNCTION("""COMPUTED_VALUE"""),"")</f>
        <v/>
      </c>
      <c r="AZ100" s="5" t="str">
        <f>IFERROR(__xludf.DUMMYFUNCTION("""COMPUTED_VALUE"""),"Available")</f>
        <v>Available</v>
      </c>
      <c r="BA100" s="5" t="str">
        <f>IFERROR(__xludf.DUMMYFUNCTION("""COMPUTED_VALUE"""),"Available")</f>
        <v>Available</v>
      </c>
      <c r="BB100" s="5" t="str">
        <f>IFERROR(__xludf.DUMMYFUNCTION("""COMPUTED_VALUE"""),"")</f>
        <v/>
      </c>
      <c r="BC100" s="5" t="str">
        <f>IFERROR(__xludf.DUMMYFUNCTION("""COMPUTED_VALUE"""),"")</f>
        <v/>
      </c>
      <c r="BD100" s="5" t="str">
        <f>IFERROR(__xludf.DUMMYFUNCTION("""COMPUTED_VALUE"""),"")</f>
        <v/>
      </c>
      <c r="BE100" s="5" t="str">
        <f>IFERROR(__xludf.DUMMYFUNCTION("""COMPUTED_VALUE"""),"")</f>
        <v/>
      </c>
      <c r="BF100" s="5" t="str">
        <f>IFERROR(__xludf.DUMMYFUNCTION("""COMPUTED_VALUE"""),"")</f>
        <v/>
      </c>
      <c r="BG100" s="5" t="str">
        <f>IFERROR(__xludf.DUMMYFUNCTION("""COMPUTED_VALUE"""),"")</f>
        <v/>
      </c>
      <c r="BH100" s="5" t="str">
        <f>IFERROR(__xludf.DUMMYFUNCTION("""COMPUTED_VALUE"""),"")</f>
        <v/>
      </c>
      <c r="BI100" s="5" t="str">
        <f>IFERROR(__xludf.DUMMYFUNCTION("""COMPUTED_VALUE"""),"")</f>
        <v/>
      </c>
      <c r="BJ100" s="5" t="str">
        <f>IFERROR(__xludf.DUMMYFUNCTION("""COMPUTED_VALUE"""),"")</f>
        <v/>
      </c>
      <c r="BK100" s="5" t="str">
        <f>IFERROR(__xludf.DUMMYFUNCTION("""COMPUTED_VALUE"""),"Available")</f>
        <v>Available</v>
      </c>
      <c r="BL100" s="5" t="str">
        <f>IFERROR(__xludf.DUMMYFUNCTION("""COMPUTED_VALUE"""),"")</f>
        <v/>
      </c>
      <c r="BM100" s="5" t="str">
        <f>IFERROR(__xludf.DUMMYFUNCTION("""COMPUTED_VALUE"""),"")</f>
        <v/>
      </c>
    </row>
    <row r="101">
      <c r="A101" s="5" t="str">
        <f>IFERROR(__xludf.DUMMYFUNCTION("""COMPUTED_VALUE"""),"Fazi")</f>
        <v>Fazi</v>
      </c>
      <c r="B101" s="5" t="str">
        <f>IFERROR(__xludf.DUMMYFUNCTION("""COMPUTED_VALUE"""),"Epic Clover 40")</f>
        <v>Epic Clover 40</v>
      </c>
      <c r="C101" s="5" t="str">
        <f>IFERROR(__xludf.DUMMYFUNCTION("""COMPUTED_VALUE"""),"EpicClover40")</f>
        <v>EpicClover40</v>
      </c>
      <c r="D101" s="6">
        <f>IFERROR(__xludf.DUMMYFUNCTION("""COMPUTED_VALUE"""),45113.0)</f>
        <v>45113</v>
      </c>
      <c r="E101" s="5" t="str">
        <f>IFERROR(__xludf.DUMMYFUNCTION("""COMPUTED_VALUE"""),"Slot")</f>
        <v>Slot</v>
      </c>
      <c r="F101" s="5">
        <f>IFERROR(__xludf.DUMMYFUNCTION("""COMPUTED_VALUE"""),27.0)</f>
        <v>27</v>
      </c>
      <c r="G101" s="5" t="str">
        <f>IFERROR(__xludf.DUMMYFUNCTION("""COMPUTED_VALUE"""),"5x4")</f>
        <v>5x4</v>
      </c>
      <c r="H101" s="5" t="str">
        <f>IFERROR(__xludf.DUMMYFUNCTION("""COMPUTED_VALUE"""),"40")</f>
        <v>40</v>
      </c>
      <c r="I101" s="5" t="str">
        <f>IFERROR(__xludf.DUMMYFUNCTION("""COMPUTED_VALUE"""),"40")</f>
        <v>40</v>
      </c>
      <c r="J101" s="5" t="str">
        <f>IFERROR(__xludf.DUMMYFUNCTION("""COMPUTED_VALUE"""),"96.502%")</f>
        <v>96.502%</v>
      </c>
      <c r="K101" s="5" t="str">
        <f>IFERROR(__xludf.DUMMYFUNCTION("""COMPUTED_VALUE"""),"Medium")</f>
        <v>Medium</v>
      </c>
      <c r="L101" s="5" t="str">
        <f>IFERROR(__xludf.DUMMYFUNCTION("""COMPUTED_VALUE"""),"11.6%")</f>
        <v>11.6%</v>
      </c>
      <c r="M101" s="5" t="str">
        <f>IFERROR(__xludf.DUMMYFUNCTION("""COMPUTED_VALUE"""),"x3000")</f>
        <v>x3000</v>
      </c>
      <c r="N101" s="5" t="str">
        <f>IFERROR(__xludf.DUMMYFUNCTION("""COMPUTED_VALUE"""),"0.4/60")</f>
        <v>0.4/60</v>
      </c>
      <c r="O101" s="5" t="str">
        <f>IFERROR(__xludf.DUMMYFUNCTION("""COMPUTED_VALUE"""),"Yes")</f>
        <v>Yes</v>
      </c>
      <c r="P101" s="5" t="str">
        <f>IFERROR(__xludf.DUMMYFUNCTION("""COMPUTED_VALUE"""),"Scatter, Expanding Wild")</f>
        <v>Scatter, Expanding Wild</v>
      </c>
      <c r="Q101" s="7" t="str">
        <f>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R101" s="5" t="str">
        <f>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S1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1" s="5" t="str">
        <f>IFERROR(__xludf.DUMMYFUNCTION("""COMPUTED_VALUE"""),"Yes")</f>
        <v>Yes</v>
      </c>
      <c r="U101" s="5" t="str">
        <f>IFERROR(__xludf.DUMMYFUNCTION("""COMPUTED_VALUE"""),"Yes")</f>
        <v>Yes</v>
      </c>
      <c r="V101" s="5" t="str">
        <f>IFERROR(__xludf.DUMMYFUNCTION("""COMPUTED_VALUE"""),"Yes")</f>
        <v>Yes</v>
      </c>
      <c r="W101" s="5" t="str">
        <f>IFERROR(__xludf.DUMMYFUNCTION("""COMPUTED_VALUE"""),"Yes")</f>
        <v>Yes</v>
      </c>
      <c r="X101" s="5" t="str">
        <f>IFERROR(__xludf.DUMMYFUNCTION("""COMPUTED_VALUE"""),"Yes")</f>
        <v>Yes</v>
      </c>
      <c r="Y101" s="5" t="str">
        <f>IFERROR(__xludf.DUMMYFUNCTION("""COMPUTED_VALUE"""),"Yes")</f>
        <v>Yes</v>
      </c>
      <c r="Z101" s="5" t="str">
        <f>IFERROR(__xludf.DUMMYFUNCTION("""COMPUTED_VALUE"""),"Yes")</f>
        <v>Yes</v>
      </c>
      <c r="AA101" s="5" t="str">
        <f>IFERROR(__xludf.DUMMYFUNCTION("""COMPUTED_VALUE"""),"Yes")</f>
        <v>Yes</v>
      </c>
      <c r="AB101" s="5" t="str">
        <f>IFERROR(__xludf.DUMMYFUNCTION("""COMPUTED_VALUE"""),"Yes")</f>
        <v>Yes</v>
      </c>
      <c r="AC101" s="5" t="str">
        <f>IFERROR(__xludf.DUMMYFUNCTION("""COMPUTED_VALUE"""),"Yes")</f>
        <v>Yes</v>
      </c>
      <c r="AD101" s="5" t="str">
        <f>IFERROR(__xludf.DUMMYFUNCTION("""COMPUTED_VALUE"""),"Yes")</f>
        <v>Yes</v>
      </c>
      <c r="AE101" s="5" t="str">
        <f>IFERROR(__xludf.DUMMYFUNCTION("""COMPUTED_VALUE"""),"Yes")</f>
        <v>Yes</v>
      </c>
      <c r="AF101" s="5" t="str">
        <f>IFERROR(__xludf.DUMMYFUNCTION("""COMPUTED_VALUE"""),"Yes")</f>
        <v>Yes</v>
      </c>
      <c r="AG101" s="5" t="str">
        <f>IFERROR(__xludf.DUMMYFUNCTION("""COMPUTED_VALUE"""),"Yes")</f>
        <v>Yes</v>
      </c>
      <c r="AH101" s="5" t="str">
        <f>IFERROR(__xludf.DUMMYFUNCTION("""COMPUTED_VALUE"""),"Yes")</f>
        <v>Yes</v>
      </c>
      <c r="AI101" s="5" t="str">
        <f>IFERROR(__xludf.DUMMYFUNCTION("""COMPUTED_VALUE"""),"Yes")</f>
        <v>Yes</v>
      </c>
      <c r="AJ101" s="5" t="str">
        <f>IFERROR(__xludf.DUMMYFUNCTION("""COMPUTED_VALUE"""),"Yes")</f>
        <v>Yes</v>
      </c>
      <c r="AK101" s="5" t="str">
        <f>IFERROR(__xludf.DUMMYFUNCTION("""COMPUTED_VALUE"""),"Yes")</f>
        <v>Yes</v>
      </c>
      <c r="AL101" s="5" t="str">
        <f>IFERROR(__xludf.DUMMYFUNCTION("""COMPUTED_VALUE"""),"Yes")</f>
        <v>Yes</v>
      </c>
      <c r="AM101" s="5" t="str">
        <f>IFERROR(__xludf.DUMMYFUNCTION("""COMPUTED_VALUE"""),"Yes")</f>
        <v>Yes</v>
      </c>
      <c r="AN101" s="5" t="str">
        <f>IFERROR(__xludf.DUMMYFUNCTION("""COMPUTED_VALUE"""),"Yes")</f>
        <v>Yes</v>
      </c>
      <c r="AO101" s="5" t="str">
        <f>IFERROR(__xludf.DUMMYFUNCTION("""COMPUTED_VALUE"""),"Yes")</f>
        <v>Yes</v>
      </c>
      <c r="AP101" s="5" t="str">
        <f>IFERROR(__xludf.DUMMYFUNCTION("""COMPUTED_VALUE"""),"Yes")</f>
        <v>Yes</v>
      </c>
      <c r="AQ101" s="5" t="str">
        <f>IFERROR(__xludf.DUMMYFUNCTION("""COMPUTED_VALUE"""),"Yes")</f>
        <v>Yes</v>
      </c>
      <c r="AR101" s="5" t="str">
        <f>IFERROR(__xludf.DUMMYFUNCTION("""COMPUTED_VALUE"""),"Yes")</f>
        <v>Yes</v>
      </c>
      <c r="AS101" s="5" t="str">
        <f>IFERROR(__xludf.DUMMYFUNCTION("""COMPUTED_VALUE"""),"Yes")</f>
        <v>Yes</v>
      </c>
      <c r="AT101" s="5" t="str">
        <f>IFERROR(__xludf.DUMMYFUNCTION("""COMPUTED_VALUE"""),"No")</f>
        <v>No</v>
      </c>
      <c r="AU101" s="5"/>
      <c r="AV101" s="5" t="str">
        <f>IFERROR(__xludf.DUMMYFUNCTION("""COMPUTED_VALUE"""),"Available")</f>
        <v>Available</v>
      </c>
      <c r="AW101" s="5" t="str">
        <f>IFERROR(__xludf.DUMMYFUNCTION("""COMPUTED_VALUE"""),"Available")</f>
        <v>Available</v>
      </c>
      <c r="AX101" s="5" t="str">
        <f>IFERROR(__xludf.DUMMYFUNCTION("""COMPUTED_VALUE"""),"Available")</f>
        <v>Available</v>
      </c>
      <c r="AY101" s="5" t="str">
        <f>IFERROR(__xludf.DUMMYFUNCTION("""COMPUTED_VALUE"""),"Available")</f>
        <v>Available</v>
      </c>
      <c r="AZ101" s="5" t="str">
        <f>IFERROR(__xludf.DUMMYFUNCTION("""COMPUTED_VALUE"""),"Available")</f>
        <v>Available</v>
      </c>
      <c r="BA101" s="5" t="str">
        <f>IFERROR(__xludf.DUMMYFUNCTION("""COMPUTED_VALUE"""),"Available")</f>
        <v>Available</v>
      </c>
      <c r="BB101" s="5" t="str">
        <f>IFERROR(__xludf.DUMMYFUNCTION("""COMPUTED_VALUE"""),"Available")</f>
        <v>Available</v>
      </c>
      <c r="BC101" s="5" t="str">
        <f>IFERROR(__xludf.DUMMYFUNCTION("""COMPUTED_VALUE"""),"")</f>
        <v/>
      </c>
      <c r="BD101" s="5" t="str">
        <f>IFERROR(__xludf.DUMMYFUNCTION("""COMPUTED_VALUE"""),"Available")</f>
        <v>Available</v>
      </c>
      <c r="BE101" s="5" t="str">
        <f>IFERROR(__xludf.DUMMYFUNCTION("""COMPUTED_VALUE"""),"")</f>
        <v/>
      </c>
      <c r="BF101" s="5" t="str">
        <f>IFERROR(__xludf.DUMMYFUNCTION("""COMPUTED_VALUE"""),"Available")</f>
        <v>Available</v>
      </c>
      <c r="BG101" s="5" t="str">
        <f>IFERROR(__xludf.DUMMYFUNCTION("""COMPUTED_VALUE"""),"Available")</f>
        <v>Available</v>
      </c>
      <c r="BH101" s="5" t="str">
        <f>IFERROR(__xludf.DUMMYFUNCTION("""COMPUTED_VALUE"""),"Available")</f>
        <v>Available</v>
      </c>
      <c r="BI101" s="5" t="str">
        <f>IFERROR(__xludf.DUMMYFUNCTION("""COMPUTED_VALUE"""),"")</f>
        <v/>
      </c>
      <c r="BJ101" s="5" t="str">
        <f>IFERROR(__xludf.DUMMYFUNCTION("""COMPUTED_VALUE"""),"")</f>
        <v/>
      </c>
      <c r="BK101" s="5" t="str">
        <f>IFERROR(__xludf.DUMMYFUNCTION("""COMPUTED_VALUE"""),"Available")</f>
        <v>Available</v>
      </c>
      <c r="BL101" s="5" t="str">
        <f>IFERROR(__xludf.DUMMYFUNCTION("""COMPUTED_VALUE"""),"")</f>
        <v/>
      </c>
      <c r="BM101" s="5" t="str">
        <f>IFERROR(__xludf.DUMMYFUNCTION("""COMPUTED_VALUE"""),"Available")</f>
        <v>Available</v>
      </c>
    </row>
    <row r="102">
      <c r="A102" s="5" t="str">
        <f>IFERROR(__xludf.DUMMYFUNCTION("""COMPUTED_VALUE"""),"Fazi")</f>
        <v>Fazi</v>
      </c>
      <c r="B102" s="5" t="str">
        <f>IFERROR(__xludf.DUMMYFUNCTION("""COMPUTED_VALUE"""),"Wild Lucky Clover 2")</f>
        <v>Wild Lucky Clover 2</v>
      </c>
      <c r="C102" s="5" t="str">
        <f>IFERROR(__xludf.DUMMYFUNCTION("""COMPUTED_VALUE"""),"WildLuckyClover2")</f>
        <v>WildLuckyClover2</v>
      </c>
      <c r="D102" s="6">
        <f>IFERROR(__xludf.DUMMYFUNCTION("""COMPUTED_VALUE"""),45076.0)</f>
        <v>45076</v>
      </c>
      <c r="E102" s="5" t="str">
        <f>IFERROR(__xludf.DUMMYFUNCTION("""COMPUTED_VALUE"""),"Slot")</f>
        <v>Slot</v>
      </c>
      <c r="F102" s="5">
        <f>IFERROR(__xludf.DUMMYFUNCTION("""COMPUTED_VALUE"""),31.5)</f>
        <v>31.5</v>
      </c>
      <c r="G102" s="5" t="str">
        <f>IFERROR(__xludf.DUMMYFUNCTION("""COMPUTED_VALUE"""),"5x4")</f>
        <v>5x4</v>
      </c>
      <c r="H102" s="5" t="str">
        <f>IFERROR(__xludf.DUMMYFUNCTION("""COMPUTED_VALUE"""),"40")</f>
        <v>40</v>
      </c>
      <c r="I102" s="5" t="str">
        <f>IFERROR(__xludf.DUMMYFUNCTION("""COMPUTED_VALUE"""),"40")</f>
        <v>40</v>
      </c>
      <c r="J102" s="5" t="str">
        <f>IFERROR(__xludf.DUMMYFUNCTION("""COMPUTED_VALUE"""),"96.395%")</f>
        <v>96.395%</v>
      </c>
      <c r="K102" s="5" t="str">
        <f>IFERROR(__xludf.DUMMYFUNCTION("""COMPUTED_VALUE"""),"Medium")</f>
        <v>Medium</v>
      </c>
      <c r="L102" s="5" t="str">
        <f>IFERROR(__xludf.DUMMYFUNCTION("""COMPUTED_VALUE"""),"12.63%")</f>
        <v>12.63%</v>
      </c>
      <c r="M102" s="5" t="str">
        <f>IFERROR(__xludf.DUMMYFUNCTION("""COMPUTED_VALUE"""),"x2501")</f>
        <v>x2501</v>
      </c>
      <c r="N102" s="5" t="str">
        <f>IFERROR(__xludf.DUMMYFUNCTION("""COMPUTED_VALUE"""),"0.4/60")</f>
        <v>0.4/60</v>
      </c>
      <c r="O102" s="5" t="str">
        <f>IFERROR(__xludf.DUMMYFUNCTION("""COMPUTED_VALUE"""),"Yes")</f>
        <v>Yes</v>
      </c>
      <c r="P102" s="5" t="str">
        <f>IFERROR(__xludf.DUMMYFUNCTION("""COMPUTED_VALUE"""),"Buy Bonus, Bonus Game with Free Spins, Converting Wild, Wild Symbol, Wild Multiplier")</f>
        <v>Buy Bonus, Bonus Game with Free Spins, Converting Wild, Wild Symbol, Wild Multiplier</v>
      </c>
      <c r="Q102" s="7" t="str">
        <f>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R102" s="5" t="str">
        <f>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S1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IFERROR(__xludf.DUMMYFUNCTION("""COMPUTED_VALUE"""),"Yes")</f>
        <v>Yes</v>
      </c>
      <c r="AA102" s="5" t="str">
        <f>IFERROR(__xludf.DUMMYFUNCTION("""COMPUTED_VALUE"""),"Yes")</f>
        <v>Yes</v>
      </c>
      <c r="AB102" s="5" t="str">
        <f>IFERROR(__xludf.DUMMYFUNCTION("""COMPUTED_VALUE"""),"Yes")</f>
        <v>Yes</v>
      </c>
      <c r="AC102" s="5" t="str">
        <f>IFERROR(__xludf.DUMMYFUNCTION("""COMPUTED_VALUE"""),"Yes")</f>
        <v>Yes</v>
      </c>
      <c r="AD102" s="5" t="str">
        <f>IFERROR(__xludf.DUMMYFUNCTION("""COMPUTED_VALUE"""),"Yes")</f>
        <v>Yes</v>
      </c>
      <c r="AE102" s="5" t="str">
        <f>IFERROR(__xludf.DUMMYFUNCTION("""COMPUTED_VALUE"""),"Yes")</f>
        <v>Yes</v>
      </c>
      <c r="AF102" s="5" t="str">
        <f>IFERROR(__xludf.DUMMYFUNCTION("""COMPUTED_VALUE"""),"Yes")</f>
        <v>Yes</v>
      </c>
      <c r="AG102" s="5" t="str">
        <f>IFERROR(__xludf.DUMMYFUNCTION("""COMPUTED_VALUE"""),"Yes")</f>
        <v>Yes</v>
      </c>
      <c r="AH102" s="5" t="str">
        <f>IFERROR(__xludf.DUMMYFUNCTION("""COMPUTED_VALUE"""),"Yes")</f>
        <v>Yes</v>
      </c>
      <c r="AI102" s="5" t="str">
        <f>IFERROR(__xludf.DUMMYFUNCTION("""COMPUTED_VALUE"""),"Yes")</f>
        <v>Yes</v>
      </c>
      <c r="AJ102" s="5" t="str">
        <f>IFERROR(__xludf.DUMMYFUNCTION("""COMPUTED_VALUE"""),"Yes")</f>
        <v>Yes</v>
      </c>
      <c r="AK102" s="5" t="str">
        <f>IFERROR(__xludf.DUMMYFUNCTION("""COMPUTED_VALUE"""),"Yes")</f>
        <v>Yes</v>
      </c>
      <c r="AL102" s="5" t="str">
        <f>IFERROR(__xludf.DUMMYFUNCTION("""COMPUTED_VALUE"""),"Yes")</f>
        <v>Yes</v>
      </c>
      <c r="AM102" s="5" t="str">
        <f>IFERROR(__xludf.DUMMYFUNCTION("""COMPUTED_VALUE"""),"Yes")</f>
        <v>Yes</v>
      </c>
      <c r="AN102" s="5" t="str">
        <f>IFERROR(__xludf.DUMMYFUNCTION("""COMPUTED_VALUE"""),"Yes")</f>
        <v>Yes</v>
      </c>
      <c r="AO102" s="5" t="str">
        <f>IFERROR(__xludf.DUMMYFUNCTION("""COMPUTED_VALUE"""),"Yes")</f>
        <v>Yes</v>
      </c>
      <c r="AP102" s="5" t="str">
        <f>IFERROR(__xludf.DUMMYFUNCTION("""COMPUTED_VALUE"""),"Yes")</f>
        <v>Yes</v>
      </c>
      <c r="AQ102" s="5" t="str">
        <f>IFERROR(__xludf.DUMMYFUNCTION("""COMPUTED_VALUE"""),"Yes")</f>
        <v>Yes</v>
      </c>
      <c r="AR102" s="5" t="str">
        <f>IFERROR(__xludf.DUMMYFUNCTION("""COMPUTED_VALUE"""),"Yes")</f>
        <v>Yes</v>
      </c>
      <c r="AS102" s="5" t="str">
        <f>IFERROR(__xludf.DUMMYFUNCTION("""COMPUTED_VALUE"""),"Yes")</f>
        <v>Yes</v>
      </c>
      <c r="AT102" s="5" t="str">
        <f>IFERROR(__xludf.DUMMYFUNCTION("""COMPUTED_VALUE"""),"No")</f>
        <v>No</v>
      </c>
      <c r="AU102" s="5"/>
      <c r="AV102" s="5" t="str">
        <f>IFERROR(__xludf.DUMMYFUNCTION("""COMPUTED_VALUE"""),"Available")</f>
        <v>Available</v>
      </c>
      <c r="AW102" s="5" t="str">
        <f>IFERROR(__xludf.DUMMYFUNCTION("""COMPUTED_VALUE"""),"")</f>
        <v/>
      </c>
      <c r="AX102" s="5" t="str">
        <f>IFERROR(__xludf.DUMMYFUNCTION("""COMPUTED_VALUE"""),"Available")</f>
        <v>Available</v>
      </c>
      <c r="AY102" s="5" t="str">
        <f>IFERROR(__xludf.DUMMYFUNCTION("""COMPUTED_VALUE"""),"")</f>
        <v/>
      </c>
      <c r="AZ102" s="5" t="str">
        <f>IFERROR(__xludf.DUMMYFUNCTION("""COMPUTED_VALUE"""),"Available")</f>
        <v>Available</v>
      </c>
      <c r="BA102" s="5" t="str">
        <f>IFERROR(__xludf.DUMMYFUNCTION("""COMPUTED_VALUE"""),"Available")</f>
        <v>Available</v>
      </c>
      <c r="BB102" s="5" t="str">
        <f>IFERROR(__xludf.DUMMYFUNCTION("""COMPUTED_VALUE"""),"Available")</f>
        <v>Available</v>
      </c>
      <c r="BC102" s="5" t="str">
        <f>IFERROR(__xludf.DUMMYFUNCTION("""COMPUTED_VALUE"""),"Available")</f>
        <v>Available</v>
      </c>
      <c r="BD102" s="5" t="str">
        <f>IFERROR(__xludf.DUMMYFUNCTION("""COMPUTED_VALUE"""),"")</f>
        <v/>
      </c>
      <c r="BE102" s="5" t="str">
        <f>IFERROR(__xludf.DUMMYFUNCTION("""COMPUTED_VALUE"""),"")</f>
        <v/>
      </c>
      <c r="BF102" s="5" t="str">
        <f>IFERROR(__xludf.DUMMYFUNCTION("""COMPUTED_VALUE"""),"")</f>
        <v/>
      </c>
      <c r="BG102" s="5" t="str">
        <f>IFERROR(__xludf.DUMMYFUNCTION("""COMPUTED_VALUE"""),"Available")</f>
        <v>Available</v>
      </c>
      <c r="BH102" s="5" t="str">
        <f>IFERROR(__xludf.DUMMYFUNCTION("""COMPUTED_VALUE"""),"")</f>
        <v/>
      </c>
      <c r="BI102" s="5" t="str">
        <f>IFERROR(__xludf.DUMMYFUNCTION("""COMPUTED_VALUE"""),"")</f>
        <v/>
      </c>
      <c r="BJ102" s="5" t="str">
        <f>IFERROR(__xludf.DUMMYFUNCTION("""COMPUTED_VALUE"""),"")</f>
        <v/>
      </c>
      <c r="BK102" s="5" t="str">
        <f>IFERROR(__xludf.DUMMYFUNCTION("""COMPUTED_VALUE"""),"Available")</f>
        <v>Available</v>
      </c>
      <c r="BL102" s="5" t="str">
        <f>IFERROR(__xludf.DUMMYFUNCTION("""COMPUTED_VALUE"""),"")</f>
        <v/>
      </c>
      <c r="BM102" s="5" t="str">
        <f>IFERROR(__xludf.DUMMYFUNCTION("""COMPUTED_VALUE"""),"")</f>
        <v/>
      </c>
    </row>
    <row r="103">
      <c r="A103" s="5" t="str">
        <f>IFERROR(__xludf.DUMMYFUNCTION("""COMPUTED_VALUE"""),"Fazi")</f>
        <v>Fazi</v>
      </c>
      <c r="B103" s="5" t="str">
        <f>IFERROR(__xludf.DUMMYFUNCTION("""COMPUTED_VALUE"""),"Epic Crown 10")</f>
        <v>Epic Crown 10</v>
      </c>
      <c r="C103" s="5" t="str">
        <f>IFERROR(__xludf.DUMMYFUNCTION("""COMPUTED_VALUE"""),"EpicCrown10")</f>
        <v>EpicCrown10</v>
      </c>
      <c r="D103" s="6">
        <f>IFERROR(__xludf.DUMMYFUNCTION("""COMPUTED_VALUE"""),45314.0)</f>
        <v>45314</v>
      </c>
      <c r="E103" s="5" t="str">
        <f>IFERROR(__xludf.DUMMYFUNCTION("""COMPUTED_VALUE"""),"Slot")</f>
        <v>Slot</v>
      </c>
      <c r="F103" s="5">
        <f>IFERROR(__xludf.DUMMYFUNCTION("""COMPUTED_VALUE"""),23.7)</f>
        <v>23.7</v>
      </c>
      <c r="G103" s="5" t="str">
        <f>IFERROR(__xludf.DUMMYFUNCTION("""COMPUTED_VALUE"""),"5x3")</f>
        <v>5x3</v>
      </c>
      <c r="H103" s="5" t="str">
        <f>IFERROR(__xludf.DUMMYFUNCTION("""COMPUTED_VALUE"""),"10")</f>
        <v>10</v>
      </c>
      <c r="I103" s="5" t="str">
        <f>IFERROR(__xludf.DUMMYFUNCTION("""COMPUTED_VALUE"""),"10")</f>
        <v>10</v>
      </c>
      <c r="J103" s="5" t="str">
        <f>IFERROR(__xludf.DUMMYFUNCTION("""COMPUTED_VALUE"""),"95.962%")</f>
        <v>95.962%</v>
      </c>
      <c r="K103" s="5" t="str">
        <f>IFERROR(__xludf.DUMMYFUNCTION("""COMPUTED_VALUE"""),"Medium")</f>
        <v>Medium</v>
      </c>
      <c r="L103" s="5" t="str">
        <f>IFERROR(__xludf.DUMMYFUNCTION("""COMPUTED_VALUE"""),"14.63%")</f>
        <v>14.63%</v>
      </c>
      <c r="M103" s="5" t="str">
        <f>IFERROR(__xludf.DUMMYFUNCTION("""COMPUTED_VALUE"""),"x1538")</f>
        <v>x1538</v>
      </c>
      <c r="N103" s="5" t="str">
        <f>IFERROR(__xludf.DUMMYFUNCTION("""COMPUTED_VALUE"""),"0.1/50")</f>
        <v>0.1/50</v>
      </c>
      <c r="O103" s="5" t="str">
        <f>IFERROR(__xludf.DUMMYFUNCTION("""COMPUTED_VALUE"""),"Yes")</f>
        <v>Yes</v>
      </c>
      <c r="P103" s="5" t="str">
        <f>IFERROR(__xludf.DUMMYFUNCTION("""COMPUTED_VALUE"""),"Scatter, Expanding Wild")</f>
        <v>Scatter, Expanding Wild</v>
      </c>
      <c r="Q103" s="7" t="str">
        <f>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R103" s="5" t="str">
        <f>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S1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IFERROR(__xludf.DUMMYFUNCTION("""COMPUTED_VALUE"""),"Yes")</f>
        <v>Yes</v>
      </c>
      <c r="AA103" s="5" t="str">
        <f>IFERROR(__xludf.DUMMYFUNCTION("""COMPUTED_VALUE"""),"Yes")</f>
        <v>Yes</v>
      </c>
      <c r="AB103" s="5" t="str">
        <f>IFERROR(__xludf.DUMMYFUNCTION("""COMPUTED_VALUE"""),"Yes")</f>
        <v>Yes</v>
      </c>
      <c r="AC103" s="5" t="str">
        <f>IFERROR(__xludf.DUMMYFUNCTION("""COMPUTED_VALUE"""),"Yes")</f>
        <v>Yes</v>
      </c>
      <c r="AD103" s="5" t="str">
        <f>IFERROR(__xludf.DUMMYFUNCTION("""COMPUTED_VALUE"""),"Yes")</f>
        <v>Yes</v>
      </c>
      <c r="AE103" s="5" t="str">
        <f>IFERROR(__xludf.DUMMYFUNCTION("""COMPUTED_VALUE"""),"Yes")</f>
        <v>Yes</v>
      </c>
      <c r="AF103" s="5" t="str">
        <f>IFERROR(__xludf.DUMMYFUNCTION("""COMPUTED_VALUE"""),"Yes")</f>
        <v>Yes</v>
      </c>
      <c r="AG103" s="5" t="str">
        <f>IFERROR(__xludf.DUMMYFUNCTION("""COMPUTED_VALUE"""),"Yes")</f>
        <v>Yes</v>
      </c>
      <c r="AH103" s="5" t="str">
        <f>IFERROR(__xludf.DUMMYFUNCTION("""COMPUTED_VALUE"""),"Yes")</f>
        <v>Yes</v>
      </c>
      <c r="AI103" s="5" t="str">
        <f>IFERROR(__xludf.DUMMYFUNCTION("""COMPUTED_VALUE"""),"Yes")</f>
        <v>Yes</v>
      </c>
      <c r="AJ103" s="5" t="str">
        <f>IFERROR(__xludf.DUMMYFUNCTION("""COMPUTED_VALUE"""),"Yes")</f>
        <v>Yes</v>
      </c>
      <c r="AK103" s="5" t="str">
        <f>IFERROR(__xludf.DUMMYFUNCTION("""COMPUTED_VALUE"""),"Yes")</f>
        <v>Yes</v>
      </c>
      <c r="AL103" s="5" t="str">
        <f>IFERROR(__xludf.DUMMYFUNCTION("""COMPUTED_VALUE"""),"Yes")</f>
        <v>Yes</v>
      </c>
      <c r="AM103" s="5" t="str">
        <f>IFERROR(__xludf.DUMMYFUNCTION("""COMPUTED_VALUE"""),"Yes")</f>
        <v>Yes</v>
      </c>
      <c r="AN103" s="5" t="str">
        <f>IFERROR(__xludf.DUMMYFUNCTION("""COMPUTED_VALUE"""),"Yes")</f>
        <v>Yes</v>
      </c>
      <c r="AO103" s="5" t="str">
        <f>IFERROR(__xludf.DUMMYFUNCTION("""COMPUTED_VALUE"""),"Yes")</f>
        <v>Yes</v>
      </c>
      <c r="AP103" s="5" t="str">
        <f>IFERROR(__xludf.DUMMYFUNCTION("""COMPUTED_VALUE"""),"Yes")</f>
        <v>Yes</v>
      </c>
      <c r="AQ103" s="5" t="str">
        <f>IFERROR(__xludf.DUMMYFUNCTION("""COMPUTED_VALUE"""),"Yes")</f>
        <v>Yes</v>
      </c>
      <c r="AR103" s="5" t="str">
        <f>IFERROR(__xludf.DUMMYFUNCTION("""COMPUTED_VALUE"""),"Yes")</f>
        <v>Yes</v>
      </c>
      <c r="AS103" s="5" t="str">
        <f>IFERROR(__xludf.DUMMYFUNCTION("""COMPUTED_VALUE"""),"Yes")</f>
        <v>Yes</v>
      </c>
      <c r="AT103" s="5" t="str">
        <f>IFERROR(__xludf.DUMMYFUNCTION("""COMPUTED_VALUE"""),"No")</f>
        <v>No</v>
      </c>
      <c r="AU103" s="5"/>
      <c r="AV103" s="5" t="str">
        <f>IFERROR(__xludf.DUMMYFUNCTION("""COMPUTED_VALUE"""),"Available")</f>
        <v>Available</v>
      </c>
      <c r="AW103" s="5" t="str">
        <f>IFERROR(__xludf.DUMMYFUNCTION("""COMPUTED_VALUE"""),"Available")</f>
        <v>Available</v>
      </c>
      <c r="AX103" s="5" t="str">
        <f>IFERROR(__xludf.DUMMYFUNCTION("""COMPUTED_VALUE"""),"")</f>
        <v/>
      </c>
      <c r="AY103" s="5" t="str">
        <f>IFERROR(__xludf.DUMMYFUNCTION("""COMPUTED_VALUE"""),"Available")</f>
        <v>Available</v>
      </c>
      <c r="AZ103" s="5" t="str">
        <f>IFERROR(__xludf.DUMMYFUNCTION("""COMPUTED_VALUE"""),"Available")</f>
        <v>Available</v>
      </c>
      <c r="BA103" s="5" t="str">
        <f>IFERROR(__xludf.DUMMYFUNCTION("""COMPUTED_VALUE"""),"Available")</f>
        <v>Available</v>
      </c>
      <c r="BB103" s="5" t="str">
        <f>IFERROR(__xludf.DUMMYFUNCTION("""COMPUTED_VALUE"""),"Available")</f>
        <v>Available</v>
      </c>
      <c r="BC103" s="5" t="str">
        <f>IFERROR(__xludf.DUMMYFUNCTION("""COMPUTED_VALUE"""),"")</f>
        <v/>
      </c>
      <c r="BD103" s="5" t="str">
        <f>IFERROR(__xludf.DUMMYFUNCTION("""COMPUTED_VALUE"""),"Available")</f>
        <v>Available</v>
      </c>
      <c r="BE103" s="5" t="str">
        <f>IFERROR(__xludf.DUMMYFUNCTION("""COMPUTED_VALUE"""),"")</f>
        <v/>
      </c>
      <c r="BF103" s="5" t="str">
        <f>IFERROR(__xludf.DUMMYFUNCTION("""COMPUTED_VALUE"""),"Available")</f>
        <v>Available</v>
      </c>
      <c r="BG103" s="5" t="str">
        <f>IFERROR(__xludf.DUMMYFUNCTION("""COMPUTED_VALUE"""),"")</f>
        <v/>
      </c>
      <c r="BH103" s="5" t="str">
        <f>IFERROR(__xludf.DUMMYFUNCTION("""COMPUTED_VALUE"""),"")</f>
        <v/>
      </c>
      <c r="BI103" s="5" t="str">
        <f>IFERROR(__xludf.DUMMYFUNCTION("""COMPUTED_VALUE"""),"")</f>
        <v/>
      </c>
      <c r="BJ103" s="5" t="str">
        <f>IFERROR(__xludf.DUMMYFUNCTION("""COMPUTED_VALUE"""),"")</f>
        <v/>
      </c>
      <c r="BK103" s="5" t="str">
        <f>IFERROR(__xludf.DUMMYFUNCTION("""COMPUTED_VALUE"""),"")</f>
        <v/>
      </c>
      <c r="BL103" s="5" t="str">
        <f>IFERROR(__xludf.DUMMYFUNCTION("""COMPUTED_VALUE"""),"")</f>
        <v/>
      </c>
      <c r="BM103" s="5" t="str">
        <f>IFERROR(__xludf.DUMMYFUNCTION("""COMPUTED_VALUE"""),"Available")</f>
        <v>Available</v>
      </c>
    </row>
    <row r="104">
      <c r="A104" s="5" t="str">
        <f>IFERROR(__xludf.DUMMYFUNCTION("""COMPUTED_VALUE"""),"Fazi")</f>
        <v>Fazi</v>
      </c>
      <c r="B104" s="5" t="str">
        <f>IFERROR(__xludf.DUMMYFUNCTION("""COMPUTED_VALUE"""),"Joker Triple Double")</f>
        <v>Joker Triple Double</v>
      </c>
      <c r="C104" s="5" t="str">
        <f>IFERROR(__xludf.DUMMYFUNCTION("""COMPUTED_VALUE"""),"JokerTripleDouble")</f>
        <v>JokerTripleDouble</v>
      </c>
      <c r="D104" s="6">
        <f>IFERROR(__xludf.DUMMYFUNCTION("""COMPUTED_VALUE"""),45148.0)</f>
        <v>45148</v>
      </c>
      <c r="E104" s="5" t="str">
        <f>IFERROR(__xludf.DUMMYFUNCTION("""COMPUTED_VALUE"""),"Slot")</f>
        <v>Slot</v>
      </c>
      <c r="F104" s="5">
        <f>IFERROR(__xludf.DUMMYFUNCTION("""COMPUTED_VALUE"""),9.5)</f>
        <v>9.5</v>
      </c>
      <c r="G104" s="5" t="str">
        <f>IFERROR(__xludf.DUMMYFUNCTION("""COMPUTED_VALUE"""),"3x3")</f>
        <v>3x3</v>
      </c>
      <c r="H104" s="5" t="str">
        <f>IFERROR(__xludf.DUMMYFUNCTION("""COMPUTED_VALUE"""),"5")</f>
        <v>5</v>
      </c>
      <c r="I104" s="5" t="str">
        <f>IFERROR(__xludf.DUMMYFUNCTION("""COMPUTED_VALUE"""),"5")</f>
        <v>5</v>
      </c>
      <c r="J104" s="5" t="str">
        <f>IFERROR(__xludf.DUMMYFUNCTION("""COMPUTED_VALUE"""),"96.5%")</f>
        <v>96.5%</v>
      </c>
      <c r="K104" s="5" t="str">
        <f>IFERROR(__xludf.DUMMYFUNCTION("""COMPUTED_VALUE"""),"Medium")</f>
        <v>Medium</v>
      </c>
      <c r="L104" s="5" t="str">
        <f>IFERROR(__xludf.DUMMYFUNCTION("""COMPUTED_VALUE"""),"7.03%")</f>
        <v>7.03%</v>
      </c>
      <c r="M104" s="5" t="str">
        <f>IFERROR(__xludf.DUMMYFUNCTION("""COMPUTED_VALUE"""),"x1590")</f>
        <v>x1590</v>
      </c>
      <c r="N104" s="5" t="str">
        <f>IFERROR(__xludf.DUMMYFUNCTION("""COMPUTED_VALUE"""),"0.5/50")</f>
        <v>0.5/50</v>
      </c>
      <c r="O104" s="5" t="str">
        <f>IFERROR(__xludf.DUMMYFUNCTION("""COMPUTED_VALUE"""),"Yes")</f>
        <v>Yes</v>
      </c>
      <c r="P104" s="5" t="str">
        <f>IFERROR(__xludf.DUMMYFUNCTION("""COMPUTED_VALUE"""),"Respin, Sticky Wild, Win Multiplier")</f>
        <v>Respin, Sticky Wild, Win Multiplier</v>
      </c>
      <c r="Q104" s="7" t="str">
        <f>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R104" s="5" t="str">
        <f>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S1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4" s="5" t="str">
        <f>IFERROR(__xludf.DUMMYFUNCTION("""COMPUTED_VALUE"""),"Yes")</f>
        <v>Yes</v>
      </c>
      <c r="U104" s="5" t="str">
        <f>IFERROR(__xludf.DUMMYFUNCTION("""COMPUTED_VALUE"""),"Yes")</f>
        <v>Yes</v>
      </c>
      <c r="V104" s="5" t="str">
        <f>IFERROR(__xludf.DUMMYFUNCTION("""COMPUTED_VALUE"""),"Yes")</f>
        <v>Yes</v>
      </c>
      <c r="W104" s="5" t="str">
        <f>IFERROR(__xludf.DUMMYFUNCTION("""COMPUTED_VALUE"""),"Yes")</f>
        <v>Yes</v>
      </c>
      <c r="X104" s="5" t="str">
        <f>IFERROR(__xludf.DUMMYFUNCTION("""COMPUTED_VALUE"""),"Yes")</f>
        <v>Yes</v>
      </c>
      <c r="Y104" s="5" t="str">
        <f>IFERROR(__xludf.DUMMYFUNCTION("""COMPUTED_VALUE"""),"Yes")</f>
        <v>Yes</v>
      </c>
      <c r="Z104" s="5" t="str">
        <f>IFERROR(__xludf.DUMMYFUNCTION("""COMPUTED_VALUE"""),"Yes")</f>
        <v>Yes</v>
      </c>
      <c r="AA104" s="5" t="str">
        <f>IFERROR(__xludf.DUMMYFUNCTION("""COMPUTED_VALUE"""),"Yes")</f>
        <v>Yes</v>
      </c>
      <c r="AB104" s="5" t="str">
        <f>IFERROR(__xludf.DUMMYFUNCTION("""COMPUTED_VALUE"""),"Yes")</f>
        <v>Yes</v>
      </c>
      <c r="AC104" s="5" t="str">
        <f>IFERROR(__xludf.DUMMYFUNCTION("""COMPUTED_VALUE"""),"Yes")</f>
        <v>Yes</v>
      </c>
      <c r="AD104" s="5" t="str">
        <f>IFERROR(__xludf.DUMMYFUNCTION("""COMPUTED_VALUE"""),"Yes")</f>
        <v>Yes</v>
      </c>
      <c r="AE104" s="5" t="str">
        <f>IFERROR(__xludf.DUMMYFUNCTION("""COMPUTED_VALUE"""),"Yes")</f>
        <v>Yes</v>
      </c>
      <c r="AF104" s="5" t="str">
        <f>IFERROR(__xludf.DUMMYFUNCTION("""COMPUTED_VALUE"""),"Yes")</f>
        <v>Yes</v>
      </c>
      <c r="AG104" s="5" t="str">
        <f>IFERROR(__xludf.DUMMYFUNCTION("""COMPUTED_VALUE"""),"Yes")</f>
        <v>Yes</v>
      </c>
      <c r="AH104" s="5" t="str">
        <f>IFERROR(__xludf.DUMMYFUNCTION("""COMPUTED_VALUE"""),"Yes")</f>
        <v>Yes</v>
      </c>
      <c r="AI104" s="5" t="str">
        <f>IFERROR(__xludf.DUMMYFUNCTION("""COMPUTED_VALUE"""),"Yes")</f>
        <v>Yes</v>
      </c>
      <c r="AJ104" s="5" t="str">
        <f>IFERROR(__xludf.DUMMYFUNCTION("""COMPUTED_VALUE"""),"Yes")</f>
        <v>Yes</v>
      </c>
      <c r="AK104" s="5" t="str">
        <f>IFERROR(__xludf.DUMMYFUNCTION("""COMPUTED_VALUE"""),"Yes")</f>
        <v>Yes</v>
      </c>
      <c r="AL104" s="5" t="str">
        <f>IFERROR(__xludf.DUMMYFUNCTION("""COMPUTED_VALUE"""),"Yes")</f>
        <v>Yes</v>
      </c>
      <c r="AM104" s="5" t="str">
        <f>IFERROR(__xludf.DUMMYFUNCTION("""COMPUTED_VALUE"""),"Yes")</f>
        <v>Yes</v>
      </c>
      <c r="AN104" s="5" t="str">
        <f>IFERROR(__xludf.DUMMYFUNCTION("""COMPUTED_VALUE"""),"Yes")</f>
        <v>Yes</v>
      </c>
      <c r="AO104" s="5" t="str">
        <f>IFERROR(__xludf.DUMMYFUNCTION("""COMPUTED_VALUE"""),"Yes")</f>
        <v>Yes</v>
      </c>
      <c r="AP104" s="5" t="str">
        <f>IFERROR(__xludf.DUMMYFUNCTION("""COMPUTED_VALUE"""),"Yes")</f>
        <v>Yes</v>
      </c>
      <c r="AQ104" s="5" t="str">
        <f>IFERROR(__xludf.DUMMYFUNCTION("""COMPUTED_VALUE"""),"Yes")</f>
        <v>Yes</v>
      </c>
      <c r="AR104" s="5" t="str">
        <f>IFERROR(__xludf.DUMMYFUNCTION("""COMPUTED_VALUE"""),"Yes")</f>
        <v>Yes</v>
      </c>
      <c r="AS104" s="5" t="str">
        <f>IFERROR(__xludf.DUMMYFUNCTION("""COMPUTED_VALUE"""),"Yes")</f>
        <v>Yes</v>
      </c>
      <c r="AT104" s="5" t="str">
        <f>IFERROR(__xludf.DUMMYFUNCTION("""COMPUTED_VALUE"""),"No")</f>
        <v>No</v>
      </c>
      <c r="AU104" s="5"/>
      <c r="AV104" s="5" t="str">
        <f>IFERROR(__xludf.DUMMYFUNCTION("""COMPUTED_VALUE"""),"")</f>
        <v/>
      </c>
      <c r="AW104" s="5" t="str">
        <f>IFERROR(__xludf.DUMMYFUNCTION("""COMPUTED_VALUE"""),"")</f>
        <v/>
      </c>
      <c r="AX104" s="5" t="str">
        <f>IFERROR(__xludf.DUMMYFUNCTION("""COMPUTED_VALUE"""),"")</f>
        <v/>
      </c>
      <c r="AY104" s="5" t="str">
        <f>IFERROR(__xludf.DUMMYFUNCTION("""COMPUTED_VALUE"""),"")</f>
        <v/>
      </c>
      <c r="AZ104" s="5" t="str">
        <f>IFERROR(__xludf.DUMMYFUNCTION("""COMPUTED_VALUE"""),"Available")</f>
        <v>Available</v>
      </c>
      <c r="BA104" s="5" t="str">
        <f>IFERROR(__xludf.DUMMYFUNCTION("""COMPUTED_VALUE"""),"Available")</f>
        <v>Available</v>
      </c>
      <c r="BB104" s="5" t="str">
        <f>IFERROR(__xludf.DUMMYFUNCTION("""COMPUTED_VALUE"""),"Available")</f>
        <v>Available</v>
      </c>
      <c r="BC104" s="5" t="str">
        <f>IFERROR(__xludf.DUMMYFUNCTION("""COMPUTED_VALUE"""),"Available")</f>
        <v>Available</v>
      </c>
      <c r="BD104" s="5" t="str">
        <f>IFERROR(__xludf.DUMMYFUNCTION("""COMPUTED_VALUE"""),"")</f>
        <v/>
      </c>
      <c r="BE104" s="5" t="str">
        <f>IFERROR(__xludf.DUMMYFUNCTION("""COMPUTED_VALUE"""),"")</f>
        <v/>
      </c>
      <c r="BF104" s="5" t="str">
        <f>IFERROR(__xludf.DUMMYFUNCTION("""COMPUTED_VALUE"""),"")</f>
        <v/>
      </c>
      <c r="BG104" s="5" t="str">
        <f>IFERROR(__xludf.DUMMYFUNCTION("""COMPUTED_VALUE"""),"")</f>
        <v/>
      </c>
      <c r="BH104" s="5" t="str">
        <f>IFERROR(__xludf.DUMMYFUNCTION("""COMPUTED_VALUE"""),"")</f>
        <v/>
      </c>
      <c r="BI104" s="5" t="str">
        <f>IFERROR(__xludf.DUMMYFUNCTION("""COMPUTED_VALUE"""),"")</f>
        <v/>
      </c>
      <c r="BJ104" s="5" t="str">
        <f>IFERROR(__xludf.DUMMYFUNCTION("""COMPUTED_VALUE"""),"")</f>
        <v/>
      </c>
      <c r="BK104" s="5" t="str">
        <f>IFERROR(__xludf.DUMMYFUNCTION("""COMPUTED_VALUE"""),"Available")</f>
        <v>Available</v>
      </c>
      <c r="BL104" s="5" t="str">
        <f>IFERROR(__xludf.DUMMYFUNCTION("""COMPUTED_VALUE"""),"")</f>
        <v/>
      </c>
      <c r="BM104" s="5" t="str">
        <f>IFERROR(__xludf.DUMMYFUNCTION("""COMPUTED_VALUE"""),"")</f>
        <v/>
      </c>
    </row>
    <row r="105">
      <c r="A105" s="5" t="str">
        <f>IFERROR(__xludf.DUMMYFUNCTION("""COMPUTED_VALUE"""),"Fazi")</f>
        <v>Fazi</v>
      </c>
      <c r="B105" s="5" t="str">
        <f>IFERROR(__xludf.DUMMYFUNCTION("""COMPUTED_VALUE"""),"Kettys Fashion World")</f>
        <v>Kettys Fashion World</v>
      </c>
      <c r="C105" s="5" t="str">
        <f>IFERROR(__xludf.DUMMYFUNCTION("""COMPUTED_VALUE"""),"KettysFashionWorld")</f>
        <v>KettysFashionWorld</v>
      </c>
      <c r="D105" s="6">
        <f>IFERROR(__xludf.DUMMYFUNCTION("""COMPUTED_VALUE"""),45160.0)</f>
        <v>45160</v>
      </c>
      <c r="E105" s="5" t="str">
        <f>IFERROR(__xludf.DUMMYFUNCTION("""COMPUTED_VALUE"""),"Slot")</f>
        <v>Slot</v>
      </c>
      <c r="F105" s="5">
        <f>IFERROR(__xludf.DUMMYFUNCTION("""COMPUTED_VALUE"""),24.5)</f>
        <v>24.5</v>
      </c>
      <c r="G105" s="5" t="str">
        <f>IFERROR(__xludf.DUMMYFUNCTION("""COMPUTED_VALUE"""),"5x4")</f>
        <v>5x4</v>
      </c>
      <c r="H105" s="5" t="str">
        <f>IFERROR(__xludf.DUMMYFUNCTION("""COMPUTED_VALUE"""),"40")</f>
        <v>40</v>
      </c>
      <c r="I105" s="5" t="str">
        <f>IFERROR(__xludf.DUMMYFUNCTION("""COMPUTED_VALUE"""),"40")</f>
        <v>40</v>
      </c>
      <c r="J105" s="5" t="str">
        <f>IFERROR(__xludf.DUMMYFUNCTION("""COMPUTED_VALUE"""),"95.479%")</f>
        <v>95.479%</v>
      </c>
      <c r="K105" s="5" t="str">
        <f>IFERROR(__xludf.DUMMYFUNCTION("""COMPUTED_VALUE"""),"Medium")</f>
        <v>Medium</v>
      </c>
      <c r="L105" s="5" t="str">
        <f>IFERROR(__xludf.DUMMYFUNCTION("""COMPUTED_VALUE"""),"14.8%")</f>
        <v>14.8%</v>
      </c>
      <c r="M105" s="5" t="str">
        <f>IFERROR(__xludf.DUMMYFUNCTION("""COMPUTED_VALUE"""),"x1000")</f>
        <v>x1000</v>
      </c>
      <c r="N105" s="5" t="str">
        <f>IFERROR(__xludf.DUMMYFUNCTION("""COMPUTED_VALUE"""),"0.4/60")</f>
        <v>0.4/60</v>
      </c>
      <c r="O105" s="5" t="str">
        <f>IFERROR(__xludf.DUMMYFUNCTION("""COMPUTED_VALUE"""),"Yes")</f>
        <v>Yes</v>
      </c>
      <c r="P105" s="5" t="str">
        <f>IFERROR(__xludf.DUMMYFUNCTION("""COMPUTED_VALUE"""),"Scatter, Wild Symbol")</f>
        <v>Scatter, Wild Symbol</v>
      </c>
      <c r="Q105" s="7" t="str">
        <f>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R105" s="5" t="str">
        <f>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S1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IFERROR(__xludf.DUMMYFUNCTION("""COMPUTED_VALUE"""),"Yes")</f>
        <v>Yes</v>
      </c>
      <c r="AA105" s="5" t="str">
        <f>IFERROR(__xludf.DUMMYFUNCTION("""COMPUTED_VALUE"""),"Yes")</f>
        <v>Yes</v>
      </c>
      <c r="AB105" s="5" t="str">
        <f>IFERROR(__xludf.DUMMYFUNCTION("""COMPUTED_VALUE"""),"Yes")</f>
        <v>Yes</v>
      </c>
      <c r="AC105" s="5" t="str">
        <f>IFERROR(__xludf.DUMMYFUNCTION("""COMPUTED_VALUE"""),"Yes")</f>
        <v>Yes</v>
      </c>
      <c r="AD105" s="5" t="str">
        <f>IFERROR(__xludf.DUMMYFUNCTION("""COMPUTED_VALUE"""),"Yes")</f>
        <v>Yes</v>
      </c>
      <c r="AE105" s="5" t="str">
        <f>IFERROR(__xludf.DUMMYFUNCTION("""COMPUTED_VALUE"""),"Yes")</f>
        <v>Yes</v>
      </c>
      <c r="AF105" s="5" t="str">
        <f>IFERROR(__xludf.DUMMYFUNCTION("""COMPUTED_VALUE"""),"Yes")</f>
        <v>Yes</v>
      </c>
      <c r="AG105" s="5" t="str">
        <f>IFERROR(__xludf.DUMMYFUNCTION("""COMPUTED_VALUE"""),"Yes")</f>
        <v>Yes</v>
      </c>
      <c r="AH105" s="5" t="str">
        <f>IFERROR(__xludf.DUMMYFUNCTION("""COMPUTED_VALUE"""),"Yes")</f>
        <v>Yes</v>
      </c>
      <c r="AI105" s="5" t="str">
        <f>IFERROR(__xludf.DUMMYFUNCTION("""COMPUTED_VALUE"""),"Yes")</f>
        <v>Yes</v>
      </c>
      <c r="AJ105" s="5" t="str">
        <f>IFERROR(__xludf.DUMMYFUNCTION("""COMPUTED_VALUE"""),"Yes")</f>
        <v>Yes</v>
      </c>
      <c r="AK105" s="5" t="str">
        <f>IFERROR(__xludf.DUMMYFUNCTION("""COMPUTED_VALUE"""),"Yes")</f>
        <v>Yes</v>
      </c>
      <c r="AL105" s="5" t="str">
        <f>IFERROR(__xludf.DUMMYFUNCTION("""COMPUTED_VALUE"""),"Yes")</f>
        <v>Yes</v>
      </c>
      <c r="AM105" s="5" t="str">
        <f>IFERROR(__xludf.DUMMYFUNCTION("""COMPUTED_VALUE"""),"Yes")</f>
        <v>Yes</v>
      </c>
      <c r="AN105" s="5" t="str">
        <f>IFERROR(__xludf.DUMMYFUNCTION("""COMPUTED_VALUE"""),"Yes")</f>
        <v>Yes</v>
      </c>
      <c r="AO105" s="5" t="str">
        <f>IFERROR(__xludf.DUMMYFUNCTION("""COMPUTED_VALUE"""),"Yes")</f>
        <v>Yes</v>
      </c>
      <c r="AP105" s="5" t="str">
        <f>IFERROR(__xludf.DUMMYFUNCTION("""COMPUTED_VALUE"""),"Yes")</f>
        <v>Yes</v>
      </c>
      <c r="AQ105" s="5" t="str">
        <f>IFERROR(__xludf.DUMMYFUNCTION("""COMPUTED_VALUE"""),"Yes")</f>
        <v>Yes</v>
      </c>
      <c r="AR105" s="5" t="str">
        <f>IFERROR(__xludf.DUMMYFUNCTION("""COMPUTED_VALUE"""),"Yes")</f>
        <v>Yes</v>
      </c>
      <c r="AS105" s="5" t="str">
        <f>IFERROR(__xludf.DUMMYFUNCTION("""COMPUTED_VALUE"""),"Yes")</f>
        <v>Yes</v>
      </c>
      <c r="AT105" s="5" t="str">
        <f>IFERROR(__xludf.DUMMYFUNCTION("""COMPUTED_VALUE"""),"No")</f>
        <v>No</v>
      </c>
      <c r="AU105" s="5"/>
      <c r="AV105" s="5" t="str">
        <f>IFERROR(__xludf.DUMMYFUNCTION("""COMPUTED_VALUE"""),"")</f>
        <v/>
      </c>
      <c r="AW105" s="5" t="str">
        <f>IFERROR(__xludf.DUMMYFUNCTION("""COMPUTED_VALUE"""),"")</f>
        <v/>
      </c>
      <c r="AX105" s="5" t="str">
        <f>IFERROR(__xludf.DUMMYFUNCTION("""COMPUTED_VALUE"""),"")</f>
        <v/>
      </c>
      <c r="AY105" s="5" t="str">
        <f>IFERROR(__xludf.DUMMYFUNCTION("""COMPUTED_VALUE"""),"")</f>
        <v/>
      </c>
      <c r="AZ105" s="5" t="str">
        <f>IFERROR(__xludf.DUMMYFUNCTION("""COMPUTED_VALUE"""),"")</f>
        <v/>
      </c>
      <c r="BA105" s="5" t="str">
        <f>IFERROR(__xludf.DUMMYFUNCTION("""COMPUTED_VALUE"""),"")</f>
        <v/>
      </c>
      <c r="BB105" s="5" t="str">
        <f>IFERROR(__xludf.DUMMYFUNCTION("""COMPUTED_VALUE"""),"")</f>
        <v/>
      </c>
      <c r="BC105" s="5" t="str">
        <f>IFERROR(__xludf.DUMMYFUNCTION("""COMPUTED_VALUE"""),"")</f>
        <v/>
      </c>
      <c r="BD105" s="5" t="str">
        <f>IFERROR(__xludf.DUMMYFUNCTION("""COMPUTED_VALUE"""),"")</f>
        <v/>
      </c>
      <c r="BE105" s="5" t="str">
        <f>IFERROR(__xludf.DUMMYFUNCTION("""COMPUTED_VALUE"""),"")</f>
        <v/>
      </c>
      <c r="BF105" s="5" t="str">
        <f>IFERROR(__xludf.DUMMYFUNCTION("""COMPUTED_VALUE"""),"")</f>
        <v/>
      </c>
      <c r="BG105" s="5" t="str">
        <f>IFERROR(__xludf.DUMMYFUNCTION("""COMPUTED_VALUE"""),"")</f>
        <v/>
      </c>
      <c r="BH105" s="5" t="str">
        <f>IFERROR(__xludf.DUMMYFUNCTION("""COMPUTED_VALUE"""),"")</f>
        <v/>
      </c>
      <c r="BI105" s="5" t="str">
        <f>IFERROR(__xludf.DUMMYFUNCTION("""COMPUTED_VALUE"""),"")</f>
        <v/>
      </c>
      <c r="BJ105" s="5" t="str">
        <f>IFERROR(__xludf.DUMMYFUNCTION("""COMPUTED_VALUE"""),"")</f>
        <v/>
      </c>
      <c r="BK105" s="5" t="str">
        <f>IFERROR(__xludf.DUMMYFUNCTION("""COMPUTED_VALUE"""),"")</f>
        <v/>
      </c>
      <c r="BL105" s="5" t="str">
        <f>IFERROR(__xludf.DUMMYFUNCTION("""COMPUTED_VALUE"""),"")</f>
        <v/>
      </c>
      <c r="BM105" s="5" t="str">
        <f>IFERROR(__xludf.DUMMYFUNCTION("""COMPUTED_VALUE"""),"")</f>
        <v/>
      </c>
    </row>
    <row r="106">
      <c r="A106" s="5" t="str">
        <f>IFERROR(__xludf.DUMMYFUNCTION("""COMPUTED_VALUE"""),"Fazi")</f>
        <v>Fazi</v>
      </c>
      <c r="B106" s="5" t="str">
        <f>IFERROR(__xludf.DUMMYFUNCTION("""COMPUTED_VALUE"""),"Retro Fire")</f>
        <v>Retro Fire</v>
      </c>
      <c r="C106" s="5" t="str">
        <f>IFERROR(__xludf.DUMMYFUNCTION("""COMPUTED_VALUE"""),"RetroFire")</f>
        <v>RetroFire</v>
      </c>
      <c r="D106" s="6">
        <f>IFERROR(__xludf.DUMMYFUNCTION("""COMPUTED_VALUE"""),45182.0)</f>
        <v>45182</v>
      </c>
      <c r="E106" s="5" t="str">
        <f>IFERROR(__xludf.DUMMYFUNCTION("""COMPUTED_VALUE"""),"Slot")</f>
        <v>Slot</v>
      </c>
      <c r="F106" s="5">
        <f>IFERROR(__xludf.DUMMYFUNCTION("""COMPUTED_VALUE"""),17.0)</f>
        <v>17</v>
      </c>
      <c r="G106" s="5" t="str">
        <f>IFERROR(__xludf.DUMMYFUNCTION("""COMPUTED_VALUE"""),"5x4")</f>
        <v>5x4</v>
      </c>
      <c r="H106" s="5" t="str">
        <f>IFERROR(__xludf.DUMMYFUNCTION("""COMPUTED_VALUE"""),"40")</f>
        <v>40</v>
      </c>
      <c r="I106" s="5" t="str">
        <f>IFERROR(__xludf.DUMMYFUNCTION("""COMPUTED_VALUE"""),"40")</f>
        <v>40</v>
      </c>
      <c r="J106" s="5" t="str">
        <f>IFERROR(__xludf.DUMMYFUNCTION("""COMPUTED_VALUE"""),"96.584%")</f>
        <v>96.584%</v>
      </c>
      <c r="K106" s="5" t="str">
        <f>IFERROR(__xludf.DUMMYFUNCTION("""COMPUTED_VALUE"""),"Low")</f>
        <v>Low</v>
      </c>
      <c r="L106" s="5" t="str">
        <f>IFERROR(__xludf.DUMMYFUNCTION("""COMPUTED_VALUE"""),"16.73%")</f>
        <v>16.73%</v>
      </c>
      <c r="M106" s="5" t="str">
        <f>IFERROR(__xludf.DUMMYFUNCTION("""COMPUTED_VALUE"""),"x1000")</f>
        <v>x1000</v>
      </c>
      <c r="N106" s="5" t="str">
        <f>IFERROR(__xludf.DUMMYFUNCTION("""COMPUTED_VALUE"""),"0.40/60")</f>
        <v>0.40/60</v>
      </c>
      <c r="O106" s="5" t="str">
        <f>IFERROR(__xludf.DUMMYFUNCTION("""COMPUTED_VALUE"""),"Yes")</f>
        <v>Yes</v>
      </c>
      <c r="P106" s="5" t="str">
        <f>IFERROR(__xludf.DUMMYFUNCTION("""COMPUTED_VALUE"""),"Wild Symbol, Scatter")</f>
        <v>Wild Symbol, Scatter</v>
      </c>
      <c r="Q106" s="7" t="str">
        <f>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R106" s="5" t="str">
        <f>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S1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6" s="5" t="str">
        <f>IFERROR(__xludf.DUMMYFUNCTION("""COMPUTED_VALUE"""),"Yes")</f>
        <v>Yes</v>
      </c>
      <c r="U106" s="5" t="str">
        <f>IFERROR(__xludf.DUMMYFUNCTION("""COMPUTED_VALUE"""),"Yes")</f>
        <v>Yes</v>
      </c>
      <c r="V106" s="5" t="str">
        <f>IFERROR(__xludf.DUMMYFUNCTION("""COMPUTED_VALUE"""),"Yes")</f>
        <v>Yes</v>
      </c>
      <c r="W106" s="5" t="str">
        <f>IFERROR(__xludf.DUMMYFUNCTION("""COMPUTED_VALUE"""),"Yes")</f>
        <v>Yes</v>
      </c>
      <c r="X106" s="5" t="str">
        <f>IFERROR(__xludf.DUMMYFUNCTION("""COMPUTED_VALUE"""),"Yes")</f>
        <v>Yes</v>
      </c>
      <c r="Y106" s="5" t="str">
        <f>IFERROR(__xludf.DUMMYFUNCTION("""COMPUTED_VALUE"""),"Yes")</f>
        <v>Yes</v>
      </c>
      <c r="Z106" s="5" t="str">
        <f>IFERROR(__xludf.DUMMYFUNCTION("""COMPUTED_VALUE"""),"Yes")</f>
        <v>Yes</v>
      </c>
      <c r="AA106" s="5" t="str">
        <f>IFERROR(__xludf.DUMMYFUNCTION("""COMPUTED_VALUE"""),"Yes")</f>
        <v>Yes</v>
      </c>
      <c r="AB106" s="5" t="str">
        <f>IFERROR(__xludf.DUMMYFUNCTION("""COMPUTED_VALUE"""),"Yes")</f>
        <v>Yes</v>
      </c>
      <c r="AC106" s="5" t="str">
        <f>IFERROR(__xludf.DUMMYFUNCTION("""COMPUTED_VALUE"""),"Yes")</f>
        <v>Yes</v>
      </c>
      <c r="AD106" s="5" t="str">
        <f>IFERROR(__xludf.DUMMYFUNCTION("""COMPUTED_VALUE"""),"Yes")</f>
        <v>Yes</v>
      </c>
      <c r="AE106" s="5" t="str">
        <f>IFERROR(__xludf.DUMMYFUNCTION("""COMPUTED_VALUE"""),"Yes")</f>
        <v>Yes</v>
      </c>
      <c r="AF106" s="5" t="str">
        <f>IFERROR(__xludf.DUMMYFUNCTION("""COMPUTED_VALUE"""),"Yes")</f>
        <v>Yes</v>
      </c>
      <c r="AG106" s="5" t="str">
        <f>IFERROR(__xludf.DUMMYFUNCTION("""COMPUTED_VALUE"""),"Yes")</f>
        <v>Yes</v>
      </c>
      <c r="AH106" s="5" t="str">
        <f>IFERROR(__xludf.DUMMYFUNCTION("""COMPUTED_VALUE"""),"Yes")</f>
        <v>Yes</v>
      </c>
      <c r="AI106" s="5" t="str">
        <f>IFERROR(__xludf.DUMMYFUNCTION("""COMPUTED_VALUE"""),"Yes")</f>
        <v>Yes</v>
      </c>
      <c r="AJ106" s="5" t="str">
        <f>IFERROR(__xludf.DUMMYFUNCTION("""COMPUTED_VALUE"""),"Yes")</f>
        <v>Yes</v>
      </c>
      <c r="AK106" s="5" t="str">
        <f>IFERROR(__xludf.DUMMYFUNCTION("""COMPUTED_VALUE"""),"Yes")</f>
        <v>Yes</v>
      </c>
      <c r="AL106" s="5" t="str">
        <f>IFERROR(__xludf.DUMMYFUNCTION("""COMPUTED_VALUE"""),"Yes")</f>
        <v>Yes</v>
      </c>
      <c r="AM106" s="5" t="str">
        <f>IFERROR(__xludf.DUMMYFUNCTION("""COMPUTED_VALUE"""),"Yes")</f>
        <v>Yes</v>
      </c>
      <c r="AN106" s="5" t="str">
        <f>IFERROR(__xludf.DUMMYFUNCTION("""COMPUTED_VALUE"""),"Yes")</f>
        <v>Yes</v>
      </c>
      <c r="AO106" s="5" t="str">
        <f>IFERROR(__xludf.DUMMYFUNCTION("""COMPUTED_VALUE"""),"Yes")</f>
        <v>Yes</v>
      </c>
      <c r="AP106" s="5" t="str">
        <f>IFERROR(__xludf.DUMMYFUNCTION("""COMPUTED_VALUE"""),"Yes")</f>
        <v>Yes</v>
      </c>
      <c r="AQ106" s="5" t="str">
        <f>IFERROR(__xludf.DUMMYFUNCTION("""COMPUTED_VALUE"""),"Yes")</f>
        <v>Yes</v>
      </c>
      <c r="AR106" s="5" t="str">
        <f>IFERROR(__xludf.DUMMYFUNCTION("""COMPUTED_VALUE"""),"Yes")</f>
        <v>Yes</v>
      </c>
      <c r="AS106" s="5" t="str">
        <f>IFERROR(__xludf.DUMMYFUNCTION("""COMPUTED_VALUE"""),"Yes")</f>
        <v>Yes</v>
      </c>
      <c r="AT106" s="5" t="str">
        <f>IFERROR(__xludf.DUMMYFUNCTION("""COMPUTED_VALUE"""),"No")</f>
        <v>No</v>
      </c>
      <c r="AU106" s="5"/>
      <c r="AV106" s="5" t="str">
        <f>IFERROR(__xludf.DUMMYFUNCTION("""COMPUTED_VALUE"""),"")</f>
        <v/>
      </c>
      <c r="AW106" s="5" t="str">
        <f>IFERROR(__xludf.DUMMYFUNCTION("""COMPUTED_VALUE"""),"")</f>
        <v/>
      </c>
      <c r="AX106" s="5" t="str">
        <f>IFERROR(__xludf.DUMMYFUNCTION("""COMPUTED_VALUE"""),"")</f>
        <v/>
      </c>
      <c r="AY106" s="5" t="str">
        <f>IFERROR(__xludf.DUMMYFUNCTION("""COMPUTED_VALUE"""),"")</f>
        <v/>
      </c>
      <c r="AZ106" s="5" t="str">
        <f>IFERROR(__xludf.DUMMYFUNCTION("""COMPUTED_VALUE"""),"")</f>
        <v/>
      </c>
      <c r="BA106" s="5" t="str">
        <f>IFERROR(__xludf.DUMMYFUNCTION("""COMPUTED_VALUE"""),"")</f>
        <v/>
      </c>
      <c r="BB106" s="5" t="str">
        <f>IFERROR(__xludf.DUMMYFUNCTION("""COMPUTED_VALUE"""),"")</f>
        <v/>
      </c>
      <c r="BC106" s="5" t="str">
        <f>IFERROR(__xludf.DUMMYFUNCTION("""COMPUTED_VALUE"""),"")</f>
        <v/>
      </c>
      <c r="BD106" s="5" t="str">
        <f>IFERROR(__xludf.DUMMYFUNCTION("""COMPUTED_VALUE"""),"Available")</f>
        <v>Available</v>
      </c>
      <c r="BE106" s="5" t="str">
        <f>IFERROR(__xludf.DUMMYFUNCTION("""COMPUTED_VALUE"""),"")</f>
        <v/>
      </c>
      <c r="BF106" s="5" t="str">
        <f>IFERROR(__xludf.DUMMYFUNCTION("""COMPUTED_VALUE"""),"Available")</f>
        <v>Available</v>
      </c>
      <c r="BG106" s="5" t="str">
        <f>IFERROR(__xludf.DUMMYFUNCTION("""COMPUTED_VALUE"""),"")</f>
        <v/>
      </c>
      <c r="BH106" s="5" t="str">
        <f>IFERROR(__xludf.DUMMYFUNCTION("""COMPUTED_VALUE"""),"")</f>
        <v/>
      </c>
      <c r="BI106" s="5" t="str">
        <f>IFERROR(__xludf.DUMMYFUNCTION("""COMPUTED_VALUE"""),"")</f>
        <v/>
      </c>
      <c r="BJ106" s="5" t="str">
        <f>IFERROR(__xludf.DUMMYFUNCTION("""COMPUTED_VALUE"""),"")</f>
        <v/>
      </c>
      <c r="BK106" s="5" t="str">
        <f>IFERROR(__xludf.DUMMYFUNCTION("""COMPUTED_VALUE"""),"")</f>
        <v/>
      </c>
      <c r="BL106" s="5" t="str">
        <f>IFERROR(__xludf.DUMMYFUNCTION("""COMPUTED_VALUE"""),"")</f>
        <v/>
      </c>
      <c r="BM106" s="5" t="str">
        <f>IFERROR(__xludf.DUMMYFUNCTION("""COMPUTED_VALUE"""),"")</f>
        <v/>
      </c>
    </row>
    <row r="107">
      <c r="A107" s="5" t="str">
        <f>IFERROR(__xludf.DUMMYFUNCTION("""COMPUTED_VALUE"""),"Fazi")</f>
        <v>Fazi</v>
      </c>
      <c r="B107" s="5" t="str">
        <f>IFERROR(__xludf.DUMMYFUNCTION("""COMPUTED_VALUE"""),"Money 5")</f>
        <v>Money 5</v>
      </c>
      <c r="C107" s="5" t="str">
        <f>IFERROR(__xludf.DUMMYFUNCTION("""COMPUTED_VALUE"""),"Money5")</f>
        <v>Money5</v>
      </c>
      <c r="D107" s="6">
        <f>IFERROR(__xludf.DUMMYFUNCTION("""COMPUTED_VALUE"""),45327.0)</f>
        <v>45327</v>
      </c>
      <c r="E107" s="5" t="str">
        <f>IFERROR(__xludf.DUMMYFUNCTION("""COMPUTED_VALUE"""),"Slot")</f>
        <v>Slot</v>
      </c>
      <c r="F107" s="5">
        <f>IFERROR(__xludf.DUMMYFUNCTION("""COMPUTED_VALUE"""),24.0)</f>
        <v>24</v>
      </c>
      <c r="G107" s="5" t="str">
        <f>IFERROR(__xludf.DUMMYFUNCTION("""COMPUTED_VALUE"""),"5x3")</f>
        <v>5x3</v>
      </c>
      <c r="H107" s="5" t="str">
        <f>IFERROR(__xludf.DUMMYFUNCTION("""COMPUTED_VALUE"""),"5")</f>
        <v>5</v>
      </c>
      <c r="I107" s="5" t="str">
        <f>IFERROR(__xludf.DUMMYFUNCTION("""COMPUTED_VALUE"""),"5")</f>
        <v>5</v>
      </c>
      <c r="J107" s="5" t="str">
        <f>IFERROR(__xludf.DUMMYFUNCTION("""COMPUTED_VALUE"""),"96.786%")</f>
        <v>96.786%</v>
      </c>
      <c r="K107" s="5" t="str">
        <f>IFERROR(__xludf.DUMMYFUNCTION("""COMPUTED_VALUE"""),"Medium")</f>
        <v>Medium</v>
      </c>
      <c r="L107" s="5" t="str">
        <f>IFERROR(__xludf.DUMMYFUNCTION("""COMPUTED_VALUE"""),"14.5%")</f>
        <v>14.5%</v>
      </c>
      <c r="M107" s="5" t="str">
        <f>IFERROR(__xludf.DUMMYFUNCTION("""COMPUTED_VALUE"""),"x1222")</f>
        <v>x1222</v>
      </c>
      <c r="N107" s="5" t="str">
        <f>IFERROR(__xludf.DUMMYFUNCTION("""COMPUTED_VALUE"""),"0.05/30")</f>
        <v>0.05/30</v>
      </c>
      <c r="O107" s="5" t="str">
        <f>IFERROR(__xludf.DUMMYFUNCTION("""COMPUTED_VALUE"""),"Yes")</f>
        <v>Yes</v>
      </c>
      <c r="P107" s="5" t="str">
        <f>IFERROR(__xludf.DUMMYFUNCTION("""COMPUTED_VALUE"""),"Scatter, Expanding Wild")</f>
        <v>Scatter, Expanding Wild</v>
      </c>
      <c r="Q107" s="7" t="str">
        <f>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R107" s="5" t="str">
        <f>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S1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7" s="5" t="str">
        <f>IFERROR(__xludf.DUMMYFUNCTION("""COMPUTED_VALUE"""),"Yes")</f>
        <v>Yes</v>
      </c>
      <c r="U107" s="5" t="str">
        <f>IFERROR(__xludf.DUMMYFUNCTION("""COMPUTED_VALUE"""),"Yes")</f>
        <v>Yes</v>
      </c>
      <c r="V107" s="5" t="str">
        <f>IFERROR(__xludf.DUMMYFUNCTION("""COMPUTED_VALUE"""),"Yes")</f>
        <v>Yes</v>
      </c>
      <c r="W107" s="5" t="str">
        <f>IFERROR(__xludf.DUMMYFUNCTION("""COMPUTED_VALUE"""),"Yes")</f>
        <v>Yes</v>
      </c>
      <c r="X107" s="5" t="str">
        <f>IFERROR(__xludf.DUMMYFUNCTION("""COMPUTED_VALUE"""),"Yes")</f>
        <v>Yes</v>
      </c>
      <c r="Y107" s="5" t="str">
        <f>IFERROR(__xludf.DUMMYFUNCTION("""COMPUTED_VALUE"""),"Yes")</f>
        <v>Yes</v>
      </c>
      <c r="Z107" s="5" t="str">
        <f>IFERROR(__xludf.DUMMYFUNCTION("""COMPUTED_VALUE"""),"Yes")</f>
        <v>Yes</v>
      </c>
      <c r="AA107" s="5" t="str">
        <f>IFERROR(__xludf.DUMMYFUNCTION("""COMPUTED_VALUE"""),"Yes")</f>
        <v>Yes</v>
      </c>
      <c r="AB107" s="5" t="str">
        <f>IFERROR(__xludf.DUMMYFUNCTION("""COMPUTED_VALUE"""),"Yes")</f>
        <v>Yes</v>
      </c>
      <c r="AC107" s="5" t="str">
        <f>IFERROR(__xludf.DUMMYFUNCTION("""COMPUTED_VALUE"""),"Yes")</f>
        <v>Yes</v>
      </c>
      <c r="AD107" s="5" t="str">
        <f>IFERROR(__xludf.DUMMYFUNCTION("""COMPUTED_VALUE"""),"Yes")</f>
        <v>Yes</v>
      </c>
      <c r="AE107" s="5" t="str">
        <f>IFERROR(__xludf.DUMMYFUNCTION("""COMPUTED_VALUE"""),"Yes")</f>
        <v>Yes</v>
      </c>
      <c r="AF107" s="5" t="str">
        <f>IFERROR(__xludf.DUMMYFUNCTION("""COMPUTED_VALUE"""),"Yes")</f>
        <v>Yes</v>
      </c>
      <c r="AG107" s="5" t="str">
        <f>IFERROR(__xludf.DUMMYFUNCTION("""COMPUTED_VALUE"""),"Yes")</f>
        <v>Yes</v>
      </c>
      <c r="AH107" s="5" t="str">
        <f>IFERROR(__xludf.DUMMYFUNCTION("""COMPUTED_VALUE"""),"Yes")</f>
        <v>Yes</v>
      </c>
      <c r="AI107" s="5" t="str">
        <f>IFERROR(__xludf.DUMMYFUNCTION("""COMPUTED_VALUE"""),"Yes")</f>
        <v>Yes</v>
      </c>
      <c r="AJ107" s="5" t="str">
        <f>IFERROR(__xludf.DUMMYFUNCTION("""COMPUTED_VALUE"""),"Yes")</f>
        <v>Yes</v>
      </c>
      <c r="AK107" s="5" t="str">
        <f>IFERROR(__xludf.DUMMYFUNCTION("""COMPUTED_VALUE"""),"Yes")</f>
        <v>Yes</v>
      </c>
      <c r="AL107" s="5" t="str">
        <f>IFERROR(__xludf.DUMMYFUNCTION("""COMPUTED_VALUE"""),"Yes")</f>
        <v>Yes</v>
      </c>
      <c r="AM107" s="5" t="str">
        <f>IFERROR(__xludf.DUMMYFUNCTION("""COMPUTED_VALUE"""),"Yes")</f>
        <v>Yes</v>
      </c>
      <c r="AN107" s="5" t="str">
        <f>IFERROR(__xludf.DUMMYFUNCTION("""COMPUTED_VALUE"""),"Yes")</f>
        <v>Yes</v>
      </c>
      <c r="AO107" s="5" t="str">
        <f>IFERROR(__xludf.DUMMYFUNCTION("""COMPUTED_VALUE"""),"Yes")</f>
        <v>Yes</v>
      </c>
      <c r="AP107" s="5" t="str">
        <f>IFERROR(__xludf.DUMMYFUNCTION("""COMPUTED_VALUE"""),"Yes")</f>
        <v>Yes</v>
      </c>
      <c r="AQ107" s="5" t="str">
        <f>IFERROR(__xludf.DUMMYFUNCTION("""COMPUTED_VALUE"""),"Yes")</f>
        <v>Yes</v>
      </c>
      <c r="AR107" s="5" t="str">
        <f>IFERROR(__xludf.DUMMYFUNCTION("""COMPUTED_VALUE"""),"Yes")</f>
        <v>Yes</v>
      </c>
      <c r="AS107" s="5" t="str">
        <f>IFERROR(__xludf.DUMMYFUNCTION("""COMPUTED_VALUE"""),"Yes")</f>
        <v>Yes</v>
      </c>
      <c r="AT107" s="5" t="str">
        <f>IFERROR(__xludf.DUMMYFUNCTION("""COMPUTED_VALUE"""),"No")</f>
        <v>No</v>
      </c>
      <c r="AU107" s="5"/>
      <c r="AV107" s="5" t="str">
        <f>IFERROR(__xludf.DUMMYFUNCTION("""COMPUTED_VALUE"""),"Available")</f>
        <v>Available</v>
      </c>
      <c r="AW107" s="5" t="str">
        <f>IFERROR(__xludf.DUMMYFUNCTION("""COMPUTED_VALUE"""),"Available")</f>
        <v>Available</v>
      </c>
      <c r="AX107" s="5" t="str">
        <f>IFERROR(__xludf.DUMMYFUNCTION("""COMPUTED_VALUE"""),"")</f>
        <v/>
      </c>
      <c r="AY107" s="5" t="str">
        <f>IFERROR(__xludf.DUMMYFUNCTION("""COMPUTED_VALUE"""),"Available")</f>
        <v>Available</v>
      </c>
      <c r="AZ107" s="5" t="str">
        <f>IFERROR(__xludf.DUMMYFUNCTION("""COMPUTED_VALUE"""),"Available")</f>
        <v>Available</v>
      </c>
      <c r="BA107" s="5" t="str">
        <f>IFERROR(__xludf.DUMMYFUNCTION("""COMPUTED_VALUE"""),"Available")</f>
        <v>Available</v>
      </c>
      <c r="BB107" s="5" t="str">
        <f>IFERROR(__xludf.DUMMYFUNCTION("""COMPUTED_VALUE"""),"Available")</f>
        <v>Available</v>
      </c>
      <c r="BC107" s="5" t="str">
        <f>IFERROR(__xludf.DUMMYFUNCTION("""COMPUTED_VALUE"""),"Available")</f>
        <v>Available</v>
      </c>
      <c r="BD107" s="5" t="str">
        <f>IFERROR(__xludf.DUMMYFUNCTION("""COMPUTED_VALUE"""),"")</f>
        <v/>
      </c>
      <c r="BE107" s="5" t="str">
        <f>IFERROR(__xludf.DUMMYFUNCTION("""COMPUTED_VALUE"""),"")</f>
        <v/>
      </c>
      <c r="BF107" s="5" t="str">
        <f>IFERROR(__xludf.DUMMYFUNCTION("""COMPUTED_VALUE"""),"")</f>
        <v/>
      </c>
      <c r="BG107" s="5" t="str">
        <f>IFERROR(__xludf.DUMMYFUNCTION("""COMPUTED_VALUE"""),"Available")</f>
        <v>Available</v>
      </c>
      <c r="BH107" s="5" t="str">
        <f>IFERROR(__xludf.DUMMYFUNCTION("""COMPUTED_VALUE"""),"")</f>
        <v/>
      </c>
      <c r="BI107" s="5" t="str">
        <f>IFERROR(__xludf.DUMMYFUNCTION("""COMPUTED_VALUE"""),"")</f>
        <v/>
      </c>
      <c r="BJ107" s="5" t="str">
        <f>IFERROR(__xludf.DUMMYFUNCTION("""COMPUTED_VALUE"""),"")</f>
        <v/>
      </c>
      <c r="BK107" s="5" t="str">
        <f>IFERROR(__xludf.DUMMYFUNCTION("""COMPUTED_VALUE"""),"Available")</f>
        <v>Available</v>
      </c>
      <c r="BL107" s="5" t="str">
        <f>IFERROR(__xludf.DUMMYFUNCTION("""COMPUTED_VALUE"""),"")</f>
        <v/>
      </c>
      <c r="BM107" s="5" t="str">
        <f>IFERROR(__xludf.DUMMYFUNCTION("""COMPUTED_VALUE"""),"Available")</f>
        <v>Available</v>
      </c>
    </row>
    <row r="108">
      <c r="A108" s="5" t="str">
        <f>IFERROR(__xludf.DUMMYFUNCTION("""COMPUTED_VALUE"""),"Fazi")</f>
        <v>Fazi</v>
      </c>
      <c r="B108" s="5" t="str">
        <f>IFERROR(__xludf.DUMMYFUNCTION("""COMPUTED_VALUE"""),"Epic Crown 5")</f>
        <v>Epic Crown 5</v>
      </c>
      <c r="C108" s="5" t="str">
        <f>IFERROR(__xludf.DUMMYFUNCTION("""COMPUTED_VALUE"""),"EpicCrown5")</f>
        <v>EpicCrown5</v>
      </c>
      <c r="D108" s="6">
        <f>IFERROR(__xludf.DUMMYFUNCTION("""COMPUTED_VALUE"""),45231.0)</f>
        <v>45231</v>
      </c>
      <c r="E108" s="5" t="str">
        <f>IFERROR(__xludf.DUMMYFUNCTION("""COMPUTED_VALUE"""),"Slot")</f>
        <v>Slot</v>
      </c>
      <c r="F108" s="5">
        <f>IFERROR(__xludf.DUMMYFUNCTION("""COMPUTED_VALUE"""),24.6)</f>
        <v>24.6</v>
      </c>
      <c r="G108" s="5" t="str">
        <f>IFERROR(__xludf.DUMMYFUNCTION("""COMPUTED_VALUE"""),"5x3")</f>
        <v>5x3</v>
      </c>
      <c r="H108" s="5" t="str">
        <f>IFERROR(__xludf.DUMMYFUNCTION("""COMPUTED_VALUE"""),"5")</f>
        <v>5</v>
      </c>
      <c r="I108" s="5" t="str">
        <f>IFERROR(__xludf.DUMMYFUNCTION("""COMPUTED_VALUE"""),"5")</f>
        <v>5</v>
      </c>
      <c r="J108" s="5" t="str">
        <f>IFERROR(__xludf.DUMMYFUNCTION("""COMPUTED_VALUE"""),"95.962%")</f>
        <v>95.962%</v>
      </c>
      <c r="K108" s="5" t="str">
        <f>IFERROR(__xludf.DUMMYFUNCTION("""COMPUTED_VALUE"""),"Medium")</f>
        <v>Medium</v>
      </c>
      <c r="L108" s="5" t="str">
        <f>IFERROR(__xludf.DUMMYFUNCTION("""COMPUTED_VALUE"""),"12.26%")</f>
        <v>12.26%</v>
      </c>
      <c r="M108" s="5" t="str">
        <f>IFERROR(__xludf.DUMMYFUNCTION("""COMPUTED_VALUE"""),"x2018")</f>
        <v>x2018</v>
      </c>
      <c r="N108" s="5" t="str">
        <f>IFERROR(__xludf.DUMMYFUNCTION("""COMPUTED_VALUE"""),"0.05/30")</f>
        <v>0.05/30</v>
      </c>
      <c r="O108" s="5" t="str">
        <f>IFERROR(__xludf.DUMMYFUNCTION("""COMPUTED_VALUE"""),"Yes")</f>
        <v>Yes</v>
      </c>
      <c r="P108" s="5" t="str">
        <f>IFERROR(__xludf.DUMMYFUNCTION("""COMPUTED_VALUE"""),"Scatter, Expanding Wild")</f>
        <v>Scatter, Expanding Wild</v>
      </c>
      <c r="Q108" s="7" t="str">
        <f>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R108" s="5" t="str">
        <f>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S1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8" s="5" t="str">
        <f>IFERROR(__xludf.DUMMYFUNCTION("""COMPUTED_VALUE"""),"Yes")</f>
        <v>Yes</v>
      </c>
      <c r="U108" s="5" t="str">
        <f>IFERROR(__xludf.DUMMYFUNCTION("""COMPUTED_VALUE"""),"Yes")</f>
        <v>Yes</v>
      </c>
      <c r="V108" s="5" t="str">
        <f>IFERROR(__xludf.DUMMYFUNCTION("""COMPUTED_VALUE"""),"Yes")</f>
        <v>Yes</v>
      </c>
      <c r="W108" s="5" t="str">
        <f>IFERROR(__xludf.DUMMYFUNCTION("""COMPUTED_VALUE"""),"Yes")</f>
        <v>Yes</v>
      </c>
      <c r="X108" s="5" t="str">
        <f>IFERROR(__xludf.DUMMYFUNCTION("""COMPUTED_VALUE"""),"Yes")</f>
        <v>Yes</v>
      </c>
      <c r="Y108" s="5" t="str">
        <f>IFERROR(__xludf.DUMMYFUNCTION("""COMPUTED_VALUE"""),"Yes")</f>
        <v>Yes</v>
      </c>
      <c r="Z108" s="5" t="str">
        <f>IFERROR(__xludf.DUMMYFUNCTION("""COMPUTED_VALUE"""),"Yes")</f>
        <v>Yes</v>
      </c>
      <c r="AA108" s="5" t="str">
        <f>IFERROR(__xludf.DUMMYFUNCTION("""COMPUTED_VALUE"""),"Yes")</f>
        <v>Yes</v>
      </c>
      <c r="AB108" s="5" t="str">
        <f>IFERROR(__xludf.DUMMYFUNCTION("""COMPUTED_VALUE"""),"Yes")</f>
        <v>Yes</v>
      </c>
      <c r="AC108" s="5" t="str">
        <f>IFERROR(__xludf.DUMMYFUNCTION("""COMPUTED_VALUE"""),"Yes")</f>
        <v>Yes</v>
      </c>
      <c r="AD108" s="5" t="str">
        <f>IFERROR(__xludf.DUMMYFUNCTION("""COMPUTED_VALUE"""),"Yes")</f>
        <v>Yes</v>
      </c>
      <c r="AE108" s="5" t="str">
        <f>IFERROR(__xludf.DUMMYFUNCTION("""COMPUTED_VALUE"""),"Yes")</f>
        <v>Yes</v>
      </c>
      <c r="AF108" s="5" t="str">
        <f>IFERROR(__xludf.DUMMYFUNCTION("""COMPUTED_VALUE"""),"Yes")</f>
        <v>Yes</v>
      </c>
      <c r="AG108" s="5" t="str">
        <f>IFERROR(__xludf.DUMMYFUNCTION("""COMPUTED_VALUE"""),"Yes")</f>
        <v>Yes</v>
      </c>
      <c r="AH108" s="5" t="str">
        <f>IFERROR(__xludf.DUMMYFUNCTION("""COMPUTED_VALUE"""),"Yes")</f>
        <v>Yes</v>
      </c>
      <c r="AI108" s="5" t="str">
        <f>IFERROR(__xludf.DUMMYFUNCTION("""COMPUTED_VALUE"""),"Yes")</f>
        <v>Yes</v>
      </c>
      <c r="AJ108" s="5" t="str">
        <f>IFERROR(__xludf.DUMMYFUNCTION("""COMPUTED_VALUE"""),"Yes")</f>
        <v>Yes</v>
      </c>
      <c r="AK108" s="5" t="str">
        <f>IFERROR(__xludf.DUMMYFUNCTION("""COMPUTED_VALUE"""),"Yes")</f>
        <v>Yes</v>
      </c>
      <c r="AL108" s="5" t="str">
        <f>IFERROR(__xludf.DUMMYFUNCTION("""COMPUTED_VALUE"""),"Yes")</f>
        <v>Yes</v>
      </c>
      <c r="AM108" s="5" t="str">
        <f>IFERROR(__xludf.DUMMYFUNCTION("""COMPUTED_VALUE"""),"Yes")</f>
        <v>Yes</v>
      </c>
      <c r="AN108" s="5" t="str">
        <f>IFERROR(__xludf.DUMMYFUNCTION("""COMPUTED_VALUE"""),"Yes")</f>
        <v>Yes</v>
      </c>
      <c r="AO108" s="5" t="str">
        <f>IFERROR(__xludf.DUMMYFUNCTION("""COMPUTED_VALUE"""),"Yes")</f>
        <v>Yes</v>
      </c>
      <c r="AP108" s="5" t="str">
        <f>IFERROR(__xludf.DUMMYFUNCTION("""COMPUTED_VALUE"""),"Yes")</f>
        <v>Yes</v>
      </c>
      <c r="AQ108" s="5" t="str">
        <f>IFERROR(__xludf.DUMMYFUNCTION("""COMPUTED_VALUE"""),"Yes")</f>
        <v>Yes</v>
      </c>
      <c r="AR108" s="5" t="str">
        <f>IFERROR(__xludf.DUMMYFUNCTION("""COMPUTED_VALUE"""),"Yes")</f>
        <v>Yes</v>
      </c>
      <c r="AS108" s="5" t="str">
        <f>IFERROR(__xludf.DUMMYFUNCTION("""COMPUTED_VALUE"""),"Yes")</f>
        <v>Yes</v>
      </c>
      <c r="AT108" s="5" t="str">
        <f>IFERROR(__xludf.DUMMYFUNCTION("""COMPUTED_VALUE"""),"No")</f>
        <v>No</v>
      </c>
      <c r="AU108" s="5"/>
      <c r="AV108" s="5" t="str">
        <f>IFERROR(__xludf.DUMMYFUNCTION("""COMPUTED_VALUE"""),"Available")</f>
        <v>Available</v>
      </c>
      <c r="AW108" s="5" t="str">
        <f>IFERROR(__xludf.DUMMYFUNCTION("""COMPUTED_VALUE"""),"")</f>
        <v/>
      </c>
      <c r="AX108" s="5" t="str">
        <f>IFERROR(__xludf.DUMMYFUNCTION("""COMPUTED_VALUE"""),"")</f>
        <v/>
      </c>
      <c r="AY108" s="5" t="str">
        <f>IFERROR(__xludf.DUMMYFUNCTION("""COMPUTED_VALUE"""),"Available")</f>
        <v>Available</v>
      </c>
      <c r="AZ108" s="5" t="str">
        <f>IFERROR(__xludf.DUMMYFUNCTION("""COMPUTED_VALUE"""),"Available")</f>
        <v>Available</v>
      </c>
      <c r="BA108" s="5" t="str">
        <f>IFERROR(__xludf.DUMMYFUNCTION("""COMPUTED_VALUE"""),"Available")</f>
        <v>Available</v>
      </c>
      <c r="BB108" s="5" t="str">
        <f>IFERROR(__xludf.DUMMYFUNCTION("""COMPUTED_VALUE"""),"Available")</f>
        <v>Available</v>
      </c>
      <c r="BC108" s="5" t="str">
        <f>IFERROR(__xludf.DUMMYFUNCTION("""COMPUTED_VALUE"""),"Available")</f>
        <v>Available</v>
      </c>
      <c r="BD108" s="5" t="str">
        <f>IFERROR(__xludf.DUMMYFUNCTION("""COMPUTED_VALUE"""),"Available")</f>
        <v>Available</v>
      </c>
      <c r="BE108" s="5" t="str">
        <f>IFERROR(__xludf.DUMMYFUNCTION("""COMPUTED_VALUE"""),"")</f>
        <v/>
      </c>
      <c r="BF108" s="5" t="str">
        <f>IFERROR(__xludf.DUMMYFUNCTION("""COMPUTED_VALUE"""),"Available")</f>
        <v>Available</v>
      </c>
      <c r="BG108" s="5" t="str">
        <f>IFERROR(__xludf.DUMMYFUNCTION("""COMPUTED_VALUE"""),"Available")</f>
        <v>Available</v>
      </c>
      <c r="BH108" s="5" t="str">
        <f>IFERROR(__xludf.DUMMYFUNCTION("""COMPUTED_VALUE"""),"")</f>
        <v/>
      </c>
      <c r="BI108" s="5" t="str">
        <f>IFERROR(__xludf.DUMMYFUNCTION("""COMPUTED_VALUE"""),"")</f>
        <v/>
      </c>
      <c r="BJ108" s="5" t="str">
        <f>IFERROR(__xludf.DUMMYFUNCTION("""COMPUTED_VALUE"""),"")</f>
        <v/>
      </c>
      <c r="BK108" s="5" t="str">
        <f>IFERROR(__xludf.DUMMYFUNCTION("""COMPUTED_VALUE"""),"Available")</f>
        <v>Available</v>
      </c>
      <c r="BL108" s="5" t="str">
        <f>IFERROR(__xludf.DUMMYFUNCTION("""COMPUTED_VALUE"""),"")</f>
        <v/>
      </c>
      <c r="BM108" s="5" t="str">
        <f>IFERROR(__xludf.DUMMYFUNCTION("""COMPUTED_VALUE"""),"")</f>
        <v/>
      </c>
    </row>
    <row r="109">
      <c r="A109" s="5" t="str">
        <f>IFERROR(__xludf.DUMMYFUNCTION("""COMPUTED_VALUE"""),"Fazi")</f>
        <v>Fazi</v>
      </c>
      <c r="B109" s="5" t="str">
        <f>IFERROR(__xludf.DUMMYFUNCTION("""COMPUTED_VALUE"""),"Dead Night")</f>
        <v>Dead Night</v>
      </c>
      <c r="C109" s="5" t="str">
        <f>IFERROR(__xludf.DUMMYFUNCTION("""COMPUTED_VALUE"""),"DeadNight")</f>
        <v>DeadNight</v>
      </c>
      <c r="D109" s="6">
        <f>IFERROR(__xludf.DUMMYFUNCTION("""COMPUTED_VALUE"""),45204.0)</f>
        <v>45204</v>
      </c>
      <c r="E109" s="5" t="str">
        <f>IFERROR(__xludf.DUMMYFUNCTION("""COMPUTED_VALUE"""),"Slot")</f>
        <v>Slot</v>
      </c>
      <c r="F109" s="5">
        <f>IFERROR(__xludf.DUMMYFUNCTION("""COMPUTED_VALUE"""),36.0)</f>
        <v>36</v>
      </c>
      <c r="G109" s="5" t="str">
        <f>IFERROR(__xludf.DUMMYFUNCTION("""COMPUTED_VALUE"""),"5x4")</f>
        <v>5x4</v>
      </c>
      <c r="H109" s="5" t="str">
        <f>IFERROR(__xludf.DUMMYFUNCTION("""COMPUTED_VALUE"""),"40")</f>
        <v>40</v>
      </c>
      <c r="I109" s="5" t="str">
        <f>IFERROR(__xludf.DUMMYFUNCTION("""COMPUTED_VALUE"""),"40")</f>
        <v>40</v>
      </c>
      <c r="J109" s="5" t="str">
        <f>IFERROR(__xludf.DUMMYFUNCTION("""COMPUTED_VALUE"""),"96.291%")</f>
        <v>96.291%</v>
      </c>
      <c r="K109" s="5" t="str">
        <f>IFERROR(__xludf.DUMMYFUNCTION("""COMPUTED_VALUE"""),"Medium")</f>
        <v>Medium</v>
      </c>
      <c r="L109" s="5" t="str">
        <f>IFERROR(__xludf.DUMMYFUNCTION("""COMPUTED_VALUE"""),"12.67%")</f>
        <v>12.67%</v>
      </c>
      <c r="M109" s="5" t="str">
        <f>IFERROR(__xludf.DUMMYFUNCTION("""COMPUTED_VALUE"""),"x1043")</f>
        <v>x1043</v>
      </c>
      <c r="N109" s="5" t="str">
        <f>IFERROR(__xludf.DUMMYFUNCTION("""COMPUTED_VALUE"""),"0.4/60")</f>
        <v>0.4/60</v>
      </c>
      <c r="O109" s="5" t="str">
        <f>IFERROR(__xludf.DUMMYFUNCTION("""COMPUTED_VALUE"""),"Yes")</f>
        <v>Yes</v>
      </c>
      <c r="P109" s="5" t="str">
        <f>IFERROR(__xludf.DUMMYFUNCTION("""COMPUTED_VALUE"""),"Bonus Game with Free Spins, Converting Wild")</f>
        <v>Bonus Game with Free Spins, Converting Wild</v>
      </c>
      <c r="Q109" s="7" t="str">
        <f>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R109" s="5" t="str">
        <f>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S1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IFERROR(__xludf.DUMMYFUNCTION("""COMPUTED_VALUE"""),"Yes")</f>
        <v>Yes</v>
      </c>
      <c r="AA109" s="5" t="str">
        <f>IFERROR(__xludf.DUMMYFUNCTION("""COMPUTED_VALUE"""),"Yes")</f>
        <v>Yes</v>
      </c>
      <c r="AB109" s="5" t="str">
        <f>IFERROR(__xludf.DUMMYFUNCTION("""COMPUTED_VALUE"""),"Yes")</f>
        <v>Yes</v>
      </c>
      <c r="AC109" s="5" t="str">
        <f>IFERROR(__xludf.DUMMYFUNCTION("""COMPUTED_VALUE"""),"Yes")</f>
        <v>Yes</v>
      </c>
      <c r="AD109" s="5" t="str">
        <f>IFERROR(__xludf.DUMMYFUNCTION("""COMPUTED_VALUE"""),"Yes")</f>
        <v>Yes</v>
      </c>
      <c r="AE109" s="5" t="str">
        <f>IFERROR(__xludf.DUMMYFUNCTION("""COMPUTED_VALUE"""),"Yes")</f>
        <v>Yes</v>
      </c>
      <c r="AF109" s="5" t="str">
        <f>IFERROR(__xludf.DUMMYFUNCTION("""COMPUTED_VALUE"""),"Yes")</f>
        <v>Yes</v>
      </c>
      <c r="AG109" s="5" t="str">
        <f>IFERROR(__xludf.DUMMYFUNCTION("""COMPUTED_VALUE"""),"Yes")</f>
        <v>Yes</v>
      </c>
      <c r="AH109" s="5" t="str">
        <f>IFERROR(__xludf.DUMMYFUNCTION("""COMPUTED_VALUE"""),"Yes")</f>
        <v>Yes</v>
      </c>
      <c r="AI109" s="5" t="str">
        <f>IFERROR(__xludf.DUMMYFUNCTION("""COMPUTED_VALUE"""),"Yes")</f>
        <v>Yes</v>
      </c>
      <c r="AJ109" s="5" t="str">
        <f>IFERROR(__xludf.DUMMYFUNCTION("""COMPUTED_VALUE"""),"Yes")</f>
        <v>Yes</v>
      </c>
      <c r="AK109" s="5" t="str">
        <f>IFERROR(__xludf.DUMMYFUNCTION("""COMPUTED_VALUE"""),"Yes")</f>
        <v>Yes</v>
      </c>
      <c r="AL109" s="5" t="str">
        <f>IFERROR(__xludf.DUMMYFUNCTION("""COMPUTED_VALUE"""),"Yes")</f>
        <v>Yes</v>
      </c>
      <c r="AM109" s="5" t="str">
        <f>IFERROR(__xludf.DUMMYFUNCTION("""COMPUTED_VALUE"""),"Yes")</f>
        <v>Yes</v>
      </c>
      <c r="AN109" s="5" t="str">
        <f>IFERROR(__xludf.DUMMYFUNCTION("""COMPUTED_VALUE"""),"Yes")</f>
        <v>Yes</v>
      </c>
      <c r="AO109" s="5" t="str">
        <f>IFERROR(__xludf.DUMMYFUNCTION("""COMPUTED_VALUE"""),"Yes")</f>
        <v>Yes</v>
      </c>
      <c r="AP109" s="5" t="str">
        <f>IFERROR(__xludf.DUMMYFUNCTION("""COMPUTED_VALUE"""),"Yes")</f>
        <v>Yes</v>
      </c>
      <c r="AQ109" s="5" t="str">
        <f>IFERROR(__xludf.DUMMYFUNCTION("""COMPUTED_VALUE"""),"Yes")</f>
        <v>Yes</v>
      </c>
      <c r="AR109" s="5" t="str">
        <f>IFERROR(__xludf.DUMMYFUNCTION("""COMPUTED_VALUE"""),"Yes")</f>
        <v>Yes</v>
      </c>
      <c r="AS109" s="5" t="str">
        <f>IFERROR(__xludf.DUMMYFUNCTION("""COMPUTED_VALUE"""),"Yes")</f>
        <v>Yes</v>
      </c>
      <c r="AT109" s="5" t="str">
        <f>IFERROR(__xludf.DUMMYFUNCTION("""COMPUTED_VALUE"""),"No")</f>
        <v>No</v>
      </c>
      <c r="AU109" s="5"/>
      <c r="AV109" s="5" t="str">
        <f>IFERROR(__xludf.DUMMYFUNCTION("""COMPUTED_VALUE"""),"")</f>
        <v/>
      </c>
      <c r="AW109" s="5" t="str">
        <f>IFERROR(__xludf.DUMMYFUNCTION("""COMPUTED_VALUE"""),"")</f>
        <v/>
      </c>
      <c r="AX109" s="5" t="str">
        <f>IFERROR(__xludf.DUMMYFUNCTION("""COMPUTED_VALUE"""),"")</f>
        <v/>
      </c>
      <c r="AY109" s="5" t="str">
        <f>IFERROR(__xludf.DUMMYFUNCTION("""COMPUTED_VALUE"""),"")</f>
        <v/>
      </c>
      <c r="AZ109" s="5" t="str">
        <f>IFERROR(__xludf.DUMMYFUNCTION("""COMPUTED_VALUE"""),"Available")</f>
        <v>Available</v>
      </c>
      <c r="BA109" s="5" t="str">
        <f>IFERROR(__xludf.DUMMYFUNCTION("""COMPUTED_VALUE"""),"Available")</f>
        <v>Available</v>
      </c>
      <c r="BB109" s="5" t="str">
        <f>IFERROR(__xludf.DUMMYFUNCTION("""COMPUTED_VALUE"""),"Available")</f>
        <v>Available</v>
      </c>
      <c r="BC109" s="5" t="str">
        <f>IFERROR(__xludf.DUMMYFUNCTION("""COMPUTED_VALUE"""),"Available")</f>
        <v>Available</v>
      </c>
      <c r="BD109" s="5" t="str">
        <f>IFERROR(__xludf.DUMMYFUNCTION("""COMPUTED_VALUE"""),"")</f>
        <v/>
      </c>
      <c r="BE109" s="5" t="str">
        <f>IFERROR(__xludf.DUMMYFUNCTION("""COMPUTED_VALUE"""),"")</f>
        <v/>
      </c>
      <c r="BF109" s="5" t="str">
        <f>IFERROR(__xludf.DUMMYFUNCTION("""COMPUTED_VALUE"""),"")</f>
        <v/>
      </c>
      <c r="BG109" s="5" t="str">
        <f>IFERROR(__xludf.DUMMYFUNCTION("""COMPUTED_VALUE"""),"")</f>
        <v/>
      </c>
      <c r="BH109" s="5" t="str">
        <f>IFERROR(__xludf.DUMMYFUNCTION("""COMPUTED_VALUE"""),"")</f>
        <v/>
      </c>
      <c r="BI109" s="5" t="str">
        <f>IFERROR(__xludf.DUMMYFUNCTION("""COMPUTED_VALUE"""),"")</f>
        <v/>
      </c>
      <c r="BJ109" s="5" t="str">
        <f>IFERROR(__xludf.DUMMYFUNCTION("""COMPUTED_VALUE"""),"")</f>
        <v/>
      </c>
      <c r="BK109" s="5" t="str">
        <f>IFERROR(__xludf.DUMMYFUNCTION("""COMPUTED_VALUE"""),"Available")</f>
        <v>Available</v>
      </c>
      <c r="BL109" s="5" t="str">
        <f>IFERROR(__xludf.DUMMYFUNCTION("""COMPUTED_VALUE"""),"")</f>
        <v/>
      </c>
      <c r="BM109" s="5" t="str">
        <f>IFERROR(__xludf.DUMMYFUNCTION("""COMPUTED_VALUE"""),"")</f>
        <v/>
      </c>
    </row>
    <row r="110">
      <c r="A110" s="5" t="str">
        <f>IFERROR(__xludf.DUMMYFUNCTION("""COMPUTED_VALUE"""),"Fazi")</f>
        <v>Fazi</v>
      </c>
      <c r="B110" s="5" t="str">
        <f>IFERROR(__xludf.DUMMYFUNCTION("""COMPUTED_VALUE"""),"Winning Clover 5")</f>
        <v>Winning Clover 5</v>
      </c>
      <c r="C110" s="5" t="str">
        <f>IFERROR(__xludf.DUMMYFUNCTION("""COMPUTED_VALUE"""),"WinningClover5")</f>
        <v>WinningClover5</v>
      </c>
      <c r="D110" s="6">
        <f>IFERROR(__xludf.DUMMYFUNCTION("""COMPUTED_VALUE"""),45216.0)</f>
        <v>45216</v>
      </c>
      <c r="E110" s="5" t="str">
        <f>IFERROR(__xludf.DUMMYFUNCTION("""COMPUTED_VALUE"""),"Slot")</f>
        <v>Slot</v>
      </c>
      <c r="F110" s="5">
        <f>IFERROR(__xludf.DUMMYFUNCTION("""COMPUTED_VALUE"""),16.0)</f>
        <v>16</v>
      </c>
      <c r="G110" s="5" t="str">
        <f>IFERROR(__xludf.DUMMYFUNCTION("""COMPUTED_VALUE"""),"5x3")</f>
        <v>5x3</v>
      </c>
      <c r="H110" s="5" t="str">
        <f>IFERROR(__xludf.DUMMYFUNCTION("""COMPUTED_VALUE"""),"5")</f>
        <v>5</v>
      </c>
      <c r="I110" s="5" t="str">
        <f>IFERROR(__xludf.DUMMYFUNCTION("""COMPUTED_VALUE"""),"5")</f>
        <v>5</v>
      </c>
      <c r="J110" s="5" t="str">
        <f>IFERROR(__xludf.DUMMYFUNCTION("""COMPUTED_VALUE"""),"96.447%")</f>
        <v>96.447%</v>
      </c>
      <c r="K110" s="5" t="str">
        <f>IFERROR(__xludf.DUMMYFUNCTION("""COMPUTED_VALUE"""),"Medium")</f>
        <v>Medium</v>
      </c>
      <c r="L110" s="5" t="str">
        <f>IFERROR(__xludf.DUMMYFUNCTION("""COMPUTED_VALUE"""),"14.51%")</f>
        <v>14.51%</v>
      </c>
      <c r="M110" s="5" t="str">
        <f>IFERROR(__xludf.DUMMYFUNCTION("""COMPUTED_VALUE"""),"x1222")</f>
        <v>x1222</v>
      </c>
      <c r="N110" s="5" t="str">
        <f>IFERROR(__xludf.DUMMYFUNCTION("""COMPUTED_VALUE"""),"0.05/30")</f>
        <v>0.05/30</v>
      </c>
      <c r="O110" s="5" t="str">
        <f>IFERROR(__xludf.DUMMYFUNCTION("""COMPUTED_VALUE"""),"Yes")</f>
        <v>Yes</v>
      </c>
      <c r="P110" s="5" t="str">
        <f>IFERROR(__xludf.DUMMYFUNCTION("""COMPUTED_VALUE"""),"Scatter, Expanding Wild")</f>
        <v>Scatter, Expanding Wild</v>
      </c>
      <c r="Q110" s="7" t="str">
        <f>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R110" s="5" t="str">
        <f>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S1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IFERROR(__xludf.DUMMYFUNCTION("""COMPUTED_VALUE"""),"Yes")</f>
        <v>Yes</v>
      </c>
      <c r="AA110" s="5" t="str">
        <f>IFERROR(__xludf.DUMMYFUNCTION("""COMPUTED_VALUE"""),"Yes")</f>
        <v>Yes</v>
      </c>
      <c r="AB110" s="5" t="str">
        <f>IFERROR(__xludf.DUMMYFUNCTION("""COMPUTED_VALUE"""),"Yes")</f>
        <v>Yes</v>
      </c>
      <c r="AC110" s="5" t="str">
        <f>IFERROR(__xludf.DUMMYFUNCTION("""COMPUTED_VALUE"""),"Yes")</f>
        <v>Yes</v>
      </c>
      <c r="AD110" s="5" t="str">
        <f>IFERROR(__xludf.DUMMYFUNCTION("""COMPUTED_VALUE"""),"Yes")</f>
        <v>Yes</v>
      </c>
      <c r="AE110" s="5" t="str">
        <f>IFERROR(__xludf.DUMMYFUNCTION("""COMPUTED_VALUE"""),"Yes")</f>
        <v>Yes</v>
      </c>
      <c r="AF110" s="5" t="str">
        <f>IFERROR(__xludf.DUMMYFUNCTION("""COMPUTED_VALUE"""),"Yes")</f>
        <v>Yes</v>
      </c>
      <c r="AG110" s="5" t="str">
        <f>IFERROR(__xludf.DUMMYFUNCTION("""COMPUTED_VALUE"""),"Yes")</f>
        <v>Yes</v>
      </c>
      <c r="AH110" s="5" t="str">
        <f>IFERROR(__xludf.DUMMYFUNCTION("""COMPUTED_VALUE"""),"Yes")</f>
        <v>Yes</v>
      </c>
      <c r="AI110" s="5" t="str">
        <f>IFERROR(__xludf.DUMMYFUNCTION("""COMPUTED_VALUE"""),"Yes")</f>
        <v>Yes</v>
      </c>
      <c r="AJ110" s="5" t="str">
        <f>IFERROR(__xludf.DUMMYFUNCTION("""COMPUTED_VALUE"""),"Yes")</f>
        <v>Yes</v>
      </c>
      <c r="AK110" s="5" t="str">
        <f>IFERROR(__xludf.DUMMYFUNCTION("""COMPUTED_VALUE"""),"Yes")</f>
        <v>Yes</v>
      </c>
      <c r="AL110" s="5" t="str">
        <f>IFERROR(__xludf.DUMMYFUNCTION("""COMPUTED_VALUE"""),"Yes")</f>
        <v>Yes</v>
      </c>
      <c r="AM110" s="5" t="str">
        <f>IFERROR(__xludf.DUMMYFUNCTION("""COMPUTED_VALUE"""),"Yes")</f>
        <v>Yes</v>
      </c>
      <c r="AN110" s="5" t="str">
        <f>IFERROR(__xludf.DUMMYFUNCTION("""COMPUTED_VALUE"""),"Yes")</f>
        <v>Yes</v>
      </c>
      <c r="AO110" s="5" t="str">
        <f>IFERROR(__xludf.DUMMYFUNCTION("""COMPUTED_VALUE"""),"Yes")</f>
        <v>Yes</v>
      </c>
      <c r="AP110" s="5" t="str">
        <f>IFERROR(__xludf.DUMMYFUNCTION("""COMPUTED_VALUE"""),"Yes")</f>
        <v>Yes</v>
      </c>
      <c r="AQ110" s="5" t="str">
        <f>IFERROR(__xludf.DUMMYFUNCTION("""COMPUTED_VALUE"""),"Yes")</f>
        <v>Yes</v>
      </c>
      <c r="AR110" s="5" t="str">
        <f>IFERROR(__xludf.DUMMYFUNCTION("""COMPUTED_VALUE"""),"Yes")</f>
        <v>Yes</v>
      </c>
      <c r="AS110" s="5" t="str">
        <f>IFERROR(__xludf.DUMMYFUNCTION("""COMPUTED_VALUE"""),"Yes")</f>
        <v>Yes</v>
      </c>
      <c r="AT110" s="5" t="str">
        <f>IFERROR(__xludf.DUMMYFUNCTION("""COMPUTED_VALUE"""),"No")</f>
        <v>No</v>
      </c>
      <c r="AU110" s="5"/>
      <c r="AV110" s="5" t="str">
        <f>IFERROR(__xludf.DUMMYFUNCTION("""COMPUTED_VALUE"""),"")</f>
        <v/>
      </c>
      <c r="AW110" s="5" t="str">
        <f>IFERROR(__xludf.DUMMYFUNCTION("""COMPUTED_VALUE"""),"")</f>
        <v/>
      </c>
      <c r="AX110" s="5" t="str">
        <f>IFERROR(__xludf.DUMMYFUNCTION("""COMPUTED_VALUE"""),"")</f>
        <v/>
      </c>
      <c r="AY110" s="5" t="str">
        <f>IFERROR(__xludf.DUMMYFUNCTION("""COMPUTED_VALUE"""),"")</f>
        <v/>
      </c>
      <c r="AZ110" s="5" t="str">
        <f>IFERROR(__xludf.DUMMYFUNCTION("""COMPUTED_VALUE"""),"Available")</f>
        <v>Available</v>
      </c>
      <c r="BA110" s="5" t="str">
        <f>IFERROR(__xludf.DUMMYFUNCTION("""COMPUTED_VALUE"""),"Available")</f>
        <v>Available</v>
      </c>
      <c r="BB110" s="5" t="str">
        <f>IFERROR(__xludf.DUMMYFUNCTION("""COMPUTED_VALUE"""),"Available")</f>
        <v>Available</v>
      </c>
      <c r="BC110" s="5" t="str">
        <f>IFERROR(__xludf.DUMMYFUNCTION("""COMPUTED_VALUE"""),"Available")</f>
        <v>Available</v>
      </c>
      <c r="BD110" s="5" t="str">
        <f>IFERROR(__xludf.DUMMYFUNCTION("""COMPUTED_VALUE"""),"Available")</f>
        <v>Available</v>
      </c>
      <c r="BE110" s="5" t="str">
        <f>IFERROR(__xludf.DUMMYFUNCTION("""COMPUTED_VALUE"""),"")</f>
        <v/>
      </c>
      <c r="BF110" s="5" t="str">
        <f>IFERROR(__xludf.DUMMYFUNCTION("""COMPUTED_VALUE"""),"")</f>
        <v/>
      </c>
      <c r="BG110" s="5" t="str">
        <f>IFERROR(__xludf.DUMMYFUNCTION("""COMPUTED_VALUE"""),"")</f>
        <v/>
      </c>
      <c r="BH110" s="5" t="str">
        <f>IFERROR(__xludf.DUMMYFUNCTION("""COMPUTED_VALUE"""),"")</f>
        <v/>
      </c>
      <c r="BI110" s="5" t="str">
        <f>IFERROR(__xludf.DUMMYFUNCTION("""COMPUTED_VALUE"""),"")</f>
        <v/>
      </c>
      <c r="BJ110" s="5" t="str">
        <f>IFERROR(__xludf.DUMMYFUNCTION("""COMPUTED_VALUE"""),"")</f>
        <v/>
      </c>
      <c r="BK110" s="5" t="str">
        <f>IFERROR(__xludf.DUMMYFUNCTION("""COMPUTED_VALUE"""),"Available")</f>
        <v>Available</v>
      </c>
      <c r="BL110" s="5" t="str">
        <f>IFERROR(__xludf.DUMMYFUNCTION("""COMPUTED_VALUE"""),"")</f>
        <v/>
      </c>
      <c r="BM110" s="5" t="str">
        <f>IFERROR(__xludf.DUMMYFUNCTION("""COMPUTED_VALUE"""),"")</f>
        <v/>
      </c>
    </row>
    <row r="111">
      <c r="A111" s="5" t="str">
        <f>IFERROR(__xludf.DUMMYFUNCTION("""COMPUTED_VALUE"""),"Fazi")</f>
        <v>Fazi</v>
      </c>
      <c r="B111" s="5" t="str">
        <f>IFERROR(__xludf.DUMMYFUNCTION("""COMPUTED_VALUE"""),"Turbo Fire")</f>
        <v>Turbo Fire</v>
      </c>
      <c r="C111" s="5" t="str">
        <f>IFERROR(__xludf.DUMMYFUNCTION("""COMPUTED_VALUE"""),"TurboFire")</f>
        <v>TurboFire</v>
      </c>
      <c r="D111" s="6">
        <f>IFERROR(__xludf.DUMMYFUNCTION("""COMPUTED_VALUE"""),45272.0)</f>
        <v>45272</v>
      </c>
      <c r="E111" s="5" t="str">
        <f>IFERROR(__xludf.DUMMYFUNCTION("""COMPUTED_VALUE"""),"Slot")</f>
        <v>Slot</v>
      </c>
      <c r="F111" s="5">
        <f>IFERROR(__xludf.DUMMYFUNCTION("""COMPUTED_VALUE"""),13.0)</f>
        <v>13</v>
      </c>
      <c r="G111" s="5" t="str">
        <f>IFERROR(__xludf.DUMMYFUNCTION("""COMPUTED_VALUE"""),"5x4")</f>
        <v>5x4</v>
      </c>
      <c r="H111" s="5" t="str">
        <f>IFERROR(__xludf.DUMMYFUNCTION("""COMPUTED_VALUE"""),"40")</f>
        <v>40</v>
      </c>
      <c r="I111" s="5" t="str">
        <f>IFERROR(__xludf.DUMMYFUNCTION("""COMPUTED_VALUE"""),"40")</f>
        <v>40</v>
      </c>
      <c r="J111" s="5" t="str">
        <f>IFERROR(__xludf.DUMMYFUNCTION("""COMPUTED_VALUE"""),"96.584%")</f>
        <v>96.584%</v>
      </c>
      <c r="K111" s="5" t="str">
        <f>IFERROR(__xludf.DUMMYFUNCTION("""COMPUTED_VALUE"""),"Low")</f>
        <v>Low</v>
      </c>
      <c r="L111" s="5" t="str">
        <f>IFERROR(__xludf.DUMMYFUNCTION("""COMPUTED_VALUE"""),"16.73%")</f>
        <v>16.73%</v>
      </c>
      <c r="M111" s="5" t="str">
        <f>IFERROR(__xludf.DUMMYFUNCTION("""COMPUTED_VALUE"""),"x1000")</f>
        <v>x1000</v>
      </c>
      <c r="N111" s="5" t="str">
        <f>IFERROR(__xludf.DUMMYFUNCTION("""COMPUTED_VALUE"""),"0.4/40")</f>
        <v>0.4/40</v>
      </c>
      <c r="O111" s="5" t="str">
        <f>IFERROR(__xludf.DUMMYFUNCTION("""COMPUTED_VALUE"""),"Yes")</f>
        <v>Yes</v>
      </c>
      <c r="P111" s="5" t="str">
        <f>IFERROR(__xludf.DUMMYFUNCTION("""COMPUTED_VALUE"""),"Wild Symbol, Scatter")</f>
        <v>Wild Symbol, Scatter</v>
      </c>
      <c r="Q111" s="7" t="str">
        <f>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R111" s="5" t="str">
        <f>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S1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IFERROR(__xludf.DUMMYFUNCTION("""COMPUTED_VALUE"""),"Yes")</f>
        <v>Yes</v>
      </c>
      <c r="AA111" s="5" t="str">
        <f>IFERROR(__xludf.DUMMYFUNCTION("""COMPUTED_VALUE"""),"Yes")</f>
        <v>Yes</v>
      </c>
      <c r="AB111" s="5" t="str">
        <f>IFERROR(__xludf.DUMMYFUNCTION("""COMPUTED_VALUE"""),"Yes")</f>
        <v>Yes</v>
      </c>
      <c r="AC111" s="5" t="str">
        <f>IFERROR(__xludf.DUMMYFUNCTION("""COMPUTED_VALUE"""),"Yes")</f>
        <v>Yes</v>
      </c>
      <c r="AD111" s="5" t="str">
        <f>IFERROR(__xludf.DUMMYFUNCTION("""COMPUTED_VALUE"""),"Yes")</f>
        <v>Yes</v>
      </c>
      <c r="AE111" s="5" t="str">
        <f>IFERROR(__xludf.DUMMYFUNCTION("""COMPUTED_VALUE"""),"Yes")</f>
        <v>Yes</v>
      </c>
      <c r="AF111" s="5" t="str">
        <f>IFERROR(__xludf.DUMMYFUNCTION("""COMPUTED_VALUE"""),"Yes")</f>
        <v>Yes</v>
      </c>
      <c r="AG111" s="5" t="str">
        <f>IFERROR(__xludf.DUMMYFUNCTION("""COMPUTED_VALUE"""),"Yes")</f>
        <v>Yes</v>
      </c>
      <c r="AH111" s="5" t="str">
        <f>IFERROR(__xludf.DUMMYFUNCTION("""COMPUTED_VALUE"""),"Yes")</f>
        <v>Yes</v>
      </c>
      <c r="AI111" s="5" t="str">
        <f>IFERROR(__xludf.DUMMYFUNCTION("""COMPUTED_VALUE"""),"Yes")</f>
        <v>Yes</v>
      </c>
      <c r="AJ111" s="5" t="str">
        <f>IFERROR(__xludf.DUMMYFUNCTION("""COMPUTED_VALUE"""),"Yes")</f>
        <v>Yes</v>
      </c>
      <c r="AK111" s="5" t="str">
        <f>IFERROR(__xludf.DUMMYFUNCTION("""COMPUTED_VALUE"""),"Yes")</f>
        <v>Yes</v>
      </c>
      <c r="AL111" s="5" t="str">
        <f>IFERROR(__xludf.DUMMYFUNCTION("""COMPUTED_VALUE"""),"Yes")</f>
        <v>Yes</v>
      </c>
      <c r="AM111" s="5" t="str">
        <f>IFERROR(__xludf.DUMMYFUNCTION("""COMPUTED_VALUE"""),"Yes")</f>
        <v>Yes</v>
      </c>
      <c r="AN111" s="5" t="str">
        <f>IFERROR(__xludf.DUMMYFUNCTION("""COMPUTED_VALUE"""),"Yes")</f>
        <v>Yes</v>
      </c>
      <c r="AO111" s="5" t="str">
        <f>IFERROR(__xludf.DUMMYFUNCTION("""COMPUTED_VALUE"""),"Yes")</f>
        <v>Yes</v>
      </c>
      <c r="AP111" s="5" t="str">
        <f>IFERROR(__xludf.DUMMYFUNCTION("""COMPUTED_VALUE"""),"Yes")</f>
        <v>Yes</v>
      </c>
      <c r="AQ111" s="5" t="str">
        <f>IFERROR(__xludf.DUMMYFUNCTION("""COMPUTED_VALUE"""),"Yes")</f>
        <v>Yes</v>
      </c>
      <c r="AR111" s="5" t="str">
        <f>IFERROR(__xludf.DUMMYFUNCTION("""COMPUTED_VALUE"""),"Yes")</f>
        <v>Yes</v>
      </c>
      <c r="AS111" s="5" t="str">
        <f>IFERROR(__xludf.DUMMYFUNCTION("""COMPUTED_VALUE"""),"Yes")</f>
        <v>Yes</v>
      </c>
      <c r="AT111" s="5" t="str">
        <f>IFERROR(__xludf.DUMMYFUNCTION("""COMPUTED_VALUE"""),"No")</f>
        <v>No</v>
      </c>
      <c r="AU111" s="5"/>
      <c r="AV111" s="5" t="str">
        <f>IFERROR(__xludf.DUMMYFUNCTION("""COMPUTED_VALUE"""),"")</f>
        <v/>
      </c>
      <c r="AW111" s="5" t="str">
        <f>IFERROR(__xludf.DUMMYFUNCTION("""COMPUTED_VALUE"""),"")</f>
        <v/>
      </c>
      <c r="AX111" s="5" t="str">
        <f>IFERROR(__xludf.DUMMYFUNCTION("""COMPUTED_VALUE"""),"")</f>
        <v/>
      </c>
      <c r="AY111" s="5" t="str">
        <f>IFERROR(__xludf.DUMMYFUNCTION("""COMPUTED_VALUE"""),"")</f>
        <v/>
      </c>
      <c r="AZ111" s="5" t="str">
        <f>IFERROR(__xludf.DUMMYFUNCTION("""COMPUTED_VALUE"""),"Available")</f>
        <v>Available</v>
      </c>
      <c r="BA111" s="5" t="str">
        <f>IFERROR(__xludf.DUMMYFUNCTION("""COMPUTED_VALUE"""),"Available")</f>
        <v>Available</v>
      </c>
      <c r="BB111" s="5" t="str">
        <f>IFERROR(__xludf.DUMMYFUNCTION("""COMPUTED_VALUE"""),"Available")</f>
        <v>Available</v>
      </c>
      <c r="BC111" s="5" t="str">
        <f>IFERROR(__xludf.DUMMYFUNCTION("""COMPUTED_VALUE"""),"Available")</f>
        <v>Available</v>
      </c>
      <c r="BD111" s="5" t="str">
        <f>IFERROR(__xludf.DUMMYFUNCTION("""COMPUTED_VALUE"""),"")</f>
        <v/>
      </c>
      <c r="BE111" s="5" t="str">
        <f>IFERROR(__xludf.DUMMYFUNCTION("""COMPUTED_VALUE"""),"")</f>
        <v/>
      </c>
      <c r="BF111" s="5" t="str">
        <f>IFERROR(__xludf.DUMMYFUNCTION("""COMPUTED_VALUE"""),"")</f>
        <v/>
      </c>
      <c r="BG111" s="5" t="str">
        <f>IFERROR(__xludf.DUMMYFUNCTION("""COMPUTED_VALUE"""),"")</f>
        <v/>
      </c>
      <c r="BH111" s="5" t="str">
        <f>IFERROR(__xludf.DUMMYFUNCTION("""COMPUTED_VALUE"""),"")</f>
        <v/>
      </c>
      <c r="BI111" s="5" t="str">
        <f>IFERROR(__xludf.DUMMYFUNCTION("""COMPUTED_VALUE"""),"")</f>
        <v/>
      </c>
      <c r="BJ111" s="5" t="str">
        <f>IFERROR(__xludf.DUMMYFUNCTION("""COMPUTED_VALUE"""),"")</f>
        <v/>
      </c>
      <c r="BK111" s="5" t="str">
        <f>IFERROR(__xludf.DUMMYFUNCTION("""COMPUTED_VALUE"""),"Available")</f>
        <v>Available</v>
      </c>
      <c r="BL111" s="5" t="str">
        <f>IFERROR(__xludf.DUMMYFUNCTION("""COMPUTED_VALUE"""),"")</f>
        <v/>
      </c>
      <c r="BM111" s="5" t="str">
        <f>IFERROR(__xludf.DUMMYFUNCTION("""COMPUTED_VALUE"""),"")</f>
        <v/>
      </c>
    </row>
    <row r="112">
      <c r="A112" s="5" t="str">
        <f>IFERROR(__xludf.DUMMYFUNCTION("""COMPUTED_VALUE"""),"Fazi")</f>
        <v>Fazi</v>
      </c>
      <c r="B112" s="5" t="str">
        <f>IFERROR(__xludf.DUMMYFUNCTION("""COMPUTED_VALUE"""),"Winning Clover 5 Extreme")</f>
        <v>Winning Clover 5 Extreme</v>
      </c>
      <c r="C112" s="5" t="str">
        <f>IFERROR(__xludf.DUMMYFUNCTION("""COMPUTED_VALUE"""),"WinningClover5Extreme")</f>
        <v>WinningClover5Extreme</v>
      </c>
      <c r="D112" s="6">
        <f>IFERROR(__xludf.DUMMYFUNCTION("""COMPUTED_VALUE"""),45251.0)</f>
        <v>45251</v>
      </c>
      <c r="E112" s="5" t="str">
        <f>IFERROR(__xludf.DUMMYFUNCTION("""COMPUTED_VALUE"""),"Slot")</f>
        <v>Slot</v>
      </c>
      <c r="F112" s="5">
        <f>IFERROR(__xludf.DUMMYFUNCTION("""COMPUTED_VALUE"""),16.0)</f>
        <v>16</v>
      </c>
      <c r="G112" s="5" t="str">
        <f>IFERROR(__xludf.DUMMYFUNCTION("""COMPUTED_VALUE"""),"5x3")</f>
        <v>5x3</v>
      </c>
      <c r="H112" s="5" t="str">
        <f>IFERROR(__xludf.DUMMYFUNCTION("""COMPUTED_VALUE"""),"5")</f>
        <v>5</v>
      </c>
      <c r="I112" s="5" t="str">
        <f>IFERROR(__xludf.DUMMYFUNCTION("""COMPUTED_VALUE"""),"5")</f>
        <v>5</v>
      </c>
      <c r="J112" s="5" t="str">
        <f>IFERROR(__xludf.DUMMYFUNCTION("""COMPUTED_VALUE"""),"96.5%")</f>
        <v>96.5%</v>
      </c>
      <c r="K112" s="5" t="str">
        <f>IFERROR(__xludf.DUMMYFUNCTION("""COMPUTED_VALUE"""),"High")</f>
        <v>High</v>
      </c>
      <c r="L112" s="5" t="str">
        <f>IFERROR(__xludf.DUMMYFUNCTION("""COMPUTED_VALUE"""),"12.8%")</f>
        <v>12.8%</v>
      </c>
      <c r="M112" s="5" t="str">
        <f>IFERROR(__xludf.DUMMYFUNCTION("""COMPUTED_VALUE"""),"x5000")</f>
        <v>x5000</v>
      </c>
      <c r="N112" s="5" t="str">
        <f>IFERROR(__xludf.DUMMYFUNCTION("""COMPUTED_VALUE"""),"0.05/30")</f>
        <v>0.05/30</v>
      </c>
      <c r="O112" s="5" t="str">
        <f>IFERROR(__xludf.DUMMYFUNCTION("""COMPUTED_VALUE"""),"Yes")</f>
        <v>Yes</v>
      </c>
      <c r="P112" s="5" t="str">
        <f>IFERROR(__xludf.DUMMYFUNCTION("""COMPUTED_VALUE"""),"Expanding Wild, Wild Multiplier, Scatter")</f>
        <v>Expanding Wild, Wild Multiplier, Scatter</v>
      </c>
      <c r="Q112" s="7" t="str">
        <f>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R112" s="5" t="str">
        <f>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S1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2" s="5" t="str">
        <f>IFERROR(__xludf.DUMMYFUNCTION("""COMPUTED_VALUE"""),"Yes")</f>
        <v>Yes</v>
      </c>
      <c r="U112" s="5" t="str">
        <f>IFERROR(__xludf.DUMMYFUNCTION("""COMPUTED_VALUE"""),"Yes")</f>
        <v>Yes</v>
      </c>
      <c r="V112" s="5" t="str">
        <f>IFERROR(__xludf.DUMMYFUNCTION("""COMPUTED_VALUE"""),"Yes")</f>
        <v>Yes</v>
      </c>
      <c r="W112" s="5" t="str">
        <f>IFERROR(__xludf.DUMMYFUNCTION("""COMPUTED_VALUE"""),"Yes")</f>
        <v>Yes</v>
      </c>
      <c r="X112" s="5" t="str">
        <f>IFERROR(__xludf.DUMMYFUNCTION("""COMPUTED_VALUE"""),"Yes")</f>
        <v>Yes</v>
      </c>
      <c r="Y112" s="5" t="str">
        <f>IFERROR(__xludf.DUMMYFUNCTION("""COMPUTED_VALUE"""),"Yes")</f>
        <v>Yes</v>
      </c>
      <c r="Z112" s="5" t="str">
        <f>IFERROR(__xludf.DUMMYFUNCTION("""COMPUTED_VALUE"""),"Yes")</f>
        <v>Yes</v>
      </c>
      <c r="AA112" s="5" t="str">
        <f>IFERROR(__xludf.DUMMYFUNCTION("""COMPUTED_VALUE"""),"Yes")</f>
        <v>Yes</v>
      </c>
      <c r="AB112" s="5" t="str">
        <f>IFERROR(__xludf.DUMMYFUNCTION("""COMPUTED_VALUE"""),"Yes")</f>
        <v>Yes</v>
      </c>
      <c r="AC112" s="5" t="str">
        <f>IFERROR(__xludf.DUMMYFUNCTION("""COMPUTED_VALUE"""),"Yes")</f>
        <v>Yes</v>
      </c>
      <c r="AD112" s="5" t="str">
        <f>IFERROR(__xludf.DUMMYFUNCTION("""COMPUTED_VALUE"""),"Yes")</f>
        <v>Yes</v>
      </c>
      <c r="AE112" s="5" t="str">
        <f>IFERROR(__xludf.DUMMYFUNCTION("""COMPUTED_VALUE"""),"Yes")</f>
        <v>Yes</v>
      </c>
      <c r="AF112" s="5" t="str">
        <f>IFERROR(__xludf.DUMMYFUNCTION("""COMPUTED_VALUE"""),"Yes")</f>
        <v>Yes</v>
      </c>
      <c r="AG112" s="5" t="str">
        <f>IFERROR(__xludf.DUMMYFUNCTION("""COMPUTED_VALUE"""),"Yes")</f>
        <v>Yes</v>
      </c>
      <c r="AH112" s="5" t="str">
        <f>IFERROR(__xludf.DUMMYFUNCTION("""COMPUTED_VALUE"""),"Yes")</f>
        <v>Yes</v>
      </c>
      <c r="AI112" s="5" t="str">
        <f>IFERROR(__xludf.DUMMYFUNCTION("""COMPUTED_VALUE"""),"Yes")</f>
        <v>Yes</v>
      </c>
      <c r="AJ112" s="5" t="str">
        <f>IFERROR(__xludf.DUMMYFUNCTION("""COMPUTED_VALUE"""),"Yes")</f>
        <v>Yes</v>
      </c>
      <c r="AK112" s="5" t="str">
        <f>IFERROR(__xludf.DUMMYFUNCTION("""COMPUTED_VALUE"""),"Yes")</f>
        <v>Yes</v>
      </c>
      <c r="AL112" s="5" t="str">
        <f>IFERROR(__xludf.DUMMYFUNCTION("""COMPUTED_VALUE"""),"Yes")</f>
        <v>Yes</v>
      </c>
      <c r="AM112" s="5" t="str">
        <f>IFERROR(__xludf.DUMMYFUNCTION("""COMPUTED_VALUE"""),"Yes")</f>
        <v>Yes</v>
      </c>
      <c r="AN112" s="5" t="str">
        <f>IFERROR(__xludf.DUMMYFUNCTION("""COMPUTED_VALUE"""),"Yes")</f>
        <v>Yes</v>
      </c>
      <c r="AO112" s="5" t="str">
        <f>IFERROR(__xludf.DUMMYFUNCTION("""COMPUTED_VALUE"""),"Yes")</f>
        <v>Yes</v>
      </c>
      <c r="AP112" s="5" t="str">
        <f>IFERROR(__xludf.DUMMYFUNCTION("""COMPUTED_VALUE"""),"Yes")</f>
        <v>Yes</v>
      </c>
      <c r="AQ112" s="5" t="str">
        <f>IFERROR(__xludf.DUMMYFUNCTION("""COMPUTED_VALUE"""),"Yes")</f>
        <v>Yes</v>
      </c>
      <c r="AR112" s="5" t="str">
        <f>IFERROR(__xludf.DUMMYFUNCTION("""COMPUTED_VALUE"""),"Yes")</f>
        <v>Yes</v>
      </c>
      <c r="AS112" s="5" t="str">
        <f>IFERROR(__xludf.DUMMYFUNCTION("""COMPUTED_VALUE"""),"Yes")</f>
        <v>Yes</v>
      </c>
      <c r="AT112" s="5" t="str">
        <f>IFERROR(__xludf.DUMMYFUNCTION("""COMPUTED_VALUE"""),"No")</f>
        <v>No</v>
      </c>
      <c r="AU112" s="5"/>
      <c r="AV112" s="5" t="str">
        <f>IFERROR(__xludf.DUMMYFUNCTION("""COMPUTED_VALUE"""),"")</f>
        <v/>
      </c>
      <c r="AW112" s="5" t="str">
        <f>IFERROR(__xludf.DUMMYFUNCTION("""COMPUTED_VALUE"""),"")</f>
        <v/>
      </c>
      <c r="AX112" s="5" t="str">
        <f>IFERROR(__xludf.DUMMYFUNCTION("""COMPUTED_VALUE"""),"")</f>
        <v/>
      </c>
      <c r="AY112" s="5" t="str">
        <f>IFERROR(__xludf.DUMMYFUNCTION("""COMPUTED_VALUE"""),"")</f>
        <v/>
      </c>
      <c r="AZ112" s="5" t="str">
        <f>IFERROR(__xludf.DUMMYFUNCTION("""COMPUTED_VALUE"""),"Available")</f>
        <v>Available</v>
      </c>
      <c r="BA112" s="5" t="str">
        <f>IFERROR(__xludf.DUMMYFUNCTION("""COMPUTED_VALUE"""),"Available")</f>
        <v>Available</v>
      </c>
      <c r="BB112" s="5" t="str">
        <f>IFERROR(__xludf.DUMMYFUNCTION("""COMPUTED_VALUE"""),"Available")</f>
        <v>Available</v>
      </c>
      <c r="BC112" s="5" t="str">
        <f>IFERROR(__xludf.DUMMYFUNCTION("""COMPUTED_VALUE"""),"Available")</f>
        <v>Available</v>
      </c>
      <c r="BD112" s="5" t="str">
        <f>IFERROR(__xludf.DUMMYFUNCTION("""COMPUTED_VALUE"""),"")</f>
        <v/>
      </c>
      <c r="BE112" s="5" t="str">
        <f>IFERROR(__xludf.DUMMYFUNCTION("""COMPUTED_VALUE"""),"")</f>
        <v/>
      </c>
      <c r="BF112" s="5" t="str">
        <f>IFERROR(__xludf.DUMMYFUNCTION("""COMPUTED_VALUE"""),"")</f>
        <v/>
      </c>
      <c r="BG112" s="5" t="str">
        <f>IFERROR(__xludf.DUMMYFUNCTION("""COMPUTED_VALUE"""),"")</f>
        <v/>
      </c>
      <c r="BH112" s="5" t="str">
        <f>IFERROR(__xludf.DUMMYFUNCTION("""COMPUTED_VALUE"""),"")</f>
        <v/>
      </c>
      <c r="BI112" s="5" t="str">
        <f>IFERROR(__xludf.DUMMYFUNCTION("""COMPUTED_VALUE"""),"")</f>
        <v/>
      </c>
      <c r="BJ112" s="5" t="str">
        <f>IFERROR(__xludf.DUMMYFUNCTION("""COMPUTED_VALUE"""),"")</f>
        <v/>
      </c>
      <c r="BK112" s="5" t="str">
        <f>IFERROR(__xludf.DUMMYFUNCTION("""COMPUTED_VALUE"""),"Available")</f>
        <v>Available</v>
      </c>
      <c r="BL112" s="5" t="str">
        <f>IFERROR(__xludf.DUMMYFUNCTION("""COMPUTED_VALUE"""),"")</f>
        <v/>
      </c>
      <c r="BM112" s="5" t="str">
        <f>IFERROR(__xludf.DUMMYFUNCTION("""COMPUTED_VALUE"""),"")</f>
        <v/>
      </c>
    </row>
    <row r="113">
      <c r="A113" s="5" t="str">
        <f>IFERROR(__xludf.DUMMYFUNCTION("""COMPUTED_VALUE"""),"Fazi")</f>
        <v>Fazi</v>
      </c>
      <c r="B113" s="5" t="str">
        <f>IFERROR(__xludf.DUMMYFUNCTION("""COMPUTED_VALUE"""),"Wild Hot 40 Dice")</f>
        <v>Wild Hot 40 Dice</v>
      </c>
      <c r="C113" s="5" t="str">
        <f>IFERROR(__xludf.DUMMYFUNCTION("""COMPUTED_VALUE"""),"WildHot40Dice")</f>
        <v>WildHot40Dice</v>
      </c>
      <c r="D113" s="6">
        <f>IFERROR(__xludf.DUMMYFUNCTION("""COMPUTED_VALUE"""),45239.0)</f>
        <v>45239</v>
      </c>
      <c r="E113" s="5" t="str">
        <f>IFERROR(__xludf.DUMMYFUNCTION("""COMPUTED_VALUE"""),"Slot")</f>
        <v>Slot</v>
      </c>
      <c r="F113" s="5">
        <f>IFERROR(__xludf.DUMMYFUNCTION("""COMPUTED_VALUE"""),23.2)</f>
        <v>23.2</v>
      </c>
      <c r="G113" s="5" t="str">
        <f>IFERROR(__xludf.DUMMYFUNCTION("""COMPUTED_VALUE"""),"5x4")</f>
        <v>5x4</v>
      </c>
      <c r="H113" s="5" t="str">
        <f>IFERROR(__xludf.DUMMYFUNCTION("""COMPUTED_VALUE"""),"40")</f>
        <v>40</v>
      </c>
      <c r="I113" s="5" t="str">
        <f>IFERROR(__xludf.DUMMYFUNCTION("""COMPUTED_VALUE"""),"40")</f>
        <v>40</v>
      </c>
      <c r="J113" s="5" t="str">
        <f>IFERROR(__xludf.DUMMYFUNCTION("""COMPUTED_VALUE"""),"96.584%")</f>
        <v>96.584%</v>
      </c>
      <c r="K113" s="5" t="str">
        <f>IFERROR(__xludf.DUMMYFUNCTION("""COMPUTED_VALUE"""),"Low")</f>
        <v>Low</v>
      </c>
      <c r="L113" s="5" t="str">
        <f>IFERROR(__xludf.DUMMYFUNCTION("""COMPUTED_VALUE"""),"16.73%")</f>
        <v>16.73%</v>
      </c>
      <c r="M113" s="5" t="str">
        <f>IFERROR(__xludf.DUMMYFUNCTION("""COMPUTED_VALUE"""),"x1000")</f>
        <v>x1000</v>
      </c>
      <c r="N113" s="5" t="str">
        <f>IFERROR(__xludf.DUMMYFUNCTION("""COMPUTED_VALUE"""),"0.4/60")</f>
        <v>0.4/60</v>
      </c>
      <c r="O113" s="5" t="str">
        <f>IFERROR(__xludf.DUMMYFUNCTION("""COMPUTED_VALUE"""),"Yes")</f>
        <v>Yes</v>
      </c>
      <c r="P113" s="5" t="str">
        <f>IFERROR(__xludf.DUMMYFUNCTION("""COMPUTED_VALUE"""),"Wild Symbol, Scatter, Exploding Wild")</f>
        <v>Wild Symbol, Scatter, Exploding Wild</v>
      </c>
      <c r="Q113" s="7" t="str">
        <f>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R113" s="5" t="str">
        <f>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S1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3" s="5" t="str">
        <f>IFERROR(__xludf.DUMMYFUNCTION("""COMPUTED_VALUE"""),"Yes")</f>
        <v>Yes</v>
      </c>
      <c r="U113" s="5" t="str">
        <f>IFERROR(__xludf.DUMMYFUNCTION("""COMPUTED_VALUE"""),"Yes")</f>
        <v>Yes</v>
      </c>
      <c r="V113" s="5" t="str">
        <f>IFERROR(__xludf.DUMMYFUNCTION("""COMPUTED_VALUE"""),"Yes")</f>
        <v>Yes</v>
      </c>
      <c r="W113" s="5" t="str">
        <f>IFERROR(__xludf.DUMMYFUNCTION("""COMPUTED_VALUE"""),"Yes")</f>
        <v>Yes</v>
      </c>
      <c r="X113" s="5" t="str">
        <f>IFERROR(__xludf.DUMMYFUNCTION("""COMPUTED_VALUE"""),"Yes")</f>
        <v>Yes</v>
      </c>
      <c r="Y113" s="5" t="str">
        <f>IFERROR(__xludf.DUMMYFUNCTION("""COMPUTED_VALUE"""),"Yes")</f>
        <v>Yes</v>
      </c>
      <c r="Z113" s="5" t="str">
        <f>IFERROR(__xludf.DUMMYFUNCTION("""COMPUTED_VALUE"""),"Yes")</f>
        <v>Yes</v>
      </c>
      <c r="AA113" s="5" t="str">
        <f>IFERROR(__xludf.DUMMYFUNCTION("""COMPUTED_VALUE"""),"Yes")</f>
        <v>Yes</v>
      </c>
      <c r="AB113" s="5" t="str">
        <f>IFERROR(__xludf.DUMMYFUNCTION("""COMPUTED_VALUE"""),"Yes")</f>
        <v>Yes</v>
      </c>
      <c r="AC113" s="5" t="str">
        <f>IFERROR(__xludf.DUMMYFUNCTION("""COMPUTED_VALUE"""),"Yes")</f>
        <v>Yes</v>
      </c>
      <c r="AD113" s="5" t="str">
        <f>IFERROR(__xludf.DUMMYFUNCTION("""COMPUTED_VALUE"""),"Yes")</f>
        <v>Yes</v>
      </c>
      <c r="AE113" s="5" t="str">
        <f>IFERROR(__xludf.DUMMYFUNCTION("""COMPUTED_VALUE"""),"Yes")</f>
        <v>Yes</v>
      </c>
      <c r="AF113" s="5" t="str">
        <f>IFERROR(__xludf.DUMMYFUNCTION("""COMPUTED_VALUE"""),"Yes")</f>
        <v>Yes</v>
      </c>
      <c r="AG113" s="5" t="str">
        <f>IFERROR(__xludf.DUMMYFUNCTION("""COMPUTED_VALUE"""),"Yes")</f>
        <v>Yes</v>
      </c>
      <c r="AH113" s="5" t="str">
        <f>IFERROR(__xludf.DUMMYFUNCTION("""COMPUTED_VALUE"""),"Yes")</f>
        <v>Yes</v>
      </c>
      <c r="AI113" s="5" t="str">
        <f>IFERROR(__xludf.DUMMYFUNCTION("""COMPUTED_VALUE"""),"Yes")</f>
        <v>Yes</v>
      </c>
      <c r="AJ113" s="5" t="str">
        <f>IFERROR(__xludf.DUMMYFUNCTION("""COMPUTED_VALUE"""),"Yes")</f>
        <v>Yes</v>
      </c>
      <c r="AK113" s="5" t="str">
        <f>IFERROR(__xludf.DUMMYFUNCTION("""COMPUTED_VALUE"""),"Yes")</f>
        <v>Yes</v>
      </c>
      <c r="AL113" s="5" t="str">
        <f>IFERROR(__xludf.DUMMYFUNCTION("""COMPUTED_VALUE"""),"Yes")</f>
        <v>Yes</v>
      </c>
      <c r="AM113" s="5" t="str">
        <f>IFERROR(__xludf.DUMMYFUNCTION("""COMPUTED_VALUE"""),"Yes")</f>
        <v>Yes</v>
      </c>
      <c r="AN113" s="5" t="str">
        <f>IFERROR(__xludf.DUMMYFUNCTION("""COMPUTED_VALUE"""),"Yes")</f>
        <v>Yes</v>
      </c>
      <c r="AO113" s="5" t="str">
        <f>IFERROR(__xludf.DUMMYFUNCTION("""COMPUTED_VALUE"""),"Yes")</f>
        <v>Yes</v>
      </c>
      <c r="AP113" s="5" t="str">
        <f>IFERROR(__xludf.DUMMYFUNCTION("""COMPUTED_VALUE"""),"Yes")</f>
        <v>Yes</v>
      </c>
      <c r="AQ113" s="5" t="str">
        <f>IFERROR(__xludf.DUMMYFUNCTION("""COMPUTED_VALUE"""),"Yes")</f>
        <v>Yes</v>
      </c>
      <c r="AR113" s="5" t="str">
        <f>IFERROR(__xludf.DUMMYFUNCTION("""COMPUTED_VALUE"""),"Yes")</f>
        <v>Yes</v>
      </c>
      <c r="AS113" s="5" t="str">
        <f>IFERROR(__xludf.DUMMYFUNCTION("""COMPUTED_VALUE"""),"Yes")</f>
        <v>Yes</v>
      </c>
      <c r="AT113" s="5" t="str">
        <f>IFERROR(__xludf.DUMMYFUNCTION("""COMPUTED_VALUE"""),"No")</f>
        <v>No</v>
      </c>
      <c r="AU113" s="5"/>
      <c r="AV113" s="5" t="str">
        <f>IFERROR(__xludf.DUMMYFUNCTION("""COMPUTED_VALUE"""),"")</f>
        <v/>
      </c>
      <c r="AW113" s="5" t="str">
        <f>IFERROR(__xludf.DUMMYFUNCTION("""COMPUTED_VALUE"""),"")</f>
        <v/>
      </c>
      <c r="AX113" s="5" t="str">
        <f>IFERROR(__xludf.DUMMYFUNCTION("""COMPUTED_VALUE"""),"")</f>
        <v/>
      </c>
      <c r="AY113" s="5" t="str">
        <f>IFERROR(__xludf.DUMMYFUNCTION("""COMPUTED_VALUE"""),"")</f>
        <v/>
      </c>
      <c r="AZ113" s="5" t="str">
        <f>IFERROR(__xludf.DUMMYFUNCTION("""COMPUTED_VALUE"""),"")</f>
        <v/>
      </c>
      <c r="BA113" s="5" t="str">
        <f>IFERROR(__xludf.DUMMYFUNCTION("""COMPUTED_VALUE"""),"")</f>
        <v/>
      </c>
      <c r="BB113" s="5" t="str">
        <f>IFERROR(__xludf.DUMMYFUNCTION("""COMPUTED_VALUE"""),"")</f>
        <v/>
      </c>
      <c r="BC113" s="5" t="str">
        <f>IFERROR(__xludf.DUMMYFUNCTION("""COMPUTED_VALUE"""),"")</f>
        <v/>
      </c>
      <c r="BD113" s="5" t="str">
        <f>IFERROR(__xludf.DUMMYFUNCTION("""COMPUTED_VALUE"""),"")</f>
        <v/>
      </c>
      <c r="BE113" s="5" t="str">
        <f>IFERROR(__xludf.DUMMYFUNCTION("""COMPUTED_VALUE"""),"")</f>
        <v/>
      </c>
      <c r="BF113" s="5" t="str">
        <f>IFERROR(__xludf.DUMMYFUNCTION("""COMPUTED_VALUE"""),"")</f>
        <v/>
      </c>
      <c r="BG113" s="5" t="str">
        <f>IFERROR(__xludf.DUMMYFUNCTION("""COMPUTED_VALUE"""),"")</f>
        <v/>
      </c>
      <c r="BH113" s="5" t="str">
        <f>IFERROR(__xludf.DUMMYFUNCTION("""COMPUTED_VALUE"""),"")</f>
        <v/>
      </c>
      <c r="BI113" s="5" t="str">
        <f>IFERROR(__xludf.DUMMYFUNCTION("""COMPUTED_VALUE"""),"")</f>
        <v/>
      </c>
      <c r="BJ113" s="5" t="str">
        <f>IFERROR(__xludf.DUMMYFUNCTION("""COMPUTED_VALUE"""),"")</f>
        <v/>
      </c>
      <c r="BK113" s="5" t="str">
        <f>IFERROR(__xludf.DUMMYFUNCTION("""COMPUTED_VALUE"""),"")</f>
        <v/>
      </c>
      <c r="BL113" s="5" t="str">
        <f>IFERROR(__xludf.DUMMYFUNCTION("""COMPUTED_VALUE"""),"")</f>
        <v/>
      </c>
      <c r="BM113" s="5" t="str">
        <f>IFERROR(__xludf.DUMMYFUNCTION("""COMPUTED_VALUE"""),"")</f>
        <v/>
      </c>
    </row>
    <row r="114">
      <c r="A114" s="5" t="str">
        <f>IFERROR(__xludf.DUMMYFUNCTION("""COMPUTED_VALUE"""),"Fazi")</f>
        <v>Fazi</v>
      </c>
      <c r="B114" s="5" t="str">
        <f>IFERROR(__xludf.DUMMYFUNCTION("""COMPUTED_VALUE"""),"Wild Hot 40 Blow Dice")</f>
        <v>Wild Hot 40 Blow Dice</v>
      </c>
      <c r="C114" s="5" t="str">
        <f>IFERROR(__xludf.DUMMYFUNCTION("""COMPUTED_VALUE"""),"WildHot40BlowDice")</f>
        <v>WildHot40BlowDice</v>
      </c>
      <c r="D114" s="6">
        <f>IFERROR(__xludf.DUMMYFUNCTION("""COMPUTED_VALUE"""),45239.0)</f>
        <v>45239</v>
      </c>
      <c r="E114" s="5" t="str">
        <f>IFERROR(__xludf.DUMMYFUNCTION("""COMPUTED_VALUE"""),"Slot")</f>
        <v>Slot</v>
      </c>
      <c r="F114" s="5">
        <f>IFERROR(__xludf.DUMMYFUNCTION("""COMPUTED_VALUE"""),26.3)</f>
        <v>26.3</v>
      </c>
      <c r="G114" s="5" t="str">
        <f>IFERROR(__xludf.DUMMYFUNCTION("""COMPUTED_VALUE"""),"5x4")</f>
        <v>5x4</v>
      </c>
      <c r="H114" s="5" t="str">
        <f>IFERROR(__xludf.DUMMYFUNCTION("""COMPUTED_VALUE"""),"40")</f>
        <v>40</v>
      </c>
      <c r="I114" s="5" t="str">
        <f>IFERROR(__xludf.DUMMYFUNCTION("""COMPUTED_VALUE"""),"40")</f>
        <v>40</v>
      </c>
      <c r="J114" s="5" t="str">
        <f>IFERROR(__xludf.DUMMYFUNCTION("""COMPUTED_VALUE"""),"96.269%")</f>
        <v>96.269%</v>
      </c>
      <c r="K114" s="5" t="str">
        <f>IFERROR(__xludf.DUMMYFUNCTION("""COMPUTED_VALUE"""),"Medium")</f>
        <v>Medium</v>
      </c>
      <c r="L114" s="5" t="str">
        <f>IFERROR(__xludf.DUMMYFUNCTION("""COMPUTED_VALUE"""),"13.88%")</f>
        <v>13.88%</v>
      </c>
      <c r="M114" s="5" t="str">
        <f>IFERROR(__xludf.DUMMYFUNCTION("""COMPUTED_VALUE"""),"x1000")</f>
        <v>x1000</v>
      </c>
      <c r="N114" s="5" t="str">
        <f>IFERROR(__xludf.DUMMYFUNCTION("""COMPUTED_VALUE"""),"0.4/60")</f>
        <v>0.4/60</v>
      </c>
      <c r="O114" s="5" t="str">
        <f>IFERROR(__xludf.DUMMYFUNCTION("""COMPUTED_VALUE"""),"Yes")</f>
        <v>Yes</v>
      </c>
      <c r="P114" s="5" t="str">
        <f>IFERROR(__xludf.DUMMYFUNCTION("""COMPUTED_VALUE"""),"Scatter, Exploding Wild, Wild Symbol")</f>
        <v>Scatter, Exploding Wild, Wild Symbol</v>
      </c>
      <c r="Q114" s="7" t="str">
        <f>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R114" s="5" t="str">
        <f>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S1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4" s="5" t="str">
        <f>IFERROR(__xludf.DUMMYFUNCTION("""COMPUTED_VALUE"""),"Yes")</f>
        <v>Yes</v>
      </c>
      <c r="U114" s="5" t="str">
        <f>IFERROR(__xludf.DUMMYFUNCTION("""COMPUTED_VALUE"""),"Yes")</f>
        <v>Yes</v>
      </c>
      <c r="V114" s="5" t="str">
        <f>IFERROR(__xludf.DUMMYFUNCTION("""COMPUTED_VALUE"""),"Yes")</f>
        <v>Yes</v>
      </c>
      <c r="W114" s="5" t="str">
        <f>IFERROR(__xludf.DUMMYFUNCTION("""COMPUTED_VALUE"""),"Yes")</f>
        <v>Yes</v>
      </c>
      <c r="X114" s="5" t="str">
        <f>IFERROR(__xludf.DUMMYFUNCTION("""COMPUTED_VALUE"""),"Yes")</f>
        <v>Yes</v>
      </c>
      <c r="Y114" s="5" t="str">
        <f>IFERROR(__xludf.DUMMYFUNCTION("""COMPUTED_VALUE"""),"Yes")</f>
        <v>Yes</v>
      </c>
      <c r="Z114" s="5" t="str">
        <f>IFERROR(__xludf.DUMMYFUNCTION("""COMPUTED_VALUE"""),"Yes")</f>
        <v>Yes</v>
      </c>
      <c r="AA114" s="5" t="str">
        <f>IFERROR(__xludf.DUMMYFUNCTION("""COMPUTED_VALUE"""),"Yes")</f>
        <v>Yes</v>
      </c>
      <c r="AB114" s="5" t="str">
        <f>IFERROR(__xludf.DUMMYFUNCTION("""COMPUTED_VALUE"""),"Yes")</f>
        <v>Yes</v>
      </c>
      <c r="AC114" s="5" t="str">
        <f>IFERROR(__xludf.DUMMYFUNCTION("""COMPUTED_VALUE"""),"Yes")</f>
        <v>Yes</v>
      </c>
      <c r="AD114" s="5" t="str">
        <f>IFERROR(__xludf.DUMMYFUNCTION("""COMPUTED_VALUE"""),"Yes")</f>
        <v>Yes</v>
      </c>
      <c r="AE114" s="5" t="str">
        <f>IFERROR(__xludf.DUMMYFUNCTION("""COMPUTED_VALUE"""),"Yes")</f>
        <v>Yes</v>
      </c>
      <c r="AF114" s="5" t="str">
        <f>IFERROR(__xludf.DUMMYFUNCTION("""COMPUTED_VALUE"""),"Yes")</f>
        <v>Yes</v>
      </c>
      <c r="AG114" s="5" t="str">
        <f>IFERROR(__xludf.DUMMYFUNCTION("""COMPUTED_VALUE"""),"Yes")</f>
        <v>Yes</v>
      </c>
      <c r="AH114" s="5" t="str">
        <f>IFERROR(__xludf.DUMMYFUNCTION("""COMPUTED_VALUE"""),"Yes")</f>
        <v>Yes</v>
      </c>
      <c r="AI114" s="5" t="str">
        <f>IFERROR(__xludf.DUMMYFUNCTION("""COMPUTED_VALUE"""),"Yes")</f>
        <v>Yes</v>
      </c>
      <c r="AJ114" s="5" t="str">
        <f>IFERROR(__xludf.DUMMYFUNCTION("""COMPUTED_VALUE"""),"Yes")</f>
        <v>Yes</v>
      </c>
      <c r="AK114" s="5" t="str">
        <f>IFERROR(__xludf.DUMMYFUNCTION("""COMPUTED_VALUE"""),"Yes")</f>
        <v>Yes</v>
      </c>
      <c r="AL114" s="5" t="str">
        <f>IFERROR(__xludf.DUMMYFUNCTION("""COMPUTED_VALUE"""),"Yes")</f>
        <v>Yes</v>
      </c>
      <c r="AM114" s="5" t="str">
        <f>IFERROR(__xludf.DUMMYFUNCTION("""COMPUTED_VALUE"""),"Yes")</f>
        <v>Yes</v>
      </c>
      <c r="AN114" s="5" t="str">
        <f>IFERROR(__xludf.DUMMYFUNCTION("""COMPUTED_VALUE"""),"Yes")</f>
        <v>Yes</v>
      </c>
      <c r="AO114" s="5" t="str">
        <f>IFERROR(__xludf.DUMMYFUNCTION("""COMPUTED_VALUE"""),"Yes")</f>
        <v>Yes</v>
      </c>
      <c r="AP114" s="5" t="str">
        <f>IFERROR(__xludf.DUMMYFUNCTION("""COMPUTED_VALUE"""),"Yes")</f>
        <v>Yes</v>
      </c>
      <c r="AQ114" s="5" t="str">
        <f>IFERROR(__xludf.DUMMYFUNCTION("""COMPUTED_VALUE"""),"Yes")</f>
        <v>Yes</v>
      </c>
      <c r="AR114" s="5" t="str">
        <f>IFERROR(__xludf.DUMMYFUNCTION("""COMPUTED_VALUE"""),"Yes")</f>
        <v>Yes</v>
      </c>
      <c r="AS114" s="5" t="str">
        <f>IFERROR(__xludf.DUMMYFUNCTION("""COMPUTED_VALUE"""),"Yes")</f>
        <v>Yes</v>
      </c>
      <c r="AT114" s="5" t="str">
        <f>IFERROR(__xludf.DUMMYFUNCTION("""COMPUTED_VALUE"""),"No")</f>
        <v>No</v>
      </c>
      <c r="AU114" s="5"/>
      <c r="AV114" s="5" t="str">
        <f>IFERROR(__xludf.DUMMYFUNCTION("""COMPUTED_VALUE"""),"Available")</f>
        <v>Available</v>
      </c>
      <c r="AW114" s="5" t="str">
        <f>IFERROR(__xludf.DUMMYFUNCTION("""COMPUTED_VALUE"""),"")</f>
        <v/>
      </c>
      <c r="AX114" s="5" t="str">
        <f>IFERROR(__xludf.DUMMYFUNCTION("""COMPUTED_VALUE"""),"")</f>
        <v/>
      </c>
      <c r="AY114" s="5" t="str">
        <f>IFERROR(__xludf.DUMMYFUNCTION("""COMPUTED_VALUE"""),"")</f>
        <v/>
      </c>
      <c r="AZ114" s="5" t="str">
        <f>IFERROR(__xludf.DUMMYFUNCTION("""COMPUTED_VALUE"""),"Available")</f>
        <v>Available</v>
      </c>
      <c r="BA114" s="5" t="str">
        <f>IFERROR(__xludf.DUMMYFUNCTION("""COMPUTED_VALUE"""),"Available")</f>
        <v>Available</v>
      </c>
      <c r="BB114" s="5" t="str">
        <f>IFERROR(__xludf.DUMMYFUNCTION("""COMPUTED_VALUE"""),"")</f>
        <v/>
      </c>
      <c r="BC114" s="5" t="str">
        <f>IFERROR(__xludf.DUMMYFUNCTION("""COMPUTED_VALUE"""),"")</f>
        <v/>
      </c>
      <c r="BD114" s="5" t="str">
        <f>IFERROR(__xludf.DUMMYFUNCTION("""COMPUTED_VALUE"""),"")</f>
        <v/>
      </c>
      <c r="BE114" s="5" t="str">
        <f>IFERROR(__xludf.DUMMYFUNCTION("""COMPUTED_VALUE"""),"")</f>
        <v/>
      </c>
      <c r="BF114" s="5" t="str">
        <f>IFERROR(__xludf.DUMMYFUNCTION("""COMPUTED_VALUE"""),"")</f>
        <v/>
      </c>
      <c r="BG114" s="5" t="str">
        <f>IFERROR(__xludf.DUMMYFUNCTION("""COMPUTED_VALUE"""),"")</f>
        <v/>
      </c>
      <c r="BH114" s="5" t="str">
        <f>IFERROR(__xludf.DUMMYFUNCTION("""COMPUTED_VALUE"""),"")</f>
        <v/>
      </c>
      <c r="BI114" s="5" t="str">
        <f>IFERROR(__xludf.DUMMYFUNCTION("""COMPUTED_VALUE"""),"")</f>
        <v/>
      </c>
      <c r="BJ114" s="5" t="str">
        <f>IFERROR(__xludf.DUMMYFUNCTION("""COMPUTED_VALUE"""),"")</f>
        <v/>
      </c>
      <c r="BK114" s="5" t="str">
        <f>IFERROR(__xludf.DUMMYFUNCTION("""COMPUTED_VALUE"""),"")</f>
        <v/>
      </c>
      <c r="BL114" s="5" t="str">
        <f>IFERROR(__xludf.DUMMYFUNCTION("""COMPUTED_VALUE"""),"")</f>
        <v/>
      </c>
      <c r="BM114" s="5" t="str">
        <f>IFERROR(__xludf.DUMMYFUNCTION("""COMPUTED_VALUE"""),"")</f>
        <v/>
      </c>
    </row>
    <row r="115">
      <c r="A115" s="5" t="str">
        <f>IFERROR(__xludf.DUMMYFUNCTION("""COMPUTED_VALUE"""),"Fazi")</f>
        <v>Fazi</v>
      </c>
      <c r="B115" s="5" t="str">
        <f>IFERROR(__xludf.DUMMYFUNCTION("""COMPUTED_VALUE"""),"Fashion Night")</f>
        <v>Fashion Night</v>
      </c>
      <c r="C115" s="5" t="str">
        <f>IFERROR(__xludf.DUMMYFUNCTION("""COMPUTED_VALUE"""),"FashionNight")</f>
        <v>FashionNight</v>
      </c>
      <c r="D115" s="6">
        <f>IFERROR(__xludf.DUMMYFUNCTION("""COMPUTED_VALUE"""),45274.0)</f>
        <v>45274</v>
      </c>
      <c r="E115" s="5" t="str">
        <f>IFERROR(__xludf.DUMMYFUNCTION("""COMPUTED_VALUE"""),"Slot")</f>
        <v>Slot</v>
      </c>
      <c r="F115" s="5">
        <f>IFERROR(__xludf.DUMMYFUNCTION("""COMPUTED_VALUE"""),21.0)</f>
        <v>21</v>
      </c>
      <c r="G115" s="5" t="str">
        <f>IFERROR(__xludf.DUMMYFUNCTION("""COMPUTED_VALUE"""),"5x3")</f>
        <v>5x3</v>
      </c>
      <c r="H115" s="5" t="str">
        <f>IFERROR(__xludf.DUMMYFUNCTION("""COMPUTED_VALUE"""),"10")</f>
        <v>10</v>
      </c>
      <c r="I115" s="5" t="str">
        <f>IFERROR(__xludf.DUMMYFUNCTION("""COMPUTED_VALUE"""),"10")</f>
        <v>10</v>
      </c>
      <c r="J115" s="5" t="str">
        <f>IFERROR(__xludf.DUMMYFUNCTION("""COMPUTED_VALUE"""),"96.51%")</f>
        <v>96.51%</v>
      </c>
      <c r="K115" s="5" t="str">
        <f>IFERROR(__xludf.DUMMYFUNCTION("""COMPUTED_VALUE"""),"Medium")</f>
        <v>Medium</v>
      </c>
      <c r="L115" s="5" t="str">
        <f>IFERROR(__xludf.DUMMYFUNCTION("""COMPUTED_VALUE"""),"17.918%")</f>
        <v>17.918%</v>
      </c>
      <c r="M115" s="5" t="str">
        <f>IFERROR(__xludf.DUMMYFUNCTION("""COMPUTED_VALUE"""),"x3092")</f>
        <v>x3092</v>
      </c>
      <c r="N115" s="5" t="str">
        <f>IFERROR(__xludf.DUMMYFUNCTION("""COMPUTED_VALUE"""),"0.1/40")</f>
        <v>0.1/40</v>
      </c>
      <c r="O115" s="5" t="str">
        <f>IFERROR(__xludf.DUMMYFUNCTION("""COMPUTED_VALUE"""),"Yes")</f>
        <v>Yes</v>
      </c>
      <c r="P115" s="5" t="str">
        <f>IFERROR(__xludf.DUMMYFUNCTION("""COMPUTED_VALUE"""),"Expanding Wild, Scatter")</f>
        <v>Expanding Wild, Scatter</v>
      </c>
      <c r="Q115" s="7" t="str">
        <f>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R115" s="5" t="str">
        <f>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S1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IFERROR(__xludf.DUMMYFUNCTION("""COMPUTED_VALUE"""),"Yes")</f>
        <v>Yes</v>
      </c>
      <c r="AA115" s="5" t="str">
        <f>IFERROR(__xludf.DUMMYFUNCTION("""COMPUTED_VALUE"""),"Yes")</f>
        <v>Yes</v>
      </c>
      <c r="AB115" s="5" t="str">
        <f>IFERROR(__xludf.DUMMYFUNCTION("""COMPUTED_VALUE"""),"Yes")</f>
        <v>Yes</v>
      </c>
      <c r="AC115" s="5" t="str">
        <f>IFERROR(__xludf.DUMMYFUNCTION("""COMPUTED_VALUE"""),"Yes")</f>
        <v>Yes</v>
      </c>
      <c r="AD115" s="5" t="str">
        <f>IFERROR(__xludf.DUMMYFUNCTION("""COMPUTED_VALUE"""),"Yes")</f>
        <v>Yes</v>
      </c>
      <c r="AE115" s="5" t="str">
        <f>IFERROR(__xludf.DUMMYFUNCTION("""COMPUTED_VALUE"""),"Yes")</f>
        <v>Yes</v>
      </c>
      <c r="AF115" s="5" t="str">
        <f>IFERROR(__xludf.DUMMYFUNCTION("""COMPUTED_VALUE"""),"Yes")</f>
        <v>Yes</v>
      </c>
      <c r="AG115" s="5" t="str">
        <f>IFERROR(__xludf.DUMMYFUNCTION("""COMPUTED_VALUE"""),"Yes")</f>
        <v>Yes</v>
      </c>
      <c r="AH115" s="5" t="str">
        <f>IFERROR(__xludf.DUMMYFUNCTION("""COMPUTED_VALUE"""),"Yes")</f>
        <v>Yes</v>
      </c>
      <c r="AI115" s="5" t="str">
        <f>IFERROR(__xludf.DUMMYFUNCTION("""COMPUTED_VALUE"""),"Yes")</f>
        <v>Yes</v>
      </c>
      <c r="AJ115" s="5" t="str">
        <f>IFERROR(__xludf.DUMMYFUNCTION("""COMPUTED_VALUE"""),"Yes")</f>
        <v>Yes</v>
      </c>
      <c r="AK115" s="5" t="str">
        <f>IFERROR(__xludf.DUMMYFUNCTION("""COMPUTED_VALUE"""),"Yes")</f>
        <v>Yes</v>
      </c>
      <c r="AL115" s="5" t="str">
        <f>IFERROR(__xludf.DUMMYFUNCTION("""COMPUTED_VALUE"""),"Yes")</f>
        <v>Yes</v>
      </c>
      <c r="AM115" s="5" t="str">
        <f>IFERROR(__xludf.DUMMYFUNCTION("""COMPUTED_VALUE"""),"Yes")</f>
        <v>Yes</v>
      </c>
      <c r="AN115" s="5" t="str">
        <f>IFERROR(__xludf.DUMMYFUNCTION("""COMPUTED_VALUE"""),"Yes")</f>
        <v>Yes</v>
      </c>
      <c r="AO115" s="5" t="str">
        <f>IFERROR(__xludf.DUMMYFUNCTION("""COMPUTED_VALUE"""),"Yes")</f>
        <v>Yes</v>
      </c>
      <c r="AP115" s="5" t="str">
        <f>IFERROR(__xludf.DUMMYFUNCTION("""COMPUTED_VALUE"""),"Yes")</f>
        <v>Yes</v>
      </c>
      <c r="AQ115" s="5" t="str">
        <f>IFERROR(__xludf.DUMMYFUNCTION("""COMPUTED_VALUE"""),"Yes")</f>
        <v>Yes</v>
      </c>
      <c r="AR115" s="5" t="str">
        <f>IFERROR(__xludf.DUMMYFUNCTION("""COMPUTED_VALUE"""),"Yes")</f>
        <v>Yes</v>
      </c>
      <c r="AS115" s="5" t="str">
        <f>IFERROR(__xludf.DUMMYFUNCTION("""COMPUTED_VALUE"""),"Yes")</f>
        <v>Yes</v>
      </c>
      <c r="AT115" s="5" t="str">
        <f>IFERROR(__xludf.DUMMYFUNCTION("""COMPUTED_VALUE"""),"No")</f>
        <v>No</v>
      </c>
      <c r="AU115" s="5"/>
      <c r="AV115" s="5" t="str">
        <f>IFERROR(__xludf.DUMMYFUNCTION("""COMPUTED_VALUE"""),"")</f>
        <v/>
      </c>
      <c r="AW115" s="5" t="str">
        <f>IFERROR(__xludf.DUMMYFUNCTION("""COMPUTED_VALUE"""),"")</f>
        <v/>
      </c>
      <c r="AX115" s="5" t="str">
        <f>IFERROR(__xludf.DUMMYFUNCTION("""COMPUTED_VALUE"""),"")</f>
        <v/>
      </c>
      <c r="AY115" s="5" t="str">
        <f>IFERROR(__xludf.DUMMYFUNCTION("""COMPUTED_VALUE"""),"")</f>
        <v/>
      </c>
      <c r="AZ115" s="5" t="str">
        <f>IFERROR(__xludf.DUMMYFUNCTION("""COMPUTED_VALUE"""),"")</f>
        <v/>
      </c>
      <c r="BA115" s="5" t="str">
        <f>IFERROR(__xludf.DUMMYFUNCTION("""COMPUTED_VALUE"""),"")</f>
        <v/>
      </c>
      <c r="BB115" s="5" t="str">
        <f>IFERROR(__xludf.DUMMYFUNCTION("""COMPUTED_VALUE"""),"")</f>
        <v/>
      </c>
      <c r="BC115" s="5" t="str">
        <f>IFERROR(__xludf.DUMMYFUNCTION("""COMPUTED_VALUE"""),"")</f>
        <v/>
      </c>
      <c r="BD115" s="5" t="str">
        <f>IFERROR(__xludf.DUMMYFUNCTION("""COMPUTED_VALUE"""),"")</f>
        <v/>
      </c>
      <c r="BE115" s="5" t="str">
        <f>IFERROR(__xludf.DUMMYFUNCTION("""COMPUTED_VALUE"""),"")</f>
        <v/>
      </c>
      <c r="BF115" s="5" t="str">
        <f>IFERROR(__xludf.DUMMYFUNCTION("""COMPUTED_VALUE"""),"")</f>
        <v/>
      </c>
      <c r="BG115" s="5" t="str">
        <f>IFERROR(__xludf.DUMMYFUNCTION("""COMPUTED_VALUE"""),"")</f>
        <v/>
      </c>
      <c r="BH115" s="5" t="str">
        <f>IFERROR(__xludf.DUMMYFUNCTION("""COMPUTED_VALUE"""),"")</f>
        <v/>
      </c>
      <c r="BI115" s="5" t="str">
        <f>IFERROR(__xludf.DUMMYFUNCTION("""COMPUTED_VALUE"""),"")</f>
        <v/>
      </c>
      <c r="BJ115" s="5" t="str">
        <f>IFERROR(__xludf.DUMMYFUNCTION("""COMPUTED_VALUE"""),"")</f>
        <v/>
      </c>
      <c r="BK115" s="5" t="str">
        <f>IFERROR(__xludf.DUMMYFUNCTION("""COMPUTED_VALUE"""),"")</f>
        <v/>
      </c>
      <c r="BL115" s="5" t="str">
        <f>IFERROR(__xludf.DUMMYFUNCTION("""COMPUTED_VALUE"""),"")</f>
        <v/>
      </c>
      <c r="BM115" s="5" t="str">
        <f>IFERROR(__xludf.DUMMYFUNCTION("""COMPUTED_VALUE"""),"")</f>
        <v/>
      </c>
    </row>
    <row r="116">
      <c r="A116" s="5" t="str">
        <f>IFERROR(__xludf.DUMMYFUNCTION("""COMPUTED_VALUE"""),"Fazi")</f>
        <v>Fazi</v>
      </c>
      <c r="B116" s="5" t="str">
        <f>IFERROR(__xludf.DUMMYFUNCTION("""COMPUTED_VALUE"""),"Mayan's Battle")</f>
        <v>Mayan's Battle</v>
      </c>
      <c r="C116" s="5" t="str">
        <f>IFERROR(__xludf.DUMMYFUNCTION("""COMPUTED_VALUE"""),"MayansBattle")</f>
        <v>MayansBattle</v>
      </c>
      <c r="D116" s="6">
        <f>IFERROR(__xludf.DUMMYFUNCTION("""COMPUTED_VALUE"""),45357.0)</f>
        <v>45357</v>
      </c>
      <c r="E116" s="5" t="str">
        <f>IFERROR(__xludf.DUMMYFUNCTION("""COMPUTED_VALUE"""),"Slot")</f>
        <v>Slot</v>
      </c>
      <c r="F116" s="5">
        <f>IFERROR(__xludf.DUMMYFUNCTION("""COMPUTED_VALUE"""),24.0)</f>
        <v>24</v>
      </c>
      <c r="G116" s="5" t="str">
        <f>IFERROR(__xludf.DUMMYFUNCTION("""COMPUTED_VALUE"""),"5x3")</f>
        <v>5x3</v>
      </c>
      <c r="H116" s="5" t="str">
        <f>IFERROR(__xludf.DUMMYFUNCTION("""COMPUTED_VALUE"""),"30")</f>
        <v>30</v>
      </c>
      <c r="I116" s="5" t="str">
        <f>IFERROR(__xludf.DUMMYFUNCTION("""COMPUTED_VALUE"""),"30")</f>
        <v>30</v>
      </c>
      <c r="J116" s="5" t="str">
        <f>IFERROR(__xludf.DUMMYFUNCTION("""COMPUTED_VALUE"""),"96.477%")</f>
        <v>96.477%</v>
      </c>
      <c r="K116" s="5" t="str">
        <f>IFERROR(__xludf.DUMMYFUNCTION("""COMPUTED_VALUE"""),"High")</f>
        <v>High</v>
      </c>
      <c r="L116" s="5" t="str">
        <f>IFERROR(__xludf.DUMMYFUNCTION("""COMPUTED_VALUE"""),"21.29%")</f>
        <v>21.29%</v>
      </c>
      <c r="M116" s="5" t="str">
        <f>IFERROR(__xludf.DUMMYFUNCTION("""COMPUTED_VALUE"""),"x2752")</f>
        <v>x2752</v>
      </c>
      <c r="N116" s="5" t="str">
        <f>IFERROR(__xludf.DUMMYFUNCTION("""COMPUTED_VALUE"""),"0.3/30")</f>
        <v>0.3/30</v>
      </c>
      <c r="O116" s="5" t="str">
        <f>IFERROR(__xludf.DUMMYFUNCTION("""COMPUTED_VALUE"""),"Yes")</f>
        <v>Yes</v>
      </c>
      <c r="P116" s="5" t="str">
        <f>IFERROR(__xludf.DUMMYFUNCTION("""COMPUTED_VALUE"""),"Bonus Game with Free Spins, Scatter")</f>
        <v>Bonus Game with Free Spins, Scatter</v>
      </c>
      <c r="Q116" s="7" t="str">
        <f>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R116" s="5" t="str">
        <f>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S1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6" s="5" t="str">
        <f>IFERROR(__xludf.DUMMYFUNCTION("""COMPUTED_VALUE"""),"Yes")</f>
        <v>Yes</v>
      </c>
      <c r="U116" s="5" t="str">
        <f>IFERROR(__xludf.DUMMYFUNCTION("""COMPUTED_VALUE"""),"Yes")</f>
        <v>Yes</v>
      </c>
      <c r="V116" s="5" t="str">
        <f>IFERROR(__xludf.DUMMYFUNCTION("""COMPUTED_VALUE"""),"Yes")</f>
        <v>Yes</v>
      </c>
      <c r="W116" s="5" t="str">
        <f>IFERROR(__xludf.DUMMYFUNCTION("""COMPUTED_VALUE"""),"Yes")</f>
        <v>Yes</v>
      </c>
      <c r="X116" s="5" t="str">
        <f>IFERROR(__xludf.DUMMYFUNCTION("""COMPUTED_VALUE"""),"Yes")</f>
        <v>Yes</v>
      </c>
      <c r="Y116" s="5" t="str">
        <f>IFERROR(__xludf.DUMMYFUNCTION("""COMPUTED_VALUE"""),"Yes")</f>
        <v>Yes</v>
      </c>
      <c r="Z116" s="5" t="str">
        <f>IFERROR(__xludf.DUMMYFUNCTION("""COMPUTED_VALUE"""),"Yes")</f>
        <v>Yes</v>
      </c>
      <c r="AA116" s="5" t="str">
        <f>IFERROR(__xludf.DUMMYFUNCTION("""COMPUTED_VALUE"""),"Yes")</f>
        <v>Yes</v>
      </c>
      <c r="AB116" s="5" t="str">
        <f>IFERROR(__xludf.DUMMYFUNCTION("""COMPUTED_VALUE"""),"Yes")</f>
        <v>Yes</v>
      </c>
      <c r="AC116" s="5" t="str">
        <f>IFERROR(__xludf.DUMMYFUNCTION("""COMPUTED_VALUE"""),"Yes")</f>
        <v>Yes</v>
      </c>
      <c r="AD116" s="5" t="str">
        <f>IFERROR(__xludf.DUMMYFUNCTION("""COMPUTED_VALUE"""),"Yes")</f>
        <v>Yes</v>
      </c>
      <c r="AE116" s="5" t="str">
        <f>IFERROR(__xludf.DUMMYFUNCTION("""COMPUTED_VALUE"""),"Yes")</f>
        <v>Yes</v>
      </c>
      <c r="AF116" s="5" t="str">
        <f>IFERROR(__xludf.DUMMYFUNCTION("""COMPUTED_VALUE"""),"Yes")</f>
        <v>Yes</v>
      </c>
      <c r="AG116" s="5" t="str">
        <f>IFERROR(__xludf.DUMMYFUNCTION("""COMPUTED_VALUE"""),"Yes")</f>
        <v>Yes</v>
      </c>
      <c r="AH116" s="5" t="str">
        <f>IFERROR(__xludf.DUMMYFUNCTION("""COMPUTED_VALUE"""),"Yes")</f>
        <v>Yes</v>
      </c>
      <c r="AI116" s="5" t="str">
        <f>IFERROR(__xludf.DUMMYFUNCTION("""COMPUTED_VALUE"""),"Yes")</f>
        <v>Yes</v>
      </c>
      <c r="AJ116" s="5" t="str">
        <f>IFERROR(__xludf.DUMMYFUNCTION("""COMPUTED_VALUE"""),"Yes")</f>
        <v>Yes</v>
      </c>
      <c r="AK116" s="5" t="str">
        <f>IFERROR(__xludf.DUMMYFUNCTION("""COMPUTED_VALUE"""),"Yes")</f>
        <v>Yes</v>
      </c>
      <c r="AL116" s="5" t="str">
        <f>IFERROR(__xludf.DUMMYFUNCTION("""COMPUTED_VALUE"""),"Yes")</f>
        <v>Yes</v>
      </c>
      <c r="AM116" s="5" t="str">
        <f>IFERROR(__xludf.DUMMYFUNCTION("""COMPUTED_VALUE"""),"Yes")</f>
        <v>Yes</v>
      </c>
      <c r="AN116" s="5" t="str">
        <f>IFERROR(__xludf.DUMMYFUNCTION("""COMPUTED_VALUE"""),"Yes")</f>
        <v>Yes</v>
      </c>
      <c r="AO116" s="5" t="str">
        <f>IFERROR(__xludf.DUMMYFUNCTION("""COMPUTED_VALUE"""),"Yes")</f>
        <v>Yes</v>
      </c>
      <c r="AP116" s="5" t="str">
        <f>IFERROR(__xludf.DUMMYFUNCTION("""COMPUTED_VALUE"""),"Yes")</f>
        <v>Yes</v>
      </c>
      <c r="AQ116" s="5" t="str">
        <f>IFERROR(__xludf.DUMMYFUNCTION("""COMPUTED_VALUE"""),"Yes")</f>
        <v>Yes</v>
      </c>
      <c r="AR116" s="5" t="str">
        <f>IFERROR(__xludf.DUMMYFUNCTION("""COMPUTED_VALUE"""),"Yes")</f>
        <v>Yes</v>
      </c>
      <c r="AS116" s="5" t="str">
        <f>IFERROR(__xludf.DUMMYFUNCTION("""COMPUTED_VALUE"""),"Yes")</f>
        <v>Yes</v>
      </c>
      <c r="AT116" s="5" t="str">
        <f>IFERROR(__xludf.DUMMYFUNCTION("""COMPUTED_VALUE"""),"No")</f>
        <v>No</v>
      </c>
      <c r="AU116" s="5"/>
      <c r="AV116" s="5" t="str">
        <f>IFERROR(__xludf.DUMMYFUNCTION("""COMPUTED_VALUE"""),"Available")</f>
        <v>Available</v>
      </c>
      <c r="AW116" s="5" t="str">
        <f>IFERROR(__xludf.DUMMYFUNCTION("""COMPUTED_VALUE"""),"Available")</f>
        <v>Available</v>
      </c>
      <c r="AX116" s="5" t="str">
        <f>IFERROR(__xludf.DUMMYFUNCTION("""COMPUTED_VALUE"""),"")</f>
        <v/>
      </c>
      <c r="AY116" s="5" t="str">
        <f>IFERROR(__xludf.DUMMYFUNCTION("""COMPUTED_VALUE"""),"Available")</f>
        <v>Available</v>
      </c>
      <c r="AZ116" s="5" t="str">
        <f>IFERROR(__xludf.DUMMYFUNCTION("""COMPUTED_VALUE"""),"Available")</f>
        <v>Available</v>
      </c>
      <c r="BA116" s="5" t="str">
        <f>IFERROR(__xludf.DUMMYFUNCTION("""COMPUTED_VALUE"""),"Available")</f>
        <v>Available</v>
      </c>
      <c r="BB116" s="5" t="str">
        <f>IFERROR(__xludf.DUMMYFUNCTION("""COMPUTED_VALUE"""),"Available")</f>
        <v>Available</v>
      </c>
      <c r="BC116" s="5" t="str">
        <f>IFERROR(__xludf.DUMMYFUNCTION("""COMPUTED_VALUE"""),"")</f>
        <v/>
      </c>
      <c r="BD116" s="5" t="str">
        <f>IFERROR(__xludf.DUMMYFUNCTION("""COMPUTED_VALUE"""),"Available")</f>
        <v>Available</v>
      </c>
      <c r="BE116" s="5" t="str">
        <f>IFERROR(__xludf.DUMMYFUNCTION("""COMPUTED_VALUE"""),"")</f>
        <v/>
      </c>
      <c r="BF116" s="5" t="str">
        <f>IFERROR(__xludf.DUMMYFUNCTION("""COMPUTED_VALUE"""),"")</f>
        <v/>
      </c>
      <c r="BG116" s="5" t="str">
        <f>IFERROR(__xludf.DUMMYFUNCTION("""COMPUTED_VALUE"""),"Available")</f>
        <v>Available</v>
      </c>
      <c r="BH116" s="5" t="str">
        <f>IFERROR(__xludf.DUMMYFUNCTION("""COMPUTED_VALUE"""),"")</f>
        <v/>
      </c>
      <c r="BI116" s="5" t="str">
        <f>IFERROR(__xludf.DUMMYFUNCTION("""COMPUTED_VALUE"""),"")</f>
        <v/>
      </c>
      <c r="BJ116" s="5" t="str">
        <f>IFERROR(__xludf.DUMMYFUNCTION("""COMPUTED_VALUE"""),"")</f>
        <v/>
      </c>
      <c r="BK116" s="5" t="str">
        <f>IFERROR(__xludf.DUMMYFUNCTION("""COMPUTED_VALUE"""),"Available")</f>
        <v>Available</v>
      </c>
      <c r="BL116" s="5" t="str">
        <f>IFERROR(__xludf.DUMMYFUNCTION("""COMPUTED_VALUE"""),"")</f>
        <v/>
      </c>
      <c r="BM116" s="5" t="str">
        <f>IFERROR(__xludf.DUMMYFUNCTION("""COMPUTED_VALUE"""),"")</f>
        <v/>
      </c>
    </row>
    <row r="117">
      <c r="A117" s="5" t="str">
        <f>IFERROR(__xludf.DUMMYFUNCTION("""COMPUTED_VALUE"""),"Fazi")</f>
        <v>Fazi</v>
      </c>
      <c r="B117" s="5" t="str">
        <f>IFERROR(__xludf.DUMMYFUNCTION("""COMPUTED_VALUE"""),"Wild Craps")</f>
        <v>Wild Craps</v>
      </c>
      <c r="C117" s="5" t="str">
        <f>IFERROR(__xludf.DUMMYFUNCTION("""COMPUTED_VALUE"""),"WildCraps")</f>
        <v>WildCraps</v>
      </c>
      <c r="D117" s="6">
        <f>IFERROR(__xludf.DUMMYFUNCTION("""COMPUTED_VALUE"""),45342.0)</f>
        <v>45342</v>
      </c>
      <c r="E117" s="5" t="str">
        <f>IFERROR(__xludf.DUMMYFUNCTION("""COMPUTED_VALUE"""),"Slot")</f>
        <v>Slot</v>
      </c>
      <c r="F117" s="5">
        <f>IFERROR(__xludf.DUMMYFUNCTION("""COMPUTED_VALUE"""),29.0)</f>
        <v>29</v>
      </c>
      <c r="G117" s="5" t="str">
        <f>IFERROR(__xludf.DUMMYFUNCTION("""COMPUTED_VALUE"""),"5x3")</f>
        <v>5x3</v>
      </c>
      <c r="H117" s="5" t="str">
        <f>IFERROR(__xludf.DUMMYFUNCTION("""COMPUTED_VALUE"""),"10")</f>
        <v>10</v>
      </c>
      <c r="I117" s="5" t="str">
        <f>IFERROR(__xludf.DUMMYFUNCTION("""COMPUTED_VALUE"""),"10")</f>
        <v>10</v>
      </c>
      <c r="J117" s="5" t="str">
        <f>IFERROR(__xludf.DUMMYFUNCTION("""COMPUTED_VALUE"""),"96.528%")</f>
        <v>96.528%</v>
      </c>
      <c r="K117" s="5" t="str">
        <f>IFERROR(__xludf.DUMMYFUNCTION("""COMPUTED_VALUE"""),"High")</f>
        <v>High</v>
      </c>
      <c r="L117" s="5" t="str">
        <f>IFERROR(__xludf.DUMMYFUNCTION("""COMPUTED_VALUE"""),"14.88%")</f>
        <v>14.88%</v>
      </c>
      <c r="M117" s="5" t="str">
        <f>IFERROR(__xludf.DUMMYFUNCTION("""COMPUTED_VALUE"""),"x4038")</f>
        <v>x4038</v>
      </c>
      <c r="N117" s="5" t="str">
        <f>IFERROR(__xludf.DUMMYFUNCTION("""COMPUTED_VALUE"""),"0.1/40")</f>
        <v>0.1/40</v>
      </c>
      <c r="O117" s="5" t="str">
        <f>IFERROR(__xludf.DUMMYFUNCTION("""COMPUTED_VALUE"""),"Yes")</f>
        <v>Yes</v>
      </c>
      <c r="P117" s="5" t="str">
        <f>IFERROR(__xludf.DUMMYFUNCTION("""COMPUTED_VALUE"""),"Bonus Game with Free Spins, Sticky Wild")</f>
        <v>Bonus Game with Free Spins, Sticky Wild</v>
      </c>
      <c r="Q117" s="7" t="str">
        <f>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R117" s="5" t="str">
        <f>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S1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IFERROR(__xludf.DUMMYFUNCTION("""COMPUTED_VALUE"""),"Yes")</f>
        <v>Yes</v>
      </c>
      <c r="AA117" s="5" t="str">
        <f>IFERROR(__xludf.DUMMYFUNCTION("""COMPUTED_VALUE"""),"Yes")</f>
        <v>Yes</v>
      </c>
      <c r="AB117" s="5" t="str">
        <f>IFERROR(__xludf.DUMMYFUNCTION("""COMPUTED_VALUE"""),"Yes")</f>
        <v>Yes</v>
      </c>
      <c r="AC117" s="5" t="str">
        <f>IFERROR(__xludf.DUMMYFUNCTION("""COMPUTED_VALUE"""),"Yes")</f>
        <v>Yes</v>
      </c>
      <c r="AD117" s="5" t="str">
        <f>IFERROR(__xludf.DUMMYFUNCTION("""COMPUTED_VALUE"""),"Yes")</f>
        <v>Yes</v>
      </c>
      <c r="AE117" s="5" t="str">
        <f>IFERROR(__xludf.DUMMYFUNCTION("""COMPUTED_VALUE"""),"Yes")</f>
        <v>Yes</v>
      </c>
      <c r="AF117" s="5" t="str">
        <f>IFERROR(__xludf.DUMMYFUNCTION("""COMPUTED_VALUE"""),"Yes")</f>
        <v>Yes</v>
      </c>
      <c r="AG117" s="5" t="str">
        <f>IFERROR(__xludf.DUMMYFUNCTION("""COMPUTED_VALUE"""),"Yes")</f>
        <v>Yes</v>
      </c>
      <c r="AH117" s="5" t="str">
        <f>IFERROR(__xludf.DUMMYFUNCTION("""COMPUTED_VALUE"""),"Yes")</f>
        <v>Yes</v>
      </c>
      <c r="AI117" s="5" t="str">
        <f>IFERROR(__xludf.DUMMYFUNCTION("""COMPUTED_VALUE"""),"Yes")</f>
        <v>Yes</v>
      </c>
      <c r="AJ117" s="5" t="str">
        <f>IFERROR(__xludf.DUMMYFUNCTION("""COMPUTED_VALUE"""),"Yes")</f>
        <v>Yes</v>
      </c>
      <c r="AK117" s="5" t="str">
        <f>IFERROR(__xludf.DUMMYFUNCTION("""COMPUTED_VALUE"""),"Yes")</f>
        <v>Yes</v>
      </c>
      <c r="AL117" s="5" t="str">
        <f>IFERROR(__xludf.DUMMYFUNCTION("""COMPUTED_VALUE"""),"Yes")</f>
        <v>Yes</v>
      </c>
      <c r="AM117" s="5" t="str">
        <f>IFERROR(__xludf.DUMMYFUNCTION("""COMPUTED_VALUE"""),"Yes")</f>
        <v>Yes</v>
      </c>
      <c r="AN117" s="5" t="str">
        <f>IFERROR(__xludf.DUMMYFUNCTION("""COMPUTED_VALUE"""),"Yes")</f>
        <v>Yes</v>
      </c>
      <c r="AO117" s="5" t="str">
        <f>IFERROR(__xludf.DUMMYFUNCTION("""COMPUTED_VALUE"""),"Yes")</f>
        <v>Yes</v>
      </c>
      <c r="AP117" s="5" t="str">
        <f>IFERROR(__xludf.DUMMYFUNCTION("""COMPUTED_VALUE"""),"Yes")</f>
        <v>Yes</v>
      </c>
      <c r="AQ117" s="5" t="str">
        <f>IFERROR(__xludf.DUMMYFUNCTION("""COMPUTED_VALUE"""),"Yes")</f>
        <v>Yes</v>
      </c>
      <c r="AR117" s="5" t="str">
        <f>IFERROR(__xludf.DUMMYFUNCTION("""COMPUTED_VALUE"""),"Yes")</f>
        <v>Yes</v>
      </c>
      <c r="AS117" s="5" t="str">
        <f>IFERROR(__xludf.DUMMYFUNCTION("""COMPUTED_VALUE"""),"Yes")</f>
        <v>Yes</v>
      </c>
      <c r="AT117" s="5" t="str">
        <f>IFERROR(__xludf.DUMMYFUNCTION("""COMPUTED_VALUE"""),"No")</f>
        <v>No</v>
      </c>
      <c r="AU117" s="5"/>
      <c r="AV117" s="5" t="str">
        <f>IFERROR(__xludf.DUMMYFUNCTION("""COMPUTED_VALUE"""),"")</f>
        <v/>
      </c>
      <c r="AW117" s="5" t="str">
        <f>IFERROR(__xludf.DUMMYFUNCTION("""COMPUTED_VALUE"""),"")</f>
        <v/>
      </c>
      <c r="AX117" s="5" t="str">
        <f>IFERROR(__xludf.DUMMYFUNCTION("""COMPUTED_VALUE"""),"")</f>
        <v/>
      </c>
      <c r="AY117" s="5" t="str">
        <f>IFERROR(__xludf.DUMMYFUNCTION("""COMPUTED_VALUE"""),"Available")</f>
        <v>Available</v>
      </c>
      <c r="AZ117" s="5" t="str">
        <f>IFERROR(__xludf.DUMMYFUNCTION("""COMPUTED_VALUE"""),"Available")</f>
        <v>Available</v>
      </c>
      <c r="BA117" s="5" t="str">
        <f>IFERROR(__xludf.DUMMYFUNCTION("""COMPUTED_VALUE"""),"Available")</f>
        <v>Available</v>
      </c>
      <c r="BB117" s="5" t="str">
        <f>IFERROR(__xludf.DUMMYFUNCTION("""COMPUTED_VALUE"""),"Available")</f>
        <v>Available</v>
      </c>
      <c r="BC117" s="5" t="str">
        <f>IFERROR(__xludf.DUMMYFUNCTION("""COMPUTED_VALUE"""),"Available")</f>
        <v>Available</v>
      </c>
      <c r="BD117" s="5" t="str">
        <f>IFERROR(__xludf.DUMMYFUNCTION("""COMPUTED_VALUE"""),"")</f>
        <v/>
      </c>
      <c r="BE117" s="5" t="str">
        <f>IFERROR(__xludf.DUMMYFUNCTION("""COMPUTED_VALUE"""),"")</f>
        <v/>
      </c>
      <c r="BF117" s="5" t="str">
        <f>IFERROR(__xludf.DUMMYFUNCTION("""COMPUTED_VALUE"""),"")</f>
        <v/>
      </c>
      <c r="BG117" s="5" t="str">
        <f>IFERROR(__xludf.DUMMYFUNCTION("""COMPUTED_VALUE"""),"Available")</f>
        <v>Available</v>
      </c>
      <c r="BH117" s="5" t="str">
        <f>IFERROR(__xludf.DUMMYFUNCTION("""COMPUTED_VALUE"""),"")</f>
        <v/>
      </c>
      <c r="BI117" s="5" t="str">
        <f>IFERROR(__xludf.DUMMYFUNCTION("""COMPUTED_VALUE"""),"")</f>
        <v/>
      </c>
      <c r="BJ117" s="5" t="str">
        <f>IFERROR(__xludf.DUMMYFUNCTION("""COMPUTED_VALUE"""),"")</f>
        <v/>
      </c>
      <c r="BK117" s="5" t="str">
        <f>IFERROR(__xludf.DUMMYFUNCTION("""COMPUTED_VALUE"""),"Available")</f>
        <v>Available</v>
      </c>
      <c r="BL117" s="5" t="str">
        <f>IFERROR(__xludf.DUMMYFUNCTION("""COMPUTED_VALUE"""),"")</f>
        <v/>
      </c>
      <c r="BM117" s="5" t="str">
        <f>IFERROR(__xludf.DUMMYFUNCTION("""COMPUTED_VALUE"""),"")</f>
        <v/>
      </c>
    </row>
    <row r="118">
      <c r="A118" s="5" t="str">
        <f>IFERROR(__xludf.DUMMYFUNCTION("""COMPUTED_VALUE"""),"Fazi")</f>
        <v>Fazi</v>
      </c>
      <c r="B118" s="5" t="str">
        <f>IFERROR(__xludf.DUMMYFUNCTION("""COMPUTED_VALUE"""),"Mr First Cryptonium")</f>
        <v>Mr First Cryptonium</v>
      </c>
      <c r="C118" s="5" t="str">
        <f>IFERROR(__xludf.DUMMYFUNCTION("""COMPUTED_VALUE"""),"MrFirstCryptonium")</f>
        <v>MrFirstCryptonium</v>
      </c>
      <c r="D118" s="6">
        <f>IFERROR(__xludf.DUMMYFUNCTION("""COMPUTED_VALUE"""),45258.0)</f>
        <v>45258</v>
      </c>
      <c r="E118" s="5" t="str">
        <f>IFERROR(__xludf.DUMMYFUNCTION("""COMPUTED_VALUE"""),"Slot")</f>
        <v>Slot</v>
      </c>
      <c r="F118" s="5">
        <f>IFERROR(__xludf.DUMMYFUNCTION("""COMPUTED_VALUE"""),24.0)</f>
        <v>24</v>
      </c>
      <c r="G118" s="5" t="str">
        <f>IFERROR(__xludf.DUMMYFUNCTION("""COMPUTED_VALUE"""),"5x4")</f>
        <v>5x4</v>
      </c>
      <c r="H118" s="5" t="str">
        <f>IFERROR(__xludf.DUMMYFUNCTION("""COMPUTED_VALUE"""),"40")</f>
        <v>40</v>
      </c>
      <c r="I118" s="5" t="str">
        <f>IFERROR(__xludf.DUMMYFUNCTION("""COMPUTED_VALUE"""),"40")</f>
        <v>40</v>
      </c>
      <c r="J118" s="5" t="str">
        <f>IFERROR(__xludf.DUMMYFUNCTION("""COMPUTED_VALUE"""),"96.291%")</f>
        <v>96.291%</v>
      </c>
      <c r="K118" s="5" t="str">
        <f>IFERROR(__xludf.DUMMYFUNCTION("""COMPUTED_VALUE"""),"Medium")</f>
        <v>Medium</v>
      </c>
      <c r="L118" s="5" t="str">
        <f>IFERROR(__xludf.DUMMYFUNCTION("""COMPUTED_VALUE"""),"12.67%")</f>
        <v>12.67%</v>
      </c>
      <c r="M118" s="5" t="str">
        <f>IFERROR(__xludf.DUMMYFUNCTION("""COMPUTED_VALUE"""),"x1043")</f>
        <v>x1043</v>
      </c>
      <c r="N118" s="5" t="str">
        <f>IFERROR(__xludf.DUMMYFUNCTION("""COMPUTED_VALUE"""),"0.4/60")</f>
        <v>0.4/60</v>
      </c>
      <c r="O118" s="5" t="str">
        <f>IFERROR(__xludf.DUMMYFUNCTION("""COMPUTED_VALUE"""),"Yes")</f>
        <v>Yes</v>
      </c>
      <c r="P118" s="5" t="str">
        <f>IFERROR(__xludf.DUMMYFUNCTION("""COMPUTED_VALUE"""),"Bonus Game with Free Spins, Converting Wild")</f>
        <v>Bonus Game with Free Spins, Converting Wild</v>
      </c>
      <c r="Q118" s="7" t="str">
        <f>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R118" s="5" t="str">
        <f>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S1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8" s="5" t="str">
        <f>IFERROR(__xludf.DUMMYFUNCTION("""COMPUTED_VALUE"""),"Yes")</f>
        <v>Yes</v>
      </c>
      <c r="U118" s="5" t="str">
        <f>IFERROR(__xludf.DUMMYFUNCTION("""COMPUTED_VALUE"""),"Yes")</f>
        <v>Yes</v>
      </c>
      <c r="V118" s="5" t="str">
        <f>IFERROR(__xludf.DUMMYFUNCTION("""COMPUTED_VALUE"""),"Yes")</f>
        <v>Yes</v>
      </c>
      <c r="W118" s="5" t="str">
        <f>IFERROR(__xludf.DUMMYFUNCTION("""COMPUTED_VALUE"""),"Yes")</f>
        <v>Yes</v>
      </c>
      <c r="X118" s="5" t="str">
        <f>IFERROR(__xludf.DUMMYFUNCTION("""COMPUTED_VALUE"""),"Yes")</f>
        <v>Yes</v>
      </c>
      <c r="Y118" s="5" t="str">
        <f>IFERROR(__xludf.DUMMYFUNCTION("""COMPUTED_VALUE"""),"Yes")</f>
        <v>Yes</v>
      </c>
      <c r="Z118" s="5" t="str">
        <f>IFERROR(__xludf.DUMMYFUNCTION("""COMPUTED_VALUE"""),"Yes")</f>
        <v>Yes</v>
      </c>
      <c r="AA118" s="5" t="str">
        <f>IFERROR(__xludf.DUMMYFUNCTION("""COMPUTED_VALUE"""),"Yes")</f>
        <v>Yes</v>
      </c>
      <c r="AB118" s="5" t="str">
        <f>IFERROR(__xludf.DUMMYFUNCTION("""COMPUTED_VALUE"""),"Yes")</f>
        <v>Yes</v>
      </c>
      <c r="AC118" s="5" t="str">
        <f>IFERROR(__xludf.DUMMYFUNCTION("""COMPUTED_VALUE"""),"Yes")</f>
        <v>Yes</v>
      </c>
      <c r="AD118" s="5" t="str">
        <f>IFERROR(__xludf.DUMMYFUNCTION("""COMPUTED_VALUE"""),"Yes")</f>
        <v>Yes</v>
      </c>
      <c r="AE118" s="5" t="str">
        <f>IFERROR(__xludf.DUMMYFUNCTION("""COMPUTED_VALUE"""),"Yes")</f>
        <v>Yes</v>
      </c>
      <c r="AF118" s="5" t="str">
        <f>IFERROR(__xludf.DUMMYFUNCTION("""COMPUTED_VALUE"""),"Yes")</f>
        <v>Yes</v>
      </c>
      <c r="AG118" s="5" t="str">
        <f>IFERROR(__xludf.DUMMYFUNCTION("""COMPUTED_VALUE"""),"Yes")</f>
        <v>Yes</v>
      </c>
      <c r="AH118" s="5" t="str">
        <f>IFERROR(__xludf.DUMMYFUNCTION("""COMPUTED_VALUE"""),"Yes")</f>
        <v>Yes</v>
      </c>
      <c r="AI118" s="5" t="str">
        <f>IFERROR(__xludf.DUMMYFUNCTION("""COMPUTED_VALUE"""),"Yes")</f>
        <v>Yes</v>
      </c>
      <c r="AJ118" s="5" t="str">
        <f>IFERROR(__xludf.DUMMYFUNCTION("""COMPUTED_VALUE"""),"Yes")</f>
        <v>Yes</v>
      </c>
      <c r="AK118" s="5" t="str">
        <f>IFERROR(__xludf.DUMMYFUNCTION("""COMPUTED_VALUE"""),"Yes")</f>
        <v>Yes</v>
      </c>
      <c r="AL118" s="5" t="str">
        <f>IFERROR(__xludf.DUMMYFUNCTION("""COMPUTED_VALUE"""),"Yes")</f>
        <v>Yes</v>
      </c>
      <c r="AM118" s="5" t="str">
        <f>IFERROR(__xludf.DUMMYFUNCTION("""COMPUTED_VALUE"""),"Yes")</f>
        <v>Yes</v>
      </c>
      <c r="AN118" s="5" t="str">
        <f>IFERROR(__xludf.DUMMYFUNCTION("""COMPUTED_VALUE"""),"Yes")</f>
        <v>Yes</v>
      </c>
      <c r="AO118" s="5" t="str">
        <f>IFERROR(__xludf.DUMMYFUNCTION("""COMPUTED_VALUE"""),"Yes")</f>
        <v>Yes</v>
      </c>
      <c r="AP118" s="5" t="str">
        <f>IFERROR(__xludf.DUMMYFUNCTION("""COMPUTED_VALUE"""),"Yes")</f>
        <v>Yes</v>
      </c>
      <c r="AQ118" s="5" t="str">
        <f>IFERROR(__xludf.DUMMYFUNCTION("""COMPUTED_VALUE"""),"Yes")</f>
        <v>Yes</v>
      </c>
      <c r="AR118" s="5" t="str">
        <f>IFERROR(__xludf.DUMMYFUNCTION("""COMPUTED_VALUE"""),"Yes")</f>
        <v>Yes</v>
      </c>
      <c r="AS118" s="5" t="str">
        <f>IFERROR(__xludf.DUMMYFUNCTION("""COMPUTED_VALUE"""),"Yes")</f>
        <v>Yes</v>
      </c>
      <c r="AT118" s="5" t="str">
        <f>IFERROR(__xludf.DUMMYFUNCTION("""COMPUTED_VALUE"""),"No")</f>
        <v>No</v>
      </c>
      <c r="AU118" s="5"/>
      <c r="AV118" s="5" t="str">
        <f>IFERROR(__xludf.DUMMYFUNCTION("""COMPUTED_VALUE"""),"")</f>
        <v/>
      </c>
      <c r="AW118" s="5" t="str">
        <f>IFERROR(__xludf.DUMMYFUNCTION("""COMPUTED_VALUE"""),"")</f>
        <v/>
      </c>
      <c r="AX118" s="5" t="str">
        <f>IFERROR(__xludf.DUMMYFUNCTION("""COMPUTED_VALUE"""),"")</f>
        <v/>
      </c>
      <c r="AY118" s="5" t="str">
        <f>IFERROR(__xludf.DUMMYFUNCTION("""COMPUTED_VALUE"""),"")</f>
        <v/>
      </c>
      <c r="AZ118" s="5" t="str">
        <f>IFERROR(__xludf.DUMMYFUNCTION("""COMPUTED_VALUE"""),"")</f>
        <v/>
      </c>
      <c r="BA118" s="5" t="str">
        <f>IFERROR(__xludf.DUMMYFUNCTION("""COMPUTED_VALUE"""),"")</f>
        <v/>
      </c>
      <c r="BB118" s="5" t="str">
        <f>IFERROR(__xludf.DUMMYFUNCTION("""COMPUTED_VALUE"""),"")</f>
        <v/>
      </c>
      <c r="BC118" s="5" t="str">
        <f>IFERROR(__xludf.DUMMYFUNCTION("""COMPUTED_VALUE"""),"")</f>
        <v/>
      </c>
      <c r="BD118" s="5" t="str">
        <f>IFERROR(__xludf.DUMMYFUNCTION("""COMPUTED_VALUE"""),"")</f>
        <v/>
      </c>
      <c r="BE118" s="5" t="str">
        <f>IFERROR(__xludf.DUMMYFUNCTION("""COMPUTED_VALUE"""),"")</f>
        <v/>
      </c>
      <c r="BF118" s="5" t="str">
        <f>IFERROR(__xludf.DUMMYFUNCTION("""COMPUTED_VALUE"""),"")</f>
        <v/>
      </c>
      <c r="BG118" s="5" t="str">
        <f>IFERROR(__xludf.DUMMYFUNCTION("""COMPUTED_VALUE"""),"")</f>
        <v/>
      </c>
      <c r="BH118" s="5" t="str">
        <f>IFERROR(__xludf.DUMMYFUNCTION("""COMPUTED_VALUE"""),"")</f>
        <v/>
      </c>
      <c r="BI118" s="5" t="str">
        <f>IFERROR(__xludf.DUMMYFUNCTION("""COMPUTED_VALUE"""),"")</f>
        <v/>
      </c>
      <c r="BJ118" s="5" t="str">
        <f>IFERROR(__xludf.DUMMYFUNCTION("""COMPUTED_VALUE"""),"")</f>
        <v/>
      </c>
      <c r="BK118" s="5" t="str">
        <f>IFERROR(__xludf.DUMMYFUNCTION("""COMPUTED_VALUE"""),"")</f>
        <v/>
      </c>
      <c r="BL118" s="5" t="str">
        <f>IFERROR(__xludf.DUMMYFUNCTION("""COMPUTED_VALUE"""),"")</f>
        <v/>
      </c>
      <c r="BM118" s="5" t="str">
        <f>IFERROR(__xludf.DUMMYFUNCTION("""COMPUTED_VALUE"""),"")</f>
        <v/>
      </c>
    </row>
    <row r="119">
      <c r="A119" s="5" t="str">
        <f>IFERROR(__xludf.DUMMYFUNCTION("""COMPUTED_VALUE"""),"Fazi")</f>
        <v>Fazi</v>
      </c>
      <c r="B119" s="5" t="str">
        <f>IFERROR(__xludf.DUMMYFUNCTION("""COMPUTED_VALUE"""),"Santa's Presents")</f>
        <v>Santa's Presents</v>
      </c>
      <c r="C119" s="5" t="str">
        <f>IFERROR(__xludf.DUMMYFUNCTION("""COMPUTED_VALUE"""),"SantasPresents")</f>
        <v>SantasPresents</v>
      </c>
      <c r="D119" s="6">
        <f>IFERROR(__xludf.DUMMYFUNCTION("""COMPUTED_VALUE"""),45252.0)</f>
        <v>45252</v>
      </c>
      <c r="E119" s="5" t="str">
        <f>IFERROR(__xludf.DUMMYFUNCTION("""COMPUTED_VALUE"""),"Slot")</f>
        <v>Slot</v>
      </c>
      <c r="F119" s="5">
        <f>IFERROR(__xludf.DUMMYFUNCTION("""COMPUTED_VALUE"""),17.0)</f>
        <v>17</v>
      </c>
      <c r="G119" s="5" t="str">
        <f>IFERROR(__xludf.DUMMYFUNCTION("""COMPUTED_VALUE"""),"5x3")</f>
        <v>5x3</v>
      </c>
      <c r="H119" s="5" t="str">
        <f>IFERROR(__xludf.DUMMYFUNCTION("""COMPUTED_VALUE"""),"10")</f>
        <v>10</v>
      </c>
      <c r="I119" s="5" t="str">
        <f>IFERROR(__xludf.DUMMYFUNCTION("""COMPUTED_VALUE"""),"10")</f>
        <v>10</v>
      </c>
      <c r="J119" s="5" t="str">
        <f>IFERROR(__xludf.DUMMYFUNCTION("""COMPUTED_VALUE"""),"96.5%")</f>
        <v>96.5%</v>
      </c>
      <c r="K119" s="5" t="str">
        <f>IFERROR(__xludf.DUMMYFUNCTION("""COMPUTED_VALUE"""),"High")</f>
        <v>High</v>
      </c>
      <c r="L119" s="5" t="str">
        <f>IFERROR(__xludf.DUMMYFUNCTION("""COMPUTED_VALUE"""),"17.014%")</f>
        <v>17.014%</v>
      </c>
      <c r="M119" s="5" t="str">
        <f>IFERROR(__xludf.DUMMYFUNCTION("""COMPUTED_VALUE"""),"x4614")</f>
        <v>x4614</v>
      </c>
      <c r="N119" s="5" t="str">
        <f>IFERROR(__xludf.DUMMYFUNCTION("""COMPUTED_VALUE"""),"0.1/40")</f>
        <v>0.1/40</v>
      </c>
      <c r="O119" s="5" t="str">
        <f>IFERROR(__xludf.DUMMYFUNCTION("""COMPUTED_VALUE"""),"Yes")</f>
        <v>Yes</v>
      </c>
      <c r="P119" s="5" t="str">
        <f>IFERROR(__xludf.DUMMYFUNCTION("""COMPUTED_VALUE"""),"Bonus Game with Free Spins, Expanding Wild, Win Multiplier")</f>
        <v>Bonus Game with Free Spins, Expanding Wild, Win Multiplier</v>
      </c>
      <c r="Q119" s="7" t="str">
        <f>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R119" s="5" t="str">
        <f>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S1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9" s="5" t="str">
        <f>IFERROR(__xludf.DUMMYFUNCTION("""COMPUTED_VALUE"""),"Yes")</f>
        <v>Yes</v>
      </c>
      <c r="U119" s="5" t="str">
        <f>IFERROR(__xludf.DUMMYFUNCTION("""COMPUTED_VALUE"""),"Yes")</f>
        <v>Yes</v>
      </c>
      <c r="V119" s="5" t="str">
        <f>IFERROR(__xludf.DUMMYFUNCTION("""COMPUTED_VALUE"""),"Yes")</f>
        <v>Yes</v>
      </c>
      <c r="W119" s="5" t="str">
        <f>IFERROR(__xludf.DUMMYFUNCTION("""COMPUTED_VALUE"""),"Yes")</f>
        <v>Yes</v>
      </c>
      <c r="X119" s="5" t="str">
        <f>IFERROR(__xludf.DUMMYFUNCTION("""COMPUTED_VALUE"""),"Yes")</f>
        <v>Yes</v>
      </c>
      <c r="Y119" s="5" t="str">
        <f>IFERROR(__xludf.DUMMYFUNCTION("""COMPUTED_VALUE"""),"Yes")</f>
        <v>Yes</v>
      </c>
      <c r="Z119" s="5" t="str">
        <f>IFERROR(__xludf.DUMMYFUNCTION("""COMPUTED_VALUE"""),"Yes")</f>
        <v>Yes</v>
      </c>
      <c r="AA119" s="5" t="str">
        <f>IFERROR(__xludf.DUMMYFUNCTION("""COMPUTED_VALUE"""),"Yes")</f>
        <v>Yes</v>
      </c>
      <c r="AB119" s="5" t="str">
        <f>IFERROR(__xludf.DUMMYFUNCTION("""COMPUTED_VALUE"""),"Yes")</f>
        <v>Yes</v>
      </c>
      <c r="AC119" s="5" t="str">
        <f>IFERROR(__xludf.DUMMYFUNCTION("""COMPUTED_VALUE"""),"Yes")</f>
        <v>Yes</v>
      </c>
      <c r="AD119" s="5" t="str">
        <f>IFERROR(__xludf.DUMMYFUNCTION("""COMPUTED_VALUE"""),"Yes")</f>
        <v>Yes</v>
      </c>
      <c r="AE119" s="5" t="str">
        <f>IFERROR(__xludf.DUMMYFUNCTION("""COMPUTED_VALUE"""),"Yes")</f>
        <v>Yes</v>
      </c>
      <c r="AF119" s="5" t="str">
        <f>IFERROR(__xludf.DUMMYFUNCTION("""COMPUTED_VALUE"""),"Yes")</f>
        <v>Yes</v>
      </c>
      <c r="AG119" s="5" t="str">
        <f>IFERROR(__xludf.DUMMYFUNCTION("""COMPUTED_VALUE"""),"Yes")</f>
        <v>Yes</v>
      </c>
      <c r="AH119" s="5" t="str">
        <f>IFERROR(__xludf.DUMMYFUNCTION("""COMPUTED_VALUE"""),"Yes")</f>
        <v>Yes</v>
      </c>
      <c r="AI119" s="5" t="str">
        <f>IFERROR(__xludf.DUMMYFUNCTION("""COMPUTED_VALUE"""),"Yes")</f>
        <v>Yes</v>
      </c>
      <c r="AJ119" s="5" t="str">
        <f>IFERROR(__xludf.DUMMYFUNCTION("""COMPUTED_VALUE"""),"Yes")</f>
        <v>Yes</v>
      </c>
      <c r="AK119" s="5" t="str">
        <f>IFERROR(__xludf.DUMMYFUNCTION("""COMPUTED_VALUE"""),"Yes")</f>
        <v>Yes</v>
      </c>
      <c r="AL119" s="5" t="str">
        <f>IFERROR(__xludf.DUMMYFUNCTION("""COMPUTED_VALUE"""),"Yes")</f>
        <v>Yes</v>
      </c>
      <c r="AM119" s="5" t="str">
        <f>IFERROR(__xludf.DUMMYFUNCTION("""COMPUTED_VALUE"""),"Yes")</f>
        <v>Yes</v>
      </c>
      <c r="AN119" s="5" t="str">
        <f>IFERROR(__xludf.DUMMYFUNCTION("""COMPUTED_VALUE"""),"Yes")</f>
        <v>Yes</v>
      </c>
      <c r="AO119" s="5" t="str">
        <f>IFERROR(__xludf.DUMMYFUNCTION("""COMPUTED_VALUE"""),"Yes")</f>
        <v>Yes</v>
      </c>
      <c r="AP119" s="5" t="str">
        <f>IFERROR(__xludf.DUMMYFUNCTION("""COMPUTED_VALUE"""),"Yes")</f>
        <v>Yes</v>
      </c>
      <c r="AQ119" s="5" t="str">
        <f>IFERROR(__xludf.DUMMYFUNCTION("""COMPUTED_VALUE"""),"Yes")</f>
        <v>Yes</v>
      </c>
      <c r="AR119" s="5" t="str">
        <f>IFERROR(__xludf.DUMMYFUNCTION("""COMPUTED_VALUE"""),"Yes")</f>
        <v>Yes</v>
      </c>
      <c r="AS119" s="5" t="str">
        <f>IFERROR(__xludf.DUMMYFUNCTION("""COMPUTED_VALUE"""),"Yes")</f>
        <v>Yes</v>
      </c>
      <c r="AT119" s="5" t="str">
        <f>IFERROR(__xludf.DUMMYFUNCTION("""COMPUTED_VALUE"""),"No")</f>
        <v>No</v>
      </c>
      <c r="AU119" s="5"/>
      <c r="AV119" s="5" t="str">
        <f>IFERROR(__xludf.DUMMYFUNCTION("""COMPUTED_VALUE"""),"")</f>
        <v/>
      </c>
      <c r="AW119" s="5" t="str">
        <f>IFERROR(__xludf.DUMMYFUNCTION("""COMPUTED_VALUE"""),"")</f>
        <v/>
      </c>
      <c r="AX119" s="5" t="str">
        <f>IFERROR(__xludf.DUMMYFUNCTION("""COMPUTED_VALUE"""),"")</f>
        <v/>
      </c>
      <c r="AY119" s="5" t="str">
        <f>IFERROR(__xludf.DUMMYFUNCTION("""COMPUTED_VALUE"""),"")</f>
        <v/>
      </c>
      <c r="AZ119" s="5" t="str">
        <f>IFERROR(__xludf.DUMMYFUNCTION("""COMPUTED_VALUE"""),"Available")</f>
        <v>Available</v>
      </c>
      <c r="BA119" s="5" t="str">
        <f>IFERROR(__xludf.DUMMYFUNCTION("""COMPUTED_VALUE"""),"Available")</f>
        <v>Available</v>
      </c>
      <c r="BB119" s="5" t="str">
        <f>IFERROR(__xludf.DUMMYFUNCTION("""COMPUTED_VALUE"""),"Available")</f>
        <v>Available</v>
      </c>
      <c r="BC119" s="5" t="str">
        <f>IFERROR(__xludf.DUMMYFUNCTION("""COMPUTED_VALUE"""),"")</f>
        <v/>
      </c>
      <c r="BD119" s="5" t="str">
        <f>IFERROR(__xludf.DUMMYFUNCTION("""COMPUTED_VALUE"""),"")</f>
        <v/>
      </c>
      <c r="BE119" s="5" t="str">
        <f>IFERROR(__xludf.DUMMYFUNCTION("""COMPUTED_VALUE"""),"")</f>
        <v/>
      </c>
      <c r="BF119" s="5" t="str">
        <f>IFERROR(__xludf.DUMMYFUNCTION("""COMPUTED_VALUE"""),"")</f>
        <v/>
      </c>
      <c r="BG119" s="5" t="str">
        <f>IFERROR(__xludf.DUMMYFUNCTION("""COMPUTED_VALUE"""),"")</f>
        <v/>
      </c>
      <c r="BH119" s="5" t="str">
        <f>IFERROR(__xludf.DUMMYFUNCTION("""COMPUTED_VALUE"""),"")</f>
        <v/>
      </c>
      <c r="BI119" s="5" t="str">
        <f>IFERROR(__xludf.DUMMYFUNCTION("""COMPUTED_VALUE"""),"")</f>
        <v/>
      </c>
      <c r="BJ119" s="5" t="str">
        <f>IFERROR(__xludf.DUMMYFUNCTION("""COMPUTED_VALUE"""),"")</f>
        <v/>
      </c>
      <c r="BK119" s="5" t="str">
        <f>IFERROR(__xludf.DUMMYFUNCTION("""COMPUTED_VALUE"""),"Available")</f>
        <v>Available</v>
      </c>
      <c r="BL119" s="5" t="str">
        <f>IFERROR(__xludf.DUMMYFUNCTION("""COMPUTED_VALUE"""),"")</f>
        <v/>
      </c>
      <c r="BM119" s="5" t="str">
        <f>IFERROR(__xludf.DUMMYFUNCTION("""COMPUTED_VALUE"""),"")</f>
        <v/>
      </c>
    </row>
    <row r="120">
      <c r="A120" s="5" t="str">
        <f>IFERROR(__xludf.DUMMYFUNCTION("""COMPUTED_VALUE"""),"Fazi")</f>
        <v>Fazi</v>
      </c>
      <c r="B120" s="5" t="str">
        <f>IFERROR(__xludf.DUMMYFUNCTION("""COMPUTED_VALUE"""),"Chilli Respin")</f>
        <v>Chilli Respin</v>
      </c>
      <c r="C120" s="5" t="str">
        <f>IFERROR(__xludf.DUMMYFUNCTION("""COMPUTED_VALUE"""),"ChilliRespin")</f>
        <v>ChilliRespin</v>
      </c>
      <c r="D120" s="6">
        <f>IFERROR(__xludf.DUMMYFUNCTION("""COMPUTED_VALUE"""),45337.0)</f>
        <v>45337</v>
      </c>
      <c r="E120" s="5" t="str">
        <f>IFERROR(__xludf.DUMMYFUNCTION("""COMPUTED_VALUE"""),"Slot")</f>
        <v>Slot</v>
      </c>
      <c r="F120" s="5">
        <f>IFERROR(__xludf.DUMMYFUNCTION("""COMPUTED_VALUE"""),13.8)</f>
        <v>13.8</v>
      </c>
      <c r="G120" s="5" t="str">
        <f>IFERROR(__xludf.DUMMYFUNCTION("""COMPUTED_VALUE"""),"3x3")</f>
        <v>3x3</v>
      </c>
      <c r="H120" s="5" t="str">
        <f>IFERROR(__xludf.DUMMYFUNCTION("""COMPUTED_VALUE"""),"5")</f>
        <v>5</v>
      </c>
      <c r="I120" s="5" t="str">
        <f>IFERROR(__xludf.DUMMYFUNCTION("""COMPUTED_VALUE"""),"5")</f>
        <v>5</v>
      </c>
      <c r="J120" s="5" t="str">
        <f>IFERROR(__xludf.DUMMYFUNCTION("""COMPUTED_VALUE"""),"96.5%")</f>
        <v>96.5%</v>
      </c>
      <c r="K120" s="5" t="str">
        <f>IFERROR(__xludf.DUMMYFUNCTION("""COMPUTED_VALUE"""),"Medium")</f>
        <v>Medium</v>
      </c>
      <c r="L120" s="5" t="str">
        <f>IFERROR(__xludf.DUMMYFUNCTION("""COMPUTED_VALUE"""),"7.032%")</f>
        <v>7.032%</v>
      </c>
      <c r="M120" s="5" t="str">
        <f>IFERROR(__xludf.DUMMYFUNCTION("""COMPUTED_VALUE"""),"x1590")</f>
        <v>x1590</v>
      </c>
      <c r="N120" s="5" t="str">
        <f>IFERROR(__xludf.DUMMYFUNCTION("""COMPUTED_VALUE"""),"0.5/50")</f>
        <v>0.5/50</v>
      </c>
      <c r="O120" s="5" t="str">
        <f>IFERROR(__xludf.DUMMYFUNCTION("""COMPUTED_VALUE"""),"Yes")</f>
        <v>Yes</v>
      </c>
      <c r="P120" s="5" t="str">
        <f>IFERROR(__xludf.DUMMYFUNCTION("""COMPUTED_VALUE"""),"Win Multiplier, Sticky Wild, Respin")</f>
        <v>Win Multiplier, Sticky Wild, Respin</v>
      </c>
      <c r="Q120" s="7" t="str">
        <f>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R120" s="5" t="str">
        <f>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S1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0" s="5" t="str">
        <f>IFERROR(__xludf.DUMMYFUNCTION("""COMPUTED_VALUE"""),"Yes")</f>
        <v>Yes</v>
      </c>
      <c r="U120" s="5" t="str">
        <f>IFERROR(__xludf.DUMMYFUNCTION("""COMPUTED_VALUE"""),"Yes")</f>
        <v>Yes</v>
      </c>
      <c r="V120" s="5" t="str">
        <f>IFERROR(__xludf.DUMMYFUNCTION("""COMPUTED_VALUE"""),"Yes")</f>
        <v>Yes</v>
      </c>
      <c r="W120" s="5" t="str">
        <f>IFERROR(__xludf.DUMMYFUNCTION("""COMPUTED_VALUE"""),"Yes")</f>
        <v>Yes</v>
      </c>
      <c r="X120" s="5" t="str">
        <f>IFERROR(__xludf.DUMMYFUNCTION("""COMPUTED_VALUE"""),"Yes")</f>
        <v>Yes</v>
      </c>
      <c r="Y120" s="5" t="str">
        <f>IFERROR(__xludf.DUMMYFUNCTION("""COMPUTED_VALUE"""),"Yes")</f>
        <v>Yes</v>
      </c>
      <c r="Z120" s="5" t="str">
        <f>IFERROR(__xludf.DUMMYFUNCTION("""COMPUTED_VALUE"""),"Yes")</f>
        <v>Yes</v>
      </c>
      <c r="AA120" s="5" t="str">
        <f>IFERROR(__xludf.DUMMYFUNCTION("""COMPUTED_VALUE"""),"Yes")</f>
        <v>Yes</v>
      </c>
      <c r="AB120" s="5" t="str">
        <f>IFERROR(__xludf.DUMMYFUNCTION("""COMPUTED_VALUE"""),"Yes")</f>
        <v>Yes</v>
      </c>
      <c r="AC120" s="5" t="str">
        <f>IFERROR(__xludf.DUMMYFUNCTION("""COMPUTED_VALUE"""),"Yes")</f>
        <v>Yes</v>
      </c>
      <c r="AD120" s="5" t="str">
        <f>IFERROR(__xludf.DUMMYFUNCTION("""COMPUTED_VALUE"""),"Yes")</f>
        <v>Yes</v>
      </c>
      <c r="AE120" s="5" t="str">
        <f>IFERROR(__xludf.DUMMYFUNCTION("""COMPUTED_VALUE"""),"Yes")</f>
        <v>Yes</v>
      </c>
      <c r="AF120" s="5" t="str">
        <f>IFERROR(__xludf.DUMMYFUNCTION("""COMPUTED_VALUE"""),"Yes")</f>
        <v>Yes</v>
      </c>
      <c r="AG120" s="5" t="str">
        <f>IFERROR(__xludf.DUMMYFUNCTION("""COMPUTED_VALUE"""),"Yes")</f>
        <v>Yes</v>
      </c>
      <c r="AH120" s="5" t="str">
        <f>IFERROR(__xludf.DUMMYFUNCTION("""COMPUTED_VALUE"""),"Yes")</f>
        <v>Yes</v>
      </c>
      <c r="AI120" s="5" t="str">
        <f>IFERROR(__xludf.DUMMYFUNCTION("""COMPUTED_VALUE"""),"Yes")</f>
        <v>Yes</v>
      </c>
      <c r="AJ120" s="5" t="str">
        <f>IFERROR(__xludf.DUMMYFUNCTION("""COMPUTED_VALUE"""),"Yes")</f>
        <v>Yes</v>
      </c>
      <c r="AK120" s="5" t="str">
        <f>IFERROR(__xludf.DUMMYFUNCTION("""COMPUTED_VALUE"""),"Yes")</f>
        <v>Yes</v>
      </c>
      <c r="AL120" s="5" t="str">
        <f>IFERROR(__xludf.DUMMYFUNCTION("""COMPUTED_VALUE"""),"Yes")</f>
        <v>Yes</v>
      </c>
      <c r="AM120" s="5" t="str">
        <f>IFERROR(__xludf.DUMMYFUNCTION("""COMPUTED_VALUE"""),"Yes")</f>
        <v>Yes</v>
      </c>
      <c r="AN120" s="5" t="str">
        <f>IFERROR(__xludf.DUMMYFUNCTION("""COMPUTED_VALUE"""),"Yes")</f>
        <v>Yes</v>
      </c>
      <c r="AO120" s="5" t="str">
        <f>IFERROR(__xludf.DUMMYFUNCTION("""COMPUTED_VALUE"""),"Yes")</f>
        <v>Yes</v>
      </c>
      <c r="AP120" s="5" t="str">
        <f>IFERROR(__xludf.DUMMYFUNCTION("""COMPUTED_VALUE"""),"Yes")</f>
        <v>Yes</v>
      </c>
      <c r="AQ120" s="5" t="str">
        <f>IFERROR(__xludf.DUMMYFUNCTION("""COMPUTED_VALUE"""),"Yes")</f>
        <v>Yes</v>
      </c>
      <c r="AR120" s="5" t="str">
        <f>IFERROR(__xludf.DUMMYFUNCTION("""COMPUTED_VALUE"""),"Yes")</f>
        <v>Yes</v>
      </c>
      <c r="AS120" s="5" t="str">
        <f>IFERROR(__xludf.DUMMYFUNCTION("""COMPUTED_VALUE"""),"Yes")</f>
        <v>Yes</v>
      </c>
      <c r="AT120" s="5" t="str">
        <f>IFERROR(__xludf.DUMMYFUNCTION("""COMPUTED_VALUE"""),"No")</f>
        <v>No</v>
      </c>
      <c r="AU120" s="5"/>
      <c r="AV120" s="5" t="str">
        <f>IFERROR(__xludf.DUMMYFUNCTION("""COMPUTED_VALUE"""),"")</f>
        <v/>
      </c>
      <c r="AW120" s="5" t="str">
        <f>IFERROR(__xludf.DUMMYFUNCTION("""COMPUTED_VALUE"""),"")</f>
        <v/>
      </c>
      <c r="AX120" s="5" t="str">
        <f>IFERROR(__xludf.DUMMYFUNCTION("""COMPUTED_VALUE"""),"")</f>
        <v/>
      </c>
      <c r="AY120" s="5" t="str">
        <f>IFERROR(__xludf.DUMMYFUNCTION("""COMPUTED_VALUE"""),"")</f>
        <v/>
      </c>
      <c r="AZ120" s="5" t="str">
        <f>IFERROR(__xludf.DUMMYFUNCTION("""COMPUTED_VALUE"""),"Available")</f>
        <v>Available</v>
      </c>
      <c r="BA120" s="5" t="str">
        <f>IFERROR(__xludf.DUMMYFUNCTION("""COMPUTED_VALUE"""),"Available")</f>
        <v>Available</v>
      </c>
      <c r="BB120" s="5" t="str">
        <f>IFERROR(__xludf.DUMMYFUNCTION("""COMPUTED_VALUE"""),"Available")</f>
        <v>Available</v>
      </c>
      <c r="BC120" s="5" t="str">
        <f>IFERROR(__xludf.DUMMYFUNCTION("""COMPUTED_VALUE"""),"")</f>
        <v/>
      </c>
      <c r="BD120" s="5" t="str">
        <f>IFERROR(__xludf.DUMMYFUNCTION("""COMPUTED_VALUE"""),"")</f>
        <v/>
      </c>
      <c r="BE120" s="5" t="str">
        <f>IFERROR(__xludf.DUMMYFUNCTION("""COMPUTED_VALUE"""),"")</f>
        <v/>
      </c>
      <c r="BF120" s="5" t="str">
        <f>IFERROR(__xludf.DUMMYFUNCTION("""COMPUTED_VALUE"""),"")</f>
        <v/>
      </c>
      <c r="BG120" s="5" t="str">
        <f>IFERROR(__xludf.DUMMYFUNCTION("""COMPUTED_VALUE"""),"")</f>
        <v/>
      </c>
      <c r="BH120" s="5" t="str">
        <f>IFERROR(__xludf.DUMMYFUNCTION("""COMPUTED_VALUE"""),"")</f>
        <v/>
      </c>
      <c r="BI120" s="5" t="str">
        <f>IFERROR(__xludf.DUMMYFUNCTION("""COMPUTED_VALUE"""),"")</f>
        <v/>
      </c>
      <c r="BJ120" s="5" t="str">
        <f>IFERROR(__xludf.DUMMYFUNCTION("""COMPUTED_VALUE"""),"")</f>
        <v/>
      </c>
      <c r="BK120" s="5" t="str">
        <f>IFERROR(__xludf.DUMMYFUNCTION("""COMPUTED_VALUE"""),"Available")</f>
        <v>Available</v>
      </c>
      <c r="BL120" s="5" t="str">
        <f>IFERROR(__xludf.DUMMYFUNCTION("""COMPUTED_VALUE"""),"")</f>
        <v/>
      </c>
      <c r="BM120" s="5" t="str">
        <f>IFERROR(__xludf.DUMMYFUNCTION("""COMPUTED_VALUE"""),"")</f>
        <v/>
      </c>
    </row>
    <row r="121">
      <c r="A121" s="5" t="str">
        <f>IFERROR(__xludf.DUMMYFUNCTION("""COMPUTED_VALUE"""),"Fazi")</f>
        <v>Fazi</v>
      </c>
      <c r="B121" s="5" t="str">
        <f>IFERROR(__xludf.DUMMYFUNCTION("""COMPUTED_VALUE"""),"Bonus Epic Crown")</f>
        <v>Bonus Epic Crown</v>
      </c>
      <c r="C121" s="5" t="str">
        <f>IFERROR(__xludf.DUMMYFUNCTION("""COMPUTED_VALUE"""),"BonusEpicCrown")</f>
        <v>BonusEpicCrown</v>
      </c>
      <c r="D121" s="6">
        <f>IFERROR(__xludf.DUMMYFUNCTION("""COMPUTED_VALUE"""),45379.0)</f>
        <v>45379</v>
      </c>
      <c r="E121" s="5" t="str">
        <f>IFERROR(__xludf.DUMMYFUNCTION("""COMPUTED_VALUE"""),"Slot")</f>
        <v>Slot</v>
      </c>
      <c r="F121" s="5">
        <f>IFERROR(__xludf.DUMMYFUNCTION("""COMPUTED_VALUE"""),18.0)</f>
        <v>18</v>
      </c>
      <c r="G121" s="5" t="str">
        <f>IFERROR(__xludf.DUMMYFUNCTION("""COMPUTED_VALUE"""),"5x3")</f>
        <v>5x3</v>
      </c>
      <c r="H121" s="5" t="str">
        <f>IFERROR(__xludf.DUMMYFUNCTION("""COMPUTED_VALUE"""),"10")</f>
        <v>10</v>
      </c>
      <c r="I121" s="5" t="str">
        <f>IFERROR(__xludf.DUMMYFUNCTION("""COMPUTED_VALUE"""),"10")</f>
        <v>10</v>
      </c>
      <c r="J121" s="5" t="str">
        <f>IFERROR(__xludf.DUMMYFUNCTION("""COMPUTED_VALUE"""),"96.533%")</f>
        <v>96.533%</v>
      </c>
      <c r="K121" s="5" t="str">
        <f>IFERROR(__xludf.DUMMYFUNCTION("""COMPUTED_VALUE"""),"High")</f>
        <v>High</v>
      </c>
      <c r="L121" s="5" t="str">
        <f>IFERROR(__xludf.DUMMYFUNCTION("""COMPUTED_VALUE"""),"10.61%")</f>
        <v>10.61%</v>
      </c>
      <c r="M121" s="5" t="str">
        <f>IFERROR(__xludf.DUMMYFUNCTION("""COMPUTED_VALUE"""),"x20108")</f>
        <v>x20108</v>
      </c>
      <c r="N121" s="5" t="str">
        <f>IFERROR(__xludf.DUMMYFUNCTION("""COMPUTED_VALUE"""),"0.1/40")</f>
        <v>0.1/40</v>
      </c>
      <c r="O121" s="5" t="str">
        <f>IFERROR(__xludf.DUMMYFUNCTION("""COMPUTED_VALUE"""),"Yes")</f>
        <v>Yes</v>
      </c>
      <c r="P121" s="5" t="str">
        <f>IFERROR(__xludf.DUMMYFUNCTION("""COMPUTED_VALUE"""),"Extralines, Expanding Wild, Bonus Game with Free Spins, Buy Bonus")</f>
        <v>Extralines, Expanding Wild, Bonus Game with Free Spins, Buy Bonus</v>
      </c>
      <c r="Q121" s="7" t="str">
        <f>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R121" s="5" t="str">
        <f>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S1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1" s="5" t="str">
        <f>IFERROR(__xludf.DUMMYFUNCTION("""COMPUTED_VALUE"""),"Yes")</f>
        <v>Yes</v>
      </c>
      <c r="U121" s="5" t="str">
        <f>IFERROR(__xludf.DUMMYFUNCTION("""COMPUTED_VALUE"""),"Yes")</f>
        <v>Yes</v>
      </c>
      <c r="V121" s="5" t="str">
        <f>IFERROR(__xludf.DUMMYFUNCTION("""COMPUTED_VALUE"""),"Yes")</f>
        <v>Yes</v>
      </c>
      <c r="W121" s="5" t="str">
        <f>IFERROR(__xludf.DUMMYFUNCTION("""COMPUTED_VALUE"""),"Yes")</f>
        <v>Yes</v>
      </c>
      <c r="X121" s="5" t="str">
        <f>IFERROR(__xludf.DUMMYFUNCTION("""COMPUTED_VALUE"""),"Yes")</f>
        <v>Yes</v>
      </c>
      <c r="Y121" s="5" t="str">
        <f>IFERROR(__xludf.DUMMYFUNCTION("""COMPUTED_VALUE"""),"Yes")</f>
        <v>Yes</v>
      </c>
      <c r="Z121" s="5" t="str">
        <f>IFERROR(__xludf.DUMMYFUNCTION("""COMPUTED_VALUE"""),"Yes")</f>
        <v>Yes</v>
      </c>
      <c r="AA121" s="5" t="str">
        <f>IFERROR(__xludf.DUMMYFUNCTION("""COMPUTED_VALUE"""),"Yes")</f>
        <v>Yes</v>
      </c>
      <c r="AB121" s="5" t="str">
        <f>IFERROR(__xludf.DUMMYFUNCTION("""COMPUTED_VALUE"""),"Yes")</f>
        <v>Yes</v>
      </c>
      <c r="AC121" s="5" t="str">
        <f>IFERROR(__xludf.DUMMYFUNCTION("""COMPUTED_VALUE"""),"Yes")</f>
        <v>Yes</v>
      </c>
      <c r="AD121" s="5" t="str">
        <f>IFERROR(__xludf.DUMMYFUNCTION("""COMPUTED_VALUE"""),"Yes")</f>
        <v>Yes</v>
      </c>
      <c r="AE121" s="5" t="str">
        <f>IFERROR(__xludf.DUMMYFUNCTION("""COMPUTED_VALUE"""),"Yes")</f>
        <v>Yes</v>
      </c>
      <c r="AF121" s="5" t="str">
        <f>IFERROR(__xludf.DUMMYFUNCTION("""COMPUTED_VALUE"""),"Yes")</f>
        <v>Yes</v>
      </c>
      <c r="AG121" s="5" t="str">
        <f>IFERROR(__xludf.DUMMYFUNCTION("""COMPUTED_VALUE"""),"Yes")</f>
        <v>Yes</v>
      </c>
      <c r="AH121" s="5" t="str">
        <f>IFERROR(__xludf.DUMMYFUNCTION("""COMPUTED_VALUE"""),"Yes")</f>
        <v>Yes</v>
      </c>
      <c r="AI121" s="5" t="str">
        <f>IFERROR(__xludf.DUMMYFUNCTION("""COMPUTED_VALUE"""),"Yes")</f>
        <v>Yes</v>
      </c>
      <c r="AJ121" s="5" t="str">
        <f>IFERROR(__xludf.DUMMYFUNCTION("""COMPUTED_VALUE"""),"Yes")</f>
        <v>Yes</v>
      </c>
      <c r="AK121" s="5" t="str">
        <f>IFERROR(__xludf.DUMMYFUNCTION("""COMPUTED_VALUE"""),"Yes")</f>
        <v>Yes</v>
      </c>
      <c r="AL121" s="5" t="str">
        <f>IFERROR(__xludf.DUMMYFUNCTION("""COMPUTED_VALUE"""),"Yes")</f>
        <v>Yes</v>
      </c>
      <c r="AM121" s="5" t="str">
        <f>IFERROR(__xludf.DUMMYFUNCTION("""COMPUTED_VALUE"""),"Yes")</f>
        <v>Yes</v>
      </c>
      <c r="AN121" s="5" t="str">
        <f>IFERROR(__xludf.DUMMYFUNCTION("""COMPUTED_VALUE"""),"Yes")</f>
        <v>Yes</v>
      </c>
      <c r="AO121" s="5" t="str">
        <f>IFERROR(__xludf.DUMMYFUNCTION("""COMPUTED_VALUE"""),"Yes")</f>
        <v>Yes</v>
      </c>
      <c r="AP121" s="5" t="str">
        <f>IFERROR(__xludf.DUMMYFUNCTION("""COMPUTED_VALUE"""),"Yes")</f>
        <v>Yes</v>
      </c>
      <c r="AQ121" s="5" t="str">
        <f>IFERROR(__xludf.DUMMYFUNCTION("""COMPUTED_VALUE"""),"Yes")</f>
        <v>Yes</v>
      </c>
      <c r="AR121" s="5" t="str">
        <f>IFERROR(__xludf.DUMMYFUNCTION("""COMPUTED_VALUE"""),"Yes")</f>
        <v>Yes</v>
      </c>
      <c r="AS121" s="5" t="str">
        <f>IFERROR(__xludf.DUMMYFUNCTION("""COMPUTED_VALUE"""),"Yes")</f>
        <v>Yes</v>
      </c>
      <c r="AT121" s="5" t="str">
        <f>IFERROR(__xludf.DUMMYFUNCTION("""COMPUTED_VALUE"""),"No")</f>
        <v>No</v>
      </c>
      <c r="AU121" s="5"/>
      <c r="AV121" s="5" t="str">
        <f>IFERROR(__xludf.DUMMYFUNCTION("""COMPUTED_VALUE"""),"Available")</f>
        <v>Available</v>
      </c>
      <c r="AW121" s="5" t="str">
        <f>IFERROR(__xludf.DUMMYFUNCTION("""COMPUTED_VALUE"""),"")</f>
        <v/>
      </c>
      <c r="AX121" s="5" t="str">
        <f>IFERROR(__xludf.DUMMYFUNCTION("""COMPUTED_VALUE"""),"")</f>
        <v/>
      </c>
      <c r="AY121" s="5" t="str">
        <f>IFERROR(__xludf.DUMMYFUNCTION("""COMPUTED_VALUE"""),"Available")</f>
        <v>Available</v>
      </c>
      <c r="AZ121" s="5" t="str">
        <f>IFERROR(__xludf.DUMMYFUNCTION("""COMPUTED_VALUE"""),"Available")</f>
        <v>Available</v>
      </c>
      <c r="BA121" s="5" t="str">
        <f>IFERROR(__xludf.DUMMYFUNCTION("""COMPUTED_VALUE"""),"Available")</f>
        <v>Available</v>
      </c>
      <c r="BB121" s="5" t="str">
        <f>IFERROR(__xludf.DUMMYFUNCTION("""COMPUTED_VALUE"""),"Available")</f>
        <v>Available</v>
      </c>
      <c r="BC121" s="5" t="str">
        <f>IFERROR(__xludf.DUMMYFUNCTION("""COMPUTED_VALUE"""),"")</f>
        <v/>
      </c>
      <c r="BD121" s="5" t="str">
        <f>IFERROR(__xludf.DUMMYFUNCTION("""COMPUTED_VALUE"""),"")</f>
        <v/>
      </c>
      <c r="BE121" s="5" t="str">
        <f>IFERROR(__xludf.DUMMYFUNCTION("""COMPUTED_VALUE"""),"")</f>
        <v/>
      </c>
      <c r="BF121" s="5" t="str">
        <f>IFERROR(__xludf.DUMMYFUNCTION("""COMPUTED_VALUE"""),"")</f>
        <v/>
      </c>
      <c r="BG121" s="5" t="str">
        <f>IFERROR(__xludf.DUMMYFUNCTION("""COMPUTED_VALUE"""),"")</f>
        <v/>
      </c>
      <c r="BH121" s="5" t="str">
        <f>IFERROR(__xludf.DUMMYFUNCTION("""COMPUTED_VALUE"""),"")</f>
        <v/>
      </c>
      <c r="BI121" s="5" t="str">
        <f>IFERROR(__xludf.DUMMYFUNCTION("""COMPUTED_VALUE"""),"")</f>
        <v/>
      </c>
      <c r="BJ121" s="5" t="str">
        <f>IFERROR(__xludf.DUMMYFUNCTION("""COMPUTED_VALUE"""),"")</f>
        <v/>
      </c>
      <c r="BK121" s="5" t="str">
        <f>IFERROR(__xludf.DUMMYFUNCTION("""COMPUTED_VALUE"""),"Available")</f>
        <v>Available</v>
      </c>
      <c r="BL121" s="5" t="str">
        <f>IFERROR(__xludf.DUMMYFUNCTION("""COMPUTED_VALUE"""),"")</f>
        <v/>
      </c>
      <c r="BM121" s="5" t="str">
        <f>IFERROR(__xludf.DUMMYFUNCTION("""COMPUTED_VALUE"""),"")</f>
        <v/>
      </c>
    </row>
    <row r="122">
      <c r="A122" s="5" t="str">
        <f>IFERROR(__xludf.DUMMYFUNCTION("""COMPUTED_VALUE"""),"Fazi")</f>
        <v>Fazi</v>
      </c>
      <c r="B122" s="5" t="str">
        <f>IFERROR(__xludf.DUMMYFUNCTION("""COMPUTED_VALUE"""),"Epic Clover 100")</f>
        <v>Epic Clover 100</v>
      </c>
      <c r="C122" s="5" t="str">
        <f>IFERROR(__xludf.DUMMYFUNCTION("""COMPUTED_VALUE"""),"EpicClover100")</f>
        <v>EpicClover100</v>
      </c>
      <c r="D122" s="6">
        <f>IFERROR(__xludf.DUMMYFUNCTION("""COMPUTED_VALUE"""),45316.0)</f>
        <v>45316</v>
      </c>
      <c r="E122" s="5" t="str">
        <f>IFERROR(__xludf.DUMMYFUNCTION("""COMPUTED_VALUE"""),"Slot")</f>
        <v>Slot</v>
      </c>
      <c r="F122" s="5">
        <f>IFERROR(__xludf.DUMMYFUNCTION("""COMPUTED_VALUE"""),26.0)</f>
        <v>26</v>
      </c>
      <c r="G122" s="5" t="str">
        <f>IFERROR(__xludf.DUMMYFUNCTION("""COMPUTED_VALUE"""),"5x4")</f>
        <v>5x4</v>
      </c>
      <c r="H122" s="5" t="str">
        <f>IFERROR(__xludf.DUMMYFUNCTION("""COMPUTED_VALUE"""),"100")</f>
        <v>100</v>
      </c>
      <c r="I122" s="5" t="str">
        <f>IFERROR(__xludf.DUMMYFUNCTION("""COMPUTED_VALUE"""),"100")</f>
        <v>100</v>
      </c>
      <c r="J122" s="5" t="str">
        <f>IFERROR(__xludf.DUMMYFUNCTION("""COMPUTED_VALUE"""),"96.502%")</f>
        <v>96.502%</v>
      </c>
      <c r="K122" s="5" t="str">
        <f>IFERROR(__xludf.DUMMYFUNCTION("""COMPUTED_VALUE"""),"Medium")</f>
        <v>Medium</v>
      </c>
      <c r="L122" s="5" t="str">
        <f>IFERROR(__xludf.DUMMYFUNCTION("""COMPUTED_VALUE"""),"13.309%")</f>
        <v>13.309%</v>
      </c>
      <c r="M122" s="5" t="str">
        <f>IFERROR(__xludf.DUMMYFUNCTION("""COMPUTED_VALUE"""),"x3000")</f>
        <v>x3000</v>
      </c>
      <c r="N122" s="5" t="str">
        <f>IFERROR(__xludf.DUMMYFUNCTION("""COMPUTED_VALUE"""),"1/100")</f>
        <v>1/100</v>
      </c>
      <c r="O122" s="5" t="str">
        <f>IFERROR(__xludf.DUMMYFUNCTION("""COMPUTED_VALUE"""),"Yes")</f>
        <v>Yes</v>
      </c>
      <c r="P122" s="5" t="str">
        <f>IFERROR(__xludf.DUMMYFUNCTION("""COMPUTED_VALUE"""),"Scatter, Expanding Wild")</f>
        <v>Scatter, Expanding Wild</v>
      </c>
      <c r="Q122" s="7" t="str">
        <f>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R122" s="5" t="str">
        <f>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S1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IFERROR(__xludf.DUMMYFUNCTION("""COMPUTED_VALUE"""),"Yes")</f>
        <v>Yes</v>
      </c>
      <c r="AA122" s="5" t="str">
        <f>IFERROR(__xludf.DUMMYFUNCTION("""COMPUTED_VALUE"""),"Yes")</f>
        <v>Yes</v>
      </c>
      <c r="AB122" s="5" t="str">
        <f>IFERROR(__xludf.DUMMYFUNCTION("""COMPUTED_VALUE"""),"Yes")</f>
        <v>Yes</v>
      </c>
      <c r="AC122" s="5" t="str">
        <f>IFERROR(__xludf.DUMMYFUNCTION("""COMPUTED_VALUE"""),"Yes")</f>
        <v>Yes</v>
      </c>
      <c r="AD122" s="5" t="str">
        <f>IFERROR(__xludf.DUMMYFUNCTION("""COMPUTED_VALUE"""),"Yes")</f>
        <v>Yes</v>
      </c>
      <c r="AE122" s="5" t="str">
        <f>IFERROR(__xludf.DUMMYFUNCTION("""COMPUTED_VALUE"""),"Yes")</f>
        <v>Yes</v>
      </c>
      <c r="AF122" s="5" t="str">
        <f>IFERROR(__xludf.DUMMYFUNCTION("""COMPUTED_VALUE"""),"Yes")</f>
        <v>Yes</v>
      </c>
      <c r="AG122" s="5" t="str">
        <f>IFERROR(__xludf.DUMMYFUNCTION("""COMPUTED_VALUE"""),"Yes")</f>
        <v>Yes</v>
      </c>
      <c r="AH122" s="5" t="str">
        <f>IFERROR(__xludf.DUMMYFUNCTION("""COMPUTED_VALUE"""),"Yes")</f>
        <v>Yes</v>
      </c>
      <c r="AI122" s="5" t="str">
        <f>IFERROR(__xludf.DUMMYFUNCTION("""COMPUTED_VALUE"""),"Yes")</f>
        <v>Yes</v>
      </c>
      <c r="AJ122" s="5" t="str">
        <f>IFERROR(__xludf.DUMMYFUNCTION("""COMPUTED_VALUE"""),"Yes")</f>
        <v>Yes</v>
      </c>
      <c r="AK122" s="5" t="str">
        <f>IFERROR(__xludf.DUMMYFUNCTION("""COMPUTED_VALUE"""),"Yes")</f>
        <v>Yes</v>
      </c>
      <c r="AL122" s="5" t="str">
        <f>IFERROR(__xludf.DUMMYFUNCTION("""COMPUTED_VALUE"""),"Yes")</f>
        <v>Yes</v>
      </c>
      <c r="AM122" s="5" t="str">
        <f>IFERROR(__xludf.DUMMYFUNCTION("""COMPUTED_VALUE"""),"Yes")</f>
        <v>Yes</v>
      </c>
      <c r="AN122" s="5" t="str">
        <f>IFERROR(__xludf.DUMMYFUNCTION("""COMPUTED_VALUE"""),"Yes")</f>
        <v>Yes</v>
      </c>
      <c r="AO122" s="5" t="str">
        <f>IFERROR(__xludf.DUMMYFUNCTION("""COMPUTED_VALUE"""),"Yes")</f>
        <v>Yes</v>
      </c>
      <c r="AP122" s="5" t="str">
        <f>IFERROR(__xludf.DUMMYFUNCTION("""COMPUTED_VALUE"""),"Yes")</f>
        <v>Yes</v>
      </c>
      <c r="AQ122" s="5" t="str">
        <f>IFERROR(__xludf.DUMMYFUNCTION("""COMPUTED_VALUE"""),"Yes")</f>
        <v>Yes</v>
      </c>
      <c r="AR122" s="5" t="str">
        <f>IFERROR(__xludf.DUMMYFUNCTION("""COMPUTED_VALUE"""),"Yes")</f>
        <v>Yes</v>
      </c>
      <c r="AS122" s="5" t="str">
        <f>IFERROR(__xludf.DUMMYFUNCTION("""COMPUTED_VALUE"""),"Yes")</f>
        <v>Yes</v>
      </c>
      <c r="AT122" s="5" t="str">
        <f>IFERROR(__xludf.DUMMYFUNCTION("""COMPUTED_VALUE"""),"No")</f>
        <v>No</v>
      </c>
      <c r="AU122" s="5"/>
      <c r="AV122" s="5" t="str">
        <f>IFERROR(__xludf.DUMMYFUNCTION("""COMPUTED_VALUE"""),"Available")</f>
        <v>Available</v>
      </c>
      <c r="AW122" s="5" t="str">
        <f>IFERROR(__xludf.DUMMYFUNCTION("""COMPUTED_VALUE"""),"")</f>
        <v/>
      </c>
      <c r="AX122" s="5" t="str">
        <f>IFERROR(__xludf.DUMMYFUNCTION("""COMPUTED_VALUE"""),"")</f>
        <v/>
      </c>
      <c r="AY122" s="5" t="str">
        <f>IFERROR(__xludf.DUMMYFUNCTION("""COMPUTED_VALUE"""),"")</f>
        <v/>
      </c>
      <c r="AZ122" s="5" t="str">
        <f>IFERROR(__xludf.DUMMYFUNCTION("""COMPUTED_VALUE"""),"Available")</f>
        <v>Available</v>
      </c>
      <c r="BA122" s="5" t="str">
        <f>IFERROR(__xludf.DUMMYFUNCTION("""COMPUTED_VALUE"""),"Available")</f>
        <v>Available</v>
      </c>
      <c r="BB122" s="5" t="str">
        <f>IFERROR(__xludf.DUMMYFUNCTION("""COMPUTED_VALUE"""),"Available")</f>
        <v>Available</v>
      </c>
      <c r="BC122" s="5" t="str">
        <f>IFERROR(__xludf.DUMMYFUNCTION("""COMPUTED_VALUE"""),"")</f>
        <v/>
      </c>
      <c r="BD122" s="5" t="str">
        <f>IFERROR(__xludf.DUMMYFUNCTION("""COMPUTED_VALUE"""),"Available")</f>
        <v>Available</v>
      </c>
      <c r="BE122" s="5" t="str">
        <f>IFERROR(__xludf.DUMMYFUNCTION("""COMPUTED_VALUE"""),"")</f>
        <v/>
      </c>
      <c r="BF122" s="5" t="str">
        <f>IFERROR(__xludf.DUMMYFUNCTION("""COMPUTED_VALUE"""),"Available")</f>
        <v>Available</v>
      </c>
      <c r="BG122" s="5" t="str">
        <f>IFERROR(__xludf.DUMMYFUNCTION("""COMPUTED_VALUE"""),"Available")</f>
        <v>Available</v>
      </c>
      <c r="BH122" s="5" t="str">
        <f>IFERROR(__xludf.DUMMYFUNCTION("""COMPUTED_VALUE"""),"")</f>
        <v/>
      </c>
      <c r="BI122" s="5" t="str">
        <f>IFERROR(__xludf.DUMMYFUNCTION("""COMPUTED_VALUE"""),"")</f>
        <v/>
      </c>
      <c r="BJ122" s="5" t="str">
        <f>IFERROR(__xludf.DUMMYFUNCTION("""COMPUTED_VALUE"""),"")</f>
        <v/>
      </c>
      <c r="BK122" s="5" t="str">
        <f>IFERROR(__xludf.DUMMYFUNCTION("""COMPUTED_VALUE"""),"Available")</f>
        <v>Available</v>
      </c>
      <c r="BL122" s="5" t="str">
        <f>IFERROR(__xludf.DUMMYFUNCTION("""COMPUTED_VALUE"""),"")</f>
        <v/>
      </c>
      <c r="BM122" s="5" t="str">
        <f>IFERROR(__xludf.DUMMYFUNCTION("""COMPUTED_VALUE"""),"Available")</f>
        <v>Available</v>
      </c>
    </row>
    <row r="123">
      <c r="A123" s="5" t="str">
        <f>IFERROR(__xludf.DUMMYFUNCTION("""COMPUTED_VALUE"""),"Fazi")</f>
        <v>Fazi</v>
      </c>
      <c r="B123" s="5" t="str">
        <f>IFERROR(__xludf.DUMMYFUNCTION("""COMPUTED_VALUE"""),"Amazing Joker")</f>
        <v>Amazing Joker</v>
      </c>
      <c r="C123" s="5" t="str">
        <f>IFERROR(__xludf.DUMMYFUNCTION("""COMPUTED_VALUE"""),"AmazingJoker")</f>
        <v>AmazingJoker</v>
      </c>
      <c r="D123" s="6">
        <f>IFERROR(__xludf.DUMMYFUNCTION("""COMPUTED_VALUE"""),45391.0)</f>
        <v>45391</v>
      </c>
      <c r="E123" s="5" t="str">
        <f>IFERROR(__xludf.DUMMYFUNCTION("""COMPUTED_VALUE"""),"Slot")</f>
        <v>Slot</v>
      </c>
      <c r="F123" s="5">
        <f>IFERROR(__xludf.DUMMYFUNCTION("""COMPUTED_VALUE"""),23.5)</f>
        <v>23.5</v>
      </c>
      <c r="G123" s="5" t="str">
        <f>IFERROR(__xludf.DUMMYFUNCTION("""COMPUTED_VALUE"""),"5x4")</f>
        <v>5x4</v>
      </c>
      <c r="H123" s="5" t="str">
        <f>IFERROR(__xludf.DUMMYFUNCTION("""COMPUTED_VALUE"""),"40")</f>
        <v>40</v>
      </c>
      <c r="I123" s="5" t="str">
        <f>IFERROR(__xludf.DUMMYFUNCTION("""COMPUTED_VALUE"""),"40")</f>
        <v>40</v>
      </c>
      <c r="J123" s="5" t="str">
        <f>IFERROR(__xludf.DUMMYFUNCTION("""COMPUTED_VALUE"""),"96.634%")</f>
        <v>96.634%</v>
      </c>
      <c r="K123" s="5" t="str">
        <f>IFERROR(__xludf.DUMMYFUNCTION("""COMPUTED_VALUE"""),"Medium")</f>
        <v>Medium</v>
      </c>
      <c r="L123" s="5" t="str">
        <f>IFERROR(__xludf.DUMMYFUNCTION("""COMPUTED_VALUE"""),"12.693%")</f>
        <v>12.693%</v>
      </c>
      <c r="M123" s="5" t="str">
        <f>IFERROR(__xludf.DUMMYFUNCTION("""COMPUTED_VALUE"""),"x2038")</f>
        <v>x2038</v>
      </c>
      <c r="N123" s="5" t="str">
        <f>IFERROR(__xludf.DUMMYFUNCTION("""COMPUTED_VALUE"""),"0.4/60")</f>
        <v>0.4/60</v>
      </c>
      <c r="O123" s="5" t="str">
        <f>IFERROR(__xludf.DUMMYFUNCTION("""COMPUTED_VALUE"""),"Yes")</f>
        <v>Yes</v>
      </c>
      <c r="P123" s="5" t="str">
        <f>IFERROR(__xludf.DUMMYFUNCTION("""COMPUTED_VALUE"""),"Wild Symbol, Bonus Game with Free Spins")</f>
        <v>Wild Symbol, Bonus Game with Free Spins</v>
      </c>
      <c r="Q123" s="7" t="str">
        <f>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R123" s="5" t="str">
        <f>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S1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3" s="5" t="str">
        <f>IFERROR(__xludf.DUMMYFUNCTION("""COMPUTED_VALUE"""),"Yes")</f>
        <v>Yes</v>
      </c>
      <c r="U123" s="5" t="str">
        <f>IFERROR(__xludf.DUMMYFUNCTION("""COMPUTED_VALUE"""),"Yes")</f>
        <v>Yes</v>
      </c>
      <c r="V123" s="5" t="str">
        <f>IFERROR(__xludf.DUMMYFUNCTION("""COMPUTED_VALUE"""),"Yes")</f>
        <v>Yes</v>
      </c>
      <c r="W123" s="5" t="str">
        <f>IFERROR(__xludf.DUMMYFUNCTION("""COMPUTED_VALUE"""),"Yes")</f>
        <v>Yes</v>
      </c>
      <c r="X123" s="5" t="str">
        <f>IFERROR(__xludf.DUMMYFUNCTION("""COMPUTED_VALUE"""),"Yes")</f>
        <v>Yes</v>
      </c>
      <c r="Y123" s="5" t="str">
        <f>IFERROR(__xludf.DUMMYFUNCTION("""COMPUTED_VALUE"""),"Yes")</f>
        <v>Yes</v>
      </c>
      <c r="Z123" s="5" t="str">
        <f>IFERROR(__xludf.DUMMYFUNCTION("""COMPUTED_VALUE"""),"Yes")</f>
        <v>Yes</v>
      </c>
      <c r="AA123" s="5" t="str">
        <f>IFERROR(__xludf.DUMMYFUNCTION("""COMPUTED_VALUE"""),"Yes")</f>
        <v>Yes</v>
      </c>
      <c r="AB123" s="5" t="str">
        <f>IFERROR(__xludf.DUMMYFUNCTION("""COMPUTED_VALUE"""),"Yes")</f>
        <v>Yes</v>
      </c>
      <c r="AC123" s="5" t="str">
        <f>IFERROR(__xludf.DUMMYFUNCTION("""COMPUTED_VALUE"""),"Yes")</f>
        <v>Yes</v>
      </c>
      <c r="AD123" s="5" t="str">
        <f>IFERROR(__xludf.DUMMYFUNCTION("""COMPUTED_VALUE"""),"Yes")</f>
        <v>Yes</v>
      </c>
      <c r="AE123" s="5" t="str">
        <f>IFERROR(__xludf.DUMMYFUNCTION("""COMPUTED_VALUE"""),"Yes")</f>
        <v>Yes</v>
      </c>
      <c r="AF123" s="5" t="str">
        <f>IFERROR(__xludf.DUMMYFUNCTION("""COMPUTED_VALUE"""),"Yes")</f>
        <v>Yes</v>
      </c>
      <c r="AG123" s="5" t="str">
        <f>IFERROR(__xludf.DUMMYFUNCTION("""COMPUTED_VALUE"""),"Yes")</f>
        <v>Yes</v>
      </c>
      <c r="AH123" s="5" t="str">
        <f>IFERROR(__xludf.DUMMYFUNCTION("""COMPUTED_VALUE"""),"Yes")</f>
        <v>Yes</v>
      </c>
      <c r="AI123" s="5" t="str">
        <f>IFERROR(__xludf.DUMMYFUNCTION("""COMPUTED_VALUE"""),"Yes")</f>
        <v>Yes</v>
      </c>
      <c r="AJ123" s="5" t="str">
        <f>IFERROR(__xludf.DUMMYFUNCTION("""COMPUTED_VALUE"""),"Yes")</f>
        <v>Yes</v>
      </c>
      <c r="AK123" s="5" t="str">
        <f>IFERROR(__xludf.DUMMYFUNCTION("""COMPUTED_VALUE"""),"Yes")</f>
        <v>Yes</v>
      </c>
      <c r="AL123" s="5" t="str">
        <f>IFERROR(__xludf.DUMMYFUNCTION("""COMPUTED_VALUE"""),"Yes")</f>
        <v>Yes</v>
      </c>
      <c r="AM123" s="5" t="str">
        <f>IFERROR(__xludf.DUMMYFUNCTION("""COMPUTED_VALUE"""),"Yes")</f>
        <v>Yes</v>
      </c>
      <c r="AN123" s="5" t="str">
        <f>IFERROR(__xludf.DUMMYFUNCTION("""COMPUTED_VALUE"""),"Yes")</f>
        <v>Yes</v>
      </c>
      <c r="AO123" s="5" t="str">
        <f>IFERROR(__xludf.DUMMYFUNCTION("""COMPUTED_VALUE"""),"Yes")</f>
        <v>Yes</v>
      </c>
      <c r="AP123" s="5" t="str">
        <f>IFERROR(__xludf.DUMMYFUNCTION("""COMPUTED_VALUE"""),"Yes")</f>
        <v>Yes</v>
      </c>
      <c r="AQ123" s="5" t="str">
        <f>IFERROR(__xludf.DUMMYFUNCTION("""COMPUTED_VALUE"""),"Yes")</f>
        <v>Yes</v>
      </c>
      <c r="AR123" s="5" t="str">
        <f>IFERROR(__xludf.DUMMYFUNCTION("""COMPUTED_VALUE"""),"Yes")</f>
        <v>Yes</v>
      </c>
      <c r="AS123" s="5" t="str">
        <f>IFERROR(__xludf.DUMMYFUNCTION("""COMPUTED_VALUE"""),"Yes")</f>
        <v>Yes</v>
      </c>
      <c r="AT123" s="5" t="str">
        <f>IFERROR(__xludf.DUMMYFUNCTION("""COMPUTED_VALUE"""),"No")</f>
        <v>No</v>
      </c>
      <c r="AU123" s="5"/>
      <c r="AV123" s="5" t="str">
        <f>IFERROR(__xludf.DUMMYFUNCTION("""COMPUTED_VALUE"""),"Available")</f>
        <v>Available</v>
      </c>
      <c r="AW123" s="5" t="str">
        <f>IFERROR(__xludf.DUMMYFUNCTION("""COMPUTED_VALUE"""),"Available")</f>
        <v>Available</v>
      </c>
      <c r="AX123" s="5" t="str">
        <f>IFERROR(__xludf.DUMMYFUNCTION("""COMPUTED_VALUE"""),"Available")</f>
        <v>Available</v>
      </c>
      <c r="AY123" s="5" t="str">
        <f>IFERROR(__xludf.DUMMYFUNCTION("""COMPUTED_VALUE"""),"Available")</f>
        <v>Available</v>
      </c>
      <c r="AZ123" s="5" t="str">
        <f>IFERROR(__xludf.DUMMYFUNCTION("""COMPUTED_VALUE"""),"Available")</f>
        <v>Available</v>
      </c>
      <c r="BA123" s="5" t="str">
        <f>IFERROR(__xludf.DUMMYFUNCTION("""COMPUTED_VALUE"""),"Available")</f>
        <v>Available</v>
      </c>
      <c r="BB123" s="5" t="str">
        <f>IFERROR(__xludf.DUMMYFUNCTION("""COMPUTED_VALUE"""),"Available")</f>
        <v>Available</v>
      </c>
      <c r="BC123" s="5" t="str">
        <f>IFERROR(__xludf.DUMMYFUNCTION("""COMPUTED_VALUE"""),"")</f>
        <v/>
      </c>
      <c r="BD123" s="5" t="str">
        <f>IFERROR(__xludf.DUMMYFUNCTION("""COMPUTED_VALUE"""),"Available")</f>
        <v>Available</v>
      </c>
      <c r="BE123" s="5" t="str">
        <f>IFERROR(__xludf.DUMMYFUNCTION("""COMPUTED_VALUE"""),"")</f>
        <v/>
      </c>
      <c r="BF123" s="5" t="str">
        <f>IFERROR(__xludf.DUMMYFUNCTION("""COMPUTED_VALUE"""),"")</f>
        <v/>
      </c>
      <c r="BG123" s="5" t="str">
        <f>IFERROR(__xludf.DUMMYFUNCTION("""COMPUTED_VALUE"""),"Available")</f>
        <v>Available</v>
      </c>
      <c r="BH123" s="5" t="str">
        <f>IFERROR(__xludf.DUMMYFUNCTION("""COMPUTED_VALUE"""),"")</f>
        <v/>
      </c>
      <c r="BI123" s="5" t="str">
        <f>IFERROR(__xludf.DUMMYFUNCTION("""COMPUTED_VALUE"""),"")</f>
        <v/>
      </c>
      <c r="BJ123" s="5" t="str">
        <f>IFERROR(__xludf.DUMMYFUNCTION("""COMPUTED_VALUE"""),"")</f>
        <v/>
      </c>
      <c r="BK123" s="5" t="str">
        <f>IFERROR(__xludf.DUMMYFUNCTION("""COMPUTED_VALUE"""),"Available")</f>
        <v>Available</v>
      </c>
      <c r="BL123" s="5" t="str">
        <f>IFERROR(__xludf.DUMMYFUNCTION("""COMPUTED_VALUE"""),"")</f>
        <v/>
      </c>
      <c r="BM123" s="5" t="str">
        <f>IFERROR(__xludf.DUMMYFUNCTION("""COMPUTED_VALUE"""),"Available")</f>
        <v>Available</v>
      </c>
    </row>
    <row r="124">
      <c r="A124" s="5" t="str">
        <f>IFERROR(__xludf.DUMMYFUNCTION("""COMPUTED_VALUE"""),"Fazi")</f>
        <v>Fazi</v>
      </c>
      <c r="B124" s="5" t="str">
        <f>IFERROR(__xludf.DUMMYFUNCTION("""COMPUTED_VALUE"""),"Triple Fields of Luck")</f>
        <v>Triple Fields of Luck</v>
      </c>
      <c r="C124" s="5" t="str">
        <f>IFERROR(__xludf.DUMMYFUNCTION("""COMPUTED_VALUE"""),"TripleFieldsOfLuck")</f>
        <v>TripleFieldsOfLuck</v>
      </c>
      <c r="D124" s="6">
        <f>IFERROR(__xludf.DUMMYFUNCTION("""COMPUTED_VALUE"""),45366.0)</f>
        <v>45366</v>
      </c>
      <c r="E124" s="5" t="str">
        <f>IFERROR(__xludf.DUMMYFUNCTION("""COMPUTED_VALUE"""),"Slot")</f>
        <v>Slot</v>
      </c>
      <c r="F124" s="5">
        <f>IFERROR(__xludf.DUMMYFUNCTION("""COMPUTED_VALUE"""),23.0)</f>
        <v>23</v>
      </c>
      <c r="G124" s="5" t="str">
        <f>IFERROR(__xludf.DUMMYFUNCTION("""COMPUTED_VALUE"""),"3x3")</f>
        <v>3x3</v>
      </c>
      <c r="H124" s="5" t="str">
        <f>IFERROR(__xludf.DUMMYFUNCTION("""COMPUTED_VALUE"""),"5")</f>
        <v>5</v>
      </c>
      <c r="I124" s="5" t="str">
        <f>IFERROR(__xludf.DUMMYFUNCTION("""COMPUTED_VALUE"""),"5")</f>
        <v>5</v>
      </c>
      <c r="J124" s="5" t="str">
        <f>IFERROR(__xludf.DUMMYFUNCTION("""COMPUTED_VALUE"""),"96.479%")</f>
        <v>96.479%</v>
      </c>
      <c r="K124" s="5" t="str">
        <f>IFERROR(__xludf.DUMMYFUNCTION("""COMPUTED_VALUE"""),"Medium")</f>
        <v>Medium</v>
      </c>
      <c r="L124" s="5" t="str">
        <f>IFERROR(__xludf.DUMMYFUNCTION("""COMPUTED_VALUE"""),"9.94%")</f>
        <v>9.94%</v>
      </c>
      <c r="M124" s="5" t="str">
        <f>IFERROR(__xludf.DUMMYFUNCTION("""COMPUTED_VALUE"""),"x200")</f>
        <v>x200</v>
      </c>
      <c r="N124" s="5" t="str">
        <f>IFERROR(__xludf.DUMMYFUNCTION("""COMPUTED_VALUE"""),"0.05/30")</f>
        <v>0.05/30</v>
      </c>
      <c r="O124" s="5" t="str">
        <f>IFERROR(__xludf.DUMMYFUNCTION("""COMPUTED_VALUE"""),"Yes")</f>
        <v>Yes</v>
      </c>
      <c r="P124" s="5" t="str">
        <f>IFERROR(__xludf.DUMMYFUNCTION("""COMPUTED_VALUE"""),"Expanding Wild")</f>
        <v>Expanding Wild</v>
      </c>
      <c r="Q124" s="7" t="str">
        <f>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R124" s="5" t="str">
        <f>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S1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4" s="5" t="str">
        <f>IFERROR(__xludf.DUMMYFUNCTION("""COMPUTED_VALUE"""),"Yes")</f>
        <v>Yes</v>
      </c>
      <c r="U124" s="5" t="str">
        <f>IFERROR(__xludf.DUMMYFUNCTION("""COMPUTED_VALUE"""),"Yes")</f>
        <v>Yes</v>
      </c>
      <c r="V124" s="5" t="str">
        <f>IFERROR(__xludf.DUMMYFUNCTION("""COMPUTED_VALUE"""),"Yes")</f>
        <v>Yes</v>
      </c>
      <c r="W124" s="5" t="str">
        <f>IFERROR(__xludf.DUMMYFUNCTION("""COMPUTED_VALUE"""),"Yes")</f>
        <v>Yes</v>
      </c>
      <c r="X124" s="5" t="str">
        <f>IFERROR(__xludf.DUMMYFUNCTION("""COMPUTED_VALUE"""),"Yes")</f>
        <v>Yes</v>
      </c>
      <c r="Y124" s="5" t="str">
        <f>IFERROR(__xludf.DUMMYFUNCTION("""COMPUTED_VALUE"""),"Yes")</f>
        <v>Yes</v>
      </c>
      <c r="Z124" s="5" t="str">
        <f>IFERROR(__xludf.DUMMYFUNCTION("""COMPUTED_VALUE"""),"Yes")</f>
        <v>Yes</v>
      </c>
      <c r="AA124" s="5" t="str">
        <f>IFERROR(__xludf.DUMMYFUNCTION("""COMPUTED_VALUE"""),"Yes")</f>
        <v>Yes</v>
      </c>
      <c r="AB124" s="5" t="str">
        <f>IFERROR(__xludf.DUMMYFUNCTION("""COMPUTED_VALUE"""),"Yes")</f>
        <v>Yes</v>
      </c>
      <c r="AC124" s="5" t="str">
        <f>IFERROR(__xludf.DUMMYFUNCTION("""COMPUTED_VALUE"""),"Yes")</f>
        <v>Yes</v>
      </c>
      <c r="AD124" s="5" t="str">
        <f>IFERROR(__xludf.DUMMYFUNCTION("""COMPUTED_VALUE"""),"Yes")</f>
        <v>Yes</v>
      </c>
      <c r="AE124" s="5" t="str">
        <f>IFERROR(__xludf.DUMMYFUNCTION("""COMPUTED_VALUE"""),"Yes")</f>
        <v>Yes</v>
      </c>
      <c r="AF124" s="5" t="str">
        <f>IFERROR(__xludf.DUMMYFUNCTION("""COMPUTED_VALUE"""),"Yes")</f>
        <v>Yes</v>
      </c>
      <c r="AG124" s="5" t="str">
        <f>IFERROR(__xludf.DUMMYFUNCTION("""COMPUTED_VALUE"""),"Yes")</f>
        <v>Yes</v>
      </c>
      <c r="AH124" s="5" t="str">
        <f>IFERROR(__xludf.DUMMYFUNCTION("""COMPUTED_VALUE"""),"Yes")</f>
        <v>Yes</v>
      </c>
      <c r="AI124" s="5" t="str">
        <f>IFERROR(__xludf.DUMMYFUNCTION("""COMPUTED_VALUE"""),"Yes")</f>
        <v>Yes</v>
      </c>
      <c r="AJ124" s="5" t="str">
        <f>IFERROR(__xludf.DUMMYFUNCTION("""COMPUTED_VALUE"""),"Yes")</f>
        <v>Yes</v>
      </c>
      <c r="AK124" s="5" t="str">
        <f>IFERROR(__xludf.DUMMYFUNCTION("""COMPUTED_VALUE"""),"Yes")</f>
        <v>Yes</v>
      </c>
      <c r="AL124" s="5" t="str">
        <f>IFERROR(__xludf.DUMMYFUNCTION("""COMPUTED_VALUE"""),"Yes")</f>
        <v>Yes</v>
      </c>
      <c r="AM124" s="5" t="str">
        <f>IFERROR(__xludf.DUMMYFUNCTION("""COMPUTED_VALUE"""),"Yes")</f>
        <v>Yes</v>
      </c>
      <c r="AN124" s="5" t="str">
        <f>IFERROR(__xludf.DUMMYFUNCTION("""COMPUTED_VALUE"""),"Yes")</f>
        <v>Yes</v>
      </c>
      <c r="AO124" s="5" t="str">
        <f>IFERROR(__xludf.DUMMYFUNCTION("""COMPUTED_VALUE"""),"Yes")</f>
        <v>Yes</v>
      </c>
      <c r="AP124" s="5" t="str">
        <f>IFERROR(__xludf.DUMMYFUNCTION("""COMPUTED_VALUE"""),"Yes")</f>
        <v>Yes</v>
      </c>
      <c r="AQ124" s="5" t="str">
        <f>IFERROR(__xludf.DUMMYFUNCTION("""COMPUTED_VALUE"""),"Yes")</f>
        <v>Yes</v>
      </c>
      <c r="AR124" s="5" t="str">
        <f>IFERROR(__xludf.DUMMYFUNCTION("""COMPUTED_VALUE"""),"Yes")</f>
        <v>Yes</v>
      </c>
      <c r="AS124" s="5" t="str">
        <f>IFERROR(__xludf.DUMMYFUNCTION("""COMPUTED_VALUE"""),"Yes")</f>
        <v>Yes</v>
      </c>
      <c r="AT124" s="5" t="str">
        <f>IFERROR(__xludf.DUMMYFUNCTION("""COMPUTED_VALUE"""),"No")</f>
        <v>No</v>
      </c>
      <c r="AU124" s="5"/>
      <c r="AV124" s="5" t="str">
        <f>IFERROR(__xludf.DUMMYFUNCTION("""COMPUTED_VALUE"""),"Available")</f>
        <v>Available</v>
      </c>
      <c r="AW124" s="5" t="str">
        <f>IFERROR(__xludf.DUMMYFUNCTION("""COMPUTED_VALUE"""),"Available")</f>
        <v>Available</v>
      </c>
      <c r="AX124" s="5" t="str">
        <f>IFERROR(__xludf.DUMMYFUNCTION("""COMPUTED_VALUE"""),"")</f>
        <v/>
      </c>
      <c r="AY124" s="5" t="str">
        <f>IFERROR(__xludf.DUMMYFUNCTION("""COMPUTED_VALUE"""),"")</f>
        <v/>
      </c>
      <c r="AZ124" s="5" t="str">
        <f>IFERROR(__xludf.DUMMYFUNCTION("""COMPUTED_VALUE"""),"Available")</f>
        <v>Available</v>
      </c>
      <c r="BA124" s="5" t="str">
        <f>IFERROR(__xludf.DUMMYFUNCTION("""COMPUTED_VALUE"""),"Available")</f>
        <v>Available</v>
      </c>
      <c r="BB124" s="5" t="str">
        <f>IFERROR(__xludf.DUMMYFUNCTION("""COMPUTED_VALUE"""),"Available")</f>
        <v>Available</v>
      </c>
      <c r="BC124" s="5" t="str">
        <f>IFERROR(__xludf.DUMMYFUNCTION("""COMPUTED_VALUE"""),"")</f>
        <v/>
      </c>
      <c r="BD124" s="5" t="str">
        <f>IFERROR(__xludf.DUMMYFUNCTION("""COMPUTED_VALUE"""),"")</f>
        <v/>
      </c>
      <c r="BE124" s="5" t="str">
        <f>IFERROR(__xludf.DUMMYFUNCTION("""COMPUTED_VALUE"""),"")</f>
        <v/>
      </c>
      <c r="BF124" s="5" t="str">
        <f>IFERROR(__xludf.DUMMYFUNCTION("""COMPUTED_VALUE"""),"")</f>
        <v/>
      </c>
      <c r="BG124" s="5" t="str">
        <f>IFERROR(__xludf.DUMMYFUNCTION("""COMPUTED_VALUE"""),"")</f>
        <v/>
      </c>
      <c r="BH124" s="5" t="str">
        <f>IFERROR(__xludf.DUMMYFUNCTION("""COMPUTED_VALUE"""),"")</f>
        <v/>
      </c>
      <c r="BI124" s="5" t="str">
        <f>IFERROR(__xludf.DUMMYFUNCTION("""COMPUTED_VALUE"""),"")</f>
        <v/>
      </c>
      <c r="BJ124" s="5" t="str">
        <f>IFERROR(__xludf.DUMMYFUNCTION("""COMPUTED_VALUE"""),"")</f>
        <v/>
      </c>
      <c r="BK124" s="5" t="str">
        <f>IFERROR(__xludf.DUMMYFUNCTION("""COMPUTED_VALUE"""),"")</f>
        <v/>
      </c>
      <c r="BL124" s="5" t="str">
        <f>IFERROR(__xludf.DUMMYFUNCTION("""COMPUTED_VALUE"""),"")</f>
        <v/>
      </c>
      <c r="BM124" s="5" t="str">
        <f>IFERROR(__xludf.DUMMYFUNCTION("""COMPUTED_VALUE"""),"")</f>
        <v/>
      </c>
    </row>
    <row r="125">
      <c r="A125" s="5" t="str">
        <f>IFERROR(__xludf.DUMMYFUNCTION("""COMPUTED_VALUE"""),"Fazi")</f>
        <v>Fazi</v>
      </c>
      <c r="B125" s="5" t="str">
        <f>IFERROR(__xludf.DUMMYFUNCTION("""COMPUTED_VALUE"""),"Wild 81")</f>
        <v>Wild 81</v>
      </c>
      <c r="C125" s="5" t="str">
        <f>IFERROR(__xludf.DUMMYFUNCTION("""COMPUTED_VALUE"""),"Wild81")</f>
        <v>Wild81</v>
      </c>
      <c r="D125" s="6">
        <f>IFERROR(__xludf.DUMMYFUNCTION("""COMPUTED_VALUE"""),45407.0)</f>
        <v>45407</v>
      </c>
      <c r="E125" s="5" t="str">
        <f>IFERROR(__xludf.DUMMYFUNCTION("""COMPUTED_VALUE"""),"Slot")</f>
        <v>Slot</v>
      </c>
      <c r="F125" s="5">
        <f>IFERROR(__xludf.DUMMYFUNCTION("""COMPUTED_VALUE"""),13.3)</f>
        <v>13.3</v>
      </c>
      <c r="G125" s="5" t="str">
        <f>IFERROR(__xludf.DUMMYFUNCTION("""COMPUTED_VALUE"""),"4x3")</f>
        <v>4x3</v>
      </c>
      <c r="H125" s="5" t="str">
        <f>IFERROR(__xludf.DUMMYFUNCTION("""COMPUTED_VALUE"""),"81")</f>
        <v>81</v>
      </c>
      <c r="I125" s="5" t="str">
        <f>IFERROR(__xludf.DUMMYFUNCTION("""COMPUTED_VALUE"""),"81")</f>
        <v>81</v>
      </c>
      <c r="J125" s="5" t="str">
        <f>IFERROR(__xludf.DUMMYFUNCTION("""COMPUTED_VALUE"""),"96.55%")</f>
        <v>96.55%</v>
      </c>
      <c r="K125" s="5" t="str">
        <f>IFERROR(__xludf.DUMMYFUNCTION("""COMPUTED_VALUE"""),"High")</f>
        <v>High</v>
      </c>
      <c r="L125" s="5" t="str">
        <f>IFERROR(__xludf.DUMMYFUNCTION("""COMPUTED_VALUE"""),"5.1%")</f>
        <v>5.1%</v>
      </c>
      <c r="M125" s="5" t="str">
        <f>IFERROR(__xludf.DUMMYFUNCTION("""COMPUTED_VALUE"""),"x3200")</f>
        <v>x3200</v>
      </c>
      <c r="N125" s="5" t="str">
        <f>IFERROR(__xludf.DUMMYFUNCTION("""COMPUTED_VALUE"""),"0.05/20")</f>
        <v>0.05/20</v>
      </c>
      <c r="O125" s="5" t="str">
        <f>IFERROR(__xludf.DUMMYFUNCTION("""COMPUTED_VALUE"""),"Yes")</f>
        <v>Yes</v>
      </c>
      <c r="P125" s="5" t="str">
        <f>IFERROR(__xludf.DUMMYFUNCTION("""COMPUTED_VALUE"""),"Wild Multiplier, Scatter")</f>
        <v>Wild Multiplier, Scatter</v>
      </c>
      <c r="Q125" s="7" t="str">
        <f>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R125" s="5" t="str">
        <f>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S1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IFERROR(__xludf.DUMMYFUNCTION("""COMPUTED_VALUE"""),"Yes")</f>
        <v>Yes</v>
      </c>
      <c r="AA125" s="5" t="str">
        <f>IFERROR(__xludf.DUMMYFUNCTION("""COMPUTED_VALUE"""),"Yes")</f>
        <v>Yes</v>
      </c>
      <c r="AB125" s="5" t="str">
        <f>IFERROR(__xludf.DUMMYFUNCTION("""COMPUTED_VALUE"""),"Yes")</f>
        <v>Yes</v>
      </c>
      <c r="AC125" s="5" t="str">
        <f>IFERROR(__xludf.DUMMYFUNCTION("""COMPUTED_VALUE"""),"Yes")</f>
        <v>Yes</v>
      </c>
      <c r="AD125" s="5" t="str">
        <f>IFERROR(__xludf.DUMMYFUNCTION("""COMPUTED_VALUE"""),"Yes")</f>
        <v>Yes</v>
      </c>
      <c r="AE125" s="5" t="str">
        <f>IFERROR(__xludf.DUMMYFUNCTION("""COMPUTED_VALUE"""),"Yes")</f>
        <v>Yes</v>
      </c>
      <c r="AF125" s="5" t="str">
        <f>IFERROR(__xludf.DUMMYFUNCTION("""COMPUTED_VALUE"""),"Yes")</f>
        <v>Yes</v>
      </c>
      <c r="AG125" s="5" t="str">
        <f>IFERROR(__xludf.DUMMYFUNCTION("""COMPUTED_VALUE"""),"Yes")</f>
        <v>Yes</v>
      </c>
      <c r="AH125" s="5" t="str">
        <f>IFERROR(__xludf.DUMMYFUNCTION("""COMPUTED_VALUE"""),"Yes")</f>
        <v>Yes</v>
      </c>
      <c r="AI125" s="5" t="str">
        <f>IFERROR(__xludf.DUMMYFUNCTION("""COMPUTED_VALUE"""),"Yes")</f>
        <v>Yes</v>
      </c>
      <c r="AJ125" s="5" t="str">
        <f>IFERROR(__xludf.DUMMYFUNCTION("""COMPUTED_VALUE"""),"Yes")</f>
        <v>Yes</v>
      </c>
      <c r="AK125" s="5" t="str">
        <f>IFERROR(__xludf.DUMMYFUNCTION("""COMPUTED_VALUE"""),"Yes")</f>
        <v>Yes</v>
      </c>
      <c r="AL125" s="5" t="str">
        <f>IFERROR(__xludf.DUMMYFUNCTION("""COMPUTED_VALUE"""),"Yes")</f>
        <v>Yes</v>
      </c>
      <c r="AM125" s="5" t="str">
        <f>IFERROR(__xludf.DUMMYFUNCTION("""COMPUTED_VALUE"""),"Yes")</f>
        <v>Yes</v>
      </c>
      <c r="AN125" s="5" t="str">
        <f>IFERROR(__xludf.DUMMYFUNCTION("""COMPUTED_VALUE"""),"Yes")</f>
        <v>Yes</v>
      </c>
      <c r="AO125" s="5" t="str">
        <f>IFERROR(__xludf.DUMMYFUNCTION("""COMPUTED_VALUE"""),"Yes")</f>
        <v>Yes</v>
      </c>
      <c r="AP125" s="5" t="str">
        <f>IFERROR(__xludf.DUMMYFUNCTION("""COMPUTED_VALUE"""),"Yes")</f>
        <v>Yes</v>
      </c>
      <c r="AQ125" s="5" t="str">
        <f>IFERROR(__xludf.DUMMYFUNCTION("""COMPUTED_VALUE"""),"Yes")</f>
        <v>Yes</v>
      </c>
      <c r="AR125" s="5" t="str">
        <f>IFERROR(__xludf.DUMMYFUNCTION("""COMPUTED_VALUE"""),"Yes")</f>
        <v>Yes</v>
      </c>
      <c r="AS125" s="5" t="str">
        <f>IFERROR(__xludf.DUMMYFUNCTION("""COMPUTED_VALUE"""),"Yes")</f>
        <v>Yes</v>
      </c>
      <c r="AT125" s="5" t="str">
        <f>IFERROR(__xludf.DUMMYFUNCTION("""COMPUTED_VALUE"""),"No")</f>
        <v>No</v>
      </c>
      <c r="AU125" s="5"/>
      <c r="AV125" s="5" t="str">
        <f>IFERROR(__xludf.DUMMYFUNCTION("""COMPUTED_VALUE"""),"")</f>
        <v/>
      </c>
      <c r="AW125" s="5" t="str">
        <f>IFERROR(__xludf.DUMMYFUNCTION("""COMPUTED_VALUE"""),"")</f>
        <v/>
      </c>
      <c r="AX125" s="5" t="str">
        <f>IFERROR(__xludf.DUMMYFUNCTION("""COMPUTED_VALUE"""),"")</f>
        <v/>
      </c>
      <c r="AY125" s="5" t="str">
        <f>IFERROR(__xludf.DUMMYFUNCTION("""COMPUTED_VALUE"""),"")</f>
        <v/>
      </c>
      <c r="AZ125" s="5" t="str">
        <f>IFERROR(__xludf.DUMMYFUNCTION("""COMPUTED_VALUE"""),"Available")</f>
        <v>Available</v>
      </c>
      <c r="BA125" s="5" t="str">
        <f>IFERROR(__xludf.DUMMYFUNCTION("""COMPUTED_VALUE"""),"Available")</f>
        <v>Available</v>
      </c>
      <c r="BB125" s="5" t="str">
        <f>IFERROR(__xludf.DUMMYFUNCTION("""COMPUTED_VALUE"""),"Available")</f>
        <v>Available</v>
      </c>
      <c r="BC125" s="5" t="str">
        <f>IFERROR(__xludf.DUMMYFUNCTION("""COMPUTED_VALUE"""),"")</f>
        <v/>
      </c>
      <c r="BD125" s="5" t="str">
        <f>IFERROR(__xludf.DUMMYFUNCTION("""COMPUTED_VALUE"""),"")</f>
        <v/>
      </c>
      <c r="BE125" s="5" t="str">
        <f>IFERROR(__xludf.DUMMYFUNCTION("""COMPUTED_VALUE"""),"")</f>
        <v/>
      </c>
      <c r="BF125" s="5" t="str">
        <f>IFERROR(__xludf.DUMMYFUNCTION("""COMPUTED_VALUE"""),"")</f>
        <v/>
      </c>
      <c r="BG125" s="5" t="str">
        <f>IFERROR(__xludf.DUMMYFUNCTION("""COMPUTED_VALUE"""),"")</f>
        <v/>
      </c>
      <c r="BH125" s="5" t="str">
        <f>IFERROR(__xludf.DUMMYFUNCTION("""COMPUTED_VALUE"""),"")</f>
        <v/>
      </c>
      <c r="BI125" s="5" t="str">
        <f>IFERROR(__xludf.DUMMYFUNCTION("""COMPUTED_VALUE"""),"")</f>
        <v/>
      </c>
      <c r="BJ125" s="5" t="str">
        <f>IFERROR(__xludf.DUMMYFUNCTION("""COMPUTED_VALUE"""),"")</f>
        <v/>
      </c>
      <c r="BK125" s="5" t="str">
        <f>IFERROR(__xludf.DUMMYFUNCTION("""COMPUTED_VALUE"""),"Available")</f>
        <v>Available</v>
      </c>
      <c r="BL125" s="5" t="str">
        <f>IFERROR(__xludf.DUMMYFUNCTION("""COMPUTED_VALUE"""),"")</f>
        <v/>
      </c>
      <c r="BM125" s="5" t="str">
        <f>IFERROR(__xludf.DUMMYFUNCTION("""COMPUTED_VALUE"""),"")</f>
        <v/>
      </c>
    </row>
    <row r="126">
      <c r="A126" s="5" t="str">
        <f>IFERROR(__xludf.DUMMYFUNCTION("""COMPUTED_VALUE"""),"Fazi")</f>
        <v>Fazi</v>
      </c>
      <c r="B126" s="5" t="str">
        <f>IFERROR(__xludf.DUMMYFUNCTION("""COMPUTED_VALUE"""),"Mystic Jungle")</f>
        <v>Mystic Jungle</v>
      </c>
      <c r="C126" s="5" t="str">
        <f>IFERROR(__xludf.DUMMYFUNCTION("""COMPUTED_VALUE"""),"MysticJungle")</f>
        <v>MysticJungle</v>
      </c>
      <c r="D126" s="6">
        <f>IFERROR(__xludf.DUMMYFUNCTION("""COMPUTED_VALUE"""),45439.0)</f>
        <v>45439</v>
      </c>
      <c r="E126" s="5" t="str">
        <f>IFERROR(__xludf.DUMMYFUNCTION("""COMPUTED_VALUE"""),"Slot")</f>
        <v>Slot</v>
      </c>
      <c r="F126" s="5">
        <f>IFERROR(__xludf.DUMMYFUNCTION("""COMPUTED_VALUE"""),19.1)</f>
        <v>19.1</v>
      </c>
      <c r="G126" s="5" t="str">
        <f>IFERROR(__xludf.DUMMYFUNCTION("""COMPUTED_VALUE"""),"5x3")</f>
        <v>5x3</v>
      </c>
      <c r="H126" s="5" t="str">
        <f>IFERROR(__xludf.DUMMYFUNCTION("""COMPUTED_VALUE"""),"10")</f>
        <v>10</v>
      </c>
      <c r="I126" s="5" t="str">
        <f>IFERROR(__xludf.DUMMYFUNCTION("""COMPUTED_VALUE"""),"10")</f>
        <v>10</v>
      </c>
      <c r="J126" s="5" t="str">
        <f>IFERROR(__xludf.DUMMYFUNCTION("""COMPUTED_VALUE"""),"96.494%")</f>
        <v>96.494%</v>
      </c>
      <c r="K126" s="5" t="str">
        <f>IFERROR(__xludf.DUMMYFUNCTION("""COMPUTED_VALUE"""),"Medium")</f>
        <v>Medium</v>
      </c>
      <c r="L126" s="5" t="str">
        <f>IFERROR(__xludf.DUMMYFUNCTION("""COMPUTED_VALUE"""),"9.824%")</f>
        <v>9.824%</v>
      </c>
      <c r="M126" s="5" t="str">
        <f>IFERROR(__xludf.DUMMYFUNCTION("""COMPUTED_VALUE"""),"x500")</f>
        <v>x500</v>
      </c>
      <c r="N126" s="5" t="str">
        <f>IFERROR(__xludf.DUMMYFUNCTION("""COMPUTED_VALUE"""),"0.1/40")</f>
        <v>0.1/40</v>
      </c>
      <c r="O126" s="5" t="str">
        <f>IFERROR(__xludf.DUMMYFUNCTION("""COMPUTED_VALUE"""),"Yes")</f>
        <v>Yes</v>
      </c>
      <c r="P126" s="5" t="str">
        <f>IFERROR(__xludf.DUMMYFUNCTION("""COMPUTED_VALUE"""),"Mystery symbol")</f>
        <v>Mystery symbol</v>
      </c>
      <c r="Q126" s="7" t="str">
        <f>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R126" s="5" t="str">
        <f>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S1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IFERROR(__xludf.DUMMYFUNCTION("""COMPUTED_VALUE"""),"Yes")</f>
        <v>Yes</v>
      </c>
      <c r="AA126" s="5" t="str">
        <f>IFERROR(__xludf.DUMMYFUNCTION("""COMPUTED_VALUE"""),"Yes")</f>
        <v>Yes</v>
      </c>
      <c r="AB126" s="5" t="str">
        <f>IFERROR(__xludf.DUMMYFUNCTION("""COMPUTED_VALUE"""),"Yes")</f>
        <v>Yes</v>
      </c>
      <c r="AC126" s="5" t="str">
        <f>IFERROR(__xludf.DUMMYFUNCTION("""COMPUTED_VALUE"""),"Yes")</f>
        <v>Yes</v>
      </c>
      <c r="AD126" s="5" t="str">
        <f>IFERROR(__xludf.DUMMYFUNCTION("""COMPUTED_VALUE"""),"Yes")</f>
        <v>Yes</v>
      </c>
      <c r="AE126" s="5" t="str">
        <f>IFERROR(__xludf.DUMMYFUNCTION("""COMPUTED_VALUE"""),"Yes")</f>
        <v>Yes</v>
      </c>
      <c r="AF126" s="5" t="str">
        <f>IFERROR(__xludf.DUMMYFUNCTION("""COMPUTED_VALUE"""),"Yes")</f>
        <v>Yes</v>
      </c>
      <c r="AG126" s="5" t="str">
        <f>IFERROR(__xludf.DUMMYFUNCTION("""COMPUTED_VALUE"""),"Yes")</f>
        <v>Yes</v>
      </c>
      <c r="AH126" s="5" t="str">
        <f>IFERROR(__xludf.DUMMYFUNCTION("""COMPUTED_VALUE"""),"Yes")</f>
        <v>Yes</v>
      </c>
      <c r="AI126" s="5" t="str">
        <f>IFERROR(__xludf.DUMMYFUNCTION("""COMPUTED_VALUE"""),"Yes")</f>
        <v>Yes</v>
      </c>
      <c r="AJ126" s="5" t="str">
        <f>IFERROR(__xludf.DUMMYFUNCTION("""COMPUTED_VALUE"""),"Yes")</f>
        <v>Yes</v>
      </c>
      <c r="AK126" s="5" t="str">
        <f>IFERROR(__xludf.DUMMYFUNCTION("""COMPUTED_VALUE"""),"Yes")</f>
        <v>Yes</v>
      </c>
      <c r="AL126" s="5" t="str">
        <f>IFERROR(__xludf.DUMMYFUNCTION("""COMPUTED_VALUE"""),"Yes")</f>
        <v>Yes</v>
      </c>
      <c r="AM126" s="5" t="str">
        <f>IFERROR(__xludf.DUMMYFUNCTION("""COMPUTED_VALUE"""),"Yes")</f>
        <v>Yes</v>
      </c>
      <c r="AN126" s="5" t="str">
        <f>IFERROR(__xludf.DUMMYFUNCTION("""COMPUTED_VALUE"""),"Yes")</f>
        <v>Yes</v>
      </c>
      <c r="AO126" s="5" t="str">
        <f>IFERROR(__xludf.DUMMYFUNCTION("""COMPUTED_VALUE"""),"Yes")</f>
        <v>Yes</v>
      </c>
      <c r="AP126" s="5" t="str">
        <f>IFERROR(__xludf.DUMMYFUNCTION("""COMPUTED_VALUE"""),"Yes")</f>
        <v>Yes</v>
      </c>
      <c r="AQ126" s="5" t="str">
        <f>IFERROR(__xludf.DUMMYFUNCTION("""COMPUTED_VALUE"""),"Yes")</f>
        <v>Yes</v>
      </c>
      <c r="AR126" s="5" t="str">
        <f>IFERROR(__xludf.DUMMYFUNCTION("""COMPUTED_VALUE"""),"Yes")</f>
        <v>Yes</v>
      </c>
      <c r="AS126" s="5" t="str">
        <f>IFERROR(__xludf.DUMMYFUNCTION("""COMPUTED_VALUE"""),"Yes")</f>
        <v>Yes</v>
      </c>
      <c r="AT126" s="5" t="str">
        <f>IFERROR(__xludf.DUMMYFUNCTION("""COMPUTED_VALUE"""),"No")</f>
        <v>No</v>
      </c>
      <c r="AU126" s="5"/>
      <c r="AV126" s="5" t="str">
        <f>IFERROR(__xludf.DUMMYFUNCTION("""COMPUTED_VALUE"""),"")</f>
        <v/>
      </c>
      <c r="AW126" s="5" t="str">
        <f>IFERROR(__xludf.DUMMYFUNCTION("""COMPUTED_VALUE"""),"")</f>
        <v/>
      </c>
      <c r="AX126" s="5" t="str">
        <f>IFERROR(__xludf.DUMMYFUNCTION("""COMPUTED_VALUE"""),"")</f>
        <v/>
      </c>
      <c r="AY126" s="5" t="str">
        <f>IFERROR(__xludf.DUMMYFUNCTION("""COMPUTED_VALUE"""),"")</f>
        <v/>
      </c>
      <c r="AZ126" s="5" t="str">
        <f>IFERROR(__xludf.DUMMYFUNCTION("""COMPUTED_VALUE"""),"")</f>
        <v/>
      </c>
      <c r="BA126" s="5" t="str">
        <f>IFERROR(__xludf.DUMMYFUNCTION("""COMPUTED_VALUE"""),"")</f>
        <v/>
      </c>
      <c r="BB126" s="5" t="str">
        <f>IFERROR(__xludf.DUMMYFUNCTION("""COMPUTED_VALUE"""),"Available")</f>
        <v>Available</v>
      </c>
      <c r="BC126" s="5" t="str">
        <f>IFERROR(__xludf.DUMMYFUNCTION("""COMPUTED_VALUE"""),"")</f>
        <v/>
      </c>
      <c r="BD126" s="5" t="str">
        <f>IFERROR(__xludf.DUMMYFUNCTION("""COMPUTED_VALUE"""),"")</f>
        <v/>
      </c>
      <c r="BE126" s="5" t="str">
        <f>IFERROR(__xludf.DUMMYFUNCTION("""COMPUTED_VALUE"""),"")</f>
        <v/>
      </c>
      <c r="BF126" s="5" t="str">
        <f>IFERROR(__xludf.DUMMYFUNCTION("""COMPUTED_VALUE"""),"")</f>
        <v/>
      </c>
      <c r="BG126" s="5" t="str">
        <f>IFERROR(__xludf.DUMMYFUNCTION("""COMPUTED_VALUE"""),"")</f>
        <v/>
      </c>
      <c r="BH126" s="5" t="str">
        <f>IFERROR(__xludf.DUMMYFUNCTION("""COMPUTED_VALUE"""),"")</f>
        <v/>
      </c>
      <c r="BI126" s="5" t="str">
        <f>IFERROR(__xludf.DUMMYFUNCTION("""COMPUTED_VALUE"""),"")</f>
        <v/>
      </c>
      <c r="BJ126" s="5" t="str">
        <f>IFERROR(__xludf.DUMMYFUNCTION("""COMPUTED_VALUE"""),"")</f>
        <v/>
      </c>
      <c r="BK126" s="5" t="str">
        <f>IFERROR(__xludf.DUMMYFUNCTION("""COMPUTED_VALUE"""),"Available")</f>
        <v>Available</v>
      </c>
      <c r="BL126" s="5" t="str">
        <f>IFERROR(__xludf.DUMMYFUNCTION("""COMPUTED_VALUE"""),"")</f>
        <v/>
      </c>
      <c r="BM126" s="5" t="str">
        <f>IFERROR(__xludf.DUMMYFUNCTION("""COMPUTED_VALUE"""),"")</f>
        <v/>
      </c>
    </row>
    <row r="127">
      <c r="A127" s="5" t="str">
        <f>IFERROR(__xludf.DUMMYFUNCTION("""COMPUTED_VALUE"""),"Fazi")</f>
        <v>Fazi</v>
      </c>
      <c r="B127" s="5" t="str">
        <f>IFERROR(__xludf.DUMMYFUNCTION("""COMPUTED_VALUE"""),"Wild Lucky Dice")</f>
        <v>Wild Lucky Dice</v>
      </c>
      <c r="C127" s="5" t="str">
        <f>IFERROR(__xludf.DUMMYFUNCTION("""COMPUTED_VALUE"""),"WildLuckyDice")</f>
        <v>WildLuckyDice</v>
      </c>
      <c r="D127" s="6">
        <f>IFERROR(__xludf.DUMMYFUNCTION("""COMPUTED_VALUE"""),45429.0)</f>
        <v>45429</v>
      </c>
      <c r="E127" s="5" t="str">
        <f>IFERROR(__xludf.DUMMYFUNCTION("""COMPUTED_VALUE"""),"Slot")</f>
        <v>Slot</v>
      </c>
      <c r="F127" s="5">
        <f>IFERROR(__xludf.DUMMYFUNCTION("""COMPUTED_VALUE"""),25.0)</f>
        <v>25</v>
      </c>
      <c r="G127" s="5" t="str">
        <f>IFERROR(__xludf.DUMMYFUNCTION("""COMPUTED_VALUE"""),"5x4")</f>
        <v>5x4</v>
      </c>
      <c r="H127" s="5" t="str">
        <f>IFERROR(__xludf.DUMMYFUNCTION("""COMPUTED_VALUE"""),"40")</f>
        <v>40</v>
      </c>
      <c r="I127" s="5" t="str">
        <f>IFERROR(__xludf.DUMMYFUNCTION("""COMPUTED_VALUE"""),"40")</f>
        <v>40</v>
      </c>
      <c r="J127" s="5" t="str">
        <f>IFERROR(__xludf.DUMMYFUNCTION("""COMPUTED_VALUE"""),"96.291%")</f>
        <v>96.291%</v>
      </c>
      <c r="K127" s="5" t="str">
        <f>IFERROR(__xludf.DUMMYFUNCTION("""COMPUTED_VALUE"""),"Medium")</f>
        <v>Medium</v>
      </c>
      <c r="L127" s="5" t="str">
        <f>IFERROR(__xludf.DUMMYFUNCTION("""COMPUTED_VALUE"""),"12.67%")</f>
        <v>12.67%</v>
      </c>
      <c r="M127" s="5" t="str">
        <f>IFERROR(__xludf.DUMMYFUNCTION("""COMPUTED_VALUE"""),"x1043")</f>
        <v>x1043</v>
      </c>
      <c r="N127" s="5" t="str">
        <f>IFERROR(__xludf.DUMMYFUNCTION("""COMPUTED_VALUE"""),"0.40/60")</f>
        <v>0.40/60</v>
      </c>
      <c r="O127" s="5" t="str">
        <f>IFERROR(__xludf.DUMMYFUNCTION("""COMPUTED_VALUE"""),"Yes")</f>
        <v>Yes</v>
      </c>
      <c r="P127" s="5" t="str">
        <f>IFERROR(__xludf.DUMMYFUNCTION("""COMPUTED_VALUE"""),"Bonus Game with Free Spins, Converting Wild, Wild Symbol")</f>
        <v>Bonus Game with Free Spins, Converting Wild, Wild Symbol</v>
      </c>
      <c r="Q127" s="7" t="str">
        <f>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R127" s="5" t="str">
        <f>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S1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IFERROR(__xludf.DUMMYFUNCTION("""COMPUTED_VALUE"""),"Yes")</f>
        <v>Yes</v>
      </c>
      <c r="AA127" s="5" t="str">
        <f>IFERROR(__xludf.DUMMYFUNCTION("""COMPUTED_VALUE"""),"Yes")</f>
        <v>Yes</v>
      </c>
      <c r="AB127" s="5" t="str">
        <f>IFERROR(__xludf.DUMMYFUNCTION("""COMPUTED_VALUE"""),"Yes")</f>
        <v>Yes</v>
      </c>
      <c r="AC127" s="5" t="str">
        <f>IFERROR(__xludf.DUMMYFUNCTION("""COMPUTED_VALUE"""),"Yes")</f>
        <v>Yes</v>
      </c>
      <c r="AD127" s="5" t="str">
        <f>IFERROR(__xludf.DUMMYFUNCTION("""COMPUTED_VALUE"""),"Yes")</f>
        <v>Yes</v>
      </c>
      <c r="AE127" s="5" t="str">
        <f>IFERROR(__xludf.DUMMYFUNCTION("""COMPUTED_VALUE"""),"Yes")</f>
        <v>Yes</v>
      </c>
      <c r="AF127" s="5" t="str">
        <f>IFERROR(__xludf.DUMMYFUNCTION("""COMPUTED_VALUE"""),"Yes")</f>
        <v>Yes</v>
      </c>
      <c r="AG127" s="5" t="str">
        <f>IFERROR(__xludf.DUMMYFUNCTION("""COMPUTED_VALUE"""),"Yes")</f>
        <v>Yes</v>
      </c>
      <c r="AH127" s="5" t="str">
        <f>IFERROR(__xludf.DUMMYFUNCTION("""COMPUTED_VALUE"""),"Yes")</f>
        <v>Yes</v>
      </c>
      <c r="AI127" s="5" t="str">
        <f>IFERROR(__xludf.DUMMYFUNCTION("""COMPUTED_VALUE"""),"Yes")</f>
        <v>Yes</v>
      </c>
      <c r="AJ127" s="5" t="str">
        <f>IFERROR(__xludf.DUMMYFUNCTION("""COMPUTED_VALUE"""),"Yes")</f>
        <v>Yes</v>
      </c>
      <c r="AK127" s="5" t="str">
        <f>IFERROR(__xludf.DUMMYFUNCTION("""COMPUTED_VALUE"""),"Yes")</f>
        <v>Yes</v>
      </c>
      <c r="AL127" s="5" t="str">
        <f>IFERROR(__xludf.DUMMYFUNCTION("""COMPUTED_VALUE"""),"Yes")</f>
        <v>Yes</v>
      </c>
      <c r="AM127" s="5" t="str">
        <f>IFERROR(__xludf.DUMMYFUNCTION("""COMPUTED_VALUE"""),"Yes")</f>
        <v>Yes</v>
      </c>
      <c r="AN127" s="5" t="str">
        <f>IFERROR(__xludf.DUMMYFUNCTION("""COMPUTED_VALUE"""),"Yes")</f>
        <v>Yes</v>
      </c>
      <c r="AO127" s="5" t="str">
        <f>IFERROR(__xludf.DUMMYFUNCTION("""COMPUTED_VALUE"""),"Yes")</f>
        <v>Yes</v>
      </c>
      <c r="AP127" s="5" t="str">
        <f>IFERROR(__xludf.DUMMYFUNCTION("""COMPUTED_VALUE"""),"Yes")</f>
        <v>Yes</v>
      </c>
      <c r="AQ127" s="5" t="str">
        <f>IFERROR(__xludf.DUMMYFUNCTION("""COMPUTED_VALUE"""),"Yes")</f>
        <v>Yes</v>
      </c>
      <c r="AR127" s="5" t="str">
        <f>IFERROR(__xludf.DUMMYFUNCTION("""COMPUTED_VALUE"""),"Yes")</f>
        <v>Yes</v>
      </c>
      <c r="AS127" s="5" t="str">
        <f>IFERROR(__xludf.DUMMYFUNCTION("""COMPUTED_VALUE"""),"Yes")</f>
        <v>Yes</v>
      </c>
      <c r="AT127" s="5" t="str">
        <f>IFERROR(__xludf.DUMMYFUNCTION("""COMPUTED_VALUE"""),"No")</f>
        <v>No</v>
      </c>
      <c r="AU127" s="5"/>
      <c r="AV127" s="5" t="str">
        <f>IFERROR(__xludf.DUMMYFUNCTION("""COMPUTED_VALUE"""),"Available")</f>
        <v>Available</v>
      </c>
      <c r="AW127" s="5" t="str">
        <f>IFERROR(__xludf.DUMMYFUNCTION("""COMPUTED_VALUE"""),"")</f>
        <v/>
      </c>
      <c r="AX127" s="5" t="str">
        <f>IFERROR(__xludf.DUMMYFUNCTION("""COMPUTED_VALUE"""),"")</f>
        <v/>
      </c>
      <c r="AY127" s="5" t="str">
        <f>IFERROR(__xludf.DUMMYFUNCTION("""COMPUTED_VALUE"""),"Available")</f>
        <v>Available</v>
      </c>
      <c r="AZ127" s="5" t="str">
        <f>IFERROR(__xludf.DUMMYFUNCTION("""COMPUTED_VALUE"""),"")</f>
        <v/>
      </c>
      <c r="BA127" s="5" t="str">
        <f>IFERROR(__xludf.DUMMYFUNCTION("""COMPUTED_VALUE"""),"")</f>
        <v/>
      </c>
      <c r="BB127" s="5" t="str">
        <f>IFERROR(__xludf.DUMMYFUNCTION("""COMPUTED_VALUE"""),"Available")</f>
        <v>Available</v>
      </c>
      <c r="BC127" s="5" t="str">
        <f>IFERROR(__xludf.DUMMYFUNCTION("""COMPUTED_VALUE"""),"")</f>
        <v/>
      </c>
      <c r="BD127" s="5" t="str">
        <f>IFERROR(__xludf.DUMMYFUNCTION("""COMPUTED_VALUE"""),"")</f>
        <v/>
      </c>
      <c r="BE127" s="5" t="str">
        <f>IFERROR(__xludf.DUMMYFUNCTION("""COMPUTED_VALUE"""),"")</f>
        <v/>
      </c>
      <c r="BF127" s="5" t="str">
        <f>IFERROR(__xludf.DUMMYFUNCTION("""COMPUTED_VALUE"""),"")</f>
        <v/>
      </c>
      <c r="BG127" s="5" t="str">
        <f>IFERROR(__xludf.DUMMYFUNCTION("""COMPUTED_VALUE"""),"")</f>
        <v/>
      </c>
      <c r="BH127" s="5" t="str">
        <f>IFERROR(__xludf.DUMMYFUNCTION("""COMPUTED_VALUE"""),"")</f>
        <v/>
      </c>
      <c r="BI127" s="5" t="str">
        <f>IFERROR(__xludf.DUMMYFUNCTION("""COMPUTED_VALUE"""),"")</f>
        <v/>
      </c>
      <c r="BJ127" s="5" t="str">
        <f>IFERROR(__xludf.DUMMYFUNCTION("""COMPUTED_VALUE"""),"")</f>
        <v/>
      </c>
      <c r="BK127" s="5" t="str">
        <f>IFERROR(__xludf.DUMMYFUNCTION("""COMPUTED_VALUE"""),"")</f>
        <v/>
      </c>
      <c r="BL127" s="5" t="str">
        <f>IFERROR(__xludf.DUMMYFUNCTION("""COMPUTED_VALUE"""),"")</f>
        <v/>
      </c>
      <c r="BM127" s="5" t="str">
        <f>IFERROR(__xludf.DUMMYFUNCTION("""COMPUTED_VALUE"""),"")</f>
        <v/>
      </c>
    </row>
    <row r="128">
      <c r="A128" s="5" t="str">
        <f>IFERROR(__xludf.DUMMYFUNCTION("""COMPUTED_VALUE"""),"Fazi")</f>
        <v>Fazi</v>
      </c>
      <c r="B128" s="5" t="str">
        <f>IFERROR(__xludf.DUMMYFUNCTION("""COMPUTED_VALUE"""),"Eggspanding Rush")</f>
        <v>Eggspanding Rush</v>
      </c>
      <c r="C128" s="5" t="str">
        <f>IFERROR(__xludf.DUMMYFUNCTION("""COMPUTED_VALUE"""),"EggspandingRush")</f>
        <v>EggspandingRush</v>
      </c>
      <c r="D128" s="6">
        <f>IFERROR(__xludf.DUMMYFUNCTION("""COMPUTED_VALUE"""),45400.0)</f>
        <v>45400</v>
      </c>
      <c r="E128" s="5" t="str">
        <f>IFERROR(__xludf.DUMMYFUNCTION("""COMPUTED_VALUE"""),"Slot")</f>
        <v>Slot</v>
      </c>
      <c r="F128" s="5">
        <f>IFERROR(__xludf.DUMMYFUNCTION("""COMPUTED_VALUE"""),28.0)</f>
        <v>28</v>
      </c>
      <c r="G128" s="5" t="str">
        <f>IFERROR(__xludf.DUMMYFUNCTION("""COMPUTED_VALUE"""),"5x3")</f>
        <v>5x3</v>
      </c>
      <c r="H128" s="5" t="str">
        <f>IFERROR(__xludf.DUMMYFUNCTION("""COMPUTED_VALUE"""),"10")</f>
        <v>10</v>
      </c>
      <c r="I128" s="5" t="str">
        <f>IFERROR(__xludf.DUMMYFUNCTION("""COMPUTED_VALUE"""),"10")</f>
        <v>10</v>
      </c>
      <c r="J128" s="5" t="str">
        <f>IFERROR(__xludf.DUMMYFUNCTION("""COMPUTED_VALUE"""),"96.5%")</f>
        <v>96.5%</v>
      </c>
      <c r="K128" s="5" t="str">
        <f>IFERROR(__xludf.DUMMYFUNCTION("""COMPUTED_VALUE"""),"High")</f>
        <v>High</v>
      </c>
      <c r="L128" s="5" t="str">
        <f>IFERROR(__xludf.DUMMYFUNCTION("""COMPUTED_VALUE"""),"17.014%")</f>
        <v>17.014%</v>
      </c>
      <c r="M128" s="5" t="str">
        <f>IFERROR(__xludf.DUMMYFUNCTION("""COMPUTED_VALUE"""),"x4614")</f>
        <v>x4614</v>
      </c>
      <c r="N128" s="5" t="str">
        <f>IFERROR(__xludf.DUMMYFUNCTION("""COMPUTED_VALUE"""),"0.1/50")</f>
        <v>0.1/50</v>
      </c>
      <c r="O128" s="5" t="str">
        <f>IFERROR(__xludf.DUMMYFUNCTION("""COMPUTED_VALUE"""),"Yes")</f>
        <v>Yes</v>
      </c>
      <c r="P128" s="5" t="str">
        <f>IFERROR(__xludf.DUMMYFUNCTION("""COMPUTED_VALUE"""),"Bonus Game with Free Spins, Wild Multiplier, Expanding Wild")</f>
        <v>Bonus Game with Free Spins, Wild Multiplier, Expanding Wild</v>
      </c>
      <c r="Q128" s="7" t="str">
        <f>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R128" s="5" t="str">
        <f>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S1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8" s="5" t="str">
        <f>IFERROR(__xludf.DUMMYFUNCTION("""COMPUTED_VALUE"""),"Yes")</f>
        <v>Yes</v>
      </c>
      <c r="U128" s="5" t="str">
        <f>IFERROR(__xludf.DUMMYFUNCTION("""COMPUTED_VALUE"""),"Yes")</f>
        <v>Yes</v>
      </c>
      <c r="V128" s="5" t="str">
        <f>IFERROR(__xludf.DUMMYFUNCTION("""COMPUTED_VALUE"""),"Yes")</f>
        <v>Yes</v>
      </c>
      <c r="W128" s="5" t="str">
        <f>IFERROR(__xludf.DUMMYFUNCTION("""COMPUTED_VALUE"""),"Yes")</f>
        <v>Yes</v>
      </c>
      <c r="X128" s="5" t="str">
        <f>IFERROR(__xludf.DUMMYFUNCTION("""COMPUTED_VALUE"""),"Yes")</f>
        <v>Yes</v>
      </c>
      <c r="Y128" s="5" t="str">
        <f>IFERROR(__xludf.DUMMYFUNCTION("""COMPUTED_VALUE"""),"Yes")</f>
        <v>Yes</v>
      </c>
      <c r="Z128" s="5" t="str">
        <f>IFERROR(__xludf.DUMMYFUNCTION("""COMPUTED_VALUE"""),"Yes")</f>
        <v>Yes</v>
      </c>
      <c r="AA128" s="5" t="str">
        <f>IFERROR(__xludf.DUMMYFUNCTION("""COMPUTED_VALUE"""),"Yes")</f>
        <v>Yes</v>
      </c>
      <c r="AB128" s="5" t="str">
        <f>IFERROR(__xludf.DUMMYFUNCTION("""COMPUTED_VALUE"""),"Yes")</f>
        <v>Yes</v>
      </c>
      <c r="AC128" s="5" t="str">
        <f>IFERROR(__xludf.DUMMYFUNCTION("""COMPUTED_VALUE"""),"Yes")</f>
        <v>Yes</v>
      </c>
      <c r="AD128" s="5" t="str">
        <f>IFERROR(__xludf.DUMMYFUNCTION("""COMPUTED_VALUE"""),"Yes")</f>
        <v>Yes</v>
      </c>
      <c r="AE128" s="5" t="str">
        <f>IFERROR(__xludf.DUMMYFUNCTION("""COMPUTED_VALUE"""),"Yes")</f>
        <v>Yes</v>
      </c>
      <c r="AF128" s="5" t="str">
        <f>IFERROR(__xludf.DUMMYFUNCTION("""COMPUTED_VALUE"""),"Yes")</f>
        <v>Yes</v>
      </c>
      <c r="AG128" s="5" t="str">
        <f>IFERROR(__xludf.DUMMYFUNCTION("""COMPUTED_VALUE"""),"Yes")</f>
        <v>Yes</v>
      </c>
      <c r="AH128" s="5" t="str">
        <f>IFERROR(__xludf.DUMMYFUNCTION("""COMPUTED_VALUE"""),"Yes")</f>
        <v>Yes</v>
      </c>
      <c r="AI128" s="5" t="str">
        <f>IFERROR(__xludf.DUMMYFUNCTION("""COMPUTED_VALUE"""),"Yes")</f>
        <v>Yes</v>
      </c>
      <c r="AJ128" s="5" t="str">
        <f>IFERROR(__xludf.DUMMYFUNCTION("""COMPUTED_VALUE"""),"Yes")</f>
        <v>Yes</v>
      </c>
      <c r="AK128" s="5" t="str">
        <f>IFERROR(__xludf.DUMMYFUNCTION("""COMPUTED_VALUE"""),"Yes")</f>
        <v>Yes</v>
      </c>
      <c r="AL128" s="5" t="str">
        <f>IFERROR(__xludf.DUMMYFUNCTION("""COMPUTED_VALUE"""),"Yes")</f>
        <v>Yes</v>
      </c>
      <c r="AM128" s="5" t="str">
        <f>IFERROR(__xludf.DUMMYFUNCTION("""COMPUTED_VALUE"""),"Yes")</f>
        <v>Yes</v>
      </c>
      <c r="AN128" s="5" t="str">
        <f>IFERROR(__xludf.DUMMYFUNCTION("""COMPUTED_VALUE"""),"Yes")</f>
        <v>Yes</v>
      </c>
      <c r="AO128" s="5" t="str">
        <f>IFERROR(__xludf.DUMMYFUNCTION("""COMPUTED_VALUE"""),"Yes")</f>
        <v>Yes</v>
      </c>
      <c r="AP128" s="5" t="str">
        <f>IFERROR(__xludf.DUMMYFUNCTION("""COMPUTED_VALUE"""),"Yes")</f>
        <v>Yes</v>
      </c>
      <c r="AQ128" s="5" t="str">
        <f>IFERROR(__xludf.DUMMYFUNCTION("""COMPUTED_VALUE"""),"Yes")</f>
        <v>Yes</v>
      </c>
      <c r="AR128" s="5" t="str">
        <f>IFERROR(__xludf.DUMMYFUNCTION("""COMPUTED_VALUE"""),"Yes")</f>
        <v>Yes</v>
      </c>
      <c r="AS128" s="5" t="str">
        <f>IFERROR(__xludf.DUMMYFUNCTION("""COMPUTED_VALUE"""),"Yes")</f>
        <v>Yes</v>
      </c>
      <c r="AT128" s="5" t="str">
        <f>IFERROR(__xludf.DUMMYFUNCTION("""COMPUTED_VALUE"""),"No")</f>
        <v>No</v>
      </c>
      <c r="AU128" s="5"/>
      <c r="AV128" s="5" t="str">
        <f>IFERROR(__xludf.DUMMYFUNCTION("""COMPUTED_VALUE"""),"Available")</f>
        <v>Available</v>
      </c>
      <c r="AW128" s="5" t="str">
        <f>IFERROR(__xludf.DUMMYFUNCTION("""COMPUTED_VALUE"""),"Available")</f>
        <v>Available</v>
      </c>
      <c r="AX128" s="5" t="str">
        <f>IFERROR(__xludf.DUMMYFUNCTION("""COMPUTED_VALUE"""),"")</f>
        <v/>
      </c>
      <c r="AY128" s="5" t="str">
        <f>IFERROR(__xludf.DUMMYFUNCTION("""COMPUTED_VALUE"""),"")</f>
        <v/>
      </c>
      <c r="AZ128" s="5" t="str">
        <f>IFERROR(__xludf.DUMMYFUNCTION("""COMPUTED_VALUE"""),"Available")</f>
        <v>Available</v>
      </c>
      <c r="BA128" s="5" t="str">
        <f>IFERROR(__xludf.DUMMYFUNCTION("""COMPUTED_VALUE"""),"Available")</f>
        <v>Available</v>
      </c>
      <c r="BB128" s="5" t="str">
        <f>IFERROR(__xludf.DUMMYFUNCTION("""COMPUTED_VALUE"""),"Available")</f>
        <v>Available</v>
      </c>
      <c r="BC128" s="5" t="str">
        <f>IFERROR(__xludf.DUMMYFUNCTION("""COMPUTED_VALUE"""),"")</f>
        <v/>
      </c>
      <c r="BD128" s="5" t="str">
        <f>IFERROR(__xludf.DUMMYFUNCTION("""COMPUTED_VALUE"""),"")</f>
        <v/>
      </c>
      <c r="BE128" s="5" t="str">
        <f>IFERROR(__xludf.DUMMYFUNCTION("""COMPUTED_VALUE"""),"")</f>
        <v/>
      </c>
      <c r="BF128" s="5" t="str">
        <f>IFERROR(__xludf.DUMMYFUNCTION("""COMPUTED_VALUE"""),"Available")</f>
        <v>Available</v>
      </c>
      <c r="BG128" s="5" t="str">
        <f>IFERROR(__xludf.DUMMYFUNCTION("""COMPUTED_VALUE"""),"")</f>
        <v/>
      </c>
      <c r="BH128" s="5" t="str">
        <f>IFERROR(__xludf.DUMMYFUNCTION("""COMPUTED_VALUE"""),"")</f>
        <v/>
      </c>
      <c r="BI128" s="5" t="str">
        <f>IFERROR(__xludf.DUMMYFUNCTION("""COMPUTED_VALUE"""),"")</f>
        <v/>
      </c>
      <c r="BJ128" s="5" t="str">
        <f>IFERROR(__xludf.DUMMYFUNCTION("""COMPUTED_VALUE"""),"")</f>
        <v/>
      </c>
      <c r="BK128" s="5" t="str">
        <f>IFERROR(__xludf.DUMMYFUNCTION("""COMPUTED_VALUE"""),"")</f>
        <v/>
      </c>
      <c r="BL128" s="5" t="str">
        <f>IFERROR(__xludf.DUMMYFUNCTION("""COMPUTED_VALUE"""),"")</f>
        <v/>
      </c>
      <c r="BM128" s="5" t="str">
        <f>IFERROR(__xludf.DUMMYFUNCTION("""COMPUTED_VALUE"""),"")</f>
        <v/>
      </c>
    </row>
    <row r="129">
      <c r="A129" s="5" t="str">
        <f>IFERROR(__xludf.DUMMYFUNCTION("""COMPUTED_VALUE"""),"Fazi")</f>
        <v>Fazi</v>
      </c>
      <c r="B129" s="5" t="str">
        <f>IFERROR(__xludf.DUMMYFUNCTION("""COMPUTED_VALUE"""),"Vintage Fruits 40")</f>
        <v>Vintage Fruits 40</v>
      </c>
      <c r="C129" s="5" t="str">
        <f>IFERROR(__xludf.DUMMYFUNCTION("""COMPUTED_VALUE"""),"VintageFruits40")</f>
        <v>VintageFruits40</v>
      </c>
      <c r="D129" s="6">
        <f>IFERROR(__xludf.DUMMYFUNCTION("""COMPUTED_VALUE"""),45469.0)</f>
        <v>45469</v>
      </c>
      <c r="E129" s="5" t="str">
        <f>IFERROR(__xludf.DUMMYFUNCTION("""COMPUTED_VALUE"""),"Slot")</f>
        <v>Slot</v>
      </c>
      <c r="F129" s="5">
        <f>IFERROR(__xludf.DUMMYFUNCTION("""COMPUTED_VALUE"""),8.8)</f>
        <v>8.8</v>
      </c>
      <c r="G129" s="5" t="str">
        <f>IFERROR(__xludf.DUMMYFUNCTION("""COMPUTED_VALUE"""),"5x4")</f>
        <v>5x4</v>
      </c>
      <c r="H129" s="5" t="str">
        <f>IFERROR(__xludf.DUMMYFUNCTION("""COMPUTED_VALUE"""),"40")</f>
        <v>40</v>
      </c>
      <c r="I129" s="5" t="str">
        <f>IFERROR(__xludf.DUMMYFUNCTION("""COMPUTED_VALUE"""),"40")</f>
        <v>40</v>
      </c>
      <c r="J129" s="5" t="str">
        <f>IFERROR(__xludf.DUMMYFUNCTION("""COMPUTED_VALUE"""),"96.382%")</f>
        <v>96.382%</v>
      </c>
      <c r="K129" s="5" t="str">
        <f>IFERROR(__xludf.DUMMYFUNCTION("""COMPUTED_VALUE"""),"Medium")</f>
        <v>Medium</v>
      </c>
      <c r="L129" s="5" t="str">
        <f>IFERROR(__xludf.DUMMYFUNCTION("""COMPUTED_VALUE"""),"14.89%")</f>
        <v>14.89%</v>
      </c>
      <c r="M129" s="5" t="str">
        <f>IFERROR(__xludf.DUMMYFUNCTION("""COMPUTED_VALUE"""),"x1000")</f>
        <v>x1000</v>
      </c>
      <c r="N129" s="5" t="str">
        <f>IFERROR(__xludf.DUMMYFUNCTION("""COMPUTED_VALUE"""),"0.4/40")</f>
        <v>0.4/40</v>
      </c>
      <c r="O129" s="5" t="str">
        <f>IFERROR(__xludf.DUMMYFUNCTION("""COMPUTED_VALUE"""),"Yes")</f>
        <v>Yes</v>
      </c>
      <c r="P129" s="5" t="str">
        <f>IFERROR(__xludf.DUMMYFUNCTION("""COMPUTED_VALUE"""),"Wild Symbol, Scatter")</f>
        <v>Wild Symbol, Scatter</v>
      </c>
      <c r="Q129" s="7" t="str">
        <f>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R129" s="5" t="str">
        <f>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S1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9" s="5" t="str">
        <f>IFERROR(__xludf.DUMMYFUNCTION("""COMPUTED_VALUE"""),"Yes")</f>
        <v>Yes</v>
      </c>
      <c r="U129" s="5" t="str">
        <f>IFERROR(__xludf.DUMMYFUNCTION("""COMPUTED_VALUE"""),"Yes")</f>
        <v>Yes</v>
      </c>
      <c r="V129" s="5" t="str">
        <f>IFERROR(__xludf.DUMMYFUNCTION("""COMPUTED_VALUE"""),"Yes")</f>
        <v>Yes</v>
      </c>
      <c r="W129" s="5" t="str">
        <f>IFERROR(__xludf.DUMMYFUNCTION("""COMPUTED_VALUE"""),"Yes")</f>
        <v>Yes</v>
      </c>
      <c r="X129" s="5" t="str">
        <f>IFERROR(__xludf.DUMMYFUNCTION("""COMPUTED_VALUE"""),"Yes")</f>
        <v>Yes</v>
      </c>
      <c r="Y129" s="5" t="str">
        <f>IFERROR(__xludf.DUMMYFUNCTION("""COMPUTED_VALUE"""),"Yes")</f>
        <v>Yes</v>
      </c>
      <c r="Z129" s="5" t="str">
        <f>IFERROR(__xludf.DUMMYFUNCTION("""COMPUTED_VALUE"""),"Yes")</f>
        <v>Yes</v>
      </c>
      <c r="AA129" s="5" t="str">
        <f>IFERROR(__xludf.DUMMYFUNCTION("""COMPUTED_VALUE"""),"Yes")</f>
        <v>Yes</v>
      </c>
      <c r="AB129" s="5" t="str">
        <f>IFERROR(__xludf.DUMMYFUNCTION("""COMPUTED_VALUE"""),"Yes")</f>
        <v>Yes</v>
      </c>
      <c r="AC129" s="5" t="str">
        <f>IFERROR(__xludf.DUMMYFUNCTION("""COMPUTED_VALUE"""),"Yes")</f>
        <v>Yes</v>
      </c>
      <c r="AD129" s="5" t="str">
        <f>IFERROR(__xludf.DUMMYFUNCTION("""COMPUTED_VALUE"""),"Yes")</f>
        <v>Yes</v>
      </c>
      <c r="AE129" s="5" t="str">
        <f>IFERROR(__xludf.DUMMYFUNCTION("""COMPUTED_VALUE"""),"Yes")</f>
        <v>Yes</v>
      </c>
      <c r="AF129" s="5" t="str">
        <f>IFERROR(__xludf.DUMMYFUNCTION("""COMPUTED_VALUE"""),"Yes")</f>
        <v>Yes</v>
      </c>
      <c r="AG129" s="5" t="str">
        <f>IFERROR(__xludf.DUMMYFUNCTION("""COMPUTED_VALUE"""),"Yes")</f>
        <v>Yes</v>
      </c>
      <c r="AH129" s="5" t="str">
        <f>IFERROR(__xludf.DUMMYFUNCTION("""COMPUTED_VALUE"""),"Yes")</f>
        <v>Yes</v>
      </c>
      <c r="AI129" s="5" t="str">
        <f>IFERROR(__xludf.DUMMYFUNCTION("""COMPUTED_VALUE"""),"Yes")</f>
        <v>Yes</v>
      </c>
      <c r="AJ129" s="5" t="str">
        <f>IFERROR(__xludf.DUMMYFUNCTION("""COMPUTED_VALUE"""),"Yes")</f>
        <v>Yes</v>
      </c>
      <c r="AK129" s="5" t="str">
        <f>IFERROR(__xludf.DUMMYFUNCTION("""COMPUTED_VALUE"""),"Yes")</f>
        <v>Yes</v>
      </c>
      <c r="AL129" s="5" t="str">
        <f>IFERROR(__xludf.DUMMYFUNCTION("""COMPUTED_VALUE"""),"Yes")</f>
        <v>Yes</v>
      </c>
      <c r="AM129" s="5" t="str">
        <f>IFERROR(__xludf.DUMMYFUNCTION("""COMPUTED_VALUE"""),"Yes")</f>
        <v>Yes</v>
      </c>
      <c r="AN129" s="5" t="str">
        <f>IFERROR(__xludf.DUMMYFUNCTION("""COMPUTED_VALUE"""),"Yes")</f>
        <v>Yes</v>
      </c>
      <c r="AO129" s="5" t="str">
        <f>IFERROR(__xludf.DUMMYFUNCTION("""COMPUTED_VALUE"""),"Yes")</f>
        <v>Yes</v>
      </c>
      <c r="AP129" s="5" t="str">
        <f>IFERROR(__xludf.DUMMYFUNCTION("""COMPUTED_VALUE"""),"Yes")</f>
        <v>Yes</v>
      </c>
      <c r="AQ129" s="5" t="str">
        <f>IFERROR(__xludf.DUMMYFUNCTION("""COMPUTED_VALUE"""),"Yes")</f>
        <v>Yes</v>
      </c>
      <c r="AR129" s="5" t="str">
        <f>IFERROR(__xludf.DUMMYFUNCTION("""COMPUTED_VALUE"""),"Yes")</f>
        <v>Yes</v>
      </c>
      <c r="AS129" s="5" t="str">
        <f>IFERROR(__xludf.DUMMYFUNCTION("""COMPUTED_VALUE"""),"Yes")</f>
        <v>Yes</v>
      </c>
      <c r="AT129" s="5" t="str">
        <f>IFERROR(__xludf.DUMMYFUNCTION("""COMPUTED_VALUE"""),"No")</f>
        <v>No</v>
      </c>
      <c r="AU129" s="5"/>
      <c r="AV129" s="5" t="str">
        <f>IFERROR(__xludf.DUMMYFUNCTION("""COMPUTED_VALUE"""),"")</f>
        <v/>
      </c>
      <c r="AW129" s="5" t="str">
        <f>IFERROR(__xludf.DUMMYFUNCTION("""COMPUTED_VALUE"""),"")</f>
        <v/>
      </c>
      <c r="AX129" s="5" t="str">
        <f>IFERROR(__xludf.DUMMYFUNCTION("""COMPUTED_VALUE"""),"")</f>
        <v/>
      </c>
      <c r="AY129" s="5" t="str">
        <f>IFERROR(__xludf.DUMMYFUNCTION("""COMPUTED_VALUE"""),"")</f>
        <v/>
      </c>
      <c r="AZ129" s="5" t="str">
        <f>IFERROR(__xludf.DUMMYFUNCTION("""COMPUTED_VALUE"""),"")</f>
        <v/>
      </c>
      <c r="BA129" s="5" t="str">
        <f>IFERROR(__xludf.DUMMYFUNCTION("""COMPUTED_VALUE"""),"")</f>
        <v/>
      </c>
      <c r="BB129" s="5" t="str">
        <f>IFERROR(__xludf.DUMMYFUNCTION("""COMPUTED_VALUE"""),"Available")</f>
        <v>Available</v>
      </c>
      <c r="BC129" s="5" t="str">
        <f>IFERROR(__xludf.DUMMYFUNCTION("""COMPUTED_VALUE"""),"")</f>
        <v/>
      </c>
      <c r="BD129" s="5" t="str">
        <f>IFERROR(__xludf.DUMMYFUNCTION("""COMPUTED_VALUE"""),"")</f>
        <v/>
      </c>
      <c r="BE129" s="5" t="str">
        <f>IFERROR(__xludf.DUMMYFUNCTION("""COMPUTED_VALUE"""),"")</f>
        <v/>
      </c>
      <c r="BF129" s="5" t="str">
        <f>IFERROR(__xludf.DUMMYFUNCTION("""COMPUTED_VALUE"""),"")</f>
        <v/>
      </c>
      <c r="BG129" s="5" t="str">
        <f>IFERROR(__xludf.DUMMYFUNCTION("""COMPUTED_VALUE"""),"")</f>
        <v/>
      </c>
      <c r="BH129" s="5" t="str">
        <f>IFERROR(__xludf.DUMMYFUNCTION("""COMPUTED_VALUE"""),"")</f>
        <v/>
      </c>
      <c r="BI129" s="5" t="str">
        <f>IFERROR(__xludf.DUMMYFUNCTION("""COMPUTED_VALUE"""),"")</f>
        <v/>
      </c>
      <c r="BJ129" s="5" t="str">
        <f>IFERROR(__xludf.DUMMYFUNCTION("""COMPUTED_VALUE"""),"")</f>
        <v/>
      </c>
      <c r="BK129" s="5" t="str">
        <f>IFERROR(__xludf.DUMMYFUNCTION("""COMPUTED_VALUE"""),"Available")</f>
        <v>Available</v>
      </c>
      <c r="BL129" s="5" t="str">
        <f>IFERROR(__xludf.DUMMYFUNCTION("""COMPUTED_VALUE"""),"")</f>
        <v/>
      </c>
      <c r="BM129" s="5" t="str">
        <f>IFERROR(__xludf.DUMMYFUNCTION("""COMPUTED_VALUE"""),"")</f>
        <v/>
      </c>
    </row>
    <row r="130">
      <c r="A130" s="5" t="str">
        <f>IFERROR(__xludf.DUMMYFUNCTION("""COMPUTED_VALUE"""),"Fazi")</f>
        <v>Fazi</v>
      </c>
      <c r="B130" s="5" t="str">
        <f>IFERROR(__xludf.DUMMYFUNCTION("""COMPUTED_VALUE"""),"Summer Rush")</f>
        <v>Summer Rush</v>
      </c>
      <c r="C130" s="5" t="str">
        <f>IFERROR(__xludf.DUMMYFUNCTION("""COMPUTED_VALUE"""),"SummerRush")</f>
        <v>SummerRush</v>
      </c>
      <c r="D130" s="6">
        <f>IFERROR(__xludf.DUMMYFUNCTION("""COMPUTED_VALUE"""),45495.0)</f>
        <v>45495</v>
      </c>
      <c r="E130" s="5" t="str">
        <f>IFERROR(__xludf.DUMMYFUNCTION("""COMPUTED_VALUE"""),"Slot")</f>
        <v>Slot</v>
      </c>
      <c r="F130" s="5">
        <f>IFERROR(__xludf.DUMMYFUNCTION("""COMPUTED_VALUE"""),31.8)</f>
        <v>31.8</v>
      </c>
      <c r="G130" s="5" t="str">
        <f>IFERROR(__xludf.DUMMYFUNCTION("""COMPUTED_VALUE"""),"5x4")</f>
        <v>5x4</v>
      </c>
      <c r="H130" s="5" t="str">
        <f>IFERROR(__xludf.DUMMYFUNCTION("""COMPUTED_VALUE"""),"40")</f>
        <v>40</v>
      </c>
      <c r="I130" s="5" t="str">
        <f>IFERROR(__xludf.DUMMYFUNCTION("""COMPUTED_VALUE"""),"40")</f>
        <v>40</v>
      </c>
      <c r="J130" s="5" t="str">
        <f>IFERROR(__xludf.DUMMYFUNCTION("""COMPUTED_VALUE"""),"96.291%")</f>
        <v>96.291%</v>
      </c>
      <c r="K130" s="5" t="str">
        <f>IFERROR(__xludf.DUMMYFUNCTION("""COMPUTED_VALUE"""),"Medium")</f>
        <v>Medium</v>
      </c>
      <c r="L130" s="5" t="str">
        <f>IFERROR(__xludf.DUMMYFUNCTION("""COMPUTED_VALUE"""),"12.67%")</f>
        <v>12.67%</v>
      </c>
      <c r="M130" s="5" t="str">
        <f>IFERROR(__xludf.DUMMYFUNCTION("""COMPUTED_VALUE"""),"x1043")</f>
        <v>x1043</v>
      </c>
      <c r="N130" s="5" t="str">
        <f>IFERROR(__xludf.DUMMYFUNCTION("""COMPUTED_VALUE"""),"0.40/60")</f>
        <v>0.40/60</v>
      </c>
      <c r="O130" s="5" t="str">
        <f>IFERROR(__xludf.DUMMYFUNCTION("""COMPUTED_VALUE"""),"Yes")</f>
        <v>Yes</v>
      </c>
      <c r="P130" s="5" t="str">
        <f>IFERROR(__xludf.DUMMYFUNCTION("""COMPUTED_VALUE"""),"Wild Symbol, Bonus Game with Free Spins, Wild Symbol")</f>
        <v>Wild Symbol, Bonus Game with Free Spins, Wild Symbol</v>
      </c>
      <c r="Q130" s="7" t="str">
        <f>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R130" s="5" t="str">
        <f>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S1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0" s="5" t="str">
        <f>IFERROR(__xludf.DUMMYFUNCTION("""COMPUTED_VALUE"""),"Yes")</f>
        <v>Yes</v>
      </c>
      <c r="U130" s="5" t="str">
        <f>IFERROR(__xludf.DUMMYFUNCTION("""COMPUTED_VALUE"""),"Yes")</f>
        <v>Yes</v>
      </c>
      <c r="V130" s="5" t="str">
        <f>IFERROR(__xludf.DUMMYFUNCTION("""COMPUTED_VALUE"""),"Yes")</f>
        <v>Yes</v>
      </c>
      <c r="W130" s="5" t="str">
        <f>IFERROR(__xludf.DUMMYFUNCTION("""COMPUTED_VALUE"""),"Yes")</f>
        <v>Yes</v>
      </c>
      <c r="X130" s="5" t="str">
        <f>IFERROR(__xludf.DUMMYFUNCTION("""COMPUTED_VALUE"""),"Yes")</f>
        <v>Yes</v>
      </c>
      <c r="Y130" s="5" t="str">
        <f>IFERROR(__xludf.DUMMYFUNCTION("""COMPUTED_VALUE"""),"Yes")</f>
        <v>Yes</v>
      </c>
      <c r="Z130" s="5" t="str">
        <f>IFERROR(__xludf.DUMMYFUNCTION("""COMPUTED_VALUE"""),"Yes")</f>
        <v>Yes</v>
      </c>
      <c r="AA130" s="5" t="str">
        <f>IFERROR(__xludf.DUMMYFUNCTION("""COMPUTED_VALUE"""),"Yes")</f>
        <v>Yes</v>
      </c>
      <c r="AB130" s="5" t="str">
        <f>IFERROR(__xludf.DUMMYFUNCTION("""COMPUTED_VALUE"""),"Yes")</f>
        <v>Yes</v>
      </c>
      <c r="AC130" s="5" t="str">
        <f>IFERROR(__xludf.DUMMYFUNCTION("""COMPUTED_VALUE"""),"Yes")</f>
        <v>Yes</v>
      </c>
      <c r="AD130" s="5" t="str">
        <f>IFERROR(__xludf.DUMMYFUNCTION("""COMPUTED_VALUE"""),"Yes")</f>
        <v>Yes</v>
      </c>
      <c r="AE130" s="5" t="str">
        <f>IFERROR(__xludf.DUMMYFUNCTION("""COMPUTED_VALUE"""),"Yes")</f>
        <v>Yes</v>
      </c>
      <c r="AF130" s="5" t="str">
        <f>IFERROR(__xludf.DUMMYFUNCTION("""COMPUTED_VALUE"""),"Yes")</f>
        <v>Yes</v>
      </c>
      <c r="AG130" s="5" t="str">
        <f>IFERROR(__xludf.DUMMYFUNCTION("""COMPUTED_VALUE"""),"Yes")</f>
        <v>Yes</v>
      </c>
      <c r="AH130" s="5" t="str">
        <f>IFERROR(__xludf.DUMMYFUNCTION("""COMPUTED_VALUE"""),"Yes")</f>
        <v>Yes</v>
      </c>
      <c r="AI130" s="5" t="str">
        <f>IFERROR(__xludf.DUMMYFUNCTION("""COMPUTED_VALUE"""),"Yes")</f>
        <v>Yes</v>
      </c>
      <c r="AJ130" s="5" t="str">
        <f>IFERROR(__xludf.DUMMYFUNCTION("""COMPUTED_VALUE"""),"Yes")</f>
        <v>Yes</v>
      </c>
      <c r="AK130" s="5" t="str">
        <f>IFERROR(__xludf.DUMMYFUNCTION("""COMPUTED_VALUE"""),"Yes")</f>
        <v>Yes</v>
      </c>
      <c r="AL130" s="5" t="str">
        <f>IFERROR(__xludf.DUMMYFUNCTION("""COMPUTED_VALUE"""),"Yes")</f>
        <v>Yes</v>
      </c>
      <c r="AM130" s="5" t="str">
        <f>IFERROR(__xludf.DUMMYFUNCTION("""COMPUTED_VALUE"""),"Yes")</f>
        <v>Yes</v>
      </c>
      <c r="AN130" s="5" t="str">
        <f>IFERROR(__xludf.DUMMYFUNCTION("""COMPUTED_VALUE"""),"Yes")</f>
        <v>Yes</v>
      </c>
      <c r="AO130" s="5" t="str">
        <f>IFERROR(__xludf.DUMMYFUNCTION("""COMPUTED_VALUE"""),"Yes")</f>
        <v>Yes</v>
      </c>
      <c r="AP130" s="5" t="str">
        <f>IFERROR(__xludf.DUMMYFUNCTION("""COMPUTED_VALUE"""),"Yes")</f>
        <v>Yes</v>
      </c>
      <c r="AQ130" s="5" t="str">
        <f>IFERROR(__xludf.DUMMYFUNCTION("""COMPUTED_VALUE"""),"Yes")</f>
        <v>Yes</v>
      </c>
      <c r="AR130" s="5" t="str">
        <f>IFERROR(__xludf.DUMMYFUNCTION("""COMPUTED_VALUE"""),"Yes")</f>
        <v>Yes</v>
      </c>
      <c r="AS130" s="5" t="str">
        <f>IFERROR(__xludf.DUMMYFUNCTION("""COMPUTED_VALUE"""),"Yes")</f>
        <v>Yes</v>
      </c>
      <c r="AT130" s="5" t="str">
        <f>IFERROR(__xludf.DUMMYFUNCTION("""COMPUTED_VALUE"""),"No")</f>
        <v>No</v>
      </c>
      <c r="AU130" s="5"/>
      <c r="AV130" s="5" t="str">
        <f>IFERROR(__xludf.DUMMYFUNCTION("""COMPUTED_VALUE"""),"")</f>
        <v/>
      </c>
      <c r="AW130" s="5" t="str">
        <f>IFERROR(__xludf.DUMMYFUNCTION("""COMPUTED_VALUE"""),"")</f>
        <v/>
      </c>
      <c r="AX130" s="5" t="str">
        <f>IFERROR(__xludf.DUMMYFUNCTION("""COMPUTED_VALUE"""),"")</f>
        <v/>
      </c>
      <c r="AY130" s="5" t="str">
        <f>IFERROR(__xludf.DUMMYFUNCTION("""COMPUTED_VALUE"""),"")</f>
        <v/>
      </c>
      <c r="AZ130" s="5" t="str">
        <f>IFERROR(__xludf.DUMMYFUNCTION("""COMPUTED_VALUE"""),"")</f>
        <v/>
      </c>
      <c r="BA130" s="5" t="str">
        <f>IFERROR(__xludf.DUMMYFUNCTION("""COMPUTED_VALUE"""),"")</f>
        <v/>
      </c>
      <c r="BB130" s="5" t="str">
        <f>IFERROR(__xludf.DUMMYFUNCTION("""COMPUTED_VALUE"""),"")</f>
        <v/>
      </c>
      <c r="BC130" s="5" t="str">
        <f>IFERROR(__xludf.DUMMYFUNCTION("""COMPUTED_VALUE"""),"")</f>
        <v/>
      </c>
      <c r="BD130" s="5" t="str">
        <f>IFERROR(__xludf.DUMMYFUNCTION("""COMPUTED_VALUE"""),"")</f>
        <v/>
      </c>
      <c r="BE130" s="5" t="str">
        <f>IFERROR(__xludf.DUMMYFUNCTION("""COMPUTED_VALUE"""),"")</f>
        <v/>
      </c>
      <c r="BF130" s="5" t="str">
        <f>IFERROR(__xludf.DUMMYFUNCTION("""COMPUTED_VALUE"""),"")</f>
        <v/>
      </c>
      <c r="BG130" s="5" t="str">
        <f>IFERROR(__xludf.DUMMYFUNCTION("""COMPUTED_VALUE"""),"")</f>
        <v/>
      </c>
      <c r="BH130" s="5" t="str">
        <f>IFERROR(__xludf.DUMMYFUNCTION("""COMPUTED_VALUE"""),"")</f>
        <v/>
      </c>
      <c r="BI130" s="5" t="str">
        <f>IFERROR(__xludf.DUMMYFUNCTION("""COMPUTED_VALUE"""),"")</f>
        <v/>
      </c>
      <c r="BJ130" s="5" t="str">
        <f>IFERROR(__xludf.DUMMYFUNCTION("""COMPUTED_VALUE"""),"")</f>
        <v/>
      </c>
      <c r="BK130" s="5" t="str">
        <f>IFERROR(__xludf.DUMMYFUNCTION("""COMPUTED_VALUE"""),"")</f>
        <v/>
      </c>
      <c r="BL130" s="5" t="str">
        <f>IFERROR(__xludf.DUMMYFUNCTION("""COMPUTED_VALUE"""),"")</f>
        <v/>
      </c>
      <c r="BM130" s="5" t="str">
        <f>IFERROR(__xludf.DUMMYFUNCTION("""COMPUTED_VALUE"""),"")</f>
        <v/>
      </c>
    </row>
    <row r="131">
      <c r="A131" s="5" t="str">
        <f>IFERROR(__xludf.DUMMYFUNCTION("""COMPUTED_VALUE"""),"Fazi")</f>
        <v>Fazi</v>
      </c>
      <c r="B131" s="5" t="str">
        <f>IFERROR(__xludf.DUMMYFUNCTION("""COMPUTED_VALUE"""),"Football Victory")</f>
        <v>Football Victory</v>
      </c>
      <c r="C131" s="5" t="str">
        <f>IFERROR(__xludf.DUMMYFUNCTION("""COMPUTED_VALUE"""),"FootballVictory")</f>
        <v>FootballVictory</v>
      </c>
      <c r="D131" s="6">
        <f>IFERROR(__xludf.DUMMYFUNCTION("""COMPUTED_VALUE"""),45450.0)</f>
        <v>45450</v>
      </c>
      <c r="E131" s="5" t="str">
        <f>IFERROR(__xludf.DUMMYFUNCTION("""COMPUTED_VALUE"""),"Slot")</f>
        <v>Slot</v>
      </c>
      <c r="F131" s="5">
        <f>IFERROR(__xludf.DUMMYFUNCTION("""COMPUTED_VALUE"""),21.0)</f>
        <v>21</v>
      </c>
      <c r="G131" s="5" t="str">
        <f>IFERROR(__xludf.DUMMYFUNCTION("""COMPUTED_VALUE"""),"5x3")</f>
        <v>5x3</v>
      </c>
      <c r="H131" s="5" t="str">
        <f>IFERROR(__xludf.DUMMYFUNCTION("""COMPUTED_VALUE"""),"30")</f>
        <v>30</v>
      </c>
      <c r="I131" s="5" t="str">
        <f>IFERROR(__xludf.DUMMYFUNCTION("""COMPUTED_VALUE"""),"30")</f>
        <v>30</v>
      </c>
      <c r="J131" s="5" t="str">
        <f>IFERROR(__xludf.DUMMYFUNCTION("""COMPUTED_VALUE"""),"96.477%")</f>
        <v>96.477%</v>
      </c>
      <c r="K131" s="5" t="str">
        <f>IFERROR(__xludf.DUMMYFUNCTION("""COMPUTED_VALUE"""),"High")</f>
        <v>High</v>
      </c>
      <c r="L131" s="5" t="str">
        <f>IFERROR(__xludf.DUMMYFUNCTION("""COMPUTED_VALUE"""),"21.289%")</f>
        <v>21.289%</v>
      </c>
      <c r="M131" s="5" t="str">
        <f>IFERROR(__xludf.DUMMYFUNCTION("""COMPUTED_VALUE"""),"x2752")</f>
        <v>x2752</v>
      </c>
      <c r="N131" s="5" t="str">
        <f>IFERROR(__xludf.DUMMYFUNCTION("""COMPUTED_VALUE"""),"0.3/30")</f>
        <v>0.3/30</v>
      </c>
      <c r="O131" s="5" t="str">
        <f>IFERROR(__xludf.DUMMYFUNCTION("""COMPUTED_VALUE"""),"Yes")</f>
        <v>Yes</v>
      </c>
      <c r="P131" s="5" t="str">
        <f>IFERROR(__xludf.DUMMYFUNCTION("""COMPUTED_VALUE"""),"Wild Symbol, Scatter, Bonus Game with Free Spins")</f>
        <v>Wild Symbol, Scatter, Bonus Game with Free Spins</v>
      </c>
      <c r="Q131" s="7" t="str">
        <f>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R131" s="5" t="str">
        <f>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S1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1" s="5" t="str">
        <f>IFERROR(__xludf.DUMMYFUNCTION("""COMPUTED_VALUE"""),"Yes")</f>
        <v>Yes</v>
      </c>
      <c r="U131" s="5" t="str">
        <f>IFERROR(__xludf.DUMMYFUNCTION("""COMPUTED_VALUE"""),"Yes")</f>
        <v>Yes</v>
      </c>
      <c r="V131" s="5" t="str">
        <f>IFERROR(__xludf.DUMMYFUNCTION("""COMPUTED_VALUE"""),"Yes")</f>
        <v>Yes</v>
      </c>
      <c r="W131" s="5" t="str">
        <f>IFERROR(__xludf.DUMMYFUNCTION("""COMPUTED_VALUE"""),"Yes")</f>
        <v>Yes</v>
      </c>
      <c r="X131" s="5" t="str">
        <f>IFERROR(__xludf.DUMMYFUNCTION("""COMPUTED_VALUE"""),"Yes")</f>
        <v>Yes</v>
      </c>
      <c r="Y131" s="5" t="str">
        <f>IFERROR(__xludf.DUMMYFUNCTION("""COMPUTED_VALUE"""),"Yes")</f>
        <v>Yes</v>
      </c>
      <c r="Z131" s="5" t="str">
        <f>IFERROR(__xludf.DUMMYFUNCTION("""COMPUTED_VALUE"""),"Yes")</f>
        <v>Yes</v>
      </c>
      <c r="AA131" s="5" t="str">
        <f>IFERROR(__xludf.DUMMYFUNCTION("""COMPUTED_VALUE"""),"Yes")</f>
        <v>Yes</v>
      </c>
      <c r="AB131" s="5" t="str">
        <f>IFERROR(__xludf.DUMMYFUNCTION("""COMPUTED_VALUE"""),"Yes")</f>
        <v>Yes</v>
      </c>
      <c r="AC131" s="5" t="str">
        <f>IFERROR(__xludf.DUMMYFUNCTION("""COMPUTED_VALUE"""),"Yes")</f>
        <v>Yes</v>
      </c>
      <c r="AD131" s="5" t="str">
        <f>IFERROR(__xludf.DUMMYFUNCTION("""COMPUTED_VALUE"""),"Yes")</f>
        <v>Yes</v>
      </c>
      <c r="AE131" s="5" t="str">
        <f>IFERROR(__xludf.DUMMYFUNCTION("""COMPUTED_VALUE"""),"Yes")</f>
        <v>Yes</v>
      </c>
      <c r="AF131" s="5" t="str">
        <f>IFERROR(__xludf.DUMMYFUNCTION("""COMPUTED_VALUE"""),"Yes")</f>
        <v>Yes</v>
      </c>
      <c r="AG131" s="5" t="str">
        <f>IFERROR(__xludf.DUMMYFUNCTION("""COMPUTED_VALUE"""),"Yes")</f>
        <v>Yes</v>
      </c>
      <c r="AH131" s="5" t="str">
        <f>IFERROR(__xludf.DUMMYFUNCTION("""COMPUTED_VALUE"""),"Yes")</f>
        <v>Yes</v>
      </c>
      <c r="AI131" s="5" t="str">
        <f>IFERROR(__xludf.DUMMYFUNCTION("""COMPUTED_VALUE"""),"Yes")</f>
        <v>Yes</v>
      </c>
      <c r="AJ131" s="5" t="str">
        <f>IFERROR(__xludf.DUMMYFUNCTION("""COMPUTED_VALUE"""),"Yes")</f>
        <v>Yes</v>
      </c>
      <c r="AK131" s="5" t="str">
        <f>IFERROR(__xludf.DUMMYFUNCTION("""COMPUTED_VALUE"""),"Yes")</f>
        <v>Yes</v>
      </c>
      <c r="AL131" s="5" t="str">
        <f>IFERROR(__xludf.DUMMYFUNCTION("""COMPUTED_VALUE"""),"Yes")</f>
        <v>Yes</v>
      </c>
      <c r="AM131" s="5" t="str">
        <f>IFERROR(__xludf.DUMMYFUNCTION("""COMPUTED_VALUE"""),"Yes")</f>
        <v>Yes</v>
      </c>
      <c r="AN131" s="5" t="str">
        <f>IFERROR(__xludf.DUMMYFUNCTION("""COMPUTED_VALUE"""),"Yes")</f>
        <v>Yes</v>
      </c>
      <c r="AO131" s="5" t="str">
        <f>IFERROR(__xludf.DUMMYFUNCTION("""COMPUTED_VALUE"""),"Yes")</f>
        <v>Yes</v>
      </c>
      <c r="AP131" s="5" t="str">
        <f>IFERROR(__xludf.DUMMYFUNCTION("""COMPUTED_VALUE"""),"Yes")</f>
        <v>Yes</v>
      </c>
      <c r="AQ131" s="5" t="str">
        <f>IFERROR(__xludf.DUMMYFUNCTION("""COMPUTED_VALUE"""),"Yes")</f>
        <v>Yes</v>
      </c>
      <c r="AR131" s="5" t="str">
        <f>IFERROR(__xludf.DUMMYFUNCTION("""COMPUTED_VALUE"""),"Yes")</f>
        <v>Yes</v>
      </c>
      <c r="AS131" s="5" t="str">
        <f>IFERROR(__xludf.DUMMYFUNCTION("""COMPUTED_VALUE"""),"Yes")</f>
        <v>Yes</v>
      </c>
      <c r="AT131" s="5" t="str">
        <f>IFERROR(__xludf.DUMMYFUNCTION("""COMPUTED_VALUE"""),"No")</f>
        <v>No</v>
      </c>
      <c r="AU131" s="5"/>
      <c r="AV131" s="5" t="str">
        <f>IFERROR(__xludf.DUMMYFUNCTION("""COMPUTED_VALUE"""),"Available")</f>
        <v>Available</v>
      </c>
      <c r="AW131" s="5" t="str">
        <f>IFERROR(__xludf.DUMMYFUNCTION("""COMPUTED_VALUE"""),"Available")</f>
        <v>Available</v>
      </c>
      <c r="AX131" s="5" t="str">
        <f>IFERROR(__xludf.DUMMYFUNCTION("""COMPUTED_VALUE"""),"")</f>
        <v/>
      </c>
      <c r="AY131" s="5" t="str">
        <f>IFERROR(__xludf.DUMMYFUNCTION("""COMPUTED_VALUE"""),"")</f>
        <v/>
      </c>
      <c r="AZ131" s="5" t="str">
        <f>IFERROR(__xludf.DUMMYFUNCTION("""COMPUTED_VALUE"""),"Available")</f>
        <v>Available</v>
      </c>
      <c r="BA131" s="5" t="str">
        <f>IFERROR(__xludf.DUMMYFUNCTION("""COMPUTED_VALUE"""),"Available")</f>
        <v>Available</v>
      </c>
      <c r="BB131" s="5" t="str">
        <f>IFERROR(__xludf.DUMMYFUNCTION("""COMPUTED_VALUE"""),"")</f>
        <v/>
      </c>
      <c r="BC131" s="5" t="str">
        <f>IFERROR(__xludf.DUMMYFUNCTION("""COMPUTED_VALUE"""),"")</f>
        <v/>
      </c>
      <c r="BD131" s="5" t="str">
        <f>IFERROR(__xludf.DUMMYFUNCTION("""COMPUTED_VALUE"""),"Available")</f>
        <v>Available</v>
      </c>
      <c r="BE131" s="5" t="str">
        <f>IFERROR(__xludf.DUMMYFUNCTION("""COMPUTED_VALUE"""),"")</f>
        <v/>
      </c>
      <c r="BF131" s="5" t="str">
        <f>IFERROR(__xludf.DUMMYFUNCTION("""COMPUTED_VALUE"""),"")</f>
        <v/>
      </c>
      <c r="BG131" s="5" t="str">
        <f>IFERROR(__xludf.DUMMYFUNCTION("""COMPUTED_VALUE"""),"")</f>
        <v/>
      </c>
      <c r="BH131" s="5" t="str">
        <f>IFERROR(__xludf.DUMMYFUNCTION("""COMPUTED_VALUE"""),"")</f>
        <v/>
      </c>
      <c r="BI131" s="5" t="str">
        <f>IFERROR(__xludf.DUMMYFUNCTION("""COMPUTED_VALUE"""),"")</f>
        <v/>
      </c>
      <c r="BJ131" s="5" t="str">
        <f>IFERROR(__xludf.DUMMYFUNCTION("""COMPUTED_VALUE"""),"")</f>
        <v/>
      </c>
      <c r="BK131" s="5" t="str">
        <f>IFERROR(__xludf.DUMMYFUNCTION("""COMPUTED_VALUE"""),"")</f>
        <v/>
      </c>
      <c r="BL131" s="5" t="str">
        <f>IFERROR(__xludf.DUMMYFUNCTION("""COMPUTED_VALUE"""),"")</f>
        <v/>
      </c>
      <c r="BM131" s="5" t="str">
        <f>IFERROR(__xludf.DUMMYFUNCTION("""COMPUTED_VALUE"""),"")</f>
        <v/>
      </c>
    </row>
    <row r="132">
      <c r="A132" s="5" t="str">
        <f>IFERROR(__xludf.DUMMYFUNCTION("""COMPUTED_VALUE"""),"Fazi")</f>
        <v>Fazi</v>
      </c>
      <c r="B132" s="5" t="str">
        <f>IFERROR(__xludf.DUMMYFUNCTION("""COMPUTED_VALUE"""),"Wild Sunburst")</f>
        <v>Wild Sunburst</v>
      </c>
      <c r="C132" s="5" t="str">
        <f>IFERROR(__xludf.DUMMYFUNCTION("""COMPUTED_VALUE"""),"WildSunburst")</f>
        <v>WildSunburst</v>
      </c>
      <c r="D132" s="6">
        <f>IFERROR(__xludf.DUMMYFUNCTION("""COMPUTED_VALUE"""),45525.0)</f>
        <v>45525</v>
      </c>
      <c r="E132" s="5" t="str">
        <f>IFERROR(__xludf.DUMMYFUNCTION("""COMPUTED_VALUE"""),"Slot")</f>
        <v>Slot</v>
      </c>
      <c r="F132" s="5">
        <f>IFERROR(__xludf.DUMMYFUNCTION("""COMPUTED_VALUE"""),17.0)</f>
        <v>17</v>
      </c>
      <c r="G132" s="5" t="str">
        <f>IFERROR(__xludf.DUMMYFUNCTION("""COMPUTED_VALUE"""),"5x3")</f>
        <v>5x3</v>
      </c>
      <c r="H132" s="5" t="str">
        <f>IFERROR(__xludf.DUMMYFUNCTION("""COMPUTED_VALUE"""),"40")</f>
        <v>40</v>
      </c>
      <c r="I132" s="5" t="str">
        <f>IFERROR(__xludf.DUMMYFUNCTION("""COMPUTED_VALUE"""),"40")</f>
        <v>40</v>
      </c>
      <c r="J132" s="5" t="str">
        <f>IFERROR(__xludf.DUMMYFUNCTION("""COMPUTED_VALUE"""),"96.526%")</f>
        <v>96.526%</v>
      </c>
      <c r="K132" s="5" t="str">
        <f>IFERROR(__xludf.DUMMYFUNCTION("""COMPUTED_VALUE"""),"Medium")</f>
        <v>Medium</v>
      </c>
      <c r="L132" s="5" t="str">
        <f>IFERROR(__xludf.DUMMYFUNCTION("""COMPUTED_VALUE"""),"38.826%")</f>
        <v>38.826%</v>
      </c>
      <c r="M132" s="5" t="str">
        <f>IFERROR(__xludf.DUMMYFUNCTION("""COMPUTED_VALUE"""),"x2320")</f>
        <v>x2320</v>
      </c>
      <c r="N132" s="5" t="str">
        <f>IFERROR(__xludf.DUMMYFUNCTION("""COMPUTED_VALUE"""),"0.4/60")</f>
        <v>0.4/60</v>
      </c>
      <c r="O132" s="5" t="str">
        <f>IFERROR(__xludf.DUMMYFUNCTION("""COMPUTED_VALUE"""),"Yes")</f>
        <v>Yes</v>
      </c>
      <c r="P132" s="5" t="str">
        <f>IFERROR(__xludf.DUMMYFUNCTION("""COMPUTED_VALUE"""),"Bonus Game with Free Spins, Wild Multiplier, Expanding Wild")</f>
        <v>Bonus Game with Free Spins, Wild Multiplier, Expanding Wild</v>
      </c>
      <c r="Q132" s="7" t="str">
        <f>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R132" s="5" t="str">
        <f>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S1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2" s="5" t="str">
        <f>IFERROR(__xludf.DUMMYFUNCTION("""COMPUTED_VALUE"""),"Yes")</f>
        <v>Yes</v>
      </c>
      <c r="U132" s="5" t="str">
        <f>IFERROR(__xludf.DUMMYFUNCTION("""COMPUTED_VALUE"""),"Yes")</f>
        <v>Yes</v>
      </c>
      <c r="V132" s="5" t="str">
        <f>IFERROR(__xludf.DUMMYFUNCTION("""COMPUTED_VALUE"""),"Yes")</f>
        <v>Yes</v>
      </c>
      <c r="W132" s="5" t="str">
        <f>IFERROR(__xludf.DUMMYFUNCTION("""COMPUTED_VALUE"""),"Yes")</f>
        <v>Yes</v>
      </c>
      <c r="X132" s="5" t="str">
        <f>IFERROR(__xludf.DUMMYFUNCTION("""COMPUTED_VALUE"""),"Yes")</f>
        <v>Yes</v>
      </c>
      <c r="Y132" s="5" t="str">
        <f>IFERROR(__xludf.DUMMYFUNCTION("""COMPUTED_VALUE"""),"Yes")</f>
        <v>Yes</v>
      </c>
      <c r="Z132" s="5" t="str">
        <f>IFERROR(__xludf.DUMMYFUNCTION("""COMPUTED_VALUE"""),"Yes")</f>
        <v>Yes</v>
      </c>
      <c r="AA132" s="5" t="str">
        <f>IFERROR(__xludf.DUMMYFUNCTION("""COMPUTED_VALUE"""),"Yes")</f>
        <v>Yes</v>
      </c>
      <c r="AB132" s="5" t="str">
        <f>IFERROR(__xludf.DUMMYFUNCTION("""COMPUTED_VALUE"""),"Yes")</f>
        <v>Yes</v>
      </c>
      <c r="AC132" s="5" t="str">
        <f>IFERROR(__xludf.DUMMYFUNCTION("""COMPUTED_VALUE"""),"Yes")</f>
        <v>Yes</v>
      </c>
      <c r="AD132" s="5" t="str">
        <f>IFERROR(__xludf.DUMMYFUNCTION("""COMPUTED_VALUE"""),"Yes")</f>
        <v>Yes</v>
      </c>
      <c r="AE132" s="5" t="str">
        <f>IFERROR(__xludf.DUMMYFUNCTION("""COMPUTED_VALUE"""),"Yes")</f>
        <v>Yes</v>
      </c>
      <c r="AF132" s="5" t="str">
        <f>IFERROR(__xludf.DUMMYFUNCTION("""COMPUTED_VALUE"""),"Yes")</f>
        <v>Yes</v>
      </c>
      <c r="AG132" s="5" t="str">
        <f>IFERROR(__xludf.DUMMYFUNCTION("""COMPUTED_VALUE"""),"Yes")</f>
        <v>Yes</v>
      </c>
      <c r="AH132" s="5" t="str">
        <f>IFERROR(__xludf.DUMMYFUNCTION("""COMPUTED_VALUE"""),"Yes")</f>
        <v>Yes</v>
      </c>
      <c r="AI132" s="5" t="str">
        <f>IFERROR(__xludf.DUMMYFUNCTION("""COMPUTED_VALUE"""),"Yes")</f>
        <v>Yes</v>
      </c>
      <c r="AJ132" s="5" t="str">
        <f>IFERROR(__xludf.DUMMYFUNCTION("""COMPUTED_VALUE"""),"Yes")</f>
        <v>Yes</v>
      </c>
      <c r="AK132" s="5" t="str">
        <f>IFERROR(__xludf.DUMMYFUNCTION("""COMPUTED_VALUE"""),"Yes")</f>
        <v>Yes</v>
      </c>
      <c r="AL132" s="5" t="str">
        <f>IFERROR(__xludf.DUMMYFUNCTION("""COMPUTED_VALUE"""),"Yes")</f>
        <v>Yes</v>
      </c>
      <c r="AM132" s="5" t="str">
        <f>IFERROR(__xludf.DUMMYFUNCTION("""COMPUTED_VALUE"""),"Yes")</f>
        <v>Yes</v>
      </c>
      <c r="AN132" s="5" t="str">
        <f>IFERROR(__xludf.DUMMYFUNCTION("""COMPUTED_VALUE"""),"Yes")</f>
        <v>Yes</v>
      </c>
      <c r="AO132" s="5" t="str">
        <f>IFERROR(__xludf.DUMMYFUNCTION("""COMPUTED_VALUE"""),"Yes")</f>
        <v>Yes</v>
      </c>
      <c r="AP132" s="5" t="str">
        <f>IFERROR(__xludf.DUMMYFUNCTION("""COMPUTED_VALUE"""),"Yes")</f>
        <v>Yes</v>
      </c>
      <c r="AQ132" s="5" t="str">
        <f>IFERROR(__xludf.DUMMYFUNCTION("""COMPUTED_VALUE"""),"Yes")</f>
        <v>Yes</v>
      </c>
      <c r="AR132" s="5" t="str">
        <f>IFERROR(__xludf.DUMMYFUNCTION("""COMPUTED_VALUE"""),"Yes")</f>
        <v>Yes</v>
      </c>
      <c r="AS132" s="5" t="str">
        <f>IFERROR(__xludf.DUMMYFUNCTION("""COMPUTED_VALUE"""),"Yes")</f>
        <v>Yes</v>
      </c>
      <c r="AT132" s="5" t="str">
        <f>IFERROR(__xludf.DUMMYFUNCTION("""COMPUTED_VALUE"""),"No")</f>
        <v>No</v>
      </c>
      <c r="AU132" s="5"/>
      <c r="AV132" s="5" t="str">
        <f>IFERROR(__xludf.DUMMYFUNCTION("""COMPUTED_VALUE"""),"")</f>
        <v/>
      </c>
      <c r="AW132" s="5" t="str">
        <f>IFERROR(__xludf.DUMMYFUNCTION("""COMPUTED_VALUE"""),"")</f>
        <v/>
      </c>
      <c r="AX132" s="5" t="str">
        <f>IFERROR(__xludf.DUMMYFUNCTION("""COMPUTED_VALUE"""),"")</f>
        <v/>
      </c>
      <c r="AY132" s="5" t="str">
        <f>IFERROR(__xludf.DUMMYFUNCTION("""COMPUTED_VALUE"""),"")</f>
        <v/>
      </c>
      <c r="AZ132" s="5" t="str">
        <f>IFERROR(__xludf.DUMMYFUNCTION("""COMPUTED_VALUE"""),"Available")</f>
        <v>Available</v>
      </c>
      <c r="BA132" s="5" t="str">
        <f>IFERROR(__xludf.DUMMYFUNCTION("""COMPUTED_VALUE"""),"Available")</f>
        <v>Available</v>
      </c>
      <c r="BB132" s="5" t="str">
        <f>IFERROR(__xludf.DUMMYFUNCTION("""COMPUTED_VALUE"""),"Available")</f>
        <v>Available</v>
      </c>
      <c r="BC132" s="5" t="str">
        <f>IFERROR(__xludf.DUMMYFUNCTION("""COMPUTED_VALUE"""),"")</f>
        <v/>
      </c>
      <c r="BD132" s="5" t="str">
        <f>IFERROR(__xludf.DUMMYFUNCTION("""COMPUTED_VALUE"""),"")</f>
        <v/>
      </c>
      <c r="BE132" s="5" t="str">
        <f>IFERROR(__xludf.DUMMYFUNCTION("""COMPUTED_VALUE"""),"")</f>
        <v/>
      </c>
      <c r="BF132" s="5" t="str">
        <f>IFERROR(__xludf.DUMMYFUNCTION("""COMPUTED_VALUE"""),"")</f>
        <v/>
      </c>
      <c r="BG132" s="5" t="str">
        <f>IFERROR(__xludf.DUMMYFUNCTION("""COMPUTED_VALUE"""),"")</f>
        <v/>
      </c>
      <c r="BH132" s="5" t="str">
        <f>IFERROR(__xludf.DUMMYFUNCTION("""COMPUTED_VALUE"""),"")</f>
        <v/>
      </c>
      <c r="BI132" s="5" t="str">
        <f>IFERROR(__xludf.DUMMYFUNCTION("""COMPUTED_VALUE"""),"")</f>
        <v/>
      </c>
      <c r="BJ132" s="5" t="str">
        <f>IFERROR(__xludf.DUMMYFUNCTION("""COMPUTED_VALUE"""),"")</f>
        <v/>
      </c>
      <c r="BK132" s="5" t="str">
        <f>IFERROR(__xludf.DUMMYFUNCTION("""COMPUTED_VALUE"""),"Available")</f>
        <v>Available</v>
      </c>
      <c r="BL132" s="5" t="str">
        <f>IFERROR(__xludf.DUMMYFUNCTION("""COMPUTED_VALUE"""),"")</f>
        <v/>
      </c>
      <c r="BM132" s="5" t="str">
        <f>IFERROR(__xludf.DUMMYFUNCTION("""COMPUTED_VALUE"""),"")</f>
        <v/>
      </c>
    </row>
    <row r="133">
      <c r="A133" s="5" t="str">
        <f>IFERROR(__xludf.DUMMYFUNCTION("""COMPUTED_VALUE"""),"Fazi")</f>
        <v>Fazi</v>
      </c>
      <c r="B133" s="5" t="str">
        <f>IFERROR(__xludf.DUMMYFUNCTION("""COMPUTED_VALUE"""),"Toxic Haze")</f>
        <v>Toxic Haze</v>
      </c>
      <c r="C133" s="5" t="str">
        <f>IFERROR(__xludf.DUMMYFUNCTION("""COMPUTED_VALUE"""),"ToxicHaze")</f>
        <v>ToxicHaze</v>
      </c>
      <c r="D133" s="6">
        <f>IFERROR(__xludf.DUMMYFUNCTION("""COMPUTED_VALUE"""),45478.0)</f>
        <v>45478</v>
      </c>
      <c r="E133" s="5" t="str">
        <f>IFERROR(__xludf.DUMMYFUNCTION("""COMPUTED_VALUE"""),"Slot")</f>
        <v>Slot</v>
      </c>
      <c r="F133" s="5">
        <f>IFERROR(__xludf.DUMMYFUNCTION("""COMPUTED_VALUE"""),32.2)</f>
        <v>32.2</v>
      </c>
      <c r="G133" s="5" t="str">
        <f>IFERROR(__xludf.DUMMYFUNCTION("""COMPUTED_VALUE"""),"5x5")</f>
        <v>5x5</v>
      </c>
      <c r="H133" s="5" t="str">
        <f>IFERROR(__xludf.DUMMYFUNCTION("""COMPUTED_VALUE"""),"40")</f>
        <v>40</v>
      </c>
      <c r="I133" s="5" t="str">
        <f>IFERROR(__xludf.DUMMYFUNCTION("""COMPUTED_VALUE"""),"40")</f>
        <v>40</v>
      </c>
      <c r="J133" s="5" t="str">
        <f>IFERROR(__xludf.DUMMYFUNCTION("""COMPUTED_VALUE"""),"96.817%")</f>
        <v>96.817%</v>
      </c>
      <c r="K133" s="5" t="str">
        <f>IFERROR(__xludf.DUMMYFUNCTION("""COMPUTED_VALUE"""),"Medium")</f>
        <v>Medium</v>
      </c>
      <c r="L133" s="5" t="str">
        <f>IFERROR(__xludf.DUMMYFUNCTION("""COMPUTED_VALUE"""),"18.44%")</f>
        <v>18.44%</v>
      </c>
      <c r="M133" s="5" t="str">
        <f>IFERROR(__xludf.DUMMYFUNCTION("""COMPUTED_VALUE"""),"x2674")</f>
        <v>x2674</v>
      </c>
      <c r="N133" s="5" t="str">
        <f>IFERROR(__xludf.DUMMYFUNCTION("""COMPUTED_VALUE"""),"0.4/40")</f>
        <v>0.4/40</v>
      </c>
      <c r="O133" s="5" t="str">
        <f>IFERROR(__xludf.DUMMYFUNCTION("""COMPUTED_VALUE"""),"Yes")</f>
        <v>Yes</v>
      </c>
      <c r="P133" s="5" t="str">
        <f>IFERROR(__xludf.DUMMYFUNCTION("""COMPUTED_VALUE"""),"Bonus Game with Free Spins, Shifting Wild")</f>
        <v>Bonus Game with Free Spins, Shifting Wild</v>
      </c>
      <c r="Q133" s="7" t="str">
        <f>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R133" s="5" t="str">
        <f>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S1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3" s="5" t="str">
        <f>IFERROR(__xludf.DUMMYFUNCTION("""COMPUTED_VALUE"""),"Yes")</f>
        <v>Yes</v>
      </c>
      <c r="U133" s="5" t="str">
        <f>IFERROR(__xludf.DUMMYFUNCTION("""COMPUTED_VALUE"""),"Yes")</f>
        <v>Yes</v>
      </c>
      <c r="V133" s="5" t="str">
        <f>IFERROR(__xludf.DUMMYFUNCTION("""COMPUTED_VALUE"""),"Yes")</f>
        <v>Yes</v>
      </c>
      <c r="W133" s="5" t="str">
        <f>IFERROR(__xludf.DUMMYFUNCTION("""COMPUTED_VALUE"""),"Yes")</f>
        <v>Yes</v>
      </c>
      <c r="X133" s="5" t="str">
        <f>IFERROR(__xludf.DUMMYFUNCTION("""COMPUTED_VALUE"""),"Yes")</f>
        <v>Yes</v>
      </c>
      <c r="Y133" s="5" t="str">
        <f>IFERROR(__xludf.DUMMYFUNCTION("""COMPUTED_VALUE"""),"Yes")</f>
        <v>Yes</v>
      </c>
      <c r="Z133" s="5" t="str">
        <f>IFERROR(__xludf.DUMMYFUNCTION("""COMPUTED_VALUE"""),"Yes")</f>
        <v>Yes</v>
      </c>
      <c r="AA133" s="5" t="str">
        <f>IFERROR(__xludf.DUMMYFUNCTION("""COMPUTED_VALUE"""),"Yes")</f>
        <v>Yes</v>
      </c>
      <c r="AB133" s="5" t="str">
        <f>IFERROR(__xludf.DUMMYFUNCTION("""COMPUTED_VALUE"""),"Yes")</f>
        <v>Yes</v>
      </c>
      <c r="AC133" s="5" t="str">
        <f>IFERROR(__xludf.DUMMYFUNCTION("""COMPUTED_VALUE"""),"Yes")</f>
        <v>Yes</v>
      </c>
      <c r="AD133" s="5" t="str">
        <f>IFERROR(__xludf.DUMMYFUNCTION("""COMPUTED_VALUE"""),"Yes")</f>
        <v>Yes</v>
      </c>
      <c r="AE133" s="5" t="str">
        <f>IFERROR(__xludf.DUMMYFUNCTION("""COMPUTED_VALUE"""),"Yes")</f>
        <v>Yes</v>
      </c>
      <c r="AF133" s="5" t="str">
        <f>IFERROR(__xludf.DUMMYFUNCTION("""COMPUTED_VALUE"""),"Yes")</f>
        <v>Yes</v>
      </c>
      <c r="AG133" s="5" t="str">
        <f>IFERROR(__xludf.DUMMYFUNCTION("""COMPUTED_VALUE"""),"Yes")</f>
        <v>Yes</v>
      </c>
      <c r="AH133" s="5" t="str">
        <f>IFERROR(__xludf.DUMMYFUNCTION("""COMPUTED_VALUE"""),"Yes")</f>
        <v>Yes</v>
      </c>
      <c r="AI133" s="5" t="str">
        <f>IFERROR(__xludf.DUMMYFUNCTION("""COMPUTED_VALUE"""),"Yes")</f>
        <v>Yes</v>
      </c>
      <c r="AJ133" s="5" t="str">
        <f>IFERROR(__xludf.DUMMYFUNCTION("""COMPUTED_VALUE"""),"Yes")</f>
        <v>Yes</v>
      </c>
      <c r="AK133" s="5" t="str">
        <f>IFERROR(__xludf.DUMMYFUNCTION("""COMPUTED_VALUE"""),"Yes")</f>
        <v>Yes</v>
      </c>
      <c r="AL133" s="5" t="str">
        <f>IFERROR(__xludf.DUMMYFUNCTION("""COMPUTED_VALUE"""),"Yes")</f>
        <v>Yes</v>
      </c>
      <c r="AM133" s="5" t="str">
        <f>IFERROR(__xludf.DUMMYFUNCTION("""COMPUTED_VALUE"""),"Yes")</f>
        <v>Yes</v>
      </c>
      <c r="AN133" s="5" t="str">
        <f>IFERROR(__xludf.DUMMYFUNCTION("""COMPUTED_VALUE"""),"Yes")</f>
        <v>Yes</v>
      </c>
      <c r="AO133" s="5" t="str">
        <f>IFERROR(__xludf.DUMMYFUNCTION("""COMPUTED_VALUE"""),"Yes")</f>
        <v>Yes</v>
      </c>
      <c r="AP133" s="5" t="str">
        <f>IFERROR(__xludf.DUMMYFUNCTION("""COMPUTED_VALUE"""),"Yes")</f>
        <v>Yes</v>
      </c>
      <c r="AQ133" s="5" t="str">
        <f>IFERROR(__xludf.DUMMYFUNCTION("""COMPUTED_VALUE"""),"Yes")</f>
        <v>Yes</v>
      </c>
      <c r="AR133" s="5" t="str">
        <f>IFERROR(__xludf.DUMMYFUNCTION("""COMPUTED_VALUE"""),"Yes")</f>
        <v>Yes</v>
      </c>
      <c r="AS133" s="5" t="str">
        <f>IFERROR(__xludf.DUMMYFUNCTION("""COMPUTED_VALUE"""),"Yes")</f>
        <v>Yes</v>
      </c>
      <c r="AT133" s="5" t="str">
        <f>IFERROR(__xludf.DUMMYFUNCTION("""COMPUTED_VALUE"""),"No")</f>
        <v>No</v>
      </c>
      <c r="AU133" s="5"/>
      <c r="AV133" s="5" t="str">
        <f>IFERROR(__xludf.DUMMYFUNCTION("""COMPUTED_VALUE"""),"")</f>
        <v/>
      </c>
      <c r="AW133" s="5" t="str">
        <f>IFERROR(__xludf.DUMMYFUNCTION("""COMPUTED_VALUE"""),"")</f>
        <v/>
      </c>
      <c r="AX133" s="5" t="str">
        <f>IFERROR(__xludf.DUMMYFUNCTION("""COMPUTED_VALUE"""),"")</f>
        <v/>
      </c>
      <c r="AY133" s="5" t="str">
        <f>IFERROR(__xludf.DUMMYFUNCTION("""COMPUTED_VALUE"""),"")</f>
        <v/>
      </c>
      <c r="AZ133" s="5" t="str">
        <f>IFERROR(__xludf.DUMMYFUNCTION("""COMPUTED_VALUE"""),"")</f>
        <v/>
      </c>
      <c r="BA133" s="5" t="str">
        <f>IFERROR(__xludf.DUMMYFUNCTION("""COMPUTED_VALUE"""),"")</f>
        <v/>
      </c>
      <c r="BB133" s="5" t="str">
        <f>IFERROR(__xludf.DUMMYFUNCTION("""COMPUTED_VALUE"""),"Available")</f>
        <v>Available</v>
      </c>
      <c r="BC133" s="5" t="str">
        <f>IFERROR(__xludf.DUMMYFUNCTION("""COMPUTED_VALUE"""),"")</f>
        <v/>
      </c>
      <c r="BD133" s="5" t="str">
        <f>IFERROR(__xludf.DUMMYFUNCTION("""COMPUTED_VALUE"""),"")</f>
        <v/>
      </c>
      <c r="BE133" s="5" t="str">
        <f>IFERROR(__xludf.DUMMYFUNCTION("""COMPUTED_VALUE"""),"")</f>
        <v/>
      </c>
      <c r="BF133" s="5" t="str">
        <f>IFERROR(__xludf.DUMMYFUNCTION("""COMPUTED_VALUE"""),"")</f>
        <v/>
      </c>
      <c r="BG133" s="5" t="str">
        <f>IFERROR(__xludf.DUMMYFUNCTION("""COMPUTED_VALUE"""),"")</f>
        <v/>
      </c>
      <c r="BH133" s="5" t="str">
        <f>IFERROR(__xludf.DUMMYFUNCTION("""COMPUTED_VALUE"""),"")</f>
        <v/>
      </c>
      <c r="BI133" s="5" t="str">
        <f>IFERROR(__xludf.DUMMYFUNCTION("""COMPUTED_VALUE"""),"")</f>
        <v/>
      </c>
      <c r="BJ133" s="5" t="str">
        <f>IFERROR(__xludf.DUMMYFUNCTION("""COMPUTED_VALUE"""),"")</f>
        <v/>
      </c>
      <c r="BK133" s="5" t="str">
        <f>IFERROR(__xludf.DUMMYFUNCTION("""COMPUTED_VALUE"""),"Available")</f>
        <v>Available</v>
      </c>
      <c r="BL133" s="5" t="str">
        <f>IFERROR(__xludf.DUMMYFUNCTION("""COMPUTED_VALUE"""),"")</f>
        <v/>
      </c>
      <c r="BM133" s="5" t="str">
        <f>IFERROR(__xludf.DUMMYFUNCTION("""COMPUTED_VALUE"""),"")</f>
        <v/>
      </c>
    </row>
    <row r="134">
      <c r="A134" s="5" t="str">
        <f>IFERROR(__xludf.DUMMYFUNCTION("""COMPUTED_VALUE"""),"Fazi")</f>
        <v>Fazi</v>
      </c>
      <c r="B134" s="5" t="str">
        <f>IFERROR(__xludf.DUMMYFUNCTION("""COMPUTED_VALUE"""),"Mega Hot 10")</f>
        <v>Mega Hot 10</v>
      </c>
      <c r="C134" s="5" t="str">
        <f>IFERROR(__xludf.DUMMYFUNCTION("""COMPUTED_VALUE"""),"MegaHot10")</f>
        <v>MegaHot10</v>
      </c>
      <c r="D134" s="6">
        <f>IFERROR(__xludf.DUMMYFUNCTION("""COMPUTED_VALUE"""),45540.0)</f>
        <v>45540</v>
      </c>
      <c r="E134" s="5" t="str">
        <f>IFERROR(__xludf.DUMMYFUNCTION("""COMPUTED_VALUE"""),"Slot")</f>
        <v>Slot</v>
      </c>
      <c r="F134" s="5">
        <f>IFERROR(__xludf.DUMMYFUNCTION("""COMPUTED_VALUE"""),9.8)</f>
        <v>9.8</v>
      </c>
      <c r="G134" s="5" t="str">
        <f>IFERROR(__xludf.DUMMYFUNCTION("""COMPUTED_VALUE"""),"5x3")</f>
        <v>5x3</v>
      </c>
      <c r="H134" s="5" t="str">
        <f>IFERROR(__xludf.DUMMYFUNCTION("""COMPUTED_VALUE"""),"10")</f>
        <v>10</v>
      </c>
      <c r="I134" s="5" t="str">
        <f>IFERROR(__xludf.DUMMYFUNCTION("""COMPUTED_VALUE"""),"10")</f>
        <v>10</v>
      </c>
      <c r="J134" s="5" t="str">
        <f>IFERROR(__xludf.DUMMYFUNCTION("""COMPUTED_VALUE"""),"96.475%")</f>
        <v>96.475%</v>
      </c>
      <c r="K134" s="5" t="str">
        <f>IFERROR(__xludf.DUMMYFUNCTION("""COMPUTED_VALUE"""),"High")</f>
        <v>High</v>
      </c>
      <c r="L134" s="5" t="str">
        <f>IFERROR(__xludf.DUMMYFUNCTION("""COMPUTED_VALUE"""),"5.934%")</f>
        <v>5.934%</v>
      </c>
      <c r="M134" s="5" t="str">
        <f>IFERROR(__xludf.DUMMYFUNCTION("""COMPUTED_VALUE"""),"x1500")</f>
        <v>x1500</v>
      </c>
      <c r="N134" s="5" t="str">
        <f>IFERROR(__xludf.DUMMYFUNCTION("""COMPUTED_VALUE"""),"0.1/40")</f>
        <v>0.1/40</v>
      </c>
      <c r="O134" s="5" t="str">
        <f>IFERROR(__xludf.DUMMYFUNCTION("""COMPUTED_VALUE"""),"Yes")</f>
        <v>Yes</v>
      </c>
      <c r="P134" s="5" t="str">
        <f>IFERROR(__xludf.DUMMYFUNCTION("""COMPUTED_VALUE"""),"Win Multiplier")</f>
        <v>Win Multiplier</v>
      </c>
      <c r="Q134" s="7" t="str">
        <f>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R134" s="5" t="str">
        <f>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S1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IFERROR(__xludf.DUMMYFUNCTION("""COMPUTED_VALUE"""),"Yes")</f>
        <v>Yes</v>
      </c>
      <c r="AA134" s="5" t="str">
        <f>IFERROR(__xludf.DUMMYFUNCTION("""COMPUTED_VALUE"""),"Yes")</f>
        <v>Yes</v>
      </c>
      <c r="AB134" s="5" t="str">
        <f>IFERROR(__xludf.DUMMYFUNCTION("""COMPUTED_VALUE"""),"Yes")</f>
        <v>Yes</v>
      </c>
      <c r="AC134" s="5" t="str">
        <f>IFERROR(__xludf.DUMMYFUNCTION("""COMPUTED_VALUE"""),"Yes")</f>
        <v>Yes</v>
      </c>
      <c r="AD134" s="5" t="str">
        <f>IFERROR(__xludf.DUMMYFUNCTION("""COMPUTED_VALUE"""),"Yes")</f>
        <v>Yes</v>
      </c>
      <c r="AE134" s="5" t="str">
        <f>IFERROR(__xludf.DUMMYFUNCTION("""COMPUTED_VALUE"""),"Yes")</f>
        <v>Yes</v>
      </c>
      <c r="AF134" s="5" t="str">
        <f>IFERROR(__xludf.DUMMYFUNCTION("""COMPUTED_VALUE"""),"Yes")</f>
        <v>Yes</v>
      </c>
      <c r="AG134" s="5" t="str">
        <f>IFERROR(__xludf.DUMMYFUNCTION("""COMPUTED_VALUE"""),"Yes")</f>
        <v>Yes</v>
      </c>
      <c r="AH134" s="5" t="str">
        <f>IFERROR(__xludf.DUMMYFUNCTION("""COMPUTED_VALUE"""),"Yes")</f>
        <v>Yes</v>
      </c>
      <c r="AI134" s="5" t="str">
        <f>IFERROR(__xludf.DUMMYFUNCTION("""COMPUTED_VALUE"""),"Yes")</f>
        <v>Yes</v>
      </c>
      <c r="AJ134" s="5" t="str">
        <f>IFERROR(__xludf.DUMMYFUNCTION("""COMPUTED_VALUE"""),"Yes")</f>
        <v>Yes</v>
      </c>
      <c r="AK134" s="5" t="str">
        <f>IFERROR(__xludf.DUMMYFUNCTION("""COMPUTED_VALUE"""),"Yes")</f>
        <v>Yes</v>
      </c>
      <c r="AL134" s="5" t="str">
        <f>IFERROR(__xludf.DUMMYFUNCTION("""COMPUTED_VALUE"""),"Yes")</f>
        <v>Yes</v>
      </c>
      <c r="AM134" s="5" t="str">
        <f>IFERROR(__xludf.DUMMYFUNCTION("""COMPUTED_VALUE"""),"Yes")</f>
        <v>Yes</v>
      </c>
      <c r="AN134" s="5" t="str">
        <f>IFERROR(__xludf.DUMMYFUNCTION("""COMPUTED_VALUE"""),"Yes")</f>
        <v>Yes</v>
      </c>
      <c r="AO134" s="5" t="str">
        <f>IFERROR(__xludf.DUMMYFUNCTION("""COMPUTED_VALUE"""),"Yes")</f>
        <v>Yes</v>
      </c>
      <c r="AP134" s="5" t="str">
        <f>IFERROR(__xludf.DUMMYFUNCTION("""COMPUTED_VALUE"""),"Yes")</f>
        <v>Yes</v>
      </c>
      <c r="AQ134" s="5" t="str">
        <f>IFERROR(__xludf.DUMMYFUNCTION("""COMPUTED_VALUE"""),"Yes")</f>
        <v>Yes</v>
      </c>
      <c r="AR134" s="5" t="str">
        <f>IFERROR(__xludf.DUMMYFUNCTION("""COMPUTED_VALUE"""),"Yes")</f>
        <v>Yes</v>
      </c>
      <c r="AS134" s="5" t="str">
        <f>IFERROR(__xludf.DUMMYFUNCTION("""COMPUTED_VALUE"""),"Yes")</f>
        <v>Yes</v>
      </c>
      <c r="AT134" s="5" t="str">
        <f>IFERROR(__xludf.DUMMYFUNCTION("""COMPUTED_VALUE"""),"No")</f>
        <v>No</v>
      </c>
      <c r="AU134" s="5"/>
      <c r="AV134" s="5" t="str">
        <f>IFERROR(__xludf.DUMMYFUNCTION("""COMPUTED_VALUE"""),"")</f>
        <v/>
      </c>
      <c r="AW134" s="5" t="str">
        <f>IFERROR(__xludf.DUMMYFUNCTION("""COMPUTED_VALUE"""),"")</f>
        <v/>
      </c>
      <c r="AX134" s="5" t="str">
        <f>IFERROR(__xludf.DUMMYFUNCTION("""COMPUTED_VALUE"""),"")</f>
        <v/>
      </c>
      <c r="AY134" s="5" t="str">
        <f>IFERROR(__xludf.DUMMYFUNCTION("""COMPUTED_VALUE"""),"")</f>
        <v/>
      </c>
      <c r="AZ134" s="5" t="str">
        <f>IFERROR(__xludf.DUMMYFUNCTION("""COMPUTED_VALUE"""),"Available")</f>
        <v>Available</v>
      </c>
      <c r="BA134" s="5" t="str">
        <f>IFERROR(__xludf.DUMMYFUNCTION("""COMPUTED_VALUE"""),"Available")</f>
        <v>Available</v>
      </c>
      <c r="BB134" s="5" t="str">
        <f>IFERROR(__xludf.DUMMYFUNCTION("""COMPUTED_VALUE"""),"Available")</f>
        <v>Available</v>
      </c>
      <c r="BC134" s="5" t="str">
        <f>IFERROR(__xludf.DUMMYFUNCTION("""COMPUTED_VALUE"""),"")</f>
        <v/>
      </c>
      <c r="BD134" s="5" t="str">
        <f>IFERROR(__xludf.DUMMYFUNCTION("""COMPUTED_VALUE"""),"")</f>
        <v/>
      </c>
      <c r="BE134" s="5" t="str">
        <f>IFERROR(__xludf.DUMMYFUNCTION("""COMPUTED_VALUE"""),"")</f>
        <v/>
      </c>
      <c r="BF134" s="5" t="str">
        <f>IFERROR(__xludf.DUMMYFUNCTION("""COMPUTED_VALUE"""),"")</f>
        <v/>
      </c>
      <c r="BG134" s="5" t="str">
        <f>IFERROR(__xludf.DUMMYFUNCTION("""COMPUTED_VALUE"""),"")</f>
        <v/>
      </c>
      <c r="BH134" s="5" t="str">
        <f>IFERROR(__xludf.DUMMYFUNCTION("""COMPUTED_VALUE"""),"")</f>
        <v/>
      </c>
      <c r="BI134" s="5" t="str">
        <f>IFERROR(__xludf.DUMMYFUNCTION("""COMPUTED_VALUE"""),"")</f>
        <v/>
      </c>
      <c r="BJ134" s="5" t="str">
        <f>IFERROR(__xludf.DUMMYFUNCTION("""COMPUTED_VALUE"""),"")</f>
        <v/>
      </c>
      <c r="BK134" s="5" t="str">
        <f>IFERROR(__xludf.DUMMYFUNCTION("""COMPUTED_VALUE"""),"Available")</f>
        <v>Available</v>
      </c>
      <c r="BL134" s="5" t="str">
        <f>IFERROR(__xludf.DUMMYFUNCTION("""COMPUTED_VALUE"""),"")</f>
        <v/>
      </c>
      <c r="BM134" s="5" t="str">
        <f>IFERROR(__xludf.DUMMYFUNCTION("""COMPUTED_VALUE"""),"")</f>
        <v/>
      </c>
    </row>
    <row r="135">
      <c r="A135" s="5" t="str">
        <f>IFERROR(__xludf.DUMMYFUNCTION("""COMPUTED_VALUE"""),"Fazi")</f>
        <v>Fazi</v>
      </c>
      <c r="B135" s="5" t="str">
        <f>IFERROR(__xludf.DUMMYFUNCTION("""COMPUTED_VALUE"""),"Wild Heat 40")</f>
        <v>Wild Heat 40</v>
      </c>
      <c r="C135" s="5" t="str">
        <f>IFERROR(__xludf.DUMMYFUNCTION("""COMPUTED_VALUE"""),"WildHeat40")</f>
        <v>WildHeat40</v>
      </c>
      <c r="D135" s="6">
        <f>IFERROR(__xludf.DUMMYFUNCTION("""COMPUTED_VALUE"""),45551.0)</f>
        <v>45551</v>
      </c>
      <c r="E135" s="5" t="str">
        <f>IFERROR(__xludf.DUMMYFUNCTION("""COMPUTED_VALUE"""),"Slot")</f>
        <v>Slot</v>
      </c>
      <c r="F135" s="5">
        <f>IFERROR(__xludf.DUMMYFUNCTION("""COMPUTED_VALUE"""),11.9)</f>
        <v>11.9</v>
      </c>
      <c r="G135" s="5" t="str">
        <f>IFERROR(__xludf.DUMMYFUNCTION("""COMPUTED_VALUE"""),"5x4")</f>
        <v>5x4</v>
      </c>
      <c r="H135" s="5" t="str">
        <f>IFERROR(__xludf.DUMMYFUNCTION("""COMPUTED_VALUE"""),"40")</f>
        <v>40</v>
      </c>
      <c r="I135" s="5" t="str">
        <f>IFERROR(__xludf.DUMMYFUNCTION("""COMPUTED_VALUE"""),"40")</f>
        <v>40</v>
      </c>
      <c r="J135" s="5" t="str">
        <f>IFERROR(__xludf.DUMMYFUNCTION("""COMPUTED_VALUE"""),"96.997%")</f>
        <v>96.997%</v>
      </c>
      <c r="K135" s="5" t="str">
        <f>IFERROR(__xludf.DUMMYFUNCTION("""COMPUTED_VALUE"""),"Low")</f>
        <v>Low</v>
      </c>
      <c r="L135" s="5" t="str">
        <f>IFERROR(__xludf.DUMMYFUNCTION("""COMPUTED_VALUE"""),"16.768%")</f>
        <v>16.768%</v>
      </c>
      <c r="M135" s="5" t="str">
        <f>IFERROR(__xludf.DUMMYFUNCTION("""COMPUTED_VALUE"""),"x1000")</f>
        <v>x1000</v>
      </c>
      <c r="N135" s="5" t="str">
        <f>IFERROR(__xludf.DUMMYFUNCTION("""COMPUTED_VALUE"""),"0.4/60")</f>
        <v>0.4/60</v>
      </c>
      <c r="O135" s="5" t="str">
        <f>IFERROR(__xludf.DUMMYFUNCTION("""COMPUTED_VALUE"""),"Yes")</f>
        <v>Yes</v>
      </c>
      <c r="P135" s="5" t="str">
        <f>IFERROR(__xludf.DUMMYFUNCTION("""COMPUTED_VALUE"""),"Wild Symbol")</f>
        <v>Wild Symbol</v>
      </c>
      <c r="Q135" s="7" t="str">
        <f>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R135" s="5" t="str">
        <f>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S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IFERROR(__xludf.DUMMYFUNCTION("""COMPUTED_VALUE"""),"Yes")</f>
        <v>Yes</v>
      </c>
      <c r="AF135" s="5" t="str">
        <f>IFERROR(__xludf.DUMMYFUNCTION("""COMPUTED_VALUE"""),"Yes")</f>
        <v>Yes</v>
      </c>
      <c r="AG135" s="5" t="str">
        <f>IFERROR(__xludf.DUMMYFUNCTION("""COMPUTED_VALUE"""),"Yes")</f>
        <v>Yes</v>
      </c>
      <c r="AH135" s="5" t="str">
        <f>IFERROR(__xludf.DUMMYFUNCTION("""COMPUTED_VALUE"""),"Yes")</f>
        <v>Yes</v>
      </c>
      <c r="AI135" s="5" t="str">
        <f>IFERROR(__xludf.DUMMYFUNCTION("""COMPUTED_VALUE"""),"Yes")</f>
        <v>Yes</v>
      </c>
      <c r="AJ135" s="5" t="str">
        <f>IFERROR(__xludf.DUMMYFUNCTION("""COMPUTED_VALUE"""),"Yes")</f>
        <v>Yes</v>
      </c>
      <c r="AK135" s="5" t="str">
        <f>IFERROR(__xludf.DUMMYFUNCTION("""COMPUTED_VALUE"""),"Yes")</f>
        <v>Yes</v>
      </c>
      <c r="AL135" s="5" t="str">
        <f>IFERROR(__xludf.DUMMYFUNCTION("""COMPUTED_VALUE"""),"Yes")</f>
        <v>Yes</v>
      </c>
      <c r="AM135" s="5" t="str">
        <f>IFERROR(__xludf.DUMMYFUNCTION("""COMPUTED_VALUE"""),"Yes")</f>
        <v>Yes</v>
      </c>
      <c r="AN135" s="5" t="str">
        <f>IFERROR(__xludf.DUMMYFUNCTION("""COMPUTED_VALUE"""),"Yes")</f>
        <v>Yes</v>
      </c>
      <c r="AO135" s="5" t="str">
        <f>IFERROR(__xludf.DUMMYFUNCTION("""COMPUTED_VALUE"""),"Yes")</f>
        <v>Yes</v>
      </c>
      <c r="AP135" s="5" t="str">
        <f>IFERROR(__xludf.DUMMYFUNCTION("""COMPUTED_VALUE"""),"Yes")</f>
        <v>Yes</v>
      </c>
      <c r="AQ135" s="5" t="str">
        <f>IFERROR(__xludf.DUMMYFUNCTION("""COMPUTED_VALUE"""),"Yes")</f>
        <v>Yes</v>
      </c>
      <c r="AR135" s="5" t="str">
        <f>IFERROR(__xludf.DUMMYFUNCTION("""COMPUTED_VALUE"""),"Yes")</f>
        <v>Yes</v>
      </c>
      <c r="AS135" s="5" t="str">
        <f>IFERROR(__xludf.DUMMYFUNCTION("""COMPUTED_VALUE"""),"Yes")</f>
        <v>Yes</v>
      </c>
      <c r="AT135" s="5" t="str">
        <f>IFERROR(__xludf.DUMMYFUNCTION("""COMPUTED_VALUE"""),"No")</f>
        <v>No</v>
      </c>
      <c r="AU135" s="5"/>
      <c r="AV135" s="5" t="str">
        <f>IFERROR(__xludf.DUMMYFUNCTION("""COMPUTED_VALUE"""),"Available")</f>
        <v>Available</v>
      </c>
      <c r="AW135" s="5" t="str">
        <f>IFERROR(__xludf.DUMMYFUNCTION("""COMPUTED_VALUE"""),"")</f>
        <v/>
      </c>
      <c r="AX135" s="5" t="str">
        <f>IFERROR(__xludf.DUMMYFUNCTION("""COMPUTED_VALUE"""),"")</f>
        <v/>
      </c>
      <c r="AY135" s="5" t="str">
        <f>IFERROR(__xludf.DUMMYFUNCTION("""COMPUTED_VALUE"""),"")</f>
        <v/>
      </c>
      <c r="AZ135" s="5" t="str">
        <f>IFERROR(__xludf.DUMMYFUNCTION("""COMPUTED_VALUE"""),"Available")</f>
        <v>Available</v>
      </c>
      <c r="BA135" s="5" t="str">
        <f>IFERROR(__xludf.DUMMYFUNCTION("""COMPUTED_VALUE"""),"Available")</f>
        <v>Available</v>
      </c>
      <c r="BB135" s="5" t="str">
        <f>IFERROR(__xludf.DUMMYFUNCTION("""COMPUTED_VALUE"""),"Available")</f>
        <v>Available</v>
      </c>
      <c r="BC135" s="5" t="str">
        <f>IFERROR(__xludf.DUMMYFUNCTION("""COMPUTED_VALUE"""),"")</f>
        <v/>
      </c>
      <c r="BD135" s="5" t="str">
        <f>IFERROR(__xludf.DUMMYFUNCTION("""COMPUTED_VALUE"""),"")</f>
        <v/>
      </c>
      <c r="BE135" s="5" t="str">
        <f>IFERROR(__xludf.DUMMYFUNCTION("""COMPUTED_VALUE"""),"")</f>
        <v/>
      </c>
      <c r="BF135" s="5" t="str">
        <f>IFERROR(__xludf.DUMMYFUNCTION("""COMPUTED_VALUE"""),"")</f>
        <v/>
      </c>
      <c r="BG135" s="5" t="str">
        <f>IFERROR(__xludf.DUMMYFUNCTION("""COMPUTED_VALUE"""),"")</f>
        <v/>
      </c>
      <c r="BH135" s="5" t="str">
        <f>IFERROR(__xludf.DUMMYFUNCTION("""COMPUTED_VALUE"""),"")</f>
        <v/>
      </c>
      <c r="BI135" s="5" t="str">
        <f>IFERROR(__xludf.DUMMYFUNCTION("""COMPUTED_VALUE"""),"")</f>
        <v/>
      </c>
      <c r="BJ135" s="5" t="str">
        <f>IFERROR(__xludf.DUMMYFUNCTION("""COMPUTED_VALUE"""),"")</f>
        <v/>
      </c>
      <c r="BK135" s="5" t="str">
        <f>IFERROR(__xludf.DUMMYFUNCTION("""COMPUTED_VALUE"""),"Available")</f>
        <v>Available</v>
      </c>
      <c r="BL135" s="5" t="str">
        <f>IFERROR(__xludf.DUMMYFUNCTION("""COMPUTED_VALUE"""),"")</f>
        <v/>
      </c>
      <c r="BM135" s="5" t="str">
        <f>IFERROR(__xludf.DUMMYFUNCTION("""COMPUTED_VALUE"""),"")</f>
        <v/>
      </c>
    </row>
    <row r="136">
      <c r="A136" s="5" t="str">
        <f>IFERROR(__xludf.DUMMYFUNCTION("""COMPUTED_VALUE"""),"Fazi")</f>
        <v>Fazi</v>
      </c>
      <c r="B136" s="5" t="str">
        <f>IFERROR(__xludf.DUMMYFUNCTION("""COMPUTED_VALUE"""),"Blow Fruits 40")</f>
        <v>Blow Fruits 40</v>
      </c>
      <c r="C136" s="5" t="str">
        <f>IFERROR(__xludf.DUMMYFUNCTION("""COMPUTED_VALUE"""),"BlowFruits40")</f>
        <v>BlowFruits40</v>
      </c>
      <c r="D136" s="6">
        <f>IFERROR(__xludf.DUMMYFUNCTION("""COMPUTED_VALUE"""),45601.0)</f>
        <v>45601</v>
      </c>
      <c r="E136" s="5" t="str">
        <f>IFERROR(__xludf.DUMMYFUNCTION("""COMPUTED_VALUE"""),"Slot")</f>
        <v>Slot</v>
      </c>
      <c r="F136" s="5">
        <f>IFERROR(__xludf.DUMMYFUNCTION("""COMPUTED_VALUE"""),22.6)</f>
        <v>22.6</v>
      </c>
      <c r="G136" s="5" t="str">
        <f>IFERROR(__xludf.DUMMYFUNCTION("""COMPUTED_VALUE"""),"5x4")</f>
        <v>5x4</v>
      </c>
      <c r="H136" s="5" t="str">
        <f>IFERROR(__xludf.DUMMYFUNCTION("""COMPUTED_VALUE"""),"40")</f>
        <v>40</v>
      </c>
      <c r="I136" s="5" t="str">
        <f>IFERROR(__xludf.DUMMYFUNCTION("""COMPUTED_VALUE"""),"40")</f>
        <v>40</v>
      </c>
      <c r="J136" s="5" t="str">
        <f>IFERROR(__xludf.DUMMYFUNCTION("""COMPUTED_VALUE"""),"96.594%")</f>
        <v>96.594%</v>
      </c>
      <c r="K136" s="5" t="str">
        <f>IFERROR(__xludf.DUMMYFUNCTION("""COMPUTED_VALUE"""),"Medium")</f>
        <v>Medium</v>
      </c>
      <c r="L136" s="5" t="str">
        <f>IFERROR(__xludf.DUMMYFUNCTION("""COMPUTED_VALUE"""),"12.056%")</f>
        <v>12.056%</v>
      </c>
      <c r="M136" s="5" t="str">
        <f>IFERROR(__xludf.DUMMYFUNCTION("""COMPUTED_VALUE"""),"x750")</f>
        <v>x750</v>
      </c>
      <c r="N136" s="5" t="str">
        <f>IFERROR(__xludf.DUMMYFUNCTION("""COMPUTED_VALUE"""),"0.4/60")</f>
        <v>0.4/60</v>
      </c>
      <c r="O136" s="5" t="str">
        <f>IFERROR(__xludf.DUMMYFUNCTION("""COMPUTED_VALUE"""),"Yes")</f>
        <v>Yes</v>
      </c>
      <c r="P136" s="5" t="str">
        <f>IFERROR(__xludf.DUMMYFUNCTION("""COMPUTED_VALUE"""),"Exploding Wild")</f>
        <v>Exploding Wild</v>
      </c>
      <c r="Q136"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R136" s="5" t="str">
        <f>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S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IFERROR(__xludf.DUMMYFUNCTION("""COMPUTED_VALUE"""),"Yes")</f>
        <v>Yes</v>
      </c>
      <c r="AF136" s="5" t="str">
        <f>IFERROR(__xludf.DUMMYFUNCTION("""COMPUTED_VALUE"""),"Yes")</f>
        <v>Yes</v>
      </c>
      <c r="AG136" s="5" t="str">
        <f>IFERROR(__xludf.DUMMYFUNCTION("""COMPUTED_VALUE"""),"Yes")</f>
        <v>Yes</v>
      </c>
      <c r="AH136" s="5" t="str">
        <f>IFERROR(__xludf.DUMMYFUNCTION("""COMPUTED_VALUE"""),"Yes")</f>
        <v>Yes</v>
      </c>
      <c r="AI136" s="5" t="str">
        <f>IFERROR(__xludf.DUMMYFUNCTION("""COMPUTED_VALUE"""),"Yes")</f>
        <v>Yes</v>
      </c>
      <c r="AJ136" s="5" t="str">
        <f>IFERROR(__xludf.DUMMYFUNCTION("""COMPUTED_VALUE"""),"Yes")</f>
        <v>Yes</v>
      </c>
      <c r="AK136" s="5" t="str">
        <f>IFERROR(__xludf.DUMMYFUNCTION("""COMPUTED_VALUE"""),"Yes")</f>
        <v>Yes</v>
      </c>
      <c r="AL136" s="5" t="str">
        <f>IFERROR(__xludf.DUMMYFUNCTION("""COMPUTED_VALUE"""),"Yes")</f>
        <v>Yes</v>
      </c>
      <c r="AM136" s="5" t="str">
        <f>IFERROR(__xludf.DUMMYFUNCTION("""COMPUTED_VALUE"""),"Yes")</f>
        <v>Yes</v>
      </c>
      <c r="AN136" s="5" t="str">
        <f>IFERROR(__xludf.DUMMYFUNCTION("""COMPUTED_VALUE"""),"Yes")</f>
        <v>Yes</v>
      </c>
      <c r="AO136" s="5" t="str">
        <f>IFERROR(__xludf.DUMMYFUNCTION("""COMPUTED_VALUE"""),"Yes")</f>
        <v>Yes</v>
      </c>
      <c r="AP136" s="5" t="str">
        <f>IFERROR(__xludf.DUMMYFUNCTION("""COMPUTED_VALUE"""),"Yes")</f>
        <v>Yes</v>
      </c>
      <c r="AQ136" s="5" t="str">
        <f>IFERROR(__xludf.DUMMYFUNCTION("""COMPUTED_VALUE"""),"Yes")</f>
        <v>Yes</v>
      </c>
      <c r="AR136" s="5" t="str">
        <f>IFERROR(__xludf.DUMMYFUNCTION("""COMPUTED_VALUE"""),"Yes")</f>
        <v>Yes</v>
      </c>
      <c r="AS136" s="5" t="str">
        <f>IFERROR(__xludf.DUMMYFUNCTION("""COMPUTED_VALUE"""),"Yes")</f>
        <v>Yes</v>
      </c>
      <c r="AT136" s="5" t="str">
        <f>IFERROR(__xludf.DUMMYFUNCTION("""COMPUTED_VALUE"""),"No")</f>
        <v>No</v>
      </c>
      <c r="AU136" s="5"/>
      <c r="AV136" s="5" t="str">
        <f>IFERROR(__xludf.DUMMYFUNCTION("""COMPUTED_VALUE"""),"")</f>
        <v/>
      </c>
      <c r="AW136" s="5" t="str">
        <f>IFERROR(__xludf.DUMMYFUNCTION("""COMPUTED_VALUE"""),"")</f>
        <v/>
      </c>
      <c r="AX136" s="5" t="str">
        <f>IFERROR(__xludf.DUMMYFUNCTION("""COMPUTED_VALUE"""),"")</f>
        <v/>
      </c>
      <c r="AY136" s="5" t="str">
        <f>IFERROR(__xludf.DUMMYFUNCTION("""COMPUTED_VALUE"""),"")</f>
        <v/>
      </c>
      <c r="AZ136" s="5" t="str">
        <f>IFERROR(__xludf.DUMMYFUNCTION("""COMPUTED_VALUE"""),"Available")</f>
        <v>Available</v>
      </c>
      <c r="BA136" s="5" t="str">
        <f>IFERROR(__xludf.DUMMYFUNCTION("""COMPUTED_VALUE"""),"Available")</f>
        <v>Available</v>
      </c>
      <c r="BB136" s="5" t="str">
        <f>IFERROR(__xludf.DUMMYFUNCTION("""COMPUTED_VALUE"""),"Available")</f>
        <v>Available</v>
      </c>
      <c r="BC136" s="5" t="str">
        <f>IFERROR(__xludf.DUMMYFUNCTION("""COMPUTED_VALUE"""),"")</f>
        <v/>
      </c>
      <c r="BD136" s="5" t="str">
        <f>IFERROR(__xludf.DUMMYFUNCTION("""COMPUTED_VALUE"""),"")</f>
        <v/>
      </c>
      <c r="BE136" s="5" t="str">
        <f>IFERROR(__xludf.DUMMYFUNCTION("""COMPUTED_VALUE"""),"")</f>
        <v/>
      </c>
      <c r="BF136" s="5" t="str">
        <f>IFERROR(__xludf.DUMMYFUNCTION("""COMPUTED_VALUE"""),"")</f>
        <v/>
      </c>
      <c r="BG136" s="5" t="str">
        <f>IFERROR(__xludf.DUMMYFUNCTION("""COMPUTED_VALUE"""),"")</f>
        <v/>
      </c>
      <c r="BH136" s="5" t="str">
        <f>IFERROR(__xludf.DUMMYFUNCTION("""COMPUTED_VALUE"""),"")</f>
        <v/>
      </c>
      <c r="BI136" s="5" t="str">
        <f>IFERROR(__xludf.DUMMYFUNCTION("""COMPUTED_VALUE"""),"")</f>
        <v/>
      </c>
      <c r="BJ136" s="5" t="str">
        <f>IFERROR(__xludf.DUMMYFUNCTION("""COMPUTED_VALUE"""),"")</f>
        <v/>
      </c>
      <c r="BK136" s="5" t="str">
        <f>IFERROR(__xludf.DUMMYFUNCTION("""COMPUTED_VALUE"""),"Available")</f>
        <v>Available</v>
      </c>
      <c r="BL136" s="5" t="str">
        <f>IFERROR(__xludf.DUMMYFUNCTION("""COMPUTED_VALUE"""),"")</f>
        <v/>
      </c>
      <c r="BM136" s="5" t="str">
        <f>IFERROR(__xludf.DUMMYFUNCTION("""COMPUTED_VALUE"""),"")</f>
        <v/>
      </c>
    </row>
    <row r="137">
      <c r="A137" s="5" t="str">
        <f>IFERROR(__xludf.DUMMYFUNCTION("""COMPUTED_VALUE"""),"Fazi")</f>
        <v>Fazi</v>
      </c>
      <c r="B137" s="5" t="str">
        <f>IFERROR(__xludf.DUMMYFUNCTION("""COMPUTED_VALUE"""),"Age of Rome")</f>
        <v>Age of Rome</v>
      </c>
      <c r="C137" s="5" t="str">
        <f>IFERROR(__xludf.DUMMYFUNCTION("""COMPUTED_VALUE"""),"AgeOfRome")</f>
        <v>AgeOfRome</v>
      </c>
      <c r="D137" s="6">
        <f>IFERROR(__xludf.DUMMYFUNCTION("""COMPUTED_VALUE"""),45769.0)</f>
        <v>45769</v>
      </c>
      <c r="E137" s="5" t="str">
        <f>IFERROR(__xludf.DUMMYFUNCTION("""COMPUTED_VALUE"""),"Slot")</f>
        <v>Slot</v>
      </c>
      <c r="F137" s="5">
        <f>IFERROR(__xludf.DUMMYFUNCTION("""COMPUTED_VALUE"""),33.1)</f>
        <v>33.1</v>
      </c>
      <c r="G137" s="5" t="str">
        <f>IFERROR(__xludf.DUMMYFUNCTION("""COMPUTED_VALUE"""),"5x3")</f>
        <v>5x3</v>
      </c>
      <c r="H137" s="5" t="str">
        <f>IFERROR(__xludf.DUMMYFUNCTION("""COMPUTED_VALUE"""),"20")</f>
        <v>20</v>
      </c>
      <c r="I137" s="5" t="str">
        <f>IFERROR(__xludf.DUMMYFUNCTION("""COMPUTED_VALUE"""),"20")</f>
        <v>20</v>
      </c>
      <c r="J137" s="5" t="str">
        <f>IFERROR(__xludf.DUMMYFUNCTION("""COMPUTED_VALUE"""),"96.502%")</f>
        <v>96.502%</v>
      </c>
      <c r="K137" s="5" t="str">
        <f>IFERROR(__xludf.DUMMYFUNCTION("""COMPUTED_VALUE"""),"High")</f>
        <v>High</v>
      </c>
      <c r="L137" s="5" t="str">
        <f>IFERROR(__xludf.DUMMYFUNCTION("""COMPUTED_VALUE"""),"12.937%")</f>
        <v>12.937%</v>
      </c>
      <c r="M137" s="5" t="str">
        <f>IFERROR(__xludf.DUMMYFUNCTION("""COMPUTED_VALUE"""),"x14000")</f>
        <v>x14000</v>
      </c>
      <c r="N137" s="5" t="str">
        <f>IFERROR(__xludf.DUMMYFUNCTION("""COMPUTED_VALUE"""),"0.4/60")</f>
        <v>0.4/60</v>
      </c>
      <c r="O137" s="5" t="str">
        <f>IFERROR(__xludf.DUMMYFUNCTION("""COMPUTED_VALUE"""),"Yes")</f>
        <v>Yes</v>
      </c>
      <c r="P137" s="5" t="str">
        <f>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Q137" s="7" t="str">
        <f>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R137" s="5" t="str">
        <f>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S1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IFERROR(__xludf.DUMMYFUNCTION("""COMPUTED_VALUE"""),"Yes")</f>
        <v>Yes</v>
      </c>
      <c r="AA137" s="5" t="str">
        <f>IFERROR(__xludf.DUMMYFUNCTION("""COMPUTED_VALUE"""),"Yes")</f>
        <v>Yes</v>
      </c>
      <c r="AB137" s="5" t="str">
        <f>IFERROR(__xludf.DUMMYFUNCTION("""COMPUTED_VALUE"""),"Yes")</f>
        <v>Yes</v>
      </c>
      <c r="AC137" s="5" t="str">
        <f>IFERROR(__xludf.DUMMYFUNCTION("""COMPUTED_VALUE"""),"Yes")</f>
        <v>Yes</v>
      </c>
      <c r="AD137" s="5" t="str">
        <f>IFERROR(__xludf.DUMMYFUNCTION("""COMPUTED_VALUE"""),"Yes")</f>
        <v>Yes</v>
      </c>
      <c r="AE137" s="5" t="str">
        <f>IFERROR(__xludf.DUMMYFUNCTION("""COMPUTED_VALUE"""),"Yes")</f>
        <v>Yes</v>
      </c>
      <c r="AF137" s="5" t="str">
        <f>IFERROR(__xludf.DUMMYFUNCTION("""COMPUTED_VALUE"""),"Yes")</f>
        <v>Yes</v>
      </c>
      <c r="AG137" s="5" t="str">
        <f>IFERROR(__xludf.DUMMYFUNCTION("""COMPUTED_VALUE"""),"Yes")</f>
        <v>Yes</v>
      </c>
      <c r="AH137" s="5" t="str">
        <f>IFERROR(__xludf.DUMMYFUNCTION("""COMPUTED_VALUE"""),"Yes")</f>
        <v>Yes</v>
      </c>
      <c r="AI137" s="5" t="str">
        <f>IFERROR(__xludf.DUMMYFUNCTION("""COMPUTED_VALUE"""),"Yes")</f>
        <v>Yes</v>
      </c>
      <c r="AJ137" s="5" t="str">
        <f>IFERROR(__xludf.DUMMYFUNCTION("""COMPUTED_VALUE"""),"Yes")</f>
        <v>Yes</v>
      </c>
      <c r="AK137" s="5" t="str">
        <f>IFERROR(__xludf.DUMMYFUNCTION("""COMPUTED_VALUE"""),"Yes")</f>
        <v>Yes</v>
      </c>
      <c r="AL137" s="5" t="str">
        <f>IFERROR(__xludf.DUMMYFUNCTION("""COMPUTED_VALUE"""),"Yes")</f>
        <v>Yes</v>
      </c>
      <c r="AM137" s="5" t="str">
        <f>IFERROR(__xludf.DUMMYFUNCTION("""COMPUTED_VALUE"""),"Yes")</f>
        <v>Yes</v>
      </c>
      <c r="AN137" s="5" t="str">
        <f>IFERROR(__xludf.DUMMYFUNCTION("""COMPUTED_VALUE"""),"Yes")</f>
        <v>Yes</v>
      </c>
      <c r="AO137" s="5" t="str">
        <f>IFERROR(__xludf.DUMMYFUNCTION("""COMPUTED_VALUE"""),"Yes")</f>
        <v>Yes</v>
      </c>
      <c r="AP137" s="5" t="str">
        <f>IFERROR(__xludf.DUMMYFUNCTION("""COMPUTED_VALUE"""),"Yes")</f>
        <v>Yes</v>
      </c>
      <c r="AQ137" s="5" t="str">
        <f>IFERROR(__xludf.DUMMYFUNCTION("""COMPUTED_VALUE"""),"Yes")</f>
        <v>Yes</v>
      </c>
      <c r="AR137" s="5" t="str">
        <f>IFERROR(__xludf.DUMMYFUNCTION("""COMPUTED_VALUE"""),"Yes")</f>
        <v>Yes</v>
      </c>
      <c r="AS137" s="5" t="str">
        <f>IFERROR(__xludf.DUMMYFUNCTION("""COMPUTED_VALUE"""),"Yes")</f>
        <v>Yes</v>
      </c>
      <c r="AT137" s="5" t="str">
        <f>IFERROR(__xludf.DUMMYFUNCTION("""COMPUTED_VALUE"""),"No")</f>
        <v>No</v>
      </c>
      <c r="AU137" s="5"/>
      <c r="AV137" s="5" t="str">
        <f>IFERROR(__xludf.DUMMYFUNCTION("""COMPUTED_VALUE"""),"")</f>
        <v/>
      </c>
      <c r="AW137" s="5" t="str">
        <f>IFERROR(__xludf.DUMMYFUNCTION("""COMPUTED_VALUE"""),"")</f>
        <v/>
      </c>
      <c r="AX137" s="5" t="str">
        <f>IFERROR(__xludf.DUMMYFUNCTION("""COMPUTED_VALUE"""),"")</f>
        <v/>
      </c>
      <c r="AY137" s="5" t="str">
        <f>IFERROR(__xludf.DUMMYFUNCTION("""COMPUTED_VALUE"""),"")</f>
        <v/>
      </c>
      <c r="AZ137" s="5" t="str">
        <f>IFERROR(__xludf.DUMMYFUNCTION("""COMPUTED_VALUE"""),"")</f>
        <v/>
      </c>
      <c r="BA137" s="5" t="str">
        <f>IFERROR(__xludf.DUMMYFUNCTION("""COMPUTED_VALUE"""),"")</f>
        <v/>
      </c>
      <c r="BB137" s="5" t="str">
        <f>IFERROR(__xludf.DUMMYFUNCTION("""COMPUTED_VALUE"""),"")</f>
        <v/>
      </c>
      <c r="BC137" s="5" t="str">
        <f>IFERROR(__xludf.DUMMYFUNCTION("""COMPUTED_VALUE"""),"")</f>
        <v/>
      </c>
      <c r="BD137" s="5" t="str">
        <f>IFERROR(__xludf.DUMMYFUNCTION("""COMPUTED_VALUE"""),"")</f>
        <v/>
      </c>
      <c r="BE137" s="5" t="str">
        <f>IFERROR(__xludf.DUMMYFUNCTION("""COMPUTED_VALUE"""),"")</f>
        <v/>
      </c>
      <c r="BF137" s="5" t="str">
        <f>IFERROR(__xludf.DUMMYFUNCTION("""COMPUTED_VALUE"""),"")</f>
        <v/>
      </c>
      <c r="BG137" s="5" t="str">
        <f>IFERROR(__xludf.DUMMYFUNCTION("""COMPUTED_VALUE"""),"")</f>
        <v/>
      </c>
      <c r="BH137" s="5" t="str">
        <f>IFERROR(__xludf.DUMMYFUNCTION("""COMPUTED_VALUE"""),"")</f>
        <v/>
      </c>
      <c r="BI137" s="5" t="str">
        <f>IFERROR(__xludf.DUMMYFUNCTION("""COMPUTED_VALUE"""),"")</f>
        <v/>
      </c>
      <c r="BJ137" s="5" t="str">
        <f>IFERROR(__xludf.DUMMYFUNCTION("""COMPUTED_VALUE"""),"")</f>
        <v/>
      </c>
      <c r="BK137" s="5" t="str">
        <f>IFERROR(__xludf.DUMMYFUNCTION("""COMPUTED_VALUE"""),"")</f>
        <v/>
      </c>
      <c r="BL137" s="5" t="str">
        <f>IFERROR(__xludf.DUMMYFUNCTION("""COMPUTED_VALUE"""),"")</f>
        <v/>
      </c>
      <c r="BM137" s="5" t="str">
        <f>IFERROR(__xludf.DUMMYFUNCTION("""COMPUTED_VALUE"""),"")</f>
        <v/>
      </c>
    </row>
    <row r="138">
      <c r="A138" s="5" t="str">
        <f>IFERROR(__xludf.DUMMYFUNCTION("""COMPUTED_VALUE"""),"Fazi")</f>
        <v>Fazi</v>
      </c>
      <c r="B138" s="5" t="str">
        <f>IFERROR(__xludf.DUMMYFUNCTION("""COMPUTED_VALUE"""),"Fruity Force 40")</f>
        <v>Fruity Force 40</v>
      </c>
      <c r="C138" s="5" t="str">
        <f>IFERROR(__xludf.DUMMYFUNCTION("""COMPUTED_VALUE"""),"FruityForce40")</f>
        <v>FruityForce40</v>
      </c>
      <c r="D138" s="6">
        <f>IFERROR(__xludf.DUMMYFUNCTION("""COMPUTED_VALUE"""),45743.0)</f>
        <v>45743</v>
      </c>
      <c r="E138" s="5" t="str">
        <f>IFERROR(__xludf.DUMMYFUNCTION("""COMPUTED_VALUE"""),"Slot")</f>
        <v>Slot</v>
      </c>
      <c r="F138" s="5">
        <f>IFERROR(__xludf.DUMMYFUNCTION("""COMPUTED_VALUE"""),22.6)</f>
        <v>22.6</v>
      </c>
      <c r="G138" s="5" t="str">
        <f>IFERROR(__xludf.DUMMYFUNCTION("""COMPUTED_VALUE"""),"5x4")</f>
        <v>5x4</v>
      </c>
      <c r="H138" s="5" t="str">
        <f>IFERROR(__xludf.DUMMYFUNCTION("""COMPUTED_VALUE"""),"40")</f>
        <v>40</v>
      </c>
      <c r="I138" s="5" t="str">
        <f>IFERROR(__xludf.DUMMYFUNCTION("""COMPUTED_VALUE"""),"40")</f>
        <v>40</v>
      </c>
      <c r="J138" s="5" t="str">
        <f>IFERROR(__xludf.DUMMYFUNCTION("""COMPUTED_VALUE"""),"96.621%")</f>
        <v>96.621%</v>
      </c>
      <c r="K138" s="5" t="str">
        <f>IFERROR(__xludf.DUMMYFUNCTION("""COMPUTED_VALUE"""),"High")</f>
        <v>High</v>
      </c>
      <c r="L138" s="5" t="str">
        <f>IFERROR(__xludf.DUMMYFUNCTION("""COMPUTED_VALUE"""),"12.617%")</f>
        <v>12.617%</v>
      </c>
      <c r="M138" s="5" t="str">
        <f>IFERROR(__xludf.DUMMYFUNCTION("""COMPUTED_VALUE"""),"x25000")</f>
        <v>x25000</v>
      </c>
      <c r="N138" s="5" t="str">
        <f>IFERROR(__xludf.DUMMYFUNCTION("""COMPUTED_VALUE"""),"0.40/60")</f>
        <v>0.40/60</v>
      </c>
      <c r="O138" s="5" t="str">
        <f>IFERROR(__xludf.DUMMYFUNCTION("""COMPUTED_VALUE"""),"Yes")</f>
        <v>Yes</v>
      </c>
      <c r="P138" s="5" t="str">
        <f>IFERROR(__xludf.DUMMYFUNCTION("""COMPUTED_VALUE"""),"Level Pay, Win Multiplier, Buy Feature")</f>
        <v>Level Pay, Win Multiplier, Buy Feature</v>
      </c>
      <c r="Q138" s="7" t="str">
        <f>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R138" s="5" t="str">
        <f>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S1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IFERROR(__xludf.DUMMYFUNCTION("""COMPUTED_VALUE"""),"Yes")</f>
        <v>Yes</v>
      </c>
      <c r="AA138" s="5" t="str">
        <f>IFERROR(__xludf.DUMMYFUNCTION("""COMPUTED_VALUE"""),"Yes")</f>
        <v>Yes</v>
      </c>
      <c r="AB138" s="5" t="str">
        <f>IFERROR(__xludf.DUMMYFUNCTION("""COMPUTED_VALUE"""),"Yes")</f>
        <v>Yes</v>
      </c>
      <c r="AC138" s="5" t="str">
        <f>IFERROR(__xludf.DUMMYFUNCTION("""COMPUTED_VALUE"""),"Yes")</f>
        <v>Yes</v>
      </c>
      <c r="AD138" s="5" t="str">
        <f>IFERROR(__xludf.DUMMYFUNCTION("""COMPUTED_VALUE"""),"Yes")</f>
        <v>Yes</v>
      </c>
      <c r="AE138" s="5" t="str">
        <f>IFERROR(__xludf.DUMMYFUNCTION("""COMPUTED_VALUE"""),"Yes")</f>
        <v>Yes</v>
      </c>
      <c r="AF138" s="5" t="str">
        <f>IFERROR(__xludf.DUMMYFUNCTION("""COMPUTED_VALUE"""),"Yes")</f>
        <v>Yes</v>
      </c>
      <c r="AG138" s="5" t="str">
        <f>IFERROR(__xludf.DUMMYFUNCTION("""COMPUTED_VALUE"""),"Yes")</f>
        <v>Yes</v>
      </c>
      <c r="AH138" s="5" t="str">
        <f>IFERROR(__xludf.DUMMYFUNCTION("""COMPUTED_VALUE"""),"Yes")</f>
        <v>Yes</v>
      </c>
      <c r="AI138" s="5" t="str">
        <f>IFERROR(__xludf.DUMMYFUNCTION("""COMPUTED_VALUE"""),"Yes")</f>
        <v>Yes</v>
      </c>
      <c r="AJ138" s="5" t="str">
        <f>IFERROR(__xludf.DUMMYFUNCTION("""COMPUTED_VALUE"""),"Yes")</f>
        <v>Yes</v>
      </c>
      <c r="AK138" s="5" t="str">
        <f>IFERROR(__xludf.DUMMYFUNCTION("""COMPUTED_VALUE"""),"Yes")</f>
        <v>Yes</v>
      </c>
      <c r="AL138" s="5" t="str">
        <f>IFERROR(__xludf.DUMMYFUNCTION("""COMPUTED_VALUE"""),"Yes")</f>
        <v>Yes</v>
      </c>
      <c r="AM138" s="5" t="str">
        <f>IFERROR(__xludf.DUMMYFUNCTION("""COMPUTED_VALUE"""),"Yes")</f>
        <v>Yes</v>
      </c>
      <c r="AN138" s="5" t="str">
        <f>IFERROR(__xludf.DUMMYFUNCTION("""COMPUTED_VALUE"""),"Yes")</f>
        <v>Yes</v>
      </c>
      <c r="AO138" s="5" t="str">
        <f>IFERROR(__xludf.DUMMYFUNCTION("""COMPUTED_VALUE"""),"Yes")</f>
        <v>Yes</v>
      </c>
      <c r="AP138" s="5" t="str">
        <f>IFERROR(__xludf.DUMMYFUNCTION("""COMPUTED_VALUE"""),"Yes")</f>
        <v>Yes</v>
      </c>
      <c r="AQ138" s="5" t="str">
        <f>IFERROR(__xludf.DUMMYFUNCTION("""COMPUTED_VALUE"""),"Yes")</f>
        <v>Yes</v>
      </c>
      <c r="AR138" s="5" t="str">
        <f>IFERROR(__xludf.DUMMYFUNCTION("""COMPUTED_VALUE"""),"Yes")</f>
        <v>Yes</v>
      </c>
      <c r="AS138" s="5" t="str">
        <f>IFERROR(__xludf.DUMMYFUNCTION("""COMPUTED_VALUE"""),"Yes")</f>
        <v>Yes</v>
      </c>
      <c r="AT138" s="5" t="str">
        <f>IFERROR(__xludf.DUMMYFUNCTION("""COMPUTED_VALUE"""),"No")</f>
        <v>No</v>
      </c>
      <c r="AU138" s="5"/>
      <c r="AV138" s="5" t="str">
        <f>IFERROR(__xludf.DUMMYFUNCTION("""COMPUTED_VALUE"""),"")</f>
        <v/>
      </c>
      <c r="AW138" s="5" t="str">
        <f>IFERROR(__xludf.DUMMYFUNCTION("""COMPUTED_VALUE"""),"")</f>
        <v/>
      </c>
      <c r="AX138" s="5" t="str">
        <f>IFERROR(__xludf.DUMMYFUNCTION("""COMPUTED_VALUE"""),"")</f>
        <v/>
      </c>
      <c r="AY138" s="5" t="str">
        <f>IFERROR(__xludf.DUMMYFUNCTION("""COMPUTED_VALUE"""),"")</f>
        <v/>
      </c>
      <c r="AZ138" s="5" t="str">
        <f>IFERROR(__xludf.DUMMYFUNCTION("""COMPUTED_VALUE"""),"")</f>
        <v/>
      </c>
      <c r="BA138" s="5" t="str">
        <f>IFERROR(__xludf.DUMMYFUNCTION("""COMPUTED_VALUE"""),"")</f>
        <v/>
      </c>
      <c r="BB138" s="5" t="str">
        <f>IFERROR(__xludf.DUMMYFUNCTION("""COMPUTED_VALUE"""),"")</f>
        <v/>
      </c>
      <c r="BC138" s="5" t="str">
        <f>IFERROR(__xludf.DUMMYFUNCTION("""COMPUTED_VALUE"""),"")</f>
        <v/>
      </c>
      <c r="BD138" s="5" t="str">
        <f>IFERROR(__xludf.DUMMYFUNCTION("""COMPUTED_VALUE"""),"")</f>
        <v/>
      </c>
      <c r="BE138" s="5" t="str">
        <f>IFERROR(__xludf.DUMMYFUNCTION("""COMPUTED_VALUE"""),"")</f>
        <v/>
      </c>
      <c r="BF138" s="5" t="str">
        <f>IFERROR(__xludf.DUMMYFUNCTION("""COMPUTED_VALUE"""),"")</f>
        <v/>
      </c>
      <c r="BG138" s="5" t="str">
        <f>IFERROR(__xludf.DUMMYFUNCTION("""COMPUTED_VALUE"""),"")</f>
        <v/>
      </c>
      <c r="BH138" s="5" t="str">
        <f>IFERROR(__xludf.DUMMYFUNCTION("""COMPUTED_VALUE"""),"")</f>
        <v/>
      </c>
      <c r="BI138" s="5" t="str">
        <f>IFERROR(__xludf.DUMMYFUNCTION("""COMPUTED_VALUE"""),"")</f>
        <v/>
      </c>
      <c r="BJ138" s="5" t="str">
        <f>IFERROR(__xludf.DUMMYFUNCTION("""COMPUTED_VALUE"""),"")</f>
        <v/>
      </c>
      <c r="BK138" s="5" t="str">
        <f>IFERROR(__xludf.DUMMYFUNCTION("""COMPUTED_VALUE"""),"")</f>
        <v/>
      </c>
      <c r="BL138" s="5" t="str">
        <f>IFERROR(__xludf.DUMMYFUNCTION("""COMPUTED_VALUE"""),"")</f>
        <v/>
      </c>
      <c r="BM138" s="5" t="str">
        <f>IFERROR(__xludf.DUMMYFUNCTION("""COMPUTED_VALUE"""),"")</f>
        <v/>
      </c>
    </row>
    <row r="139">
      <c r="A139" s="5" t="str">
        <f>IFERROR(__xludf.DUMMYFUNCTION("""COMPUTED_VALUE"""),"Fazi")</f>
        <v>Fazi</v>
      </c>
      <c r="B139" s="5" t="str">
        <f>IFERROR(__xludf.DUMMYFUNCTION("""COMPUTED_VALUE"""),"Bonus Crown")</f>
        <v>Bonus Crown</v>
      </c>
      <c r="C139" s="5" t="str">
        <f>IFERROR(__xludf.DUMMYFUNCTION("""COMPUTED_VALUE"""),"BonusCrown")</f>
        <v>BonusCrown</v>
      </c>
      <c r="D139" s="6">
        <f>IFERROR(__xludf.DUMMYFUNCTION("""COMPUTED_VALUE"""),45615.0)</f>
        <v>45615</v>
      </c>
      <c r="E139" s="5" t="str">
        <f>IFERROR(__xludf.DUMMYFUNCTION("""COMPUTED_VALUE"""),"Slot")</f>
        <v>Slot</v>
      </c>
      <c r="F139" s="5">
        <f>IFERROR(__xludf.DUMMYFUNCTION("""COMPUTED_VALUE"""),17.0)</f>
        <v>17</v>
      </c>
      <c r="G139" s="5" t="str">
        <f>IFERROR(__xludf.DUMMYFUNCTION("""COMPUTED_VALUE"""),"5x3")</f>
        <v>5x3</v>
      </c>
      <c r="H139" s="5" t="str">
        <f>IFERROR(__xludf.DUMMYFUNCTION("""COMPUTED_VALUE"""),"10")</f>
        <v>10</v>
      </c>
      <c r="I139" s="5" t="str">
        <f>IFERROR(__xludf.DUMMYFUNCTION("""COMPUTED_VALUE"""),"10")</f>
        <v>10</v>
      </c>
      <c r="J139" s="5" t="str">
        <f>IFERROR(__xludf.DUMMYFUNCTION("""COMPUTED_VALUE"""),"96.533%")</f>
        <v>96.533%</v>
      </c>
      <c r="K139" s="5" t="str">
        <f>IFERROR(__xludf.DUMMYFUNCTION("""COMPUTED_VALUE"""),"High")</f>
        <v>High</v>
      </c>
      <c r="L139" s="5" t="str">
        <f>IFERROR(__xludf.DUMMYFUNCTION("""COMPUTED_VALUE"""),"10.607%")</f>
        <v>10.607%</v>
      </c>
      <c r="M139" s="5" t="str">
        <f>IFERROR(__xludf.DUMMYFUNCTION("""COMPUTED_VALUE"""),"x10400")</f>
        <v>x10400</v>
      </c>
      <c r="N139" s="5" t="str">
        <f>IFERROR(__xludf.DUMMYFUNCTION("""COMPUTED_VALUE"""),"0.1/40")</f>
        <v>0.1/40</v>
      </c>
      <c r="O139" s="5" t="str">
        <f>IFERROR(__xludf.DUMMYFUNCTION("""COMPUTED_VALUE"""),"Yes")</f>
        <v>Yes</v>
      </c>
      <c r="P139" s="5" t="str">
        <f>IFERROR(__xludf.DUMMYFUNCTION("""COMPUTED_VALUE"""),"Extralines, Expanding Wild, Buy Bonus")</f>
        <v>Extralines, Expanding Wild, Buy Bonus</v>
      </c>
      <c r="Q139" s="7" t="str">
        <f>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R139" s="5" t="str">
        <f>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S1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IFERROR(__xludf.DUMMYFUNCTION("""COMPUTED_VALUE"""),"Yes")</f>
        <v>Yes</v>
      </c>
      <c r="AA139" s="5" t="str">
        <f>IFERROR(__xludf.DUMMYFUNCTION("""COMPUTED_VALUE"""),"Yes")</f>
        <v>Yes</v>
      </c>
      <c r="AB139" s="5" t="str">
        <f>IFERROR(__xludf.DUMMYFUNCTION("""COMPUTED_VALUE"""),"Yes")</f>
        <v>Yes</v>
      </c>
      <c r="AC139" s="5" t="str">
        <f>IFERROR(__xludf.DUMMYFUNCTION("""COMPUTED_VALUE"""),"Yes")</f>
        <v>Yes</v>
      </c>
      <c r="AD139" s="5" t="str">
        <f>IFERROR(__xludf.DUMMYFUNCTION("""COMPUTED_VALUE"""),"Yes")</f>
        <v>Yes</v>
      </c>
      <c r="AE139" s="5" t="str">
        <f>IFERROR(__xludf.DUMMYFUNCTION("""COMPUTED_VALUE"""),"Yes")</f>
        <v>Yes</v>
      </c>
      <c r="AF139" s="5" t="str">
        <f>IFERROR(__xludf.DUMMYFUNCTION("""COMPUTED_VALUE"""),"Yes")</f>
        <v>Yes</v>
      </c>
      <c r="AG139" s="5" t="str">
        <f>IFERROR(__xludf.DUMMYFUNCTION("""COMPUTED_VALUE"""),"Yes")</f>
        <v>Yes</v>
      </c>
      <c r="AH139" s="5" t="str">
        <f>IFERROR(__xludf.DUMMYFUNCTION("""COMPUTED_VALUE"""),"Yes")</f>
        <v>Yes</v>
      </c>
      <c r="AI139" s="5" t="str">
        <f>IFERROR(__xludf.DUMMYFUNCTION("""COMPUTED_VALUE"""),"Yes")</f>
        <v>Yes</v>
      </c>
      <c r="AJ139" s="5" t="str">
        <f>IFERROR(__xludf.DUMMYFUNCTION("""COMPUTED_VALUE"""),"Yes")</f>
        <v>Yes</v>
      </c>
      <c r="AK139" s="5" t="str">
        <f>IFERROR(__xludf.DUMMYFUNCTION("""COMPUTED_VALUE"""),"Yes")</f>
        <v>Yes</v>
      </c>
      <c r="AL139" s="5" t="str">
        <f>IFERROR(__xludf.DUMMYFUNCTION("""COMPUTED_VALUE"""),"Yes")</f>
        <v>Yes</v>
      </c>
      <c r="AM139" s="5" t="str">
        <f>IFERROR(__xludf.DUMMYFUNCTION("""COMPUTED_VALUE"""),"Yes")</f>
        <v>Yes</v>
      </c>
      <c r="AN139" s="5" t="str">
        <f>IFERROR(__xludf.DUMMYFUNCTION("""COMPUTED_VALUE"""),"Yes")</f>
        <v>Yes</v>
      </c>
      <c r="AO139" s="5" t="str">
        <f>IFERROR(__xludf.DUMMYFUNCTION("""COMPUTED_VALUE"""),"Yes")</f>
        <v>Yes</v>
      </c>
      <c r="AP139" s="5" t="str">
        <f>IFERROR(__xludf.DUMMYFUNCTION("""COMPUTED_VALUE"""),"Yes")</f>
        <v>Yes</v>
      </c>
      <c r="AQ139" s="5" t="str">
        <f>IFERROR(__xludf.DUMMYFUNCTION("""COMPUTED_VALUE"""),"Yes")</f>
        <v>Yes</v>
      </c>
      <c r="AR139" s="5" t="str">
        <f>IFERROR(__xludf.DUMMYFUNCTION("""COMPUTED_VALUE"""),"Yes")</f>
        <v>Yes</v>
      </c>
      <c r="AS139" s="5" t="str">
        <f>IFERROR(__xludf.DUMMYFUNCTION("""COMPUTED_VALUE"""),"Yes")</f>
        <v>Yes</v>
      </c>
      <c r="AT139" s="5" t="str">
        <f>IFERROR(__xludf.DUMMYFUNCTION("""COMPUTED_VALUE"""),"No")</f>
        <v>No</v>
      </c>
      <c r="AU139" s="5"/>
      <c r="AV139" s="5" t="str">
        <f>IFERROR(__xludf.DUMMYFUNCTION("""COMPUTED_VALUE"""),"")</f>
        <v/>
      </c>
      <c r="AW139" s="5" t="str">
        <f>IFERROR(__xludf.DUMMYFUNCTION("""COMPUTED_VALUE"""),"")</f>
        <v/>
      </c>
      <c r="AX139" s="5" t="str">
        <f>IFERROR(__xludf.DUMMYFUNCTION("""COMPUTED_VALUE"""),"")</f>
        <v/>
      </c>
      <c r="AY139" s="5" t="str">
        <f>IFERROR(__xludf.DUMMYFUNCTION("""COMPUTED_VALUE"""),"")</f>
        <v/>
      </c>
      <c r="AZ139" s="5" t="str">
        <f>IFERROR(__xludf.DUMMYFUNCTION("""COMPUTED_VALUE"""),"Available")</f>
        <v>Available</v>
      </c>
      <c r="BA139" s="5" t="str">
        <f>IFERROR(__xludf.DUMMYFUNCTION("""COMPUTED_VALUE"""),"Available")</f>
        <v>Available</v>
      </c>
      <c r="BB139" s="5" t="str">
        <f>IFERROR(__xludf.DUMMYFUNCTION("""COMPUTED_VALUE"""),"Available")</f>
        <v>Available</v>
      </c>
      <c r="BC139" s="5" t="str">
        <f>IFERROR(__xludf.DUMMYFUNCTION("""COMPUTED_VALUE"""),"")</f>
        <v/>
      </c>
      <c r="BD139" s="5" t="str">
        <f>IFERROR(__xludf.DUMMYFUNCTION("""COMPUTED_VALUE"""),"")</f>
        <v/>
      </c>
      <c r="BE139" s="5" t="str">
        <f>IFERROR(__xludf.DUMMYFUNCTION("""COMPUTED_VALUE"""),"")</f>
        <v/>
      </c>
      <c r="BF139" s="5" t="str">
        <f>IFERROR(__xludf.DUMMYFUNCTION("""COMPUTED_VALUE"""),"")</f>
        <v/>
      </c>
      <c r="BG139" s="5" t="str">
        <f>IFERROR(__xludf.DUMMYFUNCTION("""COMPUTED_VALUE"""),"")</f>
        <v/>
      </c>
      <c r="BH139" s="5" t="str">
        <f>IFERROR(__xludf.DUMMYFUNCTION("""COMPUTED_VALUE"""),"")</f>
        <v/>
      </c>
      <c r="BI139" s="5" t="str">
        <f>IFERROR(__xludf.DUMMYFUNCTION("""COMPUTED_VALUE"""),"")</f>
        <v/>
      </c>
      <c r="BJ139" s="5" t="str">
        <f>IFERROR(__xludf.DUMMYFUNCTION("""COMPUTED_VALUE"""),"")</f>
        <v/>
      </c>
      <c r="BK139" s="5" t="str">
        <f>IFERROR(__xludf.DUMMYFUNCTION("""COMPUTED_VALUE"""),"Available")</f>
        <v>Available</v>
      </c>
      <c r="BL139" s="5" t="str">
        <f>IFERROR(__xludf.DUMMYFUNCTION("""COMPUTED_VALUE"""),"")</f>
        <v/>
      </c>
      <c r="BM139" s="5" t="str">
        <f>IFERROR(__xludf.DUMMYFUNCTION("""COMPUTED_VALUE"""),"")</f>
        <v/>
      </c>
    </row>
    <row r="140">
      <c r="A140" s="5" t="str">
        <f>IFERROR(__xludf.DUMMYFUNCTION("""COMPUTED_VALUE"""),"Fazi")</f>
        <v>Fazi</v>
      </c>
      <c r="B140" s="5" t="str">
        <f>IFERROR(__xludf.DUMMYFUNCTION("""COMPUTED_VALUE"""),"Aqua Flame")</f>
        <v>Aqua Flame</v>
      </c>
      <c r="C140" s="5" t="str">
        <f>IFERROR(__xludf.DUMMYFUNCTION("""COMPUTED_VALUE"""),"AquaFlame")</f>
        <v>AquaFlame</v>
      </c>
      <c r="D140" s="6">
        <f>IFERROR(__xludf.DUMMYFUNCTION("""COMPUTED_VALUE"""),45643.0)</f>
        <v>45643</v>
      </c>
      <c r="E140" s="5" t="str">
        <f>IFERROR(__xludf.DUMMYFUNCTION("""COMPUTED_VALUE"""),"Slot")</f>
        <v>Slot</v>
      </c>
      <c r="F140" s="5">
        <f>IFERROR(__xludf.DUMMYFUNCTION("""COMPUTED_VALUE"""),18.8)</f>
        <v>18.8</v>
      </c>
      <c r="G140" s="5" t="str">
        <f>IFERROR(__xludf.DUMMYFUNCTION("""COMPUTED_VALUE"""),"5x3")</f>
        <v>5x3</v>
      </c>
      <c r="H140" s="5" t="str">
        <f>IFERROR(__xludf.DUMMYFUNCTION("""COMPUTED_VALUE"""),"20")</f>
        <v>20</v>
      </c>
      <c r="I140" s="5" t="str">
        <f>IFERROR(__xludf.DUMMYFUNCTION("""COMPUTED_VALUE"""),"20")</f>
        <v>20</v>
      </c>
      <c r="J140" s="5" t="str">
        <f>IFERROR(__xludf.DUMMYFUNCTION("""COMPUTED_VALUE"""),"96.502%")</f>
        <v>96.502%</v>
      </c>
      <c r="K140" s="5" t="str">
        <f>IFERROR(__xludf.DUMMYFUNCTION("""COMPUTED_VALUE"""),"High")</f>
        <v>High</v>
      </c>
      <c r="L140" s="5" t="str">
        <f>IFERROR(__xludf.DUMMYFUNCTION("""COMPUTED_VALUE"""),"17.348%")</f>
        <v>17.348%</v>
      </c>
      <c r="M140" s="5" t="str">
        <f>IFERROR(__xludf.DUMMYFUNCTION("""COMPUTED_VALUE"""),"x10000")</f>
        <v>x10000</v>
      </c>
      <c r="N140" s="5" t="str">
        <f>IFERROR(__xludf.DUMMYFUNCTION("""COMPUTED_VALUE"""),"0.2/50")</f>
        <v>0.2/50</v>
      </c>
      <c r="O140" s="5" t="str">
        <f>IFERROR(__xludf.DUMMYFUNCTION("""COMPUTED_VALUE"""),"Yes")</f>
        <v>Yes</v>
      </c>
      <c r="P140" s="5" t="str">
        <f>IFERROR(__xludf.DUMMYFUNCTION("""COMPUTED_VALUE"""),"Select Volatility, Scatter, Wild Symbol")</f>
        <v>Select Volatility, Scatter, Wild Symbol</v>
      </c>
      <c r="Q140" s="7" t="str">
        <f>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R140" s="5" t="str">
        <f>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S1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0" s="5" t="str">
        <f>IFERROR(__xludf.DUMMYFUNCTION("""COMPUTED_VALUE"""),"Yes")</f>
        <v>Yes</v>
      </c>
      <c r="U140" s="5" t="str">
        <f>IFERROR(__xludf.DUMMYFUNCTION("""COMPUTED_VALUE"""),"Yes")</f>
        <v>Yes</v>
      </c>
      <c r="V140" s="5" t="str">
        <f>IFERROR(__xludf.DUMMYFUNCTION("""COMPUTED_VALUE"""),"Yes")</f>
        <v>Yes</v>
      </c>
      <c r="W140" s="5" t="str">
        <f>IFERROR(__xludf.DUMMYFUNCTION("""COMPUTED_VALUE"""),"Yes")</f>
        <v>Yes</v>
      </c>
      <c r="X140" s="5" t="str">
        <f>IFERROR(__xludf.DUMMYFUNCTION("""COMPUTED_VALUE"""),"Yes")</f>
        <v>Yes</v>
      </c>
      <c r="Y140" s="5" t="str">
        <f>IFERROR(__xludf.DUMMYFUNCTION("""COMPUTED_VALUE"""),"Yes")</f>
        <v>Yes</v>
      </c>
      <c r="Z140" s="5" t="str">
        <f>IFERROR(__xludf.DUMMYFUNCTION("""COMPUTED_VALUE"""),"Yes")</f>
        <v>Yes</v>
      </c>
      <c r="AA140" s="5" t="str">
        <f>IFERROR(__xludf.DUMMYFUNCTION("""COMPUTED_VALUE"""),"Yes")</f>
        <v>Yes</v>
      </c>
      <c r="AB140" s="5" t="str">
        <f>IFERROR(__xludf.DUMMYFUNCTION("""COMPUTED_VALUE"""),"Yes")</f>
        <v>Yes</v>
      </c>
      <c r="AC140" s="5" t="str">
        <f>IFERROR(__xludf.DUMMYFUNCTION("""COMPUTED_VALUE"""),"Yes")</f>
        <v>Yes</v>
      </c>
      <c r="AD140" s="5" t="str">
        <f>IFERROR(__xludf.DUMMYFUNCTION("""COMPUTED_VALUE"""),"Yes")</f>
        <v>Yes</v>
      </c>
      <c r="AE140" s="5" t="str">
        <f>IFERROR(__xludf.DUMMYFUNCTION("""COMPUTED_VALUE"""),"Yes")</f>
        <v>Yes</v>
      </c>
      <c r="AF140" s="5" t="str">
        <f>IFERROR(__xludf.DUMMYFUNCTION("""COMPUTED_VALUE"""),"Yes")</f>
        <v>Yes</v>
      </c>
      <c r="AG140" s="5" t="str">
        <f>IFERROR(__xludf.DUMMYFUNCTION("""COMPUTED_VALUE"""),"Yes")</f>
        <v>Yes</v>
      </c>
      <c r="AH140" s="5" t="str">
        <f>IFERROR(__xludf.DUMMYFUNCTION("""COMPUTED_VALUE"""),"Yes")</f>
        <v>Yes</v>
      </c>
      <c r="AI140" s="5" t="str">
        <f>IFERROR(__xludf.DUMMYFUNCTION("""COMPUTED_VALUE"""),"Yes")</f>
        <v>Yes</v>
      </c>
      <c r="AJ140" s="5" t="str">
        <f>IFERROR(__xludf.DUMMYFUNCTION("""COMPUTED_VALUE"""),"Yes")</f>
        <v>Yes</v>
      </c>
      <c r="AK140" s="5" t="str">
        <f>IFERROR(__xludf.DUMMYFUNCTION("""COMPUTED_VALUE"""),"Yes")</f>
        <v>Yes</v>
      </c>
      <c r="AL140" s="5" t="str">
        <f>IFERROR(__xludf.DUMMYFUNCTION("""COMPUTED_VALUE"""),"Yes")</f>
        <v>Yes</v>
      </c>
      <c r="AM140" s="5" t="str">
        <f>IFERROR(__xludf.DUMMYFUNCTION("""COMPUTED_VALUE"""),"Yes")</f>
        <v>Yes</v>
      </c>
      <c r="AN140" s="5" t="str">
        <f>IFERROR(__xludf.DUMMYFUNCTION("""COMPUTED_VALUE"""),"Yes")</f>
        <v>Yes</v>
      </c>
      <c r="AO140" s="5" t="str">
        <f>IFERROR(__xludf.DUMMYFUNCTION("""COMPUTED_VALUE"""),"Yes")</f>
        <v>Yes</v>
      </c>
      <c r="AP140" s="5" t="str">
        <f>IFERROR(__xludf.DUMMYFUNCTION("""COMPUTED_VALUE"""),"Yes")</f>
        <v>Yes</v>
      </c>
      <c r="AQ140" s="5" t="str">
        <f>IFERROR(__xludf.DUMMYFUNCTION("""COMPUTED_VALUE"""),"Yes")</f>
        <v>Yes</v>
      </c>
      <c r="AR140" s="5" t="str">
        <f>IFERROR(__xludf.DUMMYFUNCTION("""COMPUTED_VALUE"""),"Yes")</f>
        <v>Yes</v>
      </c>
      <c r="AS140" s="5" t="str">
        <f>IFERROR(__xludf.DUMMYFUNCTION("""COMPUTED_VALUE"""),"Yes")</f>
        <v>Yes</v>
      </c>
      <c r="AT140" s="5" t="str">
        <f>IFERROR(__xludf.DUMMYFUNCTION("""COMPUTED_VALUE"""),"No")</f>
        <v>No</v>
      </c>
      <c r="AU140" s="5"/>
      <c r="AV140" s="5" t="str">
        <f>IFERROR(__xludf.DUMMYFUNCTION("""COMPUTED_VALUE"""),"")</f>
        <v/>
      </c>
      <c r="AW140" s="5" t="str">
        <f>IFERROR(__xludf.DUMMYFUNCTION("""COMPUTED_VALUE"""),"")</f>
        <v/>
      </c>
      <c r="AX140" s="5" t="str">
        <f>IFERROR(__xludf.DUMMYFUNCTION("""COMPUTED_VALUE"""),"")</f>
        <v/>
      </c>
      <c r="AY140" s="5" t="str">
        <f>IFERROR(__xludf.DUMMYFUNCTION("""COMPUTED_VALUE"""),"")</f>
        <v/>
      </c>
      <c r="AZ140" s="5" t="str">
        <f>IFERROR(__xludf.DUMMYFUNCTION("""COMPUTED_VALUE"""),"Available")</f>
        <v>Available</v>
      </c>
      <c r="BA140" s="5" t="str">
        <f>IFERROR(__xludf.DUMMYFUNCTION("""COMPUTED_VALUE"""),"Available")</f>
        <v>Available</v>
      </c>
      <c r="BB140" s="5" t="str">
        <f>IFERROR(__xludf.DUMMYFUNCTION("""COMPUTED_VALUE"""),"Available")</f>
        <v>Available</v>
      </c>
      <c r="BC140" s="5" t="str">
        <f>IFERROR(__xludf.DUMMYFUNCTION("""COMPUTED_VALUE"""),"")</f>
        <v/>
      </c>
      <c r="BD140" s="5" t="str">
        <f>IFERROR(__xludf.DUMMYFUNCTION("""COMPUTED_VALUE"""),"")</f>
        <v/>
      </c>
      <c r="BE140" s="5" t="str">
        <f>IFERROR(__xludf.DUMMYFUNCTION("""COMPUTED_VALUE"""),"")</f>
        <v/>
      </c>
      <c r="BF140" s="5" t="str">
        <f>IFERROR(__xludf.DUMMYFUNCTION("""COMPUTED_VALUE"""),"")</f>
        <v/>
      </c>
      <c r="BG140" s="5" t="str">
        <f>IFERROR(__xludf.DUMMYFUNCTION("""COMPUTED_VALUE"""),"")</f>
        <v/>
      </c>
      <c r="BH140" s="5" t="str">
        <f>IFERROR(__xludf.DUMMYFUNCTION("""COMPUTED_VALUE"""),"")</f>
        <v/>
      </c>
      <c r="BI140" s="5" t="str">
        <f>IFERROR(__xludf.DUMMYFUNCTION("""COMPUTED_VALUE"""),"")</f>
        <v/>
      </c>
      <c r="BJ140" s="5" t="str">
        <f>IFERROR(__xludf.DUMMYFUNCTION("""COMPUTED_VALUE"""),"")</f>
        <v/>
      </c>
      <c r="BK140" s="5" t="str">
        <f>IFERROR(__xludf.DUMMYFUNCTION("""COMPUTED_VALUE"""),"Available")</f>
        <v>Available</v>
      </c>
      <c r="BL140" s="5" t="str">
        <f>IFERROR(__xludf.DUMMYFUNCTION("""COMPUTED_VALUE"""),"")</f>
        <v/>
      </c>
      <c r="BM140" s="5" t="str">
        <f>IFERROR(__xludf.DUMMYFUNCTION("""COMPUTED_VALUE"""),"")</f>
        <v/>
      </c>
    </row>
    <row r="141">
      <c r="A141" s="5" t="str">
        <f>IFERROR(__xludf.DUMMYFUNCTION("""COMPUTED_VALUE"""),"Fazi")</f>
        <v>Fazi</v>
      </c>
      <c r="B141" s="5" t="str">
        <f>IFERROR(__xludf.DUMMYFUNCTION("""COMPUTED_VALUE"""),"Crown of Secret")</f>
        <v>Crown of Secret</v>
      </c>
      <c r="C141" s="5" t="str">
        <f>IFERROR(__xludf.DUMMYFUNCTION("""COMPUTED_VALUE"""),"CrownOfSecret")</f>
        <v>CrownOfSecret</v>
      </c>
      <c r="D141" s="6">
        <f>IFERROR(__xludf.DUMMYFUNCTION("""COMPUTED_VALUE"""),45750.0)</f>
        <v>45750</v>
      </c>
      <c r="E141" s="5" t="str">
        <f>IFERROR(__xludf.DUMMYFUNCTION("""COMPUTED_VALUE"""),"Slot")</f>
        <v>Slot</v>
      </c>
      <c r="F141" s="5">
        <f>IFERROR(__xludf.DUMMYFUNCTION("""COMPUTED_VALUE"""),23.4)</f>
        <v>23.4</v>
      </c>
      <c r="G141" s="5" t="str">
        <f>IFERROR(__xludf.DUMMYFUNCTION("""COMPUTED_VALUE"""),"5x3")</f>
        <v>5x3</v>
      </c>
      <c r="H141" s="5" t="str">
        <f>IFERROR(__xludf.DUMMYFUNCTION("""COMPUTED_VALUE"""),"10")</f>
        <v>10</v>
      </c>
      <c r="I141" s="5" t="str">
        <f>IFERROR(__xludf.DUMMYFUNCTION("""COMPUTED_VALUE"""),"10")</f>
        <v>10</v>
      </c>
      <c r="J141" s="5" t="str">
        <f>IFERROR(__xludf.DUMMYFUNCTION("""COMPUTED_VALUE"""),"96.74%")</f>
        <v>96.74%</v>
      </c>
      <c r="K141" s="5" t="str">
        <f>IFERROR(__xludf.DUMMYFUNCTION("""COMPUTED_VALUE"""),"High")</f>
        <v>High</v>
      </c>
      <c r="L141" s="5" t="str">
        <f>IFERROR(__xludf.DUMMYFUNCTION("""COMPUTED_VALUE"""),"11.115%")</f>
        <v>11.115%</v>
      </c>
      <c r="M141" s="5" t="str">
        <f>IFERROR(__xludf.DUMMYFUNCTION("""COMPUTED_VALUE"""),"x15700")</f>
        <v>x15700</v>
      </c>
      <c r="N141" s="5" t="str">
        <f>IFERROR(__xludf.DUMMYFUNCTION("""COMPUTED_VALUE"""),"0.1/40")</f>
        <v>0.1/40</v>
      </c>
      <c r="O141" s="5" t="str">
        <f>IFERROR(__xludf.DUMMYFUNCTION("""COMPUTED_VALUE"""),"Yes")</f>
        <v>Yes</v>
      </c>
      <c r="P141" s="5" t="str">
        <f>IFERROR(__xludf.DUMMYFUNCTION("""COMPUTED_VALUE"""),"Buy Bonus, Expanding Wild")</f>
        <v>Buy Bonus, Expanding Wild</v>
      </c>
      <c r="Q141" s="7" t="str">
        <f>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R141" s="5" t="str">
        <f>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S1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IFERROR(__xludf.DUMMYFUNCTION("""COMPUTED_VALUE"""),"Yes")</f>
        <v>Yes</v>
      </c>
      <c r="AA141" s="5" t="str">
        <f>IFERROR(__xludf.DUMMYFUNCTION("""COMPUTED_VALUE"""),"Yes")</f>
        <v>Yes</v>
      </c>
      <c r="AB141" s="5" t="str">
        <f>IFERROR(__xludf.DUMMYFUNCTION("""COMPUTED_VALUE"""),"Yes")</f>
        <v>Yes</v>
      </c>
      <c r="AC141" s="5" t="str">
        <f>IFERROR(__xludf.DUMMYFUNCTION("""COMPUTED_VALUE"""),"Yes")</f>
        <v>Yes</v>
      </c>
      <c r="AD141" s="5" t="str">
        <f>IFERROR(__xludf.DUMMYFUNCTION("""COMPUTED_VALUE"""),"Yes")</f>
        <v>Yes</v>
      </c>
      <c r="AE141" s="5" t="str">
        <f>IFERROR(__xludf.DUMMYFUNCTION("""COMPUTED_VALUE"""),"Yes")</f>
        <v>Yes</v>
      </c>
      <c r="AF141" s="5" t="str">
        <f>IFERROR(__xludf.DUMMYFUNCTION("""COMPUTED_VALUE"""),"Yes")</f>
        <v>Yes</v>
      </c>
      <c r="AG141" s="5" t="str">
        <f>IFERROR(__xludf.DUMMYFUNCTION("""COMPUTED_VALUE"""),"Yes")</f>
        <v>Yes</v>
      </c>
      <c r="AH141" s="5" t="str">
        <f>IFERROR(__xludf.DUMMYFUNCTION("""COMPUTED_VALUE"""),"Yes")</f>
        <v>Yes</v>
      </c>
      <c r="AI141" s="5" t="str">
        <f>IFERROR(__xludf.DUMMYFUNCTION("""COMPUTED_VALUE"""),"Yes")</f>
        <v>Yes</v>
      </c>
      <c r="AJ141" s="5" t="str">
        <f>IFERROR(__xludf.DUMMYFUNCTION("""COMPUTED_VALUE"""),"Yes")</f>
        <v>Yes</v>
      </c>
      <c r="AK141" s="5" t="str">
        <f>IFERROR(__xludf.DUMMYFUNCTION("""COMPUTED_VALUE"""),"Yes")</f>
        <v>Yes</v>
      </c>
      <c r="AL141" s="5" t="str">
        <f>IFERROR(__xludf.DUMMYFUNCTION("""COMPUTED_VALUE"""),"Yes")</f>
        <v>Yes</v>
      </c>
      <c r="AM141" s="5" t="str">
        <f>IFERROR(__xludf.DUMMYFUNCTION("""COMPUTED_VALUE"""),"Yes")</f>
        <v>Yes</v>
      </c>
      <c r="AN141" s="5" t="str">
        <f>IFERROR(__xludf.DUMMYFUNCTION("""COMPUTED_VALUE"""),"Yes")</f>
        <v>Yes</v>
      </c>
      <c r="AO141" s="5" t="str">
        <f>IFERROR(__xludf.DUMMYFUNCTION("""COMPUTED_VALUE"""),"Yes")</f>
        <v>Yes</v>
      </c>
      <c r="AP141" s="5" t="str">
        <f>IFERROR(__xludf.DUMMYFUNCTION("""COMPUTED_VALUE"""),"Yes")</f>
        <v>Yes</v>
      </c>
      <c r="AQ141" s="5" t="str">
        <f>IFERROR(__xludf.DUMMYFUNCTION("""COMPUTED_VALUE"""),"Yes")</f>
        <v>Yes</v>
      </c>
      <c r="AR141" s="5" t="str">
        <f>IFERROR(__xludf.DUMMYFUNCTION("""COMPUTED_VALUE"""),"Yes")</f>
        <v>Yes</v>
      </c>
      <c r="AS141" s="5" t="str">
        <f>IFERROR(__xludf.DUMMYFUNCTION("""COMPUTED_VALUE"""),"Yes")</f>
        <v>Yes</v>
      </c>
      <c r="AT141" s="5" t="str">
        <f>IFERROR(__xludf.DUMMYFUNCTION("""COMPUTED_VALUE"""),"No")</f>
        <v>No</v>
      </c>
      <c r="AU141" s="5"/>
      <c r="AV141" s="5" t="str">
        <f>IFERROR(__xludf.DUMMYFUNCTION("""COMPUTED_VALUE"""),"")</f>
        <v/>
      </c>
      <c r="AW141" s="5" t="str">
        <f>IFERROR(__xludf.DUMMYFUNCTION("""COMPUTED_VALUE"""),"")</f>
        <v/>
      </c>
      <c r="AX141" s="5" t="str">
        <f>IFERROR(__xludf.DUMMYFUNCTION("""COMPUTED_VALUE"""),"")</f>
        <v/>
      </c>
      <c r="AY141" s="5" t="str">
        <f>IFERROR(__xludf.DUMMYFUNCTION("""COMPUTED_VALUE"""),"")</f>
        <v/>
      </c>
      <c r="AZ141" s="5" t="str">
        <f>IFERROR(__xludf.DUMMYFUNCTION("""COMPUTED_VALUE"""),"")</f>
        <v/>
      </c>
      <c r="BA141" s="5" t="str">
        <f>IFERROR(__xludf.DUMMYFUNCTION("""COMPUTED_VALUE"""),"")</f>
        <v/>
      </c>
      <c r="BB141" s="5" t="str">
        <f>IFERROR(__xludf.DUMMYFUNCTION("""COMPUTED_VALUE"""),"")</f>
        <v/>
      </c>
      <c r="BC141" s="5" t="str">
        <f>IFERROR(__xludf.DUMMYFUNCTION("""COMPUTED_VALUE"""),"")</f>
        <v/>
      </c>
      <c r="BD141" s="5" t="str">
        <f>IFERROR(__xludf.DUMMYFUNCTION("""COMPUTED_VALUE"""),"")</f>
        <v/>
      </c>
      <c r="BE141" s="5" t="str">
        <f>IFERROR(__xludf.DUMMYFUNCTION("""COMPUTED_VALUE"""),"")</f>
        <v/>
      </c>
      <c r="BF141" s="5" t="str">
        <f>IFERROR(__xludf.DUMMYFUNCTION("""COMPUTED_VALUE"""),"")</f>
        <v/>
      </c>
      <c r="BG141" s="5" t="str">
        <f>IFERROR(__xludf.DUMMYFUNCTION("""COMPUTED_VALUE"""),"")</f>
        <v/>
      </c>
      <c r="BH141" s="5" t="str">
        <f>IFERROR(__xludf.DUMMYFUNCTION("""COMPUTED_VALUE"""),"")</f>
        <v/>
      </c>
      <c r="BI141" s="5" t="str">
        <f>IFERROR(__xludf.DUMMYFUNCTION("""COMPUTED_VALUE"""),"")</f>
        <v/>
      </c>
      <c r="BJ141" s="5" t="str">
        <f>IFERROR(__xludf.DUMMYFUNCTION("""COMPUTED_VALUE"""),"")</f>
        <v/>
      </c>
      <c r="BK141" s="5" t="str">
        <f>IFERROR(__xludf.DUMMYFUNCTION("""COMPUTED_VALUE"""),"")</f>
        <v/>
      </c>
      <c r="BL141" s="5" t="str">
        <f>IFERROR(__xludf.DUMMYFUNCTION("""COMPUTED_VALUE"""),"")</f>
        <v/>
      </c>
      <c r="BM141" s="5" t="str">
        <f>IFERROR(__xludf.DUMMYFUNCTION("""COMPUTED_VALUE"""),"")</f>
        <v/>
      </c>
    </row>
    <row r="142">
      <c r="A142" s="5" t="str">
        <f>IFERROR(__xludf.DUMMYFUNCTION("""COMPUTED_VALUE"""),"Fazi")</f>
        <v>Fazi</v>
      </c>
      <c r="B142" s="5" t="str">
        <f>IFERROR(__xludf.DUMMYFUNCTION("""COMPUTED_VALUE"""),"Very Hot 40 Extreme")</f>
        <v>Very Hot 40 Extreme</v>
      </c>
      <c r="C142" s="5" t="str">
        <f>IFERROR(__xludf.DUMMYFUNCTION("""COMPUTED_VALUE"""),"VeryHot40Extreme")</f>
        <v>VeryHot40Extreme</v>
      </c>
      <c r="D142" s="6">
        <f>IFERROR(__xludf.DUMMYFUNCTION("""COMPUTED_VALUE"""),45622.0)</f>
        <v>45622</v>
      </c>
      <c r="E142" s="5" t="str">
        <f>IFERROR(__xludf.DUMMYFUNCTION("""COMPUTED_VALUE"""),"Slot")</f>
        <v>Slot</v>
      </c>
      <c r="F142" s="5">
        <f>IFERROR(__xludf.DUMMYFUNCTION("""COMPUTED_VALUE"""),15.4)</f>
        <v>15.4</v>
      </c>
      <c r="G142" s="5" t="str">
        <f>IFERROR(__xludf.DUMMYFUNCTION("""COMPUTED_VALUE"""),"5x3")</f>
        <v>5x3</v>
      </c>
      <c r="H142" s="5" t="str">
        <f>IFERROR(__xludf.DUMMYFUNCTION("""COMPUTED_VALUE"""),"40")</f>
        <v>40</v>
      </c>
      <c r="I142" s="5" t="str">
        <f>IFERROR(__xludf.DUMMYFUNCTION("""COMPUTED_VALUE"""),"40")</f>
        <v>40</v>
      </c>
      <c r="J142" s="5" t="str">
        <f>IFERROR(__xludf.DUMMYFUNCTION("""COMPUTED_VALUE"""),"96.453%")</f>
        <v>96.453%</v>
      </c>
      <c r="K142" s="5" t="str">
        <f>IFERROR(__xludf.DUMMYFUNCTION("""COMPUTED_VALUE"""),"Low")</f>
        <v>Low</v>
      </c>
      <c r="L142" s="5" t="str">
        <f>IFERROR(__xludf.DUMMYFUNCTION("""COMPUTED_VALUE"""),"22.711%")</f>
        <v>22.711%</v>
      </c>
      <c r="M142" s="5" t="str">
        <f>IFERROR(__xludf.DUMMYFUNCTION("""COMPUTED_VALUE"""),"x1993")</f>
        <v>x1993</v>
      </c>
      <c r="N142" s="5" t="str">
        <f>IFERROR(__xludf.DUMMYFUNCTION("""COMPUTED_VALUE"""),"0.12/ 80")</f>
        <v>0.12/ 80</v>
      </c>
      <c r="O142" s="5" t="str">
        <f>IFERROR(__xludf.DUMMYFUNCTION("""COMPUTED_VALUE"""),"Yes")</f>
        <v>Yes</v>
      </c>
      <c r="P142" s="5" t="str">
        <f>IFERROR(__xludf.DUMMYFUNCTION("""COMPUTED_VALUE"""),"Wild Symbol, Win Multiplier")</f>
        <v>Wild Symbol, Win Multiplier</v>
      </c>
      <c r="Q142" s="7" t="str">
        <f>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R142" s="5" t="str">
        <f>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S1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t="str">
        <f>IFERROR(__xludf.DUMMYFUNCTION("""COMPUTED_VALUE"""),"Yes")</f>
        <v>Yes</v>
      </c>
      <c r="AA142" s="5" t="str">
        <f>IFERROR(__xludf.DUMMYFUNCTION("""COMPUTED_VALUE"""),"Yes")</f>
        <v>Yes</v>
      </c>
      <c r="AB142" s="5" t="str">
        <f>IFERROR(__xludf.DUMMYFUNCTION("""COMPUTED_VALUE"""),"Yes")</f>
        <v>Yes</v>
      </c>
      <c r="AC142" s="5" t="str">
        <f>IFERROR(__xludf.DUMMYFUNCTION("""COMPUTED_VALUE"""),"Yes")</f>
        <v>Yes</v>
      </c>
      <c r="AD142" s="5" t="str">
        <f>IFERROR(__xludf.DUMMYFUNCTION("""COMPUTED_VALUE"""),"Yes")</f>
        <v>Yes</v>
      </c>
      <c r="AE142" s="5" t="str">
        <f>IFERROR(__xludf.DUMMYFUNCTION("""COMPUTED_VALUE"""),"Yes")</f>
        <v>Yes</v>
      </c>
      <c r="AF142" s="5" t="str">
        <f>IFERROR(__xludf.DUMMYFUNCTION("""COMPUTED_VALUE"""),"Yes")</f>
        <v>Yes</v>
      </c>
      <c r="AG142" s="5" t="str">
        <f>IFERROR(__xludf.DUMMYFUNCTION("""COMPUTED_VALUE"""),"Yes")</f>
        <v>Yes</v>
      </c>
      <c r="AH142" s="5" t="str">
        <f>IFERROR(__xludf.DUMMYFUNCTION("""COMPUTED_VALUE"""),"Yes")</f>
        <v>Yes</v>
      </c>
      <c r="AI142" s="5" t="str">
        <f>IFERROR(__xludf.DUMMYFUNCTION("""COMPUTED_VALUE"""),"Yes")</f>
        <v>Yes</v>
      </c>
      <c r="AJ142" s="5" t="str">
        <f>IFERROR(__xludf.DUMMYFUNCTION("""COMPUTED_VALUE"""),"Yes")</f>
        <v>Yes</v>
      </c>
      <c r="AK142" s="5" t="str">
        <f>IFERROR(__xludf.DUMMYFUNCTION("""COMPUTED_VALUE"""),"Yes")</f>
        <v>Yes</v>
      </c>
      <c r="AL142" s="5" t="str">
        <f>IFERROR(__xludf.DUMMYFUNCTION("""COMPUTED_VALUE"""),"Yes")</f>
        <v>Yes</v>
      </c>
      <c r="AM142" s="5" t="str">
        <f>IFERROR(__xludf.DUMMYFUNCTION("""COMPUTED_VALUE"""),"Yes")</f>
        <v>Yes</v>
      </c>
      <c r="AN142" s="5" t="str">
        <f>IFERROR(__xludf.DUMMYFUNCTION("""COMPUTED_VALUE"""),"Yes")</f>
        <v>Yes</v>
      </c>
      <c r="AO142" s="5" t="str">
        <f>IFERROR(__xludf.DUMMYFUNCTION("""COMPUTED_VALUE"""),"Yes")</f>
        <v>Yes</v>
      </c>
      <c r="AP142" s="5" t="str">
        <f>IFERROR(__xludf.DUMMYFUNCTION("""COMPUTED_VALUE"""),"Yes")</f>
        <v>Yes</v>
      </c>
      <c r="AQ142" s="5" t="str">
        <f>IFERROR(__xludf.DUMMYFUNCTION("""COMPUTED_VALUE"""),"Yes")</f>
        <v>Yes</v>
      </c>
      <c r="AR142" s="5" t="str">
        <f>IFERROR(__xludf.DUMMYFUNCTION("""COMPUTED_VALUE"""),"Yes")</f>
        <v>Yes</v>
      </c>
      <c r="AS142" s="5" t="str">
        <f>IFERROR(__xludf.DUMMYFUNCTION("""COMPUTED_VALUE"""),"Yes")</f>
        <v>Yes</v>
      </c>
      <c r="AT142" s="5" t="str">
        <f>IFERROR(__xludf.DUMMYFUNCTION("""COMPUTED_VALUE"""),"No")</f>
        <v>No</v>
      </c>
      <c r="AU142" s="5"/>
      <c r="AV142" s="5" t="str">
        <f>IFERROR(__xludf.DUMMYFUNCTION("""COMPUTED_VALUE"""),"")</f>
        <v/>
      </c>
      <c r="AW142" s="5" t="str">
        <f>IFERROR(__xludf.DUMMYFUNCTION("""COMPUTED_VALUE"""),"")</f>
        <v/>
      </c>
      <c r="AX142" s="5" t="str">
        <f>IFERROR(__xludf.DUMMYFUNCTION("""COMPUTED_VALUE"""),"")</f>
        <v/>
      </c>
      <c r="AY142" s="5" t="str">
        <f>IFERROR(__xludf.DUMMYFUNCTION("""COMPUTED_VALUE"""),"")</f>
        <v/>
      </c>
      <c r="AZ142" s="5" t="str">
        <f>IFERROR(__xludf.DUMMYFUNCTION("""COMPUTED_VALUE"""),"Available")</f>
        <v>Available</v>
      </c>
      <c r="BA142" s="5" t="str">
        <f>IFERROR(__xludf.DUMMYFUNCTION("""COMPUTED_VALUE"""),"Available")</f>
        <v>Available</v>
      </c>
      <c r="BB142" s="5" t="str">
        <f>IFERROR(__xludf.DUMMYFUNCTION("""COMPUTED_VALUE"""),"Available")</f>
        <v>Available</v>
      </c>
      <c r="BC142" s="5" t="str">
        <f>IFERROR(__xludf.DUMMYFUNCTION("""COMPUTED_VALUE"""),"")</f>
        <v/>
      </c>
      <c r="BD142" s="5" t="str">
        <f>IFERROR(__xludf.DUMMYFUNCTION("""COMPUTED_VALUE"""),"")</f>
        <v/>
      </c>
      <c r="BE142" s="5" t="str">
        <f>IFERROR(__xludf.DUMMYFUNCTION("""COMPUTED_VALUE"""),"")</f>
        <v/>
      </c>
      <c r="BF142" s="5" t="str">
        <f>IFERROR(__xludf.DUMMYFUNCTION("""COMPUTED_VALUE"""),"")</f>
        <v/>
      </c>
      <c r="BG142" s="5" t="str">
        <f>IFERROR(__xludf.DUMMYFUNCTION("""COMPUTED_VALUE"""),"")</f>
        <v/>
      </c>
      <c r="BH142" s="5" t="str">
        <f>IFERROR(__xludf.DUMMYFUNCTION("""COMPUTED_VALUE"""),"")</f>
        <v/>
      </c>
      <c r="BI142" s="5" t="str">
        <f>IFERROR(__xludf.DUMMYFUNCTION("""COMPUTED_VALUE"""),"")</f>
        <v/>
      </c>
      <c r="BJ142" s="5" t="str">
        <f>IFERROR(__xludf.DUMMYFUNCTION("""COMPUTED_VALUE"""),"")</f>
        <v/>
      </c>
      <c r="BK142" s="5" t="str">
        <f>IFERROR(__xludf.DUMMYFUNCTION("""COMPUTED_VALUE"""),"Available")</f>
        <v>Available</v>
      </c>
      <c r="BL142" s="5" t="str">
        <f>IFERROR(__xludf.DUMMYFUNCTION("""COMPUTED_VALUE"""),"")</f>
        <v/>
      </c>
      <c r="BM142" s="5" t="str">
        <f>IFERROR(__xludf.DUMMYFUNCTION("""COMPUTED_VALUE"""),"")</f>
        <v/>
      </c>
    </row>
    <row r="143">
      <c r="A143" s="5" t="str">
        <f>IFERROR(__xludf.DUMMYFUNCTION("""COMPUTED_VALUE"""),"Fazi")</f>
        <v>Fazi</v>
      </c>
      <c r="B143" s="5" t="str">
        <f>IFERROR(__xludf.DUMMYFUNCTION("""COMPUTED_VALUE"""),"Special Fruits")</f>
        <v>Special Fruits</v>
      </c>
      <c r="C143" s="5" t="str">
        <f>IFERROR(__xludf.DUMMYFUNCTION("""COMPUTED_VALUE"""),"SpecialFruits")</f>
        <v>SpecialFruits</v>
      </c>
      <c r="D143" s="6">
        <f>IFERROR(__xludf.DUMMYFUNCTION("""COMPUTED_VALUE"""),45680.0)</f>
        <v>45680</v>
      </c>
      <c r="E143" s="5" t="str">
        <f>IFERROR(__xludf.DUMMYFUNCTION("""COMPUTED_VALUE"""),"Slot")</f>
        <v>Slot</v>
      </c>
      <c r="F143" s="5">
        <f>IFERROR(__xludf.DUMMYFUNCTION("""COMPUTED_VALUE"""),14.1)</f>
        <v>14.1</v>
      </c>
      <c r="G143" s="5" t="str">
        <f>IFERROR(__xludf.DUMMYFUNCTION("""COMPUTED_VALUE"""),"5x3")</f>
        <v>5x3</v>
      </c>
      <c r="H143" s="5" t="str">
        <f>IFERROR(__xludf.DUMMYFUNCTION("""COMPUTED_VALUE"""),"20")</f>
        <v>20</v>
      </c>
      <c r="I143" s="5" t="str">
        <f>IFERROR(__xludf.DUMMYFUNCTION("""COMPUTED_VALUE"""),"5, 10, 15, 20, 30, 40")</f>
        <v>5, 10, 15, 20, 30, 40</v>
      </c>
      <c r="J143" s="5" t="str">
        <f>IFERROR(__xludf.DUMMYFUNCTION("""COMPUTED_VALUE"""),"96.501%")</f>
        <v>96.501%</v>
      </c>
      <c r="K143" s="5" t="str">
        <f>IFERROR(__xludf.DUMMYFUNCTION("""COMPUTED_VALUE"""),"Low")</f>
        <v>Low</v>
      </c>
      <c r="L143" s="5" t="str">
        <f>IFERROR(__xludf.DUMMYFUNCTION("""COMPUTED_VALUE"""),"16.882%")</f>
        <v>16.882%</v>
      </c>
      <c r="M143" s="5" t="str">
        <f>IFERROR(__xludf.DUMMYFUNCTION("""COMPUTED_VALUE"""),"x2000")</f>
        <v>x2000</v>
      </c>
      <c r="N143" s="5" t="str">
        <f>IFERROR(__xludf.DUMMYFUNCTION("""COMPUTED_VALUE"""),"0.2/50")</f>
        <v>0.2/50</v>
      </c>
      <c r="O143" s="5" t="str">
        <f>IFERROR(__xludf.DUMMYFUNCTION("""COMPUTED_VALUE"""),"Yes")</f>
        <v>Yes</v>
      </c>
      <c r="P143" s="5" t="str">
        <f>IFERROR(__xludf.DUMMYFUNCTION("""COMPUTED_VALUE"""),"Mystic Pay, Scatter, Wild Symbol")</f>
        <v>Mystic Pay, Scatter, Wild Symbol</v>
      </c>
      <c r="Q143" s="7" t="str">
        <f>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R143" s="5" t="str">
        <f>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S1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IFERROR(__xludf.DUMMYFUNCTION("""COMPUTED_VALUE"""),"Yes")</f>
        <v>Yes</v>
      </c>
      <c r="AA143" s="5" t="str">
        <f>IFERROR(__xludf.DUMMYFUNCTION("""COMPUTED_VALUE"""),"Yes")</f>
        <v>Yes</v>
      </c>
      <c r="AB143" s="5" t="str">
        <f>IFERROR(__xludf.DUMMYFUNCTION("""COMPUTED_VALUE"""),"Yes")</f>
        <v>Yes</v>
      </c>
      <c r="AC143" s="5" t="str">
        <f>IFERROR(__xludf.DUMMYFUNCTION("""COMPUTED_VALUE"""),"Yes")</f>
        <v>Yes</v>
      </c>
      <c r="AD143" s="5" t="str">
        <f>IFERROR(__xludf.DUMMYFUNCTION("""COMPUTED_VALUE"""),"Yes")</f>
        <v>Yes</v>
      </c>
      <c r="AE143" s="5" t="str">
        <f>IFERROR(__xludf.DUMMYFUNCTION("""COMPUTED_VALUE"""),"Yes")</f>
        <v>Yes</v>
      </c>
      <c r="AF143" s="5" t="str">
        <f>IFERROR(__xludf.DUMMYFUNCTION("""COMPUTED_VALUE"""),"Yes")</f>
        <v>Yes</v>
      </c>
      <c r="AG143" s="5" t="str">
        <f>IFERROR(__xludf.DUMMYFUNCTION("""COMPUTED_VALUE"""),"Yes")</f>
        <v>Yes</v>
      </c>
      <c r="AH143" s="5" t="str">
        <f>IFERROR(__xludf.DUMMYFUNCTION("""COMPUTED_VALUE"""),"Yes")</f>
        <v>Yes</v>
      </c>
      <c r="AI143" s="5" t="str">
        <f>IFERROR(__xludf.DUMMYFUNCTION("""COMPUTED_VALUE"""),"Yes")</f>
        <v>Yes</v>
      </c>
      <c r="AJ143" s="5" t="str">
        <f>IFERROR(__xludf.DUMMYFUNCTION("""COMPUTED_VALUE"""),"Yes")</f>
        <v>Yes</v>
      </c>
      <c r="AK143" s="5" t="str">
        <f>IFERROR(__xludf.DUMMYFUNCTION("""COMPUTED_VALUE"""),"Yes")</f>
        <v>Yes</v>
      </c>
      <c r="AL143" s="5" t="str">
        <f>IFERROR(__xludf.DUMMYFUNCTION("""COMPUTED_VALUE"""),"Yes")</f>
        <v>Yes</v>
      </c>
      <c r="AM143" s="5" t="str">
        <f>IFERROR(__xludf.DUMMYFUNCTION("""COMPUTED_VALUE"""),"Yes")</f>
        <v>Yes</v>
      </c>
      <c r="AN143" s="5" t="str">
        <f>IFERROR(__xludf.DUMMYFUNCTION("""COMPUTED_VALUE"""),"Yes")</f>
        <v>Yes</v>
      </c>
      <c r="AO143" s="5" t="str">
        <f>IFERROR(__xludf.DUMMYFUNCTION("""COMPUTED_VALUE"""),"Yes")</f>
        <v>Yes</v>
      </c>
      <c r="AP143" s="5" t="str">
        <f>IFERROR(__xludf.DUMMYFUNCTION("""COMPUTED_VALUE"""),"Yes")</f>
        <v>Yes</v>
      </c>
      <c r="AQ143" s="5" t="str">
        <f>IFERROR(__xludf.DUMMYFUNCTION("""COMPUTED_VALUE"""),"Yes")</f>
        <v>Yes</v>
      </c>
      <c r="AR143" s="5" t="str">
        <f>IFERROR(__xludf.DUMMYFUNCTION("""COMPUTED_VALUE"""),"Yes")</f>
        <v>Yes</v>
      </c>
      <c r="AS143" s="5" t="str">
        <f>IFERROR(__xludf.DUMMYFUNCTION("""COMPUTED_VALUE"""),"Yes")</f>
        <v>Yes</v>
      </c>
      <c r="AT143" s="5" t="str">
        <f>IFERROR(__xludf.DUMMYFUNCTION("""COMPUTED_VALUE"""),"No")</f>
        <v>No</v>
      </c>
      <c r="AU143" s="5"/>
      <c r="AV143" s="5" t="str">
        <f>IFERROR(__xludf.DUMMYFUNCTION("""COMPUTED_VALUE"""),"")</f>
        <v/>
      </c>
      <c r="AW143" s="5" t="str">
        <f>IFERROR(__xludf.DUMMYFUNCTION("""COMPUTED_VALUE"""),"")</f>
        <v/>
      </c>
      <c r="AX143" s="5" t="str">
        <f>IFERROR(__xludf.DUMMYFUNCTION("""COMPUTED_VALUE"""),"")</f>
        <v/>
      </c>
      <c r="AY143" s="5" t="str">
        <f>IFERROR(__xludf.DUMMYFUNCTION("""COMPUTED_VALUE"""),"")</f>
        <v/>
      </c>
      <c r="AZ143" s="5" t="str">
        <f>IFERROR(__xludf.DUMMYFUNCTION("""COMPUTED_VALUE"""),"Available")</f>
        <v>Available</v>
      </c>
      <c r="BA143" s="5" t="str">
        <f>IFERROR(__xludf.DUMMYFUNCTION("""COMPUTED_VALUE"""),"Available")</f>
        <v>Available</v>
      </c>
      <c r="BB143" s="5" t="str">
        <f>IFERROR(__xludf.DUMMYFUNCTION("""COMPUTED_VALUE"""),"Available")</f>
        <v>Available</v>
      </c>
      <c r="BC143" s="5" t="str">
        <f>IFERROR(__xludf.DUMMYFUNCTION("""COMPUTED_VALUE"""),"")</f>
        <v/>
      </c>
      <c r="BD143" s="5" t="str">
        <f>IFERROR(__xludf.DUMMYFUNCTION("""COMPUTED_VALUE"""),"")</f>
        <v/>
      </c>
      <c r="BE143" s="5" t="str">
        <f>IFERROR(__xludf.DUMMYFUNCTION("""COMPUTED_VALUE"""),"")</f>
        <v/>
      </c>
      <c r="BF143" s="5" t="str">
        <f>IFERROR(__xludf.DUMMYFUNCTION("""COMPUTED_VALUE"""),"")</f>
        <v/>
      </c>
      <c r="BG143" s="5" t="str">
        <f>IFERROR(__xludf.DUMMYFUNCTION("""COMPUTED_VALUE"""),"")</f>
        <v/>
      </c>
      <c r="BH143" s="5" t="str">
        <f>IFERROR(__xludf.DUMMYFUNCTION("""COMPUTED_VALUE"""),"")</f>
        <v/>
      </c>
      <c r="BI143" s="5" t="str">
        <f>IFERROR(__xludf.DUMMYFUNCTION("""COMPUTED_VALUE"""),"")</f>
        <v/>
      </c>
      <c r="BJ143" s="5" t="str">
        <f>IFERROR(__xludf.DUMMYFUNCTION("""COMPUTED_VALUE"""),"")</f>
        <v/>
      </c>
      <c r="BK143" s="5" t="str">
        <f>IFERROR(__xludf.DUMMYFUNCTION("""COMPUTED_VALUE"""),"Available")</f>
        <v>Available</v>
      </c>
      <c r="BL143" s="5" t="str">
        <f>IFERROR(__xludf.DUMMYFUNCTION("""COMPUTED_VALUE"""),"")</f>
        <v/>
      </c>
      <c r="BM143" s="5" t="str">
        <f>IFERROR(__xludf.DUMMYFUNCTION("""COMPUTED_VALUE"""),"")</f>
        <v/>
      </c>
    </row>
    <row r="144">
      <c r="A144" s="5" t="str">
        <f>IFERROR(__xludf.DUMMYFUNCTION("""COMPUTED_VALUE"""),"Fazi")</f>
        <v>Fazi</v>
      </c>
      <c r="B144" s="5" t="str">
        <f>IFERROR(__xludf.DUMMYFUNCTION("""COMPUTED_VALUE"""),"Turbo Stars 10")</f>
        <v>Turbo Stars 10</v>
      </c>
      <c r="C144" s="5" t="str">
        <f>IFERROR(__xludf.DUMMYFUNCTION("""COMPUTED_VALUE"""),"TurboStars10")</f>
        <v>TurboStars10</v>
      </c>
      <c r="D144" s="6">
        <f>IFERROR(__xludf.DUMMYFUNCTION("""COMPUTED_VALUE"""),45483.0)</f>
        <v>45483</v>
      </c>
      <c r="E144" s="5" t="str">
        <f>IFERROR(__xludf.DUMMYFUNCTION("""COMPUTED_VALUE"""),"Slot")</f>
        <v>Slot</v>
      </c>
      <c r="F144" s="5">
        <f>IFERROR(__xludf.DUMMYFUNCTION("""COMPUTED_VALUE"""),22.0)</f>
        <v>22</v>
      </c>
      <c r="G144" s="5" t="str">
        <f>IFERROR(__xludf.DUMMYFUNCTION("""COMPUTED_VALUE"""),"5x3")</f>
        <v>5x3</v>
      </c>
      <c r="H144" s="5" t="str">
        <f>IFERROR(__xludf.DUMMYFUNCTION("""COMPUTED_VALUE"""),"10")</f>
        <v>10</v>
      </c>
      <c r="I144" s="5" t="str">
        <f>IFERROR(__xludf.DUMMYFUNCTION("""COMPUTED_VALUE"""),"1,3,5,7,10")</f>
        <v>1,3,5,7,10</v>
      </c>
      <c r="J144" s="5" t="str">
        <f>IFERROR(__xludf.DUMMYFUNCTION("""COMPUTED_VALUE"""),"95.544%")</f>
        <v>95.544%</v>
      </c>
      <c r="K144" s="5" t="str">
        <f>IFERROR(__xludf.DUMMYFUNCTION("""COMPUTED_VALUE"""),"Medium")</f>
        <v>Medium</v>
      </c>
      <c r="L144" s="5" t="str">
        <f>IFERROR(__xludf.DUMMYFUNCTION("""COMPUTED_VALUE"""),"13.022%")</f>
        <v>13.022%</v>
      </c>
      <c r="M144" s="5" t="str">
        <f>IFERROR(__xludf.DUMMYFUNCTION("""COMPUTED_VALUE"""),"x1611")</f>
        <v>x1611</v>
      </c>
      <c r="N144" s="5" t="str">
        <f>IFERROR(__xludf.DUMMYFUNCTION("""COMPUTED_VALUE"""),"0.1/40")</f>
        <v>0.1/40</v>
      </c>
      <c r="O144" s="5" t="str">
        <f>IFERROR(__xludf.DUMMYFUNCTION("""COMPUTED_VALUE"""),"Yes")</f>
        <v>Yes</v>
      </c>
      <c r="P144" s="5" t="str">
        <f>IFERROR(__xludf.DUMMYFUNCTION("""COMPUTED_VALUE"""),"Respin, Expanding Wild")</f>
        <v>Respin, Expanding Wild</v>
      </c>
      <c r="Q144" s="7" t="str">
        <f>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R144" s="5" t="str">
        <f>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S1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4" s="5" t="str">
        <f>IFERROR(__xludf.DUMMYFUNCTION("""COMPUTED_VALUE"""),"Yes")</f>
        <v>Yes</v>
      </c>
      <c r="U144" s="5" t="str">
        <f>IFERROR(__xludf.DUMMYFUNCTION("""COMPUTED_VALUE"""),"Yes")</f>
        <v>Yes</v>
      </c>
      <c r="V144" s="5" t="str">
        <f>IFERROR(__xludf.DUMMYFUNCTION("""COMPUTED_VALUE"""),"Yes")</f>
        <v>Yes</v>
      </c>
      <c r="W144" s="5" t="str">
        <f>IFERROR(__xludf.DUMMYFUNCTION("""COMPUTED_VALUE"""),"Yes")</f>
        <v>Yes</v>
      </c>
      <c r="X144" s="5" t="str">
        <f>IFERROR(__xludf.DUMMYFUNCTION("""COMPUTED_VALUE"""),"Yes")</f>
        <v>Yes</v>
      </c>
      <c r="Y144" s="5" t="str">
        <f>IFERROR(__xludf.DUMMYFUNCTION("""COMPUTED_VALUE"""),"Yes")</f>
        <v>Yes</v>
      </c>
      <c r="Z144" s="5" t="str">
        <f>IFERROR(__xludf.DUMMYFUNCTION("""COMPUTED_VALUE"""),"Yes")</f>
        <v>Yes</v>
      </c>
      <c r="AA144" s="5" t="str">
        <f>IFERROR(__xludf.DUMMYFUNCTION("""COMPUTED_VALUE"""),"Yes")</f>
        <v>Yes</v>
      </c>
      <c r="AB144" s="5" t="str">
        <f>IFERROR(__xludf.DUMMYFUNCTION("""COMPUTED_VALUE"""),"Yes")</f>
        <v>Yes</v>
      </c>
      <c r="AC144" s="5" t="str">
        <f>IFERROR(__xludf.DUMMYFUNCTION("""COMPUTED_VALUE"""),"Yes")</f>
        <v>Yes</v>
      </c>
      <c r="AD144" s="5" t="str">
        <f>IFERROR(__xludf.DUMMYFUNCTION("""COMPUTED_VALUE"""),"Yes")</f>
        <v>Yes</v>
      </c>
      <c r="AE144" s="5" t="str">
        <f>IFERROR(__xludf.DUMMYFUNCTION("""COMPUTED_VALUE"""),"Yes")</f>
        <v>Yes</v>
      </c>
      <c r="AF144" s="5" t="str">
        <f>IFERROR(__xludf.DUMMYFUNCTION("""COMPUTED_VALUE"""),"Yes")</f>
        <v>Yes</v>
      </c>
      <c r="AG144" s="5" t="str">
        <f>IFERROR(__xludf.DUMMYFUNCTION("""COMPUTED_VALUE"""),"Yes")</f>
        <v>Yes</v>
      </c>
      <c r="AH144" s="5" t="str">
        <f>IFERROR(__xludf.DUMMYFUNCTION("""COMPUTED_VALUE"""),"Yes")</f>
        <v>Yes</v>
      </c>
      <c r="AI144" s="5" t="str">
        <f>IFERROR(__xludf.DUMMYFUNCTION("""COMPUTED_VALUE"""),"Yes")</f>
        <v>Yes</v>
      </c>
      <c r="AJ144" s="5" t="str">
        <f>IFERROR(__xludf.DUMMYFUNCTION("""COMPUTED_VALUE"""),"Yes")</f>
        <v>Yes</v>
      </c>
      <c r="AK144" s="5" t="str">
        <f>IFERROR(__xludf.DUMMYFUNCTION("""COMPUTED_VALUE"""),"Yes")</f>
        <v>Yes</v>
      </c>
      <c r="AL144" s="5" t="str">
        <f>IFERROR(__xludf.DUMMYFUNCTION("""COMPUTED_VALUE"""),"Yes")</f>
        <v>Yes</v>
      </c>
      <c r="AM144" s="5" t="str">
        <f>IFERROR(__xludf.DUMMYFUNCTION("""COMPUTED_VALUE"""),"Yes")</f>
        <v>Yes</v>
      </c>
      <c r="AN144" s="5" t="str">
        <f>IFERROR(__xludf.DUMMYFUNCTION("""COMPUTED_VALUE"""),"Yes")</f>
        <v>Yes</v>
      </c>
      <c r="AO144" s="5" t="str">
        <f>IFERROR(__xludf.DUMMYFUNCTION("""COMPUTED_VALUE"""),"Yes")</f>
        <v>Yes</v>
      </c>
      <c r="AP144" s="5" t="str">
        <f>IFERROR(__xludf.DUMMYFUNCTION("""COMPUTED_VALUE"""),"Yes")</f>
        <v>Yes</v>
      </c>
      <c r="AQ144" s="5" t="str">
        <f>IFERROR(__xludf.DUMMYFUNCTION("""COMPUTED_VALUE"""),"Yes")</f>
        <v>Yes</v>
      </c>
      <c r="AR144" s="5" t="str">
        <f>IFERROR(__xludf.DUMMYFUNCTION("""COMPUTED_VALUE"""),"Yes")</f>
        <v>Yes</v>
      </c>
      <c r="AS144" s="5" t="str">
        <f>IFERROR(__xludf.DUMMYFUNCTION("""COMPUTED_VALUE"""),"Yes")</f>
        <v>Yes</v>
      </c>
      <c r="AT144" s="5" t="str">
        <f>IFERROR(__xludf.DUMMYFUNCTION("""COMPUTED_VALUE"""),"No")</f>
        <v>No</v>
      </c>
      <c r="AU144" s="5"/>
      <c r="AV144" s="5" t="str">
        <f>IFERROR(__xludf.DUMMYFUNCTION("""COMPUTED_VALUE"""),"Available")</f>
        <v>Available</v>
      </c>
      <c r="AW144" s="5" t="str">
        <f>IFERROR(__xludf.DUMMYFUNCTION("""COMPUTED_VALUE"""),"Available")</f>
        <v>Available</v>
      </c>
      <c r="AX144" s="5" t="str">
        <f>IFERROR(__xludf.DUMMYFUNCTION("""COMPUTED_VALUE"""),"")</f>
        <v/>
      </c>
      <c r="AY144" s="5" t="str">
        <f>IFERROR(__xludf.DUMMYFUNCTION("""COMPUTED_VALUE"""),"Available")</f>
        <v>Available</v>
      </c>
      <c r="AZ144" s="5" t="str">
        <f>IFERROR(__xludf.DUMMYFUNCTION("""COMPUTED_VALUE"""),"Available")</f>
        <v>Available</v>
      </c>
      <c r="BA144" s="5" t="str">
        <f>IFERROR(__xludf.DUMMYFUNCTION("""COMPUTED_VALUE"""),"Available")</f>
        <v>Available</v>
      </c>
      <c r="BB144" s="5" t="str">
        <f>IFERROR(__xludf.DUMMYFUNCTION("""COMPUTED_VALUE"""),"Available")</f>
        <v>Available</v>
      </c>
      <c r="BC144" s="5" t="str">
        <f>IFERROR(__xludf.DUMMYFUNCTION("""COMPUTED_VALUE"""),"")</f>
        <v/>
      </c>
      <c r="BD144" s="5" t="str">
        <f>IFERROR(__xludf.DUMMYFUNCTION("""COMPUTED_VALUE"""),"Available")</f>
        <v>Available</v>
      </c>
      <c r="BE144" s="5" t="str">
        <f>IFERROR(__xludf.DUMMYFUNCTION("""COMPUTED_VALUE"""),"")</f>
        <v/>
      </c>
      <c r="BF144" s="5" t="str">
        <f>IFERROR(__xludf.DUMMYFUNCTION("""COMPUTED_VALUE"""),"Available")</f>
        <v>Available</v>
      </c>
      <c r="BG144" s="5" t="str">
        <f>IFERROR(__xludf.DUMMYFUNCTION("""COMPUTED_VALUE"""),"")</f>
        <v/>
      </c>
      <c r="BH144" s="5" t="str">
        <f>IFERROR(__xludf.DUMMYFUNCTION("""COMPUTED_VALUE"""),"")</f>
        <v/>
      </c>
      <c r="BI144" s="5" t="str">
        <f>IFERROR(__xludf.DUMMYFUNCTION("""COMPUTED_VALUE"""),"")</f>
        <v/>
      </c>
      <c r="BJ144" s="5" t="str">
        <f>IFERROR(__xludf.DUMMYFUNCTION("""COMPUTED_VALUE"""),"")</f>
        <v/>
      </c>
      <c r="BK144" s="5" t="str">
        <f>IFERROR(__xludf.DUMMYFUNCTION("""COMPUTED_VALUE"""),"Available")</f>
        <v>Available</v>
      </c>
      <c r="BL144" s="5" t="str">
        <f>IFERROR(__xludf.DUMMYFUNCTION("""COMPUTED_VALUE"""),"")</f>
        <v/>
      </c>
      <c r="BM144" s="5" t="str">
        <f>IFERROR(__xludf.DUMMYFUNCTION("""COMPUTED_VALUE"""),"Available")</f>
        <v>Available</v>
      </c>
    </row>
    <row r="145">
      <c r="A145" s="5" t="str">
        <f>IFERROR(__xludf.DUMMYFUNCTION("""COMPUTED_VALUE"""),"Fazi")</f>
        <v>Fazi</v>
      </c>
      <c r="B145" s="5" t="str">
        <f>IFERROR(__xludf.DUMMYFUNCTION("""COMPUTED_VALUE"""),"Turbo Stars 40")</f>
        <v>Turbo Stars 40</v>
      </c>
      <c r="C145" s="5" t="str">
        <f>IFERROR(__xludf.DUMMYFUNCTION("""COMPUTED_VALUE"""),"TurboStars40")</f>
        <v>TurboStars40</v>
      </c>
      <c r="D145" s="6">
        <f>IFERROR(__xludf.DUMMYFUNCTION("""COMPUTED_VALUE"""),45593.0)</f>
        <v>45593</v>
      </c>
      <c r="E145" s="5" t="str">
        <f>IFERROR(__xludf.DUMMYFUNCTION("""COMPUTED_VALUE"""),"Slot")</f>
        <v>Slot</v>
      </c>
      <c r="F145" s="5">
        <f>IFERROR(__xludf.DUMMYFUNCTION("""COMPUTED_VALUE"""),21.3)</f>
        <v>21.3</v>
      </c>
      <c r="G145" s="5" t="str">
        <f>IFERROR(__xludf.DUMMYFUNCTION("""COMPUTED_VALUE"""),"5x3")</f>
        <v>5x3</v>
      </c>
      <c r="H145" s="5" t="str">
        <f>IFERROR(__xludf.DUMMYFUNCTION("""COMPUTED_VALUE"""),"40")</f>
        <v>40</v>
      </c>
      <c r="I145" s="5" t="str">
        <f>IFERROR(__xludf.DUMMYFUNCTION("""COMPUTED_VALUE"""),"40")</f>
        <v>40</v>
      </c>
      <c r="J145" s="5" t="str">
        <f>IFERROR(__xludf.DUMMYFUNCTION("""COMPUTED_VALUE"""),"95.544%")</f>
        <v>95.544%</v>
      </c>
      <c r="K145" s="5" t="str">
        <f>IFERROR(__xludf.DUMMYFUNCTION("""COMPUTED_VALUE"""),"Medium")</f>
        <v>Medium</v>
      </c>
      <c r="L145" s="5" t="str">
        <f>IFERROR(__xludf.DUMMYFUNCTION("""COMPUTED_VALUE"""),"17.13%")</f>
        <v>17.13%</v>
      </c>
      <c r="M145" s="5" t="str">
        <f>IFERROR(__xludf.DUMMYFUNCTION("""COMPUTED_VALUE"""),"x1700")</f>
        <v>x1700</v>
      </c>
      <c r="N145" s="5" t="str">
        <f>IFERROR(__xludf.DUMMYFUNCTION("""COMPUTED_VALUE"""),"0.4/60")</f>
        <v>0.4/60</v>
      </c>
      <c r="O145" s="5" t="str">
        <f>IFERROR(__xludf.DUMMYFUNCTION("""COMPUTED_VALUE"""),"Yes")</f>
        <v>Yes</v>
      </c>
      <c r="P145" s="5" t="str">
        <f>IFERROR(__xludf.DUMMYFUNCTION("""COMPUTED_VALUE"""),"Expanding Wild, Respin")</f>
        <v>Expanding Wild, Respin</v>
      </c>
      <c r="Q145" s="7" t="str">
        <f>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R145" s="5" t="str">
        <f>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S1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5" s="5" t="str">
        <f>IFERROR(__xludf.DUMMYFUNCTION("""COMPUTED_VALUE"""),"Yes")</f>
        <v>Yes</v>
      </c>
      <c r="U145" s="5" t="str">
        <f>IFERROR(__xludf.DUMMYFUNCTION("""COMPUTED_VALUE"""),"Yes")</f>
        <v>Yes</v>
      </c>
      <c r="V145" s="5" t="str">
        <f>IFERROR(__xludf.DUMMYFUNCTION("""COMPUTED_VALUE"""),"Yes")</f>
        <v>Yes</v>
      </c>
      <c r="W145" s="5" t="str">
        <f>IFERROR(__xludf.DUMMYFUNCTION("""COMPUTED_VALUE"""),"Yes")</f>
        <v>Yes</v>
      </c>
      <c r="X145" s="5" t="str">
        <f>IFERROR(__xludf.DUMMYFUNCTION("""COMPUTED_VALUE"""),"Yes")</f>
        <v>Yes</v>
      </c>
      <c r="Y145" s="5" t="str">
        <f>IFERROR(__xludf.DUMMYFUNCTION("""COMPUTED_VALUE"""),"Yes")</f>
        <v>Yes</v>
      </c>
      <c r="Z145" s="5" t="str">
        <f>IFERROR(__xludf.DUMMYFUNCTION("""COMPUTED_VALUE"""),"Yes")</f>
        <v>Yes</v>
      </c>
      <c r="AA145" s="5" t="str">
        <f>IFERROR(__xludf.DUMMYFUNCTION("""COMPUTED_VALUE"""),"Yes")</f>
        <v>Yes</v>
      </c>
      <c r="AB145" s="5" t="str">
        <f>IFERROR(__xludf.DUMMYFUNCTION("""COMPUTED_VALUE"""),"Yes")</f>
        <v>Yes</v>
      </c>
      <c r="AC145" s="5" t="str">
        <f>IFERROR(__xludf.DUMMYFUNCTION("""COMPUTED_VALUE"""),"Yes")</f>
        <v>Yes</v>
      </c>
      <c r="AD145" s="5" t="str">
        <f>IFERROR(__xludf.DUMMYFUNCTION("""COMPUTED_VALUE"""),"Yes")</f>
        <v>Yes</v>
      </c>
      <c r="AE145" s="5" t="str">
        <f>IFERROR(__xludf.DUMMYFUNCTION("""COMPUTED_VALUE"""),"Yes")</f>
        <v>Yes</v>
      </c>
      <c r="AF145" s="5" t="str">
        <f>IFERROR(__xludf.DUMMYFUNCTION("""COMPUTED_VALUE"""),"Yes")</f>
        <v>Yes</v>
      </c>
      <c r="AG145" s="5" t="str">
        <f>IFERROR(__xludf.DUMMYFUNCTION("""COMPUTED_VALUE"""),"Yes")</f>
        <v>Yes</v>
      </c>
      <c r="AH145" s="5" t="str">
        <f>IFERROR(__xludf.DUMMYFUNCTION("""COMPUTED_VALUE"""),"Yes")</f>
        <v>Yes</v>
      </c>
      <c r="AI145" s="5" t="str">
        <f>IFERROR(__xludf.DUMMYFUNCTION("""COMPUTED_VALUE"""),"Yes")</f>
        <v>Yes</v>
      </c>
      <c r="AJ145" s="5" t="str">
        <f>IFERROR(__xludf.DUMMYFUNCTION("""COMPUTED_VALUE"""),"Yes")</f>
        <v>Yes</v>
      </c>
      <c r="AK145" s="5" t="str">
        <f>IFERROR(__xludf.DUMMYFUNCTION("""COMPUTED_VALUE"""),"Yes")</f>
        <v>Yes</v>
      </c>
      <c r="AL145" s="5" t="str">
        <f>IFERROR(__xludf.DUMMYFUNCTION("""COMPUTED_VALUE"""),"Yes")</f>
        <v>Yes</v>
      </c>
      <c r="AM145" s="5" t="str">
        <f>IFERROR(__xludf.DUMMYFUNCTION("""COMPUTED_VALUE"""),"Yes")</f>
        <v>Yes</v>
      </c>
      <c r="AN145" s="5" t="str">
        <f>IFERROR(__xludf.DUMMYFUNCTION("""COMPUTED_VALUE"""),"Yes")</f>
        <v>Yes</v>
      </c>
      <c r="AO145" s="5" t="str">
        <f>IFERROR(__xludf.DUMMYFUNCTION("""COMPUTED_VALUE"""),"Yes")</f>
        <v>Yes</v>
      </c>
      <c r="AP145" s="5" t="str">
        <f>IFERROR(__xludf.DUMMYFUNCTION("""COMPUTED_VALUE"""),"Yes")</f>
        <v>Yes</v>
      </c>
      <c r="AQ145" s="5" t="str">
        <f>IFERROR(__xludf.DUMMYFUNCTION("""COMPUTED_VALUE"""),"Yes")</f>
        <v>Yes</v>
      </c>
      <c r="AR145" s="5" t="str">
        <f>IFERROR(__xludf.DUMMYFUNCTION("""COMPUTED_VALUE"""),"Yes")</f>
        <v>Yes</v>
      </c>
      <c r="AS145" s="5" t="str">
        <f>IFERROR(__xludf.DUMMYFUNCTION("""COMPUTED_VALUE"""),"Yes")</f>
        <v>Yes</v>
      </c>
      <c r="AT145" s="5" t="str">
        <f>IFERROR(__xludf.DUMMYFUNCTION("""COMPUTED_VALUE"""),"No")</f>
        <v>No</v>
      </c>
      <c r="AU145" s="5"/>
      <c r="AV145" s="5" t="str">
        <f>IFERROR(__xludf.DUMMYFUNCTION("""COMPUTED_VALUE"""),"Available")</f>
        <v>Available</v>
      </c>
      <c r="AW145" s="5" t="str">
        <f>IFERROR(__xludf.DUMMYFUNCTION("""COMPUTED_VALUE"""),"")</f>
        <v/>
      </c>
      <c r="AX145" s="5" t="str">
        <f>IFERROR(__xludf.DUMMYFUNCTION("""COMPUTED_VALUE"""),"")</f>
        <v/>
      </c>
      <c r="AY145" s="5" t="str">
        <f>IFERROR(__xludf.DUMMYFUNCTION("""COMPUTED_VALUE"""),"Available")</f>
        <v>Available</v>
      </c>
      <c r="AZ145" s="5" t="str">
        <f>IFERROR(__xludf.DUMMYFUNCTION("""COMPUTED_VALUE"""),"Available")</f>
        <v>Available</v>
      </c>
      <c r="BA145" s="5" t="str">
        <f>IFERROR(__xludf.DUMMYFUNCTION("""COMPUTED_VALUE"""),"Available")</f>
        <v>Available</v>
      </c>
      <c r="BB145" s="5" t="str">
        <f>IFERROR(__xludf.DUMMYFUNCTION("""COMPUTED_VALUE"""),"Available")</f>
        <v>Available</v>
      </c>
      <c r="BC145" s="5" t="str">
        <f>IFERROR(__xludf.DUMMYFUNCTION("""COMPUTED_VALUE"""),"")</f>
        <v/>
      </c>
      <c r="BD145" s="5" t="str">
        <f>IFERROR(__xludf.DUMMYFUNCTION("""COMPUTED_VALUE"""),"")</f>
        <v/>
      </c>
      <c r="BE145" s="5" t="str">
        <f>IFERROR(__xludf.DUMMYFUNCTION("""COMPUTED_VALUE"""),"")</f>
        <v/>
      </c>
      <c r="BF145" s="5" t="str">
        <f>IFERROR(__xludf.DUMMYFUNCTION("""COMPUTED_VALUE"""),"")</f>
        <v/>
      </c>
      <c r="BG145" s="5" t="str">
        <f>IFERROR(__xludf.DUMMYFUNCTION("""COMPUTED_VALUE"""),"")</f>
        <v/>
      </c>
      <c r="BH145" s="5" t="str">
        <f>IFERROR(__xludf.DUMMYFUNCTION("""COMPUTED_VALUE"""),"")</f>
        <v/>
      </c>
      <c r="BI145" s="5" t="str">
        <f>IFERROR(__xludf.DUMMYFUNCTION("""COMPUTED_VALUE"""),"")</f>
        <v/>
      </c>
      <c r="BJ145" s="5" t="str">
        <f>IFERROR(__xludf.DUMMYFUNCTION("""COMPUTED_VALUE"""),"")</f>
        <v/>
      </c>
      <c r="BK145" s="5" t="str">
        <f>IFERROR(__xludf.DUMMYFUNCTION("""COMPUTED_VALUE"""),"Available")</f>
        <v>Available</v>
      </c>
      <c r="BL145" s="5" t="str">
        <f>IFERROR(__xludf.DUMMYFUNCTION("""COMPUTED_VALUE"""),"")</f>
        <v/>
      </c>
      <c r="BM145" s="5" t="str">
        <f>IFERROR(__xludf.DUMMYFUNCTION("""COMPUTED_VALUE"""),"Available")</f>
        <v>Available</v>
      </c>
    </row>
    <row r="146">
      <c r="A146" s="5" t="str">
        <f>IFERROR(__xludf.DUMMYFUNCTION("""COMPUTED_VALUE"""),"Fazi")</f>
        <v>Fazi</v>
      </c>
      <c r="B146" s="5" t="str">
        <f>IFERROR(__xludf.DUMMYFUNCTION("""COMPUTED_VALUE"""),"Turbo Stars 20")</f>
        <v>Turbo Stars 20</v>
      </c>
      <c r="C146" s="5" t="str">
        <f>IFERROR(__xludf.DUMMYFUNCTION("""COMPUTED_VALUE"""),"TurboStars20")</f>
        <v>TurboStars20</v>
      </c>
      <c r="D146" s="6">
        <f>IFERROR(__xludf.DUMMYFUNCTION("""COMPUTED_VALUE"""),45630.0)</f>
        <v>45630</v>
      </c>
      <c r="E146" s="5" t="str">
        <f>IFERROR(__xludf.DUMMYFUNCTION("""COMPUTED_VALUE"""),"Slot")</f>
        <v>Slot</v>
      </c>
      <c r="F146" s="5">
        <f>IFERROR(__xludf.DUMMYFUNCTION("""COMPUTED_VALUE"""),23.0)</f>
        <v>23</v>
      </c>
      <c r="G146" s="5" t="str">
        <f>IFERROR(__xludf.DUMMYFUNCTION("""COMPUTED_VALUE"""),"5x3")</f>
        <v>5x3</v>
      </c>
      <c r="H146" s="5" t="str">
        <f>IFERROR(__xludf.DUMMYFUNCTION("""COMPUTED_VALUE"""),"20")</f>
        <v>20</v>
      </c>
      <c r="I146" s="5" t="str">
        <f>IFERROR(__xludf.DUMMYFUNCTION("""COMPUTED_VALUE"""),"20")</f>
        <v>20</v>
      </c>
      <c r="J146" s="5" t="str">
        <f>IFERROR(__xludf.DUMMYFUNCTION("""COMPUTED_VALUE"""),"95.544%")</f>
        <v>95.544%</v>
      </c>
      <c r="K146" s="5" t="str">
        <f>IFERROR(__xludf.DUMMYFUNCTION("""COMPUTED_VALUE"""),"Medium")</f>
        <v>Medium</v>
      </c>
      <c r="L146" s="5" t="str">
        <f>IFERROR(__xludf.DUMMYFUNCTION("""COMPUTED_VALUE"""),"16.508%")</f>
        <v>16.508%</v>
      </c>
      <c r="M146" s="5" t="str">
        <f>IFERROR(__xludf.DUMMYFUNCTION("""COMPUTED_VALUE"""),"x1700")</f>
        <v>x1700</v>
      </c>
      <c r="N146" s="5" t="str">
        <f>IFERROR(__xludf.DUMMYFUNCTION("""COMPUTED_VALUE"""),"0.2/50")</f>
        <v>0.2/50</v>
      </c>
      <c r="O146" s="5" t="str">
        <f>IFERROR(__xludf.DUMMYFUNCTION("""COMPUTED_VALUE"""),"Yes")</f>
        <v>Yes</v>
      </c>
      <c r="P146" s="5" t="str">
        <f>IFERROR(__xludf.DUMMYFUNCTION("""COMPUTED_VALUE"""),"Expanding Wild, Respin")</f>
        <v>Expanding Wild, Respin</v>
      </c>
      <c r="Q146" s="7" t="str">
        <f>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R146" s="5" t="str">
        <f>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S1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6" s="5" t="str">
        <f>IFERROR(__xludf.DUMMYFUNCTION("""COMPUTED_VALUE"""),"Yes")</f>
        <v>Yes</v>
      </c>
      <c r="U146" s="5" t="str">
        <f>IFERROR(__xludf.DUMMYFUNCTION("""COMPUTED_VALUE"""),"Yes")</f>
        <v>Yes</v>
      </c>
      <c r="V146" s="5" t="str">
        <f>IFERROR(__xludf.DUMMYFUNCTION("""COMPUTED_VALUE"""),"Yes")</f>
        <v>Yes</v>
      </c>
      <c r="W146" s="5" t="str">
        <f>IFERROR(__xludf.DUMMYFUNCTION("""COMPUTED_VALUE"""),"Yes")</f>
        <v>Yes</v>
      </c>
      <c r="X146" s="5" t="str">
        <f>IFERROR(__xludf.DUMMYFUNCTION("""COMPUTED_VALUE"""),"Yes")</f>
        <v>Yes</v>
      </c>
      <c r="Y146" s="5" t="str">
        <f>IFERROR(__xludf.DUMMYFUNCTION("""COMPUTED_VALUE"""),"Yes")</f>
        <v>Yes</v>
      </c>
      <c r="Z146" s="5" t="str">
        <f>IFERROR(__xludf.DUMMYFUNCTION("""COMPUTED_VALUE"""),"Yes")</f>
        <v>Yes</v>
      </c>
      <c r="AA146" s="5" t="str">
        <f>IFERROR(__xludf.DUMMYFUNCTION("""COMPUTED_VALUE"""),"Yes")</f>
        <v>Yes</v>
      </c>
      <c r="AB146" s="5" t="str">
        <f>IFERROR(__xludf.DUMMYFUNCTION("""COMPUTED_VALUE"""),"Yes")</f>
        <v>Yes</v>
      </c>
      <c r="AC146" s="5" t="str">
        <f>IFERROR(__xludf.DUMMYFUNCTION("""COMPUTED_VALUE"""),"Yes")</f>
        <v>Yes</v>
      </c>
      <c r="AD146" s="5" t="str">
        <f>IFERROR(__xludf.DUMMYFUNCTION("""COMPUTED_VALUE"""),"Yes")</f>
        <v>Yes</v>
      </c>
      <c r="AE146" s="5" t="str">
        <f>IFERROR(__xludf.DUMMYFUNCTION("""COMPUTED_VALUE"""),"Yes")</f>
        <v>Yes</v>
      </c>
      <c r="AF146" s="5" t="str">
        <f>IFERROR(__xludf.DUMMYFUNCTION("""COMPUTED_VALUE"""),"Yes")</f>
        <v>Yes</v>
      </c>
      <c r="AG146" s="5" t="str">
        <f>IFERROR(__xludf.DUMMYFUNCTION("""COMPUTED_VALUE"""),"Yes")</f>
        <v>Yes</v>
      </c>
      <c r="AH146" s="5" t="str">
        <f>IFERROR(__xludf.DUMMYFUNCTION("""COMPUTED_VALUE"""),"Yes")</f>
        <v>Yes</v>
      </c>
      <c r="AI146" s="5" t="str">
        <f>IFERROR(__xludf.DUMMYFUNCTION("""COMPUTED_VALUE"""),"Yes")</f>
        <v>Yes</v>
      </c>
      <c r="AJ146" s="5" t="str">
        <f>IFERROR(__xludf.DUMMYFUNCTION("""COMPUTED_VALUE"""),"Yes")</f>
        <v>Yes</v>
      </c>
      <c r="AK146" s="5" t="str">
        <f>IFERROR(__xludf.DUMMYFUNCTION("""COMPUTED_VALUE"""),"Yes")</f>
        <v>Yes</v>
      </c>
      <c r="AL146" s="5" t="str">
        <f>IFERROR(__xludf.DUMMYFUNCTION("""COMPUTED_VALUE"""),"Yes")</f>
        <v>Yes</v>
      </c>
      <c r="AM146" s="5" t="str">
        <f>IFERROR(__xludf.DUMMYFUNCTION("""COMPUTED_VALUE"""),"Yes")</f>
        <v>Yes</v>
      </c>
      <c r="AN146" s="5" t="str">
        <f>IFERROR(__xludf.DUMMYFUNCTION("""COMPUTED_VALUE"""),"Yes")</f>
        <v>Yes</v>
      </c>
      <c r="AO146" s="5" t="str">
        <f>IFERROR(__xludf.DUMMYFUNCTION("""COMPUTED_VALUE"""),"Yes")</f>
        <v>Yes</v>
      </c>
      <c r="AP146" s="5" t="str">
        <f>IFERROR(__xludf.DUMMYFUNCTION("""COMPUTED_VALUE"""),"Yes")</f>
        <v>Yes</v>
      </c>
      <c r="AQ146" s="5" t="str">
        <f>IFERROR(__xludf.DUMMYFUNCTION("""COMPUTED_VALUE"""),"Yes")</f>
        <v>Yes</v>
      </c>
      <c r="AR146" s="5" t="str">
        <f>IFERROR(__xludf.DUMMYFUNCTION("""COMPUTED_VALUE"""),"Yes")</f>
        <v>Yes</v>
      </c>
      <c r="AS146" s="5" t="str">
        <f>IFERROR(__xludf.DUMMYFUNCTION("""COMPUTED_VALUE"""),"Yes")</f>
        <v>Yes</v>
      </c>
      <c r="AT146" s="5" t="str">
        <f>IFERROR(__xludf.DUMMYFUNCTION("""COMPUTED_VALUE"""),"No")</f>
        <v>No</v>
      </c>
      <c r="AU146" s="5"/>
      <c r="AV146" s="5" t="str">
        <f>IFERROR(__xludf.DUMMYFUNCTION("""COMPUTED_VALUE"""),"")</f>
        <v/>
      </c>
      <c r="AW146" s="5" t="str">
        <f>IFERROR(__xludf.DUMMYFUNCTION("""COMPUTED_VALUE"""),"")</f>
        <v/>
      </c>
      <c r="AX146" s="5" t="str">
        <f>IFERROR(__xludf.DUMMYFUNCTION("""COMPUTED_VALUE"""),"")</f>
        <v/>
      </c>
      <c r="AY146" s="5" t="str">
        <f>IFERROR(__xludf.DUMMYFUNCTION("""COMPUTED_VALUE"""),"")</f>
        <v/>
      </c>
      <c r="AZ146" s="5" t="str">
        <f>IFERROR(__xludf.DUMMYFUNCTION("""COMPUTED_VALUE"""),"Available")</f>
        <v>Available</v>
      </c>
      <c r="BA146" s="5" t="str">
        <f>IFERROR(__xludf.DUMMYFUNCTION("""COMPUTED_VALUE"""),"Available")</f>
        <v>Available</v>
      </c>
      <c r="BB146" s="5" t="str">
        <f>IFERROR(__xludf.DUMMYFUNCTION("""COMPUTED_VALUE"""),"")</f>
        <v/>
      </c>
      <c r="BC146" s="5" t="str">
        <f>IFERROR(__xludf.DUMMYFUNCTION("""COMPUTED_VALUE"""),"")</f>
        <v/>
      </c>
      <c r="BD146" s="5" t="str">
        <f>IFERROR(__xludf.DUMMYFUNCTION("""COMPUTED_VALUE"""),"")</f>
        <v/>
      </c>
      <c r="BE146" s="5" t="str">
        <f>IFERROR(__xludf.DUMMYFUNCTION("""COMPUTED_VALUE"""),"")</f>
        <v/>
      </c>
      <c r="BF146" s="5" t="str">
        <f>IFERROR(__xludf.DUMMYFUNCTION("""COMPUTED_VALUE"""),"")</f>
        <v/>
      </c>
      <c r="BG146" s="5" t="str">
        <f>IFERROR(__xludf.DUMMYFUNCTION("""COMPUTED_VALUE"""),"")</f>
        <v/>
      </c>
      <c r="BH146" s="5" t="str">
        <f>IFERROR(__xludf.DUMMYFUNCTION("""COMPUTED_VALUE"""),"")</f>
        <v/>
      </c>
      <c r="BI146" s="5" t="str">
        <f>IFERROR(__xludf.DUMMYFUNCTION("""COMPUTED_VALUE"""),"")</f>
        <v/>
      </c>
      <c r="BJ146" s="5" t="str">
        <f>IFERROR(__xludf.DUMMYFUNCTION("""COMPUTED_VALUE"""),"")</f>
        <v/>
      </c>
      <c r="BK146" s="5" t="str">
        <f>IFERROR(__xludf.DUMMYFUNCTION("""COMPUTED_VALUE"""),"")</f>
        <v/>
      </c>
      <c r="BL146" s="5" t="str">
        <f>IFERROR(__xludf.DUMMYFUNCTION("""COMPUTED_VALUE"""),"")</f>
        <v/>
      </c>
      <c r="BM146" s="5" t="str">
        <f>IFERROR(__xludf.DUMMYFUNCTION("""COMPUTED_VALUE"""),"")</f>
        <v/>
      </c>
    </row>
    <row r="147">
      <c r="A147" s="5" t="str">
        <f>IFERROR(__xludf.DUMMYFUNCTION("""COMPUTED_VALUE"""),"Fazi")</f>
        <v>Fazi</v>
      </c>
      <c r="B147" s="5" t="str">
        <f>IFERROR(__xludf.DUMMYFUNCTION("""COMPUTED_VALUE"""),"Epic Dice 100")</f>
        <v>Epic Dice 100</v>
      </c>
      <c r="C147" s="5" t="str">
        <f>IFERROR(__xludf.DUMMYFUNCTION("""COMPUTED_VALUE"""),"EpicDice100")</f>
        <v>EpicDice100</v>
      </c>
      <c r="D147" s="6">
        <f>IFERROR(__xludf.DUMMYFUNCTION("""COMPUTED_VALUE"""),45518.0)</f>
        <v>45518</v>
      </c>
      <c r="E147" s="5" t="str">
        <f>IFERROR(__xludf.DUMMYFUNCTION("""COMPUTED_VALUE"""),"Slot")</f>
        <v>Slot</v>
      </c>
      <c r="F147" s="5">
        <f>IFERROR(__xludf.DUMMYFUNCTION("""COMPUTED_VALUE"""),23.1)</f>
        <v>23.1</v>
      </c>
      <c r="G147" s="5" t="str">
        <f>IFERROR(__xludf.DUMMYFUNCTION("""COMPUTED_VALUE"""),"5x4")</f>
        <v>5x4</v>
      </c>
      <c r="H147" s="5">
        <f>IFERROR(__xludf.DUMMYFUNCTION("""COMPUTED_VALUE"""),100.0)</f>
        <v>100</v>
      </c>
      <c r="I147" s="5">
        <f>IFERROR(__xludf.DUMMYFUNCTION("""COMPUTED_VALUE"""),100.0)</f>
        <v>100</v>
      </c>
      <c r="J147" s="5" t="str">
        <f>IFERROR(__xludf.DUMMYFUNCTION("""COMPUTED_VALUE"""),"96.502%")</f>
        <v>96.502%</v>
      </c>
      <c r="K147" s="5" t="str">
        <f>IFERROR(__xludf.DUMMYFUNCTION("""COMPUTED_VALUE"""),"Medium")</f>
        <v>Medium</v>
      </c>
      <c r="L147" s="5" t="str">
        <f>IFERROR(__xludf.DUMMYFUNCTION("""COMPUTED_VALUE"""),"13.309%")</f>
        <v>13.309%</v>
      </c>
      <c r="M147" s="5" t="str">
        <f>IFERROR(__xludf.DUMMYFUNCTION("""COMPUTED_VALUE"""),"x3000")</f>
        <v>x3000</v>
      </c>
      <c r="N147" s="5" t="str">
        <f>IFERROR(__xludf.DUMMYFUNCTION("""COMPUTED_VALUE"""),"1/100")</f>
        <v>1/100</v>
      </c>
      <c r="O147" s="5" t="str">
        <f>IFERROR(__xludf.DUMMYFUNCTION("""COMPUTED_VALUE"""),"Yes")</f>
        <v>Yes</v>
      </c>
      <c r="P147" s="5" t="str">
        <f>IFERROR(__xludf.DUMMYFUNCTION("""COMPUTED_VALUE"""),"Scatter, Expanding Wild")</f>
        <v>Scatter, Expanding Wild</v>
      </c>
      <c r="Q147" s="7" t="str">
        <f>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R147" s="5" t="str">
        <f>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S1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7" s="5" t="str">
        <f>IFERROR(__xludf.DUMMYFUNCTION("""COMPUTED_VALUE"""),"Yes")</f>
        <v>Yes</v>
      </c>
      <c r="U147" s="5" t="str">
        <f>IFERROR(__xludf.DUMMYFUNCTION("""COMPUTED_VALUE"""),"Yes")</f>
        <v>Yes</v>
      </c>
      <c r="V147" s="5" t="str">
        <f>IFERROR(__xludf.DUMMYFUNCTION("""COMPUTED_VALUE"""),"Yes")</f>
        <v>Yes</v>
      </c>
      <c r="W147" s="5" t="str">
        <f>IFERROR(__xludf.DUMMYFUNCTION("""COMPUTED_VALUE"""),"Yes")</f>
        <v>Yes</v>
      </c>
      <c r="X147" s="5" t="str">
        <f>IFERROR(__xludf.DUMMYFUNCTION("""COMPUTED_VALUE"""),"Yes")</f>
        <v>Yes</v>
      </c>
      <c r="Y147" s="5" t="str">
        <f>IFERROR(__xludf.DUMMYFUNCTION("""COMPUTED_VALUE"""),"Yes")</f>
        <v>Yes</v>
      </c>
      <c r="Z147" s="5" t="str">
        <f>IFERROR(__xludf.DUMMYFUNCTION("""COMPUTED_VALUE"""),"Yes")</f>
        <v>Yes</v>
      </c>
      <c r="AA147" s="5" t="str">
        <f>IFERROR(__xludf.DUMMYFUNCTION("""COMPUTED_VALUE"""),"Yes")</f>
        <v>Yes</v>
      </c>
      <c r="AB147" s="5" t="str">
        <f>IFERROR(__xludf.DUMMYFUNCTION("""COMPUTED_VALUE"""),"Yes")</f>
        <v>Yes</v>
      </c>
      <c r="AC147" s="5" t="str">
        <f>IFERROR(__xludf.DUMMYFUNCTION("""COMPUTED_VALUE"""),"Yes")</f>
        <v>Yes</v>
      </c>
      <c r="AD147" s="5" t="str">
        <f>IFERROR(__xludf.DUMMYFUNCTION("""COMPUTED_VALUE"""),"Yes")</f>
        <v>Yes</v>
      </c>
      <c r="AE147" s="5" t="str">
        <f>IFERROR(__xludf.DUMMYFUNCTION("""COMPUTED_VALUE"""),"Yes")</f>
        <v>Yes</v>
      </c>
      <c r="AF147" s="5" t="str">
        <f>IFERROR(__xludf.DUMMYFUNCTION("""COMPUTED_VALUE"""),"Yes")</f>
        <v>Yes</v>
      </c>
      <c r="AG147" s="5" t="str">
        <f>IFERROR(__xludf.DUMMYFUNCTION("""COMPUTED_VALUE"""),"Yes")</f>
        <v>Yes</v>
      </c>
      <c r="AH147" s="5" t="str">
        <f>IFERROR(__xludf.DUMMYFUNCTION("""COMPUTED_VALUE"""),"Yes")</f>
        <v>Yes</v>
      </c>
      <c r="AI147" s="5" t="str">
        <f>IFERROR(__xludf.DUMMYFUNCTION("""COMPUTED_VALUE"""),"Yes")</f>
        <v>Yes</v>
      </c>
      <c r="AJ147" s="5" t="str">
        <f>IFERROR(__xludf.DUMMYFUNCTION("""COMPUTED_VALUE"""),"Yes")</f>
        <v>Yes</v>
      </c>
      <c r="AK147" s="5" t="str">
        <f>IFERROR(__xludf.DUMMYFUNCTION("""COMPUTED_VALUE"""),"Yes")</f>
        <v>Yes</v>
      </c>
      <c r="AL147" s="5" t="str">
        <f>IFERROR(__xludf.DUMMYFUNCTION("""COMPUTED_VALUE"""),"Yes")</f>
        <v>Yes</v>
      </c>
      <c r="AM147" s="5" t="str">
        <f>IFERROR(__xludf.DUMMYFUNCTION("""COMPUTED_VALUE"""),"Yes")</f>
        <v>Yes</v>
      </c>
      <c r="AN147" s="5" t="str">
        <f>IFERROR(__xludf.DUMMYFUNCTION("""COMPUTED_VALUE"""),"Yes")</f>
        <v>Yes</v>
      </c>
      <c r="AO147" s="5" t="str">
        <f>IFERROR(__xludf.DUMMYFUNCTION("""COMPUTED_VALUE"""),"Yes")</f>
        <v>Yes</v>
      </c>
      <c r="AP147" s="5" t="str">
        <f>IFERROR(__xludf.DUMMYFUNCTION("""COMPUTED_VALUE"""),"Yes")</f>
        <v>Yes</v>
      </c>
      <c r="AQ147" s="5" t="str">
        <f>IFERROR(__xludf.DUMMYFUNCTION("""COMPUTED_VALUE"""),"Yes")</f>
        <v>Yes</v>
      </c>
      <c r="AR147" s="5" t="str">
        <f>IFERROR(__xludf.DUMMYFUNCTION("""COMPUTED_VALUE"""),"Yes")</f>
        <v>Yes</v>
      </c>
      <c r="AS147" s="5" t="str">
        <f>IFERROR(__xludf.DUMMYFUNCTION("""COMPUTED_VALUE"""),"Yes")</f>
        <v>Yes</v>
      </c>
      <c r="AT147" s="5" t="str">
        <f>IFERROR(__xludf.DUMMYFUNCTION("""COMPUTED_VALUE"""),"No")</f>
        <v>No</v>
      </c>
      <c r="AU147" s="5"/>
      <c r="AV147" s="5" t="str">
        <f>IFERROR(__xludf.DUMMYFUNCTION("""COMPUTED_VALUE"""),"")</f>
        <v/>
      </c>
      <c r="AW147" s="5" t="str">
        <f>IFERROR(__xludf.DUMMYFUNCTION("""COMPUTED_VALUE"""),"")</f>
        <v/>
      </c>
      <c r="AX147" s="5" t="str">
        <f>IFERROR(__xludf.DUMMYFUNCTION("""COMPUTED_VALUE"""),"")</f>
        <v/>
      </c>
      <c r="AY147" s="5" t="str">
        <f>IFERROR(__xludf.DUMMYFUNCTION("""COMPUTED_VALUE"""),"")</f>
        <v/>
      </c>
      <c r="AZ147" s="5" t="str">
        <f>IFERROR(__xludf.DUMMYFUNCTION("""COMPUTED_VALUE"""),"")</f>
        <v/>
      </c>
      <c r="BA147" s="5" t="str">
        <f>IFERROR(__xludf.DUMMYFUNCTION("""COMPUTED_VALUE"""),"")</f>
        <v/>
      </c>
      <c r="BB147" s="5" t="str">
        <f>IFERROR(__xludf.DUMMYFUNCTION("""COMPUTED_VALUE"""),"")</f>
        <v/>
      </c>
      <c r="BC147" s="5" t="str">
        <f>IFERROR(__xludf.DUMMYFUNCTION("""COMPUTED_VALUE"""),"")</f>
        <v/>
      </c>
      <c r="BD147" s="5" t="str">
        <f>IFERROR(__xludf.DUMMYFUNCTION("""COMPUTED_VALUE"""),"")</f>
        <v/>
      </c>
      <c r="BE147" s="5" t="str">
        <f>IFERROR(__xludf.DUMMYFUNCTION("""COMPUTED_VALUE"""),"")</f>
        <v/>
      </c>
      <c r="BF147" s="5" t="str">
        <f>IFERROR(__xludf.DUMMYFUNCTION("""COMPUTED_VALUE"""),"")</f>
        <v/>
      </c>
      <c r="BG147" s="5" t="str">
        <f>IFERROR(__xludf.DUMMYFUNCTION("""COMPUTED_VALUE"""),"")</f>
        <v/>
      </c>
      <c r="BH147" s="5" t="str">
        <f>IFERROR(__xludf.DUMMYFUNCTION("""COMPUTED_VALUE"""),"")</f>
        <v/>
      </c>
      <c r="BI147" s="5" t="str">
        <f>IFERROR(__xludf.DUMMYFUNCTION("""COMPUTED_VALUE"""),"")</f>
        <v/>
      </c>
      <c r="BJ147" s="5" t="str">
        <f>IFERROR(__xludf.DUMMYFUNCTION("""COMPUTED_VALUE"""),"")</f>
        <v/>
      </c>
      <c r="BK147" s="5" t="str">
        <f>IFERROR(__xludf.DUMMYFUNCTION("""COMPUTED_VALUE"""),"")</f>
        <v/>
      </c>
      <c r="BL147" s="5" t="str">
        <f>IFERROR(__xludf.DUMMYFUNCTION("""COMPUTED_VALUE"""),"")</f>
        <v/>
      </c>
      <c r="BM147" s="5" t="str">
        <f>IFERROR(__xludf.DUMMYFUNCTION("""COMPUTED_VALUE"""),"")</f>
        <v/>
      </c>
    </row>
    <row r="148">
      <c r="A148" s="5" t="str">
        <f>IFERROR(__xludf.DUMMYFUNCTION("""COMPUTED_VALUE"""),"Fazi")</f>
        <v>Fazi</v>
      </c>
      <c r="B148" s="5" t="str">
        <f>IFERROR(__xludf.DUMMYFUNCTION("""COMPUTED_VALUE"""),"Mega Hot 20")</f>
        <v>Mega Hot 20</v>
      </c>
      <c r="C148" s="5" t="str">
        <f>IFERROR(__xludf.DUMMYFUNCTION("""COMPUTED_VALUE"""),"MegaHot20")</f>
        <v>MegaHot20</v>
      </c>
      <c r="D148" s="6">
        <f>IFERROR(__xludf.DUMMYFUNCTION("""COMPUTED_VALUE"""),45509.0)</f>
        <v>45509</v>
      </c>
      <c r="E148" s="5" t="str">
        <f>IFERROR(__xludf.DUMMYFUNCTION("""COMPUTED_VALUE"""),"Slot")</f>
        <v>Slot</v>
      </c>
      <c r="F148" s="5">
        <f>IFERROR(__xludf.DUMMYFUNCTION("""COMPUTED_VALUE"""),21.0)</f>
        <v>21</v>
      </c>
      <c r="G148" s="5" t="str">
        <f>IFERROR(__xludf.DUMMYFUNCTION("""COMPUTED_VALUE"""),"5x3")</f>
        <v>5x3</v>
      </c>
      <c r="H148" s="5">
        <f>IFERROR(__xludf.DUMMYFUNCTION("""COMPUTED_VALUE"""),20.0)</f>
        <v>20</v>
      </c>
      <c r="I148" s="5">
        <f>IFERROR(__xludf.DUMMYFUNCTION("""COMPUTED_VALUE"""),20.0)</f>
        <v>20</v>
      </c>
      <c r="J148" s="5" t="str">
        <f>IFERROR(__xludf.DUMMYFUNCTION("""COMPUTED_VALUE"""),"96.475%")</f>
        <v>96.475%</v>
      </c>
      <c r="K148" s="5" t="str">
        <f>IFERROR(__xludf.DUMMYFUNCTION("""COMPUTED_VALUE"""),"High")</f>
        <v>High</v>
      </c>
      <c r="L148" s="5" t="str">
        <f>IFERROR(__xludf.DUMMYFUNCTION("""COMPUTED_VALUE"""),"7.13%")</f>
        <v>7.13%</v>
      </c>
      <c r="M148" s="5" t="str">
        <f>IFERROR(__xludf.DUMMYFUNCTION("""COMPUTED_VALUE"""),"x1500")</f>
        <v>x1500</v>
      </c>
      <c r="N148" s="5" t="str">
        <f>IFERROR(__xludf.DUMMYFUNCTION("""COMPUTED_VALUE"""),"0.2/50")</f>
        <v>0.2/50</v>
      </c>
      <c r="O148" s="5" t="str">
        <f>IFERROR(__xludf.DUMMYFUNCTION("""COMPUTED_VALUE"""),"Yes")</f>
        <v>Yes</v>
      </c>
      <c r="P148" s="5" t="str">
        <f>IFERROR(__xludf.DUMMYFUNCTION("""COMPUTED_VALUE"""),"Win Multiplier")</f>
        <v>Win Multiplier</v>
      </c>
      <c r="Q148" s="7" t="str">
        <f>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R148" s="5" t="str">
        <f>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S1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8" s="5" t="str">
        <f>IFERROR(__xludf.DUMMYFUNCTION("""COMPUTED_VALUE"""),"Yes")</f>
        <v>Yes</v>
      </c>
      <c r="U148" s="5" t="str">
        <f>IFERROR(__xludf.DUMMYFUNCTION("""COMPUTED_VALUE"""),"Yes")</f>
        <v>Yes</v>
      </c>
      <c r="V148" s="5" t="str">
        <f>IFERROR(__xludf.DUMMYFUNCTION("""COMPUTED_VALUE"""),"Yes")</f>
        <v>Yes</v>
      </c>
      <c r="W148" s="5" t="str">
        <f>IFERROR(__xludf.DUMMYFUNCTION("""COMPUTED_VALUE"""),"Yes")</f>
        <v>Yes</v>
      </c>
      <c r="X148" s="5" t="str">
        <f>IFERROR(__xludf.DUMMYFUNCTION("""COMPUTED_VALUE"""),"Yes")</f>
        <v>Yes</v>
      </c>
      <c r="Y148" s="5" t="str">
        <f>IFERROR(__xludf.DUMMYFUNCTION("""COMPUTED_VALUE"""),"Yes")</f>
        <v>Yes</v>
      </c>
      <c r="Z148" s="5" t="str">
        <f>IFERROR(__xludf.DUMMYFUNCTION("""COMPUTED_VALUE"""),"Yes")</f>
        <v>Yes</v>
      </c>
      <c r="AA148" s="5" t="str">
        <f>IFERROR(__xludf.DUMMYFUNCTION("""COMPUTED_VALUE"""),"Yes")</f>
        <v>Yes</v>
      </c>
      <c r="AB148" s="5" t="str">
        <f>IFERROR(__xludf.DUMMYFUNCTION("""COMPUTED_VALUE"""),"Yes")</f>
        <v>Yes</v>
      </c>
      <c r="AC148" s="5" t="str">
        <f>IFERROR(__xludf.DUMMYFUNCTION("""COMPUTED_VALUE"""),"Yes")</f>
        <v>Yes</v>
      </c>
      <c r="AD148" s="5" t="str">
        <f>IFERROR(__xludf.DUMMYFUNCTION("""COMPUTED_VALUE"""),"Yes")</f>
        <v>Yes</v>
      </c>
      <c r="AE148" s="5" t="str">
        <f>IFERROR(__xludf.DUMMYFUNCTION("""COMPUTED_VALUE"""),"Yes")</f>
        <v>Yes</v>
      </c>
      <c r="AF148" s="5" t="str">
        <f>IFERROR(__xludf.DUMMYFUNCTION("""COMPUTED_VALUE"""),"Yes")</f>
        <v>Yes</v>
      </c>
      <c r="AG148" s="5" t="str">
        <f>IFERROR(__xludf.DUMMYFUNCTION("""COMPUTED_VALUE"""),"Yes")</f>
        <v>Yes</v>
      </c>
      <c r="AH148" s="5" t="str">
        <f>IFERROR(__xludf.DUMMYFUNCTION("""COMPUTED_VALUE"""),"Yes")</f>
        <v>Yes</v>
      </c>
      <c r="AI148" s="5" t="str">
        <f>IFERROR(__xludf.DUMMYFUNCTION("""COMPUTED_VALUE"""),"Yes")</f>
        <v>Yes</v>
      </c>
      <c r="AJ148" s="5" t="str">
        <f>IFERROR(__xludf.DUMMYFUNCTION("""COMPUTED_VALUE"""),"Yes")</f>
        <v>Yes</v>
      </c>
      <c r="AK148" s="5" t="str">
        <f>IFERROR(__xludf.DUMMYFUNCTION("""COMPUTED_VALUE"""),"Yes")</f>
        <v>Yes</v>
      </c>
      <c r="AL148" s="5" t="str">
        <f>IFERROR(__xludf.DUMMYFUNCTION("""COMPUTED_VALUE"""),"Yes")</f>
        <v>Yes</v>
      </c>
      <c r="AM148" s="5" t="str">
        <f>IFERROR(__xludf.DUMMYFUNCTION("""COMPUTED_VALUE"""),"Yes")</f>
        <v>Yes</v>
      </c>
      <c r="AN148" s="5" t="str">
        <f>IFERROR(__xludf.DUMMYFUNCTION("""COMPUTED_VALUE"""),"Yes")</f>
        <v>Yes</v>
      </c>
      <c r="AO148" s="5" t="str">
        <f>IFERROR(__xludf.DUMMYFUNCTION("""COMPUTED_VALUE"""),"Yes")</f>
        <v>Yes</v>
      </c>
      <c r="AP148" s="5" t="str">
        <f>IFERROR(__xludf.DUMMYFUNCTION("""COMPUTED_VALUE"""),"Yes")</f>
        <v>Yes</v>
      </c>
      <c r="AQ148" s="5" t="str">
        <f>IFERROR(__xludf.DUMMYFUNCTION("""COMPUTED_VALUE"""),"Yes")</f>
        <v>Yes</v>
      </c>
      <c r="AR148" s="5" t="str">
        <f>IFERROR(__xludf.DUMMYFUNCTION("""COMPUTED_VALUE"""),"Yes")</f>
        <v>Yes</v>
      </c>
      <c r="AS148" s="5" t="str">
        <f>IFERROR(__xludf.DUMMYFUNCTION("""COMPUTED_VALUE"""),"Yes")</f>
        <v>Yes</v>
      </c>
      <c r="AT148" s="5" t="str">
        <f>IFERROR(__xludf.DUMMYFUNCTION("""COMPUTED_VALUE"""),"No")</f>
        <v>No</v>
      </c>
      <c r="AU148" s="5"/>
      <c r="AV148" s="5" t="str">
        <f>IFERROR(__xludf.DUMMYFUNCTION("""COMPUTED_VALUE"""),"")</f>
        <v/>
      </c>
      <c r="AW148" s="5" t="str">
        <f>IFERROR(__xludf.DUMMYFUNCTION("""COMPUTED_VALUE"""),"")</f>
        <v/>
      </c>
      <c r="AX148" s="5" t="str">
        <f>IFERROR(__xludf.DUMMYFUNCTION("""COMPUTED_VALUE"""),"")</f>
        <v/>
      </c>
      <c r="AY148" s="5" t="str">
        <f>IFERROR(__xludf.DUMMYFUNCTION("""COMPUTED_VALUE"""),"Available")</f>
        <v>Available</v>
      </c>
      <c r="AZ148" s="5" t="str">
        <f>IFERROR(__xludf.DUMMYFUNCTION("""COMPUTED_VALUE"""),"")</f>
        <v/>
      </c>
      <c r="BA148" s="5" t="str">
        <f>IFERROR(__xludf.DUMMYFUNCTION("""COMPUTED_VALUE"""),"")</f>
        <v/>
      </c>
      <c r="BB148" s="5" t="str">
        <f>IFERROR(__xludf.DUMMYFUNCTION("""COMPUTED_VALUE"""),"")</f>
        <v/>
      </c>
      <c r="BC148" s="5" t="str">
        <f>IFERROR(__xludf.DUMMYFUNCTION("""COMPUTED_VALUE"""),"")</f>
        <v/>
      </c>
      <c r="BD148" s="5" t="str">
        <f>IFERROR(__xludf.DUMMYFUNCTION("""COMPUTED_VALUE"""),"Available")</f>
        <v>Available</v>
      </c>
      <c r="BE148" s="5" t="str">
        <f>IFERROR(__xludf.DUMMYFUNCTION("""COMPUTED_VALUE"""),"")</f>
        <v/>
      </c>
      <c r="BF148" s="5" t="str">
        <f>IFERROR(__xludf.DUMMYFUNCTION("""COMPUTED_VALUE"""),"")</f>
        <v/>
      </c>
      <c r="BG148" s="5" t="str">
        <f>IFERROR(__xludf.DUMMYFUNCTION("""COMPUTED_VALUE"""),"")</f>
        <v/>
      </c>
      <c r="BH148" s="5" t="str">
        <f>IFERROR(__xludf.DUMMYFUNCTION("""COMPUTED_VALUE"""),"")</f>
        <v/>
      </c>
      <c r="BI148" s="5" t="str">
        <f>IFERROR(__xludf.DUMMYFUNCTION("""COMPUTED_VALUE"""),"")</f>
        <v/>
      </c>
      <c r="BJ148" s="5" t="str">
        <f>IFERROR(__xludf.DUMMYFUNCTION("""COMPUTED_VALUE"""),"")</f>
        <v/>
      </c>
      <c r="BK148" s="5" t="str">
        <f>IFERROR(__xludf.DUMMYFUNCTION("""COMPUTED_VALUE"""),"Available")</f>
        <v>Available</v>
      </c>
      <c r="BL148" s="5" t="str">
        <f>IFERROR(__xludf.DUMMYFUNCTION("""COMPUTED_VALUE"""),"")</f>
        <v/>
      </c>
      <c r="BM148" s="5" t="str">
        <f>IFERROR(__xludf.DUMMYFUNCTION("""COMPUTED_VALUE"""),"Available")</f>
        <v>Available</v>
      </c>
    </row>
    <row r="149">
      <c r="A149" s="5" t="str">
        <f>IFERROR(__xludf.DUMMYFUNCTION("""COMPUTED_VALUE"""),"Fazi")</f>
        <v>Fazi</v>
      </c>
      <c r="B149" s="5" t="str">
        <f>IFERROR(__xludf.DUMMYFUNCTION("""COMPUTED_VALUE"""),"Clovers And Stars")</f>
        <v>Clovers And Stars</v>
      </c>
      <c r="C149" s="5" t="str">
        <f>IFERROR(__xludf.DUMMYFUNCTION("""COMPUTED_VALUE"""),"CloversAndStars")</f>
        <v>CloversAndStars</v>
      </c>
      <c r="D149" s="6">
        <f>IFERROR(__xludf.DUMMYFUNCTION("""COMPUTED_VALUE"""),45566.0)</f>
        <v>45566</v>
      </c>
      <c r="E149" s="5" t="str">
        <f>IFERROR(__xludf.DUMMYFUNCTION("""COMPUTED_VALUE"""),"Slot")</f>
        <v>Slot</v>
      </c>
      <c r="F149" s="5">
        <f>IFERROR(__xludf.DUMMYFUNCTION("""COMPUTED_VALUE"""),22.4)</f>
        <v>22.4</v>
      </c>
      <c r="G149" s="5" t="str">
        <f>IFERROR(__xludf.DUMMYFUNCTION("""COMPUTED_VALUE"""),"5x4")</f>
        <v>5x4</v>
      </c>
      <c r="H149" s="5">
        <f>IFERROR(__xludf.DUMMYFUNCTION("""COMPUTED_VALUE"""),40.0)</f>
        <v>40</v>
      </c>
      <c r="I149" s="5">
        <f>IFERROR(__xludf.DUMMYFUNCTION("""COMPUTED_VALUE"""),40.0)</f>
        <v>40</v>
      </c>
      <c r="J149" s="5" t="str">
        <f>IFERROR(__xludf.DUMMYFUNCTION("""COMPUTED_VALUE"""),"96.474%")</f>
        <v>96.474%</v>
      </c>
      <c r="K149" s="5" t="str">
        <f>IFERROR(__xludf.DUMMYFUNCTION("""COMPUTED_VALUE"""),"High")</f>
        <v>High</v>
      </c>
      <c r="L149" s="5" t="str">
        <f>IFERROR(__xludf.DUMMYFUNCTION("""COMPUTED_VALUE"""),"10.421%")</f>
        <v>10.421%</v>
      </c>
      <c r="M149" s="5" t="str">
        <f>IFERROR(__xludf.DUMMYFUNCTION("""COMPUTED_VALUE"""),"x10145")</f>
        <v>x10145</v>
      </c>
      <c r="N149" s="5" t="str">
        <f>IFERROR(__xludf.DUMMYFUNCTION("""COMPUTED_VALUE"""),"0.4/60")</f>
        <v>0.4/60</v>
      </c>
      <c r="O149" s="5" t="str">
        <f>IFERROR(__xludf.DUMMYFUNCTION("""COMPUTED_VALUE"""),"Yes")</f>
        <v>Yes</v>
      </c>
      <c r="P149" s="5"/>
      <c r="Q149" s="7" t="str">
        <f>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R149" s="5" t="str">
        <f>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S1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9" s="5" t="str">
        <f>IFERROR(__xludf.DUMMYFUNCTION("""COMPUTED_VALUE"""),"Yes")</f>
        <v>Yes</v>
      </c>
      <c r="U149" s="5" t="str">
        <f>IFERROR(__xludf.DUMMYFUNCTION("""COMPUTED_VALUE"""),"Yes")</f>
        <v>Yes</v>
      </c>
      <c r="V149" s="5" t="str">
        <f>IFERROR(__xludf.DUMMYFUNCTION("""COMPUTED_VALUE"""),"Yes")</f>
        <v>Yes</v>
      </c>
      <c r="W149" s="5" t="str">
        <f>IFERROR(__xludf.DUMMYFUNCTION("""COMPUTED_VALUE"""),"Yes")</f>
        <v>Yes</v>
      </c>
      <c r="X149" s="5" t="str">
        <f>IFERROR(__xludf.DUMMYFUNCTION("""COMPUTED_VALUE"""),"Yes")</f>
        <v>Yes</v>
      </c>
      <c r="Y149" s="5" t="str">
        <f>IFERROR(__xludf.DUMMYFUNCTION("""COMPUTED_VALUE"""),"Yes")</f>
        <v>Yes</v>
      </c>
      <c r="Z149" s="5" t="str">
        <f>IFERROR(__xludf.DUMMYFUNCTION("""COMPUTED_VALUE"""),"Yes")</f>
        <v>Yes</v>
      </c>
      <c r="AA149" s="5" t="str">
        <f>IFERROR(__xludf.DUMMYFUNCTION("""COMPUTED_VALUE"""),"Yes")</f>
        <v>Yes</v>
      </c>
      <c r="AB149" s="5" t="str">
        <f>IFERROR(__xludf.DUMMYFUNCTION("""COMPUTED_VALUE"""),"Yes")</f>
        <v>Yes</v>
      </c>
      <c r="AC149" s="5" t="str">
        <f>IFERROR(__xludf.DUMMYFUNCTION("""COMPUTED_VALUE"""),"Yes")</f>
        <v>Yes</v>
      </c>
      <c r="AD149" s="5" t="str">
        <f>IFERROR(__xludf.DUMMYFUNCTION("""COMPUTED_VALUE"""),"Yes")</f>
        <v>Yes</v>
      </c>
      <c r="AE149" s="5" t="str">
        <f>IFERROR(__xludf.DUMMYFUNCTION("""COMPUTED_VALUE"""),"Yes")</f>
        <v>Yes</v>
      </c>
      <c r="AF149" s="5" t="str">
        <f>IFERROR(__xludf.DUMMYFUNCTION("""COMPUTED_VALUE"""),"Yes")</f>
        <v>Yes</v>
      </c>
      <c r="AG149" s="5" t="str">
        <f>IFERROR(__xludf.DUMMYFUNCTION("""COMPUTED_VALUE"""),"Yes")</f>
        <v>Yes</v>
      </c>
      <c r="AH149" s="5" t="str">
        <f>IFERROR(__xludf.DUMMYFUNCTION("""COMPUTED_VALUE"""),"Yes")</f>
        <v>Yes</v>
      </c>
      <c r="AI149" s="5" t="str">
        <f>IFERROR(__xludf.DUMMYFUNCTION("""COMPUTED_VALUE"""),"Yes")</f>
        <v>Yes</v>
      </c>
      <c r="AJ149" s="5" t="str">
        <f>IFERROR(__xludf.DUMMYFUNCTION("""COMPUTED_VALUE"""),"Yes")</f>
        <v>Yes</v>
      </c>
      <c r="AK149" s="5" t="str">
        <f>IFERROR(__xludf.DUMMYFUNCTION("""COMPUTED_VALUE"""),"Yes")</f>
        <v>Yes</v>
      </c>
      <c r="AL149" s="5" t="str">
        <f>IFERROR(__xludf.DUMMYFUNCTION("""COMPUTED_VALUE"""),"Yes")</f>
        <v>Yes</v>
      </c>
      <c r="AM149" s="5" t="str">
        <f>IFERROR(__xludf.DUMMYFUNCTION("""COMPUTED_VALUE"""),"Yes")</f>
        <v>Yes</v>
      </c>
      <c r="AN149" s="5" t="str">
        <f>IFERROR(__xludf.DUMMYFUNCTION("""COMPUTED_VALUE"""),"Yes")</f>
        <v>Yes</v>
      </c>
      <c r="AO149" s="5" t="str">
        <f>IFERROR(__xludf.DUMMYFUNCTION("""COMPUTED_VALUE"""),"Yes")</f>
        <v>Yes</v>
      </c>
      <c r="AP149" s="5" t="str">
        <f>IFERROR(__xludf.DUMMYFUNCTION("""COMPUTED_VALUE"""),"Yes")</f>
        <v>Yes</v>
      </c>
      <c r="AQ149" s="5" t="str">
        <f>IFERROR(__xludf.DUMMYFUNCTION("""COMPUTED_VALUE"""),"Yes")</f>
        <v>Yes</v>
      </c>
      <c r="AR149" s="5" t="str">
        <f>IFERROR(__xludf.DUMMYFUNCTION("""COMPUTED_VALUE"""),"Yes")</f>
        <v>Yes</v>
      </c>
      <c r="AS149" s="5" t="str">
        <f>IFERROR(__xludf.DUMMYFUNCTION("""COMPUTED_VALUE"""),"Yes")</f>
        <v>Yes</v>
      </c>
      <c r="AT149" s="5" t="str">
        <f>IFERROR(__xludf.DUMMYFUNCTION("""COMPUTED_VALUE"""),"No")</f>
        <v>No</v>
      </c>
      <c r="AU149" s="5"/>
      <c r="AV149" s="5" t="str">
        <f>IFERROR(__xludf.DUMMYFUNCTION("""COMPUTED_VALUE"""),"Available")</f>
        <v>Available</v>
      </c>
      <c r="AW149" s="5" t="str">
        <f>IFERROR(__xludf.DUMMYFUNCTION("""COMPUTED_VALUE"""),"")</f>
        <v/>
      </c>
      <c r="AX149" s="5" t="str">
        <f>IFERROR(__xludf.DUMMYFUNCTION("""COMPUTED_VALUE"""),"")</f>
        <v/>
      </c>
      <c r="AY149" s="5" t="str">
        <f>IFERROR(__xludf.DUMMYFUNCTION("""COMPUTED_VALUE"""),"Available")</f>
        <v>Available</v>
      </c>
      <c r="AZ149" s="5" t="str">
        <f>IFERROR(__xludf.DUMMYFUNCTION("""COMPUTED_VALUE"""),"Available")</f>
        <v>Available</v>
      </c>
      <c r="BA149" s="5" t="str">
        <f>IFERROR(__xludf.DUMMYFUNCTION("""COMPUTED_VALUE"""),"Available")</f>
        <v>Available</v>
      </c>
      <c r="BB149" s="5" t="str">
        <f>IFERROR(__xludf.DUMMYFUNCTION("""COMPUTED_VALUE"""),"Available")</f>
        <v>Available</v>
      </c>
      <c r="BC149" s="5" t="str">
        <f>IFERROR(__xludf.DUMMYFUNCTION("""COMPUTED_VALUE"""),"")</f>
        <v/>
      </c>
      <c r="BD149" s="5" t="str">
        <f>IFERROR(__xludf.DUMMYFUNCTION("""COMPUTED_VALUE"""),"")</f>
        <v/>
      </c>
      <c r="BE149" s="5" t="str">
        <f>IFERROR(__xludf.DUMMYFUNCTION("""COMPUTED_VALUE"""),"")</f>
        <v/>
      </c>
      <c r="BF149" s="5" t="str">
        <f>IFERROR(__xludf.DUMMYFUNCTION("""COMPUTED_VALUE"""),"")</f>
        <v/>
      </c>
      <c r="BG149" s="5" t="str">
        <f>IFERROR(__xludf.DUMMYFUNCTION("""COMPUTED_VALUE"""),"")</f>
        <v/>
      </c>
      <c r="BH149" s="5" t="str">
        <f>IFERROR(__xludf.DUMMYFUNCTION("""COMPUTED_VALUE"""),"")</f>
        <v/>
      </c>
      <c r="BI149" s="5" t="str">
        <f>IFERROR(__xludf.DUMMYFUNCTION("""COMPUTED_VALUE"""),"")</f>
        <v/>
      </c>
      <c r="BJ149" s="5" t="str">
        <f>IFERROR(__xludf.DUMMYFUNCTION("""COMPUTED_VALUE"""),"")</f>
        <v/>
      </c>
      <c r="BK149" s="5" t="str">
        <f>IFERROR(__xludf.DUMMYFUNCTION("""COMPUTED_VALUE"""),"Available")</f>
        <v>Available</v>
      </c>
      <c r="BL149" s="5" t="str">
        <f>IFERROR(__xludf.DUMMYFUNCTION("""COMPUTED_VALUE"""),"")</f>
        <v/>
      </c>
      <c r="BM149" s="5" t="str">
        <f>IFERROR(__xludf.DUMMYFUNCTION("""COMPUTED_VALUE"""),"Available")</f>
        <v>Available</v>
      </c>
    </row>
    <row r="150">
      <c r="A150" s="5" t="str">
        <f>IFERROR(__xludf.DUMMYFUNCTION("""COMPUTED_VALUE"""),"Fazi")</f>
        <v>Fazi</v>
      </c>
      <c r="B150" s="5" t="str">
        <f>IFERROR(__xludf.DUMMYFUNCTION("""COMPUTED_VALUE"""),"Fortune Parrot")</f>
        <v>Fortune Parrot</v>
      </c>
      <c r="C150" s="5" t="str">
        <f>IFERROR(__xludf.DUMMYFUNCTION("""COMPUTED_VALUE"""),"FortuneParrot")</f>
        <v>FortuneParrot</v>
      </c>
      <c r="D150" s="6">
        <f>IFERROR(__xludf.DUMMYFUNCTION("""COMPUTED_VALUE"""),45582.0)</f>
        <v>45582</v>
      </c>
      <c r="E150" s="5" t="str">
        <f>IFERROR(__xludf.DUMMYFUNCTION("""COMPUTED_VALUE"""),"Slot")</f>
        <v>Slot</v>
      </c>
      <c r="F150" s="5">
        <f>IFERROR(__xludf.DUMMYFUNCTION("""COMPUTED_VALUE"""),27.0)</f>
        <v>27</v>
      </c>
      <c r="G150" s="5" t="str">
        <f>IFERROR(__xludf.DUMMYFUNCTION("""COMPUTED_VALUE"""),"5x3")</f>
        <v>5x3</v>
      </c>
      <c r="H150" s="5">
        <f>IFERROR(__xludf.DUMMYFUNCTION("""COMPUTED_VALUE"""),10.0)</f>
        <v>10</v>
      </c>
      <c r="I150" s="5">
        <f>IFERROR(__xludf.DUMMYFUNCTION("""COMPUTED_VALUE"""),10.0)</f>
        <v>10</v>
      </c>
      <c r="J150" s="5" t="str">
        <f>IFERROR(__xludf.DUMMYFUNCTION("""COMPUTED_VALUE"""),"96.414%")</f>
        <v>96.414%</v>
      </c>
      <c r="K150" s="5" t="str">
        <f>IFERROR(__xludf.DUMMYFUNCTION("""COMPUTED_VALUE"""),"Medium")</f>
        <v>Medium</v>
      </c>
      <c r="L150" s="5" t="str">
        <f>IFERROR(__xludf.DUMMYFUNCTION("""COMPUTED_VALUE"""),"17.959%")</f>
        <v>17.959%</v>
      </c>
      <c r="M150" s="5" t="str">
        <f>IFERROR(__xludf.DUMMYFUNCTION("""COMPUTED_VALUE"""),"x1543")</f>
        <v>x1543</v>
      </c>
      <c r="N150" s="5" t="str">
        <f>IFERROR(__xludf.DUMMYFUNCTION("""COMPUTED_VALUE"""),"0.1/40")</f>
        <v>0.1/40</v>
      </c>
      <c r="O150" s="5" t="str">
        <f>IFERROR(__xludf.DUMMYFUNCTION("""COMPUTED_VALUE"""),"Yes")</f>
        <v>Yes</v>
      </c>
      <c r="P150" s="5" t="str">
        <f>IFERROR(__xludf.DUMMYFUNCTION("""COMPUTED_VALUE"""),"Expanding Wild, Scatter")</f>
        <v>Expanding Wild, Scatter</v>
      </c>
      <c r="Q150" s="7" t="str">
        <f>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R150" s="5" t="str">
        <f>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S1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0" s="5" t="str">
        <f>IFERROR(__xludf.DUMMYFUNCTION("""COMPUTED_VALUE"""),"Yes")</f>
        <v>Yes</v>
      </c>
      <c r="U150" s="5" t="str">
        <f>IFERROR(__xludf.DUMMYFUNCTION("""COMPUTED_VALUE"""),"Yes")</f>
        <v>Yes</v>
      </c>
      <c r="V150" s="5" t="str">
        <f>IFERROR(__xludf.DUMMYFUNCTION("""COMPUTED_VALUE"""),"Yes")</f>
        <v>Yes</v>
      </c>
      <c r="W150" s="5" t="str">
        <f>IFERROR(__xludf.DUMMYFUNCTION("""COMPUTED_VALUE"""),"Yes")</f>
        <v>Yes</v>
      </c>
      <c r="X150" s="5" t="str">
        <f>IFERROR(__xludf.DUMMYFUNCTION("""COMPUTED_VALUE"""),"Yes")</f>
        <v>Yes</v>
      </c>
      <c r="Y150" s="5" t="str">
        <f>IFERROR(__xludf.DUMMYFUNCTION("""COMPUTED_VALUE"""),"Yes")</f>
        <v>Yes</v>
      </c>
      <c r="Z150" s="5" t="str">
        <f>IFERROR(__xludf.DUMMYFUNCTION("""COMPUTED_VALUE"""),"Yes")</f>
        <v>Yes</v>
      </c>
      <c r="AA150" s="5" t="str">
        <f>IFERROR(__xludf.DUMMYFUNCTION("""COMPUTED_VALUE"""),"Yes")</f>
        <v>Yes</v>
      </c>
      <c r="AB150" s="5" t="str">
        <f>IFERROR(__xludf.DUMMYFUNCTION("""COMPUTED_VALUE"""),"Yes")</f>
        <v>Yes</v>
      </c>
      <c r="AC150" s="5" t="str">
        <f>IFERROR(__xludf.DUMMYFUNCTION("""COMPUTED_VALUE"""),"Yes")</f>
        <v>Yes</v>
      </c>
      <c r="AD150" s="5" t="str">
        <f>IFERROR(__xludf.DUMMYFUNCTION("""COMPUTED_VALUE"""),"Yes")</f>
        <v>Yes</v>
      </c>
      <c r="AE150" s="5" t="str">
        <f>IFERROR(__xludf.DUMMYFUNCTION("""COMPUTED_VALUE"""),"Yes")</f>
        <v>Yes</v>
      </c>
      <c r="AF150" s="5" t="str">
        <f>IFERROR(__xludf.DUMMYFUNCTION("""COMPUTED_VALUE"""),"Yes")</f>
        <v>Yes</v>
      </c>
      <c r="AG150" s="5" t="str">
        <f>IFERROR(__xludf.DUMMYFUNCTION("""COMPUTED_VALUE"""),"Yes")</f>
        <v>Yes</v>
      </c>
      <c r="AH150" s="5" t="str">
        <f>IFERROR(__xludf.DUMMYFUNCTION("""COMPUTED_VALUE"""),"Yes")</f>
        <v>Yes</v>
      </c>
      <c r="AI150" s="5" t="str">
        <f>IFERROR(__xludf.DUMMYFUNCTION("""COMPUTED_VALUE"""),"Yes")</f>
        <v>Yes</v>
      </c>
      <c r="AJ150" s="5" t="str">
        <f>IFERROR(__xludf.DUMMYFUNCTION("""COMPUTED_VALUE"""),"Yes")</f>
        <v>Yes</v>
      </c>
      <c r="AK150" s="5" t="str">
        <f>IFERROR(__xludf.DUMMYFUNCTION("""COMPUTED_VALUE"""),"Yes")</f>
        <v>Yes</v>
      </c>
      <c r="AL150" s="5" t="str">
        <f>IFERROR(__xludf.DUMMYFUNCTION("""COMPUTED_VALUE"""),"Yes")</f>
        <v>Yes</v>
      </c>
      <c r="AM150" s="5" t="str">
        <f>IFERROR(__xludf.DUMMYFUNCTION("""COMPUTED_VALUE"""),"Yes")</f>
        <v>Yes</v>
      </c>
      <c r="AN150" s="5" t="str">
        <f>IFERROR(__xludf.DUMMYFUNCTION("""COMPUTED_VALUE"""),"Yes")</f>
        <v>Yes</v>
      </c>
      <c r="AO150" s="5" t="str">
        <f>IFERROR(__xludf.DUMMYFUNCTION("""COMPUTED_VALUE"""),"Yes")</f>
        <v>Yes</v>
      </c>
      <c r="AP150" s="5" t="str">
        <f>IFERROR(__xludf.DUMMYFUNCTION("""COMPUTED_VALUE"""),"Yes")</f>
        <v>Yes</v>
      </c>
      <c r="AQ150" s="5" t="str">
        <f>IFERROR(__xludf.DUMMYFUNCTION("""COMPUTED_VALUE"""),"Yes")</f>
        <v>Yes</v>
      </c>
      <c r="AR150" s="5" t="str">
        <f>IFERROR(__xludf.DUMMYFUNCTION("""COMPUTED_VALUE"""),"Yes")</f>
        <v>Yes</v>
      </c>
      <c r="AS150" s="5" t="str">
        <f>IFERROR(__xludf.DUMMYFUNCTION("""COMPUTED_VALUE"""),"Yes")</f>
        <v>Yes</v>
      </c>
      <c r="AT150" s="5" t="str">
        <f>IFERROR(__xludf.DUMMYFUNCTION("""COMPUTED_VALUE"""),"No")</f>
        <v>No</v>
      </c>
      <c r="AU150" s="5"/>
      <c r="AV150" s="5" t="str">
        <f>IFERROR(__xludf.DUMMYFUNCTION("""COMPUTED_VALUE"""),"Available")</f>
        <v>Available</v>
      </c>
      <c r="AW150" s="5" t="str">
        <f>IFERROR(__xludf.DUMMYFUNCTION("""COMPUTED_VALUE"""),"")</f>
        <v/>
      </c>
      <c r="AX150" s="5" t="str">
        <f>IFERROR(__xludf.DUMMYFUNCTION("""COMPUTED_VALUE"""),"")</f>
        <v/>
      </c>
      <c r="AY150" s="5" t="str">
        <f>IFERROR(__xludf.DUMMYFUNCTION("""COMPUTED_VALUE"""),"Available")</f>
        <v>Available</v>
      </c>
      <c r="AZ150" s="5" t="str">
        <f>IFERROR(__xludf.DUMMYFUNCTION("""COMPUTED_VALUE"""),"Available")</f>
        <v>Available</v>
      </c>
      <c r="BA150" s="5" t="str">
        <f>IFERROR(__xludf.DUMMYFUNCTION("""COMPUTED_VALUE"""),"Available")</f>
        <v>Available</v>
      </c>
      <c r="BB150" s="5" t="str">
        <f>IFERROR(__xludf.DUMMYFUNCTION("""COMPUTED_VALUE"""),"Available")</f>
        <v>Available</v>
      </c>
      <c r="BC150" s="5" t="str">
        <f>IFERROR(__xludf.DUMMYFUNCTION("""COMPUTED_VALUE"""),"")</f>
        <v/>
      </c>
      <c r="BD150" s="5" t="str">
        <f>IFERROR(__xludf.DUMMYFUNCTION("""COMPUTED_VALUE"""),"")</f>
        <v/>
      </c>
      <c r="BE150" s="5" t="str">
        <f>IFERROR(__xludf.DUMMYFUNCTION("""COMPUTED_VALUE"""),"")</f>
        <v/>
      </c>
      <c r="BF150" s="5" t="str">
        <f>IFERROR(__xludf.DUMMYFUNCTION("""COMPUTED_VALUE"""),"")</f>
        <v/>
      </c>
      <c r="BG150" s="5" t="str">
        <f>IFERROR(__xludf.DUMMYFUNCTION("""COMPUTED_VALUE"""),"")</f>
        <v/>
      </c>
      <c r="BH150" s="5" t="str">
        <f>IFERROR(__xludf.DUMMYFUNCTION("""COMPUTED_VALUE"""),"")</f>
        <v/>
      </c>
      <c r="BI150" s="5" t="str">
        <f>IFERROR(__xludf.DUMMYFUNCTION("""COMPUTED_VALUE"""),"")</f>
        <v/>
      </c>
      <c r="BJ150" s="5" t="str">
        <f>IFERROR(__xludf.DUMMYFUNCTION("""COMPUTED_VALUE"""),"")</f>
        <v/>
      </c>
      <c r="BK150" s="5" t="str">
        <f>IFERROR(__xludf.DUMMYFUNCTION("""COMPUTED_VALUE"""),"Available")</f>
        <v>Available</v>
      </c>
      <c r="BL150" s="5" t="str">
        <f>IFERROR(__xludf.DUMMYFUNCTION("""COMPUTED_VALUE"""),"")</f>
        <v/>
      </c>
      <c r="BM150" s="5" t="str">
        <f>IFERROR(__xludf.DUMMYFUNCTION("""COMPUTED_VALUE"""),"Available")</f>
        <v>Available</v>
      </c>
    </row>
    <row r="151">
      <c r="A151" s="5" t="str">
        <f>IFERROR(__xludf.DUMMYFUNCTION("""COMPUTED_VALUE"""),"Fazi")</f>
        <v>Fazi</v>
      </c>
      <c r="B151" s="5" t="str">
        <f>IFERROR(__xludf.DUMMYFUNCTION("""COMPUTED_VALUE"""),"Golden Crown Max")</f>
        <v>Golden Crown Max</v>
      </c>
      <c r="C151" s="5" t="str">
        <f>IFERROR(__xludf.DUMMYFUNCTION("""COMPUTED_VALUE"""),"GoldenCrownMax")</f>
        <v>GoldenCrownMax</v>
      </c>
      <c r="D151" s="6">
        <f>IFERROR(__xludf.DUMMYFUNCTION("""COMPUTED_VALUE"""),45636.0)</f>
        <v>45636</v>
      </c>
      <c r="E151" s="5" t="str">
        <f>IFERROR(__xludf.DUMMYFUNCTION("""COMPUTED_VALUE"""),"Slot")</f>
        <v>Slot</v>
      </c>
      <c r="F151" s="5">
        <f>IFERROR(__xludf.DUMMYFUNCTION("""COMPUTED_VALUE"""),25.0)</f>
        <v>25</v>
      </c>
      <c r="G151" s="5" t="str">
        <f>IFERROR(__xludf.DUMMYFUNCTION("""COMPUTED_VALUE"""),"5x4")</f>
        <v>5x4</v>
      </c>
      <c r="H151" s="5">
        <f>IFERROR(__xludf.DUMMYFUNCTION("""COMPUTED_VALUE"""),40.0)</f>
        <v>40</v>
      </c>
      <c r="I151" s="5">
        <f>IFERROR(__xludf.DUMMYFUNCTION("""COMPUTED_VALUE"""),40.0)</f>
        <v>40</v>
      </c>
      <c r="J151" s="5" t="str">
        <f>IFERROR(__xludf.DUMMYFUNCTION("""COMPUTED_VALUE"""),"96.483%")</f>
        <v>96.483%</v>
      </c>
      <c r="K151" s="5" t="str">
        <f>IFERROR(__xludf.DUMMYFUNCTION("""COMPUTED_VALUE"""),"High")</f>
        <v>High</v>
      </c>
      <c r="L151" s="5" t="str">
        <f>IFERROR(__xludf.DUMMYFUNCTION("""COMPUTED_VALUE"""),"12.5%")</f>
        <v>12.5%</v>
      </c>
      <c r="M151" s="5" t="str">
        <f>IFERROR(__xludf.DUMMYFUNCTION("""COMPUTED_VALUE"""),"x5000")</f>
        <v>x5000</v>
      </c>
      <c r="N151" s="5" t="str">
        <f>IFERROR(__xludf.DUMMYFUNCTION("""COMPUTED_VALUE"""),"0.4/60")</f>
        <v>0.4/60</v>
      </c>
      <c r="O151" s="5" t="str">
        <f>IFERROR(__xludf.DUMMYFUNCTION("""COMPUTED_VALUE"""),"Yes")</f>
        <v>Yes</v>
      </c>
      <c r="P151" s="5" t="str">
        <f>IFERROR(__xludf.DUMMYFUNCTION("""COMPUTED_VALUE"""),"Scatter, Expanding Wild")</f>
        <v>Scatter, Expanding Wild</v>
      </c>
      <c r="Q151" s="7" t="str">
        <f>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R151" s="5" t="str">
        <f>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S1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1" s="5" t="str">
        <f>IFERROR(__xludf.DUMMYFUNCTION("""COMPUTED_VALUE"""),"Yes")</f>
        <v>Yes</v>
      </c>
      <c r="U151" s="5" t="str">
        <f>IFERROR(__xludf.DUMMYFUNCTION("""COMPUTED_VALUE"""),"Yes")</f>
        <v>Yes</v>
      </c>
      <c r="V151" s="5" t="str">
        <f>IFERROR(__xludf.DUMMYFUNCTION("""COMPUTED_VALUE"""),"Yes")</f>
        <v>Yes</v>
      </c>
      <c r="W151" s="5" t="str">
        <f>IFERROR(__xludf.DUMMYFUNCTION("""COMPUTED_VALUE"""),"Yes")</f>
        <v>Yes</v>
      </c>
      <c r="X151" s="5" t="str">
        <f>IFERROR(__xludf.DUMMYFUNCTION("""COMPUTED_VALUE"""),"Yes")</f>
        <v>Yes</v>
      </c>
      <c r="Y151" s="5" t="str">
        <f>IFERROR(__xludf.DUMMYFUNCTION("""COMPUTED_VALUE"""),"Yes")</f>
        <v>Yes</v>
      </c>
      <c r="Z151" s="5" t="str">
        <f>IFERROR(__xludf.DUMMYFUNCTION("""COMPUTED_VALUE"""),"Yes")</f>
        <v>Yes</v>
      </c>
      <c r="AA151" s="5" t="str">
        <f>IFERROR(__xludf.DUMMYFUNCTION("""COMPUTED_VALUE"""),"Yes")</f>
        <v>Yes</v>
      </c>
      <c r="AB151" s="5" t="str">
        <f>IFERROR(__xludf.DUMMYFUNCTION("""COMPUTED_VALUE"""),"Yes")</f>
        <v>Yes</v>
      </c>
      <c r="AC151" s="5" t="str">
        <f>IFERROR(__xludf.DUMMYFUNCTION("""COMPUTED_VALUE"""),"Yes")</f>
        <v>Yes</v>
      </c>
      <c r="AD151" s="5" t="str">
        <f>IFERROR(__xludf.DUMMYFUNCTION("""COMPUTED_VALUE"""),"Yes")</f>
        <v>Yes</v>
      </c>
      <c r="AE151" s="5" t="str">
        <f>IFERROR(__xludf.DUMMYFUNCTION("""COMPUTED_VALUE"""),"Yes")</f>
        <v>Yes</v>
      </c>
      <c r="AF151" s="5" t="str">
        <f>IFERROR(__xludf.DUMMYFUNCTION("""COMPUTED_VALUE"""),"Yes")</f>
        <v>Yes</v>
      </c>
      <c r="AG151" s="5" t="str">
        <f>IFERROR(__xludf.DUMMYFUNCTION("""COMPUTED_VALUE"""),"Yes")</f>
        <v>Yes</v>
      </c>
      <c r="AH151" s="5" t="str">
        <f>IFERROR(__xludf.DUMMYFUNCTION("""COMPUTED_VALUE"""),"Yes")</f>
        <v>Yes</v>
      </c>
      <c r="AI151" s="5" t="str">
        <f>IFERROR(__xludf.DUMMYFUNCTION("""COMPUTED_VALUE"""),"Yes")</f>
        <v>Yes</v>
      </c>
      <c r="AJ151" s="5" t="str">
        <f>IFERROR(__xludf.DUMMYFUNCTION("""COMPUTED_VALUE"""),"Yes")</f>
        <v>Yes</v>
      </c>
      <c r="AK151" s="5" t="str">
        <f>IFERROR(__xludf.DUMMYFUNCTION("""COMPUTED_VALUE"""),"Yes")</f>
        <v>Yes</v>
      </c>
      <c r="AL151" s="5" t="str">
        <f>IFERROR(__xludf.DUMMYFUNCTION("""COMPUTED_VALUE"""),"Yes")</f>
        <v>Yes</v>
      </c>
      <c r="AM151" s="5" t="str">
        <f>IFERROR(__xludf.DUMMYFUNCTION("""COMPUTED_VALUE"""),"Yes")</f>
        <v>Yes</v>
      </c>
      <c r="AN151" s="5" t="str">
        <f>IFERROR(__xludf.DUMMYFUNCTION("""COMPUTED_VALUE"""),"Yes")</f>
        <v>Yes</v>
      </c>
      <c r="AO151" s="5" t="str">
        <f>IFERROR(__xludf.DUMMYFUNCTION("""COMPUTED_VALUE"""),"Yes")</f>
        <v>Yes</v>
      </c>
      <c r="AP151" s="5" t="str">
        <f>IFERROR(__xludf.DUMMYFUNCTION("""COMPUTED_VALUE"""),"Yes")</f>
        <v>Yes</v>
      </c>
      <c r="AQ151" s="5" t="str">
        <f>IFERROR(__xludf.DUMMYFUNCTION("""COMPUTED_VALUE"""),"Yes")</f>
        <v>Yes</v>
      </c>
      <c r="AR151" s="5" t="str">
        <f>IFERROR(__xludf.DUMMYFUNCTION("""COMPUTED_VALUE"""),"Yes")</f>
        <v>Yes</v>
      </c>
      <c r="AS151" s="5" t="str">
        <f>IFERROR(__xludf.DUMMYFUNCTION("""COMPUTED_VALUE"""),"Yes")</f>
        <v>Yes</v>
      </c>
      <c r="AT151" s="5" t="str">
        <f>IFERROR(__xludf.DUMMYFUNCTION("""COMPUTED_VALUE"""),"No")</f>
        <v>No</v>
      </c>
      <c r="AU151" s="5"/>
      <c r="AV151" s="5" t="str">
        <f>IFERROR(__xludf.DUMMYFUNCTION("""COMPUTED_VALUE"""),"Available")</f>
        <v>Available</v>
      </c>
      <c r="AW151" s="5" t="str">
        <f>IFERROR(__xludf.DUMMYFUNCTION("""COMPUTED_VALUE"""),"")</f>
        <v/>
      </c>
      <c r="AX151" s="5" t="str">
        <f>IFERROR(__xludf.DUMMYFUNCTION("""COMPUTED_VALUE"""),"")</f>
        <v/>
      </c>
      <c r="AY151" s="5" t="str">
        <f>IFERROR(__xludf.DUMMYFUNCTION("""COMPUTED_VALUE"""),"")</f>
        <v/>
      </c>
      <c r="AZ151" s="5" t="str">
        <f>IFERROR(__xludf.DUMMYFUNCTION("""COMPUTED_VALUE"""),"Available")</f>
        <v>Available</v>
      </c>
      <c r="BA151" s="5" t="str">
        <f>IFERROR(__xludf.DUMMYFUNCTION("""COMPUTED_VALUE"""),"Available")</f>
        <v>Available</v>
      </c>
      <c r="BB151" s="5" t="str">
        <f>IFERROR(__xludf.DUMMYFUNCTION("""COMPUTED_VALUE"""),"")</f>
        <v/>
      </c>
      <c r="BC151" s="5" t="str">
        <f>IFERROR(__xludf.DUMMYFUNCTION("""COMPUTED_VALUE"""),"")</f>
        <v/>
      </c>
      <c r="BD151" s="5" t="str">
        <f>IFERROR(__xludf.DUMMYFUNCTION("""COMPUTED_VALUE"""),"")</f>
        <v/>
      </c>
      <c r="BE151" s="5" t="str">
        <f>IFERROR(__xludf.DUMMYFUNCTION("""COMPUTED_VALUE"""),"")</f>
        <v/>
      </c>
      <c r="BF151" s="5" t="str">
        <f>IFERROR(__xludf.DUMMYFUNCTION("""COMPUTED_VALUE"""),"")</f>
        <v/>
      </c>
      <c r="BG151" s="5" t="str">
        <f>IFERROR(__xludf.DUMMYFUNCTION("""COMPUTED_VALUE"""),"")</f>
        <v/>
      </c>
      <c r="BH151" s="5" t="str">
        <f>IFERROR(__xludf.DUMMYFUNCTION("""COMPUTED_VALUE"""),"")</f>
        <v/>
      </c>
      <c r="BI151" s="5" t="str">
        <f>IFERROR(__xludf.DUMMYFUNCTION("""COMPUTED_VALUE"""),"")</f>
        <v/>
      </c>
      <c r="BJ151" s="5" t="str">
        <f>IFERROR(__xludf.DUMMYFUNCTION("""COMPUTED_VALUE"""),"")</f>
        <v/>
      </c>
      <c r="BK151" s="5" t="str">
        <f>IFERROR(__xludf.DUMMYFUNCTION("""COMPUTED_VALUE"""),"")</f>
        <v/>
      </c>
      <c r="BL151" s="5" t="str">
        <f>IFERROR(__xludf.DUMMYFUNCTION("""COMPUTED_VALUE"""),"")</f>
        <v/>
      </c>
      <c r="BM151" s="5" t="str">
        <f>IFERROR(__xludf.DUMMYFUNCTION("""COMPUTED_VALUE"""),"")</f>
        <v/>
      </c>
    </row>
    <row r="152">
      <c r="A152" s="5" t="str">
        <f>IFERROR(__xludf.DUMMYFUNCTION("""COMPUTED_VALUE"""),"Fazi")</f>
        <v>Fazi</v>
      </c>
      <c r="B152" s="5" t="str">
        <f>IFERROR(__xludf.DUMMYFUNCTION("""COMPUTED_VALUE"""),"Crowns and Stars")</f>
        <v>Crowns and Stars</v>
      </c>
      <c r="C152" s="5" t="str">
        <f>IFERROR(__xludf.DUMMYFUNCTION("""COMPUTED_VALUE"""),"CrownsAndStars")</f>
        <v>CrownsAndStars</v>
      </c>
      <c r="D152" s="6">
        <f>IFERROR(__xludf.DUMMYFUNCTION("""COMPUTED_VALUE"""),45666.0)</f>
        <v>45666</v>
      </c>
      <c r="E152" s="5" t="str">
        <f>IFERROR(__xludf.DUMMYFUNCTION("""COMPUTED_VALUE"""),"Slot")</f>
        <v>Slot</v>
      </c>
      <c r="F152" s="5">
        <f>IFERROR(__xludf.DUMMYFUNCTION("""COMPUTED_VALUE"""),30.3)</f>
        <v>30.3</v>
      </c>
      <c r="G152" s="5" t="str">
        <f>IFERROR(__xludf.DUMMYFUNCTION("""COMPUTED_VALUE"""),"5x3")</f>
        <v>5x3</v>
      </c>
      <c r="H152" s="5">
        <f>IFERROR(__xludf.DUMMYFUNCTION("""COMPUTED_VALUE"""),10.0)</f>
        <v>10</v>
      </c>
      <c r="I152" s="5">
        <f>IFERROR(__xludf.DUMMYFUNCTION("""COMPUTED_VALUE"""),10.0)</f>
        <v>10</v>
      </c>
      <c r="J152" s="5" t="str">
        <f>IFERROR(__xludf.DUMMYFUNCTION("""COMPUTED_VALUE"""),"96.592%")</f>
        <v>96.592%</v>
      </c>
      <c r="K152" s="5" t="str">
        <f>IFERROR(__xludf.DUMMYFUNCTION("""COMPUTED_VALUE"""),"High")</f>
        <v>High</v>
      </c>
      <c r="L152" s="5" t="str">
        <f>IFERROR(__xludf.DUMMYFUNCTION("""COMPUTED_VALUE"""),"10.705%")</f>
        <v>10.705%</v>
      </c>
      <c r="M152" s="5" t="str">
        <f>IFERROR(__xludf.DUMMYFUNCTION("""COMPUTED_VALUE"""),"x10075")</f>
        <v>x10075</v>
      </c>
      <c r="N152" s="5" t="str">
        <f>IFERROR(__xludf.DUMMYFUNCTION("""COMPUTED_VALUE"""),"0.1/40")</f>
        <v>0.1/40</v>
      </c>
      <c r="O152" s="5" t="str">
        <f>IFERROR(__xludf.DUMMYFUNCTION("""COMPUTED_VALUE"""),"Yes")</f>
        <v>Yes</v>
      </c>
      <c r="P152" s="5" t="str">
        <f>IFERROR(__xludf.DUMMYFUNCTION("""COMPUTED_VALUE"""),"In Game Jackpot, Expanding Wild")</f>
        <v>In Game Jackpot, Expanding Wild</v>
      </c>
      <c r="Q152" s="7" t="str">
        <f>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R152" s="5" t="str">
        <f>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S1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2" s="5" t="str">
        <f>IFERROR(__xludf.DUMMYFUNCTION("""COMPUTED_VALUE"""),"Yes")</f>
        <v>Yes</v>
      </c>
      <c r="U152" s="5" t="str">
        <f>IFERROR(__xludf.DUMMYFUNCTION("""COMPUTED_VALUE"""),"Yes")</f>
        <v>Yes</v>
      </c>
      <c r="V152" s="5" t="str">
        <f>IFERROR(__xludf.DUMMYFUNCTION("""COMPUTED_VALUE"""),"Yes")</f>
        <v>Yes</v>
      </c>
      <c r="W152" s="5" t="str">
        <f>IFERROR(__xludf.DUMMYFUNCTION("""COMPUTED_VALUE"""),"Yes")</f>
        <v>Yes</v>
      </c>
      <c r="X152" s="5" t="str">
        <f>IFERROR(__xludf.DUMMYFUNCTION("""COMPUTED_VALUE"""),"Yes")</f>
        <v>Yes</v>
      </c>
      <c r="Y152" s="5" t="str">
        <f>IFERROR(__xludf.DUMMYFUNCTION("""COMPUTED_VALUE"""),"Yes")</f>
        <v>Yes</v>
      </c>
      <c r="Z152" s="5" t="str">
        <f>IFERROR(__xludf.DUMMYFUNCTION("""COMPUTED_VALUE"""),"Yes")</f>
        <v>Yes</v>
      </c>
      <c r="AA152" s="5" t="str">
        <f>IFERROR(__xludf.DUMMYFUNCTION("""COMPUTED_VALUE"""),"Yes")</f>
        <v>Yes</v>
      </c>
      <c r="AB152" s="5" t="str">
        <f>IFERROR(__xludf.DUMMYFUNCTION("""COMPUTED_VALUE"""),"Yes")</f>
        <v>Yes</v>
      </c>
      <c r="AC152" s="5" t="str">
        <f>IFERROR(__xludf.DUMMYFUNCTION("""COMPUTED_VALUE"""),"Yes")</f>
        <v>Yes</v>
      </c>
      <c r="AD152" s="5" t="str">
        <f>IFERROR(__xludf.DUMMYFUNCTION("""COMPUTED_VALUE"""),"Yes")</f>
        <v>Yes</v>
      </c>
      <c r="AE152" s="5" t="str">
        <f>IFERROR(__xludf.DUMMYFUNCTION("""COMPUTED_VALUE"""),"Yes")</f>
        <v>Yes</v>
      </c>
      <c r="AF152" s="5" t="str">
        <f>IFERROR(__xludf.DUMMYFUNCTION("""COMPUTED_VALUE"""),"Yes")</f>
        <v>Yes</v>
      </c>
      <c r="AG152" s="5" t="str">
        <f>IFERROR(__xludf.DUMMYFUNCTION("""COMPUTED_VALUE"""),"Yes")</f>
        <v>Yes</v>
      </c>
      <c r="AH152" s="5" t="str">
        <f>IFERROR(__xludf.DUMMYFUNCTION("""COMPUTED_VALUE"""),"Yes")</f>
        <v>Yes</v>
      </c>
      <c r="AI152" s="5" t="str">
        <f>IFERROR(__xludf.DUMMYFUNCTION("""COMPUTED_VALUE"""),"Yes")</f>
        <v>Yes</v>
      </c>
      <c r="AJ152" s="5" t="str">
        <f>IFERROR(__xludf.DUMMYFUNCTION("""COMPUTED_VALUE"""),"Yes")</f>
        <v>Yes</v>
      </c>
      <c r="AK152" s="5" t="str">
        <f>IFERROR(__xludf.DUMMYFUNCTION("""COMPUTED_VALUE"""),"Yes")</f>
        <v>Yes</v>
      </c>
      <c r="AL152" s="5" t="str">
        <f>IFERROR(__xludf.DUMMYFUNCTION("""COMPUTED_VALUE"""),"Yes")</f>
        <v>Yes</v>
      </c>
      <c r="AM152" s="5" t="str">
        <f>IFERROR(__xludf.DUMMYFUNCTION("""COMPUTED_VALUE"""),"Yes")</f>
        <v>Yes</v>
      </c>
      <c r="AN152" s="5" t="str">
        <f>IFERROR(__xludf.DUMMYFUNCTION("""COMPUTED_VALUE"""),"Yes")</f>
        <v>Yes</v>
      </c>
      <c r="AO152" s="5" t="str">
        <f>IFERROR(__xludf.DUMMYFUNCTION("""COMPUTED_VALUE"""),"Yes")</f>
        <v>Yes</v>
      </c>
      <c r="AP152" s="5" t="str">
        <f>IFERROR(__xludf.DUMMYFUNCTION("""COMPUTED_VALUE"""),"Yes")</f>
        <v>Yes</v>
      </c>
      <c r="AQ152" s="5" t="str">
        <f>IFERROR(__xludf.DUMMYFUNCTION("""COMPUTED_VALUE"""),"Yes")</f>
        <v>Yes</v>
      </c>
      <c r="AR152" s="5" t="str">
        <f>IFERROR(__xludf.DUMMYFUNCTION("""COMPUTED_VALUE"""),"Yes")</f>
        <v>Yes</v>
      </c>
      <c r="AS152" s="5" t="str">
        <f>IFERROR(__xludf.DUMMYFUNCTION("""COMPUTED_VALUE"""),"Yes")</f>
        <v>Yes</v>
      </c>
      <c r="AT152" s="5" t="str">
        <f>IFERROR(__xludf.DUMMYFUNCTION("""COMPUTED_VALUE"""),"No")</f>
        <v>No</v>
      </c>
      <c r="AU152" s="5"/>
      <c r="AV152" s="5" t="str">
        <f>IFERROR(__xludf.DUMMYFUNCTION("""COMPUTED_VALUE"""),"Available")</f>
        <v>Available</v>
      </c>
      <c r="AW152" s="5" t="str">
        <f>IFERROR(__xludf.DUMMYFUNCTION("""COMPUTED_VALUE"""),"")</f>
        <v/>
      </c>
      <c r="AX152" s="5" t="str">
        <f>IFERROR(__xludf.DUMMYFUNCTION("""COMPUTED_VALUE"""),"")</f>
        <v/>
      </c>
      <c r="AY152" s="5" t="str">
        <f>IFERROR(__xludf.DUMMYFUNCTION("""COMPUTED_VALUE"""),"Available")</f>
        <v>Available</v>
      </c>
      <c r="AZ152" s="5" t="str">
        <f>IFERROR(__xludf.DUMMYFUNCTION("""COMPUTED_VALUE"""),"Available")</f>
        <v>Available</v>
      </c>
      <c r="BA152" s="5" t="str">
        <f>IFERROR(__xludf.DUMMYFUNCTION("""COMPUTED_VALUE"""),"Available")</f>
        <v>Available</v>
      </c>
      <c r="BB152" s="5" t="str">
        <f>IFERROR(__xludf.DUMMYFUNCTION("""COMPUTED_VALUE"""),"")</f>
        <v/>
      </c>
      <c r="BC152" s="5" t="str">
        <f>IFERROR(__xludf.DUMMYFUNCTION("""COMPUTED_VALUE"""),"")</f>
        <v/>
      </c>
      <c r="BD152" s="5" t="str">
        <f>IFERROR(__xludf.DUMMYFUNCTION("""COMPUTED_VALUE"""),"")</f>
        <v/>
      </c>
      <c r="BE152" s="5" t="str">
        <f>IFERROR(__xludf.DUMMYFUNCTION("""COMPUTED_VALUE"""),"")</f>
        <v/>
      </c>
      <c r="BF152" s="5" t="str">
        <f>IFERROR(__xludf.DUMMYFUNCTION("""COMPUTED_VALUE"""),"")</f>
        <v/>
      </c>
      <c r="BG152" s="5" t="str">
        <f>IFERROR(__xludf.DUMMYFUNCTION("""COMPUTED_VALUE"""),"")</f>
        <v/>
      </c>
      <c r="BH152" s="5" t="str">
        <f>IFERROR(__xludf.DUMMYFUNCTION("""COMPUTED_VALUE"""),"")</f>
        <v/>
      </c>
      <c r="BI152" s="5" t="str">
        <f>IFERROR(__xludf.DUMMYFUNCTION("""COMPUTED_VALUE"""),"")</f>
        <v/>
      </c>
      <c r="BJ152" s="5" t="str">
        <f>IFERROR(__xludf.DUMMYFUNCTION("""COMPUTED_VALUE"""),"")</f>
        <v/>
      </c>
      <c r="BK152" s="5" t="str">
        <f>IFERROR(__xludf.DUMMYFUNCTION("""COMPUTED_VALUE"""),"")</f>
        <v/>
      </c>
      <c r="BL152" s="5" t="str">
        <f>IFERROR(__xludf.DUMMYFUNCTION("""COMPUTED_VALUE"""),"")</f>
        <v/>
      </c>
      <c r="BM152" s="5" t="str">
        <f>IFERROR(__xludf.DUMMYFUNCTION("""COMPUTED_VALUE"""),"")</f>
        <v/>
      </c>
    </row>
    <row r="153">
      <c r="A153" s="5" t="str">
        <f>IFERROR(__xludf.DUMMYFUNCTION("""COMPUTED_VALUE"""),"Fazi")</f>
        <v>Fazi</v>
      </c>
      <c r="B153" s="5" t="str">
        <f>IFERROR(__xludf.DUMMYFUNCTION("""COMPUTED_VALUE"""),"Hearts and Stars")</f>
        <v>Hearts and Stars</v>
      </c>
      <c r="C153" s="5" t="str">
        <f>IFERROR(__xludf.DUMMYFUNCTION("""COMPUTED_VALUE"""),"HeartsAndStars")</f>
        <v>HeartsAndStars</v>
      </c>
      <c r="D153" s="6">
        <f>IFERROR(__xludf.DUMMYFUNCTION("""COMPUTED_VALUE"""),45698.0)</f>
        <v>45698</v>
      </c>
      <c r="E153" s="5" t="str">
        <f>IFERROR(__xludf.DUMMYFUNCTION("""COMPUTED_VALUE"""),"Slot")</f>
        <v>Slot</v>
      </c>
      <c r="F153" s="5">
        <f>IFERROR(__xludf.DUMMYFUNCTION("""COMPUTED_VALUE"""),23.6)</f>
        <v>23.6</v>
      </c>
      <c r="G153" s="5"/>
      <c r="H153" s="5">
        <f>IFERROR(__xludf.DUMMYFUNCTION("""COMPUTED_VALUE"""),40.0)</f>
        <v>40</v>
      </c>
      <c r="I153" s="5"/>
      <c r="J153" s="5" t="str">
        <f>IFERROR(__xludf.DUMMYFUNCTION("""COMPUTED_VALUE"""),"96.474%")</f>
        <v>96.474%</v>
      </c>
      <c r="K153" s="5" t="str">
        <f>IFERROR(__xludf.DUMMYFUNCTION("""COMPUTED_VALUE"""),"High")</f>
        <v>High</v>
      </c>
      <c r="L153" s="5" t="str">
        <f>IFERROR(__xludf.DUMMYFUNCTION("""COMPUTED_VALUE"""),"10.421%")</f>
        <v>10.421%</v>
      </c>
      <c r="M153" s="5" t="str">
        <f>IFERROR(__xludf.DUMMYFUNCTION("""COMPUTED_VALUE"""),"x10145")</f>
        <v>x10145</v>
      </c>
      <c r="N153" s="5" t="str">
        <f>IFERROR(__xludf.DUMMYFUNCTION("""COMPUTED_VALUE"""),"0.4/60")</f>
        <v>0.4/60</v>
      </c>
      <c r="O153" s="5" t="str">
        <f>IFERROR(__xludf.DUMMYFUNCTION("""COMPUTED_VALUE"""),"Yes")</f>
        <v>Yes</v>
      </c>
      <c r="P153" s="5" t="str">
        <f>IFERROR(__xludf.DUMMYFUNCTION("""COMPUTED_VALUE"""),"Wild Symbol")</f>
        <v>Wild Symbol</v>
      </c>
      <c r="Q153" s="5"/>
      <c r="R153" s="5"/>
      <c r="S1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3" s="5" t="str">
        <f>IFERROR(__xludf.DUMMYFUNCTION("""COMPUTED_VALUE"""),"Yes")</f>
        <v>Yes</v>
      </c>
      <c r="U153" s="5" t="str">
        <f>IFERROR(__xludf.DUMMYFUNCTION("""COMPUTED_VALUE"""),"Yes")</f>
        <v>Yes</v>
      </c>
      <c r="V153" s="5" t="str">
        <f>IFERROR(__xludf.DUMMYFUNCTION("""COMPUTED_VALUE"""),"Yes")</f>
        <v>Yes</v>
      </c>
      <c r="W153" s="5" t="str">
        <f>IFERROR(__xludf.DUMMYFUNCTION("""COMPUTED_VALUE"""),"Yes")</f>
        <v>Yes</v>
      </c>
      <c r="X153" s="5" t="str">
        <f>IFERROR(__xludf.DUMMYFUNCTION("""COMPUTED_VALUE"""),"Yes")</f>
        <v>Yes</v>
      </c>
      <c r="Y153" s="5" t="str">
        <f>IFERROR(__xludf.DUMMYFUNCTION("""COMPUTED_VALUE"""),"Yes")</f>
        <v>Yes</v>
      </c>
      <c r="Z153" s="5" t="str">
        <f>IFERROR(__xludf.DUMMYFUNCTION("""COMPUTED_VALUE"""),"Yes")</f>
        <v>Yes</v>
      </c>
      <c r="AA153" s="5" t="str">
        <f>IFERROR(__xludf.DUMMYFUNCTION("""COMPUTED_VALUE"""),"Yes")</f>
        <v>Yes</v>
      </c>
      <c r="AB153" s="5" t="str">
        <f>IFERROR(__xludf.DUMMYFUNCTION("""COMPUTED_VALUE"""),"Yes")</f>
        <v>Yes</v>
      </c>
      <c r="AC153" s="5" t="str">
        <f>IFERROR(__xludf.DUMMYFUNCTION("""COMPUTED_VALUE"""),"Yes")</f>
        <v>Yes</v>
      </c>
      <c r="AD153" s="5" t="str">
        <f>IFERROR(__xludf.DUMMYFUNCTION("""COMPUTED_VALUE"""),"Yes")</f>
        <v>Yes</v>
      </c>
      <c r="AE153" s="5" t="str">
        <f>IFERROR(__xludf.DUMMYFUNCTION("""COMPUTED_VALUE"""),"Yes")</f>
        <v>Yes</v>
      </c>
      <c r="AF153" s="5" t="str">
        <f>IFERROR(__xludf.DUMMYFUNCTION("""COMPUTED_VALUE"""),"Yes")</f>
        <v>Yes</v>
      </c>
      <c r="AG153" s="5" t="str">
        <f>IFERROR(__xludf.DUMMYFUNCTION("""COMPUTED_VALUE"""),"Yes")</f>
        <v>Yes</v>
      </c>
      <c r="AH153" s="5" t="str">
        <f>IFERROR(__xludf.DUMMYFUNCTION("""COMPUTED_VALUE"""),"Yes")</f>
        <v>Yes</v>
      </c>
      <c r="AI153" s="5" t="str">
        <f>IFERROR(__xludf.DUMMYFUNCTION("""COMPUTED_VALUE"""),"Yes")</f>
        <v>Yes</v>
      </c>
      <c r="AJ153" s="5" t="str">
        <f>IFERROR(__xludf.DUMMYFUNCTION("""COMPUTED_VALUE"""),"Yes")</f>
        <v>Yes</v>
      </c>
      <c r="AK153" s="5" t="str">
        <f>IFERROR(__xludf.DUMMYFUNCTION("""COMPUTED_VALUE"""),"Yes")</f>
        <v>Yes</v>
      </c>
      <c r="AL153" s="5" t="str">
        <f>IFERROR(__xludf.DUMMYFUNCTION("""COMPUTED_VALUE"""),"Yes")</f>
        <v>Yes</v>
      </c>
      <c r="AM153" s="5" t="str">
        <f>IFERROR(__xludf.DUMMYFUNCTION("""COMPUTED_VALUE"""),"Yes")</f>
        <v>Yes</v>
      </c>
      <c r="AN153" s="5" t="str">
        <f>IFERROR(__xludf.DUMMYFUNCTION("""COMPUTED_VALUE"""),"Yes")</f>
        <v>Yes</v>
      </c>
      <c r="AO153" s="5" t="str">
        <f>IFERROR(__xludf.DUMMYFUNCTION("""COMPUTED_VALUE"""),"Yes")</f>
        <v>Yes</v>
      </c>
      <c r="AP153" s="5" t="str">
        <f>IFERROR(__xludf.DUMMYFUNCTION("""COMPUTED_VALUE"""),"Yes")</f>
        <v>Yes</v>
      </c>
      <c r="AQ153" s="5" t="str">
        <f>IFERROR(__xludf.DUMMYFUNCTION("""COMPUTED_VALUE"""),"Yes")</f>
        <v>Yes</v>
      </c>
      <c r="AR153" s="5" t="str">
        <f>IFERROR(__xludf.DUMMYFUNCTION("""COMPUTED_VALUE"""),"Yes")</f>
        <v>Yes</v>
      </c>
      <c r="AS153" s="5" t="str">
        <f>IFERROR(__xludf.DUMMYFUNCTION("""COMPUTED_VALUE"""),"Yes")</f>
        <v>Yes</v>
      </c>
      <c r="AT153" s="5" t="str">
        <f>IFERROR(__xludf.DUMMYFUNCTION("""COMPUTED_VALUE"""),"No")</f>
        <v>No</v>
      </c>
      <c r="AU153" s="5"/>
      <c r="AV153" s="5" t="str">
        <f>IFERROR(__xludf.DUMMYFUNCTION("""COMPUTED_VALUE"""),"Available")</f>
        <v>Available</v>
      </c>
      <c r="AW153" s="5" t="str">
        <f>IFERROR(__xludf.DUMMYFUNCTION("""COMPUTED_VALUE"""),"")</f>
        <v/>
      </c>
      <c r="AX153" s="5" t="str">
        <f>IFERROR(__xludf.DUMMYFUNCTION("""COMPUTED_VALUE"""),"")</f>
        <v/>
      </c>
      <c r="AY153" s="5" t="str">
        <f>IFERROR(__xludf.DUMMYFUNCTION("""COMPUTED_VALUE"""),"")</f>
        <v/>
      </c>
      <c r="AZ153" s="5" t="str">
        <f>IFERROR(__xludf.DUMMYFUNCTION("""COMPUTED_VALUE"""),"Available")</f>
        <v>Available</v>
      </c>
      <c r="BA153" s="5" t="str">
        <f>IFERROR(__xludf.DUMMYFUNCTION("""COMPUTED_VALUE"""),"Available")</f>
        <v>Available</v>
      </c>
      <c r="BB153" s="5" t="str">
        <f>IFERROR(__xludf.DUMMYFUNCTION("""COMPUTED_VALUE"""),"")</f>
        <v/>
      </c>
      <c r="BC153" s="5" t="str">
        <f>IFERROR(__xludf.DUMMYFUNCTION("""COMPUTED_VALUE"""),"")</f>
        <v/>
      </c>
      <c r="BD153" s="5" t="str">
        <f>IFERROR(__xludf.DUMMYFUNCTION("""COMPUTED_VALUE"""),"")</f>
        <v/>
      </c>
      <c r="BE153" s="5" t="str">
        <f>IFERROR(__xludf.DUMMYFUNCTION("""COMPUTED_VALUE"""),"")</f>
        <v/>
      </c>
      <c r="BF153" s="5" t="str">
        <f>IFERROR(__xludf.DUMMYFUNCTION("""COMPUTED_VALUE"""),"")</f>
        <v/>
      </c>
      <c r="BG153" s="5" t="str">
        <f>IFERROR(__xludf.DUMMYFUNCTION("""COMPUTED_VALUE"""),"")</f>
        <v/>
      </c>
      <c r="BH153" s="5" t="str">
        <f>IFERROR(__xludf.DUMMYFUNCTION("""COMPUTED_VALUE"""),"")</f>
        <v/>
      </c>
      <c r="BI153" s="5" t="str">
        <f>IFERROR(__xludf.DUMMYFUNCTION("""COMPUTED_VALUE"""),"")</f>
        <v/>
      </c>
      <c r="BJ153" s="5" t="str">
        <f>IFERROR(__xludf.DUMMYFUNCTION("""COMPUTED_VALUE"""),"")</f>
        <v/>
      </c>
      <c r="BK153" s="5" t="str">
        <f>IFERROR(__xludf.DUMMYFUNCTION("""COMPUTED_VALUE"""),"")</f>
        <v/>
      </c>
      <c r="BL153" s="5" t="str">
        <f>IFERROR(__xludf.DUMMYFUNCTION("""COMPUTED_VALUE"""),"")</f>
        <v/>
      </c>
      <c r="BM153" s="5" t="str">
        <f>IFERROR(__xludf.DUMMYFUNCTION("""COMPUTED_VALUE"""),"")</f>
        <v/>
      </c>
    </row>
    <row r="154">
      <c r="A154" s="5" t="str">
        <f>IFERROR(__xludf.DUMMYFUNCTION("""COMPUTED_VALUE"""),"Fazi")</f>
        <v>Fazi</v>
      </c>
      <c r="B154" s="5" t="str">
        <f>IFERROR(__xludf.DUMMYFUNCTION("""COMPUTED_VALUE"""),"Top Hot 5")</f>
        <v>Top Hot 5</v>
      </c>
      <c r="C154" s="5" t="str">
        <f>IFERROR(__xludf.DUMMYFUNCTION("""COMPUTED_VALUE"""),"TopHot5")</f>
        <v>TopHot5</v>
      </c>
      <c r="D154" s="6">
        <f>IFERROR(__xludf.DUMMYFUNCTION("""COMPUTED_VALUE"""),45708.0)</f>
        <v>45708</v>
      </c>
      <c r="E154" s="5" t="str">
        <f>IFERROR(__xludf.DUMMYFUNCTION("""COMPUTED_VALUE"""),"Slot")</f>
        <v>Slot</v>
      </c>
      <c r="F154" s="5">
        <f>IFERROR(__xludf.DUMMYFUNCTION("""COMPUTED_VALUE"""),36.8)</f>
        <v>36.8</v>
      </c>
      <c r="G154" s="5" t="str">
        <f>IFERROR(__xludf.DUMMYFUNCTION("""COMPUTED_VALUE"""),"3x3")</f>
        <v>3x3</v>
      </c>
      <c r="H154" s="5">
        <f>IFERROR(__xludf.DUMMYFUNCTION("""COMPUTED_VALUE"""),5.0)</f>
        <v>5</v>
      </c>
      <c r="I154" s="5">
        <f>IFERROR(__xludf.DUMMYFUNCTION("""COMPUTED_VALUE"""),5.0)</f>
        <v>5</v>
      </c>
      <c r="J154" s="5" t="str">
        <f>IFERROR(__xludf.DUMMYFUNCTION("""COMPUTED_VALUE"""),"96.609%")</f>
        <v>96.609%</v>
      </c>
      <c r="K154" s="5" t="str">
        <f>IFERROR(__xludf.DUMMYFUNCTION("""COMPUTED_VALUE"""),"Low")</f>
        <v>Low</v>
      </c>
      <c r="L154" s="5" t="str">
        <f>IFERROR(__xludf.DUMMYFUNCTION("""COMPUTED_VALUE"""),"6.446%")</f>
        <v>6.446%</v>
      </c>
      <c r="M154" s="5" t="str">
        <f>IFERROR(__xludf.DUMMYFUNCTION("""COMPUTED_VALUE"""),"x60")</f>
        <v>x60</v>
      </c>
      <c r="N154" s="5"/>
      <c r="O154" s="5" t="str">
        <f>IFERROR(__xludf.DUMMYFUNCTION("""COMPUTED_VALUE"""),"Yes")</f>
        <v>Yes</v>
      </c>
      <c r="P154" s="5"/>
      <c r="Q154" s="7" t="str">
        <f>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R154" s="5" t="str">
        <f>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S1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4" s="5" t="str">
        <f>IFERROR(__xludf.DUMMYFUNCTION("""COMPUTED_VALUE"""),"Yes")</f>
        <v>Yes</v>
      </c>
      <c r="U154" s="5" t="str">
        <f>IFERROR(__xludf.DUMMYFUNCTION("""COMPUTED_VALUE"""),"Yes")</f>
        <v>Yes</v>
      </c>
      <c r="V154" s="5" t="str">
        <f>IFERROR(__xludf.DUMMYFUNCTION("""COMPUTED_VALUE"""),"Yes")</f>
        <v>Yes</v>
      </c>
      <c r="W154" s="5" t="str">
        <f>IFERROR(__xludf.DUMMYFUNCTION("""COMPUTED_VALUE"""),"Yes")</f>
        <v>Yes</v>
      </c>
      <c r="X154" s="5" t="str">
        <f>IFERROR(__xludf.DUMMYFUNCTION("""COMPUTED_VALUE"""),"Yes")</f>
        <v>Yes</v>
      </c>
      <c r="Y154" s="5" t="str">
        <f>IFERROR(__xludf.DUMMYFUNCTION("""COMPUTED_VALUE"""),"Yes")</f>
        <v>Yes</v>
      </c>
      <c r="Z154" s="5" t="str">
        <f>IFERROR(__xludf.DUMMYFUNCTION("""COMPUTED_VALUE"""),"Yes")</f>
        <v>Yes</v>
      </c>
      <c r="AA154" s="5" t="str">
        <f>IFERROR(__xludf.DUMMYFUNCTION("""COMPUTED_VALUE"""),"Yes")</f>
        <v>Yes</v>
      </c>
      <c r="AB154" s="5" t="str">
        <f>IFERROR(__xludf.DUMMYFUNCTION("""COMPUTED_VALUE"""),"Yes")</f>
        <v>Yes</v>
      </c>
      <c r="AC154" s="5" t="str">
        <f>IFERROR(__xludf.DUMMYFUNCTION("""COMPUTED_VALUE"""),"Yes")</f>
        <v>Yes</v>
      </c>
      <c r="AD154" s="5" t="str">
        <f>IFERROR(__xludf.DUMMYFUNCTION("""COMPUTED_VALUE"""),"Yes")</f>
        <v>Yes</v>
      </c>
      <c r="AE154" s="5" t="str">
        <f>IFERROR(__xludf.DUMMYFUNCTION("""COMPUTED_VALUE"""),"Yes")</f>
        <v>Yes</v>
      </c>
      <c r="AF154" s="5" t="str">
        <f>IFERROR(__xludf.DUMMYFUNCTION("""COMPUTED_VALUE"""),"Yes")</f>
        <v>Yes</v>
      </c>
      <c r="AG154" s="5" t="str">
        <f>IFERROR(__xludf.DUMMYFUNCTION("""COMPUTED_VALUE"""),"Yes")</f>
        <v>Yes</v>
      </c>
      <c r="AH154" s="5" t="str">
        <f>IFERROR(__xludf.DUMMYFUNCTION("""COMPUTED_VALUE"""),"Yes")</f>
        <v>Yes</v>
      </c>
      <c r="AI154" s="5" t="str">
        <f>IFERROR(__xludf.DUMMYFUNCTION("""COMPUTED_VALUE"""),"Yes")</f>
        <v>Yes</v>
      </c>
      <c r="AJ154" s="5" t="str">
        <f>IFERROR(__xludf.DUMMYFUNCTION("""COMPUTED_VALUE"""),"Yes")</f>
        <v>Yes</v>
      </c>
      <c r="AK154" s="5" t="str">
        <f>IFERROR(__xludf.DUMMYFUNCTION("""COMPUTED_VALUE"""),"Yes")</f>
        <v>Yes</v>
      </c>
      <c r="AL154" s="5" t="str">
        <f>IFERROR(__xludf.DUMMYFUNCTION("""COMPUTED_VALUE"""),"Yes")</f>
        <v>Yes</v>
      </c>
      <c r="AM154" s="5" t="str">
        <f>IFERROR(__xludf.DUMMYFUNCTION("""COMPUTED_VALUE"""),"Yes")</f>
        <v>Yes</v>
      </c>
      <c r="AN154" s="5" t="str">
        <f>IFERROR(__xludf.DUMMYFUNCTION("""COMPUTED_VALUE"""),"Yes")</f>
        <v>Yes</v>
      </c>
      <c r="AO154" s="5" t="str">
        <f>IFERROR(__xludf.DUMMYFUNCTION("""COMPUTED_VALUE"""),"Yes")</f>
        <v>Yes</v>
      </c>
      <c r="AP154" s="5" t="str">
        <f>IFERROR(__xludf.DUMMYFUNCTION("""COMPUTED_VALUE"""),"Yes")</f>
        <v>Yes</v>
      </c>
      <c r="AQ154" s="5" t="str">
        <f>IFERROR(__xludf.DUMMYFUNCTION("""COMPUTED_VALUE"""),"Yes")</f>
        <v>Yes</v>
      </c>
      <c r="AR154" s="5" t="str">
        <f>IFERROR(__xludf.DUMMYFUNCTION("""COMPUTED_VALUE"""),"Yes")</f>
        <v>Yes</v>
      </c>
      <c r="AS154" s="5" t="str">
        <f>IFERROR(__xludf.DUMMYFUNCTION("""COMPUTED_VALUE"""),"Yes")</f>
        <v>Yes</v>
      </c>
      <c r="AT154" s="5" t="str">
        <f>IFERROR(__xludf.DUMMYFUNCTION("""COMPUTED_VALUE"""),"No")</f>
        <v>No</v>
      </c>
      <c r="AU154" s="5"/>
      <c r="AV154" s="5" t="str">
        <f>IFERROR(__xludf.DUMMYFUNCTION("""COMPUTED_VALUE"""),"")</f>
        <v/>
      </c>
      <c r="AW154" s="5" t="str">
        <f>IFERROR(__xludf.DUMMYFUNCTION("""COMPUTED_VALUE"""),"")</f>
        <v/>
      </c>
      <c r="AX154" s="5" t="str">
        <f>IFERROR(__xludf.DUMMYFUNCTION("""COMPUTED_VALUE"""),"")</f>
        <v/>
      </c>
      <c r="AY154" s="5" t="str">
        <f>IFERROR(__xludf.DUMMYFUNCTION("""COMPUTED_VALUE"""),"")</f>
        <v/>
      </c>
      <c r="AZ154" s="5" t="str">
        <f>IFERROR(__xludf.DUMMYFUNCTION("""COMPUTED_VALUE"""),"")</f>
        <v/>
      </c>
      <c r="BA154" s="5" t="str">
        <f>IFERROR(__xludf.DUMMYFUNCTION("""COMPUTED_VALUE"""),"")</f>
        <v/>
      </c>
      <c r="BB154" s="5" t="str">
        <f>IFERROR(__xludf.DUMMYFUNCTION("""COMPUTED_VALUE"""),"")</f>
        <v/>
      </c>
      <c r="BC154" s="5" t="str">
        <f>IFERROR(__xludf.DUMMYFUNCTION("""COMPUTED_VALUE"""),"")</f>
        <v/>
      </c>
      <c r="BD154" s="5" t="str">
        <f>IFERROR(__xludf.DUMMYFUNCTION("""COMPUTED_VALUE"""),"")</f>
        <v/>
      </c>
      <c r="BE154" s="5" t="str">
        <f>IFERROR(__xludf.DUMMYFUNCTION("""COMPUTED_VALUE"""),"")</f>
        <v/>
      </c>
      <c r="BF154" s="5" t="str">
        <f>IFERROR(__xludf.DUMMYFUNCTION("""COMPUTED_VALUE"""),"")</f>
        <v/>
      </c>
      <c r="BG154" s="5" t="str">
        <f>IFERROR(__xludf.DUMMYFUNCTION("""COMPUTED_VALUE"""),"")</f>
        <v/>
      </c>
      <c r="BH154" s="5" t="str">
        <f>IFERROR(__xludf.DUMMYFUNCTION("""COMPUTED_VALUE"""),"")</f>
        <v/>
      </c>
      <c r="BI154" s="5" t="str">
        <f>IFERROR(__xludf.DUMMYFUNCTION("""COMPUTED_VALUE"""),"")</f>
        <v/>
      </c>
      <c r="BJ154" s="5" t="str">
        <f>IFERROR(__xludf.DUMMYFUNCTION("""COMPUTED_VALUE"""),"")</f>
        <v/>
      </c>
      <c r="BK154" s="5" t="str">
        <f>IFERROR(__xludf.DUMMYFUNCTION("""COMPUTED_VALUE"""),"")</f>
        <v/>
      </c>
      <c r="BL154" s="5" t="str">
        <f>IFERROR(__xludf.DUMMYFUNCTION("""COMPUTED_VALUE"""),"")</f>
        <v/>
      </c>
      <c r="BM154" s="5" t="str">
        <f>IFERROR(__xludf.DUMMYFUNCTION("""COMPUTED_VALUE"""),"")</f>
        <v/>
      </c>
    </row>
    <row r="155">
      <c r="A155" s="5" t="str">
        <f>IFERROR(__xludf.DUMMYFUNCTION("""COMPUTED_VALUE"""),"Fazi")</f>
        <v>Fazi</v>
      </c>
      <c r="B155" s="5" t="str">
        <f>IFERROR(__xludf.DUMMYFUNCTION("""COMPUTED_VALUE"""),"Wild 5")</f>
        <v>Wild 5</v>
      </c>
      <c r="C155" s="5" t="str">
        <f>IFERROR(__xludf.DUMMYFUNCTION("""COMPUTED_VALUE"""),"Wild5")</f>
        <v>Wild5</v>
      </c>
      <c r="D155" s="6">
        <f>IFERROR(__xludf.DUMMYFUNCTION("""COMPUTED_VALUE"""),45726.0)</f>
        <v>45726</v>
      </c>
      <c r="E155" s="5" t="str">
        <f>IFERROR(__xludf.DUMMYFUNCTION("""COMPUTED_VALUE"""),"Slot")</f>
        <v>Slot</v>
      </c>
      <c r="F155" s="5">
        <f>IFERROR(__xludf.DUMMYFUNCTION("""COMPUTED_VALUE"""),10.1)</f>
        <v>10.1</v>
      </c>
      <c r="G155" s="5" t="str">
        <f>IFERROR(__xludf.DUMMYFUNCTION("""COMPUTED_VALUE"""),"3x3")</f>
        <v>3x3</v>
      </c>
      <c r="H155" s="5">
        <f>IFERROR(__xludf.DUMMYFUNCTION("""COMPUTED_VALUE"""),5.0)</f>
        <v>5</v>
      </c>
      <c r="I155" s="5">
        <f>IFERROR(__xludf.DUMMYFUNCTION("""COMPUTED_VALUE"""),5.0)</f>
        <v>5</v>
      </c>
      <c r="J155" s="5" t="str">
        <f>IFERROR(__xludf.DUMMYFUNCTION("""COMPUTED_VALUE"""),"96.327%")</f>
        <v>96.327%</v>
      </c>
      <c r="K155" s="5" t="str">
        <f>IFERROR(__xludf.DUMMYFUNCTION("""COMPUTED_VALUE"""),"High")</f>
        <v>High</v>
      </c>
      <c r="L155" s="5" t="str">
        <f>IFERROR(__xludf.DUMMYFUNCTION("""COMPUTED_VALUE"""),"5.553%")</f>
        <v>5.553%</v>
      </c>
      <c r="M155" s="5" t="str">
        <f>IFERROR(__xludf.DUMMYFUNCTION("""COMPUTED_VALUE"""),"x100")</f>
        <v>x100</v>
      </c>
      <c r="N155" s="5" t="str">
        <f>IFERROR(__xludf.DUMMYFUNCTION("""COMPUTED_VALUE"""),"0.1/50")</f>
        <v>0.1/50</v>
      </c>
      <c r="O155" s="5" t="str">
        <f>IFERROR(__xludf.DUMMYFUNCTION("""COMPUTED_VALUE"""),"Yes")</f>
        <v>Yes</v>
      </c>
      <c r="P155" s="5" t="str">
        <f>IFERROR(__xludf.DUMMYFUNCTION("""COMPUTED_VALUE"""),"Win Multiplier, Win Multiplier")</f>
        <v>Win Multiplier, Win Multiplier</v>
      </c>
      <c r="Q155" s="7" t="str">
        <f>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R155" s="5" t="str">
        <f>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S1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5" s="5" t="str">
        <f>IFERROR(__xludf.DUMMYFUNCTION("""COMPUTED_VALUE"""),"Yes")</f>
        <v>Yes</v>
      </c>
      <c r="U155" s="5" t="str">
        <f>IFERROR(__xludf.DUMMYFUNCTION("""COMPUTED_VALUE"""),"Yes")</f>
        <v>Yes</v>
      </c>
      <c r="V155" s="5" t="str">
        <f>IFERROR(__xludf.DUMMYFUNCTION("""COMPUTED_VALUE"""),"Yes")</f>
        <v>Yes</v>
      </c>
      <c r="W155" s="5" t="str">
        <f>IFERROR(__xludf.DUMMYFUNCTION("""COMPUTED_VALUE"""),"Yes")</f>
        <v>Yes</v>
      </c>
      <c r="X155" s="5" t="str">
        <f>IFERROR(__xludf.DUMMYFUNCTION("""COMPUTED_VALUE"""),"Yes")</f>
        <v>Yes</v>
      </c>
      <c r="Y155" s="5" t="str">
        <f>IFERROR(__xludf.DUMMYFUNCTION("""COMPUTED_VALUE"""),"Yes")</f>
        <v>Yes</v>
      </c>
      <c r="Z155" s="5" t="str">
        <f>IFERROR(__xludf.DUMMYFUNCTION("""COMPUTED_VALUE"""),"Yes")</f>
        <v>Yes</v>
      </c>
      <c r="AA155" s="5" t="str">
        <f>IFERROR(__xludf.DUMMYFUNCTION("""COMPUTED_VALUE"""),"Yes")</f>
        <v>Yes</v>
      </c>
      <c r="AB155" s="5" t="str">
        <f>IFERROR(__xludf.DUMMYFUNCTION("""COMPUTED_VALUE"""),"Yes")</f>
        <v>Yes</v>
      </c>
      <c r="AC155" s="5" t="str">
        <f>IFERROR(__xludf.DUMMYFUNCTION("""COMPUTED_VALUE"""),"Yes")</f>
        <v>Yes</v>
      </c>
      <c r="AD155" s="5" t="str">
        <f>IFERROR(__xludf.DUMMYFUNCTION("""COMPUTED_VALUE"""),"Yes")</f>
        <v>Yes</v>
      </c>
      <c r="AE155" s="5" t="str">
        <f>IFERROR(__xludf.DUMMYFUNCTION("""COMPUTED_VALUE"""),"Yes")</f>
        <v>Yes</v>
      </c>
      <c r="AF155" s="5" t="str">
        <f>IFERROR(__xludf.DUMMYFUNCTION("""COMPUTED_VALUE"""),"Yes")</f>
        <v>Yes</v>
      </c>
      <c r="AG155" s="5" t="str">
        <f>IFERROR(__xludf.DUMMYFUNCTION("""COMPUTED_VALUE"""),"Yes")</f>
        <v>Yes</v>
      </c>
      <c r="AH155" s="5" t="str">
        <f>IFERROR(__xludf.DUMMYFUNCTION("""COMPUTED_VALUE"""),"Yes")</f>
        <v>Yes</v>
      </c>
      <c r="AI155" s="5" t="str">
        <f>IFERROR(__xludf.DUMMYFUNCTION("""COMPUTED_VALUE"""),"Yes")</f>
        <v>Yes</v>
      </c>
      <c r="AJ155" s="5" t="str">
        <f>IFERROR(__xludf.DUMMYFUNCTION("""COMPUTED_VALUE"""),"Yes")</f>
        <v>Yes</v>
      </c>
      <c r="AK155" s="5" t="str">
        <f>IFERROR(__xludf.DUMMYFUNCTION("""COMPUTED_VALUE"""),"Yes")</f>
        <v>Yes</v>
      </c>
      <c r="AL155" s="5" t="str">
        <f>IFERROR(__xludf.DUMMYFUNCTION("""COMPUTED_VALUE"""),"Yes")</f>
        <v>Yes</v>
      </c>
      <c r="AM155" s="5" t="str">
        <f>IFERROR(__xludf.DUMMYFUNCTION("""COMPUTED_VALUE"""),"Yes")</f>
        <v>Yes</v>
      </c>
      <c r="AN155" s="5" t="str">
        <f>IFERROR(__xludf.DUMMYFUNCTION("""COMPUTED_VALUE"""),"Yes")</f>
        <v>Yes</v>
      </c>
      <c r="AO155" s="5" t="str">
        <f>IFERROR(__xludf.DUMMYFUNCTION("""COMPUTED_VALUE"""),"Yes")</f>
        <v>Yes</v>
      </c>
      <c r="AP155" s="5" t="str">
        <f>IFERROR(__xludf.DUMMYFUNCTION("""COMPUTED_VALUE"""),"Yes")</f>
        <v>Yes</v>
      </c>
      <c r="AQ155" s="5" t="str">
        <f>IFERROR(__xludf.DUMMYFUNCTION("""COMPUTED_VALUE"""),"Yes")</f>
        <v>Yes</v>
      </c>
      <c r="AR155" s="5" t="str">
        <f>IFERROR(__xludf.DUMMYFUNCTION("""COMPUTED_VALUE"""),"Yes")</f>
        <v>Yes</v>
      </c>
      <c r="AS155" s="5" t="str">
        <f>IFERROR(__xludf.DUMMYFUNCTION("""COMPUTED_VALUE"""),"Yes")</f>
        <v>Yes</v>
      </c>
      <c r="AT155" s="5" t="str">
        <f>IFERROR(__xludf.DUMMYFUNCTION("""COMPUTED_VALUE"""),"No")</f>
        <v>No</v>
      </c>
      <c r="AU155" s="5"/>
      <c r="AV155" s="5" t="str">
        <f>IFERROR(__xludf.DUMMYFUNCTION("""COMPUTED_VALUE"""),"")</f>
        <v/>
      </c>
      <c r="AW155" s="5" t="str">
        <f>IFERROR(__xludf.DUMMYFUNCTION("""COMPUTED_VALUE"""),"")</f>
        <v/>
      </c>
      <c r="AX155" s="5" t="str">
        <f>IFERROR(__xludf.DUMMYFUNCTION("""COMPUTED_VALUE"""),"")</f>
        <v/>
      </c>
      <c r="AY155" s="5" t="str">
        <f>IFERROR(__xludf.DUMMYFUNCTION("""COMPUTED_VALUE"""),"")</f>
        <v/>
      </c>
      <c r="AZ155" s="5" t="str">
        <f>IFERROR(__xludf.DUMMYFUNCTION("""COMPUTED_VALUE"""),"")</f>
        <v/>
      </c>
      <c r="BA155" s="5" t="str">
        <f>IFERROR(__xludf.DUMMYFUNCTION("""COMPUTED_VALUE"""),"")</f>
        <v/>
      </c>
      <c r="BB155" s="5" t="str">
        <f>IFERROR(__xludf.DUMMYFUNCTION("""COMPUTED_VALUE"""),"")</f>
        <v/>
      </c>
      <c r="BC155" s="5" t="str">
        <f>IFERROR(__xludf.DUMMYFUNCTION("""COMPUTED_VALUE"""),"")</f>
        <v/>
      </c>
      <c r="BD155" s="5" t="str">
        <f>IFERROR(__xludf.DUMMYFUNCTION("""COMPUTED_VALUE"""),"")</f>
        <v/>
      </c>
      <c r="BE155" s="5" t="str">
        <f>IFERROR(__xludf.DUMMYFUNCTION("""COMPUTED_VALUE"""),"")</f>
        <v/>
      </c>
      <c r="BF155" s="5" t="str">
        <f>IFERROR(__xludf.DUMMYFUNCTION("""COMPUTED_VALUE"""),"")</f>
        <v/>
      </c>
      <c r="BG155" s="5" t="str">
        <f>IFERROR(__xludf.DUMMYFUNCTION("""COMPUTED_VALUE"""),"")</f>
        <v/>
      </c>
      <c r="BH155" s="5" t="str">
        <f>IFERROR(__xludf.DUMMYFUNCTION("""COMPUTED_VALUE"""),"")</f>
        <v/>
      </c>
      <c r="BI155" s="5" t="str">
        <f>IFERROR(__xludf.DUMMYFUNCTION("""COMPUTED_VALUE"""),"")</f>
        <v/>
      </c>
      <c r="BJ155" s="5" t="str">
        <f>IFERROR(__xludf.DUMMYFUNCTION("""COMPUTED_VALUE"""),"")</f>
        <v/>
      </c>
      <c r="BK155" s="5" t="str">
        <f>IFERROR(__xludf.DUMMYFUNCTION("""COMPUTED_VALUE"""),"")</f>
        <v/>
      </c>
      <c r="BL155" s="5" t="str">
        <f>IFERROR(__xludf.DUMMYFUNCTION("""COMPUTED_VALUE"""),"")</f>
        <v/>
      </c>
      <c r="BM155" s="5" t="str">
        <f>IFERROR(__xludf.DUMMYFUNCTION("""COMPUTED_VALUE"""),"")</f>
        <v/>
      </c>
    </row>
    <row r="156">
      <c r="A156" s="5" t="str">
        <f>IFERROR(__xludf.DUMMYFUNCTION("""COMPUTED_VALUE"""),"Fazi")</f>
        <v>Fazi</v>
      </c>
      <c r="B156" s="5" t="str">
        <f>IFERROR(__xludf.DUMMYFUNCTION("""COMPUTED_VALUE"""),"Brilliant Heart")</f>
        <v>Brilliant Heart</v>
      </c>
      <c r="C156" s="5" t="str">
        <f>IFERROR(__xludf.DUMMYFUNCTION("""COMPUTED_VALUE"""),"BrilliantHeart")</f>
        <v>BrilliantHeart</v>
      </c>
      <c r="D156" s="6">
        <f>IFERROR(__xludf.DUMMYFUNCTION("""COMPUTED_VALUE"""),45736.0)</f>
        <v>45736</v>
      </c>
      <c r="E156" s="5" t="str">
        <f>IFERROR(__xludf.DUMMYFUNCTION("""COMPUTED_VALUE"""),"Slot")</f>
        <v>Slot</v>
      </c>
      <c r="F156" s="5">
        <f>IFERROR(__xludf.DUMMYFUNCTION("""COMPUTED_VALUE"""),24.6)</f>
        <v>24.6</v>
      </c>
      <c r="G156" s="5" t="str">
        <f>IFERROR(__xludf.DUMMYFUNCTION("""COMPUTED_VALUE"""),"5x4")</f>
        <v>5x4</v>
      </c>
      <c r="H156" s="5">
        <f>IFERROR(__xludf.DUMMYFUNCTION("""COMPUTED_VALUE"""),40.0)</f>
        <v>40</v>
      </c>
      <c r="I156" s="5">
        <f>IFERROR(__xludf.DUMMYFUNCTION("""COMPUTED_VALUE"""),40.0)</f>
        <v>40</v>
      </c>
      <c r="J156" s="5" t="str">
        <f>IFERROR(__xludf.DUMMYFUNCTION("""COMPUTED_VALUE"""),"96.483%")</f>
        <v>96.483%</v>
      </c>
      <c r="K156" s="5" t="str">
        <f>IFERROR(__xludf.DUMMYFUNCTION("""COMPUTED_VALUE"""),"High")</f>
        <v>High</v>
      </c>
      <c r="L156" s="5" t="str">
        <f>IFERROR(__xludf.DUMMYFUNCTION("""COMPUTED_VALUE"""),"12.5%")</f>
        <v>12.5%</v>
      </c>
      <c r="M156" s="5" t="str">
        <f>IFERROR(__xludf.DUMMYFUNCTION("""COMPUTED_VALUE"""),"x5000")</f>
        <v>x5000</v>
      </c>
      <c r="N156" s="5" t="str">
        <f>IFERROR(__xludf.DUMMYFUNCTION("""COMPUTED_VALUE"""),"0.4/60")</f>
        <v>0.4/60</v>
      </c>
      <c r="O156" s="5" t="str">
        <f>IFERROR(__xludf.DUMMYFUNCTION("""COMPUTED_VALUE"""),"Yes")</f>
        <v>Yes</v>
      </c>
      <c r="P156" s="5" t="str">
        <f>IFERROR(__xludf.DUMMYFUNCTION("""COMPUTED_VALUE"""),"Expanding Wild")</f>
        <v>Expanding Wild</v>
      </c>
      <c r="Q156" s="7" t="str">
        <f>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R156" s="5" t="str">
        <f>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S1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6" s="5" t="str">
        <f>IFERROR(__xludf.DUMMYFUNCTION("""COMPUTED_VALUE"""),"Yes")</f>
        <v>Yes</v>
      </c>
      <c r="U156" s="5" t="str">
        <f>IFERROR(__xludf.DUMMYFUNCTION("""COMPUTED_VALUE"""),"Yes")</f>
        <v>Yes</v>
      </c>
      <c r="V156" s="5" t="str">
        <f>IFERROR(__xludf.DUMMYFUNCTION("""COMPUTED_VALUE"""),"Yes")</f>
        <v>Yes</v>
      </c>
      <c r="W156" s="5" t="str">
        <f>IFERROR(__xludf.DUMMYFUNCTION("""COMPUTED_VALUE"""),"Yes")</f>
        <v>Yes</v>
      </c>
      <c r="X156" s="5" t="str">
        <f>IFERROR(__xludf.DUMMYFUNCTION("""COMPUTED_VALUE"""),"Yes")</f>
        <v>Yes</v>
      </c>
      <c r="Y156" s="5" t="str">
        <f>IFERROR(__xludf.DUMMYFUNCTION("""COMPUTED_VALUE"""),"Yes")</f>
        <v>Yes</v>
      </c>
      <c r="Z156" s="5" t="str">
        <f>IFERROR(__xludf.DUMMYFUNCTION("""COMPUTED_VALUE"""),"Yes")</f>
        <v>Yes</v>
      </c>
      <c r="AA156" s="5" t="str">
        <f>IFERROR(__xludf.DUMMYFUNCTION("""COMPUTED_VALUE"""),"Yes")</f>
        <v>Yes</v>
      </c>
      <c r="AB156" s="5" t="str">
        <f>IFERROR(__xludf.DUMMYFUNCTION("""COMPUTED_VALUE"""),"Yes")</f>
        <v>Yes</v>
      </c>
      <c r="AC156" s="5" t="str">
        <f>IFERROR(__xludf.DUMMYFUNCTION("""COMPUTED_VALUE"""),"Yes")</f>
        <v>Yes</v>
      </c>
      <c r="AD156" s="5" t="str">
        <f>IFERROR(__xludf.DUMMYFUNCTION("""COMPUTED_VALUE"""),"Yes")</f>
        <v>Yes</v>
      </c>
      <c r="AE156" s="5" t="str">
        <f>IFERROR(__xludf.DUMMYFUNCTION("""COMPUTED_VALUE"""),"Yes")</f>
        <v>Yes</v>
      </c>
      <c r="AF156" s="5" t="str">
        <f>IFERROR(__xludf.DUMMYFUNCTION("""COMPUTED_VALUE"""),"Yes")</f>
        <v>Yes</v>
      </c>
      <c r="AG156" s="5" t="str">
        <f>IFERROR(__xludf.DUMMYFUNCTION("""COMPUTED_VALUE"""),"Yes")</f>
        <v>Yes</v>
      </c>
      <c r="AH156" s="5" t="str">
        <f>IFERROR(__xludf.DUMMYFUNCTION("""COMPUTED_VALUE"""),"Yes")</f>
        <v>Yes</v>
      </c>
      <c r="AI156" s="5" t="str">
        <f>IFERROR(__xludf.DUMMYFUNCTION("""COMPUTED_VALUE"""),"Yes")</f>
        <v>Yes</v>
      </c>
      <c r="AJ156" s="5" t="str">
        <f>IFERROR(__xludf.DUMMYFUNCTION("""COMPUTED_VALUE"""),"Yes")</f>
        <v>Yes</v>
      </c>
      <c r="AK156" s="5" t="str">
        <f>IFERROR(__xludf.DUMMYFUNCTION("""COMPUTED_VALUE"""),"Yes")</f>
        <v>Yes</v>
      </c>
      <c r="AL156" s="5" t="str">
        <f>IFERROR(__xludf.DUMMYFUNCTION("""COMPUTED_VALUE"""),"Yes")</f>
        <v>Yes</v>
      </c>
      <c r="AM156" s="5" t="str">
        <f>IFERROR(__xludf.DUMMYFUNCTION("""COMPUTED_VALUE"""),"Yes")</f>
        <v>Yes</v>
      </c>
      <c r="AN156" s="5" t="str">
        <f>IFERROR(__xludf.DUMMYFUNCTION("""COMPUTED_VALUE"""),"Yes")</f>
        <v>Yes</v>
      </c>
      <c r="AO156" s="5" t="str">
        <f>IFERROR(__xludf.DUMMYFUNCTION("""COMPUTED_VALUE"""),"Yes")</f>
        <v>Yes</v>
      </c>
      <c r="AP156" s="5" t="str">
        <f>IFERROR(__xludf.DUMMYFUNCTION("""COMPUTED_VALUE"""),"Yes")</f>
        <v>Yes</v>
      </c>
      <c r="AQ156" s="5" t="str">
        <f>IFERROR(__xludf.DUMMYFUNCTION("""COMPUTED_VALUE"""),"Yes")</f>
        <v>Yes</v>
      </c>
      <c r="AR156" s="5" t="str">
        <f>IFERROR(__xludf.DUMMYFUNCTION("""COMPUTED_VALUE"""),"Yes")</f>
        <v>Yes</v>
      </c>
      <c r="AS156" s="5" t="str">
        <f>IFERROR(__xludf.DUMMYFUNCTION("""COMPUTED_VALUE"""),"Yes")</f>
        <v>Yes</v>
      </c>
      <c r="AT156" s="5" t="str">
        <f>IFERROR(__xludf.DUMMYFUNCTION("""COMPUTED_VALUE"""),"No")</f>
        <v>No</v>
      </c>
      <c r="AU156" s="5"/>
      <c r="AV156" s="5" t="str">
        <f>IFERROR(__xludf.DUMMYFUNCTION("""COMPUTED_VALUE"""),"")</f>
        <v/>
      </c>
      <c r="AW156" s="5" t="str">
        <f>IFERROR(__xludf.DUMMYFUNCTION("""COMPUTED_VALUE"""),"")</f>
        <v/>
      </c>
      <c r="AX156" s="5" t="str">
        <f>IFERROR(__xludf.DUMMYFUNCTION("""COMPUTED_VALUE"""),"")</f>
        <v/>
      </c>
      <c r="AY156" s="5" t="str">
        <f>IFERROR(__xludf.DUMMYFUNCTION("""COMPUTED_VALUE"""),"")</f>
        <v/>
      </c>
      <c r="AZ156" s="5" t="str">
        <f>IFERROR(__xludf.DUMMYFUNCTION("""COMPUTED_VALUE"""),"")</f>
        <v/>
      </c>
      <c r="BA156" s="5" t="str">
        <f>IFERROR(__xludf.DUMMYFUNCTION("""COMPUTED_VALUE"""),"")</f>
        <v/>
      </c>
      <c r="BB156" s="5" t="str">
        <f>IFERROR(__xludf.DUMMYFUNCTION("""COMPUTED_VALUE"""),"")</f>
        <v/>
      </c>
      <c r="BC156" s="5" t="str">
        <f>IFERROR(__xludf.DUMMYFUNCTION("""COMPUTED_VALUE"""),"")</f>
        <v/>
      </c>
      <c r="BD156" s="5" t="str">
        <f>IFERROR(__xludf.DUMMYFUNCTION("""COMPUTED_VALUE"""),"")</f>
        <v/>
      </c>
      <c r="BE156" s="5" t="str">
        <f>IFERROR(__xludf.DUMMYFUNCTION("""COMPUTED_VALUE"""),"")</f>
        <v/>
      </c>
      <c r="BF156" s="5" t="str">
        <f>IFERROR(__xludf.DUMMYFUNCTION("""COMPUTED_VALUE"""),"")</f>
        <v/>
      </c>
      <c r="BG156" s="5" t="str">
        <f>IFERROR(__xludf.DUMMYFUNCTION("""COMPUTED_VALUE"""),"")</f>
        <v/>
      </c>
      <c r="BH156" s="5" t="str">
        <f>IFERROR(__xludf.DUMMYFUNCTION("""COMPUTED_VALUE"""),"")</f>
        <v/>
      </c>
      <c r="BI156" s="5" t="str">
        <f>IFERROR(__xludf.DUMMYFUNCTION("""COMPUTED_VALUE"""),"")</f>
        <v/>
      </c>
      <c r="BJ156" s="5" t="str">
        <f>IFERROR(__xludf.DUMMYFUNCTION("""COMPUTED_VALUE"""),"")</f>
        <v/>
      </c>
      <c r="BK156" s="5" t="str">
        <f>IFERROR(__xludf.DUMMYFUNCTION("""COMPUTED_VALUE"""),"")</f>
        <v/>
      </c>
      <c r="BL156" s="5" t="str">
        <f>IFERROR(__xludf.DUMMYFUNCTION("""COMPUTED_VALUE"""),"")</f>
        <v/>
      </c>
      <c r="BM156" s="5" t="str">
        <f>IFERROR(__xludf.DUMMYFUNCTION("""COMPUTED_VALUE"""),"")</f>
        <v/>
      </c>
    </row>
    <row r="157">
      <c r="A157" s="5" t="str">
        <f>IFERROR(__xludf.DUMMYFUNCTION("""COMPUTED_VALUE"""),"Fazi")</f>
        <v>Fazi</v>
      </c>
      <c r="B157" s="5" t="str">
        <f>IFERROR(__xludf.DUMMYFUNCTION("""COMPUTED_VALUE"""),"Lucky Sheriff")</f>
        <v>Lucky Sheriff</v>
      </c>
      <c r="C157" s="5" t="str">
        <f>IFERROR(__xludf.DUMMYFUNCTION("""COMPUTED_VALUE"""),"LuckySheriff")</f>
        <v>LuckySheriff</v>
      </c>
      <c r="D157" s="6">
        <f>IFERROR(__xludf.DUMMYFUNCTION("""COMPUTED_VALUE"""),45960.0)</f>
        <v>45960</v>
      </c>
      <c r="E157" s="5" t="str">
        <f>IFERROR(__xludf.DUMMYFUNCTION("""COMPUTED_VALUE"""),"Slot")</f>
        <v>Slot</v>
      </c>
      <c r="F157" s="5">
        <f>IFERROR(__xludf.DUMMYFUNCTION("""COMPUTED_VALUE"""),23.75)</f>
        <v>23.75</v>
      </c>
      <c r="G157" s="5" t="str">
        <f>IFERROR(__xludf.DUMMYFUNCTION("""COMPUTED_VALUE"""),"5x3")</f>
        <v>5x3</v>
      </c>
      <c r="H157" s="5">
        <f>IFERROR(__xludf.DUMMYFUNCTION("""COMPUTED_VALUE"""),25.0)</f>
        <v>25</v>
      </c>
      <c r="I157" s="5">
        <f>IFERROR(__xludf.DUMMYFUNCTION("""COMPUTED_VALUE"""),25.0)</f>
        <v>25</v>
      </c>
      <c r="J157" s="5" t="str">
        <f>IFERROR(__xludf.DUMMYFUNCTION("""COMPUTED_VALUE"""),"96.556%")</f>
        <v>96.556%</v>
      </c>
      <c r="K157" s="5" t="str">
        <f>IFERROR(__xludf.DUMMYFUNCTION("""COMPUTED_VALUE"""),"High")</f>
        <v>High</v>
      </c>
      <c r="L157" s="5" t="str">
        <f>IFERROR(__xludf.DUMMYFUNCTION("""COMPUTED_VALUE"""),"43.091%")</f>
        <v>43.091%</v>
      </c>
      <c r="M157" s="5" t="str">
        <f>IFERROR(__xludf.DUMMYFUNCTION("""COMPUTED_VALUE"""),"x1590")</f>
        <v>x1590</v>
      </c>
      <c r="N157" s="5" t="str">
        <f>IFERROR(__xludf.DUMMYFUNCTION("""COMPUTED_VALUE"""),"0.25/50")</f>
        <v>0.25/50</v>
      </c>
      <c r="O157" s="5" t="str">
        <f>IFERROR(__xludf.DUMMYFUNCTION("""COMPUTED_VALUE"""),"No")</f>
        <v>No</v>
      </c>
      <c r="P157" s="5" t="str">
        <f>IFERROR(__xludf.DUMMYFUNCTION("""COMPUTED_VALUE"""),"Wild Symbol, Respin, Bonus Game with Free Spins, Buy Bonus")</f>
        <v>Wild Symbol, Respin, Bonus Game with Free Spins, Buy Bonus</v>
      </c>
      <c r="Q157" s="7" t="str">
        <f>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R157" s="5" t="str">
        <f>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S1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7" s="5" t="str">
        <f>IFERROR(__xludf.DUMMYFUNCTION("""COMPUTED_VALUE"""),"Yes")</f>
        <v>Yes</v>
      </c>
      <c r="U157" s="5" t="str">
        <f>IFERROR(__xludf.DUMMYFUNCTION("""COMPUTED_VALUE"""),"Yes")</f>
        <v>Yes</v>
      </c>
      <c r="V157" s="5" t="str">
        <f>IFERROR(__xludf.DUMMYFUNCTION("""COMPUTED_VALUE"""),"Yes")</f>
        <v>Yes</v>
      </c>
      <c r="W157" s="5" t="str">
        <f>IFERROR(__xludf.DUMMYFUNCTION("""COMPUTED_VALUE"""),"Yes")</f>
        <v>Yes</v>
      </c>
      <c r="X157" s="5" t="str">
        <f>IFERROR(__xludf.DUMMYFUNCTION("""COMPUTED_VALUE"""),"Yes")</f>
        <v>Yes</v>
      </c>
      <c r="Y157" s="5" t="str">
        <f>IFERROR(__xludf.DUMMYFUNCTION("""COMPUTED_VALUE"""),"Yes")</f>
        <v>Yes</v>
      </c>
      <c r="Z157" s="5" t="str">
        <f>IFERROR(__xludf.DUMMYFUNCTION("""COMPUTED_VALUE"""),"Yes")</f>
        <v>Yes</v>
      </c>
      <c r="AA157" s="5" t="str">
        <f>IFERROR(__xludf.DUMMYFUNCTION("""COMPUTED_VALUE"""),"Yes")</f>
        <v>Yes</v>
      </c>
      <c r="AB157" s="5" t="str">
        <f>IFERROR(__xludf.DUMMYFUNCTION("""COMPUTED_VALUE"""),"Yes")</f>
        <v>Yes</v>
      </c>
      <c r="AC157" s="5" t="str">
        <f>IFERROR(__xludf.DUMMYFUNCTION("""COMPUTED_VALUE"""),"Yes")</f>
        <v>Yes</v>
      </c>
      <c r="AD157" s="5" t="str">
        <f>IFERROR(__xludf.DUMMYFUNCTION("""COMPUTED_VALUE"""),"Yes")</f>
        <v>Yes</v>
      </c>
      <c r="AE157" s="5" t="str">
        <f>IFERROR(__xludf.DUMMYFUNCTION("""COMPUTED_VALUE"""),"Yes")</f>
        <v>Yes</v>
      </c>
      <c r="AF157" s="5" t="str">
        <f>IFERROR(__xludf.DUMMYFUNCTION("""COMPUTED_VALUE"""),"Yes")</f>
        <v>Yes</v>
      </c>
      <c r="AG157" s="5" t="str">
        <f>IFERROR(__xludf.DUMMYFUNCTION("""COMPUTED_VALUE"""),"Yes")</f>
        <v>Yes</v>
      </c>
      <c r="AH157" s="5" t="str">
        <f>IFERROR(__xludf.DUMMYFUNCTION("""COMPUTED_VALUE"""),"Yes")</f>
        <v>Yes</v>
      </c>
      <c r="AI157" s="5" t="str">
        <f>IFERROR(__xludf.DUMMYFUNCTION("""COMPUTED_VALUE"""),"Yes")</f>
        <v>Yes</v>
      </c>
      <c r="AJ157" s="5" t="str">
        <f>IFERROR(__xludf.DUMMYFUNCTION("""COMPUTED_VALUE"""),"Yes")</f>
        <v>Yes</v>
      </c>
      <c r="AK157" s="5" t="str">
        <f>IFERROR(__xludf.DUMMYFUNCTION("""COMPUTED_VALUE"""),"Yes")</f>
        <v>Yes</v>
      </c>
      <c r="AL157" s="5" t="str">
        <f>IFERROR(__xludf.DUMMYFUNCTION("""COMPUTED_VALUE"""),"Yes")</f>
        <v>Yes</v>
      </c>
      <c r="AM157" s="5" t="str">
        <f>IFERROR(__xludf.DUMMYFUNCTION("""COMPUTED_VALUE"""),"Yes")</f>
        <v>Yes</v>
      </c>
      <c r="AN157" s="5" t="str">
        <f>IFERROR(__xludf.DUMMYFUNCTION("""COMPUTED_VALUE"""),"Yes")</f>
        <v>Yes</v>
      </c>
      <c r="AO157" s="5" t="str">
        <f>IFERROR(__xludf.DUMMYFUNCTION("""COMPUTED_VALUE"""),"Yes")</f>
        <v>Yes</v>
      </c>
      <c r="AP157" s="5" t="str">
        <f>IFERROR(__xludf.DUMMYFUNCTION("""COMPUTED_VALUE"""),"Yes")</f>
        <v>Yes</v>
      </c>
      <c r="AQ157" s="5" t="str">
        <f>IFERROR(__xludf.DUMMYFUNCTION("""COMPUTED_VALUE"""),"Yes")</f>
        <v>Yes</v>
      </c>
      <c r="AR157" s="5" t="str">
        <f>IFERROR(__xludf.DUMMYFUNCTION("""COMPUTED_VALUE"""),"Yes")</f>
        <v>Yes</v>
      </c>
      <c r="AS157" s="5" t="str">
        <f>IFERROR(__xludf.DUMMYFUNCTION("""COMPUTED_VALUE"""),"Yes")</f>
        <v>Yes</v>
      </c>
      <c r="AT157" s="5" t="str">
        <f>IFERROR(__xludf.DUMMYFUNCTION("""COMPUTED_VALUE"""),"No")</f>
        <v>No</v>
      </c>
      <c r="AU157" s="5"/>
      <c r="AV157" s="5" t="str">
        <f>IFERROR(__xludf.DUMMYFUNCTION("""COMPUTED_VALUE"""),"")</f>
        <v/>
      </c>
      <c r="AW157" s="5" t="str">
        <f>IFERROR(__xludf.DUMMYFUNCTION("""COMPUTED_VALUE"""),"")</f>
        <v/>
      </c>
      <c r="AX157" s="5" t="str">
        <f>IFERROR(__xludf.DUMMYFUNCTION("""COMPUTED_VALUE"""),"")</f>
        <v/>
      </c>
      <c r="AY157" s="5" t="str">
        <f>IFERROR(__xludf.DUMMYFUNCTION("""COMPUTED_VALUE"""),"")</f>
        <v/>
      </c>
      <c r="AZ157" s="5" t="str">
        <f>IFERROR(__xludf.DUMMYFUNCTION("""COMPUTED_VALUE"""),"")</f>
        <v/>
      </c>
      <c r="BA157" s="5" t="str">
        <f>IFERROR(__xludf.DUMMYFUNCTION("""COMPUTED_VALUE"""),"")</f>
        <v/>
      </c>
      <c r="BB157" s="5" t="str">
        <f>IFERROR(__xludf.DUMMYFUNCTION("""COMPUTED_VALUE"""),"")</f>
        <v/>
      </c>
      <c r="BC157" s="5" t="str">
        <f>IFERROR(__xludf.DUMMYFUNCTION("""COMPUTED_VALUE"""),"")</f>
        <v/>
      </c>
      <c r="BD157" s="5" t="str">
        <f>IFERROR(__xludf.DUMMYFUNCTION("""COMPUTED_VALUE"""),"")</f>
        <v/>
      </c>
      <c r="BE157" s="5" t="str">
        <f>IFERROR(__xludf.DUMMYFUNCTION("""COMPUTED_VALUE"""),"")</f>
        <v/>
      </c>
      <c r="BF157" s="5" t="str">
        <f>IFERROR(__xludf.DUMMYFUNCTION("""COMPUTED_VALUE"""),"")</f>
        <v/>
      </c>
      <c r="BG157" s="5" t="str">
        <f>IFERROR(__xludf.DUMMYFUNCTION("""COMPUTED_VALUE"""),"")</f>
        <v/>
      </c>
      <c r="BH157" s="5" t="str">
        <f>IFERROR(__xludf.DUMMYFUNCTION("""COMPUTED_VALUE"""),"")</f>
        <v/>
      </c>
      <c r="BI157" s="5" t="str">
        <f>IFERROR(__xludf.DUMMYFUNCTION("""COMPUTED_VALUE"""),"")</f>
        <v/>
      </c>
      <c r="BJ157" s="5" t="str">
        <f>IFERROR(__xludf.DUMMYFUNCTION("""COMPUTED_VALUE"""),"")</f>
        <v/>
      </c>
      <c r="BK157" s="5" t="str">
        <f>IFERROR(__xludf.DUMMYFUNCTION("""COMPUTED_VALUE"""),"")</f>
        <v/>
      </c>
      <c r="BL157" s="5" t="str">
        <f>IFERROR(__xludf.DUMMYFUNCTION("""COMPUTED_VALUE"""),"")</f>
        <v/>
      </c>
      <c r="BM157" s="5" t="str">
        <f>IFERROR(__xludf.DUMMYFUNCTION("""COMPUTED_VALUE"""),"")</f>
        <v/>
      </c>
    </row>
    <row r="158">
      <c r="A158" s="5" t="str">
        <f>IFERROR(__xludf.DUMMYFUNCTION("""COMPUTED_VALUE"""),"Fazi")</f>
        <v>Fazi</v>
      </c>
      <c r="B158" s="5" t="str">
        <f>IFERROR(__xludf.DUMMYFUNCTION("""COMPUTED_VALUE"""),"Coin Splash")</f>
        <v>Coin Splash</v>
      </c>
      <c r="C158" s="5" t="str">
        <f>IFERROR(__xludf.DUMMYFUNCTION("""COMPUTED_VALUE"""),"CoinSplash")</f>
        <v>CoinSplash</v>
      </c>
      <c r="D158" s="6">
        <f>IFERROR(__xludf.DUMMYFUNCTION("""COMPUTED_VALUE"""),45783.0)</f>
        <v>45783</v>
      </c>
      <c r="E158" s="5" t="str">
        <f>IFERROR(__xludf.DUMMYFUNCTION("""COMPUTED_VALUE"""),"Slot")</f>
        <v>Slot</v>
      </c>
      <c r="F158" s="5">
        <f>IFERROR(__xludf.DUMMYFUNCTION("""COMPUTED_VALUE"""),14.0)</f>
        <v>14</v>
      </c>
      <c r="G158" s="5" t="str">
        <f>IFERROR(__xludf.DUMMYFUNCTION("""COMPUTED_VALUE"""),"5x4")</f>
        <v>5x4</v>
      </c>
      <c r="H158" s="5">
        <f>IFERROR(__xludf.DUMMYFUNCTION("""COMPUTED_VALUE"""),40.0)</f>
        <v>40</v>
      </c>
      <c r="I158" s="5">
        <f>IFERROR(__xludf.DUMMYFUNCTION("""COMPUTED_VALUE"""),40.0)</f>
        <v>40</v>
      </c>
      <c r="J158" s="5" t="str">
        <f>IFERROR(__xludf.DUMMYFUNCTION("""COMPUTED_VALUE"""),"96.594%")</f>
        <v>96.594%</v>
      </c>
      <c r="K158" s="5" t="str">
        <f>IFERROR(__xludf.DUMMYFUNCTION("""COMPUTED_VALUE"""),"Medium")</f>
        <v>Medium</v>
      </c>
      <c r="L158" s="5" t="str">
        <f>IFERROR(__xludf.DUMMYFUNCTION("""COMPUTED_VALUE"""),"12.056%")</f>
        <v>12.056%</v>
      </c>
      <c r="M158" s="5" t="str">
        <f>IFERROR(__xludf.DUMMYFUNCTION("""COMPUTED_VALUE"""),"x750")</f>
        <v>x750</v>
      </c>
      <c r="N158" s="5" t="str">
        <f>IFERROR(__xludf.DUMMYFUNCTION("""COMPUTED_VALUE"""),"0.04/60")</f>
        <v>0.04/60</v>
      </c>
      <c r="O158" s="5" t="str">
        <f>IFERROR(__xludf.DUMMYFUNCTION("""COMPUTED_VALUE"""),"Yes")</f>
        <v>Yes</v>
      </c>
      <c r="P158" s="5" t="str">
        <f>IFERROR(__xludf.DUMMYFUNCTION("""COMPUTED_VALUE"""),"Exploding Wild")</f>
        <v>Exploding Wild</v>
      </c>
      <c r="Q158" s="7" t="str">
        <f>IFERROR(__xludf.DUMMYFUNCTION("""COMPUTED_VALUE"""),"https://gameserver-store-msstg.fazi.rs/Home/IntegrationGameLaunch/fazi-stg16?moneyType=0&amp;currency=EUR&amp;gameName=CoinSplash")</f>
        <v>https://gameserver-store-msstg.fazi.rs/Home/IntegrationGameLaunch/fazi-stg16?moneyType=0&amp;currency=EUR&amp;gameName=CoinSplash</v>
      </c>
      <c r="R158" s="5" t="str">
        <f>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S1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8" s="5" t="str">
        <f>IFERROR(__xludf.DUMMYFUNCTION("""COMPUTED_VALUE"""),"Yes")</f>
        <v>Yes</v>
      </c>
      <c r="U158" s="5" t="str">
        <f>IFERROR(__xludf.DUMMYFUNCTION("""COMPUTED_VALUE"""),"Yes")</f>
        <v>Yes</v>
      </c>
      <c r="V158" s="5" t="str">
        <f>IFERROR(__xludf.DUMMYFUNCTION("""COMPUTED_VALUE"""),"Yes")</f>
        <v>Yes</v>
      </c>
      <c r="W158" s="5" t="str">
        <f>IFERROR(__xludf.DUMMYFUNCTION("""COMPUTED_VALUE"""),"Yes")</f>
        <v>Yes</v>
      </c>
      <c r="X158" s="5" t="str">
        <f>IFERROR(__xludf.DUMMYFUNCTION("""COMPUTED_VALUE"""),"Yes")</f>
        <v>Yes</v>
      </c>
      <c r="Y158" s="5" t="str">
        <f>IFERROR(__xludf.DUMMYFUNCTION("""COMPUTED_VALUE"""),"Yes")</f>
        <v>Yes</v>
      </c>
      <c r="Z158" s="5" t="str">
        <f>IFERROR(__xludf.DUMMYFUNCTION("""COMPUTED_VALUE"""),"Yes")</f>
        <v>Yes</v>
      </c>
      <c r="AA158" s="5" t="str">
        <f>IFERROR(__xludf.DUMMYFUNCTION("""COMPUTED_VALUE"""),"Yes")</f>
        <v>Yes</v>
      </c>
      <c r="AB158" s="5" t="str">
        <f>IFERROR(__xludf.DUMMYFUNCTION("""COMPUTED_VALUE"""),"Yes")</f>
        <v>Yes</v>
      </c>
      <c r="AC158" s="5" t="str">
        <f>IFERROR(__xludf.DUMMYFUNCTION("""COMPUTED_VALUE"""),"Yes")</f>
        <v>Yes</v>
      </c>
      <c r="AD158" s="5" t="str">
        <f>IFERROR(__xludf.DUMMYFUNCTION("""COMPUTED_VALUE"""),"Yes")</f>
        <v>Yes</v>
      </c>
      <c r="AE158" s="5" t="str">
        <f>IFERROR(__xludf.DUMMYFUNCTION("""COMPUTED_VALUE"""),"Yes")</f>
        <v>Yes</v>
      </c>
      <c r="AF158" s="5" t="str">
        <f>IFERROR(__xludf.DUMMYFUNCTION("""COMPUTED_VALUE"""),"Yes")</f>
        <v>Yes</v>
      </c>
      <c r="AG158" s="5" t="str">
        <f>IFERROR(__xludf.DUMMYFUNCTION("""COMPUTED_VALUE"""),"Yes")</f>
        <v>Yes</v>
      </c>
      <c r="AH158" s="5" t="str">
        <f>IFERROR(__xludf.DUMMYFUNCTION("""COMPUTED_VALUE"""),"Yes")</f>
        <v>Yes</v>
      </c>
      <c r="AI158" s="5" t="str">
        <f>IFERROR(__xludf.DUMMYFUNCTION("""COMPUTED_VALUE"""),"Yes")</f>
        <v>Yes</v>
      </c>
      <c r="AJ158" s="5" t="str">
        <f>IFERROR(__xludf.DUMMYFUNCTION("""COMPUTED_VALUE"""),"Yes")</f>
        <v>Yes</v>
      </c>
      <c r="AK158" s="5" t="str">
        <f>IFERROR(__xludf.DUMMYFUNCTION("""COMPUTED_VALUE"""),"Yes")</f>
        <v>Yes</v>
      </c>
      <c r="AL158" s="5" t="str">
        <f>IFERROR(__xludf.DUMMYFUNCTION("""COMPUTED_VALUE"""),"Yes")</f>
        <v>Yes</v>
      </c>
      <c r="AM158" s="5" t="str">
        <f>IFERROR(__xludf.DUMMYFUNCTION("""COMPUTED_VALUE"""),"Yes")</f>
        <v>Yes</v>
      </c>
      <c r="AN158" s="5" t="str">
        <f>IFERROR(__xludf.DUMMYFUNCTION("""COMPUTED_VALUE"""),"Yes")</f>
        <v>Yes</v>
      </c>
      <c r="AO158" s="5" t="str">
        <f>IFERROR(__xludf.DUMMYFUNCTION("""COMPUTED_VALUE"""),"Yes")</f>
        <v>Yes</v>
      </c>
      <c r="AP158" s="5" t="str">
        <f>IFERROR(__xludf.DUMMYFUNCTION("""COMPUTED_VALUE"""),"Yes")</f>
        <v>Yes</v>
      </c>
      <c r="AQ158" s="5" t="str">
        <f>IFERROR(__xludf.DUMMYFUNCTION("""COMPUTED_VALUE"""),"Yes")</f>
        <v>Yes</v>
      </c>
      <c r="AR158" s="5" t="str">
        <f>IFERROR(__xludf.DUMMYFUNCTION("""COMPUTED_VALUE"""),"Yes")</f>
        <v>Yes</v>
      </c>
      <c r="AS158" s="5" t="str">
        <f>IFERROR(__xludf.DUMMYFUNCTION("""COMPUTED_VALUE"""),"Yes")</f>
        <v>Yes</v>
      </c>
      <c r="AT158" s="5" t="str">
        <f>IFERROR(__xludf.DUMMYFUNCTION("""COMPUTED_VALUE"""),"No")</f>
        <v>No</v>
      </c>
      <c r="AU158" s="5"/>
      <c r="AV158" s="5" t="str">
        <f>IFERROR(__xludf.DUMMYFUNCTION("""COMPUTED_VALUE"""),"")</f>
        <v/>
      </c>
      <c r="AW158" s="5" t="str">
        <f>IFERROR(__xludf.DUMMYFUNCTION("""COMPUTED_VALUE"""),"")</f>
        <v/>
      </c>
      <c r="AX158" s="5" t="str">
        <f>IFERROR(__xludf.DUMMYFUNCTION("""COMPUTED_VALUE"""),"")</f>
        <v/>
      </c>
      <c r="AY158" s="5" t="str">
        <f>IFERROR(__xludf.DUMMYFUNCTION("""COMPUTED_VALUE"""),"")</f>
        <v/>
      </c>
      <c r="AZ158" s="5" t="str">
        <f>IFERROR(__xludf.DUMMYFUNCTION("""COMPUTED_VALUE"""),"")</f>
        <v/>
      </c>
      <c r="BA158" s="5" t="str">
        <f>IFERROR(__xludf.DUMMYFUNCTION("""COMPUTED_VALUE"""),"")</f>
        <v/>
      </c>
      <c r="BB158" s="5" t="str">
        <f>IFERROR(__xludf.DUMMYFUNCTION("""COMPUTED_VALUE"""),"")</f>
        <v/>
      </c>
      <c r="BC158" s="5" t="str">
        <f>IFERROR(__xludf.DUMMYFUNCTION("""COMPUTED_VALUE"""),"")</f>
        <v/>
      </c>
      <c r="BD158" s="5" t="str">
        <f>IFERROR(__xludf.DUMMYFUNCTION("""COMPUTED_VALUE"""),"")</f>
        <v/>
      </c>
      <c r="BE158" s="5" t="str">
        <f>IFERROR(__xludf.DUMMYFUNCTION("""COMPUTED_VALUE"""),"")</f>
        <v/>
      </c>
      <c r="BF158" s="5" t="str">
        <f>IFERROR(__xludf.DUMMYFUNCTION("""COMPUTED_VALUE"""),"")</f>
        <v/>
      </c>
      <c r="BG158" s="5" t="str">
        <f>IFERROR(__xludf.DUMMYFUNCTION("""COMPUTED_VALUE"""),"")</f>
        <v/>
      </c>
      <c r="BH158" s="5" t="str">
        <f>IFERROR(__xludf.DUMMYFUNCTION("""COMPUTED_VALUE"""),"")</f>
        <v/>
      </c>
      <c r="BI158" s="5" t="str">
        <f>IFERROR(__xludf.DUMMYFUNCTION("""COMPUTED_VALUE"""),"")</f>
        <v/>
      </c>
      <c r="BJ158" s="5" t="str">
        <f>IFERROR(__xludf.DUMMYFUNCTION("""COMPUTED_VALUE"""),"")</f>
        <v/>
      </c>
      <c r="BK158" s="5" t="str">
        <f>IFERROR(__xludf.DUMMYFUNCTION("""COMPUTED_VALUE"""),"")</f>
        <v/>
      </c>
      <c r="BL158" s="5" t="str">
        <f>IFERROR(__xludf.DUMMYFUNCTION("""COMPUTED_VALUE"""),"")</f>
        <v/>
      </c>
      <c r="BM158" s="5" t="str">
        <f>IFERROR(__xludf.DUMMYFUNCTION("""COMPUTED_VALUE"""),"")</f>
        <v/>
      </c>
    </row>
    <row r="159">
      <c r="A159" s="5" t="str">
        <f>IFERROR(__xludf.DUMMYFUNCTION("""COMPUTED_VALUE"""),"Fazi")</f>
        <v>Fazi</v>
      </c>
      <c r="B159" s="5" t="str">
        <f>IFERROR(__xludf.DUMMYFUNCTION("""COMPUTED_VALUE"""),"Golden Crown Booster")</f>
        <v>Golden Crown Booster</v>
      </c>
      <c r="C159" s="5" t="str">
        <f>IFERROR(__xludf.DUMMYFUNCTION("""COMPUTED_VALUE"""),"GoldenCrownBooster")</f>
        <v>GoldenCrownBooster</v>
      </c>
      <c r="D159" s="6">
        <f>IFERROR(__xludf.DUMMYFUNCTION("""COMPUTED_VALUE"""),45791.0)</f>
        <v>45791</v>
      </c>
      <c r="E159" s="5" t="str">
        <f>IFERROR(__xludf.DUMMYFUNCTION("""COMPUTED_VALUE"""),"Slot")</f>
        <v>Slot</v>
      </c>
      <c r="F159" s="5">
        <f>IFERROR(__xludf.DUMMYFUNCTION("""COMPUTED_VALUE"""),38.9)</f>
        <v>38.9</v>
      </c>
      <c r="G159" s="5" t="str">
        <f>IFERROR(__xludf.DUMMYFUNCTION("""COMPUTED_VALUE"""),"5x3")</f>
        <v>5x3</v>
      </c>
      <c r="H159" s="5">
        <f>IFERROR(__xludf.DUMMYFUNCTION("""COMPUTED_VALUE"""),10.0)</f>
        <v>10</v>
      </c>
      <c r="I159" s="5">
        <f>IFERROR(__xludf.DUMMYFUNCTION("""COMPUTED_VALUE"""),10.0)</f>
        <v>10</v>
      </c>
      <c r="J159" s="5" t="str">
        <f>IFERROR(__xludf.DUMMYFUNCTION("""COMPUTED_VALUE"""),"95.962%")</f>
        <v>95.962%</v>
      </c>
      <c r="K159" s="5" t="str">
        <f>IFERROR(__xludf.DUMMYFUNCTION("""COMPUTED_VALUE"""),"Medium")</f>
        <v>Medium</v>
      </c>
      <c r="L159" s="5" t="str">
        <f>IFERROR(__xludf.DUMMYFUNCTION("""COMPUTED_VALUE"""),"14.63%")</f>
        <v>14.63%</v>
      </c>
      <c r="M159" s="5" t="str">
        <f>IFERROR(__xludf.DUMMYFUNCTION("""COMPUTED_VALUE"""),"x1538")</f>
        <v>x1538</v>
      </c>
      <c r="N159" s="5" t="str">
        <f>IFERROR(__xludf.DUMMYFUNCTION("""COMPUTED_VALUE"""),"0.1/40")</f>
        <v>0.1/40</v>
      </c>
      <c r="O159" s="5" t="str">
        <f>IFERROR(__xludf.DUMMYFUNCTION("""COMPUTED_VALUE"""),"Yes")</f>
        <v>Yes</v>
      </c>
      <c r="P159" s="5" t="str">
        <f>IFERROR(__xludf.DUMMYFUNCTION("""COMPUTED_VALUE"""),"Scatter, Expanding Wild, Buy Feature")</f>
        <v>Scatter, Expanding Wild, Buy Feature</v>
      </c>
      <c r="Q159" s="7" t="str">
        <f>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59" s="5" t="str">
        <f>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S1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9" s="5" t="str">
        <f>IFERROR(__xludf.DUMMYFUNCTION("""COMPUTED_VALUE"""),"Yes")</f>
        <v>Yes</v>
      </c>
      <c r="U159" s="5" t="str">
        <f>IFERROR(__xludf.DUMMYFUNCTION("""COMPUTED_VALUE"""),"Yes")</f>
        <v>Yes</v>
      </c>
      <c r="V159" s="5" t="str">
        <f>IFERROR(__xludf.DUMMYFUNCTION("""COMPUTED_VALUE"""),"Yes")</f>
        <v>Yes</v>
      </c>
      <c r="W159" s="5" t="str">
        <f>IFERROR(__xludf.DUMMYFUNCTION("""COMPUTED_VALUE"""),"Yes")</f>
        <v>Yes</v>
      </c>
      <c r="X159" s="5" t="str">
        <f>IFERROR(__xludf.DUMMYFUNCTION("""COMPUTED_VALUE"""),"Yes")</f>
        <v>Yes</v>
      </c>
      <c r="Y159" s="5" t="str">
        <f>IFERROR(__xludf.DUMMYFUNCTION("""COMPUTED_VALUE"""),"Yes")</f>
        <v>Yes</v>
      </c>
      <c r="Z159" s="5" t="str">
        <f>IFERROR(__xludf.DUMMYFUNCTION("""COMPUTED_VALUE"""),"Yes")</f>
        <v>Yes</v>
      </c>
      <c r="AA159" s="5" t="str">
        <f>IFERROR(__xludf.DUMMYFUNCTION("""COMPUTED_VALUE"""),"Yes")</f>
        <v>Yes</v>
      </c>
      <c r="AB159" s="5" t="str">
        <f>IFERROR(__xludf.DUMMYFUNCTION("""COMPUTED_VALUE"""),"Yes")</f>
        <v>Yes</v>
      </c>
      <c r="AC159" s="5" t="str">
        <f>IFERROR(__xludf.DUMMYFUNCTION("""COMPUTED_VALUE"""),"Yes")</f>
        <v>Yes</v>
      </c>
      <c r="AD159" s="5" t="str">
        <f>IFERROR(__xludf.DUMMYFUNCTION("""COMPUTED_VALUE"""),"Yes")</f>
        <v>Yes</v>
      </c>
      <c r="AE159" s="5" t="str">
        <f>IFERROR(__xludf.DUMMYFUNCTION("""COMPUTED_VALUE"""),"Yes")</f>
        <v>Yes</v>
      </c>
      <c r="AF159" s="5" t="str">
        <f>IFERROR(__xludf.DUMMYFUNCTION("""COMPUTED_VALUE"""),"Yes")</f>
        <v>Yes</v>
      </c>
      <c r="AG159" s="5" t="str">
        <f>IFERROR(__xludf.DUMMYFUNCTION("""COMPUTED_VALUE"""),"Yes")</f>
        <v>Yes</v>
      </c>
      <c r="AH159" s="5" t="str">
        <f>IFERROR(__xludf.DUMMYFUNCTION("""COMPUTED_VALUE"""),"Yes")</f>
        <v>Yes</v>
      </c>
      <c r="AI159" s="5" t="str">
        <f>IFERROR(__xludf.DUMMYFUNCTION("""COMPUTED_VALUE"""),"Yes")</f>
        <v>Yes</v>
      </c>
      <c r="AJ159" s="5" t="str">
        <f>IFERROR(__xludf.DUMMYFUNCTION("""COMPUTED_VALUE"""),"Yes")</f>
        <v>Yes</v>
      </c>
      <c r="AK159" s="5" t="str">
        <f>IFERROR(__xludf.DUMMYFUNCTION("""COMPUTED_VALUE"""),"Yes")</f>
        <v>Yes</v>
      </c>
      <c r="AL159" s="5" t="str">
        <f>IFERROR(__xludf.DUMMYFUNCTION("""COMPUTED_VALUE"""),"Yes")</f>
        <v>Yes</v>
      </c>
      <c r="AM159" s="5" t="str">
        <f>IFERROR(__xludf.DUMMYFUNCTION("""COMPUTED_VALUE"""),"Yes")</f>
        <v>Yes</v>
      </c>
      <c r="AN159" s="5" t="str">
        <f>IFERROR(__xludf.DUMMYFUNCTION("""COMPUTED_VALUE"""),"Yes")</f>
        <v>Yes</v>
      </c>
      <c r="AO159" s="5" t="str">
        <f>IFERROR(__xludf.DUMMYFUNCTION("""COMPUTED_VALUE"""),"Yes")</f>
        <v>Yes</v>
      </c>
      <c r="AP159" s="5" t="str">
        <f>IFERROR(__xludf.DUMMYFUNCTION("""COMPUTED_VALUE"""),"Yes")</f>
        <v>Yes</v>
      </c>
      <c r="AQ159" s="5" t="str">
        <f>IFERROR(__xludf.DUMMYFUNCTION("""COMPUTED_VALUE"""),"Yes")</f>
        <v>Yes</v>
      </c>
      <c r="AR159" s="5" t="str">
        <f>IFERROR(__xludf.DUMMYFUNCTION("""COMPUTED_VALUE"""),"Yes")</f>
        <v>Yes</v>
      </c>
      <c r="AS159" s="5" t="str">
        <f>IFERROR(__xludf.DUMMYFUNCTION("""COMPUTED_VALUE"""),"Yes")</f>
        <v>Yes</v>
      </c>
      <c r="AT159" s="5" t="str">
        <f>IFERROR(__xludf.DUMMYFUNCTION("""COMPUTED_VALUE"""),"No")</f>
        <v>No</v>
      </c>
      <c r="AU159" s="5"/>
      <c r="AV159" s="5" t="str">
        <f>IFERROR(__xludf.DUMMYFUNCTION("""COMPUTED_VALUE"""),"")</f>
        <v/>
      </c>
      <c r="AW159" s="5" t="str">
        <f>IFERROR(__xludf.DUMMYFUNCTION("""COMPUTED_VALUE"""),"")</f>
        <v/>
      </c>
      <c r="AX159" s="5" t="str">
        <f>IFERROR(__xludf.DUMMYFUNCTION("""COMPUTED_VALUE"""),"")</f>
        <v/>
      </c>
      <c r="AY159" s="5" t="str">
        <f>IFERROR(__xludf.DUMMYFUNCTION("""COMPUTED_VALUE"""),"")</f>
        <v/>
      </c>
      <c r="AZ159" s="5" t="str">
        <f>IFERROR(__xludf.DUMMYFUNCTION("""COMPUTED_VALUE"""),"")</f>
        <v/>
      </c>
      <c r="BA159" s="5" t="str">
        <f>IFERROR(__xludf.DUMMYFUNCTION("""COMPUTED_VALUE"""),"")</f>
        <v/>
      </c>
      <c r="BB159" s="5" t="str">
        <f>IFERROR(__xludf.DUMMYFUNCTION("""COMPUTED_VALUE"""),"")</f>
        <v/>
      </c>
      <c r="BC159" s="5" t="str">
        <f>IFERROR(__xludf.DUMMYFUNCTION("""COMPUTED_VALUE"""),"")</f>
        <v/>
      </c>
      <c r="BD159" s="5" t="str">
        <f>IFERROR(__xludf.DUMMYFUNCTION("""COMPUTED_VALUE"""),"")</f>
        <v/>
      </c>
      <c r="BE159" s="5" t="str">
        <f>IFERROR(__xludf.DUMMYFUNCTION("""COMPUTED_VALUE"""),"")</f>
        <v/>
      </c>
      <c r="BF159" s="5" t="str">
        <f>IFERROR(__xludf.DUMMYFUNCTION("""COMPUTED_VALUE"""),"")</f>
        <v/>
      </c>
      <c r="BG159" s="5" t="str">
        <f>IFERROR(__xludf.DUMMYFUNCTION("""COMPUTED_VALUE"""),"")</f>
        <v/>
      </c>
      <c r="BH159" s="5" t="str">
        <f>IFERROR(__xludf.DUMMYFUNCTION("""COMPUTED_VALUE"""),"")</f>
        <v/>
      </c>
      <c r="BI159" s="5" t="str">
        <f>IFERROR(__xludf.DUMMYFUNCTION("""COMPUTED_VALUE"""),"")</f>
        <v/>
      </c>
      <c r="BJ159" s="5" t="str">
        <f>IFERROR(__xludf.DUMMYFUNCTION("""COMPUTED_VALUE"""),"")</f>
        <v/>
      </c>
      <c r="BK159" s="5" t="str">
        <f>IFERROR(__xludf.DUMMYFUNCTION("""COMPUTED_VALUE"""),"")</f>
        <v/>
      </c>
      <c r="BL159" s="5" t="str">
        <f>IFERROR(__xludf.DUMMYFUNCTION("""COMPUTED_VALUE"""),"")</f>
        <v/>
      </c>
      <c r="BM159" s="5" t="str">
        <f>IFERROR(__xludf.DUMMYFUNCTION("""COMPUTED_VALUE"""),"")</f>
        <v/>
      </c>
    </row>
    <row r="160">
      <c r="A160" s="5" t="str">
        <f>IFERROR(__xludf.DUMMYFUNCTION("""COMPUTED_VALUE"""),"Fazi")</f>
        <v>Fazi</v>
      </c>
      <c r="B160" s="5" t="str">
        <f>IFERROR(__xludf.DUMMYFUNCTION("""COMPUTED_VALUE"""),"Very Hot 5 Booster")</f>
        <v>Very Hot 5 Booster</v>
      </c>
      <c r="C160" s="5" t="str">
        <f>IFERROR(__xludf.DUMMYFUNCTION("""COMPUTED_VALUE"""),"VeryHot5Booster")</f>
        <v>VeryHot5Booster</v>
      </c>
      <c r="D160" s="6">
        <f>IFERROR(__xludf.DUMMYFUNCTION("""COMPUTED_VALUE"""),45791.0)</f>
        <v>45791</v>
      </c>
      <c r="E160" s="5" t="str">
        <f>IFERROR(__xludf.DUMMYFUNCTION("""COMPUTED_VALUE"""),"Slot")</f>
        <v>Slot</v>
      </c>
      <c r="F160" s="5">
        <f>IFERROR(__xludf.DUMMYFUNCTION("""COMPUTED_VALUE"""),19.5)</f>
        <v>19.5</v>
      </c>
      <c r="G160" s="5" t="str">
        <f>IFERROR(__xludf.DUMMYFUNCTION("""COMPUTED_VALUE"""),"5x3")</f>
        <v>5x3</v>
      </c>
      <c r="H160" s="5">
        <f>IFERROR(__xludf.DUMMYFUNCTION("""COMPUTED_VALUE"""),5.0)</f>
        <v>5</v>
      </c>
      <c r="I160" s="5">
        <f>IFERROR(__xludf.DUMMYFUNCTION("""COMPUTED_VALUE"""),5.0)</f>
        <v>5</v>
      </c>
      <c r="J160" s="5" t="str">
        <f>IFERROR(__xludf.DUMMYFUNCTION("""COMPUTED_VALUE"""),"96.447%")</f>
        <v>96.447%</v>
      </c>
      <c r="K160" s="5" t="str">
        <f>IFERROR(__xludf.DUMMYFUNCTION("""COMPUTED_VALUE"""),"Medium")</f>
        <v>Medium</v>
      </c>
      <c r="L160" s="5" t="str">
        <f>IFERROR(__xludf.DUMMYFUNCTION("""COMPUTED_VALUE"""),"14.51%")</f>
        <v>14.51%</v>
      </c>
      <c r="M160" s="5" t="str">
        <f>IFERROR(__xludf.DUMMYFUNCTION("""COMPUTED_VALUE"""),"x1222")</f>
        <v>x1222</v>
      </c>
      <c r="N160" s="5" t="str">
        <f>IFERROR(__xludf.DUMMYFUNCTION("""COMPUTED_VALUE"""),"0.5/30")</f>
        <v>0.5/30</v>
      </c>
      <c r="O160" s="5" t="str">
        <f>IFERROR(__xludf.DUMMYFUNCTION("""COMPUTED_VALUE"""),"Yes")</f>
        <v>Yes</v>
      </c>
      <c r="P160" s="5" t="str">
        <f>IFERROR(__xludf.DUMMYFUNCTION("""COMPUTED_VALUE"""),"Scatter, Expanding Wild, Buy Feature")</f>
        <v>Scatter, Expanding Wild, Buy Feature</v>
      </c>
      <c r="Q160" s="7" t="str">
        <f>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R160" s="5" t="str">
        <f>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S1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0" s="5" t="str">
        <f>IFERROR(__xludf.DUMMYFUNCTION("""COMPUTED_VALUE"""),"Yes")</f>
        <v>Yes</v>
      </c>
      <c r="U160" s="5" t="str">
        <f>IFERROR(__xludf.DUMMYFUNCTION("""COMPUTED_VALUE"""),"Yes")</f>
        <v>Yes</v>
      </c>
      <c r="V160" s="5" t="str">
        <f>IFERROR(__xludf.DUMMYFUNCTION("""COMPUTED_VALUE"""),"Yes")</f>
        <v>Yes</v>
      </c>
      <c r="W160" s="5" t="str">
        <f>IFERROR(__xludf.DUMMYFUNCTION("""COMPUTED_VALUE"""),"Yes")</f>
        <v>Yes</v>
      </c>
      <c r="X160" s="5" t="str">
        <f>IFERROR(__xludf.DUMMYFUNCTION("""COMPUTED_VALUE"""),"Yes")</f>
        <v>Yes</v>
      </c>
      <c r="Y160" s="5" t="str">
        <f>IFERROR(__xludf.DUMMYFUNCTION("""COMPUTED_VALUE"""),"Yes")</f>
        <v>Yes</v>
      </c>
      <c r="Z160" s="5" t="str">
        <f>IFERROR(__xludf.DUMMYFUNCTION("""COMPUTED_VALUE"""),"Yes")</f>
        <v>Yes</v>
      </c>
      <c r="AA160" s="5" t="str">
        <f>IFERROR(__xludf.DUMMYFUNCTION("""COMPUTED_VALUE"""),"Yes")</f>
        <v>Yes</v>
      </c>
      <c r="AB160" s="5" t="str">
        <f>IFERROR(__xludf.DUMMYFUNCTION("""COMPUTED_VALUE"""),"Yes")</f>
        <v>Yes</v>
      </c>
      <c r="AC160" s="5" t="str">
        <f>IFERROR(__xludf.DUMMYFUNCTION("""COMPUTED_VALUE"""),"Yes")</f>
        <v>Yes</v>
      </c>
      <c r="AD160" s="5" t="str">
        <f>IFERROR(__xludf.DUMMYFUNCTION("""COMPUTED_VALUE"""),"Yes")</f>
        <v>Yes</v>
      </c>
      <c r="AE160" s="5" t="str">
        <f>IFERROR(__xludf.DUMMYFUNCTION("""COMPUTED_VALUE"""),"Yes")</f>
        <v>Yes</v>
      </c>
      <c r="AF160" s="5" t="str">
        <f>IFERROR(__xludf.DUMMYFUNCTION("""COMPUTED_VALUE"""),"Yes")</f>
        <v>Yes</v>
      </c>
      <c r="AG160" s="5" t="str">
        <f>IFERROR(__xludf.DUMMYFUNCTION("""COMPUTED_VALUE"""),"Yes")</f>
        <v>Yes</v>
      </c>
      <c r="AH160" s="5" t="str">
        <f>IFERROR(__xludf.DUMMYFUNCTION("""COMPUTED_VALUE"""),"Yes")</f>
        <v>Yes</v>
      </c>
      <c r="AI160" s="5" t="str">
        <f>IFERROR(__xludf.DUMMYFUNCTION("""COMPUTED_VALUE"""),"Yes")</f>
        <v>Yes</v>
      </c>
      <c r="AJ160" s="5" t="str">
        <f>IFERROR(__xludf.DUMMYFUNCTION("""COMPUTED_VALUE"""),"Yes")</f>
        <v>Yes</v>
      </c>
      <c r="AK160" s="5" t="str">
        <f>IFERROR(__xludf.DUMMYFUNCTION("""COMPUTED_VALUE"""),"Yes")</f>
        <v>Yes</v>
      </c>
      <c r="AL160" s="5" t="str">
        <f>IFERROR(__xludf.DUMMYFUNCTION("""COMPUTED_VALUE"""),"Yes")</f>
        <v>Yes</v>
      </c>
      <c r="AM160" s="5" t="str">
        <f>IFERROR(__xludf.DUMMYFUNCTION("""COMPUTED_VALUE"""),"Yes")</f>
        <v>Yes</v>
      </c>
      <c r="AN160" s="5" t="str">
        <f>IFERROR(__xludf.DUMMYFUNCTION("""COMPUTED_VALUE"""),"Yes")</f>
        <v>Yes</v>
      </c>
      <c r="AO160" s="5" t="str">
        <f>IFERROR(__xludf.DUMMYFUNCTION("""COMPUTED_VALUE"""),"Yes")</f>
        <v>Yes</v>
      </c>
      <c r="AP160" s="5" t="str">
        <f>IFERROR(__xludf.DUMMYFUNCTION("""COMPUTED_VALUE"""),"Yes")</f>
        <v>Yes</v>
      </c>
      <c r="AQ160" s="5" t="str">
        <f>IFERROR(__xludf.DUMMYFUNCTION("""COMPUTED_VALUE"""),"Yes")</f>
        <v>Yes</v>
      </c>
      <c r="AR160" s="5" t="str">
        <f>IFERROR(__xludf.DUMMYFUNCTION("""COMPUTED_VALUE"""),"Yes")</f>
        <v>Yes</v>
      </c>
      <c r="AS160" s="5" t="str">
        <f>IFERROR(__xludf.DUMMYFUNCTION("""COMPUTED_VALUE"""),"Yes")</f>
        <v>Yes</v>
      </c>
      <c r="AT160" s="5" t="str">
        <f>IFERROR(__xludf.DUMMYFUNCTION("""COMPUTED_VALUE"""),"No")</f>
        <v>No</v>
      </c>
      <c r="AU160" s="5"/>
      <c r="AV160" s="5" t="str">
        <f>IFERROR(__xludf.DUMMYFUNCTION("""COMPUTED_VALUE"""),"")</f>
        <v/>
      </c>
      <c r="AW160" s="5" t="str">
        <f>IFERROR(__xludf.DUMMYFUNCTION("""COMPUTED_VALUE"""),"")</f>
        <v/>
      </c>
      <c r="AX160" s="5" t="str">
        <f>IFERROR(__xludf.DUMMYFUNCTION("""COMPUTED_VALUE"""),"")</f>
        <v/>
      </c>
      <c r="AY160" s="5" t="str">
        <f>IFERROR(__xludf.DUMMYFUNCTION("""COMPUTED_VALUE"""),"")</f>
        <v/>
      </c>
      <c r="AZ160" s="5" t="str">
        <f>IFERROR(__xludf.DUMMYFUNCTION("""COMPUTED_VALUE"""),"")</f>
        <v/>
      </c>
      <c r="BA160" s="5" t="str">
        <f>IFERROR(__xludf.DUMMYFUNCTION("""COMPUTED_VALUE"""),"")</f>
        <v/>
      </c>
      <c r="BB160" s="5" t="str">
        <f>IFERROR(__xludf.DUMMYFUNCTION("""COMPUTED_VALUE"""),"")</f>
        <v/>
      </c>
      <c r="BC160" s="5" t="str">
        <f>IFERROR(__xludf.DUMMYFUNCTION("""COMPUTED_VALUE"""),"")</f>
        <v/>
      </c>
      <c r="BD160" s="5" t="str">
        <f>IFERROR(__xludf.DUMMYFUNCTION("""COMPUTED_VALUE"""),"")</f>
        <v/>
      </c>
      <c r="BE160" s="5" t="str">
        <f>IFERROR(__xludf.DUMMYFUNCTION("""COMPUTED_VALUE"""),"")</f>
        <v/>
      </c>
      <c r="BF160" s="5" t="str">
        <f>IFERROR(__xludf.DUMMYFUNCTION("""COMPUTED_VALUE"""),"")</f>
        <v/>
      </c>
      <c r="BG160" s="5" t="str">
        <f>IFERROR(__xludf.DUMMYFUNCTION("""COMPUTED_VALUE"""),"")</f>
        <v/>
      </c>
      <c r="BH160" s="5" t="str">
        <f>IFERROR(__xludf.DUMMYFUNCTION("""COMPUTED_VALUE"""),"")</f>
        <v/>
      </c>
      <c r="BI160" s="5" t="str">
        <f>IFERROR(__xludf.DUMMYFUNCTION("""COMPUTED_VALUE"""),"")</f>
        <v/>
      </c>
      <c r="BJ160" s="5" t="str">
        <f>IFERROR(__xludf.DUMMYFUNCTION("""COMPUTED_VALUE"""),"")</f>
        <v/>
      </c>
      <c r="BK160" s="5" t="str">
        <f>IFERROR(__xludf.DUMMYFUNCTION("""COMPUTED_VALUE"""),"")</f>
        <v/>
      </c>
      <c r="BL160" s="5" t="str">
        <f>IFERROR(__xludf.DUMMYFUNCTION("""COMPUTED_VALUE"""),"")</f>
        <v/>
      </c>
      <c r="BM160" s="5" t="str">
        <f>IFERROR(__xludf.DUMMYFUNCTION("""COMPUTED_VALUE"""),"")</f>
        <v/>
      </c>
    </row>
    <row r="161">
      <c r="A161" s="5" t="str">
        <f>IFERROR(__xludf.DUMMYFUNCTION("""COMPUTED_VALUE"""),"Fazi")</f>
        <v>Fazi</v>
      </c>
      <c r="B161" s="5" t="str">
        <f>IFERROR(__xludf.DUMMYFUNCTION("""COMPUTED_VALUE"""),"Epic Clover 40 Booster")</f>
        <v>Epic Clover 40 Booster</v>
      </c>
      <c r="C161" s="5" t="str">
        <f>IFERROR(__xludf.DUMMYFUNCTION("""COMPUTED_VALUE"""),"EpicClover40Booster")</f>
        <v>EpicClover40Booster</v>
      </c>
      <c r="D161" s="6">
        <f>IFERROR(__xludf.DUMMYFUNCTION("""COMPUTED_VALUE"""),45791.0)</f>
        <v>45791</v>
      </c>
      <c r="E161" s="5" t="str">
        <f>IFERROR(__xludf.DUMMYFUNCTION("""COMPUTED_VALUE"""),"Slot")</f>
        <v>Slot</v>
      </c>
      <c r="F161" s="5">
        <f>IFERROR(__xludf.DUMMYFUNCTION("""COMPUTED_VALUE"""),23.8)</f>
        <v>23.8</v>
      </c>
      <c r="G161" s="5" t="str">
        <f>IFERROR(__xludf.DUMMYFUNCTION("""COMPUTED_VALUE"""),"5x4")</f>
        <v>5x4</v>
      </c>
      <c r="H161" s="5">
        <f>IFERROR(__xludf.DUMMYFUNCTION("""COMPUTED_VALUE"""),40.0)</f>
        <v>40</v>
      </c>
      <c r="I161" s="5">
        <f>IFERROR(__xludf.DUMMYFUNCTION("""COMPUTED_VALUE"""),40.0)</f>
        <v>40</v>
      </c>
      <c r="J161" s="5" t="str">
        <f>IFERROR(__xludf.DUMMYFUNCTION("""COMPUTED_VALUE"""),"96.502%")</f>
        <v>96.502%</v>
      </c>
      <c r="K161" s="5" t="str">
        <f>IFERROR(__xludf.DUMMYFUNCTION("""COMPUTED_VALUE"""),"Medium")</f>
        <v>Medium</v>
      </c>
      <c r="L161" s="5" t="str">
        <f>IFERROR(__xludf.DUMMYFUNCTION("""COMPUTED_VALUE"""),"11.6%")</f>
        <v>11.6%</v>
      </c>
      <c r="M161" s="5" t="str">
        <f>IFERROR(__xludf.DUMMYFUNCTION("""COMPUTED_VALUE"""),"x3000")</f>
        <v>x3000</v>
      </c>
      <c r="N161" s="5" t="str">
        <f>IFERROR(__xludf.DUMMYFUNCTION("""COMPUTED_VALUE"""),"0.4/40")</f>
        <v>0.4/40</v>
      </c>
      <c r="O161" s="5" t="str">
        <f>IFERROR(__xludf.DUMMYFUNCTION("""COMPUTED_VALUE"""),"Yes")</f>
        <v>Yes</v>
      </c>
      <c r="P161" s="5" t="str">
        <f>IFERROR(__xludf.DUMMYFUNCTION("""COMPUTED_VALUE"""),"Expanding Wild, Scatter, Buy Feature")</f>
        <v>Expanding Wild, Scatter, Buy Feature</v>
      </c>
      <c r="Q161" s="7" t="str">
        <f>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61" s="5" t="str">
        <f>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S1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1" s="5" t="str">
        <f>IFERROR(__xludf.DUMMYFUNCTION("""COMPUTED_VALUE"""),"Yes")</f>
        <v>Yes</v>
      </c>
      <c r="U161" s="5" t="str">
        <f>IFERROR(__xludf.DUMMYFUNCTION("""COMPUTED_VALUE"""),"Yes")</f>
        <v>Yes</v>
      </c>
      <c r="V161" s="5" t="str">
        <f>IFERROR(__xludf.DUMMYFUNCTION("""COMPUTED_VALUE"""),"Yes")</f>
        <v>Yes</v>
      </c>
      <c r="W161" s="5" t="str">
        <f>IFERROR(__xludf.DUMMYFUNCTION("""COMPUTED_VALUE"""),"Yes")</f>
        <v>Yes</v>
      </c>
      <c r="X161" s="5" t="str">
        <f>IFERROR(__xludf.DUMMYFUNCTION("""COMPUTED_VALUE"""),"Yes")</f>
        <v>Yes</v>
      </c>
      <c r="Y161" s="5" t="str">
        <f>IFERROR(__xludf.DUMMYFUNCTION("""COMPUTED_VALUE"""),"Yes")</f>
        <v>Yes</v>
      </c>
      <c r="Z161" s="5" t="str">
        <f>IFERROR(__xludf.DUMMYFUNCTION("""COMPUTED_VALUE"""),"Yes")</f>
        <v>Yes</v>
      </c>
      <c r="AA161" s="5" t="str">
        <f>IFERROR(__xludf.DUMMYFUNCTION("""COMPUTED_VALUE"""),"Yes")</f>
        <v>Yes</v>
      </c>
      <c r="AB161" s="5" t="str">
        <f>IFERROR(__xludf.DUMMYFUNCTION("""COMPUTED_VALUE"""),"Yes")</f>
        <v>Yes</v>
      </c>
      <c r="AC161" s="5" t="str">
        <f>IFERROR(__xludf.DUMMYFUNCTION("""COMPUTED_VALUE"""),"Yes")</f>
        <v>Yes</v>
      </c>
      <c r="AD161" s="5" t="str">
        <f>IFERROR(__xludf.DUMMYFUNCTION("""COMPUTED_VALUE"""),"Yes")</f>
        <v>Yes</v>
      </c>
      <c r="AE161" s="5" t="str">
        <f>IFERROR(__xludf.DUMMYFUNCTION("""COMPUTED_VALUE"""),"Yes")</f>
        <v>Yes</v>
      </c>
      <c r="AF161" s="5" t="str">
        <f>IFERROR(__xludf.DUMMYFUNCTION("""COMPUTED_VALUE"""),"Yes")</f>
        <v>Yes</v>
      </c>
      <c r="AG161" s="5" t="str">
        <f>IFERROR(__xludf.DUMMYFUNCTION("""COMPUTED_VALUE"""),"Yes")</f>
        <v>Yes</v>
      </c>
      <c r="AH161" s="5" t="str">
        <f>IFERROR(__xludf.DUMMYFUNCTION("""COMPUTED_VALUE"""),"Yes")</f>
        <v>Yes</v>
      </c>
      <c r="AI161" s="5" t="str">
        <f>IFERROR(__xludf.DUMMYFUNCTION("""COMPUTED_VALUE"""),"Yes")</f>
        <v>Yes</v>
      </c>
      <c r="AJ161" s="5" t="str">
        <f>IFERROR(__xludf.DUMMYFUNCTION("""COMPUTED_VALUE"""),"Yes")</f>
        <v>Yes</v>
      </c>
      <c r="AK161" s="5" t="str">
        <f>IFERROR(__xludf.DUMMYFUNCTION("""COMPUTED_VALUE"""),"Yes")</f>
        <v>Yes</v>
      </c>
      <c r="AL161" s="5" t="str">
        <f>IFERROR(__xludf.DUMMYFUNCTION("""COMPUTED_VALUE"""),"Yes")</f>
        <v>Yes</v>
      </c>
      <c r="AM161" s="5" t="str">
        <f>IFERROR(__xludf.DUMMYFUNCTION("""COMPUTED_VALUE"""),"Yes")</f>
        <v>Yes</v>
      </c>
      <c r="AN161" s="5" t="str">
        <f>IFERROR(__xludf.DUMMYFUNCTION("""COMPUTED_VALUE"""),"Yes")</f>
        <v>Yes</v>
      </c>
      <c r="AO161" s="5" t="str">
        <f>IFERROR(__xludf.DUMMYFUNCTION("""COMPUTED_VALUE"""),"Yes")</f>
        <v>Yes</v>
      </c>
      <c r="AP161" s="5" t="str">
        <f>IFERROR(__xludf.DUMMYFUNCTION("""COMPUTED_VALUE"""),"Yes")</f>
        <v>Yes</v>
      </c>
      <c r="AQ161" s="5" t="str">
        <f>IFERROR(__xludf.DUMMYFUNCTION("""COMPUTED_VALUE"""),"Yes")</f>
        <v>Yes</v>
      </c>
      <c r="AR161" s="5" t="str">
        <f>IFERROR(__xludf.DUMMYFUNCTION("""COMPUTED_VALUE"""),"Yes")</f>
        <v>Yes</v>
      </c>
      <c r="AS161" s="5" t="str">
        <f>IFERROR(__xludf.DUMMYFUNCTION("""COMPUTED_VALUE"""),"Yes")</f>
        <v>Yes</v>
      </c>
      <c r="AT161" s="5" t="str">
        <f>IFERROR(__xludf.DUMMYFUNCTION("""COMPUTED_VALUE"""),"No")</f>
        <v>No</v>
      </c>
      <c r="AU161" s="5"/>
      <c r="AV161" s="5" t="str">
        <f>IFERROR(__xludf.DUMMYFUNCTION("""COMPUTED_VALUE"""),"")</f>
        <v/>
      </c>
      <c r="AW161" s="5" t="str">
        <f>IFERROR(__xludf.DUMMYFUNCTION("""COMPUTED_VALUE"""),"")</f>
        <v/>
      </c>
      <c r="AX161" s="5" t="str">
        <f>IFERROR(__xludf.DUMMYFUNCTION("""COMPUTED_VALUE"""),"")</f>
        <v/>
      </c>
      <c r="AY161" s="5" t="str">
        <f>IFERROR(__xludf.DUMMYFUNCTION("""COMPUTED_VALUE"""),"")</f>
        <v/>
      </c>
      <c r="AZ161" s="5" t="str">
        <f>IFERROR(__xludf.DUMMYFUNCTION("""COMPUTED_VALUE"""),"")</f>
        <v/>
      </c>
      <c r="BA161" s="5" t="str">
        <f>IFERROR(__xludf.DUMMYFUNCTION("""COMPUTED_VALUE"""),"")</f>
        <v/>
      </c>
      <c r="BB161" s="5" t="str">
        <f>IFERROR(__xludf.DUMMYFUNCTION("""COMPUTED_VALUE"""),"")</f>
        <v/>
      </c>
      <c r="BC161" s="5" t="str">
        <f>IFERROR(__xludf.DUMMYFUNCTION("""COMPUTED_VALUE"""),"")</f>
        <v/>
      </c>
      <c r="BD161" s="5" t="str">
        <f>IFERROR(__xludf.DUMMYFUNCTION("""COMPUTED_VALUE"""),"")</f>
        <v/>
      </c>
      <c r="BE161" s="5" t="str">
        <f>IFERROR(__xludf.DUMMYFUNCTION("""COMPUTED_VALUE"""),"")</f>
        <v/>
      </c>
      <c r="BF161" s="5" t="str">
        <f>IFERROR(__xludf.DUMMYFUNCTION("""COMPUTED_VALUE"""),"")</f>
        <v/>
      </c>
      <c r="BG161" s="5" t="str">
        <f>IFERROR(__xludf.DUMMYFUNCTION("""COMPUTED_VALUE"""),"")</f>
        <v/>
      </c>
      <c r="BH161" s="5" t="str">
        <f>IFERROR(__xludf.DUMMYFUNCTION("""COMPUTED_VALUE"""),"")</f>
        <v/>
      </c>
      <c r="BI161" s="5" t="str">
        <f>IFERROR(__xludf.DUMMYFUNCTION("""COMPUTED_VALUE"""),"")</f>
        <v/>
      </c>
      <c r="BJ161" s="5" t="str">
        <f>IFERROR(__xludf.DUMMYFUNCTION("""COMPUTED_VALUE"""),"")</f>
        <v/>
      </c>
      <c r="BK161" s="5" t="str">
        <f>IFERROR(__xludf.DUMMYFUNCTION("""COMPUTED_VALUE"""),"")</f>
        <v/>
      </c>
      <c r="BL161" s="5" t="str">
        <f>IFERROR(__xludf.DUMMYFUNCTION("""COMPUTED_VALUE"""),"")</f>
        <v/>
      </c>
      <c r="BM161" s="5" t="str">
        <f>IFERROR(__xludf.DUMMYFUNCTION("""COMPUTED_VALUE"""),"")</f>
        <v/>
      </c>
    </row>
    <row r="162">
      <c r="A162" s="5" t="str">
        <f>IFERROR(__xludf.DUMMYFUNCTION("""COMPUTED_VALUE"""),"Fazi")</f>
        <v>Fazi</v>
      </c>
      <c r="B162" s="5" t="str">
        <f>IFERROR(__xludf.DUMMYFUNCTION("""COMPUTED_VALUE"""),"Golden Crown Extreme")</f>
        <v>Golden Crown Extreme</v>
      </c>
      <c r="C162" s="5" t="str">
        <f>IFERROR(__xludf.DUMMYFUNCTION("""COMPUTED_VALUE"""),"GoldenCrownExtreme")</f>
        <v>GoldenCrownExtreme</v>
      </c>
      <c r="D162" s="6">
        <f>IFERROR(__xludf.DUMMYFUNCTION("""COMPUTED_VALUE"""),45805.0)</f>
        <v>45805</v>
      </c>
      <c r="E162" s="5" t="str">
        <f>IFERROR(__xludf.DUMMYFUNCTION("""COMPUTED_VALUE"""),"Slot")</f>
        <v>Slot</v>
      </c>
      <c r="F162" s="5">
        <f>IFERROR(__xludf.DUMMYFUNCTION("""COMPUTED_VALUE"""),36.0)</f>
        <v>36</v>
      </c>
      <c r="G162" s="5" t="str">
        <f>IFERROR(__xludf.DUMMYFUNCTION("""COMPUTED_VALUE"""),"5x3")</f>
        <v>5x3</v>
      </c>
      <c r="H162" s="5">
        <f>IFERROR(__xludf.DUMMYFUNCTION("""COMPUTED_VALUE"""),10.0)</f>
        <v>10</v>
      </c>
      <c r="I162" s="5">
        <f>IFERROR(__xludf.DUMMYFUNCTION("""COMPUTED_VALUE"""),10.0)</f>
        <v>10</v>
      </c>
      <c r="J162" s="5" t="str">
        <f>IFERROR(__xludf.DUMMYFUNCTION("""COMPUTED_VALUE"""),"96.535%")</f>
        <v>96.535%</v>
      </c>
      <c r="K162" s="5" t="str">
        <f>IFERROR(__xludf.DUMMYFUNCTION("""COMPUTED_VALUE"""),"Medium")</f>
        <v>Medium</v>
      </c>
      <c r="L162" s="5" t="str">
        <f>IFERROR(__xludf.DUMMYFUNCTION("""COMPUTED_VALUE"""),"14.28%")</f>
        <v>14.28%</v>
      </c>
      <c r="M162" s="5" t="str">
        <f>IFERROR(__xludf.DUMMYFUNCTION("""COMPUTED_VALUE"""),"x3076")</f>
        <v>x3076</v>
      </c>
      <c r="N162" s="5" t="str">
        <f>IFERROR(__xludf.DUMMYFUNCTION("""COMPUTED_VALUE"""),"01/50")</f>
        <v>01/50</v>
      </c>
      <c r="O162" s="5" t="str">
        <f>IFERROR(__xludf.DUMMYFUNCTION("""COMPUTED_VALUE"""),"Yes")</f>
        <v>Yes</v>
      </c>
      <c r="P162" s="5" t="str">
        <f>IFERROR(__xludf.DUMMYFUNCTION("""COMPUTED_VALUE"""),"Scatter, Win Multiplier, Expanding Wild")</f>
        <v>Scatter, Win Multiplier, Expanding Wild</v>
      </c>
      <c r="Q162" s="7" t="str">
        <f>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62" s="5" t="str">
        <f>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S1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2" s="5" t="str">
        <f>IFERROR(__xludf.DUMMYFUNCTION("""COMPUTED_VALUE"""),"Yes")</f>
        <v>Yes</v>
      </c>
      <c r="U162" s="5" t="str">
        <f>IFERROR(__xludf.DUMMYFUNCTION("""COMPUTED_VALUE"""),"Yes")</f>
        <v>Yes</v>
      </c>
      <c r="V162" s="5" t="str">
        <f>IFERROR(__xludf.DUMMYFUNCTION("""COMPUTED_VALUE"""),"Yes")</f>
        <v>Yes</v>
      </c>
      <c r="W162" s="5" t="str">
        <f>IFERROR(__xludf.DUMMYFUNCTION("""COMPUTED_VALUE"""),"Yes")</f>
        <v>Yes</v>
      </c>
      <c r="X162" s="5" t="str">
        <f>IFERROR(__xludf.DUMMYFUNCTION("""COMPUTED_VALUE"""),"Yes")</f>
        <v>Yes</v>
      </c>
      <c r="Y162" s="5" t="str">
        <f>IFERROR(__xludf.DUMMYFUNCTION("""COMPUTED_VALUE"""),"Yes")</f>
        <v>Yes</v>
      </c>
      <c r="Z162" s="5" t="str">
        <f>IFERROR(__xludf.DUMMYFUNCTION("""COMPUTED_VALUE"""),"Yes")</f>
        <v>Yes</v>
      </c>
      <c r="AA162" s="5" t="str">
        <f>IFERROR(__xludf.DUMMYFUNCTION("""COMPUTED_VALUE"""),"Yes")</f>
        <v>Yes</v>
      </c>
      <c r="AB162" s="5" t="str">
        <f>IFERROR(__xludf.DUMMYFUNCTION("""COMPUTED_VALUE"""),"Yes")</f>
        <v>Yes</v>
      </c>
      <c r="AC162" s="5" t="str">
        <f>IFERROR(__xludf.DUMMYFUNCTION("""COMPUTED_VALUE"""),"Yes")</f>
        <v>Yes</v>
      </c>
      <c r="AD162" s="5" t="str">
        <f>IFERROR(__xludf.DUMMYFUNCTION("""COMPUTED_VALUE"""),"Yes")</f>
        <v>Yes</v>
      </c>
      <c r="AE162" s="5" t="str">
        <f>IFERROR(__xludf.DUMMYFUNCTION("""COMPUTED_VALUE"""),"Yes")</f>
        <v>Yes</v>
      </c>
      <c r="AF162" s="5" t="str">
        <f>IFERROR(__xludf.DUMMYFUNCTION("""COMPUTED_VALUE"""),"Yes")</f>
        <v>Yes</v>
      </c>
      <c r="AG162" s="5" t="str">
        <f>IFERROR(__xludf.DUMMYFUNCTION("""COMPUTED_VALUE"""),"Yes")</f>
        <v>Yes</v>
      </c>
      <c r="AH162" s="5" t="str">
        <f>IFERROR(__xludf.DUMMYFUNCTION("""COMPUTED_VALUE"""),"Yes")</f>
        <v>Yes</v>
      </c>
      <c r="AI162" s="5" t="str">
        <f>IFERROR(__xludf.DUMMYFUNCTION("""COMPUTED_VALUE"""),"Yes")</f>
        <v>Yes</v>
      </c>
      <c r="AJ162" s="5" t="str">
        <f>IFERROR(__xludf.DUMMYFUNCTION("""COMPUTED_VALUE"""),"Yes")</f>
        <v>Yes</v>
      </c>
      <c r="AK162" s="5" t="str">
        <f>IFERROR(__xludf.DUMMYFUNCTION("""COMPUTED_VALUE"""),"Yes")</f>
        <v>Yes</v>
      </c>
      <c r="AL162" s="5" t="str">
        <f>IFERROR(__xludf.DUMMYFUNCTION("""COMPUTED_VALUE"""),"Yes")</f>
        <v>Yes</v>
      </c>
      <c r="AM162" s="5" t="str">
        <f>IFERROR(__xludf.DUMMYFUNCTION("""COMPUTED_VALUE"""),"Yes")</f>
        <v>Yes</v>
      </c>
      <c r="AN162" s="5" t="str">
        <f>IFERROR(__xludf.DUMMYFUNCTION("""COMPUTED_VALUE"""),"Yes")</f>
        <v>Yes</v>
      </c>
      <c r="AO162" s="5" t="str">
        <f>IFERROR(__xludf.DUMMYFUNCTION("""COMPUTED_VALUE"""),"Yes")</f>
        <v>Yes</v>
      </c>
      <c r="AP162" s="5" t="str">
        <f>IFERROR(__xludf.DUMMYFUNCTION("""COMPUTED_VALUE"""),"Yes")</f>
        <v>Yes</v>
      </c>
      <c r="AQ162" s="5" t="str">
        <f>IFERROR(__xludf.DUMMYFUNCTION("""COMPUTED_VALUE"""),"Yes")</f>
        <v>Yes</v>
      </c>
      <c r="AR162" s="5" t="str">
        <f>IFERROR(__xludf.DUMMYFUNCTION("""COMPUTED_VALUE"""),"Yes")</f>
        <v>Yes</v>
      </c>
      <c r="AS162" s="5" t="str">
        <f>IFERROR(__xludf.DUMMYFUNCTION("""COMPUTED_VALUE"""),"Yes")</f>
        <v>Yes</v>
      </c>
      <c r="AT162" s="5" t="str">
        <f>IFERROR(__xludf.DUMMYFUNCTION("""COMPUTED_VALUE"""),"No")</f>
        <v>No</v>
      </c>
      <c r="AU162" s="5"/>
      <c r="AV162" s="5" t="str">
        <f>IFERROR(__xludf.DUMMYFUNCTION("""COMPUTED_VALUE"""),"")</f>
        <v/>
      </c>
      <c r="AW162" s="5" t="str">
        <f>IFERROR(__xludf.DUMMYFUNCTION("""COMPUTED_VALUE"""),"")</f>
        <v/>
      </c>
      <c r="AX162" s="5" t="str">
        <f>IFERROR(__xludf.DUMMYFUNCTION("""COMPUTED_VALUE"""),"")</f>
        <v/>
      </c>
      <c r="AY162" s="5" t="str">
        <f>IFERROR(__xludf.DUMMYFUNCTION("""COMPUTED_VALUE"""),"")</f>
        <v/>
      </c>
      <c r="AZ162" s="5" t="str">
        <f>IFERROR(__xludf.DUMMYFUNCTION("""COMPUTED_VALUE"""),"")</f>
        <v/>
      </c>
      <c r="BA162" s="5" t="str">
        <f>IFERROR(__xludf.DUMMYFUNCTION("""COMPUTED_VALUE"""),"")</f>
        <v/>
      </c>
      <c r="BB162" s="5" t="str">
        <f>IFERROR(__xludf.DUMMYFUNCTION("""COMPUTED_VALUE"""),"")</f>
        <v/>
      </c>
      <c r="BC162" s="5" t="str">
        <f>IFERROR(__xludf.DUMMYFUNCTION("""COMPUTED_VALUE"""),"")</f>
        <v/>
      </c>
      <c r="BD162" s="5" t="str">
        <f>IFERROR(__xludf.DUMMYFUNCTION("""COMPUTED_VALUE"""),"")</f>
        <v/>
      </c>
      <c r="BE162" s="5" t="str">
        <f>IFERROR(__xludf.DUMMYFUNCTION("""COMPUTED_VALUE"""),"")</f>
        <v/>
      </c>
      <c r="BF162" s="5" t="str">
        <f>IFERROR(__xludf.DUMMYFUNCTION("""COMPUTED_VALUE"""),"")</f>
        <v/>
      </c>
      <c r="BG162" s="5" t="str">
        <f>IFERROR(__xludf.DUMMYFUNCTION("""COMPUTED_VALUE"""),"")</f>
        <v/>
      </c>
      <c r="BH162" s="5" t="str">
        <f>IFERROR(__xludf.DUMMYFUNCTION("""COMPUTED_VALUE"""),"")</f>
        <v/>
      </c>
      <c r="BI162" s="5" t="str">
        <f>IFERROR(__xludf.DUMMYFUNCTION("""COMPUTED_VALUE"""),"")</f>
        <v/>
      </c>
      <c r="BJ162" s="5" t="str">
        <f>IFERROR(__xludf.DUMMYFUNCTION("""COMPUTED_VALUE"""),"")</f>
        <v/>
      </c>
      <c r="BK162" s="5" t="str">
        <f>IFERROR(__xludf.DUMMYFUNCTION("""COMPUTED_VALUE"""),"")</f>
        <v/>
      </c>
      <c r="BL162" s="5" t="str">
        <f>IFERROR(__xludf.DUMMYFUNCTION("""COMPUTED_VALUE"""),"")</f>
        <v/>
      </c>
      <c r="BM162" s="5" t="str">
        <f>IFERROR(__xludf.DUMMYFUNCTION("""COMPUTED_VALUE"""),"")</f>
        <v/>
      </c>
    </row>
    <row r="163">
      <c r="A163" s="5" t="str">
        <f>IFERROR(__xludf.DUMMYFUNCTION("""COMPUTED_VALUE"""),"Fazi")</f>
        <v>Fazi</v>
      </c>
      <c r="B163" s="5" t="str">
        <f>IFERROR(__xludf.DUMMYFUNCTION("""COMPUTED_VALUE"""),"Wild Sticky Clover")</f>
        <v>Wild Sticky Clover</v>
      </c>
      <c r="C163" s="5" t="str">
        <f>IFERROR(__xludf.DUMMYFUNCTION("""COMPUTED_VALUE"""),"WildStickyClover")</f>
        <v>WildStickyClover</v>
      </c>
      <c r="D163" s="6">
        <f>IFERROR(__xludf.DUMMYFUNCTION("""COMPUTED_VALUE"""),45834.0)</f>
        <v>45834</v>
      </c>
      <c r="E163" s="5" t="str">
        <f>IFERROR(__xludf.DUMMYFUNCTION("""COMPUTED_VALUE"""),"Slot")</f>
        <v>Slot</v>
      </c>
      <c r="F163" s="5">
        <f>IFERROR(__xludf.DUMMYFUNCTION("""COMPUTED_VALUE"""),21.1)</f>
        <v>21.1</v>
      </c>
      <c r="G163" s="5" t="str">
        <f>IFERROR(__xludf.DUMMYFUNCTION("""COMPUTED_VALUE"""),"5x4")</f>
        <v>5x4</v>
      </c>
      <c r="H163" s="5">
        <f>IFERROR(__xludf.DUMMYFUNCTION("""COMPUTED_VALUE"""),40.0)</f>
        <v>40</v>
      </c>
      <c r="I163" s="5">
        <f>IFERROR(__xludf.DUMMYFUNCTION("""COMPUTED_VALUE"""),40.0)</f>
        <v>40</v>
      </c>
      <c r="J163" s="5" t="str">
        <f>IFERROR(__xludf.DUMMYFUNCTION("""COMPUTED_VALUE"""),"96.62%")</f>
        <v>96.62%</v>
      </c>
      <c r="K163" s="5" t="str">
        <f>IFERROR(__xludf.DUMMYFUNCTION("""COMPUTED_VALUE"""),"High")</f>
        <v>High</v>
      </c>
      <c r="L163" s="5" t="str">
        <f>IFERROR(__xludf.DUMMYFUNCTION("""COMPUTED_VALUE"""),"10.094%")</f>
        <v>10.094%</v>
      </c>
      <c r="M163" s="5" t="str">
        <f>IFERROR(__xludf.DUMMYFUNCTION("""COMPUTED_VALUE"""),"x4000")</f>
        <v>x4000</v>
      </c>
      <c r="N163" s="5" t="str">
        <f>IFERROR(__xludf.DUMMYFUNCTION("""COMPUTED_VALUE"""),"0.4/60")</f>
        <v>0.4/60</v>
      </c>
      <c r="O163" s="5" t="str">
        <f>IFERROR(__xludf.DUMMYFUNCTION("""COMPUTED_VALUE"""),"Yes")</f>
        <v>Yes</v>
      </c>
      <c r="P163" s="5" t="str">
        <f>IFERROR(__xludf.DUMMYFUNCTION("""COMPUTED_VALUE"""),"Buy Bonus")</f>
        <v>Buy Bonus</v>
      </c>
      <c r="Q163" s="5" t="str">
        <f>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R163" s="5" t="str">
        <f>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S1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3" s="5" t="str">
        <f>IFERROR(__xludf.DUMMYFUNCTION("""COMPUTED_VALUE"""),"Yes")</f>
        <v>Yes</v>
      </c>
      <c r="U163" s="5" t="str">
        <f>IFERROR(__xludf.DUMMYFUNCTION("""COMPUTED_VALUE"""),"Yes")</f>
        <v>Yes</v>
      </c>
      <c r="V163" s="5" t="str">
        <f>IFERROR(__xludf.DUMMYFUNCTION("""COMPUTED_VALUE"""),"Yes")</f>
        <v>Yes</v>
      </c>
      <c r="W163" s="5" t="str">
        <f>IFERROR(__xludf.DUMMYFUNCTION("""COMPUTED_VALUE"""),"Yes")</f>
        <v>Yes</v>
      </c>
      <c r="X163" s="5" t="str">
        <f>IFERROR(__xludf.DUMMYFUNCTION("""COMPUTED_VALUE"""),"Yes")</f>
        <v>Yes</v>
      </c>
      <c r="Y163" s="5" t="str">
        <f>IFERROR(__xludf.DUMMYFUNCTION("""COMPUTED_VALUE"""),"Yes")</f>
        <v>Yes</v>
      </c>
      <c r="Z163" s="5" t="str">
        <f>IFERROR(__xludf.DUMMYFUNCTION("""COMPUTED_VALUE"""),"Yes")</f>
        <v>Yes</v>
      </c>
      <c r="AA163" s="5" t="str">
        <f>IFERROR(__xludf.DUMMYFUNCTION("""COMPUTED_VALUE"""),"Yes")</f>
        <v>Yes</v>
      </c>
      <c r="AB163" s="5" t="str">
        <f>IFERROR(__xludf.DUMMYFUNCTION("""COMPUTED_VALUE"""),"Yes")</f>
        <v>Yes</v>
      </c>
      <c r="AC163" s="5" t="str">
        <f>IFERROR(__xludf.DUMMYFUNCTION("""COMPUTED_VALUE"""),"Yes")</f>
        <v>Yes</v>
      </c>
      <c r="AD163" s="5" t="str">
        <f>IFERROR(__xludf.DUMMYFUNCTION("""COMPUTED_VALUE"""),"Yes")</f>
        <v>Yes</v>
      </c>
      <c r="AE163" s="5" t="str">
        <f>IFERROR(__xludf.DUMMYFUNCTION("""COMPUTED_VALUE"""),"Yes")</f>
        <v>Yes</v>
      </c>
      <c r="AF163" s="5" t="str">
        <f>IFERROR(__xludf.DUMMYFUNCTION("""COMPUTED_VALUE"""),"Yes")</f>
        <v>Yes</v>
      </c>
      <c r="AG163" s="5" t="str">
        <f>IFERROR(__xludf.DUMMYFUNCTION("""COMPUTED_VALUE"""),"Yes")</f>
        <v>Yes</v>
      </c>
      <c r="AH163" s="5" t="str">
        <f>IFERROR(__xludf.DUMMYFUNCTION("""COMPUTED_VALUE"""),"Yes")</f>
        <v>Yes</v>
      </c>
      <c r="AI163" s="5" t="str">
        <f>IFERROR(__xludf.DUMMYFUNCTION("""COMPUTED_VALUE"""),"Yes")</f>
        <v>Yes</v>
      </c>
      <c r="AJ163" s="5" t="str">
        <f>IFERROR(__xludf.DUMMYFUNCTION("""COMPUTED_VALUE"""),"Yes")</f>
        <v>Yes</v>
      </c>
      <c r="AK163" s="5" t="str">
        <f>IFERROR(__xludf.DUMMYFUNCTION("""COMPUTED_VALUE"""),"Yes")</f>
        <v>Yes</v>
      </c>
      <c r="AL163" s="5" t="str">
        <f>IFERROR(__xludf.DUMMYFUNCTION("""COMPUTED_VALUE"""),"Yes")</f>
        <v>Yes</v>
      </c>
      <c r="AM163" s="5" t="str">
        <f>IFERROR(__xludf.DUMMYFUNCTION("""COMPUTED_VALUE"""),"Yes")</f>
        <v>Yes</v>
      </c>
      <c r="AN163" s="5" t="str">
        <f>IFERROR(__xludf.DUMMYFUNCTION("""COMPUTED_VALUE"""),"Yes")</f>
        <v>Yes</v>
      </c>
      <c r="AO163" s="5" t="str">
        <f>IFERROR(__xludf.DUMMYFUNCTION("""COMPUTED_VALUE"""),"Yes")</f>
        <v>Yes</v>
      </c>
      <c r="AP163" s="5" t="str">
        <f>IFERROR(__xludf.DUMMYFUNCTION("""COMPUTED_VALUE"""),"Yes")</f>
        <v>Yes</v>
      </c>
      <c r="AQ163" s="5" t="str">
        <f>IFERROR(__xludf.DUMMYFUNCTION("""COMPUTED_VALUE"""),"Yes")</f>
        <v>Yes</v>
      </c>
      <c r="AR163" s="5" t="str">
        <f>IFERROR(__xludf.DUMMYFUNCTION("""COMPUTED_VALUE"""),"Yes")</f>
        <v>Yes</v>
      </c>
      <c r="AS163" s="5" t="str">
        <f>IFERROR(__xludf.DUMMYFUNCTION("""COMPUTED_VALUE"""),"Yes")</f>
        <v>Yes</v>
      </c>
      <c r="AT163" s="5" t="str">
        <f>IFERROR(__xludf.DUMMYFUNCTION("""COMPUTED_VALUE"""),"No")</f>
        <v>No</v>
      </c>
      <c r="AU163" s="5"/>
      <c r="AV163" s="5" t="str">
        <f>IFERROR(__xludf.DUMMYFUNCTION("""COMPUTED_VALUE"""),"")</f>
        <v/>
      </c>
      <c r="AW163" s="5" t="str">
        <f>IFERROR(__xludf.DUMMYFUNCTION("""COMPUTED_VALUE"""),"")</f>
        <v/>
      </c>
      <c r="AX163" s="5" t="str">
        <f>IFERROR(__xludf.DUMMYFUNCTION("""COMPUTED_VALUE"""),"")</f>
        <v/>
      </c>
      <c r="AY163" s="5" t="str">
        <f>IFERROR(__xludf.DUMMYFUNCTION("""COMPUTED_VALUE"""),"")</f>
        <v/>
      </c>
      <c r="AZ163" s="5" t="str">
        <f>IFERROR(__xludf.DUMMYFUNCTION("""COMPUTED_VALUE"""),"")</f>
        <v/>
      </c>
      <c r="BA163" s="5" t="str">
        <f>IFERROR(__xludf.DUMMYFUNCTION("""COMPUTED_VALUE"""),"")</f>
        <v/>
      </c>
      <c r="BB163" s="5" t="str">
        <f>IFERROR(__xludf.DUMMYFUNCTION("""COMPUTED_VALUE"""),"")</f>
        <v/>
      </c>
      <c r="BC163" s="5" t="str">
        <f>IFERROR(__xludf.DUMMYFUNCTION("""COMPUTED_VALUE"""),"")</f>
        <v/>
      </c>
      <c r="BD163" s="5" t="str">
        <f>IFERROR(__xludf.DUMMYFUNCTION("""COMPUTED_VALUE"""),"")</f>
        <v/>
      </c>
      <c r="BE163" s="5" t="str">
        <f>IFERROR(__xludf.DUMMYFUNCTION("""COMPUTED_VALUE"""),"")</f>
        <v/>
      </c>
      <c r="BF163" s="5" t="str">
        <f>IFERROR(__xludf.DUMMYFUNCTION("""COMPUTED_VALUE"""),"")</f>
        <v/>
      </c>
      <c r="BG163" s="5" t="str">
        <f>IFERROR(__xludf.DUMMYFUNCTION("""COMPUTED_VALUE"""),"")</f>
        <v/>
      </c>
      <c r="BH163" s="5" t="str">
        <f>IFERROR(__xludf.DUMMYFUNCTION("""COMPUTED_VALUE"""),"")</f>
        <v/>
      </c>
      <c r="BI163" s="5" t="str">
        <f>IFERROR(__xludf.DUMMYFUNCTION("""COMPUTED_VALUE"""),"")</f>
        <v/>
      </c>
      <c r="BJ163" s="5" t="str">
        <f>IFERROR(__xludf.DUMMYFUNCTION("""COMPUTED_VALUE"""),"")</f>
        <v/>
      </c>
      <c r="BK163" s="5" t="str">
        <f>IFERROR(__xludf.DUMMYFUNCTION("""COMPUTED_VALUE"""),"")</f>
        <v/>
      </c>
      <c r="BL163" s="5" t="str">
        <f>IFERROR(__xludf.DUMMYFUNCTION("""COMPUTED_VALUE"""),"")</f>
        <v/>
      </c>
      <c r="BM163" s="5" t="str">
        <f>IFERROR(__xludf.DUMMYFUNCTION("""COMPUTED_VALUE"""),"")</f>
        <v/>
      </c>
    </row>
    <row r="164">
      <c r="A164" s="5" t="str">
        <f>IFERROR(__xludf.DUMMYFUNCTION("""COMPUTED_VALUE"""),"Fazi")</f>
        <v>Fazi</v>
      </c>
      <c r="B164" s="5" t="str">
        <f>IFERROR(__xludf.DUMMYFUNCTION("""COMPUTED_VALUE"""),"XSpins")</f>
        <v>XSpins</v>
      </c>
      <c r="C164" s="5" t="str">
        <f>IFERROR(__xludf.DUMMYFUNCTION("""COMPUTED_VALUE"""),"XSpins")</f>
        <v>XSpins</v>
      </c>
      <c r="D164" s="6">
        <f>IFERROR(__xludf.DUMMYFUNCTION("""COMPUTED_VALUE"""),46175.0)</f>
        <v>46175</v>
      </c>
      <c r="E164" s="5" t="str">
        <f>IFERROR(__xludf.DUMMYFUNCTION("""COMPUTED_VALUE"""),"Slot")</f>
        <v>Slot</v>
      </c>
      <c r="F164" s="5">
        <f>IFERROR(__xludf.DUMMYFUNCTION("""COMPUTED_VALUE"""),14.8)</f>
        <v>14.8</v>
      </c>
      <c r="G164" s="5" t="str">
        <f>IFERROR(__xludf.DUMMYFUNCTION("""COMPUTED_VALUE"""),"/")</f>
        <v>/</v>
      </c>
      <c r="H164" s="5">
        <f>IFERROR(__xludf.DUMMYFUNCTION("""COMPUTED_VALUE"""),10.0)</f>
        <v>10</v>
      </c>
      <c r="I164" s="5"/>
      <c r="J164" s="5" t="str">
        <f>IFERROR(__xludf.DUMMYFUNCTION("""COMPUTED_VALUE"""),"96%")</f>
        <v>96%</v>
      </c>
      <c r="K164" s="5" t="str">
        <f>IFERROR(__xludf.DUMMYFUNCTION("""COMPUTED_VALUE"""),"High")</f>
        <v>High</v>
      </c>
      <c r="L164" s="5" t="str">
        <f>IFERROR(__xludf.DUMMYFUNCTION("""COMPUTED_VALUE"""),"87.272%")</f>
        <v>87.272%</v>
      </c>
      <c r="M164" s="5" t="str">
        <f>IFERROR(__xludf.DUMMYFUNCTION("""COMPUTED_VALUE"""),"x15000")</f>
        <v>x15000</v>
      </c>
      <c r="N164" s="5" t="str">
        <f>IFERROR(__xludf.DUMMYFUNCTION("""COMPUTED_VALUE"""),"0.05/40")</f>
        <v>0.05/40</v>
      </c>
      <c r="O164" s="5" t="str">
        <f>IFERROR(__xludf.DUMMYFUNCTION("""COMPUTED_VALUE"""),"No")</f>
        <v>No</v>
      </c>
      <c r="P164" s="5" t="str">
        <f>IFERROR(__xludf.DUMMYFUNCTION("""COMPUTED_VALUE"""),"Win Multiplier")</f>
        <v>Win Multiplier</v>
      </c>
      <c r="Q164" s="7" t="str">
        <f>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R164" s="5" t="str">
        <f>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S1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4" s="5" t="str">
        <f>IFERROR(__xludf.DUMMYFUNCTION("""COMPUTED_VALUE"""),"Yes")</f>
        <v>Yes</v>
      </c>
      <c r="U164" s="5" t="str">
        <f>IFERROR(__xludf.DUMMYFUNCTION("""COMPUTED_VALUE"""),"Yes")</f>
        <v>Yes</v>
      </c>
      <c r="V164" s="5" t="str">
        <f>IFERROR(__xludf.DUMMYFUNCTION("""COMPUTED_VALUE"""),"Yes")</f>
        <v>Yes</v>
      </c>
      <c r="W164" s="5" t="str">
        <f>IFERROR(__xludf.DUMMYFUNCTION("""COMPUTED_VALUE"""),"Yes")</f>
        <v>Yes</v>
      </c>
      <c r="X164" s="5" t="str">
        <f>IFERROR(__xludf.DUMMYFUNCTION("""COMPUTED_VALUE"""),"Yes")</f>
        <v>Yes</v>
      </c>
      <c r="Y164" s="5" t="str">
        <f>IFERROR(__xludf.DUMMYFUNCTION("""COMPUTED_VALUE"""),"Yes")</f>
        <v>Yes</v>
      </c>
      <c r="Z164" s="5" t="str">
        <f>IFERROR(__xludf.DUMMYFUNCTION("""COMPUTED_VALUE"""),"Yes")</f>
        <v>Yes</v>
      </c>
      <c r="AA164" s="5" t="str">
        <f>IFERROR(__xludf.DUMMYFUNCTION("""COMPUTED_VALUE"""),"Yes")</f>
        <v>Yes</v>
      </c>
      <c r="AB164" s="5" t="str">
        <f>IFERROR(__xludf.DUMMYFUNCTION("""COMPUTED_VALUE"""),"Yes")</f>
        <v>Yes</v>
      </c>
      <c r="AC164" s="5" t="str">
        <f>IFERROR(__xludf.DUMMYFUNCTION("""COMPUTED_VALUE"""),"Yes")</f>
        <v>Yes</v>
      </c>
      <c r="AD164" s="5" t="str">
        <f>IFERROR(__xludf.DUMMYFUNCTION("""COMPUTED_VALUE"""),"Yes")</f>
        <v>Yes</v>
      </c>
      <c r="AE164" s="5" t="str">
        <f>IFERROR(__xludf.DUMMYFUNCTION("""COMPUTED_VALUE"""),"Yes")</f>
        <v>Yes</v>
      </c>
      <c r="AF164" s="5" t="str">
        <f>IFERROR(__xludf.DUMMYFUNCTION("""COMPUTED_VALUE"""),"Yes")</f>
        <v>Yes</v>
      </c>
      <c r="AG164" s="5" t="str">
        <f>IFERROR(__xludf.DUMMYFUNCTION("""COMPUTED_VALUE"""),"Yes")</f>
        <v>Yes</v>
      </c>
      <c r="AH164" s="5" t="str">
        <f>IFERROR(__xludf.DUMMYFUNCTION("""COMPUTED_VALUE"""),"Yes")</f>
        <v>Yes</v>
      </c>
      <c r="AI164" s="5" t="str">
        <f>IFERROR(__xludf.DUMMYFUNCTION("""COMPUTED_VALUE"""),"Yes")</f>
        <v>Yes</v>
      </c>
      <c r="AJ164" s="5" t="str">
        <f>IFERROR(__xludf.DUMMYFUNCTION("""COMPUTED_VALUE"""),"Yes")</f>
        <v>Yes</v>
      </c>
      <c r="AK164" s="5" t="str">
        <f>IFERROR(__xludf.DUMMYFUNCTION("""COMPUTED_VALUE"""),"Yes")</f>
        <v>Yes</v>
      </c>
      <c r="AL164" s="5" t="str">
        <f>IFERROR(__xludf.DUMMYFUNCTION("""COMPUTED_VALUE"""),"Yes")</f>
        <v>Yes</v>
      </c>
      <c r="AM164" s="5" t="str">
        <f>IFERROR(__xludf.DUMMYFUNCTION("""COMPUTED_VALUE"""),"Yes")</f>
        <v>Yes</v>
      </c>
      <c r="AN164" s="5" t="str">
        <f>IFERROR(__xludf.DUMMYFUNCTION("""COMPUTED_VALUE"""),"Yes")</f>
        <v>Yes</v>
      </c>
      <c r="AO164" s="5" t="str">
        <f>IFERROR(__xludf.DUMMYFUNCTION("""COMPUTED_VALUE"""),"Yes")</f>
        <v>Yes</v>
      </c>
      <c r="AP164" s="5" t="str">
        <f>IFERROR(__xludf.DUMMYFUNCTION("""COMPUTED_VALUE"""),"Yes")</f>
        <v>Yes</v>
      </c>
      <c r="AQ164" s="5" t="str">
        <f>IFERROR(__xludf.DUMMYFUNCTION("""COMPUTED_VALUE"""),"Yes")</f>
        <v>Yes</v>
      </c>
      <c r="AR164" s="5" t="str">
        <f>IFERROR(__xludf.DUMMYFUNCTION("""COMPUTED_VALUE"""),"Yes")</f>
        <v>Yes</v>
      </c>
      <c r="AS164" s="5" t="str">
        <f>IFERROR(__xludf.DUMMYFUNCTION("""COMPUTED_VALUE"""),"Yes")</f>
        <v>Yes</v>
      </c>
      <c r="AT164" s="5" t="str">
        <f>IFERROR(__xludf.DUMMYFUNCTION("""COMPUTED_VALUE"""),"No")</f>
        <v>No</v>
      </c>
      <c r="AU164" s="5"/>
      <c r="AV164" s="5" t="str">
        <f>IFERROR(__xludf.DUMMYFUNCTION("""COMPUTED_VALUE"""),"")</f>
        <v/>
      </c>
      <c r="AW164" s="5" t="str">
        <f>IFERROR(__xludf.DUMMYFUNCTION("""COMPUTED_VALUE"""),"")</f>
        <v/>
      </c>
      <c r="AX164" s="5" t="str">
        <f>IFERROR(__xludf.DUMMYFUNCTION("""COMPUTED_VALUE"""),"")</f>
        <v/>
      </c>
      <c r="AY164" s="5" t="str">
        <f>IFERROR(__xludf.DUMMYFUNCTION("""COMPUTED_VALUE"""),"")</f>
        <v/>
      </c>
      <c r="AZ164" s="5" t="str">
        <f>IFERROR(__xludf.DUMMYFUNCTION("""COMPUTED_VALUE"""),"")</f>
        <v/>
      </c>
      <c r="BA164" s="5" t="str">
        <f>IFERROR(__xludf.DUMMYFUNCTION("""COMPUTED_VALUE"""),"")</f>
        <v/>
      </c>
      <c r="BB164" s="5" t="str">
        <f>IFERROR(__xludf.DUMMYFUNCTION("""COMPUTED_VALUE"""),"")</f>
        <v/>
      </c>
      <c r="BC164" s="5" t="str">
        <f>IFERROR(__xludf.DUMMYFUNCTION("""COMPUTED_VALUE"""),"")</f>
        <v/>
      </c>
      <c r="BD164" s="5" t="str">
        <f>IFERROR(__xludf.DUMMYFUNCTION("""COMPUTED_VALUE"""),"")</f>
        <v/>
      </c>
      <c r="BE164" s="5" t="str">
        <f>IFERROR(__xludf.DUMMYFUNCTION("""COMPUTED_VALUE"""),"")</f>
        <v/>
      </c>
      <c r="BF164" s="5" t="str">
        <f>IFERROR(__xludf.DUMMYFUNCTION("""COMPUTED_VALUE"""),"")</f>
        <v/>
      </c>
      <c r="BG164" s="5" t="str">
        <f>IFERROR(__xludf.DUMMYFUNCTION("""COMPUTED_VALUE"""),"")</f>
        <v/>
      </c>
      <c r="BH164" s="5" t="str">
        <f>IFERROR(__xludf.DUMMYFUNCTION("""COMPUTED_VALUE"""),"")</f>
        <v/>
      </c>
      <c r="BI164" s="5" t="str">
        <f>IFERROR(__xludf.DUMMYFUNCTION("""COMPUTED_VALUE"""),"")</f>
        <v/>
      </c>
      <c r="BJ164" s="5" t="str">
        <f>IFERROR(__xludf.DUMMYFUNCTION("""COMPUTED_VALUE"""),"")</f>
        <v/>
      </c>
      <c r="BK164" s="5" t="str">
        <f>IFERROR(__xludf.DUMMYFUNCTION("""COMPUTED_VALUE"""),"")</f>
        <v/>
      </c>
      <c r="BL164" s="5" t="str">
        <f>IFERROR(__xludf.DUMMYFUNCTION("""COMPUTED_VALUE"""),"")</f>
        <v/>
      </c>
      <c r="BM164" s="5" t="str">
        <f>IFERROR(__xludf.DUMMYFUNCTION("""COMPUTED_VALUE"""),"")</f>
        <v/>
      </c>
    </row>
    <row r="165">
      <c r="A165" s="5" t="str">
        <f>IFERROR(__xludf.DUMMYFUNCTION("""COMPUTED_VALUE"""),"Fazi")</f>
        <v>Fazi</v>
      </c>
      <c r="B165" s="5" t="str">
        <f>IFERROR(__xludf.DUMMYFUNCTION("""COMPUTED_VALUE"""),"Epic Crown 5 Booster")</f>
        <v>Epic Crown 5 Booster</v>
      </c>
      <c r="C165" s="5" t="str">
        <f>IFERROR(__xludf.DUMMYFUNCTION("""COMPUTED_VALUE"""),"EpicCrown5Booster")</f>
        <v>EpicCrown5Booster</v>
      </c>
      <c r="D165" s="6">
        <f>IFERROR(__xludf.DUMMYFUNCTION("""COMPUTED_VALUE"""),45827.0)</f>
        <v>45827</v>
      </c>
      <c r="E165" s="5" t="str">
        <f>IFERROR(__xludf.DUMMYFUNCTION("""COMPUTED_VALUE"""),"Slot")</f>
        <v>Slot</v>
      </c>
      <c r="F165" s="5">
        <f>IFERROR(__xludf.DUMMYFUNCTION("""COMPUTED_VALUE"""),24.8)</f>
        <v>24.8</v>
      </c>
      <c r="G165" s="5" t="str">
        <f>IFERROR(__xludf.DUMMYFUNCTION("""COMPUTED_VALUE"""),"5x3")</f>
        <v>5x3</v>
      </c>
      <c r="H165" s="5">
        <f>IFERROR(__xludf.DUMMYFUNCTION("""COMPUTED_VALUE"""),5.0)</f>
        <v>5</v>
      </c>
      <c r="I165" s="5">
        <f>IFERROR(__xludf.DUMMYFUNCTION("""COMPUTED_VALUE"""),5.0)</f>
        <v>5</v>
      </c>
      <c r="J165" s="5" t="str">
        <f>IFERROR(__xludf.DUMMYFUNCTION("""COMPUTED_VALUE"""),"95.962%")</f>
        <v>95.962%</v>
      </c>
      <c r="K165" s="5" t="str">
        <f>IFERROR(__xludf.DUMMYFUNCTION("""COMPUTED_VALUE"""),"Medium")</f>
        <v>Medium</v>
      </c>
      <c r="L165" s="5" t="str">
        <f>IFERROR(__xludf.DUMMYFUNCTION("""COMPUTED_VALUE"""),"12.26%")</f>
        <v>12.26%</v>
      </c>
      <c r="M165" s="5" t="str">
        <f>IFERROR(__xludf.DUMMYFUNCTION("""COMPUTED_VALUE"""),"x2018")</f>
        <v>x2018</v>
      </c>
      <c r="N165" s="5" t="str">
        <f>IFERROR(__xludf.DUMMYFUNCTION("""COMPUTED_VALUE"""),"0.1/50")</f>
        <v>0.1/50</v>
      </c>
      <c r="O165" s="5" t="str">
        <f>IFERROR(__xludf.DUMMYFUNCTION("""COMPUTED_VALUE"""),"Yes")</f>
        <v>Yes</v>
      </c>
      <c r="P165" s="5" t="str">
        <f>IFERROR(__xludf.DUMMYFUNCTION("""COMPUTED_VALUE"""),"Scatter, Expanding Wild, Buy Feature")</f>
        <v>Scatter, Expanding Wild, Buy Feature</v>
      </c>
      <c r="Q165" s="7" t="str">
        <f>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R165" s="5" t="str">
        <f>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S1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165" s="5" t="str">
        <f>IFERROR(__xludf.DUMMYFUNCTION("""COMPUTED_VALUE"""),"Yes")</f>
        <v>Yes</v>
      </c>
      <c r="U165" s="5" t="str">
        <f>IFERROR(__xludf.DUMMYFUNCTION("""COMPUTED_VALUE"""),"Yes")</f>
        <v>Yes</v>
      </c>
      <c r="V165" s="5" t="str">
        <f>IFERROR(__xludf.DUMMYFUNCTION("""COMPUTED_VALUE"""),"Yes")</f>
        <v>Yes</v>
      </c>
      <c r="W165" s="5" t="str">
        <f>IFERROR(__xludf.DUMMYFUNCTION("""COMPUTED_VALUE"""),"Yes")</f>
        <v>Yes</v>
      </c>
      <c r="X165" s="5" t="str">
        <f>IFERROR(__xludf.DUMMYFUNCTION("""COMPUTED_VALUE"""),"Yes")</f>
        <v>Yes</v>
      </c>
      <c r="Y165" s="5" t="str">
        <f>IFERROR(__xludf.DUMMYFUNCTION("""COMPUTED_VALUE"""),"Yes")</f>
        <v>Yes</v>
      </c>
      <c r="Z165" s="5" t="str">
        <f>IFERROR(__xludf.DUMMYFUNCTION("""COMPUTED_VALUE"""),"Yes")</f>
        <v>Yes</v>
      </c>
      <c r="AA165" s="5" t="str">
        <f>IFERROR(__xludf.DUMMYFUNCTION("""COMPUTED_VALUE"""),"Yes")</f>
        <v>Yes</v>
      </c>
      <c r="AB165" s="5" t="str">
        <f>IFERROR(__xludf.DUMMYFUNCTION("""COMPUTED_VALUE"""),"Yes")</f>
        <v>Yes</v>
      </c>
      <c r="AC165" s="5" t="str">
        <f>IFERROR(__xludf.DUMMYFUNCTION("""COMPUTED_VALUE"""),"Yes")</f>
        <v>Yes</v>
      </c>
      <c r="AD165" s="5" t="str">
        <f>IFERROR(__xludf.DUMMYFUNCTION("""COMPUTED_VALUE"""),"Yes")</f>
        <v>Yes</v>
      </c>
      <c r="AE165" s="5" t="str">
        <f>IFERROR(__xludf.DUMMYFUNCTION("""COMPUTED_VALUE"""),"Yes")</f>
        <v>Yes</v>
      </c>
      <c r="AF165" s="5" t="str">
        <f>IFERROR(__xludf.DUMMYFUNCTION("""COMPUTED_VALUE"""),"Yes")</f>
        <v>Yes</v>
      </c>
      <c r="AG165" s="5" t="str">
        <f>IFERROR(__xludf.DUMMYFUNCTION("""COMPUTED_VALUE"""),"Yes")</f>
        <v>Yes</v>
      </c>
      <c r="AH165" s="5" t="str">
        <f>IFERROR(__xludf.DUMMYFUNCTION("""COMPUTED_VALUE"""),"Yes")</f>
        <v>Yes</v>
      </c>
      <c r="AI165" s="5" t="str">
        <f>IFERROR(__xludf.DUMMYFUNCTION("""COMPUTED_VALUE"""),"Yes")</f>
        <v>Yes</v>
      </c>
      <c r="AJ165" s="5" t="str">
        <f>IFERROR(__xludf.DUMMYFUNCTION("""COMPUTED_VALUE"""),"Yes")</f>
        <v>Yes</v>
      </c>
      <c r="AK165" s="5" t="str">
        <f>IFERROR(__xludf.DUMMYFUNCTION("""COMPUTED_VALUE"""),"Yes")</f>
        <v>Yes</v>
      </c>
      <c r="AL165" s="5" t="str">
        <f>IFERROR(__xludf.DUMMYFUNCTION("""COMPUTED_VALUE"""),"Yes")</f>
        <v>Yes</v>
      </c>
      <c r="AM165" s="5"/>
      <c r="AN165" s="5"/>
      <c r="AO165" s="5"/>
      <c r="AP165" s="5"/>
      <c r="AQ165" s="5" t="str">
        <f>IFERROR(__xludf.DUMMYFUNCTION("""COMPUTED_VALUE"""),"Yes")</f>
        <v>Yes</v>
      </c>
      <c r="AR165" s="5"/>
      <c r="AS165" s="5"/>
      <c r="AT165" s="5"/>
      <c r="AU165" s="5"/>
      <c r="AV165" s="5" t="str">
        <f>IFERROR(__xludf.DUMMYFUNCTION("""COMPUTED_VALUE"""),"")</f>
        <v/>
      </c>
      <c r="AW165" s="5" t="str">
        <f>IFERROR(__xludf.DUMMYFUNCTION("""COMPUTED_VALUE"""),"")</f>
        <v/>
      </c>
      <c r="AX165" s="5" t="str">
        <f>IFERROR(__xludf.DUMMYFUNCTION("""COMPUTED_VALUE"""),"")</f>
        <v/>
      </c>
      <c r="AY165" s="5" t="str">
        <f>IFERROR(__xludf.DUMMYFUNCTION("""COMPUTED_VALUE"""),"")</f>
        <v/>
      </c>
      <c r="AZ165" s="5" t="str">
        <f>IFERROR(__xludf.DUMMYFUNCTION("""COMPUTED_VALUE"""),"")</f>
        <v/>
      </c>
      <c r="BA165" s="5" t="str">
        <f>IFERROR(__xludf.DUMMYFUNCTION("""COMPUTED_VALUE"""),"")</f>
        <v/>
      </c>
      <c r="BB165" s="5" t="str">
        <f>IFERROR(__xludf.DUMMYFUNCTION("""COMPUTED_VALUE"""),"")</f>
        <v/>
      </c>
      <c r="BC165" s="5" t="str">
        <f>IFERROR(__xludf.DUMMYFUNCTION("""COMPUTED_VALUE"""),"")</f>
        <v/>
      </c>
      <c r="BD165" s="5" t="str">
        <f>IFERROR(__xludf.DUMMYFUNCTION("""COMPUTED_VALUE"""),"")</f>
        <v/>
      </c>
      <c r="BE165" s="5" t="str">
        <f>IFERROR(__xludf.DUMMYFUNCTION("""COMPUTED_VALUE"""),"")</f>
        <v/>
      </c>
      <c r="BF165" s="5" t="str">
        <f>IFERROR(__xludf.DUMMYFUNCTION("""COMPUTED_VALUE"""),"")</f>
        <v/>
      </c>
      <c r="BG165" s="5" t="str">
        <f>IFERROR(__xludf.DUMMYFUNCTION("""COMPUTED_VALUE"""),"")</f>
        <v/>
      </c>
      <c r="BH165" s="5" t="str">
        <f>IFERROR(__xludf.DUMMYFUNCTION("""COMPUTED_VALUE"""),"")</f>
        <v/>
      </c>
      <c r="BI165" s="5" t="str">
        <f>IFERROR(__xludf.DUMMYFUNCTION("""COMPUTED_VALUE"""),"")</f>
        <v/>
      </c>
      <c r="BJ165" s="5" t="str">
        <f>IFERROR(__xludf.DUMMYFUNCTION("""COMPUTED_VALUE"""),"")</f>
        <v/>
      </c>
      <c r="BK165" s="5" t="str">
        <f>IFERROR(__xludf.DUMMYFUNCTION("""COMPUTED_VALUE"""),"")</f>
        <v/>
      </c>
      <c r="BL165" s="5" t="str">
        <f>IFERROR(__xludf.DUMMYFUNCTION("""COMPUTED_VALUE"""),"")</f>
        <v/>
      </c>
      <c r="BM165" s="5" t="str">
        <f>IFERROR(__xludf.DUMMYFUNCTION("""COMPUTED_VALUE"""),"")</f>
        <v/>
      </c>
    </row>
    <row r="166">
      <c r="A166" s="5" t="str">
        <f>IFERROR(__xludf.DUMMYFUNCTION("""COMPUTED_VALUE"""),"Fazi")</f>
        <v>Fazi</v>
      </c>
      <c r="B166" s="5" t="str">
        <f>IFERROR(__xludf.DUMMYFUNCTION("""COMPUTED_VALUE"""),"Epic Crown 10 Booster")</f>
        <v>Epic Crown 10 Booster</v>
      </c>
      <c r="C166" s="5" t="str">
        <f>IFERROR(__xludf.DUMMYFUNCTION("""COMPUTED_VALUE"""),"EpicCrown10Booster")</f>
        <v>EpicCrown10Booster</v>
      </c>
      <c r="D166" s="6">
        <f>IFERROR(__xludf.DUMMYFUNCTION("""COMPUTED_VALUE"""),45819.0)</f>
        <v>45819</v>
      </c>
      <c r="E166" s="5" t="str">
        <f>IFERROR(__xludf.DUMMYFUNCTION("""COMPUTED_VALUE"""),"Slot")</f>
        <v>Slot</v>
      </c>
      <c r="F166" s="5">
        <f>IFERROR(__xludf.DUMMYFUNCTION("""COMPUTED_VALUE"""),24.5)</f>
        <v>24.5</v>
      </c>
      <c r="G166" s="5" t="str">
        <f>IFERROR(__xludf.DUMMYFUNCTION("""COMPUTED_VALUE"""),"5x3")</f>
        <v>5x3</v>
      </c>
      <c r="H166" s="5">
        <f>IFERROR(__xludf.DUMMYFUNCTION("""COMPUTED_VALUE"""),10.0)</f>
        <v>10</v>
      </c>
      <c r="I166" s="5">
        <f>IFERROR(__xludf.DUMMYFUNCTION("""COMPUTED_VALUE"""),10.0)</f>
        <v>10</v>
      </c>
      <c r="J166" s="5" t="str">
        <f>IFERROR(__xludf.DUMMYFUNCTION("""COMPUTED_VALUE"""),"95.96%")</f>
        <v>95.96%</v>
      </c>
      <c r="K166" s="5" t="str">
        <f>IFERROR(__xludf.DUMMYFUNCTION("""COMPUTED_VALUE"""),"Medium")</f>
        <v>Medium</v>
      </c>
      <c r="L166" s="5" t="str">
        <f>IFERROR(__xludf.DUMMYFUNCTION("""COMPUTED_VALUE"""),"14.63%")</f>
        <v>14.63%</v>
      </c>
      <c r="M166" s="5" t="str">
        <f>IFERROR(__xludf.DUMMYFUNCTION("""COMPUTED_VALUE"""),"x1538")</f>
        <v>x1538</v>
      </c>
      <c r="N166" s="5" t="str">
        <f>IFERROR(__xludf.DUMMYFUNCTION("""COMPUTED_VALUE"""),"01/50")</f>
        <v>01/50</v>
      </c>
      <c r="O166" s="5" t="str">
        <f>IFERROR(__xludf.DUMMYFUNCTION("""COMPUTED_VALUE"""),"Yes")</f>
        <v>Yes</v>
      </c>
      <c r="P166" s="5" t="str">
        <f>IFERROR(__xludf.DUMMYFUNCTION("""COMPUTED_VALUE"""),"Buy Feature")</f>
        <v>Buy Feature</v>
      </c>
      <c r="Q166" s="7" t="str">
        <f>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R166" s="5" t="str">
        <f>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S1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166" s="5" t="str">
        <f>IFERROR(__xludf.DUMMYFUNCTION("""COMPUTED_VALUE"""),"Yes")</f>
        <v>Yes</v>
      </c>
      <c r="U166" s="5" t="str">
        <f>IFERROR(__xludf.DUMMYFUNCTION("""COMPUTED_VALUE"""),"Yes")</f>
        <v>Yes</v>
      </c>
      <c r="V166" s="5" t="str">
        <f>IFERROR(__xludf.DUMMYFUNCTION("""COMPUTED_VALUE"""),"Yes")</f>
        <v>Yes</v>
      </c>
      <c r="W166" s="5" t="str">
        <f>IFERROR(__xludf.DUMMYFUNCTION("""COMPUTED_VALUE"""),"Yes")</f>
        <v>Yes</v>
      </c>
      <c r="X166" s="5" t="str">
        <f>IFERROR(__xludf.DUMMYFUNCTION("""COMPUTED_VALUE"""),"Yes")</f>
        <v>Yes</v>
      </c>
      <c r="Y166" s="5" t="str">
        <f>IFERROR(__xludf.DUMMYFUNCTION("""COMPUTED_VALUE"""),"Yes")</f>
        <v>Yes</v>
      </c>
      <c r="Z166" s="5" t="str">
        <f>IFERROR(__xludf.DUMMYFUNCTION("""COMPUTED_VALUE"""),"Yes")</f>
        <v>Yes</v>
      </c>
      <c r="AA166" s="5" t="str">
        <f>IFERROR(__xludf.DUMMYFUNCTION("""COMPUTED_VALUE"""),"Yes")</f>
        <v>Yes</v>
      </c>
      <c r="AB166" s="5" t="str">
        <f>IFERROR(__xludf.DUMMYFUNCTION("""COMPUTED_VALUE"""),"Yes")</f>
        <v>Yes</v>
      </c>
      <c r="AC166" s="5" t="str">
        <f>IFERROR(__xludf.DUMMYFUNCTION("""COMPUTED_VALUE"""),"Yes")</f>
        <v>Yes</v>
      </c>
      <c r="AD166" s="5" t="str">
        <f>IFERROR(__xludf.DUMMYFUNCTION("""COMPUTED_VALUE"""),"Yes")</f>
        <v>Yes</v>
      </c>
      <c r="AE166" s="5" t="str">
        <f>IFERROR(__xludf.DUMMYFUNCTION("""COMPUTED_VALUE"""),"Yes")</f>
        <v>Yes</v>
      </c>
      <c r="AF166" s="5" t="str">
        <f>IFERROR(__xludf.DUMMYFUNCTION("""COMPUTED_VALUE"""),"Yes")</f>
        <v>Yes</v>
      </c>
      <c r="AG166" s="5" t="str">
        <f>IFERROR(__xludf.DUMMYFUNCTION("""COMPUTED_VALUE"""),"Yes")</f>
        <v>Yes</v>
      </c>
      <c r="AH166" s="5" t="str">
        <f>IFERROR(__xludf.DUMMYFUNCTION("""COMPUTED_VALUE"""),"Yes")</f>
        <v>Yes</v>
      </c>
      <c r="AI166" s="5" t="str">
        <f>IFERROR(__xludf.DUMMYFUNCTION("""COMPUTED_VALUE"""),"Yes")</f>
        <v>Yes</v>
      </c>
      <c r="AJ166" s="5" t="str">
        <f>IFERROR(__xludf.DUMMYFUNCTION("""COMPUTED_VALUE"""),"Yes")</f>
        <v>Yes</v>
      </c>
      <c r="AK166" s="5" t="str">
        <f>IFERROR(__xludf.DUMMYFUNCTION("""COMPUTED_VALUE"""),"Yes")</f>
        <v>Yes</v>
      </c>
      <c r="AL166" s="5" t="str">
        <f>IFERROR(__xludf.DUMMYFUNCTION("""COMPUTED_VALUE"""),"Yes")</f>
        <v>Yes</v>
      </c>
      <c r="AM166" s="5"/>
      <c r="AN166" s="5" t="str">
        <f>IFERROR(__xludf.DUMMYFUNCTION("""COMPUTED_VALUE"""),"Yes")</f>
        <v>Yes</v>
      </c>
      <c r="AO166" s="5"/>
      <c r="AP166" s="5"/>
      <c r="AQ166" s="5" t="str">
        <f>IFERROR(__xludf.DUMMYFUNCTION("""COMPUTED_VALUE"""),"Yes")</f>
        <v>Yes</v>
      </c>
      <c r="AR166" s="5"/>
      <c r="AS166" s="5"/>
      <c r="AT166" s="5"/>
      <c r="AU166" s="5"/>
      <c r="AV166" s="5" t="str">
        <f>IFERROR(__xludf.DUMMYFUNCTION("""COMPUTED_VALUE"""),"")</f>
        <v/>
      </c>
      <c r="AW166" s="5" t="str">
        <f>IFERROR(__xludf.DUMMYFUNCTION("""COMPUTED_VALUE"""),"")</f>
        <v/>
      </c>
      <c r="AX166" s="5" t="str">
        <f>IFERROR(__xludf.DUMMYFUNCTION("""COMPUTED_VALUE"""),"")</f>
        <v/>
      </c>
      <c r="AY166" s="5" t="str">
        <f>IFERROR(__xludf.DUMMYFUNCTION("""COMPUTED_VALUE"""),"")</f>
        <v/>
      </c>
      <c r="AZ166" s="5" t="str">
        <f>IFERROR(__xludf.DUMMYFUNCTION("""COMPUTED_VALUE"""),"")</f>
        <v/>
      </c>
      <c r="BA166" s="5" t="str">
        <f>IFERROR(__xludf.DUMMYFUNCTION("""COMPUTED_VALUE"""),"")</f>
        <v/>
      </c>
      <c r="BB166" s="5" t="str">
        <f>IFERROR(__xludf.DUMMYFUNCTION("""COMPUTED_VALUE"""),"")</f>
        <v/>
      </c>
      <c r="BC166" s="5" t="str">
        <f>IFERROR(__xludf.DUMMYFUNCTION("""COMPUTED_VALUE"""),"")</f>
        <v/>
      </c>
      <c r="BD166" s="5" t="str">
        <f>IFERROR(__xludf.DUMMYFUNCTION("""COMPUTED_VALUE"""),"")</f>
        <v/>
      </c>
      <c r="BE166" s="5" t="str">
        <f>IFERROR(__xludf.DUMMYFUNCTION("""COMPUTED_VALUE"""),"")</f>
        <v/>
      </c>
      <c r="BF166" s="5" t="str">
        <f>IFERROR(__xludf.DUMMYFUNCTION("""COMPUTED_VALUE"""),"")</f>
        <v/>
      </c>
      <c r="BG166" s="5" t="str">
        <f>IFERROR(__xludf.DUMMYFUNCTION("""COMPUTED_VALUE"""),"")</f>
        <v/>
      </c>
      <c r="BH166" s="5" t="str">
        <f>IFERROR(__xludf.DUMMYFUNCTION("""COMPUTED_VALUE"""),"")</f>
        <v/>
      </c>
      <c r="BI166" s="5" t="str">
        <f>IFERROR(__xludf.DUMMYFUNCTION("""COMPUTED_VALUE"""),"")</f>
        <v/>
      </c>
      <c r="BJ166" s="5" t="str">
        <f>IFERROR(__xludf.DUMMYFUNCTION("""COMPUTED_VALUE"""),"")</f>
        <v/>
      </c>
      <c r="BK166" s="5" t="str">
        <f>IFERROR(__xludf.DUMMYFUNCTION("""COMPUTED_VALUE"""),"")</f>
        <v/>
      </c>
      <c r="BL166" s="5" t="str">
        <f>IFERROR(__xludf.DUMMYFUNCTION("""COMPUTED_VALUE"""),"")</f>
        <v/>
      </c>
      <c r="BM166" s="5" t="str">
        <f>IFERROR(__xludf.DUMMYFUNCTION("""COMPUTED_VALUE"""),"")</f>
        <v/>
      </c>
    </row>
    <row r="167">
      <c r="A167" s="5" t="str">
        <f>IFERROR(__xludf.DUMMYFUNCTION("""COMPUTED_VALUE"""),"Fazi")</f>
        <v>Fazi</v>
      </c>
      <c r="B167" s="5" t="str">
        <f>IFERROR(__xludf.DUMMYFUNCTION("""COMPUTED_VALUE"""),"Wild Sunflower")</f>
        <v>Wild Sunflower</v>
      </c>
      <c r="C167" s="5" t="str">
        <f>IFERROR(__xludf.DUMMYFUNCTION("""COMPUTED_VALUE"""),"WildSunflower")</f>
        <v>WildSunflower</v>
      </c>
      <c r="D167" s="6">
        <f>IFERROR(__xludf.DUMMYFUNCTION("""COMPUTED_VALUE"""),45911.0)</f>
        <v>45911</v>
      </c>
      <c r="E167" s="5" t="str">
        <f>IFERROR(__xludf.DUMMYFUNCTION("""COMPUTED_VALUE"""),"Slot")</f>
        <v>Slot</v>
      </c>
      <c r="F167" s="5">
        <f>IFERROR(__xludf.DUMMYFUNCTION("""COMPUTED_VALUE"""),50.0)</f>
        <v>50</v>
      </c>
      <c r="G167" s="5" t="str">
        <f>IFERROR(__xludf.DUMMYFUNCTION("""COMPUTED_VALUE"""),"5x4")</f>
        <v>5x4</v>
      </c>
      <c r="H167" s="5">
        <f>IFERROR(__xludf.DUMMYFUNCTION("""COMPUTED_VALUE"""),40.0)</f>
        <v>40</v>
      </c>
      <c r="I167" s="5">
        <f>IFERROR(__xludf.DUMMYFUNCTION("""COMPUTED_VALUE"""),40.0)</f>
        <v>40</v>
      </c>
      <c r="J167" s="5" t="str">
        <f>IFERROR(__xludf.DUMMYFUNCTION("""COMPUTED_VALUE"""),"96.621%")</f>
        <v>96.621%</v>
      </c>
      <c r="K167" s="5" t="str">
        <f>IFERROR(__xludf.DUMMYFUNCTION("""COMPUTED_VALUE"""),"Medium")</f>
        <v>Medium</v>
      </c>
      <c r="L167" s="5" t="str">
        <f>IFERROR(__xludf.DUMMYFUNCTION("""COMPUTED_VALUE"""),"11.144%")</f>
        <v>11.144%</v>
      </c>
      <c r="M167" s="5" t="str">
        <f>IFERROR(__xludf.DUMMYFUNCTION("""COMPUTED_VALUE"""),"x6000")</f>
        <v>x6000</v>
      </c>
      <c r="N167" s="5" t="str">
        <f>IFERROR(__xludf.DUMMYFUNCTION("""COMPUTED_VALUE"""),"0.4/40")</f>
        <v>0.4/40</v>
      </c>
      <c r="O167" s="5" t="str">
        <f>IFERROR(__xludf.DUMMYFUNCTION("""COMPUTED_VALUE"""),"Yes")</f>
        <v>Yes</v>
      </c>
      <c r="P167" s="5" t="str">
        <f>IFERROR(__xludf.DUMMYFUNCTION("""COMPUTED_VALUE"""),"Buy Bonus")</f>
        <v>Buy Bonus</v>
      </c>
      <c r="Q167" s="7" t="str">
        <f>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R167" s="5" t="str">
        <f>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S1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7" s="5" t="str">
        <f>IFERROR(__xludf.DUMMYFUNCTION("""COMPUTED_VALUE"""),"Yes")</f>
        <v>Yes</v>
      </c>
      <c r="U167" s="5" t="str">
        <f>IFERROR(__xludf.DUMMYFUNCTION("""COMPUTED_VALUE"""),"Yes")</f>
        <v>Yes</v>
      </c>
      <c r="V167" s="5" t="str">
        <f>IFERROR(__xludf.DUMMYFUNCTION("""COMPUTED_VALUE"""),"Yes")</f>
        <v>Yes</v>
      </c>
      <c r="W167" s="5" t="str">
        <f>IFERROR(__xludf.DUMMYFUNCTION("""COMPUTED_VALUE"""),"Yes")</f>
        <v>Yes</v>
      </c>
      <c r="X167" s="5" t="str">
        <f>IFERROR(__xludf.DUMMYFUNCTION("""COMPUTED_VALUE"""),"Yes")</f>
        <v>Yes</v>
      </c>
      <c r="Y167" s="5" t="str">
        <f>IFERROR(__xludf.DUMMYFUNCTION("""COMPUTED_VALUE"""),"Yes")</f>
        <v>Yes</v>
      </c>
      <c r="Z167" s="5" t="str">
        <f>IFERROR(__xludf.DUMMYFUNCTION("""COMPUTED_VALUE"""),"Yes")</f>
        <v>Yes</v>
      </c>
      <c r="AA167" s="5" t="str">
        <f>IFERROR(__xludf.DUMMYFUNCTION("""COMPUTED_VALUE"""),"Yes")</f>
        <v>Yes</v>
      </c>
      <c r="AB167" s="5" t="str">
        <f>IFERROR(__xludf.DUMMYFUNCTION("""COMPUTED_VALUE"""),"Yes")</f>
        <v>Yes</v>
      </c>
      <c r="AC167" s="5" t="str">
        <f>IFERROR(__xludf.DUMMYFUNCTION("""COMPUTED_VALUE"""),"Yes")</f>
        <v>Yes</v>
      </c>
      <c r="AD167" s="5" t="str">
        <f>IFERROR(__xludf.DUMMYFUNCTION("""COMPUTED_VALUE"""),"Yes")</f>
        <v>Yes</v>
      </c>
      <c r="AE167" s="5" t="str">
        <f>IFERROR(__xludf.DUMMYFUNCTION("""COMPUTED_VALUE"""),"Yes")</f>
        <v>Yes</v>
      </c>
      <c r="AF167" s="5" t="str">
        <f>IFERROR(__xludf.DUMMYFUNCTION("""COMPUTED_VALUE"""),"Yes")</f>
        <v>Yes</v>
      </c>
      <c r="AG167" s="5" t="str">
        <f>IFERROR(__xludf.DUMMYFUNCTION("""COMPUTED_VALUE"""),"Yes")</f>
        <v>Yes</v>
      </c>
      <c r="AH167" s="5" t="str">
        <f>IFERROR(__xludf.DUMMYFUNCTION("""COMPUTED_VALUE"""),"Yes")</f>
        <v>Yes</v>
      </c>
      <c r="AI167" s="5" t="str">
        <f>IFERROR(__xludf.DUMMYFUNCTION("""COMPUTED_VALUE"""),"Yes")</f>
        <v>Yes</v>
      </c>
      <c r="AJ167" s="5" t="str">
        <f>IFERROR(__xludf.DUMMYFUNCTION("""COMPUTED_VALUE"""),"Yes")</f>
        <v>Yes</v>
      </c>
      <c r="AK167" s="5" t="str">
        <f>IFERROR(__xludf.DUMMYFUNCTION("""COMPUTED_VALUE"""),"Yes")</f>
        <v>Yes</v>
      </c>
      <c r="AL167" s="5" t="str">
        <f>IFERROR(__xludf.DUMMYFUNCTION("""COMPUTED_VALUE"""),"Yes")</f>
        <v>Yes</v>
      </c>
      <c r="AM167" s="5" t="str">
        <f>IFERROR(__xludf.DUMMYFUNCTION("""COMPUTED_VALUE"""),"Yes")</f>
        <v>Yes</v>
      </c>
      <c r="AN167" s="5" t="str">
        <f>IFERROR(__xludf.DUMMYFUNCTION("""COMPUTED_VALUE"""),"Yes")</f>
        <v>Yes</v>
      </c>
      <c r="AO167" s="5" t="str">
        <f>IFERROR(__xludf.DUMMYFUNCTION("""COMPUTED_VALUE"""),"Yes")</f>
        <v>Yes</v>
      </c>
      <c r="AP167" s="5" t="str">
        <f>IFERROR(__xludf.DUMMYFUNCTION("""COMPUTED_VALUE"""),"Yes")</f>
        <v>Yes</v>
      </c>
      <c r="AQ167" s="5" t="str">
        <f>IFERROR(__xludf.DUMMYFUNCTION("""COMPUTED_VALUE"""),"Yes")</f>
        <v>Yes</v>
      </c>
      <c r="AR167" s="5" t="str">
        <f>IFERROR(__xludf.DUMMYFUNCTION("""COMPUTED_VALUE"""),"Yes")</f>
        <v>Yes</v>
      </c>
      <c r="AS167" s="5" t="str">
        <f>IFERROR(__xludf.DUMMYFUNCTION("""COMPUTED_VALUE"""),"Yes")</f>
        <v>Yes</v>
      </c>
      <c r="AT167" s="5" t="str">
        <f>IFERROR(__xludf.DUMMYFUNCTION("""COMPUTED_VALUE"""),"No")</f>
        <v>No</v>
      </c>
      <c r="AU167" s="5"/>
      <c r="AV167" s="5" t="str">
        <f>IFERROR(__xludf.DUMMYFUNCTION("""COMPUTED_VALUE"""),"")</f>
        <v/>
      </c>
      <c r="AW167" s="5" t="str">
        <f>IFERROR(__xludf.DUMMYFUNCTION("""COMPUTED_VALUE"""),"")</f>
        <v/>
      </c>
      <c r="AX167" s="5" t="str">
        <f>IFERROR(__xludf.DUMMYFUNCTION("""COMPUTED_VALUE"""),"")</f>
        <v/>
      </c>
      <c r="AY167" s="5" t="str">
        <f>IFERROR(__xludf.DUMMYFUNCTION("""COMPUTED_VALUE"""),"")</f>
        <v/>
      </c>
      <c r="AZ167" s="5" t="str">
        <f>IFERROR(__xludf.DUMMYFUNCTION("""COMPUTED_VALUE"""),"")</f>
        <v/>
      </c>
      <c r="BA167" s="5" t="str">
        <f>IFERROR(__xludf.DUMMYFUNCTION("""COMPUTED_VALUE"""),"")</f>
        <v/>
      </c>
      <c r="BB167" s="5" t="str">
        <f>IFERROR(__xludf.DUMMYFUNCTION("""COMPUTED_VALUE"""),"")</f>
        <v/>
      </c>
      <c r="BC167" s="5" t="str">
        <f>IFERROR(__xludf.DUMMYFUNCTION("""COMPUTED_VALUE"""),"")</f>
        <v/>
      </c>
      <c r="BD167" s="5" t="str">
        <f>IFERROR(__xludf.DUMMYFUNCTION("""COMPUTED_VALUE"""),"")</f>
        <v/>
      </c>
      <c r="BE167" s="5" t="str">
        <f>IFERROR(__xludf.DUMMYFUNCTION("""COMPUTED_VALUE"""),"")</f>
        <v/>
      </c>
      <c r="BF167" s="5" t="str">
        <f>IFERROR(__xludf.DUMMYFUNCTION("""COMPUTED_VALUE"""),"")</f>
        <v/>
      </c>
      <c r="BG167" s="5" t="str">
        <f>IFERROR(__xludf.DUMMYFUNCTION("""COMPUTED_VALUE"""),"")</f>
        <v/>
      </c>
      <c r="BH167" s="5" t="str">
        <f>IFERROR(__xludf.DUMMYFUNCTION("""COMPUTED_VALUE"""),"")</f>
        <v/>
      </c>
      <c r="BI167" s="5" t="str">
        <f>IFERROR(__xludf.DUMMYFUNCTION("""COMPUTED_VALUE"""),"")</f>
        <v/>
      </c>
      <c r="BJ167" s="5" t="str">
        <f>IFERROR(__xludf.DUMMYFUNCTION("""COMPUTED_VALUE"""),"")</f>
        <v/>
      </c>
      <c r="BK167" s="5" t="str">
        <f>IFERROR(__xludf.DUMMYFUNCTION("""COMPUTED_VALUE"""),"")</f>
        <v/>
      </c>
      <c r="BL167" s="5" t="str">
        <f>IFERROR(__xludf.DUMMYFUNCTION("""COMPUTED_VALUE"""),"")</f>
        <v/>
      </c>
      <c r="BM167" s="5" t="str">
        <f>IFERROR(__xludf.DUMMYFUNCTION("""COMPUTED_VALUE"""),"")</f>
        <v/>
      </c>
    </row>
    <row r="168">
      <c r="A168" s="5" t="str">
        <f>IFERROR(__xludf.DUMMYFUNCTION("""COMPUTED_VALUE"""),"Fazi")</f>
        <v>Fazi</v>
      </c>
      <c r="B168" s="5" t="str">
        <f>IFERROR(__xludf.DUMMYFUNCTION("""COMPUTED_VALUE"""),"Golden Crown Max Booster")</f>
        <v>Golden Crown Max Booster</v>
      </c>
      <c r="C168" s="5" t="str">
        <f>IFERROR(__xludf.DUMMYFUNCTION("""COMPUTED_VALUE"""),"GoldenCrownMaxBooster")</f>
        <v>GoldenCrownMaxBooster</v>
      </c>
      <c r="D168" s="6">
        <f>IFERROR(__xludf.DUMMYFUNCTION("""COMPUTED_VALUE"""),45855.0)</f>
        <v>45855</v>
      </c>
      <c r="E168" s="5" t="str">
        <f>IFERROR(__xludf.DUMMYFUNCTION("""COMPUTED_VALUE"""),"Slot")</f>
        <v>Slot</v>
      </c>
      <c r="F168" s="5">
        <f>IFERROR(__xludf.DUMMYFUNCTION("""COMPUTED_VALUE"""),19.0)</f>
        <v>19</v>
      </c>
      <c r="G168" s="5" t="str">
        <f>IFERROR(__xludf.DUMMYFUNCTION("""COMPUTED_VALUE"""),"5x4")</f>
        <v>5x4</v>
      </c>
      <c r="H168" s="5">
        <f>IFERROR(__xludf.DUMMYFUNCTION("""COMPUTED_VALUE"""),40.0)</f>
        <v>40</v>
      </c>
      <c r="I168" s="5">
        <f>IFERROR(__xludf.DUMMYFUNCTION("""COMPUTED_VALUE"""),40.0)</f>
        <v>40</v>
      </c>
      <c r="J168" s="5" t="str">
        <f>IFERROR(__xludf.DUMMYFUNCTION("""COMPUTED_VALUE"""),"96.483%")</f>
        <v>96.483%</v>
      </c>
      <c r="K168" s="5" t="str">
        <f>IFERROR(__xludf.DUMMYFUNCTION("""COMPUTED_VALUE"""),"High")</f>
        <v>High</v>
      </c>
      <c r="L168" s="5" t="str">
        <f>IFERROR(__xludf.DUMMYFUNCTION("""COMPUTED_VALUE"""),"12.5%")</f>
        <v>12.5%</v>
      </c>
      <c r="M168" s="5" t="str">
        <f>IFERROR(__xludf.DUMMYFUNCTION("""COMPUTED_VALUE"""),"x5000")</f>
        <v>x5000</v>
      </c>
      <c r="N168" s="5" t="str">
        <f>IFERROR(__xludf.DUMMYFUNCTION("""COMPUTED_VALUE"""),"0.4/40")</f>
        <v>0.4/40</v>
      </c>
      <c r="O168" s="5" t="str">
        <f>IFERROR(__xludf.DUMMYFUNCTION("""COMPUTED_VALUE"""),"Yes")</f>
        <v>Yes</v>
      </c>
      <c r="P168" s="5" t="str">
        <f>IFERROR(__xludf.DUMMYFUNCTION("""COMPUTED_VALUE"""),"Buy Feature, Expanding Wild, Scatter")</f>
        <v>Buy Feature, Expanding Wild, Scatter</v>
      </c>
      <c r="Q168" s="7" t="str">
        <f>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R168" s="5" t="str">
        <f>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S1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8" s="5" t="str">
        <f>IFERROR(__xludf.DUMMYFUNCTION("""COMPUTED_VALUE"""),"Yes")</f>
        <v>Yes</v>
      </c>
      <c r="U168" s="5" t="str">
        <f>IFERROR(__xludf.DUMMYFUNCTION("""COMPUTED_VALUE"""),"Yes")</f>
        <v>Yes</v>
      </c>
      <c r="V168" s="5" t="str">
        <f>IFERROR(__xludf.DUMMYFUNCTION("""COMPUTED_VALUE"""),"Yes")</f>
        <v>Yes</v>
      </c>
      <c r="W168" s="5" t="str">
        <f>IFERROR(__xludf.DUMMYFUNCTION("""COMPUTED_VALUE"""),"Yes")</f>
        <v>Yes</v>
      </c>
      <c r="X168" s="5" t="str">
        <f>IFERROR(__xludf.DUMMYFUNCTION("""COMPUTED_VALUE"""),"Yes")</f>
        <v>Yes</v>
      </c>
      <c r="Y168" s="5" t="str">
        <f>IFERROR(__xludf.DUMMYFUNCTION("""COMPUTED_VALUE"""),"Yes")</f>
        <v>Yes</v>
      </c>
      <c r="Z168" s="5" t="str">
        <f>IFERROR(__xludf.DUMMYFUNCTION("""COMPUTED_VALUE"""),"Yes")</f>
        <v>Yes</v>
      </c>
      <c r="AA168" s="5" t="str">
        <f>IFERROR(__xludf.DUMMYFUNCTION("""COMPUTED_VALUE"""),"Yes")</f>
        <v>Yes</v>
      </c>
      <c r="AB168" s="5" t="str">
        <f>IFERROR(__xludf.DUMMYFUNCTION("""COMPUTED_VALUE"""),"Yes")</f>
        <v>Yes</v>
      </c>
      <c r="AC168" s="5" t="str">
        <f>IFERROR(__xludf.DUMMYFUNCTION("""COMPUTED_VALUE"""),"Yes")</f>
        <v>Yes</v>
      </c>
      <c r="AD168" s="5" t="str">
        <f>IFERROR(__xludf.DUMMYFUNCTION("""COMPUTED_VALUE"""),"Yes")</f>
        <v>Yes</v>
      </c>
      <c r="AE168" s="5" t="str">
        <f>IFERROR(__xludf.DUMMYFUNCTION("""COMPUTED_VALUE"""),"Yes")</f>
        <v>Yes</v>
      </c>
      <c r="AF168" s="5" t="str">
        <f>IFERROR(__xludf.DUMMYFUNCTION("""COMPUTED_VALUE"""),"Yes")</f>
        <v>Yes</v>
      </c>
      <c r="AG168" s="5" t="str">
        <f>IFERROR(__xludf.DUMMYFUNCTION("""COMPUTED_VALUE"""),"Yes")</f>
        <v>Yes</v>
      </c>
      <c r="AH168" s="5" t="str">
        <f>IFERROR(__xludf.DUMMYFUNCTION("""COMPUTED_VALUE"""),"Yes")</f>
        <v>Yes</v>
      </c>
      <c r="AI168" s="5" t="str">
        <f>IFERROR(__xludf.DUMMYFUNCTION("""COMPUTED_VALUE"""),"Yes")</f>
        <v>Yes</v>
      </c>
      <c r="AJ168" s="5" t="str">
        <f>IFERROR(__xludf.DUMMYFUNCTION("""COMPUTED_VALUE"""),"Yes")</f>
        <v>Yes</v>
      </c>
      <c r="AK168" s="5" t="str">
        <f>IFERROR(__xludf.DUMMYFUNCTION("""COMPUTED_VALUE"""),"Yes")</f>
        <v>Yes</v>
      </c>
      <c r="AL168" s="5" t="str">
        <f>IFERROR(__xludf.DUMMYFUNCTION("""COMPUTED_VALUE"""),"Yes")</f>
        <v>Yes</v>
      </c>
      <c r="AM168" s="5" t="str">
        <f>IFERROR(__xludf.DUMMYFUNCTION("""COMPUTED_VALUE"""),"Yes")</f>
        <v>Yes</v>
      </c>
      <c r="AN168" s="5" t="str">
        <f>IFERROR(__xludf.DUMMYFUNCTION("""COMPUTED_VALUE"""),"Yes")</f>
        <v>Yes</v>
      </c>
      <c r="AO168" s="5" t="str">
        <f>IFERROR(__xludf.DUMMYFUNCTION("""COMPUTED_VALUE"""),"Yes")</f>
        <v>Yes</v>
      </c>
      <c r="AP168" s="5" t="str">
        <f>IFERROR(__xludf.DUMMYFUNCTION("""COMPUTED_VALUE"""),"Yes")</f>
        <v>Yes</v>
      </c>
      <c r="AQ168" s="5" t="str">
        <f>IFERROR(__xludf.DUMMYFUNCTION("""COMPUTED_VALUE"""),"Yes")</f>
        <v>Yes</v>
      </c>
      <c r="AR168" s="5" t="str">
        <f>IFERROR(__xludf.DUMMYFUNCTION("""COMPUTED_VALUE"""),"Yes")</f>
        <v>Yes</v>
      </c>
      <c r="AS168" s="5" t="str">
        <f>IFERROR(__xludf.DUMMYFUNCTION("""COMPUTED_VALUE"""),"Yes")</f>
        <v>Yes</v>
      </c>
      <c r="AT168" s="5" t="str">
        <f>IFERROR(__xludf.DUMMYFUNCTION("""COMPUTED_VALUE"""),"No")</f>
        <v>No</v>
      </c>
      <c r="AU168" s="5"/>
      <c r="AV168" s="5" t="str">
        <f>IFERROR(__xludf.DUMMYFUNCTION("""COMPUTED_VALUE"""),"")</f>
        <v/>
      </c>
      <c r="AW168" s="5" t="str">
        <f>IFERROR(__xludf.DUMMYFUNCTION("""COMPUTED_VALUE"""),"")</f>
        <v/>
      </c>
      <c r="AX168" s="5" t="str">
        <f>IFERROR(__xludf.DUMMYFUNCTION("""COMPUTED_VALUE"""),"")</f>
        <v/>
      </c>
      <c r="AY168" s="5" t="str">
        <f>IFERROR(__xludf.DUMMYFUNCTION("""COMPUTED_VALUE"""),"")</f>
        <v/>
      </c>
      <c r="AZ168" s="5" t="str">
        <f>IFERROR(__xludf.DUMMYFUNCTION("""COMPUTED_VALUE"""),"")</f>
        <v/>
      </c>
      <c r="BA168" s="5" t="str">
        <f>IFERROR(__xludf.DUMMYFUNCTION("""COMPUTED_VALUE"""),"")</f>
        <v/>
      </c>
      <c r="BB168" s="5" t="str">
        <f>IFERROR(__xludf.DUMMYFUNCTION("""COMPUTED_VALUE"""),"")</f>
        <v/>
      </c>
      <c r="BC168" s="5" t="str">
        <f>IFERROR(__xludf.DUMMYFUNCTION("""COMPUTED_VALUE"""),"")</f>
        <v/>
      </c>
      <c r="BD168" s="5" t="str">
        <f>IFERROR(__xludf.DUMMYFUNCTION("""COMPUTED_VALUE"""),"")</f>
        <v/>
      </c>
      <c r="BE168" s="5" t="str">
        <f>IFERROR(__xludf.DUMMYFUNCTION("""COMPUTED_VALUE"""),"")</f>
        <v/>
      </c>
      <c r="BF168" s="5" t="str">
        <f>IFERROR(__xludf.DUMMYFUNCTION("""COMPUTED_VALUE"""),"")</f>
        <v/>
      </c>
      <c r="BG168" s="5" t="str">
        <f>IFERROR(__xludf.DUMMYFUNCTION("""COMPUTED_VALUE"""),"")</f>
        <v/>
      </c>
      <c r="BH168" s="5" t="str">
        <f>IFERROR(__xludf.DUMMYFUNCTION("""COMPUTED_VALUE"""),"")</f>
        <v/>
      </c>
      <c r="BI168" s="5" t="str">
        <f>IFERROR(__xludf.DUMMYFUNCTION("""COMPUTED_VALUE"""),"")</f>
        <v/>
      </c>
      <c r="BJ168" s="5" t="str">
        <f>IFERROR(__xludf.DUMMYFUNCTION("""COMPUTED_VALUE"""),"")</f>
        <v/>
      </c>
      <c r="BK168" s="5" t="str">
        <f>IFERROR(__xludf.DUMMYFUNCTION("""COMPUTED_VALUE"""),"")</f>
        <v/>
      </c>
      <c r="BL168" s="5" t="str">
        <f>IFERROR(__xludf.DUMMYFUNCTION("""COMPUTED_VALUE"""),"")</f>
        <v/>
      </c>
      <c r="BM168" s="5" t="str">
        <f>IFERROR(__xludf.DUMMYFUNCTION("""COMPUTED_VALUE"""),"")</f>
        <v/>
      </c>
    </row>
    <row r="169">
      <c r="A169" s="5" t="str">
        <f>IFERROR(__xludf.DUMMYFUNCTION("""COMPUTED_VALUE"""),"Fazi")</f>
        <v>Fazi</v>
      </c>
      <c r="B169" s="5" t="str">
        <f>IFERROR(__xludf.DUMMYFUNCTION("""COMPUTED_VALUE"""),"Very Hot 40 Booster")</f>
        <v>Very Hot 40 Booster</v>
      </c>
      <c r="C169" s="5" t="str">
        <f>IFERROR(__xludf.DUMMYFUNCTION("""COMPUTED_VALUE"""),"VeryHot40Booster")</f>
        <v>VeryHot40Booster</v>
      </c>
      <c r="D169" s="6">
        <f>IFERROR(__xludf.DUMMYFUNCTION("""COMPUTED_VALUE"""),45848.0)</f>
        <v>45848</v>
      </c>
      <c r="E169" s="5" t="str">
        <f>IFERROR(__xludf.DUMMYFUNCTION("""COMPUTED_VALUE"""),"Slot")</f>
        <v>Slot</v>
      </c>
      <c r="F169" s="5">
        <f>IFERROR(__xludf.DUMMYFUNCTION("""COMPUTED_VALUE"""),18.5)</f>
        <v>18.5</v>
      </c>
      <c r="G169" s="5" t="str">
        <f>IFERROR(__xludf.DUMMYFUNCTION("""COMPUTED_VALUE"""),"5x3")</f>
        <v>5x3</v>
      </c>
      <c r="H169" s="5">
        <f>IFERROR(__xludf.DUMMYFUNCTION("""COMPUTED_VALUE"""),40.0)</f>
        <v>40</v>
      </c>
      <c r="I169" s="5">
        <f>IFERROR(__xludf.DUMMYFUNCTION("""COMPUTED_VALUE"""),40.0)</f>
        <v>40</v>
      </c>
      <c r="J169" s="5" t="str">
        <f>IFERROR(__xludf.DUMMYFUNCTION("""COMPUTED_VALUE"""),"96.53%")</f>
        <v>96.53%</v>
      </c>
      <c r="K169" s="5" t="str">
        <f>IFERROR(__xludf.DUMMYFUNCTION("""COMPUTED_VALUE"""),"Low")</f>
        <v>Low</v>
      </c>
      <c r="L169" s="5" t="str">
        <f>IFERROR(__xludf.DUMMYFUNCTION("""COMPUTED_VALUE"""),"23.38%")</f>
        <v>23.38%</v>
      </c>
      <c r="M169" s="5" t="str">
        <f>IFERROR(__xludf.DUMMYFUNCTION("""COMPUTED_VALUE"""),"x876.75")</f>
        <v>x876.75</v>
      </c>
      <c r="N169" s="5" t="str">
        <f>IFERROR(__xludf.DUMMYFUNCTION("""COMPUTED_VALUE"""),"0.4/40")</f>
        <v>0.4/40</v>
      </c>
      <c r="O169" s="5" t="str">
        <f>IFERROR(__xludf.DUMMYFUNCTION("""COMPUTED_VALUE"""),"Yes")</f>
        <v>Yes</v>
      </c>
      <c r="P169" s="5" t="str">
        <f>IFERROR(__xludf.DUMMYFUNCTION("""COMPUTED_VALUE"""),"Buy Feature")</f>
        <v>Buy Feature</v>
      </c>
      <c r="Q169" s="7" t="str">
        <f>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R169" s="5" t="str">
        <f>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S1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9" s="5" t="str">
        <f>IFERROR(__xludf.DUMMYFUNCTION("""COMPUTED_VALUE"""),"Yes")</f>
        <v>Yes</v>
      </c>
      <c r="U169" s="5" t="str">
        <f>IFERROR(__xludf.DUMMYFUNCTION("""COMPUTED_VALUE"""),"Yes")</f>
        <v>Yes</v>
      </c>
      <c r="V169" s="5" t="str">
        <f>IFERROR(__xludf.DUMMYFUNCTION("""COMPUTED_VALUE"""),"Yes")</f>
        <v>Yes</v>
      </c>
      <c r="W169" s="5" t="str">
        <f>IFERROR(__xludf.DUMMYFUNCTION("""COMPUTED_VALUE"""),"Yes")</f>
        <v>Yes</v>
      </c>
      <c r="X169" s="5" t="str">
        <f>IFERROR(__xludf.DUMMYFUNCTION("""COMPUTED_VALUE"""),"Yes")</f>
        <v>Yes</v>
      </c>
      <c r="Y169" s="5" t="str">
        <f>IFERROR(__xludf.DUMMYFUNCTION("""COMPUTED_VALUE"""),"Yes")</f>
        <v>Yes</v>
      </c>
      <c r="Z169" s="5" t="str">
        <f>IFERROR(__xludf.DUMMYFUNCTION("""COMPUTED_VALUE"""),"Yes")</f>
        <v>Yes</v>
      </c>
      <c r="AA169" s="5" t="str">
        <f>IFERROR(__xludf.DUMMYFUNCTION("""COMPUTED_VALUE"""),"Yes")</f>
        <v>Yes</v>
      </c>
      <c r="AB169" s="5" t="str">
        <f>IFERROR(__xludf.DUMMYFUNCTION("""COMPUTED_VALUE"""),"Yes")</f>
        <v>Yes</v>
      </c>
      <c r="AC169" s="5" t="str">
        <f>IFERROR(__xludf.DUMMYFUNCTION("""COMPUTED_VALUE"""),"Yes")</f>
        <v>Yes</v>
      </c>
      <c r="AD169" s="5" t="str">
        <f>IFERROR(__xludf.DUMMYFUNCTION("""COMPUTED_VALUE"""),"Yes")</f>
        <v>Yes</v>
      </c>
      <c r="AE169" s="5" t="str">
        <f>IFERROR(__xludf.DUMMYFUNCTION("""COMPUTED_VALUE"""),"Yes")</f>
        <v>Yes</v>
      </c>
      <c r="AF169" s="5" t="str">
        <f>IFERROR(__xludf.DUMMYFUNCTION("""COMPUTED_VALUE"""),"Yes")</f>
        <v>Yes</v>
      </c>
      <c r="AG169" s="5" t="str">
        <f>IFERROR(__xludf.DUMMYFUNCTION("""COMPUTED_VALUE"""),"Yes")</f>
        <v>Yes</v>
      </c>
      <c r="AH169" s="5" t="str">
        <f>IFERROR(__xludf.DUMMYFUNCTION("""COMPUTED_VALUE"""),"Yes")</f>
        <v>Yes</v>
      </c>
      <c r="AI169" s="5" t="str">
        <f>IFERROR(__xludf.DUMMYFUNCTION("""COMPUTED_VALUE"""),"Yes")</f>
        <v>Yes</v>
      </c>
      <c r="AJ169" s="5" t="str">
        <f>IFERROR(__xludf.DUMMYFUNCTION("""COMPUTED_VALUE"""),"Yes")</f>
        <v>Yes</v>
      </c>
      <c r="AK169" s="5" t="str">
        <f>IFERROR(__xludf.DUMMYFUNCTION("""COMPUTED_VALUE"""),"Yes")</f>
        <v>Yes</v>
      </c>
      <c r="AL169" s="5" t="str">
        <f>IFERROR(__xludf.DUMMYFUNCTION("""COMPUTED_VALUE"""),"Yes")</f>
        <v>Yes</v>
      </c>
      <c r="AM169" s="5" t="str">
        <f>IFERROR(__xludf.DUMMYFUNCTION("""COMPUTED_VALUE"""),"Yes")</f>
        <v>Yes</v>
      </c>
      <c r="AN169" s="5" t="str">
        <f>IFERROR(__xludf.DUMMYFUNCTION("""COMPUTED_VALUE"""),"Yes")</f>
        <v>Yes</v>
      </c>
      <c r="AO169" s="5" t="str">
        <f>IFERROR(__xludf.DUMMYFUNCTION("""COMPUTED_VALUE"""),"Yes")</f>
        <v>Yes</v>
      </c>
      <c r="AP169" s="5" t="str">
        <f>IFERROR(__xludf.DUMMYFUNCTION("""COMPUTED_VALUE"""),"Yes")</f>
        <v>Yes</v>
      </c>
      <c r="AQ169" s="5" t="str">
        <f>IFERROR(__xludf.DUMMYFUNCTION("""COMPUTED_VALUE"""),"Yes")</f>
        <v>Yes</v>
      </c>
      <c r="AR169" s="5" t="str">
        <f>IFERROR(__xludf.DUMMYFUNCTION("""COMPUTED_VALUE"""),"Yes")</f>
        <v>Yes</v>
      </c>
      <c r="AS169" s="5" t="str">
        <f>IFERROR(__xludf.DUMMYFUNCTION("""COMPUTED_VALUE"""),"Yes")</f>
        <v>Yes</v>
      </c>
      <c r="AT169" s="5" t="str">
        <f>IFERROR(__xludf.DUMMYFUNCTION("""COMPUTED_VALUE"""),"No")</f>
        <v>No</v>
      </c>
      <c r="AU169" s="5"/>
      <c r="AV169" s="5" t="str">
        <f>IFERROR(__xludf.DUMMYFUNCTION("""COMPUTED_VALUE"""),"")</f>
        <v/>
      </c>
      <c r="AW169" s="5" t="str">
        <f>IFERROR(__xludf.DUMMYFUNCTION("""COMPUTED_VALUE"""),"")</f>
        <v/>
      </c>
      <c r="AX169" s="5" t="str">
        <f>IFERROR(__xludf.DUMMYFUNCTION("""COMPUTED_VALUE"""),"")</f>
        <v/>
      </c>
      <c r="AY169" s="5" t="str">
        <f>IFERROR(__xludf.DUMMYFUNCTION("""COMPUTED_VALUE"""),"")</f>
        <v/>
      </c>
      <c r="AZ169" s="5" t="str">
        <f>IFERROR(__xludf.DUMMYFUNCTION("""COMPUTED_VALUE"""),"")</f>
        <v/>
      </c>
      <c r="BA169" s="5" t="str">
        <f>IFERROR(__xludf.DUMMYFUNCTION("""COMPUTED_VALUE"""),"")</f>
        <v/>
      </c>
      <c r="BB169" s="5" t="str">
        <f>IFERROR(__xludf.DUMMYFUNCTION("""COMPUTED_VALUE"""),"")</f>
        <v/>
      </c>
      <c r="BC169" s="5" t="str">
        <f>IFERROR(__xludf.DUMMYFUNCTION("""COMPUTED_VALUE"""),"")</f>
        <v/>
      </c>
      <c r="BD169" s="5" t="str">
        <f>IFERROR(__xludf.DUMMYFUNCTION("""COMPUTED_VALUE"""),"")</f>
        <v/>
      </c>
      <c r="BE169" s="5" t="str">
        <f>IFERROR(__xludf.DUMMYFUNCTION("""COMPUTED_VALUE"""),"")</f>
        <v/>
      </c>
      <c r="BF169" s="5" t="str">
        <f>IFERROR(__xludf.DUMMYFUNCTION("""COMPUTED_VALUE"""),"")</f>
        <v/>
      </c>
      <c r="BG169" s="5" t="str">
        <f>IFERROR(__xludf.DUMMYFUNCTION("""COMPUTED_VALUE"""),"")</f>
        <v/>
      </c>
      <c r="BH169" s="5" t="str">
        <f>IFERROR(__xludf.DUMMYFUNCTION("""COMPUTED_VALUE"""),"")</f>
        <v/>
      </c>
      <c r="BI169" s="5" t="str">
        <f>IFERROR(__xludf.DUMMYFUNCTION("""COMPUTED_VALUE"""),"")</f>
        <v/>
      </c>
      <c r="BJ169" s="5" t="str">
        <f>IFERROR(__xludf.DUMMYFUNCTION("""COMPUTED_VALUE"""),"")</f>
        <v/>
      </c>
      <c r="BK169" s="5" t="str">
        <f>IFERROR(__xludf.DUMMYFUNCTION("""COMPUTED_VALUE"""),"")</f>
        <v/>
      </c>
      <c r="BL169" s="5" t="str">
        <f>IFERROR(__xludf.DUMMYFUNCTION("""COMPUTED_VALUE"""),"")</f>
        <v/>
      </c>
      <c r="BM169" s="5" t="str">
        <f>IFERROR(__xludf.DUMMYFUNCTION("""COMPUTED_VALUE"""),"")</f>
        <v/>
      </c>
    </row>
    <row r="170">
      <c r="A170" s="5" t="str">
        <f>IFERROR(__xludf.DUMMYFUNCTION("""COMPUTED_VALUE"""),"Fazi")</f>
        <v>Fazi</v>
      </c>
      <c r="B170" s="5" t="str">
        <f>IFERROR(__xludf.DUMMYFUNCTION("""COMPUTED_VALUE"""),"Golden Crown 40 Booster")</f>
        <v>Golden Crown 40 Booster</v>
      </c>
      <c r="C170" s="5" t="str">
        <f>IFERROR(__xludf.DUMMYFUNCTION("""COMPUTED_VALUE"""),"GoldenCrown40Booster")</f>
        <v>GoldenCrown40Booster</v>
      </c>
      <c r="D170" s="6">
        <f>IFERROR(__xludf.DUMMYFUNCTION("""COMPUTED_VALUE"""),45883.0)</f>
        <v>45883</v>
      </c>
      <c r="E170" s="5" t="str">
        <f>IFERROR(__xludf.DUMMYFUNCTION("""COMPUTED_VALUE"""),"Slot")</f>
        <v>Slot</v>
      </c>
      <c r="F170" s="5">
        <f>IFERROR(__xludf.DUMMYFUNCTION("""COMPUTED_VALUE"""),17.4)</f>
        <v>17.4</v>
      </c>
      <c r="G170" s="5" t="str">
        <f>IFERROR(__xludf.DUMMYFUNCTION("""COMPUTED_VALUE"""),"5x3")</f>
        <v>5x3</v>
      </c>
      <c r="H170" s="5">
        <f>IFERROR(__xludf.DUMMYFUNCTION("""COMPUTED_VALUE"""),40.0)</f>
        <v>40</v>
      </c>
      <c r="I170" s="5">
        <f>IFERROR(__xludf.DUMMYFUNCTION("""COMPUTED_VALUE"""),40.0)</f>
        <v>40</v>
      </c>
      <c r="J170" s="5" t="str">
        <f>IFERROR(__xludf.DUMMYFUNCTION("""COMPUTED_VALUE"""),"95.962%")</f>
        <v>95.962%</v>
      </c>
      <c r="K170" s="5" t="str">
        <f>IFERROR(__xludf.DUMMYFUNCTION("""COMPUTED_VALUE"""),"Medium")</f>
        <v>Medium</v>
      </c>
      <c r="L170" s="5" t="str">
        <f>IFERROR(__xludf.DUMMYFUNCTION("""COMPUTED_VALUE"""),"18.35%")</f>
        <v>18.35%</v>
      </c>
      <c r="M170" s="5" t="str">
        <f>IFERROR(__xludf.DUMMYFUNCTION("""COMPUTED_VALUE"""),"x1420.25")</f>
        <v>x1420.25</v>
      </c>
      <c r="N170" s="5" t="str">
        <f>IFERROR(__xludf.DUMMYFUNCTION("""COMPUTED_VALUE"""),"0.4/50")</f>
        <v>0.4/50</v>
      </c>
      <c r="O170" s="5" t="str">
        <f>IFERROR(__xludf.DUMMYFUNCTION("""COMPUTED_VALUE"""),"Yes")</f>
        <v>Yes</v>
      </c>
      <c r="P170" s="5" t="str">
        <f>IFERROR(__xludf.DUMMYFUNCTION("""COMPUTED_VALUE"""),"Expanding Wild, Scatter, Buy Feature")</f>
        <v>Expanding Wild, Scatter, Buy Feature</v>
      </c>
      <c r="Q170"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R170" s="5" t="str">
        <f>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S1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0" s="5" t="str">
        <f>IFERROR(__xludf.DUMMYFUNCTION("""COMPUTED_VALUE"""),"Yes")</f>
        <v>Yes</v>
      </c>
      <c r="U170" s="5" t="str">
        <f>IFERROR(__xludf.DUMMYFUNCTION("""COMPUTED_VALUE"""),"Yes")</f>
        <v>Yes</v>
      </c>
      <c r="V170" s="5" t="str">
        <f>IFERROR(__xludf.DUMMYFUNCTION("""COMPUTED_VALUE"""),"Yes")</f>
        <v>Yes</v>
      </c>
      <c r="W170" s="5" t="str">
        <f>IFERROR(__xludf.DUMMYFUNCTION("""COMPUTED_VALUE"""),"Yes")</f>
        <v>Yes</v>
      </c>
      <c r="X170" s="5" t="str">
        <f>IFERROR(__xludf.DUMMYFUNCTION("""COMPUTED_VALUE"""),"Yes")</f>
        <v>Yes</v>
      </c>
      <c r="Y170" s="5" t="str">
        <f>IFERROR(__xludf.DUMMYFUNCTION("""COMPUTED_VALUE"""),"Yes")</f>
        <v>Yes</v>
      </c>
      <c r="Z170" s="5" t="str">
        <f>IFERROR(__xludf.DUMMYFUNCTION("""COMPUTED_VALUE"""),"Yes")</f>
        <v>Yes</v>
      </c>
      <c r="AA170" s="5" t="str">
        <f>IFERROR(__xludf.DUMMYFUNCTION("""COMPUTED_VALUE"""),"Yes")</f>
        <v>Yes</v>
      </c>
      <c r="AB170" s="5" t="str">
        <f>IFERROR(__xludf.DUMMYFUNCTION("""COMPUTED_VALUE"""),"Yes")</f>
        <v>Yes</v>
      </c>
      <c r="AC170" s="5" t="str">
        <f>IFERROR(__xludf.DUMMYFUNCTION("""COMPUTED_VALUE"""),"Yes")</f>
        <v>Yes</v>
      </c>
      <c r="AD170" s="5" t="str">
        <f>IFERROR(__xludf.DUMMYFUNCTION("""COMPUTED_VALUE"""),"Yes")</f>
        <v>Yes</v>
      </c>
      <c r="AE170" s="5" t="str">
        <f>IFERROR(__xludf.DUMMYFUNCTION("""COMPUTED_VALUE"""),"Yes")</f>
        <v>Yes</v>
      </c>
      <c r="AF170" s="5" t="str">
        <f>IFERROR(__xludf.DUMMYFUNCTION("""COMPUTED_VALUE"""),"Yes")</f>
        <v>Yes</v>
      </c>
      <c r="AG170" s="5" t="str">
        <f>IFERROR(__xludf.DUMMYFUNCTION("""COMPUTED_VALUE"""),"Yes")</f>
        <v>Yes</v>
      </c>
      <c r="AH170" s="5" t="str">
        <f>IFERROR(__xludf.DUMMYFUNCTION("""COMPUTED_VALUE"""),"Yes")</f>
        <v>Yes</v>
      </c>
      <c r="AI170" s="5" t="str">
        <f>IFERROR(__xludf.DUMMYFUNCTION("""COMPUTED_VALUE"""),"Yes")</f>
        <v>Yes</v>
      </c>
      <c r="AJ170" s="5" t="str">
        <f>IFERROR(__xludf.DUMMYFUNCTION("""COMPUTED_VALUE"""),"Yes")</f>
        <v>Yes</v>
      </c>
      <c r="AK170" s="5" t="str">
        <f>IFERROR(__xludf.DUMMYFUNCTION("""COMPUTED_VALUE"""),"Yes")</f>
        <v>Yes</v>
      </c>
      <c r="AL170" s="5" t="str">
        <f>IFERROR(__xludf.DUMMYFUNCTION("""COMPUTED_VALUE"""),"Yes")</f>
        <v>Yes</v>
      </c>
      <c r="AM170" s="5" t="str">
        <f>IFERROR(__xludf.DUMMYFUNCTION("""COMPUTED_VALUE"""),"Yes")</f>
        <v>Yes</v>
      </c>
      <c r="AN170" s="5" t="str">
        <f>IFERROR(__xludf.DUMMYFUNCTION("""COMPUTED_VALUE"""),"Yes")</f>
        <v>Yes</v>
      </c>
      <c r="AO170" s="5" t="str">
        <f>IFERROR(__xludf.DUMMYFUNCTION("""COMPUTED_VALUE"""),"Yes")</f>
        <v>Yes</v>
      </c>
      <c r="AP170" s="5" t="str">
        <f>IFERROR(__xludf.DUMMYFUNCTION("""COMPUTED_VALUE"""),"Yes")</f>
        <v>Yes</v>
      </c>
      <c r="AQ170" s="5" t="str">
        <f>IFERROR(__xludf.DUMMYFUNCTION("""COMPUTED_VALUE"""),"Yes")</f>
        <v>Yes</v>
      </c>
      <c r="AR170" s="5" t="str">
        <f>IFERROR(__xludf.DUMMYFUNCTION("""COMPUTED_VALUE"""),"Yes")</f>
        <v>Yes</v>
      </c>
      <c r="AS170" s="5" t="str">
        <f>IFERROR(__xludf.DUMMYFUNCTION("""COMPUTED_VALUE"""),"Yes")</f>
        <v>Yes</v>
      </c>
      <c r="AT170" s="5" t="str">
        <f>IFERROR(__xludf.DUMMYFUNCTION("""COMPUTED_VALUE"""),"No")</f>
        <v>No</v>
      </c>
      <c r="AU170" s="5"/>
      <c r="AV170" s="5" t="str">
        <f>IFERROR(__xludf.DUMMYFUNCTION("""COMPUTED_VALUE"""),"")</f>
        <v/>
      </c>
      <c r="AW170" s="5" t="str">
        <f>IFERROR(__xludf.DUMMYFUNCTION("""COMPUTED_VALUE"""),"")</f>
        <v/>
      </c>
      <c r="AX170" s="5" t="str">
        <f>IFERROR(__xludf.DUMMYFUNCTION("""COMPUTED_VALUE"""),"")</f>
        <v/>
      </c>
      <c r="AY170" s="5" t="str">
        <f>IFERROR(__xludf.DUMMYFUNCTION("""COMPUTED_VALUE"""),"")</f>
        <v/>
      </c>
      <c r="AZ170" s="5" t="str">
        <f>IFERROR(__xludf.DUMMYFUNCTION("""COMPUTED_VALUE"""),"")</f>
        <v/>
      </c>
      <c r="BA170" s="5" t="str">
        <f>IFERROR(__xludf.DUMMYFUNCTION("""COMPUTED_VALUE"""),"")</f>
        <v/>
      </c>
      <c r="BB170" s="5" t="str">
        <f>IFERROR(__xludf.DUMMYFUNCTION("""COMPUTED_VALUE"""),"")</f>
        <v/>
      </c>
      <c r="BC170" s="5" t="str">
        <f>IFERROR(__xludf.DUMMYFUNCTION("""COMPUTED_VALUE"""),"")</f>
        <v/>
      </c>
      <c r="BD170" s="5" t="str">
        <f>IFERROR(__xludf.DUMMYFUNCTION("""COMPUTED_VALUE"""),"")</f>
        <v/>
      </c>
      <c r="BE170" s="5" t="str">
        <f>IFERROR(__xludf.DUMMYFUNCTION("""COMPUTED_VALUE"""),"")</f>
        <v/>
      </c>
      <c r="BF170" s="5" t="str">
        <f>IFERROR(__xludf.DUMMYFUNCTION("""COMPUTED_VALUE"""),"")</f>
        <v/>
      </c>
      <c r="BG170" s="5" t="str">
        <f>IFERROR(__xludf.DUMMYFUNCTION("""COMPUTED_VALUE"""),"")</f>
        <v/>
      </c>
      <c r="BH170" s="5" t="str">
        <f>IFERROR(__xludf.DUMMYFUNCTION("""COMPUTED_VALUE"""),"")</f>
        <v/>
      </c>
      <c r="BI170" s="5" t="str">
        <f>IFERROR(__xludf.DUMMYFUNCTION("""COMPUTED_VALUE"""),"")</f>
        <v/>
      </c>
      <c r="BJ170" s="5" t="str">
        <f>IFERROR(__xludf.DUMMYFUNCTION("""COMPUTED_VALUE"""),"")</f>
        <v/>
      </c>
      <c r="BK170" s="5" t="str">
        <f>IFERROR(__xludf.DUMMYFUNCTION("""COMPUTED_VALUE"""),"")</f>
        <v/>
      </c>
      <c r="BL170" s="5" t="str">
        <f>IFERROR(__xludf.DUMMYFUNCTION("""COMPUTED_VALUE"""),"")</f>
        <v/>
      </c>
      <c r="BM170" s="5" t="str">
        <f>IFERROR(__xludf.DUMMYFUNCTION("""COMPUTED_VALUE"""),"")</f>
        <v/>
      </c>
    </row>
    <row r="171">
      <c r="A171" s="5" t="str">
        <f>IFERROR(__xludf.DUMMYFUNCTION("""COMPUTED_VALUE"""),"Fazi")</f>
        <v>Fazi</v>
      </c>
      <c r="B171" s="5" t="str">
        <f>IFERROR(__xludf.DUMMYFUNCTION("""COMPUTED_VALUE"""),"Brilliant Heart Booster")</f>
        <v>Brilliant Heart Booster</v>
      </c>
      <c r="C171" s="5" t="str">
        <f>IFERROR(__xludf.DUMMYFUNCTION("""COMPUTED_VALUE"""),"BrilliantHeartBooster")</f>
        <v>BrilliantHeartBooster</v>
      </c>
      <c r="D171" s="6">
        <f>IFERROR(__xludf.DUMMYFUNCTION("""COMPUTED_VALUE"""),45904.0)</f>
        <v>45904</v>
      </c>
      <c r="E171" s="5" t="str">
        <f>IFERROR(__xludf.DUMMYFUNCTION("""COMPUTED_VALUE"""),"Slot")</f>
        <v>Slot</v>
      </c>
      <c r="F171" s="5">
        <f>IFERROR(__xludf.DUMMYFUNCTION("""COMPUTED_VALUE"""),25.3)</f>
        <v>25.3</v>
      </c>
      <c r="G171" s="5" t="str">
        <f>IFERROR(__xludf.DUMMYFUNCTION("""COMPUTED_VALUE"""),"5x4")</f>
        <v>5x4</v>
      </c>
      <c r="H171" s="5">
        <f>IFERROR(__xludf.DUMMYFUNCTION("""COMPUTED_VALUE"""),40.0)</f>
        <v>40</v>
      </c>
      <c r="I171" s="5">
        <f>IFERROR(__xludf.DUMMYFUNCTION("""COMPUTED_VALUE"""),40.0)</f>
        <v>40</v>
      </c>
      <c r="J171" s="5" t="str">
        <f>IFERROR(__xludf.DUMMYFUNCTION("""COMPUTED_VALUE"""),"96.483%")</f>
        <v>96.483%</v>
      </c>
      <c r="K171" s="5" t="str">
        <f>IFERROR(__xludf.DUMMYFUNCTION("""COMPUTED_VALUE"""),"High")</f>
        <v>High</v>
      </c>
      <c r="L171" s="5" t="str">
        <f>IFERROR(__xludf.DUMMYFUNCTION("""COMPUTED_VALUE"""),"12.5%")</f>
        <v>12.5%</v>
      </c>
      <c r="M171" s="5" t="str">
        <f>IFERROR(__xludf.DUMMYFUNCTION("""COMPUTED_VALUE"""),"x5000")</f>
        <v>x5000</v>
      </c>
      <c r="N171" s="5" t="str">
        <f>IFERROR(__xludf.DUMMYFUNCTION("""COMPUTED_VALUE"""),"0.4/60")</f>
        <v>0.4/60</v>
      </c>
      <c r="O171" s="5" t="str">
        <f>IFERROR(__xludf.DUMMYFUNCTION("""COMPUTED_VALUE"""),"Yes")</f>
        <v>Yes</v>
      </c>
      <c r="P171" s="5" t="str">
        <f>IFERROR(__xludf.DUMMYFUNCTION("""COMPUTED_VALUE"""),"Buy Feature")</f>
        <v>Buy Feature</v>
      </c>
      <c r="Q171"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R171" s="5" t="str">
        <f>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S1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1" s="5" t="str">
        <f>IFERROR(__xludf.DUMMYFUNCTION("""COMPUTED_VALUE"""),"Yes")</f>
        <v>Yes</v>
      </c>
      <c r="U171" s="5" t="str">
        <f>IFERROR(__xludf.DUMMYFUNCTION("""COMPUTED_VALUE"""),"Yes")</f>
        <v>Yes</v>
      </c>
      <c r="V171" s="5" t="str">
        <f>IFERROR(__xludf.DUMMYFUNCTION("""COMPUTED_VALUE"""),"Yes")</f>
        <v>Yes</v>
      </c>
      <c r="W171" s="5" t="str">
        <f>IFERROR(__xludf.DUMMYFUNCTION("""COMPUTED_VALUE"""),"Yes")</f>
        <v>Yes</v>
      </c>
      <c r="X171" s="5" t="str">
        <f>IFERROR(__xludf.DUMMYFUNCTION("""COMPUTED_VALUE"""),"Yes")</f>
        <v>Yes</v>
      </c>
      <c r="Y171" s="5" t="str">
        <f>IFERROR(__xludf.DUMMYFUNCTION("""COMPUTED_VALUE"""),"Yes")</f>
        <v>Yes</v>
      </c>
      <c r="Z171" s="5" t="str">
        <f>IFERROR(__xludf.DUMMYFUNCTION("""COMPUTED_VALUE"""),"Yes")</f>
        <v>Yes</v>
      </c>
      <c r="AA171" s="5" t="str">
        <f>IFERROR(__xludf.DUMMYFUNCTION("""COMPUTED_VALUE"""),"Yes")</f>
        <v>Yes</v>
      </c>
      <c r="AB171" s="5" t="str">
        <f>IFERROR(__xludf.DUMMYFUNCTION("""COMPUTED_VALUE"""),"Yes")</f>
        <v>Yes</v>
      </c>
      <c r="AC171" s="5" t="str">
        <f>IFERROR(__xludf.DUMMYFUNCTION("""COMPUTED_VALUE"""),"Yes")</f>
        <v>Yes</v>
      </c>
      <c r="AD171" s="5" t="str">
        <f>IFERROR(__xludf.DUMMYFUNCTION("""COMPUTED_VALUE"""),"Yes")</f>
        <v>Yes</v>
      </c>
      <c r="AE171" s="5" t="str">
        <f>IFERROR(__xludf.DUMMYFUNCTION("""COMPUTED_VALUE"""),"Yes")</f>
        <v>Yes</v>
      </c>
      <c r="AF171" s="5" t="str">
        <f>IFERROR(__xludf.DUMMYFUNCTION("""COMPUTED_VALUE"""),"Yes")</f>
        <v>Yes</v>
      </c>
      <c r="AG171" s="5" t="str">
        <f>IFERROR(__xludf.DUMMYFUNCTION("""COMPUTED_VALUE"""),"Yes")</f>
        <v>Yes</v>
      </c>
      <c r="AH171" s="5" t="str">
        <f>IFERROR(__xludf.DUMMYFUNCTION("""COMPUTED_VALUE"""),"Yes")</f>
        <v>Yes</v>
      </c>
      <c r="AI171" s="5" t="str">
        <f>IFERROR(__xludf.DUMMYFUNCTION("""COMPUTED_VALUE"""),"Yes")</f>
        <v>Yes</v>
      </c>
      <c r="AJ171" s="5" t="str">
        <f>IFERROR(__xludf.DUMMYFUNCTION("""COMPUTED_VALUE"""),"Yes")</f>
        <v>Yes</v>
      </c>
      <c r="AK171" s="5" t="str">
        <f>IFERROR(__xludf.DUMMYFUNCTION("""COMPUTED_VALUE"""),"Yes")</f>
        <v>Yes</v>
      </c>
      <c r="AL171" s="5" t="str">
        <f>IFERROR(__xludf.DUMMYFUNCTION("""COMPUTED_VALUE"""),"Yes")</f>
        <v>Yes</v>
      </c>
      <c r="AM171" s="5" t="str">
        <f>IFERROR(__xludf.DUMMYFUNCTION("""COMPUTED_VALUE"""),"Yes")</f>
        <v>Yes</v>
      </c>
      <c r="AN171" s="5" t="str">
        <f>IFERROR(__xludf.DUMMYFUNCTION("""COMPUTED_VALUE"""),"Yes")</f>
        <v>Yes</v>
      </c>
      <c r="AO171" s="5" t="str">
        <f>IFERROR(__xludf.DUMMYFUNCTION("""COMPUTED_VALUE"""),"Yes")</f>
        <v>Yes</v>
      </c>
      <c r="AP171" s="5" t="str">
        <f>IFERROR(__xludf.DUMMYFUNCTION("""COMPUTED_VALUE"""),"Yes")</f>
        <v>Yes</v>
      </c>
      <c r="AQ171" s="5" t="str">
        <f>IFERROR(__xludf.DUMMYFUNCTION("""COMPUTED_VALUE"""),"Yes")</f>
        <v>Yes</v>
      </c>
      <c r="AR171" s="5" t="str">
        <f>IFERROR(__xludf.DUMMYFUNCTION("""COMPUTED_VALUE"""),"Yes")</f>
        <v>Yes</v>
      </c>
      <c r="AS171" s="5" t="str">
        <f>IFERROR(__xludf.DUMMYFUNCTION("""COMPUTED_VALUE"""),"Yes")</f>
        <v>Yes</v>
      </c>
      <c r="AT171" s="5" t="str">
        <f>IFERROR(__xludf.DUMMYFUNCTION("""COMPUTED_VALUE"""),"No")</f>
        <v>No</v>
      </c>
      <c r="AU171" s="5"/>
      <c r="AV171" s="5" t="str">
        <f>IFERROR(__xludf.DUMMYFUNCTION("""COMPUTED_VALUE"""),"")</f>
        <v/>
      </c>
      <c r="AW171" s="5" t="str">
        <f>IFERROR(__xludf.DUMMYFUNCTION("""COMPUTED_VALUE"""),"")</f>
        <v/>
      </c>
      <c r="AX171" s="5" t="str">
        <f>IFERROR(__xludf.DUMMYFUNCTION("""COMPUTED_VALUE"""),"")</f>
        <v/>
      </c>
      <c r="AY171" s="5" t="str">
        <f>IFERROR(__xludf.DUMMYFUNCTION("""COMPUTED_VALUE"""),"")</f>
        <v/>
      </c>
      <c r="AZ171" s="5" t="str">
        <f>IFERROR(__xludf.DUMMYFUNCTION("""COMPUTED_VALUE"""),"")</f>
        <v/>
      </c>
      <c r="BA171" s="5" t="str">
        <f>IFERROR(__xludf.DUMMYFUNCTION("""COMPUTED_VALUE"""),"")</f>
        <v/>
      </c>
      <c r="BB171" s="5" t="str">
        <f>IFERROR(__xludf.DUMMYFUNCTION("""COMPUTED_VALUE"""),"")</f>
        <v/>
      </c>
      <c r="BC171" s="5" t="str">
        <f>IFERROR(__xludf.DUMMYFUNCTION("""COMPUTED_VALUE"""),"")</f>
        <v/>
      </c>
      <c r="BD171" s="5" t="str">
        <f>IFERROR(__xludf.DUMMYFUNCTION("""COMPUTED_VALUE"""),"")</f>
        <v/>
      </c>
      <c r="BE171" s="5" t="str">
        <f>IFERROR(__xludf.DUMMYFUNCTION("""COMPUTED_VALUE"""),"")</f>
        <v/>
      </c>
      <c r="BF171" s="5" t="str">
        <f>IFERROR(__xludf.DUMMYFUNCTION("""COMPUTED_VALUE"""),"")</f>
        <v/>
      </c>
      <c r="BG171" s="5" t="str">
        <f>IFERROR(__xludf.DUMMYFUNCTION("""COMPUTED_VALUE"""),"")</f>
        <v/>
      </c>
      <c r="BH171" s="5" t="str">
        <f>IFERROR(__xludf.DUMMYFUNCTION("""COMPUTED_VALUE"""),"")</f>
        <v/>
      </c>
      <c r="BI171" s="5" t="str">
        <f>IFERROR(__xludf.DUMMYFUNCTION("""COMPUTED_VALUE"""),"")</f>
        <v/>
      </c>
      <c r="BJ171" s="5" t="str">
        <f>IFERROR(__xludf.DUMMYFUNCTION("""COMPUTED_VALUE"""),"")</f>
        <v/>
      </c>
      <c r="BK171" s="5" t="str">
        <f>IFERROR(__xludf.DUMMYFUNCTION("""COMPUTED_VALUE"""),"")</f>
        <v/>
      </c>
      <c r="BL171" s="5" t="str">
        <f>IFERROR(__xludf.DUMMYFUNCTION("""COMPUTED_VALUE"""),"")</f>
        <v/>
      </c>
      <c r="BM171" s="5" t="str">
        <f>IFERROR(__xludf.DUMMYFUNCTION("""COMPUTED_VALUE"""),"")</f>
        <v/>
      </c>
    </row>
    <row r="172">
      <c r="A172" s="5" t="str">
        <f>IFERROR(__xludf.DUMMYFUNCTION("""COMPUTED_VALUE"""),"Fazi")</f>
        <v>Fazi</v>
      </c>
      <c r="B172" s="5" t="str">
        <f>IFERROR(__xludf.DUMMYFUNCTION("""COMPUTED_VALUE"""),"Epic Clover 100 Booster")</f>
        <v>Epic Clover 100 Booster</v>
      </c>
      <c r="C172" s="5" t="str">
        <f>IFERROR(__xludf.DUMMYFUNCTION("""COMPUTED_VALUE"""),"EpicClover100Booster")</f>
        <v>EpicClover100Booster</v>
      </c>
      <c r="D172" s="6">
        <f>IFERROR(__xludf.DUMMYFUNCTION("""COMPUTED_VALUE"""),45876.0)</f>
        <v>45876</v>
      </c>
      <c r="E172" s="5" t="str">
        <f>IFERROR(__xludf.DUMMYFUNCTION("""COMPUTED_VALUE"""),"Slot")</f>
        <v>Slot</v>
      </c>
      <c r="F172" s="5">
        <f>IFERROR(__xludf.DUMMYFUNCTION("""COMPUTED_VALUE"""),25.3)</f>
        <v>25.3</v>
      </c>
      <c r="G172" s="5" t="str">
        <f>IFERROR(__xludf.DUMMYFUNCTION("""COMPUTED_VALUE"""),"5x4")</f>
        <v>5x4</v>
      </c>
      <c r="H172" s="5">
        <f>IFERROR(__xludf.DUMMYFUNCTION("""COMPUTED_VALUE"""),100.0)</f>
        <v>100</v>
      </c>
      <c r="I172" s="5">
        <f>IFERROR(__xludf.DUMMYFUNCTION("""COMPUTED_VALUE"""),100.0)</f>
        <v>100</v>
      </c>
      <c r="J172" s="5" t="str">
        <f>IFERROR(__xludf.DUMMYFUNCTION("""COMPUTED_VALUE"""),"96.502%")</f>
        <v>96.502%</v>
      </c>
      <c r="K172" s="5" t="str">
        <f>IFERROR(__xludf.DUMMYFUNCTION("""COMPUTED_VALUE"""),"Medium")</f>
        <v>Medium</v>
      </c>
      <c r="L172" s="5" t="str">
        <f>IFERROR(__xludf.DUMMYFUNCTION("""COMPUTED_VALUE"""),"13.309%")</f>
        <v>13.309%</v>
      </c>
      <c r="M172" s="5" t="str">
        <f>IFERROR(__xludf.DUMMYFUNCTION("""COMPUTED_VALUE"""),"x3000")</f>
        <v>x3000</v>
      </c>
      <c r="N172" s="5" t="str">
        <f>IFERROR(__xludf.DUMMYFUNCTION("""COMPUTED_VALUE"""),"1/100")</f>
        <v>1/100</v>
      </c>
      <c r="O172" s="5" t="str">
        <f>IFERROR(__xludf.DUMMYFUNCTION("""COMPUTED_VALUE"""),"Yes")</f>
        <v>Yes</v>
      </c>
      <c r="P172" s="5" t="str">
        <f>IFERROR(__xludf.DUMMYFUNCTION("""COMPUTED_VALUE"""),"Expanding Wild, Scatter")</f>
        <v>Expanding Wild, Scatter</v>
      </c>
      <c r="Q172" s="7" t="str">
        <f>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R172" s="5" t="str">
        <f>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S1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2" s="5" t="str">
        <f>IFERROR(__xludf.DUMMYFUNCTION("""COMPUTED_VALUE"""),"Yes")</f>
        <v>Yes</v>
      </c>
      <c r="U172" s="5" t="str">
        <f>IFERROR(__xludf.DUMMYFUNCTION("""COMPUTED_VALUE"""),"Yes")</f>
        <v>Yes</v>
      </c>
      <c r="V172" s="5" t="str">
        <f>IFERROR(__xludf.DUMMYFUNCTION("""COMPUTED_VALUE"""),"Yes")</f>
        <v>Yes</v>
      </c>
      <c r="W172" s="5" t="str">
        <f>IFERROR(__xludf.DUMMYFUNCTION("""COMPUTED_VALUE"""),"Yes")</f>
        <v>Yes</v>
      </c>
      <c r="X172" s="5" t="str">
        <f>IFERROR(__xludf.DUMMYFUNCTION("""COMPUTED_VALUE"""),"Yes")</f>
        <v>Yes</v>
      </c>
      <c r="Y172" s="5" t="str">
        <f>IFERROR(__xludf.DUMMYFUNCTION("""COMPUTED_VALUE"""),"Yes")</f>
        <v>Yes</v>
      </c>
      <c r="Z172" s="5" t="str">
        <f>IFERROR(__xludf.DUMMYFUNCTION("""COMPUTED_VALUE"""),"Yes")</f>
        <v>Yes</v>
      </c>
      <c r="AA172" s="5" t="str">
        <f>IFERROR(__xludf.DUMMYFUNCTION("""COMPUTED_VALUE"""),"Yes")</f>
        <v>Yes</v>
      </c>
      <c r="AB172" s="5" t="str">
        <f>IFERROR(__xludf.DUMMYFUNCTION("""COMPUTED_VALUE"""),"Yes")</f>
        <v>Yes</v>
      </c>
      <c r="AC172" s="5" t="str">
        <f>IFERROR(__xludf.DUMMYFUNCTION("""COMPUTED_VALUE"""),"Yes")</f>
        <v>Yes</v>
      </c>
      <c r="AD172" s="5" t="str">
        <f>IFERROR(__xludf.DUMMYFUNCTION("""COMPUTED_VALUE"""),"Yes")</f>
        <v>Yes</v>
      </c>
      <c r="AE172" s="5" t="str">
        <f>IFERROR(__xludf.DUMMYFUNCTION("""COMPUTED_VALUE"""),"Yes")</f>
        <v>Yes</v>
      </c>
      <c r="AF172" s="5" t="str">
        <f>IFERROR(__xludf.DUMMYFUNCTION("""COMPUTED_VALUE"""),"Yes")</f>
        <v>Yes</v>
      </c>
      <c r="AG172" s="5" t="str">
        <f>IFERROR(__xludf.DUMMYFUNCTION("""COMPUTED_VALUE"""),"Yes")</f>
        <v>Yes</v>
      </c>
      <c r="AH172" s="5" t="str">
        <f>IFERROR(__xludf.DUMMYFUNCTION("""COMPUTED_VALUE"""),"Yes")</f>
        <v>Yes</v>
      </c>
      <c r="AI172" s="5" t="str">
        <f>IFERROR(__xludf.DUMMYFUNCTION("""COMPUTED_VALUE"""),"Yes")</f>
        <v>Yes</v>
      </c>
      <c r="AJ172" s="5" t="str">
        <f>IFERROR(__xludf.DUMMYFUNCTION("""COMPUTED_VALUE"""),"Yes")</f>
        <v>Yes</v>
      </c>
      <c r="AK172" s="5" t="str">
        <f>IFERROR(__xludf.DUMMYFUNCTION("""COMPUTED_VALUE"""),"Yes")</f>
        <v>Yes</v>
      </c>
      <c r="AL172" s="5" t="str">
        <f>IFERROR(__xludf.DUMMYFUNCTION("""COMPUTED_VALUE"""),"Yes")</f>
        <v>Yes</v>
      </c>
      <c r="AM172" s="5" t="str">
        <f>IFERROR(__xludf.DUMMYFUNCTION("""COMPUTED_VALUE"""),"Yes")</f>
        <v>Yes</v>
      </c>
      <c r="AN172" s="5" t="str">
        <f>IFERROR(__xludf.DUMMYFUNCTION("""COMPUTED_VALUE"""),"Yes")</f>
        <v>Yes</v>
      </c>
      <c r="AO172" s="5" t="str">
        <f>IFERROR(__xludf.DUMMYFUNCTION("""COMPUTED_VALUE"""),"Yes")</f>
        <v>Yes</v>
      </c>
      <c r="AP172" s="5" t="str">
        <f>IFERROR(__xludf.DUMMYFUNCTION("""COMPUTED_VALUE"""),"Yes")</f>
        <v>Yes</v>
      </c>
      <c r="AQ172" s="5" t="str">
        <f>IFERROR(__xludf.DUMMYFUNCTION("""COMPUTED_VALUE"""),"Yes")</f>
        <v>Yes</v>
      </c>
      <c r="AR172" s="5" t="str">
        <f>IFERROR(__xludf.DUMMYFUNCTION("""COMPUTED_VALUE"""),"Yes")</f>
        <v>Yes</v>
      </c>
      <c r="AS172" s="5" t="str">
        <f>IFERROR(__xludf.DUMMYFUNCTION("""COMPUTED_VALUE"""),"Yes")</f>
        <v>Yes</v>
      </c>
      <c r="AT172" s="5" t="str">
        <f>IFERROR(__xludf.DUMMYFUNCTION("""COMPUTED_VALUE"""),"No")</f>
        <v>No</v>
      </c>
      <c r="AU172" s="5"/>
      <c r="AV172" s="5" t="str">
        <f>IFERROR(__xludf.DUMMYFUNCTION("""COMPUTED_VALUE"""),"")</f>
        <v/>
      </c>
      <c r="AW172" s="5" t="str">
        <f>IFERROR(__xludf.DUMMYFUNCTION("""COMPUTED_VALUE"""),"")</f>
        <v/>
      </c>
      <c r="AX172" s="5" t="str">
        <f>IFERROR(__xludf.DUMMYFUNCTION("""COMPUTED_VALUE"""),"")</f>
        <v/>
      </c>
      <c r="AY172" s="5" t="str">
        <f>IFERROR(__xludf.DUMMYFUNCTION("""COMPUTED_VALUE"""),"")</f>
        <v/>
      </c>
      <c r="AZ172" s="5" t="str">
        <f>IFERROR(__xludf.DUMMYFUNCTION("""COMPUTED_VALUE"""),"")</f>
        <v/>
      </c>
      <c r="BA172" s="5" t="str">
        <f>IFERROR(__xludf.DUMMYFUNCTION("""COMPUTED_VALUE"""),"")</f>
        <v/>
      </c>
      <c r="BB172" s="5" t="str">
        <f>IFERROR(__xludf.DUMMYFUNCTION("""COMPUTED_VALUE"""),"")</f>
        <v/>
      </c>
      <c r="BC172" s="5" t="str">
        <f>IFERROR(__xludf.DUMMYFUNCTION("""COMPUTED_VALUE"""),"")</f>
        <v/>
      </c>
      <c r="BD172" s="5" t="str">
        <f>IFERROR(__xludf.DUMMYFUNCTION("""COMPUTED_VALUE"""),"")</f>
        <v/>
      </c>
      <c r="BE172" s="5" t="str">
        <f>IFERROR(__xludf.DUMMYFUNCTION("""COMPUTED_VALUE"""),"")</f>
        <v/>
      </c>
      <c r="BF172" s="5" t="str">
        <f>IFERROR(__xludf.DUMMYFUNCTION("""COMPUTED_VALUE"""),"")</f>
        <v/>
      </c>
      <c r="BG172" s="5" t="str">
        <f>IFERROR(__xludf.DUMMYFUNCTION("""COMPUTED_VALUE"""),"")</f>
        <v/>
      </c>
      <c r="BH172" s="5" t="str">
        <f>IFERROR(__xludf.DUMMYFUNCTION("""COMPUTED_VALUE"""),"")</f>
        <v/>
      </c>
      <c r="BI172" s="5" t="str">
        <f>IFERROR(__xludf.DUMMYFUNCTION("""COMPUTED_VALUE"""),"")</f>
        <v/>
      </c>
      <c r="BJ172" s="5" t="str">
        <f>IFERROR(__xludf.DUMMYFUNCTION("""COMPUTED_VALUE"""),"")</f>
        <v/>
      </c>
      <c r="BK172" s="5" t="str">
        <f>IFERROR(__xludf.DUMMYFUNCTION("""COMPUTED_VALUE"""),"")</f>
        <v/>
      </c>
      <c r="BL172" s="5" t="str">
        <f>IFERROR(__xludf.DUMMYFUNCTION("""COMPUTED_VALUE"""),"")</f>
        <v/>
      </c>
      <c r="BM172" s="5" t="str">
        <f>IFERROR(__xludf.DUMMYFUNCTION("""COMPUTED_VALUE"""),"")</f>
        <v/>
      </c>
    </row>
    <row r="173">
      <c r="A173" s="5" t="str">
        <f>IFERROR(__xludf.DUMMYFUNCTION("""COMPUTED_VALUE"""),"Fazi")</f>
        <v>Fazi</v>
      </c>
      <c r="B173" s="5" t="str">
        <f>IFERROR(__xludf.DUMMYFUNCTION("""COMPUTED_VALUE"""),"Coin Splash Extreme ")</f>
        <v>Coin Splash Extreme </v>
      </c>
      <c r="C173" s="5" t="str">
        <f>IFERROR(__xludf.DUMMYFUNCTION("""COMPUTED_VALUE"""),"CoinSplashExtreme")</f>
        <v>CoinSplashExtreme</v>
      </c>
      <c r="D173" s="6">
        <f>IFERROR(__xludf.DUMMYFUNCTION("""COMPUTED_VALUE"""),45939.0)</f>
        <v>45939</v>
      </c>
      <c r="E173" s="5" t="str">
        <f>IFERROR(__xludf.DUMMYFUNCTION("""COMPUTED_VALUE"""),"Slot")</f>
        <v>Slot</v>
      </c>
      <c r="F173" s="5">
        <f>IFERROR(__xludf.DUMMYFUNCTION("""COMPUTED_VALUE"""),16.2)</f>
        <v>16.2</v>
      </c>
      <c r="G173" s="5" t="str">
        <f>IFERROR(__xludf.DUMMYFUNCTION("""COMPUTED_VALUE"""),"5x4")</f>
        <v>5x4</v>
      </c>
      <c r="H173" s="5">
        <f>IFERROR(__xludf.DUMMYFUNCTION("""COMPUTED_VALUE"""),40.0)</f>
        <v>40</v>
      </c>
      <c r="I173" s="5">
        <f>IFERROR(__xludf.DUMMYFUNCTION("""COMPUTED_VALUE"""),40.0)</f>
        <v>40</v>
      </c>
      <c r="J173" s="5" t="str">
        <f>IFERROR(__xludf.DUMMYFUNCTION("""COMPUTED_VALUE"""),"96.558%")</f>
        <v>96.558%</v>
      </c>
      <c r="K173" s="5" t="str">
        <f>IFERROR(__xludf.DUMMYFUNCTION("""COMPUTED_VALUE"""),"High")</f>
        <v>High</v>
      </c>
      <c r="L173" s="5" t="str">
        <f>IFERROR(__xludf.DUMMYFUNCTION("""COMPUTED_VALUE"""),"9.965%")</f>
        <v>9.965%</v>
      </c>
      <c r="M173" s="5" t="str">
        <f>IFERROR(__xludf.DUMMYFUNCTION("""COMPUTED_VALUE"""),"x2000")</f>
        <v>x2000</v>
      </c>
      <c r="N173" s="5" t="str">
        <f>IFERROR(__xludf.DUMMYFUNCTION("""COMPUTED_VALUE"""),"0.04/40")</f>
        <v>0.04/40</v>
      </c>
      <c r="O173" s="5" t="str">
        <f>IFERROR(__xludf.DUMMYFUNCTION("""COMPUTED_VALUE"""),"Yes")</f>
        <v>Yes</v>
      </c>
      <c r="P173" s="5" t="str">
        <f>IFERROR(__xludf.DUMMYFUNCTION("""COMPUTED_VALUE"""),"Exploding Wild")</f>
        <v>Exploding Wild</v>
      </c>
      <c r="Q173" s="7" t="str">
        <f>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R173" s="5" t="str">
        <f>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S1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3" s="5" t="str">
        <f>IFERROR(__xludf.DUMMYFUNCTION("""COMPUTED_VALUE"""),"Yes")</f>
        <v>Yes</v>
      </c>
      <c r="U173" s="5" t="str">
        <f>IFERROR(__xludf.DUMMYFUNCTION("""COMPUTED_VALUE"""),"Yes")</f>
        <v>Yes</v>
      </c>
      <c r="V173" s="5" t="str">
        <f>IFERROR(__xludf.DUMMYFUNCTION("""COMPUTED_VALUE"""),"Yes")</f>
        <v>Yes</v>
      </c>
      <c r="W173" s="5" t="str">
        <f>IFERROR(__xludf.DUMMYFUNCTION("""COMPUTED_VALUE"""),"Yes")</f>
        <v>Yes</v>
      </c>
      <c r="X173" s="5" t="str">
        <f>IFERROR(__xludf.DUMMYFUNCTION("""COMPUTED_VALUE"""),"Yes")</f>
        <v>Yes</v>
      </c>
      <c r="Y173" s="5" t="str">
        <f>IFERROR(__xludf.DUMMYFUNCTION("""COMPUTED_VALUE"""),"Yes")</f>
        <v>Yes</v>
      </c>
      <c r="Z173" s="5" t="str">
        <f>IFERROR(__xludf.DUMMYFUNCTION("""COMPUTED_VALUE"""),"Yes")</f>
        <v>Yes</v>
      </c>
      <c r="AA173" s="5" t="str">
        <f>IFERROR(__xludf.DUMMYFUNCTION("""COMPUTED_VALUE"""),"Yes")</f>
        <v>Yes</v>
      </c>
      <c r="AB173" s="5" t="str">
        <f>IFERROR(__xludf.DUMMYFUNCTION("""COMPUTED_VALUE"""),"Yes")</f>
        <v>Yes</v>
      </c>
      <c r="AC173" s="5" t="str">
        <f>IFERROR(__xludf.DUMMYFUNCTION("""COMPUTED_VALUE"""),"Yes")</f>
        <v>Yes</v>
      </c>
      <c r="AD173" s="5" t="str">
        <f>IFERROR(__xludf.DUMMYFUNCTION("""COMPUTED_VALUE"""),"Yes")</f>
        <v>Yes</v>
      </c>
      <c r="AE173" s="5" t="str">
        <f>IFERROR(__xludf.DUMMYFUNCTION("""COMPUTED_VALUE"""),"Yes")</f>
        <v>Yes</v>
      </c>
      <c r="AF173" s="5" t="str">
        <f>IFERROR(__xludf.DUMMYFUNCTION("""COMPUTED_VALUE"""),"Yes")</f>
        <v>Yes</v>
      </c>
      <c r="AG173" s="5" t="str">
        <f>IFERROR(__xludf.DUMMYFUNCTION("""COMPUTED_VALUE"""),"Yes")</f>
        <v>Yes</v>
      </c>
      <c r="AH173" s="5" t="str">
        <f>IFERROR(__xludf.DUMMYFUNCTION("""COMPUTED_VALUE"""),"Yes")</f>
        <v>Yes</v>
      </c>
      <c r="AI173" s="5" t="str">
        <f>IFERROR(__xludf.DUMMYFUNCTION("""COMPUTED_VALUE"""),"Yes")</f>
        <v>Yes</v>
      </c>
      <c r="AJ173" s="5" t="str">
        <f>IFERROR(__xludf.DUMMYFUNCTION("""COMPUTED_VALUE"""),"Yes")</f>
        <v>Yes</v>
      </c>
      <c r="AK173" s="5" t="str">
        <f>IFERROR(__xludf.DUMMYFUNCTION("""COMPUTED_VALUE"""),"Yes")</f>
        <v>Yes</v>
      </c>
      <c r="AL173" s="5" t="str">
        <f>IFERROR(__xludf.DUMMYFUNCTION("""COMPUTED_VALUE"""),"Yes")</f>
        <v>Yes</v>
      </c>
      <c r="AM173" s="5" t="str">
        <f>IFERROR(__xludf.DUMMYFUNCTION("""COMPUTED_VALUE"""),"Yes")</f>
        <v>Yes</v>
      </c>
      <c r="AN173" s="5" t="str">
        <f>IFERROR(__xludf.DUMMYFUNCTION("""COMPUTED_VALUE"""),"Yes")</f>
        <v>Yes</v>
      </c>
      <c r="AO173" s="5" t="str">
        <f>IFERROR(__xludf.DUMMYFUNCTION("""COMPUTED_VALUE"""),"Yes")</f>
        <v>Yes</v>
      </c>
      <c r="AP173" s="5" t="str">
        <f>IFERROR(__xludf.DUMMYFUNCTION("""COMPUTED_VALUE"""),"Yes")</f>
        <v>Yes</v>
      </c>
      <c r="AQ173" s="5" t="str">
        <f>IFERROR(__xludf.DUMMYFUNCTION("""COMPUTED_VALUE"""),"Yes")</f>
        <v>Yes</v>
      </c>
      <c r="AR173" s="5" t="str">
        <f>IFERROR(__xludf.DUMMYFUNCTION("""COMPUTED_VALUE"""),"Yes")</f>
        <v>Yes</v>
      </c>
      <c r="AS173" s="5" t="str">
        <f>IFERROR(__xludf.DUMMYFUNCTION("""COMPUTED_VALUE"""),"Yes")</f>
        <v>Yes</v>
      </c>
      <c r="AT173" s="5" t="str">
        <f>IFERROR(__xludf.DUMMYFUNCTION("""COMPUTED_VALUE"""),"No")</f>
        <v>No</v>
      </c>
      <c r="AU173" s="5"/>
      <c r="AV173" s="5" t="str">
        <f>IFERROR(__xludf.DUMMYFUNCTION("""COMPUTED_VALUE"""),"")</f>
        <v/>
      </c>
      <c r="AW173" s="5" t="str">
        <f>IFERROR(__xludf.DUMMYFUNCTION("""COMPUTED_VALUE"""),"")</f>
        <v/>
      </c>
      <c r="AX173" s="5" t="str">
        <f>IFERROR(__xludf.DUMMYFUNCTION("""COMPUTED_VALUE"""),"")</f>
        <v/>
      </c>
      <c r="AY173" s="5" t="str">
        <f>IFERROR(__xludf.DUMMYFUNCTION("""COMPUTED_VALUE"""),"")</f>
        <v/>
      </c>
      <c r="AZ173" s="5" t="str">
        <f>IFERROR(__xludf.DUMMYFUNCTION("""COMPUTED_VALUE"""),"")</f>
        <v/>
      </c>
      <c r="BA173" s="5" t="str">
        <f>IFERROR(__xludf.DUMMYFUNCTION("""COMPUTED_VALUE"""),"")</f>
        <v/>
      </c>
      <c r="BB173" s="5" t="str">
        <f>IFERROR(__xludf.DUMMYFUNCTION("""COMPUTED_VALUE"""),"")</f>
        <v/>
      </c>
      <c r="BC173" s="5" t="str">
        <f>IFERROR(__xludf.DUMMYFUNCTION("""COMPUTED_VALUE"""),"")</f>
        <v/>
      </c>
      <c r="BD173" s="5" t="str">
        <f>IFERROR(__xludf.DUMMYFUNCTION("""COMPUTED_VALUE"""),"")</f>
        <v/>
      </c>
      <c r="BE173" s="5" t="str">
        <f>IFERROR(__xludf.DUMMYFUNCTION("""COMPUTED_VALUE"""),"")</f>
        <v/>
      </c>
      <c r="BF173" s="5" t="str">
        <f>IFERROR(__xludf.DUMMYFUNCTION("""COMPUTED_VALUE"""),"")</f>
        <v/>
      </c>
      <c r="BG173" s="5" t="str">
        <f>IFERROR(__xludf.DUMMYFUNCTION("""COMPUTED_VALUE"""),"")</f>
        <v/>
      </c>
      <c r="BH173" s="5" t="str">
        <f>IFERROR(__xludf.DUMMYFUNCTION("""COMPUTED_VALUE"""),"")</f>
        <v/>
      </c>
      <c r="BI173" s="5" t="str">
        <f>IFERROR(__xludf.DUMMYFUNCTION("""COMPUTED_VALUE"""),"")</f>
        <v/>
      </c>
      <c r="BJ173" s="5" t="str">
        <f>IFERROR(__xludf.DUMMYFUNCTION("""COMPUTED_VALUE"""),"")</f>
        <v/>
      </c>
      <c r="BK173" s="5" t="str">
        <f>IFERROR(__xludf.DUMMYFUNCTION("""COMPUTED_VALUE"""),"")</f>
        <v/>
      </c>
      <c r="BL173" s="5" t="str">
        <f>IFERROR(__xludf.DUMMYFUNCTION("""COMPUTED_VALUE"""),"")</f>
        <v/>
      </c>
      <c r="BM173" s="5" t="str">
        <f>IFERROR(__xludf.DUMMYFUNCTION("""COMPUTED_VALUE"""),"")</f>
        <v/>
      </c>
    </row>
    <row r="174">
      <c r="A174" s="5" t="str">
        <f>IFERROR(__xludf.DUMMYFUNCTION("""COMPUTED_VALUE"""),"Fazi")</f>
        <v>Fazi</v>
      </c>
      <c r="B174" s="5" t="str">
        <f>IFERROR(__xludf.DUMMYFUNCTION("""COMPUTED_VALUE"""),"Hot Clock")</f>
        <v>Hot Clock</v>
      </c>
      <c r="C174" s="5" t="str">
        <f>IFERROR(__xludf.DUMMYFUNCTION("""COMPUTED_VALUE"""),"HotClock")</f>
        <v>HotClock</v>
      </c>
      <c r="D174" s="6">
        <f>IFERROR(__xludf.DUMMYFUNCTION("""COMPUTED_VALUE"""),46030.0)</f>
        <v>46030</v>
      </c>
      <c r="E174" s="5" t="str">
        <f>IFERROR(__xludf.DUMMYFUNCTION("""COMPUTED_VALUE"""),"Slot")</f>
        <v>Slot</v>
      </c>
      <c r="F174" s="5">
        <f>IFERROR(__xludf.DUMMYFUNCTION("""COMPUTED_VALUE"""),19.8)</f>
        <v>19.8</v>
      </c>
      <c r="G174" s="5" t="str">
        <f>IFERROR(__xludf.DUMMYFUNCTION("""COMPUTED_VALUE"""),"5x3")</f>
        <v>5x3</v>
      </c>
      <c r="H174" s="5">
        <f>IFERROR(__xludf.DUMMYFUNCTION("""COMPUTED_VALUE"""),10.0)</f>
        <v>10</v>
      </c>
      <c r="I174" s="5">
        <f>IFERROR(__xludf.DUMMYFUNCTION("""COMPUTED_VALUE"""),10.0)</f>
        <v>10</v>
      </c>
      <c r="J174" s="5" t="str">
        <f>IFERROR(__xludf.DUMMYFUNCTION("""COMPUTED_VALUE"""),"96.5%")</f>
        <v>96.5%</v>
      </c>
      <c r="K174" s="5" t="str">
        <f>IFERROR(__xludf.DUMMYFUNCTION("""COMPUTED_VALUE"""),"Medium")</f>
        <v>Medium</v>
      </c>
      <c r="L174" s="5" t="str">
        <f>IFERROR(__xludf.DUMMYFUNCTION("""COMPUTED_VALUE"""),"19.232%")</f>
        <v>19.232%</v>
      </c>
      <c r="M174" s="5" t="str">
        <f>IFERROR(__xludf.DUMMYFUNCTION("""COMPUTED_VALUE"""),"x4076")</f>
        <v>x4076</v>
      </c>
      <c r="N174" s="5" t="str">
        <f>IFERROR(__xludf.DUMMYFUNCTION("""COMPUTED_VALUE"""),"0.1/50")</f>
        <v>0.1/50</v>
      </c>
      <c r="O174" s="5" t="str">
        <f>IFERROR(__xludf.DUMMYFUNCTION("""COMPUTED_VALUE"""),"Yes")</f>
        <v>Yes</v>
      </c>
      <c r="P174" s="5"/>
      <c r="Q174" s="7" t="str">
        <f>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R174" s="5" t="str">
        <f>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S1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4" s="5" t="str">
        <f>IFERROR(__xludf.DUMMYFUNCTION("""COMPUTED_VALUE"""),"Yes")</f>
        <v>Yes</v>
      </c>
      <c r="U174" s="5" t="str">
        <f>IFERROR(__xludf.DUMMYFUNCTION("""COMPUTED_VALUE"""),"Yes")</f>
        <v>Yes</v>
      </c>
      <c r="V174" s="5" t="str">
        <f>IFERROR(__xludf.DUMMYFUNCTION("""COMPUTED_VALUE"""),"Yes")</f>
        <v>Yes</v>
      </c>
      <c r="W174" s="5" t="str">
        <f>IFERROR(__xludf.DUMMYFUNCTION("""COMPUTED_VALUE"""),"Yes")</f>
        <v>Yes</v>
      </c>
      <c r="X174" s="5" t="str">
        <f>IFERROR(__xludf.DUMMYFUNCTION("""COMPUTED_VALUE"""),"Yes")</f>
        <v>Yes</v>
      </c>
      <c r="Y174" s="5" t="str">
        <f>IFERROR(__xludf.DUMMYFUNCTION("""COMPUTED_VALUE"""),"Yes")</f>
        <v>Yes</v>
      </c>
      <c r="Z174" s="5" t="str">
        <f>IFERROR(__xludf.DUMMYFUNCTION("""COMPUTED_VALUE"""),"Yes")</f>
        <v>Yes</v>
      </c>
      <c r="AA174" s="5" t="str">
        <f>IFERROR(__xludf.DUMMYFUNCTION("""COMPUTED_VALUE"""),"Yes")</f>
        <v>Yes</v>
      </c>
      <c r="AB174" s="5" t="str">
        <f>IFERROR(__xludf.DUMMYFUNCTION("""COMPUTED_VALUE"""),"Yes")</f>
        <v>Yes</v>
      </c>
      <c r="AC174" s="5" t="str">
        <f>IFERROR(__xludf.DUMMYFUNCTION("""COMPUTED_VALUE"""),"Yes")</f>
        <v>Yes</v>
      </c>
      <c r="AD174" s="5" t="str">
        <f>IFERROR(__xludf.DUMMYFUNCTION("""COMPUTED_VALUE"""),"Yes")</f>
        <v>Yes</v>
      </c>
      <c r="AE174" s="5" t="str">
        <f>IFERROR(__xludf.DUMMYFUNCTION("""COMPUTED_VALUE"""),"Yes")</f>
        <v>Yes</v>
      </c>
      <c r="AF174" s="5" t="str">
        <f>IFERROR(__xludf.DUMMYFUNCTION("""COMPUTED_VALUE"""),"Yes")</f>
        <v>Yes</v>
      </c>
      <c r="AG174" s="5" t="str">
        <f>IFERROR(__xludf.DUMMYFUNCTION("""COMPUTED_VALUE"""),"Yes")</f>
        <v>Yes</v>
      </c>
      <c r="AH174" s="5" t="str">
        <f>IFERROR(__xludf.DUMMYFUNCTION("""COMPUTED_VALUE"""),"Yes")</f>
        <v>Yes</v>
      </c>
      <c r="AI174" s="5" t="str">
        <f>IFERROR(__xludf.DUMMYFUNCTION("""COMPUTED_VALUE"""),"Yes")</f>
        <v>Yes</v>
      </c>
      <c r="AJ174" s="5" t="str">
        <f>IFERROR(__xludf.DUMMYFUNCTION("""COMPUTED_VALUE"""),"Yes")</f>
        <v>Yes</v>
      </c>
      <c r="AK174" s="5" t="str">
        <f>IFERROR(__xludf.DUMMYFUNCTION("""COMPUTED_VALUE"""),"Yes")</f>
        <v>Yes</v>
      </c>
      <c r="AL174" s="5" t="str">
        <f>IFERROR(__xludf.DUMMYFUNCTION("""COMPUTED_VALUE"""),"Yes")</f>
        <v>Yes</v>
      </c>
      <c r="AM174" s="5" t="str">
        <f>IFERROR(__xludf.DUMMYFUNCTION("""COMPUTED_VALUE"""),"Yes")</f>
        <v>Yes</v>
      </c>
      <c r="AN174" s="5" t="str">
        <f>IFERROR(__xludf.DUMMYFUNCTION("""COMPUTED_VALUE"""),"Yes")</f>
        <v>Yes</v>
      </c>
      <c r="AO174" s="5" t="str">
        <f>IFERROR(__xludf.DUMMYFUNCTION("""COMPUTED_VALUE"""),"Yes")</f>
        <v>Yes</v>
      </c>
      <c r="AP174" s="5" t="str">
        <f>IFERROR(__xludf.DUMMYFUNCTION("""COMPUTED_VALUE"""),"Yes")</f>
        <v>Yes</v>
      </c>
      <c r="AQ174" s="5" t="str">
        <f>IFERROR(__xludf.DUMMYFUNCTION("""COMPUTED_VALUE"""),"Yes")</f>
        <v>Yes</v>
      </c>
      <c r="AR174" s="5" t="str">
        <f>IFERROR(__xludf.DUMMYFUNCTION("""COMPUTED_VALUE"""),"Yes")</f>
        <v>Yes</v>
      </c>
      <c r="AS174" s="5" t="str">
        <f>IFERROR(__xludf.DUMMYFUNCTION("""COMPUTED_VALUE"""),"Yes")</f>
        <v>Yes</v>
      </c>
      <c r="AT174" s="5" t="str">
        <f>IFERROR(__xludf.DUMMYFUNCTION("""COMPUTED_VALUE"""),"No")</f>
        <v>No</v>
      </c>
      <c r="AU174" s="5"/>
      <c r="AV174" s="5" t="str">
        <f>IFERROR(__xludf.DUMMYFUNCTION("""COMPUTED_VALUE"""),"")</f>
        <v/>
      </c>
      <c r="AW174" s="5" t="str">
        <f>IFERROR(__xludf.DUMMYFUNCTION("""COMPUTED_VALUE"""),"")</f>
        <v/>
      </c>
      <c r="AX174" s="5" t="str">
        <f>IFERROR(__xludf.DUMMYFUNCTION("""COMPUTED_VALUE"""),"")</f>
        <v/>
      </c>
      <c r="AY174" s="5" t="str">
        <f>IFERROR(__xludf.DUMMYFUNCTION("""COMPUTED_VALUE"""),"")</f>
        <v/>
      </c>
      <c r="AZ174" s="5" t="str">
        <f>IFERROR(__xludf.DUMMYFUNCTION("""COMPUTED_VALUE"""),"")</f>
        <v/>
      </c>
      <c r="BA174" s="5" t="str">
        <f>IFERROR(__xludf.DUMMYFUNCTION("""COMPUTED_VALUE"""),"")</f>
        <v/>
      </c>
      <c r="BB174" s="5" t="str">
        <f>IFERROR(__xludf.DUMMYFUNCTION("""COMPUTED_VALUE"""),"")</f>
        <v/>
      </c>
      <c r="BC174" s="5" t="str">
        <f>IFERROR(__xludf.DUMMYFUNCTION("""COMPUTED_VALUE"""),"")</f>
        <v/>
      </c>
      <c r="BD174" s="5" t="str">
        <f>IFERROR(__xludf.DUMMYFUNCTION("""COMPUTED_VALUE"""),"")</f>
        <v/>
      </c>
      <c r="BE174" s="5" t="str">
        <f>IFERROR(__xludf.DUMMYFUNCTION("""COMPUTED_VALUE"""),"")</f>
        <v/>
      </c>
      <c r="BF174" s="5" t="str">
        <f>IFERROR(__xludf.DUMMYFUNCTION("""COMPUTED_VALUE"""),"")</f>
        <v/>
      </c>
      <c r="BG174" s="5" t="str">
        <f>IFERROR(__xludf.DUMMYFUNCTION("""COMPUTED_VALUE"""),"")</f>
        <v/>
      </c>
      <c r="BH174" s="5" t="str">
        <f>IFERROR(__xludf.DUMMYFUNCTION("""COMPUTED_VALUE"""),"")</f>
        <v/>
      </c>
      <c r="BI174" s="5" t="str">
        <f>IFERROR(__xludf.DUMMYFUNCTION("""COMPUTED_VALUE"""),"")</f>
        <v/>
      </c>
      <c r="BJ174" s="5" t="str">
        <f>IFERROR(__xludf.DUMMYFUNCTION("""COMPUTED_VALUE"""),"")</f>
        <v/>
      </c>
      <c r="BK174" s="5" t="str">
        <f>IFERROR(__xludf.DUMMYFUNCTION("""COMPUTED_VALUE"""),"")</f>
        <v/>
      </c>
      <c r="BL174" s="5" t="str">
        <f>IFERROR(__xludf.DUMMYFUNCTION("""COMPUTED_VALUE"""),"")</f>
        <v/>
      </c>
      <c r="BM174" s="5" t="str">
        <f>IFERROR(__xludf.DUMMYFUNCTION("""COMPUTED_VALUE"""),"")</f>
        <v/>
      </c>
    </row>
    <row r="175">
      <c r="A175" s="5" t="str">
        <f>IFERROR(__xludf.DUMMYFUNCTION("""COMPUTED_VALUE"""),"Fazi")</f>
        <v>Fazi</v>
      </c>
      <c r="B175" s="5" t="str">
        <f>IFERROR(__xludf.DUMMYFUNCTION("""COMPUTED_VALUE"""),"Fruit Lock 7")</f>
        <v>Fruit Lock 7</v>
      </c>
      <c r="C175" s="5" t="str">
        <f>IFERROR(__xludf.DUMMYFUNCTION("""COMPUTED_VALUE"""),"FruitLock7")</f>
        <v>FruitLock7</v>
      </c>
      <c r="D175" s="6">
        <f>IFERROR(__xludf.DUMMYFUNCTION("""COMPUTED_VALUE"""),46037.0)</f>
        <v>46037</v>
      </c>
      <c r="E175" s="5" t="str">
        <f>IFERROR(__xludf.DUMMYFUNCTION("""COMPUTED_VALUE"""),"Slot")</f>
        <v>Slot</v>
      </c>
      <c r="F175" s="5">
        <f>IFERROR(__xludf.DUMMYFUNCTION("""COMPUTED_VALUE"""),16.0)</f>
        <v>16</v>
      </c>
      <c r="G175" s="5" t="str">
        <f>IFERROR(__xludf.DUMMYFUNCTION("""COMPUTED_VALUE"""),"5x3")</f>
        <v>5x3</v>
      </c>
      <c r="H175" s="5">
        <f>IFERROR(__xludf.DUMMYFUNCTION("""COMPUTED_VALUE"""),20.0)</f>
        <v>20</v>
      </c>
      <c r="I175" s="5">
        <f>IFERROR(__xludf.DUMMYFUNCTION("""COMPUTED_VALUE"""),20.0)</f>
        <v>20</v>
      </c>
      <c r="J175" s="5" t="str">
        <f>IFERROR(__xludf.DUMMYFUNCTION("""COMPUTED_VALUE"""),"96.542%")</f>
        <v>96.542%</v>
      </c>
      <c r="K175" s="5" t="str">
        <f>IFERROR(__xludf.DUMMYFUNCTION("""COMPUTED_VALUE"""),"High")</f>
        <v>High</v>
      </c>
      <c r="L175" s="5" t="str">
        <f>IFERROR(__xludf.DUMMYFUNCTION("""COMPUTED_VALUE"""),"9.941%")</f>
        <v>9.941%</v>
      </c>
      <c r="M175" s="5" t="str">
        <f>IFERROR(__xludf.DUMMYFUNCTION("""COMPUTED_VALUE"""),"x3000")</f>
        <v>x3000</v>
      </c>
      <c r="N175" s="5" t="str">
        <f>IFERROR(__xludf.DUMMYFUNCTION("""COMPUTED_VALUE"""),"0.2/50")</f>
        <v>0.2/50</v>
      </c>
      <c r="O175" s="5" t="str">
        <f>IFERROR(__xludf.DUMMYFUNCTION("""COMPUTED_VALUE"""),"Yes")</f>
        <v>Yes</v>
      </c>
      <c r="P175" s="5"/>
      <c r="Q175" s="7" t="str">
        <f>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R175" s="5"/>
      <c r="S1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5" s="5" t="str">
        <f>IFERROR(__xludf.DUMMYFUNCTION("""COMPUTED_VALUE"""),"Yes")</f>
        <v>Yes</v>
      </c>
      <c r="U175" s="5" t="str">
        <f>IFERROR(__xludf.DUMMYFUNCTION("""COMPUTED_VALUE"""),"Yes")</f>
        <v>Yes</v>
      </c>
      <c r="V175" s="5" t="str">
        <f>IFERROR(__xludf.DUMMYFUNCTION("""COMPUTED_VALUE"""),"Yes")</f>
        <v>Yes</v>
      </c>
      <c r="W175" s="5" t="str">
        <f>IFERROR(__xludf.DUMMYFUNCTION("""COMPUTED_VALUE"""),"Yes")</f>
        <v>Yes</v>
      </c>
      <c r="X175" s="5" t="str">
        <f>IFERROR(__xludf.DUMMYFUNCTION("""COMPUTED_VALUE"""),"Yes")</f>
        <v>Yes</v>
      </c>
      <c r="Y175" s="5" t="str">
        <f>IFERROR(__xludf.DUMMYFUNCTION("""COMPUTED_VALUE"""),"Yes")</f>
        <v>Yes</v>
      </c>
      <c r="Z175" s="5" t="str">
        <f>IFERROR(__xludf.DUMMYFUNCTION("""COMPUTED_VALUE"""),"Yes")</f>
        <v>Yes</v>
      </c>
      <c r="AA175" s="5" t="str">
        <f>IFERROR(__xludf.DUMMYFUNCTION("""COMPUTED_VALUE"""),"Yes")</f>
        <v>Yes</v>
      </c>
      <c r="AB175" s="5" t="str">
        <f>IFERROR(__xludf.DUMMYFUNCTION("""COMPUTED_VALUE"""),"Yes")</f>
        <v>Yes</v>
      </c>
      <c r="AC175" s="5" t="str">
        <f>IFERROR(__xludf.DUMMYFUNCTION("""COMPUTED_VALUE"""),"Yes")</f>
        <v>Yes</v>
      </c>
      <c r="AD175" s="5" t="str">
        <f>IFERROR(__xludf.DUMMYFUNCTION("""COMPUTED_VALUE"""),"Yes")</f>
        <v>Yes</v>
      </c>
      <c r="AE175" s="5" t="str">
        <f>IFERROR(__xludf.DUMMYFUNCTION("""COMPUTED_VALUE"""),"Yes")</f>
        <v>Yes</v>
      </c>
      <c r="AF175" s="5" t="str">
        <f>IFERROR(__xludf.DUMMYFUNCTION("""COMPUTED_VALUE"""),"Yes")</f>
        <v>Yes</v>
      </c>
      <c r="AG175" s="5" t="str">
        <f>IFERROR(__xludf.DUMMYFUNCTION("""COMPUTED_VALUE"""),"Yes")</f>
        <v>Yes</v>
      </c>
      <c r="AH175" s="5" t="str">
        <f>IFERROR(__xludf.DUMMYFUNCTION("""COMPUTED_VALUE"""),"Yes")</f>
        <v>Yes</v>
      </c>
      <c r="AI175" s="5" t="str">
        <f>IFERROR(__xludf.DUMMYFUNCTION("""COMPUTED_VALUE"""),"Yes")</f>
        <v>Yes</v>
      </c>
      <c r="AJ175" s="5" t="str">
        <f>IFERROR(__xludf.DUMMYFUNCTION("""COMPUTED_VALUE"""),"Yes")</f>
        <v>Yes</v>
      </c>
      <c r="AK175" s="5" t="str">
        <f>IFERROR(__xludf.DUMMYFUNCTION("""COMPUTED_VALUE"""),"Yes")</f>
        <v>Yes</v>
      </c>
      <c r="AL175" s="5" t="str">
        <f>IFERROR(__xludf.DUMMYFUNCTION("""COMPUTED_VALUE"""),"Yes")</f>
        <v>Yes</v>
      </c>
      <c r="AM175" s="5" t="str">
        <f>IFERROR(__xludf.DUMMYFUNCTION("""COMPUTED_VALUE"""),"Yes")</f>
        <v>Yes</v>
      </c>
      <c r="AN175" s="5" t="str">
        <f>IFERROR(__xludf.DUMMYFUNCTION("""COMPUTED_VALUE"""),"Yes")</f>
        <v>Yes</v>
      </c>
      <c r="AO175" s="5" t="str">
        <f>IFERROR(__xludf.DUMMYFUNCTION("""COMPUTED_VALUE"""),"Yes")</f>
        <v>Yes</v>
      </c>
      <c r="AP175" s="5" t="str">
        <f>IFERROR(__xludf.DUMMYFUNCTION("""COMPUTED_VALUE"""),"Yes")</f>
        <v>Yes</v>
      </c>
      <c r="AQ175" s="5" t="str">
        <f>IFERROR(__xludf.DUMMYFUNCTION("""COMPUTED_VALUE"""),"Yes")</f>
        <v>Yes</v>
      </c>
      <c r="AR175" s="5" t="str">
        <f>IFERROR(__xludf.DUMMYFUNCTION("""COMPUTED_VALUE"""),"Yes")</f>
        <v>Yes</v>
      </c>
      <c r="AS175" s="5" t="str">
        <f>IFERROR(__xludf.DUMMYFUNCTION("""COMPUTED_VALUE"""),"Yes")</f>
        <v>Yes</v>
      </c>
      <c r="AT175" s="5" t="str">
        <f>IFERROR(__xludf.DUMMYFUNCTION("""COMPUTED_VALUE"""),"No")</f>
        <v>No</v>
      </c>
      <c r="AU175" s="5"/>
      <c r="AV175" s="5" t="str">
        <f>IFERROR(__xludf.DUMMYFUNCTION("""COMPUTED_VALUE"""),"")</f>
        <v/>
      </c>
      <c r="AW175" s="5" t="str">
        <f>IFERROR(__xludf.DUMMYFUNCTION("""COMPUTED_VALUE"""),"")</f>
        <v/>
      </c>
      <c r="AX175" s="5" t="str">
        <f>IFERROR(__xludf.DUMMYFUNCTION("""COMPUTED_VALUE"""),"")</f>
        <v/>
      </c>
      <c r="AY175" s="5" t="str">
        <f>IFERROR(__xludf.DUMMYFUNCTION("""COMPUTED_VALUE"""),"")</f>
        <v/>
      </c>
      <c r="AZ175" s="5" t="str">
        <f>IFERROR(__xludf.DUMMYFUNCTION("""COMPUTED_VALUE"""),"")</f>
        <v/>
      </c>
      <c r="BA175" s="5" t="str">
        <f>IFERROR(__xludf.DUMMYFUNCTION("""COMPUTED_VALUE"""),"")</f>
        <v/>
      </c>
      <c r="BB175" s="5" t="str">
        <f>IFERROR(__xludf.DUMMYFUNCTION("""COMPUTED_VALUE"""),"")</f>
        <v/>
      </c>
      <c r="BC175" s="5" t="str">
        <f>IFERROR(__xludf.DUMMYFUNCTION("""COMPUTED_VALUE"""),"")</f>
        <v/>
      </c>
      <c r="BD175" s="5" t="str">
        <f>IFERROR(__xludf.DUMMYFUNCTION("""COMPUTED_VALUE"""),"")</f>
        <v/>
      </c>
      <c r="BE175" s="5" t="str">
        <f>IFERROR(__xludf.DUMMYFUNCTION("""COMPUTED_VALUE"""),"")</f>
        <v/>
      </c>
      <c r="BF175" s="5" t="str">
        <f>IFERROR(__xludf.DUMMYFUNCTION("""COMPUTED_VALUE"""),"")</f>
        <v/>
      </c>
      <c r="BG175" s="5" t="str">
        <f>IFERROR(__xludf.DUMMYFUNCTION("""COMPUTED_VALUE"""),"")</f>
        <v/>
      </c>
      <c r="BH175" s="5" t="str">
        <f>IFERROR(__xludf.DUMMYFUNCTION("""COMPUTED_VALUE"""),"")</f>
        <v/>
      </c>
      <c r="BI175" s="5" t="str">
        <f>IFERROR(__xludf.DUMMYFUNCTION("""COMPUTED_VALUE"""),"")</f>
        <v/>
      </c>
      <c r="BJ175" s="5" t="str">
        <f>IFERROR(__xludf.DUMMYFUNCTION("""COMPUTED_VALUE"""),"")</f>
        <v/>
      </c>
      <c r="BK175" s="5" t="str">
        <f>IFERROR(__xludf.DUMMYFUNCTION("""COMPUTED_VALUE"""),"")</f>
        <v/>
      </c>
      <c r="BL175" s="5" t="str">
        <f>IFERROR(__xludf.DUMMYFUNCTION("""COMPUTED_VALUE"""),"")</f>
        <v/>
      </c>
      <c r="BM175" s="5" t="str">
        <f>IFERROR(__xludf.DUMMYFUNCTION("""COMPUTED_VALUE"""),"")</f>
        <v/>
      </c>
    </row>
    <row r="176">
      <c r="A176" s="5" t="str">
        <f>IFERROR(__xludf.DUMMYFUNCTION("""COMPUTED_VALUE"""),"Fazi")</f>
        <v>Fazi</v>
      </c>
      <c r="B176" s="5" t="str">
        <f>IFERROR(__xludf.DUMMYFUNCTION("""COMPUTED_VALUE"""),"Golden Crown Halloween")</f>
        <v>Golden Crown Halloween</v>
      </c>
      <c r="C176" s="5" t="str">
        <f>IFERROR(__xludf.DUMMYFUNCTION("""COMPUTED_VALUE"""),"GoldenCrownHalloween")</f>
        <v>GoldenCrownHalloween</v>
      </c>
      <c r="D176" s="6">
        <f>IFERROR(__xludf.DUMMYFUNCTION("""COMPUTED_VALUE"""),45918.0)</f>
        <v>45918</v>
      </c>
      <c r="E176" s="5" t="str">
        <f>IFERROR(__xludf.DUMMYFUNCTION("""COMPUTED_VALUE"""),"Slot")</f>
        <v>Slot</v>
      </c>
      <c r="F176" s="5">
        <f>IFERROR(__xludf.DUMMYFUNCTION("""COMPUTED_VALUE"""),21.2)</f>
        <v>21.2</v>
      </c>
      <c r="G176" s="5" t="str">
        <f>IFERROR(__xludf.DUMMYFUNCTION("""COMPUTED_VALUE"""),"5x3")</f>
        <v>5x3</v>
      </c>
      <c r="H176" s="5">
        <f>IFERROR(__xludf.DUMMYFUNCTION("""COMPUTED_VALUE"""),10.0)</f>
        <v>10</v>
      </c>
      <c r="I176" s="5">
        <f>IFERROR(__xludf.DUMMYFUNCTION("""COMPUTED_VALUE"""),10.0)</f>
        <v>10</v>
      </c>
      <c r="J176" s="5" t="str">
        <f>IFERROR(__xludf.DUMMYFUNCTION("""COMPUTED_VALUE"""),"95.962%")</f>
        <v>95.962%</v>
      </c>
      <c r="K176" s="5" t="str">
        <f>IFERROR(__xludf.DUMMYFUNCTION("""COMPUTED_VALUE"""),"Medium")</f>
        <v>Medium</v>
      </c>
      <c r="L176" s="5" t="str">
        <f>IFERROR(__xludf.DUMMYFUNCTION("""COMPUTED_VALUE"""),"14.63%")</f>
        <v>14.63%</v>
      </c>
      <c r="M176" s="5" t="str">
        <f>IFERROR(__xludf.DUMMYFUNCTION("""COMPUTED_VALUE"""),"x1538")</f>
        <v>x1538</v>
      </c>
      <c r="N176" s="5" t="str">
        <f>IFERROR(__xludf.DUMMYFUNCTION("""COMPUTED_VALUE"""),"0.1/40")</f>
        <v>0.1/40</v>
      </c>
      <c r="O176" s="5" t="str">
        <f>IFERROR(__xludf.DUMMYFUNCTION("""COMPUTED_VALUE"""),"Yes")</f>
        <v>Yes</v>
      </c>
      <c r="P176" s="5" t="str">
        <f>IFERROR(__xludf.DUMMYFUNCTION("""COMPUTED_VALUE"""),"Expanding Wild, Scatter")</f>
        <v>Expanding Wild, Scatter</v>
      </c>
      <c r="Q176"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R176" s="5" t="str">
        <f>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S1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6" s="5" t="str">
        <f>IFERROR(__xludf.DUMMYFUNCTION("""COMPUTED_VALUE"""),"Yes")</f>
        <v>Yes</v>
      </c>
      <c r="U176" s="5" t="str">
        <f>IFERROR(__xludf.DUMMYFUNCTION("""COMPUTED_VALUE"""),"Yes")</f>
        <v>Yes</v>
      </c>
      <c r="V176" s="5" t="str">
        <f>IFERROR(__xludf.DUMMYFUNCTION("""COMPUTED_VALUE"""),"Yes")</f>
        <v>Yes</v>
      </c>
      <c r="W176" s="5" t="str">
        <f>IFERROR(__xludf.DUMMYFUNCTION("""COMPUTED_VALUE"""),"Yes")</f>
        <v>Yes</v>
      </c>
      <c r="X176" s="5" t="str">
        <f>IFERROR(__xludf.DUMMYFUNCTION("""COMPUTED_VALUE"""),"Yes")</f>
        <v>Yes</v>
      </c>
      <c r="Y176" s="5" t="str">
        <f>IFERROR(__xludf.DUMMYFUNCTION("""COMPUTED_VALUE"""),"Yes")</f>
        <v>Yes</v>
      </c>
      <c r="Z176" s="5" t="str">
        <f>IFERROR(__xludf.DUMMYFUNCTION("""COMPUTED_VALUE"""),"Yes")</f>
        <v>Yes</v>
      </c>
      <c r="AA176" s="5" t="str">
        <f>IFERROR(__xludf.DUMMYFUNCTION("""COMPUTED_VALUE"""),"Yes")</f>
        <v>Yes</v>
      </c>
      <c r="AB176" s="5" t="str">
        <f>IFERROR(__xludf.DUMMYFUNCTION("""COMPUTED_VALUE"""),"Yes")</f>
        <v>Yes</v>
      </c>
      <c r="AC176" s="5" t="str">
        <f>IFERROR(__xludf.DUMMYFUNCTION("""COMPUTED_VALUE"""),"Yes")</f>
        <v>Yes</v>
      </c>
      <c r="AD176" s="5" t="str">
        <f>IFERROR(__xludf.DUMMYFUNCTION("""COMPUTED_VALUE"""),"Yes")</f>
        <v>Yes</v>
      </c>
      <c r="AE176" s="5" t="str">
        <f>IFERROR(__xludf.DUMMYFUNCTION("""COMPUTED_VALUE"""),"Yes")</f>
        <v>Yes</v>
      </c>
      <c r="AF176" s="5" t="str">
        <f>IFERROR(__xludf.DUMMYFUNCTION("""COMPUTED_VALUE"""),"Yes")</f>
        <v>Yes</v>
      </c>
      <c r="AG176" s="5" t="str">
        <f>IFERROR(__xludf.DUMMYFUNCTION("""COMPUTED_VALUE"""),"Yes")</f>
        <v>Yes</v>
      </c>
      <c r="AH176" s="5" t="str">
        <f>IFERROR(__xludf.DUMMYFUNCTION("""COMPUTED_VALUE"""),"Yes")</f>
        <v>Yes</v>
      </c>
      <c r="AI176" s="5" t="str">
        <f>IFERROR(__xludf.DUMMYFUNCTION("""COMPUTED_VALUE"""),"Yes")</f>
        <v>Yes</v>
      </c>
      <c r="AJ176" s="5" t="str">
        <f>IFERROR(__xludf.DUMMYFUNCTION("""COMPUTED_VALUE"""),"Yes")</f>
        <v>Yes</v>
      </c>
      <c r="AK176" s="5" t="str">
        <f>IFERROR(__xludf.DUMMYFUNCTION("""COMPUTED_VALUE"""),"Yes")</f>
        <v>Yes</v>
      </c>
      <c r="AL176" s="5" t="str">
        <f>IFERROR(__xludf.DUMMYFUNCTION("""COMPUTED_VALUE"""),"Yes")</f>
        <v>Yes</v>
      </c>
      <c r="AM176" s="5" t="str">
        <f>IFERROR(__xludf.DUMMYFUNCTION("""COMPUTED_VALUE"""),"Yes")</f>
        <v>Yes</v>
      </c>
      <c r="AN176" s="5" t="str">
        <f>IFERROR(__xludf.DUMMYFUNCTION("""COMPUTED_VALUE"""),"Yes")</f>
        <v>Yes</v>
      </c>
      <c r="AO176" s="5" t="str">
        <f>IFERROR(__xludf.DUMMYFUNCTION("""COMPUTED_VALUE"""),"Yes")</f>
        <v>Yes</v>
      </c>
      <c r="AP176" s="5" t="str">
        <f>IFERROR(__xludf.DUMMYFUNCTION("""COMPUTED_VALUE"""),"Yes")</f>
        <v>Yes</v>
      </c>
      <c r="AQ176" s="5" t="str">
        <f>IFERROR(__xludf.DUMMYFUNCTION("""COMPUTED_VALUE"""),"Yes")</f>
        <v>Yes</v>
      </c>
      <c r="AR176" s="5" t="str">
        <f>IFERROR(__xludf.DUMMYFUNCTION("""COMPUTED_VALUE"""),"Yes")</f>
        <v>Yes</v>
      </c>
      <c r="AS176" s="5" t="str">
        <f>IFERROR(__xludf.DUMMYFUNCTION("""COMPUTED_VALUE"""),"Yes")</f>
        <v>Yes</v>
      </c>
      <c r="AT176" s="5" t="str">
        <f>IFERROR(__xludf.DUMMYFUNCTION("""COMPUTED_VALUE"""),"No")</f>
        <v>No</v>
      </c>
      <c r="AU176" s="5"/>
      <c r="AV176" s="5" t="str">
        <f>IFERROR(__xludf.DUMMYFUNCTION("""COMPUTED_VALUE"""),"")</f>
        <v/>
      </c>
      <c r="AW176" s="5" t="str">
        <f>IFERROR(__xludf.DUMMYFUNCTION("""COMPUTED_VALUE"""),"")</f>
        <v/>
      </c>
      <c r="AX176" s="5" t="str">
        <f>IFERROR(__xludf.DUMMYFUNCTION("""COMPUTED_VALUE"""),"")</f>
        <v/>
      </c>
      <c r="AY176" s="5" t="str">
        <f>IFERROR(__xludf.DUMMYFUNCTION("""COMPUTED_VALUE"""),"")</f>
        <v/>
      </c>
      <c r="AZ176" s="5" t="str">
        <f>IFERROR(__xludf.DUMMYFUNCTION("""COMPUTED_VALUE"""),"")</f>
        <v/>
      </c>
      <c r="BA176" s="5" t="str">
        <f>IFERROR(__xludf.DUMMYFUNCTION("""COMPUTED_VALUE"""),"")</f>
        <v/>
      </c>
      <c r="BB176" s="5" t="str">
        <f>IFERROR(__xludf.DUMMYFUNCTION("""COMPUTED_VALUE"""),"")</f>
        <v/>
      </c>
      <c r="BC176" s="5" t="str">
        <f>IFERROR(__xludf.DUMMYFUNCTION("""COMPUTED_VALUE"""),"")</f>
        <v/>
      </c>
      <c r="BD176" s="5" t="str">
        <f>IFERROR(__xludf.DUMMYFUNCTION("""COMPUTED_VALUE"""),"")</f>
        <v/>
      </c>
      <c r="BE176" s="5" t="str">
        <f>IFERROR(__xludf.DUMMYFUNCTION("""COMPUTED_VALUE"""),"")</f>
        <v/>
      </c>
      <c r="BF176" s="5" t="str">
        <f>IFERROR(__xludf.DUMMYFUNCTION("""COMPUTED_VALUE"""),"")</f>
        <v/>
      </c>
      <c r="BG176" s="5" t="str">
        <f>IFERROR(__xludf.DUMMYFUNCTION("""COMPUTED_VALUE"""),"")</f>
        <v/>
      </c>
      <c r="BH176" s="5" t="str">
        <f>IFERROR(__xludf.DUMMYFUNCTION("""COMPUTED_VALUE"""),"")</f>
        <v/>
      </c>
      <c r="BI176" s="5" t="str">
        <f>IFERROR(__xludf.DUMMYFUNCTION("""COMPUTED_VALUE"""),"")</f>
        <v/>
      </c>
      <c r="BJ176" s="5" t="str">
        <f>IFERROR(__xludf.DUMMYFUNCTION("""COMPUTED_VALUE"""),"")</f>
        <v/>
      </c>
      <c r="BK176" s="5" t="str">
        <f>IFERROR(__xludf.DUMMYFUNCTION("""COMPUTED_VALUE"""),"")</f>
        <v/>
      </c>
      <c r="BL176" s="5" t="str">
        <f>IFERROR(__xludf.DUMMYFUNCTION("""COMPUTED_VALUE"""),"")</f>
        <v/>
      </c>
      <c r="BM176" s="5" t="str">
        <f>IFERROR(__xludf.DUMMYFUNCTION("""COMPUTED_VALUE"""),"")</f>
        <v/>
      </c>
    </row>
    <row r="177">
      <c r="A177" s="5" t="str">
        <f>IFERROR(__xludf.DUMMYFUNCTION("""COMPUTED_VALUE"""),"Fazi")</f>
        <v>Fazi</v>
      </c>
      <c r="B177" s="5" t="str">
        <f>IFERROR(__xludf.DUMMYFUNCTION("""COMPUTED_VALUE""")," Wild 27 Halloween")</f>
        <v> Wild 27 Halloween</v>
      </c>
      <c r="C177" s="5" t="str">
        <f>IFERROR(__xludf.DUMMYFUNCTION("""COMPUTED_VALUE"""),"Wild27Halloween")</f>
        <v>Wild27Halloween</v>
      </c>
      <c r="D177" s="6">
        <f>IFERROR(__xludf.DUMMYFUNCTION("""COMPUTED_VALUE"""),45925.0)</f>
        <v>45925</v>
      </c>
      <c r="E177" s="5" t="str">
        <f>IFERROR(__xludf.DUMMYFUNCTION("""COMPUTED_VALUE"""),"Slot")</f>
        <v>Slot</v>
      </c>
      <c r="F177" s="5">
        <f>IFERROR(__xludf.DUMMYFUNCTION("""COMPUTED_VALUE"""),8.5)</f>
        <v>8.5</v>
      </c>
      <c r="G177" s="5" t="str">
        <f>IFERROR(__xludf.DUMMYFUNCTION("""COMPUTED_VALUE"""),"3x3")</f>
        <v>3x3</v>
      </c>
      <c r="H177" s="5">
        <f>IFERROR(__xludf.DUMMYFUNCTION("""COMPUTED_VALUE"""),27.0)</f>
        <v>27</v>
      </c>
      <c r="I177" s="5">
        <f>IFERROR(__xludf.DUMMYFUNCTION("""COMPUTED_VALUE"""),27.0)</f>
        <v>27</v>
      </c>
      <c r="J177" s="5" t="str">
        <f>IFERROR(__xludf.DUMMYFUNCTION("""COMPUTED_VALUE"""),"96.24%")</f>
        <v>96.24%</v>
      </c>
      <c r="K177" s="5" t="str">
        <f>IFERROR(__xludf.DUMMYFUNCTION("""COMPUTED_VALUE"""),"Low")</f>
        <v>Low</v>
      </c>
      <c r="L177" s="5" t="str">
        <f>IFERROR(__xludf.DUMMYFUNCTION("""COMPUTED_VALUE"""),"6.58%")</f>
        <v>6.58%</v>
      </c>
      <c r="M177" s="5" t="str">
        <f>IFERROR(__xludf.DUMMYFUNCTION("""COMPUTED_VALUE"""),"x108")</f>
        <v>x108</v>
      </c>
      <c r="N177" s="5" t="str">
        <f>IFERROR(__xludf.DUMMYFUNCTION("""COMPUTED_VALUE"""),"0.1/40	")</f>
        <v>0.1/40	</v>
      </c>
      <c r="O177" s="5" t="str">
        <f>IFERROR(__xludf.DUMMYFUNCTION("""COMPUTED_VALUE"""),"Yes")</f>
        <v>Yes</v>
      </c>
      <c r="P177" s="5"/>
      <c r="Q177" s="7" t="str">
        <f>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R177" s="5" t="str">
        <f>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S1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7" s="5" t="str">
        <f>IFERROR(__xludf.DUMMYFUNCTION("""COMPUTED_VALUE"""),"Yes")</f>
        <v>Yes</v>
      </c>
      <c r="U177" s="5" t="str">
        <f>IFERROR(__xludf.DUMMYFUNCTION("""COMPUTED_VALUE"""),"Yes")</f>
        <v>Yes</v>
      </c>
      <c r="V177" s="5" t="str">
        <f>IFERROR(__xludf.DUMMYFUNCTION("""COMPUTED_VALUE"""),"Yes")</f>
        <v>Yes</v>
      </c>
      <c r="W177" s="5" t="str">
        <f>IFERROR(__xludf.DUMMYFUNCTION("""COMPUTED_VALUE"""),"Yes")</f>
        <v>Yes</v>
      </c>
      <c r="X177" s="5" t="str">
        <f>IFERROR(__xludf.DUMMYFUNCTION("""COMPUTED_VALUE"""),"Yes")</f>
        <v>Yes</v>
      </c>
      <c r="Y177" s="5" t="str">
        <f>IFERROR(__xludf.DUMMYFUNCTION("""COMPUTED_VALUE"""),"Yes")</f>
        <v>Yes</v>
      </c>
      <c r="Z177" s="5" t="str">
        <f>IFERROR(__xludf.DUMMYFUNCTION("""COMPUTED_VALUE"""),"Yes")</f>
        <v>Yes</v>
      </c>
      <c r="AA177" s="5" t="str">
        <f>IFERROR(__xludf.DUMMYFUNCTION("""COMPUTED_VALUE"""),"Yes")</f>
        <v>Yes</v>
      </c>
      <c r="AB177" s="5" t="str">
        <f>IFERROR(__xludf.DUMMYFUNCTION("""COMPUTED_VALUE"""),"Yes")</f>
        <v>Yes</v>
      </c>
      <c r="AC177" s="5" t="str">
        <f>IFERROR(__xludf.DUMMYFUNCTION("""COMPUTED_VALUE"""),"Yes")</f>
        <v>Yes</v>
      </c>
      <c r="AD177" s="5" t="str">
        <f>IFERROR(__xludf.DUMMYFUNCTION("""COMPUTED_VALUE"""),"Yes")</f>
        <v>Yes</v>
      </c>
      <c r="AE177" s="5" t="str">
        <f>IFERROR(__xludf.DUMMYFUNCTION("""COMPUTED_VALUE"""),"Yes")</f>
        <v>Yes</v>
      </c>
      <c r="AF177" s="5" t="str">
        <f>IFERROR(__xludf.DUMMYFUNCTION("""COMPUTED_VALUE"""),"Yes")</f>
        <v>Yes</v>
      </c>
      <c r="AG177" s="5" t="str">
        <f>IFERROR(__xludf.DUMMYFUNCTION("""COMPUTED_VALUE"""),"Yes")</f>
        <v>Yes</v>
      </c>
      <c r="AH177" s="5" t="str">
        <f>IFERROR(__xludf.DUMMYFUNCTION("""COMPUTED_VALUE"""),"Yes")</f>
        <v>Yes</v>
      </c>
      <c r="AI177" s="5" t="str">
        <f>IFERROR(__xludf.DUMMYFUNCTION("""COMPUTED_VALUE"""),"Yes")</f>
        <v>Yes</v>
      </c>
      <c r="AJ177" s="5" t="str">
        <f>IFERROR(__xludf.DUMMYFUNCTION("""COMPUTED_VALUE"""),"Yes")</f>
        <v>Yes</v>
      </c>
      <c r="AK177" s="5" t="str">
        <f>IFERROR(__xludf.DUMMYFUNCTION("""COMPUTED_VALUE"""),"Yes")</f>
        <v>Yes</v>
      </c>
      <c r="AL177" s="5" t="str">
        <f>IFERROR(__xludf.DUMMYFUNCTION("""COMPUTED_VALUE"""),"Yes")</f>
        <v>Yes</v>
      </c>
      <c r="AM177" s="5" t="str">
        <f>IFERROR(__xludf.DUMMYFUNCTION("""COMPUTED_VALUE"""),"Yes")</f>
        <v>Yes</v>
      </c>
      <c r="AN177" s="5" t="str">
        <f>IFERROR(__xludf.DUMMYFUNCTION("""COMPUTED_VALUE"""),"Yes")</f>
        <v>Yes</v>
      </c>
      <c r="AO177" s="5" t="str">
        <f>IFERROR(__xludf.DUMMYFUNCTION("""COMPUTED_VALUE"""),"Yes")</f>
        <v>Yes</v>
      </c>
      <c r="AP177" s="5" t="str">
        <f>IFERROR(__xludf.DUMMYFUNCTION("""COMPUTED_VALUE"""),"Yes")</f>
        <v>Yes</v>
      </c>
      <c r="AQ177" s="5" t="str">
        <f>IFERROR(__xludf.DUMMYFUNCTION("""COMPUTED_VALUE"""),"Yes")</f>
        <v>Yes</v>
      </c>
      <c r="AR177" s="5" t="str">
        <f>IFERROR(__xludf.DUMMYFUNCTION("""COMPUTED_VALUE"""),"Yes")</f>
        <v>Yes</v>
      </c>
      <c r="AS177" s="5" t="str">
        <f>IFERROR(__xludf.DUMMYFUNCTION("""COMPUTED_VALUE"""),"Yes")</f>
        <v>Yes</v>
      </c>
      <c r="AT177" s="5" t="str">
        <f>IFERROR(__xludf.DUMMYFUNCTION("""COMPUTED_VALUE"""),"No")</f>
        <v>No</v>
      </c>
      <c r="AU177" s="5"/>
      <c r="AV177" s="5" t="str">
        <f>IFERROR(__xludf.DUMMYFUNCTION("""COMPUTED_VALUE"""),"")</f>
        <v/>
      </c>
      <c r="AW177" s="5" t="str">
        <f>IFERROR(__xludf.DUMMYFUNCTION("""COMPUTED_VALUE"""),"")</f>
        <v/>
      </c>
      <c r="AX177" s="5" t="str">
        <f>IFERROR(__xludf.DUMMYFUNCTION("""COMPUTED_VALUE"""),"")</f>
        <v/>
      </c>
      <c r="AY177" s="5" t="str">
        <f>IFERROR(__xludf.DUMMYFUNCTION("""COMPUTED_VALUE"""),"")</f>
        <v/>
      </c>
      <c r="AZ177" s="5" t="str">
        <f>IFERROR(__xludf.DUMMYFUNCTION("""COMPUTED_VALUE"""),"")</f>
        <v/>
      </c>
      <c r="BA177" s="5" t="str">
        <f>IFERROR(__xludf.DUMMYFUNCTION("""COMPUTED_VALUE"""),"")</f>
        <v/>
      </c>
      <c r="BB177" s="5" t="str">
        <f>IFERROR(__xludf.DUMMYFUNCTION("""COMPUTED_VALUE"""),"")</f>
        <v/>
      </c>
      <c r="BC177" s="5" t="str">
        <f>IFERROR(__xludf.DUMMYFUNCTION("""COMPUTED_VALUE"""),"")</f>
        <v/>
      </c>
      <c r="BD177" s="5" t="str">
        <f>IFERROR(__xludf.DUMMYFUNCTION("""COMPUTED_VALUE"""),"")</f>
        <v/>
      </c>
      <c r="BE177" s="5" t="str">
        <f>IFERROR(__xludf.DUMMYFUNCTION("""COMPUTED_VALUE"""),"")</f>
        <v/>
      </c>
      <c r="BF177" s="5" t="str">
        <f>IFERROR(__xludf.DUMMYFUNCTION("""COMPUTED_VALUE"""),"")</f>
        <v/>
      </c>
      <c r="BG177" s="5" t="str">
        <f>IFERROR(__xludf.DUMMYFUNCTION("""COMPUTED_VALUE"""),"")</f>
        <v/>
      </c>
      <c r="BH177" s="5" t="str">
        <f>IFERROR(__xludf.DUMMYFUNCTION("""COMPUTED_VALUE"""),"")</f>
        <v/>
      </c>
      <c r="BI177" s="5" t="str">
        <f>IFERROR(__xludf.DUMMYFUNCTION("""COMPUTED_VALUE"""),"")</f>
        <v/>
      </c>
      <c r="BJ177" s="5" t="str">
        <f>IFERROR(__xludf.DUMMYFUNCTION("""COMPUTED_VALUE"""),"")</f>
        <v/>
      </c>
      <c r="BK177" s="5" t="str">
        <f>IFERROR(__xludf.DUMMYFUNCTION("""COMPUTED_VALUE"""),"")</f>
        <v/>
      </c>
      <c r="BL177" s="5" t="str">
        <f>IFERROR(__xludf.DUMMYFUNCTION("""COMPUTED_VALUE"""),"")</f>
        <v/>
      </c>
      <c r="BM177" s="5" t="str">
        <f>IFERROR(__xludf.DUMMYFUNCTION("""COMPUTED_VALUE"""),"")</f>
        <v/>
      </c>
    </row>
    <row r="178">
      <c r="A178" s="5" t="str">
        <f>IFERROR(__xludf.DUMMYFUNCTION("""COMPUTED_VALUE"""),"Fazi")</f>
        <v>Fazi</v>
      </c>
      <c r="B178" s="5" t="str">
        <f>IFERROR(__xludf.DUMMYFUNCTION("""COMPUTED_VALUE"""),"Wild Joker Hot Booster")</f>
        <v>Wild Joker Hot Booster</v>
      </c>
      <c r="C178" s="5" t="str">
        <f>IFERROR(__xludf.DUMMYFUNCTION("""COMPUTED_VALUE"""),"WildJokerHotBooster")</f>
        <v>WildJokerHotBooster</v>
      </c>
      <c r="D178" s="6">
        <f>IFERROR(__xludf.DUMMYFUNCTION("""COMPUTED_VALUE"""),46009.0)</f>
        <v>46009</v>
      </c>
      <c r="E178" s="5" t="str">
        <f>IFERROR(__xludf.DUMMYFUNCTION("""COMPUTED_VALUE"""),"Slot")</f>
        <v>Slot</v>
      </c>
      <c r="F178" s="5">
        <f>IFERROR(__xludf.DUMMYFUNCTION("""COMPUTED_VALUE"""),29.2)</f>
        <v>29.2</v>
      </c>
      <c r="G178" s="5" t="str">
        <f>IFERROR(__xludf.DUMMYFUNCTION("""COMPUTED_VALUE"""),"5x3")</f>
        <v>5x3</v>
      </c>
      <c r="H178" s="5">
        <f>IFERROR(__xludf.DUMMYFUNCTION("""COMPUTED_VALUE"""),10.0)</f>
        <v>10</v>
      </c>
      <c r="I178" s="5">
        <f>IFERROR(__xludf.DUMMYFUNCTION("""COMPUTED_VALUE"""),10.0)</f>
        <v>10</v>
      </c>
      <c r="J178" s="5" t="str">
        <f>IFERROR(__xludf.DUMMYFUNCTION("""COMPUTED_VALUE"""),"96.124%")</f>
        <v>96.124%</v>
      </c>
      <c r="K178" s="5" t="str">
        <f>IFERROR(__xludf.DUMMYFUNCTION("""COMPUTED_VALUE"""),"Medium")</f>
        <v>Medium</v>
      </c>
      <c r="L178" s="5" t="str">
        <f>IFERROR(__xludf.DUMMYFUNCTION("""COMPUTED_VALUE"""),"17.809%")</f>
        <v>17.809%</v>
      </c>
      <c r="M178" s="5" t="str">
        <f>IFERROR(__xludf.DUMMYFUNCTION("""COMPUTED_VALUE"""),"x3092")</f>
        <v>x3092</v>
      </c>
      <c r="N178" s="5" t="str">
        <f>IFERROR(__xludf.DUMMYFUNCTION("""COMPUTED_VALUE"""),"0.10/40")</f>
        <v>0.10/40</v>
      </c>
      <c r="O178" s="5" t="str">
        <f>IFERROR(__xludf.DUMMYFUNCTION("""COMPUTED_VALUE"""),"Yes")</f>
        <v>Yes</v>
      </c>
      <c r="P178" s="5" t="str">
        <f>IFERROR(__xludf.DUMMYFUNCTION("""COMPUTED_VALUE"""),"Buy Feature")</f>
        <v>Buy Feature</v>
      </c>
      <c r="Q178" s="7" t="str">
        <f>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R178" s="5"/>
      <c r="S1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8" s="5" t="str">
        <f>IFERROR(__xludf.DUMMYFUNCTION("""COMPUTED_VALUE"""),"Yes")</f>
        <v>Yes</v>
      </c>
      <c r="U178" s="5" t="str">
        <f>IFERROR(__xludf.DUMMYFUNCTION("""COMPUTED_VALUE"""),"Yes")</f>
        <v>Yes</v>
      </c>
      <c r="V178" s="5" t="str">
        <f>IFERROR(__xludf.DUMMYFUNCTION("""COMPUTED_VALUE"""),"Yes")</f>
        <v>Yes</v>
      </c>
      <c r="W178" s="5" t="str">
        <f>IFERROR(__xludf.DUMMYFUNCTION("""COMPUTED_VALUE"""),"Yes")</f>
        <v>Yes</v>
      </c>
      <c r="X178" s="5" t="str">
        <f>IFERROR(__xludf.DUMMYFUNCTION("""COMPUTED_VALUE"""),"Yes")</f>
        <v>Yes</v>
      </c>
      <c r="Y178" s="5" t="str">
        <f>IFERROR(__xludf.DUMMYFUNCTION("""COMPUTED_VALUE"""),"Yes")</f>
        <v>Yes</v>
      </c>
      <c r="Z178" s="5" t="str">
        <f>IFERROR(__xludf.DUMMYFUNCTION("""COMPUTED_VALUE"""),"Yes")</f>
        <v>Yes</v>
      </c>
      <c r="AA178" s="5" t="str">
        <f>IFERROR(__xludf.DUMMYFUNCTION("""COMPUTED_VALUE"""),"Yes")</f>
        <v>Yes</v>
      </c>
      <c r="AB178" s="5" t="str">
        <f>IFERROR(__xludf.DUMMYFUNCTION("""COMPUTED_VALUE"""),"Yes")</f>
        <v>Yes</v>
      </c>
      <c r="AC178" s="5" t="str">
        <f>IFERROR(__xludf.DUMMYFUNCTION("""COMPUTED_VALUE"""),"Yes")</f>
        <v>Yes</v>
      </c>
      <c r="AD178" s="5" t="str">
        <f>IFERROR(__xludf.DUMMYFUNCTION("""COMPUTED_VALUE"""),"Yes")</f>
        <v>Yes</v>
      </c>
      <c r="AE178" s="5" t="str">
        <f>IFERROR(__xludf.DUMMYFUNCTION("""COMPUTED_VALUE"""),"Yes")</f>
        <v>Yes</v>
      </c>
      <c r="AF178" s="5" t="str">
        <f>IFERROR(__xludf.DUMMYFUNCTION("""COMPUTED_VALUE"""),"Yes")</f>
        <v>Yes</v>
      </c>
      <c r="AG178" s="5" t="str">
        <f>IFERROR(__xludf.DUMMYFUNCTION("""COMPUTED_VALUE"""),"Yes")</f>
        <v>Yes</v>
      </c>
      <c r="AH178" s="5" t="str">
        <f>IFERROR(__xludf.DUMMYFUNCTION("""COMPUTED_VALUE"""),"Yes")</f>
        <v>Yes</v>
      </c>
      <c r="AI178" s="5" t="str">
        <f>IFERROR(__xludf.DUMMYFUNCTION("""COMPUTED_VALUE"""),"Yes")</f>
        <v>Yes</v>
      </c>
      <c r="AJ178" s="5" t="str">
        <f>IFERROR(__xludf.DUMMYFUNCTION("""COMPUTED_VALUE"""),"Yes")</f>
        <v>Yes</v>
      </c>
      <c r="AK178" s="5" t="str">
        <f>IFERROR(__xludf.DUMMYFUNCTION("""COMPUTED_VALUE"""),"Yes")</f>
        <v>Yes</v>
      </c>
      <c r="AL178" s="5" t="str">
        <f>IFERROR(__xludf.DUMMYFUNCTION("""COMPUTED_VALUE"""),"Yes")</f>
        <v>Yes</v>
      </c>
      <c r="AM178" s="5" t="str">
        <f>IFERROR(__xludf.DUMMYFUNCTION("""COMPUTED_VALUE"""),"Yes")</f>
        <v>Yes</v>
      </c>
      <c r="AN178" s="5" t="str">
        <f>IFERROR(__xludf.DUMMYFUNCTION("""COMPUTED_VALUE"""),"Yes")</f>
        <v>Yes</v>
      </c>
      <c r="AO178" s="5" t="str">
        <f>IFERROR(__xludf.DUMMYFUNCTION("""COMPUTED_VALUE"""),"Yes")</f>
        <v>Yes</v>
      </c>
      <c r="AP178" s="5" t="str">
        <f>IFERROR(__xludf.DUMMYFUNCTION("""COMPUTED_VALUE"""),"Yes")</f>
        <v>Yes</v>
      </c>
      <c r="AQ178" s="5" t="str">
        <f>IFERROR(__xludf.DUMMYFUNCTION("""COMPUTED_VALUE"""),"Yes")</f>
        <v>Yes</v>
      </c>
      <c r="AR178" s="5" t="str">
        <f>IFERROR(__xludf.DUMMYFUNCTION("""COMPUTED_VALUE"""),"Yes")</f>
        <v>Yes</v>
      </c>
      <c r="AS178" s="5" t="str">
        <f>IFERROR(__xludf.DUMMYFUNCTION("""COMPUTED_VALUE"""),"Yes")</f>
        <v>Yes</v>
      </c>
      <c r="AT178" s="5" t="str">
        <f>IFERROR(__xludf.DUMMYFUNCTION("""COMPUTED_VALUE"""),"No")</f>
        <v>No</v>
      </c>
      <c r="AU178" s="5"/>
      <c r="AV178" s="5" t="str">
        <f>IFERROR(__xludf.DUMMYFUNCTION("""COMPUTED_VALUE"""),"")</f>
        <v/>
      </c>
      <c r="AW178" s="5" t="str">
        <f>IFERROR(__xludf.DUMMYFUNCTION("""COMPUTED_VALUE"""),"")</f>
        <v/>
      </c>
      <c r="AX178" s="5" t="str">
        <f>IFERROR(__xludf.DUMMYFUNCTION("""COMPUTED_VALUE"""),"")</f>
        <v/>
      </c>
      <c r="AY178" s="5" t="str">
        <f>IFERROR(__xludf.DUMMYFUNCTION("""COMPUTED_VALUE"""),"")</f>
        <v/>
      </c>
      <c r="AZ178" s="5" t="str">
        <f>IFERROR(__xludf.DUMMYFUNCTION("""COMPUTED_VALUE"""),"")</f>
        <v/>
      </c>
      <c r="BA178" s="5" t="str">
        <f>IFERROR(__xludf.DUMMYFUNCTION("""COMPUTED_VALUE"""),"")</f>
        <v/>
      </c>
      <c r="BB178" s="5" t="str">
        <f>IFERROR(__xludf.DUMMYFUNCTION("""COMPUTED_VALUE"""),"")</f>
        <v/>
      </c>
      <c r="BC178" s="5" t="str">
        <f>IFERROR(__xludf.DUMMYFUNCTION("""COMPUTED_VALUE"""),"")</f>
        <v/>
      </c>
      <c r="BD178" s="5" t="str">
        <f>IFERROR(__xludf.DUMMYFUNCTION("""COMPUTED_VALUE"""),"")</f>
        <v/>
      </c>
      <c r="BE178" s="5" t="str">
        <f>IFERROR(__xludf.DUMMYFUNCTION("""COMPUTED_VALUE"""),"")</f>
        <v/>
      </c>
      <c r="BF178" s="5" t="str">
        <f>IFERROR(__xludf.DUMMYFUNCTION("""COMPUTED_VALUE"""),"")</f>
        <v/>
      </c>
      <c r="BG178" s="5" t="str">
        <f>IFERROR(__xludf.DUMMYFUNCTION("""COMPUTED_VALUE"""),"")</f>
        <v/>
      </c>
      <c r="BH178" s="5" t="str">
        <f>IFERROR(__xludf.DUMMYFUNCTION("""COMPUTED_VALUE"""),"")</f>
        <v/>
      </c>
      <c r="BI178" s="5" t="str">
        <f>IFERROR(__xludf.DUMMYFUNCTION("""COMPUTED_VALUE"""),"")</f>
        <v/>
      </c>
      <c r="BJ178" s="5" t="str">
        <f>IFERROR(__xludf.DUMMYFUNCTION("""COMPUTED_VALUE"""),"")</f>
        <v/>
      </c>
      <c r="BK178" s="5" t="str">
        <f>IFERROR(__xludf.DUMMYFUNCTION("""COMPUTED_VALUE"""),"")</f>
        <v/>
      </c>
      <c r="BL178" s="5" t="str">
        <f>IFERROR(__xludf.DUMMYFUNCTION("""COMPUTED_VALUE"""),"")</f>
        <v/>
      </c>
      <c r="BM178" s="5" t="str">
        <f>IFERROR(__xludf.DUMMYFUNCTION("""COMPUTED_VALUE"""),"")</f>
        <v/>
      </c>
    </row>
    <row r="179">
      <c r="A179" s="5" t="str">
        <f>IFERROR(__xludf.DUMMYFUNCTION("""COMPUTED_VALUE"""),"Fazi")</f>
        <v>Fazi</v>
      </c>
      <c r="B179" s="5" t="str">
        <f>IFERROR(__xludf.DUMMYFUNCTION("""COMPUTED_VALUE"""),"Money 5 Booster")</f>
        <v>Money 5 Booster</v>
      </c>
      <c r="C179" s="5" t="str">
        <f>IFERROR(__xludf.DUMMYFUNCTION("""COMPUTED_VALUE"""),"Money5Booster")</f>
        <v>Money5Booster</v>
      </c>
      <c r="D179" s="6">
        <f>IFERROR(__xludf.DUMMYFUNCTION("""COMPUTED_VALUE"""),45953.0)</f>
        <v>45953</v>
      </c>
      <c r="E179" s="5" t="str">
        <f>IFERROR(__xludf.DUMMYFUNCTION("""COMPUTED_VALUE"""),"Slot")</f>
        <v>Slot</v>
      </c>
      <c r="F179" s="5">
        <f>IFERROR(__xludf.DUMMYFUNCTION("""COMPUTED_VALUE"""),24.0)</f>
        <v>24</v>
      </c>
      <c r="G179" s="5" t="str">
        <f>IFERROR(__xludf.DUMMYFUNCTION("""COMPUTED_VALUE"""),"5x3")</f>
        <v>5x3</v>
      </c>
      <c r="H179" s="5">
        <f>IFERROR(__xludf.DUMMYFUNCTION("""COMPUTED_VALUE"""),5.0)</f>
        <v>5</v>
      </c>
      <c r="I179" s="5">
        <f>IFERROR(__xludf.DUMMYFUNCTION("""COMPUTED_VALUE"""),5.0)</f>
        <v>5</v>
      </c>
      <c r="J179" s="5" t="str">
        <f>IFERROR(__xludf.DUMMYFUNCTION("""COMPUTED_VALUE"""),"96.786%")</f>
        <v>96.786%</v>
      </c>
      <c r="K179" s="5" t="str">
        <f>IFERROR(__xludf.DUMMYFUNCTION("""COMPUTED_VALUE"""),"Medium")</f>
        <v>Medium</v>
      </c>
      <c r="L179" s="5" t="str">
        <f>IFERROR(__xludf.DUMMYFUNCTION("""COMPUTED_VALUE"""),"14.504%")</f>
        <v>14.504%</v>
      </c>
      <c r="M179" s="5" t="str">
        <f>IFERROR(__xludf.DUMMYFUNCTION("""COMPUTED_VALUE"""),"x1222")</f>
        <v>x1222</v>
      </c>
      <c r="N179" s="5" t="str">
        <f>IFERROR(__xludf.DUMMYFUNCTION("""COMPUTED_VALUE"""),"0.05/30")</f>
        <v>0.05/30</v>
      </c>
      <c r="O179" s="5" t="str">
        <f>IFERROR(__xludf.DUMMYFUNCTION("""COMPUTED_VALUE"""),"Yes")</f>
        <v>Yes</v>
      </c>
      <c r="P179" s="5" t="str">
        <f>IFERROR(__xludf.DUMMYFUNCTION("""COMPUTED_VALUE"""),"Buy Feature")</f>
        <v>Buy Feature</v>
      </c>
      <c r="Q179" s="7" t="str">
        <f>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R179" s="5" t="str">
        <f>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S1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9" s="5" t="str">
        <f>IFERROR(__xludf.DUMMYFUNCTION("""COMPUTED_VALUE"""),"Yes")</f>
        <v>Yes</v>
      </c>
      <c r="U179" s="5" t="str">
        <f>IFERROR(__xludf.DUMMYFUNCTION("""COMPUTED_VALUE"""),"Yes")</f>
        <v>Yes</v>
      </c>
      <c r="V179" s="5" t="str">
        <f>IFERROR(__xludf.DUMMYFUNCTION("""COMPUTED_VALUE"""),"Yes")</f>
        <v>Yes</v>
      </c>
      <c r="W179" s="5" t="str">
        <f>IFERROR(__xludf.DUMMYFUNCTION("""COMPUTED_VALUE"""),"Yes")</f>
        <v>Yes</v>
      </c>
      <c r="X179" s="5" t="str">
        <f>IFERROR(__xludf.DUMMYFUNCTION("""COMPUTED_VALUE"""),"Yes")</f>
        <v>Yes</v>
      </c>
      <c r="Y179" s="5" t="str">
        <f>IFERROR(__xludf.DUMMYFUNCTION("""COMPUTED_VALUE"""),"Yes")</f>
        <v>Yes</v>
      </c>
      <c r="Z179" s="5" t="str">
        <f>IFERROR(__xludf.DUMMYFUNCTION("""COMPUTED_VALUE"""),"Yes")</f>
        <v>Yes</v>
      </c>
      <c r="AA179" s="5" t="str">
        <f>IFERROR(__xludf.DUMMYFUNCTION("""COMPUTED_VALUE"""),"Yes")</f>
        <v>Yes</v>
      </c>
      <c r="AB179" s="5" t="str">
        <f>IFERROR(__xludf.DUMMYFUNCTION("""COMPUTED_VALUE"""),"Yes")</f>
        <v>Yes</v>
      </c>
      <c r="AC179" s="5" t="str">
        <f>IFERROR(__xludf.DUMMYFUNCTION("""COMPUTED_VALUE"""),"Yes")</f>
        <v>Yes</v>
      </c>
      <c r="AD179" s="5" t="str">
        <f>IFERROR(__xludf.DUMMYFUNCTION("""COMPUTED_VALUE"""),"Yes")</f>
        <v>Yes</v>
      </c>
      <c r="AE179" s="5" t="str">
        <f>IFERROR(__xludf.DUMMYFUNCTION("""COMPUTED_VALUE"""),"Yes")</f>
        <v>Yes</v>
      </c>
      <c r="AF179" s="5" t="str">
        <f>IFERROR(__xludf.DUMMYFUNCTION("""COMPUTED_VALUE"""),"Yes")</f>
        <v>Yes</v>
      </c>
      <c r="AG179" s="5" t="str">
        <f>IFERROR(__xludf.DUMMYFUNCTION("""COMPUTED_VALUE"""),"Yes")</f>
        <v>Yes</v>
      </c>
      <c r="AH179" s="5" t="str">
        <f>IFERROR(__xludf.DUMMYFUNCTION("""COMPUTED_VALUE"""),"Yes")</f>
        <v>Yes</v>
      </c>
      <c r="AI179" s="5" t="str">
        <f>IFERROR(__xludf.DUMMYFUNCTION("""COMPUTED_VALUE"""),"Yes")</f>
        <v>Yes</v>
      </c>
      <c r="AJ179" s="5" t="str">
        <f>IFERROR(__xludf.DUMMYFUNCTION("""COMPUTED_VALUE"""),"Yes")</f>
        <v>Yes</v>
      </c>
      <c r="AK179" s="5" t="str">
        <f>IFERROR(__xludf.DUMMYFUNCTION("""COMPUTED_VALUE"""),"Yes")</f>
        <v>Yes</v>
      </c>
      <c r="AL179" s="5" t="str">
        <f>IFERROR(__xludf.DUMMYFUNCTION("""COMPUTED_VALUE"""),"Yes")</f>
        <v>Yes</v>
      </c>
      <c r="AM179" s="5" t="str">
        <f>IFERROR(__xludf.DUMMYFUNCTION("""COMPUTED_VALUE"""),"Yes")</f>
        <v>Yes</v>
      </c>
      <c r="AN179" s="5" t="str">
        <f>IFERROR(__xludf.DUMMYFUNCTION("""COMPUTED_VALUE"""),"Yes")</f>
        <v>Yes</v>
      </c>
      <c r="AO179" s="5" t="str">
        <f>IFERROR(__xludf.DUMMYFUNCTION("""COMPUTED_VALUE"""),"Yes")</f>
        <v>Yes</v>
      </c>
      <c r="AP179" s="5" t="str">
        <f>IFERROR(__xludf.DUMMYFUNCTION("""COMPUTED_VALUE"""),"Yes")</f>
        <v>Yes</v>
      </c>
      <c r="AQ179" s="5" t="str">
        <f>IFERROR(__xludf.DUMMYFUNCTION("""COMPUTED_VALUE"""),"Yes")</f>
        <v>Yes</v>
      </c>
      <c r="AR179" s="5" t="str">
        <f>IFERROR(__xludf.DUMMYFUNCTION("""COMPUTED_VALUE"""),"Yes")</f>
        <v>Yes</v>
      </c>
      <c r="AS179" s="5" t="str">
        <f>IFERROR(__xludf.DUMMYFUNCTION("""COMPUTED_VALUE"""),"Yes")</f>
        <v>Yes</v>
      </c>
      <c r="AT179" s="5" t="str">
        <f>IFERROR(__xludf.DUMMYFUNCTION("""COMPUTED_VALUE"""),"No")</f>
        <v>No</v>
      </c>
      <c r="AU179" s="5"/>
      <c r="AV179" s="5" t="str">
        <f>IFERROR(__xludf.DUMMYFUNCTION("""COMPUTED_VALUE"""),"")</f>
        <v/>
      </c>
      <c r="AW179" s="5" t="str">
        <f>IFERROR(__xludf.DUMMYFUNCTION("""COMPUTED_VALUE"""),"")</f>
        <v/>
      </c>
      <c r="AX179" s="5" t="str">
        <f>IFERROR(__xludf.DUMMYFUNCTION("""COMPUTED_VALUE"""),"")</f>
        <v/>
      </c>
      <c r="AY179" s="5" t="str">
        <f>IFERROR(__xludf.DUMMYFUNCTION("""COMPUTED_VALUE"""),"")</f>
        <v/>
      </c>
      <c r="AZ179" s="5" t="str">
        <f>IFERROR(__xludf.DUMMYFUNCTION("""COMPUTED_VALUE"""),"")</f>
        <v/>
      </c>
      <c r="BA179" s="5" t="str">
        <f>IFERROR(__xludf.DUMMYFUNCTION("""COMPUTED_VALUE"""),"")</f>
        <v/>
      </c>
      <c r="BB179" s="5" t="str">
        <f>IFERROR(__xludf.DUMMYFUNCTION("""COMPUTED_VALUE"""),"")</f>
        <v/>
      </c>
      <c r="BC179" s="5" t="str">
        <f>IFERROR(__xludf.DUMMYFUNCTION("""COMPUTED_VALUE"""),"")</f>
        <v/>
      </c>
      <c r="BD179" s="5" t="str">
        <f>IFERROR(__xludf.DUMMYFUNCTION("""COMPUTED_VALUE"""),"")</f>
        <v/>
      </c>
      <c r="BE179" s="5" t="str">
        <f>IFERROR(__xludf.DUMMYFUNCTION("""COMPUTED_VALUE"""),"")</f>
        <v/>
      </c>
      <c r="BF179" s="5" t="str">
        <f>IFERROR(__xludf.DUMMYFUNCTION("""COMPUTED_VALUE"""),"")</f>
        <v/>
      </c>
      <c r="BG179" s="5" t="str">
        <f>IFERROR(__xludf.DUMMYFUNCTION("""COMPUTED_VALUE"""),"")</f>
        <v/>
      </c>
      <c r="BH179" s="5" t="str">
        <f>IFERROR(__xludf.DUMMYFUNCTION("""COMPUTED_VALUE"""),"")</f>
        <v/>
      </c>
      <c r="BI179" s="5" t="str">
        <f>IFERROR(__xludf.DUMMYFUNCTION("""COMPUTED_VALUE"""),"")</f>
        <v/>
      </c>
      <c r="BJ179" s="5" t="str">
        <f>IFERROR(__xludf.DUMMYFUNCTION("""COMPUTED_VALUE"""),"")</f>
        <v/>
      </c>
      <c r="BK179" s="5" t="str">
        <f>IFERROR(__xludf.DUMMYFUNCTION("""COMPUTED_VALUE"""),"")</f>
        <v/>
      </c>
      <c r="BL179" s="5" t="str">
        <f>IFERROR(__xludf.DUMMYFUNCTION("""COMPUTED_VALUE"""),"")</f>
        <v/>
      </c>
      <c r="BM179" s="5" t="str">
        <f>IFERROR(__xludf.DUMMYFUNCTION("""COMPUTED_VALUE"""),"")</f>
        <v/>
      </c>
    </row>
    <row r="180">
      <c r="A180" s="5" t="str">
        <f>IFERROR(__xludf.DUMMYFUNCTION("""COMPUTED_VALUE"""),"Fazi")</f>
        <v>Fazi</v>
      </c>
      <c r="B180" s="5" t="str">
        <f>IFERROR(__xludf.DUMMYFUNCTION("""COMPUTED_VALUE"""),"Golden Crown Christmas Booster")</f>
        <v>Golden Crown Christmas Booster</v>
      </c>
      <c r="C180" s="5" t="str">
        <f>IFERROR(__xludf.DUMMYFUNCTION("""COMPUTED_VALUE"""),"GoldenCrownChristmasBooster")</f>
        <v>GoldenCrownChristmasBooster</v>
      </c>
      <c r="D180" s="6">
        <f>IFERROR(__xludf.DUMMYFUNCTION("""COMPUTED_VALUE"""),45974.0)</f>
        <v>45974</v>
      </c>
      <c r="E180" s="5" t="str">
        <f>IFERROR(__xludf.DUMMYFUNCTION("""COMPUTED_VALUE"""),"Slot")</f>
        <v>Slot</v>
      </c>
      <c r="F180" s="5">
        <f>IFERROR(__xludf.DUMMYFUNCTION("""COMPUTED_VALUE"""),16.6)</f>
        <v>16.6</v>
      </c>
      <c r="G180" s="5" t="str">
        <f>IFERROR(__xludf.DUMMYFUNCTION("""COMPUTED_VALUE"""),"5x3")</f>
        <v>5x3</v>
      </c>
      <c r="H180" s="5">
        <f>IFERROR(__xludf.DUMMYFUNCTION("""COMPUTED_VALUE"""),10.0)</f>
        <v>10</v>
      </c>
      <c r="I180" s="5">
        <f>IFERROR(__xludf.DUMMYFUNCTION("""COMPUTED_VALUE"""),10.0)</f>
        <v>10</v>
      </c>
      <c r="J180" s="5" t="str">
        <f>IFERROR(__xludf.DUMMYFUNCTION("""COMPUTED_VALUE"""),"95.962%")</f>
        <v>95.962%</v>
      </c>
      <c r="K180" s="5" t="str">
        <f>IFERROR(__xludf.DUMMYFUNCTION("""COMPUTED_VALUE"""),"Medium")</f>
        <v>Medium</v>
      </c>
      <c r="L180" s="5" t="str">
        <f>IFERROR(__xludf.DUMMYFUNCTION("""COMPUTED_VALUE"""),"14.634%")</f>
        <v>14.634%</v>
      </c>
      <c r="M180" s="5" t="str">
        <f>IFERROR(__xludf.DUMMYFUNCTION("""COMPUTED_VALUE"""),"x1538")</f>
        <v>x1538</v>
      </c>
      <c r="N180" s="5" t="str">
        <f>IFERROR(__xludf.DUMMYFUNCTION("""COMPUTED_VALUE"""),"0.1/40")</f>
        <v>0.1/40</v>
      </c>
      <c r="O180" s="5" t="str">
        <f>IFERROR(__xludf.DUMMYFUNCTION("""COMPUTED_VALUE"""),"Yes")</f>
        <v>Yes</v>
      </c>
      <c r="P180" s="5" t="str">
        <f>IFERROR(__xludf.DUMMYFUNCTION("""COMPUTED_VALUE"""),"Buy Feature")</f>
        <v>Buy Feature</v>
      </c>
      <c r="Q180" s="7" t="str">
        <f>IFERROR(__xludf.DUMMYFUNCTION("""COMPUTED_VALUE"""),"https://onlinegamespromo.fazi.rs/Home/IntegrationGameLaunch?moneyType=0&amp;gameName=GoldenCrownChristmasBooster&amp;platform=desktop&amp;languageCode=eng&amp;currency=EUR")</f>
        <v>https://onlinegamespromo.fazi.rs/Home/IntegrationGameLaunch?moneyType=0&amp;gameName=GoldenCrownChristmasBooster&amp;platform=desktop&amp;languageCode=eng&amp;currency=EUR</v>
      </c>
      <c r="R180" s="5" t="str">
        <f>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S1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0" s="5" t="str">
        <f>IFERROR(__xludf.DUMMYFUNCTION("""COMPUTED_VALUE"""),"Yes")</f>
        <v>Yes</v>
      </c>
      <c r="U180" s="5" t="str">
        <f>IFERROR(__xludf.DUMMYFUNCTION("""COMPUTED_VALUE"""),"Yes")</f>
        <v>Yes</v>
      </c>
      <c r="V180" s="5" t="str">
        <f>IFERROR(__xludf.DUMMYFUNCTION("""COMPUTED_VALUE"""),"Yes")</f>
        <v>Yes</v>
      </c>
      <c r="W180" s="5" t="str">
        <f>IFERROR(__xludf.DUMMYFUNCTION("""COMPUTED_VALUE"""),"Yes")</f>
        <v>Yes</v>
      </c>
      <c r="X180" s="5" t="str">
        <f>IFERROR(__xludf.DUMMYFUNCTION("""COMPUTED_VALUE"""),"Yes")</f>
        <v>Yes</v>
      </c>
      <c r="Y180" s="5" t="str">
        <f>IFERROR(__xludf.DUMMYFUNCTION("""COMPUTED_VALUE"""),"Yes")</f>
        <v>Yes</v>
      </c>
      <c r="Z180" s="5" t="str">
        <f>IFERROR(__xludf.DUMMYFUNCTION("""COMPUTED_VALUE"""),"Yes")</f>
        <v>Yes</v>
      </c>
      <c r="AA180" s="5" t="str">
        <f>IFERROR(__xludf.DUMMYFUNCTION("""COMPUTED_VALUE"""),"Yes")</f>
        <v>Yes</v>
      </c>
      <c r="AB180" s="5" t="str">
        <f>IFERROR(__xludf.DUMMYFUNCTION("""COMPUTED_VALUE"""),"Yes")</f>
        <v>Yes</v>
      </c>
      <c r="AC180" s="5" t="str">
        <f>IFERROR(__xludf.DUMMYFUNCTION("""COMPUTED_VALUE"""),"Yes")</f>
        <v>Yes</v>
      </c>
      <c r="AD180" s="5" t="str">
        <f>IFERROR(__xludf.DUMMYFUNCTION("""COMPUTED_VALUE"""),"Yes")</f>
        <v>Yes</v>
      </c>
      <c r="AE180" s="5" t="str">
        <f>IFERROR(__xludf.DUMMYFUNCTION("""COMPUTED_VALUE"""),"Yes")</f>
        <v>Yes</v>
      </c>
      <c r="AF180" s="5" t="str">
        <f>IFERROR(__xludf.DUMMYFUNCTION("""COMPUTED_VALUE"""),"Yes")</f>
        <v>Yes</v>
      </c>
      <c r="AG180" s="5" t="str">
        <f>IFERROR(__xludf.DUMMYFUNCTION("""COMPUTED_VALUE"""),"Yes")</f>
        <v>Yes</v>
      </c>
      <c r="AH180" s="5" t="str">
        <f>IFERROR(__xludf.DUMMYFUNCTION("""COMPUTED_VALUE"""),"Yes")</f>
        <v>Yes</v>
      </c>
      <c r="AI180" s="5" t="str">
        <f>IFERROR(__xludf.DUMMYFUNCTION("""COMPUTED_VALUE"""),"Yes")</f>
        <v>Yes</v>
      </c>
      <c r="AJ180" s="5" t="str">
        <f>IFERROR(__xludf.DUMMYFUNCTION("""COMPUTED_VALUE"""),"Yes")</f>
        <v>Yes</v>
      </c>
      <c r="AK180" s="5" t="str">
        <f>IFERROR(__xludf.DUMMYFUNCTION("""COMPUTED_VALUE"""),"Yes")</f>
        <v>Yes</v>
      </c>
      <c r="AL180" s="5" t="str">
        <f>IFERROR(__xludf.DUMMYFUNCTION("""COMPUTED_VALUE"""),"Yes")</f>
        <v>Yes</v>
      </c>
      <c r="AM180" s="5" t="str">
        <f>IFERROR(__xludf.DUMMYFUNCTION("""COMPUTED_VALUE"""),"Yes")</f>
        <v>Yes</v>
      </c>
      <c r="AN180" s="5" t="str">
        <f>IFERROR(__xludf.DUMMYFUNCTION("""COMPUTED_VALUE"""),"Yes")</f>
        <v>Yes</v>
      </c>
      <c r="AO180" s="5" t="str">
        <f>IFERROR(__xludf.DUMMYFUNCTION("""COMPUTED_VALUE"""),"Yes")</f>
        <v>Yes</v>
      </c>
      <c r="AP180" s="5" t="str">
        <f>IFERROR(__xludf.DUMMYFUNCTION("""COMPUTED_VALUE"""),"Yes")</f>
        <v>Yes</v>
      </c>
      <c r="AQ180" s="5" t="str">
        <f>IFERROR(__xludf.DUMMYFUNCTION("""COMPUTED_VALUE"""),"Yes")</f>
        <v>Yes</v>
      </c>
      <c r="AR180" s="5" t="str">
        <f>IFERROR(__xludf.DUMMYFUNCTION("""COMPUTED_VALUE"""),"Yes")</f>
        <v>Yes</v>
      </c>
      <c r="AS180" s="5" t="str">
        <f>IFERROR(__xludf.DUMMYFUNCTION("""COMPUTED_VALUE"""),"Yes")</f>
        <v>Yes</v>
      </c>
      <c r="AT180" s="5" t="str">
        <f>IFERROR(__xludf.DUMMYFUNCTION("""COMPUTED_VALUE"""),"No")</f>
        <v>No</v>
      </c>
      <c r="AU180" s="5"/>
      <c r="AV180" s="5" t="str">
        <f>IFERROR(__xludf.DUMMYFUNCTION("""COMPUTED_VALUE"""),"")</f>
        <v/>
      </c>
      <c r="AW180" s="5" t="str">
        <f>IFERROR(__xludf.DUMMYFUNCTION("""COMPUTED_VALUE"""),"")</f>
        <v/>
      </c>
      <c r="AX180" s="5" t="str">
        <f>IFERROR(__xludf.DUMMYFUNCTION("""COMPUTED_VALUE"""),"")</f>
        <v/>
      </c>
      <c r="AY180" s="5" t="str">
        <f>IFERROR(__xludf.DUMMYFUNCTION("""COMPUTED_VALUE"""),"")</f>
        <v/>
      </c>
      <c r="AZ180" s="5" t="str">
        <f>IFERROR(__xludf.DUMMYFUNCTION("""COMPUTED_VALUE"""),"")</f>
        <v/>
      </c>
      <c r="BA180" s="5" t="str">
        <f>IFERROR(__xludf.DUMMYFUNCTION("""COMPUTED_VALUE"""),"")</f>
        <v/>
      </c>
      <c r="BB180" s="5" t="str">
        <f>IFERROR(__xludf.DUMMYFUNCTION("""COMPUTED_VALUE"""),"")</f>
        <v/>
      </c>
      <c r="BC180" s="5" t="str">
        <f>IFERROR(__xludf.DUMMYFUNCTION("""COMPUTED_VALUE"""),"")</f>
        <v/>
      </c>
      <c r="BD180" s="5" t="str">
        <f>IFERROR(__xludf.DUMMYFUNCTION("""COMPUTED_VALUE"""),"")</f>
        <v/>
      </c>
      <c r="BE180" s="5" t="str">
        <f>IFERROR(__xludf.DUMMYFUNCTION("""COMPUTED_VALUE"""),"")</f>
        <v/>
      </c>
      <c r="BF180" s="5" t="str">
        <f>IFERROR(__xludf.DUMMYFUNCTION("""COMPUTED_VALUE"""),"")</f>
        <v/>
      </c>
      <c r="BG180" s="5" t="str">
        <f>IFERROR(__xludf.DUMMYFUNCTION("""COMPUTED_VALUE"""),"")</f>
        <v/>
      </c>
      <c r="BH180" s="5" t="str">
        <f>IFERROR(__xludf.DUMMYFUNCTION("""COMPUTED_VALUE"""),"")</f>
        <v/>
      </c>
      <c r="BI180" s="5" t="str">
        <f>IFERROR(__xludf.DUMMYFUNCTION("""COMPUTED_VALUE"""),"")</f>
        <v/>
      </c>
      <c r="BJ180" s="5" t="str">
        <f>IFERROR(__xludf.DUMMYFUNCTION("""COMPUTED_VALUE"""),"")</f>
        <v/>
      </c>
      <c r="BK180" s="5" t="str">
        <f>IFERROR(__xludf.DUMMYFUNCTION("""COMPUTED_VALUE"""),"")</f>
        <v/>
      </c>
      <c r="BL180" s="5" t="str">
        <f>IFERROR(__xludf.DUMMYFUNCTION("""COMPUTED_VALUE"""),"")</f>
        <v/>
      </c>
      <c r="BM180" s="5" t="str">
        <f>IFERROR(__xludf.DUMMYFUNCTION("""COMPUTED_VALUE"""),"")</f>
        <v/>
      </c>
    </row>
    <row r="181">
      <c r="A181" s="5" t="str">
        <f>IFERROR(__xludf.DUMMYFUNCTION("""COMPUTED_VALUE"""),"Fazi")</f>
        <v>Fazi</v>
      </c>
      <c r="B181" s="5" t="str">
        <f>IFERROR(__xludf.DUMMYFUNCTION("""COMPUTED_VALUE"""),"Bella's World")</f>
        <v>Bella's World</v>
      </c>
      <c r="C181" s="5" t="str">
        <f>IFERROR(__xludf.DUMMYFUNCTION("""COMPUTED_VALUE"""),"BellasWorld")</f>
        <v>BellasWorld</v>
      </c>
      <c r="D181" s="6">
        <f>IFERROR(__xludf.DUMMYFUNCTION("""COMPUTED_VALUE"""),45946.0)</f>
        <v>45946</v>
      </c>
      <c r="E181" s="5" t="str">
        <f>IFERROR(__xludf.DUMMYFUNCTION("""COMPUTED_VALUE"""),"Slot")</f>
        <v>Slot</v>
      </c>
      <c r="F181" s="5">
        <f>IFERROR(__xludf.DUMMYFUNCTION("""COMPUTED_VALUE"""),31.9)</f>
        <v>31.9</v>
      </c>
      <c r="G181" s="5" t="str">
        <f>IFERROR(__xludf.DUMMYFUNCTION("""COMPUTED_VALUE"""),"5x4")</f>
        <v>5x4</v>
      </c>
      <c r="H181" s="5">
        <f>IFERROR(__xludf.DUMMYFUNCTION("""COMPUTED_VALUE"""),40.0)</f>
        <v>40</v>
      </c>
      <c r="I181" s="5">
        <f>IFERROR(__xludf.DUMMYFUNCTION("""COMPUTED_VALUE"""),40.0)</f>
        <v>40</v>
      </c>
      <c r="J181" s="5" t="str">
        <f>IFERROR(__xludf.DUMMYFUNCTION("""COMPUTED_VALUE"""),"95.479%")</f>
        <v>95.479%</v>
      </c>
      <c r="K181" s="5" t="str">
        <f>IFERROR(__xludf.DUMMYFUNCTION("""COMPUTED_VALUE"""),"Medium")</f>
        <v>Medium</v>
      </c>
      <c r="L181" s="5" t="str">
        <f>IFERROR(__xludf.DUMMYFUNCTION("""COMPUTED_VALUE"""),"14.804%")</f>
        <v>14.804%</v>
      </c>
      <c r="M181" s="5" t="str">
        <f>IFERROR(__xludf.DUMMYFUNCTION("""COMPUTED_VALUE"""),"x1000")</f>
        <v>x1000</v>
      </c>
      <c r="N181" s="5" t="str">
        <f>IFERROR(__xludf.DUMMYFUNCTION("""COMPUTED_VALUE"""),"0.4/40")</f>
        <v>0.4/40</v>
      </c>
      <c r="O181" s="5" t="str">
        <f>IFERROR(__xludf.DUMMYFUNCTION("""COMPUTED_VALUE"""),"Yes")</f>
        <v>Yes</v>
      </c>
      <c r="P181" s="5" t="str">
        <f>IFERROR(__xludf.DUMMYFUNCTION("""COMPUTED_VALUE"""),"Wild Symbol, Scatter")</f>
        <v>Wild Symbol, Scatter</v>
      </c>
      <c r="Q181" s="7" t="str">
        <f>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R181" s="5" t="str">
        <f>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S1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1" s="5" t="str">
        <f>IFERROR(__xludf.DUMMYFUNCTION("""COMPUTED_VALUE"""),"Yes")</f>
        <v>Yes</v>
      </c>
      <c r="U181" s="5" t="str">
        <f>IFERROR(__xludf.DUMMYFUNCTION("""COMPUTED_VALUE"""),"Yes")</f>
        <v>Yes</v>
      </c>
      <c r="V181" s="5" t="str">
        <f>IFERROR(__xludf.DUMMYFUNCTION("""COMPUTED_VALUE"""),"Yes")</f>
        <v>Yes</v>
      </c>
      <c r="W181" s="5" t="str">
        <f>IFERROR(__xludf.DUMMYFUNCTION("""COMPUTED_VALUE"""),"Yes")</f>
        <v>Yes</v>
      </c>
      <c r="X181" s="5" t="str">
        <f>IFERROR(__xludf.DUMMYFUNCTION("""COMPUTED_VALUE"""),"Yes")</f>
        <v>Yes</v>
      </c>
      <c r="Y181" s="5" t="str">
        <f>IFERROR(__xludf.DUMMYFUNCTION("""COMPUTED_VALUE"""),"Yes")</f>
        <v>Yes</v>
      </c>
      <c r="Z181" s="5" t="str">
        <f>IFERROR(__xludf.DUMMYFUNCTION("""COMPUTED_VALUE"""),"Yes")</f>
        <v>Yes</v>
      </c>
      <c r="AA181" s="5" t="str">
        <f>IFERROR(__xludf.DUMMYFUNCTION("""COMPUTED_VALUE"""),"Yes")</f>
        <v>Yes</v>
      </c>
      <c r="AB181" s="5" t="str">
        <f>IFERROR(__xludf.DUMMYFUNCTION("""COMPUTED_VALUE"""),"Yes")</f>
        <v>Yes</v>
      </c>
      <c r="AC181" s="5" t="str">
        <f>IFERROR(__xludf.DUMMYFUNCTION("""COMPUTED_VALUE"""),"Yes")</f>
        <v>Yes</v>
      </c>
      <c r="AD181" s="5" t="str">
        <f>IFERROR(__xludf.DUMMYFUNCTION("""COMPUTED_VALUE"""),"Yes")</f>
        <v>Yes</v>
      </c>
      <c r="AE181" s="5" t="str">
        <f>IFERROR(__xludf.DUMMYFUNCTION("""COMPUTED_VALUE"""),"Yes")</f>
        <v>Yes</v>
      </c>
      <c r="AF181" s="5" t="str">
        <f>IFERROR(__xludf.DUMMYFUNCTION("""COMPUTED_VALUE"""),"Yes")</f>
        <v>Yes</v>
      </c>
      <c r="AG181" s="5" t="str">
        <f>IFERROR(__xludf.DUMMYFUNCTION("""COMPUTED_VALUE"""),"Yes")</f>
        <v>Yes</v>
      </c>
      <c r="AH181" s="5" t="str">
        <f>IFERROR(__xludf.DUMMYFUNCTION("""COMPUTED_VALUE"""),"Yes")</f>
        <v>Yes</v>
      </c>
      <c r="AI181" s="5" t="str">
        <f>IFERROR(__xludf.DUMMYFUNCTION("""COMPUTED_VALUE"""),"Yes")</f>
        <v>Yes</v>
      </c>
      <c r="AJ181" s="5" t="str">
        <f>IFERROR(__xludf.DUMMYFUNCTION("""COMPUTED_VALUE"""),"Yes")</f>
        <v>Yes</v>
      </c>
      <c r="AK181" s="5" t="str">
        <f>IFERROR(__xludf.DUMMYFUNCTION("""COMPUTED_VALUE"""),"Yes")</f>
        <v>Yes</v>
      </c>
      <c r="AL181" s="5" t="str">
        <f>IFERROR(__xludf.DUMMYFUNCTION("""COMPUTED_VALUE"""),"Yes")</f>
        <v>Yes</v>
      </c>
      <c r="AM181" s="5" t="str">
        <f>IFERROR(__xludf.DUMMYFUNCTION("""COMPUTED_VALUE"""),"Yes")</f>
        <v>Yes</v>
      </c>
      <c r="AN181" s="5" t="str">
        <f>IFERROR(__xludf.DUMMYFUNCTION("""COMPUTED_VALUE"""),"Yes")</f>
        <v>Yes</v>
      </c>
      <c r="AO181" s="5" t="str">
        <f>IFERROR(__xludf.DUMMYFUNCTION("""COMPUTED_VALUE"""),"Yes")</f>
        <v>Yes</v>
      </c>
      <c r="AP181" s="5" t="str">
        <f>IFERROR(__xludf.DUMMYFUNCTION("""COMPUTED_VALUE"""),"Yes")</f>
        <v>Yes</v>
      </c>
      <c r="AQ181" s="5" t="str">
        <f>IFERROR(__xludf.DUMMYFUNCTION("""COMPUTED_VALUE"""),"Yes")</f>
        <v>Yes</v>
      </c>
      <c r="AR181" s="5" t="str">
        <f>IFERROR(__xludf.DUMMYFUNCTION("""COMPUTED_VALUE"""),"Yes")</f>
        <v>Yes</v>
      </c>
      <c r="AS181" s="5" t="str">
        <f>IFERROR(__xludf.DUMMYFUNCTION("""COMPUTED_VALUE"""),"Yes")</f>
        <v>Yes</v>
      </c>
      <c r="AT181" s="5" t="str">
        <f>IFERROR(__xludf.DUMMYFUNCTION("""COMPUTED_VALUE"""),"No")</f>
        <v>No</v>
      </c>
      <c r="AU181" s="5"/>
      <c r="AV181" s="5" t="str">
        <f>IFERROR(__xludf.DUMMYFUNCTION("""COMPUTED_VALUE"""),"")</f>
        <v/>
      </c>
      <c r="AW181" s="5" t="str">
        <f>IFERROR(__xludf.DUMMYFUNCTION("""COMPUTED_VALUE"""),"")</f>
        <v/>
      </c>
      <c r="AX181" s="5" t="str">
        <f>IFERROR(__xludf.DUMMYFUNCTION("""COMPUTED_VALUE"""),"")</f>
        <v/>
      </c>
      <c r="AY181" s="5" t="str">
        <f>IFERROR(__xludf.DUMMYFUNCTION("""COMPUTED_VALUE"""),"")</f>
        <v/>
      </c>
      <c r="AZ181" s="5" t="str">
        <f>IFERROR(__xludf.DUMMYFUNCTION("""COMPUTED_VALUE"""),"")</f>
        <v/>
      </c>
      <c r="BA181" s="5" t="str">
        <f>IFERROR(__xludf.DUMMYFUNCTION("""COMPUTED_VALUE"""),"")</f>
        <v/>
      </c>
      <c r="BB181" s="5" t="str">
        <f>IFERROR(__xludf.DUMMYFUNCTION("""COMPUTED_VALUE"""),"")</f>
        <v/>
      </c>
      <c r="BC181" s="5" t="str">
        <f>IFERROR(__xludf.DUMMYFUNCTION("""COMPUTED_VALUE"""),"")</f>
        <v/>
      </c>
      <c r="BD181" s="5" t="str">
        <f>IFERROR(__xludf.DUMMYFUNCTION("""COMPUTED_VALUE"""),"")</f>
        <v/>
      </c>
      <c r="BE181" s="5" t="str">
        <f>IFERROR(__xludf.DUMMYFUNCTION("""COMPUTED_VALUE"""),"")</f>
        <v/>
      </c>
      <c r="BF181" s="5" t="str">
        <f>IFERROR(__xludf.DUMMYFUNCTION("""COMPUTED_VALUE"""),"")</f>
        <v/>
      </c>
      <c r="BG181" s="5" t="str">
        <f>IFERROR(__xludf.DUMMYFUNCTION("""COMPUTED_VALUE"""),"")</f>
        <v/>
      </c>
      <c r="BH181" s="5" t="str">
        <f>IFERROR(__xludf.DUMMYFUNCTION("""COMPUTED_VALUE"""),"")</f>
        <v/>
      </c>
      <c r="BI181" s="5" t="str">
        <f>IFERROR(__xludf.DUMMYFUNCTION("""COMPUTED_VALUE"""),"")</f>
        <v/>
      </c>
      <c r="BJ181" s="5" t="str">
        <f>IFERROR(__xludf.DUMMYFUNCTION("""COMPUTED_VALUE"""),"")</f>
        <v/>
      </c>
      <c r="BK181" s="5" t="str">
        <f>IFERROR(__xludf.DUMMYFUNCTION("""COMPUTED_VALUE"""),"")</f>
        <v/>
      </c>
      <c r="BL181" s="5" t="str">
        <f>IFERROR(__xludf.DUMMYFUNCTION("""COMPUTED_VALUE"""),"")</f>
        <v/>
      </c>
      <c r="BM181" s="5" t="str">
        <f>IFERROR(__xludf.DUMMYFUNCTION("""COMPUTED_VALUE"""),"")</f>
        <v/>
      </c>
    </row>
    <row r="182">
      <c r="A182" s="5" t="str">
        <f>IFERROR(__xludf.DUMMYFUNCTION("""COMPUTED_VALUE"""),"Fazi")</f>
        <v>Fazi</v>
      </c>
      <c r="B182" s="5" t="str">
        <f>IFERROR(__xludf.DUMMYFUNCTION("""COMPUTED_VALUE"""),"Wild 27 Extreme")</f>
        <v>Wild 27 Extreme</v>
      </c>
      <c r="C182" s="5" t="str">
        <f>IFERROR(__xludf.DUMMYFUNCTION("""COMPUTED_VALUE"""),"Wild27Extreme")</f>
        <v>Wild27Extreme</v>
      </c>
      <c r="D182" s="6">
        <f>IFERROR(__xludf.DUMMYFUNCTION("""COMPUTED_VALUE"""),45981.0)</f>
        <v>45981</v>
      </c>
      <c r="E182" s="5" t="str">
        <f>IFERROR(__xludf.DUMMYFUNCTION("""COMPUTED_VALUE"""),"Slot")</f>
        <v>Slot</v>
      </c>
      <c r="F182" s="5">
        <f>IFERROR(__xludf.DUMMYFUNCTION("""COMPUTED_VALUE"""),12.62)</f>
        <v>12.62</v>
      </c>
      <c r="G182" s="5" t="str">
        <f>IFERROR(__xludf.DUMMYFUNCTION("""COMPUTED_VALUE"""),"3x3")</f>
        <v>3x3</v>
      </c>
      <c r="H182" s="5">
        <f>IFERROR(__xludf.DUMMYFUNCTION("""COMPUTED_VALUE"""),27.0)</f>
        <v>27</v>
      </c>
      <c r="I182" s="5">
        <f>IFERROR(__xludf.DUMMYFUNCTION("""COMPUTED_VALUE"""),27.0)</f>
        <v>27</v>
      </c>
      <c r="J182" s="5" t="str">
        <f>IFERROR(__xludf.DUMMYFUNCTION("""COMPUTED_VALUE"""),"96.516%")</f>
        <v>96.516%</v>
      </c>
      <c r="K182" s="5" t="str">
        <f>IFERROR(__xludf.DUMMYFUNCTION("""COMPUTED_VALUE"""),"High")</f>
        <v>High</v>
      </c>
      <c r="L182" s="5" t="str">
        <f>IFERROR(__xludf.DUMMYFUNCTION("""COMPUTED_VALUE"""),"6.72%")</f>
        <v>6.72%</v>
      </c>
      <c r="M182" s="5" t="str">
        <f>IFERROR(__xludf.DUMMYFUNCTION("""COMPUTED_VALUE"""),"x3240")</f>
        <v>x3240</v>
      </c>
      <c r="N182" s="5" t="str">
        <f>IFERROR(__xludf.DUMMYFUNCTION("""COMPUTED_VALUE"""),"0.1/50")</f>
        <v>0.1/50</v>
      </c>
      <c r="O182" s="5" t="str">
        <f>IFERROR(__xludf.DUMMYFUNCTION("""COMPUTED_VALUE"""),"Yes")</f>
        <v>Yes</v>
      </c>
      <c r="P182" s="5" t="str">
        <f>IFERROR(__xludf.DUMMYFUNCTION("""COMPUTED_VALUE"""),"Win Multiplier, Wild Symbol")</f>
        <v>Win Multiplier, Wild Symbol</v>
      </c>
      <c r="Q182" s="7" t="str">
        <f>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R182" s="5" t="str">
        <f>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S1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2" s="5" t="str">
        <f>IFERROR(__xludf.DUMMYFUNCTION("""COMPUTED_VALUE"""),"Yes")</f>
        <v>Yes</v>
      </c>
      <c r="U182" s="5" t="str">
        <f>IFERROR(__xludf.DUMMYFUNCTION("""COMPUTED_VALUE"""),"Yes")</f>
        <v>Yes</v>
      </c>
      <c r="V182" s="5" t="str">
        <f>IFERROR(__xludf.DUMMYFUNCTION("""COMPUTED_VALUE"""),"Yes")</f>
        <v>Yes</v>
      </c>
      <c r="W182" s="5" t="str">
        <f>IFERROR(__xludf.DUMMYFUNCTION("""COMPUTED_VALUE"""),"Yes")</f>
        <v>Yes</v>
      </c>
      <c r="X182" s="5" t="str">
        <f>IFERROR(__xludf.DUMMYFUNCTION("""COMPUTED_VALUE"""),"Yes")</f>
        <v>Yes</v>
      </c>
      <c r="Y182" s="5" t="str">
        <f>IFERROR(__xludf.DUMMYFUNCTION("""COMPUTED_VALUE"""),"Yes")</f>
        <v>Yes</v>
      </c>
      <c r="Z182" s="5" t="str">
        <f>IFERROR(__xludf.DUMMYFUNCTION("""COMPUTED_VALUE"""),"Yes")</f>
        <v>Yes</v>
      </c>
      <c r="AA182" s="5" t="str">
        <f>IFERROR(__xludf.DUMMYFUNCTION("""COMPUTED_VALUE"""),"Yes")</f>
        <v>Yes</v>
      </c>
      <c r="AB182" s="5" t="str">
        <f>IFERROR(__xludf.DUMMYFUNCTION("""COMPUTED_VALUE"""),"Yes")</f>
        <v>Yes</v>
      </c>
      <c r="AC182" s="5" t="str">
        <f>IFERROR(__xludf.DUMMYFUNCTION("""COMPUTED_VALUE"""),"Yes")</f>
        <v>Yes</v>
      </c>
      <c r="AD182" s="5" t="str">
        <f>IFERROR(__xludf.DUMMYFUNCTION("""COMPUTED_VALUE"""),"Yes")</f>
        <v>Yes</v>
      </c>
      <c r="AE182" s="5" t="str">
        <f>IFERROR(__xludf.DUMMYFUNCTION("""COMPUTED_VALUE"""),"Yes")</f>
        <v>Yes</v>
      </c>
      <c r="AF182" s="5" t="str">
        <f>IFERROR(__xludf.DUMMYFUNCTION("""COMPUTED_VALUE"""),"Yes")</f>
        <v>Yes</v>
      </c>
      <c r="AG182" s="5" t="str">
        <f>IFERROR(__xludf.DUMMYFUNCTION("""COMPUTED_VALUE"""),"Yes")</f>
        <v>Yes</v>
      </c>
      <c r="AH182" s="5" t="str">
        <f>IFERROR(__xludf.DUMMYFUNCTION("""COMPUTED_VALUE"""),"Yes")</f>
        <v>Yes</v>
      </c>
      <c r="AI182" s="5" t="str">
        <f>IFERROR(__xludf.DUMMYFUNCTION("""COMPUTED_VALUE"""),"Yes")</f>
        <v>Yes</v>
      </c>
      <c r="AJ182" s="5" t="str">
        <f>IFERROR(__xludf.DUMMYFUNCTION("""COMPUTED_VALUE"""),"Yes")</f>
        <v>Yes</v>
      </c>
      <c r="AK182" s="5" t="str">
        <f>IFERROR(__xludf.DUMMYFUNCTION("""COMPUTED_VALUE"""),"Yes")</f>
        <v>Yes</v>
      </c>
      <c r="AL182" s="5" t="str">
        <f>IFERROR(__xludf.DUMMYFUNCTION("""COMPUTED_VALUE"""),"Yes")</f>
        <v>Yes</v>
      </c>
      <c r="AM182" s="5" t="str">
        <f>IFERROR(__xludf.DUMMYFUNCTION("""COMPUTED_VALUE"""),"Yes")</f>
        <v>Yes</v>
      </c>
      <c r="AN182" s="5" t="str">
        <f>IFERROR(__xludf.DUMMYFUNCTION("""COMPUTED_VALUE"""),"Yes")</f>
        <v>Yes</v>
      </c>
      <c r="AO182" s="5" t="str">
        <f>IFERROR(__xludf.DUMMYFUNCTION("""COMPUTED_VALUE"""),"Yes")</f>
        <v>Yes</v>
      </c>
      <c r="AP182" s="5" t="str">
        <f>IFERROR(__xludf.DUMMYFUNCTION("""COMPUTED_VALUE"""),"Yes")</f>
        <v>Yes</v>
      </c>
      <c r="AQ182" s="5" t="str">
        <f>IFERROR(__xludf.DUMMYFUNCTION("""COMPUTED_VALUE"""),"Yes")</f>
        <v>Yes</v>
      </c>
      <c r="AR182" s="5" t="str">
        <f>IFERROR(__xludf.DUMMYFUNCTION("""COMPUTED_VALUE"""),"Yes")</f>
        <v>Yes</v>
      </c>
      <c r="AS182" s="5" t="str">
        <f>IFERROR(__xludf.DUMMYFUNCTION("""COMPUTED_VALUE"""),"Yes")</f>
        <v>Yes</v>
      </c>
      <c r="AT182" s="5" t="str">
        <f>IFERROR(__xludf.DUMMYFUNCTION("""COMPUTED_VALUE"""),"No")</f>
        <v>No</v>
      </c>
      <c r="AU182" s="5"/>
      <c r="AV182" s="5" t="str">
        <f>IFERROR(__xludf.DUMMYFUNCTION("""COMPUTED_VALUE"""),"")</f>
        <v/>
      </c>
      <c r="AW182" s="5" t="str">
        <f>IFERROR(__xludf.DUMMYFUNCTION("""COMPUTED_VALUE"""),"")</f>
        <v/>
      </c>
      <c r="AX182" s="5" t="str">
        <f>IFERROR(__xludf.DUMMYFUNCTION("""COMPUTED_VALUE"""),"")</f>
        <v/>
      </c>
      <c r="AY182" s="5" t="str">
        <f>IFERROR(__xludf.DUMMYFUNCTION("""COMPUTED_VALUE"""),"")</f>
        <v/>
      </c>
      <c r="AZ182" s="5" t="str">
        <f>IFERROR(__xludf.DUMMYFUNCTION("""COMPUTED_VALUE"""),"")</f>
        <v/>
      </c>
      <c r="BA182" s="5" t="str">
        <f>IFERROR(__xludf.DUMMYFUNCTION("""COMPUTED_VALUE"""),"")</f>
        <v/>
      </c>
      <c r="BB182" s="5" t="str">
        <f>IFERROR(__xludf.DUMMYFUNCTION("""COMPUTED_VALUE"""),"")</f>
        <v/>
      </c>
      <c r="BC182" s="5" t="str">
        <f>IFERROR(__xludf.DUMMYFUNCTION("""COMPUTED_VALUE"""),"")</f>
        <v/>
      </c>
      <c r="BD182" s="5" t="str">
        <f>IFERROR(__xludf.DUMMYFUNCTION("""COMPUTED_VALUE"""),"")</f>
        <v/>
      </c>
      <c r="BE182" s="5" t="str">
        <f>IFERROR(__xludf.DUMMYFUNCTION("""COMPUTED_VALUE"""),"")</f>
        <v/>
      </c>
      <c r="BF182" s="5" t="str">
        <f>IFERROR(__xludf.DUMMYFUNCTION("""COMPUTED_VALUE"""),"")</f>
        <v/>
      </c>
      <c r="BG182" s="5" t="str">
        <f>IFERROR(__xludf.DUMMYFUNCTION("""COMPUTED_VALUE"""),"")</f>
        <v/>
      </c>
      <c r="BH182" s="5" t="str">
        <f>IFERROR(__xludf.DUMMYFUNCTION("""COMPUTED_VALUE"""),"")</f>
        <v/>
      </c>
      <c r="BI182" s="5" t="str">
        <f>IFERROR(__xludf.DUMMYFUNCTION("""COMPUTED_VALUE"""),"")</f>
        <v/>
      </c>
      <c r="BJ182" s="5" t="str">
        <f>IFERROR(__xludf.DUMMYFUNCTION("""COMPUTED_VALUE"""),"")</f>
        <v/>
      </c>
      <c r="BK182" s="5" t="str">
        <f>IFERROR(__xludf.DUMMYFUNCTION("""COMPUTED_VALUE"""),"")</f>
        <v/>
      </c>
      <c r="BL182" s="5" t="str">
        <f>IFERROR(__xludf.DUMMYFUNCTION("""COMPUTED_VALUE"""),"")</f>
        <v/>
      </c>
      <c r="BM182" s="5" t="str">
        <f>IFERROR(__xludf.DUMMYFUNCTION("""COMPUTED_VALUE"""),"")</f>
        <v/>
      </c>
    </row>
    <row r="183">
      <c r="A183" s="5" t="str">
        <f>IFERROR(__xludf.DUMMYFUNCTION("""COMPUTED_VALUE"""),"Fazi")</f>
        <v>Fazi</v>
      </c>
      <c r="B183" s="5" t="str">
        <f>IFERROR(__xludf.DUMMYFUNCTION("""COMPUTED_VALUE"""),"Macaco Da Fortuna")</f>
        <v>Macaco Da Fortuna</v>
      </c>
      <c r="C183" s="5" t="str">
        <f>IFERROR(__xludf.DUMMYFUNCTION("""COMPUTED_VALUE"""),"MacacoDaFortuna")</f>
        <v>MacacoDaFortuna</v>
      </c>
      <c r="D183" s="6">
        <f>IFERROR(__xludf.DUMMYFUNCTION("""COMPUTED_VALUE"""),46002.0)</f>
        <v>46002</v>
      </c>
      <c r="E183" s="5" t="str">
        <f>IFERROR(__xludf.DUMMYFUNCTION("""COMPUTED_VALUE"""),"Slot")</f>
        <v>Slot</v>
      </c>
      <c r="F183" s="5">
        <f>IFERROR(__xludf.DUMMYFUNCTION("""COMPUTED_VALUE"""),22.3)</f>
        <v>22.3</v>
      </c>
      <c r="G183" s="5" t="str">
        <f>IFERROR(__xludf.DUMMYFUNCTION("""COMPUTED_VALUE"""),"3x3")</f>
        <v>3x3</v>
      </c>
      <c r="H183" s="5">
        <f>IFERROR(__xludf.DUMMYFUNCTION("""COMPUTED_VALUE"""),5.0)</f>
        <v>5</v>
      </c>
      <c r="I183" s="5">
        <f>IFERROR(__xludf.DUMMYFUNCTION("""COMPUTED_VALUE"""),5.0)</f>
        <v>5</v>
      </c>
      <c r="J183" s="5" t="str">
        <f>IFERROR(__xludf.DUMMYFUNCTION("""COMPUTED_VALUE"""),"96.626%")</f>
        <v>96.626%</v>
      </c>
      <c r="K183" s="5" t="str">
        <f>IFERROR(__xludf.DUMMYFUNCTION("""COMPUTED_VALUE"""),"High")</f>
        <v>High</v>
      </c>
      <c r="L183" s="5" t="str">
        <f>IFERROR(__xludf.DUMMYFUNCTION("""COMPUTED_VALUE"""),"17.151%")</f>
        <v>17.151%</v>
      </c>
      <c r="M183" s="5" t="str">
        <f>IFERROR(__xludf.DUMMYFUNCTION("""COMPUTED_VALUE"""),"x7500")</f>
        <v>x7500</v>
      </c>
      <c r="N183" s="5" t="str">
        <f>IFERROR(__xludf.DUMMYFUNCTION("""COMPUTED_VALUE"""),"0.1/50")</f>
        <v>0.1/50</v>
      </c>
      <c r="O183" s="5"/>
      <c r="P183" s="5" t="str">
        <f>IFERROR(__xludf.DUMMYFUNCTION("""COMPUTED_VALUE"""),"Bonus Game with Special Symbol, Bonus Game with Multiplier, Wild Symbol, Buy Bonus")</f>
        <v>Bonus Game with Special Symbol, Bonus Game with Multiplier, Wild Symbol, Buy Bonus</v>
      </c>
      <c r="Q183" s="7" t="str">
        <f>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R183" s="5" t="str">
        <f>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S1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3" s="5" t="str">
        <f>IFERROR(__xludf.DUMMYFUNCTION("""COMPUTED_VALUE"""),"Yes")</f>
        <v>Yes</v>
      </c>
      <c r="U183" s="5" t="str">
        <f>IFERROR(__xludf.DUMMYFUNCTION("""COMPUTED_VALUE"""),"Yes")</f>
        <v>Yes</v>
      </c>
      <c r="V183" s="5" t="str">
        <f>IFERROR(__xludf.DUMMYFUNCTION("""COMPUTED_VALUE"""),"Yes")</f>
        <v>Yes</v>
      </c>
      <c r="W183" s="5" t="str">
        <f>IFERROR(__xludf.DUMMYFUNCTION("""COMPUTED_VALUE"""),"Yes")</f>
        <v>Yes</v>
      </c>
      <c r="X183" s="5" t="str">
        <f>IFERROR(__xludf.DUMMYFUNCTION("""COMPUTED_VALUE"""),"Yes")</f>
        <v>Yes</v>
      </c>
      <c r="Y183" s="5" t="str">
        <f>IFERROR(__xludf.DUMMYFUNCTION("""COMPUTED_VALUE"""),"Yes")</f>
        <v>Yes</v>
      </c>
      <c r="Z183" s="5" t="str">
        <f>IFERROR(__xludf.DUMMYFUNCTION("""COMPUTED_VALUE"""),"Yes")</f>
        <v>Yes</v>
      </c>
      <c r="AA183" s="5" t="str">
        <f>IFERROR(__xludf.DUMMYFUNCTION("""COMPUTED_VALUE"""),"Yes")</f>
        <v>Yes</v>
      </c>
      <c r="AB183" s="5" t="str">
        <f>IFERROR(__xludf.DUMMYFUNCTION("""COMPUTED_VALUE"""),"Yes")</f>
        <v>Yes</v>
      </c>
      <c r="AC183" s="5" t="str">
        <f>IFERROR(__xludf.DUMMYFUNCTION("""COMPUTED_VALUE"""),"Yes")</f>
        <v>Yes</v>
      </c>
      <c r="AD183" s="5" t="str">
        <f>IFERROR(__xludf.DUMMYFUNCTION("""COMPUTED_VALUE"""),"Yes")</f>
        <v>Yes</v>
      </c>
      <c r="AE183" s="5" t="str">
        <f>IFERROR(__xludf.DUMMYFUNCTION("""COMPUTED_VALUE"""),"Yes")</f>
        <v>Yes</v>
      </c>
      <c r="AF183" s="5" t="str">
        <f>IFERROR(__xludf.DUMMYFUNCTION("""COMPUTED_VALUE"""),"Yes")</f>
        <v>Yes</v>
      </c>
      <c r="AG183" s="5" t="str">
        <f>IFERROR(__xludf.DUMMYFUNCTION("""COMPUTED_VALUE"""),"Yes")</f>
        <v>Yes</v>
      </c>
      <c r="AH183" s="5" t="str">
        <f>IFERROR(__xludf.DUMMYFUNCTION("""COMPUTED_VALUE"""),"Yes")</f>
        <v>Yes</v>
      </c>
      <c r="AI183" s="5" t="str">
        <f>IFERROR(__xludf.DUMMYFUNCTION("""COMPUTED_VALUE"""),"Yes")</f>
        <v>Yes</v>
      </c>
      <c r="AJ183" s="5" t="str">
        <f>IFERROR(__xludf.DUMMYFUNCTION("""COMPUTED_VALUE"""),"Yes")</f>
        <v>Yes</v>
      </c>
      <c r="AK183" s="5" t="str">
        <f>IFERROR(__xludf.DUMMYFUNCTION("""COMPUTED_VALUE"""),"Yes")</f>
        <v>Yes</v>
      </c>
      <c r="AL183" s="5" t="str">
        <f>IFERROR(__xludf.DUMMYFUNCTION("""COMPUTED_VALUE"""),"Yes")</f>
        <v>Yes</v>
      </c>
      <c r="AM183" s="5" t="str">
        <f>IFERROR(__xludf.DUMMYFUNCTION("""COMPUTED_VALUE"""),"Yes")</f>
        <v>Yes</v>
      </c>
      <c r="AN183" s="5" t="str">
        <f>IFERROR(__xludf.DUMMYFUNCTION("""COMPUTED_VALUE"""),"Yes")</f>
        <v>Yes</v>
      </c>
      <c r="AO183" s="5" t="str">
        <f>IFERROR(__xludf.DUMMYFUNCTION("""COMPUTED_VALUE"""),"Yes")</f>
        <v>Yes</v>
      </c>
      <c r="AP183" s="5" t="str">
        <f>IFERROR(__xludf.DUMMYFUNCTION("""COMPUTED_VALUE"""),"Yes")</f>
        <v>Yes</v>
      </c>
      <c r="AQ183" s="5" t="str">
        <f>IFERROR(__xludf.DUMMYFUNCTION("""COMPUTED_VALUE"""),"Yes")</f>
        <v>Yes</v>
      </c>
      <c r="AR183" s="5" t="str">
        <f>IFERROR(__xludf.DUMMYFUNCTION("""COMPUTED_VALUE"""),"Yes")</f>
        <v>Yes</v>
      </c>
      <c r="AS183" s="5" t="str">
        <f>IFERROR(__xludf.DUMMYFUNCTION("""COMPUTED_VALUE"""),"Yes")</f>
        <v>Yes</v>
      </c>
      <c r="AT183" s="5" t="str">
        <f>IFERROR(__xludf.DUMMYFUNCTION("""COMPUTED_VALUE"""),"No")</f>
        <v>No</v>
      </c>
      <c r="AU183" s="5"/>
      <c r="AV183" s="5" t="str">
        <f>IFERROR(__xludf.DUMMYFUNCTION("""COMPUTED_VALUE"""),"Available")</f>
        <v>Available</v>
      </c>
      <c r="AW183" s="5" t="str">
        <f>IFERROR(__xludf.DUMMYFUNCTION("""COMPUTED_VALUE"""),"")</f>
        <v/>
      </c>
      <c r="AX183" s="5" t="str">
        <f>IFERROR(__xludf.DUMMYFUNCTION("""COMPUTED_VALUE"""),"")</f>
        <v/>
      </c>
      <c r="AY183" s="5" t="str">
        <f>IFERROR(__xludf.DUMMYFUNCTION("""COMPUTED_VALUE"""),"")</f>
        <v/>
      </c>
      <c r="AZ183" s="5" t="str">
        <f>IFERROR(__xludf.DUMMYFUNCTION("""COMPUTED_VALUE"""),"")</f>
        <v/>
      </c>
      <c r="BA183" s="5" t="str">
        <f>IFERROR(__xludf.DUMMYFUNCTION("""COMPUTED_VALUE"""),"")</f>
        <v/>
      </c>
      <c r="BB183" s="5" t="str">
        <f>IFERROR(__xludf.DUMMYFUNCTION("""COMPUTED_VALUE"""),"")</f>
        <v/>
      </c>
      <c r="BC183" s="5" t="str">
        <f>IFERROR(__xludf.DUMMYFUNCTION("""COMPUTED_VALUE"""),"")</f>
        <v/>
      </c>
      <c r="BD183" s="5" t="str">
        <f>IFERROR(__xludf.DUMMYFUNCTION("""COMPUTED_VALUE"""),"")</f>
        <v/>
      </c>
      <c r="BE183" s="5" t="str">
        <f>IFERROR(__xludf.DUMMYFUNCTION("""COMPUTED_VALUE"""),"")</f>
        <v/>
      </c>
      <c r="BF183" s="5" t="str">
        <f>IFERROR(__xludf.DUMMYFUNCTION("""COMPUTED_VALUE"""),"")</f>
        <v/>
      </c>
      <c r="BG183" s="5" t="str">
        <f>IFERROR(__xludf.DUMMYFUNCTION("""COMPUTED_VALUE"""),"")</f>
        <v/>
      </c>
      <c r="BH183" s="5" t="str">
        <f>IFERROR(__xludf.DUMMYFUNCTION("""COMPUTED_VALUE"""),"")</f>
        <v/>
      </c>
      <c r="BI183" s="5" t="str">
        <f>IFERROR(__xludf.DUMMYFUNCTION("""COMPUTED_VALUE"""),"")</f>
        <v/>
      </c>
      <c r="BJ183" s="5" t="str">
        <f>IFERROR(__xludf.DUMMYFUNCTION("""COMPUTED_VALUE"""),"")</f>
        <v/>
      </c>
      <c r="BK183" s="5" t="str">
        <f>IFERROR(__xludf.DUMMYFUNCTION("""COMPUTED_VALUE"""),"")</f>
        <v/>
      </c>
      <c r="BL183" s="5" t="str">
        <f>IFERROR(__xludf.DUMMYFUNCTION("""COMPUTED_VALUE"""),"")</f>
        <v/>
      </c>
      <c r="BM183" s="5" t="str">
        <f>IFERROR(__xludf.DUMMYFUNCTION("""COMPUTED_VALUE"""),"")</f>
        <v/>
      </c>
    </row>
    <row r="184">
      <c r="A184" s="5" t="str">
        <f>IFERROR(__xludf.DUMMYFUNCTION("""COMPUTED_VALUE"""),"Fazi")</f>
        <v>Fazi</v>
      </c>
      <c r="B184" s="5" t="str">
        <f>IFERROR(__xludf.DUMMYFUNCTION("""COMPUTED_VALUE"""),"Giga Hot 40 Free Spins")</f>
        <v>Giga Hot 40 Free Spins</v>
      </c>
      <c r="C184" s="5" t="str">
        <f>IFERROR(__xludf.DUMMYFUNCTION("""COMPUTED_VALUE"""),"GigaHot40FreeSpins")</f>
        <v>GigaHot40FreeSpins</v>
      </c>
      <c r="D184" s="6">
        <f>IFERROR(__xludf.DUMMYFUNCTION("""COMPUTED_VALUE"""),45932.0)</f>
        <v>45932</v>
      </c>
      <c r="E184" s="5" t="str">
        <f>IFERROR(__xludf.DUMMYFUNCTION("""COMPUTED_VALUE"""),"Slot")</f>
        <v>Slot</v>
      </c>
      <c r="F184" s="5">
        <f>IFERROR(__xludf.DUMMYFUNCTION("""COMPUTED_VALUE"""),5.4)</f>
        <v>5.4</v>
      </c>
      <c r="G184" s="5" t="str">
        <f>IFERROR(__xludf.DUMMYFUNCTION("""COMPUTED_VALUE"""),"5x4")</f>
        <v>5x4</v>
      </c>
      <c r="H184" s="5">
        <f>IFERROR(__xludf.DUMMYFUNCTION("""COMPUTED_VALUE"""),40.0)</f>
        <v>40</v>
      </c>
      <c r="I184" s="5">
        <f>IFERROR(__xludf.DUMMYFUNCTION("""COMPUTED_VALUE"""),40.0)</f>
        <v>40</v>
      </c>
      <c r="J184" s="5" t="str">
        <f>IFERROR(__xludf.DUMMYFUNCTION("""COMPUTED_VALUE"""),"96.024%")</f>
        <v>96.024%</v>
      </c>
      <c r="K184" s="5" t="str">
        <f>IFERROR(__xludf.DUMMYFUNCTION("""COMPUTED_VALUE"""),"Low")</f>
        <v>Low</v>
      </c>
      <c r="L184" s="5" t="str">
        <f>IFERROR(__xludf.DUMMYFUNCTION("""COMPUTED_VALUE"""),"17.23%")</f>
        <v>17.23%</v>
      </c>
      <c r="M184" s="5" t="str">
        <f>IFERROR(__xludf.DUMMYFUNCTION("""COMPUTED_VALUE"""),"x1046")</f>
        <v>x1046</v>
      </c>
      <c r="N184" s="5" t="str">
        <f>IFERROR(__xludf.DUMMYFUNCTION("""COMPUTED_VALUE"""),"0.4/60")</f>
        <v>0.4/60</v>
      </c>
      <c r="O184" s="5" t="str">
        <f>IFERROR(__xludf.DUMMYFUNCTION("""COMPUTED_VALUE"""),"Yes")</f>
        <v>Yes</v>
      </c>
      <c r="P184" s="5" t="str">
        <f>IFERROR(__xludf.DUMMYFUNCTION("""COMPUTED_VALUE"""),"Buy Bonus, Bonus Game with Free Spins, Wild Symbol")</f>
        <v>Buy Bonus, Bonus Game with Free Spins, Wild Symbol</v>
      </c>
      <c r="Q184" s="7" t="str">
        <f>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R184" s="5" t="str">
        <f>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S1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4" s="5" t="str">
        <f>IFERROR(__xludf.DUMMYFUNCTION("""COMPUTED_VALUE"""),"Yes")</f>
        <v>Yes</v>
      </c>
      <c r="U184" s="5" t="str">
        <f>IFERROR(__xludf.DUMMYFUNCTION("""COMPUTED_VALUE"""),"Yes")</f>
        <v>Yes</v>
      </c>
      <c r="V184" s="5" t="str">
        <f>IFERROR(__xludf.DUMMYFUNCTION("""COMPUTED_VALUE"""),"Yes")</f>
        <v>Yes</v>
      </c>
      <c r="W184" s="5" t="str">
        <f>IFERROR(__xludf.DUMMYFUNCTION("""COMPUTED_VALUE"""),"Yes")</f>
        <v>Yes</v>
      </c>
      <c r="X184" s="5" t="str">
        <f>IFERROR(__xludf.DUMMYFUNCTION("""COMPUTED_VALUE"""),"Yes")</f>
        <v>Yes</v>
      </c>
      <c r="Y184" s="5" t="str">
        <f>IFERROR(__xludf.DUMMYFUNCTION("""COMPUTED_VALUE"""),"Yes")</f>
        <v>Yes</v>
      </c>
      <c r="Z184" s="5" t="str">
        <f>IFERROR(__xludf.DUMMYFUNCTION("""COMPUTED_VALUE"""),"Yes")</f>
        <v>Yes</v>
      </c>
      <c r="AA184" s="5" t="str">
        <f>IFERROR(__xludf.DUMMYFUNCTION("""COMPUTED_VALUE"""),"Yes")</f>
        <v>Yes</v>
      </c>
      <c r="AB184" s="5" t="str">
        <f>IFERROR(__xludf.DUMMYFUNCTION("""COMPUTED_VALUE"""),"Yes")</f>
        <v>Yes</v>
      </c>
      <c r="AC184" s="5" t="str">
        <f>IFERROR(__xludf.DUMMYFUNCTION("""COMPUTED_VALUE"""),"Yes")</f>
        <v>Yes</v>
      </c>
      <c r="AD184" s="5" t="str">
        <f>IFERROR(__xludf.DUMMYFUNCTION("""COMPUTED_VALUE"""),"Yes")</f>
        <v>Yes</v>
      </c>
      <c r="AE184" s="5" t="str">
        <f>IFERROR(__xludf.DUMMYFUNCTION("""COMPUTED_VALUE"""),"Yes")</f>
        <v>Yes</v>
      </c>
      <c r="AF184" s="5" t="str">
        <f>IFERROR(__xludf.DUMMYFUNCTION("""COMPUTED_VALUE"""),"Yes")</f>
        <v>Yes</v>
      </c>
      <c r="AG184" s="5" t="str">
        <f>IFERROR(__xludf.DUMMYFUNCTION("""COMPUTED_VALUE"""),"Yes")</f>
        <v>Yes</v>
      </c>
      <c r="AH184" s="5" t="str">
        <f>IFERROR(__xludf.DUMMYFUNCTION("""COMPUTED_VALUE"""),"Yes")</f>
        <v>Yes</v>
      </c>
      <c r="AI184" s="5" t="str">
        <f>IFERROR(__xludf.DUMMYFUNCTION("""COMPUTED_VALUE"""),"Yes")</f>
        <v>Yes</v>
      </c>
      <c r="AJ184" s="5" t="str">
        <f>IFERROR(__xludf.DUMMYFUNCTION("""COMPUTED_VALUE"""),"Yes")</f>
        <v>Yes</v>
      </c>
      <c r="AK184" s="5" t="str">
        <f>IFERROR(__xludf.DUMMYFUNCTION("""COMPUTED_VALUE"""),"Yes")</f>
        <v>Yes</v>
      </c>
      <c r="AL184" s="5" t="str">
        <f>IFERROR(__xludf.DUMMYFUNCTION("""COMPUTED_VALUE"""),"Yes")</f>
        <v>Yes</v>
      </c>
      <c r="AM184" s="5" t="str">
        <f>IFERROR(__xludf.DUMMYFUNCTION("""COMPUTED_VALUE"""),"Yes")</f>
        <v>Yes</v>
      </c>
      <c r="AN184" s="5" t="str">
        <f>IFERROR(__xludf.DUMMYFUNCTION("""COMPUTED_VALUE"""),"Yes")</f>
        <v>Yes</v>
      </c>
      <c r="AO184" s="5" t="str">
        <f>IFERROR(__xludf.DUMMYFUNCTION("""COMPUTED_VALUE"""),"Yes")</f>
        <v>Yes</v>
      </c>
      <c r="AP184" s="5" t="str">
        <f>IFERROR(__xludf.DUMMYFUNCTION("""COMPUTED_VALUE"""),"Yes")</f>
        <v>Yes</v>
      </c>
      <c r="AQ184" s="5" t="str">
        <f>IFERROR(__xludf.DUMMYFUNCTION("""COMPUTED_VALUE"""),"Yes")</f>
        <v>Yes</v>
      </c>
      <c r="AR184" s="5" t="str">
        <f>IFERROR(__xludf.DUMMYFUNCTION("""COMPUTED_VALUE"""),"Yes")</f>
        <v>Yes</v>
      </c>
      <c r="AS184" s="5" t="str">
        <f>IFERROR(__xludf.DUMMYFUNCTION("""COMPUTED_VALUE"""),"Yes")</f>
        <v>Yes</v>
      </c>
      <c r="AT184" s="5" t="str">
        <f>IFERROR(__xludf.DUMMYFUNCTION("""COMPUTED_VALUE"""),"No")</f>
        <v>No</v>
      </c>
      <c r="AU184" s="5"/>
      <c r="AV184" s="5" t="str">
        <f>IFERROR(__xludf.DUMMYFUNCTION("""COMPUTED_VALUE"""),"")</f>
        <v/>
      </c>
      <c r="AW184" s="5" t="str">
        <f>IFERROR(__xludf.DUMMYFUNCTION("""COMPUTED_VALUE"""),"")</f>
        <v/>
      </c>
      <c r="AX184" s="5" t="str">
        <f>IFERROR(__xludf.DUMMYFUNCTION("""COMPUTED_VALUE"""),"")</f>
        <v/>
      </c>
      <c r="AY184" s="5" t="str">
        <f>IFERROR(__xludf.DUMMYFUNCTION("""COMPUTED_VALUE"""),"")</f>
        <v/>
      </c>
      <c r="AZ184" s="5" t="str">
        <f>IFERROR(__xludf.DUMMYFUNCTION("""COMPUTED_VALUE"""),"")</f>
        <v/>
      </c>
      <c r="BA184" s="5" t="str">
        <f>IFERROR(__xludf.DUMMYFUNCTION("""COMPUTED_VALUE"""),"")</f>
        <v/>
      </c>
      <c r="BB184" s="5" t="str">
        <f>IFERROR(__xludf.DUMMYFUNCTION("""COMPUTED_VALUE"""),"")</f>
        <v/>
      </c>
      <c r="BC184" s="5" t="str">
        <f>IFERROR(__xludf.DUMMYFUNCTION("""COMPUTED_VALUE"""),"")</f>
        <v/>
      </c>
      <c r="BD184" s="5" t="str">
        <f>IFERROR(__xludf.DUMMYFUNCTION("""COMPUTED_VALUE"""),"")</f>
        <v/>
      </c>
      <c r="BE184" s="5" t="str">
        <f>IFERROR(__xludf.DUMMYFUNCTION("""COMPUTED_VALUE"""),"")</f>
        <v/>
      </c>
      <c r="BF184" s="5" t="str">
        <f>IFERROR(__xludf.DUMMYFUNCTION("""COMPUTED_VALUE"""),"")</f>
        <v/>
      </c>
      <c r="BG184" s="5" t="str">
        <f>IFERROR(__xludf.DUMMYFUNCTION("""COMPUTED_VALUE"""),"")</f>
        <v/>
      </c>
      <c r="BH184" s="5" t="str">
        <f>IFERROR(__xludf.DUMMYFUNCTION("""COMPUTED_VALUE"""),"")</f>
        <v/>
      </c>
      <c r="BI184" s="5" t="str">
        <f>IFERROR(__xludf.DUMMYFUNCTION("""COMPUTED_VALUE"""),"")</f>
        <v/>
      </c>
      <c r="BJ184" s="5" t="str">
        <f>IFERROR(__xludf.DUMMYFUNCTION("""COMPUTED_VALUE"""),"")</f>
        <v/>
      </c>
      <c r="BK184" s="5" t="str">
        <f>IFERROR(__xludf.DUMMYFUNCTION("""COMPUTED_VALUE"""),"")</f>
        <v/>
      </c>
      <c r="BL184" s="5" t="str">
        <f>IFERROR(__xludf.DUMMYFUNCTION("""COMPUTED_VALUE"""),"")</f>
        <v/>
      </c>
      <c r="BM184" s="5" t="str">
        <f>IFERROR(__xludf.DUMMYFUNCTION("""COMPUTED_VALUE"""),"")</f>
        <v/>
      </c>
    </row>
    <row r="185">
      <c r="A185" s="5" t="str">
        <f>IFERROR(__xludf.DUMMYFUNCTION("""COMPUTED_VALUE"""),"Fazi")</f>
        <v>Fazi</v>
      </c>
      <c r="B185" s="5" t="str">
        <f>IFERROR(__xludf.DUMMYFUNCTION("""COMPUTED_VALUE"""),"Very Hot 5 Christmas Booster")</f>
        <v>Very Hot 5 Christmas Booster</v>
      </c>
      <c r="C185" s="5" t="str">
        <f>IFERROR(__xludf.DUMMYFUNCTION("""COMPUTED_VALUE"""),"VeryHot5ChristmasBooster")</f>
        <v>VeryHot5ChristmasBooster</v>
      </c>
      <c r="D185" s="6">
        <f>IFERROR(__xludf.DUMMYFUNCTION("""COMPUTED_VALUE"""),45967.0)</f>
        <v>45967</v>
      </c>
      <c r="E185" s="5" t="str">
        <f>IFERROR(__xludf.DUMMYFUNCTION("""COMPUTED_VALUE"""),"Slot")</f>
        <v>Slot</v>
      </c>
      <c r="F185" s="5">
        <f>IFERROR(__xludf.DUMMYFUNCTION("""COMPUTED_VALUE"""),19.3)</f>
        <v>19.3</v>
      </c>
      <c r="G185" s="5" t="str">
        <f>IFERROR(__xludf.DUMMYFUNCTION("""COMPUTED_VALUE"""),"5x3")</f>
        <v>5x3</v>
      </c>
      <c r="H185" s="5">
        <f>IFERROR(__xludf.DUMMYFUNCTION("""COMPUTED_VALUE"""),5.0)</f>
        <v>5</v>
      </c>
      <c r="I185" s="5">
        <f>IFERROR(__xludf.DUMMYFUNCTION("""COMPUTED_VALUE"""),5.0)</f>
        <v>5</v>
      </c>
      <c r="J185" s="5" t="str">
        <f>IFERROR(__xludf.DUMMYFUNCTION("""COMPUTED_VALUE"""),"96.447%")</f>
        <v>96.447%</v>
      </c>
      <c r="K185" s="5" t="str">
        <f>IFERROR(__xludf.DUMMYFUNCTION("""COMPUTED_VALUE"""),"Medium")</f>
        <v>Medium</v>
      </c>
      <c r="L185" s="5" t="str">
        <f>IFERROR(__xludf.DUMMYFUNCTION("""COMPUTED_VALUE"""),"14.51%")</f>
        <v>14.51%</v>
      </c>
      <c r="M185" s="5" t="str">
        <f>IFERROR(__xludf.DUMMYFUNCTION("""COMPUTED_VALUE"""),"x1222")</f>
        <v>x1222</v>
      </c>
      <c r="N185" s="5" t="str">
        <f>IFERROR(__xludf.DUMMYFUNCTION("""COMPUTED_VALUE"""),"0.5/30")</f>
        <v>0.5/30</v>
      </c>
      <c r="O185" s="5" t="str">
        <f>IFERROR(__xludf.DUMMYFUNCTION("""COMPUTED_VALUE"""),"Yes")</f>
        <v>Yes</v>
      </c>
      <c r="P185" s="5" t="str">
        <f>IFERROR(__xludf.DUMMYFUNCTION("""COMPUTED_VALUE"""),"Buy Feature")</f>
        <v>Buy Feature</v>
      </c>
      <c r="Q185" s="7" t="str">
        <f>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R185" s="5" t="str">
        <f>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S1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5" s="5" t="str">
        <f>IFERROR(__xludf.DUMMYFUNCTION("""COMPUTED_VALUE"""),"Yes")</f>
        <v>Yes</v>
      </c>
      <c r="U185" s="5" t="str">
        <f>IFERROR(__xludf.DUMMYFUNCTION("""COMPUTED_VALUE"""),"Yes")</f>
        <v>Yes</v>
      </c>
      <c r="V185" s="5" t="str">
        <f>IFERROR(__xludf.DUMMYFUNCTION("""COMPUTED_VALUE"""),"Yes")</f>
        <v>Yes</v>
      </c>
      <c r="W185" s="5" t="str">
        <f>IFERROR(__xludf.DUMMYFUNCTION("""COMPUTED_VALUE"""),"Yes")</f>
        <v>Yes</v>
      </c>
      <c r="X185" s="5" t="str">
        <f>IFERROR(__xludf.DUMMYFUNCTION("""COMPUTED_VALUE"""),"Yes")</f>
        <v>Yes</v>
      </c>
      <c r="Y185" s="5" t="str">
        <f>IFERROR(__xludf.DUMMYFUNCTION("""COMPUTED_VALUE"""),"Yes")</f>
        <v>Yes</v>
      </c>
      <c r="Z185" s="5" t="str">
        <f>IFERROR(__xludf.DUMMYFUNCTION("""COMPUTED_VALUE"""),"Yes")</f>
        <v>Yes</v>
      </c>
      <c r="AA185" s="5" t="str">
        <f>IFERROR(__xludf.DUMMYFUNCTION("""COMPUTED_VALUE"""),"Yes")</f>
        <v>Yes</v>
      </c>
      <c r="AB185" s="5" t="str">
        <f>IFERROR(__xludf.DUMMYFUNCTION("""COMPUTED_VALUE"""),"Yes")</f>
        <v>Yes</v>
      </c>
      <c r="AC185" s="5" t="str">
        <f>IFERROR(__xludf.DUMMYFUNCTION("""COMPUTED_VALUE"""),"Yes")</f>
        <v>Yes</v>
      </c>
      <c r="AD185" s="5" t="str">
        <f>IFERROR(__xludf.DUMMYFUNCTION("""COMPUTED_VALUE"""),"Yes")</f>
        <v>Yes</v>
      </c>
      <c r="AE185" s="5" t="str">
        <f>IFERROR(__xludf.DUMMYFUNCTION("""COMPUTED_VALUE"""),"Yes")</f>
        <v>Yes</v>
      </c>
      <c r="AF185" s="5" t="str">
        <f>IFERROR(__xludf.DUMMYFUNCTION("""COMPUTED_VALUE"""),"Yes")</f>
        <v>Yes</v>
      </c>
      <c r="AG185" s="5" t="str">
        <f>IFERROR(__xludf.DUMMYFUNCTION("""COMPUTED_VALUE"""),"Yes")</f>
        <v>Yes</v>
      </c>
      <c r="AH185" s="5" t="str">
        <f>IFERROR(__xludf.DUMMYFUNCTION("""COMPUTED_VALUE"""),"Yes")</f>
        <v>Yes</v>
      </c>
      <c r="AI185" s="5" t="str">
        <f>IFERROR(__xludf.DUMMYFUNCTION("""COMPUTED_VALUE"""),"Yes")</f>
        <v>Yes</v>
      </c>
      <c r="AJ185" s="5" t="str">
        <f>IFERROR(__xludf.DUMMYFUNCTION("""COMPUTED_VALUE"""),"Yes")</f>
        <v>Yes</v>
      </c>
      <c r="AK185" s="5" t="str">
        <f>IFERROR(__xludf.DUMMYFUNCTION("""COMPUTED_VALUE"""),"Yes")</f>
        <v>Yes</v>
      </c>
      <c r="AL185" s="5" t="str">
        <f>IFERROR(__xludf.DUMMYFUNCTION("""COMPUTED_VALUE"""),"Yes")</f>
        <v>Yes</v>
      </c>
      <c r="AM185" s="5" t="str">
        <f>IFERROR(__xludf.DUMMYFUNCTION("""COMPUTED_VALUE"""),"Yes")</f>
        <v>Yes</v>
      </c>
      <c r="AN185" s="5" t="str">
        <f>IFERROR(__xludf.DUMMYFUNCTION("""COMPUTED_VALUE"""),"Yes")</f>
        <v>Yes</v>
      </c>
      <c r="AO185" s="5" t="str">
        <f>IFERROR(__xludf.DUMMYFUNCTION("""COMPUTED_VALUE"""),"Yes")</f>
        <v>Yes</v>
      </c>
      <c r="AP185" s="5" t="str">
        <f>IFERROR(__xludf.DUMMYFUNCTION("""COMPUTED_VALUE"""),"Yes")</f>
        <v>Yes</v>
      </c>
      <c r="AQ185" s="5" t="str">
        <f>IFERROR(__xludf.DUMMYFUNCTION("""COMPUTED_VALUE"""),"Yes")</f>
        <v>Yes</v>
      </c>
      <c r="AR185" s="5" t="str">
        <f>IFERROR(__xludf.DUMMYFUNCTION("""COMPUTED_VALUE"""),"Yes")</f>
        <v>Yes</v>
      </c>
      <c r="AS185" s="5" t="str">
        <f>IFERROR(__xludf.DUMMYFUNCTION("""COMPUTED_VALUE"""),"Yes")</f>
        <v>Yes</v>
      </c>
      <c r="AT185" s="5" t="str">
        <f>IFERROR(__xludf.DUMMYFUNCTION("""COMPUTED_VALUE"""),"No")</f>
        <v>No</v>
      </c>
      <c r="AU185" s="5"/>
      <c r="AV185" s="5" t="str">
        <f>IFERROR(__xludf.DUMMYFUNCTION("""COMPUTED_VALUE"""),"")</f>
        <v/>
      </c>
      <c r="AW185" s="5" t="str">
        <f>IFERROR(__xludf.DUMMYFUNCTION("""COMPUTED_VALUE"""),"")</f>
        <v/>
      </c>
      <c r="AX185" s="5" t="str">
        <f>IFERROR(__xludf.DUMMYFUNCTION("""COMPUTED_VALUE"""),"")</f>
        <v/>
      </c>
      <c r="AY185" s="5" t="str">
        <f>IFERROR(__xludf.DUMMYFUNCTION("""COMPUTED_VALUE"""),"")</f>
        <v/>
      </c>
      <c r="AZ185" s="5" t="str">
        <f>IFERROR(__xludf.DUMMYFUNCTION("""COMPUTED_VALUE"""),"")</f>
        <v/>
      </c>
      <c r="BA185" s="5" t="str">
        <f>IFERROR(__xludf.DUMMYFUNCTION("""COMPUTED_VALUE"""),"")</f>
        <v/>
      </c>
      <c r="BB185" s="5" t="str">
        <f>IFERROR(__xludf.DUMMYFUNCTION("""COMPUTED_VALUE"""),"")</f>
        <v/>
      </c>
      <c r="BC185" s="5" t="str">
        <f>IFERROR(__xludf.DUMMYFUNCTION("""COMPUTED_VALUE"""),"")</f>
        <v/>
      </c>
      <c r="BD185" s="5" t="str">
        <f>IFERROR(__xludf.DUMMYFUNCTION("""COMPUTED_VALUE"""),"")</f>
        <v/>
      </c>
      <c r="BE185" s="5" t="str">
        <f>IFERROR(__xludf.DUMMYFUNCTION("""COMPUTED_VALUE"""),"")</f>
        <v/>
      </c>
      <c r="BF185" s="5" t="str">
        <f>IFERROR(__xludf.DUMMYFUNCTION("""COMPUTED_VALUE"""),"")</f>
        <v/>
      </c>
      <c r="BG185" s="5" t="str">
        <f>IFERROR(__xludf.DUMMYFUNCTION("""COMPUTED_VALUE"""),"")</f>
        <v/>
      </c>
      <c r="BH185" s="5" t="str">
        <f>IFERROR(__xludf.DUMMYFUNCTION("""COMPUTED_VALUE"""),"")</f>
        <v/>
      </c>
      <c r="BI185" s="5" t="str">
        <f>IFERROR(__xludf.DUMMYFUNCTION("""COMPUTED_VALUE"""),"")</f>
        <v/>
      </c>
      <c r="BJ185" s="5" t="str">
        <f>IFERROR(__xludf.DUMMYFUNCTION("""COMPUTED_VALUE"""),"")</f>
        <v/>
      </c>
      <c r="BK185" s="5" t="str">
        <f>IFERROR(__xludf.DUMMYFUNCTION("""COMPUTED_VALUE"""),"")</f>
        <v/>
      </c>
      <c r="BL185" s="5" t="str">
        <f>IFERROR(__xludf.DUMMYFUNCTION("""COMPUTED_VALUE"""),"")</f>
        <v/>
      </c>
      <c r="BM185" s="5" t="str">
        <f>IFERROR(__xludf.DUMMYFUNCTION("""COMPUTED_VALUE"""),"")</f>
        <v/>
      </c>
    </row>
    <row r="186">
      <c r="A186" s="5" t="str">
        <f>IFERROR(__xludf.DUMMYFUNCTION("""COMPUTED_VALUE"""),"Fazi")</f>
        <v>Fazi</v>
      </c>
      <c r="B186" s="5" t="str">
        <f>IFERROR(__xludf.DUMMYFUNCTION("""COMPUTED_VALUE"""),"Taxi Rush")</f>
        <v>Taxi Rush</v>
      </c>
      <c r="C186" s="5" t="str">
        <f>IFERROR(__xludf.DUMMYFUNCTION("""COMPUTED_VALUE"""),"TaxiRush")</f>
        <v>TaxiRush</v>
      </c>
      <c r="D186" s="6">
        <f>IFERROR(__xludf.DUMMYFUNCTION("""COMPUTED_VALUE"""),45988.0)</f>
        <v>45988</v>
      </c>
      <c r="E186" s="5" t="str">
        <f>IFERROR(__xludf.DUMMYFUNCTION("""COMPUTED_VALUE"""),"Slot")</f>
        <v>Slot</v>
      </c>
      <c r="F186" s="5">
        <f>IFERROR(__xludf.DUMMYFUNCTION("""COMPUTED_VALUE"""),34.4)</f>
        <v>34.4</v>
      </c>
      <c r="G186" s="5" t="str">
        <f>IFERROR(__xludf.DUMMYFUNCTION("""COMPUTED_VALUE"""),"5x4")</f>
        <v>5x4</v>
      </c>
      <c r="H186" s="5">
        <f>IFERROR(__xludf.DUMMYFUNCTION("""COMPUTED_VALUE"""),20.0)</f>
        <v>20</v>
      </c>
      <c r="I186" s="5">
        <f>IFERROR(__xludf.DUMMYFUNCTION("""COMPUTED_VALUE"""),20.0)</f>
        <v>20</v>
      </c>
      <c r="J186" s="5" t="str">
        <f>IFERROR(__xludf.DUMMYFUNCTION("""COMPUTED_VALUE"""),"96.393%")</f>
        <v>96.393%</v>
      </c>
      <c r="K186" s="5" t="str">
        <f>IFERROR(__xludf.DUMMYFUNCTION("""COMPUTED_VALUE"""),"High")</f>
        <v>High</v>
      </c>
      <c r="L186" s="5" t="str">
        <f>IFERROR(__xludf.DUMMYFUNCTION("""COMPUTED_VALUE"""),"11.685%")</f>
        <v>11.685%</v>
      </c>
      <c r="M186" s="5" t="str">
        <f>IFERROR(__xludf.DUMMYFUNCTION("""COMPUTED_VALUE"""),"x24000")</f>
        <v>x24000</v>
      </c>
      <c r="N186" s="5" t="str">
        <f>IFERROR(__xludf.DUMMYFUNCTION("""COMPUTED_VALUE"""),"0.02/50")</f>
        <v>0.02/50</v>
      </c>
      <c r="O186" s="5" t="str">
        <f>IFERROR(__xludf.DUMMYFUNCTION("""COMPUTED_VALUE"""),"Yes")</f>
        <v>Yes</v>
      </c>
      <c r="P186" s="5" t="str">
        <f>IFERROR(__xludf.DUMMYFUNCTION("""COMPUTED_VALUE"""),"Win Multiplier, Win Multiplier, Buy Bonus")</f>
        <v>Win Multiplier, Win Multiplier, Buy Bonus</v>
      </c>
      <c r="Q186" s="7" t="str">
        <f>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R186" s="5" t="str">
        <f>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S1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6" s="5" t="str">
        <f>IFERROR(__xludf.DUMMYFUNCTION("""COMPUTED_VALUE"""),"Yes")</f>
        <v>Yes</v>
      </c>
      <c r="U186" s="5" t="str">
        <f>IFERROR(__xludf.DUMMYFUNCTION("""COMPUTED_VALUE"""),"Yes")</f>
        <v>Yes</v>
      </c>
      <c r="V186" s="5" t="str">
        <f>IFERROR(__xludf.DUMMYFUNCTION("""COMPUTED_VALUE"""),"Yes")</f>
        <v>Yes</v>
      </c>
      <c r="W186" s="5" t="str">
        <f>IFERROR(__xludf.DUMMYFUNCTION("""COMPUTED_VALUE"""),"Yes")</f>
        <v>Yes</v>
      </c>
      <c r="X186" s="5" t="str">
        <f>IFERROR(__xludf.DUMMYFUNCTION("""COMPUTED_VALUE"""),"Yes")</f>
        <v>Yes</v>
      </c>
      <c r="Y186" s="5" t="str">
        <f>IFERROR(__xludf.DUMMYFUNCTION("""COMPUTED_VALUE"""),"Yes")</f>
        <v>Yes</v>
      </c>
      <c r="Z186" s="5" t="str">
        <f>IFERROR(__xludf.DUMMYFUNCTION("""COMPUTED_VALUE"""),"Yes")</f>
        <v>Yes</v>
      </c>
      <c r="AA186" s="5" t="str">
        <f>IFERROR(__xludf.DUMMYFUNCTION("""COMPUTED_VALUE"""),"Yes")</f>
        <v>Yes</v>
      </c>
      <c r="AB186" s="5" t="str">
        <f>IFERROR(__xludf.DUMMYFUNCTION("""COMPUTED_VALUE"""),"Yes")</f>
        <v>Yes</v>
      </c>
      <c r="AC186" s="5" t="str">
        <f>IFERROR(__xludf.DUMMYFUNCTION("""COMPUTED_VALUE"""),"Yes")</f>
        <v>Yes</v>
      </c>
      <c r="AD186" s="5" t="str">
        <f>IFERROR(__xludf.DUMMYFUNCTION("""COMPUTED_VALUE"""),"Yes")</f>
        <v>Yes</v>
      </c>
      <c r="AE186" s="5" t="str">
        <f>IFERROR(__xludf.DUMMYFUNCTION("""COMPUTED_VALUE"""),"Yes")</f>
        <v>Yes</v>
      </c>
      <c r="AF186" s="5" t="str">
        <f>IFERROR(__xludf.DUMMYFUNCTION("""COMPUTED_VALUE"""),"Yes")</f>
        <v>Yes</v>
      </c>
      <c r="AG186" s="5" t="str">
        <f>IFERROR(__xludf.DUMMYFUNCTION("""COMPUTED_VALUE"""),"Yes")</f>
        <v>Yes</v>
      </c>
      <c r="AH186" s="5" t="str">
        <f>IFERROR(__xludf.DUMMYFUNCTION("""COMPUTED_VALUE"""),"Yes")</f>
        <v>Yes</v>
      </c>
      <c r="AI186" s="5" t="str">
        <f>IFERROR(__xludf.DUMMYFUNCTION("""COMPUTED_VALUE"""),"Yes")</f>
        <v>Yes</v>
      </c>
      <c r="AJ186" s="5" t="str">
        <f>IFERROR(__xludf.DUMMYFUNCTION("""COMPUTED_VALUE"""),"Yes")</f>
        <v>Yes</v>
      </c>
      <c r="AK186" s="5" t="str">
        <f>IFERROR(__xludf.DUMMYFUNCTION("""COMPUTED_VALUE"""),"Yes")</f>
        <v>Yes</v>
      </c>
      <c r="AL186" s="5" t="str">
        <f>IFERROR(__xludf.DUMMYFUNCTION("""COMPUTED_VALUE"""),"Yes")</f>
        <v>Yes</v>
      </c>
      <c r="AM186" s="5" t="str">
        <f>IFERROR(__xludf.DUMMYFUNCTION("""COMPUTED_VALUE"""),"Yes")</f>
        <v>Yes</v>
      </c>
      <c r="AN186" s="5" t="str">
        <f>IFERROR(__xludf.DUMMYFUNCTION("""COMPUTED_VALUE"""),"Yes")</f>
        <v>Yes</v>
      </c>
      <c r="AO186" s="5" t="str">
        <f>IFERROR(__xludf.DUMMYFUNCTION("""COMPUTED_VALUE"""),"Yes")</f>
        <v>Yes</v>
      </c>
      <c r="AP186" s="5" t="str">
        <f>IFERROR(__xludf.DUMMYFUNCTION("""COMPUTED_VALUE"""),"Yes")</f>
        <v>Yes</v>
      </c>
      <c r="AQ186" s="5" t="str">
        <f>IFERROR(__xludf.DUMMYFUNCTION("""COMPUTED_VALUE"""),"Yes")</f>
        <v>Yes</v>
      </c>
      <c r="AR186" s="5" t="str">
        <f>IFERROR(__xludf.DUMMYFUNCTION("""COMPUTED_VALUE"""),"Yes")</f>
        <v>Yes</v>
      </c>
      <c r="AS186" s="5" t="str">
        <f>IFERROR(__xludf.DUMMYFUNCTION("""COMPUTED_VALUE"""),"Yes")</f>
        <v>Yes</v>
      </c>
      <c r="AT186" s="5" t="str">
        <f>IFERROR(__xludf.DUMMYFUNCTION("""COMPUTED_VALUE"""),"No")</f>
        <v>No</v>
      </c>
      <c r="AU186" s="5"/>
      <c r="AV186" s="5" t="str">
        <f>IFERROR(__xludf.DUMMYFUNCTION("""COMPUTED_VALUE"""),"")</f>
        <v/>
      </c>
      <c r="AW186" s="5" t="str">
        <f>IFERROR(__xludf.DUMMYFUNCTION("""COMPUTED_VALUE"""),"")</f>
        <v/>
      </c>
      <c r="AX186" s="5" t="str">
        <f>IFERROR(__xludf.DUMMYFUNCTION("""COMPUTED_VALUE"""),"")</f>
        <v/>
      </c>
      <c r="AY186" s="5" t="str">
        <f>IFERROR(__xludf.DUMMYFUNCTION("""COMPUTED_VALUE"""),"")</f>
        <v/>
      </c>
      <c r="AZ186" s="5" t="str">
        <f>IFERROR(__xludf.DUMMYFUNCTION("""COMPUTED_VALUE"""),"")</f>
        <v/>
      </c>
      <c r="BA186" s="5" t="str">
        <f>IFERROR(__xludf.DUMMYFUNCTION("""COMPUTED_VALUE"""),"")</f>
        <v/>
      </c>
      <c r="BB186" s="5" t="str">
        <f>IFERROR(__xludf.DUMMYFUNCTION("""COMPUTED_VALUE"""),"")</f>
        <v/>
      </c>
      <c r="BC186" s="5" t="str">
        <f>IFERROR(__xludf.DUMMYFUNCTION("""COMPUTED_VALUE"""),"")</f>
        <v/>
      </c>
      <c r="BD186" s="5" t="str">
        <f>IFERROR(__xludf.DUMMYFUNCTION("""COMPUTED_VALUE"""),"")</f>
        <v/>
      </c>
      <c r="BE186" s="5" t="str">
        <f>IFERROR(__xludf.DUMMYFUNCTION("""COMPUTED_VALUE"""),"")</f>
        <v/>
      </c>
      <c r="BF186" s="5" t="str">
        <f>IFERROR(__xludf.DUMMYFUNCTION("""COMPUTED_VALUE"""),"")</f>
        <v/>
      </c>
      <c r="BG186" s="5" t="str">
        <f>IFERROR(__xludf.DUMMYFUNCTION("""COMPUTED_VALUE"""),"")</f>
        <v/>
      </c>
      <c r="BH186" s="5" t="str">
        <f>IFERROR(__xludf.DUMMYFUNCTION("""COMPUTED_VALUE"""),"")</f>
        <v/>
      </c>
      <c r="BI186" s="5" t="str">
        <f>IFERROR(__xludf.DUMMYFUNCTION("""COMPUTED_VALUE"""),"")</f>
        <v/>
      </c>
      <c r="BJ186" s="5" t="str">
        <f>IFERROR(__xludf.DUMMYFUNCTION("""COMPUTED_VALUE"""),"")</f>
        <v/>
      </c>
      <c r="BK186" s="5" t="str">
        <f>IFERROR(__xludf.DUMMYFUNCTION("""COMPUTED_VALUE"""),"")</f>
        <v/>
      </c>
      <c r="BL186" s="5" t="str">
        <f>IFERROR(__xludf.DUMMYFUNCTION("""COMPUTED_VALUE"""),"")</f>
        <v/>
      </c>
      <c r="BM186" s="5" t="str">
        <f>IFERROR(__xludf.DUMMYFUNCTION("""COMPUTED_VALUE"""),"")</f>
        <v/>
      </c>
    </row>
    <row r="187">
      <c r="A187" s="5" t="str">
        <f>IFERROR(__xludf.DUMMYFUNCTION("""COMPUTED_VALUE"""),"Fazi")</f>
        <v>Fazi</v>
      </c>
      <c r="B187" s="5" t="str">
        <f>IFERROR(__xludf.DUMMYFUNCTION("""COMPUTED_VALUE"""),"Wild Hot 40 Hold&amp;Win")</f>
        <v>Wild Hot 40 Hold&amp;Win</v>
      </c>
      <c r="C187" s="5" t="str">
        <f>IFERROR(__xludf.DUMMYFUNCTION("""COMPUTED_VALUE"""),"WildHot40HoldAndWin")</f>
        <v>WildHot40HoldAndWin</v>
      </c>
      <c r="D187" s="6">
        <f>IFERROR(__xludf.DUMMYFUNCTION("""COMPUTED_VALUE"""),45995.0)</f>
        <v>45995</v>
      </c>
      <c r="E187" s="5" t="str">
        <f>IFERROR(__xludf.DUMMYFUNCTION("""COMPUTED_VALUE"""),"Slot")</f>
        <v>Slot</v>
      </c>
      <c r="F187" s="5">
        <f>IFERROR(__xludf.DUMMYFUNCTION("""COMPUTED_VALUE"""),21.4)</f>
        <v>21.4</v>
      </c>
      <c r="G187" s="5" t="str">
        <f>IFERROR(__xludf.DUMMYFUNCTION("""COMPUTED_VALUE"""),"5x4")</f>
        <v>5x4</v>
      </c>
      <c r="H187" s="5">
        <f>IFERROR(__xludf.DUMMYFUNCTION("""COMPUTED_VALUE"""),40.0)</f>
        <v>40</v>
      </c>
      <c r="I187" s="5">
        <f>IFERROR(__xludf.DUMMYFUNCTION("""COMPUTED_VALUE"""),40.0)</f>
        <v>40</v>
      </c>
      <c r="J187" s="5" t="str">
        <f>IFERROR(__xludf.DUMMYFUNCTION("""COMPUTED_VALUE"""),"96.584%")</f>
        <v>96.584%</v>
      </c>
      <c r="K187" s="5" t="str">
        <f>IFERROR(__xludf.DUMMYFUNCTION("""COMPUTED_VALUE"""),"Medium")</f>
        <v>Medium</v>
      </c>
      <c r="L187" s="5" t="str">
        <f>IFERROR(__xludf.DUMMYFUNCTION("""COMPUTED_VALUE"""),"17.255%")</f>
        <v>17.255%</v>
      </c>
      <c r="M187" s="5" t="str">
        <f>IFERROR(__xludf.DUMMYFUNCTION("""COMPUTED_VALUE"""),"x1250")</f>
        <v>x1250</v>
      </c>
      <c r="N187" s="5" t="str">
        <f>IFERROR(__xludf.DUMMYFUNCTION("""COMPUTED_VALUE"""),"0.40/60")</f>
        <v>0.40/60</v>
      </c>
      <c r="O187" s="5" t="str">
        <f>IFERROR(__xludf.DUMMYFUNCTION("""COMPUTED_VALUE"""),"Yes")</f>
        <v>Yes</v>
      </c>
      <c r="P187" s="5" t="str">
        <f>IFERROR(__xludf.DUMMYFUNCTION("""COMPUTED_VALUE"""),"Buy Feature, Hold and Win, Wild Symbol, Scatter")</f>
        <v>Buy Feature, Hold and Win, Wild Symbol, Scatter</v>
      </c>
      <c r="Q187" s="7" t="str">
        <f>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R187" s="5" t="str">
        <f>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S1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7" s="5" t="str">
        <f>IFERROR(__xludf.DUMMYFUNCTION("""COMPUTED_VALUE"""),"Yes")</f>
        <v>Yes</v>
      </c>
      <c r="U187" s="5" t="str">
        <f>IFERROR(__xludf.DUMMYFUNCTION("""COMPUTED_VALUE"""),"Yes")</f>
        <v>Yes</v>
      </c>
      <c r="V187" s="5" t="str">
        <f>IFERROR(__xludf.DUMMYFUNCTION("""COMPUTED_VALUE"""),"Yes")</f>
        <v>Yes</v>
      </c>
      <c r="W187" s="5" t="str">
        <f>IFERROR(__xludf.DUMMYFUNCTION("""COMPUTED_VALUE"""),"Yes")</f>
        <v>Yes</v>
      </c>
      <c r="X187" s="5" t="str">
        <f>IFERROR(__xludf.DUMMYFUNCTION("""COMPUTED_VALUE"""),"Yes")</f>
        <v>Yes</v>
      </c>
      <c r="Y187" s="5" t="str">
        <f>IFERROR(__xludf.DUMMYFUNCTION("""COMPUTED_VALUE"""),"Yes")</f>
        <v>Yes</v>
      </c>
      <c r="Z187" s="5" t="str">
        <f>IFERROR(__xludf.DUMMYFUNCTION("""COMPUTED_VALUE"""),"Yes")</f>
        <v>Yes</v>
      </c>
      <c r="AA187" s="5" t="str">
        <f>IFERROR(__xludf.DUMMYFUNCTION("""COMPUTED_VALUE"""),"Yes")</f>
        <v>Yes</v>
      </c>
      <c r="AB187" s="5" t="str">
        <f>IFERROR(__xludf.DUMMYFUNCTION("""COMPUTED_VALUE"""),"Yes")</f>
        <v>Yes</v>
      </c>
      <c r="AC187" s="5" t="str">
        <f>IFERROR(__xludf.DUMMYFUNCTION("""COMPUTED_VALUE"""),"Yes")</f>
        <v>Yes</v>
      </c>
      <c r="AD187" s="5" t="str">
        <f>IFERROR(__xludf.DUMMYFUNCTION("""COMPUTED_VALUE"""),"Yes")</f>
        <v>Yes</v>
      </c>
      <c r="AE187" s="5" t="str">
        <f>IFERROR(__xludf.DUMMYFUNCTION("""COMPUTED_VALUE"""),"Yes")</f>
        <v>Yes</v>
      </c>
      <c r="AF187" s="5" t="str">
        <f>IFERROR(__xludf.DUMMYFUNCTION("""COMPUTED_VALUE"""),"Yes")</f>
        <v>Yes</v>
      </c>
      <c r="AG187" s="5" t="str">
        <f>IFERROR(__xludf.DUMMYFUNCTION("""COMPUTED_VALUE"""),"Yes")</f>
        <v>Yes</v>
      </c>
      <c r="AH187" s="5" t="str">
        <f>IFERROR(__xludf.DUMMYFUNCTION("""COMPUTED_VALUE"""),"Yes")</f>
        <v>Yes</v>
      </c>
      <c r="AI187" s="5" t="str">
        <f>IFERROR(__xludf.DUMMYFUNCTION("""COMPUTED_VALUE"""),"Yes")</f>
        <v>Yes</v>
      </c>
      <c r="AJ187" s="5" t="str">
        <f>IFERROR(__xludf.DUMMYFUNCTION("""COMPUTED_VALUE"""),"Yes")</f>
        <v>Yes</v>
      </c>
      <c r="AK187" s="5" t="str">
        <f>IFERROR(__xludf.DUMMYFUNCTION("""COMPUTED_VALUE"""),"Yes")</f>
        <v>Yes</v>
      </c>
      <c r="AL187" s="5" t="str">
        <f>IFERROR(__xludf.DUMMYFUNCTION("""COMPUTED_VALUE"""),"Yes")</f>
        <v>Yes</v>
      </c>
      <c r="AM187" s="5" t="str">
        <f>IFERROR(__xludf.DUMMYFUNCTION("""COMPUTED_VALUE"""),"Yes")</f>
        <v>Yes</v>
      </c>
      <c r="AN187" s="5" t="str">
        <f>IFERROR(__xludf.DUMMYFUNCTION("""COMPUTED_VALUE"""),"Yes")</f>
        <v>Yes</v>
      </c>
      <c r="AO187" s="5" t="str">
        <f>IFERROR(__xludf.DUMMYFUNCTION("""COMPUTED_VALUE"""),"Yes")</f>
        <v>Yes</v>
      </c>
      <c r="AP187" s="5" t="str">
        <f>IFERROR(__xludf.DUMMYFUNCTION("""COMPUTED_VALUE"""),"Yes")</f>
        <v>Yes</v>
      </c>
      <c r="AQ187" s="5" t="str">
        <f>IFERROR(__xludf.DUMMYFUNCTION("""COMPUTED_VALUE"""),"Yes")</f>
        <v>Yes</v>
      </c>
      <c r="AR187" s="5" t="str">
        <f>IFERROR(__xludf.DUMMYFUNCTION("""COMPUTED_VALUE"""),"Yes")</f>
        <v>Yes</v>
      </c>
      <c r="AS187" s="5" t="str">
        <f>IFERROR(__xludf.DUMMYFUNCTION("""COMPUTED_VALUE"""),"Yes")</f>
        <v>Yes</v>
      </c>
      <c r="AT187" s="5" t="str">
        <f>IFERROR(__xludf.DUMMYFUNCTION("""COMPUTED_VALUE"""),"No")</f>
        <v>No</v>
      </c>
      <c r="AU187" s="5"/>
      <c r="AV187" s="5" t="str">
        <f>IFERROR(__xludf.DUMMYFUNCTION("""COMPUTED_VALUE"""),"")</f>
        <v/>
      </c>
      <c r="AW187" s="5" t="str">
        <f>IFERROR(__xludf.DUMMYFUNCTION("""COMPUTED_VALUE"""),"")</f>
        <v/>
      </c>
      <c r="AX187" s="5" t="str">
        <f>IFERROR(__xludf.DUMMYFUNCTION("""COMPUTED_VALUE"""),"")</f>
        <v/>
      </c>
      <c r="AY187" s="5" t="str">
        <f>IFERROR(__xludf.DUMMYFUNCTION("""COMPUTED_VALUE"""),"")</f>
        <v/>
      </c>
      <c r="AZ187" s="5" t="str">
        <f>IFERROR(__xludf.DUMMYFUNCTION("""COMPUTED_VALUE"""),"")</f>
        <v/>
      </c>
      <c r="BA187" s="5" t="str">
        <f>IFERROR(__xludf.DUMMYFUNCTION("""COMPUTED_VALUE"""),"")</f>
        <v/>
      </c>
      <c r="BB187" s="5" t="str">
        <f>IFERROR(__xludf.DUMMYFUNCTION("""COMPUTED_VALUE"""),"")</f>
        <v/>
      </c>
      <c r="BC187" s="5" t="str">
        <f>IFERROR(__xludf.DUMMYFUNCTION("""COMPUTED_VALUE"""),"")</f>
        <v/>
      </c>
      <c r="BD187" s="5" t="str">
        <f>IFERROR(__xludf.DUMMYFUNCTION("""COMPUTED_VALUE"""),"")</f>
        <v/>
      </c>
      <c r="BE187" s="5" t="str">
        <f>IFERROR(__xludf.DUMMYFUNCTION("""COMPUTED_VALUE"""),"")</f>
        <v/>
      </c>
      <c r="BF187" s="5" t="str">
        <f>IFERROR(__xludf.DUMMYFUNCTION("""COMPUTED_VALUE"""),"")</f>
        <v/>
      </c>
      <c r="BG187" s="5" t="str">
        <f>IFERROR(__xludf.DUMMYFUNCTION("""COMPUTED_VALUE"""),"")</f>
        <v/>
      </c>
      <c r="BH187" s="5" t="str">
        <f>IFERROR(__xludf.DUMMYFUNCTION("""COMPUTED_VALUE"""),"")</f>
        <v/>
      </c>
      <c r="BI187" s="5" t="str">
        <f>IFERROR(__xludf.DUMMYFUNCTION("""COMPUTED_VALUE"""),"")</f>
        <v/>
      </c>
      <c r="BJ187" s="5" t="str">
        <f>IFERROR(__xludf.DUMMYFUNCTION("""COMPUTED_VALUE"""),"")</f>
        <v/>
      </c>
      <c r="BK187" s="5" t="str">
        <f>IFERROR(__xludf.DUMMYFUNCTION("""COMPUTED_VALUE"""),"")</f>
        <v/>
      </c>
      <c r="BL187" s="5" t="str">
        <f>IFERROR(__xludf.DUMMYFUNCTION("""COMPUTED_VALUE"""),"")</f>
        <v/>
      </c>
      <c r="BM187" s="5" t="str">
        <f>IFERROR(__xludf.DUMMYFUNCTION("""COMPUTED_VALUE"""),"")</f>
        <v/>
      </c>
    </row>
    <row r="188">
      <c r="A188" s="5" t="str">
        <f>IFERROR(__xludf.DUMMYFUNCTION("""COMPUTED_VALUE"""),"Fazi")</f>
        <v>Fazi</v>
      </c>
      <c r="B188" s="5" t="str">
        <f>IFERROR(__xludf.DUMMYFUNCTION("""COMPUTED_VALUE"""),"Wild Hot 40 Blow Booster")</f>
        <v>Wild Hot 40 Blow Booster</v>
      </c>
      <c r="C188" s="5" t="str">
        <f>IFERROR(__xludf.DUMMYFUNCTION("""COMPUTED_VALUE"""),"WildHot40BlowBooster")</f>
        <v>WildHot40BlowBooster</v>
      </c>
      <c r="D188" s="6">
        <f>IFERROR(__xludf.DUMMYFUNCTION("""COMPUTED_VALUE"""),46044.0)</f>
        <v>46044</v>
      </c>
      <c r="E188" s="5" t="str">
        <f>IFERROR(__xludf.DUMMYFUNCTION("""COMPUTED_VALUE"""),"Slot")</f>
        <v>Slot</v>
      </c>
      <c r="F188" s="5"/>
      <c r="G188" s="5" t="str">
        <f>IFERROR(__xludf.DUMMYFUNCTION("""COMPUTED_VALUE"""),"5x4")</f>
        <v>5x4</v>
      </c>
      <c r="H188" s="5">
        <f>IFERROR(__xludf.DUMMYFUNCTION("""COMPUTED_VALUE"""),40.0)</f>
        <v>40</v>
      </c>
      <c r="I188" s="5">
        <f>IFERROR(__xludf.DUMMYFUNCTION("""COMPUTED_VALUE"""),40.0)</f>
        <v>40</v>
      </c>
      <c r="J188" s="5" t="str">
        <f>IFERROR(__xludf.DUMMYFUNCTION("""COMPUTED_VALUE"""),"96.269%")</f>
        <v>96.269%</v>
      </c>
      <c r="K188" s="5" t="str">
        <f>IFERROR(__xludf.DUMMYFUNCTION("""COMPUTED_VALUE"""),"Medium")</f>
        <v>Medium</v>
      </c>
      <c r="L188" s="5" t="str">
        <f>IFERROR(__xludf.DUMMYFUNCTION("""COMPUTED_VALUE"""),"13.88%")</f>
        <v>13.88%</v>
      </c>
      <c r="M188" s="5" t="str">
        <f>IFERROR(__xludf.DUMMYFUNCTION("""COMPUTED_VALUE"""),"x1000")</f>
        <v>x1000</v>
      </c>
      <c r="N188" s="5" t="str">
        <f>IFERROR(__xludf.DUMMYFUNCTION("""COMPUTED_VALUE"""),"0.4/60")</f>
        <v>0.4/60</v>
      </c>
      <c r="O188" s="5" t="str">
        <f>IFERROR(__xludf.DUMMYFUNCTION("""COMPUTED_VALUE"""),"Yes")</f>
        <v>Yes</v>
      </c>
      <c r="P188" s="5" t="str">
        <f>IFERROR(__xludf.DUMMYFUNCTION("""COMPUTED_VALUE"""),"Buy Feature, Exploding Wild, Wild Symbol")</f>
        <v>Buy Feature, Exploding Wild, Wild Symbol</v>
      </c>
      <c r="Q188" s="5"/>
      <c r="R188" s="5" t="str">
        <f>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S1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8" s="5" t="str">
        <f>IFERROR(__xludf.DUMMYFUNCTION("""COMPUTED_VALUE"""),"Yes")</f>
        <v>Yes</v>
      </c>
      <c r="U188" s="5" t="str">
        <f>IFERROR(__xludf.DUMMYFUNCTION("""COMPUTED_VALUE"""),"Yes")</f>
        <v>Yes</v>
      </c>
      <c r="V188" s="5" t="str">
        <f>IFERROR(__xludf.DUMMYFUNCTION("""COMPUTED_VALUE"""),"Yes")</f>
        <v>Yes</v>
      </c>
      <c r="W188" s="5" t="str">
        <f>IFERROR(__xludf.DUMMYFUNCTION("""COMPUTED_VALUE"""),"Yes")</f>
        <v>Yes</v>
      </c>
      <c r="X188" s="5" t="str">
        <f>IFERROR(__xludf.DUMMYFUNCTION("""COMPUTED_VALUE"""),"Yes")</f>
        <v>Yes</v>
      </c>
      <c r="Y188" s="5" t="str">
        <f>IFERROR(__xludf.DUMMYFUNCTION("""COMPUTED_VALUE"""),"Yes")</f>
        <v>Yes</v>
      </c>
      <c r="Z188" s="5" t="str">
        <f>IFERROR(__xludf.DUMMYFUNCTION("""COMPUTED_VALUE"""),"Yes")</f>
        <v>Yes</v>
      </c>
      <c r="AA188" s="5" t="str">
        <f>IFERROR(__xludf.DUMMYFUNCTION("""COMPUTED_VALUE"""),"Yes")</f>
        <v>Yes</v>
      </c>
      <c r="AB188" s="5" t="str">
        <f>IFERROR(__xludf.DUMMYFUNCTION("""COMPUTED_VALUE"""),"Yes")</f>
        <v>Yes</v>
      </c>
      <c r="AC188" s="5" t="str">
        <f>IFERROR(__xludf.DUMMYFUNCTION("""COMPUTED_VALUE"""),"Yes")</f>
        <v>Yes</v>
      </c>
      <c r="AD188" s="5" t="str">
        <f>IFERROR(__xludf.DUMMYFUNCTION("""COMPUTED_VALUE"""),"Yes")</f>
        <v>Yes</v>
      </c>
      <c r="AE188" s="5" t="str">
        <f>IFERROR(__xludf.DUMMYFUNCTION("""COMPUTED_VALUE"""),"Yes")</f>
        <v>Yes</v>
      </c>
      <c r="AF188" s="5" t="str">
        <f>IFERROR(__xludf.DUMMYFUNCTION("""COMPUTED_VALUE"""),"Yes")</f>
        <v>Yes</v>
      </c>
      <c r="AG188" s="5" t="str">
        <f>IFERROR(__xludf.DUMMYFUNCTION("""COMPUTED_VALUE"""),"Yes")</f>
        <v>Yes</v>
      </c>
      <c r="AH188" s="5" t="str">
        <f>IFERROR(__xludf.DUMMYFUNCTION("""COMPUTED_VALUE"""),"Yes")</f>
        <v>Yes</v>
      </c>
      <c r="AI188" s="5" t="str">
        <f>IFERROR(__xludf.DUMMYFUNCTION("""COMPUTED_VALUE"""),"Yes")</f>
        <v>Yes</v>
      </c>
      <c r="AJ188" s="5" t="str">
        <f>IFERROR(__xludf.DUMMYFUNCTION("""COMPUTED_VALUE"""),"Yes")</f>
        <v>Yes</v>
      </c>
      <c r="AK188" s="5" t="str">
        <f>IFERROR(__xludf.DUMMYFUNCTION("""COMPUTED_VALUE"""),"Yes")</f>
        <v>Yes</v>
      </c>
      <c r="AL188" s="5" t="str">
        <f>IFERROR(__xludf.DUMMYFUNCTION("""COMPUTED_VALUE"""),"Yes")</f>
        <v>Yes</v>
      </c>
      <c r="AM188" s="5" t="str">
        <f>IFERROR(__xludf.DUMMYFUNCTION("""COMPUTED_VALUE"""),"Yes")</f>
        <v>Yes</v>
      </c>
      <c r="AN188" s="5" t="str">
        <f>IFERROR(__xludf.DUMMYFUNCTION("""COMPUTED_VALUE"""),"Yes")</f>
        <v>Yes</v>
      </c>
      <c r="AO188" s="5" t="str">
        <f>IFERROR(__xludf.DUMMYFUNCTION("""COMPUTED_VALUE"""),"Yes")</f>
        <v>Yes</v>
      </c>
      <c r="AP188" s="5" t="str">
        <f>IFERROR(__xludf.DUMMYFUNCTION("""COMPUTED_VALUE"""),"Yes")</f>
        <v>Yes</v>
      </c>
      <c r="AQ188" s="5" t="str">
        <f>IFERROR(__xludf.DUMMYFUNCTION("""COMPUTED_VALUE"""),"Yes")</f>
        <v>Yes</v>
      </c>
      <c r="AR188" s="5" t="str">
        <f>IFERROR(__xludf.DUMMYFUNCTION("""COMPUTED_VALUE"""),"Yes")</f>
        <v>Yes</v>
      </c>
      <c r="AS188" s="5" t="str">
        <f>IFERROR(__xludf.DUMMYFUNCTION("""COMPUTED_VALUE"""),"Yes")</f>
        <v>Yes</v>
      </c>
      <c r="AT188" s="5" t="str">
        <f>IFERROR(__xludf.DUMMYFUNCTION("""COMPUTED_VALUE"""),"No")</f>
        <v>No</v>
      </c>
      <c r="AU188" s="5"/>
      <c r="AV188" s="5" t="str">
        <f>IFERROR(__xludf.DUMMYFUNCTION("""COMPUTED_VALUE"""),"")</f>
        <v/>
      </c>
      <c r="AW188" s="5" t="str">
        <f>IFERROR(__xludf.DUMMYFUNCTION("""COMPUTED_VALUE"""),"")</f>
        <v/>
      </c>
      <c r="AX188" s="5" t="str">
        <f>IFERROR(__xludf.DUMMYFUNCTION("""COMPUTED_VALUE"""),"")</f>
        <v/>
      </c>
      <c r="AY188" s="5" t="str">
        <f>IFERROR(__xludf.DUMMYFUNCTION("""COMPUTED_VALUE"""),"")</f>
        <v/>
      </c>
      <c r="AZ188" s="5" t="str">
        <f>IFERROR(__xludf.DUMMYFUNCTION("""COMPUTED_VALUE"""),"")</f>
        <v/>
      </c>
      <c r="BA188" s="5" t="str">
        <f>IFERROR(__xludf.DUMMYFUNCTION("""COMPUTED_VALUE"""),"")</f>
        <v/>
      </c>
      <c r="BB188" s="5" t="str">
        <f>IFERROR(__xludf.DUMMYFUNCTION("""COMPUTED_VALUE"""),"")</f>
        <v/>
      </c>
      <c r="BC188" s="5" t="str">
        <f>IFERROR(__xludf.DUMMYFUNCTION("""COMPUTED_VALUE"""),"")</f>
        <v/>
      </c>
      <c r="BD188" s="5" t="str">
        <f>IFERROR(__xludf.DUMMYFUNCTION("""COMPUTED_VALUE"""),"")</f>
        <v/>
      </c>
      <c r="BE188" s="5" t="str">
        <f>IFERROR(__xludf.DUMMYFUNCTION("""COMPUTED_VALUE"""),"")</f>
        <v/>
      </c>
      <c r="BF188" s="5" t="str">
        <f>IFERROR(__xludf.DUMMYFUNCTION("""COMPUTED_VALUE"""),"")</f>
        <v/>
      </c>
      <c r="BG188" s="5" t="str">
        <f>IFERROR(__xludf.DUMMYFUNCTION("""COMPUTED_VALUE"""),"")</f>
        <v/>
      </c>
      <c r="BH188" s="5" t="str">
        <f>IFERROR(__xludf.DUMMYFUNCTION("""COMPUTED_VALUE"""),"")</f>
        <v/>
      </c>
      <c r="BI188" s="5" t="str">
        <f>IFERROR(__xludf.DUMMYFUNCTION("""COMPUTED_VALUE"""),"")</f>
        <v/>
      </c>
      <c r="BJ188" s="5" t="str">
        <f>IFERROR(__xludf.DUMMYFUNCTION("""COMPUTED_VALUE"""),"")</f>
        <v/>
      </c>
      <c r="BK188" s="5" t="str">
        <f>IFERROR(__xludf.DUMMYFUNCTION("""COMPUTED_VALUE"""),"")</f>
        <v/>
      </c>
      <c r="BL188" s="5" t="str">
        <f>IFERROR(__xludf.DUMMYFUNCTION("""COMPUTED_VALUE"""),"")</f>
        <v/>
      </c>
      <c r="BM188" s="5" t="str">
        <f>IFERROR(__xludf.DUMMYFUNCTION("""COMPUTED_VALUE"""),"")</f>
        <v/>
      </c>
    </row>
    <row r="189">
      <c r="A189" s="5" t="str">
        <f>IFERROR(__xludf.DUMMYFUNCTION("""COMPUTED_VALUE"""),"Fazi")</f>
        <v>Fazi</v>
      </c>
      <c r="B189" s="5" t="str">
        <f>IFERROR(__xludf.DUMMYFUNCTION("""COMPUTED_VALUE"""),"Star Heat 40")</f>
        <v>Star Heat 40</v>
      </c>
      <c r="C189" s="5" t="str">
        <f>IFERROR(__xludf.DUMMYFUNCTION("""COMPUTED_VALUE"""),"StarHeat40")</f>
        <v>StarHeat40</v>
      </c>
      <c r="D189" s="6">
        <f>IFERROR(__xludf.DUMMYFUNCTION("""COMPUTED_VALUE"""),46135.0)</f>
        <v>46135</v>
      </c>
      <c r="E189" s="5" t="str">
        <f>IFERROR(__xludf.DUMMYFUNCTION("""COMPUTED_VALUE"""),"Slot")</f>
        <v>Slot</v>
      </c>
      <c r="F189" s="5">
        <f>IFERROR(__xludf.DUMMYFUNCTION("""COMPUTED_VALUE"""),28.0)</f>
        <v>28</v>
      </c>
      <c r="G189" s="5" t="str">
        <f>IFERROR(__xludf.DUMMYFUNCTION("""COMPUTED_VALUE"""),"5x4")</f>
        <v>5x4</v>
      </c>
      <c r="H189" s="5">
        <f>IFERROR(__xludf.DUMMYFUNCTION("""COMPUTED_VALUE"""),40.0)</f>
        <v>40</v>
      </c>
      <c r="I189" s="5">
        <f>IFERROR(__xludf.DUMMYFUNCTION("""COMPUTED_VALUE"""),40.0)</f>
        <v>40</v>
      </c>
      <c r="J189" s="5" t="str">
        <f>IFERROR(__xludf.DUMMYFUNCTION("""COMPUTED_VALUE"""),"96.997%")</f>
        <v>96.997%</v>
      </c>
      <c r="K189" s="5" t="str">
        <f>IFERROR(__xludf.DUMMYFUNCTION("""COMPUTED_VALUE"""),"Low")</f>
        <v>Low</v>
      </c>
      <c r="L189" s="5" t="str">
        <f>IFERROR(__xludf.DUMMYFUNCTION("""COMPUTED_VALUE"""),"16.768%")</f>
        <v>16.768%</v>
      </c>
      <c r="M189" s="5" t="str">
        <f>IFERROR(__xludf.DUMMYFUNCTION("""COMPUTED_VALUE"""),"x1000")</f>
        <v>x1000</v>
      </c>
      <c r="N189" s="5" t="str">
        <f>IFERROR(__xludf.DUMMYFUNCTION("""COMPUTED_VALUE"""),"0.40/60")</f>
        <v>0.40/60</v>
      </c>
      <c r="O189" s="5" t="str">
        <f>IFERROR(__xludf.DUMMYFUNCTION("""COMPUTED_VALUE"""),"Yes")</f>
        <v>Yes</v>
      </c>
      <c r="P189" s="5" t="str">
        <f>IFERROR(__xludf.DUMMYFUNCTION("""COMPUTED_VALUE"""),"Wild Symbol")</f>
        <v>Wild Symbol</v>
      </c>
      <c r="Q189" s="7" t="str">
        <f>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R189" s="5" t="str">
        <f>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S1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9" s="5" t="str">
        <f>IFERROR(__xludf.DUMMYFUNCTION("""COMPUTED_VALUE"""),"Yes")</f>
        <v>Yes</v>
      </c>
      <c r="U189" s="5" t="str">
        <f>IFERROR(__xludf.DUMMYFUNCTION("""COMPUTED_VALUE"""),"Yes")</f>
        <v>Yes</v>
      </c>
      <c r="V189" s="5" t="str">
        <f>IFERROR(__xludf.DUMMYFUNCTION("""COMPUTED_VALUE"""),"Yes")</f>
        <v>Yes</v>
      </c>
      <c r="W189" s="5" t="str">
        <f>IFERROR(__xludf.DUMMYFUNCTION("""COMPUTED_VALUE"""),"Yes")</f>
        <v>Yes</v>
      </c>
      <c r="X189" s="5" t="str">
        <f>IFERROR(__xludf.DUMMYFUNCTION("""COMPUTED_VALUE"""),"Yes")</f>
        <v>Yes</v>
      </c>
      <c r="Y189" s="5" t="str">
        <f>IFERROR(__xludf.DUMMYFUNCTION("""COMPUTED_VALUE"""),"Yes")</f>
        <v>Yes</v>
      </c>
      <c r="Z189" s="5" t="str">
        <f>IFERROR(__xludf.DUMMYFUNCTION("""COMPUTED_VALUE"""),"Yes")</f>
        <v>Yes</v>
      </c>
      <c r="AA189" s="5" t="str">
        <f>IFERROR(__xludf.DUMMYFUNCTION("""COMPUTED_VALUE"""),"Yes")</f>
        <v>Yes</v>
      </c>
      <c r="AB189" s="5" t="str">
        <f>IFERROR(__xludf.DUMMYFUNCTION("""COMPUTED_VALUE"""),"Yes")</f>
        <v>Yes</v>
      </c>
      <c r="AC189" s="5" t="str">
        <f>IFERROR(__xludf.DUMMYFUNCTION("""COMPUTED_VALUE"""),"Yes")</f>
        <v>Yes</v>
      </c>
      <c r="AD189" s="5" t="str">
        <f>IFERROR(__xludf.DUMMYFUNCTION("""COMPUTED_VALUE"""),"Yes")</f>
        <v>Yes</v>
      </c>
      <c r="AE189" s="5" t="str">
        <f>IFERROR(__xludf.DUMMYFUNCTION("""COMPUTED_VALUE"""),"Yes")</f>
        <v>Yes</v>
      </c>
      <c r="AF189" s="5" t="str">
        <f>IFERROR(__xludf.DUMMYFUNCTION("""COMPUTED_VALUE"""),"Yes")</f>
        <v>Yes</v>
      </c>
      <c r="AG189" s="5" t="str">
        <f>IFERROR(__xludf.DUMMYFUNCTION("""COMPUTED_VALUE"""),"Yes")</f>
        <v>Yes</v>
      </c>
      <c r="AH189" s="5" t="str">
        <f>IFERROR(__xludf.DUMMYFUNCTION("""COMPUTED_VALUE"""),"Yes")</f>
        <v>Yes</v>
      </c>
      <c r="AI189" s="5" t="str">
        <f>IFERROR(__xludf.DUMMYFUNCTION("""COMPUTED_VALUE"""),"Yes")</f>
        <v>Yes</v>
      </c>
      <c r="AJ189" s="5" t="str">
        <f>IFERROR(__xludf.DUMMYFUNCTION("""COMPUTED_VALUE"""),"Yes")</f>
        <v>Yes</v>
      </c>
      <c r="AK189" s="5" t="str">
        <f>IFERROR(__xludf.DUMMYFUNCTION("""COMPUTED_VALUE"""),"Yes")</f>
        <v>Yes</v>
      </c>
      <c r="AL189" s="5" t="str">
        <f>IFERROR(__xludf.DUMMYFUNCTION("""COMPUTED_VALUE"""),"Yes")</f>
        <v>Yes</v>
      </c>
      <c r="AM189" s="5" t="str">
        <f>IFERROR(__xludf.DUMMYFUNCTION("""COMPUTED_VALUE"""),"Yes")</f>
        <v>Yes</v>
      </c>
      <c r="AN189" s="5" t="str">
        <f>IFERROR(__xludf.DUMMYFUNCTION("""COMPUTED_VALUE"""),"Yes")</f>
        <v>Yes</v>
      </c>
      <c r="AO189" s="5" t="str">
        <f>IFERROR(__xludf.DUMMYFUNCTION("""COMPUTED_VALUE"""),"Yes")</f>
        <v>Yes</v>
      </c>
      <c r="AP189" s="5" t="str">
        <f>IFERROR(__xludf.DUMMYFUNCTION("""COMPUTED_VALUE"""),"Yes")</f>
        <v>Yes</v>
      </c>
      <c r="AQ189" s="5" t="str">
        <f>IFERROR(__xludf.DUMMYFUNCTION("""COMPUTED_VALUE"""),"Yes")</f>
        <v>Yes</v>
      </c>
      <c r="AR189" s="5" t="str">
        <f>IFERROR(__xludf.DUMMYFUNCTION("""COMPUTED_VALUE"""),"Yes")</f>
        <v>Yes</v>
      </c>
      <c r="AS189" s="5" t="str">
        <f>IFERROR(__xludf.DUMMYFUNCTION("""COMPUTED_VALUE"""),"Yes")</f>
        <v>Yes</v>
      </c>
      <c r="AT189" s="5" t="str">
        <f>IFERROR(__xludf.DUMMYFUNCTION("""COMPUTED_VALUE"""),"No")</f>
        <v>No</v>
      </c>
      <c r="AU189" s="5"/>
      <c r="AV189" s="5" t="str">
        <f>IFERROR(__xludf.DUMMYFUNCTION("""COMPUTED_VALUE"""),"")</f>
        <v/>
      </c>
      <c r="AW189" s="5" t="str">
        <f>IFERROR(__xludf.DUMMYFUNCTION("""COMPUTED_VALUE"""),"")</f>
        <v/>
      </c>
      <c r="AX189" s="5" t="str">
        <f>IFERROR(__xludf.DUMMYFUNCTION("""COMPUTED_VALUE"""),"")</f>
        <v/>
      </c>
      <c r="AY189" s="5" t="str">
        <f>IFERROR(__xludf.DUMMYFUNCTION("""COMPUTED_VALUE"""),"")</f>
        <v/>
      </c>
      <c r="AZ189" s="5" t="str">
        <f>IFERROR(__xludf.DUMMYFUNCTION("""COMPUTED_VALUE"""),"")</f>
        <v/>
      </c>
      <c r="BA189" s="5" t="str">
        <f>IFERROR(__xludf.DUMMYFUNCTION("""COMPUTED_VALUE"""),"")</f>
        <v/>
      </c>
      <c r="BB189" s="5" t="str">
        <f>IFERROR(__xludf.DUMMYFUNCTION("""COMPUTED_VALUE"""),"")</f>
        <v/>
      </c>
      <c r="BC189" s="5" t="str">
        <f>IFERROR(__xludf.DUMMYFUNCTION("""COMPUTED_VALUE"""),"")</f>
        <v/>
      </c>
      <c r="BD189" s="5" t="str">
        <f>IFERROR(__xludf.DUMMYFUNCTION("""COMPUTED_VALUE"""),"")</f>
        <v/>
      </c>
      <c r="BE189" s="5" t="str">
        <f>IFERROR(__xludf.DUMMYFUNCTION("""COMPUTED_VALUE"""),"")</f>
        <v/>
      </c>
      <c r="BF189" s="5" t="str">
        <f>IFERROR(__xludf.DUMMYFUNCTION("""COMPUTED_VALUE"""),"")</f>
        <v/>
      </c>
      <c r="BG189" s="5" t="str">
        <f>IFERROR(__xludf.DUMMYFUNCTION("""COMPUTED_VALUE"""),"")</f>
        <v/>
      </c>
      <c r="BH189" s="5" t="str">
        <f>IFERROR(__xludf.DUMMYFUNCTION("""COMPUTED_VALUE"""),"")</f>
        <v/>
      </c>
      <c r="BI189" s="5" t="str">
        <f>IFERROR(__xludf.DUMMYFUNCTION("""COMPUTED_VALUE"""),"")</f>
        <v/>
      </c>
      <c r="BJ189" s="5" t="str">
        <f>IFERROR(__xludf.DUMMYFUNCTION("""COMPUTED_VALUE"""),"")</f>
        <v/>
      </c>
      <c r="BK189" s="5" t="str">
        <f>IFERROR(__xludf.DUMMYFUNCTION("""COMPUTED_VALUE"""),"")</f>
        <v/>
      </c>
      <c r="BL189" s="5" t="str">
        <f>IFERROR(__xludf.DUMMYFUNCTION("""COMPUTED_VALUE"""),"")</f>
        <v/>
      </c>
      <c r="BM189" s="5" t="str">
        <f>IFERROR(__xludf.DUMMYFUNCTION("""COMPUTED_VALUE"""),"")</f>
        <v/>
      </c>
    </row>
    <row r="190">
      <c r="A190" s="5" t="str">
        <f>IFERROR(__xludf.DUMMYFUNCTION("""COMPUTED_VALUE"""),"Fazi")</f>
        <v>Fazi</v>
      </c>
      <c r="B190" s="5" t="str">
        <f>IFERROR(__xludf.DUMMYFUNCTION("""COMPUTED_VALUE"""),"Retro 27")</f>
        <v>Retro 27</v>
      </c>
      <c r="C190" s="5" t="str">
        <f>IFERROR(__xludf.DUMMYFUNCTION("""COMPUTED_VALUE"""),"Retro27")</f>
        <v>Retro27</v>
      </c>
      <c r="D190" s="6">
        <f>IFERROR(__xludf.DUMMYFUNCTION("""COMPUTED_VALUE"""),46072.0)</f>
        <v>46072</v>
      </c>
      <c r="E190" s="5" t="str">
        <f>IFERROR(__xludf.DUMMYFUNCTION("""COMPUTED_VALUE"""),"Slot")</f>
        <v>Slot</v>
      </c>
      <c r="F190" s="5">
        <f>IFERROR(__xludf.DUMMYFUNCTION("""COMPUTED_VALUE"""),16.1)</f>
        <v>16.1</v>
      </c>
      <c r="G190" s="5" t="str">
        <f>IFERROR(__xludf.DUMMYFUNCTION("""COMPUTED_VALUE"""),"3x3")</f>
        <v>3x3</v>
      </c>
      <c r="H190" s="5">
        <f>IFERROR(__xludf.DUMMYFUNCTION("""COMPUTED_VALUE"""),27.0)</f>
        <v>27</v>
      </c>
      <c r="I190" s="5">
        <f>IFERROR(__xludf.DUMMYFUNCTION("""COMPUTED_VALUE"""),27.0)</f>
        <v>27</v>
      </c>
      <c r="J190" s="5" t="str">
        <f>IFERROR(__xludf.DUMMYFUNCTION("""COMPUTED_VALUE"""),"96.24%")</f>
        <v>96.24%</v>
      </c>
      <c r="K190" s="5" t="str">
        <f>IFERROR(__xludf.DUMMYFUNCTION("""COMPUTED_VALUE"""),"Low")</f>
        <v>Low</v>
      </c>
      <c r="L190" s="5" t="str">
        <f>IFERROR(__xludf.DUMMYFUNCTION("""COMPUTED_VALUE"""),"6.58%")</f>
        <v>6.58%</v>
      </c>
      <c r="M190" s="5" t="str">
        <f>IFERROR(__xludf.DUMMYFUNCTION("""COMPUTED_VALUE"""),"x108")</f>
        <v>x108</v>
      </c>
      <c r="N190" s="5" t="str">
        <f>IFERROR(__xludf.DUMMYFUNCTION("""COMPUTED_VALUE"""),"0.1/40")</f>
        <v>0.1/40</v>
      </c>
      <c r="O190" s="5" t="str">
        <f>IFERROR(__xludf.DUMMYFUNCTION("""COMPUTED_VALUE"""),"Yes")</f>
        <v>Yes</v>
      </c>
      <c r="P190" s="5" t="str">
        <f>IFERROR(__xludf.DUMMYFUNCTION("""COMPUTED_VALUE"""),"Win Multiplier")</f>
        <v>Win Multiplier</v>
      </c>
      <c r="Q190" s="7" t="str">
        <f>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R190" s="5" t="str">
        <f>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S1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0" s="5" t="str">
        <f>IFERROR(__xludf.DUMMYFUNCTION("""COMPUTED_VALUE"""),"Yes")</f>
        <v>Yes</v>
      </c>
      <c r="U190" s="5" t="str">
        <f>IFERROR(__xludf.DUMMYFUNCTION("""COMPUTED_VALUE"""),"Yes")</f>
        <v>Yes</v>
      </c>
      <c r="V190" s="5" t="str">
        <f>IFERROR(__xludf.DUMMYFUNCTION("""COMPUTED_VALUE"""),"Yes")</f>
        <v>Yes</v>
      </c>
      <c r="W190" s="5" t="str">
        <f>IFERROR(__xludf.DUMMYFUNCTION("""COMPUTED_VALUE"""),"Yes")</f>
        <v>Yes</v>
      </c>
      <c r="X190" s="5" t="str">
        <f>IFERROR(__xludf.DUMMYFUNCTION("""COMPUTED_VALUE"""),"Yes")</f>
        <v>Yes</v>
      </c>
      <c r="Y190" s="5" t="str">
        <f>IFERROR(__xludf.DUMMYFUNCTION("""COMPUTED_VALUE"""),"Yes")</f>
        <v>Yes</v>
      </c>
      <c r="Z190" s="5" t="str">
        <f>IFERROR(__xludf.DUMMYFUNCTION("""COMPUTED_VALUE"""),"Yes")</f>
        <v>Yes</v>
      </c>
      <c r="AA190" s="5" t="str">
        <f>IFERROR(__xludf.DUMMYFUNCTION("""COMPUTED_VALUE"""),"Yes")</f>
        <v>Yes</v>
      </c>
      <c r="AB190" s="5" t="str">
        <f>IFERROR(__xludf.DUMMYFUNCTION("""COMPUTED_VALUE"""),"Yes")</f>
        <v>Yes</v>
      </c>
      <c r="AC190" s="5" t="str">
        <f>IFERROR(__xludf.DUMMYFUNCTION("""COMPUTED_VALUE"""),"Yes")</f>
        <v>Yes</v>
      </c>
      <c r="AD190" s="5" t="str">
        <f>IFERROR(__xludf.DUMMYFUNCTION("""COMPUTED_VALUE"""),"Yes")</f>
        <v>Yes</v>
      </c>
      <c r="AE190" s="5" t="str">
        <f>IFERROR(__xludf.DUMMYFUNCTION("""COMPUTED_VALUE"""),"Yes")</f>
        <v>Yes</v>
      </c>
      <c r="AF190" s="5" t="str">
        <f>IFERROR(__xludf.DUMMYFUNCTION("""COMPUTED_VALUE"""),"Yes")</f>
        <v>Yes</v>
      </c>
      <c r="AG190" s="5" t="str">
        <f>IFERROR(__xludf.DUMMYFUNCTION("""COMPUTED_VALUE"""),"Yes")</f>
        <v>Yes</v>
      </c>
      <c r="AH190" s="5" t="str">
        <f>IFERROR(__xludf.DUMMYFUNCTION("""COMPUTED_VALUE"""),"Yes")</f>
        <v>Yes</v>
      </c>
      <c r="AI190" s="5" t="str">
        <f>IFERROR(__xludf.DUMMYFUNCTION("""COMPUTED_VALUE"""),"Yes")</f>
        <v>Yes</v>
      </c>
      <c r="AJ190" s="5" t="str">
        <f>IFERROR(__xludf.DUMMYFUNCTION("""COMPUTED_VALUE"""),"Yes")</f>
        <v>Yes</v>
      </c>
      <c r="AK190" s="5" t="str">
        <f>IFERROR(__xludf.DUMMYFUNCTION("""COMPUTED_VALUE"""),"Yes")</f>
        <v>Yes</v>
      </c>
      <c r="AL190" s="5" t="str">
        <f>IFERROR(__xludf.DUMMYFUNCTION("""COMPUTED_VALUE"""),"Yes")</f>
        <v>Yes</v>
      </c>
      <c r="AM190" s="5" t="str">
        <f>IFERROR(__xludf.DUMMYFUNCTION("""COMPUTED_VALUE"""),"Yes")</f>
        <v>Yes</v>
      </c>
      <c r="AN190" s="5" t="str">
        <f>IFERROR(__xludf.DUMMYFUNCTION("""COMPUTED_VALUE"""),"Yes")</f>
        <v>Yes</v>
      </c>
      <c r="AO190" s="5" t="str">
        <f>IFERROR(__xludf.DUMMYFUNCTION("""COMPUTED_VALUE"""),"Yes")</f>
        <v>Yes</v>
      </c>
      <c r="AP190" s="5" t="str">
        <f>IFERROR(__xludf.DUMMYFUNCTION("""COMPUTED_VALUE"""),"Yes")</f>
        <v>Yes</v>
      </c>
      <c r="AQ190" s="5" t="str">
        <f>IFERROR(__xludf.DUMMYFUNCTION("""COMPUTED_VALUE"""),"Yes")</f>
        <v>Yes</v>
      </c>
      <c r="AR190" s="5" t="str">
        <f>IFERROR(__xludf.DUMMYFUNCTION("""COMPUTED_VALUE"""),"Yes")</f>
        <v>Yes</v>
      </c>
      <c r="AS190" s="5" t="str">
        <f>IFERROR(__xludf.DUMMYFUNCTION("""COMPUTED_VALUE"""),"Yes")</f>
        <v>Yes</v>
      </c>
      <c r="AT190" s="5" t="str">
        <f>IFERROR(__xludf.DUMMYFUNCTION("""COMPUTED_VALUE"""),"No")</f>
        <v>No</v>
      </c>
      <c r="AU190" s="5"/>
      <c r="AV190" s="5" t="str">
        <f>IFERROR(__xludf.DUMMYFUNCTION("""COMPUTED_VALUE"""),"")</f>
        <v/>
      </c>
      <c r="AW190" s="5" t="str">
        <f>IFERROR(__xludf.DUMMYFUNCTION("""COMPUTED_VALUE"""),"")</f>
        <v/>
      </c>
      <c r="AX190" s="5" t="str">
        <f>IFERROR(__xludf.DUMMYFUNCTION("""COMPUTED_VALUE"""),"")</f>
        <v/>
      </c>
      <c r="AY190" s="5" t="str">
        <f>IFERROR(__xludf.DUMMYFUNCTION("""COMPUTED_VALUE"""),"")</f>
        <v/>
      </c>
      <c r="AZ190" s="5" t="str">
        <f>IFERROR(__xludf.DUMMYFUNCTION("""COMPUTED_VALUE"""),"")</f>
        <v/>
      </c>
      <c r="BA190" s="5" t="str">
        <f>IFERROR(__xludf.DUMMYFUNCTION("""COMPUTED_VALUE"""),"")</f>
        <v/>
      </c>
      <c r="BB190" s="5" t="str">
        <f>IFERROR(__xludf.DUMMYFUNCTION("""COMPUTED_VALUE"""),"")</f>
        <v/>
      </c>
      <c r="BC190" s="5" t="str">
        <f>IFERROR(__xludf.DUMMYFUNCTION("""COMPUTED_VALUE"""),"")</f>
        <v/>
      </c>
      <c r="BD190" s="5" t="str">
        <f>IFERROR(__xludf.DUMMYFUNCTION("""COMPUTED_VALUE"""),"")</f>
        <v/>
      </c>
      <c r="BE190" s="5" t="str">
        <f>IFERROR(__xludf.DUMMYFUNCTION("""COMPUTED_VALUE"""),"")</f>
        <v/>
      </c>
      <c r="BF190" s="5" t="str">
        <f>IFERROR(__xludf.DUMMYFUNCTION("""COMPUTED_VALUE"""),"")</f>
        <v/>
      </c>
      <c r="BG190" s="5" t="str">
        <f>IFERROR(__xludf.DUMMYFUNCTION("""COMPUTED_VALUE"""),"")</f>
        <v/>
      </c>
      <c r="BH190" s="5" t="str">
        <f>IFERROR(__xludf.DUMMYFUNCTION("""COMPUTED_VALUE"""),"")</f>
        <v/>
      </c>
      <c r="BI190" s="5" t="str">
        <f>IFERROR(__xludf.DUMMYFUNCTION("""COMPUTED_VALUE"""),"")</f>
        <v/>
      </c>
      <c r="BJ190" s="5" t="str">
        <f>IFERROR(__xludf.DUMMYFUNCTION("""COMPUTED_VALUE"""),"")</f>
        <v/>
      </c>
      <c r="BK190" s="5" t="str">
        <f>IFERROR(__xludf.DUMMYFUNCTION("""COMPUTED_VALUE"""),"")</f>
        <v/>
      </c>
      <c r="BL190" s="5" t="str">
        <f>IFERROR(__xludf.DUMMYFUNCTION("""COMPUTED_VALUE"""),"")</f>
        <v/>
      </c>
      <c r="BM190" s="5" t="str">
        <f>IFERROR(__xludf.DUMMYFUNCTION("""COMPUTED_VALUE"""),"")</f>
        <v/>
      </c>
    </row>
    <row r="191">
      <c r="A191" s="5" t="str">
        <f>IFERROR(__xludf.DUMMYFUNCTION("""COMPUTED_VALUE"""),"Fazi")</f>
        <v>Fazi</v>
      </c>
      <c r="B191" s="5" t="str">
        <f>IFERROR(__xludf.DUMMYFUNCTION("""COMPUTED_VALUE"""),"Wild 27 Dice")</f>
        <v>Wild 27 Dice</v>
      </c>
      <c r="C191" s="5" t="str">
        <f>IFERROR(__xludf.DUMMYFUNCTION("""COMPUTED_VALUE"""),"Wild27Dice")</f>
        <v>Wild27Dice</v>
      </c>
      <c r="D191" s="6">
        <f>IFERROR(__xludf.DUMMYFUNCTION("""COMPUTED_VALUE"""),46142.0)</f>
        <v>46142</v>
      </c>
      <c r="E191" s="5" t="str">
        <f>IFERROR(__xludf.DUMMYFUNCTION("""COMPUTED_VALUE"""),"Dice Slots")</f>
        <v>Dice Slots</v>
      </c>
      <c r="F191" s="5">
        <f>IFERROR(__xludf.DUMMYFUNCTION("""COMPUTED_VALUE"""),17.0)</f>
        <v>17</v>
      </c>
      <c r="G191" s="5" t="str">
        <f>IFERROR(__xludf.DUMMYFUNCTION("""COMPUTED_VALUE"""),"3x3")</f>
        <v>3x3</v>
      </c>
      <c r="H191" s="5">
        <f>IFERROR(__xludf.DUMMYFUNCTION("""COMPUTED_VALUE"""),27.0)</f>
        <v>27</v>
      </c>
      <c r="I191" s="5">
        <f>IFERROR(__xludf.DUMMYFUNCTION("""COMPUTED_VALUE"""),27.0)</f>
        <v>27</v>
      </c>
      <c r="J191" s="5" t="str">
        <f>IFERROR(__xludf.DUMMYFUNCTION("""COMPUTED_VALUE"""),"96.24%")</f>
        <v>96.24%</v>
      </c>
      <c r="K191" s="5" t="str">
        <f>IFERROR(__xludf.DUMMYFUNCTION("""COMPUTED_VALUE"""),"Low")</f>
        <v>Low</v>
      </c>
      <c r="L191" s="5" t="str">
        <f>IFERROR(__xludf.DUMMYFUNCTION("""COMPUTED_VALUE"""),"6.58%")</f>
        <v>6.58%</v>
      </c>
      <c r="M191" s="5" t="str">
        <f>IFERROR(__xludf.DUMMYFUNCTION("""COMPUTED_VALUE"""),"x108")</f>
        <v>x108</v>
      </c>
      <c r="N191" s="5" t="str">
        <f>IFERROR(__xludf.DUMMYFUNCTION("""COMPUTED_VALUE"""),"0.1/40")</f>
        <v>0.1/40</v>
      </c>
      <c r="O191" s="5" t="str">
        <f>IFERROR(__xludf.DUMMYFUNCTION("""COMPUTED_VALUE"""),"Yes")</f>
        <v>Yes</v>
      </c>
      <c r="P191" s="5" t="str">
        <f>IFERROR(__xludf.DUMMYFUNCTION("""COMPUTED_VALUE"""),"Win Multiplier")</f>
        <v>Win Multiplier</v>
      </c>
      <c r="Q191" s="7" t="str">
        <f>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R191" s="5"/>
      <c r="S1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1" s="5" t="str">
        <f>IFERROR(__xludf.DUMMYFUNCTION("""COMPUTED_VALUE"""),"Yes")</f>
        <v>Yes</v>
      </c>
      <c r="U191" s="5" t="str">
        <f>IFERROR(__xludf.DUMMYFUNCTION("""COMPUTED_VALUE"""),"Yes")</f>
        <v>Yes</v>
      </c>
      <c r="V191" s="5" t="str">
        <f>IFERROR(__xludf.DUMMYFUNCTION("""COMPUTED_VALUE"""),"Yes")</f>
        <v>Yes</v>
      </c>
      <c r="W191" s="5" t="str">
        <f>IFERROR(__xludf.DUMMYFUNCTION("""COMPUTED_VALUE"""),"Yes")</f>
        <v>Yes</v>
      </c>
      <c r="X191" s="5" t="str">
        <f>IFERROR(__xludf.DUMMYFUNCTION("""COMPUTED_VALUE"""),"Yes")</f>
        <v>Yes</v>
      </c>
      <c r="Y191" s="5" t="str">
        <f>IFERROR(__xludf.DUMMYFUNCTION("""COMPUTED_VALUE"""),"Yes")</f>
        <v>Yes</v>
      </c>
      <c r="Z191" s="5" t="str">
        <f>IFERROR(__xludf.DUMMYFUNCTION("""COMPUTED_VALUE"""),"Yes")</f>
        <v>Yes</v>
      </c>
      <c r="AA191" s="5" t="str">
        <f>IFERROR(__xludf.DUMMYFUNCTION("""COMPUTED_VALUE"""),"Yes")</f>
        <v>Yes</v>
      </c>
      <c r="AB191" s="5" t="str">
        <f>IFERROR(__xludf.DUMMYFUNCTION("""COMPUTED_VALUE"""),"Yes")</f>
        <v>Yes</v>
      </c>
      <c r="AC191" s="5" t="str">
        <f>IFERROR(__xludf.DUMMYFUNCTION("""COMPUTED_VALUE"""),"Yes")</f>
        <v>Yes</v>
      </c>
      <c r="AD191" s="5" t="str">
        <f>IFERROR(__xludf.DUMMYFUNCTION("""COMPUTED_VALUE"""),"Yes")</f>
        <v>Yes</v>
      </c>
      <c r="AE191" s="5" t="str">
        <f>IFERROR(__xludf.DUMMYFUNCTION("""COMPUTED_VALUE"""),"Yes")</f>
        <v>Yes</v>
      </c>
      <c r="AF191" s="5" t="str">
        <f>IFERROR(__xludf.DUMMYFUNCTION("""COMPUTED_VALUE"""),"Yes")</f>
        <v>Yes</v>
      </c>
      <c r="AG191" s="5" t="str">
        <f>IFERROR(__xludf.DUMMYFUNCTION("""COMPUTED_VALUE"""),"Yes")</f>
        <v>Yes</v>
      </c>
      <c r="AH191" s="5" t="str">
        <f>IFERROR(__xludf.DUMMYFUNCTION("""COMPUTED_VALUE"""),"Yes")</f>
        <v>Yes</v>
      </c>
      <c r="AI191" s="5" t="str">
        <f>IFERROR(__xludf.DUMMYFUNCTION("""COMPUTED_VALUE"""),"Yes")</f>
        <v>Yes</v>
      </c>
      <c r="AJ191" s="5" t="str">
        <f>IFERROR(__xludf.DUMMYFUNCTION("""COMPUTED_VALUE"""),"Yes")</f>
        <v>Yes</v>
      </c>
      <c r="AK191" s="5" t="str">
        <f>IFERROR(__xludf.DUMMYFUNCTION("""COMPUTED_VALUE"""),"Yes")</f>
        <v>Yes</v>
      </c>
      <c r="AL191" s="5" t="str">
        <f>IFERROR(__xludf.DUMMYFUNCTION("""COMPUTED_VALUE"""),"Yes")</f>
        <v>Yes</v>
      </c>
      <c r="AM191" s="5" t="str">
        <f>IFERROR(__xludf.DUMMYFUNCTION("""COMPUTED_VALUE"""),"Yes")</f>
        <v>Yes</v>
      </c>
      <c r="AN191" s="5" t="str">
        <f>IFERROR(__xludf.DUMMYFUNCTION("""COMPUTED_VALUE"""),"Yes")</f>
        <v>Yes</v>
      </c>
      <c r="AO191" s="5" t="str">
        <f>IFERROR(__xludf.DUMMYFUNCTION("""COMPUTED_VALUE"""),"Yes")</f>
        <v>Yes</v>
      </c>
      <c r="AP191" s="5" t="str">
        <f>IFERROR(__xludf.DUMMYFUNCTION("""COMPUTED_VALUE"""),"Yes")</f>
        <v>Yes</v>
      </c>
      <c r="AQ191" s="5" t="str">
        <f>IFERROR(__xludf.DUMMYFUNCTION("""COMPUTED_VALUE"""),"Yes")</f>
        <v>Yes</v>
      </c>
      <c r="AR191" s="5" t="str">
        <f>IFERROR(__xludf.DUMMYFUNCTION("""COMPUTED_VALUE"""),"Yes")</f>
        <v>Yes</v>
      </c>
      <c r="AS191" s="5" t="str">
        <f>IFERROR(__xludf.DUMMYFUNCTION("""COMPUTED_VALUE"""),"Yes")</f>
        <v>Yes</v>
      </c>
      <c r="AT191" s="5" t="str">
        <f>IFERROR(__xludf.DUMMYFUNCTION("""COMPUTED_VALUE"""),"No")</f>
        <v>No</v>
      </c>
      <c r="AU191" s="5"/>
      <c r="AV191" s="5" t="str">
        <f>IFERROR(__xludf.DUMMYFUNCTION("""COMPUTED_VALUE"""),"")</f>
        <v/>
      </c>
      <c r="AW191" s="5" t="str">
        <f>IFERROR(__xludf.DUMMYFUNCTION("""COMPUTED_VALUE"""),"")</f>
        <v/>
      </c>
      <c r="AX191" s="5" t="str">
        <f>IFERROR(__xludf.DUMMYFUNCTION("""COMPUTED_VALUE"""),"")</f>
        <v/>
      </c>
      <c r="AY191" s="5" t="str">
        <f>IFERROR(__xludf.DUMMYFUNCTION("""COMPUTED_VALUE"""),"")</f>
        <v/>
      </c>
      <c r="AZ191" s="5" t="str">
        <f>IFERROR(__xludf.DUMMYFUNCTION("""COMPUTED_VALUE"""),"")</f>
        <v/>
      </c>
      <c r="BA191" s="5" t="str">
        <f>IFERROR(__xludf.DUMMYFUNCTION("""COMPUTED_VALUE"""),"")</f>
        <v/>
      </c>
      <c r="BB191" s="5" t="str">
        <f>IFERROR(__xludf.DUMMYFUNCTION("""COMPUTED_VALUE"""),"")</f>
        <v/>
      </c>
      <c r="BC191" s="5" t="str">
        <f>IFERROR(__xludf.DUMMYFUNCTION("""COMPUTED_VALUE"""),"")</f>
        <v/>
      </c>
      <c r="BD191" s="5" t="str">
        <f>IFERROR(__xludf.DUMMYFUNCTION("""COMPUTED_VALUE"""),"")</f>
        <v/>
      </c>
      <c r="BE191" s="5" t="str">
        <f>IFERROR(__xludf.DUMMYFUNCTION("""COMPUTED_VALUE"""),"")</f>
        <v/>
      </c>
      <c r="BF191" s="5" t="str">
        <f>IFERROR(__xludf.DUMMYFUNCTION("""COMPUTED_VALUE"""),"")</f>
        <v/>
      </c>
      <c r="BG191" s="5" t="str">
        <f>IFERROR(__xludf.DUMMYFUNCTION("""COMPUTED_VALUE"""),"")</f>
        <v/>
      </c>
      <c r="BH191" s="5" t="str">
        <f>IFERROR(__xludf.DUMMYFUNCTION("""COMPUTED_VALUE"""),"")</f>
        <v/>
      </c>
      <c r="BI191" s="5" t="str">
        <f>IFERROR(__xludf.DUMMYFUNCTION("""COMPUTED_VALUE"""),"")</f>
        <v/>
      </c>
      <c r="BJ191" s="5" t="str">
        <f>IFERROR(__xludf.DUMMYFUNCTION("""COMPUTED_VALUE"""),"")</f>
        <v/>
      </c>
      <c r="BK191" s="5" t="str">
        <f>IFERROR(__xludf.DUMMYFUNCTION("""COMPUTED_VALUE"""),"")</f>
        <v/>
      </c>
      <c r="BL191" s="5" t="str">
        <f>IFERROR(__xludf.DUMMYFUNCTION("""COMPUTED_VALUE"""),"")</f>
        <v/>
      </c>
      <c r="BM191" s="5" t="str">
        <f>IFERROR(__xludf.DUMMYFUNCTION("""COMPUTED_VALUE"""),"")</f>
        <v/>
      </c>
    </row>
    <row r="192">
      <c r="A192" s="5" t="str">
        <f>IFERROR(__xludf.DUMMYFUNCTION("""COMPUTED_VALUE"""),"Fazi")</f>
        <v>Fazi</v>
      </c>
      <c r="B192" s="5" t="str">
        <f>IFERROR(__xludf.DUMMYFUNCTION("""COMPUTED_VALUE"""),"Coin Splash Dice")</f>
        <v>Coin Splash Dice</v>
      </c>
      <c r="C192" s="5" t="str">
        <f>IFERROR(__xludf.DUMMYFUNCTION("""COMPUTED_VALUE"""),"CoinSplashDice")</f>
        <v>CoinSplashDice</v>
      </c>
      <c r="D192" s="6">
        <f>IFERROR(__xludf.DUMMYFUNCTION("""COMPUTED_VALUE"""),46056.0)</f>
        <v>46056</v>
      </c>
      <c r="E192" s="5" t="str">
        <f>IFERROR(__xludf.DUMMYFUNCTION("""COMPUTED_VALUE"""),"Dice Slots")</f>
        <v>Dice Slots</v>
      </c>
      <c r="F192" s="5">
        <f>IFERROR(__xludf.DUMMYFUNCTION("""COMPUTED_VALUE"""),14.8)</f>
        <v>14.8</v>
      </c>
      <c r="G192" s="5" t="str">
        <f>IFERROR(__xludf.DUMMYFUNCTION("""COMPUTED_VALUE"""),"5x4")</f>
        <v>5x4</v>
      </c>
      <c r="H192" s="5">
        <f>IFERROR(__xludf.DUMMYFUNCTION("""COMPUTED_VALUE"""),40.0)</f>
        <v>40</v>
      </c>
      <c r="I192" s="5">
        <f>IFERROR(__xludf.DUMMYFUNCTION("""COMPUTED_VALUE"""),40.0)</f>
        <v>40</v>
      </c>
      <c r="J192" s="5" t="str">
        <f>IFERROR(__xludf.DUMMYFUNCTION("""COMPUTED_VALUE"""),"96.594%")</f>
        <v>96.594%</v>
      </c>
      <c r="K192" s="5" t="str">
        <f>IFERROR(__xludf.DUMMYFUNCTION("""COMPUTED_VALUE"""),"Medium")</f>
        <v>Medium</v>
      </c>
      <c r="L192" s="5" t="str">
        <f>IFERROR(__xludf.DUMMYFUNCTION("""COMPUTED_VALUE"""),"12.056%")</f>
        <v>12.056%</v>
      </c>
      <c r="M192" s="5" t="str">
        <f>IFERROR(__xludf.DUMMYFUNCTION("""COMPUTED_VALUE"""),"x750")</f>
        <v>x750</v>
      </c>
      <c r="N192" s="5" t="str">
        <f>IFERROR(__xludf.DUMMYFUNCTION("""COMPUTED_VALUE"""),"0.04/60")</f>
        <v>0.04/60</v>
      </c>
      <c r="O192" s="5" t="str">
        <f>IFERROR(__xludf.DUMMYFUNCTION("""COMPUTED_VALUE"""),"Yes")</f>
        <v>Yes</v>
      </c>
      <c r="P192" s="5" t="str">
        <f>IFERROR(__xludf.DUMMYFUNCTION("""COMPUTED_VALUE"""),"Exploding Wild")</f>
        <v>Exploding Wild</v>
      </c>
      <c r="Q192" s="7" t="str">
        <f>IFERROR(__xludf.DUMMYFUNCTION("""COMPUTED_VALUE"""),"https://gameserver-store.fazi.rs/Home/IntegrationGameLaunch/admiralmne?moneyType=0&amp;currency=EUR&amp;gameName=CoinSplashDice")</f>
        <v>https://gameserver-store.fazi.rs/Home/IntegrationGameLaunch/admiralmne?moneyType=0&amp;currency=EUR&amp;gameName=CoinSplashDice</v>
      </c>
      <c r="R192" s="5" t="str">
        <f>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S1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2" s="5" t="str">
        <f>IFERROR(__xludf.DUMMYFUNCTION("""COMPUTED_VALUE"""),"Yes")</f>
        <v>Yes</v>
      </c>
      <c r="U192" s="5" t="str">
        <f>IFERROR(__xludf.DUMMYFUNCTION("""COMPUTED_VALUE"""),"Yes")</f>
        <v>Yes</v>
      </c>
      <c r="V192" s="5" t="str">
        <f>IFERROR(__xludf.DUMMYFUNCTION("""COMPUTED_VALUE"""),"Yes")</f>
        <v>Yes</v>
      </c>
      <c r="W192" s="5" t="str">
        <f>IFERROR(__xludf.DUMMYFUNCTION("""COMPUTED_VALUE"""),"Yes")</f>
        <v>Yes</v>
      </c>
      <c r="X192" s="5" t="str">
        <f>IFERROR(__xludf.DUMMYFUNCTION("""COMPUTED_VALUE"""),"Yes")</f>
        <v>Yes</v>
      </c>
      <c r="Y192" s="5" t="str">
        <f>IFERROR(__xludf.DUMMYFUNCTION("""COMPUTED_VALUE"""),"Yes")</f>
        <v>Yes</v>
      </c>
      <c r="Z192" s="5" t="str">
        <f>IFERROR(__xludf.DUMMYFUNCTION("""COMPUTED_VALUE"""),"Yes")</f>
        <v>Yes</v>
      </c>
      <c r="AA192" s="5" t="str">
        <f>IFERROR(__xludf.DUMMYFUNCTION("""COMPUTED_VALUE"""),"Yes")</f>
        <v>Yes</v>
      </c>
      <c r="AB192" s="5" t="str">
        <f>IFERROR(__xludf.DUMMYFUNCTION("""COMPUTED_VALUE"""),"Yes")</f>
        <v>Yes</v>
      </c>
      <c r="AC192" s="5" t="str">
        <f>IFERROR(__xludf.DUMMYFUNCTION("""COMPUTED_VALUE"""),"Yes")</f>
        <v>Yes</v>
      </c>
      <c r="AD192" s="5" t="str">
        <f>IFERROR(__xludf.DUMMYFUNCTION("""COMPUTED_VALUE"""),"Yes")</f>
        <v>Yes</v>
      </c>
      <c r="AE192" s="5" t="str">
        <f>IFERROR(__xludf.DUMMYFUNCTION("""COMPUTED_VALUE"""),"Yes")</f>
        <v>Yes</v>
      </c>
      <c r="AF192" s="5" t="str">
        <f>IFERROR(__xludf.DUMMYFUNCTION("""COMPUTED_VALUE"""),"Yes")</f>
        <v>Yes</v>
      </c>
      <c r="AG192" s="5" t="str">
        <f>IFERROR(__xludf.DUMMYFUNCTION("""COMPUTED_VALUE"""),"Yes")</f>
        <v>Yes</v>
      </c>
      <c r="AH192" s="5" t="str">
        <f>IFERROR(__xludf.DUMMYFUNCTION("""COMPUTED_VALUE"""),"Yes")</f>
        <v>Yes</v>
      </c>
      <c r="AI192" s="5" t="str">
        <f>IFERROR(__xludf.DUMMYFUNCTION("""COMPUTED_VALUE"""),"Yes")</f>
        <v>Yes</v>
      </c>
      <c r="AJ192" s="5" t="str">
        <f>IFERROR(__xludf.DUMMYFUNCTION("""COMPUTED_VALUE"""),"Yes")</f>
        <v>Yes</v>
      </c>
      <c r="AK192" s="5" t="str">
        <f>IFERROR(__xludf.DUMMYFUNCTION("""COMPUTED_VALUE"""),"Yes")</f>
        <v>Yes</v>
      </c>
      <c r="AL192" s="5" t="str">
        <f>IFERROR(__xludf.DUMMYFUNCTION("""COMPUTED_VALUE"""),"Yes")</f>
        <v>Yes</v>
      </c>
      <c r="AM192" s="5" t="str">
        <f>IFERROR(__xludf.DUMMYFUNCTION("""COMPUTED_VALUE"""),"Yes")</f>
        <v>Yes</v>
      </c>
      <c r="AN192" s="5" t="str">
        <f>IFERROR(__xludf.DUMMYFUNCTION("""COMPUTED_VALUE"""),"Yes")</f>
        <v>Yes</v>
      </c>
      <c r="AO192" s="5" t="str">
        <f>IFERROR(__xludf.DUMMYFUNCTION("""COMPUTED_VALUE"""),"Yes")</f>
        <v>Yes</v>
      </c>
      <c r="AP192" s="5" t="str">
        <f>IFERROR(__xludf.DUMMYFUNCTION("""COMPUTED_VALUE"""),"Yes")</f>
        <v>Yes</v>
      </c>
      <c r="AQ192" s="5" t="str">
        <f>IFERROR(__xludf.DUMMYFUNCTION("""COMPUTED_VALUE"""),"Yes")</f>
        <v>Yes</v>
      </c>
      <c r="AR192" s="5" t="str">
        <f>IFERROR(__xludf.DUMMYFUNCTION("""COMPUTED_VALUE"""),"Yes")</f>
        <v>Yes</v>
      </c>
      <c r="AS192" s="5" t="str">
        <f>IFERROR(__xludf.DUMMYFUNCTION("""COMPUTED_VALUE"""),"Yes")</f>
        <v>Yes</v>
      </c>
      <c r="AT192" s="5" t="str">
        <f>IFERROR(__xludf.DUMMYFUNCTION("""COMPUTED_VALUE"""),"No")</f>
        <v>No</v>
      </c>
      <c r="AU192" s="5"/>
      <c r="AV192" s="5" t="str">
        <f>IFERROR(__xludf.DUMMYFUNCTION("""COMPUTED_VALUE"""),"")</f>
        <v/>
      </c>
      <c r="AW192" s="5" t="str">
        <f>IFERROR(__xludf.DUMMYFUNCTION("""COMPUTED_VALUE"""),"")</f>
        <v/>
      </c>
      <c r="AX192" s="5" t="str">
        <f>IFERROR(__xludf.DUMMYFUNCTION("""COMPUTED_VALUE"""),"")</f>
        <v/>
      </c>
      <c r="AY192" s="5" t="str">
        <f>IFERROR(__xludf.DUMMYFUNCTION("""COMPUTED_VALUE"""),"")</f>
        <v/>
      </c>
      <c r="AZ192" s="5" t="str">
        <f>IFERROR(__xludf.DUMMYFUNCTION("""COMPUTED_VALUE"""),"")</f>
        <v/>
      </c>
      <c r="BA192" s="5" t="str">
        <f>IFERROR(__xludf.DUMMYFUNCTION("""COMPUTED_VALUE"""),"")</f>
        <v/>
      </c>
      <c r="BB192" s="5" t="str">
        <f>IFERROR(__xludf.DUMMYFUNCTION("""COMPUTED_VALUE"""),"")</f>
        <v/>
      </c>
      <c r="BC192" s="5" t="str">
        <f>IFERROR(__xludf.DUMMYFUNCTION("""COMPUTED_VALUE"""),"")</f>
        <v/>
      </c>
      <c r="BD192" s="5" t="str">
        <f>IFERROR(__xludf.DUMMYFUNCTION("""COMPUTED_VALUE"""),"")</f>
        <v/>
      </c>
      <c r="BE192" s="5" t="str">
        <f>IFERROR(__xludf.DUMMYFUNCTION("""COMPUTED_VALUE"""),"")</f>
        <v/>
      </c>
      <c r="BF192" s="5" t="str">
        <f>IFERROR(__xludf.DUMMYFUNCTION("""COMPUTED_VALUE"""),"")</f>
        <v/>
      </c>
      <c r="BG192" s="5" t="str">
        <f>IFERROR(__xludf.DUMMYFUNCTION("""COMPUTED_VALUE"""),"")</f>
        <v/>
      </c>
      <c r="BH192" s="5" t="str">
        <f>IFERROR(__xludf.DUMMYFUNCTION("""COMPUTED_VALUE"""),"")</f>
        <v/>
      </c>
      <c r="BI192" s="5" t="str">
        <f>IFERROR(__xludf.DUMMYFUNCTION("""COMPUTED_VALUE"""),"")</f>
        <v/>
      </c>
      <c r="BJ192" s="5" t="str">
        <f>IFERROR(__xludf.DUMMYFUNCTION("""COMPUTED_VALUE"""),"")</f>
        <v/>
      </c>
      <c r="BK192" s="5" t="str">
        <f>IFERROR(__xludf.DUMMYFUNCTION("""COMPUTED_VALUE"""),"")</f>
        <v/>
      </c>
      <c r="BL192" s="5" t="str">
        <f>IFERROR(__xludf.DUMMYFUNCTION("""COMPUTED_VALUE"""),"")</f>
        <v/>
      </c>
      <c r="BM192" s="5" t="str">
        <f>IFERROR(__xludf.DUMMYFUNCTION("""COMPUTED_VALUE"""),"")</f>
        <v/>
      </c>
    </row>
    <row r="193">
      <c r="A193" s="5" t="str">
        <f>IFERROR(__xludf.DUMMYFUNCTION("""COMPUTED_VALUE"""),"Fazi")</f>
        <v>Fazi</v>
      </c>
      <c r="B193" s="5" t="str">
        <f>IFERROR(__xludf.DUMMYFUNCTION("""COMPUTED_VALUE"""),"Wild Hot 40 Deluxe")</f>
        <v>Wild Hot 40 Deluxe</v>
      </c>
      <c r="C193" s="5" t="str">
        <f>IFERROR(__xludf.DUMMYFUNCTION("""COMPUTED_VALUE"""),"WildHot40Deluxe")</f>
        <v>WildHot40Deluxe</v>
      </c>
      <c r="D193" s="6">
        <f>IFERROR(__xludf.DUMMYFUNCTION("""COMPUTED_VALUE"""),46161.0)</f>
        <v>46161</v>
      </c>
      <c r="E193" s="5" t="str">
        <f>IFERROR(__xludf.DUMMYFUNCTION("""COMPUTED_VALUE"""),"Slot")</f>
        <v>Slot</v>
      </c>
      <c r="F193" s="5">
        <f>IFERROR(__xludf.DUMMYFUNCTION("""COMPUTED_VALUE"""),16.0)</f>
        <v>16</v>
      </c>
      <c r="G193" s="5" t="str">
        <f>IFERROR(__xludf.DUMMYFUNCTION("""COMPUTED_VALUE"""),"5x4")</f>
        <v>5x4</v>
      </c>
      <c r="H193" s="5">
        <f>IFERROR(__xludf.DUMMYFUNCTION("""COMPUTED_VALUE"""),40.0)</f>
        <v>40</v>
      </c>
      <c r="I193" s="5">
        <f>IFERROR(__xludf.DUMMYFUNCTION("""COMPUTED_VALUE"""),40.0)</f>
        <v>40</v>
      </c>
      <c r="J193" s="5" t="str">
        <f>IFERROR(__xludf.DUMMYFUNCTION("""COMPUTED_VALUE"""),"96.584%")</f>
        <v>96.584%</v>
      </c>
      <c r="K193" s="5" t="str">
        <f>IFERROR(__xludf.DUMMYFUNCTION("""COMPUTED_VALUE"""),"Medium")</f>
        <v>Medium</v>
      </c>
      <c r="L193" s="5" t="str">
        <f>IFERROR(__xludf.DUMMYFUNCTION("""COMPUTED_VALUE"""),"16.725%")</f>
        <v>16.725%</v>
      </c>
      <c r="M193" s="5" t="str">
        <f>IFERROR(__xludf.DUMMYFUNCTION("""COMPUTED_VALUE"""),"x1000")</f>
        <v>x1000</v>
      </c>
      <c r="N193" s="5" t="str">
        <f>IFERROR(__xludf.DUMMYFUNCTION("""COMPUTED_VALUE"""),"0.40/60")</f>
        <v>0.40/60</v>
      </c>
      <c r="O193" s="5" t="str">
        <f>IFERROR(__xludf.DUMMYFUNCTION("""COMPUTED_VALUE"""),"Yes")</f>
        <v>Yes</v>
      </c>
      <c r="P193" s="5" t="str">
        <f>IFERROR(__xludf.DUMMYFUNCTION("""COMPUTED_VALUE"""),"Wild Symbol, Scatter")</f>
        <v>Wild Symbol, Scatter</v>
      </c>
      <c r="Q193" s="7" t="str">
        <f>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R193" s="5" t="str">
        <f>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S1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3" s="5" t="str">
        <f>IFERROR(__xludf.DUMMYFUNCTION("""COMPUTED_VALUE"""),"Yes")</f>
        <v>Yes</v>
      </c>
      <c r="U193" s="5" t="str">
        <f>IFERROR(__xludf.DUMMYFUNCTION("""COMPUTED_VALUE"""),"Yes")</f>
        <v>Yes</v>
      </c>
      <c r="V193" s="5" t="str">
        <f>IFERROR(__xludf.DUMMYFUNCTION("""COMPUTED_VALUE"""),"Yes")</f>
        <v>Yes</v>
      </c>
      <c r="W193" s="5" t="str">
        <f>IFERROR(__xludf.DUMMYFUNCTION("""COMPUTED_VALUE"""),"Yes")</f>
        <v>Yes</v>
      </c>
      <c r="X193" s="5" t="str">
        <f>IFERROR(__xludf.DUMMYFUNCTION("""COMPUTED_VALUE"""),"Yes")</f>
        <v>Yes</v>
      </c>
      <c r="Y193" s="5" t="str">
        <f>IFERROR(__xludf.DUMMYFUNCTION("""COMPUTED_VALUE"""),"Yes")</f>
        <v>Yes</v>
      </c>
      <c r="Z193" s="5" t="str">
        <f>IFERROR(__xludf.DUMMYFUNCTION("""COMPUTED_VALUE"""),"Yes")</f>
        <v>Yes</v>
      </c>
      <c r="AA193" s="5" t="str">
        <f>IFERROR(__xludf.DUMMYFUNCTION("""COMPUTED_VALUE"""),"Yes")</f>
        <v>Yes</v>
      </c>
      <c r="AB193" s="5" t="str">
        <f>IFERROR(__xludf.DUMMYFUNCTION("""COMPUTED_VALUE"""),"Yes")</f>
        <v>Yes</v>
      </c>
      <c r="AC193" s="5" t="str">
        <f>IFERROR(__xludf.DUMMYFUNCTION("""COMPUTED_VALUE"""),"Yes")</f>
        <v>Yes</v>
      </c>
      <c r="AD193" s="5" t="str">
        <f>IFERROR(__xludf.DUMMYFUNCTION("""COMPUTED_VALUE"""),"Yes")</f>
        <v>Yes</v>
      </c>
      <c r="AE193" s="5" t="str">
        <f>IFERROR(__xludf.DUMMYFUNCTION("""COMPUTED_VALUE"""),"Yes")</f>
        <v>Yes</v>
      </c>
      <c r="AF193" s="5" t="str">
        <f>IFERROR(__xludf.DUMMYFUNCTION("""COMPUTED_VALUE"""),"Yes")</f>
        <v>Yes</v>
      </c>
      <c r="AG193" s="5" t="str">
        <f>IFERROR(__xludf.DUMMYFUNCTION("""COMPUTED_VALUE"""),"Yes")</f>
        <v>Yes</v>
      </c>
      <c r="AH193" s="5" t="str">
        <f>IFERROR(__xludf.DUMMYFUNCTION("""COMPUTED_VALUE"""),"Yes")</f>
        <v>Yes</v>
      </c>
      <c r="AI193" s="5" t="str">
        <f>IFERROR(__xludf.DUMMYFUNCTION("""COMPUTED_VALUE"""),"Yes")</f>
        <v>Yes</v>
      </c>
      <c r="AJ193" s="5" t="str">
        <f>IFERROR(__xludf.DUMMYFUNCTION("""COMPUTED_VALUE"""),"Yes")</f>
        <v>Yes</v>
      </c>
      <c r="AK193" s="5" t="str">
        <f>IFERROR(__xludf.DUMMYFUNCTION("""COMPUTED_VALUE"""),"Yes")</f>
        <v>Yes</v>
      </c>
      <c r="AL193" s="5" t="str">
        <f>IFERROR(__xludf.DUMMYFUNCTION("""COMPUTED_VALUE"""),"Yes")</f>
        <v>Yes</v>
      </c>
      <c r="AM193" s="5" t="str">
        <f>IFERROR(__xludf.DUMMYFUNCTION("""COMPUTED_VALUE"""),"Yes")</f>
        <v>Yes</v>
      </c>
      <c r="AN193" s="5" t="str">
        <f>IFERROR(__xludf.DUMMYFUNCTION("""COMPUTED_VALUE"""),"Yes")</f>
        <v>Yes</v>
      </c>
      <c r="AO193" s="5" t="str">
        <f>IFERROR(__xludf.DUMMYFUNCTION("""COMPUTED_VALUE"""),"Yes")</f>
        <v>Yes</v>
      </c>
      <c r="AP193" s="5" t="str">
        <f>IFERROR(__xludf.DUMMYFUNCTION("""COMPUTED_VALUE"""),"Yes")</f>
        <v>Yes</v>
      </c>
      <c r="AQ193" s="5" t="str">
        <f>IFERROR(__xludf.DUMMYFUNCTION("""COMPUTED_VALUE"""),"Yes")</f>
        <v>Yes</v>
      </c>
      <c r="AR193" s="5" t="str">
        <f>IFERROR(__xludf.DUMMYFUNCTION("""COMPUTED_VALUE"""),"Yes")</f>
        <v>Yes</v>
      </c>
      <c r="AS193" s="5" t="str">
        <f>IFERROR(__xludf.DUMMYFUNCTION("""COMPUTED_VALUE"""),"Yes")</f>
        <v>Yes</v>
      </c>
      <c r="AT193" s="5" t="str">
        <f>IFERROR(__xludf.DUMMYFUNCTION("""COMPUTED_VALUE"""),"No")</f>
        <v>No</v>
      </c>
      <c r="AU193" s="5"/>
      <c r="AV193" s="5" t="str">
        <f>IFERROR(__xludf.DUMMYFUNCTION("""COMPUTED_VALUE"""),"")</f>
        <v/>
      </c>
      <c r="AW193" s="5" t="str">
        <f>IFERROR(__xludf.DUMMYFUNCTION("""COMPUTED_VALUE"""),"")</f>
        <v/>
      </c>
      <c r="AX193" s="5" t="str">
        <f>IFERROR(__xludf.DUMMYFUNCTION("""COMPUTED_VALUE"""),"")</f>
        <v/>
      </c>
      <c r="AY193" s="5" t="str">
        <f>IFERROR(__xludf.DUMMYFUNCTION("""COMPUTED_VALUE"""),"")</f>
        <v/>
      </c>
      <c r="AZ193" s="5" t="str">
        <f>IFERROR(__xludf.DUMMYFUNCTION("""COMPUTED_VALUE"""),"")</f>
        <v/>
      </c>
      <c r="BA193" s="5" t="str">
        <f>IFERROR(__xludf.DUMMYFUNCTION("""COMPUTED_VALUE"""),"")</f>
        <v/>
      </c>
      <c r="BB193" s="5" t="str">
        <f>IFERROR(__xludf.DUMMYFUNCTION("""COMPUTED_VALUE"""),"")</f>
        <v/>
      </c>
      <c r="BC193" s="5" t="str">
        <f>IFERROR(__xludf.DUMMYFUNCTION("""COMPUTED_VALUE"""),"")</f>
        <v/>
      </c>
      <c r="BD193" s="5" t="str">
        <f>IFERROR(__xludf.DUMMYFUNCTION("""COMPUTED_VALUE"""),"")</f>
        <v/>
      </c>
      <c r="BE193" s="5" t="str">
        <f>IFERROR(__xludf.DUMMYFUNCTION("""COMPUTED_VALUE"""),"")</f>
        <v/>
      </c>
      <c r="BF193" s="5" t="str">
        <f>IFERROR(__xludf.DUMMYFUNCTION("""COMPUTED_VALUE"""),"")</f>
        <v/>
      </c>
      <c r="BG193" s="5" t="str">
        <f>IFERROR(__xludf.DUMMYFUNCTION("""COMPUTED_VALUE"""),"")</f>
        <v/>
      </c>
      <c r="BH193" s="5" t="str">
        <f>IFERROR(__xludf.DUMMYFUNCTION("""COMPUTED_VALUE"""),"")</f>
        <v/>
      </c>
      <c r="BI193" s="5" t="str">
        <f>IFERROR(__xludf.DUMMYFUNCTION("""COMPUTED_VALUE"""),"")</f>
        <v/>
      </c>
      <c r="BJ193" s="5" t="str">
        <f>IFERROR(__xludf.DUMMYFUNCTION("""COMPUTED_VALUE"""),"")</f>
        <v/>
      </c>
      <c r="BK193" s="5" t="str">
        <f>IFERROR(__xludf.DUMMYFUNCTION("""COMPUTED_VALUE"""),"")</f>
        <v/>
      </c>
      <c r="BL193" s="5" t="str">
        <f>IFERROR(__xludf.DUMMYFUNCTION("""COMPUTED_VALUE"""),"")</f>
        <v/>
      </c>
      <c r="BM193" s="5" t="str">
        <f>IFERROR(__xludf.DUMMYFUNCTION("""COMPUTED_VALUE"""),"")</f>
        <v/>
      </c>
    </row>
    <row r="194">
      <c r="A194" s="5" t="str">
        <f>IFERROR(__xludf.DUMMYFUNCTION("""COMPUTED_VALUE"""),"Fazi")</f>
        <v>Fazi</v>
      </c>
      <c r="B194" s="5" t="str">
        <f>IFERROR(__xludf.DUMMYFUNCTION("""COMPUTED_VALUE"""),"Bonus Epic Crown Dice")</f>
        <v>Bonus Epic Crown Dice</v>
      </c>
      <c r="C194" s="5" t="str">
        <f>IFERROR(__xludf.DUMMYFUNCTION("""COMPUTED_VALUE"""),"BonusEpicCrownDice")</f>
        <v>BonusEpicCrownDice</v>
      </c>
      <c r="D194" s="6">
        <f>IFERROR(__xludf.DUMMYFUNCTION("""COMPUTED_VALUE"""),46112.0)</f>
        <v>46112</v>
      </c>
      <c r="E194" s="5" t="str">
        <f>IFERROR(__xludf.DUMMYFUNCTION("""COMPUTED_VALUE"""),"Dice Slots")</f>
        <v>Dice Slots</v>
      </c>
      <c r="F194" s="5">
        <f>IFERROR(__xludf.DUMMYFUNCTION("""COMPUTED_VALUE"""),18.0)</f>
        <v>18</v>
      </c>
      <c r="G194" s="5" t="str">
        <f>IFERROR(__xludf.DUMMYFUNCTION("""COMPUTED_VALUE"""),"5x3")</f>
        <v>5x3</v>
      </c>
      <c r="H194" s="5">
        <f>IFERROR(__xludf.DUMMYFUNCTION("""COMPUTED_VALUE"""),10.0)</f>
        <v>10</v>
      </c>
      <c r="I194" s="5">
        <f>IFERROR(__xludf.DUMMYFUNCTION("""COMPUTED_VALUE"""),10.0)</f>
        <v>10</v>
      </c>
      <c r="J194" s="5" t="str">
        <f>IFERROR(__xludf.DUMMYFUNCTION("""COMPUTED_VALUE"""),"96.533%")</f>
        <v>96.533%</v>
      </c>
      <c r="K194" s="5" t="str">
        <f>IFERROR(__xludf.DUMMYFUNCTION("""COMPUTED_VALUE"""),"High")</f>
        <v>High</v>
      </c>
      <c r="L194" s="5" t="str">
        <f>IFERROR(__xludf.DUMMYFUNCTION("""COMPUTED_VALUE"""),"10.61%")</f>
        <v>10.61%</v>
      </c>
      <c r="M194" s="5" t="str">
        <f>IFERROR(__xludf.DUMMYFUNCTION("""COMPUTED_VALUE"""),"x20108")</f>
        <v>x20108</v>
      </c>
      <c r="N194" s="5" t="str">
        <f>IFERROR(__xludf.DUMMYFUNCTION("""COMPUTED_VALUE"""),"0.1/40")</f>
        <v>0.1/40</v>
      </c>
      <c r="O194" s="5" t="str">
        <f>IFERROR(__xludf.DUMMYFUNCTION("""COMPUTED_VALUE"""),"Yes")</f>
        <v>Yes</v>
      </c>
      <c r="P194" s="5" t="str">
        <f>IFERROR(__xludf.DUMMYFUNCTION("""COMPUTED_VALUE"""),"Buy Bonus, Extralines, Bonus Game with Free Spins, Expanding Wild")</f>
        <v>Buy Bonus, Extralines, Bonus Game with Free Spins, Expanding Wild</v>
      </c>
      <c r="Q194" s="7" t="str">
        <f>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R194" s="5" t="str">
        <f>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S1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4" s="5" t="str">
        <f>IFERROR(__xludf.DUMMYFUNCTION("""COMPUTED_VALUE"""),"Yes")</f>
        <v>Yes</v>
      </c>
      <c r="U194" s="5" t="str">
        <f>IFERROR(__xludf.DUMMYFUNCTION("""COMPUTED_VALUE"""),"Yes")</f>
        <v>Yes</v>
      </c>
      <c r="V194" s="5" t="str">
        <f>IFERROR(__xludf.DUMMYFUNCTION("""COMPUTED_VALUE"""),"Yes")</f>
        <v>Yes</v>
      </c>
      <c r="W194" s="5" t="str">
        <f>IFERROR(__xludf.DUMMYFUNCTION("""COMPUTED_VALUE"""),"Yes")</f>
        <v>Yes</v>
      </c>
      <c r="X194" s="5" t="str">
        <f>IFERROR(__xludf.DUMMYFUNCTION("""COMPUTED_VALUE"""),"Yes")</f>
        <v>Yes</v>
      </c>
      <c r="Y194" s="5" t="str">
        <f>IFERROR(__xludf.DUMMYFUNCTION("""COMPUTED_VALUE"""),"Yes")</f>
        <v>Yes</v>
      </c>
      <c r="Z194" s="5" t="str">
        <f>IFERROR(__xludf.DUMMYFUNCTION("""COMPUTED_VALUE"""),"Yes")</f>
        <v>Yes</v>
      </c>
      <c r="AA194" s="5" t="str">
        <f>IFERROR(__xludf.DUMMYFUNCTION("""COMPUTED_VALUE"""),"Yes")</f>
        <v>Yes</v>
      </c>
      <c r="AB194" s="5" t="str">
        <f>IFERROR(__xludf.DUMMYFUNCTION("""COMPUTED_VALUE"""),"Yes")</f>
        <v>Yes</v>
      </c>
      <c r="AC194" s="5" t="str">
        <f>IFERROR(__xludf.DUMMYFUNCTION("""COMPUTED_VALUE"""),"Yes")</f>
        <v>Yes</v>
      </c>
      <c r="AD194" s="5" t="str">
        <f>IFERROR(__xludf.DUMMYFUNCTION("""COMPUTED_VALUE"""),"Yes")</f>
        <v>Yes</v>
      </c>
      <c r="AE194" s="5" t="str">
        <f>IFERROR(__xludf.DUMMYFUNCTION("""COMPUTED_VALUE"""),"Yes")</f>
        <v>Yes</v>
      </c>
      <c r="AF194" s="5" t="str">
        <f>IFERROR(__xludf.DUMMYFUNCTION("""COMPUTED_VALUE"""),"Yes")</f>
        <v>Yes</v>
      </c>
      <c r="AG194" s="5" t="str">
        <f>IFERROR(__xludf.DUMMYFUNCTION("""COMPUTED_VALUE"""),"Yes")</f>
        <v>Yes</v>
      </c>
      <c r="AH194" s="5" t="str">
        <f>IFERROR(__xludf.DUMMYFUNCTION("""COMPUTED_VALUE"""),"Yes")</f>
        <v>Yes</v>
      </c>
      <c r="AI194" s="5" t="str">
        <f>IFERROR(__xludf.DUMMYFUNCTION("""COMPUTED_VALUE"""),"Yes")</f>
        <v>Yes</v>
      </c>
      <c r="AJ194" s="5" t="str">
        <f>IFERROR(__xludf.DUMMYFUNCTION("""COMPUTED_VALUE"""),"Yes")</f>
        <v>Yes</v>
      </c>
      <c r="AK194" s="5" t="str">
        <f>IFERROR(__xludf.DUMMYFUNCTION("""COMPUTED_VALUE"""),"Yes")</f>
        <v>Yes</v>
      </c>
      <c r="AL194" s="5" t="str">
        <f>IFERROR(__xludf.DUMMYFUNCTION("""COMPUTED_VALUE"""),"Yes")</f>
        <v>Yes</v>
      </c>
      <c r="AM194" s="5" t="str">
        <f>IFERROR(__xludf.DUMMYFUNCTION("""COMPUTED_VALUE"""),"Yes")</f>
        <v>Yes</v>
      </c>
      <c r="AN194" s="5" t="str">
        <f>IFERROR(__xludf.DUMMYFUNCTION("""COMPUTED_VALUE"""),"Yes")</f>
        <v>Yes</v>
      </c>
      <c r="AO194" s="5" t="str">
        <f>IFERROR(__xludf.DUMMYFUNCTION("""COMPUTED_VALUE"""),"Yes")</f>
        <v>Yes</v>
      </c>
      <c r="AP194" s="5" t="str">
        <f>IFERROR(__xludf.DUMMYFUNCTION("""COMPUTED_VALUE"""),"Yes")</f>
        <v>Yes</v>
      </c>
      <c r="AQ194" s="5" t="str">
        <f>IFERROR(__xludf.DUMMYFUNCTION("""COMPUTED_VALUE"""),"Yes")</f>
        <v>Yes</v>
      </c>
      <c r="AR194" s="5" t="str">
        <f>IFERROR(__xludf.DUMMYFUNCTION("""COMPUTED_VALUE"""),"Yes")</f>
        <v>Yes</v>
      </c>
      <c r="AS194" s="5" t="str">
        <f>IFERROR(__xludf.DUMMYFUNCTION("""COMPUTED_VALUE"""),"Yes")</f>
        <v>Yes</v>
      </c>
      <c r="AT194" s="5" t="str">
        <f>IFERROR(__xludf.DUMMYFUNCTION("""COMPUTED_VALUE"""),"No")</f>
        <v>No</v>
      </c>
      <c r="AU194" s="5"/>
      <c r="AV194" s="5" t="str">
        <f>IFERROR(__xludf.DUMMYFUNCTION("""COMPUTED_VALUE"""),"")</f>
        <v/>
      </c>
      <c r="AW194" s="5" t="str">
        <f>IFERROR(__xludf.DUMMYFUNCTION("""COMPUTED_VALUE"""),"")</f>
        <v/>
      </c>
      <c r="AX194" s="5" t="str">
        <f>IFERROR(__xludf.DUMMYFUNCTION("""COMPUTED_VALUE"""),"")</f>
        <v/>
      </c>
      <c r="AY194" s="5" t="str">
        <f>IFERROR(__xludf.DUMMYFUNCTION("""COMPUTED_VALUE"""),"")</f>
        <v/>
      </c>
      <c r="AZ194" s="5" t="str">
        <f>IFERROR(__xludf.DUMMYFUNCTION("""COMPUTED_VALUE"""),"")</f>
        <v/>
      </c>
      <c r="BA194" s="5" t="str">
        <f>IFERROR(__xludf.DUMMYFUNCTION("""COMPUTED_VALUE"""),"")</f>
        <v/>
      </c>
      <c r="BB194" s="5" t="str">
        <f>IFERROR(__xludf.DUMMYFUNCTION("""COMPUTED_VALUE"""),"")</f>
        <v/>
      </c>
      <c r="BC194" s="5" t="str">
        <f>IFERROR(__xludf.DUMMYFUNCTION("""COMPUTED_VALUE"""),"")</f>
        <v/>
      </c>
      <c r="BD194" s="5" t="str">
        <f>IFERROR(__xludf.DUMMYFUNCTION("""COMPUTED_VALUE"""),"")</f>
        <v/>
      </c>
      <c r="BE194" s="5" t="str">
        <f>IFERROR(__xludf.DUMMYFUNCTION("""COMPUTED_VALUE"""),"")</f>
        <v/>
      </c>
      <c r="BF194" s="5" t="str">
        <f>IFERROR(__xludf.DUMMYFUNCTION("""COMPUTED_VALUE"""),"")</f>
        <v/>
      </c>
      <c r="BG194" s="5" t="str">
        <f>IFERROR(__xludf.DUMMYFUNCTION("""COMPUTED_VALUE"""),"")</f>
        <v/>
      </c>
      <c r="BH194" s="5" t="str">
        <f>IFERROR(__xludf.DUMMYFUNCTION("""COMPUTED_VALUE"""),"")</f>
        <v/>
      </c>
      <c r="BI194" s="5" t="str">
        <f>IFERROR(__xludf.DUMMYFUNCTION("""COMPUTED_VALUE"""),"")</f>
        <v/>
      </c>
      <c r="BJ194" s="5" t="str">
        <f>IFERROR(__xludf.DUMMYFUNCTION("""COMPUTED_VALUE"""),"")</f>
        <v/>
      </c>
      <c r="BK194" s="5" t="str">
        <f>IFERROR(__xludf.DUMMYFUNCTION("""COMPUTED_VALUE"""),"")</f>
        <v/>
      </c>
      <c r="BL194" s="5" t="str">
        <f>IFERROR(__xludf.DUMMYFUNCTION("""COMPUTED_VALUE"""),"")</f>
        <v/>
      </c>
      <c r="BM194" s="5" t="str">
        <f>IFERROR(__xludf.DUMMYFUNCTION("""COMPUTED_VALUE"""),"")</f>
        <v/>
      </c>
    </row>
    <row r="195">
      <c r="A195" s="5" t="str">
        <f>IFERROR(__xludf.DUMMYFUNCTION("""COMPUTED_VALUE"""),"Fazi")</f>
        <v>Fazi</v>
      </c>
      <c r="B195" s="5" t="str">
        <f>IFERROR(__xludf.DUMMYFUNCTION("""COMPUTED_VALUE"""),"Golden Crown Hold&amp;Win")</f>
        <v>Golden Crown Hold&amp;Win</v>
      </c>
      <c r="C195" s="5" t="str">
        <f>IFERROR(__xludf.DUMMYFUNCTION("""COMPUTED_VALUE"""),"GoldenCrownHoldAndWin")</f>
        <v>GoldenCrownHoldAndWin</v>
      </c>
      <c r="D195" s="6">
        <f>IFERROR(__xludf.DUMMYFUNCTION("""COMPUTED_VALUE"""),46126.0)</f>
        <v>46126</v>
      </c>
      <c r="E195" s="5" t="str">
        <f>IFERROR(__xludf.DUMMYFUNCTION("""COMPUTED_VALUE"""),"Slot")</f>
        <v>Slot</v>
      </c>
      <c r="F195" s="5">
        <f>IFERROR(__xludf.DUMMYFUNCTION("""COMPUTED_VALUE"""),39.0)</f>
        <v>39</v>
      </c>
      <c r="G195" s="5" t="str">
        <f>IFERROR(__xludf.DUMMYFUNCTION("""COMPUTED_VALUE"""),"5x3")</f>
        <v>5x3</v>
      </c>
      <c r="H195" s="5">
        <f>IFERROR(__xludf.DUMMYFUNCTION("""COMPUTED_VALUE"""),10.0)</f>
        <v>10</v>
      </c>
      <c r="I195" s="5">
        <f>IFERROR(__xludf.DUMMYFUNCTION("""COMPUTED_VALUE"""),10.0)</f>
        <v>10</v>
      </c>
      <c r="J195" s="5" t="str">
        <f>IFERROR(__xludf.DUMMYFUNCTION("""COMPUTED_VALUE"""),"95.962%")</f>
        <v>95.962%</v>
      </c>
      <c r="K195" s="5" t="str">
        <f>IFERROR(__xludf.DUMMYFUNCTION("""COMPUTED_VALUE"""),"Medium")</f>
        <v>Medium</v>
      </c>
      <c r="L195" s="5" t="str">
        <f>IFERROR(__xludf.DUMMYFUNCTION("""COMPUTED_VALUE"""),"14.63%")</f>
        <v>14.63%</v>
      </c>
      <c r="M195" s="5" t="str">
        <f>IFERROR(__xludf.DUMMYFUNCTION("""COMPUTED_VALUE"""),"x1538")</f>
        <v>x1538</v>
      </c>
      <c r="N195" s="5" t="str">
        <f>IFERROR(__xludf.DUMMYFUNCTION("""COMPUTED_VALUE"""),"0.1/40")</f>
        <v>0.1/40</v>
      </c>
      <c r="O195" s="5" t="str">
        <f>IFERROR(__xludf.DUMMYFUNCTION("""COMPUTED_VALUE"""),"Yes")</f>
        <v>Yes</v>
      </c>
      <c r="P195" s="5" t="str">
        <f>IFERROR(__xludf.DUMMYFUNCTION("""COMPUTED_VALUE"""),"Scatter, Expanding Wild, Hold and Win, Buy Bonus")</f>
        <v>Scatter, Expanding Wild, Hold and Win, Buy Bonus</v>
      </c>
      <c r="Q195" s="7" t="str">
        <f>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R195" s="5" t="str">
        <f>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S1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5" s="5" t="str">
        <f>IFERROR(__xludf.DUMMYFUNCTION("""COMPUTED_VALUE"""),"Yes")</f>
        <v>Yes</v>
      </c>
      <c r="U195" s="5" t="str">
        <f>IFERROR(__xludf.DUMMYFUNCTION("""COMPUTED_VALUE"""),"Yes")</f>
        <v>Yes</v>
      </c>
      <c r="V195" s="5" t="str">
        <f>IFERROR(__xludf.DUMMYFUNCTION("""COMPUTED_VALUE"""),"Yes")</f>
        <v>Yes</v>
      </c>
      <c r="W195" s="5" t="str">
        <f>IFERROR(__xludf.DUMMYFUNCTION("""COMPUTED_VALUE"""),"Yes")</f>
        <v>Yes</v>
      </c>
      <c r="X195" s="5" t="str">
        <f>IFERROR(__xludf.DUMMYFUNCTION("""COMPUTED_VALUE"""),"Yes")</f>
        <v>Yes</v>
      </c>
      <c r="Y195" s="5" t="str">
        <f>IFERROR(__xludf.DUMMYFUNCTION("""COMPUTED_VALUE"""),"Yes")</f>
        <v>Yes</v>
      </c>
      <c r="Z195" s="5" t="str">
        <f>IFERROR(__xludf.DUMMYFUNCTION("""COMPUTED_VALUE"""),"Yes")</f>
        <v>Yes</v>
      </c>
      <c r="AA195" s="5" t="str">
        <f>IFERROR(__xludf.DUMMYFUNCTION("""COMPUTED_VALUE"""),"Yes")</f>
        <v>Yes</v>
      </c>
      <c r="AB195" s="5" t="str">
        <f>IFERROR(__xludf.DUMMYFUNCTION("""COMPUTED_VALUE"""),"Yes")</f>
        <v>Yes</v>
      </c>
      <c r="AC195" s="5" t="str">
        <f>IFERROR(__xludf.DUMMYFUNCTION("""COMPUTED_VALUE"""),"Yes")</f>
        <v>Yes</v>
      </c>
      <c r="AD195" s="5" t="str">
        <f>IFERROR(__xludf.DUMMYFUNCTION("""COMPUTED_VALUE"""),"Yes")</f>
        <v>Yes</v>
      </c>
      <c r="AE195" s="5" t="str">
        <f>IFERROR(__xludf.DUMMYFUNCTION("""COMPUTED_VALUE"""),"Yes")</f>
        <v>Yes</v>
      </c>
      <c r="AF195" s="5" t="str">
        <f>IFERROR(__xludf.DUMMYFUNCTION("""COMPUTED_VALUE"""),"Yes")</f>
        <v>Yes</v>
      </c>
      <c r="AG195" s="5" t="str">
        <f>IFERROR(__xludf.DUMMYFUNCTION("""COMPUTED_VALUE"""),"Yes")</f>
        <v>Yes</v>
      </c>
      <c r="AH195" s="5" t="str">
        <f>IFERROR(__xludf.DUMMYFUNCTION("""COMPUTED_VALUE"""),"Yes")</f>
        <v>Yes</v>
      </c>
      <c r="AI195" s="5" t="str">
        <f>IFERROR(__xludf.DUMMYFUNCTION("""COMPUTED_VALUE"""),"Yes")</f>
        <v>Yes</v>
      </c>
      <c r="AJ195" s="5" t="str">
        <f>IFERROR(__xludf.DUMMYFUNCTION("""COMPUTED_VALUE"""),"Yes")</f>
        <v>Yes</v>
      </c>
      <c r="AK195" s="5" t="str">
        <f>IFERROR(__xludf.DUMMYFUNCTION("""COMPUTED_VALUE"""),"Yes")</f>
        <v>Yes</v>
      </c>
      <c r="AL195" s="5" t="str">
        <f>IFERROR(__xludf.DUMMYFUNCTION("""COMPUTED_VALUE"""),"Yes")</f>
        <v>Yes</v>
      </c>
      <c r="AM195" s="5" t="str">
        <f>IFERROR(__xludf.DUMMYFUNCTION("""COMPUTED_VALUE"""),"Yes")</f>
        <v>Yes</v>
      </c>
      <c r="AN195" s="5" t="str">
        <f>IFERROR(__xludf.DUMMYFUNCTION("""COMPUTED_VALUE"""),"Yes")</f>
        <v>Yes</v>
      </c>
      <c r="AO195" s="5" t="str">
        <f>IFERROR(__xludf.DUMMYFUNCTION("""COMPUTED_VALUE"""),"Yes")</f>
        <v>Yes</v>
      </c>
      <c r="AP195" s="5" t="str">
        <f>IFERROR(__xludf.DUMMYFUNCTION("""COMPUTED_VALUE"""),"Yes")</f>
        <v>Yes</v>
      </c>
      <c r="AQ195" s="5" t="str">
        <f>IFERROR(__xludf.DUMMYFUNCTION("""COMPUTED_VALUE"""),"Yes")</f>
        <v>Yes</v>
      </c>
      <c r="AR195" s="5" t="str">
        <f>IFERROR(__xludf.DUMMYFUNCTION("""COMPUTED_VALUE"""),"Yes")</f>
        <v>Yes</v>
      </c>
      <c r="AS195" s="5" t="str">
        <f>IFERROR(__xludf.DUMMYFUNCTION("""COMPUTED_VALUE"""),"Yes")</f>
        <v>Yes</v>
      </c>
      <c r="AT195" s="5" t="str">
        <f>IFERROR(__xludf.DUMMYFUNCTION("""COMPUTED_VALUE"""),"No")</f>
        <v>No</v>
      </c>
      <c r="AU195" s="5"/>
      <c r="AV195" s="5" t="str">
        <f>IFERROR(__xludf.DUMMYFUNCTION("""COMPUTED_VALUE"""),"")</f>
        <v/>
      </c>
      <c r="AW195" s="5" t="str">
        <f>IFERROR(__xludf.DUMMYFUNCTION("""COMPUTED_VALUE"""),"")</f>
        <v/>
      </c>
      <c r="AX195" s="5" t="str">
        <f>IFERROR(__xludf.DUMMYFUNCTION("""COMPUTED_VALUE"""),"")</f>
        <v/>
      </c>
      <c r="AY195" s="5" t="str">
        <f>IFERROR(__xludf.DUMMYFUNCTION("""COMPUTED_VALUE"""),"")</f>
        <v/>
      </c>
      <c r="AZ195" s="5" t="str">
        <f>IFERROR(__xludf.DUMMYFUNCTION("""COMPUTED_VALUE"""),"")</f>
        <v/>
      </c>
      <c r="BA195" s="5" t="str">
        <f>IFERROR(__xludf.DUMMYFUNCTION("""COMPUTED_VALUE"""),"")</f>
        <v/>
      </c>
      <c r="BB195" s="5" t="str">
        <f>IFERROR(__xludf.DUMMYFUNCTION("""COMPUTED_VALUE"""),"")</f>
        <v/>
      </c>
      <c r="BC195" s="5" t="str">
        <f>IFERROR(__xludf.DUMMYFUNCTION("""COMPUTED_VALUE"""),"")</f>
        <v/>
      </c>
      <c r="BD195" s="5" t="str">
        <f>IFERROR(__xludf.DUMMYFUNCTION("""COMPUTED_VALUE"""),"")</f>
        <v/>
      </c>
      <c r="BE195" s="5" t="str">
        <f>IFERROR(__xludf.DUMMYFUNCTION("""COMPUTED_VALUE"""),"")</f>
        <v/>
      </c>
      <c r="BF195" s="5" t="str">
        <f>IFERROR(__xludf.DUMMYFUNCTION("""COMPUTED_VALUE"""),"")</f>
        <v/>
      </c>
      <c r="BG195" s="5" t="str">
        <f>IFERROR(__xludf.DUMMYFUNCTION("""COMPUTED_VALUE"""),"")</f>
        <v/>
      </c>
      <c r="BH195" s="5" t="str">
        <f>IFERROR(__xludf.DUMMYFUNCTION("""COMPUTED_VALUE"""),"")</f>
        <v/>
      </c>
      <c r="BI195" s="5" t="str">
        <f>IFERROR(__xludf.DUMMYFUNCTION("""COMPUTED_VALUE"""),"")</f>
        <v/>
      </c>
      <c r="BJ195" s="5" t="str">
        <f>IFERROR(__xludf.DUMMYFUNCTION("""COMPUTED_VALUE"""),"")</f>
        <v/>
      </c>
      <c r="BK195" s="5" t="str">
        <f>IFERROR(__xludf.DUMMYFUNCTION("""COMPUTED_VALUE"""),"")</f>
        <v/>
      </c>
      <c r="BL195" s="5" t="str">
        <f>IFERROR(__xludf.DUMMYFUNCTION("""COMPUTED_VALUE"""),"")</f>
        <v/>
      </c>
      <c r="BM195" s="5" t="str">
        <f>IFERROR(__xludf.DUMMYFUNCTION("""COMPUTED_VALUE"""),"")</f>
        <v/>
      </c>
    </row>
    <row r="196">
      <c r="A196" s="5" t="str">
        <f>IFERROR(__xludf.DUMMYFUNCTION("""COMPUTED_VALUE"""),"Fazi")</f>
        <v>Fazi</v>
      </c>
      <c r="B196" s="5" t="str">
        <f>IFERROR(__xludf.DUMMYFUNCTION("""COMPUTED_VALUE"""),"Golden Diamonds 5 Extreme")</f>
        <v>Golden Diamonds 5 Extreme</v>
      </c>
      <c r="C196" s="5" t="str">
        <f>IFERROR(__xludf.DUMMYFUNCTION("""COMPUTED_VALUE"""),"GoldenDiamonds5Extreme")</f>
        <v>GoldenDiamonds5Extreme</v>
      </c>
      <c r="D196" s="6">
        <f>IFERROR(__xludf.DUMMYFUNCTION("""COMPUTED_VALUE"""),46098.0)</f>
        <v>46098</v>
      </c>
      <c r="E196" s="5" t="str">
        <f>IFERROR(__xludf.DUMMYFUNCTION("""COMPUTED_VALUE"""),"Slot")</f>
        <v>Slot</v>
      </c>
      <c r="F196" s="5">
        <f>IFERROR(__xludf.DUMMYFUNCTION("""COMPUTED_VALUE"""),22.36)</f>
        <v>22.36</v>
      </c>
      <c r="G196" s="5" t="str">
        <f>IFERROR(__xludf.DUMMYFUNCTION("""COMPUTED_VALUE"""),"5x3")</f>
        <v>5x3</v>
      </c>
      <c r="H196" s="5">
        <f>IFERROR(__xludf.DUMMYFUNCTION("""COMPUTED_VALUE"""),5.0)</f>
        <v>5</v>
      </c>
      <c r="I196" s="5">
        <f>IFERROR(__xludf.DUMMYFUNCTION("""COMPUTED_VALUE"""),5.0)</f>
        <v>5</v>
      </c>
      <c r="J196" s="5" t="str">
        <f>IFERROR(__xludf.DUMMYFUNCTION("""COMPUTED_VALUE"""),"96.453%")</f>
        <v>96.453%</v>
      </c>
      <c r="K196" s="5" t="str">
        <f>IFERROR(__xludf.DUMMYFUNCTION("""COMPUTED_VALUE"""),"Medium")</f>
        <v>Medium</v>
      </c>
      <c r="L196" s="5" t="str">
        <f>IFERROR(__xludf.DUMMYFUNCTION("""COMPUTED_VALUE"""),"14.234%")</f>
        <v>14.234%</v>
      </c>
      <c r="M196" s="5" t="str">
        <f>IFERROR(__xludf.DUMMYFUNCTION("""COMPUTED_VALUE"""),"x2624")</f>
        <v>x2624</v>
      </c>
      <c r="N196" s="5" t="str">
        <f>IFERROR(__xludf.DUMMYFUNCTION("""COMPUTED_VALUE"""),"0.1/50")</f>
        <v>0.1/50</v>
      </c>
      <c r="O196" s="5" t="str">
        <f>IFERROR(__xludf.DUMMYFUNCTION("""COMPUTED_VALUE"""),"Yes")</f>
        <v>Yes</v>
      </c>
      <c r="P196" s="5" t="str">
        <f>IFERROR(__xludf.DUMMYFUNCTION("""COMPUTED_VALUE"""),"Wild Symbol, Wild Multiplier, Scatter")</f>
        <v>Wild Symbol, Wild Multiplier, Scatter</v>
      </c>
      <c r="Q196" s="7" t="str">
        <f>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R196" s="5" t="str">
        <f>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S1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6" s="5" t="str">
        <f>IFERROR(__xludf.DUMMYFUNCTION("""COMPUTED_VALUE"""),"Yes")</f>
        <v>Yes</v>
      </c>
      <c r="U196" s="5" t="str">
        <f>IFERROR(__xludf.DUMMYFUNCTION("""COMPUTED_VALUE"""),"Yes")</f>
        <v>Yes</v>
      </c>
      <c r="V196" s="5" t="str">
        <f>IFERROR(__xludf.DUMMYFUNCTION("""COMPUTED_VALUE"""),"Yes")</f>
        <v>Yes</v>
      </c>
      <c r="W196" s="5" t="str">
        <f>IFERROR(__xludf.DUMMYFUNCTION("""COMPUTED_VALUE"""),"Yes")</f>
        <v>Yes</v>
      </c>
      <c r="X196" s="5" t="str">
        <f>IFERROR(__xludf.DUMMYFUNCTION("""COMPUTED_VALUE"""),"Yes")</f>
        <v>Yes</v>
      </c>
      <c r="Y196" s="5" t="str">
        <f>IFERROR(__xludf.DUMMYFUNCTION("""COMPUTED_VALUE"""),"Yes")</f>
        <v>Yes</v>
      </c>
      <c r="Z196" s="5" t="str">
        <f>IFERROR(__xludf.DUMMYFUNCTION("""COMPUTED_VALUE"""),"Yes")</f>
        <v>Yes</v>
      </c>
      <c r="AA196" s="5" t="str">
        <f>IFERROR(__xludf.DUMMYFUNCTION("""COMPUTED_VALUE"""),"Yes")</f>
        <v>Yes</v>
      </c>
      <c r="AB196" s="5" t="str">
        <f>IFERROR(__xludf.DUMMYFUNCTION("""COMPUTED_VALUE"""),"Yes")</f>
        <v>Yes</v>
      </c>
      <c r="AC196" s="5" t="str">
        <f>IFERROR(__xludf.DUMMYFUNCTION("""COMPUTED_VALUE"""),"Yes")</f>
        <v>Yes</v>
      </c>
      <c r="AD196" s="5" t="str">
        <f>IFERROR(__xludf.DUMMYFUNCTION("""COMPUTED_VALUE"""),"Yes")</f>
        <v>Yes</v>
      </c>
      <c r="AE196" s="5" t="str">
        <f>IFERROR(__xludf.DUMMYFUNCTION("""COMPUTED_VALUE"""),"Yes")</f>
        <v>Yes</v>
      </c>
      <c r="AF196" s="5" t="str">
        <f>IFERROR(__xludf.DUMMYFUNCTION("""COMPUTED_VALUE"""),"Yes")</f>
        <v>Yes</v>
      </c>
      <c r="AG196" s="5" t="str">
        <f>IFERROR(__xludf.DUMMYFUNCTION("""COMPUTED_VALUE"""),"Yes")</f>
        <v>Yes</v>
      </c>
      <c r="AH196" s="5" t="str">
        <f>IFERROR(__xludf.DUMMYFUNCTION("""COMPUTED_VALUE"""),"Yes")</f>
        <v>Yes</v>
      </c>
      <c r="AI196" s="5" t="str">
        <f>IFERROR(__xludf.DUMMYFUNCTION("""COMPUTED_VALUE"""),"Yes")</f>
        <v>Yes</v>
      </c>
      <c r="AJ196" s="5" t="str">
        <f>IFERROR(__xludf.DUMMYFUNCTION("""COMPUTED_VALUE"""),"Yes")</f>
        <v>Yes</v>
      </c>
      <c r="AK196" s="5" t="str">
        <f>IFERROR(__xludf.DUMMYFUNCTION("""COMPUTED_VALUE"""),"Yes")</f>
        <v>Yes</v>
      </c>
      <c r="AL196" s="5" t="str">
        <f>IFERROR(__xludf.DUMMYFUNCTION("""COMPUTED_VALUE"""),"Yes")</f>
        <v>Yes</v>
      </c>
      <c r="AM196" s="5" t="str">
        <f>IFERROR(__xludf.DUMMYFUNCTION("""COMPUTED_VALUE"""),"Yes")</f>
        <v>Yes</v>
      </c>
      <c r="AN196" s="5" t="str">
        <f>IFERROR(__xludf.DUMMYFUNCTION("""COMPUTED_VALUE"""),"Yes")</f>
        <v>Yes</v>
      </c>
      <c r="AO196" s="5" t="str">
        <f>IFERROR(__xludf.DUMMYFUNCTION("""COMPUTED_VALUE"""),"Yes")</f>
        <v>Yes</v>
      </c>
      <c r="AP196" s="5" t="str">
        <f>IFERROR(__xludf.DUMMYFUNCTION("""COMPUTED_VALUE"""),"Yes")</f>
        <v>Yes</v>
      </c>
      <c r="AQ196" s="5" t="str">
        <f>IFERROR(__xludf.DUMMYFUNCTION("""COMPUTED_VALUE"""),"Yes")</f>
        <v>Yes</v>
      </c>
      <c r="AR196" s="5" t="str">
        <f>IFERROR(__xludf.DUMMYFUNCTION("""COMPUTED_VALUE"""),"Yes")</f>
        <v>Yes</v>
      </c>
      <c r="AS196" s="5" t="str">
        <f>IFERROR(__xludf.DUMMYFUNCTION("""COMPUTED_VALUE"""),"Yes")</f>
        <v>Yes</v>
      </c>
      <c r="AT196" s="5" t="str">
        <f>IFERROR(__xludf.DUMMYFUNCTION("""COMPUTED_VALUE"""),"No")</f>
        <v>No</v>
      </c>
      <c r="AU196" s="5"/>
      <c r="AV196" s="5" t="str">
        <f>IFERROR(__xludf.DUMMYFUNCTION("""COMPUTED_VALUE"""),"")</f>
        <v/>
      </c>
      <c r="AW196" s="5" t="str">
        <f>IFERROR(__xludf.DUMMYFUNCTION("""COMPUTED_VALUE"""),"")</f>
        <v/>
      </c>
      <c r="AX196" s="5" t="str">
        <f>IFERROR(__xludf.DUMMYFUNCTION("""COMPUTED_VALUE"""),"")</f>
        <v/>
      </c>
      <c r="AY196" s="5" t="str">
        <f>IFERROR(__xludf.DUMMYFUNCTION("""COMPUTED_VALUE"""),"")</f>
        <v/>
      </c>
      <c r="AZ196" s="5" t="str">
        <f>IFERROR(__xludf.DUMMYFUNCTION("""COMPUTED_VALUE"""),"")</f>
        <v/>
      </c>
      <c r="BA196" s="5" t="str">
        <f>IFERROR(__xludf.DUMMYFUNCTION("""COMPUTED_VALUE"""),"")</f>
        <v/>
      </c>
      <c r="BB196" s="5" t="str">
        <f>IFERROR(__xludf.DUMMYFUNCTION("""COMPUTED_VALUE"""),"")</f>
        <v/>
      </c>
      <c r="BC196" s="5" t="str">
        <f>IFERROR(__xludf.DUMMYFUNCTION("""COMPUTED_VALUE"""),"")</f>
        <v/>
      </c>
      <c r="BD196" s="5" t="str">
        <f>IFERROR(__xludf.DUMMYFUNCTION("""COMPUTED_VALUE"""),"")</f>
        <v/>
      </c>
      <c r="BE196" s="5" t="str">
        <f>IFERROR(__xludf.DUMMYFUNCTION("""COMPUTED_VALUE"""),"")</f>
        <v/>
      </c>
      <c r="BF196" s="5" t="str">
        <f>IFERROR(__xludf.DUMMYFUNCTION("""COMPUTED_VALUE"""),"")</f>
        <v/>
      </c>
      <c r="BG196" s="5" t="str">
        <f>IFERROR(__xludf.DUMMYFUNCTION("""COMPUTED_VALUE"""),"")</f>
        <v/>
      </c>
      <c r="BH196" s="5" t="str">
        <f>IFERROR(__xludf.DUMMYFUNCTION("""COMPUTED_VALUE"""),"")</f>
        <v/>
      </c>
      <c r="BI196" s="5" t="str">
        <f>IFERROR(__xludf.DUMMYFUNCTION("""COMPUTED_VALUE"""),"")</f>
        <v/>
      </c>
      <c r="BJ196" s="5" t="str">
        <f>IFERROR(__xludf.DUMMYFUNCTION("""COMPUTED_VALUE"""),"")</f>
        <v/>
      </c>
      <c r="BK196" s="5" t="str">
        <f>IFERROR(__xludf.DUMMYFUNCTION("""COMPUTED_VALUE"""),"")</f>
        <v/>
      </c>
      <c r="BL196" s="5" t="str">
        <f>IFERROR(__xludf.DUMMYFUNCTION("""COMPUTED_VALUE"""),"")</f>
        <v/>
      </c>
      <c r="BM196" s="5" t="str">
        <f>IFERROR(__xludf.DUMMYFUNCTION("""COMPUTED_VALUE"""),"")</f>
        <v/>
      </c>
    </row>
    <row r="197">
      <c r="A197" s="5" t="str">
        <f>IFERROR(__xludf.DUMMYFUNCTION("""COMPUTED_VALUE"""),"Fazi")</f>
        <v>Fazi</v>
      </c>
      <c r="B197" s="5" t="str">
        <f>IFERROR(__xludf.DUMMYFUNCTION("""COMPUTED_VALUE"""),"Golden Diamonds 10 Extreme")</f>
        <v>Golden Diamonds 10 Extreme</v>
      </c>
      <c r="C197" s="5" t="str">
        <f>IFERROR(__xludf.DUMMYFUNCTION("""COMPUTED_VALUE"""),"GoldenDiamonds10Extreme")</f>
        <v>GoldenDiamonds10Extreme</v>
      </c>
      <c r="D197" s="6">
        <f>IFERROR(__xludf.DUMMYFUNCTION("""COMPUTED_VALUE"""),46261.0)</f>
        <v>46261</v>
      </c>
      <c r="E197" s="5" t="str">
        <f>IFERROR(__xludf.DUMMYFUNCTION("""COMPUTED_VALUE"""),"Slot")</f>
        <v>Slot</v>
      </c>
      <c r="F197" s="5">
        <f>IFERROR(__xludf.DUMMYFUNCTION("""COMPUTED_VALUE"""),21.31)</f>
        <v>21.31</v>
      </c>
      <c r="G197" s="5" t="str">
        <f>IFERROR(__xludf.DUMMYFUNCTION("""COMPUTED_VALUE"""),"5x3")</f>
        <v>5x3</v>
      </c>
      <c r="H197" s="5">
        <f>IFERROR(__xludf.DUMMYFUNCTION("""COMPUTED_VALUE"""),10.0)</f>
        <v>10</v>
      </c>
      <c r="I197" s="5">
        <f>IFERROR(__xludf.DUMMYFUNCTION("""COMPUTED_VALUE"""),10.0)</f>
        <v>10</v>
      </c>
      <c r="J197" s="5" t="str">
        <f>IFERROR(__xludf.DUMMYFUNCTION("""COMPUTED_VALUE"""),"96.453%")</f>
        <v>96.453%</v>
      </c>
      <c r="K197" s="5" t="str">
        <f>IFERROR(__xludf.DUMMYFUNCTION("""COMPUTED_VALUE"""),"Medium")</f>
        <v>Medium</v>
      </c>
      <c r="L197" s="5" t="str">
        <f>IFERROR(__xludf.DUMMYFUNCTION("""COMPUTED_VALUE"""),"17.364%")</f>
        <v>17.364%</v>
      </c>
      <c r="M197" s="5" t="str">
        <f>IFERROR(__xludf.DUMMYFUNCTION("""COMPUTED_VALUE"""),"x2210")</f>
        <v>x2210</v>
      </c>
      <c r="N197" s="5" t="str">
        <f>IFERROR(__xludf.DUMMYFUNCTION("""COMPUTED_VALUE"""),"0.1/50")</f>
        <v>0.1/50</v>
      </c>
      <c r="O197" s="5" t="str">
        <f>IFERROR(__xludf.DUMMYFUNCTION("""COMPUTED_VALUE"""),"Yes")</f>
        <v>Yes</v>
      </c>
      <c r="P197" s="5" t="str">
        <f>IFERROR(__xludf.DUMMYFUNCTION("""COMPUTED_VALUE"""),"Wild Symbol, Wild Multiplier")</f>
        <v>Wild Symbol, Wild Multiplier</v>
      </c>
      <c r="Q197" s="7" t="str">
        <f>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R197" s="5" t="str">
        <f>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S1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7" s="5" t="str">
        <f>IFERROR(__xludf.DUMMYFUNCTION("""COMPUTED_VALUE"""),"Yes")</f>
        <v>Yes</v>
      </c>
      <c r="U197" s="5" t="str">
        <f>IFERROR(__xludf.DUMMYFUNCTION("""COMPUTED_VALUE"""),"Yes")</f>
        <v>Yes</v>
      </c>
      <c r="V197" s="5" t="str">
        <f>IFERROR(__xludf.DUMMYFUNCTION("""COMPUTED_VALUE"""),"Yes")</f>
        <v>Yes</v>
      </c>
      <c r="W197" s="5" t="str">
        <f>IFERROR(__xludf.DUMMYFUNCTION("""COMPUTED_VALUE"""),"Yes")</f>
        <v>Yes</v>
      </c>
      <c r="X197" s="5" t="str">
        <f>IFERROR(__xludf.DUMMYFUNCTION("""COMPUTED_VALUE"""),"Yes")</f>
        <v>Yes</v>
      </c>
      <c r="Y197" s="5" t="str">
        <f>IFERROR(__xludf.DUMMYFUNCTION("""COMPUTED_VALUE"""),"Yes")</f>
        <v>Yes</v>
      </c>
      <c r="Z197" s="5" t="str">
        <f>IFERROR(__xludf.DUMMYFUNCTION("""COMPUTED_VALUE"""),"Yes")</f>
        <v>Yes</v>
      </c>
      <c r="AA197" s="5" t="str">
        <f>IFERROR(__xludf.DUMMYFUNCTION("""COMPUTED_VALUE"""),"Yes")</f>
        <v>Yes</v>
      </c>
      <c r="AB197" s="5" t="str">
        <f>IFERROR(__xludf.DUMMYFUNCTION("""COMPUTED_VALUE"""),"Yes")</f>
        <v>Yes</v>
      </c>
      <c r="AC197" s="5" t="str">
        <f>IFERROR(__xludf.DUMMYFUNCTION("""COMPUTED_VALUE"""),"Yes")</f>
        <v>Yes</v>
      </c>
      <c r="AD197" s="5" t="str">
        <f>IFERROR(__xludf.DUMMYFUNCTION("""COMPUTED_VALUE"""),"Yes")</f>
        <v>Yes</v>
      </c>
      <c r="AE197" s="5" t="str">
        <f>IFERROR(__xludf.DUMMYFUNCTION("""COMPUTED_VALUE"""),"Yes")</f>
        <v>Yes</v>
      </c>
      <c r="AF197" s="5" t="str">
        <f>IFERROR(__xludf.DUMMYFUNCTION("""COMPUTED_VALUE"""),"Yes")</f>
        <v>Yes</v>
      </c>
      <c r="AG197" s="5" t="str">
        <f>IFERROR(__xludf.DUMMYFUNCTION("""COMPUTED_VALUE"""),"Yes")</f>
        <v>Yes</v>
      </c>
      <c r="AH197" s="5" t="str">
        <f>IFERROR(__xludf.DUMMYFUNCTION("""COMPUTED_VALUE"""),"Yes")</f>
        <v>Yes</v>
      </c>
      <c r="AI197" s="5" t="str">
        <f>IFERROR(__xludf.DUMMYFUNCTION("""COMPUTED_VALUE"""),"Yes")</f>
        <v>Yes</v>
      </c>
      <c r="AJ197" s="5" t="str">
        <f>IFERROR(__xludf.DUMMYFUNCTION("""COMPUTED_VALUE"""),"Yes")</f>
        <v>Yes</v>
      </c>
      <c r="AK197" s="5" t="str">
        <f>IFERROR(__xludf.DUMMYFUNCTION("""COMPUTED_VALUE"""),"Yes")</f>
        <v>Yes</v>
      </c>
      <c r="AL197" s="5" t="str">
        <f>IFERROR(__xludf.DUMMYFUNCTION("""COMPUTED_VALUE"""),"Yes")</f>
        <v>Yes</v>
      </c>
      <c r="AM197" s="5" t="str">
        <f>IFERROR(__xludf.DUMMYFUNCTION("""COMPUTED_VALUE"""),"Yes")</f>
        <v>Yes</v>
      </c>
      <c r="AN197" s="5" t="str">
        <f>IFERROR(__xludf.DUMMYFUNCTION("""COMPUTED_VALUE"""),"Yes")</f>
        <v>Yes</v>
      </c>
      <c r="AO197" s="5" t="str">
        <f>IFERROR(__xludf.DUMMYFUNCTION("""COMPUTED_VALUE"""),"Yes")</f>
        <v>Yes</v>
      </c>
      <c r="AP197" s="5" t="str">
        <f>IFERROR(__xludf.DUMMYFUNCTION("""COMPUTED_VALUE"""),"Yes")</f>
        <v>Yes</v>
      </c>
      <c r="AQ197" s="5" t="str">
        <f>IFERROR(__xludf.DUMMYFUNCTION("""COMPUTED_VALUE"""),"Yes")</f>
        <v>Yes</v>
      </c>
      <c r="AR197" s="5" t="str">
        <f>IFERROR(__xludf.DUMMYFUNCTION("""COMPUTED_VALUE"""),"Yes")</f>
        <v>Yes</v>
      </c>
      <c r="AS197" s="5" t="str">
        <f>IFERROR(__xludf.DUMMYFUNCTION("""COMPUTED_VALUE"""),"Yes")</f>
        <v>Yes</v>
      </c>
      <c r="AT197" s="5" t="str">
        <f>IFERROR(__xludf.DUMMYFUNCTION("""COMPUTED_VALUE"""),"No")</f>
        <v>No</v>
      </c>
      <c r="AU197" s="5"/>
      <c r="AV197" s="5" t="str">
        <f>IFERROR(__xludf.DUMMYFUNCTION("""COMPUTED_VALUE"""),"")</f>
        <v/>
      </c>
      <c r="AW197" s="5" t="str">
        <f>IFERROR(__xludf.DUMMYFUNCTION("""COMPUTED_VALUE"""),"")</f>
        <v/>
      </c>
      <c r="AX197" s="5" t="str">
        <f>IFERROR(__xludf.DUMMYFUNCTION("""COMPUTED_VALUE"""),"")</f>
        <v/>
      </c>
      <c r="AY197" s="5" t="str">
        <f>IFERROR(__xludf.DUMMYFUNCTION("""COMPUTED_VALUE"""),"")</f>
        <v/>
      </c>
      <c r="AZ197" s="5" t="str">
        <f>IFERROR(__xludf.DUMMYFUNCTION("""COMPUTED_VALUE"""),"")</f>
        <v/>
      </c>
      <c r="BA197" s="5" t="str">
        <f>IFERROR(__xludf.DUMMYFUNCTION("""COMPUTED_VALUE"""),"")</f>
        <v/>
      </c>
      <c r="BB197" s="5" t="str">
        <f>IFERROR(__xludf.DUMMYFUNCTION("""COMPUTED_VALUE"""),"")</f>
        <v/>
      </c>
      <c r="BC197" s="5" t="str">
        <f>IFERROR(__xludf.DUMMYFUNCTION("""COMPUTED_VALUE"""),"")</f>
        <v/>
      </c>
      <c r="BD197" s="5" t="str">
        <f>IFERROR(__xludf.DUMMYFUNCTION("""COMPUTED_VALUE"""),"")</f>
        <v/>
      </c>
      <c r="BE197" s="5" t="str">
        <f>IFERROR(__xludf.DUMMYFUNCTION("""COMPUTED_VALUE"""),"")</f>
        <v/>
      </c>
      <c r="BF197" s="5" t="str">
        <f>IFERROR(__xludf.DUMMYFUNCTION("""COMPUTED_VALUE"""),"")</f>
        <v/>
      </c>
      <c r="BG197" s="5" t="str">
        <f>IFERROR(__xludf.DUMMYFUNCTION("""COMPUTED_VALUE"""),"")</f>
        <v/>
      </c>
      <c r="BH197" s="5" t="str">
        <f>IFERROR(__xludf.DUMMYFUNCTION("""COMPUTED_VALUE"""),"")</f>
        <v/>
      </c>
      <c r="BI197" s="5" t="str">
        <f>IFERROR(__xludf.DUMMYFUNCTION("""COMPUTED_VALUE"""),"")</f>
        <v/>
      </c>
      <c r="BJ197" s="5" t="str">
        <f>IFERROR(__xludf.DUMMYFUNCTION("""COMPUTED_VALUE"""),"")</f>
        <v/>
      </c>
      <c r="BK197" s="5" t="str">
        <f>IFERROR(__xludf.DUMMYFUNCTION("""COMPUTED_VALUE"""),"")</f>
        <v/>
      </c>
      <c r="BL197" s="5" t="str">
        <f>IFERROR(__xludf.DUMMYFUNCTION("""COMPUTED_VALUE"""),"")</f>
        <v/>
      </c>
      <c r="BM197" s="5" t="str">
        <f>IFERROR(__xludf.DUMMYFUNCTION("""COMPUTED_VALUE"""),"")</f>
        <v/>
      </c>
    </row>
    <row r="198">
      <c r="A198" s="5" t="str">
        <f>IFERROR(__xludf.DUMMYFUNCTION("""COMPUTED_VALUE"""),"Fazi")</f>
        <v>Fazi</v>
      </c>
      <c r="B198" s="5" t="str">
        <f>IFERROR(__xludf.DUMMYFUNCTION("""COMPUTED_VALUE"""),"Golden Diamonds 20 Extreme")</f>
        <v>Golden Diamonds 20 Extreme</v>
      </c>
      <c r="C198" s="5" t="str">
        <f>IFERROR(__xludf.DUMMYFUNCTION("""COMPUTED_VALUE"""),"GoldenDiamonds20Extreme")</f>
        <v>GoldenDiamonds20Extreme</v>
      </c>
      <c r="D198" s="6">
        <f>IFERROR(__xludf.DUMMYFUNCTION("""COMPUTED_VALUE"""),46119.0)</f>
        <v>46119</v>
      </c>
      <c r="E198" s="5" t="str">
        <f>IFERROR(__xludf.DUMMYFUNCTION("""COMPUTED_VALUE"""),"Slot")</f>
        <v>Slot</v>
      </c>
      <c r="F198" s="5">
        <f>IFERROR(__xludf.DUMMYFUNCTION("""COMPUTED_VALUE"""),21.3)</f>
        <v>21.3</v>
      </c>
      <c r="G198" s="5" t="str">
        <f>IFERROR(__xludf.DUMMYFUNCTION("""COMPUTED_VALUE"""),"5x3")</f>
        <v>5x3</v>
      </c>
      <c r="H198" s="5">
        <f>IFERROR(__xludf.DUMMYFUNCTION("""COMPUTED_VALUE"""),20.0)</f>
        <v>20</v>
      </c>
      <c r="I198" s="5">
        <f>IFERROR(__xludf.DUMMYFUNCTION("""COMPUTED_VALUE"""),20.0)</f>
        <v>20</v>
      </c>
      <c r="J198" s="5" t="str">
        <f>IFERROR(__xludf.DUMMYFUNCTION("""COMPUTED_VALUE"""),"96.453%")</f>
        <v>96.453%</v>
      </c>
      <c r="K198" s="5" t="str">
        <f>IFERROR(__xludf.DUMMYFUNCTION("""COMPUTED_VALUE"""),"Low")</f>
        <v>Low</v>
      </c>
      <c r="L198" s="5" t="str">
        <f>IFERROR(__xludf.DUMMYFUNCTION("""COMPUTED_VALUE"""),"21.192%")</f>
        <v>21.192%</v>
      </c>
      <c r="M198" s="5" t="str">
        <f>IFERROR(__xludf.DUMMYFUNCTION("""COMPUTED_VALUE"""),"x2765")</f>
        <v>x2765</v>
      </c>
      <c r="N198" s="5" t="str">
        <f>IFERROR(__xludf.DUMMYFUNCTION("""COMPUTED_VALUE"""),"0.2/50")</f>
        <v>0.2/50</v>
      </c>
      <c r="O198" s="5" t="str">
        <f>IFERROR(__xludf.DUMMYFUNCTION("""COMPUTED_VALUE"""),"Yes")</f>
        <v>Yes</v>
      </c>
      <c r="P198" s="5" t="str">
        <f>IFERROR(__xludf.DUMMYFUNCTION("""COMPUTED_VALUE"""),"Wild Symbol, Wild Multiplier")</f>
        <v>Wild Symbol, Wild Multiplier</v>
      </c>
      <c r="Q198" s="7" t="str">
        <f>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R198" s="5" t="str">
        <f>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S1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8" s="5" t="str">
        <f>IFERROR(__xludf.DUMMYFUNCTION("""COMPUTED_VALUE"""),"Yes")</f>
        <v>Yes</v>
      </c>
      <c r="U198" s="5" t="str">
        <f>IFERROR(__xludf.DUMMYFUNCTION("""COMPUTED_VALUE"""),"Yes")</f>
        <v>Yes</v>
      </c>
      <c r="V198" s="5" t="str">
        <f>IFERROR(__xludf.DUMMYFUNCTION("""COMPUTED_VALUE"""),"Yes")</f>
        <v>Yes</v>
      </c>
      <c r="W198" s="5" t="str">
        <f>IFERROR(__xludf.DUMMYFUNCTION("""COMPUTED_VALUE"""),"Yes")</f>
        <v>Yes</v>
      </c>
      <c r="X198" s="5" t="str">
        <f>IFERROR(__xludf.DUMMYFUNCTION("""COMPUTED_VALUE"""),"Yes")</f>
        <v>Yes</v>
      </c>
      <c r="Y198" s="5" t="str">
        <f>IFERROR(__xludf.DUMMYFUNCTION("""COMPUTED_VALUE"""),"Yes")</f>
        <v>Yes</v>
      </c>
      <c r="Z198" s="5" t="str">
        <f>IFERROR(__xludf.DUMMYFUNCTION("""COMPUTED_VALUE"""),"Yes")</f>
        <v>Yes</v>
      </c>
      <c r="AA198" s="5" t="str">
        <f>IFERROR(__xludf.DUMMYFUNCTION("""COMPUTED_VALUE"""),"Yes")</f>
        <v>Yes</v>
      </c>
      <c r="AB198" s="5" t="str">
        <f>IFERROR(__xludf.DUMMYFUNCTION("""COMPUTED_VALUE"""),"Yes")</f>
        <v>Yes</v>
      </c>
      <c r="AC198" s="5" t="str">
        <f>IFERROR(__xludf.DUMMYFUNCTION("""COMPUTED_VALUE"""),"Yes")</f>
        <v>Yes</v>
      </c>
      <c r="AD198" s="5" t="str">
        <f>IFERROR(__xludf.DUMMYFUNCTION("""COMPUTED_VALUE"""),"Yes")</f>
        <v>Yes</v>
      </c>
      <c r="AE198" s="5" t="str">
        <f>IFERROR(__xludf.DUMMYFUNCTION("""COMPUTED_VALUE"""),"Yes")</f>
        <v>Yes</v>
      </c>
      <c r="AF198" s="5" t="str">
        <f>IFERROR(__xludf.DUMMYFUNCTION("""COMPUTED_VALUE"""),"Yes")</f>
        <v>Yes</v>
      </c>
      <c r="AG198" s="5" t="str">
        <f>IFERROR(__xludf.DUMMYFUNCTION("""COMPUTED_VALUE"""),"Yes")</f>
        <v>Yes</v>
      </c>
      <c r="AH198" s="5" t="str">
        <f>IFERROR(__xludf.DUMMYFUNCTION("""COMPUTED_VALUE"""),"Yes")</f>
        <v>Yes</v>
      </c>
      <c r="AI198" s="5" t="str">
        <f>IFERROR(__xludf.DUMMYFUNCTION("""COMPUTED_VALUE"""),"Yes")</f>
        <v>Yes</v>
      </c>
      <c r="AJ198" s="5" t="str">
        <f>IFERROR(__xludf.DUMMYFUNCTION("""COMPUTED_VALUE"""),"Yes")</f>
        <v>Yes</v>
      </c>
      <c r="AK198" s="5" t="str">
        <f>IFERROR(__xludf.DUMMYFUNCTION("""COMPUTED_VALUE"""),"Yes")</f>
        <v>Yes</v>
      </c>
      <c r="AL198" s="5" t="str">
        <f>IFERROR(__xludf.DUMMYFUNCTION("""COMPUTED_VALUE"""),"Yes")</f>
        <v>Yes</v>
      </c>
      <c r="AM198" s="5" t="str">
        <f>IFERROR(__xludf.DUMMYFUNCTION("""COMPUTED_VALUE"""),"Yes")</f>
        <v>Yes</v>
      </c>
      <c r="AN198" s="5" t="str">
        <f>IFERROR(__xludf.DUMMYFUNCTION("""COMPUTED_VALUE"""),"Yes")</f>
        <v>Yes</v>
      </c>
      <c r="AO198" s="5" t="str">
        <f>IFERROR(__xludf.DUMMYFUNCTION("""COMPUTED_VALUE"""),"Yes")</f>
        <v>Yes</v>
      </c>
      <c r="AP198" s="5" t="str">
        <f>IFERROR(__xludf.DUMMYFUNCTION("""COMPUTED_VALUE"""),"Yes")</f>
        <v>Yes</v>
      </c>
      <c r="AQ198" s="5" t="str">
        <f>IFERROR(__xludf.DUMMYFUNCTION("""COMPUTED_VALUE"""),"Yes")</f>
        <v>Yes</v>
      </c>
      <c r="AR198" s="5" t="str">
        <f>IFERROR(__xludf.DUMMYFUNCTION("""COMPUTED_VALUE"""),"Yes")</f>
        <v>Yes</v>
      </c>
      <c r="AS198" s="5" t="str">
        <f>IFERROR(__xludf.DUMMYFUNCTION("""COMPUTED_VALUE"""),"Yes")</f>
        <v>Yes</v>
      </c>
      <c r="AT198" s="5" t="str">
        <f>IFERROR(__xludf.DUMMYFUNCTION("""COMPUTED_VALUE"""),"No")</f>
        <v>No</v>
      </c>
      <c r="AU198" s="5"/>
      <c r="AV198" s="5" t="str">
        <f>IFERROR(__xludf.DUMMYFUNCTION("""COMPUTED_VALUE"""),"")</f>
        <v/>
      </c>
      <c r="AW198" s="5" t="str">
        <f>IFERROR(__xludf.DUMMYFUNCTION("""COMPUTED_VALUE"""),"")</f>
        <v/>
      </c>
      <c r="AX198" s="5" t="str">
        <f>IFERROR(__xludf.DUMMYFUNCTION("""COMPUTED_VALUE"""),"")</f>
        <v/>
      </c>
      <c r="AY198" s="5" t="str">
        <f>IFERROR(__xludf.DUMMYFUNCTION("""COMPUTED_VALUE"""),"")</f>
        <v/>
      </c>
      <c r="AZ198" s="5" t="str">
        <f>IFERROR(__xludf.DUMMYFUNCTION("""COMPUTED_VALUE"""),"")</f>
        <v/>
      </c>
      <c r="BA198" s="5" t="str">
        <f>IFERROR(__xludf.DUMMYFUNCTION("""COMPUTED_VALUE"""),"")</f>
        <v/>
      </c>
      <c r="BB198" s="5" t="str">
        <f>IFERROR(__xludf.DUMMYFUNCTION("""COMPUTED_VALUE"""),"")</f>
        <v/>
      </c>
      <c r="BC198" s="5" t="str">
        <f>IFERROR(__xludf.DUMMYFUNCTION("""COMPUTED_VALUE"""),"")</f>
        <v/>
      </c>
      <c r="BD198" s="5" t="str">
        <f>IFERROR(__xludf.DUMMYFUNCTION("""COMPUTED_VALUE"""),"")</f>
        <v/>
      </c>
      <c r="BE198" s="5" t="str">
        <f>IFERROR(__xludf.DUMMYFUNCTION("""COMPUTED_VALUE"""),"")</f>
        <v/>
      </c>
      <c r="BF198" s="5" t="str">
        <f>IFERROR(__xludf.DUMMYFUNCTION("""COMPUTED_VALUE"""),"")</f>
        <v/>
      </c>
      <c r="BG198" s="5" t="str">
        <f>IFERROR(__xludf.DUMMYFUNCTION("""COMPUTED_VALUE"""),"")</f>
        <v/>
      </c>
      <c r="BH198" s="5" t="str">
        <f>IFERROR(__xludf.DUMMYFUNCTION("""COMPUTED_VALUE"""),"")</f>
        <v/>
      </c>
      <c r="BI198" s="5" t="str">
        <f>IFERROR(__xludf.DUMMYFUNCTION("""COMPUTED_VALUE"""),"")</f>
        <v/>
      </c>
      <c r="BJ198" s="5" t="str">
        <f>IFERROR(__xludf.DUMMYFUNCTION("""COMPUTED_VALUE"""),"")</f>
        <v/>
      </c>
      <c r="BK198" s="5" t="str">
        <f>IFERROR(__xludf.DUMMYFUNCTION("""COMPUTED_VALUE"""),"")</f>
        <v/>
      </c>
      <c r="BL198" s="5" t="str">
        <f>IFERROR(__xludf.DUMMYFUNCTION("""COMPUTED_VALUE"""),"")</f>
        <v/>
      </c>
      <c r="BM198" s="5" t="str">
        <f>IFERROR(__xludf.DUMMYFUNCTION("""COMPUTED_VALUE"""),"")</f>
        <v/>
      </c>
    </row>
    <row r="199">
      <c r="A199" s="5" t="str">
        <f>IFERROR(__xludf.DUMMYFUNCTION("""COMPUTED_VALUE"""),"Fazi")</f>
        <v>Fazi</v>
      </c>
      <c r="B199" s="5" t="str">
        <f>IFERROR(__xludf.DUMMYFUNCTION("""COMPUTED_VALUE"""),"Golden Diamonds 40 Extreme")</f>
        <v>Golden Diamonds 40 Extreme</v>
      </c>
      <c r="C199" s="5" t="str">
        <f>IFERROR(__xludf.DUMMYFUNCTION("""COMPUTED_VALUE"""),"GoldenDiamonds40Extreme")</f>
        <v>GoldenDiamonds40Extreme</v>
      </c>
      <c r="D199" s="6">
        <f>IFERROR(__xludf.DUMMYFUNCTION("""COMPUTED_VALUE"""),46198.0)</f>
        <v>46198</v>
      </c>
      <c r="E199" s="5" t="str">
        <f>IFERROR(__xludf.DUMMYFUNCTION("""COMPUTED_VALUE"""),"Slot")</f>
        <v>Slot</v>
      </c>
      <c r="F199" s="5">
        <f>IFERROR(__xludf.DUMMYFUNCTION("""COMPUTED_VALUE"""),18.4)</f>
        <v>18.4</v>
      </c>
      <c r="G199" s="5" t="str">
        <f>IFERROR(__xludf.DUMMYFUNCTION("""COMPUTED_VALUE"""),"5x3")</f>
        <v>5x3</v>
      </c>
      <c r="H199" s="5">
        <f>IFERROR(__xludf.DUMMYFUNCTION("""COMPUTED_VALUE"""),40.0)</f>
        <v>40</v>
      </c>
      <c r="I199" s="5">
        <f>IFERROR(__xludf.DUMMYFUNCTION("""COMPUTED_VALUE"""),40.0)</f>
        <v>40</v>
      </c>
      <c r="J199" s="5" t="str">
        <f>IFERROR(__xludf.DUMMYFUNCTION("""COMPUTED_VALUE"""),"96.453%")</f>
        <v>96.453%</v>
      </c>
      <c r="K199" s="5" t="str">
        <f>IFERROR(__xludf.DUMMYFUNCTION("""COMPUTED_VALUE"""),"Low")</f>
        <v>Low</v>
      </c>
      <c r="L199" s="5" t="str">
        <f>IFERROR(__xludf.DUMMYFUNCTION("""COMPUTED_VALUE"""),"22.711%")</f>
        <v>22.711%</v>
      </c>
      <c r="M199" s="5" t="str">
        <f>IFERROR(__xludf.DUMMYFUNCTION("""COMPUTED_VALUE"""),"x1993")</f>
        <v>x1993</v>
      </c>
      <c r="N199" s="5" t="str">
        <f>IFERROR(__xludf.DUMMYFUNCTION("""COMPUTED_VALUE"""),"0.4/40")</f>
        <v>0.4/40</v>
      </c>
      <c r="O199" s="5" t="str">
        <f>IFERROR(__xludf.DUMMYFUNCTION("""COMPUTED_VALUE"""),"Yes")</f>
        <v>Yes</v>
      </c>
      <c r="P199" s="5" t="str">
        <f>IFERROR(__xludf.DUMMYFUNCTION("""COMPUTED_VALUE"""),"Wild Symbol, Wild Multiplier")</f>
        <v>Wild Symbol, Wild Multiplier</v>
      </c>
      <c r="Q199" s="7" t="str">
        <f>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R199" s="5" t="str">
        <f>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S1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9" s="5" t="str">
        <f>IFERROR(__xludf.DUMMYFUNCTION("""COMPUTED_VALUE"""),"Yes")</f>
        <v>Yes</v>
      </c>
      <c r="U199" s="5" t="str">
        <f>IFERROR(__xludf.DUMMYFUNCTION("""COMPUTED_VALUE"""),"Yes")</f>
        <v>Yes</v>
      </c>
      <c r="V199" s="5" t="str">
        <f>IFERROR(__xludf.DUMMYFUNCTION("""COMPUTED_VALUE"""),"Yes")</f>
        <v>Yes</v>
      </c>
      <c r="W199" s="5" t="str">
        <f>IFERROR(__xludf.DUMMYFUNCTION("""COMPUTED_VALUE"""),"Yes")</f>
        <v>Yes</v>
      </c>
      <c r="X199" s="5" t="str">
        <f>IFERROR(__xludf.DUMMYFUNCTION("""COMPUTED_VALUE"""),"Yes")</f>
        <v>Yes</v>
      </c>
      <c r="Y199" s="5" t="str">
        <f>IFERROR(__xludf.DUMMYFUNCTION("""COMPUTED_VALUE"""),"Yes")</f>
        <v>Yes</v>
      </c>
      <c r="Z199" s="5" t="str">
        <f>IFERROR(__xludf.DUMMYFUNCTION("""COMPUTED_VALUE"""),"Yes")</f>
        <v>Yes</v>
      </c>
      <c r="AA199" s="5" t="str">
        <f>IFERROR(__xludf.DUMMYFUNCTION("""COMPUTED_VALUE"""),"Yes")</f>
        <v>Yes</v>
      </c>
      <c r="AB199" s="5" t="str">
        <f>IFERROR(__xludf.DUMMYFUNCTION("""COMPUTED_VALUE"""),"Yes")</f>
        <v>Yes</v>
      </c>
      <c r="AC199" s="5" t="str">
        <f>IFERROR(__xludf.DUMMYFUNCTION("""COMPUTED_VALUE"""),"Yes")</f>
        <v>Yes</v>
      </c>
      <c r="AD199" s="5" t="str">
        <f>IFERROR(__xludf.DUMMYFUNCTION("""COMPUTED_VALUE"""),"Yes")</f>
        <v>Yes</v>
      </c>
      <c r="AE199" s="5" t="str">
        <f>IFERROR(__xludf.DUMMYFUNCTION("""COMPUTED_VALUE"""),"Yes")</f>
        <v>Yes</v>
      </c>
      <c r="AF199" s="5" t="str">
        <f>IFERROR(__xludf.DUMMYFUNCTION("""COMPUTED_VALUE"""),"Yes")</f>
        <v>Yes</v>
      </c>
      <c r="AG199" s="5" t="str">
        <f>IFERROR(__xludf.DUMMYFUNCTION("""COMPUTED_VALUE"""),"Yes")</f>
        <v>Yes</v>
      </c>
      <c r="AH199" s="5" t="str">
        <f>IFERROR(__xludf.DUMMYFUNCTION("""COMPUTED_VALUE"""),"Yes")</f>
        <v>Yes</v>
      </c>
      <c r="AI199" s="5" t="str">
        <f>IFERROR(__xludf.DUMMYFUNCTION("""COMPUTED_VALUE"""),"Yes")</f>
        <v>Yes</v>
      </c>
      <c r="AJ199" s="5" t="str">
        <f>IFERROR(__xludf.DUMMYFUNCTION("""COMPUTED_VALUE"""),"Yes")</f>
        <v>Yes</v>
      </c>
      <c r="AK199" s="5" t="str">
        <f>IFERROR(__xludf.DUMMYFUNCTION("""COMPUTED_VALUE"""),"Yes")</f>
        <v>Yes</v>
      </c>
      <c r="AL199" s="5" t="str">
        <f>IFERROR(__xludf.DUMMYFUNCTION("""COMPUTED_VALUE"""),"Yes")</f>
        <v>Yes</v>
      </c>
      <c r="AM199" s="5" t="str">
        <f>IFERROR(__xludf.DUMMYFUNCTION("""COMPUTED_VALUE"""),"Yes")</f>
        <v>Yes</v>
      </c>
      <c r="AN199" s="5" t="str">
        <f>IFERROR(__xludf.DUMMYFUNCTION("""COMPUTED_VALUE"""),"Yes")</f>
        <v>Yes</v>
      </c>
      <c r="AO199" s="5" t="str">
        <f>IFERROR(__xludf.DUMMYFUNCTION("""COMPUTED_VALUE"""),"Yes")</f>
        <v>Yes</v>
      </c>
      <c r="AP199" s="5" t="str">
        <f>IFERROR(__xludf.DUMMYFUNCTION("""COMPUTED_VALUE"""),"Yes")</f>
        <v>Yes</v>
      </c>
      <c r="AQ199" s="5" t="str">
        <f>IFERROR(__xludf.DUMMYFUNCTION("""COMPUTED_VALUE"""),"Yes")</f>
        <v>Yes</v>
      </c>
      <c r="AR199" s="5" t="str">
        <f>IFERROR(__xludf.DUMMYFUNCTION("""COMPUTED_VALUE"""),"Yes")</f>
        <v>Yes</v>
      </c>
      <c r="AS199" s="5" t="str">
        <f>IFERROR(__xludf.DUMMYFUNCTION("""COMPUTED_VALUE"""),"Yes")</f>
        <v>Yes</v>
      </c>
      <c r="AT199" s="5" t="str">
        <f>IFERROR(__xludf.DUMMYFUNCTION("""COMPUTED_VALUE"""),"No")</f>
        <v>No</v>
      </c>
      <c r="AU199" s="5"/>
      <c r="AV199" s="5" t="str">
        <f>IFERROR(__xludf.DUMMYFUNCTION("""COMPUTED_VALUE"""),"")</f>
        <v/>
      </c>
      <c r="AW199" s="5" t="str">
        <f>IFERROR(__xludf.DUMMYFUNCTION("""COMPUTED_VALUE"""),"")</f>
        <v/>
      </c>
      <c r="AX199" s="5" t="str">
        <f>IFERROR(__xludf.DUMMYFUNCTION("""COMPUTED_VALUE"""),"")</f>
        <v/>
      </c>
      <c r="AY199" s="5" t="str">
        <f>IFERROR(__xludf.DUMMYFUNCTION("""COMPUTED_VALUE"""),"")</f>
        <v/>
      </c>
      <c r="AZ199" s="5" t="str">
        <f>IFERROR(__xludf.DUMMYFUNCTION("""COMPUTED_VALUE"""),"")</f>
        <v/>
      </c>
      <c r="BA199" s="5" t="str">
        <f>IFERROR(__xludf.DUMMYFUNCTION("""COMPUTED_VALUE"""),"")</f>
        <v/>
      </c>
      <c r="BB199" s="5" t="str">
        <f>IFERROR(__xludf.DUMMYFUNCTION("""COMPUTED_VALUE"""),"")</f>
        <v/>
      </c>
      <c r="BC199" s="5" t="str">
        <f>IFERROR(__xludf.DUMMYFUNCTION("""COMPUTED_VALUE"""),"")</f>
        <v/>
      </c>
      <c r="BD199" s="5" t="str">
        <f>IFERROR(__xludf.DUMMYFUNCTION("""COMPUTED_VALUE"""),"")</f>
        <v/>
      </c>
      <c r="BE199" s="5" t="str">
        <f>IFERROR(__xludf.DUMMYFUNCTION("""COMPUTED_VALUE"""),"")</f>
        <v/>
      </c>
      <c r="BF199" s="5" t="str">
        <f>IFERROR(__xludf.DUMMYFUNCTION("""COMPUTED_VALUE"""),"")</f>
        <v/>
      </c>
      <c r="BG199" s="5" t="str">
        <f>IFERROR(__xludf.DUMMYFUNCTION("""COMPUTED_VALUE"""),"")</f>
        <v/>
      </c>
      <c r="BH199" s="5" t="str">
        <f>IFERROR(__xludf.DUMMYFUNCTION("""COMPUTED_VALUE"""),"")</f>
        <v/>
      </c>
      <c r="BI199" s="5" t="str">
        <f>IFERROR(__xludf.DUMMYFUNCTION("""COMPUTED_VALUE"""),"")</f>
        <v/>
      </c>
      <c r="BJ199" s="5" t="str">
        <f>IFERROR(__xludf.DUMMYFUNCTION("""COMPUTED_VALUE"""),"")</f>
        <v/>
      </c>
      <c r="BK199" s="5" t="str">
        <f>IFERROR(__xludf.DUMMYFUNCTION("""COMPUTED_VALUE"""),"")</f>
        <v/>
      </c>
      <c r="BL199" s="5" t="str">
        <f>IFERROR(__xludf.DUMMYFUNCTION("""COMPUTED_VALUE"""),"")</f>
        <v/>
      </c>
      <c r="BM199" s="5" t="str">
        <f>IFERROR(__xludf.DUMMYFUNCTION("""COMPUTED_VALUE"""),"")</f>
        <v/>
      </c>
    </row>
    <row r="200">
      <c r="A200" s="5" t="str">
        <f>IFERROR(__xludf.DUMMYFUNCTION("""COMPUTED_VALUE"""),"Fazi")</f>
        <v>Fazi</v>
      </c>
      <c r="B200" s="5" t="str">
        <f>IFERROR(__xludf.DUMMYFUNCTION("""COMPUTED_VALUE"""),"Very Hot 5 Extreme Booster")</f>
        <v>Very Hot 5 Extreme Booster</v>
      </c>
      <c r="C200" s="5" t="str">
        <f>IFERROR(__xludf.DUMMYFUNCTION("""COMPUTED_VALUE"""),"VeryHot5ExtremeBooster")</f>
        <v>VeryHot5ExtremeBooster</v>
      </c>
      <c r="D200" s="6">
        <f>IFERROR(__xludf.DUMMYFUNCTION("""COMPUTED_VALUE"""),46079.0)</f>
        <v>46079</v>
      </c>
      <c r="E200" s="5" t="str">
        <f>IFERROR(__xludf.DUMMYFUNCTION("""COMPUTED_VALUE"""),"Slot")</f>
        <v>Slot</v>
      </c>
      <c r="F200" s="5">
        <f>IFERROR(__xludf.DUMMYFUNCTION("""COMPUTED_VALUE"""),17.25)</f>
        <v>17.25</v>
      </c>
      <c r="G200" s="5" t="str">
        <f>IFERROR(__xludf.DUMMYFUNCTION("""COMPUTED_VALUE"""),"5x3")</f>
        <v>5x3</v>
      </c>
      <c r="H200" s="5">
        <f>IFERROR(__xludf.DUMMYFUNCTION("""COMPUTED_VALUE"""),5.0)</f>
        <v>5</v>
      </c>
      <c r="I200" s="5">
        <f>IFERROR(__xludf.DUMMYFUNCTION("""COMPUTED_VALUE"""),5.0)</f>
        <v>5</v>
      </c>
      <c r="J200" s="5" t="str">
        <f>IFERROR(__xludf.DUMMYFUNCTION("""COMPUTED_VALUE"""),"96.453%")</f>
        <v>96.453%</v>
      </c>
      <c r="K200" s="5" t="str">
        <f>IFERROR(__xludf.DUMMYFUNCTION("""COMPUTED_VALUE"""),"Medium")</f>
        <v>Medium</v>
      </c>
      <c r="L200" s="5" t="str">
        <f>IFERROR(__xludf.DUMMYFUNCTION("""COMPUTED_VALUE"""),"14.234%")</f>
        <v>14.234%</v>
      </c>
      <c r="M200" s="5" t="str">
        <f>IFERROR(__xludf.DUMMYFUNCTION("""COMPUTED_VALUE"""),"x2624")</f>
        <v>x2624</v>
      </c>
      <c r="N200" s="5" t="str">
        <f>IFERROR(__xludf.DUMMYFUNCTION("""COMPUTED_VALUE"""),"0.1/50")</f>
        <v>0.1/50</v>
      </c>
      <c r="O200" s="5" t="str">
        <f>IFERROR(__xludf.DUMMYFUNCTION("""COMPUTED_VALUE"""),"Yes")</f>
        <v>Yes</v>
      </c>
      <c r="P200" s="5" t="str">
        <f>IFERROR(__xludf.DUMMYFUNCTION("""COMPUTED_VALUE"""),"Wild Symbol, Wild Multiplier")</f>
        <v>Wild Symbol, Wild Multiplier</v>
      </c>
      <c r="Q200" s="7" t="str">
        <f>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R200" s="5" t="str">
        <f>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S2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0" s="5" t="str">
        <f>IFERROR(__xludf.DUMMYFUNCTION("""COMPUTED_VALUE"""),"Yes")</f>
        <v>Yes</v>
      </c>
      <c r="U200" s="5" t="str">
        <f>IFERROR(__xludf.DUMMYFUNCTION("""COMPUTED_VALUE"""),"Yes")</f>
        <v>Yes</v>
      </c>
      <c r="V200" s="5" t="str">
        <f>IFERROR(__xludf.DUMMYFUNCTION("""COMPUTED_VALUE"""),"Yes")</f>
        <v>Yes</v>
      </c>
      <c r="W200" s="5" t="str">
        <f>IFERROR(__xludf.DUMMYFUNCTION("""COMPUTED_VALUE"""),"Yes")</f>
        <v>Yes</v>
      </c>
      <c r="X200" s="5" t="str">
        <f>IFERROR(__xludf.DUMMYFUNCTION("""COMPUTED_VALUE"""),"Yes")</f>
        <v>Yes</v>
      </c>
      <c r="Y200" s="5" t="str">
        <f>IFERROR(__xludf.DUMMYFUNCTION("""COMPUTED_VALUE"""),"Yes")</f>
        <v>Yes</v>
      </c>
      <c r="Z200" s="5" t="str">
        <f>IFERROR(__xludf.DUMMYFUNCTION("""COMPUTED_VALUE"""),"Yes")</f>
        <v>Yes</v>
      </c>
      <c r="AA200" s="5" t="str">
        <f>IFERROR(__xludf.DUMMYFUNCTION("""COMPUTED_VALUE"""),"Yes")</f>
        <v>Yes</v>
      </c>
      <c r="AB200" s="5" t="str">
        <f>IFERROR(__xludf.DUMMYFUNCTION("""COMPUTED_VALUE"""),"Yes")</f>
        <v>Yes</v>
      </c>
      <c r="AC200" s="5" t="str">
        <f>IFERROR(__xludf.DUMMYFUNCTION("""COMPUTED_VALUE"""),"Yes")</f>
        <v>Yes</v>
      </c>
      <c r="AD200" s="5" t="str">
        <f>IFERROR(__xludf.DUMMYFUNCTION("""COMPUTED_VALUE"""),"Yes")</f>
        <v>Yes</v>
      </c>
      <c r="AE200" s="5" t="str">
        <f>IFERROR(__xludf.DUMMYFUNCTION("""COMPUTED_VALUE"""),"Yes")</f>
        <v>Yes</v>
      </c>
      <c r="AF200" s="5" t="str">
        <f>IFERROR(__xludf.DUMMYFUNCTION("""COMPUTED_VALUE"""),"Yes")</f>
        <v>Yes</v>
      </c>
      <c r="AG200" s="5" t="str">
        <f>IFERROR(__xludf.DUMMYFUNCTION("""COMPUTED_VALUE"""),"Yes")</f>
        <v>Yes</v>
      </c>
      <c r="AH200" s="5" t="str">
        <f>IFERROR(__xludf.DUMMYFUNCTION("""COMPUTED_VALUE"""),"Yes")</f>
        <v>Yes</v>
      </c>
      <c r="AI200" s="5" t="str">
        <f>IFERROR(__xludf.DUMMYFUNCTION("""COMPUTED_VALUE"""),"Yes")</f>
        <v>Yes</v>
      </c>
      <c r="AJ200" s="5" t="str">
        <f>IFERROR(__xludf.DUMMYFUNCTION("""COMPUTED_VALUE"""),"Yes")</f>
        <v>Yes</v>
      </c>
      <c r="AK200" s="5" t="str">
        <f>IFERROR(__xludf.DUMMYFUNCTION("""COMPUTED_VALUE"""),"Yes")</f>
        <v>Yes</v>
      </c>
      <c r="AL200" s="5" t="str">
        <f>IFERROR(__xludf.DUMMYFUNCTION("""COMPUTED_VALUE"""),"Yes")</f>
        <v>Yes</v>
      </c>
      <c r="AM200" s="5" t="str">
        <f>IFERROR(__xludf.DUMMYFUNCTION("""COMPUTED_VALUE"""),"Yes")</f>
        <v>Yes</v>
      </c>
      <c r="AN200" s="5" t="str">
        <f>IFERROR(__xludf.DUMMYFUNCTION("""COMPUTED_VALUE"""),"Yes")</f>
        <v>Yes</v>
      </c>
      <c r="AO200" s="5" t="str">
        <f>IFERROR(__xludf.DUMMYFUNCTION("""COMPUTED_VALUE"""),"Yes")</f>
        <v>Yes</v>
      </c>
      <c r="AP200" s="5" t="str">
        <f>IFERROR(__xludf.DUMMYFUNCTION("""COMPUTED_VALUE"""),"Yes")</f>
        <v>Yes</v>
      </c>
      <c r="AQ200" s="5" t="str">
        <f>IFERROR(__xludf.DUMMYFUNCTION("""COMPUTED_VALUE"""),"Yes")</f>
        <v>Yes</v>
      </c>
      <c r="AR200" s="5" t="str">
        <f>IFERROR(__xludf.DUMMYFUNCTION("""COMPUTED_VALUE"""),"Yes")</f>
        <v>Yes</v>
      </c>
      <c r="AS200" s="5" t="str">
        <f>IFERROR(__xludf.DUMMYFUNCTION("""COMPUTED_VALUE"""),"Yes")</f>
        <v>Yes</v>
      </c>
      <c r="AT200" s="5" t="str">
        <f>IFERROR(__xludf.DUMMYFUNCTION("""COMPUTED_VALUE"""),"No")</f>
        <v>No</v>
      </c>
      <c r="AU200" s="5"/>
      <c r="AV200" s="5" t="str">
        <f>IFERROR(__xludf.DUMMYFUNCTION("""COMPUTED_VALUE"""),"")</f>
        <v/>
      </c>
      <c r="AW200" s="5" t="str">
        <f>IFERROR(__xludf.DUMMYFUNCTION("""COMPUTED_VALUE"""),"")</f>
        <v/>
      </c>
      <c r="AX200" s="5" t="str">
        <f>IFERROR(__xludf.DUMMYFUNCTION("""COMPUTED_VALUE"""),"")</f>
        <v/>
      </c>
      <c r="AY200" s="5" t="str">
        <f>IFERROR(__xludf.DUMMYFUNCTION("""COMPUTED_VALUE"""),"")</f>
        <v/>
      </c>
      <c r="AZ200" s="5" t="str">
        <f>IFERROR(__xludf.DUMMYFUNCTION("""COMPUTED_VALUE"""),"")</f>
        <v/>
      </c>
      <c r="BA200" s="5" t="str">
        <f>IFERROR(__xludf.DUMMYFUNCTION("""COMPUTED_VALUE"""),"")</f>
        <v/>
      </c>
      <c r="BB200" s="5" t="str">
        <f>IFERROR(__xludf.DUMMYFUNCTION("""COMPUTED_VALUE"""),"")</f>
        <v/>
      </c>
      <c r="BC200" s="5" t="str">
        <f>IFERROR(__xludf.DUMMYFUNCTION("""COMPUTED_VALUE"""),"")</f>
        <v/>
      </c>
      <c r="BD200" s="5" t="str">
        <f>IFERROR(__xludf.DUMMYFUNCTION("""COMPUTED_VALUE"""),"")</f>
        <v/>
      </c>
      <c r="BE200" s="5" t="str">
        <f>IFERROR(__xludf.DUMMYFUNCTION("""COMPUTED_VALUE"""),"")</f>
        <v/>
      </c>
      <c r="BF200" s="5" t="str">
        <f>IFERROR(__xludf.DUMMYFUNCTION("""COMPUTED_VALUE"""),"")</f>
        <v/>
      </c>
      <c r="BG200" s="5" t="str">
        <f>IFERROR(__xludf.DUMMYFUNCTION("""COMPUTED_VALUE"""),"")</f>
        <v/>
      </c>
      <c r="BH200" s="5" t="str">
        <f>IFERROR(__xludf.DUMMYFUNCTION("""COMPUTED_VALUE"""),"")</f>
        <v/>
      </c>
      <c r="BI200" s="5" t="str">
        <f>IFERROR(__xludf.DUMMYFUNCTION("""COMPUTED_VALUE"""),"")</f>
        <v/>
      </c>
      <c r="BJ200" s="5" t="str">
        <f>IFERROR(__xludf.DUMMYFUNCTION("""COMPUTED_VALUE"""),"")</f>
        <v/>
      </c>
      <c r="BK200" s="5" t="str">
        <f>IFERROR(__xludf.DUMMYFUNCTION("""COMPUTED_VALUE"""),"")</f>
        <v/>
      </c>
      <c r="BL200" s="5" t="str">
        <f>IFERROR(__xludf.DUMMYFUNCTION("""COMPUTED_VALUE"""),"")</f>
        <v/>
      </c>
      <c r="BM200" s="5" t="str">
        <f>IFERROR(__xludf.DUMMYFUNCTION("""COMPUTED_VALUE"""),"")</f>
        <v/>
      </c>
    </row>
    <row r="201">
      <c r="A201" s="5" t="str">
        <f>IFERROR(__xludf.DUMMYFUNCTION("""COMPUTED_VALUE"""),"Fazi")</f>
        <v>Fazi</v>
      </c>
      <c r="B201" s="5" t="str">
        <f>IFERROR(__xludf.DUMMYFUNCTION("""COMPUTED_VALUE"""),"Locked Hearts 10")</f>
        <v>Locked Hearts 10</v>
      </c>
      <c r="C201" s="5" t="str">
        <f>IFERROR(__xludf.DUMMYFUNCTION("""COMPUTED_VALUE"""),"LockedHearts10")</f>
        <v>LockedHearts10</v>
      </c>
      <c r="D201" s="6">
        <f>IFERROR(__xludf.DUMMYFUNCTION("""COMPUTED_VALUE"""),46065.0)</f>
        <v>46065</v>
      </c>
      <c r="E201" s="5" t="str">
        <f>IFERROR(__xludf.DUMMYFUNCTION("""COMPUTED_VALUE"""),"Slot")</f>
        <v>Slot</v>
      </c>
      <c r="F201" s="5">
        <f>IFERROR(__xludf.DUMMYFUNCTION("""COMPUTED_VALUE"""),18.4)</f>
        <v>18.4</v>
      </c>
      <c r="G201" s="5" t="str">
        <f>IFERROR(__xludf.DUMMYFUNCTION("""COMPUTED_VALUE"""),"5x3")</f>
        <v>5x3</v>
      </c>
      <c r="H201" s="5">
        <f>IFERROR(__xludf.DUMMYFUNCTION("""COMPUTED_VALUE"""),10.0)</f>
        <v>10</v>
      </c>
      <c r="I201" s="5">
        <f>IFERROR(__xludf.DUMMYFUNCTION("""COMPUTED_VALUE"""),10.0)</f>
        <v>10</v>
      </c>
      <c r="J201" s="5" t="str">
        <f>IFERROR(__xludf.DUMMYFUNCTION("""COMPUTED_VALUE"""),"96.572%")</f>
        <v>96.572%</v>
      </c>
      <c r="K201" s="5" t="str">
        <f>IFERROR(__xludf.DUMMYFUNCTION("""COMPUTED_VALUE"""),"High")</f>
        <v>High</v>
      </c>
      <c r="L201" s="5" t="str">
        <f>IFERROR(__xludf.DUMMYFUNCTION("""COMPUTED_VALUE"""),"11.072%")</f>
        <v>11.072%</v>
      </c>
      <c r="M201" s="5" t="str">
        <f>IFERROR(__xludf.DUMMYFUNCTION("""COMPUTED_VALUE"""),"x4000")</f>
        <v>x4000</v>
      </c>
      <c r="N201" s="5" t="str">
        <f>IFERROR(__xludf.DUMMYFUNCTION("""COMPUTED_VALUE"""),"0.1/50")</f>
        <v>0.1/50</v>
      </c>
      <c r="O201" s="5" t="str">
        <f>IFERROR(__xludf.DUMMYFUNCTION("""COMPUTED_VALUE"""),"Yes")</f>
        <v>Yes</v>
      </c>
      <c r="P201" s="5" t="str">
        <f>IFERROR(__xludf.DUMMYFUNCTION("""COMPUTED_VALUE"""),"Expanding Wild, Buy Bonus, Bonus Game with Free Spins, Bonus Game with Sticky Wild, Sticky Wild")</f>
        <v>Expanding Wild, Buy Bonus, Bonus Game with Free Spins, Bonus Game with Sticky Wild, Sticky Wild</v>
      </c>
      <c r="Q201" s="7" t="str">
        <f>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R201" s="5" t="str">
        <f>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S2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1" s="5" t="str">
        <f>IFERROR(__xludf.DUMMYFUNCTION("""COMPUTED_VALUE"""),"Yes")</f>
        <v>Yes</v>
      </c>
      <c r="U201" s="5" t="str">
        <f>IFERROR(__xludf.DUMMYFUNCTION("""COMPUTED_VALUE"""),"Yes")</f>
        <v>Yes</v>
      </c>
      <c r="V201" s="5" t="str">
        <f>IFERROR(__xludf.DUMMYFUNCTION("""COMPUTED_VALUE"""),"Yes")</f>
        <v>Yes</v>
      </c>
      <c r="W201" s="5" t="str">
        <f>IFERROR(__xludf.DUMMYFUNCTION("""COMPUTED_VALUE"""),"Yes")</f>
        <v>Yes</v>
      </c>
      <c r="X201" s="5" t="str">
        <f>IFERROR(__xludf.DUMMYFUNCTION("""COMPUTED_VALUE"""),"Yes")</f>
        <v>Yes</v>
      </c>
      <c r="Y201" s="5" t="str">
        <f>IFERROR(__xludf.DUMMYFUNCTION("""COMPUTED_VALUE"""),"Yes")</f>
        <v>Yes</v>
      </c>
      <c r="Z201" s="5" t="str">
        <f>IFERROR(__xludf.DUMMYFUNCTION("""COMPUTED_VALUE"""),"Yes")</f>
        <v>Yes</v>
      </c>
      <c r="AA201" s="5" t="str">
        <f>IFERROR(__xludf.DUMMYFUNCTION("""COMPUTED_VALUE"""),"Yes")</f>
        <v>Yes</v>
      </c>
      <c r="AB201" s="5" t="str">
        <f>IFERROR(__xludf.DUMMYFUNCTION("""COMPUTED_VALUE"""),"Yes")</f>
        <v>Yes</v>
      </c>
      <c r="AC201" s="5" t="str">
        <f>IFERROR(__xludf.DUMMYFUNCTION("""COMPUTED_VALUE"""),"Yes")</f>
        <v>Yes</v>
      </c>
      <c r="AD201" s="5" t="str">
        <f>IFERROR(__xludf.DUMMYFUNCTION("""COMPUTED_VALUE"""),"Yes")</f>
        <v>Yes</v>
      </c>
      <c r="AE201" s="5" t="str">
        <f>IFERROR(__xludf.DUMMYFUNCTION("""COMPUTED_VALUE"""),"Yes")</f>
        <v>Yes</v>
      </c>
      <c r="AF201" s="5" t="str">
        <f>IFERROR(__xludf.DUMMYFUNCTION("""COMPUTED_VALUE"""),"Yes")</f>
        <v>Yes</v>
      </c>
      <c r="AG201" s="5" t="str">
        <f>IFERROR(__xludf.DUMMYFUNCTION("""COMPUTED_VALUE"""),"Yes")</f>
        <v>Yes</v>
      </c>
      <c r="AH201" s="5" t="str">
        <f>IFERROR(__xludf.DUMMYFUNCTION("""COMPUTED_VALUE"""),"Yes")</f>
        <v>Yes</v>
      </c>
      <c r="AI201" s="5" t="str">
        <f>IFERROR(__xludf.DUMMYFUNCTION("""COMPUTED_VALUE"""),"Yes")</f>
        <v>Yes</v>
      </c>
      <c r="AJ201" s="5" t="str">
        <f>IFERROR(__xludf.DUMMYFUNCTION("""COMPUTED_VALUE"""),"Yes")</f>
        <v>Yes</v>
      </c>
      <c r="AK201" s="5" t="str">
        <f>IFERROR(__xludf.DUMMYFUNCTION("""COMPUTED_VALUE"""),"Yes")</f>
        <v>Yes</v>
      </c>
      <c r="AL201" s="5" t="str">
        <f>IFERROR(__xludf.DUMMYFUNCTION("""COMPUTED_VALUE"""),"Yes")</f>
        <v>Yes</v>
      </c>
      <c r="AM201" s="5" t="str">
        <f>IFERROR(__xludf.DUMMYFUNCTION("""COMPUTED_VALUE"""),"Yes")</f>
        <v>Yes</v>
      </c>
      <c r="AN201" s="5" t="str">
        <f>IFERROR(__xludf.DUMMYFUNCTION("""COMPUTED_VALUE"""),"Yes")</f>
        <v>Yes</v>
      </c>
      <c r="AO201" s="5" t="str">
        <f>IFERROR(__xludf.DUMMYFUNCTION("""COMPUTED_VALUE"""),"Yes")</f>
        <v>Yes</v>
      </c>
      <c r="AP201" s="5" t="str">
        <f>IFERROR(__xludf.DUMMYFUNCTION("""COMPUTED_VALUE"""),"Yes")</f>
        <v>Yes</v>
      </c>
      <c r="AQ201" s="5" t="str">
        <f>IFERROR(__xludf.DUMMYFUNCTION("""COMPUTED_VALUE"""),"Yes")</f>
        <v>Yes</v>
      </c>
      <c r="AR201" s="5" t="str">
        <f>IFERROR(__xludf.DUMMYFUNCTION("""COMPUTED_VALUE"""),"Yes")</f>
        <v>Yes</v>
      </c>
      <c r="AS201" s="5" t="str">
        <f>IFERROR(__xludf.DUMMYFUNCTION("""COMPUTED_VALUE"""),"Yes")</f>
        <v>Yes</v>
      </c>
      <c r="AT201" s="5" t="str">
        <f>IFERROR(__xludf.DUMMYFUNCTION("""COMPUTED_VALUE"""),"No")</f>
        <v>No</v>
      </c>
      <c r="AU201" s="5"/>
      <c r="AV201" s="5" t="str">
        <f>IFERROR(__xludf.DUMMYFUNCTION("""COMPUTED_VALUE"""),"")</f>
        <v/>
      </c>
      <c r="AW201" s="5" t="str">
        <f>IFERROR(__xludf.DUMMYFUNCTION("""COMPUTED_VALUE"""),"")</f>
        <v/>
      </c>
      <c r="AX201" s="5" t="str">
        <f>IFERROR(__xludf.DUMMYFUNCTION("""COMPUTED_VALUE"""),"")</f>
        <v/>
      </c>
      <c r="AY201" s="5" t="str">
        <f>IFERROR(__xludf.DUMMYFUNCTION("""COMPUTED_VALUE"""),"")</f>
        <v/>
      </c>
      <c r="AZ201" s="5" t="str">
        <f>IFERROR(__xludf.DUMMYFUNCTION("""COMPUTED_VALUE"""),"")</f>
        <v/>
      </c>
      <c r="BA201" s="5" t="str">
        <f>IFERROR(__xludf.DUMMYFUNCTION("""COMPUTED_VALUE"""),"")</f>
        <v/>
      </c>
      <c r="BB201" s="5" t="str">
        <f>IFERROR(__xludf.DUMMYFUNCTION("""COMPUTED_VALUE"""),"")</f>
        <v/>
      </c>
      <c r="BC201" s="5" t="str">
        <f>IFERROR(__xludf.DUMMYFUNCTION("""COMPUTED_VALUE"""),"")</f>
        <v/>
      </c>
      <c r="BD201" s="5" t="str">
        <f>IFERROR(__xludf.DUMMYFUNCTION("""COMPUTED_VALUE"""),"")</f>
        <v/>
      </c>
      <c r="BE201" s="5" t="str">
        <f>IFERROR(__xludf.DUMMYFUNCTION("""COMPUTED_VALUE"""),"")</f>
        <v/>
      </c>
      <c r="BF201" s="5" t="str">
        <f>IFERROR(__xludf.DUMMYFUNCTION("""COMPUTED_VALUE"""),"")</f>
        <v/>
      </c>
      <c r="BG201" s="5" t="str">
        <f>IFERROR(__xludf.DUMMYFUNCTION("""COMPUTED_VALUE"""),"")</f>
        <v/>
      </c>
      <c r="BH201" s="5" t="str">
        <f>IFERROR(__xludf.DUMMYFUNCTION("""COMPUTED_VALUE"""),"")</f>
        <v/>
      </c>
      <c r="BI201" s="5" t="str">
        <f>IFERROR(__xludf.DUMMYFUNCTION("""COMPUTED_VALUE"""),"")</f>
        <v/>
      </c>
      <c r="BJ201" s="5" t="str">
        <f>IFERROR(__xludf.DUMMYFUNCTION("""COMPUTED_VALUE"""),"")</f>
        <v/>
      </c>
      <c r="BK201" s="5" t="str">
        <f>IFERROR(__xludf.DUMMYFUNCTION("""COMPUTED_VALUE"""),"")</f>
        <v/>
      </c>
      <c r="BL201" s="5" t="str">
        <f>IFERROR(__xludf.DUMMYFUNCTION("""COMPUTED_VALUE"""),"")</f>
        <v/>
      </c>
      <c r="BM201" s="5" t="str">
        <f>IFERROR(__xludf.DUMMYFUNCTION("""COMPUTED_VALUE"""),"")</f>
        <v/>
      </c>
    </row>
    <row r="202">
      <c r="A202" s="5" t="str">
        <f>IFERROR(__xludf.DUMMYFUNCTION("""COMPUTED_VALUE"""),"Fazi")</f>
        <v>Fazi</v>
      </c>
      <c r="B202" s="5" t="str">
        <f>IFERROR(__xludf.DUMMYFUNCTION("""COMPUTED_VALUE"""),"Locked Hearts 5")</f>
        <v>Locked Hearts 5</v>
      </c>
      <c r="C202" s="5" t="str">
        <f>IFERROR(__xludf.DUMMYFUNCTION("""COMPUTED_VALUE"""),"LockedHearts5")</f>
        <v>LockedHearts5</v>
      </c>
      <c r="D202" s="6">
        <f>IFERROR(__xludf.DUMMYFUNCTION("""COMPUTED_VALUE"""),46121.0)</f>
        <v>46121</v>
      </c>
      <c r="E202" s="5" t="str">
        <f>IFERROR(__xludf.DUMMYFUNCTION("""COMPUTED_VALUE"""),"Slot")</f>
        <v>Slot</v>
      </c>
      <c r="F202" s="5">
        <f>IFERROR(__xludf.DUMMYFUNCTION("""COMPUTED_VALUE"""),18.4)</f>
        <v>18.4</v>
      </c>
      <c r="G202" s="5" t="str">
        <f>IFERROR(__xludf.DUMMYFUNCTION("""COMPUTED_VALUE"""),"5x3")</f>
        <v>5x3</v>
      </c>
      <c r="H202" s="5">
        <f>IFERROR(__xludf.DUMMYFUNCTION("""COMPUTED_VALUE"""),5.0)</f>
        <v>5</v>
      </c>
      <c r="I202" s="5">
        <f>IFERROR(__xludf.DUMMYFUNCTION("""COMPUTED_VALUE"""),5.0)</f>
        <v>5</v>
      </c>
      <c r="J202" s="5" t="str">
        <f>IFERROR(__xludf.DUMMYFUNCTION("""COMPUTED_VALUE"""),"96.572%")</f>
        <v>96.572%</v>
      </c>
      <c r="K202" s="5" t="str">
        <f>IFERROR(__xludf.DUMMYFUNCTION("""COMPUTED_VALUE"""),"High")</f>
        <v>High</v>
      </c>
      <c r="L202" s="5" t="str">
        <f>IFERROR(__xludf.DUMMYFUNCTION("""COMPUTED_VALUE"""),"9.27%")</f>
        <v>9.27%</v>
      </c>
      <c r="M202" s="5" t="str">
        <f>IFERROR(__xludf.DUMMYFUNCTION("""COMPUTED_VALUE"""),"x4000")</f>
        <v>x4000</v>
      </c>
      <c r="N202" s="5" t="str">
        <f>IFERROR(__xludf.DUMMYFUNCTION("""COMPUTED_VALUE"""),"0.1/50")</f>
        <v>0.1/50</v>
      </c>
      <c r="O202" s="5" t="str">
        <f>IFERROR(__xludf.DUMMYFUNCTION("""COMPUTED_VALUE"""),"Yes")</f>
        <v>Yes</v>
      </c>
      <c r="P202" s="5" t="str">
        <f>IFERROR(__xludf.DUMMYFUNCTION("""COMPUTED_VALUE"""),"Expanding Wild, Sticky Wild, Bonus Game with Sticky Wild, Bonus Game with Free Spins, Buy Bonus")</f>
        <v>Expanding Wild, Sticky Wild, Bonus Game with Sticky Wild, Bonus Game with Free Spins, Buy Bonus</v>
      </c>
      <c r="Q202" s="7" t="str">
        <f>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R202" s="5" t="str">
        <f>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S2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2" s="5" t="str">
        <f>IFERROR(__xludf.DUMMYFUNCTION("""COMPUTED_VALUE"""),"Yes")</f>
        <v>Yes</v>
      </c>
      <c r="U202" s="5" t="str">
        <f>IFERROR(__xludf.DUMMYFUNCTION("""COMPUTED_VALUE"""),"Yes")</f>
        <v>Yes</v>
      </c>
      <c r="V202" s="5" t="str">
        <f>IFERROR(__xludf.DUMMYFUNCTION("""COMPUTED_VALUE"""),"Yes")</f>
        <v>Yes</v>
      </c>
      <c r="W202" s="5" t="str">
        <f>IFERROR(__xludf.DUMMYFUNCTION("""COMPUTED_VALUE"""),"Yes")</f>
        <v>Yes</v>
      </c>
      <c r="X202" s="5" t="str">
        <f>IFERROR(__xludf.DUMMYFUNCTION("""COMPUTED_VALUE"""),"Yes")</f>
        <v>Yes</v>
      </c>
      <c r="Y202" s="5" t="str">
        <f>IFERROR(__xludf.DUMMYFUNCTION("""COMPUTED_VALUE"""),"Yes")</f>
        <v>Yes</v>
      </c>
      <c r="Z202" s="5" t="str">
        <f>IFERROR(__xludf.DUMMYFUNCTION("""COMPUTED_VALUE"""),"Yes")</f>
        <v>Yes</v>
      </c>
      <c r="AA202" s="5" t="str">
        <f>IFERROR(__xludf.DUMMYFUNCTION("""COMPUTED_VALUE"""),"Yes")</f>
        <v>Yes</v>
      </c>
      <c r="AB202" s="5" t="str">
        <f>IFERROR(__xludf.DUMMYFUNCTION("""COMPUTED_VALUE"""),"Yes")</f>
        <v>Yes</v>
      </c>
      <c r="AC202" s="5" t="str">
        <f>IFERROR(__xludf.DUMMYFUNCTION("""COMPUTED_VALUE"""),"Yes")</f>
        <v>Yes</v>
      </c>
      <c r="AD202" s="5" t="str">
        <f>IFERROR(__xludf.DUMMYFUNCTION("""COMPUTED_VALUE"""),"Yes")</f>
        <v>Yes</v>
      </c>
      <c r="AE202" s="5" t="str">
        <f>IFERROR(__xludf.DUMMYFUNCTION("""COMPUTED_VALUE"""),"Yes")</f>
        <v>Yes</v>
      </c>
      <c r="AF202" s="5" t="str">
        <f>IFERROR(__xludf.DUMMYFUNCTION("""COMPUTED_VALUE"""),"Yes")</f>
        <v>Yes</v>
      </c>
      <c r="AG202" s="5" t="str">
        <f>IFERROR(__xludf.DUMMYFUNCTION("""COMPUTED_VALUE"""),"Yes")</f>
        <v>Yes</v>
      </c>
      <c r="AH202" s="5" t="str">
        <f>IFERROR(__xludf.DUMMYFUNCTION("""COMPUTED_VALUE"""),"Yes")</f>
        <v>Yes</v>
      </c>
      <c r="AI202" s="5" t="str">
        <f>IFERROR(__xludf.DUMMYFUNCTION("""COMPUTED_VALUE"""),"Yes")</f>
        <v>Yes</v>
      </c>
      <c r="AJ202" s="5" t="str">
        <f>IFERROR(__xludf.DUMMYFUNCTION("""COMPUTED_VALUE"""),"Yes")</f>
        <v>Yes</v>
      </c>
      <c r="AK202" s="5" t="str">
        <f>IFERROR(__xludf.DUMMYFUNCTION("""COMPUTED_VALUE"""),"Yes")</f>
        <v>Yes</v>
      </c>
      <c r="AL202" s="5" t="str">
        <f>IFERROR(__xludf.DUMMYFUNCTION("""COMPUTED_VALUE"""),"Yes")</f>
        <v>Yes</v>
      </c>
      <c r="AM202" s="5" t="str">
        <f>IFERROR(__xludf.DUMMYFUNCTION("""COMPUTED_VALUE"""),"Yes")</f>
        <v>Yes</v>
      </c>
      <c r="AN202" s="5" t="str">
        <f>IFERROR(__xludf.DUMMYFUNCTION("""COMPUTED_VALUE"""),"Yes")</f>
        <v>Yes</v>
      </c>
      <c r="AO202" s="5" t="str">
        <f>IFERROR(__xludf.DUMMYFUNCTION("""COMPUTED_VALUE"""),"Yes")</f>
        <v>Yes</v>
      </c>
      <c r="AP202" s="5" t="str">
        <f>IFERROR(__xludf.DUMMYFUNCTION("""COMPUTED_VALUE"""),"Yes")</f>
        <v>Yes</v>
      </c>
      <c r="AQ202" s="5" t="str">
        <f>IFERROR(__xludf.DUMMYFUNCTION("""COMPUTED_VALUE"""),"Yes")</f>
        <v>Yes</v>
      </c>
      <c r="AR202" s="5" t="str">
        <f>IFERROR(__xludf.DUMMYFUNCTION("""COMPUTED_VALUE"""),"Yes")</f>
        <v>Yes</v>
      </c>
      <c r="AS202" s="5" t="str">
        <f>IFERROR(__xludf.DUMMYFUNCTION("""COMPUTED_VALUE"""),"Yes")</f>
        <v>Yes</v>
      </c>
      <c r="AT202" s="5" t="str">
        <f>IFERROR(__xludf.DUMMYFUNCTION("""COMPUTED_VALUE"""),"No")</f>
        <v>No</v>
      </c>
      <c r="AU202" s="5"/>
      <c r="AV202" s="5" t="str">
        <f>IFERROR(__xludf.DUMMYFUNCTION("""COMPUTED_VALUE"""),"")</f>
        <v/>
      </c>
      <c r="AW202" s="5" t="str">
        <f>IFERROR(__xludf.DUMMYFUNCTION("""COMPUTED_VALUE"""),"")</f>
        <v/>
      </c>
      <c r="AX202" s="5" t="str">
        <f>IFERROR(__xludf.DUMMYFUNCTION("""COMPUTED_VALUE"""),"")</f>
        <v/>
      </c>
      <c r="AY202" s="5" t="str">
        <f>IFERROR(__xludf.DUMMYFUNCTION("""COMPUTED_VALUE"""),"")</f>
        <v/>
      </c>
      <c r="AZ202" s="5" t="str">
        <f>IFERROR(__xludf.DUMMYFUNCTION("""COMPUTED_VALUE"""),"")</f>
        <v/>
      </c>
      <c r="BA202" s="5" t="str">
        <f>IFERROR(__xludf.DUMMYFUNCTION("""COMPUTED_VALUE"""),"")</f>
        <v/>
      </c>
      <c r="BB202" s="5" t="str">
        <f>IFERROR(__xludf.DUMMYFUNCTION("""COMPUTED_VALUE"""),"")</f>
        <v/>
      </c>
      <c r="BC202" s="5" t="str">
        <f>IFERROR(__xludf.DUMMYFUNCTION("""COMPUTED_VALUE"""),"")</f>
        <v/>
      </c>
      <c r="BD202" s="5" t="str">
        <f>IFERROR(__xludf.DUMMYFUNCTION("""COMPUTED_VALUE"""),"")</f>
        <v/>
      </c>
      <c r="BE202" s="5" t="str">
        <f>IFERROR(__xludf.DUMMYFUNCTION("""COMPUTED_VALUE"""),"")</f>
        <v/>
      </c>
      <c r="BF202" s="5" t="str">
        <f>IFERROR(__xludf.DUMMYFUNCTION("""COMPUTED_VALUE"""),"")</f>
        <v/>
      </c>
      <c r="BG202" s="5" t="str">
        <f>IFERROR(__xludf.DUMMYFUNCTION("""COMPUTED_VALUE"""),"")</f>
        <v/>
      </c>
      <c r="BH202" s="5" t="str">
        <f>IFERROR(__xludf.DUMMYFUNCTION("""COMPUTED_VALUE"""),"")</f>
        <v/>
      </c>
      <c r="BI202" s="5" t="str">
        <f>IFERROR(__xludf.DUMMYFUNCTION("""COMPUTED_VALUE"""),"")</f>
        <v/>
      </c>
      <c r="BJ202" s="5" t="str">
        <f>IFERROR(__xludf.DUMMYFUNCTION("""COMPUTED_VALUE"""),"")</f>
        <v/>
      </c>
      <c r="BK202" s="5" t="str">
        <f>IFERROR(__xludf.DUMMYFUNCTION("""COMPUTED_VALUE"""),"")</f>
        <v/>
      </c>
      <c r="BL202" s="5" t="str">
        <f>IFERROR(__xludf.DUMMYFUNCTION("""COMPUTED_VALUE"""),"")</f>
        <v/>
      </c>
      <c r="BM202" s="5" t="str">
        <f>IFERROR(__xludf.DUMMYFUNCTION("""COMPUTED_VALUE"""),"")</f>
        <v/>
      </c>
    </row>
    <row r="203">
      <c r="A203" s="5" t="str">
        <f>IFERROR(__xludf.DUMMYFUNCTION("""COMPUTED_VALUE"""),"Fazi")</f>
        <v>Fazi</v>
      </c>
      <c r="B203" s="5" t="str">
        <f>IFERROR(__xludf.DUMMYFUNCTION("""COMPUTED_VALUE"""),"Locked Hearts 20")</f>
        <v>Locked Hearts 20</v>
      </c>
      <c r="C203" s="5" t="str">
        <f>IFERROR(__xludf.DUMMYFUNCTION("""COMPUTED_VALUE"""),"LockedHearts20")</f>
        <v>LockedHearts20</v>
      </c>
      <c r="D203" s="6">
        <f>IFERROR(__xludf.DUMMYFUNCTION("""COMPUTED_VALUE"""),46107.0)</f>
        <v>46107</v>
      </c>
      <c r="E203" s="5" t="str">
        <f>IFERROR(__xludf.DUMMYFUNCTION("""COMPUTED_VALUE"""),"Slot")</f>
        <v>Slot</v>
      </c>
      <c r="F203" s="5">
        <f>IFERROR(__xludf.DUMMYFUNCTION("""COMPUTED_VALUE"""),18.4)</f>
        <v>18.4</v>
      </c>
      <c r="G203" s="5" t="str">
        <f>IFERROR(__xludf.DUMMYFUNCTION("""COMPUTED_VALUE"""),"5x3")</f>
        <v>5x3</v>
      </c>
      <c r="H203" s="5">
        <f>IFERROR(__xludf.DUMMYFUNCTION("""COMPUTED_VALUE"""),20.0)</f>
        <v>20</v>
      </c>
      <c r="I203" s="5">
        <f>IFERROR(__xludf.DUMMYFUNCTION("""COMPUTED_VALUE"""),20.0)</f>
        <v>20</v>
      </c>
      <c r="J203" s="5" t="str">
        <f>IFERROR(__xludf.DUMMYFUNCTION("""COMPUTED_VALUE"""),"96.572%")</f>
        <v>96.572%</v>
      </c>
      <c r="K203" s="5" t="str">
        <f>IFERROR(__xludf.DUMMYFUNCTION("""COMPUTED_VALUE"""),"High")</f>
        <v>High</v>
      </c>
      <c r="L203" s="5" t="str">
        <f>IFERROR(__xludf.DUMMYFUNCTION("""COMPUTED_VALUE"""),"13.371%")</f>
        <v>13.371%</v>
      </c>
      <c r="M203" s="5" t="str">
        <f>IFERROR(__xludf.DUMMYFUNCTION("""COMPUTED_VALUE"""),"x4000")</f>
        <v>x4000</v>
      </c>
      <c r="N203" s="5" t="str">
        <f>IFERROR(__xludf.DUMMYFUNCTION("""COMPUTED_VALUE"""),"0.2/50")</f>
        <v>0.2/50</v>
      </c>
      <c r="O203" s="5" t="str">
        <f>IFERROR(__xludf.DUMMYFUNCTION("""COMPUTED_VALUE"""),"Yes")</f>
        <v>Yes</v>
      </c>
      <c r="P203" s="5" t="str">
        <f>IFERROR(__xludf.DUMMYFUNCTION("""COMPUTED_VALUE"""),"Expanding Wild, Sticky Wild, Bonus Game with Special Symbol, Buy Bonus, Bonus Game with Free Spins")</f>
        <v>Expanding Wild, Sticky Wild, Bonus Game with Special Symbol, Buy Bonus, Bonus Game with Free Spins</v>
      </c>
      <c r="Q203" s="7" t="str">
        <f>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R203" s="5" t="str">
        <f>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S2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3" s="5" t="str">
        <f>IFERROR(__xludf.DUMMYFUNCTION("""COMPUTED_VALUE"""),"Yes")</f>
        <v>Yes</v>
      </c>
      <c r="U203" s="5" t="str">
        <f>IFERROR(__xludf.DUMMYFUNCTION("""COMPUTED_VALUE"""),"Yes")</f>
        <v>Yes</v>
      </c>
      <c r="V203" s="5" t="str">
        <f>IFERROR(__xludf.DUMMYFUNCTION("""COMPUTED_VALUE"""),"Yes")</f>
        <v>Yes</v>
      </c>
      <c r="W203" s="5" t="str">
        <f>IFERROR(__xludf.DUMMYFUNCTION("""COMPUTED_VALUE"""),"Yes")</f>
        <v>Yes</v>
      </c>
      <c r="X203" s="5" t="str">
        <f>IFERROR(__xludf.DUMMYFUNCTION("""COMPUTED_VALUE"""),"Yes")</f>
        <v>Yes</v>
      </c>
      <c r="Y203" s="5" t="str">
        <f>IFERROR(__xludf.DUMMYFUNCTION("""COMPUTED_VALUE"""),"Yes")</f>
        <v>Yes</v>
      </c>
      <c r="Z203" s="5" t="str">
        <f>IFERROR(__xludf.DUMMYFUNCTION("""COMPUTED_VALUE"""),"Yes")</f>
        <v>Yes</v>
      </c>
      <c r="AA203" s="5" t="str">
        <f>IFERROR(__xludf.DUMMYFUNCTION("""COMPUTED_VALUE"""),"Yes")</f>
        <v>Yes</v>
      </c>
      <c r="AB203" s="5" t="str">
        <f>IFERROR(__xludf.DUMMYFUNCTION("""COMPUTED_VALUE"""),"Yes")</f>
        <v>Yes</v>
      </c>
      <c r="AC203" s="5" t="str">
        <f>IFERROR(__xludf.DUMMYFUNCTION("""COMPUTED_VALUE"""),"Yes")</f>
        <v>Yes</v>
      </c>
      <c r="AD203" s="5" t="str">
        <f>IFERROR(__xludf.DUMMYFUNCTION("""COMPUTED_VALUE"""),"Yes")</f>
        <v>Yes</v>
      </c>
      <c r="AE203" s="5" t="str">
        <f>IFERROR(__xludf.DUMMYFUNCTION("""COMPUTED_VALUE"""),"Yes")</f>
        <v>Yes</v>
      </c>
      <c r="AF203" s="5" t="str">
        <f>IFERROR(__xludf.DUMMYFUNCTION("""COMPUTED_VALUE"""),"Yes")</f>
        <v>Yes</v>
      </c>
      <c r="AG203" s="5" t="str">
        <f>IFERROR(__xludf.DUMMYFUNCTION("""COMPUTED_VALUE"""),"Yes")</f>
        <v>Yes</v>
      </c>
      <c r="AH203" s="5" t="str">
        <f>IFERROR(__xludf.DUMMYFUNCTION("""COMPUTED_VALUE"""),"Yes")</f>
        <v>Yes</v>
      </c>
      <c r="AI203" s="5" t="str">
        <f>IFERROR(__xludf.DUMMYFUNCTION("""COMPUTED_VALUE"""),"Yes")</f>
        <v>Yes</v>
      </c>
      <c r="AJ203" s="5" t="str">
        <f>IFERROR(__xludf.DUMMYFUNCTION("""COMPUTED_VALUE"""),"Yes")</f>
        <v>Yes</v>
      </c>
      <c r="AK203" s="5" t="str">
        <f>IFERROR(__xludf.DUMMYFUNCTION("""COMPUTED_VALUE"""),"Yes")</f>
        <v>Yes</v>
      </c>
      <c r="AL203" s="5" t="str">
        <f>IFERROR(__xludf.DUMMYFUNCTION("""COMPUTED_VALUE"""),"Yes")</f>
        <v>Yes</v>
      </c>
      <c r="AM203" s="5" t="str">
        <f>IFERROR(__xludf.DUMMYFUNCTION("""COMPUTED_VALUE"""),"Yes")</f>
        <v>Yes</v>
      </c>
      <c r="AN203" s="5" t="str">
        <f>IFERROR(__xludf.DUMMYFUNCTION("""COMPUTED_VALUE"""),"Yes")</f>
        <v>Yes</v>
      </c>
      <c r="AO203" s="5" t="str">
        <f>IFERROR(__xludf.DUMMYFUNCTION("""COMPUTED_VALUE"""),"Yes")</f>
        <v>Yes</v>
      </c>
      <c r="AP203" s="5" t="str">
        <f>IFERROR(__xludf.DUMMYFUNCTION("""COMPUTED_VALUE"""),"Yes")</f>
        <v>Yes</v>
      </c>
      <c r="AQ203" s="5" t="str">
        <f>IFERROR(__xludf.DUMMYFUNCTION("""COMPUTED_VALUE"""),"Yes")</f>
        <v>Yes</v>
      </c>
      <c r="AR203" s="5" t="str">
        <f>IFERROR(__xludf.DUMMYFUNCTION("""COMPUTED_VALUE"""),"Yes")</f>
        <v>Yes</v>
      </c>
      <c r="AS203" s="5" t="str">
        <f>IFERROR(__xludf.DUMMYFUNCTION("""COMPUTED_VALUE"""),"Yes")</f>
        <v>Yes</v>
      </c>
      <c r="AT203" s="5" t="str">
        <f>IFERROR(__xludf.DUMMYFUNCTION("""COMPUTED_VALUE"""),"No")</f>
        <v>No</v>
      </c>
      <c r="AU203" s="5"/>
      <c r="AV203" s="5" t="str">
        <f>IFERROR(__xludf.DUMMYFUNCTION("""COMPUTED_VALUE"""),"")</f>
        <v/>
      </c>
      <c r="AW203" s="5" t="str">
        <f>IFERROR(__xludf.DUMMYFUNCTION("""COMPUTED_VALUE"""),"")</f>
        <v/>
      </c>
      <c r="AX203" s="5" t="str">
        <f>IFERROR(__xludf.DUMMYFUNCTION("""COMPUTED_VALUE"""),"")</f>
        <v/>
      </c>
      <c r="AY203" s="5" t="str">
        <f>IFERROR(__xludf.DUMMYFUNCTION("""COMPUTED_VALUE"""),"")</f>
        <v/>
      </c>
      <c r="AZ203" s="5" t="str">
        <f>IFERROR(__xludf.DUMMYFUNCTION("""COMPUTED_VALUE"""),"")</f>
        <v/>
      </c>
      <c r="BA203" s="5" t="str">
        <f>IFERROR(__xludf.DUMMYFUNCTION("""COMPUTED_VALUE"""),"")</f>
        <v/>
      </c>
      <c r="BB203" s="5" t="str">
        <f>IFERROR(__xludf.DUMMYFUNCTION("""COMPUTED_VALUE"""),"")</f>
        <v/>
      </c>
      <c r="BC203" s="5" t="str">
        <f>IFERROR(__xludf.DUMMYFUNCTION("""COMPUTED_VALUE"""),"")</f>
        <v/>
      </c>
      <c r="BD203" s="5" t="str">
        <f>IFERROR(__xludf.DUMMYFUNCTION("""COMPUTED_VALUE"""),"")</f>
        <v/>
      </c>
      <c r="BE203" s="5" t="str">
        <f>IFERROR(__xludf.DUMMYFUNCTION("""COMPUTED_VALUE"""),"")</f>
        <v/>
      </c>
      <c r="BF203" s="5" t="str">
        <f>IFERROR(__xludf.DUMMYFUNCTION("""COMPUTED_VALUE"""),"")</f>
        <v/>
      </c>
      <c r="BG203" s="5" t="str">
        <f>IFERROR(__xludf.DUMMYFUNCTION("""COMPUTED_VALUE"""),"")</f>
        <v/>
      </c>
      <c r="BH203" s="5" t="str">
        <f>IFERROR(__xludf.DUMMYFUNCTION("""COMPUTED_VALUE"""),"")</f>
        <v/>
      </c>
      <c r="BI203" s="5" t="str">
        <f>IFERROR(__xludf.DUMMYFUNCTION("""COMPUTED_VALUE"""),"")</f>
        <v/>
      </c>
      <c r="BJ203" s="5" t="str">
        <f>IFERROR(__xludf.DUMMYFUNCTION("""COMPUTED_VALUE"""),"")</f>
        <v/>
      </c>
      <c r="BK203" s="5" t="str">
        <f>IFERROR(__xludf.DUMMYFUNCTION("""COMPUTED_VALUE"""),"")</f>
        <v/>
      </c>
      <c r="BL203" s="5" t="str">
        <f>IFERROR(__xludf.DUMMYFUNCTION("""COMPUTED_VALUE"""),"")</f>
        <v/>
      </c>
      <c r="BM203" s="5" t="str">
        <f>IFERROR(__xludf.DUMMYFUNCTION("""COMPUTED_VALUE"""),"")</f>
        <v/>
      </c>
    </row>
    <row r="204">
      <c r="A204" s="5" t="str">
        <f>IFERROR(__xludf.DUMMYFUNCTION("""COMPUTED_VALUE"""),"Fazi")</f>
        <v>Fazi</v>
      </c>
      <c r="B204" s="5" t="str">
        <f>IFERROR(__xludf.DUMMYFUNCTION("""COMPUTED_VALUE"""),"Locked Hearts 40")</f>
        <v>Locked Hearts 40</v>
      </c>
      <c r="C204" s="5" t="str">
        <f>IFERROR(__xludf.DUMMYFUNCTION("""COMPUTED_VALUE"""),"LockedHearts40")</f>
        <v>LockedHearts40</v>
      </c>
      <c r="D204" s="6">
        <f>IFERROR(__xludf.DUMMYFUNCTION("""COMPUTED_VALUE"""),46163.0)</f>
        <v>46163</v>
      </c>
      <c r="E204" s="5" t="str">
        <f>IFERROR(__xludf.DUMMYFUNCTION("""COMPUTED_VALUE"""),"Slot")</f>
        <v>Slot</v>
      </c>
      <c r="F204" s="5">
        <f>IFERROR(__xludf.DUMMYFUNCTION("""COMPUTED_VALUE"""),18.4)</f>
        <v>18.4</v>
      </c>
      <c r="G204" s="5" t="str">
        <f>IFERROR(__xludf.DUMMYFUNCTION("""COMPUTED_VALUE"""),"5x3")</f>
        <v>5x3</v>
      </c>
      <c r="H204" s="5">
        <f>IFERROR(__xludf.DUMMYFUNCTION("""COMPUTED_VALUE"""),40.0)</f>
        <v>40</v>
      </c>
      <c r="I204" s="5">
        <f>IFERROR(__xludf.DUMMYFUNCTION("""COMPUTED_VALUE"""),40.0)</f>
        <v>40</v>
      </c>
      <c r="J204" s="5" t="str">
        <f>IFERROR(__xludf.DUMMYFUNCTION("""COMPUTED_VALUE"""),"96.572%")</f>
        <v>96.572%</v>
      </c>
      <c r="K204" s="5" t="str">
        <f>IFERROR(__xludf.DUMMYFUNCTION("""COMPUTED_VALUE"""),"High")</f>
        <v>High</v>
      </c>
      <c r="L204" s="5" t="str">
        <f>IFERROR(__xludf.DUMMYFUNCTION("""COMPUTED_VALUE"""),"14.394%")</f>
        <v>14.394%</v>
      </c>
      <c r="M204" s="5" t="str">
        <f>IFERROR(__xludf.DUMMYFUNCTION("""COMPUTED_VALUE"""),"x4000")</f>
        <v>x4000</v>
      </c>
      <c r="N204" s="5" t="str">
        <f>IFERROR(__xludf.DUMMYFUNCTION("""COMPUTED_VALUE"""),"0.4/40")</f>
        <v>0.4/40</v>
      </c>
      <c r="O204" s="5" t="str">
        <f>IFERROR(__xludf.DUMMYFUNCTION("""COMPUTED_VALUE"""),"Yes")</f>
        <v>Yes</v>
      </c>
      <c r="P204" s="5" t="str">
        <f>IFERROR(__xludf.DUMMYFUNCTION("""COMPUTED_VALUE"""),"Expanding Wild, Sticky Wild, Bonus Game with Sticky Wild, Buy Bonus, Bonus Game with Free Spins")</f>
        <v>Expanding Wild, Sticky Wild, Bonus Game with Sticky Wild, Buy Bonus, Bonus Game with Free Spins</v>
      </c>
      <c r="Q204" s="7" t="str">
        <f>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R204" s="5" t="str">
        <f>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S2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4" s="5" t="str">
        <f>IFERROR(__xludf.DUMMYFUNCTION("""COMPUTED_VALUE"""),"Yes")</f>
        <v>Yes</v>
      </c>
      <c r="U204" s="5" t="str">
        <f>IFERROR(__xludf.DUMMYFUNCTION("""COMPUTED_VALUE"""),"Yes")</f>
        <v>Yes</v>
      </c>
      <c r="V204" s="5" t="str">
        <f>IFERROR(__xludf.DUMMYFUNCTION("""COMPUTED_VALUE"""),"Yes")</f>
        <v>Yes</v>
      </c>
      <c r="W204" s="5" t="str">
        <f>IFERROR(__xludf.DUMMYFUNCTION("""COMPUTED_VALUE"""),"Yes")</f>
        <v>Yes</v>
      </c>
      <c r="X204" s="5" t="str">
        <f>IFERROR(__xludf.DUMMYFUNCTION("""COMPUTED_VALUE"""),"Yes")</f>
        <v>Yes</v>
      </c>
      <c r="Y204" s="5" t="str">
        <f>IFERROR(__xludf.DUMMYFUNCTION("""COMPUTED_VALUE"""),"Yes")</f>
        <v>Yes</v>
      </c>
      <c r="Z204" s="5" t="str">
        <f>IFERROR(__xludf.DUMMYFUNCTION("""COMPUTED_VALUE"""),"Yes")</f>
        <v>Yes</v>
      </c>
      <c r="AA204" s="5" t="str">
        <f>IFERROR(__xludf.DUMMYFUNCTION("""COMPUTED_VALUE"""),"Yes")</f>
        <v>Yes</v>
      </c>
      <c r="AB204" s="5" t="str">
        <f>IFERROR(__xludf.DUMMYFUNCTION("""COMPUTED_VALUE"""),"Yes")</f>
        <v>Yes</v>
      </c>
      <c r="AC204" s="5" t="str">
        <f>IFERROR(__xludf.DUMMYFUNCTION("""COMPUTED_VALUE"""),"Yes")</f>
        <v>Yes</v>
      </c>
      <c r="AD204" s="5" t="str">
        <f>IFERROR(__xludf.DUMMYFUNCTION("""COMPUTED_VALUE"""),"Yes")</f>
        <v>Yes</v>
      </c>
      <c r="AE204" s="5" t="str">
        <f>IFERROR(__xludf.DUMMYFUNCTION("""COMPUTED_VALUE"""),"Yes")</f>
        <v>Yes</v>
      </c>
      <c r="AF204" s="5" t="str">
        <f>IFERROR(__xludf.DUMMYFUNCTION("""COMPUTED_VALUE"""),"Yes")</f>
        <v>Yes</v>
      </c>
      <c r="AG204" s="5" t="str">
        <f>IFERROR(__xludf.DUMMYFUNCTION("""COMPUTED_VALUE"""),"Yes")</f>
        <v>Yes</v>
      </c>
      <c r="AH204" s="5" t="str">
        <f>IFERROR(__xludf.DUMMYFUNCTION("""COMPUTED_VALUE"""),"Yes")</f>
        <v>Yes</v>
      </c>
      <c r="AI204" s="5" t="str">
        <f>IFERROR(__xludf.DUMMYFUNCTION("""COMPUTED_VALUE"""),"Yes")</f>
        <v>Yes</v>
      </c>
      <c r="AJ204" s="5" t="str">
        <f>IFERROR(__xludf.DUMMYFUNCTION("""COMPUTED_VALUE"""),"Yes")</f>
        <v>Yes</v>
      </c>
      <c r="AK204" s="5" t="str">
        <f>IFERROR(__xludf.DUMMYFUNCTION("""COMPUTED_VALUE"""),"Yes")</f>
        <v>Yes</v>
      </c>
      <c r="AL204" s="5" t="str">
        <f>IFERROR(__xludf.DUMMYFUNCTION("""COMPUTED_VALUE"""),"Yes")</f>
        <v>Yes</v>
      </c>
      <c r="AM204" s="5" t="str">
        <f>IFERROR(__xludf.DUMMYFUNCTION("""COMPUTED_VALUE"""),"Yes")</f>
        <v>Yes</v>
      </c>
      <c r="AN204" s="5" t="str">
        <f>IFERROR(__xludf.DUMMYFUNCTION("""COMPUTED_VALUE"""),"Yes")</f>
        <v>Yes</v>
      </c>
      <c r="AO204" s="5" t="str">
        <f>IFERROR(__xludf.DUMMYFUNCTION("""COMPUTED_VALUE"""),"Yes")</f>
        <v>Yes</v>
      </c>
      <c r="AP204" s="5" t="str">
        <f>IFERROR(__xludf.DUMMYFUNCTION("""COMPUTED_VALUE"""),"Yes")</f>
        <v>Yes</v>
      </c>
      <c r="AQ204" s="5" t="str">
        <f>IFERROR(__xludf.DUMMYFUNCTION("""COMPUTED_VALUE"""),"Yes")</f>
        <v>Yes</v>
      </c>
      <c r="AR204" s="5" t="str">
        <f>IFERROR(__xludf.DUMMYFUNCTION("""COMPUTED_VALUE"""),"Yes")</f>
        <v>Yes</v>
      </c>
      <c r="AS204" s="5" t="str">
        <f>IFERROR(__xludf.DUMMYFUNCTION("""COMPUTED_VALUE"""),"Yes")</f>
        <v>Yes</v>
      </c>
      <c r="AT204" s="5" t="str">
        <f>IFERROR(__xludf.DUMMYFUNCTION("""COMPUTED_VALUE"""),"No")</f>
        <v>No</v>
      </c>
      <c r="AU204" s="5"/>
      <c r="AV204" s="5" t="str">
        <f>IFERROR(__xludf.DUMMYFUNCTION("""COMPUTED_VALUE"""),"")</f>
        <v/>
      </c>
      <c r="AW204" s="5" t="str">
        <f>IFERROR(__xludf.DUMMYFUNCTION("""COMPUTED_VALUE"""),"")</f>
        <v/>
      </c>
      <c r="AX204" s="5" t="str">
        <f>IFERROR(__xludf.DUMMYFUNCTION("""COMPUTED_VALUE"""),"")</f>
        <v/>
      </c>
      <c r="AY204" s="5" t="str">
        <f>IFERROR(__xludf.DUMMYFUNCTION("""COMPUTED_VALUE"""),"")</f>
        <v/>
      </c>
      <c r="AZ204" s="5" t="str">
        <f>IFERROR(__xludf.DUMMYFUNCTION("""COMPUTED_VALUE"""),"")</f>
        <v/>
      </c>
      <c r="BA204" s="5" t="str">
        <f>IFERROR(__xludf.DUMMYFUNCTION("""COMPUTED_VALUE"""),"")</f>
        <v/>
      </c>
      <c r="BB204" s="5" t="str">
        <f>IFERROR(__xludf.DUMMYFUNCTION("""COMPUTED_VALUE"""),"")</f>
        <v/>
      </c>
      <c r="BC204" s="5" t="str">
        <f>IFERROR(__xludf.DUMMYFUNCTION("""COMPUTED_VALUE"""),"")</f>
        <v/>
      </c>
      <c r="BD204" s="5" t="str">
        <f>IFERROR(__xludf.DUMMYFUNCTION("""COMPUTED_VALUE"""),"")</f>
        <v/>
      </c>
      <c r="BE204" s="5" t="str">
        <f>IFERROR(__xludf.DUMMYFUNCTION("""COMPUTED_VALUE"""),"")</f>
        <v/>
      </c>
      <c r="BF204" s="5" t="str">
        <f>IFERROR(__xludf.DUMMYFUNCTION("""COMPUTED_VALUE"""),"")</f>
        <v/>
      </c>
      <c r="BG204" s="5" t="str">
        <f>IFERROR(__xludf.DUMMYFUNCTION("""COMPUTED_VALUE"""),"")</f>
        <v/>
      </c>
      <c r="BH204" s="5" t="str">
        <f>IFERROR(__xludf.DUMMYFUNCTION("""COMPUTED_VALUE"""),"")</f>
        <v/>
      </c>
      <c r="BI204" s="5" t="str">
        <f>IFERROR(__xludf.DUMMYFUNCTION("""COMPUTED_VALUE"""),"")</f>
        <v/>
      </c>
      <c r="BJ204" s="5" t="str">
        <f>IFERROR(__xludf.DUMMYFUNCTION("""COMPUTED_VALUE"""),"")</f>
        <v/>
      </c>
      <c r="BK204" s="5" t="str">
        <f>IFERROR(__xludf.DUMMYFUNCTION("""COMPUTED_VALUE"""),"")</f>
        <v/>
      </c>
      <c r="BL204" s="5" t="str">
        <f>IFERROR(__xludf.DUMMYFUNCTION("""COMPUTED_VALUE"""),"")</f>
        <v/>
      </c>
      <c r="BM204" s="5" t="str">
        <f>IFERROR(__xludf.DUMMYFUNCTION("""COMPUTED_VALUE"""),"")</f>
        <v/>
      </c>
    </row>
    <row r="205">
      <c r="A205" s="5" t="str">
        <f>IFERROR(__xludf.DUMMYFUNCTION("""COMPUTED_VALUE"""),"Fazi")</f>
        <v>Fazi</v>
      </c>
      <c r="B205" s="5" t="str">
        <f>IFERROR(__xludf.DUMMYFUNCTION("""COMPUTED_VALUE"""),"Winning Clover 5 Hold and Win")</f>
        <v>Winning Clover 5 Hold and Win</v>
      </c>
      <c r="C205" s="5" t="str">
        <f>IFERROR(__xludf.DUMMYFUNCTION("""COMPUTED_VALUE"""),"WinningClover5HoldAndWin")</f>
        <v>WinningClover5HoldAndWin</v>
      </c>
      <c r="D205" s="6">
        <f>IFERROR(__xludf.DUMMYFUNCTION("""COMPUTED_VALUE"""),46084.0)</f>
        <v>46084</v>
      </c>
      <c r="E205" s="5" t="str">
        <f>IFERROR(__xludf.DUMMYFUNCTION("""COMPUTED_VALUE"""),"Slot")</f>
        <v>Slot</v>
      </c>
      <c r="F205" s="5">
        <f>IFERROR(__xludf.DUMMYFUNCTION("""COMPUTED_VALUE"""),25.43)</f>
        <v>25.43</v>
      </c>
      <c r="G205" s="5" t="str">
        <f>IFERROR(__xludf.DUMMYFUNCTION("""COMPUTED_VALUE"""),"5x3")</f>
        <v>5x3</v>
      </c>
      <c r="H205" s="5">
        <f>IFERROR(__xludf.DUMMYFUNCTION("""COMPUTED_VALUE"""),5.0)</f>
        <v>5</v>
      </c>
      <c r="I205" s="5">
        <f>IFERROR(__xludf.DUMMYFUNCTION("""COMPUTED_VALUE"""),5.0)</f>
        <v>5</v>
      </c>
      <c r="J205" s="5" t="str">
        <f>IFERROR(__xludf.DUMMYFUNCTION("""COMPUTED_VALUE"""),"96.447%")</f>
        <v>96.447%</v>
      </c>
      <c r="K205" s="5" t="str">
        <f>IFERROR(__xludf.DUMMYFUNCTION("""COMPUTED_VALUE"""),"Medium")</f>
        <v>Medium</v>
      </c>
      <c r="L205" s="5" t="str">
        <f>IFERROR(__xludf.DUMMYFUNCTION("""COMPUTED_VALUE"""),"15.053%")</f>
        <v>15.053%</v>
      </c>
      <c r="M205" s="5" t="str">
        <f>IFERROR(__xludf.DUMMYFUNCTION("""COMPUTED_VALUE"""),"x1662")</f>
        <v>x1662</v>
      </c>
      <c r="N205" s="5" t="str">
        <f>IFERROR(__xludf.DUMMYFUNCTION("""COMPUTED_VALUE"""),"0.1/50")</f>
        <v>0.1/50</v>
      </c>
      <c r="O205" s="5" t="str">
        <f>IFERROR(__xludf.DUMMYFUNCTION("""COMPUTED_VALUE"""),"Yes")</f>
        <v>Yes</v>
      </c>
      <c r="P205" s="5" t="str">
        <f>IFERROR(__xludf.DUMMYFUNCTION("""COMPUTED_VALUE"""),"Scatter, Expanding Wild")</f>
        <v>Scatter, Expanding Wild</v>
      </c>
      <c r="Q205" s="7" t="str">
        <f>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R205" s="5" t="str">
        <f>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S2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5" s="5" t="str">
        <f>IFERROR(__xludf.DUMMYFUNCTION("""COMPUTED_VALUE"""),"Yes")</f>
        <v>Yes</v>
      </c>
      <c r="U205" s="5" t="str">
        <f>IFERROR(__xludf.DUMMYFUNCTION("""COMPUTED_VALUE"""),"Yes")</f>
        <v>Yes</v>
      </c>
      <c r="V205" s="5" t="str">
        <f>IFERROR(__xludf.DUMMYFUNCTION("""COMPUTED_VALUE"""),"Yes")</f>
        <v>Yes</v>
      </c>
      <c r="W205" s="5" t="str">
        <f>IFERROR(__xludf.DUMMYFUNCTION("""COMPUTED_VALUE"""),"Yes")</f>
        <v>Yes</v>
      </c>
      <c r="X205" s="5" t="str">
        <f>IFERROR(__xludf.DUMMYFUNCTION("""COMPUTED_VALUE"""),"Yes")</f>
        <v>Yes</v>
      </c>
      <c r="Y205" s="5" t="str">
        <f>IFERROR(__xludf.DUMMYFUNCTION("""COMPUTED_VALUE"""),"Yes")</f>
        <v>Yes</v>
      </c>
      <c r="Z205" s="5" t="str">
        <f>IFERROR(__xludf.DUMMYFUNCTION("""COMPUTED_VALUE"""),"Yes")</f>
        <v>Yes</v>
      </c>
      <c r="AA205" s="5" t="str">
        <f>IFERROR(__xludf.DUMMYFUNCTION("""COMPUTED_VALUE"""),"Yes")</f>
        <v>Yes</v>
      </c>
      <c r="AB205" s="5" t="str">
        <f>IFERROR(__xludf.DUMMYFUNCTION("""COMPUTED_VALUE"""),"Yes")</f>
        <v>Yes</v>
      </c>
      <c r="AC205" s="5" t="str">
        <f>IFERROR(__xludf.DUMMYFUNCTION("""COMPUTED_VALUE"""),"Yes")</f>
        <v>Yes</v>
      </c>
      <c r="AD205" s="5" t="str">
        <f>IFERROR(__xludf.DUMMYFUNCTION("""COMPUTED_VALUE"""),"Yes")</f>
        <v>Yes</v>
      </c>
      <c r="AE205" s="5" t="str">
        <f>IFERROR(__xludf.DUMMYFUNCTION("""COMPUTED_VALUE"""),"Yes")</f>
        <v>Yes</v>
      </c>
      <c r="AF205" s="5" t="str">
        <f>IFERROR(__xludf.DUMMYFUNCTION("""COMPUTED_VALUE"""),"Yes")</f>
        <v>Yes</v>
      </c>
      <c r="AG205" s="5" t="str">
        <f>IFERROR(__xludf.DUMMYFUNCTION("""COMPUTED_VALUE"""),"Yes")</f>
        <v>Yes</v>
      </c>
      <c r="AH205" s="5" t="str">
        <f>IFERROR(__xludf.DUMMYFUNCTION("""COMPUTED_VALUE"""),"Yes")</f>
        <v>Yes</v>
      </c>
      <c r="AI205" s="5" t="str">
        <f>IFERROR(__xludf.DUMMYFUNCTION("""COMPUTED_VALUE"""),"Yes")</f>
        <v>Yes</v>
      </c>
      <c r="AJ205" s="5" t="str">
        <f>IFERROR(__xludf.DUMMYFUNCTION("""COMPUTED_VALUE"""),"Yes")</f>
        <v>Yes</v>
      </c>
      <c r="AK205" s="5" t="str">
        <f>IFERROR(__xludf.DUMMYFUNCTION("""COMPUTED_VALUE"""),"Yes")</f>
        <v>Yes</v>
      </c>
      <c r="AL205" s="5" t="str">
        <f>IFERROR(__xludf.DUMMYFUNCTION("""COMPUTED_VALUE"""),"Yes")</f>
        <v>Yes</v>
      </c>
      <c r="AM205" s="5" t="str">
        <f>IFERROR(__xludf.DUMMYFUNCTION("""COMPUTED_VALUE"""),"Yes")</f>
        <v>Yes</v>
      </c>
      <c r="AN205" s="5" t="str">
        <f>IFERROR(__xludf.DUMMYFUNCTION("""COMPUTED_VALUE"""),"Yes")</f>
        <v>Yes</v>
      </c>
      <c r="AO205" s="5" t="str">
        <f>IFERROR(__xludf.DUMMYFUNCTION("""COMPUTED_VALUE"""),"Yes")</f>
        <v>Yes</v>
      </c>
      <c r="AP205" s="5" t="str">
        <f>IFERROR(__xludf.DUMMYFUNCTION("""COMPUTED_VALUE"""),"Yes")</f>
        <v>Yes</v>
      </c>
      <c r="AQ205" s="5" t="str">
        <f>IFERROR(__xludf.DUMMYFUNCTION("""COMPUTED_VALUE"""),"Yes")</f>
        <v>Yes</v>
      </c>
      <c r="AR205" s="5" t="str">
        <f>IFERROR(__xludf.DUMMYFUNCTION("""COMPUTED_VALUE"""),"Yes")</f>
        <v>Yes</v>
      </c>
      <c r="AS205" s="5" t="str">
        <f>IFERROR(__xludf.DUMMYFUNCTION("""COMPUTED_VALUE"""),"Yes")</f>
        <v>Yes</v>
      </c>
      <c r="AT205" s="5" t="str">
        <f>IFERROR(__xludf.DUMMYFUNCTION("""COMPUTED_VALUE"""),"No")</f>
        <v>No</v>
      </c>
      <c r="AU205" s="5"/>
      <c r="AV205" s="5" t="str">
        <f>IFERROR(__xludf.DUMMYFUNCTION("""COMPUTED_VALUE"""),"")</f>
        <v/>
      </c>
      <c r="AW205" s="5" t="str">
        <f>IFERROR(__xludf.DUMMYFUNCTION("""COMPUTED_VALUE"""),"")</f>
        <v/>
      </c>
      <c r="AX205" s="5" t="str">
        <f>IFERROR(__xludf.DUMMYFUNCTION("""COMPUTED_VALUE"""),"")</f>
        <v/>
      </c>
      <c r="AY205" s="5" t="str">
        <f>IFERROR(__xludf.DUMMYFUNCTION("""COMPUTED_VALUE"""),"")</f>
        <v/>
      </c>
      <c r="AZ205" s="5" t="str">
        <f>IFERROR(__xludf.DUMMYFUNCTION("""COMPUTED_VALUE"""),"")</f>
        <v/>
      </c>
      <c r="BA205" s="5" t="str">
        <f>IFERROR(__xludf.DUMMYFUNCTION("""COMPUTED_VALUE"""),"")</f>
        <v/>
      </c>
      <c r="BB205" s="5" t="str">
        <f>IFERROR(__xludf.DUMMYFUNCTION("""COMPUTED_VALUE"""),"")</f>
        <v/>
      </c>
      <c r="BC205" s="5" t="str">
        <f>IFERROR(__xludf.DUMMYFUNCTION("""COMPUTED_VALUE"""),"")</f>
        <v/>
      </c>
      <c r="BD205" s="5" t="str">
        <f>IFERROR(__xludf.DUMMYFUNCTION("""COMPUTED_VALUE"""),"")</f>
        <v/>
      </c>
      <c r="BE205" s="5" t="str">
        <f>IFERROR(__xludf.DUMMYFUNCTION("""COMPUTED_VALUE"""),"")</f>
        <v/>
      </c>
      <c r="BF205" s="5" t="str">
        <f>IFERROR(__xludf.DUMMYFUNCTION("""COMPUTED_VALUE"""),"")</f>
        <v/>
      </c>
      <c r="BG205" s="5" t="str">
        <f>IFERROR(__xludf.DUMMYFUNCTION("""COMPUTED_VALUE"""),"")</f>
        <v/>
      </c>
      <c r="BH205" s="5" t="str">
        <f>IFERROR(__xludf.DUMMYFUNCTION("""COMPUTED_VALUE"""),"")</f>
        <v/>
      </c>
      <c r="BI205" s="5" t="str">
        <f>IFERROR(__xludf.DUMMYFUNCTION("""COMPUTED_VALUE"""),"")</f>
        <v/>
      </c>
      <c r="BJ205" s="5" t="str">
        <f>IFERROR(__xludf.DUMMYFUNCTION("""COMPUTED_VALUE"""),"")</f>
        <v/>
      </c>
      <c r="BK205" s="5" t="str">
        <f>IFERROR(__xludf.DUMMYFUNCTION("""COMPUTED_VALUE"""),"")</f>
        <v/>
      </c>
      <c r="BL205" s="5" t="str">
        <f>IFERROR(__xludf.DUMMYFUNCTION("""COMPUTED_VALUE"""),"")</f>
        <v/>
      </c>
      <c r="BM205" s="5" t="str">
        <f>IFERROR(__xludf.DUMMYFUNCTION("""COMPUTED_VALUE"""),"")</f>
        <v/>
      </c>
    </row>
    <row r="206">
      <c r="A206" s="5" t="str">
        <f>IFERROR(__xludf.DUMMYFUNCTION("""COMPUTED_VALUE"""),"Fazi")</f>
        <v>Fazi</v>
      </c>
      <c r="B206" s="5" t="str">
        <f>IFERROR(__xludf.DUMMYFUNCTION("""COMPUTED_VALUE"""),"Clovers And Diamonds 5")</f>
        <v>Clovers And Diamonds 5</v>
      </c>
      <c r="C206" s="5" t="str">
        <f>IFERROR(__xludf.DUMMYFUNCTION("""COMPUTED_VALUE"""),"CloversAndDiamonds5")</f>
        <v>CloversAndDiamonds5</v>
      </c>
      <c r="D206" s="6">
        <f>IFERROR(__xludf.DUMMYFUNCTION("""COMPUTED_VALUE"""),46093.0)</f>
        <v>46093</v>
      </c>
      <c r="E206" s="5" t="str">
        <f>IFERROR(__xludf.DUMMYFUNCTION("""COMPUTED_VALUE"""),"Slot")</f>
        <v>Slot</v>
      </c>
      <c r="F206" s="5">
        <f>IFERROR(__xludf.DUMMYFUNCTION("""COMPUTED_VALUE"""),42.4)</f>
        <v>42.4</v>
      </c>
      <c r="G206" s="5" t="str">
        <f>IFERROR(__xludf.DUMMYFUNCTION("""COMPUTED_VALUE"""),"5x3")</f>
        <v>5x3</v>
      </c>
      <c r="H206" s="5">
        <f>IFERROR(__xludf.DUMMYFUNCTION("""COMPUTED_VALUE"""),5.0)</f>
        <v>5</v>
      </c>
      <c r="I206" s="5">
        <f>IFERROR(__xludf.DUMMYFUNCTION("""COMPUTED_VALUE"""),5.0)</f>
        <v>5</v>
      </c>
      <c r="J206" s="5" t="str">
        <f>IFERROR(__xludf.DUMMYFUNCTION("""COMPUTED_VALUE"""),"96.53%")</f>
        <v>96.53%</v>
      </c>
      <c r="K206" s="5" t="str">
        <f>IFERROR(__xludf.DUMMYFUNCTION("""COMPUTED_VALUE"""),"High")</f>
        <v>High</v>
      </c>
      <c r="L206" s="5" t="str">
        <f>IFERROR(__xludf.DUMMYFUNCTION("""COMPUTED_VALUE"""),"13.146%")</f>
        <v>13.146%</v>
      </c>
      <c r="M206" s="5" t="str">
        <f>IFERROR(__xludf.DUMMYFUNCTION("""COMPUTED_VALUE"""),"x5000")</f>
        <v>x5000</v>
      </c>
      <c r="N206" s="5" t="str">
        <f>IFERROR(__xludf.DUMMYFUNCTION("""COMPUTED_VALUE"""),"0.05/30")</f>
        <v>0.05/30</v>
      </c>
      <c r="O206" s="5" t="str">
        <f>IFERROR(__xludf.DUMMYFUNCTION("""COMPUTED_VALUE"""),"Yes")</f>
        <v>Yes</v>
      </c>
      <c r="P206" s="5" t="str">
        <f>IFERROR(__xludf.DUMMYFUNCTION("""COMPUTED_VALUE"""),"Scatter, Wild Multiplier, Expanding Wild")</f>
        <v>Scatter, Wild Multiplier, Expanding Wild</v>
      </c>
      <c r="Q206" s="7" t="str">
        <f>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R206" s="5" t="str">
        <f>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S2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6" s="5" t="str">
        <f>IFERROR(__xludf.DUMMYFUNCTION("""COMPUTED_VALUE"""),"Yes")</f>
        <v>Yes</v>
      </c>
      <c r="U206" s="5" t="str">
        <f>IFERROR(__xludf.DUMMYFUNCTION("""COMPUTED_VALUE"""),"Yes")</f>
        <v>Yes</v>
      </c>
      <c r="V206" s="5" t="str">
        <f>IFERROR(__xludf.DUMMYFUNCTION("""COMPUTED_VALUE"""),"Yes")</f>
        <v>Yes</v>
      </c>
      <c r="W206" s="5" t="str">
        <f>IFERROR(__xludf.DUMMYFUNCTION("""COMPUTED_VALUE"""),"Yes")</f>
        <v>Yes</v>
      </c>
      <c r="X206" s="5" t="str">
        <f>IFERROR(__xludf.DUMMYFUNCTION("""COMPUTED_VALUE"""),"Yes")</f>
        <v>Yes</v>
      </c>
      <c r="Y206" s="5" t="str">
        <f>IFERROR(__xludf.DUMMYFUNCTION("""COMPUTED_VALUE"""),"Yes")</f>
        <v>Yes</v>
      </c>
      <c r="Z206" s="5" t="str">
        <f>IFERROR(__xludf.DUMMYFUNCTION("""COMPUTED_VALUE"""),"Yes")</f>
        <v>Yes</v>
      </c>
      <c r="AA206" s="5" t="str">
        <f>IFERROR(__xludf.DUMMYFUNCTION("""COMPUTED_VALUE"""),"Yes")</f>
        <v>Yes</v>
      </c>
      <c r="AB206" s="5" t="str">
        <f>IFERROR(__xludf.DUMMYFUNCTION("""COMPUTED_VALUE"""),"Yes")</f>
        <v>Yes</v>
      </c>
      <c r="AC206" s="5" t="str">
        <f>IFERROR(__xludf.DUMMYFUNCTION("""COMPUTED_VALUE"""),"Yes")</f>
        <v>Yes</v>
      </c>
      <c r="AD206" s="5" t="str">
        <f>IFERROR(__xludf.DUMMYFUNCTION("""COMPUTED_VALUE"""),"Yes")</f>
        <v>Yes</v>
      </c>
      <c r="AE206" s="5" t="str">
        <f>IFERROR(__xludf.DUMMYFUNCTION("""COMPUTED_VALUE"""),"Yes")</f>
        <v>Yes</v>
      </c>
      <c r="AF206" s="5" t="str">
        <f>IFERROR(__xludf.DUMMYFUNCTION("""COMPUTED_VALUE"""),"Yes")</f>
        <v>Yes</v>
      </c>
      <c r="AG206" s="5" t="str">
        <f>IFERROR(__xludf.DUMMYFUNCTION("""COMPUTED_VALUE"""),"Yes")</f>
        <v>Yes</v>
      </c>
      <c r="AH206" s="5" t="str">
        <f>IFERROR(__xludf.DUMMYFUNCTION("""COMPUTED_VALUE"""),"Yes")</f>
        <v>Yes</v>
      </c>
      <c r="AI206" s="5" t="str">
        <f>IFERROR(__xludf.DUMMYFUNCTION("""COMPUTED_VALUE"""),"Yes")</f>
        <v>Yes</v>
      </c>
      <c r="AJ206" s="5" t="str">
        <f>IFERROR(__xludf.DUMMYFUNCTION("""COMPUTED_VALUE"""),"Yes")</f>
        <v>Yes</v>
      </c>
      <c r="AK206" s="5" t="str">
        <f>IFERROR(__xludf.DUMMYFUNCTION("""COMPUTED_VALUE"""),"Yes")</f>
        <v>Yes</v>
      </c>
      <c r="AL206" s="5" t="str">
        <f>IFERROR(__xludf.DUMMYFUNCTION("""COMPUTED_VALUE"""),"Yes")</f>
        <v>Yes</v>
      </c>
      <c r="AM206" s="5" t="str">
        <f>IFERROR(__xludf.DUMMYFUNCTION("""COMPUTED_VALUE"""),"Yes")</f>
        <v>Yes</v>
      </c>
      <c r="AN206" s="5" t="str">
        <f>IFERROR(__xludf.DUMMYFUNCTION("""COMPUTED_VALUE"""),"Yes")</f>
        <v>Yes</v>
      </c>
      <c r="AO206" s="5" t="str">
        <f>IFERROR(__xludf.DUMMYFUNCTION("""COMPUTED_VALUE"""),"Yes")</f>
        <v>Yes</v>
      </c>
      <c r="AP206" s="5" t="str">
        <f>IFERROR(__xludf.DUMMYFUNCTION("""COMPUTED_VALUE"""),"Yes")</f>
        <v>Yes</v>
      </c>
      <c r="AQ206" s="5" t="str">
        <f>IFERROR(__xludf.DUMMYFUNCTION("""COMPUTED_VALUE"""),"Yes")</f>
        <v>Yes</v>
      </c>
      <c r="AR206" s="5" t="str">
        <f>IFERROR(__xludf.DUMMYFUNCTION("""COMPUTED_VALUE"""),"Yes")</f>
        <v>Yes</v>
      </c>
      <c r="AS206" s="5" t="str">
        <f>IFERROR(__xludf.DUMMYFUNCTION("""COMPUTED_VALUE"""),"Yes")</f>
        <v>Yes</v>
      </c>
      <c r="AT206" s="5" t="str">
        <f>IFERROR(__xludf.DUMMYFUNCTION("""COMPUTED_VALUE"""),"No")</f>
        <v>No</v>
      </c>
      <c r="AU206" s="5"/>
      <c r="AV206" s="5" t="str">
        <f>IFERROR(__xludf.DUMMYFUNCTION("""COMPUTED_VALUE"""),"")</f>
        <v/>
      </c>
      <c r="AW206" s="5" t="str">
        <f>IFERROR(__xludf.DUMMYFUNCTION("""COMPUTED_VALUE"""),"")</f>
        <v/>
      </c>
      <c r="AX206" s="5" t="str">
        <f>IFERROR(__xludf.DUMMYFUNCTION("""COMPUTED_VALUE"""),"")</f>
        <v/>
      </c>
      <c r="AY206" s="5" t="str">
        <f>IFERROR(__xludf.DUMMYFUNCTION("""COMPUTED_VALUE"""),"")</f>
        <v/>
      </c>
      <c r="AZ206" s="5" t="str">
        <f>IFERROR(__xludf.DUMMYFUNCTION("""COMPUTED_VALUE"""),"")</f>
        <v/>
      </c>
      <c r="BA206" s="5" t="str">
        <f>IFERROR(__xludf.DUMMYFUNCTION("""COMPUTED_VALUE"""),"")</f>
        <v/>
      </c>
      <c r="BB206" s="5" t="str">
        <f>IFERROR(__xludf.DUMMYFUNCTION("""COMPUTED_VALUE"""),"")</f>
        <v/>
      </c>
      <c r="BC206" s="5" t="str">
        <f>IFERROR(__xludf.DUMMYFUNCTION("""COMPUTED_VALUE"""),"")</f>
        <v/>
      </c>
      <c r="BD206" s="5" t="str">
        <f>IFERROR(__xludf.DUMMYFUNCTION("""COMPUTED_VALUE"""),"")</f>
        <v/>
      </c>
      <c r="BE206" s="5" t="str">
        <f>IFERROR(__xludf.DUMMYFUNCTION("""COMPUTED_VALUE"""),"")</f>
        <v/>
      </c>
      <c r="BF206" s="5" t="str">
        <f>IFERROR(__xludf.DUMMYFUNCTION("""COMPUTED_VALUE"""),"")</f>
        <v/>
      </c>
      <c r="BG206" s="5" t="str">
        <f>IFERROR(__xludf.DUMMYFUNCTION("""COMPUTED_VALUE"""),"")</f>
        <v/>
      </c>
      <c r="BH206" s="5" t="str">
        <f>IFERROR(__xludf.DUMMYFUNCTION("""COMPUTED_VALUE"""),"")</f>
        <v/>
      </c>
      <c r="BI206" s="5" t="str">
        <f>IFERROR(__xludf.DUMMYFUNCTION("""COMPUTED_VALUE"""),"")</f>
        <v/>
      </c>
      <c r="BJ206" s="5" t="str">
        <f>IFERROR(__xludf.DUMMYFUNCTION("""COMPUTED_VALUE"""),"")</f>
        <v/>
      </c>
      <c r="BK206" s="5" t="str">
        <f>IFERROR(__xludf.DUMMYFUNCTION("""COMPUTED_VALUE"""),"")</f>
        <v/>
      </c>
      <c r="BL206" s="5" t="str">
        <f>IFERROR(__xludf.DUMMYFUNCTION("""COMPUTED_VALUE"""),"")</f>
        <v/>
      </c>
      <c r="BM206" s="5" t="str">
        <f>IFERROR(__xludf.DUMMYFUNCTION("""COMPUTED_VALUE"""),"")</f>
        <v/>
      </c>
    </row>
    <row r="207">
      <c r="A207" s="5" t="str">
        <f>IFERROR(__xludf.DUMMYFUNCTION("""COMPUTED_VALUE"""),"Fazi")</f>
        <v>Fazi</v>
      </c>
      <c r="B207" s="5" t="str">
        <f>IFERROR(__xludf.DUMMYFUNCTION("""COMPUTED_VALUE"""),"Epic Dice 100 Booster")</f>
        <v>Epic Dice 100 Booster</v>
      </c>
      <c r="C207" s="5" t="str">
        <f>IFERROR(__xludf.DUMMYFUNCTION("""COMPUTED_VALUE"""),"EpicDice100Booster")</f>
        <v>EpicDice100Booster</v>
      </c>
      <c r="D207" s="6">
        <f>IFERROR(__xludf.DUMMYFUNCTION("""COMPUTED_VALUE"""),46205.0)</f>
        <v>46205</v>
      </c>
      <c r="E207" s="5" t="str">
        <f>IFERROR(__xludf.DUMMYFUNCTION("""COMPUTED_VALUE"""),"Slot")</f>
        <v>Slot</v>
      </c>
      <c r="F207" s="5">
        <f>IFERROR(__xludf.DUMMYFUNCTION("""COMPUTED_VALUE"""),26.6)</f>
        <v>26.6</v>
      </c>
      <c r="G207" s="5" t="str">
        <f>IFERROR(__xludf.DUMMYFUNCTION("""COMPUTED_VALUE"""),"5x4")</f>
        <v>5x4</v>
      </c>
      <c r="H207" s="5">
        <f>IFERROR(__xludf.DUMMYFUNCTION("""COMPUTED_VALUE"""),100.0)</f>
        <v>100</v>
      </c>
      <c r="I207" s="5">
        <f>IFERROR(__xludf.DUMMYFUNCTION("""COMPUTED_VALUE"""),100.0)</f>
        <v>100</v>
      </c>
      <c r="J207" s="5" t="str">
        <f>IFERROR(__xludf.DUMMYFUNCTION("""COMPUTED_VALUE"""),"96.502%")</f>
        <v>96.502%</v>
      </c>
      <c r="K207" s="5" t="str">
        <f>IFERROR(__xludf.DUMMYFUNCTION("""COMPUTED_VALUE"""),"Medium")</f>
        <v>Medium</v>
      </c>
      <c r="L207" s="5" t="str">
        <f>IFERROR(__xludf.DUMMYFUNCTION("""COMPUTED_VALUE"""),"13.309%")</f>
        <v>13.309%</v>
      </c>
      <c r="M207" s="5" t="str">
        <f>IFERROR(__xludf.DUMMYFUNCTION("""COMPUTED_VALUE"""),"x3000")</f>
        <v>x3000</v>
      </c>
      <c r="N207" s="5" t="str">
        <f>IFERROR(__xludf.DUMMYFUNCTION("""COMPUTED_VALUE"""),"1/100")</f>
        <v>1/100</v>
      </c>
      <c r="O207" s="5" t="str">
        <f>IFERROR(__xludf.DUMMYFUNCTION("""COMPUTED_VALUE"""),"Yes")</f>
        <v>Yes</v>
      </c>
      <c r="P207" s="5" t="str">
        <f>IFERROR(__xludf.DUMMYFUNCTION("""COMPUTED_VALUE"""),"Scatter, Expanding Wild")</f>
        <v>Scatter, Expanding Wild</v>
      </c>
      <c r="Q207" s="7" t="str">
        <f>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R207" s="5" t="str">
        <f>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S2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7" s="5" t="str">
        <f>IFERROR(__xludf.DUMMYFUNCTION("""COMPUTED_VALUE"""),"Yes")</f>
        <v>Yes</v>
      </c>
      <c r="U207" s="5" t="str">
        <f>IFERROR(__xludf.DUMMYFUNCTION("""COMPUTED_VALUE"""),"Yes")</f>
        <v>Yes</v>
      </c>
      <c r="V207" s="5" t="str">
        <f>IFERROR(__xludf.DUMMYFUNCTION("""COMPUTED_VALUE"""),"Yes")</f>
        <v>Yes</v>
      </c>
      <c r="W207" s="5" t="str">
        <f>IFERROR(__xludf.DUMMYFUNCTION("""COMPUTED_VALUE"""),"Yes")</f>
        <v>Yes</v>
      </c>
      <c r="X207" s="5" t="str">
        <f>IFERROR(__xludf.DUMMYFUNCTION("""COMPUTED_VALUE"""),"Yes")</f>
        <v>Yes</v>
      </c>
      <c r="Y207" s="5" t="str">
        <f>IFERROR(__xludf.DUMMYFUNCTION("""COMPUTED_VALUE"""),"Yes")</f>
        <v>Yes</v>
      </c>
      <c r="Z207" s="5" t="str">
        <f>IFERROR(__xludf.DUMMYFUNCTION("""COMPUTED_VALUE"""),"Yes")</f>
        <v>Yes</v>
      </c>
      <c r="AA207" s="5" t="str">
        <f>IFERROR(__xludf.DUMMYFUNCTION("""COMPUTED_VALUE"""),"Yes")</f>
        <v>Yes</v>
      </c>
      <c r="AB207" s="5" t="str">
        <f>IFERROR(__xludf.DUMMYFUNCTION("""COMPUTED_VALUE"""),"Yes")</f>
        <v>Yes</v>
      </c>
      <c r="AC207" s="5" t="str">
        <f>IFERROR(__xludf.DUMMYFUNCTION("""COMPUTED_VALUE"""),"Yes")</f>
        <v>Yes</v>
      </c>
      <c r="AD207" s="5" t="str">
        <f>IFERROR(__xludf.DUMMYFUNCTION("""COMPUTED_VALUE"""),"Yes")</f>
        <v>Yes</v>
      </c>
      <c r="AE207" s="5" t="str">
        <f>IFERROR(__xludf.DUMMYFUNCTION("""COMPUTED_VALUE"""),"Yes")</f>
        <v>Yes</v>
      </c>
      <c r="AF207" s="5" t="str">
        <f>IFERROR(__xludf.DUMMYFUNCTION("""COMPUTED_VALUE"""),"Yes")</f>
        <v>Yes</v>
      </c>
      <c r="AG207" s="5" t="str">
        <f>IFERROR(__xludf.DUMMYFUNCTION("""COMPUTED_VALUE"""),"Yes")</f>
        <v>Yes</v>
      </c>
      <c r="AH207" s="5" t="str">
        <f>IFERROR(__xludf.DUMMYFUNCTION("""COMPUTED_VALUE"""),"Yes")</f>
        <v>Yes</v>
      </c>
      <c r="AI207" s="5" t="str">
        <f>IFERROR(__xludf.DUMMYFUNCTION("""COMPUTED_VALUE"""),"Yes")</f>
        <v>Yes</v>
      </c>
      <c r="AJ207" s="5" t="str">
        <f>IFERROR(__xludf.DUMMYFUNCTION("""COMPUTED_VALUE"""),"Yes")</f>
        <v>Yes</v>
      </c>
      <c r="AK207" s="5" t="str">
        <f>IFERROR(__xludf.DUMMYFUNCTION("""COMPUTED_VALUE"""),"Yes")</f>
        <v>Yes</v>
      </c>
      <c r="AL207" s="5" t="str">
        <f>IFERROR(__xludf.DUMMYFUNCTION("""COMPUTED_VALUE"""),"Yes")</f>
        <v>Yes</v>
      </c>
      <c r="AM207" s="5" t="str">
        <f>IFERROR(__xludf.DUMMYFUNCTION("""COMPUTED_VALUE"""),"Yes")</f>
        <v>Yes</v>
      </c>
      <c r="AN207" s="5" t="str">
        <f>IFERROR(__xludf.DUMMYFUNCTION("""COMPUTED_VALUE"""),"Yes")</f>
        <v>Yes</v>
      </c>
      <c r="AO207" s="5" t="str">
        <f>IFERROR(__xludf.DUMMYFUNCTION("""COMPUTED_VALUE"""),"Yes")</f>
        <v>Yes</v>
      </c>
      <c r="AP207" s="5" t="str">
        <f>IFERROR(__xludf.DUMMYFUNCTION("""COMPUTED_VALUE"""),"Yes")</f>
        <v>Yes</v>
      </c>
      <c r="AQ207" s="5" t="str">
        <f>IFERROR(__xludf.DUMMYFUNCTION("""COMPUTED_VALUE"""),"Yes")</f>
        <v>Yes</v>
      </c>
      <c r="AR207" s="5" t="str">
        <f>IFERROR(__xludf.DUMMYFUNCTION("""COMPUTED_VALUE"""),"Yes")</f>
        <v>Yes</v>
      </c>
      <c r="AS207" s="5" t="str">
        <f>IFERROR(__xludf.DUMMYFUNCTION("""COMPUTED_VALUE"""),"Yes")</f>
        <v>Yes</v>
      </c>
      <c r="AT207" s="5" t="str">
        <f>IFERROR(__xludf.DUMMYFUNCTION("""COMPUTED_VALUE"""),"No")</f>
        <v>No</v>
      </c>
      <c r="AU207" s="5"/>
      <c r="AV207" s="5" t="str">
        <f>IFERROR(__xludf.DUMMYFUNCTION("""COMPUTED_VALUE"""),"")</f>
        <v/>
      </c>
      <c r="AW207" s="5" t="str">
        <f>IFERROR(__xludf.DUMMYFUNCTION("""COMPUTED_VALUE"""),"")</f>
        <v/>
      </c>
      <c r="AX207" s="5" t="str">
        <f>IFERROR(__xludf.DUMMYFUNCTION("""COMPUTED_VALUE"""),"")</f>
        <v/>
      </c>
      <c r="AY207" s="5" t="str">
        <f>IFERROR(__xludf.DUMMYFUNCTION("""COMPUTED_VALUE"""),"")</f>
        <v/>
      </c>
      <c r="AZ207" s="5" t="str">
        <f>IFERROR(__xludf.DUMMYFUNCTION("""COMPUTED_VALUE"""),"")</f>
        <v/>
      </c>
      <c r="BA207" s="5" t="str">
        <f>IFERROR(__xludf.DUMMYFUNCTION("""COMPUTED_VALUE"""),"")</f>
        <v/>
      </c>
      <c r="BB207" s="5" t="str">
        <f>IFERROR(__xludf.DUMMYFUNCTION("""COMPUTED_VALUE"""),"")</f>
        <v/>
      </c>
      <c r="BC207" s="5" t="str">
        <f>IFERROR(__xludf.DUMMYFUNCTION("""COMPUTED_VALUE"""),"")</f>
        <v/>
      </c>
      <c r="BD207" s="5" t="str">
        <f>IFERROR(__xludf.DUMMYFUNCTION("""COMPUTED_VALUE"""),"")</f>
        <v/>
      </c>
      <c r="BE207" s="5" t="str">
        <f>IFERROR(__xludf.DUMMYFUNCTION("""COMPUTED_VALUE"""),"")</f>
        <v/>
      </c>
      <c r="BF207" s="5" t="str">
        <f>IFERROR(__xludf.DUMMYFUNCTION("""COMPUTED_VALUE"""),"")</f>
        <v/>
      </c>
      <c r="BG207" s="5" t="str">
        <f>IFERROR(__xludf.DUMMYFUNCTION("""COMPUTED_VALUE"""),"")</f>
        <v/>
      </c>
      <c r="BH207" s="5" t="str">
        <f>IFERROR(__xludf.DUMMYFUNCTION("""COMPUTED_VALUE"""),"")</f>
        <v/>
      </c>
      <c r="BI207" s="5" t="str">
        <f>IFERROR(__xludf.DUMMYFUNCTION("""COMPUTED_VALUE"""),"")</f>
        <v/>
      </c>
      <c r="BJ207" s="5" t="str">
        <f>IFERROR(__xludf.DUMMYFUNCTION("""COMPUTED_VALUE"""),"")</f>
        <v/>
      </c>
      <c r="BK207" s="5" t="str">
        <f>IFERROR(__xludf.DUMMYFUNCTION("""COMPUTED_VALUE"""),"")</f>
        <v/>
      </c>
      <c r="BL207" s="5" t="str">
        <f>IFERROR(__xludf.DUMMYFUNCTION("""COMPUTED_VALUE"""),"")</f>
        <v/>
      </c>
      <c r="BM207" s="5" t="str">
        <f>IFERROR(__xludf.DUMMYFUNCTION("""COMPUTED_VALUE"""),"")</f>
        <v/>
      </c>
    </row>
    <row r="208">
      <c r="A208" s="5" t="str">
        <f>IFERROR(__xludf.DUMMYFUNCTION("""COMPUTED_VALUE"""),"Fazi")</f>
        <v>Fazi</v>
      </c>
      <c r="B208" s="5" t="str">
        <f>IFERROR(__xludf.DUMMYFUNCTION("""COMPUTED_VALUE"""),"Winning Clover 5 Extreme Booster")</f>
        <v>Winning Clover 5 Extreme Booster</v>
      </c>
      <c r="C208" s="5" t="str">
        <f>IFERROR(__xludf.DUMMYFUNCTION("""COMPUTED_VALUE"""),"WinningClover5ExtremeBooster")</f>
        <v>WinningClover5ExtremeBooster</v>
      </c>
      <c r="D208" s="6">
        <f>IFERROR(__xludf.DUMMYFUNCTION("""COMPUTED_VALUE"""),46238.0)</f>
        <v>46238</v>
      </c>
      <c r="E208" s="5" t="str">
        <f>IFERROR(__xludf.DUMMYFUNCTION("""COMPUTED_VALUE"""),"Slot")</f>
        <v>Slot</v>
      </c>
      <c r="F208" s="5">
        <f>IFERROR(__xludf.DUMMYFUNCTION("""COMPUTED_VALUE"""),43.5)</f>
        <v>43.5</v>
      </c>
      <c r="G208" s="5" t="str">
        <f>IFERROR(__xludf.DUMMYFUNCTION("""COMPUTED_VALUE"""),"5x3")</f>
        <v>5x3</v>
      </c>
      <c r="H208" s="5">
        <f>IFERROR(__xludf.DUMMYFUNCTION("""COMPUTED_VALUE"""),5.0)</f>
        <v>5</v>
      </c>
      <c r="I208" s="5">
        <f>IFERROR(__xludf.DUMMYFUNCTION("""COMPUTED_VALUE"""),5.0)</f>
        <v>5</v>
      </c>
      <c r="J208" s="5" t="str">
        <f>IFERROR(__xludf.DUMMYFUNCTION("""COMPUTED_VALUE"""),"96.5%")</f>
        <v>96.5%</v>
      </c>
      <c r="K208" s="5" t="str">
        <f>IFERROR(__xludf.DUMMYFUNCTION("""COMPUTED_VALUE"""),"High")</f>
        <v>High</v>
      </c>
      <c r="L208" s="5" t="str">
        <f>IFERROR(__xludf.DUMMYFUNCTION("""COMPUTED_VALUE"""),"12.8%")</f>
        <v>12.8%</v>
      </c>
      <c r="M208" s="5" t="str">
        <f>IFERROR(__xludf.DUMMYFUNCTION("""COMPUTED_VALUE"""),"x5000")</f>
        <v>x5000</v>
      </c>
      <c r="N208" s="5" t="str">
        <f>IFERROR(__xludf.DUMMYFUNCTION("""COMPUTED_VALUE"""),"0.5/30")</f>
        <v>0.5/30</v>
      </c>
      <c r="O208" s="5" t="str">
        <f>IFERROR(__xludf.DUMMYFUNCTION("""COMPUTED_VALUE"""),"Yes")</f>
        <v>Yes</v>
      </c>
      <c r="P208" s="5"/>
      <c r="Q208" s="7" t="str">
        <f>IFERROR(__xludf.DUMMYFUNCTION("""COMPUTED_VALUE"""),"https://onlinegamespromo.fazi.rs/Home/IntegrationGameLaunch?moneyType=0&amp;gameName=WinningClover5ExtremeBooster&amp;platform=desktop&amp;languageCode=eng&amp;currency=EUR")</f>
        <v>https://onlinegamespromo.fazi.rs/Home/IntegrationGameLaunch?moneyType=0&amp;gameName=WinningClover5ExtremeBooster&amp;platform=desktop&amp;languageCode=eng&amp;currency=EUR</v>
      </c>
      <c r="R208" s="5" t="str">
        <f>IFERROR(__xludf.DUMMYFUNCTION("""COMPUTED_VALUE"""),"Luck is back and stronger than ever! Winning Clover 5 Extreme Booster takes the iconic clover adventure to the next level with expanding Wilds, thrilling high volatility, and even greater winning potential. Activate the Booster to guarantee a Wild on your"&amp;" next spin and get ready for even bigger rewards! 
")</f>
        <v>Luck is back and stronger than ever! Winning Clover 5 Extreme Booster takes the iconic clover adventure to the next level with expanding Wilds, thrilling high volatility, and even greater winning potential. Activate the Booster to guarantee a Wild on your next spin and get ready for even bigger rewards! 
</v>
      </c>
      <c r="S2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8" s="5" t="str">
        <f>IFERROR(__xludf.DUMMYFUNCTION("""COMPUTED_VALUE"""),"Yes")</f>
        <v>Yes</v>
      </c>
      <c r="U208" s="5" t="str">
        <f>IFERROR(__xludf.DUMMYFUNCTION("""COMPUTED_VALUE"""),"Yes")</f>
        <v>Yes</v>
      </c>
      <c r="V208" s="5" t="str">
        <f>IFERROR(__xludf.DUMMYFUNCTION("""COMPUTED_VALUE"""),"Yes")</f>
        <v>Yes</v>
      </c>
      <c r="W208" s="5" t="str">
        <f>IFERROR(__xludf.DUMMYFUNCTION("""COMPUTED_VALUE"""),"Yes")</f>
        <v>Yes</v>
      </c>
      <c r="X208" s="5" t="str">
        <f>IFERROR(__xludf.DUMMYFUNCTION("""COMPUTED_VALUE"""),"Yes")</f>
        <v>Yes</v>
      </c>
      <c r="Y208" s="5" t="str">
        <f>IFERROR(__xludf.DUMMYFUNCTION("""COMPUTED_VALUE"""),"Yes")</f>
        <v>Yes</v>
      </c>
      <c r="Z208" s="5" t="str">
        <f>IFERROR(__xludf.DUMMYFUNCTION("""COMPUTED_VALUE"""),"Yes")</f>
        <v>Yes</v>
      </c>
      <c r="AA208" s="5" t="str">
        <f>IFERROR(__xludf.DUMMYFUNCTION("""COMPUTED_VALUE"""),"Yes")</f>
        <v>Yes</v>
      </c>
      <c r="AB208" s="5" t="str">
        <f>IFERROR(__xludf.DUMMYFUNCTION("""COMPUTED_VALUE"""),"Yes")</f>
        <v>Yes</v>
      </c>
      <c r="AC208" s="5" t="str">
        <f>IFERROR(__xludf.DUMMYFUNCTION("""COMPUTED_VALUE"""),"Yes")</f>
        <v>Yes</v>
      </c>
      <c r="AD208" s="5" t="str">
        <f>IFERROR(__xludf.DUMMYFUNCTION("""COMPUTED_VALUE"""),"Yes")</f>
        <v>Yes</v>
      </c>
      <c r="AE208" s="5" t="str">
        <f>IFERROR(__xludf.DUMMYFUNCTION("""COMPUTED_VALUE"""),"Yes")</f>
        <v>Yes</v>
      </c>
      <c r="AF208" s="5" t="str">
        <f>IFERROR(__xludf.DUMMYFUNCTION("""COMPUTED_VALUE"""),"Yes")</f>
        <v>Yes</v>
      </c>
      <c r="AG208" s="5" t="str">
        <f>IFERROR(__xludf.DUMMYFUNCTION("""COMPUTED_VALUE"""),"Yes")</f>
        <v>Yes</v>
      </c>
      <c r="AH208" s="5" t="str">
        <f>IFERROR(__xludf.DUMMYFUNCTION("""COMPUTED_VALUE"""),"Yes")</f>
        <v>Yes</v>
      </c>
      <c r="AI208" s="5" t="str">
        <f>IFERROR(__xludf.DUMMYFUNCTION("""COMPUTED_VALUE"""),"Yes")</f>
        <v>Yes</v>
      </c>
      <c r="AJ208" s="5" t="str">
        <f>IFERROR(__xludf.DUMMYFUNCTION("""COMPUTED_VALUE"""),"Yes")</f>
        <v>Yes</v>
      </c>
      <c r="AK208" s="5" t="str">
        <f>IFERROR(__xludf.DUMMYFUNCTION("""COMPUTED_VALUE"""),"Yes")</f>
        <v>Yes</v>
      </c>
      <c r="AL208" s="5" t="str">
        <f>IFERROR(__xludf.DUMMYFUNCTION("""COMPUTED_VALUE"""),"Yes")</f>
        <v>Yes</v>
      </c>
      <c r="AM208" s="5" t="str">
        <f>IFERROR(__xludf.DUMMYFUNCTION("""COMPUTED_VALUE"""),"Yes")</f>
        <v>Yes</v>
      </c>
      <c r="AN208" s="5" t="str">
        <f>IFERROR(__xludf.DUMMYFUNCTION("""COMPUTED_VALUE"""),"Yes")</f>
        <v>Yes</v>
      </c>
      <c r="AO208" s="5" t="str">
        <f>IFERROR(__xludf.DUMMYFUNCTION("""COMPUTED_VALUE"""),"Yes")</f>
        <v>Yes</v>
      </c>
      <c r="AP208" s="5" t="str">
        <f>IFERROR(__xludf.DUMMYFUNCTION("""COMPUTED_VALUE"""),"Yes")</f>
        <v>Yes</v>
      </c>
      <c r="AQ208" s="5" t="str">
        <f>IFERROR(__xludf.DUMMYFUNCTION("""COMPUTED_VALUE"""),"Yes")</f>
        <v>Yes</v>
      </c>
      <c r="AR208" s="5" t="str">
        <f>IFERROR(__xludf.DUMMYFUNCTION("""COMPUTED_VALUE"""),"Yes")</f>
        <v>Yes</v>
      </c>
      <c r="AS208" s="5" t="str">
        <f>IFERROR(__xludf.DUMMYFUNCTION("""COMPUTED_VALUE"""),"Yes")</f>
        <v>Yes</v>
      </c>
      <c r="AT208" s="5" t="str">
        <f>IFERROR(__xludf.DUMMYFUNCTION("""COMPUTED_VALUE"""),"No")</f>
        <v>No</v>
      </c>
      <c r="AU208" s="5"/>
      <c r="AV208" s="5" t="str">
        <f>IFERROR(__xludf.DUMMYFUNCTION("""COMPUTED_VALUE"""),"")</f>
        <v/>
      </c>
      <c r="AW208" s="5" t="str">
        <f>IFERROR(__xludf.DUMMYFUNCTION("""COMPUTED_VALUE"""),"")</f>
        <v/>
      </c>
      <c r="AX208" s="5" t="str">
        <f>IFERROR(__xludf.DUMMYFUNCTION("""COMPUTED_VALUE"""),"")</f>
        <v/>
      </c>
      <c r="AY208" s="5" t="str">
        <f>IFERROR(__xludf.DUMMYFUNCTION("""COMPUTED_VALUE"""),"")</f>
        <v/>
      </c>
      <c r="AZ208" s="5" t="str">
        <f>IFERROR(__xludf.DUMMYFUNCTION("""COMPUTED_VALUE"""),"")</f>
        <v/>
      </c>
      <c r="BA208" s="5" t="str">
        <f>IFERROR(__xludf.DUMMYFUNCTION("""COMPUTED_VALUE"""),"")</f>
        <v/>
      </c>
      <c r="BB208" s="5" t="str">
        <f>IFERROR(__xludf.DUMMYFUNCTION("""COMPUTED_VALUE"""),"")</f>
        <v/>
      </c>
      <c r="BC208" s="5" t="str">
        <f>IFERROR(__xludf.DUMMYFUNCTION("""COMPUTED_VALUE"""),"")</f>
        <v/>
      </c>
      <c r="BD208" s="5" t="str">
        <f>IFERROR(__xludf.DUMMYFUNCTION("""COMPUTED_VALUE"""),"")</f>
        <v/>
      </c>
      <c r="BE208" s="5" t="str">
        <f>IFERROR(__xludf.DUMMYFUNCTION("""COMPUTED_VALUE"""),"")</f>
        <v/>
      </c>
      <c r="BF208" s="5" t="str">
        <f>IFERROR(__xludf.DUMMYFUNCTION("""COMPUTED_VALUE"""),"")</f>
        <v/>
      </c>
      <c r="BG208" s="5" t="str">
        <f>IFERROR(__xludf.DUMMYFUNCTION("""COMPUTED_VALUE"""),"")</f>
        <v/>
      </c>
      <c r="BH208" s="5" t="str">
        <f>IFERROR(__xludf.DUMMYFUNCTION("""COMPUTED_VALUE"""),"")</f>
        <v/>
      </c>
      <c r="BI208" s="5" t="str">
        <f>IFERROR(__xludf.DUMMYFUNCTION("""COMPUTED_VALUE"""),"")</f>
        <v/>
      </c>
      <c r="BJ208" s="5" t="str">
        <f>IFERROR(__xludf.DUMMYFUNCTION("""COMPUTED_VALUE"""),"")</f>
        <v/>
      </c>
      <c r="BK208" s="5" t="str">
        <f>IFERROR(__xludf.DUMMYFUNCTION("""COMPUTED_VALUE"""),"")</f>
        <v/>
      </c>
      <c r="BL208" s="5" t="str">
        <f>IFERROR(__xludf.DUMMYFUNCTION("""COMPUTED_VALUE"""),"")</f>
        <v/>
      </c>
      <c r="BM208" s="5" t="str">
        <f>IFERROR(__xludf.DUMMYFUNCTION("""COMPUTED_VALUE"""),"")</f>
        <v/>
      </c>
    </row>
    <row r="209">
      <c r="A209" s="5" t="str">
        <f>IFERROR(__xludf.DUMMYFUNCTION("""COMPUTED_VALUE"""),"Fazi")</f>
        <v>Fazi</v>
      </c>
      <c r="B209" s="5" t="str">
        <f>IFERROR(__xludf.DUMMYFUNCTION("""COMPUTED_VALUE"""),"Very Hot 40 Extreme Booster")</f>
        <v>Very Hot 40 Extreme Booster</v>
      </c>
      <c r="C209" s="5" t="str">
        <f>IFERROR(__xludf.DUMMYFUNCTION("""COMPUTED_VALUE"""),"VeryHot40ExtremeBooster")</f>
        <v>VeryHot40ExtremeBooster</v>
      </c>
      <c r="D209" s="6">
        <f>IFERROR(__xludf.DUMMYFUNCTION("""COMPUTED_VALUE"""),46231.0)</f>
        <v>46231</v>
      </c>
      <c r="E209" s="5" t="str">
        <f>IFERROR(__xludf.DUMMYFUNCTION("""COMPUTED_VALUE"""),"Slot")</f>
        <v>Slot</v>
      </c>
      <c r="F209" s="5">
        <f>IFERROR(__xludf.DUMMYFUNCTION("""COMPUTED_VALUE"""),36.2)</f>
        <v>36.2</v>
      </c>
      <c r="G209" s="5" t="str">
        <f>IFERROR(__xludf.DUMMYFUNCTION("""COMPUTED_VALUE"""),"5x3")</f>
        <v>5x3</v>
      </c>
      <c r="H209" s="5">
        <f>IFERROR(__xludf.DUMMYFUNCTION("""COMPUTED_VALUE"""),40.0)</f>
        <v>40</v>
      </c>
      <c r="I209" s="5">
        <f>IFERROR(__xludf.DUMMYFUNCTION("""COMPUTED_VALUE"""),40.0)</f>
        <v>40</v>
      </c>
      <c r="J209" s="5" t="str">
        <f>IFERROR(__xludf.DUMMYFUNCTION("""COMPUTED_VALUE"""),"96.453%")</f>
        <v>96.453%</v>
      </c>
      <c r="K209" s="5" t="str">
        <f>IFERROR(__xludf.DUMMYFUNCTION("""COMPUTED_VALUE"""),"Low")</f>
        <v>Low</v>
      </c>
      <c r="L209" s="5" t="str">
        <f>IFERROR(__xludf.DUMMYFUNCTION("""COMPUTED_VALUE"""),"22.711%")</f>
        <v>22.711%</v>
      </c>
      <c r="M209" s="5" t="str">
        <f>IFERROR(__xludf.DUMMYFUNCTION("""COMPUTED_VALUE"""),"x1993")</f>
        <v>x1993</v>
      </c>
      <c r="N209" s="5" t="str">
        <f>IFERROR(__xludf.DUMMYFUNCTION("""COMPUTED_VALUE"""),"0.12/ 80")</f>
        <v>0.12/ 80</v>
      </c>
      <c r="O209" s="5" t="str">
        <f>IFERROR(__xludf.DUMMYFUNCTION("""COMPUTED_VALUE"""),"Yes")</f>
        <v>Yes</v>
      </c>
      <c r="P209" s="5" t="str">
        <f>IFERROR(__xludf.DUMMYFUNCTION("""COMPUTED_VALUE"""),"Buy Feature, Win Multiplier, Wild Symbol")</f>
        <v>Buy Feature, Win Multiplier, Wild Symbol</v>
      </c>
      <c r="Q209" s="7" t="str">
        <f>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R209" s="5" t="str">
        <f>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S2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9" s="5" t="str">
        <f>IFERROR(__xludf.DUMMYFUNCTION("""COMPUTED_VALUE"""),"Yes")</f>
        <v>Yes</v>
      </c>
      <c r="U209" s="5" t="str">
        <f>IFERROR(__xludf.DUMMYFUNCTION("""COMPUTED_VALUE"""),"Yes")</f>
        <v>Yes</v>
      </c>
      <c r="V209" s="5" t="str">
        <f>IFERROR(__xludf.DUMMYFUNCTION("""COMPUTED_VALUE"""),"Yes")</f>
        <v>Yes</v>
      </c>
      <c r="W209" s="5" t="str">
        <f>IFERROR(__xludf.DUMMYFUNCTION("""COMPUTED_VALUE"""),"Yes")</f>
        <v>Yes</v>
      </c>
      <c r="X209" s="5" t="str">
        <f>IFERROR(__xludf.DUMMYFUNCTION("""COMPUTED_VALUE"""),"Yes")</f>
        <v>Yes</v>
      </c>
      <c r="Y209" s="5" t="str">
        <f>IFERROR(__xludf.DUMMYFUNCTION("""COMPUTED_VALUE"""),"Yes")</f>
        <v>Yes</v>
      </c>
      <c r="Z209" s="5" t="str">
        <f>IFERROR(__xludf.DUMMYFUNCTION("""COMPUTED_VALUE"""),"Yes")</f>
        <v>Yes</v>
      </c>
      <c r="AA209" s="5" t="str">
        <f>IFERROR(__xludf.DUMMYFUNCTION("""COMPUTED_VALUE"""),"Yes")</f>
        <v>Yes</v>
      </c>
      <c r="AB209" s="5" t="str">
        <f>IFERROR(__xludf.DUMMYFUNCTION("""COMPUTED_VALUE"""),"Yes")</f>
        <v>Yes</v>
      </c>
      <c r="AC209" s="5" t="str">
        <f>IFERROR(__xludf.DUMMYFUNCTION("""COMPUTED_VALUE"""),"Yes")</f>
        <v>Yes</v>
      </c>
      <c r="AD209" s="5" t="str">
        <f>IFERROR(__xludf.DUMMYFUNCTION("""COMPUTED_VALUE"""),"Yes")</f>
        <v>Yes</v>
      </c>
      <c r="AE209" s="5" t="str">
        <f>IFERROR(__xludf.DUMMYFUNCTION("""COMPUTED_VALUE"""),"Yes")</f>
        <v>Yes</v>
      </c>
      <c r="AF209" s="5" t="str">
        <f>IFERROR(__xludf.DUMMYFUNCTION("""COMPUTED_VALUE"""),"Yes")</f>
        <v>Yes</v>
      </c>
      <c r="AG209" s="5" t="str">
        <f>IFERROR(__xludf.DUMMYFUNCTION("""COMPUTED_VALUE"""),"Yes")</f>
        <v>Yes</v>
      </c>
      <c r="AH209" s="5" t="str">
        <f>IFERROR(__xludf.DUMMYFUNCTION("""COMPUTED_VALUE"""),"Yes")</f>
        <v>Yes</v>
      </c>
      <c r="AI209" s="5" t="str">
        <f>IFERROR(__xludf.DUMMYFUNCTION("""COMPUTED_VALUE"""),"Yes")</f>
        <v>Yes</v>
      </c>
      <c r="AJ209" s="5" t="str">
        <f>IFERROR(__xludf.DUMMYFUNCTION("""COMPUTED_VALUE"""),"Yes")</f>
        <v>Yes</v>
      </c>
      <c r="AK209" s="5" t="str">
        <f>IFERROR(__xludf.DUMMYFUNCTION("""COMPUTED_VALUE"""),"Yes")</f>
        <v>Yes</v>
      </c>
      <c r="AL209" s="5" t="str">
        <f>IFERROR(__xludf.DUMMYFUNCTION("""COMPUTED_VALUE"""),"Yes")</f>
        <v>Yes</v>
      </c>
      <c r="AM209" s="5" t="str">
        <f>IFERROR(__xludf.DUMMYFUNCTION("""COMPUTED_VALUE"""),"Yes")</f>
        <v>Yes</v>
      </c>
      <c r="AN209" s="5" t="str">
        <f>IFERROR(__xludf.DUMMYFUNCTION("""COMPUTED_VALUE"""),"Yes")</f>
        <v>Yes</v>
      </c>
      <c r="AO209" s="5" t="str">
        <f>IFERROR(__xludf.DUMMYFUNCTION("""COMPUTED_VALUE"""),"Yes")</f>
        <v>Yes</v>
      </c>
      <c r="AP209" s="5" t="str">
        <f>IFERROR(__xludf.DUMMYFUNCTION("""COMPUTED_VALUE"""),"Yes")</f>
        <v>Yes</v>
      </c>
      <c r="AQ209" s="5" t="str">
        <f>IFERROR(__xludf.DUMMYFUNCTION("""COMPUTED_VALUE"""),"Yes")</f>
        <v>Yes</v>
      </c>
      <c r="AR209" s="5" t="str">
        <f>IFERROR(__xludf.DUMMYFUNCTION("""COMPUTED_VALUE"""),"Yes")</f>
        <v>Yes</v>
      </c>
      <c r="AS209" s="5" t="str">
        <f>IFERROR(__xludf.DUMMYFUNCTION("""COMPUTED_VALUE"""),"Yes")</f>
        <v>Yes</v>
      </c>
      <c r="AT209" s="5" t="str">
        <f>IFERROR(__xludf.DUMMYFUNCTION("""COMPUTED_VALUE"""),"No")</f>
        <v>No</v>
      </c>
      <c r="AU209" s="5"/>
      <c r="AV209" s="5" t="str">
        <f>IFERROR(__xludf.DUMMYFUNCTION("""COMPUTED_VALUE"""),"")</f>
        <v/>
      </c>
      <c r="AW209" s="5" t="str">
        <f>IFERROR(__xludf.DUMMYFUNCTION("""COMPUTED_VALUE"""),"")</f>
        <v/>
      </c>
      <c r="AX209" s="5" t="str">
        <f>IFERROR(__xludf.DUMMYFUNCTION("""COMPUTED_VALUE"""),"")</f>
        <v/>
      </c>
      <c r="AY209" s="5" t="str">
        <f>IFERROR(__xludf.DUMMYFUNCTION("""COMPUTED_VALUE"""),"")</f>
        <v/>
      </c>
      <c r="AZ209" s="5" t="str">
        <f>IFERROR(__xludf.DUMMYFUNCTION("""COMPUTED_VALUE"""),"")</f>
        <v/>
      </c>
      <c r="BA209" s="5" t="str">
        <f>IFERROR(__xludf.DUMMYFUNCTION("""COMPUTED_VALUE"""),"")</f>
        <v/>
      </c>
      <c r="BB209" s="5" t="str">
        <f>IFERROR(__xludf.DUMMYFUNCTION("""COMPUTED_VALUE"""),"")</f>
        <v/>
      </c>
      <c r="BC209" s="5" t="str">
        <f>IFERROR(__xludf.DUMMYFUNCTION("""COMPUTED_VALUE"""),"")</f>
        <v/>
      </c>
      <c r="BD209" s="5" t="str">
        <f>IFERROR(__xludf.DUMMYFUNCTION("""COMPUTED_VALUE"""),"")</f>
        <v/>
      </c>
      <c r="BE209" s="5" t="str">
        <f>IFERROR(__xludf.DUMMYFUNCTION("""COMPUTED_VALUE"""),"")</f>
        <v/>
      </c>
      <c r="BF209" s="5" t="str">
        <f>IFERROR(__xludf.DUMMYFUNCTION("""COMPUTED_VALUE"""),"")</f>
        <v/>
      </c>
      <c r="BG209" s="5" t="str">
        <f>IFERROR(__xludf.DUMMYFUNCTION("""COMPUTED_VALUE"""),"")</f>
        <v/>
      </c>
      <c r="BH209" s="5" t="str">
        <f>IFERROR(__xludf.DUMMYFUNCTION("""COMPUTED_VALUE"""),"")</f>
        <v/>
      </c>
      <c r="BI209" s="5" t="str">
        <f>IFERROR(__xludf.DUMMYFUNCTION("""COMPUTED_VALUE"""),"")</f>
        <v/>
      </c>
      <c r="BJ209" s="5" t="str">
        <f>IFERROR(__xludf.DUMMYFUNCTION("""COMPUTED_VALUE"""),"")</f>
        <v/>
      </c>
      <c r="BK209" s="5" t="str">
        <f>IFERROR(__xludf.DUMMYFUNCTION("""COMPUTED_VALUE"""),"")</f>
        <v/>
      </c>
      <c r="BL209" s="5" t="str">
        <f>IFERROR(__xludf.DUMMYFUNCTION("""COMPUTED_VALUE"""),"")</f>
        <v/>
      </c>
      <c r="BM209" s="5" t="str">
        <f>IFERROR(__xludf.DUMMYFUNCTION("""COMPUTED_VALUE"""),"")</f>
        <v/>
      </c>
    </row>
    <row r="210">
      <c r="A210" s="5" t="str">
        <f>IFERROR(__xludf.DUMMYFUNCTION("""COMPUTED_VALUE"""),"Fazi")</f>
        <v>Fazi</v>
      </c>
      <c r="B210" s="5" t="str">
        <f>IFERROR(__xludf.DUMMYFUNCTION("""COMPUTED_VALUE"""),"Fortune of Wu Kong")</f>
        <v>Fortune of Wu Kong</v>
      </c>
      <c r="C210" s="5" t="str">
        <f>IFERROR(__xludf.DUMMYFUNCTION("""COMPUTED_VALUE"""),"FortuneOfWuKong")</f>
        <v>FortuneOfWuKong</v>
      </c>
      <c r="D210" s="6">
        <f>IFERROR(__xludf.DUMMYFUNCTION("""COMPUTED_VALUE"""),46191.0)</f>
        <v>46191</v>
      </c>
      <c r="E210" s="5" t="str">
        <f>IFERROR(__xludf.DUMMYFUNCTION("""COMPUTED_VALUE"""),"Slot")</f>
        <v>Slot</v>
      </c>
      <c r="F210" s="5">
        <f>IFERROR(__xludf.DUMMYFUNCTION("""COMPUTED_VALUE"""),22.1)</f>
        <v>22.1</v>
      </c>
      <c r="G210" s="5" t="str">
        <f>IFERROR(__xludf.DUMMYFUNCTION("""COMPUTED_VALUE"""),"3x3")</f>
        <v>3x3</v>
      </c>
      <c r="H210" s="5">
        <f>IFERROR(__xludf.DUMMYFUNCTION("""COMPUTED_VALUE"""),5.0)</f>
        <v>5</v>
      </c>
      <c r="I210" s="5">
        <f>IFERROR(__xludf.DUMMYFUNCTION("""COMPUTED_VALUE"""),5.0)</f>
        <v>5</v>
      </c>
      <c r="J210" s="5" t="str">
        <f>IFERROR(__xludf.DUMMYFUNCTION("""COMPUTED_VALUE"""),"96.53%")</f>
        <v>96.53%</v>
      </c>
      <c r="K210" s="5" t="str">
        <f>IFERROR(__xludf.DUMMYFUNCTION("""COMPUTED_VALUE"""),"High")</f>
        <v>High</v>
      </c>
      <c r="L210" s="5" t="str">
        <f>IFERROR(__xludf.DUMMYFUNCTION("""COMPUTED_VALUE"""),"14.086%")</f>
        <v>14.086%</v>
      </c>
      <c r="M210" s="5" t="str">
        <f>IFERROR(__xludf.DUMMYFUNCTION("""COMPUTED_VALUE"""),"x5000")</f>
        <v>x5000</v>
      </c>
      <c r="N210" s="5" t="str">
        <f>IFERROR(__xludf.DUMMYFUNCTION("""COMPUTED_VALUE"""),"0.1/50")</f>
        <v>0.1/50</v>
      </c>
      <c r="O210" s="5" t="str">
        <f>IFERROR(__xludf.DUMMYFUNCTION("""COMPUTED_VALUE"""),"No")</f>
        <v>No</v>
      </c>
      <c r="P210" s="5" t="str">
        <f>IFERROR(__xludf.DUMMYFUNCTION("""COMPUTED_VALUE"""),"Bonus Game with Special Symbol, Bonus Game with Multiplier, Wild Symbol, Buy Bonus")</f>
        <v>Bonus Game with Special Symbol, Bonus Game with Multiplier, Wild Symbol, Buy Bonus</v>
      </c>
      <c r="Q210" s="7" t="str">
        <f>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R210" s="5" t="str">
        <f>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S2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0" s="5" t="str">
        <f>IFERROR(__xludf.DUMMYFUNCTION("""COMPUTED_VALUE"""),"Yes")</f>
        <v>Yes</v>
      </c>
      <c r="U210" s="5" t="str">
        <f>IFERROR(__xludf.DUMMYFUNCTION("""COMPUTED_VALUE"""),"Yes")</f>
        <v>Yes</v>
      </c>
      <c r="V210" s="5" t="str">
        <f>IFERROR(__xludf.DUMMYFUNCTION("""COMPUTED_VALUE"""),"Yes")</f>
        <v>Yes</v>
      </c>
      <c r="W210" s="5" t="str">
        <f>IFERROR(__xludf.DUMMYFUNCTION("""COMPUTED_VALUE"""),"Yes")</f>
        <v>Yes</v>
      </c>
      <c r="X210" s="5" t="str">
        <f>IFERROR(__xludf.DUMMYFUNCTION("""COMPUTED_VALUE"""),"Yes")</f>
        <v>Yes</v>
      </c>
      <c r="Y210" s="5" t="str">
        <f>IFERROR(__xludf.DUMMYFUNCTION("""COMPUTED_VALUE"""),"Yes")</f>
        <v>Yes</v>
      </c>
      <c r="Z210" s="5" t="str">
        <f>IFERROR(__xludf.DUMMYFUNCTION("""COMPUTED_VALUE"""),"Yes")</f>
        <v>Yes</v>
      </c>
      <c r="AA210" s="5" t="str">
        <f>IFERROR(__xludf.DUMMYFUNCTION("""COMPUTED_VALUE"""),"Yes")</f>
        <v>Yes</v>
      </c>
      <c r="AB210" s="5" t="str">
        <f>IFERROR(__xludf.DUMMYFUNCTION("""COMPUTED_VALUE"""),"Yes")</f>
        <v>Yes</v>
      </c>
      <c r="AC210" s="5" t="str">
        <f>IFERROR(__xludf.DUMMYFUNCTION("""COMPUTED_VALUE"""),"Yes")</f>
        <v>Yes</v>
      </c>
      <c r="AD210" s="5" t="str">
        <f>IFERROR(__xludf.DUMMYFUNCTION("""COMPUTED_VALUE"""),"Yes")</f>
        <v>Yes</v>
      </c>
      <c r="AE210" s="5" t="str">
        <f>IFERROR(__xludf.DUMMYFUNCTION("""COMPUTED_VALUE"""),"Yes")</f>
        <v>Yes</v>
      </c>
      <c r="AF210" s="5" t="str">
        <f>IFERROR(__xludf.DUMMYFUNCTION("""COMPUTED_VALUE"""),"Yes")</f>
        <v>Yes</v>
      </c>
      <c r="AG210" s="5" t="str">
        <f>IFERROR(__xludf.DUMMYFUNCTION("""COMPUTED_VALUE"""),"Yes")</f>
        <v>Yes</v>
      </c>
      <c r="AH210" s="5" t="str">
        <f>IFERROR(__xludf.DUMMYFUNCTION("""COMPUTED_VALUE"""),"Yes")</f>
        <v>Yes</v>
      </c>
      <c r="AI210" s="5" t="str">
        <f>IFERROR(__xludf.DUMMYFUNCTION("""COMPUTED_VALUE"""),"Yes")</f>
        <v>Yes</v>
      </c>
      <c r="AJ210" s="5" t="str">
        <f>IFERROR(__xludf.DUMMYFUNCTION("""COMPUTED_VALUE"""),"Yes")</f>
        <v>Yes</v>
      </c>
      <c r="AK210" s="5" t="str">
        <f>IFERROR(__xludf.DUMMYFUNCTION("""COMPUTED_VALUE"""),"Yes")</f>
        <v>Yes</v>
      </c>
      <c r="AL210" s="5" t="str">
        <f>IFERROR(__xludf.DUMMYFUNCTION("""COMPUTED_VALUE"""),"Yes")</f>
        <v>Yes</v>
      </c>
      <c r="AM210" s="5" t="str">
        <f>IFERROR(__xludf.DUMMYFUNCTION("""COMPUTED_VALUE"""),"Yes")</f>
        <v>Yes</v>
      </c>
      <c r="AN210" s="5" t="str">
        <f>IFERROR(__xludf.DUMMYFUNCTION("""COMPUTED_VALUE"""),"Yes")</f>
        <v>Yes</v>
      </c>
      <c r="AO210" s="5" t="str">
        <f>IFERROR(__xludf.DUMMYFUNCTION("""COMPUTED_VALUE"""),"Yes")</f>
        <v>Yes</v>
      </c>
      <c r="AP210" s="5" t="str">
        <f>IFERROR(__xludf.DUMMYFUNCTION("""COMPUTED_VALUE"""),"Yes")</f>
        <v>Yes</v>
      </c>
      <c r="AQ210" s="5" t="str">
        <f>IFERROR(__xludf.DUMMYFUNCTION("""COMPUTED_VALUE"""),"Yes")</f>
        <v>Yes</v>
      </c>
      <c r="AR210" s="5" t="str">
        <f>IFERROR(__xludf.DUMMYFUNCTION("""COMPUTED_VALUE"""),"Yes")</f>
        <v>Yes</v>
      </c>
      <c r="AS210" s="5" t="str">
        <f>IFERROR(__xludf.DUMMYFUNCTION("""COMPUTED_VALUE"""),"Yes")</f>
        <v>Yes</v>
      </c>
      <c r="AT210" s="5" t="str">
        <f>IFERROR(__xludf.DUMMYFUNCTION("""COMPUTED_VALUE"""),"No")</f>
        <v>No</v>
      </c>
      <c r="AU210" s="5"/>
      <c r="AV210" s="5" t="str">
        <f>IFERROR(__xludf.DUMMYFUNCTION("""COMPUTED_VALUE"""),"Available")</f>
        <v>Available</v>
      </c>
      <c r="AW210" s="5" t="str">
        <f>IFERROR(__xludf.DUMMYFUNCTION("""COMPUTED_VALUE"""),"")</f>
        <v/>
      </c>
      <c r="AX210" s="5" t="str">
        <f>IFERROR(__xludf.DUMMYFUNCTION("""COMPUTED_VALUE"""),"")</f>
        <v/>
      </c>
      <c r="AY210" s="5" t="str">
        <f>IFERROR(__xludf.DUMMYFUNCTION("""COMPUTED_VALUE"""),"")</f>
        <v/>
      </c>
      <c r="AZ210" s="5" t="str">
        <f>IFERROR(__xludf.DUMMYFUNCTION("""COMPUTED_VALUE"""),"")</f>
        <v/>
      </c>
      <c r="BA210" s="5" t="str">
        <f>IFERROR(__xludf.DUMMYFUNCTION("""COMPUTED_VALUE"""),"")</f>
        <v/>
      </c>
      <c r="BB210" s="5" t="str">
        <f>IFERROR(__xludf.DUMMYFUNCTION("""COMPUTED_VALUE"""),"")</f>
        <v/>
      </c>
      <c r="BC210" s="5" t="str">
        <f>IFERROR(__xludf.DUMMYFUNCTION("""COMPUTED_VALUE"""),"")</f>
        <v/>
      </c>
      <c r="BD210" s="5" t="str">
        <f>IFERROR(__xludf.DUMMYFUNCTION("""COMPUTED_VALUE"""),"")</f>
        <v/>
      </c>
      <c r="BE210" s="5" t="str">
        <f>IFERROR(__xludf.DUMMYFUNCTION("""COMPUTED_VALUE"""),"")</f>
        <v/>
      </c>
      <c r="BF210" s="5" t="str">
        <f>IFERROR(__xludf.DUMMYFUNCTION("""COMPUTED_VALUE"""),"")</f>
        <v/>
      </c>
      <c r="BG210" s="5" t="str">
        <f>IFERROR(__xludf.DUMMYFUNCTION("""COMPUTED_VALUE"""),"")</f>
        <v/>
      </c>
      <c r="BH210" s="5" t="str">
        <f>IFERROR(__xludf.DUMMYFUNCTION("""COMPUTED_VALUE"""),"")</f>
        <v/>
      </c>
      <c r="BI210" s="5" t="str">
        <f>IFERROR(__xludf.DUMMYFUNCTION("""COMPUTED_VALUE"""),"")</f>
        <v/>
      </c>
      <c r="BJ210" s="5" t="str">
        <f>IFERROR(__xludf.DUMMYFUNCTION("""COMPUTED_VALUE"""),"")</f>
        <v/>
      </c>
      <c r="BK210" s="5" t="str">
        <f>IFERROR(__xludf.DUMMYFUNCTION("""COMPUTED_VALUE"""),"")</f>
        <v/>
      </c>
      <c r="BL210" s="5" t="str">
        <f>IFERROR(__xludf.DUMMYFUNCTION("""COMPUTED_VALUE"""),"")</f>
        <v/>
      </c>
      <c r="BM210" s="5" t="str">
        <f>IFERROR(__xludf.DUMMYFUNCTION("""COMPUTED_VALUE"""),"")</f>
        <v/>
      </c>
    </row>
    <row r="211">
      <c r="A211" s="5" t="str">
        <f>IFERROR(__xludf.DUMMYFUNCTION("""COMPUTED_VALUE"""),"Fazi")</f>
        <v>Fazi</v>
      </c>
      <c r="B211" s="5" t="str">
        <f>IFERROR(__xludf.DUMMYFUNCTION("""COMPUTED_VALUE"""),"Clovers And Diamonds 10")</f>
        <v>Clovers And Diamonds 10</v>
      </c>
      <c r="C211" s="5" t="str">
        <f>IFERROR(__xludf.DUMMYFUNCTION("""COMPUTED_VALUE"""),"CloversAndDiamonds10")</f>
        <v>CloversAndDiamonds10</v>
      </c>
      <c r="D211" s="6">
        <f>IFERROR(__xludf.DUMMYFUNCTION("""COMPUTED_VALUE"""),46147.0)</f>
        <v>46147</v>
      </c>
      <c r="E211" s="5" t="str">
        <f>IFERROR(__xludf.DUMMYFUNCTION("""COMPUTED_VALUE"""),"Slot")</f>
        <v>Slot</v>
      </c>
      <c r="F211" s="5">
        <f>IFERROR(__xludf.DUMMYFUNCTION("""COMPUTED_VALUE"""),42.4)</f>
        <v>42.4</v>
      </c>
      <c r="G211" s="5" t="str">
        <f>IFERROR(__xludf.DUMMYFUNCTION("""COMPUTED_VALUE"""),"5x3")</f>
        <v>5x3</v>
      </c>
      <c r="H211" s="5">
        <f>IFERROR(__xludf.DUMMYFUNCTION("""COMPUTED_VALUE"""),10.0)</f>
        <v>10</v>
      </c>
      <c r="I211" s="5">
        <f>IFERROR(__xludf.DUMMYFUNCTION("""COMPUTED_VALUE"""),10.0)</f>
        <v>10</v>
      </c>
      <c r="J211" s="5" t="str">
        <f>IFERROR(__xludf.DUMMYFUNCTION("""COMPUTED_VALUE"""),"96.566%")</f>
        <v>96.566%</v>
      </c>
      <c r="K211" s="5" t="str">
        <f>IFERROR(__xludf.DUMMYFUNCTION("""COMPUTED_VALUE"""),"Medium")</f>
        <v>Medium</v>
      </c>
      <c r="L211" s="5" t="str">
        <f>IFERROR(__xludf.DUMMYFUNCTION("""COMPUTED_VALUE"""),"16.732%")</f>
        <v>16.732%</v>
      </c>
      <c r="M211" s="5" t="str">
        <f>IFERROR(__xludf.DUMMYFUNCTION("""COMPUTED_VALUE"""),"x5000")</f>
        <v>x5000</v>
      </c>
      <c r="N211" s="5" t="str">
        <f>IFERROR(__xludf.DUMMYFUNCTION("""COMPUTED_VALUE"""),"0.1 / 50")</f>
        <v>0.1 / 50</v>
      </c>
      <c r="O211" s="5" t="str">
        <f>IFERROR(__xludf.DUMMYFUNCTION("""COMPUTED_VALUE"""),"Yes")</f>
        <v>Yes</v>
      </c>
      <c r="P211" s="5" t="str">
        <f>IFERROR(__xludf.DUMMYFUNCTION("""COMPUTED_VALUE"""),"Wild Multiplier")</f>
        <v>Wild Multiplier</v>
      </c>
      <c r="Q211" s="7" t="str">
        <f>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R211" s="5" t="str">
        <f>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S2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1" s="5" t="str">
        <f>IFERROR(__xludf.DUMMYFUNCTION("""COMPUTED_VALUE"""),"Yes")</f>
        <v>Yes</v>
      </c>
      <c r="U211" s="5" t="str">
        <f>IFERROR(__xludf.DUMMYFUNCTION("""COMPUTED_VALUE"""),"Yes")</f>
        <v>Yes</v>
      </c>
      <c r="V211" s="5" t="str">
        <f>IFERROR(__xludf.DUMMYFUNCTION("""COMPUTED_VALUE"""),"Yes")</f>
        <v>Yes</v>
      </c>
      <c r="W211" s="5" t="str">
        <f>IFERROR(__xludf.DUMMYFUNCTION("""COMPUTED_VALUE"""),"Yes")</f>
        <v>Yes</v>
      </c>
      <c r="X211" s="5" t="str">
        <f>IFERROR(__xludf.DUMMYFUNCTION("""COMPUTED_VALUE"""),"Yes")</f>
        <v>Yes</v>
      </c>
      <c r="Y211" s="5" t="str">
        <f>IFERROR(__xludf.DUMMYFUNCTION("""COMPUTED_VALUE"""),"Yes")</f>
        <v>Yes</v>
      </c>
      <c r="Z211" s="5" t="str">
        <f>IFERROR(__xludf.DUMMYFUNCTION("""COMPUTED_VALUE"""),"Yes")</f>
        <v>Yes</v>
      </c>
      <c r="AA211" s="5" t="str">
        <f>IFERROR(__xludf.DUMMYFUNCTION("""COMPUTED_VALUE"""),"Yes")</f>
        <v>Yes</v>
      </c>
      <c r="AB211" s="5" t="str">
        <f>IFERROR(__xludf.DUMMYFUNCTION("""COMPUTED_VALUE"""),"Yes")</f>
        <v>Yes</v>
      </c>
      <c r="AC211" s="5" t="str">
        <f>IFERROR(__xludf.DUMMYFUNCTION("""COMPUTED_VALUE"""),"Yes")</f>
        <v>Yes</v>
      </c>
      <c r="AD211" s="5" t="str">
        <f>IFERROR(__xludf.DUMMYFUNCTION("""COMPUTED_VALUE"""),"Yes")</f>
        <v>Yes</v>
      </c>
      <c r="AE211" s="5" t="str">
        <f>IFERROR(__xludf.DUMMYFUNCTION("""COMPUTED_VALUE"""),"Yes")</f>
        <v>Yes</v>
      </c>
      <c r="AF211" s="5" t="str">
        <f>IFERROR(__xludf.DUMMYFUNCTION("""COMPUTED_VALUE"""),"Yes")</f>
        <v>Yes</v>
      </c>
      <c r="AG211" s="5" t="str">
        <f>IFERROR(__xludf.DUMMYFUNCTION("""COMPUTED_VALUE"""),"Yes")</f>
        <v>Yes</v>
      </c>
      <c r="AH211" s="5" t="str">
        <f>IFERROR(__xludf.DUMMYFUNCTION("""COMPUTED_VALUE"""),"Yes")</f>
        <v>Yes</v>
      </c>
      <c r="AI211" s="5" t="str">
        <f>IFERROR(__xludf.DUMMYFUNCTION("""COMPUTED_VALUE"""),"Yes")</f>
        <v>Yes</v>
      </c>
      <c r="AJ211" s="5" t="str">
        <f>IFERROR(__xludf.DUMMYFUNCTION("""COMPUTED_VALUE"""),"Yes")</f>
        <v>Yes</v>
      </c>
      <c r="AK211" s="5" t="str">
        <f>IFERROR(__xludf.DUMMYFUNCTION("""COMPUTED_VALUE"""),"Yes")</f>
        <v>Yes</v>
      </c>
      <c r="AL211" s="5" t="str">
        <f>IFERROR(__xludf.DUMMYFUNCTION("""COMPUTED_VALUE"""),"Yes")</f>
        <v>Yes</v>
      </c>
      <c r="AM211" s="5" t="str">
        <f>IFERROR(__xludf.DUMMYFUNCTION("""COMPUTED_VALUE"""),"Yes")</f>
        <v>Yes</v>
      </c>
      <c r="AN211" s="5" t="str">
        <f>IFERROR(__xludf.DUMMYFUNCTION("""COMPUTED_VALUE"""),"Yes")</f>
        <v>Yes</v>
      </c>
      <c r="AO211" s="5" t="str">
        <f>IFERROR(__xludf.DUMMYFUNCTION("""COMPUTED_VALUE"""),"Yes")</f>
        <v>Yes</v>
      </c>
      <c r="AP211" s="5" t="str">
        <f>IFERROR(__xludf.DUMMYFUNCTION("""COMPUTED_VALUE"""),"Yes")</f>
        <v>Yes</v>
      </c>
      <c r="AQ211" s="5" t="str">
        <f>IFERROR(__xludf.DUMMYFUNCTION("""COMPUTED_VALUE"""),"Yes")</f>
        <v>Yes</v>
      </c>
      <c r="AR211" s="5" t="str">
        <f>IFERROR(__xludf.DUMMYFUNCTION("""COMPUTED_VALUE"""),"Yes")</f>
        <v>Yes</v>
      </c>
      <c r="AS211" s="5" t="str">
        <f>IFERROR(__xludf.DUMMYFUNCTION("""COMPUTED_VALUE"""),"Yes")</f>
        <v>Yes</v>
      </c>
      <c r="AT211" s="5" t="str">
        <f>IFERROR(__xludf.DUMMYFUNCTION("""COMPUTED_VALUE"""),"No")</f>
        <v>No</v>
      </c>
      <c r="AU211" s="5"/>
      <c r="AV211" s="5" t="str">
        <f>IFERROR(__xludf.DUMMYFUNCTION("""COMPUTED_VALUE"""),"")</f>
        <v/>
      </c>
      <c r="AW211" s="5" t="str">
        <f>IFERROR(__xludf.DUMMYFUNCTION("""COMPUTED_VALUE"""),"")</f>
        <v/>
      </c>
      <c r="AX211" s="5" t="str">
        <f>IFERROR(__xludf.DUMMYFUNCTION("""COMPUTED_VALUE"""),"")</f>
        <v/>
      </c>
      <c r="AY211" s="5" t="str">
        <f>IFERROR(__xludf.DUMMYFUNCTION("""COMPUTED_VALUE"""),"")</f>
        <v/>
      </c>
      <c r="AZ211" s="5" t="str">
        <f>IFERROR(__xludf.DUMMYFUNCTION("""COMPUTED_VALUE"""),"")</f>
        <v/>
      </c>
      <c r="BA211" s="5" t="str">
        <f>IFERROR(__xludf.DUMMYFUNCTION("""COMPUTED_VALUE"""),"")</f>
        <v/>
      </c>
      <c r="BB211" s="5" t="str">
        <f>IFERROR(__xludf.DUMMYFUNCTION("""COMPUTED_VALUE"""),"")</f>
        <v/>
      </c>
      <c r="BC211" s="5" t="str">
        <f>IFERROR(__xludf.DUMMYFUNCTION("""COMPUTED_VALUE"""),"")</f>
        <v/>
      </c>
      <c r="BD211" s="5" t="str">
        <f>IFERROR(__xludf.DUMMYFUNCTION("""COMPUTED_VALUE"""),"")</f>
        <v/>
      </c>
      <c r="BE211" s="5" t="str">
        <f>IFERROR(__xludf.DUMMYFUNCTION("""COMPUTED_VALUE"""),"")</f>
        <v/>
      </c>
      <c r="BF211" s="5" t="str">
        <f>IFERROR(__xludf.DUMMYFUNCTION("""COMPUTED_VALUE"""),"")</f>
        <v/>
      </c>
      <c r="BG211" s="5" t="str">
        <f>IFERROR(__xludf.DUMMYFUNCTION("""COMPUTED_VALUE"""),"")</f>
        <v/>
      </c>
      <c r="BH211" s="5" t="str">
        <f>IFERROR(__xludf.DUMMYFUNCTION("""COMPUTED_VALUE"""),"")</f>
        <v/>
      </c>
      <c r="BI211" s="5" t="str">
        <f>IFERROR(__xludf.DUMMYFUNCTION("""COMPUTED_VALUE"""),"")</f>
        <v/>
      </c>
      <c r="BJ211" s="5" t="str">
        <f>IFERROR(__xludf.DUMMYFUNCTION("""COMPUTED_VALUE"""),"")</f>
        <v/>
      </c>
      <c r="BK211" s="5" t="str">
        <f>IFERROR(__xludf.DUMMYFUNCTION("""COMPUTED_VALUE"""),"")</f>
        <v/>
      </c>
      <c r="BL211" s="5" t="str">
        <f>IFERROR(__xludf.DUMMYFUNCTION("""COMPUTED_VALUE"""),"")</f>
        <v/>
      </c>
      <c r="BM211" s="5" t="str">
        <f>IFERROR(__xludf.DUMMYFUNCTION("""COMPUTED_VALUE"""),"")</f>
        <v/>
      </c>
    </row>
    <row r="212">
      <c r="A212" s="5" t="str">
        <f>IFERROR(__xludf.DUMMYFUNCTION("""COMPUTED_VALUE"""),"Fazi")</f>
        <v>Fazi</v>
      </c>
      <c r="B212" s="5" t="str">
        <f>IFERROR(__xludf.DUMMYFUNCTION("""COMPUTED_VALUE"""),"Clovers And Diamonds 20")</f>
        <v>Clovers And Diamonds 20</v>
      </c>
      <c r="C212" s="5" t="str">
        <f>IFERROR(__xludf.DUMMYFUNCTION("""COMPUTED_VALUE"""),"CloversAndDiamonds20")</f>
        <v>CloversAndDiamonds20</v>
      </c>
      <c r="D212" s="6">
        <f>IFERROR(__xludf.DUMMYFUNCTION("""COMPUTED_VALUE"""),46219.0)</f>
        <v>46219</v>
      </c>
      <c r="E212" s="5" t="str">
        <f>IFERROR(__xludf.DUMMYFUNCTION("""COMPUTED_VALUE"""),"Slot")</f>
        <v>Slot</v>
      </c>
      <c r="F212" s="5">
        <f>IFERROR(__xludf.DUMMYFUNCTION("""COMPUTED_VALUE"""),42.4)</f>
        <v>42.4</v>
      </c>
      <c r="G212" s="5" t="str">
        <f>IFERROR(__xludf.DUMMYFUNCTION("""COMPUTED_VALUE"""),"5x3")</f>
        <v>5x3</v>
      </c>
      <c r="H212" s="5">
        <f>IFERROR(__xludf.DUMMYFUNCTION("""COMPUTED_VALUE"""),20.0)</f>
        <v>20</v>
      </c>
      <c r="I212" s="5">
        <f>IFERROR(__xludf.DUMMYFUNCTION("""COMPUTED_VALUE"""),20.0)</f>
        <v>20</v>
      </c>
      <c r="J212" s="5" t="str">
        <f>IFERROR(__xludf.DUMMYFUNCTION("""COMPUTED_VALUE"""),"96.564%")</f>
        <v>96.564%</v>
      </c>
      <c r="K212" s="5" t="str">
        <f>IFERROR(__xludf.DUMMYFUNCTION("""COMPUTED_VALUE"""),"Medium")</f>
        <v>Medium</v>
      </c>
      <c r="L212" s="5" t="str">
        <f>IFERROR(__xludf.DUMMYFUNCTION("""COMPUTED_VALUE"""),"20.941%")</f>
        <v>20.941%</v>
      </c>
      <c r="M212" s="5" t="str">
        <f>IFERROR(__xludf.DUMMYFUNCTION("""COMPUTED_VALUE"""),"x5000")</f>
        <v>x5000</v>
      </c>
      <c r="N212" s="5" t="str">
        <f>IFERROR(__xludf.DUMMYFUNCTION("""COMPUTED_VALUE"""),"0.2/50")</f>
        <v>0.2/50</v>
      </c>
      <c r="O212" s="5" t="str">
        <f>IFERROR(__xludf.DUMMYFUNCTION("""COMPUTED_VALUE"""),"Yes")</f>
        <v>Yes</v>
      </c>
      <c r="P212" s="5" t="str">
        <f>IFERROR(__xludf.DUMMYFUNCTION("""COMPUTED_VALUE"""),"Wild Multiplier, Wild Symbol")</f>
        <v>Wild Multiplier, Wild Symbol</v>
      </c>
      <c r="Q212" s="7" t="str">
        <f>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R212" s="5" t="str">
        <f>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S2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2" s="5" t="str">
        <f>IFERROR(__xludf.DUMMYFUNCTION("""COMPUTED_VALUE"""),"Yes")</f>
        <v>Yes</v>
      </c>
      <c r="U212" s="5" t="str">
        <f>IFERROR(__xludf.DUMMYFUNCTION("""COMPUTED_VALUE"""),"Yes")</f>
        <v>Yes</v>
      </c>
      <c r="V212" s="5" t="str">
        <f>IFERROR(__xludf.DUMMYFUNCTION("""COMPUTED_VALUE"""),"Yes")</f>
        <v>Yes</v>
      </c>
      <c r="W212" s="5" t="str">
        <f>IFERROR(__xludf.DUMMYFUNCTION("""COMPUTED_VALUE"""),"Yes")</f>
        <v>Yes</v>
      </c>
      <c r="X212" s="5" t="str">
        <f>IFERROR(__xludf.DUMMYFUNCTION("""COMPUTED_VALUE"""),"Yes")</f>
        <v>Yes</v>
      </c>
      <c r="Y212" s="5" t="str">
        <f>IFERROR(__xludf.DUMMYFUNCTION("""COMPUTED_VALUE"""),"Yes")</f>
        <v>Yes</v>
      </c>
      <c r="Z212" s="5" t="str">
        <f>IFERROR(__xludf.DUMMYFUNCTION("""COMPUTED_VALUE"""),"Yes")</f>
        <v>Yes</v>
      </c>
      <c r="AA212" s="5" t="str">
        <f>IFERROR(__xludf.DUMMYFUNCTION("""COMPUTED_VALUE"""),"Yes")</f>
        <v>Yes</v>
      </c>
      <c r="AB212" s="5" t="str">
        <f>IFERROR(__xludf.DUMMYFUNCTION("""COMPUTED_VALUE"""),"Yes")</f>
        <v>Yes</v>
      </c>
      <c r="AC212" s="5" t="str">
        <f>IFERROR(__xludf.DUMMYFUNCTION("""COMPUTED_VALUE"""),"Yes")</f>
        <v>Yes</v>
      </c>
      <c r="AD212" s="5" t="str">
        <f>IFERROR(__xludf.DUMMYFUNCTION("""COMPUTED_VALUE"""),"Yes")</f>
        <v>Yes</v>
      </c>
      <c r="AE212" s="5" t="str">
        <f>IFERROR(__xludf.DUMMYFUNCTION("""COMPUTED_VALUE"""),"Yes")</f>
        <v>Yes</v>
      </c>
      <c r="AF212" s="5" t="str">
        <f>IFERROR(__xludf.DUMMYFUNCTION("""COMPUTED_VALUE"""),"Yes")</f>
        <v>Yes</v>
      </c>
      <c r="AG212" s="5" t="str">
        <f>IFERROR(__xludf.DUMMYFUNCTION("""COMPUTED_VALUE"""),"Yes")</f>
        <v>Yes</v>
      </c>
      <c r="AH212" s="5" t="str">
        <f>IFERROR(__xludf.DUMMYFUNCTION("""COMPUTED_VALUE"""),"Yes")</f>
        <v>Yes</v>
      </c>
      <c r="AI212" s="5" t="str">
        <f>IFERROR(__xludf.DUMMYFUNCTION("""COMPUTED_VALUE"""),"Yes")</f>
        <v>Yes</v>
      </c>
      <c r="AJ212" s="5" t="str">
        <f>IFERROR(__xludf.DUMMYFUNCTION("""COMPUTED_VALUE"""),"Yes")</f>
        <v>Yes</v>
      </c>
      <c r="AK212" s="5" t="str">
        <f>IFERROR(__xludf.DUMMYFUNCTION("""COMPUTED_VALUE"""),"Yes")</f>
        <v>Yes</v>
      </c>
      <c r="AL212" s="5" t="str">
        <f>IFERROR(__xludf.DUMMYFUNCTION("""COMPUTED_VALUE"""),"Yes")</f>
        <v>Yes</v>
      </c>
      <c r="AM212" s="5" t="str">
        <f>IFERROR(__xludf.DUMMYFUNCTION("""COMPUTED_VALUE"""),"Yes")</f>
        <v>Yes</v>
      </c>
      <c r="AN212" s="5" t="str">
        <f>IFERROR(__xludf.DUMMYFUNCTION("""COMPUTED_VALUE"""),"Yes")</f>
        <v>Yes</v>
      </c>
      <c r="AO212" s="5" t="str">
        <f>IFERROR(__xludf.DUMMYFUNCTION("""COMPUTED_VALUE"""),"Yes")</f>
        <v>Yes</v>
      </c>
      <c r="AP212" s="5" t="str">
        <f>IFERROR(__xludf.DUMMYFUNCTION("""COMPUTED_VALUE"""),"Yes")</f>
        <v>Yes</v>
      </c>
      <c r="AQ212" s="5" t="str">
        <f>IFERROR(__xludf.DUMMYFUNCTION("""COMPUTED_VALUE"""),"Yes")</f>
        <v>Yes</v>
      </c>
      <c r="AR212" s="5" t="str">
        <f>IFERROR(__xludf.DUMMYFUNCTION("""COMPUTED_VALUE"""),"Yes")</f>
        <v>Yes</v>
      </c>
      <c r="AS212" s="5" t="str">
        <f>IFERROR(__xludf.DUMMYFUNCTION("""COMPUTED_VALUE"""),"Yes")</f>
        <v>Yes</v>
      </c>
      <c r="AT212" s="5" t="str">
        <f>IFERROR(__xludf.DUMMYFUNCTION("""COMPUTED_VALUE"""),"No")</f>
        <v>No</v>
      </c>
      <c r="AU212" s="5"/>
      <c r="AV212" s="5" t="str">
        <f>IFERROR(__xludf.DUMMYFUNCTION("""COMPUTED_VALUE"""),"")</f>
        <v/>
      </c>
      <c r="AW212" s="5" t="str">
        <f>IFERROR(__xludf.DUMMYFUNCTION("""COMPUTED_VALUE"""),"")</f>
        <v/>
      </c>
      <c r="AX212" s="5" t="str">
        <f>IFERROR(__xludf.DUMMYFUNCTION("""COMPUTED_VALUE"""),"")</f>
        <v/>
      </c>
      <c r="AY212" s="5" t="str">
        <f>IFERROR(__xludf.DUMMYFUNCTION("""COMPUTED_VALUE"""),"")</f>
        <v/>
      </c>
      <c r="AZ212" s="5" t="str">
        <f>IFERROR(__xludf.DUMMYFUNCTION("""COMPUTED_VALUE"""),"")</f>
        <v/>
      </c>
      <c r="BA212" s="5" t="str">
        <f>IFERROR(__xludf.DUMMYFUNCTION("""COMPUTED_VALUE"""),"")</f>
        <v/>
      </c>
      <c r="BB212" s="5" t="str">
        <f>IFERROR(__xludf.DUMMYFUNCTION("""COMPUTED_VALUE"""),"")</f>
        <v/>
      </c>
      <c r="BC212" s="5" t="str">
        <f>IFERROR(__xludf.DUMMYFUNCTION("""COMPUTED_VALUE"""),"")</f>
        <v/>
      </c>
      <c r="BD212" s="5" t="str">
        <f>IFERROR(__xludf.DUMMYFUNCTION("""COMPUTED_VALUE"""),"")</f>
        <v/>
      </c>
      <c r="BE212" s="5" t="str">
        <f>IFERROR(__xludf.DUMMYFUNCTION("""COMPUTED_VALUE"""),"")</f>
        <v/>
      </c>
      <c r="BF212" s="5" t="str">
        <f>IFERROR(__xludf.DUMMYFUNCTION("""COMPUTED_VALUE"""),"")</f>
        <v/>
      </c>
      <c r="BG212" s="5" t="str">
        <f>IFERROR(__xludf.DUMMYFUNCTION("""COMPUTED_VALUE"""),"")</f>
        <v/>
      </c>
      <c r="BH212" s="5" t="str">
        <f>IFERROR(__xludf.DUMMYFUNCTION("""COMPUTED_VALUE"""),"")</f>
        <v/>
      </c>
      <c r="BI212" s="5" t="str">
        <f>IFERROR(__xludf.DUMMYFUNCTION("""COMPUTED_VALUE"""),"")</f>
        <v/>
      </c>
      <c r="BJ212" s="5" t="str">
        <f>IFERROR(__xludf.DUMMYFUNCTION("""COMPUTED_VALUE"""),"")</f>
        <v/>
      </c>
      <c r="BK212" s="5" t="str">
        <f>IFERROR(__xludf.DUMMYFUNCTION("""COMPUTED_VALUE"""),"")</f>
        <v/>
      </c>
      <c r="BL212" s="5" t="str">
        <f>IFERROR(__xludf.DUMMYFUNCTION("""COMPUTED_VALUE"""),"")</f>
        <v/>
      </c>
      <c r="BM212" s="5" t="str">
        <f>IFERROR(__xludf.DUMMYFUNCTION("""COMPUTED_VALUE"""),"")</f>
        <v/>
      </c>
    </row>
    <row r="213">
      <c r="A213" s="5" t="str">
        <f>IFERROR(__xludf.DUMMYFUNCTION("""COMPUTED_VALUE"""),"Fazi")</f>
        <v>Fazi</v>
      </c>
      <c r="B213" s="5" t="str">
        <f>IFERROR(__xludf.DUMMYFUNCTION("""COMPUTED_VALUE"""),"Clovers And Diamonds 40")</f>
        <v>Clovers And Diamonds 40</v>
      </c>
      <c r="C213" s="5" t="str">
        <f>IFERROR(__xludf.DUMMYFUNCTION("""COMPUTED_VALUE"""),"CloversAndDiamonds40")</f>
        <v>CloversAndDiamonds40</v>
      </c>
      <c r="D213" s="6">
        <f>IFERROR(__xludf.DUMMYFUNCTION("""COMPUTED_VALUE"""),46280.0)</f>
        <v>46280</v>
      </c>
      <c r="E213" s="5" t="str">
        <f>IFERROR(__xludf.DUMMYFUNCTION("""COMPUTED_VALUE"""),"Slot")</f>
        <v>Slot</v>
      </c>
      <c r="F213" s="5">
        <f>IFERROR(__xludf.DUMMYFUNCTION("""COMPUTED_VALUE"""),22.3)</f>
        <v>22.3</v>
      </c>
      <c r="G213" s="5" t="str">
        <f>IFERROR(__xludf.DUMMYFUNCTION("""COMPUTED_VALUE"""),"5x3")</f>
        <v>5x3</v>
      </c>
      <c r="H213" s="5">
        <f>IFERROR(__xludf.DUMMYFUNCTION("""COMPUTED_VALUE"""),40.0)</f>
        <v>40</v>
      </c>
      <c r="I213" s="5">
        <f>IFERROR(__xludf.DUMMYFUNCTION("""COMPUTED_VALUE"""),40.0)</f>
        <v>40</v>
      </c>
      <c r="J213" s="5" t="str">
        <f>IFERROR(__xludf.DUMMYFUNCTION("""COMPUTED_VALUE"""),"96.583%")</f>
        <v>96.583%</v>
      </c>
      <c r="K213" s="5" t="str">
        <f>IFERROR(__xludf.DUMMYFUNCTION("""COMPUTED_VALUE"""),"Medium")</f>
        <v>Medium</v>
      </c>
      <c r="L213" s="5" t="str">
        <f>IFERROR(__xludf.DUMMYFUNCTION("""COMPUTED_VALUE"""),"22.748%")</f>
        <v>22.748%</v>
      </c>
      <c r="M213" s="5" t="str">
        <f>IFERROR(__xludf.DUMMYFUNCTION("""COMPUTED_VALUE"""),"x5000")</f>
        <v>x5000</v>
      </c>
      <c r="N213" s="5" t="str">
        <f>IFERROR(__xludf.DUMMYFUNCTION("""COMPUTED_VALUE"""),"0.4/60")</f>
        <v>0.4/60</v>
      </c>
      <c r="O213" s="5" t="str">
        <f>IFERROR(__xludf.DUMMYFUNCTION("""COMPUTED_VALUE"""),"Yes")</f>
        <v>Yes</v>
      </c>
      <c r="P213" s="5" t="str">
        <f>IFERROR(__xludf.DUMMYFUNCTION("""COMPUTED_VALUE"""),"Free Rounds, Scatter, Expanding Wild, Wild Multiplier")</f>
        <v>Free Rounds, Scatter, Expanding Wild, Wild Multiplier</v>
      </c>
      <c r="Q213" s="7" t="str">
        <f>IFERROR(__xludf.DUMMYFUNCTION("""COMPUTED_VALUE"""),"https://onlinegamespromo.fazi.rs/Home/IntegrationGameLaunch?moneyType=0&amp;gameName=CloversAndDiamonds40&amp;platform=desktop&amp;languageCode=eng&amp;currency=EUR")</f>
        <v>https://onlinegamespromo.fazi.rs/Home/IntegrationGameLaunch?moneyType=0&amp;gameName=CloversAndDiamonds40&amp;platform=desktop&amp;languageCode=eng&amp;currency=EUR</v>
      </c>
      <c r="R213" s="5" t="str">
        <f>IFERROR(__xludf.DUMMYFUNCTION("""COMPUTED_VALUE"""),"Step into Clovers and Diamonds 40, where luck and sparkle collide on a bigger grid! Glowing clovers and radiant diamonds light up the reels across 40 paylines, packed with expanding symbols and multipliers up to x20 to elevate every winning moment. Dynami"&amp;"c, colorful, and loaded with potential – ready to turn your luck into sparkling rewards? ")</f>
        <v>Step into Clovers and Diamonds 40, where luck and sparkle collide on a bigger grid! Glowing clovers and radiant diamonds light up the reels across 40 paylines, packed with expanding symbols and multipliers up to x20 to elevate every winning moment. Dynamic, colorful, and loaded with potential – ready to turn your luck into sparkling rewards? </v>
      </c>
      <c r="S2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3" s="5" t="str">
        <f>IFERROR(__xludf.DUMMYFUNCTION("""COMPUTED_VALUE"""),"Yes")</f>
        <v>Yes</v>
      </c>
      <c r="U213" s="5" t="str">
        <f>IFERROR(__xludf.DUMMYFUNCTION("""COMPUTED_VALUE"""),"Yes")</f>
        <v>Yes</v>
      </c>
      <c r="V213" s="5" t="str">
        <f>IFERROR(__xludf.DUMMYFUNCTION("""COMPUTED_VALUE"""),"Yes")</f>
        <v>Yes</v>
      </c>
      <c r="W213" s="5" t="str">
        <f>IFERROR(__xludf.DUMMYFUNCTION("""COMPUTED_VALUE"""),"Yes")</f>
        <v>Yes</v>
      </c>
      <c r="X213" s="5" t="str">
        <f>IFERROR(__xludf.DUMMYFUNCTION("""COMPUTED_VALUE"""),"Yes")</f>
        <v>Yes</v>
      </c>
      <c r="Y213" s="5" t="str">
        <f>IFERROR(__xludf.DUMMYFUNCTION("""COMPUTED_VALUE"""),"Yes")</f>
        <v>Yes</v>
      </c>
      <c r="Z213" s="5" t="str">
        <f>IFERROR(__xludf.DUMMYFUNCTION("""COMPUTED_VALUE"""),"Yes")</f>
        <v>Yes</v>
      </c>
      <c r="AA213" s="5" t="str">
        <f>IFERROR(__xludf.DUMMYFUNCTION("""COMPUTED_VALUE"""),"Yes")</f>
        <v>Yes</v>
      </c>
      <c r="AB213" s="5" t="str">
        <f>IFERROR(__xludf.DUMMYFUNCTION("""COMPUTED_VALUE"""),"Yes")</f>
        <v>Yes</v>
      </c>
      <c r="AC213" s="5" t="str">
        <f>IFERROR(__xludf.DUMMYFUNCTION("""COMPUTED_VALUE"""),"Yes")</f>
        <v>Yes</v>
      </c>
      <c r="AD213" s="5" t="str">
        <f>IFERROR(__xludf.DUMMYFUNCTION("""COMPUTED_VALUE"""),"Yes")</f>
        <v>Yes</v>
      </c>
      <c r="AE213" s="5" t="str">
        <f>IFERROR(__xludf.DUMMYFUNCTION("""COMPUTED_VALUE"""),"Yes")</f>
        <v>Yes</v>
      </c>
      <c r="AF213" s="5" t="str">
        <f>IFERROR(__xludf.DUMMYFUNCTION("""COMPUTED_VALUE"""),"Yes")</f>
        <v>Yes</v>
      </c>
      <c r="AG213" s="5" t="str">
        <f>IFERROR(__xludf.DUMMYFUNCTION("""COMPUTED_VALUE"""),"Yes")</f>
        <v>Yes</v>
      </c>
      <c r="AH213" s="5" t="str">
        <f>IFERROR(__xludf.DUMMYFUNCTION("""COMPUTED_VALUE"""),"Yes")</f>
        <v>Yes</v>
      </c>
      <c r="AI213" s="5" t="str">
        <f>IFERROR(__xludf.DUMMYFUNCTION("""COMPUTED_VALUE"""),"Yes")</f>
        <v>Yes</v>
      </c>
      <c r="AJ213" s="5" t="str">
        <f>IFERROR(__xludf.DUMMYFUNCTION("""COMPUTED_VALUE"""),"Yes")</f>
        <v>Yes</v>
      </c>
      <c r="AK213" s="5" t="str">
        <f>IFERROR(__xludf.DUMMYFUNCTION("""COMPUTED_VALUE"""),"Yes")</f>
        <v>Yes</v>
      </c>
      <c r="AL213" s="5" t="str">
        <f>IFERROR(__xludf.DUMMYFUNCTION("""COMPUTED_VALUE"""),"Yes")</f>
        <v>Yes</v>
      </c>
      <c r="AM213" s="5" t="str">
        <f>IFERROR(__xludf.DUMMYFUNCTION("""COMPUTED_VALUE"""),"Yes")</f>
        <v>Yes</v>
      </c>
      <c r="AN213" s="5" t="str">
        <f>IFERROR(__xludf.DUMMYFUNCTION("""COMPUTED_VALUE"""),"Yes")</f>
        <v>Yes</v>
      </c>
      <c r="AO213" s="5" t="str">
        <f>IFERROR(__xludf.DUMMYFUNCTION("""COMPUTED_VALUE"""),"Yes")</f>
        <v>Yes</v>
      </c>
      <c r="AP213" s="5" t="str">
        <f>IFERROR(__xludf.DUMMYFUNCTION("""COMPUTED_VALUE"""),"Yes")</f>
        <v>Yes</v>
      </c>
      <c r="AQ213" s="5" t="str">
        <f>IFERROR(__xludf.DUMMYFUNCTION("""COMPUTED_VALUE"""),"Yes")</f>
        <v>Yes</v>
      </c>
      <c r="AR213" s="5" t="str">
        <f>IFERROR(__xludf.DUMMYFUNCTION("""COMPUTED_VALUE"""),"Yes")</f>
        <v>Yes</v>
      </c>
      <c r="AS213" s="5" t="str">
        <f>IFERROR(__xludf.DUMMYFUNCTION("""COMPUTED_VALUE"""),"Yes")</f>
        <v>Yes</v>
      </c>
      <c r="AT213" s="5" t="str">
        <f>IFERROR(__xludf.DUMMYFUNCTION("""COMPUTED_VALUE"""),"No")</f>
        <v>No</v>
      </c>
      <c r="AU213" s="5"/>
      <c r="AV213" s="5" t="str">
        <f>IFERROR(__xludf.DUMMYFUNCTION("""COMPUTED_VALUE"""),"")</f>
        <v/>
      </c>
      <c r="AW213" s="5" t="str">
        <f>IFERROR(__xludf.DUMMYFUNCTION("""COMPUTED_VALUE"""),"")</f>
        <v/>
      </c>
      <c r="AX213" s="5" t="str">
        <f>IFERROR(__xludf.DUMMYFUNCTION("""COMPUTED_VALUE"""),"")</f>
        <v/>
      </c>
      <c r="AY213" s="5" t="str">
        <f>IFERROR(__xludf.DUMMYFUNCTION("""COMPUTED_VALUE"""),"")</f>
        <v/>
      </c>
      <c r="AZ213" s="5" t="str">
        <f>IFERROR(__xludf.DUMMYFUNCTION("""COMPUTED_VALUE"""),"")</f>
        <v/>
      </c>
      <c r="BA213" s="5" t="str">
        <f>IFERROR(__xludf.DUMMYFUNCTION("""COMPUTED_VALUE"""),"")</f>
        <v/>
      </c>
      <c r="BB213" s="5" t="str">
        <f>IFERROR(__xludf.DUMMYFUNCTION("""COMPUTED_VALUE"""),"")</f>
        <v/>
      </c>
      <c r="BC213" s="5" t="str">
        <f>IFERROR(__xludf.DUMMYFUNCTION("""COMPUTED_VALUE"""),"")</f>
        <v/>
      </c>
      <c r="BD213" s="5" t="str">
        <f>IFERROR(__xludf.DUMMYFUNCTION("""COMPUTED_VALUE"""),"")</f>
        <v/>
      </c>
      <c r="BE213" s="5" t="str">
        <f>IFERROR(__xludf.DUMMYFUNCTION("""COMPUTED_VALUE"""),"")</f>
        <v/>
      </c>
      <c r="BF213" s="5" t="str">
        <f>IFERROR(__xludf.DUMMYFUNCTION("""COMPUTED_VALUE"""),"")</f>
        <v/>
      </c>
      <c r="BG213" s="5" t="str">
        <f>IFERROR(__xludf.DUMMYFUNCTION("""COMPUTED_VALUE"""),"")</f>
        <v/>
      </c>
      <c r="BH213" s="5" t="str">
        <f>IFERROR(__xludf.DUMMYFUNCTION("""COMPUTED_VALUE"""),"")</f>
        <v/>
      </c>
      <c r="BI213" s="5" t="str">
        <f>IFERROR(__xludf.DUMMYFUNCTION("""COMPUTED_VALUE"""),"")</f>
        <v/>
      </c>
      <c r="BJ213" s="5" t="str">
        <f>IFERROR(__xludf.DUMMYFUNCTION("""COMPUTED_VALUE"""),"")</f>
        <v/>
      </c>
      <c r="BK213" s="5" t="str">
        <f>IFERROR(__xludf.DUMMYFUNCTION("""COMPUTED_VALUE"""),"")</f>
        <v/>
      </c>
      <c r="BL213" s="5" t="str">
        <f>IFERROR(__xludf.DUMMYFUNCTION("""COMPUTED_VALUE"""),"")</f>
        <v/>
      </c>
      <c r="BM213" s="5" t="str">
        <f>IFERROR(__xludf.DUMMYFUNCTION("""COMPUTED_VALUE"""),"")</f>
        <v/>
      </c>
    </row>
    <row r="214">
      <c r="A214" s="5" t="str">
        <f>IFERROR(__xludf.DUMMYFUNCTION("""COMPUTED_VALUE"""),"Fazi")</f>
        <v>Fazi</v>
      </c>
      <c r="B214" s="5" t="str">
        <f>IFERROR(__xludf.DUMMYFUNCTION("""COMPUTED_VALUE"""),"Royalgarden Queen")</f>
        <v>Royalgarden Queen</v>
      </c>
      <c r="C214" s="5" t="str">
        <f>IFERROR(__xludf.DUMMYFUNCTION("""COMPUTED_VALUE"""),"RoyalgardenQueen")</f>
        <v>RoyalgardenQueen</v>
      </c>
      <c r="D214" s="6">
        <f>IFERROR(__xludf.DUMMYFUNCTION("""COMPUTED_VALUE"""),46184.0)</f>
        <v>46184</v>
      </c>
      <c r="E214" s="5" t="str">
        <f>IFERROR(__xludf.DUMMYFUNCTION("""COMPUTED_VALUE"""),"Slot")</f>
        <v>Slot</v>
      </c>
      <c r="F214" s="5">
        <f>IFERROR(__xludf.DUMMYFUNCTION("""COMPUTED_VALUE"""),25.0)</f>
        <v>25</v>
      </c>
      <c r="G214" s="5" t="str">
        <f>IFERROR(__xludf.DUMMYFUNCTION("""COMPUTED_VALUE"""),"5x4")</f>
        <v>5x4</v>
      </c>
      <c r="H214" s="5">
        <f>IFERROR(__xludf.DUMMYFUNCTION("""COMPUTED_VALUE"""),40.0)</f>
        <v>40</v>
      </c>
      <c r="I214" s="5">
        <f>IFERROR(__xludf.DUMMYFUNCTION("""COMPUTED_VALUE"""),40.0)</f>
        <v>40</v>
      </c>
      <c r="J214" s="5" t="str">
        <f>IFERROR(__xludf.DUMMYFUNCTION("""COMPUTED_VALUE"""),"96.382%")</f>
        <v>96.382%</v>
      </c>
      <c r="K214" s="5" t="str">
        <f>IFERROR(__xludf.DUMMYFUNCTION("""COMPUTED_VALUE"""),"Medium")</f>
        <v>Medium</v>
      </c>
      <c r="L214" s="5" t="str">
        <f>IFERROR(__xludf.DUMMYFUNCTION("""COMPUTED_VALUE"""),"14.632%")</f>
        <v>14.632%</v>
      </c>
      <c r="M214" s="5" t="str">
        <f>IFERROR(__xludf.DUMMYFUNCTION("""COMPUTED_VALUE"""),"x1000")</f>
        <v>x1000</v>
      </c>
      <c r="N214" s="5" t="str">
        <f>IFERROR(__xludf.DUMMYFUNCTION("""COMPUTED_VALUE"""),"0.4/40")</f>
        <v>0.4/40</v>
      </c>
      <c r="O214" s="5" t="str">
        <f>IFERROR(__xludf.DUMMYFUNCTION("""COMPUTED_VALUE"""),"Yes")</f>
        <v>Yes</v>
      </c>
      <c r="P214" s="5" t="str">
        <f>IFERROR(__xludf.DUMMYFUNCTION("""COMPUTED_VALUE"""),"Scatter, Wild Symbol")</f>
        <v>Scatter, Wild Symbol</v>
      </c>
      <c r="Q214" s="7" t="str">
        <f>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R214" s="5" t="str">
        <f>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S2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4" s="5" t="str">
        <f>IFERROR(__xludf.DUMMYFUNCTION("""COMPUTED_VALUE"""),"Yes")</f>
        <v>Yes</v>
      </c>
      <c r="U214" s="5" t="str">
        <f>IFERROR(__xludf.DUMMYFUNCTION("""COMPUTED_VALUE"""),"Yes")</f>
        <v>Yes</v>
      </c>
      <c r="V214" s="5" t="str">
        <f>IFERROR(__xludf.DUMMYFUNCTION("""COMPUTED_VALUE"""),"Yes")</f>
        <v>Yes</v>
      </c>
      <c r="W214" s="5" t="str">
        <f>IFERROR(__xludf.DUMMYFUNCTION("""COMPUTED_VALUE"""),"Yes")</f>
        <v>Yes</v>
      </c>
      <c r="X214" s="5" t="str">
        <f>IFERROR(__xludf.DUMMYFUNCTION("""COMPUTED_VALUE"""),"Yes")</f>
        <v>Yes</v>
      </c>
      <c r="Y214" s="5" t="str">
        <f>IFERROR(__xludf.DUMMYFUNCTION("""COMPUTED_VALUE"""),"Yes")</f>
        <v>Yes</v>
      </c>
      <c r="Z214" s="5" t="str">
        <f>IFERROR(__xludf.DUMMYFUNCTION("""COMPUTED_VALUE"""),"Yes")</f>
        <v>Yes</v>
      </c>
      <c r="AA214" s="5" t="str">
        <f>IFERROR(__xludf.DUMMYFUNCTION("""COMPUTED_VALUE"""),"Yes")</f>
        <v>Yes</v>
      </c>
      <c r="AB214" s="5" t="str">
        <f>IFERROR(__xludf.DUMMYFUNCTION("""COMPUTED_VALUE"""),"Yes")</f>
        <v>Yes</v>
      </c>
      <c r="AC214" s="5" t="str">
        <f>IFERROR(__xludf.DUMMYFUNCTION("""COMPUTED_VALUE"""),"Yes")</f>
        <v>Yes</v>
      </c>
      <c r="AD214" s="5" t="str">
        <f>IFERROR(__xludf.DUMMYFUNCTION("""COMPUTED_VALUE"""),"Yes")</f>
        <v>Yes</v>
      </c>
      <c r="AE214" s="5" t="str">
        <f>IFERROR(__xludf.DUMMYFUNCTION("""COMPUTED_VALUE"""),"Yes")</f>
        <v>Yes</v>
      </c>
      <c r="AF214" s="5" t="str">
        <f>IFERROR(__xludf.DUMMYFUNCTION("""COMPUTED_VALUE"""),"Yes")</f>
        <v>Yes</v>
      </c>
      <c r="AG214" s="5" t="str">
        <f>IFERROR(__xludf.DUMMYFUNCTION("""COMPUTED_VALUE"""),"Yes")</f>
        <v>Yes</v>
      </c>
      <c r="AH214" s="5" t="str">
        <f>IFERROR(__xludf.DUMMYFUNCTION("""COMPUTED_VALUE"""),"Yes")</f>
        <v>Yes</v>
      </c>
      <c r="AI214" s="5" t="str">
        <f>IFERROR(__xludf.DUMMYFUNCTION("""COMPUTED_VALUE"""),"Yes")</f>
        <v>Yes</v>
      </c>
      <c r="AJ214" s="5" t="str">
        <f>IFERROR(__xludf.DUMMYFUNCTION("""COMPUTED_VALUE"""),"Yes")</f>
        <v>Yes</v>
      </c>
      <c r="AK214" s="5" t="str">
        <f>IFERROR(__xludf.DUMMYFUNCTION("""COMPUTED_VALUE"""),"Yes")</f>
        <v>Yes</v>
      </c>
      <c r="AL214" s="5" t="str">
        <f>IFERROR(__xludf.DUMMYFUNCTION("""COMPUTED_VALUE"""),"Yes")</f>
        <v>Yes</v>
      </c>
      <c r="AM214" s="5" t="str">
        <f>IFERROR(__xludf.DUMMYFUNCTION("""COMPUTED_VALUE"""),"Yes")</f>
        <v>Yes</v>
      </c>
      <c r="AN214" s="5" t="str">
        <f>IFERROR(__xludf.DUMMYFUNCTION("""COMPUTED_VALUE"""),"Yes")</f>
        <v>Yes</v>
      </c>
      <c r="AO214" s="5" t="str">
        <f>IFERROR(__xludf.DUMMYFUNCTION("""COMPUTED_VALUE"""),"Yes")</f>
        <v>Yes</v>
      </c>
      <c r="AP214" s="5" t="str">
        <f>IFERROR(__xludf.DUMMYFUNCTION("""COMPUTED_VALUE"""),"Yes")</f>
        <v>Yes</v>
      </c>
      <c r="AQ214" s="5" t="str">
        <f>IFERROR(__xludf.DUMMYFUNCTION("""COMPUTED_VALUE"""),"Yes")</f>
        <v>Yes</v>
      </c>
      <c r="AR214" s="5" t="str">
        <f>IFERROR(__xludf.DUMMYFUNCTION("""COMPUTED_VALUE"""),"Yes")</f>
        <v>Yes</v>
      </c>
      <c r="AS214" s="5" t="str">
        <f>IFERROR(__xludf.DUMMYFUNCTION("""COMPUTED_VALUE"""),"Yes")</f>
        <v>Yes</v>
      </c>
      <c r="AT214" s="5" t="str">
        <f>IFERROR(__xludf.DUMMYFUNCTION("""COMPUTED_VALUE"""),"No")</f>
        <v>No</v>
      </c>
      <c r="AU214" s="5"/>
      <c r="AV214" s="5" t="str">
        <f>IFERROR(__xludf.DUMMYFUNCTION("""COMPUTED_VALUE"""),"")</f>
        <v/>
      </c>
      <c r="AW214" s="5" t="str">
        <f>IFERROR(__xludf.DUMMYFUNCTION("""COMPUTED_VALUE"""),"")</f>
        <v/>
      </c>
      <c r="AX214" s="5" t="str">
        <f>IFERROR(__xludf.DUMMYFUNCTION("""COMPUTED_VALUE"""),"")</f>
        <v/>
      </c>
      <c r="AY214" s="5" t="str">
        <f>IFERROR(__xludf.DUMMYFUNCTION("""COMPUTED_VALUE"""),"")</f>
        <v/>
      </c>
      <c r="AZ214" s="5" t="str">
        <f>IFERROR(__xludf.DUMMYFUNCTION("""COMPUTED_VALUE"""),"")</f>
        <v/>
      </c>
      <c r="BA214" s="5" t="str">
        <f>IFERROR(__xludf.DUMMYFUNCTION("""COMPUTED_VALUE"""),"")</f>
        <v/>
      </c>
      <c r="BB214" s="5" t="str">
        <f>IFERROR(__xludf.DUMMYFUNCTION("""COMPUTED_VALUE"""),"")</f>
        <v/>
      </c>
      <c r="BC214" s="5" t="str">
        <f>IFERROR(__xludf.DUMMYFUNCTION("""COMPUTED_VALUE"""),"")</f>
        <v/>
      </c>
      <c r="BD214" s="5" t="str">
        <f>IFERROR(__xludf.DUMMYFUNCTION("""COMPUTED_VALUE"""),"")</f>
        <v/>
      </c>
      <c r="BE214" s="5" t="str">
        <f>IFERROR(__xludf.DUMMYFUNCTION("""COMPUTED_VALUE"""),"")</f>
        <v/>
      </c>
      <c r="BF214" s="5" t="str">
        <f>IFERROR(__xludf.DUMMYFUNCTION("""COMPUTED_VALUE"""),"")</f>
        <v/>
      </c>
      <c r="BG214" s="5" t="str">
        <f>IFERROR(__xludf.DUMMYFUNCTION("""COMPUTED_VALUE"""),"")</f>
        <v/>
      </c>
      <c r="BH214" s="5" t="str">
        <f>IFERROR(__xludf.DUMMYFUNCTION("""COMPUTED_VALUE"""),"")</f>
        <v/>
      </c>
      <c r="BI214" s="5" t="str">
        <f>IFERROR(__xludf.DUMMYFUNCTION("""COMPUTED_VALUE"""),"")</f>
        <v/>
      </c>
      <c r="BJ214" s="5" t="str">
        <f>IFERROR(__xludf.DUMMYFUNCTION("""COMPUTED_VALUE"""),"")</f>
        <v/>
      </c>
      <c r="BK214" s="5" t="str">
        <f>IFERROR(__xludf.DUMMYFUNCTION("""COMPUTED_VALUE"""),"")</f>
        <v/>
      </c>
      <c r="BL214" s="5" t="str">
        <f>IFERROR(__xludf.DUMMYFUNCTION("""COMPUTED_VALUE"""),"")</f>
        <v/>
      </c>
      <c r="BM214" s="5" t="str">
        <f>IFERROR(__xludf.DUMMYFUNCTION("""COMPUTED_VALUE"""),"")</f>
        <v/>
      </c>
    </row>
    <row r="215">
      <c r="A215" s="5" t="str">
        <f>IFERROR(__xludf.DUMMYFUNCTION("""COMPUTED_VALUE"""),"Fazi")</f>
        <v>Fazi</v>
      </c>
      <c r="B215" s="5" t="str">
        <f>IFERROR(__xludf.DUMMYFUNCTION("""COMPUTED_VALUE"""),"Golden Crown Extreme Booster")</f>
        <v>Golden Crown Extreme Booster</v>
      </c>
      <c r="C215" s="5" t="str">
        <f>IFERROR(__xludf.DUMMYFUNCTION("""COMPUTED_VALUE"""),"GoldenCrownExtremeBooster")</f>
        <v>GoldenCrownExtremeBooster</v>
      </c>
      <c r="D215" s="6">
        <f>IFERROR(__xludf.DUMMYFUNCTION("""COMPUTED_VALUE"""),46275.0)</f>
        <v>46275</v>
      </c>
      <c r="E215" s="5" t="str">
        <f>IFERROR(__xludf.DUMMYFUNCTION("""COMPUTED_VALUE"""),"Slot")</f>
        <v>Slot</v>
      </c>
      <c r="F215" s="5">
        <f>IFERROR(__xludf.DUMMYFUNCTION("""COMPUTED_VALUE"""),19.0)</f>
        <v>19</v>
      </c>
      <c r="G215" s="5" t="str">
        <f>IFERROR(__xludf.DUMMYFUNCTION("""COMPUTED_VALUE"""),"5x3")</f>
        <v>5x3</v>
      </c>
      <c r="H215" s="5">
        <f>IFERROR(__xludf.DUMMYFUNCTION("""COMPUTED_VALUE"""),10.0)</f>
        <v>10</v>
      </c>
      <c r="I215" s="5">
        <f>IFERROR(__xludf.DUMMYFUNCTION("""COMPUTED_VALUE"""),10.0)</f>
        <v>10</v>
      </c>
      <c r="J215" s="5" t="str">
        <f>IFERROR(__xludf.DUMMYFUNCTION("""COMPUTED_VALUE"""),"96.535%")</f>
        <v>96.535%</v>
      </c>
      <c r="K215" s="5" t="str">
        <f>IFERROR(__xludf.DUMMYFUNCTION("""COMPUTED_VALUE"""),"Medium")</f>
        <v>Medium</v>
      </c>
      <c r="L215" s="5" t="str">
        <f>IFERROR(__xludf.DUMMYFUNCTION("""COMPUTED_VALUE"""),"14.28%")</f>
        <v>14.28%</v>
      </c>
      <c r="M215" s="5" t="str">
        <f>IFERROR(__xludf.DUMMYFUNCTION("""COMPUTED_VALUE"""),"x3076")</f>
        <v>x3076</v>
      </c>
      <c r="N215" s="5" t="str">
        <f>IFERROR(__xludf.DUMMYFUNCTION("""COMPUTED_VALUE"""),"0.1/50")</f>
        <v>0.1/50</v>
      </c>
      <c r="O215" s="5" t="str">
        <f>IFERROR(__xludf.DUMMYFUNCTION("""COMPUTED_VALUE"""),"Yes")</f>
        <v>Yes</v>
      </c>
      <c r="P215" s="5" t="str">
        <f>IFERROR(__xludf.DUMMYFUNCTION("""COMPUTED_VALUE"""),"Free Rounds, Scatter, Expanding Wild, Wild Multiplier")</f>
        <v>Free Rounds, Scatter, Expanding Wild, Wild Multiplier</v>
      </c>
      <c r="Q215" s="7" t="str">
        <f>IFERROR(__xludf.DUMMYFUNCTION("""COMPUTED_VALUE"""),"https://onlinegamespromo.fazi.rs/Home/IntegrationGameLaunch?moneyType=0&amp;gameName=GoldenCrownExtremeBooster&amp;platform=desktop&amp;languageCode=eng&amp;currency=EUR")</f>
        <v>https://onlinegamespromo.fazi.rs/Home/IntegrationGameLaunch?moneyType=0&amp;gameName=GoldenCrownExtremeBooster&amp;platform=desktop&amp;languageCode=eng&amp;currency=EUR</v>
      </c>
      <c r="R215" s="5" t="str">
        <f>IFERROR(__xludf.DUMMYFUNCTION("""COMPUTED_VALUE"""),"The crown returns - bolder than ever! Golden Crown Extreme Booster combines classic fruits, bells, and lucky 7s with two high-powered features in one game. The middle reel spins first to reveal an Expanding Wild with a x2 multiplier, while the Wild Booste"&amp;"r option lets you guarantee Expanding Wilds for your next spin. Are you ready to take the throne? ")</f>
        <v>The crown returns - bolder than ever! Golden Crown Extreme Booster combines classic fruits, bells, and lucky 7s with two high-powered features in one game. The middle reel spins first to reveal an Expanding Wild with a x2 multiplier, while the Wild Booster option lets you guarantee Expanding Wilds for your next spin. Are you ready to take the throne? </v>
      </c>
      <c r="S2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5" s="5" t="str">
        <f>IFERROR(__xludf.DUMMYFUNCTION("""COMPUTED_VALUE"""),"Yes")</f>
        <v>Yes</v>
      </c>
      <c r="U215" s="5" t="str">
        <f>IFERROR(__xludf.DUMMYFUNCTION("""COMPUTED_VALUE"""),"Yes")</f>
        <v>Yes</v>
      </c>
      <c r="V215" s="5" t="str">
        <f>IFERROR(__xludf.DUMMYFUNCTION("""COMPUTED_VALUE"""),"Yes")</f>
        <v>Yes</v>
      </c>
      <c r="W215" s="5" t="str">
        <f>IFERROR(__xludf.DUMMYFUNCTION("""COMPUTED_VALUE"""),"Yes")</f>
        <v>Yes</v>
      </c>
      <c r="X215" s="5" t="str">
        <f>IFERROR(__xludf.DUMMYFUNCTION("""COMPUTED_VALUE"""),"Yes")</f>
        <v>Yes</v>
      </c>
      <c r="Y215" s="5" t="str">
        <f>IFERROR(__xludf.DUMMYFUNCTION("""COMPUTED_VALUE"""),"Yes")</f>
        <v>Yes</v>
      </c>
      <c r="Z215" s="5" t="str">
        <f>IFERROR(__xludf.DUMMYFUNCTION("""COMPUTED_VALUE"""),"Yes")</f>
        <v>Yes</v>
      </c>
      <c r="AA215" s="5" t="str">
        <f>IFERROR(__xludf.DUMMYFUNCTION("""COMPUTED_VALUE"""),"Yes")</f>
        <v>Yes</v>
      </c>
      <c r="AB215" s="5" t="str">
        <f>IFERROR(__xludf.DUMMYFUNCTION("""COMPUTED_VALUE"""),"Yes")</f>
        <v>Yes</v>
      </c>
      <c r="AC215" s="5" t="str">
        <f>IFERROR(__xludf.DUMMYFUNCTION("""COMPUTED_VALUE"""),"Yes")</f>
        <v>Yes</v>
      </c>
      <c r="AD215" s="5" t="str">
        <f>IFERROR(__xludf.DUMMYFUNCTION("""COMPUTED_VALUE"""),"Yes")</f>
        <v>Yes</v>
      </c>
      <c r="AE215" s="5" t="str">
        <f>IFERROR(__xludf.DUMMYFUNCTION("""COMPUTED_VALUE"""),"Yes")</f>
        <v>Yes</v>
      </c>
      <c r="AF215" s="5" t="str">
        <f>IFERROR(__xludf.DUMMYFUNCTION("""COMPUTED_VALUE"""),"Yes")</f>
        <v>Yes</v>
      </c>
      <c r="AG215" s="5" t="str">
        <f>IFERROR(__xludf.DUMMYFUNCTION("""COMPUTED_VALUE"""),"Yes")</f>
        <v>Yes</v>
      </c>
      <c r="AH215" s="5" t="str">
        <f>IFERROR(__xludf.DUMMYFUNCTION("""COMPUTED_VALUE"""),"Yes")</f>
        <v>Yes</v>
      </c>
      <c r="AI215" s="5" t="str">
        <f>IFERROR(__xludf.DUMMYFUNCTION("""COMPUTED_VALUE"""),"Yes")</f>
        <v>Yes</v>
      </c>
      <c r="AJ215" s="5" t="str">
        <f>IFERROR(__xludf.DUMMYFUNCTION("""COMPUTED_VALUE"""),"Yes")</f>
        <v>Yes</v>
      </c>
      <c r="AK215" s="5" t="str">
        <f>IFERROR(__xludf.DUMMYFUNCTION("""COMPUTED_VALUE"""),"Yes")</f>
        <v>Yes</v>
      </c>
      <c r="AL215" s="5" t="str">
        <f>IFERROR(__xludf.DUMMYFUNCTION("""COMPUTED_VALUE"""),"Yes")</f>
        <v>Yes</v>
      </c>
      <c r="AM215" s="5" t="str">
        <f>IFERROR(__xludf.DUMMYFUNCTION("""COMPUTED_VALUE"""),"Yes")</f>
        <v>Yes</v>
      </c>
      <c r="AN215" s="5" t="str">
        <f>IFERROR(__xludf.DUMMYFUNCTION("""COMPUTED_VALUE"""),"Yes")</f>
        <v>Yes</v>
      </c>
      <c r="AO215" s="5" t="str">
        <f>IFERROR(__xludf.DUMMYFUNCTION("""COMPUTED_VALUE"""),"Yes")</f>
        <v>Yes</v>
      </c>
      <c r="AP215" s="5" t="str">
        <f>IFERROR(__xludf.DUMMYFUNCTION("""COMPUTED_VALUE"""),"Yes")</f>
        <v>Yes</v>
      </c>
      <c r="AQ215" s="5" t="str">
        <f>IFERROR(__xludf.DUMMYFUNCTION("""COMPUTED_VALUE"""),"Yes")</f>
        <v>Yes</v>
      </c>
      <c r="AR215" s="5" t="str">
        <f>IFERROR(__xludf.DUMMYFUNCTION("""COMPUTED_VALUE"""),"Yes")</f>
        <v>Yes</v>
      </c>
      <c r="AS215" s="5" t="str">
        <f>IFERROR(__xludf.DUMMYFUNCTION("""COMPUTED_VALUE"""),"Yes")</f>
        <v>Yes</v>
      </c>
      <c r="AT215" s="5" t="str">
        <f>IFERROR(__xludf.DUMMYFUNCTION("""COMPUTED_VALUE"""),"No")</f>
        <v>No</v>
      </c>
      <c r="AU215" s="5"/>
      <c r="AV215" s="5" t="str">
        <f>IFERROR(__xludf.DUMMYFUNCTION("""COMPUTED_VALUE"""),"")</f>
        <v/>
      </c>
      <c r="AW215" s="5" t="str">
        <f>IFERROR(__xludf.DUMMYFUNCTION("""COMPUTED_VALUE"""),"")</f>
        <v/>
      </c>
      <c r="AX215" s="5" t="str">
        <f>IFERROR(__xludf.DUMMYFUNCTION("""COMPUTED_VALUE"""),"")</f>
        <v/>
      </c>
      <c r="AY215" s="5" t="str">
        <f>IFERROR(__xludf.DUMMYFUNCTION("""COMPUTED_VALUE"""),"")</f>
        <v/>
      </c>
      <c r="AZ215" s="5" t="str">
        <f>IFERROR(__xludf.DUMMYFUNCTION("""COMPUTED_VALUE"""),"")</f>
        <v/>
      </c>
      <c r="BA215" s="5" t="str">
        <f>IFERROR(__xludf.DUMMYFUNCTION("""COMPUTED_VALUE"""),"")</f>
        <v/>
      </c>
      <c r="BB215" s="5" t="str">
        <f>IFERROR(__xludf.DUMMYFUNCTION("""COMPUTED_VALUE"""),"")</f>
        <v/>
      </c>
      <c r="BC215" s="5" t="str">
        <f>IFERROR(__xludf.DUMMYFUNCTION("""COMPUTED_VALUE"""),"")</f>
        <v/>
      </c>
      <c r="BD215" s="5" t="str">
        <f>IFERROR(__xludf.DUMMYFUNCTION("""COMPUTED_VALUE"""),"")</f>
        <v/>
      </c>
      <c r="BE215" s="5" t="str">
        <f>IFERROR(__xludf.DUMMYFUNCTION("""COMPUTED_VALUE"""),"")</f>
        <v/>
      </c>
      <c r="BF215" s="5" t="str">
        <f>IFERROR(__xludf.DUMMYFUNCTION("""COMPUTED_VALUE"""),"")</f>
        <v/>
      </c>
      <c r="BG215" s="5" t="str">
        <f>IFERROR(__xludf.DUMMYFUNCTION("""COMPUTED_VALUE"""),"")</f>
        <v/>
      </c>
      <c r="BH215" s="5" t="str">
        <f>IFERROR(__xludf.DUMMYFUNCTION("""COMPUTED_VALUE"""),"")</f>
        <v/>
      </c>
      <c r="BI215" s="5" t="str">
        <f>IFERROR(__xludf.DUMMYFUNCTION("""COMPUTED_VALUE"""),"")</f>
        <v/>
      </c>
      <c r="BJ215" s="5" t="str">
        <f>IFERROR(__xludf.DUMMYFUNCTION("""COMPUTED_VALUE"""),"")</f>
        <v/>
      </c>
      <c r="BK215" s="5" t="str">
        <f>IFERROR(__xludf.DUMMYFUNCTION("""COMPUTED_VALUE"""),"")</f>
        <v/>
      </c>
      <c r="BL215" s="5" t="str">
        <f>IFERROR(__xludf.DUMMYFUNCTION("""COMPUTED_VALUE"""),"")</f>
        <v/>
      </c>
      <c r="BM215" s="5" t="str">
        <f>IFERROR(__xludf.DUMMYFUNCTION("""COMPUTED_VALUE"""),"")</f>
        <v/>
      </c>
    </row>
    <row r="216">
      <c r="A216" s="5" t="str">
        <f>IFERROR(__xludf.DUMMYFUNCTION("""COMPUTED_VALUE"""),"Fazi")</f>
        <v>Fazi</v>
      </c>
      <c r="B216" s="5" t="str">
        <f>IFERROR(__xludf.DUMMYFUNCTION("""COMPUTED_VALUE"""),"Multihot Pot")</f>
        <v>Multihot Pot</v>
      </c>
      <c r="C216" s="5" t="str">
        <f>IFERROR(__xludf.DUMMYFUNCTION("""COMPUTED_VALUE"""),"MultihotPot")</f>
        <v>MultihotPot</v>
      </c>
      <c r="D216" s="6">
        <f>IFERROR(__xludf.DUMMYFUNCTION("""COMPUTED_VALUE"""),46226.0)</f>
        <v>46226</v>
      </c>
      <c r="E216" s="5" t="str">
        <f>IFERROR(__xludf.DUMMYFUNCTION("""COMPUTED_VALUE"""),"Slot")</f>
        <v>Slot</v>
      </c>
      <c r="F216" s="5">
        <f>IFERROR(__xludf.DUMMYFUNCTION("""COMPUTED_VALUE"""),15.9)</f>
        <v>15.9</v>
      </c>
      <c r="G216" s="5" t="str">
        <f>IFERROR(__xludf.DUMMYFUNCTION("""COMPUTED_VALUE"""),"5x3")</f>
        <v>5x3</v>
      </c>
      <c r="H216" s="5">
        <f>IFERROR(__xludf.DUMMYFUNCTION("""COMPUTED_VALUE"""),10.0)</f>
        <v>10</v>
      </c>
      <c r="I216" s="5">
        <f>IFERROR(__xludf.DUMMYFUNCTION("""COMPUTED_VALUE"""),10.0)</f>
        <v>10</v>
      </c>
      <c r="J216" s="5" t="str">
        <f>IFERROR(__xludf.DUMMYFUNCTION("""COMPUTED_VALUE"""),"96.5%")</f>
        <v>96.5%</v>
      </c>
      <c r="K216" s="5" t="str">
        <f>IFERROR(__xludf.DUMMYFUNCTION("""COMPUTED_VALUE"""),"High")</f>
        <v>High</v>
      </c>
      <c r="L216" s="5" t="str">
        <f>IFERROR(__xludf.DUMMYFUNCTION("""COMPUTED_VALUE"""),"11.268%")</f>
        <v>11.268%</v>
      </c>
      <c r="M216" s="5" t="str">
        <f>IFERROR(__xludf.DUMMYFUNCTION("""COMPUTED_VALUE"""),"x3000")</f>
        <v>x3000</v>
      </c>
      <c r="N216" s="5" t="str">
        <f>IFERROR(__xludf.DUMMYFUNCTION("""COMPUTED_VALUE"""),"0.1/50")</f>
        <v>0.1/50</v>
      </c>
      <c r="O216" s="5" t="str">
        <f>IFERROR(__xludf.DUMMYFUNCTION("""COMPUTED_VALUE"""),"Yes")</f>
        <v>Yes</v>
      </c>
      <c r="P216" s="5" t="str">
        <f>IFERROR(__xludf.DUMMYFUNCTION("""COMPUTED_VALUE"""),"Variable RTP, Wild Multiplier, Expanding Wild")</f>
        <v>Variable RTP, Wild Multiplier, Expanding Wild</v>
      </c>
      <c r="Q216" s="7" t="str">
        <f>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R216" s="5" t="str">
        <f>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S2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216" s="5" t="str">
        <f>IFERROR(__xludf.DUMMYFUNCTION("""COMPUTED_VALUE"""),"Yes")</f>
        <v>Yes</v>
      </c>
      <c r="U216" s="5" t="str">
        <f>IFERROR(__xludf.DUMMYFUNCTION("""COMPUTED_VALUE"""),"Yes")</f>
        <v>Yes</v>
      </c>
      <c r="V216" s="5" t="str">
        <f>IFERROR(__xludf.DUMMYFUNCTION("""COMPUTED_VALUE"""),"Yes")</f>
        <v>Yes</v>
      </c>
      <c r="W216" s="5" t="str">
        <f>IFERROR(__xludf.DUMMYFUNCTION("""COMPUTED_VALUE"""),"Yes")</f>
        <v>Yes</v>
      </c>
      <c r="X216" s="5" t="str">
        <f>IFERROR(__xludf.DUMMYFUNCTION("""COMPUTED_VALUE"""),"Yes")</f>
        <v>Yes</v>
      </c>
      <c r="Y216" s="5" t="str">
        <f>IFERROR(__xludf.DUMMYFUNCTION("""COMPUTED_VALUE"""),"Yes")</f>
        <v>Yes</v>
      </c>
      <c r="Z216" s="5" t="str">
        <f>IFERROR(__xludf.DUMMYFUNCTION("""COMPUTED_VALUE"""),"Yes")</f>
        <v>Yes</v>
      </c>
      <c r="AA216" s="5" t="str">
        <f>IFERROR(__xludf.DUMMYFUNCTION("""COMPUTED_VALUE"""),"Yes")</f>
        <v>Yes</v>
      </c>
      <c r="AB216" s="5" t="str">
        <f>IFERROR(__xludf.DUMMYFUNCTION("""COMPUTED_VALUE"""),"Yes")</f>
        <v>Yes</v>
      </c>
      <c r="AC216" s="5" t="str">
        <f>IFERROR(__xludf.DUMMYFUNCTION("""COMPUTED_VALUE"""),"Yes")</f>
        <v>Yes</v>
      </c>
      <c r="AD216" s="5" t="str">
        <f>IFERROR(__xludf.DUMMYFUNCTION("""COMPUTED_VALUE"""),"Yes")</f>
        <v>Yes</v>
      </c>
      <c r="AE216" s="5" t="str">
        <f>IFERROR(__xludf.DUMMYFUNCTION("""COMPUTED_VALUE"""),"Yes")</f>
        <v>Yes</v>
      </c>
      <c r="AF216" s="5" t="str">
        <f>IFERROR(__xludf.DUMMYFUNCTION("""COMPUTED_VALUE"""),"Yes")</f>
        <v>Yes</v>
      </c>
      <c r="AG216" s="5" t="str">
        <f>IFERROR(__xludf.DUMMYFUNCTION("""COMPUTED_VALUE"""),"Yes")</f>
        <v>Yes</v>
      </c>
      <c r="AH216" s="5" t="str">
        <f>IFERROR(__xludf.DUMMYFUNCTION("""COMPUTED_VALUE"""),"Yes")</f>
        <v>Yes</v>
      </c>
      <c r="AI216" s="5" t="str">
        <f>IFERROR(__xludf.DUMMYFUNCTION("""COMPUTED_VALUE"""),"Yes")</f>
        <v>Yes</v>
      </c>
      <c r="AJ216" s="5" t="str">
        <f>IFERROR(__xludf.DUMMYFUNCTION("""COMPUTED_VALUE"""),"Yes")</f>
        <v>Yes</v>
      </c>
      <c r="AK216" s="5" t="str">
        <f>IFERROR(__xludf.DUMMYFUNCTION("""COMPUTED_VALUE"""),"Yes")</f>
        <v>Yes</v>
      </c>
      <c r="AL216" s="5" t="str">
        <f>IFERROR(__xludf.DUMMYFUNCTION("""COMPUTED_VALUE"""),"Yes")</f>
        <v>Yes</v>
      </c>
      <c r="AM216" s="5" t="str">
        <f>IFERROR(__xludf.DUMMYFUNCTION("""COMPUTED_VALUE"""),"Yes")</f>
        <v>Yes</v>
      </c>
      <c r="AN216" s="5" t="str">
        <f>IFERROR(__xludf.DUMMYFUNCTION("""COMPUTED_VALUE"""),"Yes")</f>
        <v>Yes</v>
      </c>
      <c r="AO216" s="5" t="str">
        <f>IFERROR(__xludf.DUMMYFUNCTION("""COMPUTED_VALUE"""),"Yes")</f>
        <v>Yes</v>
      </c>
      <c r="AP216" s="5" t="str">
        <f>IFERROR(__xludf.DUMMYFUNCTION("""COMPUTED_VALUE"""),"Yes")</f>
        <v>Yes</v>
      </c>
      <c r="AQ216" s="5" t="str">
        <f>IFERROR(__xludf.DUMMYFUNCTION("""COMPUTED_VALUE"""),"Yes")</f>
        <v>Yes</v>
      </c>
      <c r="AR216" s="5" t="str">
        <f>IFERROR(__xludf.DUMMYFUNCTION("""COMPUTED_VALUE"""),"Yes")</f>
        <v>Yes</v>
      </c>
      <c r="AS216" s="5" t="str">
        <f>IFERROR(__xludf.DUMMYFUNCTION("""COMPUTED_VALUE"""),"Yes")</f>
        <v>Yes</v>
      </c>
      <c r="AT216" s="5" t="str">
        <f>IFERROR(__xludf.DUMMYFUNCTION("""COMPUTED_VALUE"""),"Yes")</f>
        <v>Yes</v>
      </c>
      <c r="AU216" s="5"/>
      <c r="AV216" s="5" t="str">
        <f>IFERROR(__xludf.DUMMYFUNCTION("""COMPUTED_VALUE"""),"")</f>
        <v/>
      </c>
      <c r="AW216" s="5" t="str">
        <f>IFERROR(__xludf.DUMMYFUNCTION("""COMPUTED_VALUE"""),"")</f>
        <v/>
      </c>
      <c r="AX216" s="5" t="str">
        <f>IFERROR(__xludf.DUMMYFUNCTION("""COMPUTED_VALUE"""),"")</f>
        <v/>
      </c>
      <c r="AY216" s="5" t="str">
        <f>IFERROR(__xludf.DUMMYFUNCTION("""COMPUTED_VALUE"""),"")</f>
        <v/>
      </c>
      <c r="AZ216" s="5" t="str">
        <f>IFERROR(__xludf.DUMMYFUNCTION("""COMPUTED_VALUE"""),"")</f>
        <v/>
      </c>
      <c r="BA216" s="5" t="str">
        <f>IFERROR(__xludf.DUMMYFUNCTION("""COMPUTED_VALUE"""),"")</f>
        <v/>
      </c>
      <c r="BB216" s="5" t="str">
        <f>IFERROR(__xludf.DUMMYFUNCTION("""COMPUTED_VALUE"""),"")</f>
        <v/>
      </c>
      <c r="BC216" s="5" t="str">
        <f>IFERROR(__xludf.DUMMYFUNCTION("""COMPUTED_VALUE"""),"")</f>
        <v/>
      </c>
      <c r="BD216" s="5" t="str">
        <f>IFERROR(__xludf.DUMMYFUNCTION("""COMPUTED_VALUE"""),"")</f>
        <v/>
      </c>
      <c r="BE216" s="5" t="str">
        <f>IFERROR(__xludf.DUMMYFUNCTION("""COMPUTED_VALUE"""),"")</f>
        <v/>
      </c>
      <c r="BF216" s="5" t="str">
        <f>IFERROR(__xludf.DUMMYFUNCTION("""COMPUTED_VALUE"""),"")</f>
        <v/>
      </c>
      <c r="BG216" s="5" t="str">
        <f>IFERROR(__xludf.DUMMYFUNCTION("""COMPUTED_VALUE"""),"")</f>
        <v/>
      </c>
      <c r="BH216" s="5" t="str">
        <f>IFERROR(__xludf.DUMMYFUNCTION("""COMPUTED_VALUE"""),"")</f>
        <v/>
      </c>
      <c r="BI216" s="5" t="str">
        <f>IFERROR(__xludf.DUMMYFUNCTION("""COMPUTED_VALUE"""),"")</f>
        <v/>
      </c>
      <c r="BJ216" s="5" t="str">
        <f>IFERROR(__xludf.DUMMYFUNCTION("""COMPUTED_VALUE"""),"")</f>
        <v/>
      </c>
      <c r="BK216" s="5" t="str">
        <f>IFERROR(__xludf.DUMMYFUNCTION("""COMPUTED_VALUE"""),"")</f>
        <v/>
      </c>
      <c r="BL216" s="5" t="str">
        <f>IFERROR(__xludf.DUMMYFUNCTION("""COMPUTED_VALUE"""),"")</f>
        <v/>
      </c>
      <c r="BM216" s="5" t="str">
        <f>IFERROR(__xludf.DUMMYFUNCTION("""COMPUTED_VALUE"""),"")</f>
        <v/>
      </c>
    </row>
    <row r="217">
      <c r="A217" s="5" t="str">
        <f>IFERROR(__xludf.DUMMYFUNCTION("""COMPUTED_VALUE"""),"Fazi")</f>
        <v>Fazi</v>
      </c>
      <c r="B217" s="5" t="str">
        <f>IFERROR(__xludf.DUMMYFUNCTION("""COMPUTED_VALUE"""),"Triple Wild Crown")</f>
        <v>Triple Wild Crown</v>
      </c>
      <c r="C217" s="5" t="str">
        <f>IFERROR(__xludf.DUMMYFUNCTION("""COMPUTED_VALUE"""),"TripleWildCrown")</f>
        <v>TripleWildCrown</v>
      </c>
      <c r="D217" s="6">
        <f>IFERROR(__xludf.DUMMYFUNCTION("""COMPUTED_VALUE"""),46252.0)</f>
        <v>46252</v>
      </c>
      <c r="E217" s="5" t="str">
        <f>IFERROR(__xludf.DUMMYFUNCTION("""COMPUTED_VALUE"""),"Slot")</f>
        <v>Slot</v>
      </c>
      <c r="F217" s="5">
        <f>IFERROR(__xludf.DUMMYFUNCTION("""COMPUTED_VALUE"""),19.5)</f>
        <v>19.5</v>
      </c>
      <c r="G217" s="5" t="str">
        <f>IFERROR(__xludf.DUMMYFUNCTION("""COMPUTED_VALUE"""),"3x3")</f>
        <v>3x3</v>
      </c>
      <c r="H217" s="5">
        <f>IFERROR(__xludf.DUMMYFUNCTION("""COMPUTED_VALUE"""),5.0)</f>
        <v>5</v>
      </c>
      <c r="I217" s="5">
        <f>IFERROR(__xludf.DUMMYFUNCTION("""COMPUTED_VALUE"""),5.0)</f>
        <v>5</v>
      </c>
      <c r="J217" s="5" t="str">
        <f>IFERROR(__xludf.DUMMYFUNCTION("""COMPUTED_VALUE"""),"96.502%")</f>
        <v>96.502%</v>
      </c>
      <c r="K217" s="5" t="str">
        <f>IFERROR(__xludf.DUMMYFUNCTION("""COMPUTED_VALUE"""),"Low")</f>
        <v>Low</v>
      </c>
      <c r="L217" s="5" t="str">
        <f>IFERROR(__xludf.DUMMYFUNCTION("""COMPUTED_VALUE"""),"10.959%")</f>
        <v>10.959%</v>
      </c>
      <c r="M217" s="5" t="str">
        <f>IFERROR(__xludf.DUMMYFUNCTION("""COMPUTED_VALUE"""),"x500")</f>
        <v>x500</v>
      </c>
      <c r="N217" s="5" t="str">
        <f>IFERROR(__xludf.DUMMYFUNCTION("""COMPUTED_VALUE"""),"0.5/50")</f>
        <v>0.5/50</v>
      </c>
      <c r="O217" s="5" t="str">
        <f>IFERROR(__xludf.DUMMYFUNCTION("""COMPUTED_VALUE"""),"Yes")</f>
        <v>Yes</v>
      </c>
      <c r="P217" s="5" t="str">
        <f>IFERROR(__xludf.DUMMYFUNCTION("""COMPUTED_VALUE"""),"Expanding Wild")</f>
        <v>Expanding Wild</v>
      </c>
      <c r="Q217" s="7" t="str">
        <f>IFERROR(__xludf.DUMMYFUNCTION("""COMPUTED_VALUE"""),"https://onlinegamespromo.fazi.rs/Home/IntegrationGameLaunch?moneyType=0&amp;gameName=TripleWildCrown&amp;platform=desktop&amp;languageCode=eng&amp;currency=EUR")</f>
        <v>https://onlinegamespromo.fazi.rs/Home/IntegrationGameLaunch?moneyType=0&amp;gameName=TripleWildCrown&amp;platform=desktop&amp;languageCode=eng&amp;currency=EUR</v>
      </c>
      <c r="R217" s="5" t="str">
        <f>IFERROR(__xludf.DUMMYFUNCTION("""COMPUTED_VALUE"""),"Step into a world of royal rewards with Triple Wild Crown! The powerful Expanding Wild feature takes center stage as the Wild lands on the 2nd reel and expands across the entire reel, unlocking exciting winning opportunities. Watch the reels come alive an"&amp;"d discover the thrill of bigger wins with every spin! 
")</f>
        <v>Step into a world of royal rewards with Triple Wild Crown! The powerful Expanding Wild feature takes center stage as the Wild lands on the 2nd reel and expands across the entire reel, unlocking exciting winning opportunities. Watch the reels come alive and discover the thrill of bigger wins with every spin! 
</v>
      </c>
      <c r="S2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7" s="5" t="str">
        <f>IFERROR(__xludf.DUMMYFUNCTION("""COMPUTED_VALUE"""),"Yes")</f>
        <v>Yes</v>
      </c>
      <c r="U217" s="5" t="str">
        <f>IFERROR(__xludf.DUMMYFUNCTION("""COMPUTED_VALUE"""),"Yes")</f>
        <v>Yes</v>
      </c>
      <c r="V217" s="5" t="str">
        <f>IFERROR(__xludf.DUMMYFUNCTION("""COMPUTED_VALUE"""),"Yes")</f>
        <v>Yes</v>
      </c>
      <c r="W217" s="5" t="str">
        <f>IFERROR(__xludf.DUMMYFUNCTION("""COMPUTED_VALUE"""),"Yes")</f>
        <v>Yes</v>
      </c>
      <c r="X217" s="5" t="str">
        <f>IFERROR(__xludf.DUMMYFUNCTION("""COMPUTED_VALUE"""),"Yes")</f>
        <v>Yes</v>
      </c>
      <c r="Y217" s="5" t="str">
        <f>IFERROR(__xludf.DUMMYFUNCTION("""COMPUTED_VALUE"""),"Yes")</f>
        <v>Yes</v>
      </c>
      <c r="Z217" s="5" t="str">
        <f>IFERROR(__xludf.DUMMYFUNCTION("""COMPUTED_VALUE"""),"Yes")</f>
        <v>Yes</v>
      </c>
      <c r="AA217" s="5" t="str">
        <f>IFERROR(__xludf.DUMMYFUNCTION("""COMPUTED_VALUE"""),"Yes")</f>
        <v>Yes</v>
      </c>
      <c r="AB217" s="5" t="str">
        <f>IFERROR(__xludf.DUMMYFUNCTION("""COMPUTED_VALUE"""),"Yes")</f>
        <v>Yes</v>
      </c>
      <c r="AC217" s="5" t="str">
        <f>IFERROR(__xludf.DUMMYFUNCTION("""COMPUTED_VALUE"""),"Yes")</f>
        <v>Yes</v>
      </c>
      <c r="AD217" s="5" t="str">
        <f>IFERROR(__xludf.DUMMYFUNCTION("""COMPUTED_VALUE"""),"Yes")</f>
        <v>Yes</v>
      </c>
      <c r="AE217" s="5" t="str">
        <f>IFERROR(__xludf.DUMMYFUNCTION("""COMPUTED_VALUE"""),"Yes")</f>
        <v>Yes</v>
      </c>
      <c r="AF217" s="5" t="str">
        <f>IFERROR(__xludf.DUMMYFUNCTION("""COMPUTED_VALUE"""),"Yes")</f>
        <v>Yes</v>
      </c>
      <c r="AG217" s="5" t="str">
        <f>IFERROR(__xludf.DUMMYFUNCTION("""COMPUTED_VALUE"""),"Yes")</f>
        <v>Yes</v>
      </c>
      <c r="AH217" s="5" t="str">
        <f>IFERROR(__xludf.DUMMYFUNCTION("""COMPUTED_VALUE"""),"Yes")</f>
        <v>Yes</v>
      </c>
      <c r="AI217" s="5" t="str">
        <f>IFERROR(__xludf.DUMMYFUNCTION("""COMPUTED_VALUE"""),"Yes")</f>
        <v>Yes</v>
      </c>
      <c r="AJ217" s="5" t="str">
        <f>IFERROR(__xludf.DUMMYFUNCTION("""COMPUTED_VALUE"""),"Yes")</f>
        <v>Yes</v>
      </c>
      <c r="AK217" s="5" t="str">
        <f>IFERROR(__xludf.DUMMYFUNCTION("""COMPUTED_VALUE"""),"Yes")</f>
        <v>Yes</v>
      </c>
      <c r="AL217" s="5" t="str">
        <f>IFERROR(__xludf.DUMMYFUNCTION("""COMPUTED_VALUE"""),"Yes")</f>
        <v>Yes</v>
      </c>
      <c r="AM217" s="5" t="str">
        <f>IFERROR(__xludf.DUMMYFUNCTION("""COMPUTED_VALUE"""),"Yes")</f>
        <v>Yes</v>
      </c>
      <c r="AN217" s="5" t="str">
        <f>IFERROR(__xludf.DUMMYFUNCTION("""COMPUTED_VALUE"""),"Yes")</f>
        <v>Yes</v>
      </c>
      <c r="AO217" s="5" t="str">
        <f>IFERROR(__xludf.DUMMYFUNCTION("""COMPUTED_VALUE"""),"Yes")</f>
        <v>Yes</v>
      </c>
      <c r="AP217" s="5" t="str">
        <f>IFERROR(__xludf.DUMMYFUNCTION("""COMPUTED_VALUE"""),"Yes")</f>
        <v>Yes</v>
      </c>
      <c r="AQ217" s="5" t="str">
        <f>IFERROR(__xludf.DUMMYFUNCTION("""COMPUTED_VALUE"""),"Yes")</f>
        <v>Yes</v>
      </c>
      <c r="AR217" s="5" t="str">
        <f>IFERROR(__xludf.DUMMYFUNCTION("""COMPUTED_VALUE"""),"Yes")</f>
        <v>Yes</v>
      </c>
      <c r="AS217" s="5" t="str">
        <f>IFERROR(__xludf.DUMMYFUNCTION("""COMPUTED_VALUE"""),"Yes")</f>
        <v>Yes</v>
      </c>
      <c r="AT217" s="5" t="str">
        <f>IFERROR(__xludf.DUMMYFUNCTION("""COMPUTED_VALUE"""),"No")</f>
        <v>No</v>
      </c>
      <c r="AU217" s="5"/>
      <c r="AV217" s="5" t="str">
        <f>IFERROR(__xludf.DUMMYFUNCTION("""COMPUTED_VALUE"""),"")</f>
        <v/>
      </c>
      <c r="AW217" s="5" t="str">
        <f>IFERROR(__xludf.DUMMYFUNCTION("""COMPUTED_VALUE"""),"")</f>
        <v/>
      </c>
      <c r="AX217" s="5" t="str">
        <f>IFERROR(__xludf.DUMMYFUNCTION("""COMPUTED_VALUE"""),"")</f>
        <v/>
      </c>
      <c r="AY217" s="5" t="str">
        <f>IFERROR(__xludf.DUMMYFUNCTION("""COMPUTED_VALUE"""),"")</f>
        <v/>
      </c>
      <c r="AZ217" s="5" t="str">
        <f>IFERROR(__xludf.DUMMYFUNCTION("""COMPUTED_VALUE"""),"")</f>
        <v/>
      </c>
      <c r="BA217" s="5" t="str">
        <f>IFERROR(__xludf.DUMMYFUNCTION("""COMPUTED_VALUE"""),"")</f>
        <v/>
      </c>
      <c r="BB217" s="5" t="str">
        <f>IFERROR(__xludf.DUMMYFUNCTION("""COMPUTED_VALUE"""),"")</f>
        <v/>
      </c>
      <c r="BC217" s="5" t="str">
        <f>IFERROR(__xludf.DUMMYFUNCTION("""COMPUTED_VALUE"""),"")</f>
        <v/>
      </c>
      <c r="BD217" s="5" t="str">
        <f>IFERROR(__xludf.DUMMYFUNCTION("""COMPUTED_VALUE"""),"")</f>
        <v/>
      </c>
      <c r="BE217" s="5" t="str">
        <f>IFERROR(__xludf.DUMMYFUNCTION("""COMPUTED_VALUE"""),"")</f>
        <v/>
      </c>
      <c r="BF217" s="5" t="str">
        <f>IFERROR(__xludf.DUMMYFUNCTION("""COMPUTED_VALUE"""),"")</f>
        <v/>
      </c>
      <c r="BG217" s="5" t="str">
        <f>IFERROR(__xludf.DUMMYFUNCTION("""COMPUTED_VALUE"""),"")</f>
        <v/>
      </c>
      <c r="BH217" s="5" t="str">
        <f>IFERROR(__xludf.DUMMYFUNCTION("""COMPUTED_VALUE"""),"")</f>
        <v/>
      </c>
      <c r="BI217" s="5" t="str">
        <f>IFERROR(__xludf.DUMMYFUNCTION("""COMPUTED_VALUE"""),"")</f>
        <v/>
      </c>
      <c r="BJ217" s="5" t="str">
        <f>IFERROR(__xludf.DUMMYFUNCTION("""COMPUTED_VALUE"""),"")</f>
        <v/>
      </c>
      <c r="BK217" s="5" t="str">
        <f>IFERROR(__xludf.DUMMYFUNCTION("""COMPUTED_VALUE"""),"")</f>
        <v/>
      </c>
      <c r="BL217" s="5" t="str">
        <f>IFERROR(__xludf.DUMMYFUNCTION("""COMPUTED_VALUE"""),"")</f>
        <v/>
      </c>
      <c r="BM217" s="5" t="str">
        <f>IFERROR(__xludf.DUMMYFUNCTION("""COMPUTED_VALUE"""),"")</f>
        <v/>
      </c>
    </row>
    <row r="218">
      <c r="A218" s="5" t="str">
        <f>IFERROR(__xludf.DUMMYFUNCTION("""COMPUTED_VALUE"""),"Fazi")</f>
        <v>Fazi</v>
      </c>
      <c r="B218" s="5" t="str">
        <f>IFERROR(__xludf.DUMMYFUNCTION("""COMPUTED_VALUE"""),"Bonus Epic Wild Extralines")</f>
        <v>Bonus Epic Wild Extralines</v>
      </c>
      <c r="C218" s="5" t="str">
        <f>IFERROR(__xludf.DUMMYFUNCTION("""COMPUTED_VALUE"""),"BonusEpicWildExtralines")</f>
        <v>BonusEpicWildExtralines</v>
      </c>
      <c r="D218" s="6">
        <f>IFERROR(__xludf.DUMMYFUNCTION("""COMPUTED_VALUE"""),46211.0)</f>
        <v>46211</v>
      </c>
      <c r="E218" s="5" t="str">
        <f>IFERROR(__xludf.DUMMYFUNCTION("""COMPUTED_VALUE"""),"Slot")</f>
        <v>Slot</v>
      </c>
      <c r="F218" s="5">
        <f>IFERROR(__xludf.DUMMYFUNCTION("""COMPUTED_VALUE"""),26.7)</f>
        <v>26.7</v>
      </c>
      <c r="G218" s="5" t="str">
        <f>IFERROR(__xludf.DUMMYFUNCTION("""COMPUTED_VALUE"""),"3x3")</f>
        <v>3x3</v>
      </c>
      <c r="H218" s="5">
        <f>IFERROR(__xludf.DUMMYFUNCTION("""COMPUTED_VALUE"""),5.0)</f>
        <v>5</v>
      </c>
      <c r="I218" s="5">
        <f>IFERROR(__xludf.DUMMYFUNCTION("""COMPUTED_VALUE"""),5.0)</f>
        <v>5</v>
      </c>
      <c r="J218" s="5" t="str">
        <f>IFERROR(__xludf.DUMMYFUNCTION("""COMPUTED_VALUE"""),"96.474%")</f>
        <v>96.474%</v>
      </c>
      <c r="K218" s="5" t="str">
        <f>IFERROR(__xludf.DUMMYFUNCTION("""COMPUTED_VALUE"""),"Medium")</f>
        <v>Medium</v>
      </c>
      <c r="L218" s="5" t="str">
        <f>IFERROR(__xludf.DUMMYFUNCTION("""COMPUTED_VALUE"""),"5.11%")</f>
        <v>5.11%</v>
      </c>
      <c r="M218" s="5" t="str">
        <f>IFERROR(__xludf.DUMMYFUNCTION("""COMPUTED_VALUE"""),"x2940")</f>
        <v>x2940</v>
      </c>
      <c r="N218" s="5" t="str">
        <f>IFERROR(__xludf.DUMMYFUNCTION("""COMPUTED_VALUE"""),"0.1/50")</f>
        <v>0.1/50</v>
      </c>
      <c r="O218" s="5" t="str">
        <f>IFERROR(__xludf.DUMMYFUNCTION("""COMPUTED_VALUE"""),"Yes")</f>
        <v>Yes</v>
      </c>
      <c r="P218" s="5" t="str">
        <f>IFERROR(__xludf.DUMMYFUNCTION("""COMPUTED_VALUE"""),"Extralines, Wild Symbol, Bonus Game with Free Spins, Buy Bonus")</f>
        <v>Extralines, Wild Symbol, Bonus Game with Free Spins, Buy Bonus</v>
      </c>
      <c r="Q218" s="7" t="str">
        <f>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R218" s="5" t="str">
        <f>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S2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8" s="5" t="str">
        <f>IFERROR(__xludf.DUMMYFUNCTION("""COMPUTED_VALUE"""),"Yes")</f>
        <v>Yes</v>
      </c>
      <c r="U218" s="5" t="str">
        <f>IFERROR(__xludf.DUMMYFUNCTION("""COMPUTED_VALUE"""),"Yes")</f>
        <v>Yes</v>
      </c>
      <c r="V218" s="5" t="str">
        <f>IFERROR(__xludf.DUMMYFUNCTION("""COMPUTED_VALUE"""),"Yes")</f>
        <v>Yes</v>
      </c>
      <c r="W218" s="5" t="str">
        <f>IFERROR(__xludf.DUMMYFUNCTION("""COMPUTED_VALUE"""),"Yes")</f>
        <v>Yes</v>
      </c>
      <c r="X218" s="5" t="str">
        <f>IFERROR(__xludf.DUMMYFUNCTION("""COMPUTED_VALUE"""),"Yes")</f>
        <v>Yes</v>
      </c>
      <c r="Y218" s="5" t="str">
        <f>IFERROR(__xludf.DUMMYFUNCTION("""COMPUTED_VALUE"""),"Yes")</f>
        <v>Yes</v>
      </c>
      <c r="Z218" s="5" t="str">
        <f>IFERROR(__xludf.DUMMYFUNCTION("""COMPUTED_VALUE"""),"Yes")</f>
        <v>Yes</v>
      </c>
      <c r="AA218" s="5" t="str">
        <f>IFERROR(__xludf.DUMMYFUNCTION("""COMPUTED_VALUE"""),"Yes")</f>
        <v>Yes</v>
      </c>
      <c r="AB218" s="5" t="str">
        <f>IFERROR(__xludf.DUMMYFUNCTION("""COMPUTED_VALUE"""),"Yes")</f>
        <v>Yes</v>
      </c>
      <c r="AC218" s="5" t="str">
        <f>IFERROR(__xludf.DUMMYFUNCTION("""COMPUTED_VALUE"""),"Yes")</f>
        <v>Yes</v>
      </c>
      <c r="AD218" s="5" t="str">
        <f>IFERROR(__xludf.DUMMYFUNCTION("""COMPUTED_VALUE"""),"Yes")</f>
        <v>Yes</v>
      </c>
      <c r="AE218" s="5" t="str">
        <f>IFERROR(__xludf.DUMMYFUNCTION("""COMPUTED_VALUE"""),"Yes")</f>
        <v>Yes</v>
      </c>
      <c r="AF218" s="5" t="str">
        <f>IFERROR(__xludf.DUMMYFUNCTION("""COMPUTED_VALUE"""),"Yes")</f>
        <v>Yes</v>
      </c>
      <c r="AG218" s="5" t="str">
        <f>IFERROR(__xludf.DUMMYFUNCTION("""COMPUTED_VALUE"""),"Yes")</f>
        <v>Yes</v>
      </c>
      <c r="AH218" s="5" t="str">
        <f>IFERROR(__xludf.DUMMYFUNCTION("""COMPUTED_VALUE"""),"Yes")</f>
        <v>Yes</v>
      </c>
      <c r="AI218" s="5" t="str">
        <f>IFERROR(__xludf.DUMMYFUNCTION("""COMPUTED_VALUE"""),"Yes")</f>
        <v>Yes</v>
      </c>
      <c r="AJ218" s="5" t="str">
        <f>IFERROR(__xludf.DUMMYFUNCTION("""COMPUTED_VALUE"""),"Yes")</f>
        <v>Yes</v>
      </c>
      <c r="AK218" s="5" t="str">
        <f>IFERROR(__xludf.DUMMYFUNCTION("""COMPUTED_VALUE"""),"Yes")</f>
        <v>Yes</v>
      </c>
      <c r="AL218" s="5" t="str">
        <f>IFERROR(__xludf.DUMMYFUNCTION("""COMPUTED_VALUE"""),"Yes")</f>
        <v>Yes</v>
      </c>
      <c r="AM218" s="5" t="str">
        <f>IFERROR(__xludf.DUMMYFUNCTION("""COMPUTED_VALUE"""),"Yes")</f>
        <v>Yes</v>
      </c>
      <c r="AN218" s="5" t="str">
        <f>IFERROR(__xludf.DUMMYFUNCTION("""COMPUTED_VALUE"""),"Yes")</f>
        <v>Yes</v>
      </c>
      <c r="AO218" s="5" t="str">
        <f>IFERROR(__xludf.DUMMYFUNCTION("""COMPUTED_VALUE"""),"Yes")</f>
        <v>Yes</v>
      </c>
      <c r="AP218" s="5" t="str">
        <f>IFERROR(__xludf.DUMMYFUNCTION("""COMPUTED_VALUE"""),"Yes")</f>
        <v>Yes</v>
      </c>
      <c r="AQ218" s="5" t="str">
        <f>IFERROR(__xludf.DUMMYFUNCTION("""COMPUTED_VALUE"""),"Yes")</f>
        <v>Yes</v>
      </c>
      <c r="AR218" s="5" t="str">
        <f>IFERROR(__xludf.DUMMYFUNCTION("""COMPUTED_VALUE"""),"Yes")</f>
        <v>Yes</v>
      </c>
      <c r="AS218" s="5" t="str">
        <f>IFERROR(__xludf.DUMMYFUNCTION("""COMPUTED_VALUE"""),"Yes")</f>
        <v>Yes</v>
      </c>
      <c r="AT218" s="5" t="str">
        <f>IFERROR(__xludf.DUMMYFUNCTION("""COMPUTED_VALUE"""),"No")</f>
        <v>No</v>
      </c>
      <c r="AU218" s="5"/>
      <c r="AV218" s="5" t="str">
        <f>IFERROR(__xludf.DUMMYFUNCTION("""COMPUTED_VALUE"""),"")</f>
        <v/>
      </c>
      <c r="AW218" s="5" t="str">
        <f>IFERROR(__xludf.DUMMYFUNCTION("""COMPUTED_VALUE"""),"")</f>
        <v/>
      </c>
      <c r="AX218" s="5" t="str">
        <f>IFERROR(__xludf.DUMMYFUNCTION("""COMPUTED_VALUE"""),"")</f>
        <v/>
      </c>
      <c r="AY218" s="5" t="str">
        <f>IFERROR(__xludf.DUMMYFUNCTION("""COMPUTED_VALUE"""),"")</f>
        <v/>
      </c>
      <c r="AZ218" s="5" t="str">
        <f>IFERROR(__xludf.DUMMYFUNCTION("""COMPUTED_VALUE"""),"")</f>
        <v/>
      </c>
      <c r="BA218" s="5" t="str">
        <f>IFERROR(__xludf.DUMMYFUNCTION("""COMPUTED_VALUE"""),"")</f>
        <v/>
      </c>
      <c r="BB218" s="5" t="str">
        <f>IFERROR(__xludf.DUMMYFUNCTION("""COMPUTED_VALUE"""),"")</f>
        <v/>
      </c>
      <c r="BC218" s="5" t="str">
        <f>IFERROR(__xludf.DUMMYFUNCTION("""COMPUTED_VALUE"""),"")</f>
        <v/>
      </c>
      <c r="BD218" s="5" t="str">
        <f>IFERROR(__xludf.DUMMYFUNCTION("""COMPUTED_VALUE"""),"")</f>
        <v/>
      </c>
      <c r="BE218" s="5" t="str">
        <f>IFERROR(__xludf.DUMMYFUNCTION("""COMPUTED_VALUE"""),"")</f>
        <v/>
      </c>
      <c r="BF218" s="5" t="str">
        <f>IFERROR(__xludf.DUMMYFUNCTION("""COMPUTED_VALUE"""),"")</f>
        <v/>
      </c>
      <c r="BG218" s="5" t="str">
        <f>IFERROR(__xludf.DUMMYFUNCTION("""COMPUTED_VALUE"""),"")</f>
        <v/>
      </c>
      <c r="BH218" s="5" t="str">
        <f>IFERROR(__xludf.DUMMYFUNCTION("""COMPUTED_VALUE"""),"")</f>
        <v/>
      </c>
      <c r="BI218" s="5" t="str">
        <f>IFERROR(__xludf.DUMMYFUNCTION("""COMPUTED_VALUE"""),"")</f>
        <v/>
      </c>
      <c r="BJ218" s="5" t="str">
        <f>IFERROR(__xludf.DUMMYFUNCTION("""COMPUTED_VALUE"""),"")</f>
        <v/>
      </c>
      <c r="BK218" s="5" t="str">
        <f>IFERROR(__xludf.DUMMYFUNCTION("""COMPUTED_VALUE"""),"")</f>
        <v/>
      </c>
      <c r="BL218" s="5" t="str">
        <f>IFERROR(__xludf.DUMMYFUNCTION("""COMPUTED_VALUE"""),"")</f>
        <v/>
      </c>
      <c r="BM218" s="5" t="str">
        <f>IFERROR(__xludf.DUMMYFUNCTION("""COMPUTED_VALUE"""),"")</f>
        <v/>
      </c>
    </row>
    <row r="219">
      <c r="A219" s="5" t="str">
        <f>IFERROR(__xludf.DUMMYFUNCTION("""COMPUTED_VALUE"""),"Fazi")</f>
        <v>Fazi</v>
      </c>
      <c r="B219" s="5" t="str">
        <f>IFERROR(__xludf.DUMMYFUNCTION("""COMPUTED_VALUE"""),"On Demand Roulette")</f>
        <v>On Demand Roulette</v>
      </c>
      <c r="C219" s="5" t="str">
        <f>IFERROR(__xludf.DUMMYFUNCTION("""COMPUTED_VALUE"""),"OnDemandRoulette")</f>
        <v>OnDemandRoulette</v>
      </c>
      <c r="D219" s="6">
        <f>IFERROR(__xludf.DUMMYFUNCTION("""COMPUTED_VALUE"""),46245.0)</f>
        <v>46245</v>
      </c>
      <c r="E219" s="5" t="str">
        <f>IFERROR(__xludf.DUMMYFUNCTION("""COMPUTED_VALUE"""),"Roulette")</f>
        <v>Roulette</v>
      </c>
      <c r="F219" s="5">
        <f>IFERROR(__xludf.DUMMYFUNCTION("""COMPUTED_VALUE"""),11.0)</f>
        <v>11</v>
      </c>
      <c r="G219" s="5" t="str">
        <f>IFERROR(__xludf.DUMMYFUNCTION("""COMPUTED_VALUE"""),"/")</f>
        <v>/</v>
      </c>
      <c r="H219" s="5" t="str">
        <f>IFERROR(__xludf.DUMMYFUNCTION("""COMPUTED_VALUE"""),"/")</f>
        <v>/</v>
      </c>
      <c r="I219" s="5" t="str">
        <f>IFERROR(__xludf.DUMMYFUNCTION("""COMPUTED_VALUE"""),"/")</f>
        <v>/</v>
      </c>
      <c r="J219" s="5" t="str">
        <f>IFERROR(__xludf.DUMMYFUNCTION("""COMPUTED_VALUE"""),"97.3%")</f>
        <v>97.3%</v>
      </c>
      <c r="K219" s="5" t="str">
        <f>IFERROR(__xludf.DUMMYFUNCTION("""COMPUTED_VALUE"""),"Medium")</f>
        <v>Medium</v>
      </c>
      <c r="L219" s="5" t="str">
        <f>IFERROR(__xludf.DUMMYFUNCTION("""COMPUTED_VALUE"""),"/%")</f>
        <v>/%</v>
      </c>
      <c r="M219" s="5" t="str">
        <f>IFERROR(__xludf.DUMMYFUNCTION("""COMPUTED_VALUE"""),"x36")</f>
        <v>x36</v>
      </c>
      <c r="N219" s="5">
        <f>IFERROR(__xludf.DUMMYFUNCTION("""COMPUTED_VALUE"""),0.1)</f>
        <v>0.1</v>
      </c>
      <c r="O219" s="5" t="str">
        <f>IFERROR(__xludf.DUMMYFUNCTION("""COMPUTED_VALUE"""),"No")</f>
        <v>No</v>
      </c>
      <c r="P219" s="5"/>
      <c r="Q219" s="7" t="str">
        <f>IFERROR(__xludf.DUMMYFUNCTION("""COMPUTED_VALUE"""),"https://onlinegamespromo.fazi.rs/Home/IntegrationGameLaunch?moneyType=0&amp;gameName=OnDemandRoulette&amp;platform=desktop&amp;languageCode=eng&amp;currency=EUR")</f>
        <v>https://onlinegamespromo.fazi.rs/Home/IntegrationGameLaunch?moneyType=0&amp;gameName=OnDemandRoulette&amp;platform=desktop&amp;languageCode=eng&amp;currency=EUR</v>
      </c>
      <c r="R219" s="5" t="str">
        <f>IFERROR(__xludf.DUMMYFUNCTION("""COMPUTED_VALUE"""),"Place your bets and experience the thrill of the roulette wheel in a fast-paced single-player game!
Choose your chip value, explore a variety of betting options, and spin whenever you're ready. Stay in control of every round as the action unfolds.
With Au"&amp;"to Play and winning statistics always at your fingertips, combine strategy with intuition and enjoy every spin.
")</f>
        <v>Place your bets and experience the thrill of the roulette wheel in a fast-paced single-player game!
Choose your chip value, explore a variety of betting options, and spin whenever you're ready. Stay in control of every round as the action unfolds.
With Auto Play and winning statistics always at your fingertips, combine strategy with intuition and enjoy every spin.
</v>
      </c>
      <c r="S2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9" s="5" t="str">
        <f>IFERROR(__xludf.DUMMYFUNCTION("""COMPUTED_VALUE"""),"Yes")</f>
        <v>Yes</v>
      </c>
      <c r="U219" s="5" t="str">
        <f>IFERROR(__xludf.DUMMYFUNCTION("""COMPUTED_VALUE"""),"Yes")</f>
        <v>Yes</v>
      </c>
      <c r="V219" s="5" t="str">
        <f>IFERROR(__xludf.DUMMYFUNCTION("""COMPUTED_VALUE"""),"Yes")</f>
        <v>Yes</v>
      </c>
      <c r="W219" s="5" t="str">
        <f>IFERROR(__xludf.DUMMYFUNCTION("""COMPUTED_VALUE"""),"Yes")</f>
        <v>Yes</v>
      </c>
      <c r="X219" s="5" t="str">
        <f>IFERROR(__xludf.DUMMYFUNCTION("""COMPUTED_VALUE"""),"Yes")</f>
        <v>Yes</v>
      </c>
      <c r="Y219" s="5" t="str">
        <f>IFERROR(__xludf.DUMMYFUNCTION("""COMPUTED_VALUE"""),"Yes")</f>
        <v>Yes</v>
      </c>
      <c r="Z219" s="5" t="str">
        <f>IFERROR(__xludf.DUMMYFUNCTION("""COMPUTED_VALUE"""),"Yes")</f>
        <v>Yes</v>
      </c>
      <c r="AA219" s="5" t="str">
        <f>IFERROR(__xludf.DUMMYFUNCTION("""COMPUTED_VALUE"""),"Yes")</f>
        <v>Yes</v>
      </c>
      <c r="AB219" s="5" t="str">
        <f>IFERROR(__xludf.DUMMYFUNCTION("""COMPUTED_VALUE"""),"Yes")</f>
        <v>Yes</v>
      </c>
      <c r="AC219" s="5" t="str">
        <f>IFERROR(__xludf.DUMMYFUNCTION("""COMPUTED_VALUE"""),"Yes")</f>
        <v>Yes</v>
      </c>
      <c r="AD219" s="5" t="str">
        <f>IFERROR(__xludf.DUMMYFUNCTION("""COMPUTED_VALUE"""),"Yes")</f>
        <v>Yes</v>
      </c>
      <c r="AE219" s="5" t="str">
        <f>IFERROR(__xludf.DUMMYFUNCTION("""COMPUTED_VALUE"""),"Yes")</f>
        <v>Yes</v>
      </c>
      <c r="AF219" s="5" t="str">
        <f>IFERROR(__xludf.DUMMYFUNCTION("""COMPUTED_VALUE"""),"Yes")</f>
        <v>Yes</v>
      </c>
      <c r="AG219" s="5" t="str">
        <f>IFERROR(__xludf.DUMMYFUNCTION("""COMPUTED_VALUE"""),"Yes")</f>
        <v>Yes</v>
      </c>
      <c r="AH219" s="5" t="str">
        <f>IFERROR(__xludf.DUMMYFUNCTION("""COMPUTED_VALUE"""),"Yes")</f>
        <v>Yes</v>
      </c>
      <c r="AI219" s="5" t="str">
        <f>IFERROR(__xludf.DUMMYFUNCTION("""COMPUTED_VALUE"""),"Yes")</f>
        <v>Yes</v>
      </c>
      <c r="AJ219" s="5" t="str">
        <f>IFERROR(__xludf.DUMMYFUNCTION("""COMPUTED_VALUE"""),"Yes")</f>
        <v>Yes</v>
      </c>
      <c r="AK219" s="5" t="str">
        <f>IFERROR(__xludf.DUMMYFUNCTION("""COMPUTED_VALUE"""),"Yes")</f>
        <v>Yes</v>
      </c>
      <c r="AL219" s="5" t="str">
        <f>IFERROR(__xludf.DUMMYFUNCTION("""COMPUTED_VALUE"""),"Yes")</f>
        <v>Yes</v>
      </c>
      <c r="AM219" s="5" t="str">
        <f>IFERROR(__xludf.DUMMYFUNCTION("""COMPUTED_VALUE"""),"Yes")</f>
        <v>Yes</v>
      </c>
      <c r="AN219" s="5" t="str">
        <f>IFERROR(__xludf.DUMMYFUNCTION("""COMPUTED_VALUE"""),"Yes")</f>
        <v>Yes</v>
      </c>
      <c r="AO219" s="5" t="str">
        <f>IFERROR(__xludf.DUMMYFUNCTION("""COMPUTED_VALUE"""),"Yes")</f>
        <v>Yes</v>
      </c>
      <c r="AP219" s="5" t="str">
        <f>IFERROR(__xludf.DUMMYFUNCTION("""COMPUTED_VALUE"""),"Yes")</f>
        <v>Yes</v>
      </c>
      <c r="AQ219" s="5" t="str">
        <f>IFERROR(__xludf.DUMMYFUNCTION("""COMPUTED_VALUE"""),"Yes")</f>
        <v>Yes</v>
      </c>
      <c r="AR219" s="5" t="str">
        <f>IFERROR(__xludf.DUMMYFUNCTION("""COMPUTED_VALUE"""),"Yes")</f>
        <v>Yes</v>
      </c>
      <c r="AS219" s="5" t="str">
        <f>IFERROR(__xludf.DUMMYFUNCTION("""COMPUTED_VALUE"""),"Yes")</f>
        <v>Yes</v>
      </c>
      <c r="AT219" s="5" t="str">
        <f>IFERROR(__xludf.DUMMYFUNCTION("""COMPUTED_VALUE"""),"No")</f>
        <v>No</v>
      </c>
      <c r="AU219" s="5"/>
      <c r="AV219" s="5" t="str">
        <f>IFERROR(__xludf.DUMMYFUNCTION("""COMPUTED_VALUE"""),"")</f>
        <v/>
      </c>
      <c r="AW219" s="5" t="str">
        <f>IFERROR(__xludf.DUMMYFUNCTION("""COMPUTED_VALUE"""),"")</f>
        <v/>
      </c>
      <c r="AX219" s="5" t="str">
        <f>IFERROR(__xludf.DUMMYFUNCTION("""COMPUTED_VALUE"""),"")</f>
        <v/>
      </c>
      <c r="AY219" s="5" t="str">
        <f>IFERROR(__xludf.DUMMYFUNCTION("""COMPUTED_VALUE"""),"")</f>
        <v/>
      </c>
      <c r="AZ219" s="5" t="str">
        <f>IFERROR(__xludf.DUMMYFUNCTION("""COMPUTED_VALUE"""),"")</f>
        <v/>
      </c>
      <c r="BA219" s="5" t="str">
        <f>IFERROR(__xludf.DUMMYFUNCTION("""COMPUTED_VALUE"""),"")</f>
        <v/>
      </c>
      <c r="BB219" s="5" t="str">
        <f>IFERROR(__xludf.DUMMYFUNCTION("""COMPUTED_VALUE"""),"")</f>
        <v/>
      </c>
      <c r="BC219" s="5" t="str">
        <f>IFERROR(__xludf.DUMMYFUNCTION("""COMPUTED_VALUE"""),"")</f>
        <v/>
      </c>
      <c r="BD219" s="5" t="str">
        <f>IFERROR(__xludf.DUMMYFUNCTION("""COMPUTED_VALUE"""),"")</f>
        <v/>
      </c>
      <c r="BE219" s="5" t="str">
        <f>IFERROR(__xludf.DUMMYFUNCTION("""COMPUTED_VALUE"""),"")</f>
        <v/>
      </c>
      <c r="BF219" s="5" t="str">
        <f>IFERROR(__xludf.DUMMYFUNCTION("""COMPUTED_VALUE"""),"")</f>
        <v/>
      </c>
      <c r="BG219" s="5" t="str">
        <f>IFERROR(__xludf.DUMMYFUNCTION("""COMPUTED_VALUE"""),"")</f>
        <v/>
      </c>
      <c r="BH219" s="5" t="str">
        <f>IFERROR(__xludf.DUMMYFUNCTION("""COMPUTED_VALUE"""),"")</f>
        <v/>
      </c>
      <c r="BI219" s="5" t="str">
        <f>IFERROR(__xludf.DUMMYFUNCTION("""COMPUTED_VALUE"""),"")</f>
        <v/>
      </c>
      <c r="BJ219" s="5" t="str">
        <f>IFERROR(__xludf.DUMMYFUNCTION("""COMPUTED_VALUE"""),"")</f>
        <v/>
      </c>
      <c r="BK219" s="5" t="str">
        <f>IFERROR(__xludf.DUMMYFUNCTION("""COMPUTED_VALUE"""),"")</f>
        <v/>
      </c>
      <c r="BL219" s="5" t="str">
        <f>IFERROR(__xludf.DUMMYFUNCTION("""COMPUTED_VALUE"""),"")</f>
        <v/>
      </c>
      <c r="BM219" s="5" t="str">
        <f>IFERROR(__xludf.DUMMYFUNCTION("""COMPUTED_VALUE"""),"")</f>
        <v/>
      </c>
    </row>
    <row r="220">
      <c r="A220" s="5" t="str">
        <f>IFERROR(__xludf.DUMMYFUNCTION("""COMPUTED_VALUE"""),"Fazi")</f>
        <v>Fazi</v>
      </c>
      <c r="B220" s="5" t="str">
        <f>IFERROR(__xludf.DUMMYFUNCTION("""COMPUTED_VALUE"""),"Clover 27")</f>
        <v>Clover 27</v>
      </c>
      <c r="C220" s="5" t="str">
        <f>IFERROR(__xludf.DUMMYFUNCTION("""COMPUTED_VALUE"""),"Clover27")</f>
        <v>Clover27</v>
      </c>
      <c r="D220" s="6">
        <f>IFERROR(__xludf.DUMMYFUNCTION("""COMPUTED_VALUE"""),46294.0)</f>
        <v>46294</v>
      </c>
      <c r="E220" s="5" t="str">
        <f>IFERROR(__xludf.DUMMYFUNCTION("""COMPUTED_VALUE"""),"Slot")</f>
        <v>Slot</v>
      </c>
      <c r="F220" s="5">
        <f>IFERROR(__xludf.DUMMYFUNCTION("""COMPUTED_VALUE"""),15.6)</f>
        <v>15.6</v>
      </c>
      <c r="G220" s="5" t="str">
        <f>IFERROR(__xludf.DUMMYFUNCTION("""COMPUTED_VALUE"""),"3x3")</f>
        <v>3x3</v>
      </c>
      <c r="H220" s="5">
        <f>IFERROR(__xludf.DUMMYFUNCTION("""COMPUTED_VALUE"""),27.0)</f>
        <v>27</v>
      </c>
      <c r="I220" s="5">
        <f>IFERROR(__xludf.DUMMYFUNCTION("""COMPUTED_VALUE"""),27.0)</f>
        <v>27</v>
      </c>
      <c r="J220" s="5" t="str">
        <f>IFERROR(__xludf.DUMMYFUNCTION("""COMPUTED_VALUE"""),"96.5%")</f>
        <v>96.5%</v>
      </c>
      <c r="K220" s="5" t="str">
        <f>IFERROR(__xludf.DUMMYFUNCTION("""COMPUTED_VALUE"""),"Medium")</f>
        <v>Medium</v>
      </c>
      <c r="L220" s="5" t="str">
        <f>IFERROR(__xludf.DUMMYFUNCTION("""COMPUTED_VALUE"""),"8.507%")</f>
        <v>8.507%</v>
      </c>
      <c r="M220" s="5" t="str">
        <f>IFERROR(__xludf.DUMMYFUNCTION("""COMPUTED_VALUE"""),"x180")</f>
        <v>x180</v>
      </c>
      <c r="N220" s="5" t="str">
        <f>IFERROR(__xludf.DUMMYFUNCTION("""COMPUTED_VALUE"""),"0.1 / 50")</f>
        <v>0.1 / 50</v>
      </c>
      <c r="O220" s="5" t="str">
        <f>IFERROR(__xludf.DUMMYFUNCTION("""COMPUTED_VALUE"""),"Yes")</f>
        <v>Yes</v>
      </c>
      <c r="P220" s="5" t="str">
        <f>IFERROR(__xludf.DUMMYFUNCTION("""COMPUTED_VALUE"""),"Expanding Wild")</f>
        <v>Expanding Wild</v>
      </c>
      <c r="Q220" s="7" t="str">
        <f>IFERROR(__xludf.DUMMYFUNCTION("""COMPUTED_VALUE"""),"https://onlinegamespromo.fazi.rs/Home/IntegrationGameLaunch?moneyType=0&amp;gameName=Clover27&amp;platform=desktop&amp;languageCode=eng&amp;currency=EUR")</f>
        <v>https://onlinegamespromo.fazi.rs/Home/IntegrationGameLaunch?moneyType=0&amp;gameName=Clover27&amp;platform=desktop&amp;languageCode=eng&amp;currency=EUR</v>
      </c>
      <c r="R220" s="5" t="str">
        <f>IFERROR(__xludf.DUMMYFUNCTION("""COMPUTED_VALUE"""),"From the classic slot lineup comes a fresh boost of luck - Clover 27! 
Built on a fast-paced 3x3 grid, this vibrant game packs 27 ways to win and a game-changing Expanding Wild locked onto the middle reel to supercharge every winning combination. 
Pure si"&amp;"mplicity. Maximum luck. Are you ready to catch the clover? ")</f>
        <v>From the classic slot lineup comes a fresh boost of luck - Clover 27! 
Built on a fast-paced 3x3 grid, this vibrant game packs 27 ways to win and a game-changing Expanding Wild locked onto the middle reel to supercharge every winning combination. 
Pure simplicity. Maximum luck. Are you ready to catch the clover? </v>
      </c>
      <c r="S2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0" s="5" t="str">
        <f>IFERROR(__xludf.DUMMYFUNCTION("""COMPUTED_VALUE"""),"Yes")</f>
        <v>Yes</v>
      </c>
      <c r="U220" s="5" t="str">
        <f>IFERROR(__xludf.DUMMYFUNCTION("""COMPUTED_VALUE"""),"Yes")</f>
        <v>Yes</v>
      </c>
      <c r="V220" s="5" t="str">
        <f>IFERROR(__xludf.DUMMYFUNCTION("""COMPUTED_VALUE"""),"Yes")</f>
        <v>Yes</v>
      </c>
      <c r="W220" s="5" t="str">
        <f>IFERROR(__xludf.DUMMYFUNCTION("""COMPUTED_VALUE"""),"Yes")</f>
        <v>Yes</v>
      </c>
      <c r="X220" s="5" t="str">
        <f>IFERROR(__xludf.DUMMYFUNCTION("""COMPUTED_VALUE"""),"Yes")</f>
        <v>Yes</v>
      </c>
      <c r="Y220" s="5" t="str">
        <f>IFERROR(__xludf.DUMMYFUNCTION("""COMPUTED_VALUE"""),"Yes")</f>
        <v>Yes</v>
      </c>
      <c r="Z220" s="5" t="str">
        <f>IFERROR(__xludf.DUMMYFUNCTION("""COMPUTED_VALUE"""),"Yes")</f>
        <v>Yes</v>
      </c>
      <c r="AA220" s="5" t="str">
        <f>IFERROR(__xludf.DUMMYFUNCTION("""COMPUTED_VALUE"""),"Yes")</f>
        <v>Yes</v>
      </c>
      <c r="AB220" s="5" t="str">
        <f>IFERROR(__xludf.DUMMYFUNCTION("""COMPUTED_VALUE"""),"Yes")</f>
        <v>Yes</v>
      </c>
      <c r="AC220" s="5" t="str">
        <f>IFERROR(__xludf.DUMMYFUNCTION("""COMPUTED_VALUE"""),"Yes")</f>
        <v>Yes</v>
      </c>
      <c r="AD220" s="5" t="str">
        <f>IFERROR(__xludf.DUMMYFUNCTION("""COMPUTED_VALUE"""),"Yes")</f>
        <v>Yes</v>
      </c>
      <c r="AE220" s="5" t="str">
        <f>IFERROR(__xludf.DUMMYFUNCTION("""COMPUTED_VALUE"""),"Yes")</f>
        <v>Yes</v>
      </c>
      <c r="AF220" s="5" t="str">
        <f>IFERROR(__xludf.DUMMYFUNCTION("""COMPUTED_VALUE"""),"Yes")</f>
        <v>Yes</v>
      </c>
      <c r="AG220" s="5" t="str">
        <f>IFERROR(__xludf.DUMMYFUNCTION("""COMPUTED_VALUE"""),"Yes")</f>
        <v>Yes</v>
      </c>
      <c r="AH220" s="5" t="str">
        <f>IFERROR(__xludf.DUMMYFUNCTION("""COMPUTED_VALUE"""),"Yes")</f>
        <v>Yes</v>
      </c>
      <c r="AI220" s="5" t="str">
        <f>IFERROR(__xludf.DUMMYFUNCTION("""COMPUTED_VALUE"""),"Yes")</f>
        <v>Yes</v>
      </c>
      <c r="AJ220" s="5" t="str">
        <f>IFERROR(__xludf.DUMMYFUNCTION("""COMPUTED_VALUE"""),"Yes")</f>
        <v>Yes</v>
      </c>
      <c r="AK220" s="5" t="str">
        <f>IFERROR(__xludf.DUMMYFUNCTION("""COMPUTED_VALUE"""),"Yes")</f>
        <v>Yes</v>
      </c>
      <c r="AL220" s="5" t="str">
        <f>IFERROR(__xludf.DUMMYFUNCTION("""COMPUTED_VALUE"""),"Yes")</f>
        <v>Yes</v>
      </c>
      <c r="AM220" s="5" t="str">
        <f>IFERROR(__xludf.DUMMYFUNCTION("""COMPUTED_VALUE"""),"Yes")</f>
        <v>Yes</v>
      </c>
      <c r="AN220" s="5" t="str">
        <f>IFERROR(__xludf.DUMMYFUNCTION("""COMPUTED_VALUE"""),"Yes")</f>
        <v>Yes</v>
      </c>
      <c r="AO220" s="5" t="str">
        <f>IFERROR(__xludf.DUMMYFUNCTION("""COMPUTED_VALUE"""),"Yes")</f>
        <v>Yes</v>
      </c>
      <c r="AP220" s="5" t="str">
        <f>IFERROR(__xludf.DUMMYFUNCTION("""COMPUTED_VALUE"""),"Yes")</f>
        <v>Yes</v>
      </c>
      <c r="AQ220" s="5" t="str">
        <f>IFERROR(__xludf.DUMMYFUNCTION("""COMPUTED_VALUE"""),"Yes")</f>
        <v>Yes</v>
      </c>
      <c r="AR220" s="5" t="str">
        <f>IFERROR(__xludf.DUMMYFUNCTION("""COMPUTED_VALUE"""),"Yes")</f>
        <v>Yes</v>
      </c>
      <c r="AS220" s="5" t="str">
        <f>IFERROR(__xludf.DUMMYFUNCTION("""COMPUTED_VALUE"""),"Yes")</f>
        <v>Yes</v>
      </c>
      <c r="AT220" s="5" t="str">
        <f>IFERROR(__xludf.DUMMYFUNCTION("""COMPUTED_VALUE"""),"No")</f>
        <v>No</v>
      </c>
      <c r="AU220" s="5"/>
      <c r="AV220" s="5" t="str">
        <f>IFERROR(__xludf.DUMMYFUNCTION("""COMPUTED_VALUE"""),"")</f>
        <v/>
      </c>
      <c r="AW220" s="5" t="str">
        <f>IFERROR(__xludf.DUMMYFUNCTION("""COMPUTED_VALUE"""),"")</f>
        <v/>
      </c>
      <c r="AX220" s="5" t="str">
        <f>IFERROR(__xludf.DUMMYFUNCTION("""COMPUTED_VALUE"""),"")</f>
        <v/>
      </c>
      <c r="AY220" s="5" t="str">
        <f>IFERROR(__xludf.DUMMYFUNCTION("""COMPUTED_VALUE"""),"")</f>
        <v/>
      </c>
      <c r="AZ220" s="5" t="str">
        <f>IFERROR(__xludf.DUMMYFUNCTION("""COMPUTED_VALUE"""),"")</f>
        <v/>
      </c>
      <c r="BA220" s="5" t="str">
        <f>IFERROR(__xludf.DUMMYFUNCTION("""COMPUTED_VALUE"""),"")</f>
        <v/>
      </c>
      <c r="BB220" s="5" t="str">
        <f>IFERROR(__xludf.DUMMYFUNCTION("""COMPUTED_VALUE"""),"")</f>
        <v/>
      </c>
      <c r="BC220" s="5" t="str">
        <f>IFERROR(__xludf.DUMMYFUNCTION("""COMPUTED_VALUE"""),"")</f>
        <v/>
      </c>
      <c r="BD220" s="5" t="str">
        <f>IFERROR(__xludf.DUMMYFUNCTION("""COMPUTED_VALUE"""),"")</f>
        <v/>
      </c>
      <c r="BE220" s="5" t="str">
        <f>IFERROR(__xludf.DUMMYFUNCTION("""COMPUTED_VALUE"""),"")</f>
        <v/>
      </c>
      <c r="BF220" s="5" t="str">
        <f>IFERROR(__xludf.DUMMYFUNCTION("""COMPUTED_VALUE"""),"")</f>
        <v/>
      </c>
      <c r="BG220" s="5" t="str">
        <f>IFERROR(__xludf.DUMMYFUNCTION("""COMPUTED_VALUE"""),"")</f>
        <v/>
      </c>
      <c r="BH220" s="5" t="str">
        <f>IFERROR(__xludf.DUMMYFUNCTION("""COMPUTED_VALUE"""),"")</f>
        <v/>
      </c>
      <c r="BI220" s="5" t="str">
        <f>IFERROR(__xludf.DUMMYFUNCTION("""COMPUTED_VALUE"""),"")</f>
        <v/>
      </c>
      <c r="BJ220" s="5" t="str">
        <f>IFERROR(__xludf.DUMMYFUNCTION("""COMPUTED_VALUE"""),"")</f>
        <v/>
      </c>
      <c r="BK220" s="5" t="str">
        <f>IFERROR(__xludf.DUMMYFUNCTION("""COMPUTED_VALUE"""),"")</f>
        <v/>
      </c>
      <c r="BL220" s="5" t="str">
        <f>IFERROR(__xludf.DUMMYFUNCTION("""COMPUTED_VALUE"""),"")</f>
        <v/>
      </c>
      <c r="BM220" s="5" t="str">
        <f>IFERROR(__xludf.DUMMYFUNCTION("""COMPUTED_VALUE"""),"")</f>
        <v/>
      </c>
    </row>
    <row r="221">
      <c r="A221" s="5" t="str">
        <f>IFERROR(__xludf.DUMMYFUNCTION("""COMPUTED_VALUE"""),"Fazi")</f>
        <v>Fazi</v>
      </c>
      <c r="B221" s="5" t="str">
        <f>IFERROR(__xludf.DUMMYFUNCTION("""COMPUTED_VALUE"""),"Coink Bank")</f>
        <v>Coink Bank</v>
      </c>
      <c r="C221" s="5" t="str">
        <f>IFERROR(__xludf.DUMMYFUNCTION("""COMPUTED_VALUE"""),"CoinkBank")</f>
        <v>CoinkBank</v>
      </c>
      <c r="D221" s="6">
        <f>IFERROR(__xludf.DUMMYFUNCTION("""COMPUTED_VALUE"""),46273.0)</f>
        <v>46273</v>
      </c>
      <c r="E221" s="5" t="str">
        <f>IFERROR(__xludf.DUMMYFUNCTION("""COMPUTED_VALUE"""),"Slot")</f>
        <v>Slot</v>
      </c>
      <c r="F221" s="5">
        <f>IFERROR(__xludf.DUMMYFUNCTION("""COMPUTED_VALUE"""),38.4)</f>
        <v>38.4</v>
      </c>
      <c r="G221" s="5" t="str">
        <f>IFERROR(__xludf.DUMMYFUNCTION("""COMPUTED_VALUE"""),"3x3")</f>
        <v>3x3</v>
      </c>
      <c r="H221" s="5">
        <f>IFERROR(__xludf.DUMMYFUNCTION("""COMPUTED_VALUE"""),5.0)</f>
        <v>5</v>
      </c>
      <c r="I221" s="5">
        <f>IFERROR(__xludf.DUMMYFUNCTION("""COMPUTED_VALUE"""),5.0)</f>
        <v>5</v>
      </c>
      <c r="J221" s="5" t="str">
        <f>IFERROR(__xludf.DUMMYFUNCTION("""COMPUTED_VALUE"""),"96.518%")</f>
        <v>96.518%</v>
      </c>
      <c r="K221" s="5" t="str">
        <f>IFERROR(__xludf.DUMMYFUNCTION("""COMPUTED_VALUE"""),"Medium")</f>
        <v>Medium</v>
      </c>
      <c r="L221" s="5" t="str">
        <f>IFERROR(__xludf.DUMMYFUNCTION("""COMPUTED_VALUE"""),"10.922%")</f>
        <v>10.922%</v>
      </c>
      <c r="M221" s="5" t="str">
        <f>IFERROR(__xludf.DUMMYFUNCTION("""COMPUTED_VALUE"""),"x3250")</f>
        <v>x3250</v>
      </c>
      <c r="N221" s="5" t="str">
        <f>IFERROR(__xludf.DUMMYFUNCTION("""COMPUTED_VALUE"""),"0.1/50")</f>
        <v>0.1/50</v>
      </c>
      <c r="O221" s="5" t="str">
        <f>IFERROR(__xludf.DUMMYFUNCTION("""COMPUTED_VALUE"""),"No")</f>
        <v>No</v>
      </c>
      <c r="P221" s="5" t="str">
        <f>IFERROR(__xludf.DUMMYFUNCTION("""COMPUTED_VALUE"""),"Buy Bonus, Bonus Game with Collect, Wild Symbol, In Game Jackpot, Variable RTP")</f>
        <v>Buy Bonus, Bonus Game with Collect, Wild Symbol, In Game Jackpot, Variable RTP</v>
      </c>
      <c r="Q221" s="7" t="str">
        <f>IFERROR(__xludf.DUMMYFUNCTION("""COMPUTED_VALUE"""),"https://onlinegamespromo.fazi.rs/Home/IntegrationGameLaunch?moneyType=0&amp;gameName=CoinkBank&amp;platform=desktop&amp;languageCode=eng&amp;currency=EUR")</f>
        <v>https://onlinegamespromo.fazi.rs/Home/IntegrationGameLaunch?moneyType=0&amp;gameName=CoinkBank&amp;platform=desktop&amp;languageCode=eng&amp;currency=EUR</v>
      </c>
      <c r="R221" s="5" t="str">
        <f>IFERROR(__xludf.DUMMYFUNCTION("""COMPUTED_VALUE"""),"The piggy bank is full – and it’s time to break the bank! 
Packed with golden Coins, instant Collect action on any reel, and a rewarding Bonus feature, this thrilling slot brings big Jackpot potential with every drop. Endless excitement. Are you ready to "&amp;"crack the Coink Bank? 
")</f>
        <v>The piggy bank is full – and it’s time to break the bank! 
Packed with golden Coins, instant Collect action on any reel, and a rewarding Bonus feature, this thrilling slot brings big Jackpot potential with every drop. Endless excitement. Are you ready to crack the Coink Bank? 
</v>
      </c>
      <c r="S2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1" s="5" t="str">
        <f>IFERROR(__xludf.DUMMYFUNCTION("""COMPUTED_VALUE"""),"Yes")</f>
        <v>Yes</v>
      </c>
      <c r="U221" s="5" t="str">
        <f>IFERROR(__xludf.DUMMYFUNCTION("""COMPUTED_VALUE"""),"Yes")</f>
        <v>Yes</v>
      </c>
      <c r="V221" s="5" t="str">
        <f>IFERROR(__xludf.DUMMYFUNCTION("""COMPUTED_VALUE"""),"Yes")</f>
        <v>Yes</v>
      </c>
      <c r="W221" s="5" t="str">
        <f>IFERROR(__xludf.DUMMYFUNCTION("""COMPUTED_VALUE"""),"Yes")</f>
        <v>Yes</v>
      </c>
      <c r="X221" s="5" t="str">
        <f>IFERROR(__xludf.DUMMYFUNCTION("""COMPUTED_VALUE"""),"Yes")</f>
        <v>Yes</v>
      </c>
      <c r="Y221" s="5" t="str">
        <f>IFERROR(__xludf.DUMMYFUNCTION("""COMPUTED_VALUE"""),"Yes")</f>
        <v>Yes</v>
      </c>
      <c r="Z221" s="5" t="str">
        <f>IFERROR(__xludf.DUMMYFUNCTION("""COMPUTED_VALUE"""),"Yes")</f>
        <v>Yes</v>
      </c>
      <c r="AA221" s="5" t="str">
        <f>IFERROR(__xludf.DUMMYFUNCTION("""COMPUTED_VALUE"""),"Yes")</f>
        <v>Yes</v>
      </c>
      <c r="AB221" s="5" t="str">
        <f>IFERROR(__xludf.DUMMYFUNCTION("""COMPUTED_VALUE"""),"Yes")</f>
        <v>Yes</v>
      </c>
      <c r="AC221" s="5" t="str">
        <f>IFERROR(__xludf.DUMMYFUNCTION("""COMPUTED_VALUE"""),"Yes")</f>
        <v>Yes</v>
      </c>
      <c r="AD221" s="5" t="str">
        <f>IFERROR(__xludf.DUMMYFUNCTION("""COMPUTED_VALUE"""),"Yes")</f>
        <v>Yes</v>
      </c>
      <c r="AE221" s="5" t="str">
        <f>IFERROR(__xludf.DUMMYFUNCTION("""COMPUTED_VALUE"""),"Yes")</f>
        <v>Yes</v>
      </c>
      <c r="AF221" s="5" t="str">
        <f>IFERROR(__xludf.DUMMYFUNCTION("""COMPUTED_VALUE"""),"Yes")</f>
        <v>Yes</v>
      </c>
      <c r="AG221" s="5" t="str">
        <f>IFERROR(__xludf.DUMMYFUNCTION("""COMPUTED_VALUE"""),"Yes")</f>
        <v>Yes</v>
      </c>
      <c r="AH221" s="5" t="str">
        <f>IFERROR(__xludf.DUMMYFUNCTION("""COMPUTED_VALUE"""),"Yes")</f>
        <v>Yes</v>
      </c>
      <c r="AI221" s="5" t="str">
        <f>IFERROR(__xludf.DUMMYFUNCTION("""COMPUTED_VALUE"""),"Yes")</f>
        <v>Yes</v>
      </c>
      <c r="AJ221" s="5" t="str">
        <f>IFERROR(__xludf.DUMMYFUNCTION("""COMPUTED_VALUE"""),"Yes")</f>
        <v>Yes</v>
      </c>
      <c r="AK221" s="5" t="str">
        <f>IFERROR(__xludf.DUMMYFUNCTION("""COMPUTED_VALUE"""),"Yes")</f>
        <v>Yes</v>
      </c>
      <c r="AL221" s="5" t="str">
        <f>IFERROR(__xludf.DUMMYFUNCTION("""COMPUTED_VALUE"""),"Yes")</f>
        <v>Yes</v>
      </c>
      <c r="AM221" s="5" t="str">
        <f>IFERROR(__xludf.DUMMYFUNCTION("""COMPUTED_VALUE"""),"Yes")</f>
        <v>Yes</v>
      </c>
      <c r="AN221" s="5" t="str">
        <f>IFERROR(__xludf.DUMMYFUNCTION("""COMPUTED_VALUE"""),"Yes")</f>
        <v>Yes</v>
      </c>
      <c r="AO221" s="5" t="str">
        <f>IFERROR(__xludf.DUMMYFUNCTION("""COMPUTED_VALUE"""),"Yes")</f>
        <v>Yes</v>
      </c>
      <c r="AP221" s="5" t="str">
        <f>IFERROR(__xludf.DUMMYFUNCTION("""COMPUTED_VALUE"""),"Yes")</f>
        <v>Yes</v>
      </c>
      <c r="AQ221" s="5" t="str">
        <f>IFERROR(__xludf.DUMMYFUNCTION("""COMPUTED_VALUE"""),"Yes")</f>
        <v>Yes</v>
      </c>
      <c r="AR221" s="5" t="str">
        <f>IFERROR(__xludf.DUMMYFUNCTION("""COMPUTED_VALUE"""),"Yes")</f>
        <v>Yes</v>
      </c>
      <c r="AS221" s="5" t="str">
        <f>IFERROR(__xludf.DUMMYFUNCTION("""COMPUTED_VALUE"""),"Yes")</f>
        <v>Yes</v>
      </c>
      <c r="AT221" s="5" t="str">
        <f>IFERROR(__xludf.DUMMYFUNCTION("""COMPUTED_VALUE"""),"No")</f>
        <v>No</v>
      </c>
      <c r="AU221" s="5"/>
      <c r="AV221" s="5" t="str">
        <f>IFERROR(__xludf.DUMMYFUNCTION("""COMPUTED_VALUE"""),"")</f>
        <v/>
      </c>
      <c r="AW221" s="5" t="str">
        <f>IFERROR(__xludf.DUMMYFUNCTION("""COMPUTED_VALUE"""),"")</f>
        <v/>
      </c>
      <c r="AX221" s="5" t="str">
        <f>IFERROR(__xludf.DUMMYFUNCTION("""COMPUTED_VALUE"""),"")</f>
        <v/>
      </c>
      <c r="AY221" s="5" t="str">
        <f>IFERROR(__xludf.DUMMYFUNCTION("""COMPUTED_VALUE"""),"")</f>
        <v/>
      </c>
      <c r="AZ221" s="5" t="str">
        <f>IFERROR(__xludf.DUMMYFUNCTION("""COMPUTED_VALUE"""),"")</f>
        <v/>
      </c>
      <c r="BA221" s="5" t="str">
        <f>IFERROR(__xludf.DUMMYFUNCTION("""COMPUTED_VALUE"""),"")</f>
        <v/>
      </c>
      <c r="BB221" s="5" t="str">
        <f>IFERROR(__xludf.DUMMYFUNCTION("""COMPUTED_VALUE"""),"")</f>
        <v/>
      </c>
      <c r="BC221" s="5" t="str">
        <f>IFERROR(__xludf.DUMMYFUNCTION("""COMPUTED_VALUE"""),"")</f>
        <v/>
      </c>
      <c r="BD221" s="5" t="str">
        <f>IFERROR(__xludf.DUMMYFUNCTION("""COMPUTED_VALUE"""),"")</f>
        <v/>
      </c>
      <c r="BE221" s="5" t="str">
        <f>IFERROR(__xludf.DUMMYFUNCTION("""COMPUTED_VALUE"""),"")</f>
        <v/>
      </c>
      <c r="BF221" s="5" t="str">
        <f>IFERROR(__xludf.DUMMYFUNCTION("""COMPUTED_VALUE"""),"")</f>
        <v/>
      </c>
      <c r="BG221" s="5" t="str">
        <f>IFERROR(__xludf.DUMMYFUNCTION("""COMPUTED_VALUE"""),"")</f>
        <v/>
      </c>
      <c r="BH221" s="5" t="str">
        <f>IFERROR(__xludf.DUMMYFUNCTION("""COMPUTED_VALUE"""),"")</f>
        <v/>
      </c>
      <c r="BI221" s="5" t="str">
        <f>IFERROR(__xludf.DUMMYFUNCTION("""COMPUTED_VALUE"""),"")</f>
        <v/>
      </c>
      <c r="BJ221" s="5" t="str">
        <f>IFERROR(__xludf.DUMMYFUNCTION("""COMPUTED_VALUE"""),"")</f>
        <v/>
      </c>
      <c r="BK221" s="5" t="str">
        <f>IFERROR(__xludf.DUMMYFUNCTION("""COMPUTED_VALUE"""),"")</f>
        <v/>
      </c>
      <c r="BL221" s="5" t="str">
        <f>IFERROR(__xludf.DUMMYFUNCTION("""COMPUTED_VALUE"""),"")</f>
        <v/>
      </c>
      <c r="BM221" s="5" t="str">
        <f>IFERROR(__xludf.DUMMYFUNCTION("""COMPUTED_VALUE"""),"")</f>
        <v/>
      </c>
    </row>
    <row r="222">
      <c r="A222" s="5" t="str">
        <f>IFERROR(__xludf.DUMMYFUNCTION("""COMPUTED_VALUE"""),"Fazi")</f>
        <v>Fazi</v>
      </c>
      <c r="B222" s="5" t="str">
        <f>IFERROR(__xludf.DUMMYFUNCTION("""COMPUTED_VALUE"""),"Extreme Heat 7s")</f>
        <v>Extreme Heat 7s</v>
      </c>
      <c r="C222" s="5" t="str">
        <f>IFERROR(__xludf.DUMMYFUNCTION("""COMPUTED_VALUE"""),"ExtremeHeat7s")</f>
        <v>ExtremeHeat7s</v>
      </c>
      <c r="D222" s="6">
        <f>IFERROR(__xludf.DUMMYFUNCTION("""COMPUTED_VALUE"""),46268.0)</f>
        <v>46268</v>
      </c>
      <c r="E222" s="5" t="str">
        <f>IFERROR(__xludf.DUMMYFUNCTION("""COMPUTED_VALUE"""),"Slot")</f>
        <v>Slot</v>
      </c>
      <c r="F222" s="5">
        <f>IFERROR(__xludf.DUMMYFUNCTION("""COMPUTED_VALUE"""),18.8)</f>
        <v>18.8</v>
      </c>
      <c r="G222" s="5" t="str">
        <f>IFERROR(__xludf.DUMMYFUNCTION("""COMPUTED_VALUE"""),"5x4")</f>
        <v>5x4</v>
      </c>
      <c r="H222" s="5">
        <f>IFERROR(__xludf.DUMMYFUNCTION("""COMPUTED_VALUE"""),40.0)</f>
        <v>40</v>
      </c>
      <c r="I222" s="5">
        <f>IFERROR(__xludf.DUMMYFUNCTION("""COMPUTED_VALUE"""),40.0)</f>
        <v>40</v>
      </c>
      <c r="J222" s="5" t="str">
        <f>IFERROR(__xludf.DUMMYFUNCTION("""COMPUTED_VALUE"""),"96.468%")</f>
        <v>96.468%</v>
      </c>
      <c r="K222" s="5" t="str">
        <f>IFERROR(__xludf.DUMMYFUNCTION("""COMPUTED_VALUE"""),"Medium")</f>
        <v>Medium</v>
      </c>
      <c r="L222" s="5" t="str">
        <f>IFERROR(__xludf.DUMMYFUNCTION("""COMPUTED_VALUE"""),"14.004%")</f>
        <v>14.004%</v>
      </c>
      <c r="M222" s="5" t="str">
        <f>IFERROR(__xludf.DUMMYFUNCTION("""COMPUTED_VALUE"""),"x1616")</f>
        <v>x1616</v>
      </c>
      <c r="N222" s="5" t="str">
        <f>IFERROR(__xludf.DUMMYFUNCTION("""COMPUTED_VALUE"""),"0.4/60")</f>
        <v>0.4/60</v>
      </c>
      <c r="O222" s="5" t="str">
        <f>IFERROR(__xludf.DUMMYFUNCTION("""COMPUTED_VALUE"""),"Yes")</f>
        <v>Yes</v>
      </c>
      <c r="P222" s="5" t="str">
        <f>IFERROR(__xludf.DUMMYFUNCTION("""COMPUTED_VALUE"""),"Respin, Free Rounds, Variable RTP, Buy Bonus, Bonus Game with Free Spins, Wild Symbol, Scatter")</f>
        <v>Respin, Free Rounds, Variable RTP, Buy Bonus, Bonus Game with Free Spins, Wild Symbol, Scatter</v>
      </c>
      <c r="Q222" s="7" t="str">
        <f>IFERROR(__xludf.DUMMYFUNCTION("""COMPUTED_VALUE"""),"https://onlinegamespromo.fazi.rs/Home/IntegrationGameLaunch?moneyType=0&amp;gameName=ExtremeHeat7s&amp;platform=desktop&amp;languageCode=eng&amp;currency=EUR")</f>
        <v>https://onlinegamespromo.fazi.rs/Home/IntegrationGameLaunch?moneyType=0&amp;gameName=ExtremeHeat7s&amp;platform=desktop&amp;languageCode=eng&amp;currency=EUR</v>
      </c>
      <c r="R222" s="5" t="str">
        <f>IFERROR(__xludf.DUMMYFUNCTION("""COMPUTED_VALUE"""),"The heat is on – and it’s taken to the absolute extreme. Packed with sizzling 7s, continuous Scatter respins, and powerful Wild action across reels 2, 3, and 4, this high-octane experience unleashes up to 30 Free Spins and hotter wins with every spin. Max"&amp;"imum thrill. Pure adrenaline. Are you ready to feel the extreme heat? ")</f>
        <v>The heat is on – and it’s taken to the absolute extreme. Packed with sizzling 7s, continuous Scatter respins, and powerful Wild action across reels 2, 3, and 4, this high-octane experience unleashes up to 30 Free Spins and hotter wins with every spin. Maximum thrill. Pure adrenaline. Are you ready to feel the extreme heat? </v>
      </c>
      <c r="S2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2" s="5" t="str">
        <f>IFERROR(__xludf.DUMMYFUNCTION("""COMPUTED_VALUE"""),"Yes")</f>
        <v>Yes</v>
      </c>
      <c r="U222" s="5" t="str">
        <f>IFERROR(__xludf.DUMMYFUNCTION("""COMPUTED_VALUE"""),"Yes")</f>
        <v>Yes</v>
      </c>
      <c r="V222" s="5" t="str">
        <f>IFERROR(__xludf.DUMMYFUNCTION("""COMPUTED_VALUE"""),"Yes")</f>
        <v>Yes</v>
      </c>
      <c r="W222" s="5" t="str">
        <f>IFERROR(__xludf.DUMMYFUNCTION("""COMPUTED_VALUE"""),"Yes")</f>
        <v>Yes</v>
      </c>
      <c r="X222" s="5" t="str">
        <f>IFERROR(__xludf.DUMMYFUNCTION("""COMPUTED_VALUE"""),"Yes")</f>
        <v>Yes</v>
      </c>
      <c r="Y222" s="5" t="str">
        <f>IFERROR(__xludf.DUMMYFUNCTION("""COMPUTED_VALUE"""),"Yes")</f>
        <v>Yes</v>
      </c>
      <c r="Z222" s="5" t="str">
        <f>IFERROR(__xludf.DUMMYFUNCTION("""COMPUTED_VALUE"""),"Yes")</f>
        <v>Yes</v>
      </c>
      <c r="AA222" s="5" t="str">
        <f>IFERROR(__xludf.DUMMYFUNCTION("""COMPUTED_VALUE"""),"Yes")</f>
        <v>Yes</v>
      </c>
      <c r="AB222" s="5" t="str">
        <f>IFERROR(__xludf.DUMMYFUNCTION("""COMPUTED_VALUE"""),"Yes")</f>
        <v>Yes</v>
      </c>
      <c r="AC222" s="5" t="str">
        <f>IFERROR(__xludf.DUMMYFUNCTION("""COMPUTED_VALUE"""),"Yes")</f>
        <v>Yes</v>
      </c>
      <c r="AD222" s="5" t="str">
        <f>IFERROR(__xludf.DUMMYFUNCTION("""COMPUTED_VALUE"""),"Yes")</f>
        <v>Yes</v>
      </c>
      <c r="AE222" s="5" t="str">
        <f>IFERROR(__xludf.DUMMYFUNCTION("""COMPUTED_VALUE"""),"Yes")</f>
        <v>Yes</v>
      </c>
      <c r="AF222" s="5" t="str">
        <f>IFERROR(__xludf.DUMMYFUNCTION("""COMPUTED_VALUE"""),"Yes")</f>
        <v>Yes</v>
      </c>
      <c r="AG222" s="5" t="str">
        <f>IFERROR(__xludf.DUMMYFUNCTION("""COMPUTED_VALUE"""),"Yes")</f>
        <v>Yes</v>
      </c>
      <c r="AH222" s="5" t="str">
        <f>IFERROR(__xludf.DUMMYFUNCTION("""COMPUTED_VALUE"""),"Yes")</f>
        <v>Yes</v>
      </c>
      <c r="AI222" s="5" t="str">
        <f>IFERROR(__xludf.DUMMYFUNCTION("""COMPUTED_VALUE"""),"Yes")</f>
        <v>Yes</v>
      </c>
      <c r="AJ222" s="5" t="str">
        <f>IFERROR(__xludf.DUMMYFUNCTION("""COMPUTED_VALUE"""),"Yes")</f>
        <v>Yes</v>
      </c>
      <c r="AK222" s="5" t="str">
        <f>IFERROR(__xludf.DUMMYFUNCTION("""COMPUTED_VALUE"""),"Yes")</f>
        <v>Yes</v>
      </c>
      <c r="AL222" s="5" t="str">
        <f>IFERROR(__xludf.DUMMYFUNCTION("""COMPUTED_VALUE"""),"Yes")</f>
        <v>Yes</v>
      </c>
      <c r="AM222" s="5" t="str">
        <f>IFERROR(__xludf.DUMMYFUNCTION("""COMPUTED_VALUE"""),"Yes")</f>
        <v>Yes</v>
      </c>
      <c r="AN222" s="5" t="str">
        <f>IFERROR(__xludf.DUMMYFUNCTION("""COMPUTED_VALUE"""),"Yes")</f>
        <v>Yes</v>
      </c>
      <c r="AO222" s="5" t="str">
        <f>IFERROR(__xludf.DUMMYFUNCTION("""COMPUTED_VALUE"""),"Yes")</f>
        <v>Yes</v>
      </c>
      <c r="AP222" s="5" t="str">
        <f>IFERROR(__xludf.DUMMYFUNCTION("""COMPUTED_VALUE"""),"Yes")</f>
        <v>Yes</v>
      </c>
      <c r="AQ222" s="5" t="str">
        <f>IFERROR(__xludf.DUMMYFUNCTION("""COMPUTED_VALUE"""),"Yes")</f>
        <v>Yes</v>
      </c>
      <c r="AR222" s="5" t="str">
        <f>IFERROR(__xludf.DUMMYFUNCTION("""COMPUTED_VALUE"""),"Yes")</f>
        <v>Yes</v>
      </c>
      <c r="AS222" s="5" t="str">
        <f>IFERROR(__xludf.DUMMYFUNCTION("""COMPUTED_VALUE"""),"Yes")</f>
        <v>Yes</v>
      </c>
      <c r="AT222" s="5" t="str">
        <f>IFERROR(__xludf.DUMMYFUNCTION("""COMPUTED_VALUE"""),"No")</f>
        <v>No</v>
      </c>
      <c r="AU222" s="5"/>
      <c r="AV222" s="5" t="str">
        <f>IFERROR(__xludf.DUMMYFUNCTION("""COMPUTED_VALUE"""),"")</f>
        <v/>
      </c>
      <c r="AW222" s="5" t="str">
        <f>IFERROR(__xludf.DUMMYFUNCTION("""COMPUTED_VALUE"""),"")</f>
        <v/>
      </c>
      <c r="AX222" s="5" t="str">
        <f>IFERROR(__xludf.DUMMYFUNCTION("""COMPUTED_VALUE"""),"")</f>
        <v/>
      </c>
      <c r="AY222" s="5" t="str">
        <f>IFERROR(__xludf.DUMMYFUNCTION("""COMPUTED_VALUE"""),"")</f>
        <v/>
      </c>
      <c r="AZ222" s="5" t="str">
        <f>IFERROR(__xludf.DUMMYFUNCTION("""COMPUTED_VALUE"""),"")</f>
        <v/>
      </c>
      <c r="BA222" s="5" t="str">
        <f>IFERROR(__xludf.DUMMYFUNCTION("""COMPUTED_VALUE"""),"")</f>
        <v/>
      </c>
      <c r="BB222" s="5" t="str">
        <f>IFERROR(__xludf.DUMMYFUNCTION("""COMPUTED_VALUE"""),"")</f>
        <v/>
      </c>
      <c r="BC222" s="5" t="str">
        <f>IFERROR(__xludf.DUMMYFUNCTION("""COMPUTED_VALUE"""),"")</f>
        <v/>
      </c>
      <c r="BD222" s="5" t="str">
        <f>IFERROR(__xludf.DUMMYFUNCTION("""COMPUTED_VALUE"""),"")</f>
        <v/>
      </c>
      <c r="BE222" s="5" t="str">
        <f>IFERROR(__xludf.DUMMYFUNCTION("""COMPUTED_VALUE"""),"")</f>
        <v/>
      </c>
      <c r="BF222" s="5" t="str">
        <f>IFERROR(__xludf.DUMMYFUNCTION("""COMPUTED_VALUE"""),"")</f>
        <v/>
      </c>
      <c r="BG222" s="5" t="str">
        <f>IFERROR(__xludf.DUMMYFUNCTION("""COMPUTED_VALUE"""),"")</f>
        <v/>
      </c>
      <c r="BH222" s="5" t="str">
        <f>IFERROR(__xludf.DUMMYFUNCTION("""COMPUTED_VALUE"""),"")</f>
        <v/>
      </c>
      <c r="BI222" s="5" t="str">
        <f>IFERROR(__xludf.DUMMYFUNCTION("""COMPUTED_VALUE"""),"")</f>
        <v/>
      </c>
      <c r="BJ222" s="5" t="str">
        <f>IFERROR(__xludf.DUMMYFUNCTION("""COMPUTED_VALUE"""),"")</f>
        <v/>
      </c>
      <c r="BK222" s="5" t="str">
        <f>IFERROR(__xludf.DUMMYFUNCTION("""COMPUTED_VALUE"""),"")</f>
        <v/>
      </c>
      <c r="BL222" s="5" t="str">
        <f>IFERROR(__xludf.DUMMYFUNCTION("""COMPUTED_VALUE"""),"")</f>
        <v/>
      </c>
      <c r="BM222" s="5" t="str">
        <f>IFERROR(__xludf.DUMMYFUNCTION("""COMPUTED_VALUE"""),"")</f>
        <v/>
      </c>
    </row>
    <row r="223">
      <c r="A223" s="5" t="str">
        <f>IFERROR(__xludf.DUMMYFUNCTION("""COMPUTED_VALUE"""),"Fazi")</f>
        <v>Fazi</v>
      </c>
      <c r="B223" s="5" t="str">
        <f>IFERROR(__xludf.DUMMYFUNCTION("""COMPUTED_VALUE"""),"Bonus Wild 81 Extralines")</f>
        <v>Bonus Wild 81 Extralines</v>
      </c>
      <c r="C223" s="5" t="str">
        <f>IFERROR(__xludf.DUMMYFUNCTION("""COMPUTED_VALUE"""),"BonusWild81Extralines")</f>
        <v>BonusWild81Extralines</v>
      </c>
      <c r="D223" s="6">
        <f>IFERROR(__xludf.DUMMYFUNCTION("""COMPUTED_VALUE"""),46289.0)</f>
        <v>46289</v>
      </c>
      <c r="E223" s="5" t="str">
        <f>IFERROR(__xludf.DUMMYFUNCTION("""COMPUTED_VALUE"""),"Slot")</f>
        <v>Slot</v>
      </c>
      <c r="F223" s="5">
        <f>IFERROR(__xludf.DUMMYFUNCTION("""COMPUTED_VALUE"""),25.5)</f>
        <v>25.5</v>
      </c>
      <c r="G223" s="5" t="str">
        <f>IFERROR(__xludf.DUMMYFUNCTION("""COMPUTED_VALUE"""),"4x3")</f>
        <v>4x3</v>
      </c>
      <c r="H223" s="5">
        <f>IFERROR(__xludf.DUMMYFUNCTION("""COMPUTED_VALUE"""),20.0)</f>
        <v>20</v>
      </c>
      <c r="I223" s="5">
        <f>IFERROR(__xludf.DUMMYFUNCTION("""COMPUTED_VALUE"""),20.0)</f>
        <v>20</v>
      </c>
      <c r="J223" s="5" t="str">
        <f>IFERROR(__xludf.DUMMYFUNCTION("""COMPUTED_VALUE"""),"96.521%")</f>
        <v>96.521%</v>
      </c>
      <c r="K223" s="5" t="str">
        <f>IFERROR(__xludf.DUMMYFUNCTION("""COMPUTED_VALUE"""),"Medium")</f>
        <v>Medium</v>
      </c>
      <c r="L223" s="5" t="str">
        <f>IFERROR(__xludf.DUMMYFUNCTION("""COMPUTED_VALUE"""),"7.441%")</f>
        <v>7.441%</v>
      </c>
      <c r="M223" s="5" t="str">
        <f>IFERROR(__xludf.DUMMYFUNCTION("""COMPUTED_VALUE"""),"x2440")</f>
        <v>x2440</v>
      </c>
      <c r="N223" s="5" t="str">
        <f>IFERROR(__xludf.DUMMYFUNCTION("""COMPUTED_VALUE"""),"0.2/50")</f>
        <v>0.2/50</v>
      </c>
      <c r="O223" s="5" t="str">
        <f>IFERROR(__xludf.DUMMYFUNCTION("""COMPUTED_VALUE"""),"Yes")</f>
        <v>Yes</v>
      </c>
      <c r="P223" s="5" t="str">
        <f>IFERROR(__xludf.DUMMYFUNCTION("""COMPUTED_VALUE"""),"Free Rounds, Buy Bonus, Extralines, Wild Symbol, Bonus Game with Free Spins, Variable RTP")</f>
        <v>Free Rounds, Buy Bonus, Extralines, Wild Symbol, Bonus Game with Free Spins, Variable RTP</v>
      </c>
      <c r="Q223" s="7" t="str">
        <f>IFERROR(__xludf.DUMMYFUNCTION("""COMPUTED_VALUE"""),"https://onlinegamespromo.fazi.rs/Home/IntegrationGameLaunch?moneyType=0&amp;gameName=BonusWild81Extralines&amp;platform=desktop&amp;languageCode=eng&amp;currency=EUR")</f>
        <v>https://onlinegamespromo.fazi.rs/Home/IntegrationGameLaunch?moneyType=0&amp;gameName=BonusWild81Extralines&amp;platform=desktop&amp;languageCode=eng&amp;currency=EUR</v>
      </c>
      <c r="R223" s="5" t="str">
        <f>IFERROR(__xludf.DUMMYFUNCTION("""COMPUTED_VALUE"""),"From the popular Extralines series comes another exciting release — Bonus Wild 81 Extralines! Packed with classic fruits, dynamic Wild action, and expanding lines that unlock up to 81 lines to win, every spin delivers next-level excitement and bigger payo"&amp;"ut potential. More lines. More Wilds. Massive wins. Are you ready to expand your rewards?")</f>
        <v>From the popular Extralines series comes another exciting release — Bonus Wild 81 Extralines! Packed with classic fruits, dynamic Wild action, and expanding lines that unlock up to 81 lines to win, every spin delivers next-level excitement and bigger payout potential. More lines. More Wilds. Massive wins. Are you ready to expand your rewards?</v>
      </c>
      <c r="S2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3" s="5" t="str">
        <f>IFERROR(__xludf.DUMMYFUNCTION("""COMPUTED_VALUE"""),"Yes")</f>
        <v>Yes</v>
      </c>
      <c r="U223" s="5" t="str">
        <f>IFERROR(__xludf.DUMMYFUNCTION("""COMPUTED_VALUE"""),"Yes")</f>
        <v>Yes</v>
      </c>
      <c r="V223" s="5" t="str">
        <f>IFERROR(__xludf.DUMMYFUNCTION("""COMPUTED_VALUE"""),"Yes")</f>
        <v>Yes</v>
      </c>
      <c r="W223" s="5" t="str">
        <f>IFERROR(__xludf.DUMMYFUNCTION("""COMPUTED_VALUE"""),"Yes")</f>
        <v>Yes</v>
      </c>
      <c r="X223" s="5" t="str">
        <f>IFERROR(__xludf.DUMMYFUNCTION("""COMPUTED_VALUE"""),"Yes")</f>
        <v>Yes</v>
      </c>
      <c r="Y223" s="5" t="str">
        <f>IFERROR(__xludf.DUMMYFUNCTION("""COMPUTED_VALUE"""),"Yes")</f>
        <v>Yes</v>
      </c>
      <c r="Z223" s="5" t="str">
        <f>IFERROR(__xludf.DUMMYFUNCTION("""COMPUTED_VALUE"""),"Yes")</f>
        <v>Yes</v>
      </c>
      <c r="AA223" s="5" t="str">
        <f>IFERROR(__xludf.DUMMYFUNCTION("""COMPUTED_VALUE"""),"Yes")</f>
        <v>Yes</v>
      </c>
      <c r="AB223" s="5" t="str">
        <f>IFERROR(__xludf.DUMMYFUNCTION("""COMPUTED_VALUE"""),"Yes")</f>
        <v>Yes</v>
      </c>
      <c r="AC223" s="5" t="str">
        <f>IFERROR(__xludf.DUMMYFUNCTION("""COMPUTED_VALUE"""),"Yes")</f>
        <v>Yes</v>
      </c>
      <c r="AD223" s="5" t="str">
        <f>IFERROR(__xludf.DUMMYFUNCTION("""COMPUTED_VALUE"""),"Yes")</f>
        <v>Yes</v>
      </c>
      <c r="AE223" s="5" t="str">
        <f>IFERROR(__xludf.DUMMYFUNCTION("""COMPUTED_VALUE"""),"Yes")</f>
        <v>Yes</v>
      </c>
      <c r="AF223" s="5" t="str">
        <f>IFERROR(__xludf.DUMMYFUNCTION("""COMPUTED_VALUE"""),"Yes")</f>
        <v>Yes</v>
      </c>
      <c r="AG223" s="5" t="str">
        <f>IFERROR(__xludf.DUMMYFUNCTION("""COMPUTED_VALUE"""),"Yes")</f>
        <v>Yes</v>
      </c>
      <c r="AH223" s="5" t="str">
        <f>IFERROR(__xludf.DUMMYFUNCTION("""COMPUTED_VALUE"""),"Yes")</f>
        <v>Yes</v>
      </c>
      <c r="AI223" s="5" t="str">
        <f>IFERROR(__xludf.DUMMYFUNCTION("""COMPUTED_VALUE"""),"Yes")</f>
        <v>Yes</v>
      </c>
      <c r="AJ223" s="5" t="str">
        <f>IFERROR(__xludf.DUMMYFUNCTION("""COMPUTED_VALUE"""),"Yes")</f>
        <v>Yes</v>
      </c>
      <c r="AK223" s="5" t="str">
        <f>IFERROR(__xludf.DUMMYFUNCTION("""COMPUTED_VALUE"""),"Yes")</f>
        <v>Yes</v>
      </c>
      <c r="AL223" s="5" t="str">
        <f>IFERROR(__xludf.DUMMYFUNCTION("""COMPUTED_VALUE"""),"Yes")</f>
        <v>Yes</v>
      </c>
      <c r="AM223" s="5" t="str">
        <f>IFERROR(__xludf.DUMMYFUNCTION("""COMPUTED_VALUE"""),"Yes")</f>
        <v>Yes</v>
      </c>
      <c r="AN223" s="5" t="str">
        <f>IFERROR(__xludf.DUMMYFUNCTION("""COMPUTED_VALUE"""),"Yes")</f>
        <v>Yes</v>
      </c>
      <c r="AO223" s="5" t="str">
        <f>IFERROR(__xludf.DUMMYFUNCTION("""COMPUTED_VALUE"""),"Yes")</f>
        <v>Yes</v>
      </c>
      <c r="AP223" s="5" t="str">
        <f>IFERROR(__xludf.DUMMYFUNCTION("""COMPUTED_VALUE"""),"Yes")</f>
        <v>Yes</v>
      </c>
      <c r="AQ223" s="5" t="str">
        <f>IFERROR(__xludf.DUMMYFUNCTION("""COMPUTED_VALUE"""),"Yes")</f>
        <v>Yes</v>
      </c>
      <c r="AR223" s="5" t="str">
        <f>IFERROR(__xludf.DUMMYFUNCTION("""COMPUTED_VALUE"""),"Yes")</f>
        <v>Yes</v>
      </c>
      <c r="AS223" s="5" t="str">
        <f>IFERROR(__xludf.DUMMYFUNCTION("""COMPUTED_VALUE"""),"Yes")</f>
        <v>Yes</v>
      </c>
      <c r="AT223" s="5" t="str">
        <f>IFERROR(__xludf.DUMMYFUNCTION("""COMPUTED_VALUE"""),"No")</f>
        <v>No</v>
      </c>
      <c r="AU223" s="5"/>
      <c r="AV223" s="5" t="str">
        <f>IFERROR(__xludf.DUMMYFUNCTION("""COMPUTED_VALUE"""),"")</f>
        <v/>
      </c>
      <c r="AW223" s="5" t="str">
        <f>IFERROR(__xludf.DUMMYFUNCTION("""COMPUTED_VALUE"""),"")</f>
        <v/>
      </c>
      <c r="AX223" s="5" t="str">
        <f>IFERROR(__xludf.DUMMYFUNCTION("""COMPUTED_VALUE"""),"")</f>
        <v/>
      </c>
      <c r="AY223" s="5" t="str">
        <f>IFERROR(__xludf.DUMMYFUNCTION("""COMPUTED_VALUE"""),"")</f>
        <v/>
      </c>
      <c r="AZ223" s="5" t="str">
        <f>IFERROR(__xludf.DUMMYFUNCTION("""COMPUTED_VALUE"""),"")</f>
        <v/>
      </c>
      <c r="BA223" s="5" t="str">
        <f>IFERROR(__xludf.DUMMYFUNCTION("""COMPUTED_VALUE"""),"")</f>
        <v/>
      </c>
      <c r="BB223" s="5" t="str">
        <f>IFERROR(__xludf.DUMMYFUNCTION("""COMPUTED_VALUE"""),"")</f>
        <v/>
      </c>
      <c r="BC223" s="5" t="str">
        <f>IFERROR(__xludf.DUMMYFUNCTION("""COMPUTED_VALUE"""),"")</f>
        <v/>
      </c>
      <c r="BD223" s="5" t="str">
        <f>IFERROR(__xludf.DUMMYFUNCTION("""COMPUTED_VALUE"""),"")</f>
        <v/>
      </c>
      <c r="BE223" s="5" t="str">
        <f>IFERROR(__xludf.DUMMYFUNCTION("""COMPUTED_VALUE"""),"")</f>
        <v/>
      </c>
      <c r="BF223" s="5" t="str">
        <f>IFERROR(__xludf.DUMMYFUNCTION("""COMPUTED_VALUE"""),"")</f>
        <v/>
      </c>
      <c r="BG223" s="5" t="str">
        <f>IFERROR(__xludf.DUMMYFUNCTION("""COMPUTED_VALUE"""),"")</f>
        <v/>
      </c>
      <c r="BH223" s="5" t="str">
        <f>IFERROR(__xludf.DUMMYFUNCTION("""COMPUTED_VALUE"""),"")</f>
        <v/>
      </c>
      <c r="BI223" s="5" t="str">
        <f>IFERROR(__xludf.DUMMYFUNCTION("""COMPUTED_VALUE"""),"")</f>
        <v/>
      </c>
      <c r="BJ223" s="5" t="str">
        <f>IFERROR(__xludf.DUMMYFUNCTION("""COMPUTED_VALUE"""),"")</f>
        <v/>
      </c>
      <c r="BK223" s="5" t="str">
        <f>IFERROR(__xludf.DUMMYFUNCTION("""COMPUTED_VALUE"""),"")</f>
        <v/>
      </c>
      <c r="BL223" s="5" t="str">
        <f>IFERROR(__xludf.DUMMYFUNCTION("""COMPUTED_VALUE"""),"")</f>
        <v/>
      </c>
      <c r="BM223" s="5" t="str">
        <f>IFERROR(__xludf.DUMMYFUNCTION("""COMPUTED_VALUE"""),"")</f>
        <v/>
      </c>
    </row>
    <row r="224">
      <c r="A224" s="5" t="str">
        <f>IFERROR(__xludf.DUMMYFUNCTION("""COMPUTED_VALUE"""),"Fazi")</f>
        <v>Fazi</v>
      </c>
      <c r="B224" s="5" t="str">
        <f>IFERROR(__xludf.DUMMYFUNCTION("""COMPUTED_VALUE"""),"October Hot 40")</f>
        <v>October Hot 40</v>
      </c>
      <c r="C224" s="5" t="str">
        <f>IFERROR(__xludf.DUMMYFUNCTION("""COMPUTED_VALUE"""),"OctoberHot40")</f>
        <v>OctoberHot40</v>
      </c>
      <c r="D224" s="6">
        <f>IFERROR(__xludf.DUMMYFUNCTION("""COMPUTED_VALUE"""),46272.0)</f>
        <v>46272</v>
      </c>
      <c r="E224" s="5" t="str">
        <f>IFERROR(__xludf.DUMMYFUNCTION("""COMPUTED_VALUE"""),"Slot")</f>
        <v>Slot</v>
      </c>
      <c r="F224" s="5">
        <f>IFERROR(__xludf.DUMMYFUNCTION("""COMPUTED_VALUE"""),119.0)</f>
        <v>119</v>
      </c>
      <c r="G224" s="5" t="str">
        <f>IFERROR(__xludf.DUMMYFUNCTION("""COMPUTED_VALUE"""),"5x4")</f>
        <v>5x4</v>
      </c>
      <c r="H224" s="5">
        <f>IFERROR(__xludf.DUMMYFUNCTION("""COMPUTED_VALUE"""),40.0)</f>
        <v>40</v>
      </c>
      <c r="I224" s="5">
        <f>IFERROR(__xludf.DUMMYFUNCTION("""COMPUTED_VALUE"""),40.0)</f>
        <v>40</v>
      </c>
      <c r="J224" s="5" t="str">
        <f>IFERROR(__xludf.DUMMYFUNCTION("""COMPUTED_VALUE"""),"96.584%")</f>
        <v>96.584%</v>
      </c>
      <c r="K224" s="5" t="str">
        <f>IFERROR(__xludf.DUMMYFUNCTION("""COMPUTED_VALUE"""),"Medium")</f>
        <v>Medium</v>
      </c>
      <c r="L224" s="5" t="str">
        <f>IFERROR(__xludf.DUMMYFUNCTION("""COMPUTED_VALUE"""),"16.725%")</f>
        <v>16.725%</v>
      </c>
      <c r="M224" s="5" t="str">
        <f>IFERROR(__xludf.DUMMYFUNCTION("""COMPUTED_VALUE"""),"x1000")</f>
        <v>x1000</v>
      </c>
      <c r="N224" s="5" t="str">
        <f>IFERROR(__xludf.DUMMYFUNCTION("""COMPUTED_VALUE"""),"0.40/60")</f>
        <v>0.40/60</v>
      </c>
      <c r="O224" s="5" t="str">
        <f>IFERROR(__xludf.DUMMYFUNCTION("""COMPUTED_VALUE"""),"Yes")</f>
        <v>Yes</v>
      </c>
      <c r="P224" s="5"/>
      <c r="Q224" s="7" t="str">
        <f>IFERROR(__xludf.DUMMYFUNCTION("""COMPUTED_VALUE"""),"https://gameserver-store-nc.fazi.rs/Home/IntegrationGameLaunch/admiralmne?moneyType=0&amp;currency=eur&amp;gameName=OctoberHot40")</f>
        <v>https://gameserver-store-nc.fazi.rs/Home/IntegrationGameLaunch/admiralmne?moneyType=0&amp;currency=eur&amp;gameName=OctoberHot40</v>
      </c>
      <c r="R224" s="5" t="str">
        <f>IFERROR(__xludf.DUMMYFUNCTION("""COMPUTED_VALUE"""),"The festivity is here – and it’s hotter than ever. 
Packed with Bavarian energy, glowing fruits, and powerful wild action, this beer-soaked experience brings bigger thrills and autumn’s hottest wins with every spin. More celebration. More intensity. More "&amp;"explosive rewards. Are you ready to feel the October heat? 
")</f>
        <v>The festivity is here – and it’s hotter than ever. 
Packed with Bavarian energy, glowing fruits, and powerful wild action, this beer-soaked experience brings bigger thrills and autumn’s hottest wins with every spin. More celebration. More intensity. More explosive rewards. Are you ready to feel the October heat? 
</v>
      </c>
      <c r="S2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224" s="5" t="str">
        <f>IFERROR(__xludf.DUMMYFUNCTION("""COMPUTED_VALUE"""),"Yes")</f>
        <v>Yes</v>
      </c>
      <c r="U224" s="5" t="str">
        <f>IFERROR(__xludf.DUMMYFUNCTION("""COMPUTED_VALUE"""),"Yes")</f>
        <v>Yes</v>
      </c>
      <c r="V224" s="5" t="str">
        <f>IFERROR(__xludf.DUMMYFUNCTION("""COMPUTED_VALUE"""),"Yes")</f>
        <v>Yes</v>
      </c>
      <c r="W224" s="5" t="str">
        <f>IFERROR(__xludf.DUMMYFUNCTION("""COMPUTED_VALUE"""),"Yes")</f>
        <v>Yes</v>
      </c>
      <c r="X224" s="5" t="str">
        <f>IFERROR(__xludf.DUMMYFUNCTION("""COMPUTED_VALUE"""),"Yes")</f>
        <v>Yes</v>
      </c>
      <c r="Y224" s="5" t="str">
        <f>IFERROR(__xludf.DUMMYFUNCTION("""COMPUTED_VALUE"""),"Yes")</f>
        <v>Yes</v>
      </c>
      <c r="Z224" s="5" t="str">
        <f>IFERROR(__xludf.DUMMYFUNCTION("""COMPUTED_VALUE"""),"Yes")</f>
        <v>Yes</v>
      </c>
      <c r="AA224" s="5" t="str">
        <f>IFERROR(__xludf.DUMMYFUNCTION("""COMPUTED_VALUE"""),"Yes")</f>
        <v>Yes</v>
      </c>
      <c r="AB224" s="5" t="str">
        <f>IFERROR(__xludf.DUMMYFUNCTION("""COMPUTED_VALUE"""),"Yes")</f>
        <v>Yes</v>
      </c>
      <c r="AC224" s="5" t="str">
        <f>IFERROR(__xludf.DUMMYFUNCTION("""COMPUTED_VALUE"""),"Yes")</f>
        <v>Yes</v>
      </c>
      <c r="AD224" s="5" t="str">
        <f>IFERROR(__xludf.DUMMYFUNCTION("""COMPUTED_VALUE"""),"Yes")</f>
        <v>Yes</v>
      </c>
      <c r="AE224" s="5" t="str">
        <f>IFERROR(__xludf.DUMMYFUNCTION("""COMPUTED_VALUE"""),"Yes")</f>
        <v>Yes</v>
      </c>
      <c r="AF224" s="5" t="str">
        <f>IFERROR(__xludf.DUMMYFUNCTION("""COMPUTED_VALUE"""),"Yes")</f>
        <v>Yes</v>
      </c>
      <c r="AG224" s="5" t="str">
        <f>IFERROR(__xludf.DUMMYFUNCTION("""COMPUTED_VALUE"""),"Yes")</f>
        <v>Yes</v>
      </c>
      <c r="AH224" s="5" t="str">
        <f>IFERROR(__xludf.DUMMYFUNCTION("""COMPUTED_VALUE"""),"Yes")</f>
        <v>Yes</v>
      </c>
      <c r="AI224" s="5" t="str">
        <f>IFERROR(__xludf.DUMMYFUNCTION("""COMPUTED_VALUE"""),"Yes")</f>
        <v>Yes</v>
      </c>
      <c r="AJ224" s="5" t="str">
        <f>IFERROR(__xludf.DUMMYFUNCTION("""COMPUTED_VALUE"""),"Yes")</f>
        <v>Yes</v>
      </c>
      <c r="AK224" s="5" t="str">
        <f>IFERROR(__xludf.DUMMYFUNCTION("""COMPUTED_VALUE"""),"Yes")</f>
        <v>Yes</v>
      </c>
      <c r="AL224" s="5" t="str">
        <f>IFERROR(__xludf.DUMMYFUNCTION("""COMPUTED_VALUE"""),"Yes")</f>
        <v>Yes</v>
      </c>
      <c r="AM224" s="5" t="str">
        <f>IFERROR(__xludf.DUMMYFUNCTION("""COMPUTED_VALUE"""),"Yes")</f>
        <v>Yes</v>
      </c>
      <c r="AN224" s="5" t="str">
        <f>IFERROR(__xludf.DUMMYFUNCTION("""COMPUTED_VALUE"""),"Yes")</f>
        <v>Yes</v>
      </c>
      <c r="AO224" s="5" t="str">
        <f>IFERROR(__xludf.DUMMYFUNCTION("""COMPUTED_VALUE"""),"Yes")</f>
        <v>Yes</v>
      </c>
      <c r="AP224" s="5" t="str">
        <f>IFERROR(__xludf.DUMMYFUNCTION("""COMPUTED_VALUE"""),"Yes")</f>
        <v>Yes</v>
      </c>
      <c r="AQ224" s="5" t="str">
        <f>IFERROR(__xludf.DUMMYFUNCTION("""COMPUTED_VALUE"""),"Yes")</f>
        <v>Yes</v>
      </c>
      <c r="AR224" s="5" t="str">
        <f>IFERROR(__xludf.DUMMYFUNCTION("""COMPUTED_VALUE"""),"Yes")</f>
        <v>Yes</v>
      </c>
      <c r="AS224" s="5" t="str">
        <f>IFERROR(__xludf.DUMMYFUNCTION("""COMPUTED_VALUE"""),"Yes")</f>
        <v>Yes</v>
      </c>
      <c r="AT224" s="5" t="str">
        <f>IFERROR(__xludf.DUMMYFUNCTION("""COMPUTED_VALUE"""),"Yes")</f>
        <v>Yes</v>
      </c>
      <c r="AU224" s="5"/>
      <c r="AV224" s="5" t="str">
        <f>IFERROR(__xludf.DUMMYFUNCTION("""COMPUTED_VALUE"""),"")</f>
        <v/>
      </c>
      <c r="AW224" s="5" t="str">
        <f>IFERROR(__xludf.DUMMYFUNCTION("""COMPUTED_VALUE"""),"")</f>
        <v/>
      </c>
      <c r="AX224" s="5" t="str">
        <f>IFERROR(__xludf.DUMMYFUNCTION("""COMPUTED_VALUE"""),"")</f>
        <v/>
      </c>
      <c r="AY224" s="5" t="str">
        <f>IFERROR(__xludf.DUMMYFUNCTION("""COMPUTED_VALUE"""),"")</f>
        <v/>
      </c>
      <c r="AZ224" s="5" t="str">
        <f>IFERROR(__xludf.DUMMYFUNCTION("""COMPUTED_VALUE"""),"")</f>
        <v/>
      </c>
      <c r="BA224" s="5" t="str">
        <f>IFERROR(__xludf.DUMMYFUNCTION("""COMPUTED_VALUE"""),"")</f>
        <v/>
      </c>
      <c r="BB224" s="5" t="str">
        <f>IFERROR(__xludf.DUMMYFUNCTION("""COMPUTED_VALUE"""),"")</f>
        <v/>
      </c>
      <c r="BC224" s="5" t="str">
        <f>IFERROR(__xludf.DUMMYFUNCTION("""COMPUTED_VALUE"""),"")</f>
        <v/>
      </c>
      <c r="BD224" s="5" t="str">
        <f>IFERROR(__xludf.DUMMYFUNCTION("""COMPUTED_VALUE"""),"")</f>
        <v/>
      </c>
      <c r="BE224" s="5" t="str">
        <f>IFERROR(__xludf.DUMMYFUNCTION("""COMPUTED_VALUE"""),"")</f>
        <v/>
      </c>
      <c r="BF224" s="5" t="str">
        <f>IFERROR(__xludf.DUMMYFUNCTION("""COMPUTED_VALUE"""),"")</f>
        <v/>
      </c>
      <c r="BG224" s="5" t="str">
        <f>IFERROR(__xludf.DUMMYFUNCTION("""COMPUTED_VALUE"""),"")</f>
        <v/>
      </c>
      <c r="BH224" s="5" t="str">
        <f>IFERROR(__xludf.DUMMYFUNCTION("""COMPUTED_VALUE"""),"")</f>
        <v/>
      </c>
      <c r="BI224" s="5" t="str">
        <f>IFERROR(__xludf.DUMMYFUNCTION("""COMPUTED_VALUE"""),"")</f>
        <v/>
      </c>
      <c r="BJ224" s="5" t="str">
        <f>IFERROR(__xludf.DUMMYFUNCTION("""COMPUTED_VALUE"""),"")</f>
        <v/>
      </c>
      <c r="BK224" s="5" t="str">
        <f>IFERROR(__xludf.DUMMYFUNCTION("""COMPUTED_VALUE"""),"")</f>
        <v/>
      </c>
      <c r="BL224" s="5" t="str">
        <f>IFERROR(__xludf.DUMMYFUNCTION("""COMPUTED_VALUE"""),"")</f>
        <v/>
      </c>
      <c r="BM224" s="5" t="str">
        <f>IFERROR(__xludf.DUMMYFUNCTION("""COMPUTED_VALUE"""),"")</f>
        <v/>
      </c>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 r:id="rId142" ref="Q144"/>
    <hyperlink r:id="rId143" ref="Q145"/>
    <hyperlink r:id="rId144" ref="Q146"/>
    <hyperlink r:id="rId145" ref="Q147"/>
    <hyperlink r:id="rId146" ref="Q148"/>
    <hyperlink r:id="rId147" ref="Q149"/>
    <hyperlink r:id="rId148" ref="Q150"/>
    <hyperlink r:id="rId149" ref="Q151"/>
    <hyperlink r:id="rId150" ref="Q152"/>
    <hyperlink r:id="rId151" ref="Q154"/>
    <hyperlink r:id="rId152" ref="Q155"/>
    <hyperlink r:id="rId153" ref="Q156"/>
    <hyperlink r:id="rId154" ref="Q157"/>
    <hyperlink r:id="rId155" ref="Q158"/>
    <hyperlink r:id="rId156" ref="Q159"/>
    <hyperlink r:id="rId157" ref="Q160"/>
    <hyperlink r:id="rId158" ref="Q161"/>
    <hyperlink r:id="rId159" ref="Q162"/>
    <hyperlink r:id="rId160" ref="Q164"/>
    <hyperlink r:id="rId161" ref="Q165"/>
    <hyperlink r:id="rId162" ref="Q166"/>
    <hyperlink r:id="rId163" ref="Q167"/>
    <hyperlink r:id="rId164" ref="Q168"/>
    <hyperlink r:id="rId165" ref="Q169"/>
    <hyperlink r:id="rId166" ref="Q170"/>
    <hyperlink r:id="rId167" ref="Q171"/>
    <hyperlink r:id="rId168" ref="Q172"/>
    <hyperlink r:id="rId169" ref="Q173"/>
    <hyperlink r:id="rId170" ref="Q174"/>
    <hyperlink r:id="rId171" ref="Q175"/>
    <hyperlink r:id="rId172" ref="Q176"/>
    <hyperlink r:id="rId173" ref="Q177"/>
    <hyperlink r:id="rId174" ref="Q178"/>
    <hyperlink r:id="rId175" ref="Q179"/>
    <hyperlink r:id="rId176" ref="Q180"/>
    <hyperlink r:id="rId177" ref="Q181"/>
    <hyperlink r:id="rId178" ref="Q182"/>
    <hyperlink r:id="rId179" ref="Q183"/>
    <hyperlink r:id="rId180" ref="Q184"/>
    <hyperlink r:id="rId181" ref="Q185"/>
    <hyperlink r:id="rId182" ref="Q186"/>
    <hyperlink r:id="rId183" ref="Q187"/>
    <hyperlink r:id="rId184" ref="Q189"/>
    <hyperlink r:id="rId185" ref="Q190"/>
    <hyperlink r:id="rId186" ref="Q191"/>
    <hyperlink r:id="rId187" ref="Q192"/>
    <hyperlink r:id="rId188" ref="Q193"/>
    <hyperlink r:id="rId189" ref="Q194"/>
    <hyperlink r:id="rId190" ref="Q195"/>
    <hyperlink r:id="rId191" ref="Q196"/>
    <hyperlink r:id="rId192" ref="Q197"/>
    <hyperlink r:id="rId193" ref="Q198"/>
    <hyperlink r:id="rId194" ref="Q199"/>
    <hyperlink r:id="rId195" ref="Q200"/>
    <hyperlink r:id="rId196" ref="Q201"/>
    <hyperlink r:id="rId197" ref="Q202"/>
    <hyperlink r:id="rId198" ref="Q203"/>
    <hyperlink r:id="rId199" ref="Q204"/>
    <hyperlink r:id="rId200" ref="Q205"/>
    <hyperlink r:id="rId201" ref="Q206"/>
    <hyperlink r:id="rId202" ref="Q207"/>
    <hyperlink r:id="rId203" ref="Q208"/>
    <hyperlink r:id="rId204" ref="Q209"/>
    <hyperlink r:id="rId205" ref="Q210"/>
    <hyperlink r:id="rId206" ref="Q211"/>
    <hyperlink r:id="rId207" ref="Q212"/>
    <hyperlink r:id="rId208" ref="Q213"/>
    <hyperlink r:id="rId209" ref="Q214"/>
    <hyperlink r:id="rId210" ref="Q215"/>
    <hyperlink r:id="rId211" ref="Q216"/>
    <hyperlink r:id="rId212" ref="Q217"/>
    <hyperlink r:id="rId213" ref="Q218"/>
    <hyperlink r:id="rId214" ref="Q219"/>
    <hyperlink r:id="rId215" ref="Q220"/>
    <hyperlink r:id="rId216" ref="Q221"/>
    <hyperlink r:id="rId217" ref="Q222"/>
    <hyperlink r:id="rId218" ref="Q223"/>
    <hyperlink r:id="rId219" ref="Q224"/>
  </hyperlinks>
  <drawing r:id="rId220"/>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9.5"/>
  </cols>
  <sheetData>
    <row r="1">
      <c r="A1" s="5" t="str">
        <f>IFERROR(__xludf.DUMMYFUNCTION("LET(
  lang_headers, FILTER(GameLanguages_report!E1:AY1, GameLanguages_report!E1:AY1 &lt;&gt; """"),
  num_cols, COLUMNS(lang_headers),
  cista_imena, ARRAYFORMULA(TRIM(AllGames_Languages!C:C)),
  kodovi, ARRAYFORMULA(TRIM(AllGames_Languages!D:D)),
  spojeni"&amp;"_jezici, ARRAYFORMULA(cista_imena &amp; ""("""""" &amp; kodovi &amp; """""")""),
  lang_formatted, MAP(lang_headers, LAMBDA(h, 
    IFERROR(
      XLOOKUP(TRIM(h), cista_imena, spojeni_jezici), 
      h
    )
  )),
  data_matrix, FILTER(CHOOSECOLS(GameLanguages"&amp;"_report!B2:ZZ1000, SEQUENCE(1, num_cols, 4)), GameLanguages_report!B2:B1000 &lt;&gt; """"),
  rezultat, BYROW(data_matrix, LAMBDA(r, 
    TEXTJOIN("", "", TRUE, IFERROR(FILTER(lang_formatted, r = ""Yes""), """"))
  )),
  VSTACK(""Language Code"", rezultat"&amp;")
)"),"Language Code")</f>
        <v>Language Code</v>
      </c>
      <c r="B1" s="5" t="str">
        <f>IFERROR(__xludf.DUMMYFUNCTION("IMPORTRANGE(""1iIk9u9HQ83iAw4ulm0-s1vE4I7bYk_TJ6A2oaHlopcU"", ""GameLanguages!A:BZ"")"),"#")</f>
        <v>#</v>
      </c>
      <c r="C1" s="5" t="str">
        <f>IFERROR(__xludf.DUMMYFUNCTION("""COMPUTED_VALUE"""),"ID")</f>
        <v>ID</v>
      </c>
      <c r="D1" s="5" t="str">
        <f>IFERROR(__xludf.DUMMYFUNCTION("""COMPUTED_VALUE"""),"GameID")</f>
        <v>GameID</v>
      </c>
      <c r="E1" s="5" t="str">
        <f>IFERROR(__xludf.DUMMYFUNCTION("""COMPUTED_VALUE"""),"English")</f>
        <v>English</v>
      </c>
      <c r="F1" s="5" t="str">
        <f>IFERROR(__xludf.DUMMYFUNCTION("""COMPUTED_VALUE"""),"Serbian")</f>
        <v>Serbian</v>
      </c>
      <c r="G1" s="5" t="str">
        <f>IFERROR(__xludf.DUMMYFUNCTION("""COMPUTED_VALUE"""),"Montenegrian")</f>
        <v>Montenegrian</v>
      </c>
      <c r="H1" s="5" t="str">
        <f>IFERROR(__xludf.DUMMYFUNCTION("""COMPUTED_VALUE"""),"Bulgarian")</f>
        <v>Bulgarian</v>
      </c>
      <c r="I1" s="5" t="str">
        <f>IFERROR(__xludf.DUMMYFUNCTION("""COMPUTED_VALUE"""),"Spanish")</f>
        <v>Spanish</v>
      </c>
      <c r="J1" s="5" t="str">
        <f>IFERROR(__xludf.DUMMYFUNCTION("""COMPUTED_VALUE"""),"Portuguese")</f>
        <v>Portuguese</v>
      </c>
      <c r="K1" s="5" t="str">
        <f>IFERROR(__xludf.DUMMYFUNCTION("""COMPUTED_VALUE"""),"Italian")</f>
        <v>Italian</v>
      </c>
      <c r="L1" s="5" t="str">
        <f>IFERROR(__xludf.DUMMYFUNCTION("""COMPUTED_VALUE"""),"Romanian")</f>
        <v>Romanian</v>
      </c>
      <c r="M1" s="5" t="str">
        <f>IFERROR(__xludf.DUMMYFUNCTION("""COMPUTED_VALUE"""),"Croatian")</f>
        <v>Croatian</v>
      </c>
      <c r="N1" s="5" t="str">
        <f>IFERROR(__xludf.DUMMYFUNCTION("""COMPUTED_VALUE"""),"French")</f>
        <v>French</v>
      </c>
      <c r="O1" s="5" t="str">
        <f>IFERROR(__xludf.DUMMYFUNCTION("""COMPUTED_VALUE"""),"German")</f>
        <v>German</v>
      </c>
      <c r="P1" s="5" t="str">
        <f>IFERROR(__xludf.DUMMYFUNCTION("""COMPUTED_VALUE"""),"Dutch")</f>
        <v>Dutch</v>
      </c>
      <c r="Q1" s="5" t="str">
        <f>IFERROR(__xludf.DUMMYFUNCTION("""COMPUTED_VALUE"""),"Turkish")</f>
        <v>Turkish</v>
      </c>
      <c r="R1" s="5" t="str">
        <f>IFERROR(__xludf.DUMMYFUNCTION("""COMPUTED_VALUE"""),"Greek")</f>
        <v>Greek</v>
      </c>
      <c r="S1" s="5" t="str">
        <f>IFERROR(__xludf.DUMMYFUNCTION("""COMPUTED_VALUE"""),"Russian")</f>
        <v>Russian</v>
      </c>
      <c r="T1" s="5" t="str">
        <f>IFERROR(__xludf.DUMMYFUNCTION("""COMPUTED_VALUE"""),"Czech")</f>
        <v>Czech</v>
      </c>
      <c r="U1" s="5" t="str">
        <f>IFERROR(__xludf.DUMMYFUNCTION("""COMPUTED_VALUE"""),"Hungarian")</f>
        <v>Hungarian</v>
      </c>
      <c r="V1" s="5" t="str">
        <f>IFERROR(__xludf.DUMMYFUNCTION("""COMPUTED_VALUE"""),"N. Macedonian")</f>
        <v>N. Macedonian</v>
      </c>
      <c r="W1" s="5" t="str">
        <f>IFERROR(__xludf.DUMMYFUNCTION("""COMPUTED_VALUE"""),"Finnish")</f>
        <v>Finnish</v>
      </c>
      <c r="X1" s="5" t="str">
        <f>IFERROR(__xludf.DUMMYFUNCTION("""COMPUTED_VALUE"""),"Armenian")</f>
        <v>Armenian</v>
      </c>
      <c r="Y1" s="5" t="str">
        <f>IFERROR(__xludf.DUMMYFUNCTION("""COMPUTED_VALUE"""),"Social English")</f>
        <v>Social English</v>
      </c>
      <c r="Z1" s="5" t="str">
        <f>IFERROR(__xludf.DUMMYFUNCTION("""COMPUTED_VALUE"""),"Amharic")</f>
        <v>Amharic</v>
      </c>
      <c r="AA1" s="5" t="str">
        <f>IFERROR(__xludf.DUMMYFUNCTION("""COMPUTED_VALUE"""),"Swahili")</f>
        <v>Swahili</v>
      </c>
      <c r="AB1" s="5" t="str">
        <f>IFERROR(__xludf.DUMMYFUNCTION("""COMPUTED_VALUE"""),"Polish")</f>
        <v>Polish</v>
      </c>
      <c r="AC1" s="5" t="str">
        <f>IFERROR(__xludf.DUMMYFUNCTION("""COMPUTED_VALUE"""),"Latvian")</f>
        <v>Latvian</v>
      </c>
      <c r="AD1" s="5" t="str">
        <f>IFERROR(__xludf.DUMMYFUNCTION("""COMPUTED_VALUE"""),"Lithuanian")</f>
        <v>Lithuanian</v>
      </c>
      <c r="AE1" s="5" t="str">
        <f>IFERROR(__xludf.DUMMYFUNCTION("""COMPUTED_VALUE"""),"Slovak")</f>
        <v>Slovak</v>
      </c>
      <c r="AF1" s="5" t="str">
        <f>IFERROR(__xludf.DUMMYFUNCTION("""COMPUTED_VALUE"""),"Ukrainian")</f>
        <v>Ukrainian</v>
      </c>
      <c r="AG1" s="5" t="str">
        <f>IFERROR(__xludf.DUMMYFUNCTION("""COMPUTED_VALUE"""),"Filipino")</f>
        <v>Filipino</v>
      </c>
      <c r="AH1" s="5" t="str">
        <f>IFERROR(__xludf.DUMMYFUNCTION("""COMPUTED_VALUE"""),"Chinese")</f>
        <v>Chinese</v>
      </c>
      <c r="AI1" s="5" t="str">
        <f>IFERROR(__xludf.DUMMYFUNCTION("""COMPUTED_VALUE"""),"Traditional Chinese")</f>
        <v>Traditional Chinese</v>
      </c>
      <c r="AJ1" s="5" t="str">
        <f>IFERROR(__xludf.DUMMYFUNCTION("""COMPUTED_VALUE"""),"Japanese")</f>
        <v>Japanese</v>
      </c>
      <c r="AK1" s="5" t="str">
        <f>IFERROR(__xludf.DUMMYFUNCTION("""COMPUTED_VALUE"""),"Korean")</f>
        <v>Korean</v>
      </c>
      <c r="AL1" s="5" t="str">
        <f>IFERROR(__xludf.DUMMYFUNCTION("""COMPUTED_VALUE"""),"Bosnian")</f>
        <v>Bosnian</v>
      </c>
      <c r="AM1" s="5"/>
      <c r="AN1" s="5"/>
      <c r="AO1" s="5"/>
      <c r="AP1" s="5"/>
      <c r="AQ1" s="5"/>
      <c r="AR1" s="5"/>
      <c r="AS1" s="5"/>
      <c r="AT1" s="5"/>
      <c r="AU1" s="5"/>
      <c r="AV1" s="5"/>
      <c r="AW1" s="5"/>
      <c r="AX1" s="5"/>
      <c r="AY1" s="5"/>
    </row>
    <row r="2">
      <c r="A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2" s="5">
        <f>IFERROR(__xludf.DUMMYFUNCTION("""COMPUTED_VALUE"""),1.0)</f>
        <v>1</v>
      </c>
      <c r="C2" s="5">
        <f>IFERROR(__xludf.DUMMYFUNCTION("""COMPUTED_VALUE"""),0.0)</f>
        <v>0</v>
      </c>
      <c r="D2" s="5" t="str">
        <f>IFERROR(__xludf.DUMMYFUNCTION("""COMPUTED_VALUE"""),"Postman")</f>
        <v>Postman</v>
      </c>
      <c r="E2" s="5" t="str">
        <f>IFERROR(__xludf.DUMMYFUNCTION("""COMPUTED_VALUE"""),"Yes")</f>
        <v>Yes</v>
      </c>
      <c r="F2" s="5" t="str">
        <f>IFERROR(__xludf.DUMMYFUNCTION("""COMPUTED_VALUE"""),"Yes")</f>
        <v>Yes</v>
      </c>
      <c r="G2" s="5" t="str">
        <f>IFERROR(__xludf.DUMMYFUNCTION("""COMPUTED_VALUE"""),"Yes")</f>
        <v>Yes</v>
      </c>
      <c r="H2" s="5" t="str">
        <f>IFERROR(__xludf.DUMMYFUNCTION("""COMPUTED_VALUE"""),"Yes")</f>
        <v>Yes</v>
      </c>
      <c r="I2" s="5" t="str">
        <f>IFERROR(__xludf.DUMMYFUNCTION("""COMPUTED_VALUE"""),"Yes")</f>
        <v>Yes</v>
      </c>
      <c r="J2" s="5" t="str">
        <f>IFERROR(__xludf.DUMMYFUNCTION("""COMPUTED_VALUE"""),"Yes")</f>
        <v>Yes</v>
      </c>
      <c r="K2" s="5" t="str">
        <f>IFERROR(__xludf.DUMMYFUNCTION("""COMPUTED_VALUE"""),"Yes")</f>
        <v>Yes</v>
      </c>
      <c r="L2" s="5" t="str">
        <f>IFERROR(__xludf.DUMMYFUNCTION("""COMPUTED_VALUE"""),"Yes")</f>
        <v>Yes</v>
      </c>
      <c r="M2" s="5" t="str">
        <f>IFERROR(__xludf.DUMMYFUNCTION("""COMPUTED_VALUE"""),"Yes")</f>
        <v>Yes</v>
      </c>
      <c r="N2" s="5" t="str">
        <f>IFERROR(__xludf.DUMMYFUNCTION("""COMPUTED_VALUE"""),"Yes")</f>
        <v>Yes</v>
      </c>
      <c r="O2" s="5" t="str">
        <f>IFERROR(__xludf.DUMMYFUNCTION("""COMPUTED_VALUE"""),"Yes")</f>
        <v>Yes</v>
      </c>
      <c r="P2" s="5" t="str">
        <f>IFERROR(__xludf.DUMMYFUNCTION("""COMPUTED_VALUE"""),"Yes")</f>
        <v>Yes</v>
      </c>
      <c r="Q2" s="5" t="str">
        <f>IFERROR(__xludf.DUMMYFUNCTION("""COMPUTED_VALUE"""),"Yes")</f>
        <v>Yes</v>
      </c>
      <c r="R2" s="5" t="str">
        <f>IFERROR(__xludf.DUMMYFUNCTION("""COMPUTED_VALUE"""),"Yes")</f>
        <v>Yes</v>
      </c>
      <c r="S2" s="5" t="str">
        <f>IFERROR(__xludf.DUMMYFUNCTION("""COMPUTED_VALUE"""),"Yes")</f>
        <v>Yes</v>
      </c>
      <c r="T2" s="5" t="str">
        <f>IFERROR(__xludf.DUMMYFUNCTION("""COMPUTED_VALUE"""),"Yes")</f>
        <v>Yes</v>
      </c>
      <c r="U2" s="5" t="str">
        <f>IFERROR(__xludf.DUMMYFUNCTION("""COMPUTED_VALUE"""),"Yes")</f>
        <v>Yes</v>
      </c>
      <c r="V2" s="5" t="str">
        <f>IFERROR(__xludf.DUMMYFUNCTION("""COMPUTED_VALUE"""),"Yes")</f>
        <v>Yes</v>
      </c>
      <c r="W2" s="5" t="str">
        <f>IFERROR(__xludf.DUMMYFUNCTION("""COMPUTED_VALUE"""),"Yes")</f>
        <v>Yes</v>
      </c>
      <c r="X2" s="5" t="str">
        <f>IFERROR(__xludf.DUMMYFUNCTION("""COMPUTED_VALUE"""),"Yes")</f>
        <v>Yes</v>
      </c>
      <c r="Y2" s="5" t="str">
        <f>IFERROR(__xludf.DUMMYFUNCTION("""COMPUTED_VALUE"""),"Yes")</f>
        <v>Yes</v>
      </c>
      <c r="Z2" s="5" t="str">
        <f>IFERROR(__xludf.DUMMYFUNCTION("""COMPUTED_VALUE"""),"Yes")</f>
        <v>Yes</v>
      </c>
      <c r="AA2" s="5" t="str">
        <f>IFERROR(__xludf.DUMMYFUNCTION("""COMPUTED_VALUE"""),"Yes")</f>
        <v>Yes</v>
      </c>
      <c r="AB2" s="5" t="str">
        <f>IFERROR(__xludf.DUMMYFUNCTION("""COMPUTED_VALUE"""),"Yes")</f>
        <v>Yes</v>
      </c>
      <c r="AC2" s="5" t="str">
        <f>IFERROR(__xludf.DUMMYFUNCTION("""COMPUTED_VALUE"""),"Yes")</f>
        <v>Yes</v>
      </c>
      <c r="AD2" s="5" t="str">
        <f>IFERROR(__xludf.DUMMYFUNCTION("""COMPUTED_VALUE"""),"Yes")</f>
        <v>Yes</v>
      </c>
      <c r="AE2" s="5" t="str">
        <f>IFERROR(__xludf.DUMMYFUNCTION("""COMPUTED_VALUE"""),"Yes")</f>
        <v>Yes</v>
      </c>
      <c r="AF2" s="5" t="str">
        <f>IFERROR(__xludf.DUMMYFUNCTION("""COMPUTED_VALUE"""),"Yes")</f>
        <v>Yes</v>
      </c>
      <c r="AG2" s="5" t="str">
        <f>IFERROR(__xludf.DUMMYFUNCTION("""COMPUTED_VALUE"""),"Yes")</f>
        <v>Yes</v>
      </c>
      <c r="AH2" s="5" t="str">
        <f>IFERROR(__xludf.DUMMYFUNCTION("""COMPUTED_VALUE"""),"No")</f>
        <v>No</v>
      </c>
      <c r="AI2" s="5" t="str">
        <f>IFERROR(__xludf.DUMMYFUNCTION("""COMPUTED_VALUE"""),"No")</f>
        <v>No</v>
      </c>
      <c r="AJ2" s="5" t="str">
        <f>IFERROR(__xludf.DUMMYFUNCTION("""COMPUTED_VALUE"""),"No")</f>
        <v>No</v>
      </c>
      <c r="AK2" s="5" t="str">
        <f>IFERROR(__xludf.DUMMYFUNCTION("""COMPUTED_VALUE"""),"No")</f>
        <v>No</v>
      </c>
      <c r="AL2" s="5" t="str">
        <f>IFERROR(__xludf.DUMMYFUNCTION("""COMPUTED_VALUE"""),"No")</f>
        <v>No</v>
      </c>
      <c r="AM2" s="5"/>
      <c r="AN2" s="5"/>
      <c r="AO2" s="5"/>
      <c r="AP2" s="5"/>
      <c r="AQ2" s="5"/>
      <c r="AR2" s="5"/>
      <c r="AS2" s="5"/>
      <c r="AT2" s="5"/>
      <c r="AU2" s="5"/>
      <c r="AV2" s="5"/>
      <c r="AW2" s="5"/>
      <c r="AX2" s="5"/>
      <c r="AY2" s="5"/>
    </row>
    <row r="3">
      <c r="A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 s="5">
        <f>IFERROR(__xludf.DUMMYFUNCTION("""COMPUTED_VALUE"""),2.0)</f>
        <v>2</v>
      </c>
      <c r="C3" s="5">
        <f>IFERROR(__xludf.DUMMYFUNCTION("""COMPUTED_VALUE"""),1.0)</f>
        <v>1</v>
      </c>
      <c r="D3" s="5" t="str">
        <f>IFERROR(__xludf.DUMMYFUNCTION("""COMPUTED_VALUE"""),"DeepJungle")</f>
        <v>DeepJungle</v>
      </c>
      <c r="E3" s="5" t="str">
        <f>IFERROR(__xludf.DUMMYFUNCTION("""COMPUTED_VALUE"""),"Yes")</f>
        <v>Yes</v>
      </c>
      <c r="F3" s="5" t="str">
        <f>IFERROR(__xludf.DUMMYFUNCTION("""COMPUTED_VALUE"""),"Yes")</f>
        <v>Yes</v>
      </c>
      <c r="G3" s="5" t="str">
        <f>IFERROR(__xludf.DUMMYFUNCTION("""COMPUTED_VALUE"""),"Yes")</f>
        <v>Yes</v>
      </c>
      <c r="H3" s="5" t="str">
        <f>IFERROR(__xludf.DUMMYFUNCTION("""COMPUTED_VALUE"""),"Yes")</f>
        <v>Yes</v>
      </c>
      <c r="I3" s="5" t="str">
        <f>IFERROR(__xludf.DUMMYFUNCTION("""COMPUTED_VALUE"""),"Yes")</f>
        <v>Yes</v>
      </c>
      <c r="J3" s="5" t="str">
        <f>IFERROR(__xludf.DUMMYFUNCTION("""COMPUTED_VALUE"""),"Yes")</f>
        <v>Yes</v>
      </c>
      <c r="K3" s="5" t="str">
        <f>IFERROR(__xludf.DUMMYFUNCTION("""COMPUTED_VALUE"""),"Yes")</f>
        <v>Yes</v>
      </c>
      <c r="L3" s="5" t="str">
        <f>IFERROR(__xludf.DUMMYFUNCTION("""COMPUTED_VALUE"""),"Yes")</f>
        <v>Yes</v>
      </c>
      <c r="M3" s="5" t="str">
        <f>IFERROR(__xludf.DUMMYFUNCTION("""COMPUTED_VALUE"""),"Yes")</f>
        <v>Yes</v>
      </c>
      <c r="N3" s="5" t="str">
        <f>IFERROR(__xludf.DUMMYFUNCTION("""COMPUTED_VALUE"""),"Yes")</f>
        <v>Yes</v>
      </c>
      <c r="O3" s="5" t="str">
        <f>IFERROR(__xludf.DUMMYFUNCTION("""COMPUTED_VALUE"""),"Yes")</f>
        <v>Yes</v>
      </c>
      <c r="P3" s="5" t="str">
        <f>IFERROR(__xludf.DUMMYFUNCTION("""COMPUTED_VALUE"""),"Yes")</f>
        <v>Yes</v>
      </c>
      <c r="Q3" s="5" t="str">
        <f>IFERROR(__xludf.DUMMYFUNCTION("""COMPUTED_VALUE"""),"Yes")</f>
        <v>Yes</v>
      </c>
      <c r="R3" s="5" t="str">
        <f>IFERROR(__xludf.DUMMYFUNCTION("""COMPUTED_VALUE"""),"Yes")</f>
        <v>Yes</v>
      </c>
      <c r="S3" s="5" t="str">
        <f>IFERROR(__xludf.DUMMYFUNCTION("""COMPUTED_VALUE"""),"Yes")</f>
        <v>Yes</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IFERROR(__xludf.DUMMYFUNCTION("""COMPUTED_VALUE"""),"No")</f>
        <v>No</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IFERROR(__xludf.DUMMYFUNCTION("""COMPUTED_VALUE"""),"No")</f>
        <v>No</v>
      </c>
      <c r="AF3" s="5" t="str">
        <f>IFERROR(__xludf.DUMMYFUNCTION("""COMPUTED_VALUE"""),"Yes")</f>
        <v>Yes</v>
      </c>
      <c r="AG3" s="5" t="str">
        <f>IFERROR(__xludf.DUMMYFUNCTION("""COMPUTED_VALUE"""),"No")</f>
        <v>No</v>
      </c>
      <c r="AH3" s="5" t="str">
        <f>IFERROR(__xludf.DUMMYFUNCTION("""COMPUTED_VALUE"""),"No")</f>
        <v>No</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c r="AN3" s="5"/>
      <c r="AO3" s="5"/>
      <c r="AP3" s="5"/>
      <c r="AQ3" s="5"/>
      <c r="AR3" s="5"/>
      <c r="AS3" s="5"/>
      <c r="AT3" s="5"/>
      <c r="AU3" s="5"/>
      <c r="AV3" s="5"/>
      <c r="AW3" s="5"/>
      <c r="AX3" s="5"/>
      <c r="AY3" s="5"/>
    </row>
    <row r="4">
      <c r="A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 s="5">
        <f>IFERROR(__xludf.DUMMYFUNCTION("""COMPUTED_VALUE"""),3.0)</f>
        <v>3</v>
      </c>
      <c r="C4" s="5">
        <f>IFERROR(__xludf.DUMMYFUNCTION("""COMPUTED_VALUE"""),2.0)</f>
        <v>2</v>
      </c>
      <c r="D4" s="5" t="str">
        <f>IFERROR(__xludf.DUMMYFUNCTION("""COMPUTED_VALUE"""),"Wizard")</f>
        <v>Wizard</v>
      </c>
      <c r="E4" s="5" t="str">
        <f>IFERROR(__xludf.DUMMYFUNCTION("""COMPUTED_VALUE"""),"Yes")</f>
        <v>Yes</v>
      </c>
      <c r="F4" s="5" t="str">
        <f>IFERROR(__xludf.DUMMYFUNCTION("""COMPUTED_VALUE"""),"Yes")</f>
        <v>Yes</v>
      </c>
      <c r="G4" s="5" t="str">
        <f>IFERROR(__xludf.DUMMYFUNCTION("""COMPUTED_VALUE"""),"Yes")</f>
        <v>Yes</v>
      </c>
      <c r="H4" s="5" t="str">
        <f>IFERROR(__xludf.DUMMYFUNCTION("""COMPUTED_VALUE"""),"Yes")</f>
        <v>Yes</v>
      </c>
      <c r="I4" s="5" t="str">
        <f>IFERROR(__xludf.DUMMYFUNCTION("""COMPUTED_VALUE"""),"Yes")</f>
        <v>Yes</v>
      </c>
      <c r="J4" s="5" t="str">
        <f>IFERROR(__xludf.DUMMYFUNCTION("""COMPUTED_VALUE"""),"Yes")</f>
        <v>Yes</v>
      </c>
      <c r="K4" s="5" t="str">
        <f>IFERROR(__xludf.DUMMYFUNCTION("""COMPUTED_VALUE"""),"Yes")</f>
        <v>Yes</v>
      </c>
      <c r="L4" s="5" t="str">
        <f>IFERROR(__xludf.DUMMYFUNCTION("""COMPUTED_VALUE"""),"Yes")</f>
        <v>Yes</v>
      </c>
      <c r="M4" s="5" t="str">
        <f>IFERROR(__xludf.DUMMYFUNCTION("""COMPUTED_VALUE"""),"Yes")</f>
        <v>Yes</v>
      </c>
      <c r="N4" s="5" t="str">
        <f>IFERROR(__xludf.DUMMYFUNCTION("""COMPUTED_VALUE"""),"Yes")</f>
        <v>Yes</v>
      </c>
      <c r="O4" s="5" t="str">
        <f>IFERROR(__xludf.DUMMYFUNCTION("""COMPUTED_VALUE"""),"Yes")</f>
        <v>Yes</v>
      </c>
      <c r="P4" s="5" t="str">
        <f>IFERROR(__xludf.DUMMYFUNCTION("""COMPUTED_VALUE"""),"Yes")</f>
        <v>Yes</v>
      </c>
      <c r="Q4" s="5" t="str">
        <f>IFERROR(__xludf.DUMMYFUNCTION("""COMPUTED_VALUE"""),"Yes")</f>
        <v>Yes</v>
      </c>
      <c r="R4" s="5" t="str">
        <f>IFERROR(__xludf.DUMMYFUNCTION("""COMPUTED_VALUE"""),"Yes")</f>
        <v>Yes</v>
      </c>
      <c r="S4" s="5" t="str">
        <f>IFERROR(__xludf.DUMMYFUNCTION("""COMPUTED_VALUE"""),"Yes")</f>
        <v>Yes</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IFERROR(__xludf.DUMMYFUNCTION("""COMPUTED_VALUE"""),"No")</f>
        <v>No</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IFERROR(__xludf.DUMMYFUNCTION("""COMPUTED_VALUE"""),"No")</f>
        <v>No</v>
      </c>
      <c r="AF4" s="5" t="str">
        <f>IFERROR(__xludf.DUMMYFUNCTION("""COMPUTED_VALUE"""),"Yes")</f>
        <v>Yes</v>
      </c>
      <c r="AG4" s="5" t="str">
        <f>IFERROR(__xludf.DUMMYFUNCTION("""COMPUTED_VALUE"""),"No")</f>
        <v>No</v>
      </c>
      <c r="AH4" s="5" t="str">
        <f>IFERROR(__xludf.DUMMYFUNCTION("""COMPUTED_VALUE"""),"No")</f>
        <v>No</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c r="AN4" s="5"/>
      <c r="AO4" s="5"/>
      <c r="AP4" s="5"/>
      <c r="AQ4" s="5"/>
      <c r="AR4" s="5"/>
      <c r="AS4" s="5"/>
      <c r="AT4" s="5"/>
      <c r="AU4" s="5"/>
      <c r="AV4" s="5"/>
      <c r="AW4" s="5"/>
      <c r="AX4" s="5"/>
      <c r="AY4" s="5"/>
    </row>
    <row r="5">
      <c r="A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 s="5">
        <f>IFERROR(__xludf.DUMMYFUNCTION("""COMPUTED_VALUE"""),4.0)</f>
        <v>4</v>
      </c>
      <c r="C5" s="5">
        <f>IFERROR(__xludf.DUMMYFUNCTION("""COMPUTED_VALUE"""),3.0)</f>
        <v>3</v>
      </c>
      <c r="D5" s="5" t="str">
        <f>IFERROR(__xludf.DUMMYFUNCTION("""COMPUTED_VALUE"""),"FruitsAndStars")</f>
        <v>FruitsAndStars</v>
      </c>
      <c r="E5" s="5" t="str">
        <f>IFERROR(__xludf.DUMMYFUNCTION("""COMPUTED_VALUE"""),"Yes")</f>
        <v>Yes</v>
      </c>
      <c r="F5" s="5" t="str">
        <f>IFERROR(__xludf.DUMMYFUNCTION("""COMPUTED_VALUE"""),"Yes")</f>
        <v>Yes</v>
      </c>
      <c r="G5" s="5" t="str">
        <f>IFERROR(__xludf.DUMMYFUNCTION("""COMPUTED_VALUE"""),"Yes")</f>
        <v>Yes</v>
      </c>
      <c r="H5" s="5" t="str">
        <f>IFERROR(__xludf.DUMMYFUNCTION("""COMPUTED_VALUE"""),"Yes")</f>
        <v>Yes</v>
      </c>
      <c r="I5" s="5" t="str">
        <f>IFERROR(__xludf.DUMMYFUNCTION("""COMPUTED_VALUE"""),"Yes")</f>
        <v>Yes</v>
      </c>
      <c r="J5" s="5" t="str">
        <f>IFERROR(__xludf.DUMMYFUNCTION("""COMPUTED_VALUE"""),"Yes")</f>
        <v>Yes</v>
      </c>
      <c r="K5" s="5" t="str">
        <f>IFERROR(__xludf.DUMMYFUNCTION("""COMPUTED_VALUE"""),"Yes")</f>
        <v>Yes</v>
      </c>
      <c r="L5" s="5" t="str">
        <f>IFERROR(__xludf.DUMMYFUNCTION("""COMPUTED_VALUE"""),"Yes")</f>
        <v>Yes</v>
      </c>
      <c r="M5" s="5" t="str">
        <f>IFERROR(__xludf.DUMMYFUNCTION("""COMPUTED_VALUE"""),"Yes")</f>
        <v>Yes</v>
      </c>
      <c r="N5" s="5" t="str">
        <f>IFERROR(__xludf.DUMMYFUNCTION("""COMPUTED_VALUE"""),"Yes")</f>
        <v>Yes</v>
      </c>
      <c r="O5" s="5" t="str">
        <f>IFERROR(__xludf.DUMMYFUNCTION("""COMPUTED_VALUE"""),"Yes")</f>
        <v>Yes</v>
      </c>
      <c r="P5" s="5" t="str">
        <f>IFERROR(__xludf.DUMMYFUNCTION("""COMPUTED_VALUE"""),"Yes")</f>
        <v>Yes</v>
      </c>
      <c r="Q5" s="5" t="str">
        <f>IFERROR(__xludf.DUMMYFUNCTION("""COMPUTED_VALUE"""),"Yes")</f>
        <v>Yes</v>
      </c>
      <c r="R5" s="5" t="str">
        <f>IFERROR(__xludf.DUMMYFUNCTION("""COMPUTED_VALUE"""),"Yes")</f>
        <v>Yes</v>
      </c>
      <c r="S5" s="5" t="str">
        <f>IFERROR(__xludf.DUMMYFUNCTION("""COMPUTED_VALUE"""),"Yes")</f>
        <v>Yes</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IFERROR(__xludf.DUMMYFUNCTION("""COMPUTED_VALUE"""),"No")</f>
        <v>No</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IFERROR(__xludf.DUMMYFUNCTION("""COMPUTED_VALUE"""),"No")</f>
        <v>No</v>
      </c>
      <c r="AF5" s="5" t="str">
        <f>IFERROR(__xludf.DUMMYFUNCTION("""COMPUTED_VALUE"""),"Yes")</f>
        <v>Yes</v>
      </c>
      <c r="AG5" s="5" t="str">
        <f>IFERROR(__xludf.DUMMYFUNCTION("""COMPUTED_VALUE"""),"No")</f>
        <v>No</v>
      </c>
      <c r="AH5" s="5" t="str">
        <f>IFERROR(__xludf.DUMMYFUNCTION("""COMPUTED_VALUE"""),"No")</f>
        <v>No</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c r="AN5" s="5"/>
      <c r="AO5" s="5"/>
      <c r="AP5" s="5"/>
      <c r="AQ5" s="5"/>
      <c r="AR5" s="5"/>
      <c r="AS5" s="5"/>
      <c r="AT5" s="5"/>
      <c r="AU5" s="5"/>
      <c r="AV5" s="5"/>
      <c r="AW5" s="5"/>
      <c r="AX5" s="5"/>
      <c r="AY5" s="5"/>
    </row>
    <row r="6">
      <c r="A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6" s="5">
        <f>IFERROR(__xludf.DUMMYFUNCTION("""COMPUTED_VALUE"""),5.0)</f>
        <v>5</v>
      </c>
      <c r="C6" s="5">
        <f>IFERROR(__xludf.DUMMYFUNCTION("""COMPUTED_VALUE"""),4.0)</f>
        <v>4</v>
      </c>
      <c r="D6" s="5" t="str">
        <f>IFERROR(__xludf.DUMMYFUNCTION("""COMPUTED_VALUE"""),"VegasHot")</f>
        <v>VegasHot</v>
      </c>
      <c r="E6" s="5" t="str">
        <f>IFERROR(__xludf.DUMMYFUNCTION("""COMPUTED_VALUE"""),"Yes")</f>
        <v>Yes</v>
      </c>
      <c r="F6" s="5" t="str">
        <f>IFERROR(__xludf.DUMMYFUNCTION("""COMPUTED_VALUE"""),"Yes")</f>
        <v>Yes</v>
      </c>
      <c r="G6" s="5" t="str">
        <f>IFERROR(__xludf.DUMMYFUNCTION("""COMPUTED_VALUE"""),"Yes")</f>
        <v>Yes</v>
      </c>
      <c r="H6" s="5" t="str">
        <f>IFERROR(__xludf.DUMMYFUNCTION("""COMPUTED_VALUE"""),"Yes")</f>
        <v>Yes</v>
      </c>
      <c r="I6" s="5" t="str">
        <f>IFERROR(__xludf.DUMMYFUNCTION("""COMPUTED_VALUE"""),"Yes")</f>
        <v>Yes</v>
      </c>
      <c r="J6" s="5" t="str">
        <f>IFERROR(__xludf.DUMMYFUNCTION("""COMPUTED_VALUE"""),"Yes")</f>
        <v>Yes</v>
      </c>
      <c r="K6" s="5" t="str">
        <f>IFERROR(__xludf.DUMMYFUNCTION("""COMPUTED_VALUE"""),"Yes")</f>
        <v>Yes</v>
      </c>
      <c r="L6" s="5" t="str">
        <f>IFERROR(__xludf.DUMMYFUNCTION("""COMPUTED_VALUE"""),"Yes")</f>
        <v>Yes</v>
      </c>
      <c r="M6" s="5" t="str">
        <f>IFERROR(__xludf.DUMMYFUNCTION("""COMPUTED_VALUE"""),"Yes")</f>
        <v>Yes</v>
      </c>
      <c r="N6" s="5" t="str">
        <f>IFERROR(__xludf.DUMMYFUNCTION("""COMPUTED_VALUE"""),"Yes")</f>
        <v>Yes</v>
      </c>
      <c r="O6" s="5" t="str">
        <f>IFERROR(__xludf.DUMMYFUNCTION("""COMPUTED_VALUE"""),"Yes")</f>
        <v>Yes</v>
      </c>
      <c r="P6" s="5" t="str">
        <f>IFERROR(__xludf.DUMMYFUNCTION("""COMPUTED_VALUE"""),"Yes")</f>
        <v>Yes</v>
      </c>
      <c r="Q6" s="5" t="str">
        <f>IFERROR(__xludf.DUMMYFUNCTION("""COMPUTED_VALUE"""),"Yes")</f>
        <v>Yes</v>
      </c>
      <c r="R6" s="5" t="str">
        <f>IFERROR(__xludf.DUMMYFUNCTION("""COMPUTED_VALUE"""),"Yes")</f>
        <v>Yes</v>
      </c>
      <c r="S6" s="5" t="str">
        <f>IFERROR(__xludf.DUMMYFUNCTION("""COMPUTED_VALUE"""),"Yes")</f>
        <v>Yes</v>
      </c>
      <c r="T6" s="5" t="str">
        <f>IFERROR(__xludf.DUMMYFUNCTION("""COMPUTED_VALUE"""),"Yes")</f>
        <v>Yes</v>
      </c>
      <c r="U6" s="5" t="str">
        <f>IFERROR(__xludf.DUMMYFUNCTION("""COMPUTED_VALUE"""),"Yes")</f>
        <v>Yes</v>
      </c>
      <c r="V6" s="5" t="str">
        <f>IFERROR(__xludf.DUMMYFUNCTION("""COMPUTED_VALUE"""),"Yes")</f>
        <v>Yes</v>
      </c>
      <c r="W6" s="5" t="str">
        <f>IFERROR(__xludf.DUMMYFUNCTION("""COMPUTED_VALUE"""),"Yes")</f>
        <v>Yes</v>
      </c>
      <c r="X6" s="5" t="str">
        <f>IFERROR(__xludf.DUMMYFUNCTION("""COMPUTED_VALUE"""),"Yes")</f>
        <v>Yes</v>
      </c>
      <c r="Y6" s="5"/>
      <c r="Z6" s="5"/>
      <c r="AA6" s="5"/>
      <c r="AB6" s="5"/>
      <c r="AC6" s="5" t="str">
        <f>IFERROR(__xludf.DUMMYFUNCTION("""COMPUTED_VALUE"""),"Yes")</f>
        <v>Yes</v>
      </c>
      <c r="AD6" s="5"/>
      <c r="AE6" s="5"/>
      <c r="AF6" s="5"/>
      <c r="AG6" s="5"/>
      <c r="AH6" s="5"/>
      <c r="AI6" s="5"/>
      <c r="AJ6" s="5"/>
      <c r="AK6" s="5"/>
      <c r="AL6" s="5"/>
      <c r="AM6" s="5"/>
      <c r="AN6" s="5"/>
      <c r="AO6" s="5"/>
      <c r="AP6" s="5"/>
      <c r="AQ6" s="5"/>
      <c r="AR6" s="5"/>
      <c r="AS6" s="5"/>
      <c r="AT6" s="5"/>
      <c r="AU6" s="5"/>
      <c r="AV6" s="5"/>
      <c r="AW6" s="5"/>
      <c r="AX6" s="5"/>
      <c r="AY6" s="5"/>
    </row>
    <row r="7">
      <c r="A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 s="5">
        <f>IFERROR(__xludf.DUMMYFUNCTION("""COMPUTED_VALUE"""),6.0)</f>
        <v>6</v>
      </c>
      <c r="C7" s="5">
        <f>IFERROR(__xludf.DUMMYFUNCTION("""COMPUTED_VALUE"""),5.0)</f>
        <v>5</v>
      </c>
      <c r="D7" s="5" t="str">
        <f>IFERROR(__xludf.DUMMYFUNCTION("""COMPUTED_VALUE"""),"FenixPlay")</f>
        <v>FenixPlay</v>
      </c>
      <c r="E7" s="5" t="str">
        <f>IFERROR(__xludf.DUMMYFUNCTION("""COMPUTED_VALUE"""),"Yes")</f>
        <v>Yes</v>
      </c>
      <c r="F7" s="5" t="str">
        <f>IFERROR(__xludf.DUMMYFUNCTION("""COMPUTED_VALUE"""),"Yes")</f>
        <v>Yes</v>
      </c>
      <c r="G7" s="5" t="str">
        <f>IFERROR(__xludf.DUMMYFUNCTION("""COMPUTED_VALUE"""),"Yes")</f>
        <v>Yes</v>
      </c>
      <c r="H7" s="5" t="str">
        <f>IFERROR(__xludf.DUMMYFUNCTION("""COMPUTED_VALUE"""),"Yes")</f>
        <v>Yes</v>
      </c>
      <c r="I7" s="5" t="str">
        <f>IFERROR(__xludf.DUMMYFUNCTION("""COMPUTED_VALUE"""),"Yes")</f>
        <v>Yes</v>
      </c>
      <c r="J7" s="5" t="str">
        <f>IFERROR(__xludf.DUMMYFUNCTION("""COMPUTED_VALUE"""),"Yes")</f>
        <v>Yes</v>
      </c>
      <c r="K7" s="5" t="str">
        <f>IFERROR(__xludf.DUMMYFUNCTION("""COMPUTED_VALUE"""),"Yes")</f>
        <v>Yes</v>
      </c>
      <c r="L7" s="5" t="str">
        <f>IFERROR(__xludf.DUMMYFUNCTION("""COMPUTED_VALUE"""),"Yes")</f>
        <v>Yes</v>
      </c>
      <c r="M7" s="5" t="str">
        <f>IFERROR(__xludf.DUMMYFUNCTION("""COMPUTED_VALUE"""),"Yes")</f>
        <v>Yes</v>
      </c>
      <c r="N7" s="5" t="str">
        <f>IFERROR(__xludf.DUMMYFUNCTION("""COMPUTED_VALUE"""),"Yes")</f>
        <v>Yes</v>
      </c>
      <c r="O7" s="5" t="str">
        <f>IFERROR(__xludf.DUMMYFUNCTION("""COMPUTED_VALUE"""),"Yes")</f>
        <v>Yes</v>
      </c>
      <c r="P7" s="5" t="str">
        <f>IFERROR(__xludf.DUMMYFUNCTION("""COMPUTED_VALUE"""),"Yes")</f>
        <v>Yes</v>
      </c>
      <c r="Q7" s="5" t="str">
        <f>IFERROR(__xludf.DUMMYFUNCTION("""COMPUTED_VALUE"""),"Yes")</f>
        <v>Yes</v>
      </c>
      <c r="R7" s="5" t="str">
        <f>IFERROR(__xludf.DUMMYFUNCTION("""COMPUTED_VALUE"""),"Yes")</f>
        <v>Yes</v>
      </c>
      <c r="S7" s="5" t="str">
        <f>IFERROR(__xludf.DUMMYFUNCTION("""COMPUTED_VALUE"""),"Yes")</f>
        <v>Yes</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c r="Z7" s="5"/>
      <c r="AA7" s="5"/>
      <c r="AB7" s="5"/>
      <c r="AC7" s="5" t="str">
        <f>IFERROR(__xludf.DUMMYFUNCTION("""COMPUTED_VALUE"""),"Yes")</f>
        <v>Yes</v>
      </c>
      <c r="AD7" s="5"/>
      <c r="AE7" s="5"/>
      <c r="AF7" s="5"/>
      <c r="AG7" s="5"/>
      <c r="AH7" s="5"/>
      <c r="AI7" s="5"/>
      <c r="AJ7" s="5"/>
      <c r="AK7" s="5"/>
      <c r="AL7" s="5"/>
      <c r="AM7" s="5"/>
      <c r="AN7" s="5"/>
      <c r="AO7" s="5"/>
      <c r="AP7" s="5"/>
      <c r="AQ7" s="5"/>
      <c r="AR7" s="5"/>
      <c r="AS7" s="5"/>
      <c r="AT7" s="5"/>
      <c r="AU7" s="5"/>
      <c r="AV7" s="5"/>
      <c r="AW7" s="5"/>
      <c r="AX7" s="5"/>
      <c r="AY7" s="5"/>
    </row>
    <row r="8">
      <c r="A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 s="5">
        <f>IFERROR(__xludf.DUMMYFUNCTION("""COMPUTED_VALUE"""),7.0)</f>
        <v>7</v>
      </c>
      <c r="C8" s="5">
        <f>IFERROR(__xludf.DUMMYFUNCTION("""COMPUTED_VALUE"""),6.0)</f>
        <v>6</v>
      </c>
      <c r="D8" s="5" t="str">
        <f>IFERROR(__xludf.DUMMYFUNCTION("""COMPUTED_VALUE"""),"HotParty")</f>
        <v>HotParty</v>
      </c>
      <c r="E8" s="5" t="str">
        <f>IFERROR(__xludf.DUMMYFUNCTION("""COMPUTED_VALUE"""),"Yes")</f>
        <v>Yes</v>
      </c>
      <c r="F8" s="5" t="str">
        <f>IFERROR(__xludf.DUMMYFUNCTION("""COMPUTED_VALUE"""),"Yes")</f>
        <v>Yes</v>
      </c>
      <c r="G8" s="5" t="str">
        <f>IFERROR(__xludf.DUMMYFUNCTION("""COMPUTED_VALUE"""),"Yes")</f>
        <v>Yes</v>
      </c>
      <c r="H8" s="5" t="str">
        <f>IFERROR(__xludf.DUMMYFUNCTION("""COMPUTED_VALUE"""),"Yes")</f>
        <v>Yes</v>
      </c>
      <c r="I8" s="5" t="str">
        <f>IFERROR(__xludf.DUMMYFUNCTION("""COMPUTED_VALUE"""),"Yes")</f>
        <v>Yes</v>
      </c>
      <c r="J8" s="5" t="str">
        <f>IFERROR(__xludf.DUMMYFUNCTION("""COMPUTED_VALUE"""),"Yes")</f>
        <v>Yes</v>
      </c>
      <c r="K8" s="5" t="str">
        <f>IFERROR(__xludf.DUMMYFUNCTION("""COMPUTED_VALUE"""),"Yes")</f>
        <v>Yes</v>
      </c>
      <c r="L8" s="5" t="str">
        <f>IFERROR(__xludf.DUMMYFUNCTION("""COMPUTED_VALUE"""),"Yes")</f>
        <v>Yes</v>
      </c>
      <c r="M8" s="5" t="str">
        <f>IFERROR(__xludf.DUMMYFUNCTION("""COMPUTED_VALUE"""),"Yes")</f>
        <v>Yes</v>
      </c>
      <c r="N8" s="5" t="str">
        <f>IFERROR(__xludf.DUMMYFUNCTION("""COMPUTED_VALUE"""),"Yes")</f>
        <v>Yes</v>
      </c>
      <c r="O8" s="5" t="str">
        <f>IFERROR(__xludf.DUMMYFUNCTION("""COMPUTED_VALUE"""),"Yes")</f>
        <v>Yes</v>
      </c>
      <c r="P8" s="5" t="str">
        <f>IFERROR(__xludf.DUMMYFUNCTION("""COMPUTED_VALUE"""),"Yes")</f>
        <v>Yes</v>
      </c>
      <c r="Q8" s="5" t="str">
        <f>IFERROR(__xludf.DUMMYFUNCTION("""COMPUTED_VALUE"""),"Yes")</f>
        <v>Yes</v>
      </c>
      <c r="R8" s="5" t="str">
        <f>IFERROR(__xludf.DUMMYFUNCTION("""COMPUTED_VALUE"""),"Yes")</f>
        <v>Yes</v>
      </c>
      <c r="S8" s="5" t="str">
        <f>IFERROR(__xludf.DUMMYFUNCTION("""COMPUTED_VALUE"""),"Yes")</f>
        <v>Yes</v>
      </c>
      <c r="T8" s="5" t="str">
        <f>IFERROR(__xludf.DUMMYFUNCTION("""COMPUTED_VALUE"""),"Yes")</f>
        <v>Yes</v>
      </c>
      <c r="U8" s="5" t="str">
        <f>IFERROR(__xludf.DUMMYFUNCTION("""COMPUTED_VALUE"""),"Yes")</f>
        <v>Yes</v>
      </c>
      <c r="V8" s="5" t="str">
        <f>IFERROR(__xludf.DUMMYFUNCTION("""COMPUTED_VALUE"""),"Yes")</f>
        <v>Yes</v>
      </c>
      <c r="W8" s="5" t="str">
        <f>IFERROR(__xludf.DUMMYFUNCTION("""COMPUTED_VALUE"""),"Yes")</f>
        <v>Yes</v>
      </c>
      <c r="X8" s="5" t="str">
        <f>IFERROR(__xludf.DUMMYFUNCTION("""COMPUTED_VALUE"""),"Yes")</f>
        <v>Yes</v>
      </c>
      <c r="Y8" s="5"/>
      <c r="Z8" s="5"/>
      <c r="AA8" s="5"/>
      <c r="AB8" s="5"/>
      <c r="AC8" s="5" t="str">
        <f>IFERROR(__xludf.DUMMYFUNCTION("""COMPUTED_VALUE"""),"Yes")</f>
        <v>Yes</v>
      </c>
      <c r="AD8" s="5"/>
      <c r="AE8" s="5"/>
      <c r="AF8" s="5"/>
      <c r="AG8" s="5"/>
      <c r="AH8" s="5"/>
      <c r="AI8" s="5"/>
      <c r="AJ8" s="5"/>
      <c r="AK8" s="5"/>
      <c r="AL8" s="5"/>
      <c r="AM8" s="5"/>
      <c r="AN8" s="5"/>
      <c r="AO8" s="5"/>
      <c r="AP8" s="5"/>
      <c r="AQ8" s="5"/>
      <c r="AR8" s="5"/>
      <c r="AS8" s="5"/>
      <c r="AT8" s="5"/>
      <c r="AU8" s="5"/>
      <c r="AV8" s="5"/>
      <c r="AW8" s="5"/>
      <c r="AX8" s="5"/>
      <c r="AY8" s="5"/>
    </row>
    <row r="9">
      <c r="A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9" s="5">
        <f>IFERROR(__xludf.DUMMYFUNCTION("""COMPUTED_VALUE"""),8.0)</f>
        <v>8</v>
      </c>
      <c r="C9" s="5">
        <f>IFERROR(__xludf.DUMMYFUNCTION("""COMPUTED_VALUE"""),7.0)</f>
        <v>7</v>
      </c>
      <c r="D9" s="5" t="str">
        <f>IFERROR(__xludf.DUMMYFUNCTION("""COMPUTED_VALUE"""),"CaptainShark")</f>
        <v>CaptainShark</v>
      </c>
      <c r="E9" s="5" t="str">
        <f>IFERROR(__xludf.DUMMYFUNCTION("""COMPUTED_VALUE"""),"Yes")</f>
        <v>Yes</v>
      </c>
      <c r="F9" s="5" t="str">
        <f>IFERROR(__xludf.DUMMYFUNCTION("""COMPUTED_VALUE"""),"Yes")</f>
        <v>Yes</v>
      </c>
      <c r="G9" s="5" t="str">
        <f>IFERROR(__xludf.DUMMYFUNCTION("""COMPUTED_VALUE"""),"Yes")</f>
        <v>Yes</v>
      </c>
      <c r="H9" s="5" t="str">
        <f>IFERROR(__xludf.DUMMYFUNCTION("""COMPUTED_VALUE"""),"Yes")</f>
        <v>Yes</v>
      </c>
      <c r="I9" s="5" t="str">
        <f>IFERROR(__xludf.DUMMYFUNCTION("""COMPUTED_VALUE"""),"Yes")</f>
        <v>Yes</v>
      </c>
      <c r="J9" s="5" t="str">
        <f>IFERROR(__xludf.DUMMYFUNCTION("""COMPUTED_VALUE"""),"Yes")</f>
        <v>Yes</v>
      </c>
      <c r="K9" s="5" t="str">
        <f>IFERROR(__xludf.DUMMYFUNCTION("""COMPUTED_VALUE"""),"Yes")</f>
        <v>Yes</v>
      </c>
      <c r="L9" s="5" t="str">
        <f>IFERROR(__xludf.DUMMYFUNCTION("""COMPUTED_VALUE"""),"Yes")</f>
        <v>Yes</v>
      </c>
      <c r="M9" s="5" t="str">
        <f>IFERROR(__xludf.DUMMYFUNCTION("""COMPUTED_VALUE"""),"Yes")</f>
        <v>Yes</v>
      </c>
      <c r="N9" s="5" t="str">
        <f>IFERROR(__xludf.DUMMYFUNCTION("""COMPUTED_VALUE"""),"Yes")</f>
        <v>Yes</v>
      </c>
      <c r="O9" s="5" t="str">
        <f>IFERROR(__xludf.DUMMYFUNCTION("""COMPUTED_VALUE"""),"Yes")</f>
        <v>Yes</v>
      </c>
      <c r="P9" s="5" t="str">
        <f>IFERROR(__xludf.DUMMYFUNCTION("""COMPUTED_VALUE"""),"Yes")</f>
        <v>Yes</v>
      </c>
      <c r="Q9" s="5" t="str">
        <f>IFERROR(__xludf.DUMMYFUNCTION("""COMPUTED_VALUE"""),"Yes")</f>
        <v>Yes</v>
      </c>
      <c r="R9" s="5" t="str">
        <f>IFERROR(__xludf.DUMMYFUNCTION("""COMPUTED_VALUE"""),"Yes")</f>
        <v>Yes</v>
      </c>
      <c r="S9" s="5" t="str">
        <f>IFERROR(__xludf.DUMMYFUNCTION("""COMPUTED_VALUE"""),"Yes")</f>
        <v>Yes</v>
      </c>
      <c r="T9" s="5" t="str">
        <f>IFERROR(__xludf.DUMMYFUNCTION("""COMPUTED_VALUE"""),"Yes")</f>
        <v>Yes</v>
      </c>
      <c r="U9" s="5" t="str">
        <f>IFERROR(__xludf.DUMMYFUNCTION("""COMPUTED_VALUE"""),"Yes")</f>
        <v>Yes</v>
      </c>
      <c r="V9" s="5" t="str">
        <f>IFERROR(__xludf.DUMMYFUNCTION("""COMPUTED_VALUE"""),"Yes")</f>
        <v>Yes</v>
      </c>
      <c r="W9" s="5" t="str">
        <f>IFERROR(__xludf.DUMMYFUNCTION("""COMPUTED_VALUE"""),"Yes")</f>
        <v>Yes</v>
      </c>
      <c r="X9" s="5" t="str">
        <f>IFERROR(__xludf.DUMMYFUNCTION("""COMPUTED_VALUE"""),"Yes")</f>
        <v>Yes</v>
      </c>
      <c r="Y9" s="5"/>
      <c r="Z9" s="5"/>
      <c r="AA9" s="5"/>
      <c r="AB9" s="5"/>
      <c r="AC9" s="5" t="str">
        <f>IFERROR(__xludf.DUMMYFUNCTION("""COMPUTED_VALUE"""),"Yes")</f>
        <v>Yes</v>
      </c>
      <c r="AD9" s="5"/>
      <c r="AE9" s="5"/>
      <c r="AF9" s="5"/>
      <c r="AG9" s="5"/>
      <c r="AH9" s="5"/>
      <c r="AI9" s="5"/>
      <c r="AJ9" s="5"/>
      <c r="AK9" s="5"/>
      <c r="AL9" s="5"/>
      <c r="AM9" s="5"/>
      <c r="AN9" s="5"/>
      <c r="AO9" s="5"/>
      <c r="AP9" s="5"/>
      <c r="AQ9" s="5"/>
      <c r="AR9" s="5"/>
      <c r="AS9" s="5"/>
      <c r="AT9" s="5"/>
      <c r="AU9" s="5"/>
      <c r="AV9" s="5"/>
      <c r="AW9" s="5"/>
      <c r="AX9" s="5"/>
      <c r="AY9" s="5"/>
    </row>
    <row r="10">
      <c r="A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0" s="5">
        <f>IFERROR(__xludf.DUMMYFUNCTION("""COMPUTED_VALUE"""),9.0)</f>
        <v>9</v>
      </c>
      <c r="C10" s="5">
        <f>IFERROR(__xludf.DUMMYFUNCTION("""COMPUTED_VALUE"""),8.0)</f>
        <v>8</v>
      </c>
      <c r="D10" s="5" t="str">
        <f>IFERROR(__xludf.DUMMYFUNCTION("""COMPUTED_VALUE"""),"MagicTarget")</f>
        <v>MagicTarget</v>
      </c>
      <c r="E10" s="5" t="str">
        <f>IFERROR(__xludf.DUMMYFUNCTION("""COMPUTED_VALUE"""),"Yes")</f>
        <v>Yes</v>
      </c>
      <c r="F10" s="5" t="str">
        <f>IFERROR(__xludf.DUMMYFUNCTION("""COMPUTED_VALUE"""),"Yes")</f>
        <v>Yes</v>
      </c>
      <c r="G10" s="5" t="str">
        <f>IFERROR(__xludf.DUMMYFUNCTION("""COMPUTED_VALUE"""),"Yes")</f>
        <v>Yes</v>
      </c>
      <c r="H10" s="5" t="str">
        <f>IFERROR(__xludf.DUMMYFUNCTION("""COMPUTED_VALUE"""),"Yes")</f>
        <v>Yes</v>
      </c>
      <c r="I10" s="5" t="str">
        <f>IFERROR(__xludf.DUMMYFUNCTION("""COMPUTED_VALUE"""),"Yes")</f>
        <v>Yes</v>
      </c>
      <c r="J10" s="5" t="str">
        <f>IFERROR(__xludf.DUMMYFUNCTION("""COMPUTED_VALUE"""),"Yes")</f>
        <v>Yes</v>
      </c>
      <c r="K10" s="5" t="str">
        <f>IFERROR(__xludf.DUMMYFUNCTION("""COMPUTED_VALUE"""),"Yes")</f>
        <v>Yes</v>
      </c>
      <c r="L10" s="5" t="str">
        <f>IFERROR(__xludf.DUMMYFUNCTION("""COMPUTED_VALUE"""),"Yes")</f>
        <v>Yes</v>
      </c>
      <c r="M10" s="5" t="str">
        <f>IFERROR(__xludf.DUMMYFUNCTION("""COMPUTED_VALUE"""),"Yes")</f>
        <v>Yes</v>
      </c>
      <c r="N10" s="5" t="str">
        <f>IFERROR(__xludf.DUMMYFUNCTION("""COMPUTED_VALUE"""),"Yes")</f>
        <v>Yes</v>
      </c>
      <c r="O10" s="5" t="str">
        <f>IFERROR(__xludf.DUMMYFUNCTION("""COMPUTED_VALUE"""),"Yes")</f>
        <v>Yes</v>
      </c>
      <c r="P10" s="5" t="str">
        <f>IFERROR(__xludf.DUMMYFUNCTION("""COMPUTED_VALUE"""),"Yes")</f>
        <v>Yes</v>
      </c>
      <c r="Q10" s="5" t="str">
        <f>IFERROR(__xludf.DUMMYFUNCTION("""COMPUTED_VALUE"""),"Yes")</f>
        <v>Yes</v>
      </c>
      <c r="R10" s="5" t="str">
        <f>IFERROR(__xludf.DUMMYFUNCTION("""COMPUTED_VALUE"""),"Yes")</f>
        <v>Yes</v>
      </c>
      <c r="S10" s="5" t="str">
        <f>IFERROR(__xludf.DUMMYFUNCTION("""COMPUTED_VALUE"""),"Yes")</f>
        <v>Yes</v>
      </c>
      <c r="T10" s="5" t="str">
        <f>IFERROR(__xludf.DUMMYFUNCTION("""COMPUTED_VALUE"""),"Yes")</f>
        <v>Yes</v>
      </c>
      <c r="U10" s="5" t="str">
        <f>IFERROR(__xludf.DUMMYFUNCTION("""COMPUTED_VALUE"""),"Yes")</f>
        <v>Yes</v>
      </c>
      <c r="V10" s="5" t="str">
        <f>IFERROR(__xludf.DUMMYFUNCTION("""COMPUTED_VALUE"""),"Yes")</f>
        <v>Yes</v>
      </c>
      <c r="W10" s="5" t="str">
        <f>IFERROR(__xludf.DUMMYFUNCTION("""COMPUTED_VALUE"""),"Yes")</f>
        <v>Yes</v>
      </c>
      <c r="X10" s="5" t="str">
        <f>IFERROR(__xludf.DUMMYFUNCTION("""COMPUTED_VALUE"""),"Yes")</f>
        <v>Yes</v>
      </c>
      <c r="Y10" s="5"/>
      <c r="Z10" s="5"/>
      <c r="AA10" s="5"/>
      <c r="AB10" s="5"/>
      <c r="AC10" s="5" t="str">
        <f>IFERROR(__xludf.DUMMYFUNCTION("""COMPUTED_VALUE"""),"Yes")</f>
        <v>Yes</v>
      </c>
      <c r="AD10" s="5"/>
      <c r="AE10" s="5"/>
      <c r="AF10" s="5"/>
      <c r="AG10" s="5"/>
      <c r="AH10" s="5"/>
      <c r="AI10" s="5"/>
      <c r="AJ10" s="5"/>
      <c r="AK10" s="5"/>
      <c r="AL10" s="5"/>
      <c r="AM10" s="5"/>
      <c r="AN10" s="5"/>
      <c r="AO10" s="5"/>
      <c r="AP10" s="5"/>
      <c r="AQ10" s="5"/>
      <c r="AR10" s="5"/>
      <c r="AS10" s="5"/>
      <c r="AT10" s="5"/>
      <c r="AU10" s="5"/>
      <c r="AV10" s="5"/>
      <c r="AW10" s="5"/>
      <c r="AX10" s="5"/>
      <c r="AY10" s="5"/>
    </row>
    <row r="11">
      <c r="A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1" s="5">
        <f>IFERROR(__xludf.DUMMYFUNCTION("""COMPUTED_VALUE"""),10.0)</f>
        <v>10</v>
      </c>
      <c r="C11" s="5">
        <f>IFERROR(__xludf.DUMMYFUNCTION("""COMPUTED_VALUE"""),9.0)</f>
        <v>9</v>
      </c>
      <c r="D11" s="5" t="str">
        <f>IFERROR(__xludf.DUMMYFUNCTION("""COMPUTED_VALUE"""),"MagicOfTheRing")</f>
        <v>MagicOfTheRing</v>
      </c>
      <c r="E11" s="5" t="str">
        <f>IFERROR(__xludf.DUMMYFUNCTION("""COMPUTED_VALUE"""),"Yes")</f>
        <v>Yes</v>
      </c>
      <c r="F11" s="5" t="str">
        <f>IFERROR(__xludf.DUMMYFUNCTION("""COMPUTED_VALUE"""),"Yes")</f>
        <v>Yes</v>
      </c>
      <c r="G11" s="5" t="str">
        <f>IFERROR(__xludf.DUMMYFUNCTION("""COMPUTED_VALUE"""),"Yes")</f>
        <v>Yes</v>
      </c>
      <c r="H11" s="5" t="str">
        <f>IFERROR(__xludf.DUMMYFUNCTION("""COMPUTED_VALUE"""),"Yes")</f>
        <v>Yes</v>
      </c>
      <c r="I11" s="5" t="str">
        <f>IFERROR(__xludf.DUMMYFUNCTION("""COMPUTED_VALUE"""),"Yes")</f>
        <v>Yes</v>
      </c>
      <c r="J11" s="5" t="str">
        <f>IFERROR(__xludf.DUMMYFUNCTION("""COMPUTED_VALUE"""),"Yes")</f>
        <v>Yes</v>
      </c>
      <c r="K11" s="5" t="str">
        <f>IFERROR(__xludf.DUMMYFUNCTION("""COMPUTED_VALUE"""),"Yes")</f>
        <v>Yes</v>
      </c>
      <c r="L11" s="5" t="str">
        <f>IFERROR(__xludf.DUMMYFUNCTION("""COMPUTED_VALUE"""),"Yes")</f>
        <v>Yes</v>
      </c>
      <c r="M11" s="5" t="str">
        <f>IFERROR(__xludf.DUMMYFUNCTION("""COMPUTED_VALUE"""),"Yes")</f>
        <v>Yes</v>
      </c>
      <c r="N11" s="5" t="str">
        <f>IFERROR(__xludf.DUMMYFUNCTION("""COMPUTED_VALUE"""),"Yes")</f>
        <v>Yes</v>
      </c>
      <c r="O11" s="5" t="str">
        <f>IFERROR(__xludf.DUMMYFUNCTION("""COMPUTED_VALUE"""),"Yes")</f>
        <v>Yes</v>
      </c>
      <c r="P11" s="5" t="str">
        <f>IFERROR(__xludf.DUMMYFUNCTION("""COMPUTED_VALUE"""),"Yes")</f>
        <v>Yes</v>
      </c>
      <c r="Q11" s="5" t="str">
        <f>IFERROR(__xludf.DUMMYFUNCTION("""COMPUTED_VALUE"""),"Yes")</f>
        <v>Yes</v>
      </c>
      <c r="R11" s="5" t="str">
        <f>IFERROR(__xludf.DUMMYFUNCTION("""COMPUTED_VALUE"""),"Yes")</f>
        <v>Yes</v>
      </c>
      <c r="S11" s="5" t="str">
        <f>IFERROR(__xludf.DUMMYFUNCTION("""COMPUTED_VALUE"""),"Yes")</f>
        <v>Yes</v>
      </c>
      <c r="T11" s="5" t="str">
        <f>IFERROR(__xludf.DUMMYFUNCTION("""COMPUTED_VALUE"""),"Yes")</f>
        <v>Yes</v>
      </c>
      <c r="U11" s="5" t="str">
        <f>IFERROR(__xludf.DUMMYFUNCTION("""COMPUTED_VALUE"""),"Yes")</f>
        <v>Yes</v>
      </c>
      <c r="V11" s="5" t="str">
        <f>IFERROR(__xludf.DUMMYFUNCTION("""COMPUTED_VALUE"""),"Yes")</f>
        <v>Yes</v>
      </c>
      <c r="W11" s="5" t="str">
        <f>IFERROR(__xludf.DUMMYFUNCTION("""COMPUTED_VALUE"""),"Yes")</f>
        <v>Yes</v>
      </c>
      <c r="X11" s="5" t="str">
        <f>IFERROR(__xludf.DUMMYFUNCTION("""COMPUTED_VALUE"""),"Yes")</f>
        <v>Yes</v>
      </c>
      <c r="Y11" s="5"/>
      <c r="Z11" s="5"/>
      <c r="AA11" s="5"/>
      <c r="AB11" s="5"/>
      <c r="AC11" s="5" t="str">
        <f>IFERROR(__xludf.DUMMYFUNCTION("""COMPUTED_VALUE"""),"Yes")</f>
        <v>Yes</v>
      </c>
      <c r="AD11" s="5"/>
      <c r="AE11" s="5"/>
      <c r="AF11" s="5"/>
      <c r="AG11" s="5"/>
      <c r="AH11" s="5"/>
      <c r="AI11" s="5"/>
      <c r="AJ11" s="5"/>
      <c r="AK11" s="5"/>
      <c r="AL11" s="5"/>
      <c r="AM11" s="5"/>
      <c r="AN11" s="5"/>
      <c r="AO11" s="5"/>
      <c r="AP11" s="5"/>
      <c r="AQ11" s="5"/>
      <c r="AR11" s="5"/>
      <c r="AS11" s="5"/>
      <c r="AT11" s="5"/>
      <c r="AU11" s="5"/>
      <c r="AV11" s="5"/>
      <c r="AW11" s="5"/>
      <c r="AX11" s="5"/>
      <c r="AY11" s="5"/>
    </row>
    <row r="12">
      <c r="A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 s="5">
        <f>IFERROR(__xludf.DUMMYFUNCTION("""COMPUTED_VALUE"""),11.0)</f>
        <v>11</v>
      </c>
      <c r="C12" s="5">
        <f>IFERROR(__xludf.DUMMYFUNCTION("""COMPUTED_VALUE"""),10.0)</f>
        <v>10</v>
      </c>
      <c r="D12" s="5" t="str">
        <f>IFERROR(__xludf.DUMMYFUNCTION("""COMPUTED_VALUE"""),"Hot777")</f>
        <v>Hot777</v>
      </c>
      <c r="E12" s="5" t="str">
        <f>IFERROR(__xludf.DUMMYFUNCTION("""COMPUTED_VALUE"""),"Yes")</f>
        <v>Yes</v>
      </c>
      <c r="F12" s="5" t="str">
        <f>IFERROR(__xludf.DUMMYFUNCTION("""COMPUTED_VALUE"""),"Yes")</f>
        <v>Yes</v>
      </c>
      <c r="G12" s="5" t="str">
        <f>IFERROR(__xludf.DUMMYFUNCTION("""COMPUTED_VALUE"""),"Yes")</f>
        <v>Yes</v>
      </c>
      <c r="H12" s="5" t="str">
        <f>IFERROR(__xludf.DUMMYFUNCTION("""COMPUTED_VALUE"""),"Yes")</f>
        <v>Yes</v>
      </c>
      <c r="I12" s="5" t="str">
        <f>IFERROR(__xludf.DUMMYFUNCTION("""COMPUTED_VALUE"""),"Yes")</f>
        <v>Yes</v>
      </c>
      <c r="J12" s="5" t="str">
        <f>IFERROR(__xludf.DUMMYFUNCTION("""COMPUTED_VALUE"""),"Yes")</f>
        <v>Yes</v>
      </c>
      <c r="K12" s="5" t="str">
        <f>IFERROR(__xludf.DUMMYFUNCTION("""COMPUTED_VALUE"""),"Yes")</f>
        <v>Yes</v>
      </c>
      <c r="L12" s="5" t="str">
        <f>IFERROR(__xludf.DUMMYFUNCTION("""COMPUTED_VALUE"""),"Yes")</f>
        <v>Yes</v>
      </c>
      <c r="M12" s="5" t="str">
        <f>IFERROR(__xludf.DUMMYFUNCTION("""COMPUTED_VALUE"""),"Yes")</f>
        <v>Yes</v>
      </c>
      <c r="N12" s="5" t="str">
        <f>IFERROR(__xludf.DUMMYFUNCTION("""COMPUTED_VALUE"""),"Yes")</f>
        <v>Yes</v>
      </c>
      <c r="O12" s="5" t="str">
        <f>IFERROR(__xludf.DUMMYFUNCTION("""COMPUTED_VALUE"""),"Yes")</f>
        <v>Yes</v>
      </c>
      <c r="P12" s="5" t="str">
        <f>IFERROR(__xludf.DUMMYFUNCTION("""COMPUTED_VALUE"""),"Yes")</f>
        <v>Yes</v>
      </c>
      <c r="Q12" s="5" t="str">
        <f>IFERROR(__xludf.DUMMYFUNCTION("""COMPUTED_VALUE"""),"Yes")</f>
        <v>Yes</v>
      </c>
      <c r="R12" s="5" t="str">
        <f>IFERROR(__xludf.DUMMYFUNCTION("""COMPUTED_VALUE"""),"Yes")</f>
        <v>Yes</v>
      </c>
      <c r="S12" s="5" t="str">
        <f>IFERROR(__xludf.DUMMYFUNCTION("""COMPUTED_VALUE"""),"Yes")</f>
        <v>Yes</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c r="Z12" s="5"/>
      <c r="AA12" s="5"/>
      <c r="AB12" s="5"/>
      <c r="AC12" s="5" t="str">
        <f>IFERROR(__xludf.DUMMYFUNCTION("""COMPUTED_VALUE"""),"Yes")</f>
        <v>Yes</v>
      </c>
      <c r="AD12" s="5"/>
      <c r="AE12" s="5"/>
      <c r="AF12" s="5"/>
      <c r="AG12" s="5"/>
      <c r="AH12" s="5"/>
      <c r="AI12" s="5"/>
      <c r="AJ12" s="5"/>
      <c r="AK12" s="5"/>
      <c r="AL12" s="5"/>
      <c r="AM12" s="5"/>
      <c r="AN12" s="5"/>
      <c r="AO12" s="5"/>
      <c r="AP12" s="5"/>
      <c r="AQ12" s="5"/>
      <c r="AR12" s="5"/>
      <c r="AS12" s="5"/>
      <c r="AT12" s="5"/>
      <c r="AU12" s="5"/>
      <c r="AV12" s="5"/>
      <c r="AW12" s="5"/>
      <c r="AX12" s="5"/>
      <c r="AY12" s="5"/>
    </row>
    <row r="13">
      <c r="A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3" s="5">
        <f>IFERROR(__xludf.DUMMYFUNCTION("""COMPUTED_VALUE"""),12.0)</f>
        <v>12</v>
      </c>
      <c r="C13" s="5">
        <f>IFERROR(__xludf.DUMMYFUNCTION("""COMPUTED_VALUE"""),11.0)</f>
        <v>11</v>
      </c>
      <c r="D13" s="5" t="str">
        <f>IFERROR(__xludf.DUMMYFUNCTION("""COMPUTED_VALUE"""),"MagicFruits")</f>
        <v>MagicFruits</v>
      </c>
      <c r="E13" s="5" t="str">
        <f>IFERROR(__xludf.DUMMYFUNCTION("""COMPUTED_VALUE"""),"Yes")</f>
        <v>Yes</v>
      </c>
      <c r="F13" s="5" t="str">
        <f>IFERROR(__xludf.DUMMYFUNCTION("""COMPUTED_VALUE"""),"Yes")</f>
        <v>Yes</v>
      </c>
      <c r="G13" s="5" t="str">
        <f>IFERROR(__xludf.DUMMYFUNCTION("""COMPUTED_VALUE"""),"Yes")</f>
        <v>Yes</v>
      </c>
      <c r="H13" s="5" t="str">
        <f>IFERROR(__xludf.DUMMYFUNCTION("""COMPUTED_VALUE"""),"Yes")</f>
        <v>Yes</v>
      </c>
      <c r="I13" s="5" t="str">
        <f>IFERROR(__xludf.DUMMYFUNCTION("""COMPUTED_VALUE"""),"Yes")</f>
        <v>Yes</v>
      </c>
      <c r="J13" s="5" t="str">
        <f>IFERROR(__xludf.DUMMYFUNCTION("""COMPUTED_VALUE"""),"Yes")</f>
        <v>Yes</v>
      </c>
      <c r="K13" s="5" t="str">
        <f>IFERROR(__xludf.DUMMYFUNCTION("""COMPUTED_VALUE"""),"Yes")</f>
        <v>Yes</v>
      </c>
      <c r="L13" s="5" t="str">
        <f>IFERROR(__xludf.DUMMYFUNCTION("""COMPUTED_VALUE"""),"Yes")</f>
        <v>Yes</v>
      </c>
      <c r="M13" s="5" t="str">
        <f>IFERROR(__xludf.DUMMYFUNCTION("""COMPUTED_VALUE"""),"Yes")</f>
        <v>Yes</v>
      </c>
      <c r="N13" s="5" t="str">
        <f>IFERROR(__xludf.DUMMYFUNCTION("""COMPUTED_VALUE"""),"Yes")</f>
        <v>Yes</v>
      </c>
      <c r="O13" s="5" t="str">
        <f>IFERROR(__xludf.DUMMYFUNCTION("""COMPUTED_VALUE"""),"Yes")</f>
        <v>Yes</v>
      </c>
      <c r="P13" s="5" t="str">
        <f>IFERROR(__xludf.DUMMYFUNCTION("""COMPUTED_VALUE"""),"Yes")</f>
        <v>Yes</v>
      </c>
      <c r="Q13" s="5" t="str">
        <f>IFERROR(__xludf.DUMMYFUNCTION("""COMPUTED_VALUE"""),"Yes")</f>
        <v>Yes</v>
      </c>
      <c r="R13" s="5" t="str">
        <f>IFERROR(__xludf.DUMMYFUNCTION("""COMPUTED_VALUE"""),"Yes")</f>
        <v>Yes</v>
      </c>
      <c r="S13" s="5" t="str">
        <f>IFERROR(__xludf.DUMMYFUNCTION("""COMPUTED_VALUE"""),"Yes")</f>
        <v>Yes</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c r="Z13" s="5"/>
      <c r="AA13" s="5"/>
      <c r="AB13" s="5"/>
      <c r="AC13" s="5" t="str">
        <f>IFERROR(__xludf.DUMMYFUNCTION("""COMPUTED_VALUE"""),"Yes")</f>
        <v>Yes</v>
      </c>
      <c r="AD13" s="5"/>
      <c r="AE13" s="5"/>
      <c r="AF13" s="5"/>
      <c r="AG13" s="5"/>
      <c r="AH13" s="5"/>
      <c r="AI13" s="5"/>
      <c r="AJ13" s="5"/>
      <c r="AK13" s="5"/>
      <c r="AL13" s="5"/>
      <c r="AM13" s="5"/>
      <c r="AN13" s="5"/>
      <c r="AO13" s="5"/>
      <c r="AP13" s="5"/>
      <c r="AQ13" s="5"/>
      <c r="AR13" s="5"/>
      <c r="AS13" s="5"/>
      <c r="AT13" s="5"/>
      <c r="AU13" s="5"/>
      <c r="AV13" s="5"/>
      <c r="AW13" s="5"/>
      <c r="AX13" s="5"/>
      <c r="AY13" s="5"/>
    </row>
    <row r="14">
      <c r="A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 s="5">
        <f>IFERROR(__xludf.DUMMYFUNCTION("""COMPUTED_VALUE"""),13.0)</f>
        <v>13</v>
      </c>
      <c r="C14" s="5">
        <f>IFERROR(__xludf.DUMMYFUNCTION("""COMPUTED_VALUE"""),12.0)</f>
        <v>12</v>
      </c>
      <c r="D14" s="5" t="str">
        <f>IFERROR(__xludf.DUMMYFUNCTION("""COMPUTED_VALUE"""),"Spellbook")</f>
        <v>Spellbook</v>
      </c>
      <c r="E14" s="5" t="str">
        <f>IFERROR(__xludf.DUMMYFUNCTION("""COMPUTED_VALUE"""),"Yes")</f>
        <v>Yes</v>
      </c>
      <c r="F14" s="5" t="str">
        <f>IFERROR(__xludf.DUMMYFUNCTION("""COMPUTED_VALUE"""),"Yes")</f>
        <v>Yes</v>
      </c>
      <c r="G14" s="5" t="str">
        <f>IFERROR(__xludf.DUMMYFUNCTION("""COMPUTED_VALUE"""),"Yes")</f>
        <v>Yes</v>
      </c>
      <c r="H14" s="5" t="str">
        <f>IFERROR(__xludf.DUMMYFUNCTION("""COMPUTED_VALUE"""),"Yes")</f>
        <v>Yes</v>
      </c>
      <c r="I14" s="5" t="str">
        <f>IFERROR(__xludf.DUMMYFUNCTION("""COMPUTED_VALUE"""),"Yes")</f>
        <v>Yes</v>
      </c>
      <c r="J14" s="5" t="str">
        <f>IFERROR(__xludf.DUMMYFUNCTION("""COMPUTED_VALUE"""),"Yes")</f>
        <v>Yes</v>
      </c>
      <c r="K14" s="5" t="str">
        <f>IFERROR(__xludf.DUMMYFUNCTION("""COMPUTED_VALUE"""),"Yes")</f>
        <v>Yes</v>
      </c>
      <c r="L14" s="5" t="str">
        <f>IFERROR(__xludf.DUMMYFUNCTION("""COMPUTED_VALUE"""),"Yes")</f>
        <v>Yes</v>
      </c>
      <c r="M14" s="5" t="str">
        <f>IFERROR(__xludf.DUMMYFUNCTION("""COMPUTED_VALUE"""),"Yes")</f>
        <v>Yes</v>
      </c>
      <c r="N14" s="5" t="str">
        <f>IFERROR(__xludf.DUMMYFUNCTION("""COMPUTED_VALUE"""),"Yes")</f>
        <v>Yes</v>
      </c>
      <c r="O14" s="5" t="str">
        <f>IFERROR(__xludf.DUMMYFUNCTION("""COMPUTED_VALUE"""),"Yes")</f>
        <v>Yes</v>
      </c>
      <c r="P14" s="5" t="str">
        <f>IFERROR(__xludf.DUMMYFUNCTION("""COMPUTED_VALUE"""),"Yes")</f>
        <v>Yes</v>
      </c>
      <c r="Q14" s="5" t="str">
        <f>IFERROR(__xludf.DUMMYFUNCTION("""COMPUTED_VALUE"""),"Yes")</f>
        <v>Yes</v>
      </c>
      <c r="R14" s="5" t="str">
        <f>IFERROR(__xludf.DUMMYFUNCTION("""COMPUTED_VALUE"""),"Yes")</f>
        <v>Yes</v>
      </c>
      <c r="S14" s="5" t="str">
        <f>IFERROR(__xludf.DUMMYFUNCTION("""COMPUTED_VALUE"""),"Yes")</f>
        <v>Yes</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IFERROR(__xludf.DUMMYFUNCTION("""COMPUTED_VALUE"""),"No")</f>
        <v>No</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IFERROR(__xludf.DUMMYFUNCTION("""COMPUTED_VALUE"""),"No")</f>
        <v>No</v>
      </c>
      <c r="AF14" s="5" t="str">
        <f>IFERROR(__xludf.DUMMYFUNCTION("""COMPUTED_VALUE"""),"Yes")</f>
        <v>Yes</v>
      </c>
      <c r="AG14" s="5" t="str">
        <f>IFERROR(__xludf.DUMMYFUNCTION("""COMPUTED_VALUE"""),"No")</f>
        <v>No</v>
      </c>
      <c r="AH14" s="5" t="str">
        <f>IFERROR(__xludf.DUMMYFUNCTION("""COMPUTED_VALUE"""),"No")</f>
        <v>No</v>
      </c>
      <c r="AI14" s="5" t="str">
        <f>IFERROR(__xludf.DUMMYFUNCTION("""COMPUTED_VALUE"""),"No")</f>
        <v>No</v>
      </c>
      <c r="AJ14" s="5" t="str">
        <f>IFERROR(__xludf.DUMMYFUNCTION("""COMPUTED_VALUE"""),"No")</f>
        <v>No</v>
      </c>
      <c r="AK14" s="5" t="str">
        <f>IFERROR(__xludf.DUMMYFUNCTION("""COMPUTED_VALUE"""),"No")</f>
        <v>No</v>
      </c>
      <c r="AL14" s="5" t="str">
        <f>IFERROR(__xludf.DUMMYFUNCTION("""COMPUTED_VALUE"""),"No")</f>
        <v>No</v>
      </c>
      <c r="AM14" s="5"/>
      <c r="AN14" s="5"/>
      <c r="AO14" s="5"/>
      <c r="AP14" s="5"/>
      <c r="AQ14" s="5"/>
      <c r="AR14" s="5"/>
      <c r="AS14" s="5"/>
      <c r="AT14" s="5"/>
      <c r="AU14" s="5"/>
      <c r="AV14" s="5"/>
      <c r="AW14" s="5"/>
      <c r="AX14" s="5"/>
      <c r="AY14" s="5"/>
    </row>
    <row r="15">
      <c r="A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 s="5">
        <f>IFERROR(__xludf.DUMMYFUNCTION("""COMPUTED_VALUE"""),14.0)</f>
        <v>14</v>
      </c>
      <c r="C15" s="5">
        <f>IFERROR(__xludf.DUMMYFUNCTION("""COMPUTED_VALUE"""),13.0)</f>
        <v>13</v>
      </c>
      <c r="D15" s="5" t="str">
        <f>IFERROR(__xludf.DUMMYFUNCTION("""COMPUTED_VALUE"""),"WildWest")</f>
        <v>WildWest</v>
      </c>
      <c r="E15" s="5" t="str">
        <f>IFERROR(__xludf.DUMMYFUNCTION("""COMPUTED_VALUE"""),"Yes")</f>
        <v>Yes</v>
      </c>
      <c r="F15" s="5" t="str">
        <f>IFERROR(__xludf.DUMMYFUNCTION("""COMPUTED_VALUE"""),"Yes")</f>
        <v>Yes</v>
      </c>
      <c r="G15" s="5" t="str">
        <f>IFERROR(__xludf.DUMMYFUNCTION("""COMPUTED_VALUE"""),"Yes")</f>
        <v>Yes</v>
      </c>
      <c r="H15" s="5" t="str">
        <f>IFERROR(__xludf.DUMMYFUNCTION("""COMPUTED_VALUE"""),"Yes")</f>
        <v>Yes</v>
      </c>
      <c r="I15" s="5" t="str">
        <f>IFERROR(__xludf.DUMMYFUNCTION("""COMPUTED_VALUE"""),"Yes")</f>
        <v>Yes</v>
      </c>
      <c r="J15" s="5" t="str">
        <f>IFERROR(__xludf.DUMMYFUNCTION("""COMPUTED_VALUE"""),"Yes")</f>
        <v>Yes</v>
      </c>
      <c r="K15" s="5" t="str">
        <f>IFERROR(__xludf.DUMMYFUNCTION("""COMPUTED_VALUE"""),"Yes")</f>
        <v>Yes</v>
      </c>
      <c r="L15" s="5" t="str">
        <f>IFERROR(__xludf.DUMMYFUNCTION("""COMPUTED_VALUE"""),"Yes")</f>
        <v>Yes</v>
      </c>
      <c r="M15" s="5" t="str">
        <f>IFERROR(__xludf.DUMMYFUNCTION("""COMPUTED_VALUE"""),"Yes")</f>
        <v>Yes</v>
      </c>
      <c r="N15" s="5" t="str">
        <f>IFERROR(__xludf.DUMMYFUNCTION("""COMPUTED_VALUE"""),"Yes")</f>
        <v>Yes</v>
      </c>
      <c r="O15" s="5" t="str">
        <f>IFERROR(__xludf.DUMMYFUNCTION("""COMPUTED_VALUE"""),"Yes")</f>
        <v>Yes</v>
      </c>
      <c r="P15" s="5" t="str">
        <f>IFERROR(__xludf.DUMMYFUNCTION("""COMPUTED_VALUE"""),"Yes")</f>
        <v>Yes</v>
      </c>
      <c r="Q15" s="5" t="str">
        <f>IFERROR(__xludf.DUMMYFUNCTION("""COMPUTED_VALUE"""),"Yes")</f>
        <v>Yes</v>
      </c>
      <c r="R15" s="5" t="str">
        <f>IFERROR(__xludf.DUMMYFUNCTION("""COMPUTED_VALUE"""),"Yes")</f>
        <v>Yes</v>
      </c>
      <c r="S15" s="5" t="str">
        <f>IFERROR(__xludf.DUMMYFUNCTION("""COMPUTED_VALUE"""),"Yes")</f>
        <v>Yes</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IFERROR(__xludf.DUMMYFUNCTION("""COMPUTED_VALUE"""),"No")</f>
        <v>No</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IFERROR(__xludf.DUMMYFUNCTION("""COMPUTED_VALUE"""),"No")</f>
        <v>No</v>
      </c>
      <c r="AF15" s="5" t="str">
        <f>IFERROR(__xludf.DUMMYFUNCTION("""COMPUTED_VALUE"""),"Yes")</f>
        <v>Yes</v>
      </c>
      <c r="AG15" s="5" t="str">
        <f>IFERROR(__xludf.DUMMYFUNCTION("""COMPUTED_VALUE"""),"No")</f>
        <v>No</v>
      </c>
      <c r="AH15" s="5" t="str">
        <f>IFERROR(__xludf.DUMMYFUNCTION("""COMPUTED_VALUE"""),"No")</f>
        <v>No</v>
      </c>
      <c r="AI15" s="5" t="str">
        <f>IFERROR(__xludf.DUMMYFUNCTION("""COMPUTED_VALUE"""),"No")</f>
        <v>No</v>
      </c>
      <c r="AJ15" s="5" t="str">
        <f>IFERROR(__xludf.DUMMYFUNCTION("""COMPUTED_VALUE"""),"No")</f>
        <v>No</v>
      </c>
      <c r="AK15" s="5" t="str">
        <f>IFERROR(__xludf.DUMMYFUNCTION("""COMPUTED_VALUE"""),"No")</f>
        <v>No</v>
      </c>
      <c r="AL15" s="5" t="str">
        <f>IFERROR(__xludf.DUMMYFUNCTION("""COMPUTED_VALUE"""),"No")</f>
        <v>No</v>
      </c>
      <c r="AM15" s="5"/>
      <c r="AN15" s="5"/>
      <c r="AO15" s="5"/>
      <c r="AP15" s="5"/>
      <c r="AQ15" s="5"/>
      <c r="AR15" s="5"/>
      <c r="AS15" s="5"/>
      <c r="AT15" s="5"/>
      <c r="AU15" s="5"/>
      <c r="AV15" s="5"/>
      <c r="AW15" s="5"/>
      <c r="AX15" s="5"/>
      <c r="AY15" s="5"/>
    </row>
    <row r="16">
      <c r="A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6" s="5">
        <f>IFERROR(__xludf.DUMMYFUNCTION("""COMPUTED_VALUE"""),15.0)</f>
        <v>15</v>
      </c>
      <c r="C16" s="5">
        <f>IFERROR(__xludf.DUMMYFUNCTION("""COMPUTED_VALUE"""),14.0)</f>
        <v>14</v>
      </c>
      <c r="D16" s="5" t="str">
        <f>IFERROR(__xludf.DUMMYFUNCTION("""COMPUTED_VALUE"""),"RollingDices81")</f>
        <v>RollingDices81</v>
      </c>
      <c r="E16" s="5" t="str">
        <f>IFERROR(__xludf.DUMMYFUNCTION("""COMPUTED_VALUE"""),"Yes")</f>
        <v>Yes</v>
      </c>
      <c r="F16" s="5" t="str">
        <f>IFERROR(__xludf.DUMMYFUNCTION("""COMPUTED_VALUE"""),"Yes")</f>
        <v>Yes</v>
      </c>
      <c r="G16" s="5" t="str">
        <f>IFERROR(__xludf.DUMMYFUNCTION("""COMPUTED_VALUE"""),"Yes")</f>
        <v>Yes</v>
      </c>
      <c r="H16" s="5" t="str">
        <f>IFERROR(__xludf.DUMMYFUNCTION("""COMPUTED_VALUE"""),"Yes")</f>
        <v>Yes</v>
      </c>
      <c r="I16" s="5" t="str">
        <f>IFERROR(__xludf.DUMMYFUNCTION("""COMPUTED_VALUE"""),"Yes")</f>
        <v>Yes</v>
      </c>
      <c r="J16" s="5" t="str">
        <f>IFERROR(__xludf.DUMMYFUNCTION("""COMPUTED_VALUE"""),"Yes")</f>
        <v>Yes</v>
      </c>
      <c r="K16" s="5" t="str">
        <f>IFERROR(__xludf.DUMMYFUNCTION("""COMPUTED_VALUE"""),"Yes")</f>
        <v>Yes</v>
      </c>
      <c r="L16" s="5" t="str">
        <f>IFERROR(__xludf.DUMMYFUNCTION("""COMPUTED_VALUE"""),"Yes")</f>
        <v>Yes</v>
      </c>
      <c r="M16" s="5" t="str">
        <f>IFERROR(__xludf.DUMMYFUNCTION("""COMPUTED_VALUE"""),"Yes")</f>
        <v>Yes</v>
      </c>
      <c r="N16" s="5" t="str">
        <f>IFERROR(__xludf.DUMMYFUNCTION("""COMPUTED_VALUE"""),"Yes")</f>
        <v>Yes</v>
      </c>
      <c r="O16" s="5" t="str">
        <f>IFERROR(__xludf.DUMMYFUNCTION("""COMPUTED_VALUE"""),"Yes")</f>
        <v>Yes</v>
      </c>
      <c r="P16" s="5" t="str">
        <f>IFERROR(__xludf.DUMMYFUNCTION("""COMPUTED_VALUE"""),"Yes")</f>
        <v>Yes</v>
      </c>
      <c r="Q16" s="5" t="str">
        <f>IFERROR(__xludf.DUMMYFUNCTION("""COMPUTED_VALUE"""),"Yes")</f>
        <v>Yes</v>
      </c>
      <c r="R16" s="5" t="str">
        <f>IFERROR(__xludf.DUMMYFUNCTION("""COMPUTED_VALUE"""),"Yes")</f>
        <v>Yes</v>
      </c>
      <c r="S16" s="5" t="str">
        <f>IFERROR(__xludf.DUMMYFUNCTION("""COMPUTED_VALUE"""),"Yes")</f>
        <v>Yes</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c r="Z16" s="5"/>
      <c r="AA16" s="5"/>
      <c r="AB16" s="5"/>
      <c r="AC16" s="5" t="str">
        <f>IFERROR(__xludf.DUMMYFUNCTION("""COMPUTED_VALUE"""),"Yes")</f>
        <v>Yes</v>
      </c>
      <c r="AD16" s="5"/>
      <c r="AE16" s="5"/>
      <c r="AF16" s="5"/>
      <c r="AG16" s="5"/>
      <c r="AH16" s="5"/>
      <c r="AI16" s="5"/>
      <c r="AJ16" s="5"/>
      <c r="AK16" s="5"/>
      <c r="AL16" s="5"/>
      <c r="AM16" s="5"/>
      <c r="AN16" s="5"/>
      <c r="AO16" s="5"/>
      <c r="AP16" s="5"/>
      <c r="AQ16" s="5"/>
      <c r="AR16" s="5"/>
      <c r="AS16" s="5"/>
      <c r="AT16" s="5"/>
      <c r="AU16" s="5"/>
      <c r="AV16" s="5"/>
      <c r="AW16" s="5"/>
      <c r="AX16" s="5"/>
      <c r="AY16" s="5"/>
    </row>
    <row r="17">
      <c r="A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 s="5">
        <f>IFERROR(__xludf.DUMMYFUNCTION("""COMPUTED_VALUE"""),16.0)</f>
        <v>16</v>
      </c>
      <c r="C17" s="5">
        <f>IFERROR(__xludf.DUMMYFUNCTION("""COMPUTED_VALUE"""),15.0)</f>
        <v>15</v>
      </c>
      <c r="D17" s="5" t="str">
        <f>IFERROR(__xludf.DUMMYFUNCTION("""COMPUTED_VALUE"""),"Pyramid")</f>
        <v>Pyramid</v>
      </c>
      <c r="E17" s="5" t="str">
        <f>IFERROR(__xludf.DUMMYFUNCTION("""COMPUTED_VALUE"""),"Yes")</f>
        <v>Yes</v>
      </c>
      <c r="F17" s="5" t="str">
        <f>IFERROR(__xludf.DUMMYFUNCTION("""COMPUTED_VALUE"""),"Yes")</f>
        <v>Yes</v>
      </c>
      <c r="G17" s="5" t="str">
        <f>IFERROR(__xludf.DUMMYFUNCTION("""COMPUTED_VALUE"""),"Yes")</f>
        <v>Yes</v>
      </c>
      <c r="H17" s="5" t="str">
        <f>IFERROR(__xludf.DUMMYFUNCTION("""COMPUTED_VALUE"""),"Yes")</f>
        <v>Yes</v>
      </c>
      <c r="I17" s="5" t="str">
        <f>IFERROR(__xludf.DUMMYFUNCTION("""COMPUTED_VALUE"""),"Yes")</f>
        <v>Yes</v>
      </c>
      <c r="J17" s="5" t="str">
        <f>IFERROR(__xludf.DUMMYFUNCTION("""COMPUTED_VALUE"""),"Yes")</f>
        <v>Yes</v>
      </c>
      <c r="K17" s="5" t="str">
        <f>IFERROR(__xludf.DUMMYFUNCTION("""COMPUTED_VALUE"""),"Yes")</f>
        <v>Yes</v>
      </c>
      <c r="L17" s="5" t="str">
        <f>IFERROR(__xludf.DUMMYFUNCTION("""COMPUTED_VALUE"""),"Yes")</f>
        <v>Yes</v>
      </c>
      <c r="M17" s="5" t="str">
        <f>IFERROR(__xludf.DUMMYFUNCTION("""COMPUTED_VALUE"""),"Yes")</f>
        <v>Yes</v>
      </c>
      <c r="N17" s="5" t="str">
        <f>IFERROR(__xludf.DUMMYFUNCTION("""COMPUTED_VALUE"""),"Yes")</f>
        <v>Yes</v>
      </c>
      <c r="O17" s="5" t="str">
        <f>IFERROR(__xludf.DUMMYFUNCTION("""COMPUTED_VALUE"""),"Yes")</f>
        <v>Yes</v>
      </c>
      <c r="P17" s="5" t="str">
        <f>IFERROR(__xludf.DUMMYFUNCTION("""COMPUTED_VALUE"""),"Yes")</f>
        <v>Yes</v>
      </c>
      <c r="Q17" s="5" t="str">
        <f>IFERROR(__xludf.DUMMYFUNCTION("""COMPUTED_VALUE"""),"Yes")</f>
        <v>Yes</v>
      </c>
      <c r="R17" s="5" t="str">
        <f>IFERROR(__xludf.DUMMYFUNCTION("""COMPUTED_VALUE"""),"Yes")</f>
        <v>Yes</v>
      </c>
      <c r="S17" s="5" t="str">
        <f>IFERROR(__xludf.DUMMYFUNCTION("""COMPUTED_VALUE"""),"Yes")</f>
        <v>Yes</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IFERROR(__xludf.DUMMYFUNCTION("""COMPUTED_VALUE"""),"No")</f>
        <v>No</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IFERROR(__xludf.DUMMYFUNCTION("""COMPUTED_VALUE"""),"No")</f>
        <v>No</v>
      </c>
      <c r="AF17" s="5" t="str">
        <f>IFERROR(__xludf.DUMMYFUNCTION("""COMPUTED_VALUE"""),"Yes")</f>
        <v>Yes</v>
      </c>
      <c r="AG17" s="5" t="str">
        <f>IFERROR(__xludf.DUMMYFUNCTION("""COMPUTED_VALUE"""),"No")</f>
        <v>No</v>
      </c>
      <c r="AH17" s="5" t="str">
        <f>IFERROR(__xludf.DUMMYFUNCTION("""COMPUTED_VALUE"""),"No")</f>
        <v>No</v>
      </c>
      <c r="AI17" s="5" t="str">
        <f>IFERROR(__xludf.DUMMYFUNCTION("""COMPUTED_VALUE"""),"No")</f>
        <v>No</v>
      </c>
      <c r="AJ17" s="5" t="str">
        <f>IFERROR(__xludf.DUMMYFUNCTION("""COMPUTED_VALUE"""),"No")</f>
        <v>No</v>
      </c>
      <c r="AK17" s="5" t="str">
        <f>IFERROR(__xludf.DUMMYFUNCTION("""COMPUTED_VALUE"""),"No")</f>
        <v>No</v>
      </c>
      <c r="AL17" s="5" t="str">
        <f>IFERROR(__xludf.DUMMYFUNCTION("""COMPUTED_VALUE"""),"No")</f>
        <v>No</v>
      </c>
      <c r="AM17" s="5"/>
      <c r="AN17" s="5"/>
      <c r="AO17" s="5"/>
      <c r="AP17" s="5"/>
      <c r="AQ17" s="5"/>
      <c r="AR17" s="5"/>
      <c r="AS17" s="5"/>
      <c r="AT17" s="5"/>
      <c r="AU17" s="5"/>
      <c r="AV17" s="5"/>
      <c r="AW17" s="5"/>
      <c r="AX17" s="5"/>
      <c r="AY17" s="5"/>
    </row>
    <row r="18">
      <c r="A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 s="5">
        <f>IFERROR(__xludf.DUMMYFUNCTION("""COMPUTED_VALUE"""),17.0)</f>
        <v>17</v>
      </c>
      <c r="C18" s="5">
        <f>IFERROR(__xludf.DUMMYFUNCTION("""COMPUTED_VALUE"""),16.0)</f>
        <v>16</v>
      </c>
      <c r="D18" s="5" t="str">
        <f>IFERROR(__xludf.DUMMYFUNCTION("""COMPUTED_VALUE"""),"Roulette")</f>
        <v>Roulette</v>
      </c>
      <c r="E18" s="5" t="str">
        <f>IFERROR(__xludf.DUMMYFUNCTION("""COMPUTED_VALUE"""),"Yes")</f>
        <v>Yes</v>
      </c>
      <c r="F18" s="5" t="str">
        <f>IFERROR(__xludf.DUMMYFUNCTION("""COMPUTED_VALUE"""),"Yes")</f>
        <v>Yes</v>
      </c>
      <c r="G18" s="5" t="str">
        <f>IFERROR(__xludf.DUMMYFUNCTION("""COMPUTED_VALUE"""),"Yes")</f>
        <v>Yes</v>
      </c>
      <c r="H18" s="5" t="str">
        <f>IFERROR(__xludf.DUMMYFUNCTION("""COMPUTED_VALUE"""),"Yes")</f>
        <v>Yes</v>
      </c>
      <c r="I18" s="5" t="str">
        <f>IFERROR(__xludf.DUMMYFUNCTION("""COMPUTED_VALUE"""),"Yes")</f>
        <v>Yes</v>
      </c>
      <c r="J18" s="5" t="str">
        <f>IFERROR(__xludf.DUMMYFUNCTION("""COMPUTED_VALUE"""),"Yes")</f>
        <v>Yes</v>
      </c>
      <c r="K18" s="5" t="str">
        <f>IFERROR(__xludf.DUMMYFUNCTION("""COMPUTED_VALUE"""),"Yes")</f>
        <v>Yes</v>
      </c>
      <c r="L18" s="5" t="str">
        <f>IFERROR(__xludf.DUMMYFUNCTION("""COMPUTED_VALUE"""),"Yes")</f>
        <v>Yes</v>
      </c>
      <c r="M18" s="5" t="str">
        <f>IFERROR(__xludf.DUMMYFUNCTION("""COMPUTED_VALUE"""),"Yes")</f>
        <v>Yes</v>
      </c>
      <c r="N18" s="5" t="str">
        <f>IFERROR(__xludf.DUMMYFUNCTION("""COMPUTED_VALUE"""),"Yes")</f>
        <v>Yes</v>
      </c>
      <c r="O18" s="5" t="str">
        <f>IFERROR(__xludf.DUMMYFUNCTION("""COMPUTED_VALUE"""),"Yes")</f>
        <v>Yes</v>
      </c>
      <c r="P18" s="5" t="str">
        <f>IFERROR(__xludf.DUMMYFUNCTION("""COMPUTED_VALUE"""),"Yes")</f>
        <v>Yes</v>
      </c>
      <c r="Q18" s="5" t="str">
        <f>IFERROR(__xludf.DUMMYFUNCTION("""COMPUTED_VALUE"""),"Yes")</f>
        <v>Yes</v>
      </c>
      <c r="R18" s="5" t="str">
        <f>IFERROR(__xludf.DUMMYFUNCTION("""COMPUTED_VALUE"""),"Yes")</f>
        <v>Yes</v>
      </c>
      <c r="S18" s="5" t="str">
        <f>IFERROR(__xludf.DUMMYFUNCTION("""COMPUTED_VALUE"""),"Yes")</f>
        <v>Yes</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IFERROR(__xludf.DUMMYFUNCTION("""COMPUTED_VALUE"""),"No")</f>
        <v>No</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IFERROR(__xludf.DUMMYFUNCTION("""COMPUTED_VALUE"""),"No")</f>
        <v>No</v>
      </c>
      <c r="AF18" s="5" t="str">
        <f>IFERROR(__xludf.DUMMYFUNCTION("""COMPUTED_VALUE"""),"Yes")</f>
        <v>Yes</v>
      </c>
      <c r="AG18" s="5" t="str">
        <f>IFERROR(__xludf.DUMMYFUNCTION("""COMPUTED_VALUE"""),"No")</f>
        <v>No</v>
      </c>
      <c r="AH18" s="5" t="str">
        <f>IFERROR(__xludf.DUMMYFUNCTION("""COMPUTED_VALUE"""),"No")</f>
        <v>No</v>
      </c>
      <c r="AI18" s="5" t="str">
        <f>IFERROR(__xludf.DUMMYFUNCTION("""COMPUTED_VALUE"""),"No")</f>
        <v>No</v>
      </c>
      <c r="AJ18" s="5" t="str">
        <f>IFERROR(__xludf.DUMMYFUNCTION("""COMPUTED_VALUE"""),"No")</f>
        <v>No</v>
      </c>
      <c r="AK18" s="5" t="str">
        <f>IFERROR(__xludf.DUMMYFUNCTION("""COMPUTED_VALUE"""),"No")</f>
        <v>No</v>
      </c>
      <c r="AL18" s="5" t="str">
        <f>IFERROR(__xludf.DUMMYFUNCTION("""COMPUTED_VALUE"""),"No")</f>
        <v>No</v>
      </c>
      <c r="AM18" s="5"/>
      <c r="AN18" s="5"/>
      <c r="AO18" s="5"/>
      <c r="AP18" s="5"/>
      <c r="AQ18" s="5"/>
      <c r="AR18" s="5"/>
      <c r="AS18" s="5"/>
      <c r="AT18" s="5"/>
      <c r="AU18" s="5"/>
      <c r="AV18" s="5"/>
      <c r="AW18" s="5"/>
      <c r="AX18" s="5"/>
      <c r="AY18" s="5"/>
    </row>
    <row r="19">
      <c r="A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 s="5">
        <f>IFERROR(__xludf.DUMMYFUNCTION("""COMPUTED_VALUE"""),18.0)</f>
        <v>18</v>
      </c>
      <c r="C19" s="5">
        <f>IFERROR(__xludf.DUMMYFUNCTION("""COMPUTED_VALUE"""),17.0)</f>
        <v>17</v>
      </c>
      <c r="D19" s="5" t="str">
        <f>IFERROR(__xludf.DUMMYFUNCTION("""COMPUTED_VALUE"""),"JollyPoker")</f>
        <v>JollyPoker</v>
      </c>
      <c r="E19" s="5" t="str">
        <f>IFERROR(__xludf.DUMMYFUNCTION("""COMPUTED_VALUE"""),"Yes")</f>
        <v>Yes</v>
      </c>
      <c r="F19" s="5" t="str">
        <f>IFERROR(__xludf.DUMMYFUNCTION("""COMPUTED_VALUE"""),"Yes")</f>
        <v>Yes</v>
      </c>
      <c r="G19" s="5" t="str">
        <f>IFERROR(__xludf.DUMMYFUNCTION("""COMPUTED_VALUE"""),"Yes")</f>
        <v>Yes</v>
      </c>
      <c r="H19" s="5" t="str">
        <f>IFERROR(__xludf.DUMMYFUNCTION("""COMPUTED_VALUE"""),"Yes")</f>
        <v>Yes</v>
      </c>
      <c r="I19" s="5" t="str">
        <f>IFERROR(__xludf.DUMMYFUNCTION("""COMPUTED_VALUE"""),"Yes")</f>
        <v>Yes</v>
      </c>
      <c r="J19" s="5" t="str">
        <f>IFERROR(__xludf.DUMMYFUNCTION("""COMPUTED_VALUE"""),"Yes")</f>
        <v>Yes</v>
      </c>
      <c r="K19" s="5" t="str">
        <f>IFERROR(__xludf.DUMMYFUNCTION("""COMPUTED_VALUE"""),"Yes")</f>
        <v>Yes</v>
      </c>
      <c r="L19" s="5" t="str">
        <f>IFERROR(__xludf.DUMMYFUNCTION("""COMPUTED_VALUE"""),"Yes")</f>
        <v>Yes</v>
      </c>
      <c r="M19" s="5" t="str">
        <f>IFERROR(__xludf.DUMMYFUNCTION("""COMPUTED_VALUE"""),"Yes")</f>
        <v>Yes</v>
      </c>
      <c r="N19" s="5" t="str">
        <f>IFERROR(__xludf.DUMMYFUNCTION("""COMPUTED_VALUE"""),"Yes")</f>
        <v>Yes</v>
      </c>
      <c r="O19" s="5" t="str">
        <f>IFERROR(__xludf.DUMMYFUNCTION("""COMPUTED_VALUE"""),"Yes")</f>
        <v>Yes</v>
      </c>
      <c r="P19" s="5" t="str">
        <f>IFERROR(__xludf.DUMMYFUNCTION("""COMPUTED_VALUE"""),"Yes")</f>
        <v>Yes</v>
      </c>
      <c r="Q19" s="5" t="str">
        <f>IFERROR(__xludf.DUMMYFUNCTION("""COMPUTED_VALUE"""),"Yes")</f>
        <v>Yes</v>
      </c>
      <c r="R19" s="5" t="str">
        <f>IFERROR(__xludf.DUMMYFUNCTION("""COMPUTED_VALUE"""),"Yes")</f>
        <v>Yes</v>
      </c>
      <c r="S19" s="5" t="str">
        <f>IFERROR(__xludf.DUMMYFUNCTION("""COMPUTED_VALUE"""),"Yes")</f>
        <v>Yes</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IFERROR(__xludf.DUMMYFUNCTION("""COMPUTED_VALUE"""),"No")</f>
        <v>No</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IFERROR(__xludf.DUMMYFUNCTION("""COMPUTED_VALUE"""),"No")</f>
        <v>No</v>
      </c>
      <c r="AF19" s="5" t="str">
        <f>IFERROR(__xludf.DUMMYFUNCTION("""COMPUTED_VALUE"""),"Yes")</f>
        <v>Yes</v>
      </c>
      <c r="AG19" s="5" t="str">
        <f>IFERROR(__xludf.DUMMYFUNCTION("""COMPUTED_VALUE"""),"No")</f>
        <v>No</v>
      </c>
      <c r="AH19" s="5" t="str">
        <f>IFERROR(__xludf.DUMMYFUNCTION("""COMPUTED_VALUE"""),"No")</f>
        <v>No</v>
      </c>
      <c r="AI19" s="5" t="str">
        <f>IFERROR(__xludf.DUMMYFUNCTION("""COMPUTED_VALUE"""),"No")</f>
        <v>No</v>
      </c>
      <c r="AJ19" s="5" t="str">
        <f>IFERROR(__xludf.DUMMYFUNCTION("""COMPUTED_VALUE"""),"No")</f>
        <v>No</v>
      </c>
      <c r="AK19" s="5" t="str">
        <f>IFERROR(__xludf.DUMMYFUNCTION("""COMPUTED_VALUE"""),"No")</f>
        <v>No</v>
      </c>
      <c r="AL19" s="5" t="str">
        <f>IFERROR(__xludf.DUMMYFUNCTION("""COMPUTED_VALUE"""),"No")</f>
        <v>No</v>
      </c>
      <c r="AM19" s="5"/>
      <c r="AN19" s="5"/>
      <c r="AO19" s="5"/>
      <c r="AP19" s="5"/>
      <c r="AQ19" s="5"/>
      <c r="AR19" s="5"/>
      <c r="AS19" s="5"/>
      <c r="AT19" s="5"/>
      <c r="AU19" s="5"/>
      <c r="AV19" s="5"/>
      <c r="AW19" s="5"/>
      <c r="AX19" s="5"/>
      <c r="AY19" s="5"/>
    </row>
    <row r="20">
      <c r="A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 s="5">
        <f>IFERROR(__xludf.DUMMYFUNCTION("""COMPUTED_VALUE"""),19.0)</f>
        <v>19</v>
      </c>
      <c r="C20" s="5">
        <f>IFERROR(__xludf.DUMMYFUNCTION("""COMPUTED_VALUE"""),18.0)</f>
        <v>18</v>
      </c>
      <c r="D20" s="5" t="str">
        <f>IFERROR(__xludf.DUMMYFUNCTION("""COMPUTED_VALUE"""),"Alpinist")</f>
        <v>Alpinist</v>
      </c>
      <c r="E20" s="5" t="str">
        <f>IFERROR(__xludf.DUMMYFUNCTION("""COMPUTED_VALUE"""),"Yes")</f>
        <v>Yes</v>
      </c>
      <c r="F20" s="5" t="str">
        <f>IFERROR(__xludf.DUMMYFUNCTION("""COMPUTED_VALUE"""),"Yes")</f>
        <v>Yes</v>
      </c>
      <c r="G20" s="5" t="str">
        <f>IFERROR(__xludf.DUMMYFUNCTION("""COMPUTED_VALUE"""),"Yes")</f>
        <v>Yes</v>
      </c>
      <c r="H20" s="5" t="str">
        <f>IFERROR(__xludf.DUMMYFUNCTION("""COMPUTED_VALUE"""),"Yes")</f>
        <v>Yes</v>
      </c>
      <c r="I20" s="5" t="str">
        <f>IFERROR(__xludf.DUMMYFUNCTION("""COMPUTED_VALUE"""),"Yes")</f>
        <v>Yes</v>
      </c>
      <c r="J20" s="5" t="str">
        <f>IFERROR(__xludf.DUMMYFUNCTION("""COMPUTED_VALUE"""),"Yes")</f>
        <v>Yes</v>
      </c>
      <c r="K20" s="5" t="str">
        <f>IFERROR(__xludf.DUMMYFUNCTION("""COMPUTED_VALUE"""),"Yes")</f>
        <v>Yes</v>
      </c>
      <c r="L20" s="5" t="str">
        <f>IFERROR(__xludf.DUMMYFUNCTION("""COMPUTED_VALUE"""),"Yes")</f>
        <v>Yes</v>
      </c>
      <c r="M20" s="5" t="str">
        <f>IFERROR(__xludf.DUMMYFUNCTION("""COMPUTED_VALUE"""),"Yes")</f>
        <v>Yes</v>
      </c>
      <c r="N20" s="5" t="str">
        <f>IFERROR(__xludf.DUMMYFUNCTION("""COMPUTED_VALUE"""),"Yes")</f>
        <v>Yes</v>
      </c>
      <c r="O20" s="5" t="str">
        <f>IFERROR(__xludf.DUMMYFUNCTION("""COMPUTED_VALUE"""),"Yes")</f>
        <v>Yes</v>
      </c>
      <c r="P20" s="5" t="str">
        <f>IFERROR(__xludf.DUMMYFUNCTION("""COMPUTED_VALUE"""),"Yes")</f>
        <v>Yes</v>
      </c>
      <c r="Q20" s="5" t="str">
        <f>IFERROR(__xludf.DUMMYFUNCTION("""COMPUTED_VALUE"""),"Yes")</f>
        <v>Yes</v>
      </c>
      <c r="R20" s="5" t="str">
        <f>IFERROR(__xludf.DUMMYFUNCTION("""COMPUTED_VALUE"""),"Yes")</f>
        <v>Yes</v>
      </c>
      <c r="S20" s="5" t="str">
        <f>IFERROR(__xludf.DUMMYFUNCTION("""COMPUTED_VALUE"""),"Yes")</f>
        <v>Yes</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IFERROR(__xludf.DUMMYFUNCTION("""COMPUTED_VALUE"""),"No")</f>
        <v>No</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IFERROR(__xludf.DUMMYFUNCTION("""COMPUTED_VALUE"""),"No")</f>
        <v>No</v>
      </c>
      <c r="AF20" s="5" t="str">
        <f>IFERROR(__xludf.DUMMYFUNCTION("""COMPUTED_VALUE"""),"Yes")</f>
        <v>Yes</v>
      </c>
      <c r="AG20" s="5" t="str">
        <f>IFERROR(__xludf.DUMMYFUNCTION("""COMPUTED_VALUE"""),"No")</f>
        <v>No</v>
      </c>
      <c r="AH20" s="5" t="str">
        <f>IFERROR(__xludf.DUMMYFUNCTION("""COMPUTED_VALUE"""),"No")</f>
        <v>No</v>
      </c>
      <c r="AI20" s="5" t="str">
        <f>IFERROR(__xludf.DUMMYFUNCTION("""COMPUTED_VALUE"""),"No")</f>
        <v>No</v>
      </c>
      <c r="AJ20" s="5" t="str">
        <f>IFERROR(__xludf.DUMMYFUNCTION("""COMPUTED_VALUE"""),"No")</f>
        <v>No</v>
      </c>
      <c r="AK20" s="5" t="str">
        <f>IFERROR(__xludf.DUMMYFUNCTION("""COMPUTED_VALUE"""),"No")</f>
        <v>No</v>
      </c>
      <c r="AL20" s="5" t="str">
        <f>IFERROR(__xludf.DUMMYFUNCTION("""COMPUTED_VALUE"""),"No")</f>
        <v>No</v>
      </c>
      <c r="AM20" s="5"/>
      <c r="AN20" s="5"/>
      <c r="AO20" s="5"/>
      <c r="AP20" s="5"/>
      <c r="AQ20" s="5"/>
      <c r="AR20" s="5"/>
      <c r="AS20" s="5"/>
      <c r="AT20" s="5"/>
      <c r="AU20" s="5"/>
      <c r="AV20" s="5"/>
      <c r="AW20" s="5"/>
      <c r="AX20" s="5"/>
      <c r="AY20" s="5"/>
    </row>
    <row r="21">
      <c r="A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 s="5">
        <f>IFERROR(__xludf.DUMMYFUNCTION("""COMPUTED_VALUE"""),20.0)</f>
        <v>20</v>
      </c>
      <c r="C21" s="5">
        <f>IFERROR(__xludf.DUMMYFUNCTION("""COMPUTED_VALUE"""),19.0)</f>
        <v>19</v>
      </c>
      <c r="D21" s="5" t="str">
        <f>IFERROR(__xludf.DUMMYFUNCTION("""COMPUTED_VALUE"""),"Diamonds")</f>
        <v>Diamonds</v>
      </c>
      <c r="E21" s="5" t="str">
        <f>IFERROR(__xludf.DUMMYFUNCTION("""COMPUTED_VALUE"""),"Yes")</f>
        <v>Yes</v>
      </c>
      <c r="F21" s="5" t="str">
        <f>IFERROR(__xludf.DUMMYFUNCTION("""COMPUTED_VALUE"""),"Yes")</f>
        <v>Yes</v>
      </c>
      <c r="G21" s="5" t="str">
        <f>IFERROR(__xludf.DUMMYFUNCTION("""COMPUTED_VALUE"""),"Yes")</f>
        <v>Yes</v>
      </c>
      <c r="H21" s="5" t="str">
        <f>IFERROR(__xludf.DUMMYFUNCTION("""COMPUTED_VALUE"""),"Yes")</f>
        <v>Yes</v>
      </c>
      <c r="I21" s="5" t="str">
        <f>IFERROR(__xludf.DUMMYFUNCTION("""COMPUTED_VALUE"""),"Yes")</f>
        <v>Yes</v>
      </c>
      <c r="J21" s="5" t="str">
        <f>IFERROR(__xludf.DUMMYFUNCTION("""COMPUTED_VALUE"""),"Yes")</f>
        <v>Yes</v>
      </c>
      <c r="K21" s="5" t="str">
        <f>IFERROR(__xludf.DUMMYFUNCTION("""COMPUTED_VALUE"""),"Yes")</f>
        <v>Yes</v>
      </c>
      <c r="L21" s="5" t="str">
        <f>IFERROR(__xludf.DUMMYFUNCTION("""COMPUTED_VALUE"""),"Yes")</f>
        <v>Yes</v>
      </c>
      <c r="M21" s="5" t="str">
        <f>IFERROR(__xludf.DUMMYFUNCTION("""COMPUTED_VALUE"""),"Yes")</f>
        <v>Yes</v>
      </c>
      <c r="N21" s="5" t="str">
        <f>IFERROR(__xludf.DUMMYFUNCTION("""COMPUTED_VALUE"""),"Yes")</f>
        <v>Yes</v>
      </c>
      <c r="O21" s="5" t="str">
        <f>IFERROR(__xludf.DUMMYFUNCTION("""COMPUTED_VALUE"""),"Yes")</f>
        <v>Yes</v>
      </c>
      <c r="P21" s="5" t="str">
        <f>IFERROR(__xludf.DUMMYFUNCTION("""COMPUTED_VALUE"""),"Yes")</f>
        <v>Yes</v>
      </c>
      <c r="Q21" s="5" t="str">
        <f>IFERROR(__xludf.DUMMYFUNCTION("""COMPUTED_VALUE"""),"Yes")</f>
        <v>Yes</v>
      </c>
      <c r="R21" s="5" t="str">
        <f>IFERROR(__xludf.DUMMYFUNCTION("""COMPUTED_VALUE"""),"Yes")</f>
        <v>Yes</v>
      </c>
      <c r="S21" s="5" t="str">
        <f>IFERROR(__xludf.DUMMYFUNCTION("""COMPUTED_VALUE"""),"Yes")</f>
        <v>Yes</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IFERROR(__xludf.DUMMYFUNCTION("""COMPUTED_VALUE"""),"No")</f>
        <v>No</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IFERROR(__xludf.DUMMYFUNCTION("""COMPUTED_VALUE"""),"No")</f>
        <v>No</v>
      </c>
      <c r="AF21" s="5" t="str">
        <f>IFERROR(__xludf.DUMMYFUNCTION("""COMPUTED_VALUE"""),"Yes")</f>
        <v>Yes</v>
      </c>
      <c r="AG21" s="5" t="str">
        <f>IFERROR(__xludf.DUMMYFUNCTION("""COMPUTED_VALUE"""),"No")</f>
        <v>No</v>
      </c>
      <c r="AH21" s="5" t="str">
        <f>IFERROR(__xludf.DUMMYFUNCTION("""COMPUTED_VALUE"""),"No")</f>
        <v>No</v>
      </c>
      <c r="AI21" s="5" t="str">
        <f>IFERROR(__xludf.DUMMYFUNCTION("""COMPUTED_VALUE"""),"No")</f>
        <v>No</v>
      </c>
      <c r="AJ21" s="5" t="str">
        <f>IFERROR(__xludf.DUMMYFUNCTION("""COMPUTED_VALUE"""),"No")</f>
        <v>No</v>
      </c>
      <c r="AK21" s="5" t="str">
        <f>IFERROR(__xludf.DUMMYFUNCTION("""COMPUTED_VALUE"""),"No")</f>
        <v>No</v>
      </c>
      <c r="AL21" s="5" t="str">
        <f>IFERROR(__xludf.DUMMYFUNCTION("""COMPUTED_VALUE"""),"No")</f>
        <v>No</v>
      </c>
      <c r="AM21" s="5"/>
      <c r="AN21" s="5"/>
      <c r="AO21" s="5"/>
      <c r="AP21" s="5"/>
      <c r="AQ21" s="5"/>
      <c r="AR21" s="5"/>
      <c r="AS21" s="5"/>
      <c r="AT21" s="5"/>
      <c r="AU21" s="5"/>
      <c r="AV21" s="5"/>
      <c r="AW21" s="5"/>
      <c r="AX21" s="5"/>
      <c r="AY21" s="5"/>
    </row>
    <row r="22">
      <c r="A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 s="5">
        <f>IFERROR(__xludf.DUMMYFUNCTION("""COMPUTED_VALUE"""),21.0)</f>
        <v>21</v>
      </c>
      <c r="C22" s="5">
        <f>IFERROR(__xludf.DUMMYFUNCTION("""COMPUTED_VALUE"""),20.0)</f>
        <v>20</v>
      </c>
      <c r="D22" s="5" t="str">
        <f>IFERROR(__xludf.DUMMYFUNCTION("""COMPUTED_VALUE"""),"JuicyHot")</f>
        <v>JuicyHot</v>
      </c>
      <c r="E22" s="5" t="str">
        <f>IFERROR(__xludf.DUMMYFUNCTION("""COMPUTED_VALUE"""),"Yes")</f>
        <v>Yes</v>
      </c>
      <c r="F22" s="5" t="str">
        <f>IFERROR(__xludf.DUMMYFUNCTION("""COMPUTED_VALUE"""),"Yes")</f>
        <v>Yes</v>
      </c>
      <c r="G22" s="5" t="str">
        <f>IFERROR(__xludf.DUMMYFUNCTION("""COMPUTED_VALUE"""),"Yes")</f>
        <v>Yes</v>
      </c>
      <c r="H22" s="5" t="str">
        <f>IFERROR(__xludf.DUMMYFUNCTION("""COMPUTED_VALUE"""),"Yes")</f>
        <v>Yes</v>
      </c>
      <c r="I22" s="5" t="str">
        <f>IFERROR(__xludf.DUMMYFUNCTION("""COMPUTED_VALUE"""),"Yes")</f>
        <v>Yes</v>
      </c>
      <c r="J22" s="5" t="str">
        <f>IFERROR(__xludf.DUMMYFUNCTION("""COMPUTED_VALUE"""),"Yes")</f>
        <v>Yes</v>
      </c>
      <c r="K22" s="5" t="str">
        <f>IFERROR(__xludf.DUMMYFUNCTION("""COMPUTED_VALUE"""),"Yes")</f>
        <v>Yes</v>
      </c>
      <c r="L22" s="5" t="str">
        <f>IFERROR(__xludf.DUMMYFUNCTION("""COMPUTED_VALUE"""),"Yes")</f>
        <v>Yes</v>
      </c>
      <c r="M22" s="5" t="str">
        <f>IFERROR(__xludf.DUMMYFUNCTION("""COMPUTED_VALUE"""),"Yes")</f>
        <v>Yes</v>
      </c>
      <c r="N22" s="5" t="str">
        <f>IFERROR(__xludf.DUMMYFUNCTION("""COMPUTED_VALUE"""),"Yes")</f>
        <v>Yes</v>
      </c>
      <c r="O22" s="5" t="str">
        <f>IFERROR(__xludf.DUMMYFUNCTION("""COMPUTED_VALUE"""),"Yes")</f>
        <v>Yes</v>
      </c>
      <c r="P22" s="5" t="str">
        <f>IFERROR(__xludf.DUMMYFUNCTION("""COMPUTED_VALUE"""),"Yes")</f>
        <v>Yes</v>
      </c>
      <c r="Q22" s="5" t="str">
        <f>IFERROR(__xludf.DUMMYFUNCTION("""COMPUTED_VALUE"""),"Yes")</f>
        <v>Yes</v>
      </c>
      <c r="R22" s="5" t="str">
        <f>IFERROR(__xludf.DUMMYFUNCTION("""COMPUTED_VALUE"""),"Yes")</f>
        <v>Yes</v>
      </c>
      <c r="S22" s="5" t="str">
        <f>IFERROR(__xludf.DUMMYFUNCTION("""COMPUTED_VALUE"""),"Yes")</f>
        <v>Yes</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IFERROR(__xludf.DUMMYFUNCTION("""COMPUTED_VALUE"""),"No")</f>
        <v>No</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IFERROR(__xludf.DUMMYFUNCTION("""COMPUTED_VALUE"""),"No")</f>
        <v>No</v>
      </c>
      <c r="AF22" s="5" t="str">
        <f>IFERROR(__xludf.DUMMYFUNCTION("""COMPUTED_VALUE"""),"Yes")</f>
        <v>Yes</v>
      </c>
      <c r="AG22" s="5" t="str">
        <f>IFERROR(__xludf.DUMMYFUNCTION("""COMPUTED_VALUE"""),"No")</f>
        <v>No</v>
      </c>
      <c r="AH22" s="5" t="str">
        <f>IFERROR(__xludf.DUMMYFUNCTION("""COMPUTED_VALUE"""),"No")</f>
        <v>No</v>
      </c>
      <c r="AI22" s="5" t="str">
        <f>IFERROR(__xludf.DUMMYFUNCTION("""COMPUTED_VALUE"""),"No")</f>
        <v>No</v>
      </c>
      <c r="AJ22" s="5" t="str">
        <f>IFERROR(__xludf.DUMMYFUNCTION("""COMPUTED_VALUE"""),"No")</f>
        <v>No</v>
      </c>
      <c r="AK22" s="5" t="str">
        <f>IFERROR(__xludf.DUMMYFUNCTION("""COMPUTED_VALUE"""),"No")</f>
        <v>No</v>
      </c>
      <c r="AL22" s="5" t="str">
        <f>IFERROR(__xludf.DUMMYFUNCTION("""COMPUTED_VALUE"""),"No")</f>
        <v>No</v>
      </c>
      <c r="AM22" s="5"/>
      <c r="AN22" s="5"/>
      <c r="AO22" s="5"/>
      <c r="AP22" s="5"/>
      <c r="AQ22" s="5"/>
      <c r="AR22" s="5"/>
      <c r="AS22" s="5"/>
      <c r="AT22" s="5"/>
      <c r="AU22" s="5"/>
      <c r="AV22" s="5"/>
      <c r="AW22" s="5"/>
      <c r="AX22" s="5"/>
      <c r="AY22" s="5"/>
    </row>
    <row r="23">
      <c r="A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 s="5">
        <f>IFERROR(__xludf.DUMMYFUNCTION("""COMPUTED_VALUE"""),22.0)</f>
        <v>22</v>
      </c>
      <c r="C23" s="5">
        <f>IFERROR(__xludf.DUMMYFUNCTION("""COMPUTED_VALUE"""),21.0)</f>
        <v>21</v>
      </c>
      <c r="D23" s="5" t="str">
        <f>IFERROR(__xludf.DUMMYFUNCTION("""COMPUTED_VALUE"""),"HotStars")</f>
        <v>HotStars</v>
      </c>
      <c r="E23" s="5" t="str">
        <f>IFERROR(__xludf.DUMMYFUNCTION("""COMPUTED_VALUE"""),"Yes")</f>
        <v>Yes</v>
      </c>
      <c r="F23" s="5" t="str">
        <f>IFERROR(__xludf.DUMMYFUNCTION("""COMPUTED_VALUE"""),"Yes")</f>
        <v>Yes</v>
      </c>
      <c r="G23" s="5" t="str">
        <f>IFERROR(__xludf.DUMMYFUNCTION("""COMPUTED_VALUE"""),"Yes")</f>
        <v>Yes</v>
      </c>
      <c r="H23" s="5" t="str">
        <f>IFERROR(__xludf.DUMMYFUNCTION("""COMPUTED_VALUE"""),"Yes")</f>
        <v>Yes</v>
      </c>
      <c r="I23" s="5" t="str">
        <f>IFERROR(__xludf.DUMMYFUNCTION("""COMPUTED_VALUE"""),"Yes")</f>
        <v>Yes</v>
      </c>
      <c r="J23" s="5" t="str">
        <f>IFERROR(__xludf.DUMMYFUNCTION("""COMPUTED_VALUE"""),"Yes")</f>
        <v>Yes</v>
      </c>
      <c r="K23" s="5" t="str">
        <f>IFERROR(__xludf.DUMMYFUNCTION("""COMPUTED_VALUE"""),"Yes")</f>
        <v>Yes</v>
      </c>
      <c r="L23" s="5" t="str">
        <f>IFERROR(__xludf.DUMMYFUNCTION("""COMPUTED_VALUE"""),"Yes")</f>
        <v>Yes</v>
      </c>
      <c r="M23" s="5" t="str">
        <f>IFERROR(__xludf.DUMMYFUNCTION("""COMPUTED_VALUE"""),"Yes")</f>
        <v>Yes</v>
      </c>
      <c r="N23" s="5" t="str">
        <f>IFERROR(__xludf.DUMMYFUNCTION("""COMPUTED_VALUE"""),"Yes")</f>
        <v>Yes</v>
      </c>
      <c r="O23" s="5" t="str">
        <f>IFERROR(__xludf.DUMMYFUNCTION("""COMPUTED_VALUE"""),"Yes")</f>
        <v>Yes</v>
      </c>
      <c r="P23" s="5" t="str">
        <f>IFERROR(__xludf.DUMMYFUNCTION("""COMPUTED_VALUE"""),"Yes")</f>
        <v>Yes</v>
      </c>
      <c r="Q23" s="5" t="str">
        <f>IFERROR(__xludf.DUMMYFUNCTION("""COMPUTED_VALUE"""),"Yes")</f>
        <v>Yes</v>
      </c>
      <c r="R23" s="5" t="str">
        <f>IFERROR(__xludf.DUMMYFUNCTION("""COMPUTED_VALUE"""),"Yes")</f>
        <v>Yes</v>
      </c>
      <c r="S23" s="5" t="str">
        <f>IFERROR(__xludf.DUMMYFUNCTION("""COMPUTED_VALUE"""),"Yes")</f>
        <v>Yes</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IFERROR(__xludf.DUMMYFUNCTION("""COMPUTED_VALUE"""),"No")</f>
        <v>No</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IFERROR(__xludf.DUMMYFUNCTION("""COMPUTED_VALUE"""),"No")</f>
        <v>No</v>
      </c>
      <c r="AF23" s="5" t="str">
        <f>IFERROR(__xludf.DUMMYFUNCTION("""COMPUTED_VALUE"""),"Yes")</f>
        <v>Yes</v>
      </c>
      <c r="AG23" s="5" t="str">
        <f>IFERROR(__xludf.DUMMYFUNCTION("""COMPUTED_VALUE"""),"No")</f>
        <v>No</v>
      </c>
      <c r="AH23" s="5" t="str">
        <f>IFERROR(__xludf.DUMMYFUNCTION("""COMPUTED_VALUE"""),"No")</f>
        <v>No</v>
      </c>
      <c r="AI23" s="5" t="str">
        <f>IFERROR(__xludf.DUMMYFUNCTION("""COMPUTED_VALUE"""),"No")</f>
        <v>No</v>
      </c>
      <c r="AJ23" s="5" t="str">
        <f>IFERROR(__xludf.DUMMYFUNCTION("""COMPUTED_VALUE"""),"No")</f>
        <v>No</v>
      </c>
      <c r="AK23" s="5" t="str">
        <f>IFERROR(__xludf.DUMMYFUNCTION("""COMPUTED_VALUE"""),"No")</f>
        <v>No</v>
      </c>
      <c r="AL23" s="5" t="str">
        <f>IFERROR(__xludf.DUMMYFUNCTION("""COMPUTED_VALUE"""),"No")</f>
        <v>No</v>
      </c>
      <c r="AM23" s="5"/>
      <c r="AN23" s="5"/>
      <c r="AO23" s="5"/>
      <c r="AP23" s="5"/>
      <c r="AQ23" s="5"/>
      <c r="AR23" s="5"/>
      <c r="AS23" s="5"/>
      <c r="AT23" s="5"/>
      <c r="AU23" s="5"/>
      <c r="AV23" s="5"/>
      <c r="AW23" s="5"/>
      <c r="AX23" s="5"/>
      <c r="AY23" s="5"/>
    </row>
    <row r="24">
      <c r="A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 s="5">
        <f>IFERROR(__xludf.DUMMYFUNCTION("""COMPUTED_VALUE"""),23.0)</f>
        <v>23</v>
      </c>
      <c r="C24" s="5">
        <f>IFERROR(__xludf.DUMMYFUNCTION("""COMPUTED_VALUE"""),22.0)</f>
        <v>22</v>
      </c>
      <c r="D24" s="5" t="str">
        <f>IFERROR(__xludf.DUMMYFUNCTION("""COMPUTED_VALUE"""),"TripleCrown")</f>
        <v>TripleCrown</v>
      </c>
      <c r="E24" s="5" t="str">
        <f>IFERROR(__xludf.DUMMYFUNCTION("""COMPUTED_VALUE"""),"Yes")</f>
        <v>Yes</v>
      </c>
      <c r="F24" s="5" t="str">
        <f>IFERROR(__xludf.DUMMYFUNCTION("""COMPUTED_VALUE"""),"Yes")</f>
        <v>Yes</v>
      </c>
      <c r="G24" s="5" t="str">
        <f>IFERROR(__xludf.DUMMYFUNCTION("""COMPUTED_VALUE"""),"Yes")</f>
        <v>Yes</v>
      </c>
      <c r="H24" s="5" t="str">
        <f>IFERROR(__xludf.DUMMYFUNCTION("""COMPUTED_VALUE"""),"Yes")</f>
        <v>Yes</v>
      </c>
      <c r="I24" s="5" t="str">
        <f>IFERROR(__xludf.DUMMYFUNCTION("""COMPUTED_VALUE"""),"Yes")</f>
        <v>Yes</v>
      </c>
      <c r="J24" s="5" t="str">
        <f>IFERROR(__xludf.DUMMYFUNCTION("""COMPUTED_VALUE"""),"Yes")</f>
        <v>Yes</v>
      </c>
      <c r="K24" s="5" t="str">
        <f>IFERROR(__xludf.DUMMYFUNCTION("""COMPUTED_VALUE"""),"Yes")</f>
        <v>Yes</v>
      </c>
      <c r="L24" s="5" t="str">
        <f>IFERROR(__xludf.DUMMYFUNCTION("""COMPUTED_VALUE"""),"Yes")</f>
        <v>Yes</v>
      </c>
      <c r="M24" s="5" t="str">
        <f>IFERROR(__xludf.DUMMYFUNCTION("""COMPUTED_VALUE"""),"Yes")</f>
        <v>Yes</v>
      </c>
      <c r="N24" s="5" t="str">
        <f>IFERROR(__xludf.DUMMYFUNCTION("""COMPUTED_VALUE"""),"Yes")</f>
        <v>Yes</v>
      </c>
      <c r="O24" s="5" t="str">
        <f>IFERROR(__xludf.DUMMYFUNCTION("""COMPUTED_VALUE"""),"Yes")</f>
        <v>Yes</v>
      </c>
      <c r="P24" s="5" t="str">
        <f>IFERROR(__xludf.DUMMYFUNCTION("""COMPUTED_VALUE"""),"Yes")</f>
        <v>Yes</v>
      </c>
      <c r="Q24" s="5" t="str">
        <f>IFERROR(__xludf.DUMMYFUNCTION("""COMPUTED_VALUE"""),"Yes")</f>
        <v>Yes</v>
      </c>
      <c r="R24" s="5" t="str">
        <f>IFERROR(__xludf.DUMMYFUNCTION("""COMPUTED_VALUE"""),"Yes")</f>
        <v>Yes</v>
      </c>
      <c r="S24" s="5" t="str">
        <f>IFERROR(__xludf.DUMMYFUNCTION("""COMPUTED_VALUE"""),"Yes")</f>
        <v>Yes</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c r="Z24" s="5"/>
      <c r="AA24" s="5"/>
      <c r="AB24" s="5"/>
      <c r="AC24" s="5" t="str">
        <f>IFERROR(__xludf.DUMMYFUNCTION("""COMPUTED_VALUE"""),"Yes")</f>
        <v>Yes</v>
      </c>
      <c r="AD24" s="5"/>
      <c r="AE24" s="5"/>
      <c r="AF24" s="5"/>
      <c r="AG24" s="5"/>
      <c r="AH24" s="5"/>
      <c r="AI24" s="5"/>
      <c r="AJ24" s="5"/>
      <c r="AK24" s="5"/>
      <c r="AL24" s="5"/>
      <c r="AM24" s="5"/>
      <c r="AN24" s="5"/>
      <c r="AO24" s="5"/>
      <c r="AP24" s="5"/>
      <c r="AQ24" s="5"/>
      <c r="AR24" s="5"/>
      <c r="AS24" s="5"/>
      <c r="AT24" s="5"/>
      <c r="AU24" s="5"/>
      <c r="AV24" s="5"/>
      <c r="AW24" s="5"/>
      <c r="AX24" s="5"/>
      <c r="AY24" s="5"/>
    </row>
    <row r="25">
      <c r="A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 s="5">
        <f>IFERROR(__xludf.DUMMYFUNCTION("""COMPUTED_VALUE"""),24.0)</f>
        <v>24</v>
      </c>
      <c r="C25" s="5">
        <f>IFERROR(__xludf.DUMMYFUNCTION("""COMPUTED_VALUE"""),23.0)</f>
        <v>23</v>
      </c>
      <c r="D25" s="5" t="str">
        <f>IFERROR(__xludf.DUMMYFUNCTION("""COMPUTED_VALUE"""),"BookOfSpells")</f>
        <v>BookOfSpells</v>
      </c>
      <c r="E25" s="5" t="str">
        <f>IFERROR(__xludf.DUMMYFUNCTION("""COMPUTED_VALUE"""),"Yes")</f>
        <v>Yes</v>
      </c>
      <c r="F25" s="5" t="str">
        <f>IFERROR(__xludf.DUMMYFUNCTION("""COMPUTED_VALUE"""),"Yes")</f>
        <v>Yes</v>
      </c>
      <c r="G25" s="5" t="str">
        <f>IFERROR(__xludf.DUMMYFUNCTION("""COMPUTED_VALUE"""),"Yes")</f>
        <v>Yes</v>
      </c>
      <c r="H25" s="5" t="str">
        <f>IFERROR(__xludf.DUMMYFUNCTION("""COMPUTED_VALUE"""),"Yes")</f>
        <v>Yes</v>
      </c>
      <c r="I25" s="5" t="str">
        <f>IFERROR(__xludf.DUMMYFUNCTION("""COMPUTED_VALUE"""),"Yes")</f>
        <v>Yes</v>
      </c>
      <c r="J25" s="5" t="str">
        <f>IFERROR(__xludf.DUMMYFUNCTION("""COMPUTED_VALUE"""),"Yes")</f>
        <v>Yes</v>
      </c>
      <c r="K25" s="5" t="str">
        <f>IFERROR(__xludf.DUMMYFUNCTION("""COMPUTED_VALUE"""),"Yes")</f>
        <v>Yes</v>
      </c>
      <c r="L25" s="5" t="str">
        <f>IFERROR(__xludf.DUMMYFUNCTION("""COMPUTED_VALUE"""),"Yes")</f>
        <v>Yes</v>
      </c>
      <c r="M25" s="5" t="str">
        <f>IFERROR(__xludf.DUMMYFUNCTION("""COMPUTED_VALUE"""),"Yes")</f>
        <v>Yes</v>
      </c>
      <c r="N25" s="5" t="str">
        <f>IFERROR(__xludf.DUMMYFUNCTION("""COMPUTED_VALUE"""),"Yes")</f>
        <v>Yes</v>
      </c>
      <c r="O25" s="5" t="str">
        <f>IFERROR(__xludf.DUMMYFUNCTION("""COMPUTED_VALUE"""),"Yes")</f>
        <v>Yes</v>
      </c>
      <c r="P25" s="5" t="str">
        <f>IFERROR(__xludf.DUMMYFUNCTION("""COMPUTED_VALUE"""),"Yes")</f>
        <v>Yes</v>
      </c>
      <c r="Q25" s="5" t="str">
        <f>IFERROR(__xludf.DUMMYFUNCTION("""COMPUTED_VALUE"""),"Yes")</f>
        <v>Yes</v>
      </c>
      <c r="R25" s="5" t="str">
        <f>IFERROR(__xludf.DUMMYFUNCTION("""COMPUTED_VALUE"""),"Yes")</f>
        <v>Yes</v>
      </c>
      <c r="S25" s="5" t="str">
        <f>IFERROR(__xludf.DUMMYFUNCTION("""COMPUTED_VALUE"""),"Yes")</f>
        <v>Yes</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IFERROR(__xludf.DUMMYFUNCTION("""COMPUTED_VALUE"""),"No")</f>
        <v>No</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IFERROR(__xludf.DUMMYFUNCTION("""COMPUTED_VALUE"""),"No")</f>
        <v>No</v>
      </c>
      <c r="AF25" s="5" t="str">
        <f>IFERROR(__xludf.DUMMYFUNCTION("""COMPUTED_VALUE"""),"Yes")</f>
        <v>Yes</v>
      </c>
      <c r="AG25" s="5" t="str">
        <f>IFERROR(__xludf.DUMMYFUNCTION("""COMPUTED_VALUE"""),"No")</f>
        <v>No</v>
      </c>
      <c r="AH25" s="5" t="str">
        <f>IFERROR(__xludf.DUMMYFUNCTION("""COMPUTED_VALUE"""),"No")</f>
        <v>No</v>
      </c>
      <c r="AI25" s="5" t="str">
        <f>IFERROR(__xludf.DUMMYFUNCTION("""COMPUTED_VALUE"""),"No")</f>
        <v>No</v>
      </c>
      <c r="AJ25" s="5" t="str">
        <f>IFERROR(__xludf.DUMMYFUNCTION("""COMPUTED_VALUE"""),"No")</f>
        <v>No</v>
      </c>
      <c r="AK25" s="5" t="str">
        <f>IFERROR(__xludf.DUMMYFUNCTION("""COMPUTED_VALUE"""),"No")</f>
        <v>No</v>
      </c>
      <c r="AL25" s="5" t="str">
        <f>IFERROR(__xludf.DUMMYFUNCTION("""COMPUTED_VALUE"""),"No")</f>
        <v>No</v>
      </c>
      <c r="AM25" s="5"/>
      <c r="AN25" s="5"/>
      <c r="AO25" s="5"/>
      <c r="AP25" s="5"/>
      <c r="AQ25" s="5"/>
      <c r="AR25" s="5"/>
      <c r="AS25" s="5"/>
      <c r="AT25" s="5"/>
      <c r="AU25" s="5"/>
      <c r="AV25" s="5"/>
      <c r="AW25" s="5"/>
      <c r="AX25" s="5"/>
      <c r="AY25" s="5"/>
    </row>
    <row r="26">
      <c r="A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 s="5">
        <f>IFERROR(__xludf.DUMMYFUNCTION("""COMPUTED_VALUE"""),25.0)</f>
        <v>25</v>
      </c>
      <c r="C26" s="5">
        <f>IFERROR(__xludf.DUMMYFUNCTION("""COMPUTED_VALUE"""),24.0)</f>
        <v>24</v>
      </c>
      <c r="D26" s="5" t="str">
        <f>IFERROR(__xludf.DUMMYFUNCTION("""COMPUTED_VALUE"""),"MegaHot")</f>
        <v>MegaHot</v>
      </c>
      <c r="E26" s="5" t="str">
        <f>IFERROR(__xludf.DUMMYFUNCTION("""COMPUTED_VALUE"""),"Yes")</f>
        <v>Yes</v>
      </c>
      <c r="F26" s="5" t="str">
        <f>IFERROR(__xludf.DUMMYFUNCTION("""COMPUTED_VALUE"""),"Yes")</f>
        <v>Yes</v>
      </c>
      <c r="G26" s="5" t="str">
        <f>IFERROR(__xludf.DUMMYFUNCTION("""COMPUTED_VALUE"""),"Yes")</f>
        <v>Yes</v>
      </c>
      <c r="H26" s="5" t="str">
        <f>IFERROR(__xludf.DUMMYFUNCTION("""COMPUTED_VALUE"""),"Yes")</f>
        <v>Yes</v>
      </c>
      <c r="I26" s="5" t="str">
        <f>IFERROR(__xludf.DUMMYFUNCTION("""COMPUTED_VALUE"""),"Yes")</f>
        <v>Yes</v>
      </c>
      <c r="J26" s="5" t="str">
        <f>IFERROR(__xludf.DUMMYFUNCTION("""COMPUTED_VALUE"""),"Yes")</f>
        <v>Yes</v>
      </c>
      <c r="K26" s="5" t="str">
        <f>IFERROR(__xludf.DUMMYFUNCTION("""COMPUTED_VALUE"""),"Yes")</f>
        <v>Yes</v>
      </c>
      <c r="L26" s="5" t="str">
        <f>IFERROR(__xludf.DUMMYFUNCTION("""COMPUTED_VALUE"""),"Yes")</f>
        <v>Yes</v>
      </c>
      <c r="M26" s="5" t="str">
        <f>IFERROR(__xludf.DUMMYFUNCTION("""COMPUTED_VALUE"""),"Yes")</f>
        <v>Yes</v>
      </c>
      <c r="N26" s="5" t="str">
        <f>IFERROR(__xludf.DUMMYFUNCTION("""COMPUTED_VALUE"""),"Yes")</f>
        <v>Yes</v>
      </c>
      <c r="O26" s="5" t="str">
        <f>IFERROR(__xludf.DUMMYFUNCTION("""COMPUTED_VALUE"""),"Yes")</f>
        <v>Yes</v>
      </c>
      <c r="P26" s="5" t="str">
        <f>IFERROR(__xludf.DUMMYFUNCTION("""COMPUTED_VALUE"""),"Yes")</f>
        <v>Yes</v>
      </c>
      <c r="Q26" s="5" t="str">
        <f>IFERROR(__xludf.DUMMYFUNCTION("""COMPUTED_VALUE"""),"Yes")</f>
        <v>Yes</v>
      </c>
      <c r="R26" s="5" t="str">
        <f>IFERROR(__xludf.DUMMYFUNCTION("""COMPUTED_VALUE"""),"Yes")</f>
        <v>Yes</v>
      </c>
      <c r="S26" s="5" t="str">
        <f>IFERROR(__xludf.DUMMYFUNCTION("""COMPUTED_VALUE"""),"Yes")</f>
        <v>Yes</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IFERROR(__xludf.DUMMYFUNCTION("""COMPUTED_VALUE"""),"No")</f>
        <v>No</v>
      </c>
      <c r="AA26" s="5" t="str">
        <f>IFERROR(__xludf.DUMMYFUNCTION("""COMPUTED_VALUE"""),"Yes")</f>
        <v>Yes</v>
      </c>
      <c r="AB26" s="5" t="str">
        <f>IFERROR(__xludf.DUMMYFUNCTION("""COMPUTED_VALUE"""),"Yes")</f>
        <v>Yes</v>
      </c>
      <c r="AC26" s="5" t="str">
        <f>IFERROR(__xludf.DUMMYFUNCTION("""COMPUTED_VALUE"""),"Yes")</f>
        <v>Yes</v>
      </c>
      <c r="AD26" s="5" t="str">
        <f>IFERROR(__xludf.DUMMYFUNCTION("""COMPUTED_VALUE"""),"Yes")</f>
        <v>Yes</v>
      </c>
      <c r="AE26" s="5" t="str">
        <f>IFERROR(__xludf.DUMMYFUNCTION("""COMPUTED_VALUE"""),"No")</f>
        <v>No</v>
      </c>
      <c r="AF26" s="5" t="str">
        <f>IFERROR(__xludf.DUMMYFUNCTION("""COMPUTED_VALUE"""),"Yes")</f>
        <v>Yes</v>
      </c>
      <c r="AG26" s="5" t="str">
        <f>IFERROR(__xludf.DUMMYFUNCTION("""COMPUTED_VALUE"""),"No")</f>
        <v>No</v>
      </c>
      <c r="AH26" s="5" t="str">
        <f>IFERROR(__xludf.DUMMYFUNCTION("""COMPUTED_VALUE"""),"No")</f>
        <v>No</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c r="AN26" s="5"/>
      <c r="AO26" s="5"/>
      <c r="AP26" s="5"/>
      <c r="AQ26" s="5"/>
      <c r="AR26" s="5"/>
      <c r="AS26" s="5"/>
      <c r="AT26" s="5"/>
      <c r="AU26" s="5"/>
      <c r="AV26" s="5"/>
      <c r="AW26" s="5"/>
      <c r="AX26" s="5"/>
      <c r="AY26" s="5"/>
    </row>
    <row r="27">
      <c r="A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7" s="5">
        <f>IFERROR(__xludf.DUMMYFUNCTION("""COMPUTED_VALUE"""),26.0)</f>
        <v>26</v>
      </c>
      <c r="C27" s="5">
        <f>IFERROR(__xludf.DUMMYFUNCTION("""COMPUTED_VALUE"""),25.0)</f>
        <v>25</v>
      </c>
      <c r="D27" s="5" t="str">
        <f>IFERROR(__xludf.DUMMYFUNCTION("""COMPUTED_VALUE"""),"LiveEuropeanRoulette")</f>
        <v>LiveEuropeanRoulette</v>
      </c>
      <c r="E27" s="5" t="str">
        <f>IFERROR(__xludf.DUMMYFUNCTION("""COMPUTED_VALUE"""),"Yes")</f>
        <v>Yes</v>
      </c>
      <c r="F27" s="5" t="str">
        <f>IFERROR(__xludf.DUMMYFUNCTION("""COMPUTED_VALUE"""),"Yes")</f>
        <v>Yes</v>
      </c>
      <c r="G27" s="5" t="str">
        <f>IFERROR(__xludf.DUMMYFUNCTION("""COMPUTED_VALUE"""),"Yes")</f>
        <v>Yes</v>
      </c>
      <c r="H27" s="5" t="str">
        <f>IFERROR(__xludf.DUMMYFUNCTION("""COMPUTED_VALUE"""),"Yes")</f>
        <v>Yes</v>
      </c>
      <c r="I27" s="5" t="str">
        <f>IFERROR(__xludf.DUMMYFUNCTION("""COMPUTED_VALUE"""),"Yes")</f>
        <v>Yes</v>
      </c>
      <c r="J27" s="5" t="str">
        <f>IFERROR(__xludf.DUMMYFUNCTION("""COMPUTED_VALUE"""),"Yes")</f>
        <v>Yes</v>
      </c>
      <c r="K27" s="5" t="str">
        <f>IFERROR(__xludf.DUMMYFUNCTION("""COMPUTED_VALUE"""),"Yes")</f>
        <v>Yes</v>
      </c>
      <c r="L27" s="5" t="str">
        <f>IFERROR(__xludf.DUMMYFUNCTION("""COMPUTED_VALUE"""),"Yes")</f>
        <v>Yes</v>
      </c>
      <c r="M27" s="5" t="str">
        <f>IFERROR(__xludf.DUMMYFUNCTION("""COMPUTED_VALUE"""),"Yes")</f>
        <v>Yes</v>
      </c>
      <c r="N27" s="5" t="str">
        <f>IFERROR(__xludf.DUMMYFUNCTION("""COMPUTED_VALUE"""),"Yes")</f>
        <v>Yes</v>
      </c>
      <c r="O27" s="5" t="str">
        <f>IFERROR(__xludf.DUMMYFUNCTION("""COMPUTED_VALUE"""),"Yes")</f>
        <v>Yes</v>
      </c>
      <c r="P27" s="5" t="str">
        <f>IFERROR(__xludf.DUMMYFUNCTION("""COMPUTED_VALUE"""),"Yes")</f>
        <v>Yes</v>
      </c>
      <c r="Q27" s="5" t="str">
        <f>IFERROR(__xludf.DUMMYFUNCTION("""COMPUTED_VALUE"""),"Yes")</f>
        <v>Yes</v>
      </c>
      <c r="R27" s="5" t="str">
        <f>IFERROR(__xludf.DUMMYFUNCTION("""COMPUTED_VALUE"""),"Yes")</f>
        <v>Yes</v>
      </c>
      <c r="S27" s="5" t="str">
        <f>IFERROR(__xludf.DUMMYFUNCTION("""COMPUTED_VALUE"""),"Yes")</f>
        <v>Yes</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c r="Z27" s="5"/>
      <c r="AA27" s="5"/>
      <c r="AB27" s="5"/>
      <c r="AC27" s="5" t="str">
        <f>IFERROR(__xludf.DUMMYFUNCTION("""COMPUTED_VALUE"""),"Yes")</f>
        <v>Yes</v>
      </c>
      <c r="AD27" s="5"/>
      <c r="AE27" s="5"/>
      <c r="AF27" s="5"/>
      <c r="AG27" s="5"/>
      <c r="AH27" s="5"/>
      <c r="AI27" s="5"/>
      <c r="AJ27" s="5"/>
      <c r="AK27" s="5"/>
      <c r="AL27" s="5"/>
      <c r="AM27" s="5"/>
      <c r="AN27" s="5"/>
      <c r="AO27" s="5"/>
      <c r="AP27" s="5"/>
      <c r="AQ27" s="5"/>
      <c r="AR27" s="5"/>
      <c r="AS27" s="5"/>
      <c r="AT27" s="5"/>
      <c r="AU27" s="5"/>
      <c r="AV27" s="5"/>
      <c r="AW27" s="5"/>
      <c r="AX27" s="5"/>
      <c r="AY27" s="5"/>
    </row>
    <row r="28">
      <c r="A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8" s="5">
        <f>IFERROR(__xludf.DUMMYFUNCTION("""COMPUTED_VALUE"""),27.0)</f>
        <v>27</v>
      </c>
      <c r="C28" s="5">
        <f>IFERROR(__xludf.DUMMYFUNCTION("""COMPUTED_VALUE"""),26.0)</f>
        <v>26</v>
      </c>
      <c r="D28" s="5" t="str">
        <f>IFERROR(__xludf.DUMMYFUNCTION("""COMPUTED_VALUE"""),"LiveAmericanRoulette")</f>
        <v>LiveAmericanRoulette</v>
      </c>
      <c r="E28" s="5" t="str">
        <f>IFERROR(__xludf.DUMMYFUNCTION("""COMPUTED_VALUE"""),"Yes")</f>
        <v>Yes</v>
      </c>
      <c r="F28" s="5" t="str">
        <f>IFERROR(__xludf.DUMMYFUNCTION("""COMPUTED_VALUE"""),"Yes")</f>
        <v>Yes</v>
      </c>
      <c r="G28" s="5" t="str">
        <f>IFERROR(__xludf.DUMMYFUNCTION("""COMPUTED_VALUE"""),"Yes")</f>
        <v>Yes</v>
      </c>
      <c r="H28" s="5" t="str">
        <f>IFERROR(__xludf.DUMMYFUNCTION("""COMPUTED_VALUE"""),"Yes")</f>
        <v>Yes</v>
      </c>
      <c r="I28" s="5" t="str">
        <f>IFERROR(__xludf.DUMMYFUNCTION("""COMPUTED_VALUE"""),"Yes")</f>
        <v>Yes</v>
      </c>
      <c r="J28" s="5" t="str">
        <f>IFERROR(__xludf.DUMMYFUNCTION("""COMPUTED_VALUE"""),"Yes")</f>
        <v>Yes</v>
      </c>
      <c r="K28" s="5" t="str">
        <f>IFERROR(__xludf.DUMMYFUNCTION("""COMPUTED_VALUE"""),"Yes")</f>
        <v>Yes</v>
      </c>
      <c r="L28" s="5" t="str">
        <f>IFERROR(__xludf.DUMMYFUNCTION("""COMPUTED_VALUE"""),"Yes")</f>
        <v>Yes</v>
      </c>
      <c r="M28" s="5" t="str">
        <f>IFERROR(__xludf.DUMMYFUNCTION("""COMPUTED_VALUE"""),"Yes")</f>
        <v>Yes</v>
      </c>
      <c r="N28" s="5" t="str">
        <f>IFERROR(__xludf.DUMMYFUNCTION("""COMPUTED_VALUE"""),"Yes")</f>
        <v>Yes</v>
      </c>
      <c r="O28" s="5" t="str">
        <f>IFERROR(__xludf.DUMMYFUNCTION("""COMPUTED_VALUE"""),"Yes")</f>
        <v>Yes</v>
      </c>
      <c r="P28" s="5" t="str">
        <f>IFERROR(__xludf.DUMMYFUNCTION("""COMPUTED_VALUE"""),"Yes")</f>
        <v>Yes</v>
      </c>
      <c r="Q28" s="5" t="str">
        <f>IFERROR(__xludf.DUMMYFUNCTION("""COMPUTED_VALUE"""),"Yes")</f>
        <v>Yes</v>
      </c>
      <c r="R28" s="5" t="str">
        <f>IFERROR(__xludf.DUMMYFUNCTION("""COMPUTED_VALUE"""),"Yes")</f>
        <v>Yes</v>
      </c>
      <c r="S28" s="5" t="str">
        <f>IFERROR(__xludf.DUMMYFUNCTION("""COMPUTED_VALUE"""),"Yes")</f>
        <v>Yes</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c r="Z28" s="5"/>
      <c r="AA28" s="5"/>
      <c r="AB28" s="5"/>
      <c r="AC28" s="5" t="str">
        <f>IFERROR(__xludf.DUMMYFUNCTION("""COMPUTED_VALUE"""),"Yes")</f>
        <v>Yes</v>
      </c>
      <c r="AD28" s="5"/>
      <c r="AE28" s="5"/>
      <c r="AF28" s="5"/>
      <c r="AG28" s="5"/>
      <c r="AH28" s="5"/>
      <c r="AI28" s="5"/>
      <c r="AJ28" s="5"/>
      <c r="AK28" s="5"/>
      <c r="AL28" s="5"/>
      <c r="AM28" s="5"/>
      <c r="AN28" s="5"/>
      <c r="AO28" s="5"/>
      <c r="AP28" s="5"/>
      <c r="AQ28" s="5"/>
      <c r="AR28" s="5"/>
      <c r="AS28" s="5"/>
      <c r="AT28" s="5"/>
      <c r="AU28" s="5"/>
      <c r="AV28" s="5"/>
      <c r="AW28" s="5"/>
      <c r="AX28" s="5"/>
      <c r="AY28" s="5"/>
    </row>
    <row r="29">
      <c r="A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 s="5">
        <f>IFERROR(__xludf.DUMMYFUNCTION("""COMPUTED_VALUE"""),28.0)</f>
        <v>28</v>
      </c>
      <c r="C29" s="5">
        <f>IFERROR(__xludf.DUMMYFUNCTION("""COMPUTED_VALUE"""),27.0)</f>
        <v>27</v>
      </c>
      <c r="D29" s="5" t="str">
        <f>IFERROR(__xludf.DUMMYFUNCTION("""COMPUTED_VALUE"""),"BurningIce")</f>
        <v>BurningIce</v>
      </c>
      <c r="E29" s="5" t="str">
        <f>IFERROR(__xludf.DUMMYFUNCTION("""COMPUTED_VALUE"""),"Yes")</f>
        <v>Yes</v>
      </c>
      <c r="F29" s="5" t="str">
        <f>IFERROR(__xludf.DUMMYFUNCTION("""COMPUTED_VALUE"""),"Yes")</f>
        <v>Yes</v>
      </c>
      <c r="G29" s="5" t="str">
        <f>IFERROR(__xludf.DUMMYFUNCTION("""COMPUTED_VALUE"""),"Yes")</f>
        <v>Yes</v>
      </c>
      <c r="H29" s="5" t="str">
        <f>IFERROR(__xludf.DUMMYFUNCTION("""COMPUTED_VALUE"""),"Yes")</f>
        <v>Yes</v>
      </c>
      <c r="I29" s="5" t="str">
        <f>IFERROR(__xludf.DUMMYFUNCTION("""COMPUTED_VALUE"""),"Yes")</f>
        <v>Yes</v>
      </c>
      <c r="J29" s="5" t="str">
        <f>IFERROR(__xludf.DUMMYFUNCTION("""COMPUTED_VALUE"""),"Yes")</f>
        <v>Yes</v>
      </c>
      <c r="K29" s="5" t="str">
        <f>IFERROR(__xludf.DUMMYFUNCTION("""COMPUTED_VALUE"""),"Yes")</f>
        <v>Yes</v>
      </c>
      <c r="L29" s="5" t="str">
        <f>IFERROR(__xludf.DUMMYFUNCTION("""COMPUTED_VALUE"""),"Yes")</f>
        <v>Yes</v>
      </c>
      <c r="M29" s="5" t="str">
        <f>IFERROR(__xludf.DUMMYFUNCTION("""COMPUTED_VALUE"""),"Yes")</f>
        <v>Yes</v>
      </c>
      <c r="N29" s="5" t="str">
        <f>IFERROR(__xludf.DUMMYFUNCTION("""COMPUTED_VALUE"""),"Yes")</f>
        <v>Yes</v>
      </c>
      <c r="O29" s="5" t="str">
        <f>IFERROR(__xludf.DUMMYFUNCTION("""COMPUTED_VALUE"""),"Yes")</f>
        <v>Yes</v>
      </c>
      <c r="P29" s="5" t="str">
        <f>IFERROR(__xludf.DUMMYFUNCTION("""COMPUTED_VALUE"""),"Yes")</f>
        <v>Yes</v>
      </c>
      <c r="Q29" s="5" t="str">
        <f>IFERROR(__xludf.DUMMYFUNCTION("""COMPUTED_VALUE"""),"Yes")</f>
        <v>Yes</v>
      </c>
      <c r="R29" s="5" t="str">
        <f>IFERROR(__xludf.DUMMYFUNCTION("""COMPUTED_VALUE"""),"Yes")</f>
        <v>Yes</v>
      </c>
      <c r="S29" s="5" t="str">
        <f>IFERROR(__xludf.DUMMYFUNCTION("""COMPUTED_VALUE"""),"Yes")</f>
        <v>Yes</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IFERROR(__xludf.DUMMYFUNCTION("""COMPUTED_VALUE"""),"No")</f>
        <v>No</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IFERROR(__xludf.DUMMYFUNCTION("""COMPUTED_VALUE"""),"No")</f>
        <v>No</v>
      </c>
      <c r="AF29" s="5" t="str">
        <f>IFERROR(__xludf.DUMMYFUNCTION("""COMPUTED_VALUE"""),"Yes")</f>
        <v>Yes</v>
      </c>
      <c r="AG29" s="5" t="str">
        <f>IFERROR(__xludf.DUMMYFUNCTION("""COMPUTED_VALUE"""),"No")</f>
        <v>No</v>
      </c>
      <c r="AH29" s="5" t="str">
        <f>IFERROR(__xludf.DUMMYFUNCTION("""COMPUTED_VALUE"""),"No")</f>
        <v>No</v>
      </c>
      <c r="AI29" s="5" t="str">
        <f>IFERROR(__xludf.DUMMYFUNCTION("""COMPUTED_VALUE"""),"No")</f>
        <v>No</v>
      </c>
      <c r="AJ29" s="5" t="str">
        <f>IFERROR(__xludf.DUMMYFUNCTION("""COMPUTED_VALUE"""),"No")</f>
        <v>No</v>
      </c>
      <c r="AK29" s="5" t="str">
        <f>IFERROR(__xludf.DUMMYFUNCTION("""COMPUTED_VALUE"""),"No")</f>
        <v>No</v>
      </c>
      <c r="AL29" s="5" t="str">
        <f>IFERROR(__xludf.DUMMYFUNCTION("""COMPUTED_VALUE"""),"No")</f>
        <v>No</v>
      </c>
      <c r="AM29" s="5"/>
      <c r="AN29" s="5"/>
      <c r="AO29" s="5"/>
      <c r="AP29" s="5"/>
      <c r="AQ29" s="5"/>
      <c r="AR29" s="5"/>
      <c r="AS29" s="5"/>
      <c r="AT29" s="5"/>
      <c r="AU29" s="5"/>
      <c r="AV29" s="5"/>
      <c r="AW29" s="5"/>
      <c r="AX29" s="5"/>
      <c r="AY29" s="5"/>
    </row>
    <row r="30">
      <c r="A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 s="5">
        <f>IFERROR(__xludf.DUMMYFUNCTION("""COMPUTED_VALUE"""),29.0)</f>
        <v>29</v>
      </c>
      <c r="C30" s="5">
        <f>IFERROR(__xludf.DUMMYFUNCTION("""COMPUTED_VALUE"""),28.0)</f>
        <v>28</v>
      </c>
      <c r="D30" s="5" t="str">
        <f>IFERROR(__xludf.DUMMYFUNCTION("""COMPUTED_VALUE"""),"TurboHot40")</f>
        <v>TurboHot40</v>
      </c>
      <c r="E30" s="5" t="str">
        <f>IFERROR(__xludf.DUMMYFUNCTION("""COMPUTED_VALUE"""),"Yes")</f>
        <v>Yes</v>
      </c>
      <c r="F30" s="5" t="str">
        <f>IFERROR(__xludf.DUMMYFUNCTION("""COMPUTED_VALUE"""),"Yes")</f>
        <v>Yes</v>
      </c>
      <c r="G30" s="5" t="str">
        <f>IFERROR(__xludf.DUMMYFUNCTION("""COMPUTED_VALUE"""),"Yes")</f>
        <v>Yes</v>
      </c>
      <c r="H30" s="5" t="str">
        <f>IFERROR(__xludf.DUMMYFUNCTION("""COMPUTED_VALUE"""),"Yes")</f>
        <v>Yes</v>
      </c>
      <c r="I30" s="5" t="str">
        <f>IFERROR(__xludf.DUMMYFUNCTION("""COMPUTED_VALUE"""),"Yes")</f>
        <v>Yes</v>
      </c>
      <c r="J30" s="5" t="str">
        <f>IFERROR(__xludf.DUMMYFUNCTION("""COMPUTED_VALUE"""),"Yes")</f>
        <v>Yes</v>
      </c>
      <c r="K30" s="5" t="str">
        <f>IFERROR(__xludf.DUMMYFUNCTION("""COMPUTED_VALUE"""),"Yes")</f>
        <v>Yes</v>
      </c>
      <c r="L30" s="5" t="str">
        <f>IFERROR(__xludf.DUMMYFUNCTION("""COMPUTED_VALUE"""),"Yes")</f>
        <v>Yes</v>
      </c>
      <c r="M30" s="5" t="str">
        <f>IFERROR(__xludf.DUMMYFUNCTION("""COMPUTED_VALUE"""),"Yes")</f>
        <v>Yes</v>
      </c>
      <c r="N30" s="5" t="str">
        <f>IFERROR(__xludf.DUMMYFUNCTION("""COMPUTED_VALUE"""),"Yes")</f>
        <v>Yes</v>
      </c>
      <c r="O30" s="5" t="str">
        <f>IFERROR(__xludf.DUMMYFUNCTION("""COMPUTED_VALUE"""),"Yes")</f>
        <v>Yes</v>
      </c>
      <c r="P30" s="5" t="str">
        <f>IFERROR(__xludf.DUMMYFUNCTION("""COMPUTED_VALUE"""),"Yes")</f>
        <v>Yes</v>
      </c>
      <c r="Q30" s="5" t="str">
        <f>IFERROR(__xludf.DUMMYFUNCTION("""COMPUTED_VALUE"""),"Yes")</f>
        <v>Yes</v>
      </c>
      <c r="R30" s="5" t="str">
        <f>IFERROR(__xludf.DUMMYFUNCTION("""COMPUTED_VALUE"""),"Yes")</f>
        <v>Yes</v>
      </c>
      <c r="S30" s="5" t="str">
        <f>IFERROR(__xludf.DUMMYFUNCTION("""COMPUTED_VALUE"""),"Yes")</f>
        <v>Yes</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IFERROR(__xludf.DUMMYFUNCTION("""COMPUTED_VALUE"""),"No")</f>
        <v>No</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IFERROR(__xludf.DUMMYFUNCTION("""COMPUTED_VALUE"""),"No")</f>
        <v>No</v>
      </c>
      <c r="AF30" s="5" t="str">
        <f>IFERROR(__xludf.DUMMYFUNCTION("""COMPUTED_VALUE"""),"Yes")</f>
        <v>Yes</v>
      </c>
      <c r="AG30" s="5" t="str">
        <f>IFERROR(__xludf.DUMMYFUNCTION("""COMPUTED_VALUE"""),"No")</f>
        <v>No</v>
      </c>
      <c r="AH30" s="5" t="str">
        <f>IFERROR(__xludf.DUMMYFUNCTION("""COMPUTED_VALUE"""),"No")</f>
        <v>No</v>
      </c>
      <c r="AI30" s="5" t="str">
        <f>IFERROR(__xludf.DUMMYFUNCTION("""COMPUTED_VALUE"""),"No")</f>
        <v>No</v>
      </c>
      <c r="AJ30" s="5" t="str">
        <f>IFERROR(__xludf.DUMMYFUNCTION("""COMPUTED_VALUE"""),"No")</f>
        <v>No</v>
      </c>
      <c r="AK30" s="5" t="str">
        <f>IFERROR(__xludf.DUMMYFUNCTION("""COMPUTED_VALUE"""),"No")</f>
        <v>No</v>
      </c>
      <c r="AL30" s="5" t="str">
        <f>IFERROR(__xludf.DUMMYFUNCTION("""COMPUTED_VALUE"""),"No")</f>
        <v>No</v>
      </c>
      <c r="AM30" s="5"/>
      <c r="AN30" s="5"/>
      <c r="AO30" s="5"/>
      <c r="AP30" s="5"/>
      <c r="AQ30" s="5"/>
      <c r="AR30" s="5"/>
      <c r="AS30" s="5"/>
      <c r="AT30" s="5"/>
      <c r="AU30" s="5"/>
      <c r="AV30" s="5"/>
      <c r="AW30" s="5"/>
      <c r="AX30" s="5"/>
      <c r="AY30" s="5"/>
    </row>
    <row r="31">
      <c r="A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 s="5">
        <f>IFERROR(__xludf.DUMMYFUNCTION("""COMPUTED_VALUE"""),30.0)</f>
        <v>30</v>
      </c>
      <c r="C31" s="5">
        <f>IFERROR(__xludf.DUMMYFUNCTION("""COMPUTED_VALUE"""),29.0)</f>
        <v>29</v>
      </c>
      <c r="D31" s="5" t="str">
        <f>IFERROR(__xludf.DUMMYFUNCTION("""COMPUTED_VALUE"""),"CrystalsOfMagic")</f>
        <v>CrystalsOfMagic</v>
      </c>
      <c r="E31" s="5" t="str">
        <f>IFERROR(__xludf.DUMMYFUNCTION("""COMPUTED_VALUE"""),"Yes")</f>
        <v>Yes</v>
      </c>
      <c r="F31" s="5" t="str">
        <f>IFERROR(__xludf.DUMMYFUNCTION("""COMPUTED_VALUE"""),"Yes")</f>
        <v>Yes</v>
      </c>
      <c r="G31" s="5" t="str">
        <f>IFERROR(__xludf.DUMMYFUNCTION("""COMPUTED_VALUE"""),"Yes")</f>
        <v>Yes</v>
      </c>
      <c r="H31" s="5" t="str">
        <f>IFERROR(__xludf.DUMMYFUNCTION("""COMPUTED_VALUE"""),"Yes")</f>
        <v>Yes</v>
      </c>
      <c r="I31" s="5" t="str">
        <f>IFERROR(__xludf.DUMMYFUNCTION("""COMPUTED_VALUE"""),"Yes")</f>
        <v>Yes</v>
      </c>
      <c r="J31" s="5" t="str">
        <f>IFERROR(__xludf.DUMMYFUNCTION("""COMPUTED_VALUE"""),"Yes")</f>
        <v>Yes</v>
      </c>
      <c r="K31" s="5" t="str">
        <f>IFERROR(__xludf.DUMMYFUNCTION("""COMPUTED_VALUE"""),"Yes")</f>
        <v>Yes</v>
      </c>
      <c r="L31" s="5" t="str">
        <f>IFERROR(__xludf.DUMMYFUNCTION("""COMPUTED_VALUE"""),"Yes")</f>
        <v>Yes</v>
      </c>
      <c r="M31" s="5" t="str">
        <f>IFERROR(__xludf.DUMMYFUNCTION("""COMPUTED_VALUE"""),"Yes")</f>
        <v>Yes</v>
      </c>
      <c r="N31" s="5" t="str">
        <f>IFERROR(__xludf.DUMMYFUNCTION("""COMPUTED_VALUE"""),"Yes")</f>
        <v>Yes</v>
      </c>
      <c r="O31" s="5" t="str">
        <f>IFERROR(__xludf.DUMMYFUNCTION("""COMPUTED_VALUE"""),"Yes")</f>
        <v>Yes</v>
      </c>
      <c r="P31" s="5" t="str">
        <f>IFERROR(__xludf.DUMMYFUNCTION("""COMPUTED_VALUE"""),"Yes")</f>
        <v>Yes</v>
      </c>
      <c r="Q31" s="5" t="str">
        <f>IFERROR(__xludf.DUMMYFUNCTION("""COMPUTED_VALUE"""),"Yes")</f>
        <v>Yes</v>
      </c>
      <c r="R31" s="5" t="str">
        <f>IFERROR(__xludf.DUMMYFUNCTION("""COMPUTED_VALUE"""),"Yes")</f>
        <v>Yes</v>
      </c>
      <c r="S31" s="5" t="str">
        <f>IFERROR(__xludf.DUMMYFUNCTION("""COMPUTED_VALUE"""),"Yes")</f>
        <v>Yes</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IFERROR(__xludf.DUMMYFUNCTION("""COMPUTED_VALUE"""),"No")</f>
        <v>No</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IFERROR(__xludf.DUMMYFUNCTION("""COMPUTED_VALUE"""),"No")</f>
        <v>No</v>
      </c>
      <c r="AF31" s="5" t="str">
        <f>IFERROR(__xludf.DUMMYFUNCTION("""COMPUTED_VALUE"""),"Yes")</f>
        <v>Yes</v>
      </c>
      <c r="AG31" s="5" t="str">
        <f>IFERROR(__xludf.DUMMYFUNCTION("""COMPUTED_VALUE"""),"No")</f>
        <v>No</v>
      </c>
      <c r="AH31" s="5" t="str">
        <f>IFERROR(__xludf.DUMMYFUNCTION("""COMPUTED_VALUE"""),"No")</f>
        <v>No</v>
      </c>
      <c r="AI31" s="5" t="str">
        <f>IFERROR(__xludf.DUMMYFUNCTION("""COMPUTED_VALUE"""),"No")</f>
        <v>No</v>
      </c>
      <c r="AJ31" s="5" t="str">
        <f>IFERROR(__xludf.DUMMYFUNCTION("""COMPUTED_VALUE"""),"No")</f>
        <v>No</v>
      </c>
      <c r="AK31" s="5" t="str">
        <f>IFERROR(__xludf.DUMMYFUNCTION("""COMPUTED_VALUE"""),"No")</f>
        <v>No</v>
      </c>
      <c r="AL31" s="5" t="str">
        <f>IFERROR(__xludf.DUMMYFUNCTION("""COMPUTED_VALUE"""),"No")</f>
        <v>No</v>
      </c>
      <c r="AM31" s="5"/>
      <c r="AN31" s="5"/>
      <c r="AO31" s="5"/>
      <c r="AP31" s="5"/>
      <c r="AQ31" s="5"/>
      <c r="AR31" s="5"/>
      <c r="AS31" s="5"/>
      <c r="AT31" s="5"/>
      <c r="AU31" s="5"/>
      <c r="AV31" s="5"/>
      <c r="AW31" s="5"/>
      <c r="AX31" s="5"/>
      <c r="AY31" s="5"/>
    </row>
    <row r="32">
      <c r="A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 s="5">
        <f>IFERROR(__xludf.DUMMYFUNCTION("""COMPUTED_VALUE"""),31.0)</f>
        <v>31</v>
      </c>
      <c r="C32" s="5">
        <f>IFERROR(__xludf.DUMMYFUNCTION("""COMPUTED_VALUE"""),30.0)</f>
        <v>30</v>
      </c>
      <c r="D32" s="5" t="str">
        <f>IFERROR(__xludf.DUMMYFUNCTION("""COMPUTED_VALUE"""),"Pirates")</f>
        <v>Pirates</v>
      </c>
      <c r="E32" s="5" t="str">
        <f>IFERROR(__xludf.DUMMYFUNCTION("""COMPUTED_VALUE"""),"Yes")</f>
        <v>Yes</v>
      </c>
      <c r="F32" s="5" t="str">
        <f>IFERROR(__xludf.DUMMYFUNCTION("""COMPUTED_VALUE"""),"Yes")</f>
        <v>Yes</v>
      </c>
      <c r="G32" s="5" t="str">
        <f>IFERROR(__xludf.DUMMYFUNCTION("""COMPUTED_VALUE"""),"Yes")</f>
        <v>Yes</v>
      </c>
      <c r="H32" s="5" t="str">
        <f>IFERROR(__xludf.DUMMYFUNCTION("""COMPUTED_VALUE"""),"Yes")</f>
        <v>Yes</v>
      </c>
      <c r="I32" s="5" t="str">
        <f>IFERROR(__xludf.DUMMYFUNCTION("""COMPUTED_VALUE"""),"Yes")</f>
        <v>Yes</v>
      </c>
      <c r="J32" s="5" t="str">
        <f>IFERROR(__xludf.DUMMYFUNCTION("""COMPUTED_VALUE"""),"Yes")</f>
        <v>Yes</v>
      </c>
      <c r="K32" s="5" t="str">
        <f>IFERROR(__xludf.DUMMYFUNCTION("""COMPUTED_VALUE"""),"Yes")</f>
        <v>Yes</v>
      </c>
      <c r="L32" s="5" t="str">
        <f>IFERROR(__xludf.DUMMYFUNCTION("""COMPUTED_VALUE"""),"Yes")</f>
        <v>Yes</v>
      </c>
      <c r="M32" s="5" t="str">
        <f>IFERROR(__xludf.DUMMYFUNCTION("""COMPUTED_VALUE"""),"Yes")</f>
        <v>Yes</v>
      </c>
      <c r="N32" s="5" t="str">
        <f>IFERROR(__xludf.DUMMYFUNCTION("""COMPUTED_VALUE"""),"Yes")</f>
        <v>Yes</v>
      </c>
      <c r="O32" s="5" t="str">
        <f>IFERROR(__xludf.DUMMYFUNCTION("""COMPUTED_VALUE"""),"Yes")</f>
        <v>Yes</v>
      </c>
      <c r="P32" s="5" t="str">
        <f>IFERROR(__xludf.DUMMYFUNCTION("""COMPUTED_VALUE"""),"Yes")</f>
        <v>Yes</v>
      </c>
      <c r="Q32" s="5" t="str">
        <f>IFERROR(__xludf.DUMMYFUNCTION("""COMPUTED_VALUE"""),"Yes")</f>
        <v>Yes</v>
      </c>
      <c r="R32" s="5" t="str">
        <f>IFERROR(__xludf.DUMMYFUNCTION("""COMPUTED_VALUE"""),"Yes")</f>
        <v>Yes</v>
      </c>
      <c r="S32" s="5" t="str">
        <f>IFERROR(__xludf.DUMMYFUNCTION("""COMPUTED_VALUE"""),"Yes")</f>
        <v>Yes</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IFERROR(__xludf.DUMMYFUNCTION("""COMPUTED_VALUE"""),"No")</f>
        <v>No</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IFERROR(__xludf.DUMMYFUNCTION("""COMPUTED_VALUE"""),"No")</f>
        <v>No</v>
      </c>
      <c r="AF32" s="5" t="str">
        <f>IFERROR(__xludf.DUMMYFUNCTION("""COMPUTED_VALUE"""),"Yes")</f>
        <v>Yes</v>
      </c>
      <c r="AG32" s="5" t="str">
        <f>IFERROR(__xludf.DUMMYFUNCTION("""COMPUTED_VALUE"""),"No")</f>
        <v>No</v>
      </c>
      <c r="AH32" s="5" t="str">
        <f>IFERROR(__xludf.DUMMYFUNCTION("""COMPUTED_VALUE"""),"No")</f>
        <v>No</v>
      </c>
      <c r="AI32" s="5" t="str">
        <f>IFERROR(__xludf.DUMMYFUNCTION("""COMPUTED_VALUE"""),"No")</f>
        <v>No</v>
      </c>
      <c r="AJ32" s="5" t="str">
        <f>IFERROR(__xludf.DUMMYFUNCTION("""COMPUTED_VALUE"""),"No")</f>
        <v>No</v>
      </c>
      <c r="AK32" s="5" t="str">
        <f>IFERROR(__xludf.DUMMYFUNCTION("""COMPUTED_VALUE"""),"No")</f>
        <v>No</v>
      </c>
      <c r="AL32" s="5" t="str">
        <f>IFERROR(__xludf.DUMMYFUNCTION("""COMPUTED_VALUE"""),"No")</f>
        <v>No</v>
      </c>
      <c r="AM32" s="5"/>
      <c r="AN32" s="5"/>
      <c r="AO32" s="5"/>
      <c r="AP32" s="5"/>
      <c r="AQ32" s="5"/>
      <c r="AR32" s="5"/>
      <c r="AS32" s="5"/>
      <c r="AT32" s="5"/>
      <c r="AU32" s="5"/>
      <c r="AV32" s="5"/>
      <c r="AW32" s="5"/>
      <c r="AX32" s="5"/>
      <c r="AY32" s="5"/>
    </row>
    <row r="33">
      <c r="A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3" s="5">
        <f>IFERROR(__xludf.DUMMYFUNCTION("""COMPUTED_VALUE"""),32.0)</f>
        <v>32</v>
      </c>
      <c r="C33" s="5">
        <f>IFERROR(__xludf.DUMMYFUNCTION("""COMPUTED_VALUE"""),31.0)</f>
        <v>31</v>
      </c>
      <c r="D33" s="5" t="str">
        <f>IFERROR(__xludf.DUMMYFUNCTION("""COMPUTED_VALUE"""),"BookOfBruno")</f>
        <v>BookOfBruno</v>
      </c>
      <c r="E33" s="5" t="str">
        <f>IFERROR(__xludf.DUMMYFUNCTION("""COMPUTED_VALUE"""),"Yes")</f>
        <v>Yes</v>
      </c>
      <c r="F33" s="5" t="str">
        <f>IFERROR(__xludf.DUMMYFUNCTION("""COMPUTED_VALUE"""),"Yes")</f>
        <v>Yes</v>
      </c>
      <c r="G33" s="5" t="str">
        <f>IFERROR(__xludf.DUMMYFUNCTION("""COMPUTED_VALUE"""),"Yes")</f>
        <v>Yes</v>
      </c>
      <c r="H33" s="5" t="str">
        <f>IFERROR(__xludf.DUMMYFUNCTION("""COMPUTED_VALUE"""),"Yes")</f>
        <v>Yes</v>
      </c>
      <c r="I33" s="5" t="str">
        <f>IFERROR(__xludf.DUMMYFUNCTION("""COMPUTED_VALUE"""),"Yes")</f>
        <v>Yes</v>
      </c>
      <c r="J33" s="5" t="str">
        <f>IFERROR(__xludf.DUMMYFUNCTION("""COMPUTED_VALUE"""),"Yes")</f>
        <v>Yes</v>
      </c>
      <c r="K33" s="5" t="str">
        <f>IFERROR(__xludf.DUMMYFUNCTION("""COMPUTED_VALUE"""),"Yes")</f>
        <v>Yes</v>
      </c>
      <c r="L33" s="5" t="str">
        <f>IFERROR(__xludf.DUMMYFUNCTION("""COMPUTED_VALUE"""),"Yes")</f>
        <v>Yes</v>
      </c>
      <c r="M33" s="5" t="str">
        <f>IFERROR(__xludf.DUMMYFUNCTION("""COMPUTED_VALUE"""),"Yes")</f>
        <v>Yes</v>
      </c>
      <c r="N33" s="5" t="str">
        <f>IFERROR(__xludf.DUMMYFUNCTION("""COMPUTED_VALUE"""),"Yes")</f>
        <v>Yes</v>
      </c>
      <c r="O33" s="5" t="str">
        <f>IFERROR(__xludf.DUMMYFUNCTION("""COMPUTED_VALUE"""),"Yes")</f>
        <v>Yes</v>
      </c>
      <c r="P33" s="5" t="str">
        <f>IFERROR(__xludf.DUMMYFUNCTION("""COMPUTED_VALUE"""),"Yes")</f>
        <v>Yes</v>
      </c>
      <c r="Q33" s="5" t="str">
        <f>IFERROR(__xludf.DUMMYFUNCTION("""COMPUTED_VALUE"""),"Yes")</f>
        <v>Yes</v>
      </c>
      <c r="R33" s="5" t="str">
        <f>IFERROR(__xludf.DUMMYFUNCTION("""COMPUTED_VALUE"""),"Yes")</f>
        <v>Yes</v>
      </c>
      <c r="S33" s="5" t="str">
        <f>IFERROR(__xludf.DUMMYFUNCTION("""COMPUTED_VALUE"""),"Yes")</f>
        <v>Yes</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IFERROR(__xludf.DUMMYFUNCTION("""COMPUTED_VALUE"""),"No")</f>
        <v>No</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IFERROR(__xludf.DUMMYFUNCTION("""COMPUTED_VALUE"""),"No")</f>
        <v>No</v>
      </c>
      <c r="AF33" s="5" t="str">
        <f>IFERROR(__xludf.DUMMYFUNCTION("""COMPUTED_VALUE"""),"Yes")</f>
        <v>Yes</v>
      </c>
      <c r="AG33" s="5" t="str">
        <f>IFERROR(__xludf.DUMMYFUNCTION("""COMPUTED_VALUE"""),"No")</f>
        <v>No</v>
      </c>
      <c r="AH33" s="5" t="str">
        <f>IFERROR(__xludf.DUMMYFUNCTION("""COMPUTED_VALUE"""),"No")</f>
        <v>No</v>
      </c>
      <c r="AI33" s="5" t="str">
        <f>IFERROR(__xludf.DUMMYFUNCTION("""COMPUTED_VALUE"""),"No")</f>
        <v>No</v>
      </c>
      <c r="AJ33" s="5" t="str">
        <f>IFERROR(__xludf.DUMMYFUNCTION("""COMPUTED_VALUE"""),"No")</f>
        <v>No</v>
      </c>
      <c r="AK33" s="5" t="str">
        <f>IFERROR(__xludf.DUMMYFUNCTION("""COMPUTED_VALUE"""),"No")</f>
        <v>No</v>
      </c>
      <c r="AL33" s="5" t="str">
        <f>IFERROR(__xludf.DUMMYFUNCTION("""COMPUTED_VALUE"""),"No")</f>
        <v>No</v>
      </c>
      <c r="AM33" s="5"/>
      <c r="AN33" s="5"/>
      <c r="AO33" s="5"/>
      <c r="AP33" s="5"/>
      <c r="AQ33" s="5"/>
      <c r="AR33" s="5"/>
      <c r="AS33" s="5"/>
      <c r="AT33" s="5"/>
      <c r="AU33" s="5"/>
      <c r="AV33" s="5"/>
      <c r="AW33" s="5"/>
      <c r="AX33" s="5"/>
      <c r="AY33" s="5"/>
    </row>
    <row r="34">
      <c r="A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 s="5">
        <f>IFERROR(__xludf.DUMMYFUNCTION("""COMPUTED_VALUE"""),33.0)</f>
        <v>33</v>
      </c>
      <c r="C34" s="5">
        <f>IFERROR(__xludf.DUMMYFUNCTION("""COMPUTED_VALUE"""),32.0)</f>
        <v>32</v>
      </c>
      <c r="D34" s="5" t="str">
        <f>IFERROR(__xludf.DUMMYFUNCTION("""COMPUTED_VALUE"""),"TropicalHot")</f>
        <v>TropicalHot</v>
      </c>
      <c r="E34" s="5" t="str">
        <f>IFERROR(__xludf.DUMMYFUNCTION("""COMPUTED_VALUE"""),"Yes")</f>
        <v>Yes</v>
      </c>
      <c r="F34" s="5" t="str">
        <f>IFERROR(__xludf.DUMMYFUNCTION("""COMPUTED_VALUE"""),"Yes")</f>
        <v>Yes</v>
      </c>
      <c r="G34" s="5" t="str">
        <f>IFERROR(__xludf.DUMMYFUNCTION("""COMPUTED_VALUE"""),"Yes")</f>
        <v>Yes</v>
      </c>
      <c r="H34" s="5" t="str">
        <f>IFERROR(__xludf.DUMMYFUNCTION("""COMPUTED_VALUE"""),"Yes")</f>
        <v>Yes</v>
      </c>
      <c r="I34" s="5" t="str">
        <f>IFERROR(__xludf.DUMMYFUNCTION("""COMPUTED_VALUE"""),"Yes")</f>
        <v>Yes</v>
      </c>
      <c r="J34" s="5" t="str">
        <f>IFERROR(__xludf.DUMMYFUNCTION("""COMPUTED_VALUE"""),"Yes")</f>
        <v>Yes</v>
      </c>
      <c r="K34" s="5" t="str">
        <f>IFERROR(__xludf.DUMMYFUNCTION("""COMPUTED_VALUE"""),"Yes")</f>
        <v>Yes</v>
      </c>
      <c r="L34" s="5" t="str">
        <f>IFERROR(__xludf.DUMMYFUNCTION("""COMPUTED_VALUE"""),"Yes")</f>
        <v>Yes</v>
      </c>
      <c r="M34" s="5" t="str">
        <f>IFERROR(__xludf.DUMMYFUNCTION("""COMPUTED_VALUE"""),"Yes")</f>
        <v>Yes</v>
      </c>
      <c r="N34" s="5" t="str">
        <f>IFERROR(__xludf.DUMMYFUNCTION("""COMPUTED_VALUE"""),"Yes")</f>
        <v>Yes</v>
      </c>
      <c r="O34" s="5" t="str">
        <f>IFERROR(__xludf.DUMMYFUNCTION("""COMPUTED_VALUE"""),"Yes")</f>
        <v>Yes</v>
      </c>
      <c r="P34" s="5" t="str">
        <f>IFERROR(__xludf.DUMMYFUNCTION("""COMPUTED_VALUE"""),"Yes")</f>
        <v>Yes</v>
      </c>
      <c r="Q34" s="5" t="str">
        <f>IFERROR(__xludf.DUMMYFUNCTION("""COMPUTED_VALUE"""),"Yes")</f>
        <v>Yes</v>
      </c>
      <c r="R34" s="5" t="str">
        <f>IFERROR(__xludf.DUMMYFUNCTION("""COMPUTED_VALUE"""),"Yes")</f>
        <v>Yes</v>
      </c>
      <c r="S34" s="5" t="str">
        <f>IFERROR(__xludf.DUMMYFUNCTION("""COMPUTED_VALUE"""),"Yes")</f>
        <v>Yes</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IFERROR(__xludf.DUMMYFUNCTION("""COMPUTED_VALUE"""),"No")</f>
        <v>No</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IFERROR(__xludf.DUMMYFUNCTION("""COMPUTED_VALUE"""),"No")</f>
        <v>No</v>
      </c>
      <c r="AF34" s="5" t="str">
        <f>IFERROR(__xludf.DUMMYFUNCTION("""COMPUTED_VALUE"""),"Yes")</f>
        <v>Yes</v>
      </c>
      <c r="AG34" s="5" t="str">
        <f>IFERROR(__xludf.DUMMYFUNCTION("""COMPUTED_VALUE"""),"No")</f>
        <v>No</v>
      </c>
      <c r="AH34" s="5" t="str">
        <f>IFERROR(__xludf.DUMMYFUNCTION("""COMPUTED_VALUE"""),"No")</f>
        <v>No</v>
      </c>
      <c r="AI34" s="5" t="str">
        <f>IFERROR(__xludf.DUMMYFUNCTION("""COMPUTED_VALUE"""),"No")</f>
        <v>No</v>
      </c>
      <c r="AJ34" s="5" t="str">
        <f>IFERROR(__xludf.DUMMYFUNCTION("""COMPUTED_VALUE"""),"No")</f>
        <v>No</v>
      </c>
      <c r="AK34" s="5" t="str">
        <f>IFERROR(__xludf.DUMMYFUNCTION("""COMPUTED_VALUE"""),"No")</f>
        <v>No</v>
      </c>
      <c r="AL34" s="5" t="str">
        <f>IFERROR(__xludf.DUMMYFUNCTION("""COMPUTED_VALUE"""),"No")</f>
        <v>No</v>
      </c>
      <c r="AM34" s="5"/>
      <c r="AN34" s="5"/>
      <c r="AO34" s="5"/>
      <c r="AP34" s="5"/>
      <c r="AQ34" s="5"/>
      <c r="AR34" s="5"/>
      <c r="AS34" s="5"/>
      <c r="AT34" s="5"/>
      <c r="AU34" s="5"/>
      <c r="AV34" s="5"/>
      <c r="AW34" s="5"/>
      <c r="AX34" s="5"/>
      <c r="AY34" s="5"/>
    </row>
    <row r="35">
      <c r="A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 s="5">
        <f>IFERROR(__xludf.DUMMYFUNCTION("""COMPUTED_VALUE"""),34.0)</f>
        <v>34</v>
      </c>
      <c r="C35" s="5">
        <f>IFERROR(__xludf.DUMMYFUNCTION("""COMPUTED_VALUE"""),33.0)</f>
        <v>33</v>
      </c>
      <c r="D35" s="5" t="str">
        <f>IFERROR(__xludf.DUMMYFUNCTION("""COMPUTED_VALUE"""),"Monsters")</f>
        <v>Monsters</v>
      </c>
      <c r="E35" s="5" t="str">
        <f>IFERROR(__xludf.DUMMYFUNCTION("""COMPUTED_VALUE"""),"Yes")</f>
        <v>Yes</v>
      </c>
      <c r="F35" s="5" t="str">
        <f>IFERROR(__xludf.DUMMYFUNCTION("""COMPUTED_VALUE"""),"Yes")</f>
        <v>Yes</v>
      </c>
      <c r="G35" s="5" t="str">
        <f>IFERROR(__xludf.DUMMYFUNCTION("""COMPUTED_VALUE"""),"Yes")</f>
        <v>Yes</v>
      </c>
      <c r="H35" s="5" t="str">
        <f>IFERROR(__xludf.DUMMYFUNCTION("""COMPUTED_VALUE"""),"Yes")</f>
        <v>Yes</v>
      </c>
      <c r="I35" s="5" t="str">
        <f>IFERROR(__xludf.DUMMYFUNCTION("""COMPUTED_VALUE"""),"Yes")</f>
        <v>Yes</v>
      </c>
      <c r="J35" s="5" t="str">
        <f>IFERROR(__xludf.DUMMYFUNCTION("""COMPUTED_VALUE"""),"Yes")</f>
        <v>Yes</v>
      </c>
      <c r="K35" s="5" t="str">
        <f>IFERROR(__xludf.DUMMYFUNCTION("""COMPUTED_VALUE"""),"Yes")</f>
        <v>Yes</v>
      </c>
      <c r="L35" s="5" t="str">
        <f>IFERROR(__xludf.DUMMYFUNCTION("""COMPUTED_VALUE"""),"Yes")</f>
        <v>Yes</v>
      </c>
      <c r="M35" s="5" t="str">
        <f>IFERROR(__xludf.DUMMYFUNCTION("""COMPUTED_VALUE"""),"Yes")</f>
        <v>Yes</v>
      </c>
      <c r="N35" s="5" t="str">
        <f>IFERROR(__xludf.DUMMYFUNCTION("""COMPUTED_VALUE"""),"Yes")</f>
        <v>Yes</v>
      </c>
      <c r="O35" s="5" t="str">
        <f>IFERROR(__xludf.DUMMYFUNCTION("""COMPUTED_VALUE"""),"Yes")</f>
        <v>Yes</v>
      </c>
      <c r="P35" s="5" t="str">
        <f>IFERROR(__xludf.DUMMYFUNCTION("""COMPUTED_VALUE"""),"Yes")</f>
        <v>Yes</v>
      </c>
      <c r="Q35" s="5" t="str">
        <f>IFERROR(__xludf.DUMMYFUNCTION("""COMPUTED_VALUE"""),"Yes")</f>
        <v>Yes</v>
      </c>
      <c r="R35" s="5" t="str">
        <f>IFERROR(__xludf.DUMMYFUNCTION("""COMPUTED_VALUE"""),"Yes")</f>
        <v>Yes</v>
      </c>
      <c r="S35" s="5" t="str">
        <f>IFERROR(__xludf.DUMMYFUNCTION("""COMPUTED_VALUE"""),"Yes")</f>
        <v>Yes</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IFERROR(__xludf.DUMMYFUNCTION("""COMPUTED_VALUE"""),"No")</f>
        <v>No</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IFERROR(__xludf.DUMMYFUNCTION("""COMPUTED_VALUE"""),"No")</f>
        <v>No</v>
      </c>
      <c r="AF35" s="5" t="str">
        <f>IFERROR(__xludf.DUMMYFUNCTION("""COMPUTED_VALUE"""),"Yes")</f>
        <v>Yes</v>
      </c>
      <c r="AG35" s="5" t="str">
        <f>IFERROR(__xludf.DUMMYFUNCTION("""COMPUTED_VALUE"""),"No")</f>
        <v>No</v>
      </c>
      <c r="AH35" s="5" t="str">
        <f>IFERROR(__xludf.DUMMYFUNCTION("""COMPUTED_VALUE"""),"No")</f>
        <v>No</v>
      </c>
      <c r="AI35" s="5" t="str">
        <f>IFERROR(__xludf.DUMMYFUNCTION("""COMPUTED_VALUE"""),"No")</f>
        <v>No</v>
      </c>
      <c r="AJ35" s="5" t="str">
        <f>IFERROR(__xludf.DUMMYFUNCTION("""COMPUTED_VALUE"""),"No")</f>
        <v>No</v>
      </c>
      <c r="AK35" s="5" t="str">
        <f>IFERROR(__xludf.DUMMYFUNCTION("""COMPUTED_VALUE"""),"No")</f>
        <v>No</v>
      </c>
      <c r="AL35" s="5" t="str">
        <f>IFERROR(__xludf.DUMMYFUNCTION("""COMPUTED_VALUE"""),"No")</f>
        <v>No</v>
      </c>
      <c r="AM35" s="5"/>
      <c r="AN35" s="5"/>
      <c r="AO35" s="5"/>
      <c r="AP35" s="5"/>
      <c r="AQ35" s="5"/>
      <c r="AR35" s="5"/>
      <c r="AS35" s="5"/>
      <c r="AT35" s="5"/>
      <c r="AU35" s="5"/>
      <c r="AV35" s="5"/>
      <c r="AW35" s="5"/>
      <c r="AX35" s="5"/>
      <c r="AY35" s="5"/>
    </row>
    <row r="36">
      <c r="A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 s="5">
        <f>IFERROR(__xludf.DUMMYFUNCTION("""COMPUTED_VALUE"""),35.0)</f>
        <v>35</v>
      </c>
      <c r="C36" s="5">
        <f>IFERROR(__xludf.DUMMYFUNCTION("""COMPUTED_VALUE"""),34.0)</f>
        <v>34</v>
      </c>
      <c r="D36" s="5" t="str">
        <f>IFERROR(__xludf.DUMMYFUNCTION("""COMPUTED_VALUE"""),"ForestFruits")</f>
        <v>ForestFruits</v>
      </c>
      <c r="E36" s="5" t="str">
        <f>IFERROR(__xludf.DUMMYFUNCTION("""COMPUTED_VALUE"""),"Yes")</f>
        <v>Yes</v>
      </c>
      <c r="F36" s="5" t="str">
        <f>IFERROR(__xludf.DUMMYFUNCTION("""COMPUTED_VALUE"""),"Yes")</f>
        <v>Yes</v>
      </c>
      <c r="G36" s="5" t="str">
        <f>IFERROR(__xludf.DUMMYFUNCTION("""COMPUTED_VALUE"""),"Yes")</f>
        <v>Yes</v>
      </c>
      <c r="H36" s="5" t="str">
        <f>IFERROR(__xludf.DUMMYFUNCTION("""COMPUTED_VALUE"""),"Yes")</f>
        <v>Yes</v>
      </c>
      <c r="I36" s="5" t="str">
        <f>IFERROR(__xludf.DUMMYFUNCTION("""COMPUTED_VALUE"""),"Yes")</f>
        <v>Yes</v>
      </c>
      <c r="J36" s="5" t="str">
        <f>IFERROR(__xludf.DUMMYFUNCTION("""COMPUTED_VALUE"""),"Yes")</f>
        <v>Yes</v>
      </c>
      <c r="K36" s="5" t="str">
        <f>IFERROR(__xludf.DUMMYFUNCTION("""COMPUTED_VALUE"""),"Yes")</f>
        <v>Yes</v>
      </c>
      <c r="L36" s="5" t="str">
        <f>IFERROR(__xludf.DUMMYFUNCTION("""COMPUTED_VALUE"""),"Yes")</f>
        <v>Yes</v>
      </c>
      <c r="M36" s="5" t="str">
        <f>IFERROR(__xludf.DUMMYFUNCTION("""COMPUTED_VALUE"""),"Yes")</f>
        <v>Yes</v>
      </c>
      <c r="N36" s="5" t="str">
        <f>IFERROR(__xludf.DUMMYFUNCTION("""COMPUTED_VALUE"""),"Yes")</f>
        <v>Yes</v>
      </c>
      <c r="O36" s="5" t="str">
        <f>IFERROR(__xludf.DUMMYFUNCTION("""COMPUTED_VALUE"""),"Yes")</f>
        <v>Yes</v>
      </c>
      <c r="P36" s="5" t="str">
        <f>IFERROR(__xludf.DUMMYFUNCTION("""COMPUTED_VALUE"""),"Yes")</f>
        <v>Yes</v>
      </c>
      <c r="Q36" s="5" t="str">
        <f>IFERROR(__xludf.DUMMYFUNCTION("""COMPUTED_VALUE"""),"Yes")</f>
        <v>Yes</v>
      </c>
      <c r="R36" s="5" t="str">
        <f>IFERROR(__xludf.DUMMYFUNCTION("""COMPUTED_VALUE"""),"Yes")</f>
        <v>Yes</v>
      </c>
      <c r="S36" s="5" t="str">
        <f>IFERROR(__xludf.DUMMYFUNCTION("""COMPUTED_VALUE"""),"Yes")</f>
        <v>Yes</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IFERROR(__xludf.DUMMYFUNCTION("""COMPUTED_VALUE"""),"No")</f>
        <v>No</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IFERROR(__xludf.DUMMYFUNCTION("""COMPUTED_VALUE"""),"No")</f>
        <v>No</v>
      </c>
      <c r="AF36" s="5" t="str">
        <f>IFERROR(__xludf.DUMMYFUNCTION("""COMPUTED_VALUE"""),"Yes")</f>
        <v>Yes</v>
      </c>
      <c r="AG36" s="5" t="str">
        <f>IFERROR(__xludf.DUMMYFUNCTION("""COMPUTED_VALUE"""),"No")</f>
        <v>No</v>
      </c>
      <c r="AH36" s="5" t="str">
        <f>IFERROR(__xludf.DUMMYFUNCTION("""COMPUTED_VALUE"""),"No")</f>
        <v>No</v>
      </c>
      <c r="AI36" s="5" t="str">
        <f>IFERROR(__xludf.DUMMYFUNCTION("""COMPUTED_VALUE"""),"No")</f>
        <v>No</v>
      </c>
      <c r="AJ36" s="5" t="str">
        <f>IFERROR(__xludf.DUMMYFUNCTION("""COMPUTED_VALUE"""),"No")</f>
        <v>No</v>
      </c>
      <c r="AK36" s="5" t="str">
        <f>IFERROR(__xludf.DUMMYFUNCTION("""COMPUTED_VALUE"""),"No")</f>
        <v>No</v>
      </c>
      <c r="AL36" s="5" t="str">
        <f>IFERROR(__xludf.DUMMYFUNCTION("""COMPUTED_VALUE"""),"No")</f>
        <v>No</v>
      </c>
      <c r="AM36" s="5"/>
      <c r="AN36" s="5"/>
      <c r="AO36" s="5"/>
      <c r="AP36" s="5"/>
      <c r="AQ36" s="5"/>
      <c r="AR36" s="5"/>
      <c r="AS36" s="5"/>
      <c r="AT36" s="5"/>
      <c r="AU36" s="5"/>
      <c r="AV36" s="5"/>
      <c r="AW36" s="5"/>
      <c r="AX36" s="5"/>
      <c r="AY36" s="5"/>
    </row>
    <row r="37">
      <c r="A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7" s="5">
        <f>IFERROR(__xludf.DUMMYFUNCTION("""COMPUTED_VALUE"""),36.0)</f>
        <v>36</v>
      </c>
      <c r="C37" s="5">
        <f>IFERROR(__xludf.DUMMYFUNCTION("""COMPUTED_VALUE"""),35.0)</f>
        <v>35</v>
      </c>
      <c r="D37" s="5" t="str">
        <f>IFERROR(__xludf.DUMMYFUNCTION("""COMPUTED_VALUE"""),"VikingGold")</f>
        <v>VikingGold</v>
      </c>
      <c r="E37" s="5" t="str">
        <f>IFERROR(__xludf.DUMMYFUNCTION("""COMPUTED_VALUE"""),"Yes")</f>
        <v>Yes</v>
      </c>
      <c r="F37" s="5" t="str">
        <f>IFERROR(__xludf.DUMMYFUNCTION("""COMPUTED_VALUE"""),"Yes")</f>
        <v>Yes</v>
      </c>
      <c r="G37" s="5" t="str">
        <f>IFERROR(__xludf.DUMMYFUNCTION("""COMPUTED_VALUE"""),"Yes")</f>
        <v>Yes</v>
      </c>
      <c r="H37" s="5" t="str">
        <f>IFERROR(__xludf.DUMMYFUNCTION("""COMPUTED_VALUE"""),"Yes")</f>
        <v>Yes</v>
      </c>
      <c r="I37" s="5" t="str">
        <f>IFERROR(__xludf.DUMMYFUNCTION("""COMPUTED_VALUE"""),"Yes")</f>
        <v>Yes</v>
      </c>
      <c r="J37" s="5" t="str">
        <f>IFERROR(__xludf.DUMMYFUNCTION("""COMPUTED_VALUE"""),"Yes")</f>
        <v>Yes</v>
      </c>
      <c r="K37" s="5" t="str">
        <f>IFERROR(__xludf.DUMMYFUNCTION("""COMPUTED_VALUE"""),"Yes")</f>
        <v>Yes</v>
      </c>
      <c r="L37" s="5" t="str">
        <f>IFERROR(__xludf.DUMMYFUNCTION("""COMPUTED_VALUE"""),"Yes")</f>
        <v>Yes</v>
      </c>
      <c r="M37" s="5" t="str">
        <f>IFERROR(__xludf.DUMMYFUNCTION("""COMPUTED_VALUE"""),"Yes")</f>
        <v>Yes</v>
      </c>
      <c r="N37" s="5" t="str">
        <f>IFERROR(__xludf.DUMMYFUNCTION("""COMPUTED_VALUE"""),"Yes")</f>
        <v>Yes</v>
      </c>
      <c r="O37" s="5" t="str">
        <f>IFERROR(__xludf.DUMMYFUNCTION("""COMPUTED_VALUE"""),"Yes")</f>
        <v>Yes</v>
      </c>
      <c r="P37" s="5" t="str">
        <f>IFERROR(__xludf.DUMMYFUNCTION("""COMPUTED_VALUE"""),"Yes")</f>
        <v>Yes</v>
      </c>
      <c r="Q37" s="5" t="str">
        <f>IFERROR(__xludf.DUMMYFUNCTION("""COMPUTED_VALUE"""),"Yes")</f>
        <v>Yes</v>
      </c>
      <c r="R37" s="5" t="str">
        <f>IFERROR(__xludf.DUMMYFUNCTION("""COMPUTED_VALUE"""),"Yes")</f>
        <v>Yes</v>
      </c>
      <c r="S37" s="5" t="str">
        <f>IFERROR(__xludf.DUMMYFUNCTION("""COMPUTED_VALUE"""),"Yes")</f>
        <v>Yes</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IFERROR(__xludf.DUMMYFUNCTION("""COMPUTED_VALUE"""),"No")</f>
        <v>No</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IFERROR(__xludf.DUMMYFUNCTION("""COMPUTED_VALUE"""),"No")</f>
        <v>No</v>
      </c>
      <c r="AF37" s="5" t="str">
        <f>IFERROR(__xludf.DUMMYFUNCTION("""COMPUTED_VALUE"""),"Yes")</f>
        <v>Yes</v>
      </c>
      <c r="AG37" s="5" t="str">
        <f>IFERROR(__xludf.DUMMYFUNCTION("""COMPUTED_VALUE"""),"No")</f>
        <v>No</v>
      </c>
      <c r="AH37" s="5" t="str">
        <f>IFERROR(__xludf.DUMMYFUNCTION("""COMPUTED_VALUE"""),"No")</f>
        <v>No</v>
      </c>
      <c r="AI37" s="5" t="str">
        <f>IFERROR(__xludf.DUMMYFUNCTION("""COMPUTED_VALUE"""),"No")</f>
        <v>No</v>
      </c>
      <c r="AJ37" s="5" t="str">
        <f>IFERROR(__xludf.DUMMYFUNCTION("""COMPUTED_VALUE"""),"No")</f>
        <v>No</v>
      </c>
      <c r="AK37" s="5" t="str">
        <f>IFERROR(__xludf.DUMMYFUNCTION("""COMPUTED_VALUE"""),"No")</f>
        <v>No</v>
      </c>
      <c r="AL37" s="5" t="str">
        <f>IFERROR(__xludf.DUMMYFUNCTION("""COMPUTED_VALUE"""),"No")</f>
        <v>No</v>
      </c>
      <c r="AM37" s="5"/>
      <c r="AN37" s="5"/>
      <c r="AO37" s="5"/>
      <c r="AP37" s="5"/>
      <c r="AQ37" s="5"/>
      <c r="AR37" s="5"/>
      <c r="AS37" s="5"/>
      <c r="AT37" s="5"/>
      <c r="AU37" s="5"/>
      <c r="AV37" s="5"/>
      <c r="AW37" s="5"/>
      <c r="AX37" s="5"/>
      <c r="AY37" s="5"/>
    </row>
    <row r="38">
      <c r="A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8" s="5">
        <f>IFERROR(__xludf.DUMMYFUNCTION("""COMPUTED_VALUE"""),37.0)</f>
        <v>37</v>
      </c>
      <c r="C38" s="5">
        <f>IFERROR(__xludf.DUMMYFUNCTION("""COMPUTED_VALUE"""),36.0)</f>
        <v>36</v>
      </c>
      <c r="D38" s="5" t="str">
        <f>IFERROR(__xludf.DUMMYFUNCTION("""COMPUTED_VALUE"""),"StarGems")</f>
        <v>StarGems</v>
      </c>
      <c r="E38" s="5" t="str">
        <f>IFERROR(__xludf.DUMMYFUNCTION("""COMPUTED_VALUE"""),"Yes")</f>
        <v>Yes</v>
      </c>
      <c r="F38" s="5" t="str">
        <f>IFERROR(__xludf.DUMMYFUNCTION("""COMPUTED_VALUE"""),"Yes")</f>
        <v>Yes</v>
      </c>
      <c r="G38" s="5" t="str">
        <f>IFERROR(__xludf.DUMMYFUNCTION("""COMPUTED_VALUE"""),"Yes")</f>
        <v>Yes</v>
      </c>
      <c r="H38" s="5" t="str">
        <f>IFERROR(__xludf.DUMMYFUNCTION("""COMPUTED_VALUE"""),"Yes")</f>
        <v>Yes</v>
      </c>
      <c r="I38" s="5" t="str">
        <f>IFERROR(__xludf.DUMMYFUNCTION("""COMPUTED_VALUE"""),"Yes")</f>
        <v>Yes</v>
      </c>
      <c r="J38" s="5" t="str">
        <f>IFERROR(__xludf.DUMMYFUNCTION("""COMPUTED_VALUE"""),"Yes")</f>
        <v>Yes</v>
      </c>
      <c r="K38" s="5" t="str">
        <f>IFERROR(__xludf.DUMMYFUNCTION("""COMPUTED_VALUE"""),"Yes")</f>
        <v>Yes</v>
      </c>
      <c r="L38" s="5" t="str">
        <f>IFERROR(__xludf.DUMMYFUNCTION("""COMPUTED_VALUE"""),"Yes")</f>
        <v>Yes</v>
      </c>
      <c r="M38" s="5" t="str">
        <f>IFERROR(__xludf.DUMMYFUNCTION("""COMPUTED_VALUE"""),"Yes")</f>
        <v>Yes</v>
      </c>
      <c r="N38" s="5" t="str">
        <f>IFERROR(__xludf.DUMMYFUNCTION("""COMPUTED_VALUE"""),"Yes")</f>
        <v>Yes</v>
      </c>
      <c r="O38" s="5" t="str">
        <f>IFERROR(__xludf.DUMMYFUNCTION("""COMPUTED_VALUE"""),"Yes")</f>
        <v>Yes</v>
      </c>
      <c r="P38" s="5" t="str">
        <f>IFERROR(__xludf.DUMMYFUNCTION("""COMPUTED_VALUE"""),"Yes")</f>
        <v>Yes</v>
      </c>
      <c r="Q38" s="5" t="str">
        <f>IFERROR(__xludf.DUMMYFUNCTION("""COMPUTED_VALUE"""),"Yes")</f>
        <v>Yes</v>
      </c>
      <c r="R38" s="5" t="str">
        <f>IFERROR(__xludf.DUMMYFUNCTION("""COMPUTED_VALUE"""),"Yes")</f>
        <v>Yes</v>
      </c>
      <c r="S38" s="5" t="str">
        <f>IFERROR(__xludf.DUMMYFUNCTION("""COMPUTED_VALUE"""),"Yes")</f>
        <v>Yes</v>
      </c>
      <c r="T38" s="5" t="str">
        <f>IFERROR(__xludf.DUMMYFUNCTION("""COMPUTED_VALUE"""),"Yes")</f>
        <v>Yes</v>
      </c>
      <c r="U38" s="5" t="str">
        <f>IFERROR(__xludf.DUMMYFUNCTION("""COMPUTED_VALUE"""),"Yes")</f>
        <v>Yes</v>
      </c>
      <c r="V38" s="5" t="str">
        <f>IFERROR(__xludf.DUMMYFUNCTION("""COMPUTED_VALUE"""),"Yes")</f>
        <v>Yes</v>
      </c>
      <c r="W38" s="5" t="str">
        <f>IFERROR(__xludf.DUMMYFUNCTION("""COMPUTED_VALUE"""),"Yes")</f>
        <v>Yes</v>
      </c>
      <c r="X38" s="5" t="str">
        <f>IFERROR(__xludf.DUMMYFUNCTION("""COMPUTED_VALUE"""),"Yes")</f>
        <v>Yes</v>
      </c>
      <c r="Y38" s="5" t="str">
        <f>IFERROR(__xludf.DUMMYFUNCTION("""COMPUTED_VALUE"""),"Yes")</f>
        <v>Yes</v>
      </c>
      <c r="Z38" s="5" t="str">
        <f>IFERROR(__xludf.DUMMYFUNCTION("""COMPUTED_VALUE"""),"No")</f>
        <v>No</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IFERROR(__xludf.DUMMYFUNCTION("""COMPUTED_VALUE"""),"No")</f>
        <v>No</v>
      </c>
      <c r="AF38" s="5" t="str">
        <f>IFERROR(__xludf.DUMMYFUNCTION("""COMPUTED_VALUE"""),"Yes")</f>
        <v>Yes</v>
      </c>
      <c r="AG38" s="5" t="str">
        <f>IFERROR(__xludf.DUMMYFUNCTION("""COMPUTED_VALUE"""),"No")</f>
        <v>No</v>
      </c>
      <c r="AH38" s="5" t="str">
        <f>IFERROR(__xludf.DUMMYFUNCTION("""COMPUTED_VALUE"""),"No")</f>
        <v>No</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c r="AN38" s="5"/>
      <c r="AO38" s="5"/>
      <c r="AP38" s="5"/>
      <c r="AQ38" s="5"/>
      <c r="AR38" s="5"/>
      <c r="AS38" s="5"/>
      <c r="AT38" s="5"/>
      <c r="AU38" s="5"/>
      <c r="AV38" s="5"/>
      <c r="AW38" s="5"/>
      <c r="AX38" s="5"/>
      <c r="AY38" s="5"/>
    </row>
    <row r="39">
      <c r="A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9" s="5">
        <f>IFERROR(__xludf.DUMMYFUNCTION("""COMPUTED_VALUE"""),38.0)</f>
        <v>38</v>
      </c>
      <c r="C39" s="5">
        <f>IFERROR(__xludf.DUMMYFUNCTION("""COMPUTED_VALUE"""),37.0)</f>
        <v>37</v>
      </c>
      <c r="D39" s="5" t="str">
        <f>IFERROR(__xludf.DUMMYFUNCTION("""COMPUTED_VALUE"""),"BookOfSpellsV2")</f>
        <v>BookOfSpellsV2</v>
      </c>
      <c r="E39" s="5" t="str">
        <f>IFERROR(__xludf.DUMMYFUNCTION("""COMPUTED_VALUE"""),"Yes")</f>
        <v>Yes</v>
      </c>
      <c r="F39" s="5" t="str">
        <f>IFERROR(__xludf.DUMMYFUNCTION("""COMPUTED_VALUE"""),"Yes")</f>
        <v>Yes</v>
      </c>
      <c r="G39" s="5" t="str">
        <f>IFERROR(__xludf.DUMMYFUNCTION("""COMPUTED_VALUE"""),"Yes")</f>
        <v>Yes</v>
      </c>
      <c r="H39" s="5" t="str">
        <f>IFERROR(__xludf.DUMMYFUNCTION("""COMPUTED_VALUE"""),"Yes")</f>
        <v>Yes</v>
      </c>
      <c r="I39" s="5" t="str">
        <f>IFERROR(__xludf.DUMMYFUNCTION("""COMPUTED_VALUE"""),"Yes")</f>
        <v>Yes</v>
      </c>
      <c r="J39" s="5" t="str">
        <f>IFERROR(__xludf.DUMMYFUNCTION("""COMPUTED_VALUE"""),"Yes")</f>
        <v>Yes</v>
      </c>
      <c r="K39" s="5" t="str">
        <f>IFERROR(__xludf.DUMMYFUNCTION("""COMPUTED_VALUE"""),"Yes")</f>
        <v>Yes</v>
      </c>
      <c r="L39" s="5" t="str">
        <f>IFERROR(__xludf.DUMMYFUNCTION("""COMPUTED_VALUE"""),"Yes")</f>
        <v>Yes</v>
      </c>
      <c r="M39" s="5" t="str">
        <f>IFERROR(__xludf.DUMMYFUNCTION("""COMPUTED_VALUE"""),"Yes")</f>
        <v>Yes</v>
      </c>
      <c r="N39" s="5" t="str">
        <f>IFERROR(__xludf.DUMMYFUNCTION("""COMPUTED_VALUE"""),"Yes")</f>
        <v>Yes</v>
      </c>
      <c r="O39" s="5" t="str">
        <f>IFERROR(__xludf.DUMMYFUNCTION("""COMPUTED_VALUE"""),"Yes")</f>
        <v>Yes</v>
      </c>
      <c r="P39" s="5" t="str">
        <f>IFERROR(__xludf.DUMMYFUNCTION("""COMPUTED_VALUE"""),"Yes")</f>
        <v>Yes</v>
      </c>
      <c r="Q39" s="5" t="str">
        <f>IFERROR(__xludf.DUMMYFUNCTION("""COMPUTED_VALUE"""),"Yes")</f>
        <v>Yes</v>
      </c>
      <c r="R39" s="5" t="str">
        <f>IFERROR(__xludf.DUMMYFUNCTION("""COMPUTED_VALUE"""),"Yes")</f>
        <v>Yes</v>
      </c>
      <c r="S39" s="5" t="str">
        <f>IFERROR(__xludf.DUMMYFUNCTION("""COMPUTED_VALUE"""),"Yes")</f>
        <v>Yes</v>
      </c>
      <c r="T39" s="5" t="str">
        <f>IFERROR(__xludf.DUMMYFUNCTION("""COMPUTED_VALUE"""),"Yes")</f>
        <v>Yes</v>
      </c>
      <c r="U39" s="5" t="str">
        <f>IFERROR(__xludf.DUMMYFUNCTION("""COMPUTED_VALUE"""),"Yes")</f>
        <v>Yes</v>
      </c>
      <c r="V39" s="5" t="str">
        <f>IFERROR(__xludf.DUMMYFUNCTION("""COMPUTED_VALUE"""),"Yes")</f>
        <v>Yes</v>
      </c>
      <c r="W39" s="5" t="str">
        <f>IFERROR(__xludf.DUMMYFUNCTION("""COMPUTED_VALUE"""),"Yes")</f>
        <v>Yes</v>
      </c>
      <c r="X39" s="5" t="str">
        <f>IFERROR(__xludf.DUMMYFUNCTION("""COMPUTED_VALUE"""),"Yes")</f>
        <v>Yes</v>
      </c>
      <c r="Y39" s="5" t="str">
        <f>IFERROR(__xludf.DUMMYFUNCTION("""COMPUTED_VALUE"""),"Yes")</f>
        <v>Yes</v>
      </c>
      <c r="Z39" s="5" t="str">
        <f>IFERROR(__xludf.DUMMYFUNCTION("""COMPUTED_VALUE"""),"No")</f>
        <v>No</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IFERROR(__xludf.DUMMYFUNCTION("""COMPUTED_VALUE"""),"No")</f>
        <v>No</v>
      </c>
      <c r="AF39" s="5" t="str">
        <f>IFERROR(__xludf.DUMMYFUNCTION("""COMPUTED_VALUE"""),"Yes")</f>
        <v>Yes</v>
      </c>
      <c r="AG39" s="5" t="str">
        <f>IFERROR(__xludf.DUMMYFUNCTION("""COMPUTED_VALUE"""),"No")</f>
        <v>No</v>
      </c>
      <c r="AH39" s="5" t="str">
        <f>IFERROR(__xludf.DUMMYFUNCTION("""COMPUTED_VALUE"""),"No")</f>
        <v>No</v>
      </c>
      <c r="AI39" s="5" t="str">
        <f>IFERROR(__xludf.DUMMYFUNCTION("""COMPUTED_VALUE"""),"No")</f>
        <v>No</v>
      </c>
      <c r="AJ39" s="5" t="str">
        <f>IFERROR(__xludf.DUMMYFUNCTION("""COMPUTED_VALUE"""),"No")</f>
        <v>No</v>
      </c>
      <c r="AK39" s="5" t="str">
        <f>IFERROR(__xludf.DUMMYFUNCTION("""COMPUTED_VALUE"""),"No")</f>
        <v>No</v>
      </c>
      <c r="AL39" s="5" t="str">
        <f>IFERROR(__xludf.DUMMYFUNCTION("""COMPUTED_VALUE"""),"No")</f>
        <v>No</v>
      </c>
      <c r="AM39" s="5"/>
      <c r="AN39" s="5"/>
      <c r="AO39" s="5"/>
      <c r="AP39" s="5"/>
      <c r="AQ39" s="5"/>
      <c r="AR39" s="5"/>
      <c r="AS39" s="5"/>
      <c r="AT39" s="5"/>
      <c r="AU39" s="5"/>
      <c r="AV39" s="5"/>
      <c r="AW39" s="5"/>
      <c r="AX39" s="5"/>
      <c r="AY39" s="5"/>
    </row>
    <row r="40">
      <c r="A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 s="5">
        <f>IFERROR(__xludf.DUMMYFUNCTION("""COMPUTED_VALUE"""),39.0)</f>
        <v>39</v>
      </c>
      <c r="C40" s="5">
        <f>IFERROR(__xludf.DUMMYFUNCTION("""COMPUTED_VALUE"""),38.0)</f>
        <v>38</v>
      </c>
      <c r="D40" s="5" t="str">
        <f>IFERROR(__xludf.DUMMYFUNCTION("""COMPUTED_VALUE"""),"TemplarsQuest")</f>
        <v>TemplarsQuest</v>
      </c>
      <c r="E40" s="5" t="str">
        <f>IFERROR(__xludf.DUMMYFUNCTION("""COMPUTED_VALUE"""),"Yes")</f>
        <v>Yes</v>
      </c>
      <c r="F40" s="5" t="str">
        <f>IFERROR(__xludf.DUMMYFUNCTION("""COMPUTED_VALUE"""),"Yes")</f>
        <v>Yes</v>
      </c>
      <c r="G40" s="5" t="str">
        <f>IFERROR(__xludf.DUMMYFUNCTION("""COMPUTED_VALUE"""),"Yes")</f>
        <v>Yes</v>
      </c>
      <c r="H40" s="5" t="str">
        <f>IFERROR(__xludf.DUMMYFUNCTION("""COMPUTED_VALUE"""),"Yes")</f>
        <v>Yes</v>
      </c>
      <c r="I40" s="5" t="str">
        <f>IFERROR(__xludf.DUMMYFUNCTION("""COMPUTED_VALUE"""),"Yes")</f>
        <v>Yes</v>
      </c>
      <c r="J40" s="5" t="str">
        <f>IFERROR(__xludf.DUMMYFUNCTION("""COMPUTED_VALUE"""),"Yes")</f>
        <v>Yes</v>
      </c>
      <c r="K40" s="5" t="str">
        <f>IFERROR(__xludf.DUMMYFUNCTION("""COMPUTED_VALUE"""),"Yes")</f>
        <v>Yes</v>
      </c>
      <c r="L40" s="5" t="str">
        <f>IFERROR(__xludf.DUMMYFUNCTION("""COMPUTED_VALUE"""),"Yes")</f>
        <v>Yes</v>
      </c>
      <c r="M40" s="5" t="str">
        <f>IFERROR(__xludf.DUMMYFUNCTION("""COMPUTED_VALUE"""),"Yes")</f>
        <v>Yes</v>
      </c>
      <c r="N40" s="5" t="str">
        <f>IFERROR(__xludf.DUMMYFUNCTION("""COMPUTED_VALUE"""),"Yes")</f>
        <v>Yes</v>
      </c>
      <c r="O40" s="5" t="str">
        <f>IFERROR(__xludf.DUMMYFUNCTION("""COMPUTED_VALUE"""),"Yes")</f>
        <v>Yes</v>
      </c>
      <c r="P40" s="5" t="str">
        <f>IFERROR(__xludf.DUMMYFUNCTION("""COMPUTED_VALUE"""),"Yes")</f>
        <v>Yes</v>
      </c>
      <c r="Q40" s="5" t="str">
        <f>IFERROR(__xludf.DUMMYFUNCTION("""COMPUTED_VALUE"""),"Yes")</f>
        <v>Yes</v>
      </c>
      <c r="R40" s="5" t="str">
        <f>IFERROR(__xludf.DUMMYFUNCTION("""COMPUTED_VALUE"""),"Yes")</f>
        <v>Yes</v>
      </c>
      <c r="S40" s="5" t="str">
        <f>IFERROR(__xludf.DUMMYFUNCTION("""COMPUTED_VALUE"""),"Yes")</f>
        <v>Yes</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IFERROR(__xludf.DUMMYFUNCTION("""COMPUTED_VALUE"""),"No")</f>
        <v>No</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IFERROR(__xludf.DUMMYFUNCTION("""COMPUTED_VALUE"""),"No")</f>
        <v>No</v>
      </c>
      <c r="AF40" s="5" t="str">
        <f>IFERROR(__xludf.DUMMYFUNCTION("""COMPUTED_VALUE"""),"Yes")</f>
        <v>Yes</v>
      </c>
      <c r="AG40" s="5" t="str">
        <f>IFERROR(__xludf.DUMMYFUNCTION("""COMPUTED_VALUE"""),"No")</f>
        <v>No</v>
      </c>
      <c r="AH40" s="5" t="str">
        <f>IFERROR(__xludf.DUMMYFUNCTION("""COMPUTED_VALUE"""),"No")</f>
        <v>No</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c r="AN40" s="5"/>
      <c r="AO40" s="5"/>
      <c r="AP40" s="5"/>
      <c r="AQ40" s="5"/>
      <c r="AR40" s="5"/>
      <c r="AS40" s="5"/>
      <c r="AT40" s="5"/>
      <c r="AU40" s="5"/>
      <c r="AV40" s="5"/>
      <c r="AW40" s="5"/>
      <c r="AX40" s="5"/>
      <c r="AY40" s="5"/>
    </row>
    <row r="41">
      <c r="A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1" s="5">
        <f>IFERROR(__xludf.DUMMYFUNCTION("""COMPUTED_VALUE"""),40.0)</f>
        <v>40</v>
      </c>
      <c r="C41" s="5">
        <f>IFERROR(__xludf.DUMMYFUNCTION("""COMPUTED_VALUE"""),39.0)</f>
        <v>39</v>
      </c>
      <c r="D41" s="5" t="str">
        <f>IFERROR(__xludf.DUMMYFUNCTION("""COMPUTED_VALUE"""),"SpaceGuardians")</f>
        <v>SpaceGuardians</v>
      </c>
      <c r="E41" s="5" t="str">
        <f>IFERROR(__xludf.DUMMYFUNCTION("""COMPUTED_VALUE"""),"Yes")</f>
        <v>Yes</v>
      </c>
      <c r="F41" s="5" t="str">
        <f>IFERROR(__xludf.DUMMYFUNCTION("""COMPUTED_VALUE"""),"Yes")</f>
        <v>Yes</v>
      </c>
      <c r="G41" s="5" t="str">
        <f>IFERROR(__xludf.DUMMYFUNCTION("""COMPUTED_VALUE"""),"Yes")</f>
        <v>Yes</v>
      </c>
      <c r="H41" s="5" t="str">
        <f>IFERROR(__xludf.DUMMYFUNCTION("""COMPUTED_VALUE"""),"Yes")</f>
        <v>Yes</v>
      </c>
      <c r="I41" s="5" t="str">
        <f>IFERROR(__xludf.DUMMYFUNCTION("""COMPUTED_VALUE"""),"Yes")</f>
        <v>Yes</v>
      </c>
      <c r="J41" s="5" t="str">
        <f>IFERROR(__xludf.DUMMYFUNCTION("""COMPUTED_VALUE"""),"Yes")</f>
        <v>Yes</v>
      </c>
      <c r="K41" s="5" t="str">
        <f>IFERROR(__xludf.DUMMYFUNCTION("""COMPUTED_VALUE"""),"Yes")</f>
        <v>Yes</v>
      </c>
      <c r="L41" s="5" t="str">
        <f>IFERROR(__xludf.DUMMYFUNCTION("""COMPUTED_VALUE"""),"Yes")</f>
        <v>Yes</v>
      </c>
      <c r="M41" s="5" t="str">
        <f>IFERROR(__xludf.DUMMYFUNCTION("""COMPUTED_VALUE"""),"Yes")</f>
        <v>Yes</v>
      </c>
      <c r="N41" s="5" t="str">
        <f>IFERROR(__xludf.DUMMYFUNCTION("""COMPUTED_VALUE"""),"Yes")</f>
        <v>Yes</v>
      </c>
      <c r="O41" s="5" t="str">
        <f>IFERROR(__xludf.DUMMYFUNCTION("""COMPUTED_VALUE"""),"Yes")</f>
        <v>Yes</v>
      </c>
      <c r="P41" s="5" t="str">
        <f>IFERROR(__xludf.DUMMYFUNCTION("""COMPUTED_VALUE"""),"Yes")</f>
        <v>Yes</v>
      </c>
      <c r="Q41" s="5" t="str">
        <f>IFERROR(__xludf.DUMMYFUNCTION("""COMPUTED_VALUE"""),"Yes")</f>
        <v>Yes</v>
      </c>
      <c r="R41" s="5" t="str">
        <f>IFERROR(__xludf.DUMMYFUNCTION("""COMPUTED_VALUE"""),"Yes")</f>
        <v>Yes</v>
      </c>
      <c r="S41" s="5" t="str">
        <f>IFERROR(__xludf.DUMMYFUNCTION("""COMPUTED_VALUE"""),"Yes")</f>
        <v>Yes</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IFERROR(__xludf.DUMMYFUNCTION("""COMPUTED_VALUE"""),"No")</f>
        <v>No</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IFERROR(__xludf.DUMMYFUNCTION("""COMPUTED_VALUE"""),"No")</f>
        <v>No</v>
      </c>
      <c r="AF41" s="5" t="str">
        <f>IFERROR(__xludf.DUMMYFUNCTION("""COMPUTED_VALUE"""),"Yes")</f>
        <v>Yes</v>
      </c>
      <c r="AG41" s="5" t="str">
        <f>IFERROR(__xludf.DUMMYFUNCTION("""COMPUTED_VALUE"""),"No")</f>
        <v>No</v>
      </c>
      <c r="AH41" s="5" t="str">
        <f>IFERROR(__xludf.DUMMYFUNCTION("""COMPUTED_VALUE"""),"No")</f>
        <v>No</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c r="AN41" s="5"/>
      <c r="AO41" s="5"/>
      <c r="AP41" s="5"/>
      <c r="AQ41" s="5"/>
      <c r="AR41" s="5"/>
      <c r="AS41" s="5"/>
      <c r="AT41" s="5"/>
      <c r="AU41" s="5"/>
      <c r="AV41" s="5"/>
      <c r="AW41" s="5"/>
      <c r="AX41" s="5"/>
      <c r="AY41" s="5"/>
    </row>
    <row r="42">
      <c r="A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 s="5">
        <f>IFERROR(__xludf.DUMMYFUNCTION("""COMPUTED_VALUE"""),41.0)</f>
        <v>41</v>
      </c>
      <c r="C42" s="5">
        <f>IFERROR(__xludf.DUMMYFUNCTION("""COMPUTED_VALUE"""),40.0)</f>
        <v>40</v>
      </c>
      <c r="D42" s="5" t="str">
        <f>IFERROR(__xludf.DUMMYFUNCTION("""COMPUTED_VALUE"""),"NeonHot5")</f>
        <v>NeonHot5</v>
      </c>
      <c r="E42" s="5" t="str">
        <f>IFERROR(__xludf.DUMMYFUNCTION("""COMPUTED_VALUE"""),"Yes")</f>
        <v>Yes</v>
      </c>
      <c r="F42" s="5" t="str">
        <f>IFERROR(__xludf.DUMMYFUNCTION("""COMPUTED_VALUE"""),"Yes")</f>
        <v>Yes</v>
      </c>
      <c r="G42" s="5" t="str">
        <f>IFERROR(__xludf.DUMMYFUNCTION("""COMPUTED_VALUE"""),"Yes")</f>
        <v>Yes</v>
      </c>
      <c r="H42" s="5" t="str">
        <f>IFERROR(__xludf.DUMMYFUNCTION("""COMPUTED_VALUE"""),"Yes")</f>
        <v>Yes</v>
      </c>
      <c r="I42" s="5" t="str">
        <f>IFERROR(__xludf.DUMMYFUNCTION("""COMPUTED_VALUE"""),"Yes")</f>
        <v>Yes</v>
      </c>
      <c r="J42" s="5" t="str">
        <f>IFERROR(__xludf.DUMMYFUNCTION("""COMPUTED_VALUE"""),"Yes")</f>
        <v>Yes</v>
      </c>
      <c r="K42" s="5" t="str">
        <f>IFERROR(__xludf.DUMMYFUNCTION("""COMPUTED_VALUE"""),"Yes")</f>
        <v>Yes</v>
      </c>
      <c r="L42" s="5" t="str">
        <f>IFERROR(__xludf.DUMMYFUNCTION("""COMPUTED_VALUE"""),"Yes")</f>
        <v>Yes</v>
      </c>
      <c r="M42" s="5" t="str">
        <f>IFERROR(__xludf.DUMMYFUNCTION("""COMPUTED_VALUE"""),"Yes")</f>
        <v>Yes</v>
      </c>
      <c r="N42" s="5" t="str">
        <f>IFERROR(__xludf.DUMMYFUNCTION("""COMPUTED_VALUE"""),"Yes")</f>
        <v>Yes</v>
      </c>
      <c r="O42" s="5" t="str">
        <f>IFERROR(__xludf.DUMMYFUNCTION("""COMPUTED_VALUE"""),"Yes")</f>
        <v>Yes</v>
      </c>
      <c r="P42" s="5" t="str">
        <f>IFERROR(__xludf.DUMMYFUNCTION("""COMPUTED_VALUE"""),"Yes")</f>
        <v>Yes</v>
      </c>
      <c r="Q42" s="5" t="str">
        <f>IFERROR(__xludf.DUMMYFUNCTION("""COMPUTED_VALUE"""),"Yes")</f>
        <v>Yes</v>
      </c>
      <c r="R42" s="5" t="str">
        <f>IFERROR(__xludf.DUMMYFUNCTION("""COMPUTED_VALUE"""),"Yes")</f>
        <v>Yes</v>
      </c>
      <c r="S42" s="5" t="str">
        <f>IFERROR(__xludf.DUMMYFUNCTION("""COMPUTED_VALUE"""),"Yes")</f>
        <v>Yes</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IFERROR(__xludf.DUMMYFUNCTION("""COMPUTED_VALUE"""),"No")</f>
        <v>No</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IFERROR(__xludf.DUMMYFUNCTION("""COMPUTED_VALUE"""),"No")</f>
        <v>No</v>
      </c>
      <c r="AF42" s="5" t="str">
        <f>IFERROR(__xludf.DUMMYFUNCTION("""COMPUTED_VALUE"""),"Yes")</f>
        <v>Yes</v>
      </c>
      <c r="AG42" s="5" t="str">
        <f>IFERROR(__xludf.DUMMYFUNCTION("""COMPUTED_VALUE"""),"No")</f>
        <v>No</v>
      </c>
      <c r="AH42" s="5" t="str">
        <f>IFERROR(__xludf.DUMMYFUNCTION("""COMPUTED_VALUE"""),"No")</f>
        <v>No</v>
      </c>
      <c r="AI42" s="5" t="str">
        <f>IFERROR(__xludf.DUMMYFUNCTION("""COMPUTED_VALUE"""),"No")</f>
        <v>No</v>
      </c>
      <c r="AJ42" s="5" t="str">
        <f>IFERROR(__xludf.DUMMYFUNCTION("""COMPUTED_VALUE"""),"No")</f>
        <v>No</v>
      </c>
      <c r="AK42" s="5" t="str">
        <f>IFERROR(__xludf.DUMMYFUNCTION("""COMPUTED_VALUE"""),"No")</f>
        <v>No</v>
      </c>
      <c r="AL42" s="5" t="str">
        <f>IFERROR(__xludf.DUMMYFUNCTION("""COMPUTED_VALUE"""),"No")</f>
        <v>No</v>
      </c>
      <c r="AM42" s="5"/>
      <c r="AN42" s="5"/>
      <c r="AO42" s="5"/>
      <c r="AP42" s="5"/>
      <c r="AQ42" s="5"/>
      <c r="AR42" s="5"/>
      <c r="AS42" s="5"/>
      <c r="AT42" s="5"/>
      <c r="AU42" s="5"/>
      <c r="AV42" s="5"/>
      <c r="AW42" s="5"/>
      <c r="AX42" s="5"/>
      <c r="AY42" s="5"/>
    </row>
    <row r="43">
      <c r="A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 s="5">
        <f>IFERROR(__xludf.DUMMYFUNCTION("""COMPUTED_VALUE"""),42.0)</f>
        <v>42</v>
      </c>
      <c r="C43" s="5">
        <f>IFERROR(__xludf.DUMMYFUNCTION("""COMPUTED_VALUE"""),41.0)</f>
        <v>41</v>
      </c>
      <c r="D43" s="5" t="str">
        <f>IFERROR(__xludf.DUMMYFUNCTION("""COMPUTED_VALUE"""),"Starlight")</f>
        <v>Starlight</v>
      </c>
      <c r="E43" s="5" t="str">
        <f>IFERROR(__xludf.DUMMYFUNCTION("""COMPUTED_VALUE"""),"Yes")</f>
        <v>Yes</v>
      </c>
      <c r="F43" s="5" t="str">
        <f>IFERROR(__xludf.DUMMYFUNCTION("""COMPUTED_VALUE"""),"Yes")</f>
        <v>Yes</v>
      </c>
      <c r="G43" s="5" t="str">
        <f>IFERROR(__xludf.DUMMYFUNCTION("""COMPUTED_VALUE"""),"Yes")</f>
        <v>Yes</v>
      </c>
      <c r="H43" s="5" t="str">
        <f>IFERROR(__xludf.DUMMYFUNCTION("""COMPUTED_VALUE"""),"Yes")</f>
        <v>Yes</v>
      </c>
      <c r="I43" s="5" t="str">
        <f>IFERROR(__xludf.DUMMYFUNCTION("""COMPUTED_VALUE"""),"Yes")</f>
        <v>Yes</v>
      </c>
      <c r="J43" s="5" t="str">
        <f>IFERROR(__xludf.DUMMYFUNCTION("""COMPUTED_VALUE"""),"Yes")</f>
        <v>Yes</v>
      </c>
      <c r="K43" s="5" t="str">
        <f>IFERROR(__xludf.DUMMYFUNCTION("""COMPUTED_VALUE"""),"Yes")</f>
        <v>Yes</v>
      </c>
      <c r="L43" s="5" t="str">
        <f>IFERROR(__xludf.DUMMYFUNCTION("""COMPUTED_VALUE"""),"Yes")</f>
        <v>Yes</v>
      </c>
      <c r="M43" s="5" t="str">
        <f>IFERROR(__xludf.DUMMYFUNCTION("""COMPUTED_VALUE"""),"Yes")</f>
        <v>Yes</v>
      </c>
      <c r="N43" s="5" t="str">
        <f>IFERROR(__xludf.DUMMYFUNCTION("""COMPUTED_VALUE"""),"Yes")</f>
        <v>Yes</v>
      </c>
      <c r="O43" s="5" t="str">
        <f>IFERROR(__xludf.DUMMYFUNCTION("""COMPUTED_VALUE"""),"Yes")</f>
        <v>Yes</v>
      </c>
      <c r="P43" s="5" t="str">
        <f>IFERROR(__xludf.DUMMYFUNCTION("""COMPUTED_VALUE"""),"Yes")</f>
        <v>Yes</v>
      </c>
      <c r="Q43" s="5" t="str">
        <f>IFERROR(__xludf.DUMMYFUNCTION("""COMPUTED_VALUE"""),"Yes")</f>
        <v>Yes</v>
      </c>
      <c r="R43" s="5" t="str">
        <f>IFERROR(__xludf.DUMMYFUNCTION("""COMPUTED_VALUE"""),"Yes")</f>
        <v>Yes</v>
      </c>
      <c r="S43" s="5" t="str">
        <f>IFERROR(__xludf.DUMMYFUNCTION("""COMPUTED_VALUE"""),"Yes")</f>
        <v>Yes</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IFERROR(__xludf.DUMMYFUNCTION("""COMPUTED_VALUE"""),"No")</f>
        <v>No</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IFERROR(__xludf.DUMMYFUNCTION("""COMPUTED_VALUE"""),"No")</f>
        <v>No</v>
      </c>
      <c r="AF43" s="5" t="str">
        <f>IFERROR(__xludf.DUMMYFUNCTION("""COMPUTED_VALUE"""),"Yes")</f>
        <v>Yes</v>
      </c>
      <c r="AG43" s="5" t="str">
        <f>IFERROR(__xludf.DUMMYFUNCTION("""COMPUTED_VALUE"""),"No")</f>
        <v>No</v>
      </c>
      <c r="AH43" s="5" t="str">
        <f>IFERROR(__xludf.DUMMYFUNCTION("""COMPUTED_VALUE"""),"No")</f>
        <v>No</v>
      </c>
      <c r="AI43" s="5" t="str">
        <f>IFERROR(__xludf.DUMMYFUNCTION("""COMPUTED_VALUE"""),"No")</f>
        <v>No</v>
      </c>
      <c r="AJ43" s="5" t="str">
        <f>IFERROR(__xludf.DUMMYFUNCTION("""COMPUTED_VALUE"""),"No")</f>
        <v>No</v>
      </c>
      <c r="AK43" s="5" t="str">
        <f>IFERROR(__xludf.DUMMYFUNCTION("""COMPUTED_VALUE"""),"No")</f>
        <v>No</v>
      </c>
      <c r="AL43" s="5" t="str">
        <f>IFERROR(__xludf.DUMMYFUNCTION("""COMPUTED_VALUE"""),"No")</f>
        <v>No</v>
      </c>
      <c r="AM43" s="5"/>
      <c r="AN43" s="5"/>
      <c r="AO43" s="5"/>
      <c r="AP43" s="5"/>
      <c r="AQ43" s="5"/>
      <c r="AR43" s="5"/>
      <c r="AS43" s="5"/>
      <c r="AT43" s="5"/>
      <c r="AU43" s="5"/>
      <c r="AV43" s="5"/>
      <c r="AW43" s="5"/>
      <c r="AX43" s="5"/>
      <c r="AY43" s="5"/>
    </row>
    <row r="44">
      <c r="A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4" s="5">
        <f>IFERROR(__xludf.DUMMYFUNCTION("""COMPUTED_VALUE"""),43.0)</f>
        <v>43</v>
      </c>
      <c r="C44" s="5">
        <f>IFERROR(__xludf.DUMMYFUNCTION("""COMPUTED_VALUE"""),42.0)</f>
        <v>42</v>
      </c>
      <c r="D44" s="5" t="str">
        <f>IFERROR(__xludf.DUMMYFUNCTION("""COMPUTED_VALUE"""),"TripleHot")</f>
        <v>TripleHot</v>
      </c>
      <c r="E44" s="5" t="str">
        <f>IFERROR(__xludf.DUMMYFUNCTION("""COMPUTED_VALUE"""),"Yes")</f>
        <v>Yes</v>
      </c>
      <c r="F44" s="5" t="str">
        <f>IFERROR(__xludf.DUMMYFUNCTION("""COMPUTED_VALUE"""),"Yes")</f>
        <v>Yes</v>
      </c>
      <c r="G44" s="5" t="str">
        <f>IFERROR(__xludf.DUMMYFUNCTION("""COMPUTED_VALUE"""),"Yes")</f>
        <v>Yes</v>
      </c>
      <c r="H44" s="5" t="str">
        <f>IFERROR(__xludf.DUMMYFUNCTION("""COMPUTED_VALUE"""),"Yes")</f>
        <v>Yes</v>
      </c>
      <c r="I44" s="5" t="str">
        <f>IFERROR(__xludf.DUMMYFUNCTION("""COMPUTED_VALUE"""),"Yes")</f>
        <v>Yes</v>
      </c>
      <c r="J44" s="5" t="str">
        <f>IFERROR(__xludf.DUMMYFUNCTION("""COMPUTED_VALUE"""),"Yes")</f>
        <v>Yes</v>
      </c>
      <c r="K44" s="5" t="str">
        <f>IFERROR(__xludf.DUMMYFUNCTION("""COMPUTED_VALUE"""),"Yes")</f>
        <v>Yes</v>
      </c>
      <c r="L44" s="5" t="str">
        <f>IFERROR(__xludf.DUMMYFUNCTION("""COMPUTED_VALUE"""),"Yes")</f>
        <v>Yes</v>
      </c>
      <c r="M44" s="5" t="str">
        <f>IFERROR(__xludf.DUMMYFUNCTION("""COMPUTED_VALUE"""),"Yes")</f>
        <v>Yes</v>
      </c>
      <c r="N44" s="5" t="str">
        <f>IFERROR(__xludf.DUMMYFUNCTION("""COMPUTED_VALUE"""),"Yes")</f>
        <v>Yes</v>
      </c>
      <c r="O44" s="5" t="str">
        <f>IFERROR(__xludf.DUMMYFUNCTION("""COMPUTED_VALUE"""),"Yes")</f>
        <v>Yes</v>
      </c>
      <c r="P44" s="5" t="str">
        <f>IFERROR(__xludf.DUMMYFUNCTION("""COMPUTED_VALUE"""),"Yes")</f>
        <v>Yes</v>
      </c>
      <c r="Q44" s="5" t="str">
        <f>IFERROR(__xludf.DUMMYFUNCTION("""COMPUTED_VALUE"""),"Yes")</f>
        <v>Yes</v>
      </c>
      <c r="R44" s="5" t="str">
        <f>IFERROR(__xludf.DUMMYFUNCTION("""COMPUTED_VALUE"""),"Yes")</f>
        <v>Yes</v>
      </c>
      <c r="S44" s="5" t="str">
        <f>IFERROR(__xludf.DUMMYFUNCTION("""COMPUTED_VALUE"""),"Yes")</f>
        <v>Yes</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IFERROR(__xludf.DUMMYFUNCTION("""COMPUTED_VALUE"""),"No")</f>
        <v>No</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IFERROR(__xludf.DUMMYFUNCTION("""COMPUTED_VALUE"""),"No")</f>
        <v>No</v>
      </c>
      <c r="AF44" s="5" t="str">
        <f>IFERROR(__xludf.DUMMYFUNCTION("""COMPUTED_VALUE"""),"Yes")</f>
        <v>Yes</v>
      </c>
      <c r="AG44" s="5" t="str">
        <f>IFERROR(__xludf.DUMMYFUNCTION("""COMPUTED_VALUE"""),"No")</f>
        <v>No</v>
      </c>
      <c r="AH44" s="5" t="str">
        <f>IFERROR(__xludf.DUMMYFUNCTION("""COMPUTED_VALUE"""),"No")</f>
        <v>No</v>
      </c>
      <c r="AI44" s="5" t="str">
        <f>IFERROR(__xludf.DUMMYFUNCTION("""COMPUTED_VALUE"""),"No")</f>
        <v>No</v>
      </c>
      <c r="AJ44" s="5" t="str">
        <f>IFERROR(__xludf.DUMMYFUNCTION("""COMPUTED_VALUE"""),"No")</f>
        <v>No</v>
      </c>
      <c r="AK44" s="5" t="str">
        <f>IFERROR(__xludf.DUMMYFUNCTION("""COMPUTED_VALUE"""),"No")</f>
        <v>No</v>
      </c>
      <c r="AL44" s="5" t="str">
        <f>IFERROR(__xludf.DUMMYFUNCTION("""COMPUTED_VALUE"""),"No")</f>
        <v>No</v>
      </c>
      <c r="AM44" s="5"/>
      <c r="AN44" s="5"/>
      <c r="AO44" s="5"/>
      <c r="AP44" s="5"/>
      <c r="AQ44" s="5"/>
      <c r="AR44" s="5"/>
      <c r="AS44" s="5"/>
      <c r="AT44" s="5"/>
      <c r="AU44" s="5"/>
      <c r="AV44" s="5"/>
      <c r="AW44" s="5"/>
      <c r="AX44" s="5"/>
      <c r="AY44" s="5"/>
    </row>
    <row r="45">
      <c r="A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5" s="5">
        <f>IFERROR(__xludf.DUMMYFUNCTION("""COMPUTED_VALUE"""),44.0)</f>
        <v>44</v>
      </c>
      <c r="C45" s="5">
        <f>IFERROR(__xludf.DUMMYFUNCTION("""COMPUTED_VALUE"""),43.0)</f>
        <v>43</v>
      </c>
      <c r="D45" s="5" t="str">
        <f>IFERROR(__xludf.DUMMYFUNCTION("""COMPUTED_VALUE"""),"CrystalHot40")</f>
        <v>CrystalHot40</v>
      </c>
      <c r="E45" s="5" t="str">
        <f>IFERROR(__xludf.DUMMYFUNCTION("""COMPUTED_VALUE"""),"Yes")</f>
        <v>Yes</v>
      </c>
      <c r="F45" s="5" t="str">
        <f>IFERROR(__xludf.DUMMYFUNCTION("""COMPUTED_VALUE"""),"Yes")</f>
        <v>Yes</v>
      </c>
      <c r="G45" s="5" t="str">
        <f>IFERROR(__xludf.DUMMYFUNCTION("""COMPUTED_VALUE"""),"Yes")</f>
        <v>Yes</v>
      </c>
      <c r="H45" s="5" t="str">
        <f>IFERROR(__xludf.DUMMYFUNCTION("""COMPUTED_VALUE"""),"Yes")</f>
        <v>Yes</v>
      </c>
      <c r="I45" s="5" t="str">
        <f>IFERROR(__xludf.DUMMYFUNCTION("""COMPUTED_VALUE"""),"Yes")</f>
        <v>Yes</v>
      </c>
      <c r="J45" s="5" t="str">
        <f>IFERROR(__xludf.DUMMYFUNCTION("""COMPUTED_VALUE"""),"Yes")</f>
        <v>Yes</v>
      </c>
      <c r="K45" s="5" t="str">
        <f>IFERROR(__xludf.DUMMYFUNCTION("""COMPUTED_VALUE"""),"Yes")</f>
        <v>Yes</v>
      </c>
      <c r="L45" s="5" t="str">
        <f>IFERROR(__xludf.DUMMYFUNCTION("""COMPUTED_VALUE"""),"Yes")</f>
        <v>Yes</v>
      </c>
      <c r="M45" s="5" t="str">
        <f>IFERROR(__xludf.DUMMYFUNCTION("""COMPUTED_VALUE"""),"Yes")</f>
        <v>Yes</v>
      </c>
      <c r="N45" s="5" t="str">
        <f>IFERROR(__xludf.DUMMYFUNCTION("""COMPUTED_VALUE"""),"Yes")</f>
        <v>Yes</v>
      </c>
      <c r="O45" s="5" t="str">
        <f>IFERROR(__xludf.DUMMYFUNCTION("""COMPUTED_VALUE"""),"Yes")</f>
        <v>Yes</v>
      </c>
      <c r="P45" s="5" t="str">
        <f>IFERROR(__xludf.DUMMYFUNCTION("""COMPUTED_VALUE"""),"Yes")</f>
        <v>Yes</v>
      </c>
      <c r="Q45" s="5" t="str">
        <f>IFERROR(__xludf.DUMMYFUNCTION("""COMPUTED_VALUE"""),"Yes")</f>
        <v>Yes</v>
      </c>
      <c r="R45" s="5" t="str">
        <f>IFERROR(__xludf.DUMMYFUNCTION("""COMPUTED_VALUE"""),"Yes")</f>
        <v>Yes</v>
      </c>
      <c r="S45" s="5" t="str">
        <f>IFERROR(__xludf.DUMMYFUNCTION("""COMPUTED_VALUE"""),"Yes")</f>
        <v>Yes</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IFERROR(__xludf.DUMMYFUNCTION("""COMPUTED_VALUE"""),"No")</f>
        <v>No</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IFERROR(__xludf.DUMMYFUNCTION("""COMPUTED_VALUE"""),"No")</f>
        <v>No</v>
      </c>
      <c r="AF45" s="5" t="str">
        <f>IFERROR(__xludf.DUMMYFUNCTION("""COMPUTED_VALUE"""),"Yes")</f>
        <v>Yes</v>
      </c>
      <c r="AG45" s="5" t="str">
        <f>IFERROR(__xludf.DUMMYFUNCTION("""COMPUTED_VALUE"""),"No")</f>
        <v>No</v>
      </c>
      <c r="AH45" s="5" t="str">
        <f>IFERROR(__xludf.DUMMYFUNCTION("""COMPUTED_VALUE"""),"No")</f>
        <v>No</v>
      </c>
      <c r="AI45" s="5" t="str">
        <f>IFERROR(__xludf.DUMMYFUNCTION("""COMPUTED_VALUE"""),"No")</f>
        <v>No</v>
      </c>
      <c r="AJ45" s="5" t="str">
        <f>IFERROR(__xludf.DUMMYFUNCTION("""COMPUTED_VALUE"""),"No")</f>
        <v>No</v>
      </c>
      <c r="AK45" s="5" t="str">
        <f>IFERROR(__xludf.DUMMYFUNCTION("""COMPUTED_VALUE"""),"No")</f>
        <v>No</v>
      </c>
      <c r="AL45" s="5" t="str">
        <f>IFERROR(__xludf.DUMMYFUNCTION("""COMPUTED_VALUE"""),"No")</f>
        <v>No</v>
      </c>
      <c r="AM45" s="5"/>
      <c r="AN45" s="5"/>
      <c r="AO45" s="5"/>
      <c r="AP45" s="5"/>
      <c r="AQ45" s="5"/>
      <c r="AR45" s="5"/>
      <c r="AS45" s="5"/>
      <c r="AT45" s="5"/>
      <c r="AU45" s="5"/>
      <c r="AV45" s="5"/>
      <c r="AW45" s="5"/>
      <c r="AX45" s="5"/>
      <c r="AY45" s="5"/>
    </row>
    <row r="46">
      <c r="A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6" s="5">
        <f>IFERROR(__xludf.DUMMYFUNCTION("""COMPUTED_VALUE"""),45.0)</f>
        <v>45</v>
      </c>
      <c r="C46" s="5">
        <f>IFERROR(__xludf.DUMMYFUNCTION("""COMPUTED_VALUE"""),44.0)</f>
        <v>44</v>
      </c>
      <c r="D46" s="5" t="str">
        <f>IFERROR(__xludf.DUMMYFUNCTION("""COMPUTED_VALUE"""),"BurningIceDeluxe")</f>
        <v>BurningIceDeluxe</v>
      </c>
      <c r="E46" s="5" t="str">
        <f>IFERROR(__xludf.DUMMYFUNCTION("""COMPUTED_VALUE"""),"Yes")</f>
        <v>Yes</v>
      </c>
      <c r="F46" s="5" t="str">
        <f>IFERROR(__xludf.DUMMYFUNCTION("""COMPUTED_VALUE"""),"Yes")</f>
        <v>Yes</v>
      </c>
      <c r="G46" s="5" t="str">
        <f>IFERROR(__xludf.DUMMYFUNCTION("""COMPUTED_VALUE"""),"Yes")</f>
        <v>Yes</v>
      </c>
      <c r="H46" s="5" t="str">
        <f>IFERROR(__xludf.DUMMYFUNCTION("""COMPUTED_VALUE"""),"Yes")</f>
        <v>Yes</v>
      </c>
      <c r="I46" s="5" t="str">
        <f>IFERROR(__xludf.DUMMYFUNCTION("""COMPUTED_VALUE"""),"Yes")</f>
        <v>Yes</v>
      </c>
      <c r="J46" s="5" t="str">
        <f>IFERROR(__xludf.DUMMYFUNCTION("""COMPUTED_VALUE"""),"Yes")</f>
        <v>Yes</v>
      </c>
      <c r="K46" s="5" t="str">
        <f>IFERROR(__xludf.DUMMYFUNCTION("""COMPUTED_VALUE"""),"Yes")</f>
        <v>Yes</v>
      </c>
      <c r="L46" s="5" t="str">
        <f>IFERROR(__xludf.DUMMYFUNCTION("""COMPUTED_VALUE"""),"Yes")</f>
        <v>Yes</v>
      </c>
      <c r="M46" s="5" t="str">
        <f>IFERROR(__xludf.DUMMYFUNCTION("""COMPUTED_VALUE"""),"Yes")</f>
        <v>Yes</v>
      </c>
      <c r="N46" s="5" t="str">
        <f>IFERROR(__xludf.DUMMYFUNCTION("""COMPUTED_VALUE"""),"Yes")</f>
        <v>Yes</v>
      </c>
      <c r="O46" s="5" t="str">
        <f>IFERROR(__xludf.DUMMYFUNCTION("""COMPUTED_VALUE"""),"Yes")</f>
        <v>Yes</v>
      </c>
      <c r="P46" s="5" t="str">
        <f>IFERROR(__xludf.DUMMYFUNCTION("""COMPUTED_VALUE"""),"Yes")</f>
        <v>Yes</v>
      </c>
      <c r="Q46" s="5" t="str">
        <f>IFERROR(__xludf.DUMMYFUNCTION("""COMPUTED_VALUE"""),"Yes")</f>
        <v>Yes</v>
      </c>
      <c r="R46" s="5" t="str">
        <f>IFERROR(__xludf.DUMMYFUNCTION("""COMPUTED_VALUE"""),"Yes")</f>
        <v>Yes</v>
      </c>
      <c r="S46" s="5" t="str">
        <f>IFERROR(__xludf.DUMMYFUNCTION("""COMPUTED_VALUE"""),"Yes")</f>
        <v>Yes</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IFERROR(__xludf.DUMMYFUNCTION("""COMPUTED_VALUE"""),"No")</f>
        <v>No</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IFERROR(__xludf.DUMMYFUNCTION("""COMPUTED_VALUE"""),"No")</f>
        <v>No</v>
      </c>
      <c r="AF46" s="5" t="str">
        <f>IFERROR(__xludf.DUMMYFUNCTION("""COMPUTED_VALUE"""),"Yes")</f>
        <v>Yes</v>
      </c>
      <c r="AG46" s="5" t="str">
        <f>IFERROR(__xludf.DUMMYFUNCTION("""COMPUTED_VALUE"""),"No")</f>
        <v>No</v>
      </c>
      <c r="AH46" s="5" t="str">
        <f>IFERROR(__xludf.DUMMYFUNCTION("""COMPUTED_VALUE"""),"No")</f>
        <v>No</v>
      </c>
      <c r="AI46" s="5" t="str">
        <f>IFERROR(__xludf.DUMMYFUNCTION("""COMPUTED_VALUE"""),"No")</f>
        <v>No</v>
      </c>
      <c r="AJ46" s="5" t="str">
        <f>IFERROR(__xludf.DUMMYFUNCTION("""COMPUTED_VALUE"""),"No")</f>
        <v>No</v>
      </c>
      <c r="AK46" s="5" t="str">
        <f>IFERROR(__xludf.DUMMYFUNCTION("""COMPUTED_VALUE"""),"No")</f>
        <v>No</v>
      </c>
      <c r="AL46" s="5" t="str">
        <f>IFERROR(__xludf.DUMMYFUNCTION("""COMPUTED_VALUE"""),"No")</f>
        <v>No</v>
      </c>
      <c r="AM46" s="5"/>
      <c r="AN46" s="5"/>
      <c r="AO46" s="5"/>
      <c r="AP46" s="5"/>
      <c r="AQ46" s="5"/>
      <c r="AR46" s="5"/>
      <c r="AS46" s="5"/>
      <c r="AT46" s="5"/>
      <c r="AU46" s="5"/>
      <c r="AV46" s="5"/>
      <c r="AW46" s="5"/>
      <c r="AX46" s="5"/>
      <c r="AY46" s="5"/>
    </row>
    <row r="47">
      <c r="A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47" s="5">
        <f>IFERROR(__xludf.DUMMYFUNCTION("""COMPUTED_VALUE"""),46.0)</f>
        <v>46</v>
      </c>
      <c r="C47" s="5">
        <f>IFERROR(__xludf.DUMMYFUNCTION("""COMPUTED_VALUE"""),45.0)</f>
        <v>45</v>
      </c>
      <c r="D47" s="5" t="str">
        <f>IFERROR(__xludf.DUMMYFUNCTION("""COMPUTED_VALUE"""),"NeonDice5")</f>
        <v>NeonDice5</v>
      </c>
      <c r="E47" s="5" t="str">
        <f>IFERROR(__xludf.DUMMYFUNCTION("""COMPUTED_VALUE"""),"Yes")</f>
        <v>Yes</v>
      </c>
      <c r="F47" s="5" t="str">
        <f>IFERROR(__xludf.DUMMYFUNCTION("""COMPUTED_VALUE"""),"Yes")</f>
        <v>Yes</v>
      </c>
      <c r="G47" s="5" t="str">
        <f>IFERROR(__xludf.DUMMYFUNCTION("""COMPUTED_VALUE"""),"Yes")</f>
        <v>Yes</v>
      </c>
      <c r="H47" s="5" t="str">
        <f>IFERROR(__xludf.DUMMYFUNCTION("""COMPUTED_VALUE"""),"Yes")</f>
        <v>Yes</v>
      </c>
      <c r="I47" s="5" t="str">
        <f>IFERROR(__xludf.DUMMYFUNCTION("""COMPUTED_VALUE"""),"Yes")</f>
        <v>Yes</v>
      </c>
      <c r="J47" s="5" t="str">
        <f>IFERROR(__xludf.DUMMYFUNCTION("""COMPUTED_VALUE"""),"Yes")</f>
        <v>Yes</v>
      </c>
      <c r="K47" s="5" t="str">
        <f>IFERROR(__xludf.DUMMYFUNCTION("""COMPUTED_VALUE"""),"Yes")</f>
        <v>Yes</v>
      </c>
      <c r="L47" s="5" t="str">
        <f>IFERROR(__xludf.DUMMYFUNCTION("""COMPUTED_VALUE"""),"Yes")</f>
        <v>Yes</v>
      </c>
      <c r="M47" s="5" t="str">
        <f>IFERROR(__xludf.DUMMYFUNCTION("""COMPUTED_VALUE"""),"Yes")</f>
        <v>Yes</v>
      </c>
      <c r="N47" s="5" t="str">
        <f>IFERROR(__xludf.DUMMYFUNCTION("""COMPUTED_VALUE"""),"Yes")</f>
        <v>Yes</v>
      </c>
      <c r="O47" s="5" t="str">
        <f>IFERROR(__xludf.DUMMYFUNCTION("""COMPUTED_VALUE"""),"Yes")</f>
        <v>Yes</v>
      </c>
      <c r="P47" s="5" t="str">
        <f>IFERROR(__xludf.DUMMYFUNCTION("""COMPUTED_VALUE"""),"Yes")</f>
        <v>Yes</v>
      </c>
      <c r="Q47" s="5" t="str">
        <f>IFERROR(__xludf.DUMMYFUNCTION("""COMPUTED_VALUE"""),"Yes")</f>
        <v>Yes</v>
      </c>
      <c r="R47" s="5" t="str">
        <f>IFERROR(__xludf.DUMMYFUNCTION("""COMPUTED_VALUE"""),"Yes")</f>
        <v>Yes</v>
      </c>
      <c r="S47" s="5" t="str">
        <f>IFERROR(__xludf.DUMMYFUNCTION("""COMPUTED_VALUE"""),"Yes")</f>
        <v>Yes</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c r="Z47" s="5"/>
      <c r="AA47" s="5"/>
      <c r="AB47" s="5"/>
      <c r="AC47" s="5" t="str">
        <f>IFERROR(__xludf.DUMMYFUNCTION("""COMPUTED_VALUE"""),"Yes")</f>
        <v>Yes</v>
      </c>
      <c r="AD47" s="5"/>
      <c r="AE47" s="5"/>
      <c r="AF47" s="5"/>
      <c r="AG47" s="5"/>
      <c r="AH47" s="5"/>
      <c r="AI47" s="5"/>
      <c r="AJ47" s="5"/>
      <c r="AK47" s="5"/>
      <c r="AL47" s="5"/>
      <c r="AM47" s="5"/>
      <c r="AN47" s="5"/>
      <c r="AO47" s="5"/>
      <c r="AP47" s="5"/>
      <c r="AQ47" s="5"/>
      <c r="AR47" s="5"/>
      <c r="AS47" s="5"/>
      <c r="AT47" s="5"/>
      <c r="AU47" s="5"/>
      <c r="AV47" s="5"/>
      <c r="AW47" s="5"/>
      <c r="AX47" s="5"/>
      <c r="AY47" s="5"/>
    </row>
    <row r="48">
      <c r="A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8" s="5">
        <f>IFERROR(__xludf.DUMMYFUNCTION("""COMPUTED_VALUE"""),47.0)</f>
        <v>47</v>
      </c>
      <c r="C48" s="5">
        <f>IFERROR(__xludf.DUMMYFUNCTION("""COMPUTED_VALUE"""),46.0)</f>
        <v>46</v>
      </c>
      <c r="D48" s="5" t="str">
        <f>IFERROR(__xludf.DUMMYFUNCTION("""COMPUTED_VALUE"""),"TurboDice40")</f>
        <v>TurboDice40</v>
      </c>
      <c r="E48" s="5" t="str">
        <f>IFERROR(__xludf.DUMMYFUNCTION("""COMPUTED_VALUE"""),"Yes")</f>
        <v>Yes</v>
      </c>
      <c r="F48" s="5" t="str">
        <f>IFERROR(__xludf.DUMMYFUNCTION("""COMPUTED_VALUE"""),"Yes")</f>
        <v>Yes</v>
      </c>
      <c r="G48" s="5" t="str">
        <f>IFERROR(__xludf.DUMMYFUNCTION("""COMPUTED_VALUE"""),"Yes")</f>
        <v>Yes</v>
      </c>
      <c r="H48" s="5" t="str">
        <f>IFERROR(__xludf.DUMMYFUNCTION("""COMPUTED_VALUE"""),"Yes")</f>
        <v>Yes</v>
      </c>
      <c r="I48" s="5" t="str">
        <f>IFERROR(__xludf.DUMMYFUNCTION("""COMPUTED_VALUE"""),"Yes")</f>
        <v>Yes</v>
      </c>
      <c r="J48" s="5" t="str">
        <f>IFERROR(__xludf.DUMMYFUNCTION("""COMPUTED_VALUE"""),"Yes")</f>
        <v>Yes</v>
      </c>
      <c r="K48" s="5" t="str">
        <f>IFERROR(__xludf.DUMMYFUNCTION("""COMPUTED_VALUE"""),"Yes")</f>
        <v>Yes</v>
      </c>
      <c r="L48" s="5" t="str">
        <f>IFERROR(__xludf.DUMMYFUNCTION("""COMPUTED_VALUE"""),"Yes")</f>
        <v>Yes</v>
      </c>
      <c r="M48" s="5" t="str">
        <f>IFERROR(__xludf.DUMMYFUNCTION("""COMPUTED_VALUE"""),"Yes")</f>
        <v>Yes</v>
      </c>
      <c r="N48" s="5" t="str">
        <f>IFERROR(__xludf.DUMMYFUNCTION("""COMPUTED_VALUE"""),"Yes")</f>
        <v>Yes</v>
      </c>
      <c r="O48" s="5" t="str">
        <f>IFERROR(__xludf.DUMMYFUNCTION("""COMPUTED_VALUE"""),"Yes")</f>
        <v>Yes</v>
      </c>
      <c r="P48" s="5" t="str">
        <f>IFERROR(__xludf.DUMMYFUNCTION("""COMPUTED_VALUE"""),"Yes")</f>
        <v>Yes</v>
      </c>
      <c r="Q48" s="5" t="str">
        <f>IFERROR(__xludf.DUMMYFUNCTION("""COMPUTED_VALUE"""),"Yes")</f>
        <v>Yes</v>
      </c>
      <c r="R48" s="5" t="str">
        <f>IFERROR(__xludf.DUMMYFUNCTION("""COMPUTED_VALUE"""),"Yes")</f>
        <v>Yes</v>
      </c>
      <c r="S48" s="5" t="str">
        <f>IFERROR(__xludf.DUMMYFUNCTION("""COMPUTED_VALUE"""),"Yes")</f>
        <v>Yes</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IFERROR(__xludf.DUMMYFUNCTION("""COMPUTED_VALUE"""),"No")</f>
        <v>No</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IFERROR(__xludf.DUMMYFUNCTION("""COMPUTED_VALUE"""),"No")</f>
        <v>No</v>
      </c>
      <c r="AF48" s="5" t="str">
        <f>IFERROR(__xludf.DUMMYFUNCTION("""COMPUTED_VALUE"""),"Yes")</f>
        <v>Yes</v>
      </c>
      <c r="AG48" s="5" t="str">
        <f>IFERROR(__xludf.DUMMYFUNCTION("""COMPUTED_VALUE"""),"No")</f>
        <v>No</v>
      </c>
      <c r="AH48" s="5" t="str">
        <f>IFERROR(__xludf.DUMMYFUNCTION("""COMPUTED_VALUE"""),"No")</f>
        <v>No</v>
      </c>
      <c r="AI48" s="5" t="str">
        <f>IFERROR(__xludf.DUMMYFUNCTION("""COMPUTED_VALUE"""),"No")</f>
        <v>No</v>
      </c>
      <c r="AJ48" s="5" t="str">
        <f>IFERROR(__xludf.DUMMYFUNCTION("""COMPUTED_VALUE"""),"No")</f>
        <v>No</v>
      </c>
      <c r="AK48" s="5" t="str">
        <f>IFERROR(__xludf.DUMMYFUNCTION("""COMPUTED_VALUE"""),"No")</f>
        <v>No</v>
      </c>
      <c r="AL48" s="5" t="str">
        <f>IFERROR(__xludf.DUMMYFUNCTION("""COMPUTED_VALUE"""),"No")</f>
        <v>No</v>
      </c>
      <c r="AM48" s="5"/>
      <c r="AN48" s="5"/>
      <c r="AO48" s="5"/>
      <c r="AP48" s="5"/>
      <c r="AQ48" s="5"/>
      <c r="AR48" s="5"/>
      <c r="AS48" s="5"/>
      <c r="AT48" s="5"/>
      <c r="AU48" s="5"/>
      <c r="AV48" s="5"/>
      <c r="AW48" s="5"/>
      <c r="AX48" s="5"/>
      <c r="AY48" s="5"/>
    </row>
    <row r="49">
      <c r="A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9" s="5">
        <f>IFERROR(__xludf.DUMMYFUNCTION("""COMPUTED_VALUE"""),48.0)</f>
        <v>48</v>
      </c>
      <c r="C49" s="5">
        <f>IFERROR(__xludf.DUMMYFUNCTION("""COMPUTED_VALUE"""),47.0)</f>
        <v>47</v>
      </c>
      <c r="D49" s="5" t="str">
        <f>IFERROR(__xludf.DUMMYFUNCTION("""COMPUTED_VALUE"""),"TripleDice")</f>
        <v>TripleDice</v>
      </c>
      <c r="E49" s="5" t="str">
        <f>IFERROR(__xludf.DUMMYFUNCTION("""COMPUTED_VALUE"""),"Yes")</f>
        <v>Yes</v>
      </c>
      <c r="F49" s="5" t="str">
        <f>IFERROR(__xludf.DUMMYFUNCTION("""COMPUTED_VALUE"""),"Yes")</f>
        <v>Yes</v>
      </c>
      <c r="G49" s="5" t="str">
        <f>IFERROR(__xludf.DUMMYFUNCTION("""COMPUTED_VALUE"""),"Yes")</f>
        <v>Yes</v>
      </c>
      <c r="H49" s="5" t="str">
        <f>IFERROR(__xludf.DUMMYFUNCTION("""COMPUTED_VALUE"""),"Yes")</f>
        <v>Yes</v>
      </c>
      <c r="I49" s="5" t="str">
        <f>IFERROR(__xludf.DUMMYFUNCTION("""COMPUTED_VALUE"""),"Yes")</f>
        <v>Yes</v>
      </c>
      <c r="J49" s="5" t="str">
        <f>IFERROR(__xludf.DUMMYFUNCTION("""COMPUTED_VALUE"""),"Yes")</f>
        <v>Yes</v>
      </c>
      <c r="K49" s="5" t="str">
        <f>IFERROR(__xludf.DUMMYFUNCTION("""COMPUTED_VALUE"""),"Yes")</f>
        <v>Yes</v>
      </c>
      <c r="L49" s="5" t="str">
        <f>IFERROR(__xludf.DUMMYFUNCTION("""COMPUTED_VALUE"""),"Yes")</f>
        <v>Yes</v>
      </c>
      <c r="M49" s="5" t="str">
        <f>IFERROR(__xludf.DUMMYFUNCTION("""COMPUTED_VALUE"""),"Yes")</f>
        <v>Yes</v>
      </c>
      <c r="N49" s="5" t="str">
        <f>IFERROR(__xludf.DUMMYFUNCTION("""COMPUTED_VALUE"""),"Yes")</f>
        <v>Yes</v>
      </c>
      <c r="O49" s="5" t="str">
        <f>IFERROR(__xludf.DUMMYFUNCTION("""COMPUTED_VALUE"""),"Yes")</f>
        <v>Yes</v>
      </c>
      <c r="P49" s="5" t="str">
        <f>IFERROR(__xludf.DUMMYFUNCTION("""COMPUTED_VALUE"""),"Yes")</f>
        <v>Yes</v>
      </c>
      <c r="Q49" s="5" t="str">
        <f>IFERROR(__xludf.DUMMYFUNCTION("""COMPUTED_VALUE"""),"Yes")</f>
        <v>Yes</v>
      </c>
      <c r="R49" s="5" t="str">
        <f>IFERROR(__xludf.DUMMYFUNCTION("""COMPUTED_VALUE"""),"Yes")</f>
        <v>Yes</v>
      </c>
      <c r="S49" s="5" t="str">
        <f>IFERROR(__xludf.DUMMYFUNCTION("""COMPUTED_VALUE"""),"Yes")</f>
        <v>Yes</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IFERROR(__xludf.DUMMYFUNCTION("""COMPUTED_VALUE"""),"No")</f>
        <v>No</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IFERROR(__xludf.DUMMYFUNCTION("""COMPUTED_VALUE"""),"No")</f>
        <v>No</v>
      </c>
      <c r="AF49" s="5" t="str">
        <f>IFERROR(__xludf.DUMMYFUNCTION("""COMPUTED_VALUE"""),"Yes")</f>
        <v>Yes</v>
      </c>
      <c r="AG49" s="5" t="str">
        <f>IFERROR(__xludf.DUMMYFUNCTION("""COMPUTED_VALUE"""),"No")</f>
        <v>No</v>
      </c>
      <c r="AH49" s="5" t="str">
        <f>IFERROR(__xludf.DUMMYFUNCTION("""COMPUTED_VALUE"""),"No")</f>
        <v>No</v>
      </c>
      <c r="AI49" s="5" t="str">
        <f>IFERROR(__xludf.DUMMYFUNCTION("""COMPUTED_VALUE"""),"No")</f>
        <v>No</v>
      </c>
      <c r="AJ49" s="5" t="str">
        <f>IFERROR(__xludf.DUMMYFUNCTION("""COMPUTED_VALUE"""),"No")</f>
        <v>No</v>
      </c>
      <c r="AK49" s="5" t="str">
        <f>IFERROR(__xludf.DUMMYFUNCTION("""COMPUTED_VALUE"""),"No")</f>
        <v>No</v>
      </c>
      <c r="AL49" s="5" t="str">
        <f>IFERROR(__xludf.DUMMYFUNCTION("""COMPUTED_VALUE"""),"No")</f>
        <v>No</v>
      </c>
      <c r="AM49" s="5"/>
      <c r="AN49" s="5"/>
      <c r="AO49" s="5"/>
      <c r="AP49" s="5"/>
      <c r="AQ49" s="5"/>
      <c r="AR49" s="5"/>
      <c r="AS49" s="5"/>
      <c r="AT49" s="5"/>
      <c r="AU49" s="5"/>
      <c r="AV49" s="5"/>
      <c r="AW49" s="5"/>
      <c r="AX49" s="5"/>
      <c r="AY49" s="5"/>
    </row>
    <row r="50">
      <c r="A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0" s="5">
        <f>IFERROR(__xludf.DUMMYFUNCTION("""COMPUTED_VALUE"""),49.0)</f>
        <v>49</v>
      </c>
      <c r="C50" s="5">
        <f>IFERROR(__xludf.DUMMYFUNCTION("""COMPUTED_VALUE"""),48.0)</f>
        <v>48</v>
      </c>
      <c r="D50" s="5" t="str">
        <f>IFERROR(__xludf.DUMMYFUNCTION("""COMPUTED_VALUE"""),"FlashingDice")</f>
        <v>FlashingDice</v>
      </c>
      <c r="E50" s="5" t="str">
        <f>IFERROR(__xludf.DUMMYFUNCTION("""COMPUTED_VALUE"""),"Yes")</f>
        <v>Yes</v>
      </c>
      <c r="F50" s="5" t="str">
        <f>IFERROR(__xludf.DUMMYFUNCTION("""COMPUTED_VALUE"""),"Yes")</f>
        <v>Yes</v>
      </c>
      <c r="G50" s="5" t="str">
        <f>IFERROR(__xludf.DUMMYFUNCTION("""COMPUTED_VALUE"""),"Yes")</f>
        <v>Yes</v>
      </c>
      <c r="H50" s="5" t="str">
        <f>IFERROR(__xludf.DUMMYFUNCTION("""COMPUTED_VALUE"""),"Yes")</f>
        <v>Yes</v>
      </c>
      <c r="I50" s="5" t="str">
        <f>IFERROR(__xludf.DUMMYFUNCTION("""COMPUTED_VALUE"""),"Yes")</f>
        <v>Yes</v>
      </c>
      <c r="J50" s="5" t="str">
        <f>IFERROR(__xludf.DUMMYFUNCTION("""COMPUTED_VALUE"""),"Yes")</f>
        <v>Yes</v>
      </c>
      <c r="K50" s="5" t="str">
        <f>IFERROR(__xludf.DUMMYFUNCTION("""COMPUTED_VALUE"""),"Yes")</f>
        <v>Yes</v>
      </c>
      <c r="L50" s="5" t="str">
        <f>IFERROR(__xludf.DUMMYFUNCTION("""COMPUTED_VALUE"""),"Yes")</f>
        <v>Yes</v>
      </c>
      <c r="M50" s="5" t="str">
        <f>IFERROR(__xludf.DUMMYFUNCTION("""COMPUTED_VALUE"""),"Yes")</f>
        <v>Yes</v>
      </c>
      <c r="N50" s="5" t="str">
        <f>IFERROR(__xludf.DUMMYFUNCTION("""COMPUTED_VALUE"""),"Yes")</f>
        <v>Yes</v>
      </c>
      <c r="O50" s="5" t="str">
        <f>IFERROR(__xludf.DUMMYFUNCTION("""COMPUTED_VALUE"""),"Yes")</f>
        <v>Yes</v>
      </c>
      <c r="P50" s="5" t="str">
        <f>IFERROR(__xludf.DUMMYFUNCTION("""COMPUTED_VALUE"""),"Yes")</f>
        <v>Yes</v>
      </c>
      <c r="Q50" s="5" t="str">
        <f>IFERROR(__xludf.DUMMYFUNCTION("""COMPUTED_VALUE"""),"Yes")</f>
        <v>Yes</v>
      </c>
      <c r="R50" s="5" t="str">
        <f>IFERROR(__xludf.DUMMYFUNCTION("""COMPUTED_VALUE"""),"Yes")</f>
        <v>Yes</v>
      </c>
      <c r="S50" s="5" t="str">
        <f>IFERROR(__xludf.DUMMYFUNCTION("""COMPUTED_VALUE"""),"Yes")</f>
        <v>Yes</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IFERROR(__xludf.DUMMYFUNCTION("""COMPUTED_VALUE"""),"No")</f>
        <v>No</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IFERROR(__xludf.DUMMYFUNCTION("""COMPUTED_VALUE"""),"No")</f>
        <v>No</v>
      </c>
      <c r="AF50" s="5" t="str">
        <f>IFERROR(__xludf.DUMMYFUNCTION("""COMPUTED_VALUE"""),"Yes")</f>
        <v>Yes</v>
      </c>
      <c r="AG50" s="5" t="str">
        <f>IFERROR(__xludf.DUMMYFUNCTION("""COMPUTED_VALUE"""),"No")</f>
        <v>No</v>
      </c>
      <c r="AH50" s="5" t="str">
        <f>IFERROR(__xludf.DUMMYFUNCTION("""COMPUTED_VALUE"""),"No")</f>
        <v>No</v>
      </c>
      <c r="AI50" s="5" t="str">
        <f>IFERROR(__xludf.DUMMYFUNCTION("""COMPUTED_VALUE"""),"No")</f>
        <v>No</v>
      </c>
      <c r="AJ50" s="5" t="str">
        <f>IFERROR(__xludf.DUMMYFUNCTION("""COMPUTED_VALUE"""),"No")</f>
        <v>No</v>
      </c>
      <c r="AK50" s="5" t="str">
        <f>IFERROR(__xludf.DUMMYFUNCTION("""COMPUTED_VALUE"""),"No")</f>
        <v>No</v>
      </c>
      <c r="AL50" s="5" t="str">
        <f>IFERROR(__xludf.DUMMYFUNCTION("""COMPUTED_VALUE"""),"No")</f>
        <v>No</v>
      </c>
      <c r="AM50" s="5"/>
      <c r="AN50" s="5"/>
      <c r="AO50" s="5"/>
      <c r="AP50" s="5"/>
      <c r="AQ50" s="5"/>
      <c r="AR50" s="5"/>
      <c r="AS50" s="5"/>
      <c r="AT50" s="5"/>
      <c r="AU50" s="5"/>
      <c r="AV50" s="5"/>
      <c r="AW50" s="5"/>
      <c r="AX50" s="5"/>
      <c r="AY50" s="5"/>
    </row>
    <row r="51">
      <c r="A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1" s="5">
        <f>IFERROR(__xludf.DUMMYFUNCTION("""COMPUTED_VALUE"""),50.0)</f>
        <v>50</v>
      </c>
      <c r="C51" s="5">
        <f>IFERROR(__xludf.DUMMYFUNCTION("""COMPUTED_VALUE"""),49.0)</f>
        <v>49</v>
      </c>
      <c r="D51" s="5" t="str">
        <f>IFERROR(__xludf.DUMMYFUNCTION("""COMPUTED_VALUE"""),"SpinCards")</f>
        <v>SpinCards</v>
      </c>
      <c r="E51" s="5" t="str">
        <f>IFERROR(__xludf.DUMMYFUNCTION("""COMPUTED_VALUE"""),"Yes")</f>
        <v>Yes</v>
      </c>
      <c r="F51" s="5" t="str">
        <f>IFERROR(__xludf.DUMMYFUNCTION("""COMPUTED_VALUE"""),"Yes")</f>
        <v>Yes</v>
      </c>
      <c r="G51" s="5" t="str">
        <f>IFERROR(__xludf.DUMMYFUNCTION("""COMPUTED_VALUE"""),"Yes")</f>
        <v>Yes</v>
      </c>
      <c r="H51" s="5" t="str">
        <f>IFERROR(__xludf.DUMMYFUNCTION("""COMPUTED_VALUE"""),"Yes")</f>
        <v>Yes</v>
      </c>
      <c r="I51" s="5" t="str">
        <f>IFERROR(__xludf.DUMMYFUNCTION("""COMPUTED_VALUE"""),"Yes")</f>
        <v>Yes</v>
      </c>
      <c r="J51" s="5" t="str">
        <f>IFERROR(__xludf.DUMMYFUNCTION("""COMPUTED_VALUE"""),"Yes")</f>
        <v>Yes</v>
      </c>
      <c r="K51" s="5" t="str">
        <f>IFERROR(__xludf.DUMMYFUNCTION("""COMPUTED_VALUE"""),"Yes")</f>
        <v>Yes</v>
      </c>
      <c r="L51" s="5" t="str">
        <f>IFERROR(__xludf.DUMMYFUNCTION("""COMPUTED_VALUE"""),"Yes")</f>
        <v>Yes</v>
      </c>
      <c r="M51" s="5" t="str">
        <f>IFERROR(__xludf.DUMMYFUNCTION("""COMPUTED_VALUE"""),"Yes")</f>
        <v>Yes</v>
      </c>
      <c r="N51" s="5" t="str">
        <f>IFERROR(__xludf.DUMMYFUNCTION("""COMPUTED_VALUE"""),"Yes")</f>
        <v>Yes</v>
      </c>
      <c r="O51" s="5" t="str">
        <f>IFERROR(__xludf.DUMMYFUNCTION("""COMPUTED_VALUE"""),"Yes")</f>
        <v>Yes</v>
      </c>
      <c r="P51" s="5" t="str">
        <f>IFERROR(__xludf.DUMMYFUNCTION("""COMPUTED_VALUE"""),"Yes")</f>
        <v>Yes</v>
      </c>
      <c r="Q51" s="5" t="str">
        <f>IFERROR(__xludf.DUMMYFUNCTION("""COMPUTED_VALUE"""),"Yes")</f>
        <v>Yes</v>
      </c>
      <c r="R51" s="5" t="str">
        <f>IFERROR(__xludf.DUMMYFUNCTION("""COMPUTED_VALUE"""),"Yes")</f>
        <v>Yes</v>
      </c>
      <c r="S51" s="5" t="str">
        <f>IFERROR(__xludf.DUMMYFUNCTION("""COMPUTED_VALUE"""),"Yes")</f>
        <v>Yes</v>
      </c>
      <c r="T51" s="5" t="str">
        <f>IFERROR(__xludf.DUMMYFUNCTION("""COMPUTED_VALUE"""),"Yes")</f>
        <v>Yes</v>
      </c>
      <c r="U51" s="5" t="str">
        <f>IFERROR(__xludf.DUMMYFUNCTION("""COMPUTED_VALUE"""),"Yes")</f>
        <v>Yes</v>
      </c>
      <c r="V51" s="5" t="str">
        <f>IFERROR(__xludf.DUMMYFUNCTION("""COMPUTED_VALUE"""),"Yes")</f>
        <v>Yes</v>
      </c>
      <c r="W51" s="5" t="str">
        <f>IFERROR(__xludf.DUMMYFUNCTION("""COMPUTED_VALUE"""),"Yes")</f>
        <v>Yes</v>
      </c>
      <c r="X51" s="5" t="str">
        <f>IFERROR(__xludf.DUMMYFUNCTION("""COMPUTED_VALUE"""),"Yes")</f>
        <v>Yes</v>
      </c>
      <c r="Y51" s="5"/>
      <c r="Z51" s="5"/>
      <c r="AA51" s="5"/>
      <c r="AB51" s="5"/>
      <c r="AC51" s="5" t="str">
        <f>IFERROR(__xludf.DUMMYFUNCTION("""COMPUTED_VALUE"""),"Yes")</f>
        <v>Yes</v>
      </c>
      <c r="AD51" s="5"/>
      <c r="AE51" s="5"/>
      <c r="AF51" s="5"/>
      <c r="AG51" s="5"/>
      <c r="AH51" s="5"/>
      <c r="AI51" s="5"/>
      <c r="AJ51" s="5"/>
      <c r="AK51" s="5"/>
      <c r="AL51" s="5"/>
      <c r="AM51" s="5"/>
      <c r="AN51" s="5"/>
      <c r="AO51" s="5"/>
      <c r="AP51" s="5"/>
      <c r="AQ51" s="5"/>
      <c r="AR51" s="5"/>
      <c r="AS51" s="5"/>
      <c r="AT51" s="5"/>
      <c r="AU51" s="5"/>
      <c r="AV51" s="5"/>
      <c r="AW51" s="5"/>
      <c r="AX51" s="5"/>
      <c r="AY51" s="5"/>
    </row>
    <row r="52">
      <c r="A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2" s="5">
        <f>IFERROR(__xludf.DUMMYFUNCTION("""COMPUTED_VALUE"""),51.0)</f>
        <v>51</v>
      </c>
      <c r="C52" s="5">
        <f>IFERROR(__xludf.DUMMYFUNCTION("""COMPUTED_VALUE"""),50.0)</f>
        <v>50</v>
      </c>
      <c r="D52" s="5" t="str">
        <f>IFERROR(__xludf.DUMMYFUNCTION("""COMPUTED_VALUE"""),"LuckyTwister")</f>
        <v>LuckyTwister</v>
      </c>
      <c r="E52" s="5" t="str">
        <f>IFERROR(__xludf.DUMMYFUNCTION("""COMPUTED_VALUE"""),"Yes")</f>
        <v>Yes</v>
      </c>
      <c r="F52" s="5" t="str">
        <f>IFERROR(__xludf.DUMMYFUNCTION("""COMPUTED_VALUE"""),"Yes")</f>
        <v>Yes</v>
      </c>
      <c r="G52" s="5" t="str">
        <f>IFERROR(__xludf.DUMMYFUNCTION("""COMPUTED_VALUE"""),"Yes")</f>
        <v>Yes</v>
      </c>
      <c r="H52" s="5" t="str">
        <f>IFERROR(__xludf.DUMMYFUNCTION("""COMPUTED_VALUE"""),"Yes")</f>
        <v>Yes</v>
      </c>
      <c r="I52" s="5" t="str">
        <f>IFERROR(__xludf.DUMMYFUNCTION("""COMPUTED_VALUE"""),"Yes")</f>
        <v>Yes</v>
      </c>
      <c r="J52" s="5" t="str">
        <f>IFERROR(__xludf.DUMMYFUNCTION("""COMPUTED_VALUE"""),"Yes")</f>
        <v>Yes</v>
      </c>
      <c r="K52" s="5" t="str">
        <f>IFERROR(__xludf.DUMMYFUNCTION("""COMPUTED_VALUE"""),"Yes")</f>
        <v>Yes</v>
      </c>
      <c r="L52" s="5" t="str">
        <f>IFERROR(__xludf.DUMMYFUNCTION("""COMPUTED_VALUE"""),"Yes")</f>
        <v>Yes</v>
      </c>
      <c r="M52" s="5" t="str">
        <f>IFERROR(__xludf.DUMMYFUNCTION("""COMPUTED_VALUE"""),"Yes")</f>
        <v>Yes</v>
      </c>
      <c r="N52" s="5" t="str">
        <f>IFERROR(__xludf.DUMMYFUNCTION("""COMPUTED_VALUE"""),"Yes")</f>
        <v>Yes</v>
      </c>
      <c r="O52" s="5" t="str">
        <f>IFERROR(__xludf.DUMMYFUNCTION("""COMPUTED_VALUE"""),"Yes")</f>
        <v>Yes</v>
      </c>
      <c r="P52" s="5" t="str">
        <f>IFERROR(__xludf.DUMMYFUNCTION("""COMPUTED_VALUE"""),"Yes")</f>
        <v>Yes</v>
      </c>
      <c r="Q52" s="5" t="str">
        <f>IFERROR(__xludf.DUMMYFUNCTION("""COMPUTED_VALUE"""),"Yes")</f>
        <v>Yes</v>
      </c>
      <c r="R52" s="5" t="str">
        <f>IFERROR(__xludf.DUMMYFUNCTION("""COMPUTED_VALUE"""),"Yes")</f>
        <v>Yes</v>
      </c>
      <c r="S52" s="5" t="str">
        <f>IFERROR(__xludf.DUMMYFUNCTION("""COMPUTED_VALUE"""),"Yes")</f>
        <v>Yes</v>
      </c>
      <c r="T52" s="5" t="str">
        <f>IFERROR(__xludf.DUMMYFUNCTION("""COMPUTED_VALUE"""),"Yes")</f>
        <v>Yes</v>
      </c>
      <c r="U52" s="5" t="str">
        <f>IFERROR(__xludf.DUMMYFUNCTION("""COMPUTED_VALUE"""),"Yes")</f>
        <v>Yes</v>
      </c>
      <c r="V52" s="5" t="str">
        <f>IFERROR(__xludf.DUMMYFUNCTION("""COMPUTED_VALUE"""),"Yes")</f>
        <v>Yes</v>
      </c>
      <c r="W52" s="5" t="str">
        <f>IFERROR(__xludf.DUMMYFUNCTION("""COMPUTED_VALUE"""),"Yes")</f>
        <v>Yes</v>
      </c>
      <c r="X52" s="5" t="str">
        <f>IFERROR(__xludf.DUMMYFUNCTION("""COMPUTED_VALUE"""),"Yes")</f>
        <v>Yes</v>
      </c>
      <c r="Y52" s="5"/>
      <c r="Z52" s="5"/>
      <c r="AA52" s="5"/>
      <c r="AB52" s="5"/>
      <c r="AC52" s="5" t="str">
        <f>IFERROR(__xludf.DUMMYFUNCTION("""COMPUTED_VALUE"""),"Yes")</f>
        <v>Yes</v>
      </c>
      <c r="AD52" s="5"/>
      <c r="AE52" s="5"/>
      <c r="AF52" s="5"/>
      <c r="AG52" s="5"/>
      <c r="AH52" s="5"/>
      <c r="AI52" s="5"/>
      <c r="AJ52" s="5"/>
      <c r="AK52" s="5"/>
      <c r="AL52" s="5"/>
      <c r="AM52" s="5"/>
      <c r="AN52" s="5"/>
      <c r="AO52" s="5"/>
      <c r="AP52" s="5"/>
      <c r="AQ52" s="5"/>
      <c r="AR52" s="5"/>
      <c r="AS52" s="5"/>
      <c r="AT52" s="5"/>
      <c r="AU52" s="5"/>
      <c r="AV52" s="5"/>
      <c r="AW52" s="5"/>
      <c r="AX52" s="5"/>
      <c r="AY52" s="5"/>
    </row>
    <row r="53">
      <c r="A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 s="5">
        <f>IFERROR(__xludf.DUMMYFUNCTION("""COMPUTED_VALUE"""),52.0)</f>
        <v>52</v>
      </c>
      <c r="C53" s="5">
        <f>IFERROR(__xludf.DUMMYFUNCTION("""COMPUTED_VALUE"""),51.0)</f>
        <v>51</v>
      </c>
      <c r="D53" s="5" t="str">
        <f>IFERROR(__xludf.DUMMYFUNCTION("""COMPUTED_VALUE"""),"KatanasOfTime")</f>
        <v>KatanasOfTime</v>
      </c>
      <c r="E53" s="5" t="str">
        <f>IFERROR(__xludf.DUMMYFUNCTION("""COMPUTED_VALUE"""),"Yes")</f>
        <v>Yes</v>
      </c>
      <c r="F53" s="5" t="str">
        <f>IFERROR(__xludf.DUMMYFUNCTION("""COMPUTED_VALUE"""),"Yes")</f>
        <v>Yes</v>
      </c>
      <c r="G53" s="5" t="str">
        <f>IFERROR(__xludf.DUMMYFUNCTION("""COMPUTED_VALUE"""),"Yes")</f>
        <v>Yes</v>
      </c>
      <c r="H53" s="5" t="str">
        <f>IFERROR(__xludf.DUMMYFUNCTION("""COMPUTED_VALUE"""),"Yes")</f>
        <v>Yes</v>
      </c>
      <c r="I53" s="5" t="str">
        <f>IFERROR(__xludf.DUMMYFUNCTION("""COMPUTED_VALUE"""),"Yes")</f>
        <v>Yes</v>
      </c>
      <c r="J53" s="5" t="str">
        <f>IFERROR(__xludf.DUMMYFUNCTION("""COMPUTED_VALUE"""),"Yes")</f>
        <v>Yes</v>
      </c>
      <c r="K53" s="5" t="str">
        <f>IFERROR(__xludf.DUMMYFUNCTION("""COMPUTED_VALUE"""),"Yes")</f>
        <v>Yes</v>
      </c>
      <c r="L53" s="5" t="str">
        <f>IFERROR(__xludf.DUMMYFUNCTION("""COMPUTED_VALUE"""),"Yes")</f>
        <v>Yes</v>
      </c>
      <c r="M53" s="5" t="str">
        <f>IFERROR(__xludf.DUMMYFUNCTION("""COMPUTED_VALUE"""),"Yes")</f>
        <v>Yes</v>
      </c>
      <c r="N53" s="5" t="str">
        <f>IFERROR(__xludf.DUMMYFUNCTION("""COMPUTED_VALUE"""),"Yes")</f>
        <v>Yes</v>
      </c>
      <c r="O53" s="5" t="str">
        <f>IFERROR(__xludf.DUMMYFUNCTION("""COMPUTED_VALUE"""),"Yes")</f>
        <v>Yes</v>
      </c>
      <c r="P53" s="5" t="str">
        <f>IFERROR(__xludf.DUMMYFUNCTION("""COMPUTED_VALUE"""),"Yes")</f>
        <v>Yes</v>
      </c>
      <c r="Q53" s="5" t="str">
        <f>IFERROR(__xludf.DUMMYFUNCTION("""COMPUTED_VALUE"""),"Yes")</f>
        <v>Yes</v>
      </c>
      <c r="R53" s="5" t="str">
        <f>IFERROR(__xludf.DUMMYFUNCTION("""COMPUTED_VALUE"""),"Yes")</f>
        <v>Yes</v>
      </c>
      <c r="S53" s="5" t="str">
        <f>IFERROR(__xludf.DUMMYFUNCTION("""COMPUTED_VALUE"""),"Yes")</f>
        <v>Yes</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IFERROR(__xludf.DUMMYFUNCTION("""COMPUTED_VALUE"""),"No")</f>
        <v>No</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IFERROR(__xludf.DUMMYFUNCTION("""COMPUTED_VALUE"""),"No")</f>
        <v>No</v>
      </c>
      <c r="AF53" s="5" t="str">
        <f>IFERROR(__xludf.DUMMYFUNCTION("""COMPUTED_VALUE"""),"Yes")</f>
        <v>Yes</v>
      </c>
      <c r="AG53" s="5" t="str">
        <f>IFERROR(__xludf.DUMMYFUNCTION("""COMPUTED_VALUE"""),"No")</f>
        <v>No</v>
      </c>
      <c r="AH53" s="5" t="str">
        <f>IFERROR(__xludf.DUMMYFUNCTION("""COMPUTED_VALUE"""),"No")</f>
        <v>No</v>
      </c>
      <c r="AI53" s="5" t="str">
        <f>IFERROR(__xludf.DUMMYFUNCTION("""COMPUTED_VALUE"""),"No")</f>
        <v>No</v>
      </c>
      <c r="AJ53" s="5" t="str">
        <f>IFERROR(__xludf.DUMMYFUNCTION("""COMPUTED_VALUE"""),"No")</f>
        <v>No</v>
      </c>
      <c r="AK53" s="5" t="str">
        <f>IFERROR(__xludf.DUMMYFUNCTION("""COMPUTED_VALUE"""),"No")</f>
        <v>No</v>
      </c>
      <c r="AL53" s="5" t="str">
        <f>IFERROR(__xludf.DUMMYFUNCTION("""COMPUTED_VALUE"""),"No")</f>
        <v>No</v>
      </c>
      <c r="AM53" s="5"/>
      <c r="AN53" s="5"/>
      <c r="AO53" s="5"/>
      <c r="AP53" s="5"/>
      <c r="AQ53" s="5"/>
      <c r="AR53" s="5"/>
      <c r="AS53" s="5"/>
      <c r="AT53" s="5"/>
      <c r="AU53" s="5"/>
      <c r="AV53" s="5"/>
      <c r="AW53" s="5"/>
      <c r="AX53" s="5"/>
      <c r="AY53" s="5"/>
    </row>
    <row r="54">
      <c r="A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 s="5">
        <f>IFERROR(__xludf.DUMMYFUNCTION("""COMPUTED_VALUE"""),53.0)</f>
        <v>53</v>
      </c>
      <c r="C54" s="5">
        <f>IFERROR(__xludf.DUMMYFUNCTION("""COMPUTED_VALUE"""),52.0)</f>
        <v>52</v>
      </c>
      <c r="D54" s="5" t="str">
        <f>IFERROR(__xludf.DUMMYFUNCTION("""COMPUTED_VALUE"""),"Retro7Hot")</f>
        <v>Retro7Hot</v>
      </c>
      <c r="E54" s="5" t="str">
        <f>IFERROR(__xludf.DUMMYFUNCTION("""COMPUTED_VALUE"""),"Yes")</f>
        <v>Yes</v>
      </c>
      <c r="F54" s="5" t="str">
        <f>IFERROR(__xludf.DUMMYFUNCTION("""COMPUTED_VALUE"""),"Yes")</f>
        <v>Yes</v>
      </c>
      <c r="G54" s="5" t="str">
        <f>IFERROR(__xludf.DUMMYFUNCTION("""COMPUTED_VALUE"""),"Yes")</f>
        <v>Yes</v>
      </c>
      <c r="H54" s="5" t="str">
        <f>IFERROR(__xludf.DUMMYFUNCTION("""COMPUTED_VALUE"""),"Yes")</f>
        <v>Yes</v>
      </c>
      <c r="I54" s="5" t="str">
        <f>IFERROR(__xludf.DUMMYFUNCTION("""COMPUTED_VALUE"""),"Yes")</f>
        <v>Yes</v>
      </c>
      <c r="J54" s="5" t="str">
        <f>IFERROR(__xludf.DUMMYFUNCTION("""COMPUTED_VALUE"""),"Yes")</f>
        <v>Yes</v>
      </c>
      <c r="K54" s="5" t="str">
        <f>IFERROR(__xludf.DUMMYFUNCTION("""COMPUTED_VALUE"""),"Yes")</f>
        <v>Yes</v>
      </c>
      <c r="L54" s="5" t="str">
        <f>IFERROR(__xludf.DUMMYFUNCTION("""COMPUTED_VALUE"""),"Yes")</f>
        <v>Yes</v>
      </c>
      <c r="M54" s="5" t="str">
        <f>IFERROR(__xludf.DUMMYFUNCTION("""COMPUTED_VALUE"""),"Yes")</f>
        <v>Yes</v>
      </c>
      <c r="N54" s="5" t="str">
        <f>IFERROR(__xludf.DUMMYFUNCTION("""COMPUTED_VALUE"""),"Yes")</f>
        <v>Yes</v>
      </c>
      <c r="O54" s="5" t="str">
        <f>IFERROR(__xludf.DUMMYFUNCTION("""COMPUTED_VALUE"""),"Yes")</f>
        <v>Yes</v>
      </c>
      <c r="P54" s="5" t="str">
        <f>IFERROR(__xludf.DUMMYFUNCTION("""COMPUTED_VALUE"""),"Yes")</f>
        <v>Yes</v>
      </c>
      <c r="Q54" s="5" t="str">
        <f>IFERROR(__xludf.DUMMYFUNCTION("""COMPUTED_VALUE"""),"Yes")</f>
        <v>Yes</v>
      </c>
      <c r="R54" s="5" t="str">
        <f>IFERROR(__xludf.DUMMYFUNCTION("""COMPUTED_VALUE"""),"Yes")</f>
        <v>Yes</v>
      </c>
      <c r="S54" s="5" t="str">
        <f>IFERROR(__xludf.DUMMYFUNCTION("""COMPUTED_VALUE"""),"Yes")</f>
        <v>Yes</v>
      </c>
      <c r="T54" s="5" t="str">
        <f>IFERROR(__xludf.DUMMYFUNCTION("""COMPUTED_VALUE"""),"Yes")</f>
        <v>Yes</v>
      </c>
      <c r="U54" s="5" t="str">
        <f>IFERROR(__xludf.DUMMYFUNCTION("""COMPUTED_VALUE"""),"Yes")</f>
        <v>Yes</v>
      </c>
      <c r="V54" s="5" t="str">
        <f>IFERROR(__xludf.DUMMYFUNCTION("""COMPUTED_VALUE"""),"Yes")</f>
        <v>Yes</v>
      </c>
      <c r="W54" s="5" t="str">
        <f>IFERROR(__xludf.DUMMYFUNCTION("""COMPUTED_VALUE"""),"Yes")</f>
        <v>Yes</v>
      </c>
      <c r="X54" s="5" t="str">
        <f>IFERROR(__xludf.DUMMYFUNCTION("""COMPUTED_VALUE"""),"Yes")</f>
        <v>Yes</v>
      </c>
      <c r="Y54" s="5" t="str">
        <f>IFERROR(__xludf.DUMMYFUNCTION("""COMPUTED_VALUE"""),"Yes")</f>
        <v>Yes</v>
      </c>
      <c r="Z54" s="5" t="str">
        <f>IFERROR(__xludf.DUMMYFUNCTION("""COMPUTED_VALUE"""),"No")</f>
        <v>No</v>
      </c>
      <c r="AA54" s="5" t="str">
        <f>IFERROR(__xludf.DUMMYFUNCTION("""COMPUTED_VALUE"""),"Yes")</f>
        <v>Yes</v>
      </c>
      <c r="AB54" s="5" t="str">
        <f>IFERROR(__xludf.DUMMYFUNCTION("""COMPUTED_VALUE"""),"Yes")</f>
        <v>Yes</v>
      </c>
      <c r="AC54" s="5" t="str">
        <f>IFERROR(__xludf.DUMMYFUNCTION("""COMPUTED_VALUE"""),"Yes")</f>
        <v>Yes</v>
      </c>
      <c r="AD54" s="5" t="str">
        <f>IFERROR(__xludf.DUMMYFUNCTION("""COMPUTED_VALUE"""),"Yes")</f>
        <v>Yes</v>
      </c>
      <c r="AE54" s="5" t="str">
        <f>IFERROR(__xludf.DUMMYFUNCTION("""COMPUTED_VALUE"""),"No")</f>
        <v>No</v>
      </c>
      <c r="AF54" s="5" t="str">
        <f>IFERROR(__xludf.DUMMYFUNCTION("""COMPUTED_VALUE"""),"Yes")</f>
        <v>Yes</v>
      </c>
      <c r="AG54" s="5" t="str">
        <f>IFERROR(__xludf.DUMMYFUNCTION("""COMPUTED_VALUE"""),"No")</f>
        <v>No</v>
      </c>
      <c r="AH54" s="5" t="str">
        <f>IFERROR(__xludf.DUMMYFUNCTION("""COMPUTED_VALUE"""),"No")</f>
        <v>No</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c r="AN54" s="5"/>
      <c r="AO54" s="5"/>
      <c r="AP54" s="5"/>
      <c r="AQ54" s="5"/>
      <c r="AR54" s="5"/>
      <c r="AS54" s="5"/>
      <c r="AT54" s="5"/>
      <c r="AU54" s="5"/>
      <c r="AV54" s="5"/>
      <c r="AW54" s="5"/>
      <c r="AX54" s="5"/>
      <c r="AY54" s="5"/>
    </row>
    <row r="55">
      <c r="A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 s="5">
        <f>IFERROR(__xludf.DUMMYFUNCTION("""COMPUTED_VALUE"""),54.0)</f>
        <v>54</v>
      </c>
      <c r="C55" s="5">
        <f>IFERROR(__xludf.DUMMYFUNCTION("""COMPUTED_VALUE"""),53.0)</f>
        <v>53</v>
      </c>
      <c r="D55" s="5" t="str">
        <f>IFERROR(__xludf.DUMMYFUNCTION("""COMPUTED_VALUE"""),"VipRoulette")</f>
        <v>VipRoulette</v>
      </c>
      <c r="E55" s="5" t="str">
        <f>IFERROR(__xludf.DUMMYFUNCTION("""COMPUTED_VALUE"""),"Yes")</f>
        <v>Yes</v>
      </c>
      <c r="F55" s="5" t="str">
        <f>IFERROR(__xludf.DUMMYFUNCTION("""COMPUTED_VALUE"""),"Yes")</f>
        <v>Yes</v>
      </c>
      <c r="G55" s="5" t="str">
        <f>IFERROR(__xludf.DUMMYFUNCTION("""COMPUTED_VALUE"""),"Yes")</f>
        <v>Yes</v>
      </c>
      <c r="H55" s="5" t="str">
        <f>IFERROR(__xludf.DUMMYFUNCTION("""COMPUTED_VALUE"""),"Yes")</f>
        <v>Yes</v>
      </c>
      <c r="I55" s="5" t="str">
        <f>IFERROR(__xludf.DUMMYFUNCTION("""COMPUTED_VALUE"""),"Yes")</f>
        <v>Yes</v>
      </c>
      <c r="J55" s="5" t="str">
        <f>IFERROR(__xludf.DUMMYFUNCTION("""COMPUTED_VALUE"""),"Yes")</f>
        <v>Yes</v>
      </c>
      <c r="K55" s="5" t="str">
        <f>IFERROR(__xludf.DUMMYFUNCTION("""COMPUTED_VALUE"""),"Yes")</f>
        <v>Yes</v>
      </c>
      <c r="L55" s="5" t="str">
        <f>IFERROR(__xludf.DUMMYFUNCTION("""COMPUTED_VALUE"""),"Yes")</f>
        <v>Yes</v>
      </c>
      <c r="M55" s="5" t="str">
        <f>IFERROR(__xludf.DUMMYFUNCTION("""COMPUTED_VALUE"""),"Yes")</f>
        <v>Yes</v>
      </c>
      <c r="N55" s="5" t="str">
        <f>IFERROR(__xludf.DUMMYFUNCTION("""COMPUTED_VALUE"""),"Yes")</f>
        <v>Yes</v>
      </c>
      <c r="O55" s="5" t="str">
        <f>IFERROR(__xludf.DUMMYFUNCTION("""COMPUTED_VALUE"""),"Yes")</f>
        <v>Yes</v>
      </c>
      <c r="P55" s="5" t="str">
        <f>IFERROR(__xludf.DUMMYFUNCTION("""COMPUTED_VALUE"""),"Yes")</f>
        <v>Yes</v>
      </c>
      <c r="Q55" s="5" t="str">
        <f>IFERROR(__xludf.DUMMYFUNCTION("""COMPUTED_VALUE"""),"Yes")</f>
        <v>Yes</v>
      </c>
      <c r="R55" s="5" t="str">
        <f>IFERROR(__xludf.DUMMYFUNCTION("""COMPUTED_VALUE"""),"Yes")</f>
        <v>Yes</v>
      </c>
      <c r="S55" s="5" t="str">
        <f>IFERROR(__xludf.DUMMYFUNCTION("""COMPUTED_VALUE"""),"Yes")</f>
        <v>Yes</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IFERROR(__xludf.DUMMYFUNCTION("""COMPUTED_VALUE"""),"No")</f>
        <v>No</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IFERROR(__xludf.DUMMYFUNCTION("""COMPUTED_VALUE"""),"No")</f>
        <v>No</v>
      </c>
      <c r="AF55" s="5" t="str">
        <f>IFERROR(__xludf.DUMMYFUNCTION("""COMPUTED_VALUE"""),"Yes")</f>
        <v>Yes</v>
      </c>
      <c r="AG55" s="5" t="str">
        <f>IFERROR(__xludf.DUMMYFUNCTION("""COMPUTED_VALUE"""),"No")</f>
        <v>No</v>
      </c>
      <c r="AH55" s="5" t="str">
        <f>IFERROR(__xludf.DUMMYFUNCTION("""COMPUTED_VALUE"""),"No")</f>
        <v>No</v>
      </c>
      <c r="AI55" s="5" t="str">
        <f>IFERROR(__xludf.DUMMYFUNCTION("""COMPUTED_VALUE"""),"No")</f>
        <v>No</v>
      </c>
      <c r="AJ55" s="5" t="str">
        <f>IFERROR(__xludf.DUMMYFUNCTION("""COMPUTED_VALUE"""),"No")</f>
        <v>No</v>
      </c>
      <c r="AK55" s="5" t="str">
        <f>IFERROR(__xludf.DUMMYFUNCTION("""COMPUTED_VALUE"""),"No")</f>
        <v>No</v>
      </c>
      <c r="AL55" s="5" t="str">
        <f>IFERROR(__xludf.DUMMYFUNCTION("""COMPUTED_VALUE"""),"No")</f>
        <v>No</v>
      </c>
      <c r="AM55" s="5"/>
      <c r="AN55" s="5"/>
      <c r="AO55" s="5"/>
      <c r="AP55" s="5"/>
      <c r="AQ55" s="5"/>
      <c r="AR55" s="5"/>
      <c r="AS55" s="5"/>
      <c r="AT55" s="5"/>
      <c r="AU55" s="5"/>
      <c r="AV55" s="5"/>
      <c r="AW55" s="5"/>
      <c r="AX55" s="5"/>
      <c r="AY55" s="5"/>
    </row>
    <row r="56">
      <c r="A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6" s="5">
        <f>IFERROR(__xludf.DUMMYFUNCTION("""COMPUTED_VALUE"""),55.0)</f>
        <v>55</v>
      </c>
      <c r="C56" s="5">
        <f>IFERROR(__xludf.DUMMYFUNCTION("""COMPUTED_VALUE"""),54.0)</f>
        <v>54</v>
      </c>
      <c r="D56" s="5" t="str">
        <f>IFERROR(__xludf.DUMMYFUNCTION("""COMPUTED_VALUE"""),"StarRunner")</f>
        <v>StarRunner</v>
      </c>
      <c r="E56" s="5" t="str">
        <f>IFERROR(__xludf.DUMMYFUNCTION("""COMPUTED_VALUE"""),"Yes")</f>
        <v>Yes</v>
      </c>
      <c r="F56" s="5" t="str">
        <f>IFERROR(__xludf.DUMMYFUNCTION("""COMPUTED_VALUE"""),"Yes")</f>
        <v>Yes</v>
      </c>
      <c r="G56" s="5" t="str">
        <f>IFERROR(__xludf.DUMMYFUNCTION("""COMPUTED_VALUE"""),"Yes")</f>
        <v>Yes</v>
      </c>
      <c r="H56" s="5" t="str">
        <f>IFERROR(__xludf.DUMMYFUNCTION("""COMPUTED_VALUE"""),"Yes")</f>
        <v>Yes</v>
      </c>
      <c r="I56" s="5" t="str">
        <f>IFERROR(__xludf.DUMMYFUNCTION("""COMPUTED_VALUE"""),"Yes")</f>
        <v>Yes</v>
      </c>
      <c r="J56" s="5" t="str">
        <f>IFERROR(__xludf.DUMMYFUNCTION("""COMPUTED_VALUE"""),"Yes")</f>
        <v>Yes</v>
      </c>
      <c r="K56" s="5" t="str">
        <f>IFERROR(__xludf.DUMMYFUNCTION("""COMPUTED_VALUE"""),"Yes")</f>
        <v>Yes</v>
      </c>
      <c r="L56" s="5" t="str">
        <f>IFERROR(__xludf.DUMMYFUNCTION("""COMPUTED_VALUE"""),"Yes")</f>
        <v>Yes</v>
      </c>
      <c r="M56" s="5" t="str">
        <f>IFERROR(__xludf.DUMMYFUNCTION("""COMPUTED_VALUE"""),"Yes")</f>
        <v>Yes</v>
      </c>
      <c r="N56" s="5" t="str">
        <f>IFERROR(__xludf.DUMMYFUNCTION("""COMPUTED_VALUE"""),"Yes")</f>
        <v>Yes</v>
      </c>
      <c r="O56" s="5" t="str">
        <f>IFERROR(__xludf.DUMMYFUNCTION("""COMPUTED_VALUE"""),"Yes")</f>
        <v>Yes</v>
      </c>
      <c r="P56" s="5" t="str">
        <f>IFERROR(__xludf.DUMMYFUNCTION("""COMPUTED_VALUE"""),"Yes")</f>
        <v>Yes</v>
      </c>
      <c r="Q56" s="5" t="str">
        <f>IFERROR(__xludf.DUMMYFUNCTION("""COMPUTED_VALUE"""),"Yes")</f>
        <v>Yes</v>
      </c>
      <c r="R56" s="5" t="str">
        <f>IFERROR(__xludf.DUMMYFUNCTION("""COMPUTED_VALUE"""),"Yes")</f>
        <v>Yes</v>
      </c>
      <c r="S56" s="5" t="str">
        <f>IFERROR(__xludf.DUMMYFUNCTION("""COMPUTED_VALUE"""),"Yes")</f>
        <v>Yes</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IFERROR(__xludf.DUMMYFUNCTION("""COMPUTED_VALUE"""),"No")</f>
        <v>No</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IFERROR(__xludf.DUMMYFUNCTION("""COMPUTED_VALUE"""),"No")</f>
        <v>No</v>
      </c>
      <c r="AF56" s="5" t="str">
        <f>IFERROR(__xludf.DUMMYFUNCTION("""COMPUTED_VALUE"""),"Yes")</f>
        <v>Yes</v>
      </c>
      <c r="AG56" s="5" t="str">
        <f>IFERROR(__xludf.DUMMYFUNCTION("""COMPUTED_VALUE"""),"No")</f>
        <v>No</v>
      </c>
      <c r="AH56" s="5" t="str">
        <f>IFERROR(__xludf.DUMMYFUNCTION("""COMPUTED_VALUE"""),"No")</f>
        <v>No</v>
      </c>
      <c r="AI56" s="5" t="str">
        <f>IFERROR(__xludf.DUMMYFUNCTION("""COMPUTED_VALUE"""),"No")</f>
        <v>No</v>
      </c>
      <c r="AJ56" s="5" t="str">
        <f>IFERROR(__xludf.DUMMYFUNCTION("""COMPUTED_VALUE"""),"No")</f>
        <v>No</v>
      </c>
      <c r="AK56" s="5" t="str">
        <f>IFERROR(__xludf.DUMMYFUNCTION("""COMPUTED_VALUE"""),"No")</f>
        <v>No</v>
      </c>
      <c r="AL56" s="5" t="str">
        <f>IFERROR(__xludf.DUMMYFUNCTION("""COMPUTED_VALUE"""),"No")</f>
        <v>No</v>
      </c>
      <c r="AM56" s="5"/>
      <c r="AN56" s="5"/>
      <c r="AO56" s="5"/>
      <c r="AP56" s="5"/>
      <c r="AQ56" s="5"/>
      <c r="AR56" s="5"/>
      <c r="AS56" s="5"/>
      <c r="AT56" s="5"/>
      <c r="AU56" s="5"/>
      <c r="AV56" s="5"/>
      <c r="AW56" s="5"/>
      <c r="AX56" s="5"/>
      <c r="AY56" s="5"/>
    </row>
    <row r="57">
      <c r="A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7" s="5">
        <f>IFERROR(__xludf.DUMMYFUNCTION("""COMPUTED_VALUE"""),56.0)</f>
        <v>56</v>
      </c>
      <c r="C57" s="5">
        <f>IFERROR(__xludf.DUMMYFUNCTION("""COMPUTED_VALUE"""),55.0)</f>
        <v>55</v>
      </c>
      <c r="D57" s="5" t="str">
        <f>IFERROR(__xludf.DUMMYFUNCTION("""COMPUTED_VALUE"""),"AlohaCharm")</f>
        <v>AlohaCharm</v>
      </c>
      <c r="E57" s="5" t="str">
        <f>IFERROR(__xludf.DUMMYFUNCTION("""COMPUTED_VALUE"""),"Yes")</f>
        <v>Yes</v>
      </c>
      <c r="F57" s="5" t="str">
        <f>IFERROR(__xludf.DUMMYFUNCTION("""COMPUTED_VALUE"""),"Yes")</f>
        <v>Yes</v>
      </c>
      <c r="G57" s="5" t="str">
        <f>IFERROR(__xludf.DUMMYFUNCTION("""COMPUTED_VALUE"""),"Yes")</f>
        <v>Yes</v>
      </c>
      <c r="H57" s="5" t="str">
        <f>IFERROR(__xludf.DUMMYFUNCTION("""COMPUTED_VALUE"""),"Yes")</f>
        <v>Yes</v>
      </c>
      <c r="I57" s="5" t="str">
        <f>IFERROR(__xludf.DUMMYFUNCTION("""COMPUTED_VALUE"""),"Yes")</f>
        <v>Yes</v>
      </c>
      <c r="J57" s="5" t="str">
        <f>IFERROR(__xludf.DUMMYFUNCTION("""COMPUTED_VALUE"""),"Yes")</f>
        <v>Yes</v>
      </c>
      <c r="K57" s="5" t="str">
        <f>IFERROR(__xludf.DUMMYFUNCTION("""COMPUTED_VALUE"""),"Yes")</f>
        <v>Yes</v>
      </c>
      <c r="L57" s="5" t="str">
        <f>IFERROR(__xludf.DUMMYFUNCTION("""COMPUTED_VALUE"""),"Yes")</f>
        <v>Yes</v>
      </c>
      <c r="M57" s="5" t="str">
        <f>IFERROR(__xludf.DUMMYFUNCTION("""COMPUTED_VALUE"""),"Yes")</f>
        <v>Yes</v>
      </c>
      <c r="N57" s="5" t="str">
        <f>IFERROR(__xludf.DUMMYFUNCTION("""COMPUTED_VALUE"""),"Yes")</f>
        <v>Yes</v>
      </c>
      <c r="O57" s="5" t="str">
        <f>IFERROR(__xludf.DUMMYFUNCTION("""COMPUTED_VALUE"""),"Yes")</f>
        <v>Yes</v>
      </c>
      <c r="P57" s="5" t="str">
        <f>IFERROR(__xludf.DUMMYFUNCTION("""COMPUTED_VALUE"""),"Yes")</f>
        <v>Yes</v>
      </c>
      <c r="Q57" s="5" t="str">
        <f>IFERROR(__xludf.DUMMYFUNCTION("""COMPUTED_VALUE"""),"Yes")</f>
        <v>Yes</v>
      </c>
      <c r="R57" s="5" t="str">
        <f>IFERROR(__xludf.DUMMYFUNCTION("""COMPUTED_VALUE"""),"Yes")</f>
        <v>Yes</v>
      </c>
      <c r="S57" s="5" t="str">
        <f>IFERROR(__xludf.DUMMYFUNCTION("""COMPUTED_VALUE"""),"Yes")</f>
        <v>Yes</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IFERROR(__xludf.DUMMYFUNCTION("""COMPUTED_VALUE"""),"No")</f>
        <v>No</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IFERROR(__xludf.DUMMYFUNCTION("""COMPUTED_VALUE"""),"No")</f>
        <v>No</v>
      </c>
      <c r="AF57" s="5" t="str">
        <f>IFERROR(__xludf.DUMMYFUNCTION("""COMPUTED_VALUE"""),"Yes")</f>
        <v>Yes</v>
      </c>
      <c r="AG57" s="5" t="str">
        <f>IFERROR(__xludf.DUMMYFUNCTION("""COMPUTED_VALUE"""),"No")</f>
        <v>No</v>
      </c>
      <c r="AH57" s="5" t="str">
        <f>IFERROR(__xludf.DUMMYFUNCTION("""COMPUTED_VALUE"""),"No")</f>
        <v>No</v>
      </c>
      <c r="AI57" s="5" t="str">
        <f>IFERROR(__xludf.DUMMYFUNCTION("""COMPUTED_VALUE"""),"No")</f>
        <v>No</v>
      </c>
      <c r="AJ57" s="5" t="str">
        <f>IFERROR(__xludf.DUMMYFUNCTION("""COMPUTED_VALUE"""),"No")</f>
        <v>No</v>
      </c>
      <c r="AK57" s="5" t="str">
        <f>IFERROR(__xludf.DUMMYFUNCTION("""COMPUTED_VALUE"""),"No")</f>
        <v>No</v>
      </c>
      <c r="AL57" s="5" t="str">
        <f>IFERROR(__xludf.DUMMYFUNCTION("""COMPUTED_VALUE"""),"No")</f>
        <v>No</v>
      </c>
      <c r="AM57" s="5"/>
      <c r="AN57" s="5"/>
      <c r="AO57" s="5"/>
      <c r="AP57" s="5"/>
      <c r="AQ57" s="5"/>
      <c r="AR57" s="5"/>
      <c r="AS57" s="5"/>
      <c r="AT57" s="5"/>
      <c r="AU57" s="5"/>
      <c r="AV57" s="5"/>
      <c r="AW57" s="5"/>
      <c r="AX57" s="5"/>
      <c r="AY57" s="5"/>
    </row>
    <row r="58">
      <c r="A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 s="5">
        <f>IFERROR(__xludf.DUMMYFUNCTION("""COMPUTED_VALUE"""),57.0)</f>
        <v>57</v>
      </c>
      <c r="C58" s="5">
        <f>IFERROR(__xludf.DUMMYFUNCTION("""COMPUTED_VALUE"""),56.0)</f>
        <v>56</v>
      </c>
      <c r="D58" s="5" t="str">
        <f>IFERROR(__xludf.DUMMYFUNCTION("""COMPUTED_VALUE"""),"LuxRoulette")</f>
        <v>LuxRoulette</v>
      </c>
      <c r="E58" s="5" t="str">
        <f>IFERROR(__xludf.DUMMYFUNCTION("""COMPUTED_VALUE"""),"Yes")</f>
        <v>Yes</v>
      </c>
      <c r="F58" s="5" t="str">
        <f>IFERROR(__xludf.DUMMYFUNCTION("""COMPUTED_VALUE"""),"Yes")</f>
        <v>Yes</v>
      </c>
      <c r="G58" s="5" t="str">
        <f>IFERROR(__xludf.DUMMYFUNCTION("""COMPUTED_VALUE"""),"Yes")</f>
        <v>Yes</v>
      </c>
      <c r="H58" s="5" t="str">
        <f>IFERROR(__xludf.DUMMYFUNCTION("""COMPUTED_VALUE"""),"Yes")</f>
        <v>Yes</v>
      </c>
      <c r="I58" s="5" t="str">
        <f>IFERROR(__xludf.DUMMYFUNCTION("""COMPUTED_VALUE"""),"Yes")</f>
        <v>Yes</v>
      </c>
      <c r="J58" s="5" t="str">
        <f>IFERROR(__xludf.DUMMYFUNCTION("""COMPUTED_VALUE"""),"Yes")</f>
        <v>Yes</v>
      </c>
      <c r="K58" s="5" t="str">
        <f>IFERROR(__xludf.DUMMYFUNCTION("""COMPUTED_VALUE"""),"Yes")</f>
        <v>Yes</v>
      </c>
      <c r="L58" s="5" t="str">
        <f>IFERROR(__xludf.DUMMYFUNCTION("""COMPUTED_VALUE"""),"Yes")</f>
        <v>Yes</v>
      </c>
      <c r="M58" s="5" t="str">
        <f>IFERROR(__xludf.DUMMYFUNCTION("""COMPUTED_VALUE"""),"Yes")</f>
        <v>Yes</v>
      </c>
      <c r="N58" s="5" t="str">
        <f>IFERROR(__xludf.DUMMYFUNCTION("""COMPUTED_VALUE"""),"Yes")</f>
        <v>Yes</v>
      </c>
      <c r="O58" s="5" t="str">
        <f>IFERROR(__xludf.DUMMYFUNCTION("""COMPUTED_VALUE"""),"Yes")</f>
        <v>Yes</v>
      </c>
      <c r="P58" s="5" t="str">
        <f>IFERROR(__xludf.DUMMYFUNCTION("""COMPUTED_VALUE"""),"Yes")</f>
        <v>Yes</v>
      </c>
      <c r="Q58" s="5" t="str">
        <f>IFERROR(__xludf.DUMMYFUNCTION("""COMPUTED_VALUE"""),"Yes")</f>
        <v>Yes</v>
      </c>
      <c r="R58" s="5" t="str">
        <f>IFERROR(__xludf.DUMMYFUNCTION("""COMPUTED_VALUE"""),"Yes")</f>
        <v>Yes</v>
      </c>
      <c r="S58" s="5" t="str">
        <f>IFERROR(__xludf.DUMMYFUNCTION("""COMPUTED_VALUE"""),"Yes")</f>
        <v>Yes</v>
      </c>
      <c r="T58" s="5" t="str">
        <f>IFERROR(__xludf.DUMMYFUNCTION("""COMPUTED_VALUE"""),"Yes")</f>
        <v>Yes</v>
      </c>
      <c r="U58" s="5" t="str">
        <f>IFERROR(__xludf.DUMMYFUNCTION("""COMPUTED_VALUE"""),"Yes")</f>
        <v>Yes</v>
      </c>
      <c r="V58" s="5" t="str">
        <f>IFERROR(__xludf.DUMMYFUNCTION("""COMPUTED_VALUE"""),"Yes")</f>
        <v>Yes</v>
      </c>
      <c r="W58" s="5" t="str">
        <f>IFERROR(__xludf.DUMMYFUNCTION("""COMPUTED_VALUE"""),"Yes")</f>
        <v>Yes</v>
      </c>
      <c r="X58" s="5" t="str">
        <f>IFERROR(__xludf.DUMMYFUNCTION("""COMPUTED_VALUE"""),"Yes")</f>
        <v>Yes</v>
      </c>
      <c r="Y58" s="5" t="str">
        <f>IFERROR(__xludf.DUMMYFUNCTION("""COMPUTED_VALUE"""),"Yes")</f>
        <v>Yes</v>
      </c>
      <c r="Z58" s="5" t="str">
        <f>IFERROR(__xludf.DUMMYFUNCTION("""COMPUTED_VALUE"""),"No")</f>
        <v>No</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IFERROR(__xludf.DUMMYFUNCTION("""COMPUTED_VALUE"""),"No")</f>
        <v>No</v>
      </c>
      <c r="AF58" s="5" t="str">
        <f>IFERROR(__xludf.DUMMYFUNCTION("""COMPUTED_VALUE"""),"Yes")</f>
        <v>Yes</v>
      </c>
      <c r="AG58" s="5" t="str">
        <f>IFERROR(__xludf.DUMMYFUNCTION("""COMPUTED_VALUE"""),"No")</f>
        <v>No</v>
      </c>
      <c r="AH58" s="5" t="str">
        <f>IFERROR(__xludf.DUMMYFUNCTION("""COMPUTED_VALUE"""),"No")</f>
        <v>No</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c r="AN58" s="5"/>
      <c r="AO58" s="5"/>
      <c r="AP58" s="5"/>
      <c r="AQ58" s="5"/>
      <c r="AR58" s="5"/>
      <c r="AS58" s="5"/>
      <c r="AT58" s="5"/>
      <c r="AU58" s="5"/>
      <c r="AV58" s="5"/>
      <c r="AW58" s="5"/>
      <c r="AX58" s="5"/>
      <c r="AY58" s="5"/>
    </row>
    <row r="59">
      <c r="A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 s="5">
        <f>IFERROR(__xludf.DUMMYFUNCTION("""COMPUTED_VALUE"""),58.0)</f>
        <v>58</v>
      </c>
      <c r="C59" s="5">
        <f>IFERROR(__xludf.DUMMYFUNCTION("""COMPUTED_VALUE"""),57.0)</f>
        <v>57</v>
      </c>
      <c r="D59" s="5" t="str">
        <f>IFERROR(__xludf.DUMMYFUNCTION("""COMPUTED_VALUE"""),"FruitsAndStars40")</f>
        <v>FruitsAndStars40</v>
      </c>
      <c r="E59" s="5" t="str">
        <f>IFERROR(__xludf.DUMMYFUNCTION("""COMPUTED_VALUE"""),"Yes")</f>
        <v>Yes</v>
      </c>
      <c r="F59" s="5" t="str">
        <f>IFERROR(__xludf.DUMMYFUNCTION("""COMPUTED_VALUE"""),"Yes")</f>
        <v>Yes</v>
      </c>
      <c r="G59" s="5" t="str">
        <f>IFERROR(__xludf.DUMMYFUNCTION("""COMPUTED_VALUE"""),"Yes")</f>
        <v>Yes</v>
      </c>
      <c r="H59" s="5" t="str">
        <f>IFERROR(__xludf.DUMMYFUNCTION("""COMPUTED_VALUE"""),"Yes")</f>
        <v>Yes</v>
      </c>
      <c r="I59" s="5" t="str">
        <f>IFERROR(__xludf.DUMMYFUNCTION("""COMPUTED_VALUE"""),"Yes")</f>
        <v>Yes</v>
      </c>
      <c r="J59" s="5" t="str">
        <f>IFERROR(__xludf.DUMMYFUNCTION("""COMPUTED_VALUE"""),"Yes")</f>
        <v>Yes</v>
      </c>
      <c r="K59" s="5" t="str">
        <f>IFERROR(__xludf.DUMMYFUNCTION("""COMPUTED_VALUE"""),"Yes")</f>
        <v>Yes</v>
      </c>
      <c r="L59" s="5" t="str">
        <f>IFERROR(__xludf.DUMMYFUNCTION("""COMPUTED_VALUE"""),"Yes")</f>
        <v>Yes</v>
      </c>
      <c r="M59" s="5" t="str">
        <f>IFERROR(__xludf.DUMMYFUNCTION("""COMPUTED_VALUE"""),"Yes")</f>
        <v>Yes</v>
      </c>
      <c r="N59" s="5" t="str">
        <f>IFERROR(__xludf.DUMMYFUNCTION("""COMPUTED_VALUE"""),"Yes")</f>
        <v>Yes</v>
      </c>
      <c r="O59" s="5" t="str">
        <f>IFERROR(__xludf.DUMMYFUNCTION("""COMPUTED_VALUE"""),"Yes")</f>
        <v>Yes</v>
      </c>
      <c r="P59" s="5" t="str">
        <f>IFERROR(__xludf.DUMMYFUNCTION("""COMPUTED_VALUE"""),"Yes")</f>
        <v>Yes</v>
      </c>
      <c r="Q59" s="5" t="str">
        <f>IFERROR(__xludf.DUMMYFUNCTION("""COMPUTED_VALUE"""),"Yes")</f>
        <v>Yes</v>
      </c>
      <c r="R59" s="5" t="str">
        <f>IFERROR(__xludf.DUMMYFUNCTION("""COMPUTED_VALUE"""),"Yes")</f>
        <v>Yes</v>
      </c>
      <c r="S59" s="5" t="str">
        <f>IFERROR(__xludf.DUMMYFUNCTION("""COMPUTED_VALUE"""),"Yes")</f>
        <v>Yes</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IFERROR(__xludf.DUMMYFUNCTION("""COMPUTED_VALUE"""),"No")</f>
        <v>No</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IFERROR(__xludf.DUMMYFUNCTION("""COMPUTED_VALUE"""),"No")</f>
        <v>No</v>
      </c>
      <c r="AF59" s="5" t="str">
        <f>IFERROR(__xludf.DUMMYFUNCTION("""COMPUTED_VALUE"""),"Yes")</f>
        <v>Yes</v>
      </c>
      <c r="AG59" s="5" t="str">
        <f>IFERROR(__xludf.DUMMYFUNCTION("""COMPUTED_VALUE"""),"No")</f>
        <v>No</v>
      </c>
      <c r="AH59" s="5" t="str">
        <f>IFERROR(__xludf.DUMMYFUNCTION("""COMPUTED_VALUE"""),"No")</f>
        <v>No</v>
      </c>
      <c r="AI59" s="5" t="str">
        <f>IFERROR(__xludf.DUMMYFUNCTION("""COMPUTED_VALUE"""),"No")</f>
        <v>No</v>
      </c>
      <c r="AJ59" s="5" t="str">
        <f>IFERROR(__xludf.DUMMYFUNCTION("""COMPUTED_VALUE"""),"No")</f>
        <v>No</v>
      </c>
      <c r="AK59" s="5" t="str">
        <f>IFERROR(__xludf.DUMMYFUNCTION("""COMPUTED_VALUE"""),"No")</f>
        <v>No</v>
      </c>
      <c r="AL59" s="5" t="str">
        <f>IFERROR(__xludf.DUMMYFUNCTION("""COMPUTED_VALUE"""),"No")</f>
        <v>No</v>
      </c>
      <c r="AM59" s="5"/>
      <c r="AN59" s="5"/>
      <c r="AO59" s="5"/>
      <c r="AP59" s="5"/>
      <c r="AQ59" s="5"/>
      <c r="AR59" s="5"/>
      <c r="AS59" s="5"/>
      <c r="AT59" s="5"/>
      <c r="AU59" s="5"/>
      <c r="AV59" s="5"/>
      <c r="AW59" s="5"/>
      <c r="AX59" s="5"/>
      <c r="AY59" s="5"/>
    </row>
    <row r="60">
      <c r="A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 s="5">
        <f>IFERROR(__xludf.DUMMYFUNCTION("""COMPUTED_VALUE"""),59.0)</f>
        <v>59</v>
      </c>
      <c r="C60" s="5">
        <f>IFERROR(__xludf.DUMMYFUNCTION("""COMPUTED_VALUE"""),58.0)</f>
        <v>58</v>
      </c>
      <c r="D60" s="5" t="str">
        <f>IFERROR(__xludf.DUMMYFUNCTION("""COMPUTED_VALUE"""),"TwinklingHot5")</f>
        <v>TwinklingHot5</v>
      </c>
      <c r="E60" s="5" t="str">
        <f>IFERROR(__xludf.DUMMYFUNCTION("""COMPUTED_VALUE"""),"Yes")</f>
        <v>Yes</v>
      </c>
      <c r="F60" s="5" t="str">
        <f>IFERROR(__xludf.DUMMYFUNCTION("""COMPUTED_VALUE"""),"Yes")</f>
        <v>Yes</v>
      </c>
      <c r="G60" s="5" t="str">
        <f>IFERROR(__xludf.DUMMYFUNCTION("""COMPUTED_VALUE"""),"Yes")</f>
        <v>Yes</v>
      </c>
      <c r="H60" s="5" t="str">
        <f>IFERROR(__xludf.DUMMYFUNCTION("""COMPUTED_VALUE"""),"Yes")</f>
        <v>Yes</v>
      </c>
      <c r="I60" s="5" t="str">
        <f>IFERROR(__xludf.DUMMYFUNCTION("""COMPUTED_VALUE"""),"Yes")</f>
        <v>Yes</v>
      </c>
      <c r="J60" s="5" t="str">
        <f>IFERROR(__xludf.DUMMYFUNCTION("""COMPUTED_VALUE"""),"Yes")</f>
        <v>Yes</v>
      </c>
      <c r="K60" s="5" t="str">
        <f>IFERROR(__xludf.DUMMYFUNCTION("""COMPUTED_VALUE"""),"Yes")</f>
        <v>Yes</v>
      </c>
      <c r="L60" s="5" t="str">
        <f>IFERROR(__xludf.DUMMYFUNCTION("""COMPUTED_VALUE"""),"Yes")</f>
        <v>Yes</v>
      </c>
      <c r="M60" s="5" t="str">
        <f>IFERROR(__xludf.DUMMYFUNCTION("""COMPUTED_VALUE"""),"Yes")</f>
        <v>Yes</v>
      </c>
      <c r="N60" s="5" t="str">
        <f>IFERROR(__xludf.DUMMYFUNCTION("""COMPUTED_VALUE"""),"Yes")</f>
        <v>Yes</v>
      </c>
      <c r="O60" s="5" t="str">
        <f>IFERROR(__xludf.DUMMYFUNCTION("""COMPUTED_VALUE"""),"Yes")</f>
        <v>Yes</v>
      </c>
      <c r="P60" s="5" t="str">
        <f>IFERROR(__xludf.DUMMYFUNCTION("""COMPUTED_VALUE"""),"Yes")</f>
        <v>Yes</v>
      </c>
      <c r="Q60" s="5" t="str">
        <f>IFERROR(__xludf.DUMMYFUNCTION("""COMPUTED_VALUE"""),"Yes")</f>
        <v>Yes</v>
      </c>
      <c r="R60" s="5" t="str">
        <f>IFERROR(__xludf.DUMMYFUNCTION("""COMPUTED_VALUE"""),"Yes")</f>
        <v>Yes</v>
      </c>
      <c r="S60" s="5" t="str">
        <f>IFERROR(__xludf.DUMMYFUNCTION("""COMPUTED_VALUE"""),"Yes")</f>
        <v>Yes</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IFERROR(__xludf.DUMMYFUNCTION("""COMPUTED_VALUE"""),"No")</f>
        <v>No</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IFERROR(__xludf.DUMMYFUNCTION("""COMPUTED_VALUE"""),"No")</f>
        <v>No</v>
      </c>
      <c r="AF60" s="5" t="str">
        <f>IFERROR(__xludf.DUMMYFUNCTION("""COMPUTED_VALUE"""),"Yes")</f>
        <v>Yes</v>
      </c>
      <c r="AG60" s="5" t="str">
        <f>IFERROR(__xludf.DUMMYFUNCTION("""COMPUTED_VALUE"""),"No")</f>
        <v>No</v>
      </c>
      <c r="AH60" s="5" t="str">
        <f>IFERROR(__xludf.DUMMYFUNCTION("""COMPUTED_VALUE"""),"No")</f>
        <v>No</v>
      </c>
      <c r="AI60" s="5" t="str">
        <f>IFERROR(__xludf.DUMMYFUNCTION("""COMPUTED_VALUE"""),"No")</f>
        <v>No</v>
      </c>
      <c r="AJ60" s="5" t="str">
        <f>IFERROR(__xludf.DUMMYFUNCTION("""COMPUTED_VALUE"""),"No")</f>
        <v>No</v>
      </c>
      <c r="AK60" s="5" t="str">
        <f>IFERROR(__xludf.DUMMYFUNCTION("""COMPUTED_VALUE"""),"No")</f>
        <v>No</v>
      </c>
      <c r="AL60" s="5" t="str">
        <f>IFERROR(__xludf.DUMMYFUNCTION("""COMPUTED_VALUE"""),"No")</f>
        <v>No</v>
      </c>
      <c r="AM60" s="5"/>
      <c r="AN60" s="5"/>
      <c r="AO60" s="5"/>
      <c r="AP60" s="5"/>
      <c r="AQ60" s="5"/>
      <c r="AR60" s="5"/>
      <c r="AS60" s="5"/>
      <c r="AT60" s="5"/>
      <c r="AU60" s="5"/>
      <c r="AV60" s="5"/>
      <c r="AW60" s="5"/>
      <c r="AX60" s="5"/>
      <c r="AY60" s="5"/>
    </row>
    <row r="61">
      <c r="A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 s="5">
        <f>IFERROR(__xludf.DUMMYFUNCTION("""COMPUTED_VALUE"""),60.0)</f>
        <v>60</v>
      </c>
      <c r="C61" s="5">
        <f>IFERROR(__xludf.DUMMYFUNCTION("""COMPUTED_VALUE"""),59.0)</f>
        <v>59</v>
      </c>
      <c r="D61" s="5" t="str">
        <f>IFERROR(__xludf.DUMMYFUNCTION("""COMPUTED_VALUE"""),"DiceOfSpells")</f>
        <v>DiceOfSpells</v>
      </c>
      <c r="E61" s="5" t="str">
        <f>IFERROR(__xludf.DUMMYFUNCTION("""COMPUTED_VALUE"""),"Yes")</f>
        <v>Yes</v>
      </c>
      <c r="F61" s="5" t="str">
        <f>IFERROR(__xludf.DUMMYFUNCTION("""COMPUTED_VALUE"""),"Yes")</f>
        <v>Yes</v>
      </c>
      <c r="G61" s="5" t="str">
        <f>IFERROR(__xludf.DUMMYFUNCTION("""COMPUTED_VALUE"""),"Yes")</f>
        <v>Yes</v>
      </c>
      <c r="H61" s="5" t="str">
        <f>IFERROR(__xludf.DUMMYFUNCTION("""COMPUTED_VALUE"""),"Yes")</f>
        <v>Yes</v>
      </c>
      <c r="I61" s="5" t="str">
        <f>IFERROR(__xludf.DUMMYFUNCTION("""COMPUTED_VALUE"""),"Yes")</f>
        <v>Yes</v>
      </c>
      <c r="J61" s="5" t="str">
        <f>IFERROR(__xludf.DUMMYFUNCTION("""COMPUTED_VALUE"""),"Yes")</f>
        <v>Yes</v>
      </c>
      <c r="K61" s="5" t="str">
        <f>IFERROR(__xludf.DUMMYFUNCTION("""COMPUTED_VALUE"""),"Yes")</f>
        <v>Yes</v>
      </c>
      <c r="L61" s="5" t="str">
        <f>IFERROR(__xludf.DUMMYFUNCTION("""COMPUTED_VALUE"""),"Yes")</f>
        <v>Yes</v>
      </c>
      <c r="M61" s="5" t="str">
        <f>IFERROR(__xludf.DUMMYFUNCTION("""COMPUTED_VALUE"""),"Yes")</f>
        <v>Yes</v>
      </c>
      <c r="N61" s="5" t="str">
        <f>IFERROR(__xludf.DUMMYFUNCTION("""COMPUTED_VALUE"""),"Yes")</f>
        <v>Yes</v>
      </c>
      <c r="O61" s="5" t="str">
        <f>IFERROR(__xludf.DUMMYFUNCTION("""COMPUTED_VALUE"""),"Yes")</f>
        <v>Yes</v>
      </c>
      <c r="P61" s="5" t="str">
        <f>IFERROR(__xludf.DUMMYFUNCTION("""COMPUTED_VALUE"""),"Yes")</f>
        <v>Yes</v>
      </c>
      <c r="Q61" s="5" t="str">
        <f>IFERROR(__xludf.DUMMYFUNCTION("""COMPUTED_VALUE"""),"Yes")</f>
        <v>Yes</v>
      </c>
      <c r="R61" s="5" t="str">
        <f>IFERROR(__xludf.DUMMYFUNCTION("""COMPUTED_VALUE"""),"Yes")</f>
        <v>Yes</v>
      </c>
      <c r="S61" s="5" t="str">
        <f>IFERROR(__xludf.DUMMYFUNCTION("""COMPUTED_VALUE"""),"Yes")</f>
        <v>Yes</v>
      </c>
      <c r="T61" s="5" t="str">
        <f>IFERROR(__xludf.DUMMYFUNCTION("""COMPUTED_VALUE"""),"Yes")</f>
        <v>Yes</v>
      </c>
      <c r="U61" s="5" t="str">
        <f>IFERROR(__xludf.DUMMYFUNCTION("""COMPUTED_VALUE"""),"Yes")</f>
        <v>Yes</v>
      </c>
      <c r="V61" s="5" t="str">
        <f>IFERROR(__xludf.DUMMYFUNCTION("""COMPUTED_VALUE"""),"Yes")</f>
        <v>Yes</v>
      </c>
      <c r="W61" s="5" t="str">
        <f>IFERROR(__xludf.DUMMYFUNCTION("""COMPUTED_VALUE"""),"Yes")</f>
        <v>Yes</v>
      </c>
      <c r="X61" s="5" t="str">
        <f>IFERROR(__xludf.DUMMYFUNCTION("""COMPUTED_VALUE"""),"Yes")</f>
        <v>Yes</v>
      </c>
      <c r="Y61" s="5" t="str">
        <f>IFERROR(__xludf.DUMMYFUNCTION("""COMPUTED_VALUE"""),"Yes")</f>
        <v>Yes</v>
      </c>
      <c r="Z61" s="5" t="str">
        <f>IFERROR(__xludf.DUMMYFUNCTION("""COMPUTED_VALUE"""),"No")</f>
        <v>No</v>
      </c>
      <c r="AA61" s="5" t="str">
        <f>IFERROR(__xludf.DUMMYFUNCTION("""COMPUTED_VALUE"""),"Yes")</f>
        <v>Yes</v>
      </c>
      <c r="AB61" s="5" t="str">
        <f>IFERROR(__xludf.DUMMYFUNCTION("""COMPUTED_VALUE"""),"Yes")</f>
        <v>Yes</v>
      </c>
      <c r="AC61" s="5" t="str">
        <f>IFERROR(__xludf.DUMMYFUNCTION("""COMPUTED_VALUE"""),"Yes")</f>
        <v>Yes</v>
      </c>
      <c r="AD61" s="5" t="str">
        <f>IFERROR(__xludf.DUMMYFUNCTION("""COMPUTED_VALUE"""),"Yes")</f>
        <v>Yes</v>
      </c>
      <c r="AE61" s="5" t="str">
        <f>IFERROR(__xludf.DUMMYFUNCTION("""COMPUTED_VALUE"""),"No")</f>
        <v>No</v>
      </c>
      <c r="AF61" s="5" t="str">
        <f>IFERROR(__xludf.DUMMYFUNCTION("""COMPUTED_VALUE"""),"Yes")</f>
        <v>Yes</v>
      </c>
      <c r="AG61" s="5" t="str">
        <f>IFERROR(__xludf.DUMMYFUNCTION("""COMPUTED_VALUE"""),"No")</f>
        <v>No</v>
      </c>
      <c r="AH61" s="5" t="str">
        <f>IFERROR(__xludf.DUMMYFUNCTION("""COMPUTED_VALUE"""),"No")</f>
        <v>No</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c r="AN61" s="5"/>
      <c r="AO61" s="5"/>
      <c r="AP61" s="5"/>
      <c r="AQ61" s="5"/>
      <c r="AR61" s="5"/>
      <c r="AS61" s="5"/>
      <c r="AT61" s="5"/>
      <c r="AU61" s="5"/>
      <c r="AV61" s="5"/>
      <c r="AW61" s="5"/>
      <c r="AX61" s="5"/>
      <c r="AY61" s="5"/>
    </row>
    <row r="62">
      <c r="A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 s="5">
        <f>IFERROR(__xludf.DUMMYFUNCTION("""COMPUTED_VALUE"""),61.0)</f>
        <v>61</v>
      </c>
      <c r="C62" s="5">
        <f>IFERROR(__xludf.DUMMYFUNCTION("""COMPUTED_VALUE"""),60.0)</f>
        <v>60</v>
      </c>
      <c r="D62" s="5" t="str">
        <f>IFERROR(__xludf.DUMMYFUNCTION("""COMPUTED_VALUE"""),"CubesAndStars")</f>
        <v>CubesAndStars</v>
      </c>
      <c r="E62" s="5" t="str">
        <f>IFERROR(__xludf.DUMMYFUNCTION("""COMPUTED_VALUE"""),"Yes")</f>
        <v>Yes</v>
      </c>
      <c r="F62" s="5" t="str">
        <f>IFERROR(__xludf.DUMMYFUNCTION("""COMPUTED_VALUE"""),"Yes")</f>
        <v>Yes</v>
      </c>
      <c r="G62" s="5" t="str">
        <f>IFERROR(__xludf.DUMMYFUNCTION("""COMPUTED_VALUE"""),"Yes")</f>
        <v>Yes</v>
      </c>
      <c r="H62" s="5" t="str">
        <f>IFERROR(__xludf.DUMMYFUNCTION("""COMPUTED_VALUE"""),"Yes")</f>
        <v>Yes</v>
      </c>
      <c r="I62" s="5" t="str">
        <f>IFERROR(__xludf.DUMMYFUNCTION("""COMPUTED_VALUE"""),"Yes")</f>
        <v>Yes</v>
      </c>
      <c r="J62" s="5" t="str">
        <f>IFERROR(__xludf.DUMMYFUNCTION("""COMPUTED_VALUE"""),"Yes")</f>
        <v>Yes</v>
      </c>
      <c r="K62" s="5" t="str">
        <f>IFERROR(__xludf.DUMMYFUNCTION("""COMPUTED_VALUE"""),"Yes")</f>
        <v>Yes</v>
      </c>
      <c r="L62" s="5" t="str">
        <f>IFERROR(__xludf.DUMMYFUNCTION("""COMPUTED_VALUE"""),"Yes")</f>
        <v>Yes</v>
      </c>
      <c r="M62" s="5" t="str">
        <f>IFERROR(__xludf.DUMMYFUNCTION("""COMPUTED_VALUE"""),"Yes")</f>
        <v>Yes</v>
      </c>
      <c r="N62" s="5" t="str">
        <f>IFERROR(__xludf.DUMMYFUNCTION("""COMPUTED_VALUE"""),"Yes")</f>
        <v>Yes</v>
      </c>
      <c r="O62" s="5" t="str">
        <f>IFERROR(__xludf.DUMMYFUNCTION("""COMPUTED_VALUE"""),"Yes")</f>
        <v>Yes</v>
      </c>
      <c r="P62" s="5" t="str">
        <f>IFERROR(__xludf.DUMMYFUNCTION("""COMPUTED_VALUE"""),"Yes")</f>
        <v>Yes</v>
      </c>
      <c r="Q62" s="5" t="str">
        <f>IFERROR(__xludf.DUMMYFUNCTION("""COMPUTED_VALUE"""),"Yes")</f>
        <v>Yes</v>
      </c>
      <c r="R62" s="5" t="str">
        <f>IFERROR(__xludf.DUMMYFUNCTION("""COMPUTED_VALUE"""),"Yes")</f>
        <v>Yes</v>
      </c>
      <c r="S62" s="5" t="str">
        <f>IFERROR(__xludf.DUMMYFUNCTION("""COMPUTED_VALUE"""),"Yes")</f>
        <v>Yes</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IFERROR(__xludf.DUMMYFUNCTION("""COMPUTED_VALUE"""),"No")</f>
        <v>No</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IFERROR(__xludf.DUMMYFUNCTION("""COMPUTED_VALUE"""),"No")</f>
        <v>No</v>
      </c>
      <c r="AF62" s="5" t="str">
        <f>IFERROR(__xludf.DUMMYFUNCTION("""COMPUTED_VALUE"""),"Yes")</f>
        <v>Yes</v>
      </c>
      <c r="AG62" s="5" t="str">
        <f>IFERROR(__xludf.DUMMYFUNCTION("""COMPUTED_VALUE"""),"No")</f>
        <v>No</v>
      </c>
      <c r="AH62" s="5" t="str">
        <f>IFERROR(__xludf.DUMMYFUNCTION("""COMPUTED_VALUE"""),"No")</f>
        <v>No</v>
      </c>
      <c r="AI62" s="5" t="str">
        <f>IFERROR(__xludf.DUMMYFUNCTION("""COMPUTED_VALUE"""),"No")</f>
        <v>No</v>
      </c>
      <c r="AJ62" s="5" t="str">
        <f>IFERROR(__xludf.DUMMYFUNCTION("""COMPUTED_VALUE"""),"No")</f>
        <v>No</v>
      </c>
      <c r="AK62" s="5" t="str">
        <f>IFERROR(__xludf.DUMMYFUNCTION("""COMPUTED_VALUE"""),"No")</f>
        <v>No</v>
      </c>
      <c r="AL62" s="5" t="str">
        <f>IFERROR(__xludf.DUMMYFUNCTION("""COMPUTED_VALUE"""),"No")</f>
        <v>No</v>
      </c>
      <c r="AM62" s="5"/>
      <c r="AN62" s="5"/>
      <c r="AO62" s="5"/>
      <c r="AP62" s="5"/>
      <c r="AQ62" s="5"/>
      <c r="AR62" s="5"/>
      <c r="AS62" s="5"/>
      <c r="AT62" s="5"/>
      <c r="AU62" s="5"/>
      <c r="AV62" s="5"/>
      <c r="AW62" s="5"/>
      <c r="AX62" s="5"/>
      <c r="AY62" s="5"/>
    </row>
    <row r="63">
      <c r="A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3" s="5">
        <f>IFERROR(__xludf.DUMMYFUNCTION("""COMPUTED_VALUE"""),62.0)</f>
        <v>62</v>
      </c>
      <c r="C63" s="5">
        <f>IFERROR(__xludf.DUMMYFUNCTION("""COMPUTED_VALUE"""),61.0)</f>
        <v>61</v>
      </c>
      <c r="D63" s="5" t="str">
        <f>IFERROR(__xludf.DUMMYFUNCTION("""COMPUTED_VALUE"""),"TwinklingHot40")</f>
        <v>TwinklingHot40</v>
      </c>
      <c r="E63" s="5" t="str">
        <f>IFERROR(__xludf.DUMMYFUNCTION("""COMPUTED_VALUE"""),"Yes")</f>
        <v>Yes</v>
      </c>
      <c r="F63" s="5" t="str">
        <f>IFERROR(__xludf.DUMMYFUNCTION("""COMPUTED_VALUE"""),"Yes")</f>
        <v>Yes</v>
      </c>
      <c r="G63" s="5" t="str">
        <f>IFERROR(__xludf.DUMMYFUNCTION("""COMPUTED_VALUE"""),"Yes")</f>
        <v>Yes</v>
      </c>
      <c r="H63" s="5" t="str">
        <f>IFERROR(__xludf.DUMMYFUNCTION("""COMPUTED_VALUE"""),"Yes")</f>
        <v>Yes</v>
      </c>
      <c r="I63" s="5" t="str">
        <f>IFERROR(__xludf.DUMMYFUNCTION("""COMPUTED_VALUE"""),"Yes")</f>
        <v>Yes</v>
      </c>
      <c r="J63" s="5" t="str">
        <f>IFERROR(__xludf.DUMMYFUNCTION("""COMPUTED_VALUE"""),"Yes")</f>
        <v>Yes</v>
      </c>
      <c r="K63" s="5" t="str">
        <f>IFERROR(__xludf.DUMMYFUNCTION("""COMPUTED_VALUE"""),"Yes")</f>
        <v>Yes</v>
      </c>
      <c r="L63" s="5" t="str">
        <f>IFERROR(__xludf.DUMMYFUNCTION("""COMPUTED_VALUE"""),"Yes")</f>
        <v>Yes</v>
      </c>
      <c r="M63" s="5" t="str">
        <f>IFERROR(__xludf.DUMMYFUNCTION("""COMPUTED_VALUE"""),"Yes")</f>
        <v>Yes</v>
      </c>
      <c r="N63" s="5" t="str">
        <f>IFERROR(__xludf.DUMMYFUNCTION("""COMPUTED_VALUE"""),"Yes")</f>
        <v>Yes</v>
      </c>
      <c r="O63" s="5" t="str">
        <f>IFERROR(__xludf.DUMMYFUNCTION("""COMPUTED_VALUE"""),"Yes")</f>
        <v>Yes</v>
      </c>
      <c r="P63" s="5" t="str">
        <f>IFERROR(__xludf.DUMMYFUNCTION("""COMPUTED_VALUE"""),"Yes")</f>
        <v>Yes</v>
      </c>
      <c r="Q63" s="5" t="str">
        <f>IFERROR(__xludf.DUMMYFUNCTION("""COMPUTED_VALUE"""),"Yes")</f>
        <v>Yes</v>
      </c>
      <c r="R63" s="5" t="str">
        <f>IFERROR(__xludf.DUMMYFUNCTION("""COMPUTED_VALUE"""),"Yes")</f>
        <v>Yes</v>
      </c>
      <c r="S63" s="5" t="str">
        <f>IFERROR(__xludf.DUMMYFUNCTION("""COMPUTED_VALUE"""),"Yes")</f>
        <v>Yes</v>
      </c>
      <c r="T63" s="5" t="str">
        <f>IFERROR(__xludf.DUMMYFUNCTION("""COMPUTED_VALUE"""),"Yes")</f>
        <v>Yes</v>
      </c>
      <c r="U63" s="5" t="str">
        <f>IFERROR(__xludf.DUMMYFUNCTION("""COMPUTED_VALUE"""),"Yes")</f>
        <v>Yes</v>
      </c>
      <c r="V63" s="5" t="str">
        <f>IFERROR(__xludf.DUMMYFUNCTION("""COMPUTED_VALUE"""),"Yes")</f>
        <v>Yes</v>
      </c>
      <c r="W63" s="5" t="str">
        <f>IFERROR(__xludf.DUMMYFUNCTION("""COMPUTED_VALUE"""),"Yes")</f>
        <v>Yes</v>
      </c>
      <c r="X63" s="5" t="str">
        <f>IFERROR(__xludf.DUMMYFUNCTION("""COMPUTED_VALUE"""),"Yes")</f>
        <v>Yes</v>
      </c>
      <c r="Y63" s="5" t="str">
        <f>IFERROR(__xludf.DUMMYFUNCTION("""COMPUTED_VALUE"""),"Yes")</f>
        <v>Yes</v>
      </c>
      <c r="Z63" s="5" t="str">
        <f>IFERROR(__xludf.DUMMYFUNCTION("""COMPUTED_VALUE"""),"No")</f>
        <v>No</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IFERROR(__xludf.DUMMYFUNCTION("""COMPUTED_VALUE"""),"No")</f>
        <v>No</v>
      </c>
      <c r="AF63" s="5" t="str">
        <f>IFERROR(__xludf.DUMMYFUNCTION("""COMPUTED_VALUE"""),"Yes")</f>
        <v>Yes</v>
      </c>
      <c r="AG63" s="5" t="str">
        <f>IFERROR(__xludf.DUMMYFUNCTION("""COMPUTED_VALUE"""),"No")</f>
        <v>No</v>
      </c>
      <c r="AH63" s="5" t="str">
        <f>IFERROR(__xludf.DUMMYFUNCTION("""COMPUTED_VALUE"""),"No")</f>
        <v>No</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c r="AN63" s="5"/>
      <c r="AO63" s="5"/>
      <c r="AP63" s="5"/>
      <c r="AQ63" s="5"/>
      <c r="AR63" s="5"/>
      <c r="AS63" s="5"/>
      <c r="AT63" s="5"/>
      <c r="AU63" s="5"/>
      <c r="AV63" s="5"/>
      <c r="AW63" s="5"/>
      <c r="AX63" s="5"/>
      <c r="AY63" s="5"/>
    </row>
    <row r="64">
      <c r="A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4" s="5">
        <f>IFERROR(__xludf.DUMMYFUNCTION("""COMPUTED_VALUE"""),63.0)</f>
        <v>63</v>
      </c>
      <c r="C64" s="5">
        <f>IFERROR(__xludf.DUMMYFUNCTION("""COMPUTED_VALUE"""),62.0)</f>
        <v>62</v>
      </c>
      <c r="D64" s="5" t="str">
        <f>IFERROR(__xludf.DUMMYFUNCTION("""COMPUTED_VALUE"""),"BookOfSpellsDeluxe")</f>
        <v>BookOfSpellsDeluxe</v>
      </c>
      <c r="E64" s="5" t="str">
        <f>IFERROR(__xludf.DUMMYFUNCTION("""COMPUTED_VALUE"""),"Yes")</f>
        <v>Yes</v>
      </c>
      <c r="F64" s="5" t="str">
        <f>IFERROR(__xludf.DUMMYFUNCTION("""COMPUTED_VALUE"""),"Yes")</f>
        <v>Yes</v>
      </c>
      <c r="G64" s="5" t="str">
        <f>IFERROR(__xludf.DUMMYFUNCTION("""COMPUTED_VALUE"""),"Yes")</f>
        <v>Yes</v>
      </c>
      <c r="H64" s="5" t="str">
        <f>IFERROR(__xludf.DUMMYFUNCTION("""COMPUTED_VALUE"""),"Yes")</f>
        <v>Yes</v>
      </c>
      <c r="I64" s="5" t="str">
        <f>IFERROR(__xludf.DUMMYFUNCTION("""COMPUTED_VALUE"""),"Yes")</f>
        <v>Yes</v>
      </c>
      <c r="J64" s="5" t="str">
        <f>IFERROR(__xludf.DUMMYFUNCTION("""COMPUTED_VALUE"""),"Yes")</f>
        <v>Yes</v>
      </c>
      <c r="K64" s="5" t="str">
        <f>IFERROR(__xludf.DUMMYFUNCTION("""COMPUTED_VALUE"""),"Yes")</f>
        <v>Yes</v>
      </c>
      <c r="L64" s="5" t="str">
        <f>IFERROR(__xludf.DUMMYFUNCTION("""COMPUTED_VALUE"""),"Yes")</f>
        <v>Yes</v>
      </c>
      <c r="M64" s="5" t="str">
        <f>IFERROR(__xludf.DUMMYFUNCTION("""COMPUTED_VALUE"""),"Yes")</f>
        <v>Yes</v>
      </c>
      <c r="N64" s="5" t="str">
        <f>IFERROR(__xludf.DUMMYFUNCTION("""COMPUTED_VALUE"""),"Yes")</f>
        <v>Yes</v>
      </c>
      <c r="O64" s="5" t="str">
        <f>IFERROR(__xludf.DUMMYFUNCTION("""COMPUTED_VALUE"""),"Yes")</f>
        <v>Yes</v>
      </c>
      <c r="P64" s="5" t="str">
        <f>IFERROR(__xludf.DUMMYFUNCTION("""COMPUTED_VALUE"""),"Yes")</f>
        <v>Yes</v>
      </c>
      <c r="Q64" s="5" t="str">
        <f>IFERROR(__xludf.DUMMYFUNCTION("""COMPUTED_VALUE"""),"Yes")</f>
        <v>Yes</v>
      </c>
      <c r="R64" s="5" t="str">
        <f>IFERROR(__xludf.DUMMYFUNCTION("""COMPUTED_VALUE"""),"Yes")</f>
        <v>Yes</v>
      </c>
      <c r="S64" s="5" t="str">
        <f>IFERROR(__xludf.DUMMYFUNCTION("""COMPUTED_VALUE"""),"Yes")</f>
        <v>Yes</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IFERROR(__xludf.DUMMYFUNCTION("""COMPUTED_VALUE"""),"No")</f>
        <v>No</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IFERROR(__xludf.DUMMYFUNCTION("""COMPUTED_VALUE"""),"No")</f>
        <v>No</v>
      </c>
      <c r="AF64" s="5" t="str">
        <f>IFERROR(__xludf.DUMMYFUNCTION("""COMPUTED_VALUE"""),"Yes")</f>
        <v>Yes</v>
      </c>
      <c r="AG64" s="5" t="str">
        <f>IFERROR(__xludf.DUMMYFUNCTION("""COMPUTED_VALUE"""),"No")</f>
        <v>No</v>
      </c>
      <c r="AH64" s="5" t="str">
        <f>IFERROR(__xludf.DUMMYFUNCTION("""COMPUTED_VALUE"""),"No")</f>
        <v>No</v>
      </c>
      <c r="AI64" s="5" t="str">
        <f>IFERROR(__xludf.DUMMYFUNCTION("""COMPUTED_VALUE"""),"No")</f>
        <v>No</v>
      </c>
      <c r="AJ64" s="5" t="str">
        <f>IFERROR(__xludf.DUMMYFUNCTION("""COMPUTED_VALUE"""),"No")</f>
        <v>No</v>
      </c>
      <c r="AK64" s="5" t="str">
        <f>IFERROR(__xludf.DUMMYFUNCTION("""COMPUTED_VALUE"""),"No")</f>
        <v>No</v>
      </c>
      <c r="AL64" s="5" t="str">
        <f>IFERROR(__xludf.DUMMYFUNCTION("""COMPUTED_VALUE"""),"No")</f>
        <v>No</v>
      </c>
      <c r="AM64" s="5"/>
      <c r="AN64" s="5"/>
      <c r="AO64" s="5"/>
      <c r="AP64" s="5"/>
      <c r="AQ64" s="5"/>
      <c r="AR64" s="5"/>
      <c r="AS64" s="5"/>
      <c r="AT64" s="5"/>
      <c r="AU64" s="5"/>
      <c r="AV64" s="5"/>
      <c r="AW64" s="5"/>
      <c r="AX64" s="5"/>
      <c r="AY64" s="5"/>
    </row>
    <row r="65">
      <c r="A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5" s="5">
        <f>IFERROR(__xludf.DUMMYFUNCTION("""COMPUTED_VALUE"""),64.0)</f>
        <v>64</v>
      </c>
      <c r="C65" s="5">
        <f>IFERROR(__xludf.DUMMYFUNCTION("""COMPUTED_VALUE"""),63.0)</f>
        <v>63</v>
      </c>
      <c r="D65" s="5" t="str">
        <f>IFERROR(__xludf.DUMMYFUNCTION("""COMPUTED_VALUE"""),"JazzyFruits")</f>
        <v>JazzyFruits</v>
      </c>
      <c r="E65" s="5" t="str">
        <f>IFERROR(__xludf.DUMMYFUNCTION("""COMPUTED_VALUE"""),"Yes")</f>
        <v>Yes</v>
      </c>
      <c r="F65" s="5" t="str">
        <f>IFERROR(__xludf.DUMMYFUNCTION("""COMPUTED_VALUE"""),"Yes")</f>
        <v>Yes</v>
      </c>
      <c r="G65" s="5" t="str">
        <f>IFERROR(__xludf.DUMMYFUNCTION("""COMPUTED_VALUE"""),"Yes")</f>
        <v>Yes</v>
      </c>
      <c r="H65" s="5" t="str">
        <f>IFERROR(__xludf.DUMMYFUNCTION("""COMPUTED_VALUE"""),"Yes")</f>
        <v>Yes</v>
      </c>
      <c r="I65" s="5" t="str">
        <f>IFERROR(__xludf.DUMMYFUNCTION("""COMPUTED_VALUE"""),"Yes")</f>
        <v>Yes</v>
      </c>
      <c r="J65" s="5" t="str">
        <f>IFERROR(__xludf.DUMMYFUNCTION("""COMPUTED_VALUE"""),"Yes")</f>
        <v>Yes</v>
      </c>
      <c r="K65" s="5" t="str">
        <f>IFERROR(__xludf.DUMMYFUNCTION("""COMPUTED_VALUE"""),"Yes")</f>
        <v>Yes</v>
      </c>
      <c r="L65" s="5" t="str">
        <f>IFERROR(__xludf.DUMMYFUNCTION("""COMPUTED_VALUE"""),"Yes")</f>
        <v>Yes</v>
      </c>
      <c r="M65" s="5" t="str">
        <f>IFERROR(__xludf.DUMMYFUNCTION("""COMPUTED_VALUE"""),"Yes")</f>
        <v>Yes</v>
      </c>
      <c r="N65" s="5" t="str">
        <f>IFERROR(__xludf.DUMMYFUNCTION("""COMPUTED_VALUE"""),"Yes")</f>
        <v>Yes</v>
      </c>
      <c r="O65" s="5" t="str">
        <f>IFERROR(__xludf.DUMMYFUNCTION("""COMPUTED_VALUE"""),"Yes")</f>
        <v>Yes</v>
      </c>
      <c r="P65" s="5" t="str">
        <f>IFERROR(__xludf.DUMMYFUNCTION("""COMPUTED_VALUE"""),"Yes")</f>
        <v>Yes</v>
      </c>
      <c r="Q65" s="5" t="str">
        <f>IFERROR(__xludf.DUMMYFUNCTION("""COMPUTED_VALUE"""),"Yes")</f>
        <v>Yes</v>
      </c>
      <c r="R65" s="5" t="str">
        <f>IFERROR(__xludf.DUMMYFUNCTION("""COMPUTED_VALUE"""),"Yes")</f>
        <v>Yes</v>
      </c>
      <c r="S65" s="5" t="str">
        <f>IFERROR(__xludf.DUMMYFUNCTION("""COMPUTED_VALUE"""),"Yes")</f>
        <v>Yes</v>
      </c>
      <c r="T65" s="5" t="str">
        <f>IFERROR(__xludf.DUMMYFUNCTION("""COMPUTED_VALUE"""),"Yes")</f>
        <v>Yes</v>
      </c>
      <c r="U65" s="5" t="str">
        <f>IFERROR(__xludf.DUMMYFUNCTION("""COMPUTED_VALUE"""),"Yes")</f>
        <v>Yes</v>
      </c>
      <c r="V65" s="5" t="str">
        <f>IFERROR(__xludf.DUMMYFUNCTION("""COMPUTED_VALUE"""),"Yes")</f>
        <v>Yes</v>
      </c>
      <c r="W65" s="5" t="str">
        <f>IFERROR(__xludf.DUMMYFUNCTION("""COMPUTED_VALUE"""),"Yes")</f>
        <v>Yes</v>
      </c>
      <c r="X65" s="5" t="str">
        <f>IFERROR(__xludf.DUMMYFUNCTION("""COMPUTED_VALUE"""),"Yes")</f>
        <v>Yes</v>
      </c>
      <c r="Y65" s="5" t="str">
        <f>IFERROR(__xludf.DUMMYFUNCTION("""COMPUTED_VALUE"""),"Yes")</f>
        <v>Yes</v>
      </c>
      <c r="Z65" s="5" t="str">
        <f>IFERROR(__xludf.DUMMYFUNCTION("""COMPUTED_VALUE"""),"No")</f>
        <v>No</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IFERROR(__xludf.DUMMYFUNCTION("""COMPUTED_VALUE"""),"No")</f>
        <v>No</v>
      </c>
      <c r="AF65" s="5" t="str">
        <f>IFERROR(__xludf.DUMMYFUNCTION("""COMPUTED_VALUE"""),"Yes")</f>
        <v>Yes</v>
      </c>
      <c r="AG65" s="5" t="str">
        <f>IFERROR(__xludf.DUMMYFUNCTION("""COMPUTED_VALUE"""),"No")</f>
        <v>No</v>
      </c>
      <c r="AH65" s="5" t="str">
        <f>IFERROR(__xludf.DUMMYFUNCTION("""COMPUTED_VALUE"""),"No")</f>
        <v>No</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c r="AN65" s="5"/>
      <c r="AO65" s="5"/>
      <c r="AP65" s="5"/>
      <c r="AQ65" s="5"/>
      <c r="AR65" s="5"/>
      <c r="AS65" s="5"/>
      <c r="AT65" s="5"/>
      <c r="AU65" s="5"/>
      <c r="AV65" s="5"/>
      <c r="AW65" s="5"/>
      <c r="AX65" s="5"/>
      <c r="AY65" s="5"/>
    </row>
    <row r="66">
      <c r="A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 s="5">
        <f>IFERROR(__xludf.DUMMYFUNCTION("""COMPUTED_VALUE"""),65.0)</f>
        <v>65</v>
      </c>
      <c r="C66" s="5">
        <f>IFERROR(__xludf.DUMMYFUNCTION("""COMPUTED_VALUE"""),64.0)</f>
        <v>64</v>
      </c>
      <c r="D66" s="5" t="str">
        <f>IFERROR(__xludf.DUMMYFUNCTION("""COMPUTED_VALUE"""),"CrystalHot80")</f>
        <v>CrystalHot80</v>
      </c>
      <c r="E66" s="5" t="str">
        <f>IFERROR(__xludf.DUMMYFUNCTION("""COMPUTED_VALUE"""),"Yes")</f>
        <v>Yes</v>
      </c>
      <c r="F66" s="5" t="str">
        <f>IFERROR(__xludf.DUMMYFUNCTION("""COMPUTED_VALUE"""),"Yes")</f>
        <v>Yes</v>
      </c>
      <c r="G66" s="5" t="str">
        <f>IFERROR(__xludf.DUMMYFUNCTION("""COMPUTED_VALUE"""),"Yes")</f>
        <v>Yes</v>
      </c>
      <c r="H66" s="5" t="str">
        <f>IFERROR(__xludf.DUMMYFUNCTION("""COMPUTED_VALUE"""),"Yes")</f>
        <v>Yes</v>
      </c>
      <c r="I66" s="5" t="str">
        <f>IFERROR(__xludf.DUMMYFUNCTION("""COMPUTED_VALUE"""),"Yes")</f>
        <v>Yes</v>
      </c>
      <c r="J66" s="5" t="str">
        <f>IFERROR(__xludf.DUMMYFUNCTION("""COMPUTED_VALUE"""),"Yes")</f>
        <v>Yes</v>
      </c>
      <c r="K66" s="5" t="str">
        <f>IFERROR(__xludf.DUMMYFUNCTION("""COMPUTED_VALUE"""),"Yes")</f>
        <v>Yes</v>
      </c>
      <c r="L66" s="5" t="str">
        <f>IFERROR(__xludf.DUMMYFUNCTION("""COMPUTED_VALUE"""),"Yes")</f>
        <v>Yes</v>
      </c>
      <c r="M66" s="5" t="str">
        <f>IFERROR(__xludf.DUMMYFUNCTION("""COMPUTED_VALUE"""),"Yes")</f>
        <v>Yes</v>
      </c>
      <c r="N66" s="5" t="str">
        <f>IFERROR(__xludf.DUMMYFUNCTION("""COMPUTED_VALUE"""),"Yes")</f>
        <v>Yes</v>
      </c>
      <c r="O66" s="5" t="str">
        <f>IFERROR(__xludf.DUMMYFUNCTION("""COMPUTED_VALUE"""),"Yes")</f>
        <v>Yes</v>
      </c>
      <c r="P66" s="5" t="str">
        <f>IFERROR(__xludf.DUMMYFUNCTION("""COMPUTED_VALUE"""),"Yes")</f>
        <v>Yes</v>
      </c>
      <c r="Q66" s="5" t="str">
        <f>IFERROR(__xludf.DUMMYFUNCTION("""COMPUTED_VALUE"""),"Yes")</f>
        <v>Yes</v>
      </c>
      <c r="R66" s="5" t="str">
        <f>IFERROR(__xludf.DUMMYFUNCTION("""COMPUTED_VALUE"""),"Yes")</f>
        <v>Yes</v>
      </c>
      <c r="S66" s="5" t="str">
        <f>IFERROR(__xludf.DUMMYFUNCTION("""COMPUTED_VALUE"""),"Yes")</f>
        <v>Yes</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IFERROR(__xludf.DUMMYFUNCTION("""COMPUTED_VALUE"""),"No")</f>
        <v>No</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IFERROR(__xludf.DUMMYFUNCTION("""COMPUTED_VALUE"""),"No")</f>
        <v>No</v>
      </c>
      <c r="AF66" s="5" t="str">
        <f>IFERROR(__xludf.DUMMYFUNCTION("""COMPUTED_VALUE"""),"Yes")</f>
        <v>Yes</v>
      </c>
      <c r="AG66" s="5" t="str">
        <f>IFERROR(__xludf.DUMMYFUNCTION("""COMPUTED_VALUE"""),"No")</f>
        <v>No</v>
      </c>
      <c r="AH66" s="5" t="str">
        <f>IFERROR(__xludf.DUMMYFUNCTION("""COMPUTED_VALUE"""),"No")</f>
        <v>No</v>
      </c>
      <c r="AI66" s="5" t="str">
        <f>IFERROR(__xludf.DUMMYFUNCTION("""COMPUTED_VALUE"""),"No")</f>
        <v>No</v>
      </c>
      <c r="AJ66" s="5" t="str">
        <f>IFERROR(__xludf.DUMMYFUNCTION("""COMPUTED_VALUE"""),"No")</f>
        <v>No</v>
      </c>
      <c r="AK66" s="5" t="str">
        <f>IFERROR(__xludf.DUMMYFUNCTION("""COMPUTED_VALUE"""),"No")</f>
        <v>No</v>
      </c>
      <c r="AL66" s="5" t="str">
        <f>IFERROR(__xludf.DUMMYFUNCTION("""COMPUTED_VALUE"""),"No")</f>
        <v>No</v>
      </c>
      <c r="AM66" s="5"/>
      <c r="AN66" s="5"/>
      <c r="AO66" s="5"/>
      <c r="AP66" s="5"/>
      <c r="AQ66" s="5"/>
      <c r="AR66" s="5"/>
      <c r="AS66" s="5"/>
      <c r="AT66" s="5"/>
      <c r="AU66" s="5"/>
      <c r="AV66" s="5"/>
      <c r="AW66" s="5"/>
      <c r="AX66" s="5"/>
      <c r="AY66" s="5"/>
    </row>
    <row r="67">
      <c r="A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 s="5">
        <f>IFERROR(__xludf.DUMMYFUNCTION("""COMPUTED_VALUE"""),66.0)</f>
        <v>66</v>
      </c>
      <c r="C67" s="5">
        <f>IFERROR(__xludf.DUMMYFUNCTION("""COMPUTED_VALUE"""),65.0)</f>
        <v>65</v>
      </c>
      <c r="D67" s="5" t="str">
        <f>IFERROR(__xludf.DUMMYFUNCTION("""COMPUTED_VALUE"""),"CrystalHot40Gd")</f>
        <v>CrystalHot40Gd</v>
      </c>
      <c r="E67" s="5" t="str">
        <f>IFERROR(__xludf.DUMMYFUNCTION("""COMPUTED_VALUE"""),"Yes")</f>
        <v>Yes</v>
      </c>
      <c r="F67" s="5" t="str">
        <f>IFERROR(__xludf.DUMMYFUNCTION("""COMPUTED_VALUE"""),"Yes")</f>
        <v>Yes</v>
      </c>
      <c r="G67" s="5" t="str">
        <f>IFERROR(__xludf.DUMMYFUNCTION("""COMPUTED_VALUE"""),"Yes")</f>
        <v>Yes</v>
      </c>
      <c r="H67" s="5" t="str">
        <f>IFERROR(__xludf.DUMMYFUNCTION("""COMPUTED_VALUE"""),"Yes")</f>
        <v>Yes</v>
      </c>
      <c r="I67" s="5" t="str">
        <f>IFERROR(__xludf.DUMMYFUNCTION("""COMPUTED_VALUE"""),"Yes")</f>
        <v>Yes</v>
      </c>
      <c r="J67" s="5" t="str">
        <f>IFERROR(__xludf.DUMMYFUNCTION("""COMPUTED_VALUE"""),"Yes")</f>
        <v>Yes</v>
      </c>
      <c r="K67" s="5" t="str">
        <f>IFERROR(__xludf.DUMMYFUNCTION("""COMPUTED_VALUE"""),"Yes")</f>
        <v>Yes</v>
      </c>
      <c r="L67" s="5" t="str">
        <f>IFERROR(__xludf.DUMMYFUNCTION("""COMPUTED_VALUE"""),"Yes")</f>
        <v>Yes</v>
      </c>
      <c r="M67" s="5" t="str">
        <f>IFERROR(__xludf.DUMMYFUNCTION("""COMPUTED_VALUE"""),"Yes")</f>
        <v>Yes</v>
      </c>
      <c r="N67" s="5" t="str">
        <f>IFERROR(__xludf.DUMMYFUNCTION("""COMPUTED_VALUE"""),"Yes")</f>
        <v>Yes</v>
      </c>
      <c r="O67" s="5" t="str">
        <f>IFERROR(__xludf.DUMMYFUNCTION("""COMPUTED_VALUE"""),"Yes")</f>
        <v>Yes</v>
      </c>
      <c r="P67" s="5" t="str">
        <f>IFERROR(__xludf.DUMMYFUNCTION("""COMPUTED_VALUE"""),"Yes")</f>
        <v>Yes</v>
      </c>
      <c r="Q67" s="5" t="str">
        <f>IFERROR(__xludf.DUMMYFUNCTION("""COMPUTED_VALUE"""),"Yes")</f>
        <v>Yes</v>
      </c>
      <c r="R67" s="5" t="str">
        <f>IFERROR(__xludf.DUMMYFUNCTION("""COMPUTED_VALUE"""),"Yes")</f>
        <v>Yes</v>
      </c>
      <c r="S67" s="5" t="str">
        <f>IFERROR(__xludf.DUMMYFUNCTION("""COMPUTED_VALUE"""),"Yes")</f>
        <v>Yes</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IFERROR(__xludf.DUMMYFUNCTION("""COMPUTED_VALUE"""),"No")</f>
        <v>No</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IFERROR(__xludf.DUMMYFUNCTION("""COMPUTED_VALUE"""),"No")</f>
        <v>No</v>
      </c>
      <c r="AF67" s="5" t="str">
        <f>IFERROR(__xludf.DUMMYFUNCTION("""COMPUTED_VALUE"""),"Yes")</f>
        <v>Yes</v>
      </c>
      <c r="AG67" s="5" t="str">
        <f>IFERROR(__xludf.DUMMYFUNCTION("""COMPUTED_VALUE"""),"No")</f>
        <v>No</v>
      </c>
      <c r="AH67" s="5" t="str">
        <f>IFERROR(__xludf.DUMMYFUNCTION("""COMPUTED_VALUE"""),"No")</f>
        <v>No</v>
      </c>
      <c r="AI67" s="5" t="str">
        <f>IFERROR(__xludf.DUMMYFUNCTION("""COMPUTED_VALUE"""),"No")</f>
        <v>No</v>
      </c>
      <c r="AJ67" s="5" t="str">
        <f>IFERROR(__xludf.DUMMYFUNCTION("""COMPUTED_VALUE"""),"No")</f>
        <v>No</v>
      </c>
      <c r="AK67" s="5" t="str">
        <f>IFERROR(__xludf.DUMMYFUNCTION("""COMPUTED_VALUE"""),"No")</f>
        <v>No</v>
      </c>
      <c r="AL67" s="5" t="str">
        <f>IFERROR(__xludf.DUMMYFUNCTION("""COMPUTED_VALUE"""),"No")</f>
        <v>No</v>
      </c>
      <c r="AM67" s="5"/>
      <c r="AN67" s="5"/>
      <c r="AO67" s="5"/>
      <c r="AP67" s="5"/>
      <c r="AQ67" s="5"/>
      <c r="AR67" s="5"/>
      <c r="AS67" s="5"/>
      <c r="AT67" s="5"/>
      <c r="AU67" s="5"/>
      <c r="AV67" s="5"/>
      <c r="AW67" s="5"/>
      <c r="AX67" s="5"/>
      <c r="AY67" s="5"/>
    </row>
    <row r="68">
      <c r="A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8" s="5">
        <f>IFERROR(__xludf.DUMMYFUNCTION("""COMPUTED_VALUE"""),67.0)</f>
        <v>67</v>
      </c>
      <c r="C68" s="5">
        <f>IFERROR(__xludf.DUMMYFUNCTION("""COMPUTED_VALUE"""),66.0)</f>
        <v>66</v>
      </c>
      <c r="D68" s="5" t="str">
        <f>IFERROR(__xludf.DUMMYFUNCTION("""COMPUTED_VALUE"""),"CrystalHot40Deluxe")</f>
        <v>CrystalHot40Deluxe</v>
      </c>
      <c r="E68" s="5" t="str">
        <f>IFERROR(__xludf.DUMMYFUNCTION("""COMPUTED_VALUE"""),"Yes")</f>
        <v>Yes</v>
      </c>
      <c r="F68" s="5" t="str">
        <f>IFERROR(__xludf.DUMMYFUNCTION("""COMPUTED_VALUE"""),"Yes")</f>
        <v>Yes</v>
      </c>
      <c r="G68" s="5" t="str">
        <f>IFERROR(__xludf.DUMMYFUNCTION("""COMPUTED_VALUE"""),"Yes")</f>
        <v>Yes</v>
      </c>
      <c r="H68" s="5" t="str">
        <f>IFERROR(__xludf.DUMMYFUNCTION("""COMPUTED_VALUE"""),"Yes")</f>
        <v>Yes</v>
      </c>
      <c r="I68" s="5" t="str">
        <f>IFERROR(__xludf.DUMMYFUNCTION("""COMPUTED_VALUE"""),"Yes")</f>
        <v>Yes</v>
      </c>
      <c r="J68" s="5" t="str">
        <f>IFERROR(__xludf.DUMMYFUNCTION("""COMPUTED_VALUE"""),"Yes")</f>
        <v>Yes</v>
      </c>
      <c r="K68" s="5" t="str">
        <f>IFERROR(__xludf.DUMMYFUNCTION("""COMPUTED_VALUE"""),"Yes")</f>
        <v>Yes</v>
      </c>
      <c r="L68" s="5" t="str">
        <f>IFERROR(__xludf.DUMMYFUNCTION("""COMPUTED_VALUE"""),"Yes")</f>
        <v>Yes</v>
      </c>
      <c r="M68" s="5" t="str">
        <f>IFERROR(__xludf.DUMMYFUNCTION("""COMPUTED_VALUE"""),"Yes")</f>
        <v>Yes</v>
      </c>
      <c r="N68" s="5" t="str">
        <f>IFERROR(__xludf.DUMMYFUNCTION("""COMPUTED_VALUE"""),"Yes")</f>
        <v>Yes</v>
      </c>
      <c r="O68" s="5" t="str">
        <f>IFERROR(__xludf.DUMMYFUNCTION("""COMPUTED_VALUE"""),"Yes")</f>
        <v>Yes</v>
      </c>
      <c r="P68" s="5" t="str">
        <f>IFERROR(__xludf.DUMMYFUNCTION("""COMPUTED_VALUE"""),"Yes")</f>
        <v>Yes</v>
      </c>
      <c r="Q68" s="5" t="str">
        <f>IFERROR(__xludf.DUMMYFUNCTION("""COMPUTED_VALUE"""),"Yes")</f>
        <v>Yes</v>
      </c>
      <c r="R68" s="5" t="str">
        <f>IFERROR(__xludf.DUMMYFUNCTION("""COMPUTED_VALUE"""),"Yes")</f>
        <v>Yes</v>
      </c>
      <c r="S68" s="5" t="str">
        <f>IFERROR(__xludf.DUMMYFUNCTION("""COMPUTED_VALUE"""),"Yes")</f>
        <v>Yes</v>
      </c>
      <c r="T68" s="5" t="str">
        <f>IFERROR(__xludf.DUMMYFUNCTION("""COMPUTED_VALUE"""),"Yes")</f>
        <v>Yes</v>
      </c>
      <c r="U68" s="5" t="str">
        <f>IFERROR(__xludf.DUMMYFUNCTION("""COMPUTED_VALUE"""),"Yes")</f>
        <v>Yes</v>
      </c>
      <c r="V68" s="5" t="str">
        <f>IFERROR(__xludf.DUMMYFUNCTION("""COMPUTED_VALUE"""),"Yes")</f>
        <v>Yes</v>
      </c>
      <c r="W68" s="5" t="str">
        <f>IFERROR(__xludf.DUMMYFUNCTION("""COMPUTED_VALUE"""),"Yes")</f>
        <v>Yes</v>
      </c>
      <c r="X68" s="5" t="str">
        <f>IFERROR(__xludf.DUMMYFUNCTION("""COMPUTED_VALUE"""),"Yes")</f>
        <v>Yes</v>
      </c>
      <c r="Y68" s="5" t="str">
        <f>IFERROR(__xludf.DUMMYFUNCTION("""COMPUTED_VALUE"""),"Yes")</f>
        <v>Yes</v>
      </c>
      <c r="Z68" s="5" t="str">
        <f>IFERROR(__xludf.DUMMYFUNCTION("""COMPUTED_VALUE"""),"No")</f>
        <v>No</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IFERROR(__xludf.DUMMYFUNCTION("""COMPUTED_VALUE"""),"No")</f>
        <v>No</v>
      </c>
      <c r="AF68" s="5" t="str">
        <f>IFERROR(__xludf.DUMMYFUNCTION("""COMPUTED_VALUE"""),"Yes")</f>
        <v>Yes</v>
      </c>
      <c r="AG68" s="5" t="str">
        <f>IFERROR(__xludf.DUMMYFUNCTION("""COMPUTED_VALUE"""),"No")</f>
        <v>No</v>
      </c>
      <c r="AH68" s="5" t="str">
        <f>IFERROR(__xludf.DUMMYFUNCTION("""COMPUTED_VALUE"""),"No")</f>
        <v>No</v>
      </c>
      <c r="AI68" s="5" t="str">
        <f>IFERROR(__xludf.DUMMYFUNCTION("""COMPUTED_VALUE"""),"No")</f>
        <v>No</v>
      </c>
      <c r="AJ68" s="5" t="str">
        <f>IFERROR(__xludf.DUMMYFUNCTION("""COMPUTED_VALUE"""),"No")</f>
        <v>No</v>
      </c>
      <c r="AK68" s="5" t="str">
        <f>IFERROR(__xludf.DUMMYFUNCTION("""COMPUTED_VALUE"""),"No")</f>
        <v>No</v>
      </c>
      <c r="AL68" s="5" t="str">
        <f>IFERROR(__xludf.DUMMYFUNCTION("""COMPUTED_VALUE"""),"No")</f>
        <v>No</v>
      </c>
      <c r="AM68" s="5"/>
      <c r="AN68" s="5"/>
      <c r="AO68" s="5"/>
      <c r="AP68" s="5"/>
      <c r="AQ68" s="5"/>
      <c r="AR68" s="5"/>
      <c r="AS68" s="5"/>
      <c r="AT68" s="5"/>
      <c r="AU68" s="5"/>
      <c r="AV68" s="5"/>
      <c r="AW68" s="5"/>
      <c r="AX68" s="5"/>
      <c r="AY68" s="5"/>
    </row>
    <row r="69">
      <c r="A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9" s="5">
        <f>IFERROR(__xludf.DUMMYFUNCTION("""COMPUTED_VALUE"""),68.0)</f>
        <v>68</v>
      </c>
      <c r="C69" s="5">
        <f>IFERROR(__xludf.DUMMYFUNCTION("""COMPUTED_VALUE"""),67.0)</f>
        <v>67</v>
      </c>
      <c r="D69" s="5" t="str">
        <f>IFERROR(__xludf.DUMMYFUNCTION("""COMPUTED_VALUE"""),"LiveFaziRoulette")</f>
        <v>LiveFaziRoulette</v>
      </c>
      <c r="E69" s="5" t="str">
        <f>IFERROR(__xludf.DUMMYFUNCTION("""COMPUTED_VALUE"""),"Yes")</f>
        <v>Yes</v>
      </c>
      <c r="F69" s="5" t="str">
        <f>IFERROR(__xludf.DUMMYFUNCTION("""COMPUTED_VALUE"""),"Yes")</f>
        <v>Yes</v>
      </c>
      <c r="G69" s="5" t="str">
        <f>IFERROR(__xludf.DUMMYFUNCTION("""COMPUTED_VALUE"""),"Yes")</f>
        <v>Yes</v>
      </c>
      <c r="H69" s="5" t="str">
        <f>IFERROR(__xludf.DUMMYFUNCTION("""COMPUTED_VALUE"""),"Yes")</f>
        <v>Yes</v>
      </c>
      <c r="I69" s="5" t="str">
        <f>IFERROR(__xludf.DUMMYFUNCTION("""COMPUTED_VALUE"""),"Yes")</f>
        <v>Yes</v>
      </c>
      <c r="J69" s="5" t="str">
        <f>IFERROR(__xludf.DUMMYFUNCTION("""COMPUTED_VALUE"""),"Yes")</f>
        <v>Yes</v>
      </c>
      <c r="K69" s="5" t="str">
        <f>IFERROR(__xludf.DUMMYFUNCTION("""COMPUTED_VALUE"""),"Yes")</f>
        <v>Yes</v>
      </c>
      <c r="L69" s="5" t="str">
        <f>IFERROR(__xludf.DUMMYFUNCTION("""COMPUTED_VALUE"""),"Yes")</f>
        <v>Yes</v>
      </c>
      <c r="M69" s="5" t="str">
        <f>IFERROR(__xludf.DUMMYFUNCTION("""COMPUTED_VALUE"""),"Yes")</f>
        <v>Yes</v>
      </c>
      <c r="N69" s="5" t="str">
        <f>IFERROR(__xludf.DUMMYFUNCTION("""COMPUTED_VALUE"""),"Yes")</f>
        <v>Yes</v>
      </c>
      <c r="O69" s="5" t="str">
        <f>IFERROR(__xludf.DUMMYFUNCTION("""COMPUTED_VALUE"""),"Yes")</f>
        <v>Yes</v>
      </c>
      <c r="P69" s="5" t="str">
        <f>IFERROR(__xludf.DUMMYFUNCTION("""COMPUTED_VALUE"""),"Yes")</f>
        <v>Yes</v>
      </c>
      <c r="Q69" s="5" t="str">
        <f>IFERROR(__xludf.DUMMYFUNCTION("""COMPUTED_VALUE"""),"Yes")</f>
        <v>Yes</v>
      </c>
      <c r="R69" s="5" t="str">
        <f>IFERROR(__xludf.DUMMYFUNCTION("""COMPUTED_VALUE"""),"Yes")</f>
        <v>Yes</v>
      </c>
      <c r="S69" s="5" t="str">
        <f>IFERROR(__xludf.DUMMYFUNCTION("""COMPUTED_VALUE"""),"Yes")</f>
        <v>Yes</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IFERROR(__xludf.DUMMYFUNCTION("""COMPUTED_VALUE"""),"No")</f>
        <v>No</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IFERROR(__xludf.DUMMYFUNCTION("""COMPUTED_VALUE"""),"No")</f>
        <v>No</v>
      </c>
      <c r="AF69" s="5" t="str">
        <f>IFERROR(__xludf.DUMMYFUNCTION("""COMPUTED_VALUE"""),"Yes")</f>
        <v>Yes</v>
      </c>
      <c r="AG69" s="5" t="str">
        <f>IFERROR(__xludf.DUMMYFUNCTION("""COMPUTED_VALUE"""),"No")</f>
        <v>No</v>
      </c>
      <c r="AH69" s="5" t="str">
        <f>IFERROR(__xludf.DUMMYFUNCTION("""COMPUTED_VALUE"""),"No")</f>
        <v>No</v>
      </c>
      <c r="AI69" s="5" t="str">
        <f>IFERROR(__xludf.DUMMYFUNCTION("""COMPUTED_VALUE"""),"No")</f>
        <v>No</v>
      </c>
      <c r="AJ69" s="5" t="str">
        <f>IFERROR(__xludf.DUMMYFUNCTION("""COMPUTED_VALUE"""),"No")</f>
        <v>No</v>
      </c>
      <c r="AK69" s="5" t="str">
        <f>IFERROR(__xludf.DUMMYFUNCTION("""COMPUTED_VALUE"""),"No")</f>
        <v>No</v>
      </c>
      <c r="AL69" s="5" t="str">
        <f>IFERROR(__xludf.DUMMYFUNCTION("""COMPUTED_VALUE"""),"No")</f>
        <v>No</v>
      </c>
      <c r="AM69" s="5"/>
      <c r="AN69" s="5"/>
      <c r="AO69" s="5"/>
      <c r="AP69" s="5"/>
      <c r="AQ69" s="5"/>
      <c r="AR69" s="5"/>
      <c r="AS69" s="5"/>
      <c r="AT69" s="5"/>
      <c r="AU69" s="5"/>
      <c r="AV69" s="5"/>
      <c r="AW69" s="5"/>
      <c r="AX69" s="5"/>
      <c r="AY69" s="5"/>
    </row>
    <row r="70">
      <c r="A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0" s="5">
        <f>IFERROR(__xludf.DUMMYFUNCTION("""COMPUTED_VALUE"""),69.0)</f>
        <v>69</v>
      </c>
      <c r="C70" s="5">
        <f>IFERROR(__xludf.DUMMYFUNCTION("""COMPUTED_VALUE"""),68.0)</f>
        <v>68</v>
      </c>
      <c r="D70" s="5" t="str">
        <f>IFERROR(__xludf.DUMMYFUNCTION("""COMPUTED_VALUE"""),"GoldenClover")</f>
        <v>GoldenClover</v>
      </c>
      <c r="E70" s="5" t="str">
        <f>IFERROR(__xludf.DUMMYFUNCTION("""COMPUTED_VALUE"""),"Yes")</f>
        <v>Yes</v>
      </c>
      <c r="F70" s="5" t="str">
        <f>IFERROR(__xludf.DUMMYFUNCTION("""COMPUTED_VALUE"""),"Yes")</f>
        <v>Yes</v>
      </c>
      <c r="G70" s="5" t="str">
        <f>IFERROR(__xludf.DUMMYFUNCTION("""COMPUTED_VALUE"""),"Yes")</f>
        <v>Yes</v>
      </c>
      <c r="H70" s="5" t="str">
        <f>IFERROR(__xludf.DUMMYFUNCTION("""COMPUTED_VALUE"""),"Yes")</f>
        <v>Yes</v>
      </c>
      <c r="I70" s="5" t="str">
        <f>IFERROR(__xludf.DUMMYFUNCTION("""COMPUTED_VALUE"""),"Yes")</f>
        <v>Yes</v>
      </c>
      <c r="J70" s="5" t="str">
        <f>IFERROR(__xludf.DUMMYFUNCTION("""COMPUTED_VALUE"""),"Yes")</f>
        <v>Yes</v>
      </c>
      <c r="K70" s="5" t="str">
        <f>IFERROR(__xludf.DUMMYFUNCTION("""COMPUTED_VALUE"""),"Yes")</f>
        <v>Yes</v>
      </c>
      <c r="L70" s="5" t="str">
        <f>IFERROR(__xludf.DUMMYFUNCTION("""COMPUTED_VALUE"""),"Yes")</f>
        <v>Yes</v>
      </c>
      <c r="M70" s="5" t="str">
        <f>IFERROR(__xludf.DUMMYFUNCTION("""COMPUTED_VALUE"""),"Yes")</f>
        <v>Yes</v>
      </c>
      <c r="N70" s="5" t="str">
        <f>IFERROR(__xludf.DUMMYFUNCTION("""COMPUTED_VALUE"""),"Yes")</f>
        <v>Yes</v>
      </c>
      <c r="O70" s="5" t="str">
        <f>IFERROR(__xludf.DUMMYFUNCTION("""COMPUTED_VALUE"""),"Yes")</f>
        <v>Yes</v>
      </c>
      <c r="P70" s="5" t="str">
        <f>IFERROR(__xludf.DUMMYFUNCTION("""COMPUTED_VALUE"""),"Yes")</f>
        <v>Yes</v>
      </c>
      <c r="Q70" s="5" t="str">
        <f>IFERROR(__xludf.DUMMYFUNCTION("""COMPUTED_VALUE"""),"Yes")</f>
        <v>Yes</v>
      </c>
      <c r="R70" s="5" t="str">
        <f>IFERROR(__xludf.DUMMYFUNCTION("""COMPUTED_VALUE"""),"Yes")</f>
        <v>Yes</v>
      </c>
      <c r="S70" s="5" t="str">
        <f>IFERROR(__xludf.DUMMYFUNCTION("""COMPUTED_VALUE"""),"Yes")</f>
        <v>Yes</v>
      </c>
      <c r="T70" s="5" t="str">
        <f>IFERROR(__xludf.DUMMYFUNCTION("""COMPUTED_VALUE"""),"Yes")</f>
        <v>Yes</v>
      </c>
      <c r="U70" s="5" t="str">
        <f>IFERROR(__xludf.DUMMYFUNCTION("""COMPUTED_VALUE"""),"Yes")</f>
        <v>Yes</v>
      </c>
      <c r="V70" s="5" t="str">
        <f>IFERROR(__xludf.DUMMYFUNCTION("""COMPUTED_VALUE"""),"Yes")</f>
        <v>Yes</v>
      </c>
      <c r="W70" s="5" t="str">
        <f>IFERROR(__xludf.DUMMYFUNCTION("""COMPUTED_VALUE"""),"Yes")</f>
        <v>Yes</v>
      </c>
      <c r="X70" s="5" t="str">
        <f>IFERROR(__xludf.DUMMYFUNCTION("""COMPUTED_VALUE"""),"Yes")</f>
        <v>Yes</v>
      </c>
      <c r="Y70" s="5"/>
      <c r="Z70" s="5"/>
      <c r="AA70" s="5"/>
      <c r="AB70" s="5"/>
      <c r="AC70" s="5" t="str">
        <f>IFERROR(__xludf.DUMMYFUNCTION("""COMPUTED_VALUE"""),"Yes")</f>
        <v>Yes</v>
      </c>
      <c r="AD70" s="5"/>
      <c r="AE70" s="5"/>
      <c r="AF70" s="5"/>
      <c r="AG70" s="5"/>
      <c r="AH70" s="5"/>
      <c r="AI70" s="5"/>
      <c r="AJ70" s="5"/>
      <c r="AK70" s="5"/>
      <c r="AL70" s="5"/>
      <c r="AM70" s="5"/>
      <c r="AN70" s="5"/>
      <c r="AO70" s="5"/>
      <c r="AP70" s="5"/>
      <c r="AQ70" s="5"/>
      <c r="AR70" s="5"/>
      <c r="AS70" s="5"/>
      <c r="AT70" s="5"/>
      <c r="AU70" s="5"/>
      <c r="AV70" s="5"/>
      <c r="AW70" s="5"/>
      <c r="AX70" s="5"/>
      <c r="AY70" s="5"/>
    </row>
    <row r="71">
      <c r="A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1" s="5">
        <f>IFERROR(__xludf.DUMMYFUNCTION("""COMPUTED_VALUE"""),70.0)</f>
        <v>70</v>
      </c>
      <c r="C71" s="5">
        <f>IFERROR(__xludf.DUMMYFUNCTION("""COMPUTED_VALUE"""),69.0)</f>
        <v>69</v>
      </c>
      <c r="D71" s="5" t="str">
        <f>IFERROR(__xludf.DUMMYFUNCTION("""COMPUTED_VALUE"""),"CrystalHot40Gd2")</f>
        <v>CrystalHot40Gd2</v>
      </c>
      <c r="E71" s="5" t="str">
        <f>IFERROR(__xludf.DUMMYFUNCTION("""COMPUTED_VALUE"""),"Yes")</f>
        <v>Yes</v>
      </c>
      <c r="F71" s="5" t="str">
        <f>IFERROR(__xludf.DUMMYFUNCTION("""COMPUTED_VALUE"""),"Yes")</f>
        <v>Yes</v>
      </c>
      <c r="G71" s="5" t="str">
        <f>IFERROR(__xludf.DUMMYFUNCTION("""COMPUTED_VALUE"""),"Yes")</f>
        <v>Yes</v>
      </c>
      <c r="H71" s="5" t="str">
        <f>IFERROR(__xludf.DUMMYFUNCTION("""COMPUTED_VALUE"""),"Yes")</f>
        <v>Yes</v>
      </c>
      <c r="I71" s="5" t="str">
        <f>IFERROR(__xludf.DUMMYFUNCTION("""COMPUTED_VALUE"""),"Yes")</f>
        <v>Yes</v>
      </c>
      <c r="J71" s="5" t="str">
        <f>IFERROR(__xludf.DUMMYFUNCTION("""COMPUTED_VALUE"""),"Yes")</f>
        <v>Yes</v>
      </c>
      <c r="K71" s="5" t="str">
        <f>IFERROR(__xludf.DUMMYFUNCTION("""COMPUTED_VALUE"""),"Yes")</f>
        <v>Yes</v>
      </c>
      <c r="L71" s="5" t="str">
        <f>IFERROR(__xludf.DUMMYFUNCTION("""COMPUTED_VALUE"""),"Yes")</f>
        <v>Yes</v>
      </c>
      <c r="M71" s="5" t="str">
        <f>IFERROR(__xludf.DUMMYFUNCTION("""COMPUTED_VALUE"""),"Yes")</f>
        <v>Yes</v>
      </c>
      <c r="N71" s="5" t="str">
        <f>IFERROR(__xludf.DUMMYFUNCTION("""COMPUTED_VALUE"""),"Yes")</f>
        <v>Yes</v>
      </c>
      <c r="O71" s="5" t="str">
        <f>IFERROR(__xludf.DUMMYFUNCTION("""COMPUTED_VALUE"""),"Yes")</f>
        <v>Yes</v>
      </c>
      <c r="P71" s="5" t="str">
        <f>IFERROR(__xludf.DUMMYFUNCTION("""COMPUTED_VALUE"""),"Yes")</f>
        <v>Yes</v>
      </c>
      <c r="Q71" s="5" t="str">
        <f>IFERROR(__xludf.DUMMYFUNCTION("""COMPUTED_VALUE"""),"Yes")</f>
        <v>Yes</v>
      </c>
      <c r="R71" s="5" t="str">
        <f>IFERROR(__xludf.DUMMYFUNCTION("""COMPUTED_VALUE"""),"Yes")</f>
        <v>Yes</v>
      </c>
      <c r="S71" s="5" t="str">
        <f>IFERROR(__xludf.DUMMYFUNCTION("""COMPUTED_VALUE"""),"Yes")</f>
        <v>Yes</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IFERROR(__xludf.DUMMYFUNCTION("""COMPUTED_VALUE"""),"No")</f>
        <v>No</v>
      </c>
      <c r="AA71" s="5" t="str">
        <f>IFERROR(__xludf.DUMMYFUNCTION("""COMPUTED_VALUE"""),"Yes")</f>
        <v>Yes</v>
      </c>
      <c r="AB71" s="5" t="str">
        <f>IFERROR(__xludf.DUMMYFUNCTION("""COMPUTED_VALUE"""),"Yes")</f>
        <v>Yes</v>
      </c>
      <c r="AC71" s="5" t="str">
        <f>IFERROR(__xludf.DUMMYFUNCTION("""COMPUTED_VALUE"""),"Yes")</f>
        <v>Yes</v>
      </c>
      <c r="AD71" s="5" t="str">
        <f>IFERROR(__xludf.DUMMYFUNCTION("""COMPUTED_VALUE"""),"Yes")</f>
        <v>Yes</v>
      </c>
      <c r="AE71" s="5" t="str">
        <f>IFERROR(__xludf.DUMMYFUNCTION("""COMPUTED_VALUE"""),"No")</f>
        <v>No</v>
      </c>
      <c r="AF71" s="5" t="str">
        <f>IFERROR(__xludf.DUMMYFUNCTION("""COMPUTED_VALUE"""),"Yes")</f>
        <v>Yes</v>
      </c>
      <c r="AG71" s="5" t="str">
        <f>IFERROR(__xludf.DUMMYFUNCTION("""COMPUTED_VALUE"""),"No")</f>
        <v>No</v>
      </c>
      <c r="AH71" s="5" t="str">
        <f>IFERROR(__xludf.DUMMYFUNCTION("""COMPUTED_VALUE"""),"No")</f>
        <v>No</v>
      </c>
      <c r="AI71" s="5" t="str">
        <f>IFERROR(__xludf.DUMMYFUNCTION("""COMPUTED_VALUE"""),"No")</f>
        <v>No</v>
      </c>
      <c r="AJ71" s="5" t="str">
        <f>IFERROR(__xludf.DUMMYFUNCTION("""COMPUTED_VALUE"""),"No")</f>
        <v>No</v>
      </c>
      <c r="AK71" s="5" t="str">
        <f>IFERROR(__xludf.DUMMYFUNCTION("""COMPUTED_VALUE"""),"No")</f>
        <v>No</v>
      </c>
      <c r="AL71" s="5" t="str">
        <f>IFERROR(__xludf.DUMMYFUNCTION("""COMPUTED_VALUE"""),"No")</f>
        <v>No</v>
      </c>
      <c r="AM71" s="5"/>
      <c r="AN71" s="5"/>
      <c r="AO71" s="5"/>
      <c r="AP71" s="5"/>
      <c r="AQ71" s="5"/>
      <c r="AR71" s="5"/>
      <c r="AS71" s="5"/>
      <c r="AT71" s="5"/>
      <c r="AU71" s="5"/>
      <c r="AV71" s="5"/>
      <c r="AW71" s="5"/>
      <c r="AX71" s="5"/>
      <c r="AY71" s="5"/>
    </row>
    <row r="72">
      <c r="A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2" s="5">
        <f>IFERROR(__xludf.DUMMYFUNCTION("""COMPUTED_VALUE"""),71.0)</f>
        <v>71</v>
      </c>
      <c r="C72" s="5">
        <f>IFERROR(__xludf.DUMMYFUNCTION("""COMPUTED_VALUE"""),70.0)</f>
        <v>70</v>
      </c>
      <c r="D72" s="5" t="str">
        <f>IFERROR(__xludf.DUMMYFUNCTION("""COMPUTED_VALUE"""),"CrystalWin")</f>
        <v>CrystalWin</v>
      </c>
      <c r="E72" s="5" t="str">
        <f>IFERROR(__xludf.DUMMYFUNCTION("""COMPUTED_VALUE"""),"Yes")</f>
        <v>Yes</v>
      </c>
      <c r="F72" s="5" t="str">
        <f>IFERROR(__xludf.DUMMYFUNCTION("""COMPUTED_VALUE"""),"Yes")</f>
        <v>Yes</v>
      </c>
      <c r="G72" s="5" t="str">
        <f>IFERROR(__xludf.DUMMYFUNCTION("""COMPUTED_VALUE"""),"Yes")</f>
        <v>Yes</v>
      </c>
      <c r="H72" s="5" t="str">
        <f>IFERROR(__xludf.DUMMYFUNCTION("""COMPUTED_VALUE"""),"Yes")</f>
        <v>Yes</v>
      </c>
      <c r="I72" s="5" t="str">
        <f>IFERROR(__xludf.DUMMYFUNCTION("""COMPUTED_VALUE"""),"Yes")</f>
        <v>Yes</v>
      </c>
      <c r="J72" s="5" t="str">
        <f>IFERROR(__xludf.DUMMYFUNCTION("""COMPUTED_VALUE"""),"Yes")</f>
        <v>Yes</v>
      </c>
      <c r="K72" s="5" t="str">
        <f>IFERROR(__xludf.DUMMYFUNCTION("""COMPUTED_VALUE"""),"Yes")</f>
        <v>Yes</v>
      </c>
      <c r="L72" s="5" t="str">
        <f>IFERROR(__xludf.DUMMYFUNCTION("""COMPUTED_VALUE"""),"Yes")</f>
        <v>Yes</v>
      </c>
      <c r="M72" s="5" t="str">
        <f>IFERROR(__xludf.DUMMYFUNCTION("""COMPUTED_VALUE"""),"Yes")</f>
        <v>Yes</v>
      </c>
      <c r="N72" s="5" t="str">
        <f>IFERROR(__xludf.DUMMYFUNCTION("""COMPUTED_VALUE"""),"Yes")</f>
        <v>Yes</v>
      </c>
      <c r="O72" s="5" t="str">
        <f>IFERROR(__xludf.DUMMYFUNCTION("""COMPUTED_VALUE"""),"Yes")</f>
        <v>Yes</v>
      </c>
      <c r="P72" s="5" t="str">
        <f>IFERROR(__xludf.DUMMYFUNCTION("""COMPUTED_VALUE"""),"Yes")</f>
        <v>Yes</v>
      </c>
      <c r="Q72" s="5" t="str">
        <f>IFERROR(__xludf.DUMMYFUNCTION("""COMPUTED_VALUE"""),"Yes")</f>
        <v>Yes</v>
      </c>
      <c r="R72" s="5" t="str">
        <f>IFERROR(__xludf.DUMMYFUNCTION("""COMPUTED_VALUE"""),"Yes")</f>
        <v>Yes</v>
      </c>
      <c r="S72" s="5" t="str">
        <f>IFERROR(__xludf.DUMMYFUNCTION("""COMPUTED_VALUE"""),"Yes")</f>
        <v>Yes</v>
      </c>
      <c r="T72" s="5" t="str">
        <f>IFERROR(__xludf.DUMMYFUNCTION("""COMPUTED_VALUE"""),"Yes")</f>
        <v>Yes</v>
      </c>
      <c r="U72" s="5" t="str">
        <f>IFERROR(__xludf.DUMMYFUNCTION("""COMPUTED_VALUE"""),"Yes")</f>
        <v>Yes</v>
      </c>
      <c r="V72" s="5" t="str">
        <f>IFERROR(__xludf.DUMMYFUNCTION("""COMPUTED_VALUE"""),"Yes")</f>
        <v>Yes</v>
      </c>
      <c r="W72" s="5" t="str">
        <f>IFERROR(__xludf.DUMMYFUNCTION("""COMPUTED_VALUE"""),"Yes")</f>
        <v>Yes</v>
      </c>
      <c r="X72" s="5" t="str">
        <f>IFERROR(__xludf.DUMMYFUNCTION("""COMPUTED_VALUE"""),"Yes")</f>
        <v>Yes</v>
      </c>
      <c r="Y72" s="5" t="str">
        <f>IFERROR(__xludf.DUMMYFUNCTION("""COMPUTED_VALUE"""),"Yes")</f>
        <v>Yes</v>
      </c>
      <c r="Z72" s="5" t="str">
        <f>IFERROR(__xludf.DUMMYFUNCTION("""COMPUTED_VALUE"""),"No")</f>
        <v>No</v>
      </c>
      <c r="AA72" s="5" t="str">
        <f>IFERROR(__xludf.DUMMYFUNCTION("""COMPUTED_VALUE"""),"Yes")</f>
        <v>Yes</v>
      </c>
      <c r="AB72" s="5" t="str">
        <f>IFERROR(__xludf.DUMMYFUNCTION("""COMPUTED_VALUE"""),"Yes")</f>
        <v>Yes</v>
      </c>
      <c r="AC72" s="5" t="str">
        <f>IFERROR(__xludf.DUMMYFUNCTION("""COMPUTED_VALUE"""),"Yes")</f>
        <v>Yes</v>
      </c>
      <c r="AD72" s="5" t="str">
        <f>IFERROR(__xludf.DUMMYFUNCTION("""COMPUTED_VALUE"""),"Yes")</f>
        <v>Yes</v>
      </c>
      <c r="AE72" s="5" t="str">
        <f>IFERROR(__xludf.DUMMYFUNCTION("""COMPUTED_VALUE"""),"No")</f>
        <v>No</v>
      </c>
      <c r="AF72" s="5" t="str">
        <f>IFERROR(__xludf.DUMMYFUNCTION("""COMPUTED_VALUE"""),"Yes")</f>
        <v>Yes</v>
      </c>
      <c r="AG72" s="5" t="str">
        <f>IFERROR(__xludf.DUMMYFUNCTION("""COMPUTED_VALUE"""),"No")</f>
        <v>No</v>
      </c>
      <c r="AH72" s="5" t="str">
        <f>IFERROR(__xludf.DUMMYFUNCTION("""COMPUTED_VALUE"""),"No")</f>
        <v>No</v>
      </c>
      <c r="AI72" s="5" t="str">
        <f>IFERROR(__xludf.DUMMYFUNCTION("""COMPUTED_VALUE"""),"No")</f>
        <v>No</v>
      </c>
      <c r="AJ72" s="5" t="str">
        <f>IFERROR(__xludf.DUMMYFUNCTION("""COMPUTED_VALUE"""),"No")</f>
        <v>No</v>
      </c>
      <c r="AK72" s="5" t="str">
        <f>IFERROR(__xludf.DUMMYFUNCTION("""COMPUTED_VALUE"""),"No")</f>
        <v>No</v>
      </c>
      <c r="AL72" s="5" t="str">
        <f>IFERROR(__xludf.DUMMYFUNCTION("""COMPUTED_VALUE"""),"No")</f>
        <v>No</v>
      </c>
      <c r="AM72" s="5"/>
      <c r="AN72" s="5"/>
      <c r="AO72" s="5"/>
      <c r="AP72" s="5"/>
      <c r="AQ72" s="5"/>
      <c r="AR72" s="5"/>
      <c r="AS72" s="5"/>
      <c r="AT72" s="5"/>
      <c r="AU72" s="5"/>
      <c r="AV72" s="5"/>
      <c r="AW72" s="5"/>
      <c r="AX72" s="5"/>
      <c r="AY72" s="5"/>
    </row>
    <row r="73">
      <c r="A7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73" s="5">
        <f>IFERROR(__xludf.DUMMYFUNCTION("""COMPUTED_VALUE"""),72.0)</f>
        <v>72</v>
      </c>
      <c r="C73" s="5">
        <f>IFERROR(__xludf.DUMMYFUNCTION("""COMPUTED_VALUE"""),71.0)</f>
        <v>71</v>
      </c>
      <c r="D73" s="5" t="str">
        <f>IFERROR(__xludf.DUMMYFUNCTION("""COMPUTED_VALUE"""),"UnicornVegasDice")</f>
        <v>UnicornVegasDice</v>
      </c>
      <c r="E73" s="5" t="str">
        <f>IFERROR(__xludf.DUMMYFUNCTION("""COMPUTED_VALUE"""),"Yes")</f>
        <v>Yes</v>
      </c>
      <c r="F73" s="5" t="str">
        <f>IFERROR(__xludf.DUMMYFUNCTION("""COMPUTED_VALUE"""),"Yes")</f>
        <v>Yes</v>
      </c>
      <c r="G73" s="5" t="str">
        <f>IFERROR(__xludf.DUMMYFUNCTION("""COMPUTED_VALUE"""),"Yes")</f>
        <v>Yes</v>
      </c>
      <c r="H73" s="5" t="str">
        <f>IFERROR(__xludf.DUMMYFUNCTION("""COMPUTED_VALUE"""),"No")</f>
        <v>No</v>
      </c>
      <c r="I73" s="5" t="str">
        <f>IFERROR(__xludf.DUMMYFUNCTION("""COMPUTED_VALUE"""),"No")</f>
        <v>No</v>
      </c>
      <c r="J73" s="5" t="str">
        <f>IFERROR(__xludf.DUMMYFUNCTION("""COMPUTED_VALUE"""),"No")</f>
        <v>No</v>
      </c>
      <c r="K73" s="5" t="str">
        <f>IFERROR(__xludf.DUMMYFUNCTION("""COMPUTED_VALUE"""),"No")</f>
        <v>No</v>
      </c>
      <c r="L73" s="5" t="str">
        <f>IFERROR(__xludf.DUMMYFUNCTION("""COMPUTED_VALUE"""),"No")</f>
        <v>No</v>
      </c>
      <c r="M73" s="5" t="str">
        <f>IFERROR(__xludf.DUMMYFUNCTION("""COMPUTED_VALUE"""),"Yes")</f>
        <v>Yes</v>
      </c>
      <c r="N73" s="5" t="str">
        <f>IFERROR(__xludf.DUMMYFUNCTION("""COMPUTED_VALUE"""),"Yes")</f>
        <v>Yes</v>
      </c>
      <c r="O73" s="5" t="str">
        <f>IFERROR(__xludf.DUMMYFUNCTION("""COMPUTED_VALUE"""),"Yes")</f>
        <v>Yes</v>
      </c>
      <c r="P73" s="5" t="str">
        <f>IFERROR(__xludf.DUMMYFUNCTION("""COMPUTED_VALUE"""),"Yes")</f>
        <v>Yes</v>
      </c>
      <c r="Q73" s="5" t="str">
        <f>IFERROR(__xludf.DUMMYFUNCTION("""COMPUTED_VALUE"""),"Yes")</f>
        <v>Yes</v>
      </c>
      <c r="R73" s="5" t="str">
        <f>IFERROR(__xludf.DUMMYFUNCTION("""COMPUTED_VALUE"""),"No")</f>
        <v>No</v>
      </c>
      <c r="S73" s="5" t="str">
        <f>IFERROR(__xludf.DUMMYFUNCTION("""COMPUTED_VALUE"""),"Yes")</f>
        <v>Yes</v>
      </c>
      <c r="T73" s="5" t="str">
        <f>IFERROR(__xludf.DUMMYFUNCTION("""COMPUTED_VALUE"""),"No")</f>
        <v>No</v>
      </c>
      <c r="U73" s="5" t="str">
        <f>IFERROR(__xludf.DUMMYFUNCTION("""COMPUTED_VALUE"""),"No")</f>
        <v>No</v>
      </c>
      <c r="V73" s="5" t="str">
        <f>IFERROR(__xludf.DUMMYFUNCTION("""COMPUTED_VALUE"""),"No")</f>
        <v>No</v>
      </c>
      <c r="W73" s="5" t="str">
        <f>IFERROR(__xludf.DUMMYFUNCTION("""COMPUTED_VALUE"""),"No")</f>
        <v>No</v>
      </c>
      <c r="X73" s="5" t="str">
        <f>IFERROR(__xludf.DUMMYFUNCTION("""COMPUTED_VALUE"""),"No")</f>
        <v>No</v>
      </c>
      <c r="Y73" s="5"/>
      <c r="Z73" s="5"/>
      <c r="AA73" s="5" t="str">
        <f>IFERROR(__xludf.DUMMYFUNCTION("""COMPUTED_VALUE"""),"No")</f>
        <v>No</v>
      </c>
      <c r="AB73" s="5"/>
      <c r="AC73" s="5" t="str">
        <f>IFERROR(__xludf.DUMMYFUNCTION("""COMPUTED_VALUE"""),"No")</f>
        <v>No</v>
      </c>
      <c r="AD73" s="5"/>
      <c r="AE73" s="5"/>
      <c r="AF73" s="5" t="str">
        <f>IFERROR(__xludf.DUMMYFUNCTION("""COMPUTED_VALUE"""),"No")</f>
        <v>No</v>
      </c>
      <c r="AG73" s="5"/>
      <c r="AH73" s="5"/>
      <c r="AI73" s="5"/>
      <c r="AJ73" s="5"/>
      <c r="AK73" s="5"/>
      <c r="AL73" s="5" t="str">
        <f>IFERROR(__xludf.DUMMYFUNCTION("""COMPUTED_VALUE"""),"No")</f>
        <v>No</v>
      </c>
      <c r="AM73" s="5"/>
      <c r="AN73" s="5"/>
      <c r="AO73" s="5"/>
      <c r="AP73" s="5"/>
      <c r="AQ73" s="5"/>
      <c r="AR73" s="5"/>
      <c r="AS73" s="5"/>
      <c r="AT73" s="5"/>
      <c r="AU73" s="5"/>
      <c r="AV73" s="5"/>
      <c r="AW73" s="5"/>
      <c r="AX73" s="5"/>
      <c r="AY73" s="5"/>
    </row>
    <row r="74">
      <c r="A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4" s="5">
        <f>IFERROR(__xludf.DUMMYFUNCTION("""COMPUTED_VALUE"""),73.0)</f>
        <v>73</v>
      </c>
      <c r="C74" s="5">
        <f>IFERROR(__xludf.DUMMYFUNCTION("""COMPUTED_VALUE"""),72.0)</f>
        <v>72</v>
      </c>
      <c r="D74" s="5" t="str">
        <f>IFERROR(__xludf.DUMMYFUNCTION("""COMPUTED_VALUE"""),"BookOfMayanGold")</f>
        <v>BookOfMayanGold</v>
      </c>
      <c r="E74" s="5" t="str">
        <f>IFERROR(__xludf.DUMMYFUNCTION("""COMPUTED_VALUE"""),"Yes")</f>
        <v>Yes</v>
      </c>
      <c r="F74" s="5" t="str">
        <f>IFERROR(__xludf.DUMMYFUNCTION("""COMPUTED_VALUE"""),"Yes")</f>
        <v>Yes</v>
      </c>
      <c r="G74" s="5" t="str">
        <f>IFERROR(__xludf.DUMMYFUNCTION("""COMPUTED_VALUE"""),"Yes")</f>
        <v>Yes</v>
      </c>
      <c r="H74" s="5" t="str">
        <f>IFERROR(__xludf.DUMMYFUNCTION("""COMPUTED_VALUE"""),"Yes")</f>
        <v>Yes</v>
      </c>
      <c r="I74" s="5" t="str">
        <f>IFERROR(__xludf.DUMMYFUNCTION("""COMPUTED_VALUE"""),"Yes")</f>
        <v>Yes</v>
      </c>
      <c r="J74" s="5" t="str">
        <f>IFERROR(__xludf.DUMMYFUNCTION("""COMPUTED_VALUE"""),"Yes")</f>
        <v>Yes</v>
      </c>
      <c r="K74" s="5" t="str">
        <f>IFERROR(__xludf.DUMMYFUNCTION("""COMPUTED_VALUE"""),"Yes")</f>
        <v>Yes</v>
      </c>
      <c r="L74" s="5" t="str">
        <f>IFERROR(__xludf.DUMMYFUNCTION("""COMPUTED_VALUE"""),"Yes")</f>
        <v>Yes</v>
      </c>
      <c r="M74" s="5" t="str">
        <f>IFERROR(__xludf.DUMMYFUNCTION("""COMPUTED_VALUE"""),"Yes")</f>
        <v>Yes</v>
      </c>
      <c r="N74" s="5" t="str">
        <f>IFERROR(__xludf.DUMMYFUNCTION("""COMPUTED_VALUE"""),"Yes")</f>
        <v>Yes</v>
      </c>
      <c r="O74" s="5" t="str">
        <f>IFERROR(__xludf.DUMMYFUNCTION("""COMPUTED_VALUE"""),"Yes")</f>
        <v>Yes</v>
      </c>
      <c r="P74" s="5" t="str">
        <f>IFERROR(__xludf.DUMMYFUNCTION("""COMPUTED_VALUE"""),"Yes")</f>
        <v>Yes</v>
      </c>
      <c r="Q74" s="5" t="str">
        <f>IFERROR(__xludf.DUMMYFUNCTION("""COMPUTED_VALUE"""),"Yes")</f>
        <v>Yes</v>
      </c>
      <c r="R74" s="5" t="str">
        <f>IFERROR(__xludf.DUMMYFUNCTION("""COMPUTED_VALUE"""),"Yes")</f>
        <v>Yes</v>
      </c>
      <c r="S74" s="5" t="str">
        <f>IFERROR(__xludf.DUMMYFUNCTION("""COMPUTED_VALUE"""),"Yes")</f>
        <v>Yes</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IFERROR(__xludf.DUMMYFUNCTION("""COMPUTED_VALUE"""),"No")</f>
        <v>No</v>
      </c>
      <c r="AA74" s="5" t="str">
        <f>IFERROR(__xludf.DUMMYFUNCTION("""COMPUTED_VALUE"""),"Yes")</f>
        <v>Yes</v>
      </c>
      <c r="AB74" s="5" t="str">
        <f>IFERROR(__xludf.DUMMYFUNCTION("""COMPUTED_VALUE"""),"Yes")</f>
        <v>Yes</v>
      </c>
      <c r="AC74" s="5" t="str">
        <f>IFERROR(__xludf.DUMMYFUNCTION("""COMPUTED_VALUE"""),"Yes")</f>
        <v>Yes</v>
      </c>
      <c r="AD74" s="5" t="str">
        <f>IFERROR(__xludf.DUMMYFUNCTION("""COMPUTED_VALUE"""),"Yes")</f>
        <v>Yes</v>
      </c>
      <c r="AE74" s="5" t="str">
        <f>IFERROR(__xludf.DUMMYFUNCTION("""COMPUTED_VALUE"""),"No")</f>
        <v>No</v>
      </c>
      <c r="AF74" s="5" t="str">
        <f>IFERROR(__xludf.DUMMYFUNCTION("""COMPUTED_VALUE"""),"Yes")</f>
        <v>Yes</v>
      </c>
      <c r="AG74" s="5" t="str">
        <f>IFERROR(__xludf.DUMMYFUNCTION("""COMPUTED_VALUE"""),"No")</f>
        <v>No</v>
      </c>
      <c r="AH74" s="5" t="str">
        <f>IFERROR(__xludf.DUMMYFUNCTION("""COMPUTED_VALUE"""),"No")</f>
        <v>No</v>
      </c>
      <c r="AI74" s="5" t="str">
        <f>IFERROR(__xludf.DUMMYFUNCTION("""COMPUTED_VALUE"""),"No")</f>
        <v>No</v>
      </c>
      <c r="AJ74" s="5" t="str">
        <f>IFERROR(__xludf.DUMMYFUNCTION("""COMPUTED_VALUE"""),"No")</f>
        <v>No</v>
      </c>
      <c r="AK74" s="5" t="str">
        <f>IFERROR(__xludf.DUMMYFUNCTION("""COMPUTED_VALUE"""),"No")</f>
        <v>No</v>
      </c>
      <c r="AL74" s="5" t="str">
        <f>IFERROR(__xludf.DUMMYFUNCTION("""COMPUTED_VALUE"""),"No")</f>
        <v>No</v>
      </c>
      <c r="AM74" s="5"/>
      <c r="AN74" s="5"/>
      <c r="AO74" s="5"/>
      <c r="AP74" s="5"/>
      <c r="AQ74" s="5"/>
      <c r="AR74" s="5"/>
      <c r="AS74" s="5"/>
      <c r="AT74" s="5"/>
      <c r="AU74" s="5"/>
      <c r="AV74" s="5"/>
      <c r="AW74" s="5"/>
      <c r="AX74" s="5"/>
      <c r="AY74" s="5"/>
    </row>
    <row r="75">
      <c r="A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5" s="5">
        <f>IFERROR(__xludf.DUMMYFUNCTION("""COMPUTED_VALUE"""),74.0)</f>
        <v>74</v>
      </c>
      <c r="C75" s="5">
        <f>IFERROR(__xludf.DUMMYFUNCTION("""COMPUTED_VALUE"""),73.0)</f>
        <v>73</v>
      </c>
      <c r="D75" s="5" t="str">
        <f>IFERROR(__xludf.DUMMYFUNCTION("""COMPUTED_VALUE"""),"BurstingHot5")</f>
        <v>BurstingHot5</v>
      </c>
      <c r="E75" s="5" t="str">
        <f>IFERROR(__xludf.DUMMYFUNCTION("""COMPUTED_VALUE"""),"Yes")</f>
        <v>Yes</v>
      </c>
      <c r="F75" s="5" t="str">
        <f>IFERROR(__xludf.DUMMYFUNCTION("""COMPUTED_VALUE"""),"Yes")</f>
        <v>Yes</v>
      </c>
      <c r="G75" s="5" t="str">
        <f>IFERROR(__xludf.DUMMYFUNCTION("""COMPUTED_VALUE"""),"Yes")</f>
        <v>Yes</v>
      </c>
      <c r="H75" s="5" t="str">
        <f>IFERROR(__xludf.DUMMYFUNCTION("""COMPUTED_VALUE"""),"Yes")</f>
        <v>Yes</v>
      </c>
      <c r="I75" s="5" t="str">
        <f>IFERROR(__xludf.DUMMYFUNCTION("""COMPUTED_VALUE"""),"Yes")</f>
        <v>Yes</v>
      </c>
      <c r="J75" s="5" t="str">
        <f>IFERROR(__xludf.DUMMYFUNCTION("""COMPUTED_VALUE"""),"Yes")</f>
        <v>Yes</v>
      </c>
      <c r="K75" s="5" t="str">
        <f>IFERROR(__xludf.DUMMYFUNCTION("""COMPUTED_VALUE"""),"Yes")</f>
        <v>Yes</v>
      </c>
      <c r="L75" s="5" t="str">
        <f>IFERROR(__xludf.DUMMYFUNCTION("""COMPUTED_VALUE"""),"Yes")</f>
        <v>Yes</v>
      </c>
      <c r="M75" s="5" t="str">
        <f>IFERROR(__xludf.DUMMYFUNCTION("""COMPUTED_VALUE"""),"Yes")</f>
        <v>Yes</v>
      </c>
      <c r="N75" s="5" t="str">
        <f>IFERROR(__xludf.DUMMYFUNCTION("""COMPUTED_VALUE"""),"Yes")</f>
        <v>Yes</v>
      </c>
      <c r="O75" s="5" t="str">
        <f>IFERROR(__xludf.DUMMYFUNCTION("""COMPUTED_VALUE"""),"Yes")</f>
        <v>Yes</v>
      </c>
      <c r="P75" s="5" t="str">
        <f>IFERROR(__xludf.DUMMYFUNCTION("""COMPUTED_VALUE"""),"Yes")</f>
        <v>Yes</v>
      </c>
      <c r="Q75" s="5" t="str">
        <f>IFERROR(__xludf.DUMMYFUNCTION("""COMPUTED_VALUE"""),"Yes")</f>
        <v>Yes</v>
      </c>
      <c r="R75" s="5" t="str">
        <f>IFERROR(__xludf.DUMMYFUNCTION("""COMPUTED_VALUE"""),"Yes")</f>
        <v>Yes</v>
      </c>
      <c r="S75" s="5" t="str">
        <f>IFERROR(__xludf.DUMMYFUNCTION("""COMPUTED_VALUE"""),"Yes")</f>
        <v>Yes</v>
      </c>
      <c r="T75" s="5" t="str">
        <f>IFERROR(__xludf.DUMMYFUNCTION("""COMPUTED_VALUE"""),"Yes")</f>
        <v>Yes</v>
      </c>
      <c r="U75" s="5" t="str">
        <f>IFERROR(__xludf.DUMMYFUNCTION("""COMPUTED_VALUE"""),"Yes")</f>
        <v>Yes</v>
      </c>
      <c r="V75" s="5" t="str">
        <f>IFERROR(__xludf.DUMMYFUNCTION("""COMPUTED_VALUE"""),"Yes")</f>
        <v>Yes</v>
      </c>
      <c r="W75" s="5" t="str">
        <f>IFERROR(__xludf.DUMMYFUNCTION("""COMPUTED_VALUE"""),"Yes")</f>
        <v>Yes</v>
      </c>
      <c r="X75" s="5" t="str">
        <f>IFERROR(__xludf.DUMMYFUNCTION("""COMPUTED_VALUE"""),"Yes")</f>
        <v>Yes</v>
      </c>
      <c r="Y75" s="5" t="str">
        <f>IFERROR(__xludf.DUMMYFUNCTION("""COMPUTED_VALUE"""),"Yes")</f>
        <v>Yes</v>
      </c>
      <c r="Z75" s="5" t="str">
        <f>IFERROR(__xludf.DUMMYFUNCTION("""COMPUTED_VALUE"""),"No")</f>
        <v>No</v>
      </c>
      <c r="AA75" s="5" t="str">
        <f>IFERROR(__xludf.DUMMYFUNCTION("""COMPUTED_VALUE"""),"Yes")</f>
        <v>Yes</v>
      </c>
      <c r="AB75" s="5" t="str">
        <f>IFERROR(__xludf.DUMMYFUNCTION("""COMPUTED_VALUE"""),"Yes")</f>
        <v>Yes</v>
      </c>
      <c r="AC75" s="5" t="str">
        <f>IFERROR(__xludf.DUMMYFUNCTION("""COMPUTED_VALUE"""),"Yes")</f>
        <v>Yes</v>
      </c>
      <c r="AD75" s="5" t="str">
        <f>IFERROR(__xludf.DUMMYFUNCTION("""COMPUTED_VALUE"""),"Yes")</f>
        <v>Yes</v>
      </c>
      <c r="AE75" s="5" t="str">
        <f>IFERROR(__xludf.DUMMYFUNCTION("""COMPUTED_VALUE"""),"No")</f>
        <v>No</v>
      </c>
      <c r="AF75" s="5" t="str">
        <f>IFERROR(__xludf.DUMMYFUNCTION("""COMPUTED_VALUE"""),"Yes")</f>
        <v>Yes</v>
      </c>
      <c r="AG75" s="5" t="str">
        <f>IFERROR(__xludf.DUMMYFUNCTION("""COMPUTED_VALUE"""),"No")</f>
        <v>No</v>
      </c>
      <c r="AH75" s="5" t="str">
        <f>IFERROR(__xludf.DUMMYFUNCTION("""COMPUTED_VALUE"""),"No")</f>
        <v>No</v>
      </c>
      <c r="AI75" s="5" t="str">
        <f>IFERROR(__xludf.DUMMYFUNCTION("""COMPUTED_VALUE"""),"No")</f>
        <v>No</v>
      </c>
      <c r="AJ75" s="5" t="str">
        <f>IFERROR(__xludf.DUMMYFUNCTION("""COMPUTED_VALUE"""),"No")</f>
        <v>No</v>
      </c>
      <c r="AK75" s="5" t="str">
        <f>IFERROR(__xludf.DUMMYFUNCTION("""COMPUTED_VALUE"""),"No")</f>
        <v>No</v>
      </c>
      <c r="AL75" s="5" t="str">
        <f>IFERROR(__xludf.DUMMYFUNCTION("""COMPUTED_VALUE"""),"No")</f>
        <v>No</v>
      </c>
      <c r="AM75" s="5"/>
      <c r="AN75" s="5"/>
      <c r="AO75" s="5"/>
      <c r="AP75" s="5"/>
      <c r="AQ75" s="5"/>
      <c r="AR75" s="5"/>
      <c r="AS75" s="5"/>
      <c r="AT75" s="5"/>
      <c r="AU75" s="5"/>
      <c r="AV75" s="5"/>
      <c r="AW75" s="5"/>
      <c r="AX75" s="5"/>
      <c r="AY75" s="5"/>
    </row>
    <row r="76">
      <c r="A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6" s="5">
        <f>IFERROR(__xludf.DUMMYFUNCTION("""COMPUTED_VALUE"""),75.0)</f>
        <v>75</v>
      </c>
      <c r="C76" s="5">
        <f>IFERROR(__xludf.DUMMYFUNCTION("""COMPUTED_VALUE"""),74.0)</f>
        <v>74</v>
      </c>
      <c r="D76" s="5" t="str">
        <f>IFERROR(__xludf.DUMMYFUNCTION("""COMPUTED_VALUE"""),"WildHot40")</f>
        <v>WildHot40</v>
      </c>
      <c r="E76" s="5" t="str">
        <f>IFERROR(__xludf.DUMMYFUNCTION("""COMPUTED_VALUE"""),"Yes")</f>
        <v>Yes</v>
      </c>
      <c r="F76" s="5" t="str">
        <f>IFERROR(__xludf.DUMMYFUNCTION("""COMPUTED_VALUE"""),"Yes")</f>
        <v>Yes</v>
      </c>
      <c r="G76" s="5" t="str">
        <f>IFERROR(__xludf.DUMMYFUNCTION("""COMPUTED_VALUE"""),"Yes")</f>
        <v>Yes</v>
      </c>
      <c r="H76" s="5" t="str">
        <f>IFERROR(__xludf.DUMMYFUNCTION("""COMPUTED_VALUE"""),"Yes")</f>
        <v>Yes</v>
      </c>
      <c r="I76" s="5" t="str">
        <f>IFERROR(__xludf.DUMMYFUNCTION("""COMPUTED_VALUE"""),"Yes")</f>
        <v>Yes</v>
      </c>
      <c r="J76" s="5" t="str">
        <f>IFERROR(__xludf.DUMMYFUNCTION("""COMPUTED_VALUE"""),"Yes")</f>
        <v>Yes</v>
      </c>
      <c r="K76" s="5" t="str">
        <f>IFERROR(__xludf.DUMMYFUNCTION("""COMPUTED_VALUE"""),"Yes")</f>
        <v>Yes</v>
      </c>
      <c r="L76" s="5" t="str">
        <f>IFERROR(__xludf.DUMMYFUNCTION("""COMPUTED_VALUE"""),"Yes")</f>
        <v>Yes</v>
      </c>
      <c r="M76" s="5" t="str">
        <f>IFERROR(__xludf.DUMMYFUNCTION("""COMPUTED_VALUE"""),"Yes")</f>
        <v>Yes</v>
      </c>
      <c r="N76" s="5" t="str">
        <f>IFERROR(__xludf.DUMMYFUNCTION("""COMPUTED_VALUE"""),"Yes")</f>
        <v>Yes</v>
      </c>
      <c r="O76" s="5" t="str">
        <f>IFERROR(__xludf.DUMMYFUNCTION("""COMPUTED_VALUE"""),"Yes")</f>
        <v>Yes</v>
      </c>
      <c r="P76" s="5" t="str">
        <f>IFERROR(__xludf.DUMMYFUNCTION("""COMPUTED_VALUE"""),"Yes")</f>
        <v>Yes</v>
      </c>
      <c r="Q76" s="5" t="str">
        <f>IFERROR(__xludf.DUMMYFUNCTION("""COMPUTED_VALUE"""),"Yes")</f>
        <v>Yes</v>
      </c>
      <c r="R76" s="5" t="str">
        <f>IFERROR(__xludf.DUMMYFUNCTION("""COMPUTED_VALUE"""),"Yes")</f>
        <v>Yes</v>
      </c>
      <c r="S76" s="5" t="str">
        <f>IFERROR(__xludf.DUMMYFUNCTION("""COMPUTED_VALUE"""),"Yes")</f>
        <v>Yes</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IFERROR(__xludf.DUMMYFUNCTION("""COMPUTED_VALUE"""),"No")</f>
        <v>No</v>
      </c>
      <c r="AA76" s="5" t="str">
        <f>IFERROR(__xludf.DUMMYFUNCTION("""COMPUTED_VALUE"""),"Yes")</f>
        <v>Yes</v>
      </c>
      <c r="AB76" s="5" t="str">
        <f>IFERROR(__xludf.DUMMYFUNCTION("""COMPUTED_VALUE"""),"Yes")</f>
        <v>Yes</v>
      </c>
      <c r="AC76" s="5" t="str">
        <f>IFERROR(__xludf.DUMMYFUNCTION("""COMPUTED_VALUE"""),"Yes")</f>
        <v>Yes</v>
      </c>
      <c r="AD76" s="5" t="str">
        <f>IFERROR(__xludf.DUMMYFUNCTION("""COMPUTED_VALUE"""),"Yes")</f>
        <v>Yes</v>
      </c>
      <c r="AE76" s="5" t="str">
        <f>IFERROR(__xludf.DUMMYFUNCTION("""COMPUTED_VALUE"""),"No")</f>
        <v>No</v>
      </c>
      <c r="AF76" s="5" t="str">
        <f>IFERROR(__xludf.DUMMYFUNCTION("""COMPUTED_VALUE"""),"Yes")</f>
        <v>Yes</v>
      </c>
      <c r="AG76" s="5" t="str">
        <f>IFERROR(__xludf.DUMMYFUNCTION("""COMPUTED_VALUE"""),"No")</f>
        <v>No</v>
      </c>
      <c r="AH76" s="5" t="str">
        <f>IFERROR(__xludf.DUMMYFUNCTION("""COMPUTED_VALUE"""),"No")</f>
        <v>No</v>
      </c>
      <c r="AI76" s="5" t="str">
        <f>IFERROR(__xludf.DUMMYFUNCTION("""COMPUTED_VALUE"""),"No")</f>
        <v>No</v>
      </c>
      <c r="AJ76" s="5" t="str">
        <f>IFERROR(__xludf.DUMMYFUNCTION("""COMPUTED_VALUE"""),"No")</f>
        <v>No</v>
      </c>
      <c r="AK76" s="5" t="str">
        <f>IFERROR(__xludf.DUMMYFUNCTION("""COMPUTED_VALUE"""),"No")</f>
        <v>No</v>
      </c>
      <c r="AL76" s="5" t="str">
        <f>IFERROR(__xludf.DUMMYFUNCTION("""COMPUTED_VALUE"""),"No")</f>
        <v>No</v>
      </c>
      <c r="AM76" s="5"/>
      <c r="AN76" s="5"/>
      <c r="AO76" s="5"/>
      <c r="AP76" s="5"/>
      <c r="AQ76" s="5"/>
      <c r="AR76" s="5"/>
      <c r="AS76" s="5"/>
      <c r="AT76" s="5"/>
      <c r="AU76" s="5"/>
      <c r="AV76" s="5"/>
      <c r="AW76" s="5"/>
      <c r="AX76" s="5"/>
      <c r="AY76" s="5"/>
    </row>
    <row r="77">
      <c r="A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7" s="5">
        <f>IFERROR(__xludf.DUMMYFUNCTION("""COMPUTED_VALUE"""),76.0)</f>
        <v>76</v>
      </c>
      <c r="C77" s="5">
        <f>IFERROR(__xludf.DUMMYFUNCTION("""COMPUTED_VALUE"""),75.0)</f>
        <v>75</v>
      </c>
      <c r="D77" s="5" t="str">
        <f>IFERROR(__xludf.DUMMYFUNCTION("""COMPUTED_VALUE"""),"BurningIceGd")</f>
        <v>BurningIceGd</v>
      </c>
      <c r="E77" s="5" t="str">
        <f>IFERROR(__xludf.DUMMYFUNCTION("""COMPUTED_VALUE"""),"Yes")</f>
        <v>Yes</v>
      </c>
      <c r="F77" s="5" t="str">
        <f>IFERROR(__xludf.DUMMYFUNCTION("""COMPUTED_VALUE"""),"Yes")</f>
        <v>Yes</v>
      </c>
      <c r="G77" s="5" t="str">
        <f>IFERROR(__xludf.DUMMYFUNCTION("""COMPUTED_VALUE"""),"Yes")</f>
        <v>Yes</v>
      </c>
      <c r="H77" s="5" t="str">
        <f>IFERROR(__xludf.DUMMYFUNCTION("""COMPUTED_VALUE"""),"Yes")</f>
        <v>Yes</v>
      </c>
      <c r="I77" s="5" t="str">
        <f>IFERROR(__xludf.DUMMYFUNCTION("""COMPUTED_VALUE"""),"Yes")</f>
        <v>Yes</v>
      </c>
      <c r="J77" s="5" t="str">
        <f>IFERROR(__xludf.DUMMYFUNCTION("""COMPUTED_VALUE"""),"Yes")</f>
        <v>Yes</v>
      </c>
      <c r="K77" s="5" t="str">
        <f>IFERROR(__xludf.DUMMYFUNCTION("""COMPUTED_VALUE"""),"Yes")</f>
        <v>Yes</v>
      </c>
      <c r="L77" s="5" t="str">
        <f>IFERROR(__xludf.DUMMYFUNCTION("""COMPUTED_VALUE"""),"Yes")</f>
        <v>Yes</v>
      </c>
      <c r="M77" s="5" t="str">
        <f>IFERROR(__xludf.DUMMYFUNCTION("""COMPUTED_VALUE"""),"Yes")</f>
        <v>Yes</v>
      </c>
      <c r="N77" s="5" t="str">
        <f>IFERROR(__xludf.DUMMYFUNCTION("""COMPUTED_VALUE"""),"Yes")</f>
        <v>Yes</v>
      </c>
      <c r="O77" s="5" t="str">
        <f>IFERROR(__xludf.DUMMYFUNCTION("""COMPUTED_VALUE"""),"Yes")</f>
        <v>Yes</v>
      </c>
      <c r="P77" s="5" t="str">
        <f>IFERROR(__xludf.DUMMYFUNCTION("""COMPUTED_VALUE"""),"Yes")</f>
        <v>Yes</v>
      </c>
      <c r="Q77" s="5" t="str">
        <f>IFERROR(__xludf.DUMMYFUNCTION("""COMPUTED_VALUE"""),"Yes")</f>
        <v>Yes</v>
      </c>
      <c r="R77" s="5" t="str">
        <f>IFERROR(__xludf.DUMMYFUNCTION("""COMPUTED_VALUE"""),"Yes")</f>
        <v>Yes</v>
      </c>
      <c r="S77" s="5" t="str">
        <f>IFERROR(__xludf.DUMMYFUNCTION("""COMPUTED_VALUE"""),"Yes")</f>
        <v>Yes</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IFERROR(__xludf.DUMMYFUNCTION("""COMPUTED_VALUE"""),"No")</f>
        <v>No</v>
      </c>
      <c r="AA77" s="5" t="str">
        <f>IFERROR(__xludf.DUMMYFUNCTION("""COMPUTED_VALUE"""),"Yes")</f>
        <v>Yes</v>
      </c>
      <c r="AB77" s="5" t="str">
        <f>IFERROR(__xludf.DUMMYFUNCTION("""COMPUTED_VALUE"""),"Yes")</f>
        <v>Yes</v>
      </c>
      <c r="AC77" s="5" t="str">
        <f>IFERROR(__xludf.DUMMYFUNCTION("""COMPUTED_VALUE"""),"Yes")</f>
        <v>Yes</v>
      </c>
      <c r="AD77" s="5" t="str">
        <f>IFERROR(__xludf.DUMMYFUNCTION("""COMPUTED_VALUE"""),"Yes")</f>
        <v>Yes</v>
      </c>
      <c r="AE77" s="5" t="str">
        <f>IFERROR(__xludf.DUMMYFUNCTION("""COMPUTED_VALUE"""),"No")</f>
        <v>No</v>
      </c>
      <c r="AF77" s="5" t="str">
        <f>IFERROR(__xludf.DUMMYFUNCTION("""COMPUTED_VALUE"""),"Yes")</f>
        <v>Yes</v>
      </c>
      <c r="AG77" s="5" t="str">
        <f>IFERROR(__xludf.DUMMYFUNCTION("""COMPUTED_VALUE"""),"No")</f>
        <v>No</v>
      </c>
      <c r="AH77" s="5" t="str">
        <f>IFERROR(__xludf.DUMMYFUNCTION("""COMPUTED_VALUE"""),"No")</f>
        <v>No</v>
      </c>
      <c r="AI77" s="5" t="str">
        <f>IFERROR(__xludf.DUMMYFUNCTION("""COMPUTED_VALUE"""),"No")</f>
        <v>No</v>
      </c>
      <c r="AJ77" s="5" t="str">
        <f>IFERROR(__xludf.DUMMYFUNCTION("""COMPUTED_VALUE"""),"No")</f>
        <v>No</v>
      </c>
      <c r="AK77" s="5" t="str">
        <f>IFERROR(__xludf.DUMMYFUNCTION("""COMPUTED_VALUE"""),"No")</f>
        <v>No</v>
      </c>
      <c r="AL77" s="5" t="str">
        <f>IFERROR(__xludf.DUMMYFUNCTION("""COMPUTED_VALUE"""),"No")</f>
        <v>No</v>
      </c>
      <c r="AM77" s="5"/>
      <c r="AN77" s="5"/>
      <c r="AO77" s="5"/>
      <c r="AP77" s="5"/>
      <c r="AQ77" s="5"/>
      <c r="AR77" s="5"/>
      <c r="AS77" s="5"/>
      <c r="AT77" s="5"/>
      <c r="AU77" s="5"/>
      <c r="AV77" s="5"/>
      <c r="AW77" s="5"/>
      <c r="AX77" s="5"/>
      <c r="AY77" s="5"/>
    </row>
    <row r="78">
      <c r="A78" s="5" t="str">
        <f>IFERROR(__xludf.DUMMYFUNCTION("""COMPUTED_VALUE"""),"English(""eng"")")</f>
        <v>English("eng")</v>
      </c>
      <c r="B78" s="5">
        <f>IFERROR(__xludf.DUMMYFUNCTION("""COMPUTED_VALUE"""),77.0)</f>
        <v>77</v>
      </c>
      <c r="C78" s="5">
        <f>IFERROR(__xludf.DUMMYFUNCTION("""COMPUTED_VALUE"""),76.0)</f>
        <v>76</v>
      </c>
      <c r="D78" s="5" t="str">
        <f>IFERROR(__xludf.DUMMYFUNCTION("""COMPUTED_VALUE"""),"UnicornReelDice")</f>
        <v>UnicornReelDice</v>
      </c>
      <c r="E78" s="5" t="str">
        <f>IFERROR(__xludf.DUMMYFUNCTION("""COMPUTED_VALUE"""),"Yes")</f>
        <v>Yes</v>
      </c>
      <c r="F78" s="5" t="str">
        <f>IFERROR(__xludf.DUMMYFUNCTION("""COMPUTED_VALUE"""),"No")</f>
        <v>No</v>
      </c>
      <c r="G78" s="5" t="str">
        <f>IFERROR(__xludf.DUMMYFUNCTION("""COMPUTED_VALUE"""),"No")</f>
        <v>No</v>
      </c>
      <c r="H78" s="5" t="str">
        <f>IFERROR(__xludf.DUMMYFUNCTION("""COMPUTED_VALUE"""),"No")</f>
        <v>No</v>
      </c>
      <c r="I78" s="5" t="str">
        <f>IFERROR(__xludf.DUMMYFUNCTION("""COMPUTED_VALUE"""),"No")</f>
        <v>No</v>
      </c>
      <c r="J78" s="5" t="str">
        <f>IFERROR(__xludf.DUMMYFUNCTION("""COMPUTED_VALUE"""),"No")</f>
        <v>No</v>
      </c>
      <c r="K78" s="5" t="str">
        <f>IFERROR(__xludf.DUMMYFUNCTION("""COMPUTED_VALUE"""),"No")</f>
        <v>No</v>
      </c>
      <c r="L78" s="5" t="str">
        <f>IFERROR(__xludf.DUMMYFUNCTION("""COMPUTED_VALUE"""),"No")</f>
        <v>No</v>
      </c>
      <c r="M78" s="5" t="str">
        <f>IFERROR(__xludf.DUMMYFUNCTION("""COMPUTED_VALUE"""),"No")</f>
        <v>No</v>
      </c>
      <c r="N78" s="5" t="str">
        <f>IFERROR(__xludf.DUMMYFUNCTION("""COMPUTED_VALUE"""),"No")</f>
        <v>No</v>
      </c>
      <c r="O78" s="5" t="str">
        <f>IFERROR(__xludf.DUMMYFUNCTION("""COMPUTED_VALUE"""),"No")</f>
        <v>No</v>
      </c>
      <c r="P78" s="5" t="str">
        <f>IFERROR(__xludf.DUMMYFUNCTION("""COMPUTED_VALUE"""),"No")</f>
        <v>No</v>
      </c>
      <c r="Q78" s="5" t="str">
        <f>IFERROR(__xludf.DUMMYFUNCTION("""COMPUTED_VALUE"""),"No")</f>
        <v>No</v>
      </c>
      <c r="R78" s="5" t="str">
        <f>IFERROR(__xludf.DUMMYFUNCTION("""COMPUTED_VALUE"""),"No")</f>
        <v>No</v>
      </c>
      <c r="S78" s="5" t="str">
        <f>IFERROR(__xludf.DUMMYFUNCTION("""COMPUTED_VALUE"""),"No")</f>
        <v>No</v>
      </c>
      <c r="T78" s="5" t="str">
        <f>IFERROR(__xludf.DUMMYFUNCTION("""COMPUTED_VALUE"""),"No")</f>
        <v>No</v>
      </c>
      <c r="U78" s="5" t="str">
        <f>IFERROR(__xludf.DUMMYFUNCTION("""COMPUTED_VALUE"""),"No")</f>
        <v>No</v>
      </c>
      <c r="V78" s="5" t="str">
        <f>IFERROR(__xludf.DUMMYFUNCTION("""COMPUTED_VALUE"""),"No")</f>
        <v>No</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IFERROR(__xludf.DUMMYFUNCTION("""COMPUTED_VALUE"""),"No")</f>
        <v>No</v>
      </c>
      <c r="AC78" s="5" t="str">
        <f>IFERROR(__xludf.DUMMYFUNCTION("""COMPUTED_VALUE"""),"No")</f>
        <v>No</v>
      </c>
      <c r="AD78" s="5" t="str">
        <f>IFERROR(__xludf.DUMMYFUNCTION("""COMPUTED_VALUE"""),"No")</f>
        <v>No</v>
      </c>
      <c r="AE78" s="5" t="str">
        <f>IFERROR(__xludf.DUMMYFUNCTION("""COMPUTED_VALUE"""),"No")</f>
        <v>No</v>
      </c>
      <c r="AF78" s="5" t="str">
        <f>IFERROR(__xludf.DUMMYFUNCTION("""COMPUTED_VALUE"""),"No")</f>
        <v>No</v>
      </c>
      <c r="AG78" s="5" t="str">
        <f>IFERROR(__xludf.DUMMYFUNCTION("""COMPUTED_VALUE"""),"No")</f>
        <v>No</v>
      </c>
      <c r="AH78" s="5" t="str">
        <f>IFERROR(__xludf.DUMMYFUNCTION("""COMPUTED_VALUE"""),"No")</f>
        <v>No</v>
      </c>
      <c r="AI78" s="5" t="str">
        <f>IFERROR(__xludf.DUMMYFUNCTION("""COMPUTED_VALUE"""),"No")</f>
        <v>No</v>
      </c>
      <c r="AJ78" s="5" t="str">
        <f>IFERROR(__xludf.DUMMYFUNCTION("""COMPUTED_VALUE"""),"No")</f>
        <v>No</v>
      </c>
      <c r="AK78" s="5" t="str">
        <f>IFERROR(__xludf.DUMMYFUNCTION("""COMPUTED_VALUE"""),"No")</f>
        <v>No</v>
      </c>
      <c r="AL78" s="5" t="str">
        <f>IFERROR(__xludf.DUMMYFUNCTION("""COMPUTED_VALUE"""),"No")</f>
        <v>No</v>
      </c>
      <c r="AM78" s="5"/>
      <c r="AN78" s="5"/>
      <c r="AO78" s="5"/>
      <c r="AP78" s="5"/>
      <c r="AQ78" s="5"/>
      <c r="AR78" s="5"/>
      <c r="AS78" s="5"/>
      <c r="AT78" s="5"/>
      <c r="AU78" s="5"/>
      <c r="AV78" s="5"/>
      <c r="AW78" s="5"/>
      <c r="AX78" s="5"/>
      <c r="AY78" s="5"/>
    </row>
    <row r="79">
      <c r="A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9" s="5">
        <f>IFERROR(__xludf.DUMMYFUNCTION("""COMPUTED_VALUE"""),78.0)</f>
        <v>78</v>
      </c>
      <c r="C79" s="5">
        <f>IFERROR(__xludf.DUMMYFUNCTION("""COMPUTED_VALUE"""),77.0)</f>
        <v>77</v>
      </c>
      <c r="D79" s="5" t="str">
        <f>IFERROR(__xludf.DUMMYFUNCTION("""COMPUTED_VALUE"""),"BurstingHot40")</f>
        <v>BurstingHot40</v>
      </c>
      <c r="E79" s="5" t="str">
        <f>IFERROR(__xludf.DUMMYFUNCTION("""COMPUTED_VALUE"""),"Yes")</f>
        <v>Yes</v>
      </c>
      <c r="F79" s="5" t="str">
        <f>IFERROR(__xludf.DUMMYFUNCTION("""COMPUTED_VALUE"""),"Yes")</f>
        <v>Yes</v>
      </c>
      <c r="G79" s="5" t="str">
        <f>IFERROR(__xludf.DUMMYFUNCTION("""COMPUTED_VALUE"""),"Yes")</f>
        <v>Yes</v>
      </c>
      <c r="H79" s="5" t="str">
        <f>IFERROR(__xludf.DUMMYFUNCTION("""COMPUTED_VALUE"""),"Yes")</f>
        <v>Yes</v>
      </c>
      <c r="I79" s="5" t="str">
        <f>IFERROR(__xludf.DUMMYFUNCTION("""COMPUTED_VALUE"""),"Yes")</f>
        <v>Yes</v>
      </c>
      <c r="J79" s="5" t="str">
        <f>IFERROR(__xludf.DUMMYFUNCTION("""COMPUTED_VALUE"""),"Yes")</f>
        <v>Yes</v>
      </c>
      <c r="K79" s="5" t="str">
        <f>IFERROR(__xludf.DUMMYFUNCTION("""COMPUTED_VALUE"""),"Yes")</f>
        <v>Yes</v>
      </c>
      <c r="L79" s="5" t="str">
        <f>IFERROR(__xludf.DUMMYFUNCTION("""COMPUTED_VALUE"""),"Yes")</f>
        <v>Yes</v>
      </c>
      <c r="M79" s="5" t="str">
        <f>IFERROR(__xludf.DUMMYFUNCTION("""COMPUTED_VALUE"""),"Yes")</f>
        <v>Yes</v>
      </c>
      <c r="N79" s="5" t="str">
        <f>IFERROR(__xludf.DUMMYFUNCTION("""COMPUTED_VALUE"""),"Yes")</f>
        <v>Yes</v>
      </c>
      <c r="O79" s="5" t="str">
        <f>IFERROR(__xludf.DUMMYFUNCTION("""COMPUTED_VALUE"""),"Yes")</f>
        <v>Yes</v>
      </c>
      <c r="P79" s="5" t="str">
        <f>IFERROR(__xludf.DUMMYFUNCTION("""COMPUTED_VALUE"""),"Yes")</f>
        <v>Yes</v>
      </c>
      <c r="Q79" s="5" t="str">
        <f>IFERROR(__xludf.DUMMYFUNCTION("""COMPUTED_VALUE"""),"Yes")</f>
        <v>Yes</v>
      </c>
      <c r="R79" s="5" t="str">
        <f>IFERROR(__xludf.DUMMYFUNCTION("""COMPUTED_VALUE"""),"Yes")</f>
        <v>Yes</v>
      </c>
      <c r="S79" s="5" t="str">
        <f>IFERROR(__xludf.DUMMYFUNCTION("""COMPUTED_VALUE"""),"Yes")</f>
        <v>Yes</v>
      </c>
      <c r="T79" s="5" t="str">
        <f>IFERROR(__xludf.DUMMYFUNCTION("""COMPUTED_VALUE"""),"Yes")</f>
        <v>Yes</v>
      </c>
      <c r="U79" s="5" t="str">
        <f>IFERROR(__xludf.DUMMYFUNCTION("""COMPUTED_VALUE"""),"Yes")</f>
        <v>Yes</v>
      </c>
      <c r="V79" s="5" t="str">
        <f>IFERROR(__xludf.DUMMYFUNCTION("""COMPUTED_VALUE"""),"Yes")</f>
        <v>Yes</v>
      </c>
      <c r="W79" s="5" t="str">
        <f>IFERROR(__xludf.DUMMYFUNCTION("""COMPUTED_VALUE"""),"Yes")</f>
        <v>Yes</v>
      </c>
      <c r="X79" s="5" t="str">
        <f>IFERROR(__xludf.DUMMYFUNCTION("""COMPUTED_VALUE"""),"Yes")</f>
        <v>Yes</v>
      </c>
      <c r="Y79" s="5" t="str">
        <f>IFERROR(__xludf.DUMMYFUNCTION("""COMPUTED_VALUE"""),"Yes")</f>
        <v>Yes</v>
      </c>
      <c r="Z79" s="5" t="str">
        <f>IFERROR(__xludf.DUMMYFUNCTION("""COMPUTED_VALUE"""),"No")</f>
        <v>No</v>
      </c>
      <c r="AA79" s="5" t="str">
        <f>IFERROR(__xludf.DUMMYFUNCTION("""COMPUTED_VALUE"""),"Yes")</f>
        <v>Yes</v>
      </c>
      <c r="AB79" s="5" t="str">
        <f>IFERROR(__xludf.DUMMYFUNCTION("""COMPUTED_VALUE"""),"Yes")</f>
        <v>Yes</v>
      </c>
      <c r="AC79" s="5" t="str">
        <f>IFERROR(__xludf.DUMMYFUNCTION("""COMPUTED_VALUE"""),"Yes")</f>
        <v>Yes</v>
      </c>
      <c r="AD79" s="5" t="str">
        <f>IFERROR(__xludf.DUMMYFUNCTION("""COMPUTED_VALUE"""),"Yes")</f>
        <v>Yes</v>
      </c>
      <c r="AE79" s="5" t="str">
        <f>IFERROR(__xludf.DUMMYFUNCTION("""COMPUTED_VALUE"""),"No")</f>
        <v>No</v>
      </c>
      <c r="AF79" s="5" t="str">
        <f>IFERROR(__xludf.DUMMYFUNCTION("""COMPUTED_VALUE"""),"Yes")</f>
        <v>Yes</v>
      </c>
      <c r="AG79" s="5" t="str">
        <f>IFERROR(__xludf.DUMMYFUNCTION("""COMPUTED_VALUE"""),"No")</f>
        <v>No</v>
      </c>
      <c r="AH79" s="5" t="str">
        <f>IFERROR(__xludf.DUMMYFUNCTION("""COMPUTED_VALUE"""),"No")</f>
        <v>No</v>
      </c>
      <c r="AI79" s="5" t="str">
        <f>IFERROR(__xludf.DUMMYFUNCTION("""COMPUTED_VALUE"""),"No")</f>
        <v>No</v>
      </c>
      <c r="AJ79" s="5" t="str">
        <f>IFERROR(__xludf.DUMMYFUNCTION("""COMPUTED_VALUE"""),"No")</f>
        <v>No</v>
      </c>
      <c r="AK79" s="5" t="str">
        <f>IFERROR(__xludf.DUMMYFUNCTION("""COMPUTED_VALUE"""),"No")</f>
        <v>No</v>
      </c>
      <c r="AL79" s="5" t="str">
        <f>IFERROR(__xludf.DUMMYFUNCTION("""COMPUTED_VALUE"""),"No")</f>
        <v>No</v>
      </c>
      <c r="AM79" s="5"/>
      <c r="AN79" s="5"/>
      <c r="AO79" s="5"/>
      <c r="AP79" s="5"/>
      <c r="AQ79" s="5"/>
      <c r="AR79" s="5"/>
      <c r="AS79" s="5"/>
      <c r="AT79" s="5"/>
      <c r="AU79" s="5"/>
      <c r="AV79" s="5"/>
      <c r="AW79" s="5"/>
      <c r="AX79" s="5"/>
      <c r="AY79" s="5"/>
    </row>
    <row r="80">
      <c r="A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0" s="5">
        <f>IFERROR(__xludf.DUMMYFUNCTION("""COMPUTED_VALUE"""),79.0)</f>
        <v>79</v>
      </c>
      <c r="C80" s="5">
        <f>IFERROR(__xludf.DUMMYFUNCTION("""COMPUTED_VALUE"""),78.0)</f>
        <v>78</v>
      </c>
      <c r="D80" s="5" t="str">
        <f>IFERROR(__xludf.DUMMYFUNCTION("""COMPUTED_VALUE"""),"BuffaloFortune")</f>
        <v>BuffaloFortune</v>
      </c>
      <c r="E80" s="5" t="str">
        <f>IFERROR(__xludf.DUMMYFUNCTION("""COMPUTED_VALUE"""),"Yes")</f>
        <v>Yes</v>
      </c>
      <c r="F80" s="5" t="str">
        <f>IFERROR(__xludf.DUMMYFUNCTION("""COMPUTED_VALUE"""),"Yes")</f>
        <v>Yes</v>
      </c>
      <c r="G80" s="5" t="str">
        <f>IFERROR(__xludf.DUMMYFUNCTION("""COMPUTED_VALUE"""),"Yes")</f>
        <v>Yes</v>
      </c>
      <c r="H80" s="5" t="str">
        <f>IFERROR(__xludf.DUMMYFUNCTION("""COMPUTED_VALUE"""),"Yes")</f>
        <v>Yes</v>
      </c>
      <c r="I80" s="5" t="str">
        <f>IFERROR(__xludf.DUMMYFUNCTION("""COMPUTED_VALUE"""),"Yes")</f>
        <v>Yes</v>
      </c>
      <c r="J80" s="5" t="str">
        <f>IFERROR(__xludf.DUMMYFUNCTION("""COMPUTED_VALUE"""),"Yes")</f>
        <v>Yes</v>
      </c>
      <c r="K80" s="5" t="str">
        <f>IFERROR(__xludf.DUMMYFUNCTION("""COMPUTED_VALUE"""),"Yes")</f>
        <v>Yes</v>
      </c>
      <c r="L80" s="5" t="str">
        <f>IFERROR(__xludf.DUMMYFUNCTION("""COMPUTED_VALUE"""),"Yes")</f>
        <v>Yes</v>
      </c>
      <c r="M80" s="5" t="str">
        <f>IFERROR(__xludf.DUMMYFUNCTION("""COMPUTED_VALUE"""),"Yes")</f>
        <v>Yes</v>
      </c>
      <c r="N80" s="5" t="str">
        <f>IFERROR(__xludf.DUMMYFUNCTION("""COMPUTED_VALUE"""),"Yes")</f>
        <v>Yes</v>
      </c>
      <c r="O80" s="5" t="str">
        <f>IFERROR(__xludf.DUMMYFUNCTION("""COMPUTED_VALUE"""),"Yes")</f>
        <v>Yes</v>
      </c>
      <c r="P80" s="5" t="str">
        <f>IFERROR(__xludf.DUMMYFUNCTION("""COMPUTED_VALUE"""),"Yes")</f>
        <v>Yes</v>
      </c>
      <c r="Q80" s="5" t="str">
        <f>IFERROR(__xludf.DUMMYFUNCTION("""COMPUTED_VALUE"""),"Yes")</f>
        <v>Yes</v>
      </c>
      <c r="R80" s="5" t="str">
        <f>IFERROR(__xludf.DUMMYFUNCTION("""COMPUTED_VALUE"""),"Yes")</f>
        <v>Yes</v>
      </c>
      <c r="S80" s="5" t="str">
        <f>IFERROR(__xludf.DUMMYFUNCTION("""COMPUTED_VALUE"""),"Yes")</f>
        <v>Yes</v>
      </c>
      <c r="T80" s="5" t="str">
        <f>IFERROR(__xludf.DUMMYFUNCTION("""COMPUTED_VALUE"""),"Yes")</f>
        <v>Yes</v>
      </c>
      <c r="U80" s="5" t="str">
        <f>IFERROR(__xludf.DUMMYFUNCTION("""COMPUTED_VALUE"""),"Yes")</f>
        <v>Yes</v>
      </c>
      <c r="V80" s="5" t="str">
        <f>IFERROR(__xludf.DUMMYFUNCTION("""COMPUTED_VALUE"""),"Yes")</f>
        <v>Yes</v>
      </c>
      <c r="W80" s="5" t="str">
        <f>IFERROR(__xludf.DUMMYFUNCTION("""COMPUTED_VALUE"""),"Yes")</f>
        <v>Yes</v>
      </c>
      <c r="X80" s="5" t="str">
        <f>IFERROR(__xludf.DUMMYFUNCTION("""COMPUTED_VALUE"""),"Yes")</f>
        <v>Yes</v>
      </c>
      <c r="Y80" s="5"/>
      <c r="Z80" s="5"/>
      <c r="AA80" s="5"/>
      <c r="AB80" s="5"/>
      <c r="AC80" s="5" t="str">
        <f>IFERROR(__xludf.DUMMYFUNCTION("""COMPUTED_VALUE"""),"Yes")</f>
        <v>Yes</v>
      </c>
      <c r="AD80" s="5"/>
      <c r="AE80" s="5"/>
      <c r="AF80" s="5"/>
      <c r="AG80" s="5"/>
      <c r="AH80" s="5"/>
      <c r="AI80" s="5"/>
      <c r="AJ80" s="5"/>
      <c r="AK80" s="5"/>
      <c r="AL80" s="5"/>
      <c r="AM80" s="5"/>
      <c r="AN80" s="5"/>
      <c r="AO80" s="5"/>
      <c r="AP80" s="5"/>
      <c r="AQ80" s="5"/>
      <c r="AR80" s="5"/>
      <c r="AS80" s="5"/>
      <c r="AT80" s="5"/>
      <c r="AU80" s="5"/>
      <c r="AV80" s="5"/>
      <c r="AW80" s="5"/>
      <c r="AX80" s="5"/>
      <c r="AY80" s="5"/>
    </row>
    <row r="81">
      <c r="A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1" s="5">
        <f>IFERROR(__xludf.DUMMYFUNCTION("""COMPUTED_VALUE"""),80.0)</f>
        <v>80</v>
      </c>
      <c r="C81" s="5">
        <f>IFERROR(__xludf.DUMMYFUNCTION("""COMPUTED_VALUE"""),79.0)</f>
        <v>79</v>
      </c>
      <c r="D81" s="5" t="str">
        <f>IFERROR(__xludf.DUMMYFUNCTION("""COMPUTED_VALUE"""),"DolphinsShine")</f>
        <v>DolphinsShine</v>
      </c>
      <c r="E81" s="5" t="str">
        <f>IFERROR(__xludf.DUMMYFUNCTION("""COMPUTED_VALUE"""),"Yes")</f>
        <v>Yes</v>
      </c>
      <c r="F81" s="5" t="str">
        <f>IFERROR(__xludf.DUMMYFUNCTION("""COMPUTED_VALUE"""),"Yes")</f>
        <v>Yes</v>
      </c>
      <c r="G81" s="5" t="str">
        <f>IFERROR(__xludf.DUMMYFUNCTION("""COMPUTED_VALUE"""),"Yes")</f>
        <v>Yes</v>
      </c>
      <c r="H81" s="5" t="str">
        <f>IFERROR(__xludf.DUMMYFUNCTION("""COMPUTED_VALUE"""),"Yes")</f>
        <v>Yes</v>
      </c>
      <c r="I81" s="5" t="str">
        <f>IFERROR(__xludf.DUMMYFUNCTION("""COMPUTED_VALUE"""),"Yes")</f>
        <v>Yes</v>
      </c>
      <c r="J81" s="5" t="str">
        <f>IFERROR(__xludf.DUMMYFUNCTION("""COMPUTED_VALUE"""),"Yes")</f>
        <v>Yes</v>
      </c>
      <c r="K81" s="5" t="str">
        <f>IFERROR(__xludf.DUMMYFUNCTION("""COMPUTED_VALUE"""),"Yes")</f>
        <v>Yes</v>
      </c>
      <c r="L81" s="5" t="str">
        <f>IFERROR(__xludf.DUMMYFUNCTION("""COMPUTED_VALUE"""),"Yes")</f>
        <v>Yes</v>
      </c>
      <c r="M81" s="5" t="str">
        <f>IFERROR(__xludf.DUMMYFUNCTION("""COMPUTED_VALUE"""),"Yes")</f>
        <v>Yes</v>
      </c>
      <c r="N81" s="5" t="str">
        <f>IFERROR(__xludf.DUMMYFUNCTION("""COMPUTED_VALUE"""),"Yes")</f>
        <v>Yes</v>
      </c>
      <c r="O81" s="5" t="str">
        <f>IFERROR(__xludf.DUMMYFUNCTION("""COMPUTED_VALUE"""),"Yes")</f>
        <v>Yes</v>
      </c>
      <c r="P81" s="5" t="str">
        <f>IFERROR(__xludf.DUMMYFUNCTION("""COMPUTED_VALUE"""),"Yes")</f>
        <v>Yes</v>
      </c>
      <c r="Q81" s="5" t="str">
        <f>IFERROR(__xludf.DUMMYFUNCTION("""COMPUTED_VALUE"""),"Yes")</f>
        <v>Yes</v>
      </c>
      <c r="R81" s="5" t="str">
        <f>IFERROR(__xludf.DUMMYFUNCTION("""COMPUTED_VALUE"""),"Yes")</f>
        <v>Yes</v>
      </c>
      <c r="S81" s="5" t="str">
        <f>IFERROR(__xludf.DUMMYFUNCTION("""COMPUTED_VALUE"""),"Yes")</f>
        <v>Yes</v>
      </c>
      <c r="T81" s="5" t="str">
        <f>IFERROR(__xludf.DUMMYFUNCTION("""COMPUTED_VALUE"""),"Yes")</f>
        <v>Yes</v>
      </c>
      <c r="U81" s="5" t="str">
        <f>IFERROR(__xludf.DUMMYFUNCTION("""COMPUTED_VALUE"""),"Yes")</f>
        <v>Yes</v>
      </c>
      <c r="V81" s="5" t="str">
        <f>IFERROR(__xludf.DUMMYFUNCTION("""COMPUTED_VALUE"""),"Yes")</f>
        <v>Yes</v>
      </c>
      <c r="W81" s="5" t="str">
        <f>IFERROR(__xludf.DUMMYFUNCTION("""COMPUTED_VALUE"""),"Yes")</f>
        <v>Yes</v>
      </c>
      <c r="X81" s="5" t="str">
        <f>IFERROR(__xludf.DUMMYFUNCTION("""COMPUTED_VALUE"""),"Yes")</f>
        <v>Yes</v>
      </c>
      <c r="Y81" s="5" t="str">
        <f>IFERROR(__xludf.DUMMYFUNCTION("""COMPUTED_VALUE"""),"Yes")</f>
        <v>Yes</v>
      </c>
      <c r="Z81" s="5" t="str">
        <f>IFERROR(__xludf.DUMMYFUNCTION("""COMPUTED_VALUE"""),"No")</f>
        <v>No</v>
      </c>
      <c r="AA81" s="5" t="str">
        <f>IFERROR(__xludf.DUMMYFUNCTION("""COMPUTED_VALUE"""),"Yes")</f>
        <v>Yes</v>
      </c>
      <c r="AB81" s="5" t="str">
        <f>IFERROR(__xludf.DUMMYFUNCTION("""COMPUTED_VALUE"""),"Yes")</f>
        <v>Yes</v>
      </c>
      <c r="AC81" s="5" t="str">
        <f>IFERROR(__xludf.DUMMYFUNCTION("""COMPUTED_VALUE"""),"Yes")</f>
        <v>Yes</v>
      </c>
      <c r="AD81" s="5" t="str">
        <f>IFERROR(__xludf.DUMMYFUNCTION("""COMPUTED_VALUE"""),"Yes")</f>
        <v>Yes</v>
      </c>
      <c r="AE81" s="5" t="str">
        <f>IFERROR(__xludf.DUMMYFUNCTION("""COMPUTED_VALUE"""),"No")</f>
        <v>No</v>
      </c>
      <c r="AF81" s="5" t="str">
        <f>IFERROR(__xludf.DUMMYFUNCTION("""COMPUTED_VALUE"""),"Yes")</f>
        <v>Yes</v>
      </c>
      <c r="AG81" s="5" t="str">
        <f>IFERROR(__xludf.DUMMYFUNCTION("""COMPUTED_VALUE"""),"No")</f>
        <v>No</v>
      </c>
      <c r="AH81" s="5" t="str">
        <f>IFERROR(__xludf.DUMMYFUNCTION("""COMPUTED_VALUE"""),"No")</f>
        <v>No</v>
      </c>
      <c r="AI81" s="5" t="str">
        <f>IFERROR(__xludf.DUMMYFUNCTION("""COMPUTED_VALUE"""),"No")</f>
        <v>No</v>
      </c>
      <c r="AJ81" s="5" t="str">
        <f>IFERROR(__xludf.DUMMYFUNCTION("""COMPUTED_VALUE"""),"No")</f>
        <v>No</v>
      </c>
      <c r="AK81" s="5" t="str">
        <f>IFERROR(__xludf.DUMMYFUNCTION("""COMPUTED_VALUE"""),"No")</f>
        <v>No</v>
      </c>
      <c r="AL81" s="5" t="str">
        <f>IFERROR(__xludf.DUMMYFUNCTION("""COMPUTED_VALUE"""),"No")</f>
        <v>No</v>
      </c>
      <c r="AM81" s="5"/>
      <c r="AN81" s="5"/>
      <c r="AO81" s="5"/>
      <c r="AP81" s="5"/>
      <c r="AQ81" s="5"/>
      <c r="AR81" s="5"/>
      <c r="AS81" s="5"/>
      <c r="AT81" s="5"/>
      <c r="AU81" s="5"/>
      <c r="AV81" s="5"/>
      <c r="AW81" s="5"/>
      <c r="AX81" s="5"/>
      <c r="AY81" s="5"/>
    </row>
    <row r="82">
      <c r="A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2" s="5">
        <f>IFERROR(__xludf.DUMMYFUNCTION("""COMPUTED_VALUE"""),81.0)</f>
        <v>81</v>
      </c>
      <c r="C82" s="5">
        <f>IFERROR(__xludf.DUMMYFUNCTION("""COMPUTED_VALUE"""),80.0)</f>
        <v>80</v>
      </c>
      <c r="D82" s="5" t="str">
        <f>IFERROR(__xludf.DUMMYFUNCTION("""COMPUTED_VALUE"""),"GoldenCrown")</f>
        <v>GoldenCrown</v>
      </c>
      <c r="E82" s="5" t="str">
        <f>IFERROR(__xludf.DUMMYFUNCTION("""COMPUTED_VALUE"""),"Yes")</f>
        <v>Yes</v>
      </c>
      <c r="F82" s="5" t="str">
        <f>IFERROR(__xludf.DUMMYFUNCTION("""COMPUTED_VALUE"""),"Yes")</f>
        <v>Yes</v>
      </c>
      <c r="G82" s="5" t="str">
        <f>IFERROR(__xludf.DUMMYFUNCTION("""COMPUTED_VALUE"""),"Yes")</f>
        <v>Yes</v>
      </c>
      <c r="H82" s="5" t="str">
        <f>IFERROR(__xludf.DUMMYFUNCTION("""COMPUTED_VALUE"""),"Yes")</f>
        <v>Yes</v>
      </c>
      <c r="I82" s="5" t="str">
        <f>IFERROR(__xludf.DUMMYFUNCTION("""COMPUTED_VALUE"""),"Yes")</f>
        <v>Yes</v>
      </c>
      <c r="J82" s="5" t="str">
        <f>IFERROR(__xludf.DUMMYFUNCTION("""COMPUTED_VALUE"""),"Yes")</f>
        <v>Yes</v>
      </c>
      <c r="K82" s="5" t="str">
        <f>IFERROR(__xludf.DUMMYFUNCTION("""COMPUTED_VALUE"""),"Yes")</f>
        <v>Yes</v>
      </c>
      <c r="L82" s="5" t="str">
        <f>IFERROR(__xludf.DUMMYFUNCTION("""COMPUTED_VALUE"""),"Yes")</f>
        <v>Yes</v>
      </c>
      <c r="M82" s="5" t="str">
        <f>IFERROR(__xludf.DUMMYFUNCTION("""COMPUTED_VALUE"""),"Yes")</f>
        <v>Yes</v>
      </c>
      <c r="N82" s="5" t="str">
        <f>IFERROR(__xludf.DUMMYFUNCTION("""COMPUTED_VALUE"""),"Yes")</f>
        <v>Yes</v>
      </c>
      <c r="O82" s="5" t="str">
        <f>IFERROR(__xludf.DUMMYFUNCTION("""COMPUTED_VALUE"""),"Yes")</f>
        <v>Yes</v>
      </c>
      <c r="P82" s="5" t="str">
        <f>IFERROR(__xludf.DUMMYFUNCTION("""COMPUTED_VALUE"""),"Yes")</f>
        <v>Yes</v>
      </c>
      <c r="Q82" s="5" t="str">
        <f>IFERROR(__xludf.DUMMYFUNCTION("""COMPUTED_VALUE"""),"Yes")</f>
        <v>Yes</v>
      </c>
      <c r="R82" s="5" t="str">
        <f>IFERROR(__xludf.DUMMYFUNCTION("""COMPUTED_VALUE"""),"Yes")</f>
        <v>Yes</v>
      </c>
      <c r="S82" s="5" t="str">
        <f>IFERROR(__xludf.DUMMYFUNCTION("""COMPUTED_VALUE"""),"Yes")</f>
        <v>Yes</v>
      </c>
      <c r="T82" s="5" t="str">
        <f>IFERROR(__xludf.DUMMYFUNCTION("""COMPUTED_VALUE"""),"Yes")</f>
        <v>Yes</v>
      </c>
      <c r="U82" s="5" t="str">
        <f>IFERROR(__xludf.DUMMYFUNCTION("""COMPUTED_VALUE"""),"Yes")</f>
        <v>Yes</v>
      </c>
      <c r="V82" s="5" t="str">
        <f>IFERROR(__xludf.DUMMYFUNCTION("""COMPUTED_VALUE"""),"Yes")</f>
        <v>Yes</v>
      </c>
      <c r="W82" s="5" t="str">
        <f>IFERROR(__xludf.DUMMYFUNCTION("""COMPUTED_VALUE"""),"Yes")</f>
        <v>Yes</v>
      </c>
      <c r="X82" s="5" t="str">
        <f>IFERROR(__xludf.DUMMYFUNCTION("""COMPUTED_VALUE"""),"Yes")</f>
        <v>Yes</v>
      </c>
      <c r="Y82" s="5" t="str">
        <f>IFERROR(__xludf.DUMMYFUNCTION("""COMPUTED_VALUE"""),"Yes")</f>
        <v>Yes</v>
      </c>
      <c r="Z82" s="5" t="str">
        <f>IFERROR(__xludf.DUMMYFUNCTION("""COMPUTED_VALUE"""),"No")</f>
        <v>No</v>
      </c>
      <c r="AA82" s="5" t="str">
        <f>IFERROR(__xludf.DUMMYFUNCTION("""COMPUTED_VALUE"""),"Yes")</f>
        <v>Yes</v>
      </c>
      <c r="AB82" s="5" t="str">
        <f>IFERROR(__xludf.DUMMYFUNCTION("""COMPUTED_VALUE"""),"Yes")</f>
        <v>Yes</v>
      </c>
      <c r="AC82" s="5" t="str">
        <f>IFERROR(__xludf.DUMMYFUNCTION("""COMPUTED_VALUE"""),"Yes")</f>
        <v>Yes</v>
      </c>
      <c r="AD82" s="5" t="str">
        <f>IFERROR(__xludf.DUMMYFUNCTION("""COMPUTED_VALUE"""),"Yes")</f>
        <v>Yes</v>
      </c>
      <c r="AE82" s="5" t="str">
        <f>IFERROR(__xludf.DUMMYFUNCTION("""COMPUTED_VALUE"""),"No")</f>
        <v>No</v>
      </c>
      <c r="AF82" s="5" t="str">
        <f>IFERROR(__xludf.DUMMYFUNCTION("""COMPUTED_VALUE"""),"Yes")</f>
        <v>Yes</v>
      </c>
      <c r="AG82" s="5" t="str">
        <f>IFERROR(__xludf.DUMMYFUNCTION("""COMPUTED_VALUE"""),"No")</f>
        <v>No</v>
      </c>
      <c r="AH82" s="5" t="str">
        <f>IFERROR(__xludf.DUMMYFUNCTION("""COMPUTED_VALUE"""),"No")</f>
        <v>No</v>
      </c>
      <c r="AI82" s="5" t="str">
        <f>IFERROR(__xludf.DUMMYFUNCTION("""COMPUTED_VALUE"""),"No")</f>
        <v>No</v>
      </c>
      <c r="AJ82" s="5" t="str">
        <f>IFERROR(__xludf.DUMMYFUNCTION("""COMPUTED_VALUE"""),"No")</f>
        <v>No</v>
      </c>
      <c r="AK82" s="5" t="str">
        <f>IFERROR(__xludf.DUMMYFUNCTION("""COMPUTED_VALUE"""),"No")</f>
        <v>No</v>
      </c>
      <c r="AL82" s="5" t="str">
        <f>IFERROR(__xludf.DUMMYFUNCTION("""COMPUTED_VALUE"""),"No")</f>
        <v>No</v>
      </c>
      <c r="AM82" s="5"/>
      <c r="AN82" s="5"/>
      <c r="AO82" s="5"/>
      <c r="AP82" s="5"/>
      <c r="AQ82" s="5"/>
      <c r="AR82" s="5"/>
      <c r="AS82" s="5"/>
      <c r="AT82" s="5"/>
      <c r="AU82" s="5"/>
      <c r="AV82" s="5"/>
      <c r="AW82" s="5"/>
      <c r="AX82" s="5"/>
      <c r="AY82" s="5"/>
    </row>
    <row r="83">
      <c r="A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3" s="5">
        <f>IFERROR(__xludf.DUMMYFUNCTION("""COMPUTED_VALUE"""),82.0)</f>
        <v>82</v>
      </c>
      <c r="C83" s="5">
        <f>IFERROR(__xludf.DUMMYFUNCTION("""COMPUTED_VALUE"""),81.0)</f>
        <v>81</v>
      </c>
      <c r="D83" s="5" t="str">
        <f>IFERROR(__xludf.DUMMYFUNCTION("""COMPUTED_VALUE"""),"CrystalHot401X")</f>
        <v>CrystalHot401X</v>
      </c>
      <c r="E83" s="5" t="str">
        <f>IFERROR(__xludf.DUMMYFUNCTION("""COMPUTED_VALUE"""),"Yes")</f>
        <v>Yes</v>
      </c>
      <c r="F83" s="5" t="str">
        <f>IFERROR(__xludf.DUMMYFUNCTION("""COMPUTED_VALUE"""),"Yes")</f>
        <v>Yes</v>
      </c>
      <c r="G83" s="5" t="str">
        <f>IFERROR(__xludf.DUMMYFUNCTION("""COMPUTED_VALUE"""),"Yes")</f>
        <v>Yes</v>
      </c>
      <c r="H83" s="5" t="str">
        <f>IFERROR(__xludf.DUMMYFUNCTION("""COMPUTED_VALUE"""),"Yes")</f>
        <v>Yes</v>
      </c>
      <c r="I83" s="5" t="str">
        <f>IFERROR(__xludf.DUMMYFUNCTION("""COMPUTED_VALUE"""),"Yes")</f>
        <v>Yes</v>
      </c>
      <c r="J83" s="5" t="str">
        <f>IFERROR(__xludf.DUMMYFUNCTION("""COMPUTED_VALUE"""),"Yes")</f>
        <v>Yes</v>
      </c>
      <c r="K83" s="5" t="str">
        <f>IFERROR(__xludf.DUMMYFUNCTION("""COMPUTED_VALUE"""),"Yes")</f>
        <v>Yes</v>
      </c>
      <c r="L83" s="5" t="str">
        <f>IFERROR(__xludf.DUMMYFUNCTION("""COMPUTED_VALUE"""),"Yes")</f>
        <v>Yes</v>
      </c>
      <c r="M83" s="5" t="str">
        <f>IFERROR(__xludf.DUMMYFUNCTION("""COMPUTED_VALUE"""),"Yes")</f>
        <v>Yes</v>
      </c>
      <c r="N83" s="5" t="str">
        <f>IFERROR(__xludf.DUMMYFUNCTION("""COMPUTED_VALUE"""),"Yes")</f>
        <v>Yes</v>
      </c>
      <c r="O83" s="5" t="str">
        <f>IFERROR(__xludf.DUMMYFUNCTION("""COMPUTED_VALUE"""),"Yes")</f>
        <v>Yes</v>
      </c>
      <c r="P83" s="5" t="str">
        <f>IFERROR(__xludf.DUMMYFUNCTION("""COMPUTED_VALUE"""),"Yes")</f>
        <v>Yes</v>
      </c>
      <c r="Q83" s="5" t="str">
        <f>IFERROR(__xludf.DUMMYFUNCTION("""COMPUTED_VALUE"""),"Yes")</f>
        <v>Yes</v>
      </c>
      <c r="R83" s="5" t="str">
        <f>IFERROR(__xludf.DUMMYFUNCTION("""COMPUTED_VALUE"""),"Yes")</f>
        <v>Yes</v>
      </c>
      <c r="S83" s="5" t="str">
        <f>IFERROR(__xludf.DUMMYFUNCTION("""COMPUTED_VALUE"""),"Yes")</f>
        <v>Yes</v>
      </c>
      <c r="T83" s="5" t="str">
        <f>IFERROR(__xludf.DUMMYFUNCTION("""COMPUTED_VALUE"""),"Yes")</f>
        <v>Yes</v>
      </c>
      <c r="U83" s="5" t="str">
        <f>IFERROR(__xludf.DUMMYFUNCTION("""COMPUTED_VALUE"""),"Yes")</f>
        <v>Yes</v>
      </c>
      <c r="V83" s="5" t="str">
        <f>IFERROR(__xludf.DUMMYFUNCTION("""COMPUTED_VALUE"""),"Yes")</f>
        <v>Yes</v>
      </c>
      <c r="W83" s="5" t="str">
        <f>IFERROR(__xludf.DUMMYFUNCTION("""COMPUTED_VALUE"""),"Yes")</f>
        <v>Yes</v>
      </c>
      <c r="X83" s="5" t="str">
        <f>IFERROR(__xludf.DUMMYFUNCTION("""COMPUTED_VALUE"""),"Yes")</f>
        <v>Yes</v>
      </c>
      <c r="Y83" s="5" t="str">
        <f>IFERROR(__xludf.DUMMYFUNCTION("""COMPUTED_VALUE"""),"Yes")</f>
        <v>Yes</v>
      </c>
      <c r="Z83" s="5" t="str">
        <f>IFERROR(__xludf.DUMMYFUNCTION("""COMPUTED_VALUE"""),"No")</f>
        <v>No</v>
      </c>
      <c r="AA83" s="5" t="str">
        <f>IFERROR(__xludf.DUMMYFUNCTION("""COMPUTED_VALUE"""),"Yes")</f>
        <v>Yes</v>
      </c>
      <c r="AB83" s="5" t="str">
        <f>IFERROR(__xludf.DUMMYFUNCTION("""COMPUTED_VALUE"""),"Yes")</f>
        <v>Yes</v>
      </c>
      <c r="AC83" s="5" t="str">
        <f>IFERROR(__xludf.DUMMYFUNCTION("""COMPUTED_VALUE"""),"Yes")</f>
        <v>Yes</v>
      </c>
      <c r="AD83" s="5" t="str">
        <f>IFERROR(__xludf.DUMMYFUNCTION("""COMPUTED_VALUE"""),"Yes")</f>
        <v>Yes</v>
      </c>
      <c r="AE83" s="5" t="str">
        <f>IFERROR(__xludf.DUMMYFUNCTION("""COMPUTED_VALUE"""),"No")</f>
        <v>No</v>
      </c>
      <c r="AF83" s="5" t="str">
        <f>IFERROR(__xludf.DUMMYFUNCTION("""COMPUTED_VALUE"""),"Yes")</f>
        <v>Yes</v>
      </c>
      <c r="AG83" s="5" t="str">
        <f>IFERROR(__xludf.DUMMYFUNCTION("""COMPUTED_VALUE"""),"No")</f>
        <v>No</v>
      </c>
      <c r="AH83" s="5" t="str">
        <f>IFERROR(__xludf.DUMMYFUNCTION("""COMPUTED_VALUE"""),"No")</f>
        <v>No</v>
      </c>
      <c r="AI83" s="5" t="str">
        <f>IFERROR(__xludf.DUMMYFUNCTION("""COMPUTED_VALUE"""),"No")</f>
        <v>No</v>
      </c>
      <c r="AJ83" s="5" t="str">
        <f>IFERROR(__xludf.DUMMYFUNCTION("""COMPUTED_VALUE"""),"No")</f>
        <v>No</v>
      </c>
      <c r="AK83" s="5" t="str">
        <f>IFERROR(__xludf.DUMMYFUNCTION("""COMPUTED_VALUE"""),"No")</f>
        <v>No</v>
      </c>
      <c r="AL83" s="5" t="str">
        <f>IFERROR(__xludf.DUMMYFUNCTION("""COMPUTED_VALUE"""),"No")</f>
        <v>No</v>
      </c>
      <c r="AM83" s="5"/>
      <c r="AN83" s="5"/>
      <c r="AO83" s="5"/>
      <c r="AP83" s="5"/>
      <c r="AQ83" s="5"/>
      <c r="AR83" s="5"/>
      <c r="AS83" s="5"/>
      <c r="AT83" s="5"/>
      <c r="AU83" s="5"/>
      <c r="AV83" s="5"/>
      <c r="AW83" s="5"/>
      <c r="AX83" s="5"/>
      <c r="AY83" s="5"/>
    </row>
    <row r="84">
      <c r="A8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4" s="5">
        <f>IFERROR(__xludf.DUMMYFUNCTION("""COMPUTED_VALUE"""),83.0)</f>
        <v>83</v>
      </c>
      <c r="C84" s="5">
        <f>IFERROR(__xludf.DUMMYFUNCTION("""COMPUTED_VALUE"""),82.0)</f>
        <v>82</v>
      </c>
      <c r="D84" s="5" t="str">
        <f>IFERROR(__xludf.DUMMYFUNCTION("""COMPUTED_VALUE"""),"WildClover40")</f>
        <v>WildClover40</v>
      </c>
      <c r="E84" s="5" t="str">
        <f>IFERROR(__xludf.DUMMYFUNCTION("""COMPUTED_VALUE"""),"Yes")</f>
        <v>Yes</v>
      </c>
      <c r="F84" s="5" t="str">
        <f>IFERROR(__xludf.DUMMYFUNCTION("""COMPUTED_VALUE"""),"Yes")</f>
        <v>Yes</v>
      </c>
      <c r="G84" s="5" t="str">
        <f>IFERROR(__xludf.DUMMYFUNCTION("""COMPUTED_VALUE"""),"No")</f>
        <v>No</v>
      </c>
      <c r="H84" s="5" t="str">
        <f>IFERROR(__xludf.DUMMYFUNCTION("""COMPUTED_VALUE"""),"Yes")</f>
        <v>Yes</v>
      </c>
      <c r="I84" s="5" t="str">
        <f>IFERROR(__xludf.DUMMYFUNCTION("""COMPUTED_VALUE"""),"Yes")</f>
        <v>Yes</v>
      </c>
      <c r="J84" s="5" t="str">
        <f>IFERROR(__xludf.DUMMYFUNCTION("""COMPUTED_VALUE"""),"Yes")</f>
        <v>Yes</v>
      </c>
      <c r="K84" s="5" t="str">
        <f>IFERROR(__xludf.DUMMYFUNCTION("""COMPUTED_VALUE"""),"Yes")</f>
        <v>Yes</v>
      </c>
      <c r="L84" s="5" t="str">
        <f>IFERROR(__xludf.DUMMYFUNCTION("""COMPUTED_VALUE"""),"Yes")</f>
        <v>Yes</v>
      </c>
      <c r="M84" s="5" t="str">
        <f>IFERROR(__xludf.DUMMYFUNCTION("""COMPUTED_VALUE"""),"Yes")</f>
        <v>Yes</v>
      </c>
      <c r="N84" s="5" t="str">
        <f>IFERROR(__xludf.DUMMYFUNCTION("""COMPUTED_VALUE"""),"Yes")</f>
        <v>Yes</v>
      </c>
      <c r="O84" s="5" t="str">
        <f>IFERROR(__xludf.DUMMYFUNCTION("""COMPUTED_VALUE"""),"Yes")</f>
        <v>Yes</v>
      </c>
      <c r="P84" s="5" t="str">
        <f>IFERROR(__xludf.DUMMYFUNCTION("""COMPUTED_VALUE"""),"Yes")</f>
        <v>Yes</v>
      </c>
      <c r="Q84" s="5" t="str">
        <f>IFERROR(__xludf.DUMMYFUNCTION("""COMPUTED_VALUE"""),"Yes")</f>
        <v>Yes</v>
      </c>
      <c r="R84" s="5" t="str">
        <f>IFERROR(__xludf.DUMMYFUNCTION("""COMPUTED_VALUE"""),"Yes")</f>
        <v>Yes</v>
      </c>
      <c r="S84" s="5" t="str">
        <f>IFERROR(__xludf.DUMMYFUNCTION("""COMPUTED_VALUE"""),"Yes")</f>
        <v>Yes</v>
      </c>
      <c r="T84" s="5" t="str">
        <f>IFERROR(__xludf.DUMMYFUNCTION("""COMPUTED_VALUE"""),"No")</f>
        <v>No</v>
      </c>
      <c r="U84" s="5" t="str">
        <f>IFERROR(__xludf.DUMMYFUNCTION("""COMPUTED_VALUE"""),"No")</f>
        <v>No</v>
      </c>
      <c r="V84" s="5" t="str">
        <f>IFERROR(__xludf.DUMMYFUNCTION("""COMPUTED_VALUE"""),"No")</f>
        <v>No</v>
      </c>
      <c r="W84" s="5" t="str">
        <f>IFERROR(__xludf.DUMMYFUNCTION("""COMPUTED_VALUE"""),"No")</f>
        <v>No</v>
      </c>
      <c r="X84" s="5" t="str">
        <f>IFERROR(__xludf.DUMMYFUNCTION("""COMPUTED_VALUE"""),"No")</f>
        <v>No</v>
      </c>
      <c r="Y84" s="5" t="str">
        <f>IFERROR(__xludf.DUMMYFUNCTION("""COMPUTED_VALUE"""),"No")</f>
        <v>No</v>
      </c>
      <c r="Z84" s="5" t="str">
        <f>IFERROR(__xludf.DUMMYFUNCTION("""COMPUTED_VALUE"""),"No")</f>
        <v>No</v>
      </c>
      <c r="AA84" s="5" t="str">
        <f>IFERROR(__xludf.DUMMYFUNCTION("""COMPUTED_VALUE"""),"No")</f>
        <v>No</v>
      </c>
      <c r="AB84" s="5" t="str">
        <f>IFERROR(__xludf.DUMMYFUNCTION("""COMPUTED_VALUE"""),"No")</f>
        <v>No</v>
      </c>
      <c r="AC84" s="5" t="str">
        <f>IFERROR(__xludf.DUMMYFUNCTION("""COMPUTED_VALUE"""),"No")</f>
        <v>No</v>
      </c>
      <c r="AD84" s="5" t="str">
        <f>IFERROR(__xludf.DUMMYFUNCTION("""COMPUTED_VALUE"""),"No")</f>
        <v>No</v>
      </c>
      <c r="AE84" s="5" t="str">
        <f>IFERROR(__xludf.DUMMYFUNCTION("""COMPUTED_VALUE"""),"No")</f>
        <v>No</v>
      </c>
      <c r="AF84" s="5" t="str">
        <f>IFERROR(__xludf.DUMMYFUNCTION("""COMPUTED_VALUE"""),"Yes")</f>
        <v>Yes</v>
      </c>
      <c r="AG84" s="5" t="str">
        <f>IFERROR(__xludf.DUMMYFUNCTION("""COMPUTED_VALUE"""),"No")</f>
        <v>No</v>
      </c>
      <c r="AH84" s="5" t="str">
        <f>IFERROR(__xludf.DUMMYFUNCTION("""COMPUTED_VALUE"""),"Yes")</f>
        <v>Yes</v>
      </c>
      <c r="AI84" s="5" t="str">
        <f>IFERROR(__xludf.DUMMYFUNCTION("""COMPUTED_VALUE"""),"No")</f>
        <v>No</v>
      </c>
      <c r="AJ84" s="5" t="str">
        <f>IFERROR(__xludf.DUMMYFUNCTION("""COMPUTED_VALUE"""),"No")</f>
        <v>No</v>
      </c>
      <c r="AK84" s="5" t="str">
        <f>IFERROR(__xludf.DUMMYFUNCTION("""COMPUTED_VALUE"""),"No")</f>
        <v>No</v>
      </c>
      <c r="AL84" s="5" t="str">
        <f>IFERROR(__xludf.DUMMYFUNCTION("""COMPUTED_VALUE"""),"No")</f>
        <v>No</v>
      </c>
      <c r="AM84" s="5"/>
      <c r="AN84" s="5"/>
      <c r="AO84" s="5"/>
      <c r="AP84" s="5"/>
      <c r="AQ84" s="5"/>
      <c r="AR84" s="5"/>
      <c r="AS84" s="5"/>
      <c r="AT84" s="5"/>
      <c r="AU84" s="5"/>
      <c r="AV84" s="5"/>
      <c r="AW84" s="5"/>
      <c r="AX84" s="5"/>
      <c r="AY84" s="5"/>
    </row>
    <row r="85">
      <c r="A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5" s="5">
        <f>IFERROR(__xludf.DUMMYFUNCTION("""COMPUTED_VALUE"""),84.0)</f>
        <v>84</v>
      </c>
      <c r="C85" s="5">
        <f>IFERROR(__xludf.DUMMYFUNCTION("""COMPUTED_VALUE"""),83.0)</f>
        <v>83</v>
      </c>
      <c r="D85" s="5" t="str">
        <f>IFERROR(__xludf.DUMMYFUNCTION("""COMPUTED_VALUE"""),"MysteryJokerHot")</f>
        <v>MysteryJokerHot</v>
      </c>
      <c r="E85" s="5" t="str">
        <f>IFERROR(__xludf.DUMMYFUNCTION("""COMPUTED_VALUE"""),"Yes")</f>
        <v>Yes</v>
      </c>
      <c r="F85" s="5" t="str">
        <f>IFERROR(__xludf.DUMMYFUNCTION("""COMPUTED_VALUE"""),"Yes")</f>
        <v>Yes</v>
      </c>
      <c r="G85" s="5" t="str">
        <f>IFERROR(__xludf.DUMMYFUNCTION("""COMPUTED_VALUE"""),"Yes")</f>
        <v>Yes</v>
      </c>
      <c r="H85" s="5" t="str">
        <f>IFERROR(__xludf.DUMMYFUNCTION("""COMPUTED_VALUE"""),"Yes")</f>
        <v>Yes</v>
      </c>
      <c r="I85" s="5" t="str">
        <f>IFERROR(__xludf.DUMMYFUNCTION("""COMPUTED_VALUE"""),"Yes")</f>
        <v>Yes</v>
      </c>
      <c r="J85" s="5" t="str">
        <f>IFERROR(__xludf.DUMMYFUNCTION("""COMPUTED_VALUE"""),"Yes")</f>
        <v>Yes</v>
      </c>
      <c r="K85" s="5" t="str">
        <f>IFERROR(__xludf.DUMMYFUNCTION("""COMPUTED_VALUE"""),"Yes")</f>
        <v>Yes</v>
      </c>
      <c r="L85" s="5" t="str">
        <f>IFERROR(__xludf.DUMMYFUNCTION("""COMPUTED_VALUE"""),"Yes")</f>
        <v>Yes</v>
      </c>
      <c r="M85" s="5" t="str">
        <f>IFERROR(__xludf.DUMMYFUNCTION("""COMPUTED_VALUE"""),"Yes")</f>
        <v>Yes</v>
      </c>
      <c r="N85" s="5" t="str">
        <f>IFERROR(__xludf.DUMMYFUNCTION("""COMPUTED_VALUE"""),"Yes")</f>
        <v>Yes</v>
      </c>
      <c r="O85" s="5" t="str">
        <f>IFERROR(__xludf.DUMMYFUNCTION("""COMPUTED_VALUE"""),"Yes")</f>
        <v>Yes</v>
      </c>
      <c r="P85" s="5" t="str">
        <f>IFERROR(__xludf.DUMMYFUNCTION("""COMPUTED_VALUE"""),"Yes")</f>
        <v>Yes</v>
      </c>
      <c r="Q85" s="5" t="str">
        <f>IFERROR(__xludf.DUMMYFUNCTION("""COMPUTED_VALUE"""),"Yes")</f>
        <v>Yes</v>
      </c>
      <c r="R85" s="5" t="str">
        <f>IFERROR(__xludf.DUMMYFUNCTION("""COMPUTED_VALUE"""),"Yes")</f>
        <v>Yes</v>
      </c>
      <c r="S85" s="5" t="str">
        <f>IFERROR(__xludf.DUMMYFUNCTION("""COMPUTED_VALUE"""),"Yes")</f>
        <v>Yes</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IFERROR(__xludf.DUMMYFUNCTION("""COMPUTED_VALUE"""),"No")</f>
        <v>No</v>
      </c>
      <c r="AA85" s="5" t="str">
        <f>IFERROR(__xludf.DUMMYFUNCTION("""COMPUTED_VALUE"""),"Yes")</f>
        <v>Yes</v>
      </c>
      <c r="AB85" s="5" t="str">
        <f>IFERROR(__xludf.DUMMYFUNCTION("""COMPUTED_VALUE"""),"Yes")</f>
        <v>Yes</v>
      </c>
      <c r="AC85" s="5" t="str">
        <f>IFERROR(__xludf.DUMMYFUNCTION("""COMPUTED_VALUE"""),"Yes")</f>
        <v>Yes</v>
      </c>
      <c r="AD85" s="5" t="str">
        <f>IFERROR(__xludf.DUMMYFUNCTION("""COMPUTED_VALUE"""),"Yes")</f>
        <v>Yes</v>
      </c>
      <c r="AE85" s="5" t="str">
        <f>IFERROR(__xludf.DUMMYFUNCTION("""COMPUTED_VALUE"""),"No")</f>
        <v>No</v>
      </c>
      <c r="AF85" s="5" t="str">
        <f>IFERROR(__xludf.DUMMYFUNCTION("""COMPUTED_VALUE"""),"Yes")</f>
        <v>Yes</v>
      </c>
      <c r="AG85" s="5" t="str">
        <f>IFERROR(__xludf.DUMMYFUNCTION("""COMPUTED_VALUE"""),"No")</f>
        <v>No</v>
      </c>
      <c r="AH85" s="5" t="str">
        <f>IFERROR(__xludf.DUMMYFUNCTION("""COMPUTED_VALUE"""),"No")</f>
        <v>No</v>
      </c>
      <c r="AI85" s="5" t="str">
        <f>IFERROR(__xludf.DUMMYFUNCTION("""COMPUTED_VALUE"""),"No")</f>
        <v>No</v>
      </c>
      <c r="AJ85" s="5" t="str">
        <f>IFERROR(__xludf.DUMMYFUNCTION("""COMPUTED_VALUE"""),"No")</f>
        <v>No</v>
      </c>
      <c r="AK85" s="5" t="str">
        <f>IFERROR(__xludf.DUMMYFUNCTION("""COMPUTED_VALUE"""),"No")</f>
        <v>No</v>
      </c>
      <c r="AL85" s="5" t="str">
        <f>IFERROR(__xludf.DUMMYFUNCTION("""COMPUTED_VALUE"""),"No")</f>
        <v>No</v>
      </c>
      <c r="AM85" s="5"/>
      <c r="AN85" s="5"/>
      <c r="AO85" s="5"/>
      <c r="AP85" s="5"/>
      <c r="AQ85" s="5"/>
      <c r="AR85" s="5"/>
      <c r="AS85" s="5"/>
      <c r="AT85" s="5"/>
      <c r="AU85" s="5"/>
      <c r="AV85" s="5"/>
      <c r="AW85" s="5"/>
      <c r="AX85" s="5"/>
      <c r="AY85" s="5"/>
    </row>
    <row r="86">
      <c r="A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6" s="5">
        <f>IFERROR(__xludf.DUMMYFUNCTION("""COMPUTED_VALUE"""),85.0)</f>
        <v>85</v>
      </c>
      <c r="C86" s="5">
        <f>IFERROR(__xludf.DUMMYFUNCTION("""COMPUTED_VALUE"""),84.0)</f>
        <v>84</v>
      </c>
      <c r="D86" s="5" t="str">
        <f>IFERROR(__xludf.DUMMYFUNCTION("""COMPUTED_VALUE"""),"CrystalJokerHot")</f>
        <v>CrystalJokerHot</v>
      </c>
      <c r="E86" s="5" t="str">
        <f>IFERROR(__xludf.DUMMYFUNCTION("""COMPUTED_VALUE"""),"Yes")</f>
        <v>Yes</v>
      </c>
      <c r="F86" s="5" t="str">
        <f>IFERROR(__xludf.DUMMYFUNCTION("""COMPUTED_VALUE"""),"Yes")</f>
        <v>Yes</v>
      </c>
      <c r="G86" s="5" t="str">
        <f>IFERROR(__xludf.DUMMYFUNCTION("""COMPUTED_VALUE"""),"Yes")</f>
        <v>Yes</v>
      </c>
      <c r="H86" s="5" t="str">
        <f>IFERROR(__xludf.DUMMYFUNCTION("""COMPUTED_VALUE"""),"Yes")</f>
        <v>Yes</v>
      </c>
      <c r="I86" s="5" t="str">
        <f>IFERROR(__xludf.DUMMYFUNCTION("""COMPUTED_VALUE"""),"Yes")</f>
        <v>Yes</v>
      </c>
      <c r="J86" s="5" t="str">
        <f>IFERROR(__xludf.DUMMYFUNCTION("""COMPUTED_VALUE"""),"Yes")</f>
        <v>Yes</v>
      </c>
      <c r="K86" s="5" t="str">
        <f>IFERROR(__xludf.DUMMYFUNCTION("""COMPUTED_VALUE"""),"Yes")</f>
        <v>Yes</v>
      </c>
      <c r="L86" s="5" t="str">
        <f>IFERROR(__xludf.DUMMYFUNCTION("""COMPUTED_VALUE"""),"Yes")</f>
        <v>Yes</v>
      </c>
      <c r="M86" s="5" t="str">
        <f>IFERROR(__xludf.DUMMYFUNCTION("""COMPUTED_VALUE"""),"Yes")</f>
        <v>Yes</v>
      </c>
      <c r="N86" s="5" t="str">
        <f>IFERROR(__xludf.DUMMYFUNCTION("""COMPUTED_VALUE"""),"Yes")</f>
        <v>Yes</v>
      </c>
      <c r="O86" s="5" t="str">
        <f>IFERROR(__xludf.DUMMYFUNCTION("""COMPUTED_VALUE"""),"Yes")</f>
        <v>Yes</v>
      </c>
      <c r="P86" s="5" t="str">
        <f>IFERROR(__xludf.DUMMYFUNCTION("""COMPUTED_VALUE"""),"Yes")</f>
        <v>Yes</v>
      </c>
      <c r="Q86" s="5" t="str">
        <f>IFERROR(__xludf.DUMMYFUNCTION("""COMPUTED_VALUE"""),"Yes")</f>
        <v>Yes</v>
      </c>
      <c r="R86" s="5" t="str">
        <f>IFERROR(__xludf.DUMMYFUNCTION("""COMPUTED_VALUE"""),"Yes")</f>
        <v>Yes</v>
      </c>
      <c r="S86" s="5" t="str">
        <f>IFERROR(__xludf.DUMMYFUNCTION("""COMPUTED_VALUE"""),"Yes")</f>
        <v>Yes</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IFERROR(__xludf.DUMMYFUNCTION("""COMPUTED_VALUE"""),"No")</f>
        <v>No</v>
      </c>
      <c r="AA86" s="5" t="str">
        <f>IFERROR(__xludf.DUMMYFUNCTION("""COMPUTED_VALUE"""),"Yes")</f>
        <v>Yes</v>
      </c>
      <c r="AB86" s="5" t="str">
        <f>IFERROR(__xludf.DUMMYFUNCTION("""COMPUTED_VALUE"""),"Yes")</f>
        <v>Yes</v>
      </c>
      <c r="AC86" s="5" t="str">
        <f>IFERROR(__xludf.DUMMYFUNCTION("""COMPUTED_VALUE"""),"Yes")</f>
        <v>Yes</v>
      </c>
      <c r="AD86" s="5" t="str">
        <f>IFERROR(__xludf.DUMMYFUNCTION("""COMPUTED_VALUE"""),"Yes")</f>
        <v>Yes</v>
      </c>
      <c r="AE86" s="5" t="str">
        <f>IFERROR(__xludf.DUMMYFUNCTION("""COMPUTED_VALUE"""),"No")</f>
        <v>No</v>
      </c>
      <c r="AF86" s="5" t="str">
        <f>IFERROR(__xludf.DUMMYFUNCTION("""COMPUTED_VALUE"""),"Yes")</f>
        <v>Yes</v>
      </c>
      <c r="AG86" s="5" t="str">
        <f>IFERROR(__xludf.DUMMYFUNCTION("""COMPUTED_VALUE"""),"No")</f>
        <v>No</v>
      </c>
      <c r="AH86" s="5" t="str">
        <f>IFERROR(__xludf.DUMMYFUNCTION("""COMPUTED_VALUE"""),"No")</f>
        <v>No</v>
      </c>
      <c r="AI86" s="5" t="str">
        <f>IFERROR(__xludf.DUMMYFUNCTION("""COMPUTED_VALUE"""),"No")</f>
        <v>No</v>
      </c>
      <c r="AJ86" s="5" t="str">
        <f>IFERROR(__xludf.DUMMYFUNCTION("""COMPUTED_VALUE"""),"No")</f>
        <v>No</v>
      </c>
      <c r="AK86" s="5" t="str">
        <f>IFERROR(__xludf.DUMMYFUNCTION("""COMPUTED_VALUE"""),"No")</f>
        <v>No</v>
      </c>
      <c r="AL86" s="5" t="str">
        <f>IFERROR(__xludf.DUMMYFUNCTION("""COMPUTED_VALUE"""),"No")</f>
        <v>No</v>
      </c>
      <c r="AM86" s="5"/>
      <c r="AN86" s="5"/>
      <c r="AO86" s="5"/>
      <c r="AP86" s="5"/>
      <c r="AQ86" s="5"/>
      <c r="AR86" s="5"/>
      <c r="AS86" s="5"/>
      <c r="AT86" s="5"/>
      <c r="AU86" s="5"/>
      <c r="AV86" s="5"/>
      <c r="AW86" s="5"/>
      <c r="AX86" s="5"/>
      <c r="AY86" s="5"/>
    </row>
    <row r="87">
      <c r="A8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87" s="5">
        <f>IFERROR(__xludf.DUMMYFUNCTION("""COMPUTED_VALUE"""),86.0)</f>
        <v>86</v>
      </c>
      <c r="C87" s="5">
        <f>IFERROR(__xludf.DUMMYFUNCTION("""COMPUTED_VALUE"""),85.0)</f>
        <v>85</v>
      </c>
      <c r="D87" s="5" t="str">
        <f>IFERROR(__xludf.DUMMYFUNCTION("""COMPUTED_VALUE"""),"UnicornFruitIsland")</f>
        <v>UnicornFruitIsland</v>
      </c>
      <c r="E87" s="5" t="str">
        <f>IFERROR(__xludf.DUMMYFUNCTION("""COMPUTED_VALUE"""),"Yes")</f>
        <v>Yes</v>
      </c>
      <c r="F87" s="5" t="str">
        <f>IFERROR(__xludf.DUMMYFUNCTION("""COMPUTED_VALUE"""),"Yes")</f>
        <v>Yes</v>
      </c>
      <c r="G87" s="5" t="str">
        <f>IFERROR(__xludf.DUMMYFUNCTION("""COMPUTED_VALUE"""),"Yes")</f>
        <v>Yes</v>
      </c>
      <c r="H87" s="5" t="str">
        <f>IFERROR(__xludf.DUMMYFUNCTION("""COMPUTED_VALUE"""),"No")</f>
        <v>No</v>
      </c>
      <c r="I87" s="5" t="str">
        <f>IFERROR(__xludf.DUMMYFUNCTION("""COMPUTED_VALUE"""),"No")</f>
        <v>No</v>
      </c>
      <c r="J87" s="5" t="str">
        <f>IFERROR(__xludf.DUMMYFUNCTION("""COMPUTED_VALUE"""),"No")</f>
        <v>No</v>
      </c>
      <c r="K87" s="5" t="str">
        <f>IFERROR(__xludf.DUMMYFUNCTION("""COMPUTED_VALUE"""),"No")</f>
        <v>No</v>
      </c>
      <c r="L87" s="5" t="str">
        <f>IFERROR(__xludf.DUMMYFUNCTION("""COMPUTED_VALUE"""),"No")</f>
        <v>No</v>
      </c>
      <c r="M87" s="5" t="str">
        <f>IFERROR(__xludf.DUMMYFUNCTION("""COMPUTED_VALUE"""),"Yes")</f>
        <v>Yes</v>
      </c>
      <c r="N87" s="5" t="str">
        <f>IFERROR(__xludf.DUMMYFUNCTION("""COMPUTED_VALUE"""),"Yes")</f>
        <v>Yes</v>
      </c>
      <c r="O87" s="5" t="str">
        <f>IFERROR(__xludf.DUMMYFUNCTION("""COMPUTED_VALUE"""),"Yes")</f>
        <v>Yes</v>
      </c>
      <c r="P87" s="5" t="str">
        <f>IFERROR(__xludf.DUMMYFUNCTION("""COMPUTED_VALUE"""),"Yes")</f>
        <v>Yes</v>
      </c>
      <c r="Q87" s="5" t="str">
        <f>IFERROR(__xludf.DUMMYFUNCTION("""COMPUTED_VALUE"""),"Yes")</f>
        <v>Yes</v>
      </c>
      <c r="R87" s="5" t="str">
        <f>IFERROR(__xludf.DUMMYFUNCTION("""COMPUTED_VALUE"""),"No")</f>
        <v>No</v>
      </c>
      <c r="S87" s="5" t="str">
        <f>IFERROR(__xludf.DUMMYFUNCTION("""COMPUTED_VALUE"""),"Yes")</f>
        <v>Yes</v>
      </c>
      <c r="T87" s="5" t="str">
        <f>IFERROR(__xludf.DUMMYFUNCTION("""COMPUTED_VALUE"""),"No")</f>
        <v>No</v>
      </c>
      <c r="U87" s="5" t="str">
        <f>IFERROR(__xludf.DUMMYFUNCTION("""COMPUTED_VALUE"""),"No")</f>
        <v>No</v>
      </c>
      <c r="V87" s="5" t="str">
        <f>IFERROR(__xludf.DUMMYFUNCTION("""COMPUTED_VALUE"""),"No")</f>
        <v>No</v>
      </c>
      <c r="W87" s="5" t="str">
        <f>IFERROR(__xludf.DUMMYFUNCTION("""COMPUTED_VALUE"""),"No")</f>
        <v>No</v>
      </c>
      <c r="X87" s="5" t="str">
        <f>IFERROR(__xludf.DUMMYFUNCTION("""COMPUTED_VALUE"""),"No")</f>
        <v>No</v>
      </c>
      <c r="Y87" s="5"/>
      <c r="Z87" s="5"/>
      <c r="AA87" s="5"/>
      <c r="AB87" s="5"/>
      <c r="AC87" s="5" t="str">
        <f>IFERROR(__xludf.DUMMYFUNCTION("""COMPUTED_VALUE"""),"No")</f>
        <v>No</v>
      </c>
      <c r="AD87" s="5"/>
      <c r="AE87" s="5"/>
      <c r="AF87" s="5"/>
      <c r="AG87" s="5"/>
      <c r="AH87" s="5"/>
      <c r="AI87" s="5"/>
      <c r="AJ87" s="5"/>
      <c r="AK87" s="5"/>
      <c r="AL87" s="5"/>
      <c r="AM87" s="5"/>
      <c r="AN87" s="5"/>
      <c r="AO87" s="5"/>
      <c r="AP87" s="5"/>
      <c r="AQ87" s="5"/>
      <c r="AR87" s="5"/>
      <c r="AS87" s="5"/>
      <c r="AT87" s="5"/>
      <c r="AU87" s="5"/>
      <c r="AV87" s="5"/>
      <c r="AW87" s="5"/>
      <c r="AX87" s="5"/>
      <c r="AY87" s="5"/>
    </row>
    <row r="88">
      <c r="A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8" s="5">
        <f>IFERROR(__xludf.DUMMYFUNCTION("""COMPUTED_VALUE"""),87.0)</f>
        <v>87</v>
      </c>
      <c r="C88" s="5">
        <f>IFERROR(__xludf.DUMMYFUNCTION("""COMPUTED_VALUE"""),86.0)</f>
        <v>86</v>
      </c>
      <c r="D88" s="5" t="str">
        <f>IFERROR(__xludf.DUMMYFUNCTION("""COMPUTED_VALUE"""),"FruityJokerHot")</f>
        <v>FruityJokerHot</v>
      </c>
      <c r="E88" s="5" t="str">
        <f>IFERROR(__xludf.DUMMYFUNCTION("""COMPUTED_VALUE"""),"Yes")</f>
        <v>Yes</v>
      </c>
      <c r="F88" s="5" t="str">
        <f>IFERROR(__xludf.DUMMYFUNCTION("""COMPUTED_VALUE"""),"Yes")</f>
        <v>Yes</v>
      </c>
      <c r="G88" s="5" t="str">
        <f>IFERROR(__xludf.DUMMYFUNCTION("""COMPUTED_VALUE"""),"Yes")</f>
        <v>Yes</v>
      </c>
      <c r="H88" s="5" t="str">
        <f>IFERROR(__xludf.DUMMYFUNCTION("""COMPUTED_VALUE"""),"Yes")</f>
        <v>Yes</v>
      </c>
      <c r="I88" s="5" t="str">
        <f>IFERROR(__xludf.DUMMYFUNCTION("""COMPUTED_VALUE"""),"Yes")</f>
        <v>Yes</v>
      </c>
      <c r="J88" s="5" t="str">
        <f>IFERROR(__xludf.DUMMYFUNCTION("""COMPUTED_VALUE"""),"Yes")</f>
        <v>Yes</v>
      </c>
      <c r="K88" s="5" t="str">
        <f>IFERROR(__xludf.DUMMYFUNCTION("""COMPUTED_VALUE"""),"Yes")</f>
        <v>Yes</v>
      </c>
      <c r="L88" s="5" t="str">
        <f>IFERROR(__xludf.DUMMYFUNCTION("""COMPUTED_VALUE"""),"Yes")</f>
        <v>Yes</v>
      </c>
      <c r="M88" s="5" t="str">
        <f>IFERROR(__xludf.DUMMYFUNCTION("""COMPUTED_VALUE"""),"Yes")</f>
        <v>Yes</v>
      </c>
      <c r="N88" s="5" t="str">
        <f>IFERROR(__xludf.DUMMYFUNCTION("""COMPUTED_VALUE"""),"Yes")</f>
        <v>Yes</v>
      </c>
      <c r="O88" s="5" t="str">
        <f>IFERROR(__xludf.DUMMYFUNCTION("""COMPUTED_VALUE"""),"Yes")</f>
        <v>Yes</v>
      </c>
      <c r="P88" s="5" t="str">
        <f>IFERROR(__xludf.DUMMYFUNCTION("""COMPUTED_VALUE"""),"Yes")</f>
        <v>Yes</v>
      </c>
      <c r="Q88" s="5" t="str">
        <f>IFERROR(__xludf.DUMMYFUNCTION("""COMPUTED_VALUE"""),"Yes")</f>
        <v>Yes</v>
      </c>
      <c r="R88" s="5" t="str">
        <f>IFERROR(__xludf.DUMMYFUNCTION("""COMPUTED_VALUE"""),"Yes")</f>
        <v>Yes</v>
      </c>
      <c r="S88" s="5" t="str">
        <f>IFERROR(__xludf.DUMMYFUNCTION("""COMPUTED_VALUE"""),"Yes")</f>
        <v>Yes</v>
      </c>
      <c r="T88" s="5" t="str">
        <f>IFERROR(__xludf.DUMMYFUNCTION("""COMPUTED_VALUE"""),"Yes")</f>
        <v>Yes</v>
      </c>
      <c r="U88" s="5" t="str">
        <f>IFERROR(__xludf.DUMMYFUNCTION("""COMPUTED_VALUE"""),"Yes")</f>
        <v>Yes</v>
      </c>
      <c r="V88" s="5" t="str">
        <f>IFERROR(__xludf.DUMMYFUNCTION("""COMPUTED_VALUE"""),"Yes")</f>
        <v>Yes</v>
      </c>
      <c r="W88" s="5" t="str">
        <f>IFERROR(__xludf.DUMMYFUNCTION("""COMPUTED_VALUE"""),"Yes")</f>
        <v>Yes</v>
      </c>
      <c r="X88" s="5" t="str">
        <f>IFERROR(__xludf.DUMMYFUNCTION("""COMPUTED_VALUE"""),"Yes")</f>
        <v>Yes</v>
      </c>
      <c r="Y88" s="5" t="str">
        <f>IFERROR(__xludf.DUMMYFUNCTION("""COMPUTED_VALUE"""),"Yes")</f>
        <v>Yes</v>
      </c>
      <c r="Z88" s="5" t="str">
        <f>IFERROR(__xludf.DUMMYFUNCTION("""COMPUTED_VALUE"""),"No")</f>
        <v>No</v>
      </c>
      <c r="AA88" s="5" t="str">
        <f>IFERROR(__xludf.DUMMYFUNCTION("""COMPUTED_VALUE"""),"Yes")</f>
        <v>Yes</v>
      </c>
      <c r="AB88" s="5" t="str">
        <f>IFERROR(__xludf.DUMMYFUNCTION("""COMPUTED_VALUE"""),"Yes")</f>
        <v>Yes</v>
      </c>
      <c r="AC88" s="5" t="str">
        <f>IFERROR(__xludf.DUMMYFUNCTION("""COMPUTED_VALUE"""),"Yes")</f>
        <v>Yes</v>
      </c>
      <c r="AD88" s="5" t="str">
        <f>IFERROR(__xludf.DUMMYFUNCTION("""COMPUTED_VALUE"""),"Yes")</f>
        <v>Yes</v>
      </c>
      <c r="AE88" s="5" t="str">
        <f>IFERROR(__xludf.DUMMYFUNCTION("""COMPUTED_VALUE"""),"No")</f>
        <v>No</v>
      </c>
      <c r="AF88" s="5" t="str">
        <f>IFERROR(__xludf.DUMMYFUNCTION("""COMPUTED_VALUE"""),"Yes")</f>
        <v>Yes</v>
      </c>
      <c r="AG88" s="5" t="str">
        <f>IFERROR(__xludf.DUMMYFUNCTION("""COMPUTED_VALUE"""),"No")</f>
        <v>No</v>
      </c>
      <c r="AH88" s="5" t="str">
        <f>IFERROR(__xludf.DUMMYFUNCTION("""COMPUTED_VALUE"""),"No")</f>
        <v>No</v>
      </c>
      <c r="AI88" s="5" t="str">
        <f>IFERROR(__xludf.DUMMYFUNCTION("""COMPUTED_VALUE"""),"No")</f>
        <v>No</v>
      </c>
      <c r="AJ88" s="5" t="str">
        <f>IFERROR(__xludf.DUMMYFUNCTION("""COMPUTED_VALUE"""),"No")</f>
        <v>No</v>
      </c>
      <c r="AK88" s="5" t="str">
        <f>IFERROR(__xludf.DUMMYFUNCTION("""COMPUTED_VALUE"""),"No")</f>
        <v>No</v>
      </c>
      <c r="AL88" s="5" t="str">
        <f>IFERROR(__xludf.DUMMYFUNCTION("""COMPUTED_VALUE"""),"No")</f>
        <v>No</v>
      </c>
      <c r="AM88" s="5"/>
      <c r="AN88" s="5"/>
      <c r="AO88" s="5"/>
      <c r="AP88" s="5"/>
      <c r="AQ88" s="5"/>
      <c r="AR88" s="5"/>
      <c r="AS88" s="5"/>
      <c r="AT88" s="5"/>
      <c r="AU88" s="5"/>
      <c r="AV88" s="5"/>
      <c r="AW88" s="5"/>
      <c r="AX88" s="5"/>
      <c r="AY88" s="5"/>
    </row>
    <row r="89">
      <c r="A8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89" s="5">
        <f>IFERROR(__xludf.DUMMYFUNCTION("""COMPUTED_VALUE"""),88.0)</f>
        <v>88</v>
      </c>
      <c r="C89" s="5">
        <f>IFERROR(__xludf.DUMMYFUNCTION("""COMPUTED_VALUE"""),87.0)</f>
        <v>87</v>
      </c>
      <c r="D89" s="5" t="str">
        <f>IFERROR(__xludf.DUMMYFUNCTION("""COMPUTED_VALUE"""),"UnicornWildParadise")</f>
        <v>UnicornWildParadise</v>
      </c>
      <c r="E89" s="5" t="str">
        <f>IFERROR(__xludf.DUMMYFUNCTION("""COMPUTED_VALUE"""),"Yes")</f>
        <v>Yes</v>
      </c>
      <c r="F89" s="5" t="str">
        <f>IFERROR(__xludf.DUMMYFUNCTION("""COMPUTED_VALUE"""),"Yes")</f>
        <v>Yes</v>
      </c>
      <c r="G89" s="5" t="str">
        <f>IFERROR(__xludf.DUMMYFUNCTION("""COMPUTED_VALUE"""),"Yes")</f>
        <v>Yes</v>
      </c>
      <c r="H89" s="5" t="str">
        <f>IFERROR(__xludf.DUMMYFUNCTION("""COMPUTED_VALUE"""),"No")</f>
        <v>No</v>
      </c>
      <c r="I89" s="5" t="str">
        <f>IFERROR(__xludf.DUMMYFUNCTION("""COMPUTED_VALUE"""),"No")</f>
        <v>No</v>
      </c>
      <c r="J89" s="5" t="str">
        <f>IFERROR(__xludf.DUMMYFUNCTION("""COMPUTED_VALUE"""),"No")</f>
        <v>No</v>
      </c>
      <c r="K89" s="5" t="str">
        <f>IFERROR(__xludf.DUMMYFUNCTION("""COMPUTED_VALUE"""),"No")</f>
        <v>No</v>
      </c>
      <c r="L89" s="5" t="str">
        <f>IFERROR(__xludf.DUMMYFUNCTION("""COMPUTED_VALUE"""),"No")</f>
        <v>No</v>
      </c>
      <c r="M89" s="5" t="str">
        <f>IFERROR(__xludf.DUMMYFUNCTION("""COMPUTED_VALUE"""),"Yes")</f>
        <v>Yes</v>
      </c>
      <c r="N89" s="5" t="str">
        <f>IFERROR(__xludf.DUMMYFUNCTION("""COMPUTED_VALUE"""),"Yes")</f>
        <v>Yes</v>
      </c>
      <c r="O89" s="5" t="str">
        <f>IFERROR(__xludf.DUMMYFUNCTION("""COMPUTED_VALUE"""),"Yes")</f>
        <v>Yes</v>
      </c>
      <c r="P89" s="5" t="str">
        <f>IFERROR(__xludf.DUMMYFUNCTION("""COMPUTED_VALUE"""),"Yes")</f>
        <v>Yes</v>
      </c>
      <c r="Q89" s="5" t="str">
        <f>IFERROR(__xludf.DUMMYFUNCTION("""COMPUTED_VALUE"""),"Yes")</f>
        <v>Yes</v>
      </c>
      <c r="R89" s="5" t="str">
        <f>IFERROR(__xludf.DUMMYFUNCTION("""COMPUTED_VALUE"""),"No")</f>
        <v>No</v>
      </c>
      <c r="S89" s="5" t="str">
        <f>IFERROR(__xludf.DUMMYFUNCTION("""COMPUTED_VALUE"""),"Yes")</f>
        <v>Yes</v>
      </c>
      <c r="T89" s="5" t="str">
        <f>IFERROR(__xludf.DUMMYFUNCTION("""COMPUTED_VALUE"""),"No")</f>
        <v>No</v>
      </c>
      <c r="U89" s="5" t="str">
        <f>IFERROR(__xludf.DUMMYFUNCTION("""COMPUTED_VALUE"""),"No")</f>
        <v>No</v>
      </c>
      <c r="V89" s="5" t="str">
        <f>IFERROR(__xludf.DUMMYFUNCTION("""COMPUTED_VALUE"""),"No")</f>
        <v>No</v>
      </c>
      <c r="W89" s="5" t="str">
        <f>IFERROR(__xludf.DUMMYFUNCTION("""COMPUTED_VALUE"""),"No")</f>
        <v>No</v>
      </c>
      <c r="X89" s="5" t="str">
        <f>IFERROR(__xludf.DUMMYFUNCTION("""COMPUTED_VALUE"""),"No")</f>
        <v>No</v>
      </c>
      <c r="Y89" s="5"/>
      <c r="Z89" s="5"/>
      <c r="AA89" s="5"/>
      <c r="AB89" s="5"/>
      <c r="AC89" s="5" t="str">
        <f>IFERROR(__xludf.DUMMYFUNCTION("""COMPUTED_VALUE"""),"No")</f>
        <v>No</v>
      </c>
      <c r="AD89" s="5"/>
      <c r="AE89" s="5"/>
      <c r="AF89" s="5"/>
      <c r="AG89" s="5"/>
      <c r="AH89" s="5"/>
      <c r="AI89" s="5"/>
      <c r="AJ89" s="5"/>
      <c r="AK89" s="5"/>
      <c r="AL89" s="5"/>
      <c r="AM89" s="5"/>
      <c r="AN89" s="5"/>
      <c r="AO89" s="5"/>
      <c r="AP89" s="5"/>
      <c r="AQ89" s="5"/>
      <c r="AR89" s="5"/>
      <c r="AS89" s="5"/>
      <c r="AT89" s="5"/>
      <c r="AU89" s="5"/>
      <c r="AV89" s="5"/>
      <c r="AW89" s="5"/>
      <c r="AX89" s="5"/>
      <c r="AY89" s="5"/>
    </row>
    <row r="90">
      <c r="A9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0" s="5">
        <f>IFERROR(__xludf.DUMMYFUNCTION("""COMPUTED_VALUE"""),89.0)</f>
        <v>89</v>
      </c>
      <c r="C90" s="5">
        <f>IFERROR(__xludf.DUMMYFUNCTION("""COMPUTED_VALUE"""),88.0)</f>
        <v>88</v>
      </c>
      <c r="D90" s="5" t="str">
        <f>IFERROR(__xludf.DUMMYFUNCTION("""COMPUTED_VALUE"""),"UnicornRainbowSevens")</f>
        <v>UnicornRainbowSevens</v>
      </c>
      <c r="E90" s="5" t="str">
        <f>IFERROR(__xludf.DUMMYFUNCTION("""COMPUTED_VALUE"""),"Yes")</f>
        <v>Yes</v>
      </c>
      <c r="F90" s="5" t="str">
        <f>IFERROR(__xludf.DUMMYFUNCTION("""COMPUTED_VALUE"""),"Yes")</f>
        <v>Yes</v>
      </c>
      <c r="G90" s="5" t="str">
        <f>IFERROR(__xludf.DUMMYFUNCTION("""COMPUTED_VALUE"""),"Yes")</f>
        <v>Yes</v>
      </c>
      <c r="H90" s="5" t="str">
        <f>IFERROR(__xludf.DUMMYFUNCTION("""COMPUTED_VALUE"""),"No")</f>
        <v>No</v>
      </c>
      <c r="I90" s="5" t="str">
        <f>IFERROR(__xludf.DUMMYFUNCTION("""COMPUTED_VALUE"""),"No")</f>
        <v>No</v>
      </c>
      <c r="J90" s="5" t="str">
        <f>IFERROR(__xludf.DUMMYFUNCTION("""COMPUTED_VALUE"""),"No")</f>
        <v>No</v>
      </c>
      <c r="K90" s="5" t="str">
        <f>IFERROR(__xludf.DUMMYFUNCTION("""COMPUTED_VALUE"""),"No")</f>
        <v>No</v>
      </c>
      <c r="L90" s="5" t="str">
        <f>IFERROR(__xludf.DUMMYFUNCTION("""COMPUTED_VALUE"""),"No")</f>
        <v>No</v>
      </c>
      <c r="M90" s="5" t="str">
        <f>IFERROR(__xludf.DUMMYFUNCTION("""COMPUTED_VALUE"""),"Yes")</f>
        <v>Yes</v>
      </c>
      <c r="N90" s="5" t="str">
        <f>IFERROR(__xludf.DUMMYFUNCTION("""COMPUTED_VALUE"""),"Yes")</f>
        <v>Yes</v>
      </c>
      <c r="O90" s="5" t="str">
        <f>IFERROR(__xludf.DUMMYFUNCTION("""COMPUTED_VALUE"""),"Yes")</f>
        <v>Yes</v>
      </c>
      <c r="P90" s="5" t="str">
        <f>IFERROR(__xludf.DUMMYFUNCTION("""COMPUTED_VALUE"""),"Yes")</f>
        <v>Yes</v>
      </c>
      <c r="Q90" s="5" t="str">
        <f>IFERROR(__xludf.DUMMYFUNCTION("""COMPUTED_VALUE"""),"Yes")</f>
        <v>Yes</v>
      </c>
      <c r="R90" s="5" t="str">
        <f>IFERROR(__xludf.DUMMYFUNCTION("""COMPUTED_VALUE"""),"No")</f>
        <v>No</v>
      </c>
      <c r="S90" s="5" t="str">
        <f>IFERROR(__xludf.DUMMYFUNCTION("""COMPUTED_VALUE"""),"Yes")</f>
        <v>Yes</v>
      </c>
      <c r="T90" s="5" t="str">
        <f>IFERROR(__xludf.DUMMYFUNCTION("""COMPUTED_VALUE"""),"No")</f>
        <v>No</v>
      </c>
      <c r="U90" s="5" t="str">
        <f>IFERROR(__xludf.DUMMYFUNCTION("""COMPUTED_VALUE"""),"No")</f>
        <v>No</v>
      </c>
      <c r="V90" s="5" t="str">
        <f>IFERROR(__xludf.DUMMYFUNCTION("""COMPUTED_VALUE"""),"No")</f>
        <v>No</v>
      </c>
      <c r="W90" s="5" t="str">
        <f>IFERROR(__xludf.DUMMYFUNCTION("""COMPUTED_VALUE"""),"No")</f>
        <v>No</v>
      </c>
      <c r="X90" s="5" t="str">
        <f>IFERROR(__xludf.DUMMYFUNCTION("""COMPUTED_VALUE"""),"No")</f>
        <v>No</v>
      </c>
      <c r="Y90" s="5"/>
      <c r="Z90" s="5"/>
      <c r="AA90" s="5"/>
      <c r="AB90" s="5"/>
      <c r="AC90" s="5" t="str">
        <f>IFERROR(__xludf.DUMMYFUNCTION("""COMPUTED_VALUE"""),"No")</f>
        <v>No</v>
      </c>
      <c r="AD90" s="5"/>
      <c r="AE90" s="5"/>
      <c r="AF90" s="5"/>
      <c r="AG90" s="5"/>
      <c r="AH90" s="5"/>
      <c r="AI90" s="5"/>
      <c r="AJ90" s="5"/>
      <c r="AK90" s="5"/>
      <c r="AL90" s="5"/>
      <c r="AM90" s="5"/>
      <c r="AN90" s="5"/>
      <c r="AO90" s="5"/>
      <c r="AP90" s="5"/>
      <c r="AQ90" s="5"/>
      <c r="AR90" s="5"/>
      <c r="AS90" s="5"/>
      <c r="AT90" s="5"/>
      <c r="AU90" s="5"/>
      <c r="AV90" s="5"/>
      <c r="AW90" s="5"/>
      <c r="AX90" s="5"/>
      <c r="AY90" s="5"/>
    </row>
    <row r="91">
      <c r="A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1" s="5">
        <f>IFERROR(__xludf.DUMMYFUNCTION("""COMPUTED_VALUE"""),90.0)</f>
        <v>90</v>
      </c>
      <c r="C91" s="5">
        <f>IFERROR(__xludf.DUMMYFUNCTION("""COMPUTED_VALUE"""),89.0)</f>
        <v>89</v>
      </c>
      <c r="D91" s="5" t="str">
        <f>IFERROR(__xludf.DUMMYFUNCTION("""COMPUTED_VALUE"""),"UnicornHavanaDice")</f>
        <v>UnicornHavanaDice</v>
      </c>
      <c r="E91" s="5" t="str">
        <f>IFERROR(__xludf.DUMMYFUNCTION("""COMPUTED_VALUE"""),"Yes")</f>
        <v>Yes</v>
      </c>
      <c r="F91" s="5" t="str">
        <f>IFERROR(__xludf.DUMMYFUNCTION("""COMPUTED_VALUE"""),"Yes")</f>
        <v>Yes</v>
      </c>
      <c r="G91" s="5" t="str">
        <f>IFERROR(__xludf.DUMMYFUNCTION("""COMPUTED_VALUE"""),"Yes")</f>
        <v>Yes</v>
      </c>
      <c r="H91" s="5" t="str">
        <f>IFERROR(__xludf.DUMMYFUNCTION("""COMPUTED_VALUE"""),"No")</f>
        <v>No</v>
      </c>
      <c r="I91" s="5" t="str">
        <f>IFERROR(__xludf.DUMMYFUNCTION("""COMPUTED_VALUE"""),"No")</f>
        <v>No</v>
      </c>
      <c r="J91" s="5" t="str">
        <f>IFERROR(__xludf.DUMMYFUNCTION("""COMPUTED_VALUE"""),"No")</f>
        <v>No</v>
      </c>
      <c r="K91" s="5" t="str">
        <f>IFERROR(__xludf.DUMMYFUNCTION("""COMPUTED_VALUE"""),"No")</f>
        <v>No</v>
      </c>
      <c r="L91" s="5" t="str">
        <f>IFERROR(__xludf.DUMMYFUNCTION("""COMPUTED_VALUE"""),"No")</f>
        <v>No</v>
      </c>
      <c r="M91" s="5" t="str">
        <f>IFERROR(__xludf.DUMMYFUNCTION("""COMPUTED_VALUE"""),"Yes")</f>
        <v>Yes</v>
      </c>
      <c r="N91" s="5" t="str">
        <f>IFERROR(__xludf.DUMMYFUNCTION("""COMPUTED_VALUE"""),"Yes")</f>
        <v>Yes</v>
      </c>
      <c r="O91" s="5" t="str">
        <f>IFERROR(__xludf.DUMMYFUNCTION("""COMPUTED_VALUE"""),"Yes")</f>
        <v>Yes</v>
      </c>
      <c r="P91" s="5" t="str">
        <f>IFERROR(__xludf.DUMMYFUNCTION("""COMPUTED_VALUE"""),"Yes")</f>
        <v>Yes</v>
      </c>
      <c r="Q91" s="5" t="str">
        <f>IFERROR(__xludf.DUMMYFUNCTION("""COMPUTED_VALUE"""),"Yes")</f>
        <v>Yes</v>
      </c>
      <c r="R91" s="5" t="str">
        <f>IFERROR(__xludf.DUMMYFUNCTION("""COMPUTED_VALUE"""),"No")</f>
        <v>No</v>
      </c>
      <c r="S91" s="5" t="str">
        <f>IFERROR(__xludf.DUMMYFUNCTION("""COMPUTED_VALUE"""),"Yes")</f>
        <v>Yes</v>
      </c>
      <c r="T91" s="5" t="str">
        <f>IFERROR(__xludf.DUMMYFUNCTION("""COMPUTED_VALUE"""),"No")</f>
        <v>No</v>
      </c>
      <c r="U91" s="5" t="str">
        <f>IFERROR(__xludf.DUMMYFUNCTION("""COMPUTED_VALUE"""),"No")</f>
        <v>No</v>
      </c>
      <c r="V91" s="5" t="str">
        <f>IFERROR(__xludf.DUMMYFUNCTION("""COMPUTED_VALUE"""),"No")</f>
        <v>No</v>
      </c>
      <c r="W91" s="5" t="str">
        <f>IFERROR(__xludf.DUMMYFUNCTION("""COMPUTED_VALUE"""),"No")</f>
        <v>No</v>
      </c>
      <c r="X91" s="5" t="str">
        <f>IFERROR(__xludf.DUMMYFUNCTION("""COMPUTED_VALUE"""),"No")</f>
        <v>No</v>
      </c>
      <c r="Y91" s="5"/>
      <c r="Z91" s="5"/>
      <c r="AA91" s="5"/>
      <c r="AB91" s="5"/>
      <c r="AC91" s="5" t="str">
        <f>IFERROR(__xludf.DUMMYFUNCTION("""COMPUTED_VALUE"""),"No")</f>
        <v>No</v>
      </c>
      <c r="AD91" s="5"/>
      <c r="AE91" s="5"/>
      <c r="AF91" s="5"/>
      <c r="AG91" s="5"/>
      <c r="AH91" s="5"/>
      <c r="AI91" s="5"/>
      <c r="AJ91" s="5"/>
      <c r="AK91" s="5"/>
      <c r="AL91" s="5"/>
      <c r="AM91" s="5"/>
      <c r="AN91" s="5"/>
      <c r="AO91" s="5"/>
      <c r="AP91" s="5"/>
      <c r="AQ91" s="5"/>
      <c r="AR91" s="5"/>
      <c r="AS91" s="5"/>
      <c r="AT91" s="5"/>
      <c r="AU91" s="5"/>
      <c r="AV91" s="5"/>
      <c r="AW91" s="5"/>
      <c r="AX91" s="5"/>
      <c r="AY91" s="5"/>
    </row>
    <row r="92">
      <c r="A9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2" s="5">
        <f>IFERROR(__xludf.DUMMYFUNCTION("""COMPUTED_VALUE"""),91.0)</f>
        <v>91</v>
      </c>
      <c r="C92" s="5">
        <f>IFERROR(__xludf.DUMMYFUNCTION("""COMPUTED_VALUE"""),90.0)</f>
        <v>90</v>
      </c>
      <c r="D92" s="5" t="str">
        <f>IFERROR(__xludf.DUMMYFUNCTION("""COMPUTED_VALUE"""),"MayanCoins")</f>
        <v>MayanCoins</v>
      </c>
      <c r="E92" s="5" t="str">
        <f>IFERROR(__xludf.DUMMYFUNCTION("""COMPUTED_VALUE"""),"Yes")</f>
        <v>Yes</v>
      </c>
      <c r="F92" s="5" t="str">
        <f>IFERROR(__xludf.DUMMYFUNCTION("""COMPUTED_VALUE"""),"Yes")</f>
        <v>Yes</v>
      </c>
      <c r="G92" s="5" t="str">
        <f>IFERROR(__xludf.DUMMYFUNCTION("""COMPUTED_VALUE"""),"No")</f>
        <v>No</v>
      </c>
      <c r="H92" s="5" t="str">
        <f>IFERROR(__xludf.DUMMYFUNCTION("""COMPUTED_VALUE"""),"Yes")</f>
        <v>Yes</v>
      </c>
      <c r="I92" s="5" t="str">
        <f>IFERROR(__xludf.DUMMYFUNCTION("""COMPUTED_VALUE"""),"Yes")</f>
        <v>Yes</v>
      </c>
      <c r="J92" s="5" t="str">
        <f>IFERROR(__xludf.DUMMYFUNCTION("""COMPUTED_VALUE"""),"Yes")</f>
        <v>Yes</v>
      </c>
      <c r="K92" s="5" t="str">
        <f>IFERROR(__xludf.DUMMYFUNCTION("""COMPUTED_VALUE"""),"Yes")</f>
        <v>Yes</v>
      </c>
      <c r="L92" s="5" t="str">
        <f>IFERROR(__xludf.DUMMYFUNCTION("""COMPUTED_VALUE"""),"Yes")</f>
        <v>Yes</v>
      </c>
      <c r="M92" s="5" t="str">
        <f>IFERROR(__xludf.DUMMYFUNCTION("""COMPUTED_VALUE"""),"Yes")</f>
        <v>Yes</v>
      </c>
      <c r="N92" s="5" t="str">
        <f>IFERROR(__xludf.DUMMYFUNCTION("""COMPUTED_VALUE"""),"Yes")</f>
        <v>Yes</v>
      </c>
      <c r="O92" s="5" t="str">
        <f>IFERROR(__xludf.DUMMYFUNCTION("""COMPUTED_VALUE"""),"Yes")</f>
        <v>Yes</v>
      </c>
      <c r="P92" s="5" t="str">
        <f>IFERROR(__xludf.DUMMYFUNCTION("""COMPUTED_VALUE"""),"Yes")</f>
        <v>Yes</v>
      </c>
      <c r="Q92" s="5" t="str">
        <f>IFERROR(__xludf.DUMMYFUNCTION("""COMPUTED_VALUE"""),"Yes")</f>
        <v>Yes</v>
      </c>
      <c r="R92" s="5" t="str">
        <f>IFERROR(__xludf.DUMMYFUNCTION("""COMPUTED_VALUE"""),"Yes")</f>
        <v>Yes</v>
      </c>
      <c r="S92" s="5" t="str">
        <f>IFERROR(__xludf.DUMMYFUNCTION("""COMPUTED_VALUE"""),"Yes")</f>
        <v>Yes</v>
      </c>
      <c r="T92" s="5" t="str">
        <f>IFERROR(__xludf.DUMMYFUNCTION("""COMPUTED_VALUE"""),"No")</f>
        <v>No</v>
      </c>
      <c r="U92" s="5" t="str">
        <f>IFERROR(__xludf.DUMMYFUNCTION("""COMPUTED_VALUE"""),"No")</f>
        <v>No</v>
      </c>
      <c r="V92" s="5" t="str">
        <f>IFERROR(__xludf.DUMMYFUNCTION("""COMPUTED_VALUE"""),"No")</f>
        <v>No</v>
      </c>
      <c r="W92" s="5" t="str">
        <f>IFERROR(__xludf.DUMMYFUNCTION("""COMPUTED_VALUE"""),"No")</f>
        <v>No</v>
      </c>
      <c r="X92" s="5" t="str">
        <f>IFERROR(__xludf.DUMMYFUNCTION("""COMPUTED_VALUE"""),"No")</f>
        <v>No</v>
      </c>
      <c r="Y92" s="5" t="str">
        <f>IFERROR(__xludf.DUMMYFUNCTION("""COMPUTED_VALUE"""),"No")</f>
        <v>No</v>
      </c>
      <c r="Z92" s="5" t="str">
        <f>IFERROR(__xludf.DUMMYFUNCTION("""COMPUTED_VALUE"""),"No")</f>
        <v>No</v>
      </c>
      <c r="AA92" s="5" t="str">
        <f>IFERROR(__xludf.DUMMYFUNCTION("""COMPUTED_VALUE"""),"No")</f>
        <v>No</v>
      </c>
      <c r="AB92" s="5" t="str">
        <f>IFERROR(__xludf.DUMMYFUNCTION("""COMPUTED_VALUE"""),"No")</f>
        <v>No</v>
      </c>
      <c r="AC92" s="5" t="str">
        <f>IFERROR(__xludf.DUMMYFUNCTION("""COMPUTED_VALUE"""),"No")</f>
        <v>No</v>
      </c>
      <c r="AD92" s="5" t="str">
        <f>IFERROR(__xludf.DUMMYFUNCTION("""COMPUTED_VALUE"""),"No")</f>
        <v>No</v>
      </c>
      <c r="AE92" s="5" t="str">
        <f>IFERROR(__xludf.DUMMYFUNCTION("""COMPUTED_VALUE"""),"No")</f>
        <v>No</v>
      </c>
      <c r="AF92" s="5" t="str">
        <f>IFERROR(__xludf.DUMMYFUNCTION("""COMPUTED_VALUE"""),"Yes")</f>
        <v>Yes</v>
      </c>
      <c r="AG92" s="5" t="str">
        <f>IFERROR(__xludf.DUMMYFUNCTION("""COMPUTED_VALUE"""),"No")</f>
        <v>No</v>
      </c>
      <c r="AH92" s="5" t="str">
        <f>IFERROR(__xludf.DUMMYFUNCTION("""COMPUTED_VALUE"""),"Yes")</f>
        <v>Yes</v>
      </c>
      <c r="AI92" s="5" t="str">
        <f>IFERROR(__xludf.DUMMYFUNCTION("""COMPUTED_VALUE"""),"No")</f>
        <v>No</v>
      </c>
      <c r="AJ92" s="5" t="str">
        <f>IFERROR(__xludf.DUMMYFUNCTION("""COMPUTED_VALUE"""),"No")</f>
        <v>No</v>
      </c>
      <c r="AK92" s="5" t="str">
        <f>IFERROR(__xludf.DUMMYFUNCTION("""COMPUTED_VALUE"""),"No")</f>
        <v>No</v>
      </c>
      <c r="AL92" s="5" t="str">
        <f>IFERROR(__xludf.DUMMYFUNCTION("""COMPUTED_VALUE"""),"No")</f>
        <v>No</v>
      </c>
      <c r="AM92" s="5"/>
      <c r="AN92" s="5"/>
      <c r="AO92" s="5"/>
      <c r="AP92" s="5"/>
      <c r="AQ92" s="5"/>
      <c r="AR92" s="5"/>
      <c r="AS92" s="5"/>
      <c r="AT92" s="5"/>
      <c r="AU92" s="5"/>
      <c r="AV92" s="5"/>
      <c r="AW92" s="5"/>
      <c r="AX92" s="5"/>
      <c r="AY92" s="5"/>
    </row>
    <row r="93">
      <c r="A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 Chinese(""zho/chi"")")</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 Chinese("zho/chi")</v>
      </c>
      <c r="B93" s="5">
        <f>IFERROR(__xludf.DUMMYFUNCTION("""COMPUTED_VALUE"""),92.0)</f>
        <v>92</v>
      </c>
      <c r="C93" s="5">
        <f>IFERROR(__xludf.DUMMYFUNCTION("""COMPUTED_VALUE"""),91.0)</f>
        <v>91</v>
      </c>
      <c r="D93" s="5" t="str">
        <f>IFERROR(__xludf.DUMMYFUNCTION("""COMPUTED_VALUE"""),"FireClover5")</f>
        <v>FireClover5</v>
      </c>
      <c r="E93" s="5" t="str">
        <f>IFERROR(__xludf.DUMMYFUNCTION("""COMPUTED_VALUE"""),"Yes")</f>
        <v>Yes</v>
      </c>
      <c r="F93" s="5" t="str">
        <f>IFERROR(__xludf.DUMMYFUNCTION("""COMPUTED_VALUE"""),"Yes")</f>
        <v>Yes</v>
      </c>
      <c r="G93" s="5" t="str">
        <f>IFERROR(__xludf.DUMMYFUNCTION("""COMPUTED_VALUE"""),"Yes")</f>
        <v>Yes</v>
      </c>
      <c r="H93" s="5" t="str">
        <f>IFERROR(__xludf.DUMMYFUNCTION("""COMPUTED_VALUE"""),"Yes")</f>
        <v>Yes</v>
      </c>
      <c r="I93" s="5" t="str">
        <f>IFERROR(__xludf.DUMMYFUNCTION("""COMPUTED_VALUE"""),"Yes")</f>
        <v>Yes</v>
      </c>
      <c r="J93" s="5" t="str">
        <f>IFERROR(__xludf.DUMMYFUNCTION("""COMPUTED_VALUE"""),"Yes")</f>
        <v>Yes</v>
      </c>
      <c r="K93" s="5" t="str">
        <f>IFERROR(__xludf.DUMMYFUNCTION("""COMPUTED_VALUE"""),"Yes")</f>
        <v>Yes</v>
      </c>
      <c r="L93" s="5" t="str">
        <f>IFERROR(__xludf.DUMMYFUNCTION("""COMPUTED_VALUE"""),"Yes")</f>
        <v>Yes</v>
      </c>
      <c r="M93" s="5" t="str">
        <f>IFERROR(__xludf.DUMMYFUNCTION("""COMPUTED_VALUE"""),"Yes")</f>
        <v>Yes</v>
      </c>
      <c r="N93" s="5" t="str">
        <f>IFERROR(__xludf.DUMMYFUNCTION("""COMPUTED_VALUE"""),"Yes")</f>
        <v>Yes</v>
      </c>
      <c r="O93" s="5" t="str">
        <f>IFERROR(__xludf.DUMMYFUNCTION("""COMPUTED_VALUE"""),"Yes")</f>
        <v>Yes</v>
      </c>
      <c r="P93" s="5" t="str">
        <f>IFERROR(__xludf.DUMMYFUNCTION("""COMPUTED_VALUE"""),"Yes")</f>
        <v>Yes</v>
      </c>
      <c r="Q93" s="5" t="str">
        <f>IFERROR(__xludf.DUMMYFUNCTION("""COMPUTED_VALUE"""),"Yes")</f>
        <v>Yes</v>
      </c>
      <c r="R93" s="5" t="str">
        <f>IFERROR(__xludf.DUMMYFUNCTION("""COMPUTED_VALUE"""),"Yes")</f>
        <v>Yes</v>
      </c>
      <c r="S93" s="5" t="str">
        <f>IFERROR(__xludf.DUMMYFUNCTION("""COMPUTED_VALUE"""),"Yes")</f>
        <v>Yes</v>
      </c>
      <c r="T93" s="5" t="str">
        <f>IFERROR(__xludf.DUMMYFUNCTION("""COMPUTED_VALUE"""),"Yes")</f>
        <v>Yes</v>
      </c>
      <c r="U93" s="5" t="str">
        <f>IFERROR(__xludf.DUMMYFUNCTION("""COMPUTED_VALUE"""),"Yes")</f>
        <v>Yes</v>
      </c>
      <c r="V93" s="5" t="str">
        <f>IFERROR(__xludf.DUMMYFUNCTION("""COMPUTED_VALUE"""),"Yes")</f>
        <v>Yes</v>
      </c>
      <c r="W93" s="5" t="str">
        <f>IFERROR(__xludf.DUMMYFUNCTION("""COMPUTED_VALUE"""),"Yes")</f>
        <v>Yes</v>
      </c>
      <c r="X93" s="5" t="str">
        <f>IFERROR(__xludf.DUMMYFUNCTION("""COMPUTED_VALUE"""),"Yes")</f>
        <v>Yes</v>
      </c>
      <c r="Y93" s="5"/>
      <c r="Z93" s="5"/>
      <c r="AA93" s="5"/>
      <c r="AB93" s="5"/>
      <c r="AC93" s="5" t="str">
        <f>IFERROR(__xludf.DUMMYFUNCTION("""COMPUTED_VALUE"""),"Yes")</f>
        <v>Yes</v>
      </c>
      <c r="AD93" s="5"/>
      <c r="AE93" s="5"/>
      <c r="AF93" s="5" t="str">
        <f>IFERROR(__xludf.DUMMYFUNCTION("""COMPUTED_VALUE"""),"Yes")</f>
        <v>Yes</v>
      </c>
      <c r="AG93" s="5"/>
      <c r="AH93" s="5" t="str">
        <f>IFERROR(__xludf.DUMMYFUNCTION("""COMPUTED_VALUE"""),"Yes")</f>
        <v>Yes</v>
      </c>
      <c r="AI93" s="5"/>
      <c r="AJ93" s="5"/>
      <c r="AK93" s="5"/>
      <c r="AL93" s="5"/>
      <c r="AM93" s="5"/>
      <c r="AN93" s="5"/>
      <c r="AO93" s="5"/>
      <c r="AP93" s="5"/>
      <c r="AQ93" s="5"/>
      <c r="AR93" s="5"/>
      <c r="AS93" s="5"/>
      <c r="AT93" s="5"/>
      <c r="AU93" s="5"/>
      <c r="AV93" s="5"/>
      <c r="AW93" s="5"/>
      <c r="AX93" s="5"/>
      <c r="AY93" s="5"/>
    </row>
    <row r="94">
      <c r="A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94" s="5">
        <f>IFERROR(__xludf.DUMMYFUNCTION("""COMPUTED_VALUE"""),93.0)</f>
        <v>93</v>
      </c>
      <c r="C94" s="5">
        <f>IFERROR(__xludf.DUMMYFUNCTION("""COMPUTED_VALUE"""),92.0)</f>
        <v>92</v>
      </c>
      <c r="D94" s="5" t="str">
        <f>IFERROR(__xludf.DUMMYFUNCTION("""COMPUTED_VALUE"""),"CrystalHotAdmiral")</f>
        <v>CrystalHotAdmiral</v>
      </c>
      <c r="E94" s="5" t="str">
        <f>IFERROR(__xludf.DUMMYFUNCTION("""COMPUTED_VALUE"""),"Yes")</f>
        <v>Yes</v>
      </c>
      <c r="F94" s="5" t="str">
        <f>IFERROR(__xludf.DUMMYFUNCTION("""COMPUTED_VALUE"""),"Yes")</f>
        <v>Yes</v>
      </c>
      <c r="G94" s="5" t="str">
        <f>IFERROR(__xludf.DUMMYFUNCTION("""COMPUTED_VALUE"""),"Yes")</f>
        <v>Yes</v>
      </c>
      <c r="H94" s="5" t="str">
        <f>IFERROR(__xludf.DUMMYFUNCTION("""COMPUTED_VALUE"""),"Yes")</f>
        <v>Yes</v>
      </c>
      <c r="I94" s="5" t="str">
        <f>IFERROR(__xludf.DUMMYFUNCTION("""COMPUTED_VALUE"""),"Yes")</f>
        <v>Yes</v>
      </c>
      <c r="J94" s="5" t="str">
        <f>IFERROR(__xludf.DUMMYFUNCTION("""COMPUTED_VALUE"""),"Yes")</f>
        <v>Yes</v>
      </c>
      <c r="K94" s="5" t="str">
        <f>IFERROR(__xludf.DUMMYFUNCTION("""COMPUTED_VALUE"""),"Yes")</f>
        <v>Yes</v>
      </c>
      <c r="L94" s="5" t="str">
        <f>IFERROR(__xludf.DUMMYFUNCTION("""COMPUTED_VALUE"""),"Yes")</f>
        <v>Yes</v>
      </c>
      <c r="M94" s="5" t="str">
        <f>IFERROR(__xludf.DUMMYFUNCTION("""COMPUTED_VALUE"""),"Yes")</f>
        <v>Yes</v>
      </c>
      <c r="N94" s="5" t="str">
        <f>IFERROR(__xludf.DUMMYFUNCTION("""COMPUTED_VALUE"""),"Yes")</f>
        <v>Yes</v>
      </c>
      <c r="O94" s="5" t="str">
        <f>IFERROR(__xludf.DUMMYFUNCTION("""COMPUTED_VALUE"""),"Yes")</f>
        <v>Yes</v>
      </c>
      <c r="P94" s="5" t="str">
        <f>IFERROR(__xludf.DUMMYFUNCTION("""COMPUTED_VALUE"""),"Yes")</f>
        <v>Yes</v>
      </c>
      <c r="Q94" s="5" t="str">
        <f>IFERROR(__xludf.DUMMYFUNCTION("""COMPUTED_VALUE"""),"Yes")</f>
        <v>Yes</v>
      </c>
      <c r="R94" s="5" t="str">
        <f>IFERROR(__xludf.DUMMYFUNCTION("""COMPUTED_VALUE"""),"Yes")</f>
        <v>Yes</v>
      </c>
      <c r="S94" s="5" t="str">
        <f>IFERROR(__xludf.DUMMYFUNCTION("""COMPUTED_VALUE"""),"Yes")</f>
        <v>Yes</v>
      </c>
      <c r="T94" s="5" t="str">
        <f>IFERROR(__xludf.DUMMYFUNCTION("""COMPUTED_VALUE"""),"Yes")</f>
        <v>Yes</v>
      </c>
      <c r="U94" s="5" t="str">
        <f>IFERROR(__xludf.DUMMYFUNCTION("""COMPUTED_VALUE"""),"Yes")</f>
        <v>Yes</v>
      </c>
      <c r="V94" s="5" t="str">
        <f>IFERROR(__xludf.DUMMYFUNCTION("""COMPUTED_VALUE"""),"Yes")</f>
        <v>Yes</v>
      </c>
      <c r="W94" s="5" t="str">
        <f>IFERROR(__xludf.DUMMYFUNCTION("""COMPUTED_VALUE"""),"Yes")</f>
        <v>Yes</v>
      </c>
      <c r="X94" s="5" t="str">
        <f>IFERROR(__xludf.DUMMYFUNCTION("""COMPUTED_VALUE"""),"Yes")</f>
        <v>Yes</v>
      </c>
      <c r="Y94" s="5" t="str">
        <f>IFERROR(__xludf.DUMMYFUNCTION("""COMPUTED_VALUE"""),"Yes")</f>
        <v>Yes</v>
      </c>
      <c r="Z94" s="5" t="str">
        <f>IFERROR(__xludf.DUMMYFUNCTION("""COMPUTED_VALUE"""),"No")</f>
        <v>No</v>
      </c>
      <c r="AA94" s="5" t="str">
        <f>IFERROR(__xludf.DUMMYFUNCTION("""COMPUTED_VALUE"""),"Yes")</f>
        <v>Yes</v>
      </c>
      <c r="AB94" s="5" t="str">
        <f>IFERROR(__xludf.DUMMYFUNCTION("""COMPUTED_VALUE"""),"Yes")</f>
        <v>Yes</v>
      </c>
      <c r="AC94" s="5" t="str">
        <f>IFERROR(__xludf.DUMMYFUNCTION("""COMPUTED_VALUE"""),"Yes")</f>
        <v>Yes</v>
      </c>
      <c r="AD94" s="5" t="str">
        <f>IFERROR(__xludf.DUMMYFUNCTION("""COMPUTED_VALUE"""),"Yes")</f>
        <v>Yes</v>
      </c>
      <c r="AE94" s="5" t="str">
        <f>IFERROR(__xludf.DUMMYFUNCTION("""COMPUTED_VALUE"""),"No")</f>
        <v>No</v>
      </c>
      <c r="AF94" s="5" t="str">
        <f>IFERROR(__xludf.DUMMYFUNCTION("""COMPUTED_VALUE"""),"Yes")</f>
        <v>Yes</v>
      </c>
      <c r="AG94" s="5" t="str">
        <f>IFERROR(__xludf.DUMMYFUNCTION("""COMPUTED_VALUE"""),"No")</f>
        <v>No</v>
      </c>
      <c r="AH94" s="5" t="str">
        <f>IFERROR(__xludf.DUMMYFUNCTION("""COMPUTED_VALUE"""),"No")</f>
        <v>No</v>
      </c>
      <c r="AI94" s="5" t="str">
        <f>IFERROR(__xludf.DUMMYFUNCTION("""COMPUTED_VALUE"""),"No")</f>
        <v>No</v>
      </c>
      <c r="AJ94" s="5" t="str">
        <f>IFERROR(__xludf.DUMMYFUNCTION("""COMPUTED_VALUE"""),"No")</f>
        <v>No</v>
      </c>
      <c r="AK94" s="5" t="str">
        <f>IFERROR(__xludf.DUMMYFUNCTION("""COMPUTED_VALUE"""),"No")</f>
        <v>No</v>
      </c>
      <c r="AL94" s="5" t="str">
        <f>IFERROR(__xludf.DUMMYFUNCTION("""COMPUTED_VALUE"""),"No")</f>
        <v>No</v>
      </c>
      <c r="AM94" s="5"/>
      <c r="AN94" s="5"/>
      <c r="AO94" s="5"/>
      <c r="AP94" s="5"/>
      <c r="AQ94" s="5"/>
      <c r="AR94" s="5"/>
      <c r="AS94" s="5"/>
      <c r="AT94" s="5"/>
      <c r="AU94" s="5"/>
      <c r="AV94" s="5"/>
      <c r="AW94" s="5"/>
      <c r="AX94" s="5"/>
      <c r="AY94" s="5"/>
    </row>
    <row r="95">
      <c r="A9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5" s="5">
        <f>IFERROR(__xludf.DUMMYFUNCTION("""COMPUTED_VALUE"""),94.0)</f>
        <v>94</v>
      </c>
      <c r="C95" s="5">
        <f>IFERROR(__xludf.DUMMYFUNCTION("""COMPUTED_VALUE"""),93.0)</f>
        <v>93</v>
      </c>
      <c r="D95" s="5" t="str">
        <f>IFERROR(__xludf.DUMMYFUNCTION("""COMPUTED_VALUE"""),"WildCrown10")</f>
        <v>WildCrown10</v>
      </c>
      <c r="E95" s="5" t="str">
        <f>IFERROR(__xludf.DUMMYFUNCTION("""COMPUTED_VALUE"""),"Yes")</f>
        <v>Yes</v>
      </c>
      <c r="F95" s="5" t="str">
        <f>IFERROR(__xludf.DUMMYFUNCTION("""COMPUTED_VALUE"""),"Yes")</f>
        <v>Yes</v>
      </c>
      <c r="G95" s="5" t="str">
        <f>IFERROR(__xludf.DUMMYFUNCTION("""COMPUTED_VALUE"""),"No")</f>
        <v>No</v>
      </c>
      <c r="H95" s="5" t="str">
        <f>IFERROR(__xludf.DUMMYFUNCTION("""COMPUTED_VALUE"""),"Yes")</f>
        <v>Yes</v>
      </c>
      <c r="I95" s="5" t="str">
        <f>IFERROR(__xludf.DUMMYFUNCTION("""COMPUTED_VALUE"""),"Yes")</f>
        <v>Yes</v>
      </c>
      <c r="J95" s="5" t="str">
        <f>IFERROR(__xludf.DUMMYFUNCTION("""COMPUTED_VALUE"""),"Yes")</f>
        <v>Yes</v>
      </c>
      <c r="K95" s="5" t="str">
        <f>IFERROR(__xludf.DUMMYFUNCTION("""COMPUTED_VALUE"""),"Yes")</f>
        <v>Yes</v>
      </c>
      <c r="L95" s="5" t="str">
        <f>IFERROR(__xludf.DUMMYFUNCTION("""COMPUTED_VALUE"""),"Yes")</f>
        <v>Yes</v>
      </c>
      <c r="M95" s="5" t="str">
        <f>IFERROR(__xludf.DUMMYFUNCTION("""COMPUTED_VALUE"""),"Yes")</f>
        <v>Yes</v>
      </c>
      <c r="N95" s="5" t="str">
        <f>IFERROR(__xludf.DUMMYFUNCTION("""COMPUTED_VALUE"""),"Yes")</f>
        <v>Yes</v>
      </c>
      <c r="O95" s="5" t="str">
        <f>IFERROR(__xludf.DUMMYFUNCTION("""COMPUTED_VALUE"""),"Yes")</f>
        <v>Yes</v>
      </c>
      <c r="P95" s="5" t="str">
        <f>IFERROR(__xludf.DUMMYFUNCTION("""COMPUTED_VALUE"""),"Yes")</f>
        <v>Yes</v>
      </c>
      <c r="Q95" s="5" t="str">
        <f>IFERROR(__xludf.DUMMYFUNCTION("""COMPUTED_VALUE"""),"Yes")</f>
        <v>Yes</v>
      </c>
      <c r="R95" s="5" t="str">
        <f>IFERROR(__xludf.DUMMYFUNCTION("""COMPUTED_VALUE"""),"Yes")</f>
        <v>Yes</v>
      </c>
      <c r="S95" s="5" t="str">
        <f>IFERROR(__xludf.DUMMYFUNCTION("""COMPUTED_VALUE"""),"Yes")</f>
        <v>Yes</v>
      </c>
      <c r="T95" s="5" t="str">
        <f>IFERROR(__xludf.DUMMYFUNCTION("""COMPUTED_VALUE"""),"No")</f>
        <v>No</v>
      </c>
      <c r="U95" s="5" t="str">
        <f>IFERROR(__xludf.DUMMYFUNCTION("""COMPUTED_VALUE"""),"No")</f>
        <v>No</v>
      </c>
      <c r="V95" s="5" t="str">
        <f>IFERROR(__xludf.DUMMYFUNCTION("""COMPUTED_VALUE"""),"No")</f>
        <v>No</v>
      </c>
      <c r="W95" s="5" t="str">
        <f>IFERROR(__xludf.DUMMYFUNCTION("""COMPUTED_VALUE"""),"No")</f>
        <v>No</v>
      </c>
      <c r="X95" s="5" t="str">
        <f>IFERROR(__xludf.DUMMYFUNCTION("""COMPUTED_VALUE"""),"No")</f>
        <v>No</v>
      </c>
      <c r="Y95" s="5" t="str">
        <f>IFERROR(__xludf.DUMMYFUNCTION("""COMPUTED_VALUE"""),"No")</f>
        <v>No</v>
      </c>
      <c r="Z95" s="5" t="str">
        <f>IFERROR(__xludf.DUMMYFUNCTION("""COMPUTED_VALUE"""),"No")</f>
        <v>No</v>
      </c>
      <c r="AA95" s="5" t="str">
        <f>IFERROR(__xludf.DUMMYFUNCTION("""COMPUTED_VALUE"""),"No")</f>
        <v>No</v>
      </c>
      <c r="AB95" s="5" t="str">
        <f>IFERROR(__xludf.DUMMYFUNCTION("""COMPUTED_VALUE"""),"No")</f>
        <v>No</v>
      </c>
      <c r="AC95" s="5" t="str">
        <f>IFERROR(__xludf.DUMMYFUNCTION("""COMPUTED_VALUE"""),"No")</f>
        <v>No</v>
      </c>
      <c r="AD95" s="5" t="str">
        <f>IFERROR(__xludf.DUMMYFUNCTION("""COMPUTED_VALUE"""),"No")</f>
        <v>No</v>
      </c>
      <c r="AE95" s="5" t="str">
        <f>IFERROR(__xludf.DUMMYFUNCTION("""COMPUTED_VALUE"""),"No")</f>
        <v>No</v>
      </c>
      <c r="AF95" s="5" t="str">
        <f>IFERROR(__xludf.DUMMYFUNCTION("""COMPUTED_VALUE"""),"Yes")</f>
        <v>Yes</v>
      </c>
      <c r="AG95" s="5" t="str">
        <f>IFERROR(__xludf.DUMMYFUNCTION("""COMPUTED_VALUE"""),"No")</f>
        <v>No</v>
      </c>
      <c r="AH95" s="5" t="str">
        <f>IFERROR(__xludf.DUMMYFUNCTION("""COMPUTED_VALUE"""),"Yes")</f>
        <v>Yes</v>
      </c>
      <c r="AI95" s="5" t="str">
        <f>IFERROR(__xludf.DUMMYFUNCTION("""COMPUTED_VALUE"""),"No")</f>
        <v>No</v>
      </c>
      <c r="AJ95" s="5" t="str">
        <f>IFERROR(__xludf.DUMMYFUNCTION("""COMPUTED_VALUE"""),"No")</f>
        <v>No</v>
      </c>
      <c r="AK95" s="5" t="str">
        <f>IFERROR(__xludf.DUMMYFUNCTION("""COMPUTED_VALUE"""),"No")</f>
        <v>No</v>
      </c>
      <c r="AL95" s="5" t="str">
        <f>IFERROR(__xludf.DUMMYFUNCTION("""COMPUTED_VALUE"""),"No")</f>
        <v>No</v>
      </c>
      <c r="AM95" s="5"/>
      <c r="AN95" s="5"/>
      <c r="AO95" s="5"/>
      <c r="AP95" s="5"/>
      <c r="AQ95" s="5"/>
      <c r="AR95" s="5"/>
      <c r="AS95" s="5"/>
      <c r="AT95" s="5"/>
      <c r="AU95" s="5"/>
      <c r="AV95" s="5"/>
      <c r="AW95" s="5"/>
      <c r="AX95" s="5"/>
      <c r="AY95" s="5"/>
    </row>
    <row r="96">
      <c r="A9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6" s="5">
        <f>IFERROR(__xludf.DUMMYFUNCTION("""COMPUTED_VALUE"""),95.0)</f>
        <v>95</v>
      </c>
      <c r="C96" s="5">
        <f>IFERROR(__xludf.DUMMYFUNCTION("""COMPUTED_VALUE"""),94.0)</f>
        <v>94</v>
      </c>
      <c r="D96" s="5" t="str">
        <f>IFERROR(__xludf.DUMMYFUNCTION("""COMPUTED_VALUE"""),"UnicornCasinoFruits")</f>
        <v>UnicornCasinoFruits</v>
      </c>
      <c r="E96" s="5" t="str">
        <f>IFERROR(__xludf.DUMMYFUNCTION("""COMPUTED_VALUE"""),"Yes")</f>
        <v>Yes</v>
      </c>
      <c r="F96" s="5" t="str">
        <f>IFERROR(__xludf.DUMMYFUNCTION("""COMPUTED_VALUE"""),"Yes")</f>
        <v>Yes</v>
      </c>
      <c r="G96" s="5" t="str">
        <f>IFERROR(__xludf.DUMMYFUNCTION("""COMPUTED_VALUE"""),"Yes")</f>
        <v>Yes</v>
      </c>
      <c r="H96" s="5" t="str">
        <f>IFERROR(__xludf.DUMMYFUNCTION("""COMPUTED_VALUE"""),"No")</f>
        <v>No</v>
      </c>
      <c r="I96" s="5" t="str">
        <f>IFERROR(__xludf.DUMMYFUNCTION("""COMPUTED_VALUE"""),"No")</f>
        <v>No</v>
      </c>
      <c r="J96" s="5" t="str">
        <f>IFERROR(__xludf.DUMMYFUNCTION("""COMPUTED_VALUE"""),"No")</f>
        <v>No</v>
      </c>
      <c r="K96" s="5" t="str">
        <f>IFERROR(__xludf.DUMMYFUNCTION("""COMPUTED_VALUE"""),"No")</f>
        <v>No</v>
      </c>
      <c r="L96" s="5" t="str">
        <f>IFERROR(__xludf.DUMMYFUNCTION("""COMPUTED_VALUE"""),"No")</f>
        <v>No</v>
      </c>
      <c r="M96" s="5" t="str">
        <f>IFERROR(__xludf.DUMMYFUNCTION("""COMPUTED_VALUE"""),"Yes")</f>
        <v>Yes</v>
      </c>
      <c r="N96" s="5" t="str">
        <f>IFERROR(__xludf.DUMMYFUNCTION("""COMPUTED_VALUE"""),"Yes")</f>
        <v>Yes</v>
      </c>
      <c r="O96" s="5" t="str">
        <f>IFERROR(__xludf.DUMMYFUNCTION("""COMPUTED_VALUE"""),"Yes")</f>
        <v>Yes</v>
      </c>
      <c r="P96" s="5" t="str">
        <f>IFERROR(__xludf.DUMMYFUNCTION("""COMPUTED_VALUE"""),"Yes")</f>
        <v>Yes</v>
      </c>
      <c r="Q96" s="5" t="str">
        <f>IFERROR(__xludf.DUMMYFUNCTION("""COMPUTED_VALUE"""),"Yes")</f>
        <v>Yes</v>
      </c>
      <c r="R96" s="5" t="str">
        <f>IFERROR(__xludf.DUMMYFUNCTION("""COMPUTED_VALUE"""),"No")</f>
        <v>No</v>
      </c>
      <c r="S96" s="5" t="str">
        <f>IFERROR(__xludf.DUMMYFUNCTION("""COMPUTED_VALUE"""),"Yes")</f>
        <v>Yes</v>
      </c>
      <c r="T96" s="5" t="str">
        <f>IFERROR(__xludf.DUMMYFUNCTION("""COMPUTED_VALUE"""),"No")</f>
        <v>No</v>
      </c>
      <c r="U96" s="5" t="str">
        <f>IFERROR(__xludf.DUMMYFUNCTION("""COMPUTED_VALUE"""),"No")</f>
        <v>No</v>
      </c>
      <c r="V96" s="5" t="str">
        <f>IFERROR(__xludf.DUMMYFUNCTION("""COMPUTED_VALUE"""),"No")</f>
        <v>No</v>
      </c>
      <c r="W96" s="5" t="str">
        <f>IFERROR(__xludf.DUMMYFUNCTION("""COMPUTED_VALUE"""),"No")</f>
        <v>No</v>
      </c>
      <c r="X96" s="5" t="str">
        <f>IFERROR(__xludf.DUMMYFUNCTION("""COMPUTED_VALUE"""),"No")</f>
        <v>No</v>
      </c>
      <c r="Y96" s="5"/>
      <c r="Z96" s="5"/>
      <c r="AA96" s="5"/>
      <c r="AB96" s="5"/>
      <c r="AC96" s="5" t="str">
        <f>IFERROR(__xludf.DUMMYFUNCTION("""COMPUTED_VALUE"""),"No")</f>
        <v>No</v>
      </c>
      <c r="AD96" s="5"/>
      <c r="AE96" s="5"/>
      <c r="AF96" s="5"/>
      <c r="AG96" s="5"/>
      <c r="AH96" s="5"/>
      <c r="AI96" s="5"/>
      <c r="AJ96" s="5"/>
      <c r="AK96" s="5"/>
      <c r="AL96" s="5"/>
      <c r="AM96" s="5"/>
      <c r="AN96" s="5"/>
      <c r="AO96" s="5"/>
      <c r="AP96" s="5"/>
      <c r="AQ96" s="5"/>
      <c r="AR96" s="5"/>
      <c r="AS96" s="5"/>
      <c r="AT96" s="5"/>
      <c r="AU96" s="5"/>
      <c r="AV96" s="5"/>
      <c r="AW96" s="5"/>
      <c r="AX96" s="5"/>
      <c r="AY96" s="5"/>
    </row>
    <row r="97">
      <c r="A9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7" s="5">
        <f>IFERROR(__xludf.DUMMYFUNCTION("""COMPUTED_VALUE"""),96.0)</f>
        <v>96</v>
      </c>
      <c r="C97" s="5">
        <f>IFERROR(__xludf.DUMMYFUNCTION("""COMPUTED_VALUE"""),95.0)</f>
        <v>95</v>
      </c>
      <c r="D97" s="5" t="str">
        <f>IFERROR(__xludf.DUMMYFUNCTION("""COMPUTED_VALUE"""),"UnicornTheCrownFruit")</f>
        <v>UnicornTheCrownFruit</v>
      </c>
      <c r="E97" s="5" t="str">
        <f>IFERROR(__xludf.DUMMYFUNCTION("""COMPUTED_VALUE"""),"Yes")</f>
        <v>Yes</v>
      </c>
      <c r="F97" s="5" t="str">
        <f>IFERROR(__xludf.DUMMYFUNCTION("""COMPUTED_VALUE"""),"Yes")</f>
        <v>Yes</v>
      </c>
      <c r="G97" s="5" t="str">
        <f>IFERROR(__xludf.DUMMYFUNCTION("""COMPUTED_VALUE"""),"Yes")</f>
        <v>Yes</v>
      </c>
      <c r="H97" s="5" t="str">
        <f>IFERROR(__xludf.DUMMYFUNCTION("""COMPUTED_VALUE"""),"No")</f>
        <v>No</v>
      </c>
      <c r="I97" s="5" t="str">
        <f>IFERROR(__xludf.DUMMYFUNCTION("""COMPUTED_VALUE"""),"No")</f>
        <v>No</v>
      </c>
      <c r="J97" s="5" t="str">
        <f>IFERROR(__xludf.DUMMYFUNCTION("""COMPUTED_VALUE"""),"No")</f>
        <v>No</v>
      </c>
      <c r="K97" s="5" t="str">
        <f>IFERROR(__xludf.DUMMYFUNCTION("""COMPUTED_VALUE"""),"No")</f>
        <v>No</v>
      </c>
      <c r="L97" s="5" t="str">
        <f>IFERROR(__xludf.DUMMYFUNCTION("""COMPUTED_VALUE"""),"No")</f>
        <v>No</v>
      </c>
      <c r="M97" s="5" t="str">
        <f>IFERROR(__xludf.DUMMYFUNCTION("""COMPUTED_VALUE"""),"Yes")</f>
        <v>Yes</v>
      </c>
      <c r="N97" s="5" t="str">
        <f>IFERROR(__xludf.DUMMYFUNCTION("""COMPUTED_VALUE"""),"Yes")</f>
        <v>Yes</v>
      </c>
      <c r="O97" s="5" t="str">
        <f>IFERROR(__xludf.DUMMYFUNCTION("""COMPUTED_VALUE"""),"Yes")</f>
        <v>Yes</v>
      </c>
      <c r="P97" s="5" t="str">
        <f>IFERROR(__xludf.DUMMYFUNCTION("""COMPUTED_VALUE"""),"Yes")</f>
        <v>Yes</v>
      </c>
      <c r="Q97" s="5" t="str">
        <f>IFERROR(__xludf.DUMMYFUNCTION("""COMPUTED_VALUE"""),"Yes")</f>
        <v>Yes</v>
      </c>
      <c r="R97" s="5" t="str">
        <f>IFERROR(__xludf.DUMMYFUNCTION("""COMPUTED_VALUE"""),"No")</f>
        <v>No</v>
      </c>
      <c r="S97" s="5" t="str">
        <f>IFERROR(__xludf.DUMMYFUNCTION("""COMPUTED_VALUE"""),"Yes")</f>
        <v>Yes</v>
      </c>
      <c r="T97" s="5" t="str">
        <f>IFERROR(__xludf.DUMMYFUNCTION("""COMPUTED_VALUE"""),"No")</f>
        <v>No</v>
      </c>
      <c r="U97" s="5" t="str">
        <f>IFERROR(__xludf.DUMMYFUNCTION("""COMPUTED_VALUE"""),"No")</f>
        <v>No</v>
      </c>
      <c r="V97" s="5" t="str">
        <f>IFERROR(__xludf.DUMMYFUNCTION("""COMPUTED_VALUE"""),"No")</f>
        <v>No</v>
      </c>
      <c r="W97" s="5" t="str">
        <f>IFERROR(__xludf.DUMMYFUNCTION("""COMPUTED_VALUE"""),"No")</f>
        <v>No</v>
      </c>
      <c r="X97" s="5" t="str">
        <f>IFERROR(__xludf.DUMMYFUNCTION("""COMPUTED_VALUE"""),"No")</f>
        <v>No</v>
      </c>
      <c r="Y97" s="5"/>
      <c r="Z97" s="5"/>
      <c r="AA97" s="5"/>
      <c r="AB97" s="5"/>
      <c r="AC97" s="5" t="str">
        <f>IFERROR(__xludf.DUMMYFUNCTION("""COMPUTED_VALUE"""),"No")</f>
        <v>No</v>
      </c>
      <c r="AD97" s="5"/>
      <c r="AE97" s="5"/>
      <c r="AF97" s="5"/>
      <c r="AG97" s="5"/>
      <c r="AH97" s="5"/>
      <c r="AI97" s="5"/>
      <c r="AJ97" s="5"/>
      <c r="AK97" s="5"/>
      <c r="AL97" s="5"/>
      <c r="AM97" s="5"/>
      <c r="AN97" s="5"/>
      <c r="AO97" s="5"/>
      <c r="AP97" s="5"/>
      <c r="AQ97" s="5"/>
      <c r="AR97" s="5"/>
      <c r="AS97" s="5"/>
      <c r="AT97" s="5"/>
      <c r="AU97" s="5"/>
      <c r="AV97" s="5"/>
      <c r="AW97" s="5"/>
      <c r="AX97" s="5"/>
      <c r="AY97" s="5"/>
    </row>
    <row r="98">
      <c r="A9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8" s="5">
        <f>IFERROR(__xludf.DUMMYFUNCTION("""COMPUTED_VALUE"""),97.0)</f>
        <v>97</v>
      </c>
      <c r="C98" s="5">
        <f>IFERROR(__xludf.DUMMYFUNCTION("""COMPUTED_VALUE"""),96.0)</f>
        <v>96</v>
      </c>
      <c r="D98" s="5" t="str">
        <f>IFERROR(__xludf.DUMMYFUNCTION("""COMPUTED_VALUE"""),"WildCloverDice40")</f>
        <v>WildCloverDice40</v>
      </c>
      <c r="E98" s="5" t="str">
        <f>IFERROR(__xludf.DUMMYFUNCTION("""COMPUTED_VALUE"""),"Yes")</f>
        <v>Yes</v>
      </c>
      <c r="F98" s="5" t="str">
        <f>IFERROR(__xludf.DUMMYFUNCTION("""COMPUTED_VALUE"""),"Yes")</f>
        <v>Yes</v>
      </c>
      <c r="G98" s="5" t="str">
        <f>IFERROR(__xludf.DUMMYFUNCTION("""COMPUTED_VALUE"""),"No")</f>
        <v>No</v>
      </c>
      <c r="H98" s="5" t="str">
        <f>IFERROR(__xludf.DUMMYFUNCTION("""COMPUTED_VALUE"""),"Yes")</f>
        <v>Yes</v>
      </c>
      <c r="I98" s="5" t="str">
        <f>IFERROR(__xludf.DUMMYFUNCTION("""COMPUTED_VALUE"""),"Yes")</f>
        <v>Yes</v>
      </c>
      <c r="J98" s="5" t="str">
        <f>IFERROR(__xludf.DUMMYFUNCTION("""COMPUTED_VALUE"""),"Yes")</f>
        <v>Yes</v>
      </c>
      <c r="K98" s="5" t="str">
        <f>IFERROR(__xludf.DUMMYFUNCTION("""COMPUTED_VALUE"""),"Yes")</f>
        <v>Yes</v>
      </c>
      <c r="L98" s="5" t="str">
        <f>IFERROR(__xludf.DUMMYFUNCTION("""COMPUTED_VALUE"""),"Yes")</f>
        <v>Yes</v>
      </c>
      <c r="M98" s="5" t="str">
        <f>IFERROR(__xludf.DUMMYFUNCTION("""COMPUTED_VALUE"""),"Yes")</f>
        <v>Yes</v>
      </c>
      <c r="N98" s="5" t="str">
        <f>IFERROR(__xludf.DUMMYFUNCTION("""COMPUTED_VALUE"""),"Yes")</f>
        <v>Yes</v>
      </c>
      <c r="O98" s="5" t="str">
        <f>IFERROR(__xludf.DUMMYFUNCTION("""COMPUTED_VALUE"""),"Yes")</f>
        <v>Yes</v>
      </c>
      <c r="P98" s="5" t="str">
        <f>IFERROR(__xludf.DUMMYFUNCTION("""COMPUTED_VALUE"""),"Yes")</f>
        <v>Yes</v>
      </c>
      <c r="Q98" s="5" t="str">
        <f>IFERROR(__xludf.DUMMYFUNCTION("""COMPUTED_VALUE"""),"Yes")</f>
        <v>Yes</v>
      </c>
      <c r="R98" s="5" t="str">
        <f>IFERROR(__xludf.DUMMYFUNCTION("""COMPUTED_VALUE"""),"Yes")</f>
        <v>Yes</v>
      </c>
      <c r="S98" s="5" t="str">
        <f>IFERROR(__xludf.DUMMYFUNCTION("""COMPUTED_VALUE"""),"Yes")</f>
        <v>Yes</v>
      </c>
      <c r="T98" s="5" t="str">
        <f>IFERROR(__xludf.DUMMYFUNCTION("""COMPUTED_VALUE"""),"No")</f>
        <v>No</v>
      </c>
      <c r="U98" s="5" t="str">
        <f>IFERROR(__xludf.DUMMYFUNCTION("""COMPUTED_VALUE"""),"No")</f>
        <v>No</v>
      </c>
      <c r="V98" s="5" t="str">
        <f>IFERROR(__xludf.DUMMYFUNCTION("""COMPUTED_VALUE"""),"No")</f>
        <v>No</v>
      </c>
      <c r="W98" s="5" t="str">
        <f>IFERROR(__xludf.DUMMYFUNCTION("""COMPUTED_VALUE"""),"No")</f>
        <v>No</v>
      </c>
      <c r="X98" s="5" t="str">
        <f>IFERROR(__xludf.DUMMYFUNCTION("""COMPUTED_VALUE"""),"No")</f>
        <v>No</v>
      </c>
      <c r="Y98" s="5" t="str">
        <f>IFERROR(__xludf.DUMMYFUNCTION("""COMPUTED_VALUE"""),"No")</f>
        <v>No</v>
      </c>
      <c r="Z98" s="5" t="str">
        <f>IFERROR(__xludf.DUMMYFUNCTION("""COMPUTED_VALUE"""),"No")</f>
        <v>No</v>
      </c>
      <c r="AA98" s="5" t="str">
        <f>IFERROR(__xludf.DUMMYFUNCTION("""COMPUTED_VALUE"""),"No")</f>
        <v>No</v>
      </c>
      <c r="AB98" s="5" t="str">
        <f>IFERROR(__xludf.DUMMYFUNCTION("""COMPUTED_VALUE"""),"No")</f>
        <v>No</v>
      </c>
      <c r="AC98" s="5" t="str">
        <f>IFERROR(__xludf.DUMMYFUNCTION("""COMPUTED_VALUE"""),"No")</f>
        <v>No</v>
      </c>
      <c r="AD98" s="5" t="str">
        <f>IFERROR(__xludf.DUMMYFUNCTION("""COMPUTED_VALUE"""),"No")</f>
        <v>No</v>
      </c>
      <c r="AE98" s="5" t="str">
        <f>IFERROR(__xludf.DUMMYFUNCTION("""COMPUTED_VALUE"""),"No")</f>
        <v>No</v>
      </c>
      <c r="AF98" s="5" t="str">
        <f>IFERROR(__xludf.DUMMYFUNCTION("""COMPUTED_VALUE"""),"Yes")</f>
        <v>Yes</v>
      </c>
      <c r="AG98" s="5" t="str">
        <f>IFERROR(__xludf.DUMMYFUNCTION("""COMPUTED_VALUE"""),"No")</f>
        <v>No</v>
      </c>
      <c r="AH98" s="5" t="str">
        <f>IFERROR(__xludf.DUMMYFUNCTION("""COMPUTED_VALUE"""),"Yes")</f>
        <v>Yes</v>
      </c>
      <c r="AI98" s="5" t="str">
        <f>IFERROR(__xludf.DUMMYFUNCTION("""COMPUTED_VALUE"""),"No")</f>
        <v>No</v>
      </c>
      <c r="AJ98" s="5" t="str">
        <f>IFERROR(__xludf.DUMMYFUNCTION("""COMPUTED_VALUE"""),"No")</f>
        <v>No</v>
      </c>
      <c r="AK98" s="5" t="str">
        <f>IFERROR(__xludf.DUMMYFUNCTION("""COMPUTED_VALUE"""),"No")</f>
        <v>No</v>
      </c>
      <c r="AL98" s="5" t="str">
        <f>IFERROR(__xludf.DUMMYFUNCTION("""COMPUTED_VALUE"""),"No")</f>
        <v>No</v>
      </c>
      <c r="AM98" s="5"/>
      <c r="AN98" s="5"/>
      <c r="AO98" s="5"/>
      <c r="AP98" s="5"/>
      <c r="AQ98" s="5"/>
      <c r="AR98" s="5"/>
      <c r="AS98" s="5"/>
      <c r="AT98" s="5"/>
      <c r="AU98" s="5"/>
      <c r="AV98" s="5"/>
      <c r="AW98" s="5"/>
      <c r="AX98" s="5"/>
      <c r="AY98" s="5"/>
    </row>
    <row r="99">
      <c r="A9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99" s="5">
        <f>IFERROR(__xludf.DUMMYFUNCTION("""COMPUTED_VALUE"""),98.0)</f>
        <v>98</v>
      </c>
      <c r="C99" s="5">
        <f>IFERROR(__xludf.DUMMYFUNCTION("""COMPUTED_VALUE"""),97.0)</f>
        <v>97</v>
      </c>
      <c r="D99" s="5" t="str">
        <f>IFERROR(__xludf.DUMMYFUNCTION("""COMPUTED_VALUE"""),"UnicornTwentyFruits")</f>
        <v>UnicornTwentyFruits</v>
      </c>
      <c r="E99" s="5" t="str">
        <f>IFERROR(__xludf.DUMMYFUNCTION("""COMPUTED_VALUE"""),"Yes")</f>
        <v>Yes</v>
      </c>
      <c r="F99" s="5" t="str">
        <f>IFERROR(__xludf.DUMMYFUNCTION("""COMPUTED_VALUE"""),"Yes")</f>
        <v>Yes</v>
      </c>
      <c r="G99" s="5" t="str">
        <f>IFERROR(__xludf.DUMMYFUNCTION("""COMPUTED_VALUE"""),"Yes")</f>
        <v>Yes</v>
      </c>
      <c r="H99" s="5" t="str">
        <f>IFERROR(__xludf.DUMMYFUNCTION("""COMPUTED_VALUE"""),"No")</f>
        <v>No</v>
      </c>
      <c r="I99" s="5" t="str">
        <f>IFERROR(__xludf.DUMMYFUNCTION("""COMPUTED_VALUE"""),"No")</f>
        <v>No</v>
      </c>
      <c r="J99" s="5" t="str">
        <f>IFERROR(__xludf.DUMMYFUNCTION("""COMPUTED_VALUE"""),"No")</f>
        <v>No</v>
      </c>
      <c r="K99" s="5" t="str">
        <f>IFERROR(__xludf.DUMMYFUNCTION("""COMPUTED_VALUE"""),"No")</f>
        <v>No</v>
      </c>
      <c r="L99" s="5" t="str">
        <f>IFERROR(__xludf.DUMMYFUNCTION("""COMPUTED_VALUE"""),"No")</f>
        <v>No</v>
      </c>
      <c r="M99" s="5" t="str">
        <f>IFERROR(__xludf.DUMMYFUNCTION("""COMPUTED_VALUE"""),"Yes")</f>
        <v>Yes</v>
      </c>
      <c r="N99" s="5" t="str">
        <f>IFERROR(__xludf.DUMMYFUNCTION("""COMPUTED_VALUE"""),"Yes")</f>
        <v>Yes</v>
      </c>
      <c r="O99" s="5" t="str">
        <f>IFERROR(__xludf.DUMMYFUNCTION("""COMPUTED_VALUE"""),"Yes")</f>
        <v>Yes</v>
      </c>
      <c r="P99" s="5" t="str">
        <f>IFERROR(__xludf.DUMMYFUNCTION("""COMPUTED_VALUE"""),"Yes")</f>
        <v>Yes</v>
      </c>
      <c r="Q99" s="5" t="str">
        <f>IFERROR(__xludf.DUMMYFUNCTION("""COMPUTED_VALUE"""),"Yes")</f>
        <v>Yes</v>
      </c>
      <c r="R99" s="5" t="str">
        <f>IFERROR(__xludf.DUMMYFUNCTION("""COMPUTED_VALUE"""),"No")</f>
        <v>No</v>
      </c>
      <c r="S99" s="5" t="str">
        <f>IFERROR(__xludf.DUMMYFUNCTION("""COMPUTED_VALUE"""),"Yes")</f>
        <v>Yes</v>
      </c>
      <c r="T99" s="5" t="str">
        <f>IFERROR(__xludf.DUMMYFUNCTION("""COMPUTED_VALUE"""),"No")</f>
        <v>No</v>
      </c>
      <c r="U99" s="5" t="str">
        <f>IFERROR(__xludf.DUMMYFUNCTION("""COMPUTED_VALUE"""),"No")</f>
        <v>No</v>
      </c>
      <c r="V99" s="5" t="str">
        <f>IFERROR(__xludf.DUMMYFUNCTION("""COMPUTED_VALUE"""),"No")</f>
        <v>No</v>
      </c>
      <c r="W99" s="5" t="str">
        <f>IFERROR(__xludf.DUMMYFUNCTION("""COMPUTED_VALUE"""),"No")</f>
        <v>No</v>
      </c>
      <c r="X99" s="5" t="str">
        <f>IFERROR(__xludf.DUMMYFUNCTION("""COMPUTED_VALUE"""),"No")</f>
        <v>No</v>
      </c>
      <c r="Y99" s="5"/>
      <c r="Z99" s="5"/>
      <c r="AA99" s="5"/>
      <c r="AB99" s="5"/>
      <c r="AC99" s="5" t="str">
        <f>IFERROR(__xludf.DUMMYFUNCTION("""COMPUTED_VALUE"""),"No")</f>
        <v>No</v>
      </c>
      <c r="AD99" s="5"/>
      <c r="AE99" s="5"/>
      <c r="AF99" s="5"/>
      <c r="AG99" s="5"/>
      <c r="AH99" s="5"/>
      <c r="AI99" s="5"/>
      <c r="AJ99" s="5"/>
      <c r="AK99" s="5"/>
      <c r="AL99" s="5"/>
      <c r="AM99" s="5"/>
      <c r="AN99" s="5"/>
      <c r="AO99" s="5"/>
      <c r="AP99" s="5"/>
      <c r="AQ99" s="5"/>
      <c r="AR99" s="5"/>
      <c r="AS99" s="5"/>
      <c r="AT99" s="5"/>
      <c r="AU99" s="5"/>
      <c r="AV99" s="5"/>
      <c r="AW99" s="5"/>
      <c r="AX99" s="5"/>
      <c r="AY99" s="5"/>
    </row>
    <row r="100">
      <c r="A10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00" s="5">
        <f>IFERROR(__xludf.DUMMYFUNCTION("""COMPUTED_VALUE"""),99.0)</f>
        <v>99</v>
      </c>
      <c r="C100" s="5">
        <f>IFERROR(__xludf.DUMMYFUNCTION("""COMPUTED_VALUE"""),98.0)</f>
        <v>98</v>
      </c>
      <c r="D100" s="5" t="str">
        <f>IFERROR(__xludf.DUMMYFUNCTION("""COMPUTED_VALUE"""),"UnicornTwentyDice")</f>
        <v>UnicornTwentyDice</v>
      </c>
      <c r="E100" s="5" t="str">
        <f>IFERROR(__xludf.DUMMYFUNCTION("""COMPUTED_VALUE"""),"Yes")</f>
        <v>Yes</v>
      </c>
      <c r="F100" s="5" t="str">
        <f>IFERROR(__xludf.DUMMYFUNCTION("""COMPUTED_VALUE"""),"Yes")</f>
        <v>Yes</v>
      </c>
      <c r="G100" s="5" t="str">
        <f>IFERROR(__xludf.DUMMYFUNCTION("""COMPUTED_VALUE"""),"Yes")</f>
        <v>Yes</v>
      </c>
      <c r="H100" s="5" t="str">
        <f>IFERROR(__xludf.DUMMYFUNCTION("""COMPUTED_VALUE"""),"No")</f>
        <v>No</v>
      </c>
      <c r="I100" s="5" t="str">
        <f>IFERROR(__xludf.DUMMYFUNCTION("""COMPUTED_VALUE"""),"No")</f>
        <v>No</v>
      </c>
      <c r="J100" s="5" t="str">
        <f>IFERROR(__xludf.DUMMYFUNCTION("""COMPUTED_VALUE"""),"No")</f>
        <v>No</v>
      </c>
      <c r="K100" s="5" t="str">
        <f>IFERROR(__xludf.DUMMYFUNCTION("""COMPUTED_VALUE"""),"No")</f>
        <v>No</v>
      </c>
      <c r="L100" s="5" t="str">
        <f>IFERROR(__xludf.DUMMYFUNCTION("""COMPUTED_VALUE"""),"No")</f>
        <v>No</v>
      </c>
      <c r="M100" s="5" t="str">
        <f>IFERROR(__xludf.DUMMYFUNCTION("""COMPUTED_VALUE"""),"Yes")</f>
        <v>Yes</v>
      </c>
      <c r="N100" s="5" t="str">
        <f>IFERROR(__xludf.DUMMYFUNCTION("""COMPUTED_VALUE"""),"Yes")</f>
        <v>Yes</v>
      </c>
      <c r="O100" s="5" t="str">
        <f>IFERROR(__xludf.DUMMYFUNCTION("""COMPUTED_VALUE"""),"Yes")</f>
        <v>Yes</v>
      </c>
      <c r="P100" s="5" t="str">
        <f>IFERROR(__xludf.DUMMYFUNCTION("""COMPUTED_VALUE"""),"Yes")</f>
        <v>Yes</v>
      </c>
      <c r="Q100" s="5" t="str">
        <f>IFERROR(__xludf.DUMMYFUNCTION("""COMPUTED_VALUE"""),"Yes")</f>
        <v>Yes</v>
      </c>
      <c r="R100" s="5" t="str">
        <f>IFERROR(__xludf.DUMMYFUNCTION("""COMPUTED_VALUE"""),"No")</f>
        <v>No</v>
      </c>
      <c r="S100" s="5" t="str">
        <f>IFERROR(__xludf.DUMMYFUNCTION("""COMPUTED_VALUE"""),"Yes")</f>
        <v>Yes</v>
      </c>
      <c r="T100" s="5" t="str">
        <f>IFERROR(__xludf.DUMMYFUNCTION("""COMPUTED_VALUE"""),"No")</f>
        <v>No</v>
      </c>
      <c r="U100" s="5" t="str">
        <f>IFERROR(__xludf.DUMMYFUNCTION("""COMPUTED_VALUE"""),"No")</f>
        <v>No</v>
      </c>
      <c r="V100" s="5" t="str">
        <f>IFERROR(__xludf.DUMMYFUNCTION("""COMPUTED_VALUE"""),"No")</f>
        <v>No</v>
      </c>
      <c r="W100" s="5" t="str">
        <f>IFERROR(__xludf.DUMMYFUNCTION("""COMPUTED_VALUE"""),"No")</f>
        <v>No</v>
      </c>
      <c r="X100" s="5" t="str">
        <f>IFERROR(__xludf.DUMMYFUNCTION("""COMPUTED_VALUE"""),"No")</f>
        <v>No</v>
      </c>
      <c r="Y100" s="5"/>
      <c r="Z100" s="5"/>
      <c r="AA100" s="5"/>
      <c r="AB100" s="5"/>
      <c r="AC100" s="5" t="str">
        <f>IFERROR(__xludf.DUMMYFUNCTION("""COMPUTED_VALUE"""),"No")</f>
        <v>No</v>
      </c>
      <c r="AD100" s="5"/>
      <c r="AE100" s="5"/>
      <c r="AF100" s="5"/>
      <c r="AG100" s="5"/>
      <c r="AH100" s="5"/>
      <c r="AI100" s="5"/>
      <c r="AJ100" s="5"/>
      <c r="AK100" s="5"/>
      <c r="AL100" s="5"/>
      <c r="AM100" s="5"/>
      <c r="AN100" s="5"/>
      <c r="AO100" s="5"/>
      <c r="AP100" s="5"/>
      <c r="AQ100" s="5"/>
      <c r="AR100" s="5"/>
      <c r="AS100" s="5"/>
      <c r="AT100" s="5"/>
      <c r="AU100" s="5"/>
      <c r="AV100" s="5"/>
      <c r="AW100" s="5"/>
      <c r="AX100" s="5"/>
      <c r="AY100" s="5"/>
    </row>
    <row r="101">
      <c r="A10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1" s="5">
        <f>IFERROR(__xludf.DUMMYFUNCTION("""COMPUTED_VALUE"""),100.0)</f>
        <v>100</v>
      </c>
      <c r="C101" s="5">
        <f>IFERROR(__xludf.DUMMYFUNCTION("""COMPUTED_VALUE"""),99.0)</f>
        <v>99</v>
      </c>
      <c r="D101" s="5" t="str">
        <f>IFERROR(__xludf.DUMMYFUNCTION("""COMPUTED_VALUE"""),"FireCloverDice5")</f>
        <v>FireCloverDice5</v>
      </c>
      <c r="E101" s="5" t="str">
        <f>IFERROR(__xludf.DUMMYFUNCTION("""COMPUTED_VALUE"""),"Yes")</f>
        <v>Yes</v>
      </c>
      <c r="F101" s="5" t="str">
        <f>IFERROR(__xludf.DUMMYFUNCTION("""COMPUTED_VALUE"""),"Yes")</f>
        <v>Yes</v>
      </c>
      <c r="G101" s="5" t="str">
        <f>IFERROR(__xludf.DUMMYFUNCTION("""COMPUTED_VALUE"""),"No")</f>
        <v>No</v>
      </c>
      <c r="H101" s="5" t="str">
        <f>IFERROR(__xludf.DUMMYFUNCTION("""COMPUTED_VALUE"""),"Yes")</f>
        <v>Yes</v>
      </c>
      <c r="I101" s="5" t="str">
        <f>IFERROR(__xludf.DUMMYFUNCTION("""COMPUTED_VALUE"""),"Yes")</f>
        <v>Yes</v>
      </c>
      <c r="J101" s="5" t="str">
        <f>IFERROR(__xludf.DUMMYFUNCTION("""COMPUTED_VALUE"""),"Yes")</f>
        <v>Yes</v>
      </c>
      <c r="K101" s="5" t="str">
        <f>IFERROR(__xludf.DUMMYFUNCTION("""COMPUTED_VALUE"""),"Yes")</f>
        <v>Yes</v>
      </c>
      <c r="L101" s="5" t="str">
        <f>IFERROR(__xludf.DUMMYFUNCTION("""COMPUTED_VALUE"""),"Yes")</f>
        <v>Yes</v>
      </c>
      <c r="M101" s="5" t="str">
        <f>IFERROR(__xludf.DUMMYFUNCTION("""COMPUTED_VALUE"""),"Yes")</f>
        <v>Yes</v>
      </c>
      <c r="N101" s="5" t="str">
        <f>IFERROR(__xludf.DUMMYFUNCTION("""COMPUTED_VALUE"""),"Yes")</f>
        <v>Yes</v>
      </c>
      <c r="O101" s="5" t="str">
        <f>IFERROR(__xludf.DUMMYFUNCTION("""COMPUTED_VALUE"""),"Yes")</f>
        <v>Yes</v>
      </c>
      <c r="P101" s="5" t="str">
        <f>IFERROR(__xludf.DUMMYFUNCTION("""COMPUTED_VALUE"""),"Yes")</f>
        <v>Yes</v>
      </c>
      <c r="Q101" s="5" t="str">
        <f>IFERROR(__xludf.DUMMYFUNCTION("""COMPUTED_VALUE"""),"Yes")</f>
        <v>Yes</v>
      </c>
      <c r="R101" s="5" t="str">
        <f>IFERROR(__xludf.DUMMYFUNCTION("""COMPUTED_VALUE"""),"Yes")</f>
        <v>Yes</v>
      </c>
      <c r="S101" s="5" t="str">
        <f>IFERROR(__xludf.DUMMYFUNCTION("""COMPUTED_VALUE"""),"Yes")</f>
        <v>Yes</v>
      </c>
      <c r="T101" s="5" t="str">
        <f>IFERROR(__xludf.DUMMYFUNCTION("""COMPUTED_VALUE"""),"No")</f>
        <v>No</v>
      </c>
      <c r="U101" s="5" t="str">
        <f>IFERROR(__xludf.DUMMYFUNCTION("""COMPUTED_VALUE"""),"No")</f>
        <v>No</v>
      </c>
      <c r="V101" s="5" t="str">
        <f>IFERROR(__xludf.DUMMYFUNCTION("""COMPUTED_VALUE"""),"No")</f>
        <v>No</v>
      </c>
      <c r="W101" s="5" t="str">
        <f>IFERROR(__xludf.DUMMYFUNCTION("""COMPUTED_VALUE"""),"No")</f>
        <v>No</v>
      </c>
      <c r="X101" s="5" t="str">
        <f>IFERROR(__xludf.DUMMYFUNCTION("""COMPUTED_VALUE"""),"No")</f>
        <v>No</v>
      </c>
      <c r="Y101" s="5" t="str">
        <f>IFERROR(__xludf.DUMMYFUNCTION("""COMPUTED_VALUE"""),"No")</f>
        <v>No</v>
      </c>
      <c r="Z101" s="5" t="str">
        <f>IFERROR(__xludf.DUMMYFUNCTION("""COMPUTED_VALUE"""),"No")</f>
        <v>No</v>
      </c>
      <c r="AA101" s="5" t="str">
        <f>IFERROR(__xludf.DUMMYFUNCTION("""COMPUTED_VALUE"""),"No")</f>
        <v>No</v>
      </c>
      <c r="AB101" s="5" t="str">
        <f>IFERROR(__xludf.DUMMYFUNCTION("""COMPUTED_VALUE"""),"No")</f>
        <v>No</v>
      </c>
      <c r="AC101" s="5" t="str">
        <f>IFERROR(__xludf.DUMMYFUNCTION("""COMPUTED_VALUE"""),"No")</f>
        <v>No</v>
      </c>
      <c r="AD101" s="5" t="str">
        <f>IFERROR(__xludf.DUMMYFUNCTION("""COMPUTED_VALUE"""),"No")</f>
        <v>No</v>
      </c>
      <c r="AE101" s="5" t="str">
        <f>IFERROR(__xludf.DUMMYFUNCTION("""COMPUTED_VALUE"""),"No")</f>
        <v>No</v>
      </c>
      <c r="AF101" s="5" t="str">
        <f>IFERROR(__xludf.DUMMYFUNCTION("""COMPUTED_VALUE"""),"Yes")</f>
        <v>Yes</v>
      </c>
      <c r="AG101" s="5" t="str">
        <f>IFERROR(__xludf.DUMMYFUNCTION("""COMPUTED_VALUE"""),"No")</f>
        <v>No</v>
      </c>
      <c r="AH101" s="5" t="str">
        <f>IFERROR(__xludf.DUMMYFUNCTION("""COMPUTED_VALUE"""),"Yes")</f>
        <v>Yes</v>
      </c>
      <c r="AI101" s="5" t="str">
        <f>IFERROR(__xludf.DUMMYFUNCTION("""COMPUTED_VALUE"""),"No")</f>
        <v>No</v>
      </c>
      <c r="AJ101" s="5" t="str">
        <f>IFERROR(__xludf.DUMMYFUNCTION("""COMPUTED_VALUE"""),"No")</f>
        <v>No</v>
      </c>
      <c r="AK101" s="5" t="str">
        <f>IFERROR(__xludf.DUMMYFUNCTION("""COMPUTED_VALUE"""),"No")</f>
        <v>No</v>
      </c>
      <c r="AL101" s="5" t="str">
        <f>IFERROR(__xludf.DUMMYFUNCTION("""COMPUTED_VALUE"""),"No")</f>
        <v>No</v>
      </c>
      <c r="AM101" s="5"/>
      <c r="AN101" s="5"/>
      <c r="AO101" s="5"/>
      <c r="AP101" s="5"/>
      <c r="AQ101" s="5"/>
      <c r="AR101" s="5"/>
      <c r="AS101" s="5"/>
      <c r="AT101" s="5"/>
      <c r="AU101" s="5"/>
      <c r="AV101" s="5"/>
      <c r="AW101" s="5"/>
      <c r="AX101" s="5"/>
      <c r="AY101" s="5"/>
    </row>
    <row r="102">
      <c r="A1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2" s="5">
        <f>IFERROR(__xludf.DUMMYFUNCTION("""COMPUTED_VALUE"""),101.0)</f>
        <v>101</v>
      </c>
      <c r="C102" s="5">
        <f>IFERROR(__xludf.DUMMYFUNCTION("""COMPUTED_VALUE"""),100.0)</f>
        <v>100</v>
      </c>
      <c r="D102" s="5" t="str">
        <f>IFERROR(__xludf.DUMMYFUNCTION("""COMPUTED_VALUE"""),"WildKingdom")</f>
        <v>WildKingdom</v>
      </c>
      <c r="E102" s="5" t="str">
        <f>IFERROR(__xludf.DUMMYFUNCTION("""COMPUTED_VALUE"""),"Yes")</f>
        <v>Yes</v>
      </c>
      <c r="F102" s="5" t="str">
        <f>IFERROR(__xludf.DUMMYFUNCTION("""COMPUTED_VALUE"""),"Yes")</f>
        <v>Yes</v>
      </c>
      <c r="G102" s="5" t="str">
        <f>IFERROR(__xludf.DUMMYFUNCTION("""COMPUTED_VALUE"""),"Yes")</f>
        <v>Yes</v>
      </c>
      <c r="H102" s="5" t="str">
        <f>IFERROR(__xludf.DUMMYFUNCTION("""COMPUTED_VALUE"""),"Yes")</f>
        <v>Yes</v>
      </c>
      <c r="I102" s="5" t="str">
        <f>IFERROR(__xludf.DUMMYFUNCTION("""COMPUTED_VALUE"""),"Yes")</f>
        <v>Yes</v>
      </c>
      <c r="J102" s="5" t="str">
        <f>IFERROR(__xludf.DUMMYFUNCTION("""COMPUTED_VALUE"""),"Yes")</f>
        <v>Yes</v>
      </c>
      <c r="K102" s="5" t="str">
        <f>IFERROR(__xludf.DUMMYFUNCTION("""COMPUTED_VALUE"""),"Yes")</f>
        <v>Yes</v>
      </c>
      <c r="L102" s="5" t="str">
        <f>IFERROR(__xludf.DUMMYFUNCTION("""COMPUTED_VALUE"""),"Yes")</f>
        <v>Yes</v>
      </c>
      <c r="M102" s="5" t="str">
        <f>IFERROR(__xludf.DUMMYFUNCTION("""COMPUTED_VALUE"""),"Yes")</f>
        <v>Yes</v>
      </c>
      <c r="N102" s="5" t="str">
        <f>IFERROR(__xludf.DUMMYFUNCTION("""COMPUTED_VALUE"""),"Yes")</f>
        <v>Yes</v>
      </c>
      <c r="O102" s="5" t="str">
        <f>IFERROR(__xludf.DUMMYFUNCTION("""COMPUTED_VALUE"""),"Yes")</f>
        <v>Yes</v>
      </c>
      <c r="P102" s="5" t="str">
        <f>IFERROR(__xludf.DUMMYFUNCTION("""COMPUTED_VALUE"""),"Yes")</f>
        <v>Yes</v>
      </c>
      <c r="Q102" s="5" t="str">
        <f>IFERROR(__xludf.DUMMYFUNCTION("""COMPUTED_VALUE"""),"Yes")</f>
        <v>Yes</v>
      </c>
      <c r="R102" s="5" t="str">
        <f>IFERROR(__xludf.DUMMYFUNCTION("""COMPUTED_VALUE"""),"Yes")</f>
        <v>Yes</v>
      </c>
      <c r="S102" s="5" t="str">
        <f>IFERROR(__xludf.DUMMYFUNCTION("""COMPUTED_VALUE"""),"Yes")</f>
        <v>Yes</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IFERROR(__xludf.DUMMYFUNCTION("""COMPUTED_VALUE"""),"No")</f>
        <v>No</v>
      </c>
      <c r="AA102" s="5" t="str">
        <f>IFERROR(__xludf.DUMMYFUNCTION("""COMPUTED_VALUE"""),"Yes")</f>
        <v>Yes</v>
      </c>
      <c r="AB102" s="5" t="str">
        <f>IFERROR(__xludf.DUMMYFUNCTION("""COMPUTED_VALUE"""),"Yes")</f>
        <v>Yes</v>
      </c>
      <c r="AC102" s="5" t="str">
        <f>IFERROR(__xludf.DUMMYFUNCTION("""COMPUTED_VALUE"""),"Yes")</f>
        <v>Yes</v>
      </c>
      <c r="AD102" s="5" t="str">
        <f>IFERROR(__xludf.DUMMYFUNCTION("""COMPUTED_VALUE"""),"Yes")</f>
        <v>Yes</v>
      </c>
      <c r="AE102" s="5" t="str">
        <f>IFERROR(__xludf.DUMMYFUNCTION("""COMPUTED_VALUE"""),"No")</f>
        <v>No</v>
      </c>
      <c r="AF102" s="5" t="str">
        <f>IFERROR(__xludf.DUMMYFUNCTION("""COMPUTED_VALUE"""),"Yes")</f>
        <v>Yes</v>
      </c>
      <c r="AG102" s="5" t="str">
        <f>IFERROR(__xludf.DUMMYFUNCTION("""COMPUTED_VALUE"""),"No")</f>
        <v>No</v>
      </c>
      <c r="AH102" s="5" t="str">
        <f>IFERROR(__xludf.DUMMYFUNCTION("""COMPUTED_VALUE"""),"No")</f>
        <v>No</v>
      </c>
      <c r="AI102" s="5" t="str">
        <f>IFERROR(__xludf.DUMMYFUNCTION("""COMPUTED_VALUE"""),"No")</f>
        <v>No</v>
      </c>
      <c r="AJ102" s="5" t="str">
        <f>IFERROR(__xludf.DUMMYFUNCTION("""COMPUTED_VALUE"""),"No")</f>
        <v>No</v>
      </c>
      <c r="AK102" s="5" t="str">
        <f>IFERROR(__xludf.DUMMYFUNCTION("""COMPUTED_VALUE"""),"No")</f>
        <v>No</v>
      </c>
      <c r="AL102" s="5" t="str">
        <f>IFERROR(__xludf.DUMMYFUNCTION("""COMPUTED_VALUE"""),"No")</f>
        <v>No</v>
      </c>
      <c r="AM102" s="5"/>
      <c r="AN102" s="5"/>
      <c r="AO102" s="5"/>
      <c r="AP102" s="5"/>
      <c r="AQ102" s="5"/>
      <c r="AR102" s="5"/>
      <c r="AS102" s="5"/>
      <c r="AT102" s="5"/>
      <c r="AU102" s="5"/>
      <c r="AV102" s="5"/>
      <c r="AW102" s="5"/>
      <c r="AX102" s="5"/>
      <c r="AY102" s="5"/>
    </row>
    <row r="103">
      <c r="A1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3" s="5">
        <f>IFERROR(__xludf.DUMMYFUNCTION("""COMPUTED_VALUE"""),102.0)</f>
        <v>102</v>
      </c>
      <c r="C103" s="5">
        <f>IFERROR(__xludf.DUMMYFUNCTION("""COMPUTED_VALUE"""),101.0)</f>
        <v>101</v>
      </c>
      <c r="D103" s="5" t="str">
        <f>IFERROR(__xludf.DUMMYFUNCTION("""COMPUTED_VALUE"""),"BookOfLuxorDouble")</f>
        <v>BookOfLuxorDouble</v>
      </c>
      <c r="E103" s="5" t="str">
        <f>IFERROR(__xludf.DUMMYFUNCTION("""COMPUTED_VALUE"""),"Yes")</f>
        <v>Yes</v>
      </c>
      <c r="F103" s="5" t="str">
        <f>IFERROR(__xludf.DUMMYFUNCTION("""COMPUTED_VALUE"""),"Yes")</f>
        <v>Yes</v>
      </c>
      <c r="G103" s="5" t="str">
        <f>IFERROR(__xludf.DUMMYFUNCTION("""COMPUTED_VALUE"""),"Yes")</f>
        <v>Yes</v>
      </c>
      <c r="H103" s="5" t="str">
        <f>IFERROR(__xludf.DUMMYFUNCTION("""COMPUTED_VALUE"""),"Yes")</f>
        <v>Yes</v>
      </c>
      <c r="I103" s="5" t="str">
        <f>IFERROR(__xludf.DUMMYFUNCTION("""COMPUTED_VALUE"""),"Yes")</f>
        <v>Yes</v>
      </c>
      <c r="J103" s="5" t="str">
        <f>IFERROR(__xludf.DUMMYFUNCTION("""COMPUTED_VALUE"""),"Yes")</f>
        <v>Yes</v>
      </c>
      <c r="K103" s="5" t="str">
        <f>IFERROR(__xludf.DUMMYFUNCTION("""COMPUTED_VALUE"""),"Yes")</f>
        <v>Yes</v>
      </c>
      <c r="L103" s="5" t="str">
        <f>IFERROR(__xludf.DUMMYFUNCTION("""COMPUTED_VALUE"""),"Yes")</f>
        <v>Yes</v>
      </c>
      <c r="M103" s="5" t="str">
        <f>IFERROR(__xludf.DUMMYFUNCTION("""COMPUTED_VALUE"""),"Yes")</f>
        <v>Yes</v>
      </c>
      <c r="N103" s="5" t="str">
        <f>IFERROR(__xludf.DUMMYFUNCTION("""COMPUTED_VALUE"""),"Yes")</f>
        <v>Yes</v>
      </c>
      <c r="O103" s="5" t="str">
        <f>IFERROR(__xludf.DUMMYFUNCTION("""COMPUTED_VALUE"""),"Yes")</f>
        <v>Yes</v>
      </c>
      <c r="P103" s="5" t="str">
        <f>IFERROR(__xludf.DUMMYFUNCTION("""COMPUTED_VALUE"""),"Yes")</f>
        <v>Yes</v>
      </c>
      <c r="Q103" s="5" t="str">
        <f>IFERROR(__xludf.DUMMYFUNCTION("""COMPUTED_VALUE"""),"Yes")</f>
        <v>Yes</v>
      </c>
      <c r="R103" s="5" t="str">
        <f>IFERROR(__xludf.DUMMYFUNCTION("""COMPUTED_VALUE"""),"Yes")</f>
        <v>Yes</v>
      </c>
      <c r="S103" s="5" t="str">
        <f>IFERROR(__xludf.DUMMYFUNCTION("""COMPUTED_VALUE"""),"Yes")</f>
        <v>Yes</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IFERROR(__xludf.DUMMYFUNCTION("""COMPUTED_VALUE"""),"No")</f>
        <v>No</v>
      </c>
      <c r="AA103" s="5" t="str">
        <f>IFERROR(__xludf.DUMMYFUNCTION("""COMPUTED_VALUE"""),"Yes")</f>
        <v>Yes</v>
      </c>
      <c r="AB103" s="5" t="str">
        <f>IFERROR(__xludf.DUMMYFUNCTION("""COMPUTED_VALUE"""),"Yes")</f>
        <v>Yes</v>
      </c>
      <c r="AC103" s="5" t="str">
        <f>IFERROR(__xludf.DUMMYFUNCTION("""COMPUTED_VALUE"""),"Yes")</f>
        <v>Yes</v>
      </c>
      <c r="AD103" s="5" t="str">
        <f>IFERROR(__xludf.DUMMYFUNCTION("""COMPUTED_VALUE"""),"Yes")</f>
        <v>Yes</v>
      </c>
      <c r="AE103" s="5" t="str">
        <f>IFERROR(__xludf.DUMMYFUNCTION("""COMPUTED_VALUE"""),"No")</f>
        <v>No</v>
      </c>
      <c r="AF103" s="5" t="str">
        <f>IFERROR(__xludf.DUMMYFUNCTION("""COMPUTED_VALUE"""),"Yes")</f>
        <v>Yes</v>
      </c>
      <c r="AG103" s="5" t="str">
        <f>IFERROR(__xludf.DUMMYFUNCTION("""COMPUTED_VALUE"""),"No")</f>
        <v>No</v>
      </c>
      <c r="AH103" s="5" t="str">
        <f>IFERROR(__xludf.DUMMYFUNCTION("""COMPUTED_VALUE"""),"No")</f>
        <v>No</v>
      </c>
      <c r="AI103" s="5" t="str">
        <f>IFERROR(__xludf.DUMMYFUNCTION("""COMPUTED_VALUE"""),"No")</f>
        <v>No</v>
      </c>
      <c r="AJ103" s="5" t="str">
        <f>IFERROR(__xludf.DUMMYFUNCTION("""COMPUTED_VALUE"""),"No")</f>
        <v>No</v>
      </c>
      <c r="AK103" s="5" t="str">
        <f>IFERROR(__xludf.DUMMYFUNCTION("""COMPUTED_VALUE"""),"No")</f>
        <v>No</v>
      </c>
      <c r="AL103" s="5" t="str">
        <f>IFERROR(__xludf.DUMMYFUNCTION("""COMPUTED_VALUE"""),"No")</f>
        <v>No</v>
      </c>
      <c r="AM103" s="5"/>
      <c r="AN103" s="5"/>
      <c r="AO103" s="5"/>
      <c r="AP103" s="5"/>
      <c r="AQ103" s="5"/>
      <c r="AR103" s="5"/>
      <c r="AS103" s="5"/>
      <c r="AT103" s="5"/>
      <c r="AU103" s="5"/>
      <c r="AV103" s="5"/>
      <c r="AW103" s="5"/>
      <c r="AX103" s="5"/>
      <c r="AY103" s="5"/>
    </row>
    <row r="104">
      <c r="A1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4" s="5">
        <f>IFERROR(__xludf.DUMMYFUNCTION("""COMPUTED_VALUE"""),103.0)</f>
        <v>103</v>
      </c>
      <c r="C104" s="5">
        <f>IFERROR(__xludf.DUMMYFUNCTION("""COMPUTED_VALUE"""),102.0)</f>
        <v>102</v>
      </c>
      <c r="D104" s="5" t="str">
        <f>IFERROR(__xludf.DUMMYFUNCTION("""COMPUTED_VALUE"""),"MegaCubesDeluxe")</f>
        <v>MegaCubesDeluxe</v>
      </c>
      <c r="E104" s="5" t="str">
        <f>IFERROR(__xludf.DUMMYFUNCTION("""COMPUTED_VALUE"""),"Yes")</f>
        <v>Yes</v>
      </c>
      <c r="F104" s="5" t="str">
        <f>IFERROR(__xludf.DUMMYFUNCTION("""COMPUTED_VALUE"""),"Yes")</f>
        <v>Yes</v>
      </c>
      <c r="G104" s="5" t="str">
        <f>IFERROR(__xludf.DUMMYFUNCTION("""COMPUTED_VALUE"""),"Yes")</f>
        <v>Yes</v>
      </c>
      <c r="H104" s="5" t="str">
        <f>IFERROR(__xludf.DUMMYFUNCTION("""COMPUTED_VALUE"""),"Yes")</f>
        <v>Yes</v>
      </c>
      <c r="I104" s="5" t="str">
        <f>IFERROR(__xludf.DUMMYFUNCTION("""COMPUTED_VALUE"""),"Yes")</f>
        <v>Yes</v>
      </c>
      <c r="J104" s="5" t="str">
        <f>IFERROR(__xludf.DUMMYFUNCTION("""COMPUTED_VALUE"""),"Yes")</f>
        <v>Yes</v>
      </c>
      <c r="K104" s="5" t="str">
        <f>IFERROR(__xludf.DUMMYFUNCTION("""COMPUTED_VALUE"""),"Yes")</f>
        <v>Yes</v>
      </c>
      <c r="L104" s="5" t="str">
        <f>IFERROR(__xludf.DUMMYFUNCTION("""COMPUTED_VALUE"""),"Yes")</f>
        <v>Yes</v>
      </c>
      <c r="M104" s="5" t="str">
        <f>IFERROR(__xludf.DUMMYFUNCTION("""COMPUTED_VALUE"""),"Yes")</f>
        <v>Yes</v>
      </c>
      <c r="N104" s="5" t="str">
        <f>IFERROR(__xludf.DUMMYFUNCTION("""COMPUTED_VALUE"""),"Yes")</f>
        <v>Yes</v>
      </c>
      <c r="O104" s="5" t="str">
        <f>IFERROR(__xludf.DUMMYFUNCTION("""COMPUTED_VALUE"""),"Yes")</f>
        <v>Yes</v>
      </c>
      <c r="P104" s="5" t="str">
        <f>IFERROR(__xludf.DUMMYFUNCTION("""COMPUTED_VALUE"""),"Yes")</f>
        <v>Yes</v>
      </c>
      <c r="Q104" s="5" t="str">
        <f>IFERROR(__xludf.DUMMYFUNCTION("""COMPUTED_VALUE"""),"Yes")</f>
        <v>Yes</v>
      </c>
      <c r="R104" s="5" t="str">
        <f>IFERROR(__xludf.DUMMYFUNCTION("""COMPUTED_VALUE"""),"Yes")</f>
        <v>Yes</v>
      </c>
      <c r="S104" s="5" t="str">
        <f>IFERROR(__xludf.DUMMYFUNCTION("""COMPUTED_VALUE"""),"Yes")</f>
        <v>Yes</v>
      </c>
      <c r="T104" s="5" t="str">
        <f>IFERROR(__xludf.DUMMYFUNCTION("""COMPUTED_VALUE"""),"Yes")</f>
        <v>Yes</v>
      </c>
      <c r="U104" s="5" t="str">
        <f>IFERROR(__xludf.DUMMYFUNCTION("""COMPUTED_VALUE"""),"Yes")</f>
        <v>Yes</v>
      </c>
      <c r="V104" s="5" t="str">
        <f>IFERROR(__xludf.DUMMYFUNCTION("""COMPUTED_VALUE"""),"Yes")</f>
        <v>Yes</v>
      </c>
      <c r="W104" s="5" t="str">
        <f>IFERROR(__xludf.DUMMYFUNCTION("""COMPUTED_VALUE"""),"Yes")</f>
        <v>Yes</v>
      </c>
      <c r="X104" s="5" t="str">
        <f>IFERROR(__xludf.DUMMYFUNCTION("""COMPUTED_VALUE"""),"Yes")</f>
        <v>Yes</v>
      </c>
      <c r="Y104" s="5" t="str">
        <f>IFERROR(__xludf.DUMMYFUNCTION("""COMPUTED_VALUE"""),"Yes")</f>
        <v>Yes</v>
      </c>
      <c r="Z104" s="5" t="str">
        <f>IFERROR(__xludf.DUMMYFUNCTION("""COMPUTED_VALUE"""),"No")</f>
        <v>No</v>
      </c>
      <c r="AA104" s="5" t="str">
        <f>IFERROR(__xludf.DUMMYFUNCTION("""COMPUTED_VALUE"""),"Yes")</f>
        <v>Yes</v>
      </c>
      <c r="AB104" s="5" t="str">
        <f>IFERROR(__xludf.DUMMYFUNCTION("""COMPUTED_VALUE"""),"Yes")</f>
        <v>Yes</v>
      </c>
      <c r="AC104" s="5" t="str">
        <f>IFERROR(__xludf.DUMMYFUNCTION("""COMPUTED_VALUE"""),"Yes")</f>
        <v>Yes</v>
      </c>
      <c r="AD104" s="5" t="str">
        <f>IFERROR(__xludf.DUMMYFUNCTION("""COMPUTED_VALUE"""),"Yes")</f>
        <v>Yes</v>
      </c>
      <c r="AE104" s="5" t="str">
        <f>IFERROR(__xludf.DUMMYFUNCTION("""COMPUTED_VALUE"""),"No")</f>
        <v>No</v>
      </c>
      <c r="AF104" s="5" t="str">
        <f>IFERROR(__xludf.DUMMYFUNCTION("""COMPUTED_VALUE"""),"Yes")</f>
        <v>Yes</v>
      </c>
      <c r="AG104" s="5" t="str">
        <f>IFERROR(__xludf.DUMMYFUNCTION("""COMPUTED_VALUE"""),"No")</f>
        <v>No</v>
      </c>
      <c r="AH104" s="5" t="str">
        <f>IFERROR(__xludf.DUMMYFUNCTION("""COMPUTED_VALUE"""),"No")</f>
        <v>No</v>
      </c>
      <c r="AI104" s="5" t="str">
        <f>IFERROR(__xludf.DUMMYFUNCTION("""COMPUTED_VALUE"""),"No")</f>
        <v>No</v>
      </c>
      <c r="AJ104" s="5" t="str">
        <f>IFERROR(__xludf.DUMMYFUNCTION("""COMPUTED_VALUE"""),"No")</f>
        <v>No</v>
      </c>
      <c r="AK104" s="5" t="str">
        <f>IFERROR(__xludf.DUMMYFUNCTION("""COMPUTED_VALUE"""),"No")</f>
        <v>No</v>
      </c>
      <c r="AL104" s="5" t="str">
        <f>IFERROR(__xludf.DUMMYFUNCTION("""COMPUTED_VALUE"""),"No")</f>
        <v>No</v>
      </c>
      <c r="AM104" s="5"/>
      <c r="AN104" s="5"/>
      <c r="AO104" s="5"/>
      <c r="AP104" s="5"/>
      <c r="AQ104" s="5"/>
      <c r="AR104" s="5"/>
      <c r="AS104" s="5"/>
      <c r="AT104" s="5"/>
      <c r="AU104" s="5"/>
      <c r="AV104" s="5"/>
      <c r="AW104" s="5"/>
      <c r="AX104" s="5"/>
      <c r="AY104" s="5"/>
    </row>
    <row r="105">
      <c r="A1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5" s="5">
        <f>IFERROR(__xludf.DUMMYFUNCTION("""COMPUTED_VALUE"""),104.0)</f>
        <v>104</v>
      </c>
      <c r="C105" s="5">
        <f>IFERROR(__xludf.DUMMYFUNCTION("""COMPUTED_VALUE"""),103.0)</f>
        <v>103</v>
      </c>
      <c r="D105" s="5" t="str">
        <f>IFERROR(__xludf.DUMMYFUNCTION("""COMPUTED_VALUE"""),"LollasWorld")</f>
        <v>LollasWorld</v>
      </c>
      <c r="E105" s="5" t="str">
        <f>IFERROR(__xludf.DUMMYFUNCTION("""COMPUTED_VALUE"""),"Yes")</f>
        <v>Yes</v>
      </c>
      <c r="F105" s="5" t="str">
        <f>IFERROR(__xludf.DUMMYFUNCTION("""COMPUTED_VALUE"""),"Yes")</f>
        <v>Yes</v>
      </c>
      <c r="G105" s="5" t="str">
        <f>IFERROR(__xludf.DUMMYFUNCTION("""COMPUTED_VALUE"""),"Yes")</f>
        <v>Yes</v>
      </c>
      <c r="H105" s="5" t="str">
        <f>IFERROR(__xludf.DUMMYFUNCTION("""COMPUTED_VALUE"""),"Yes")</f>
        <v>Yes</v>
      </c>
      <c r="I105" s="5" t="str">
        <f>IFERROR(__xludf.DUMMYFUNCTION("""COMPUTED_VALUE"""),"Yes")</f>
        <v>Yes</v>
      </c>
      <c r="J105" s="5" t="str">
        <f>IFERROR(__xludf.DUMMYFUNCTION("""COMPUTED_VALUE"""),"Yes")</f>
        <v>Yes</v>
      </c>
      <c r="K105" s="5" t="str">
        <f>IFERROR(__xludf.DUMMYFUNCTION("""COMPUTED_VALUE"""),"Yes")</f>
        <v>Yes</v>
      </c>
      <c r="L105" s="5" t="str">
        <f>IFERROR(__xludf.DUMMYFUNCTION("""COMPUTED_VALUE"""),"Yes")</f>
        <v>Yes</v>
      </c>
      <c r="M105" s="5" t="str">
        <f>IFERROR(__xludf.DUMMYFUNCTION("""COMPUTED_VALUE"""),"Yes")</f>
        <v>Yes</v>
      </c>
      <c r="N105" s="5" t="str">
        <f>IFERROR(__xludf.DUMMYFUNCTION("""COMPUTED_VALUE"""),"Yes")</f>
        <v>Yes</v>
      </c>
      <c r="O105" s="5" t="str">
        <f>IFERROR(__xludf.DUMMYFUNCTION("""COMPUTED_VALUE"""),"Yes")</f>
        <v>Yes</v>
      </c>
      <c r="P105" s="5" t="str">
        <f>IFERROR(__xludf.DUMMYFUNCTION("""COMPUTED_VALUE"""),"Yes")</f>
        <v>Yes</v>
      </c>
      <c r="Q105" s="5" t="str">
        <f>IFERROR(__xludf.DUMMYFUNCTION("""COMPUTED_VALUE"""),"Yes")</f>
        <v>Yes</v>
      </c>
      <c r="R105" s="5" t="str">
        <f>IFERROR(__xludf.DUMMYFUNCTION("""COMPUTED_VALUE"""),"Yes")</f>
        <v>Yes</v>
      </c>
      <c r="S105" s="5" t="str">
        <f>IFERROR(__xludf.DUMMYFUNCTION("""COMPUTED_VALUE"""),"Yes")</f>
        <v>Yes</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IFERROR(__xludf.DUMMYFUNCTION("""COMPUTED_VALUE"""),"No")</f>
        <v>No</v>
      </c>
      <c r="AA105" s="5" t="str">
        <f>IFERROR(__xludf.DUMMYFUNCTION("""COMPUTED_VALUE"""),"Yes")</f>
        <v>Yes</v>
      </c>
      <c r="AB105" s="5" t="str">
        <f>IFERROR(__xludf.DUMMYFUNCTION("""COMPUTED_VALUE"""),"Yes")</f>
        <v>Yes</v>
      </c>
      <c r="AC105" s="5" t="str">
        <f>IFERROR(__xludf.DUMMYFUNCTION("""COMPUTED_VALUE"""),"Yes")</f>
        <v>Yes</v>
      </c>
      <c r="AD105" s="5" t="str">
        <f>IFERROR(__xludf.DUMMYFUNCTION("""COMPUTED_VALUE"""),"Yes")</f>
        <v>Yes</v>
      </c>
      <c r="AE105" s="5" t="str">
        <f>IFERROR(__xludf.DUMMYFUNCTION("""COMPUTED_VALUE"""),"No")</f>
        <v>No</v>
      </c>
      <c r="AF105" s="5" t="str">
        <f>IFERROR(__xludf.DUMMYFUNCTION("""COMPUTED_VALUE"""),"Yes")</f>
        <v>Yes</v>
      </c>
      <c r="AG105" s="5" t="str">
        <f>IFERROR(__xludf.DUMMYFUNCTION("""COMPUTED_VALUE"""),"No")</f>
        <v>No</v>
      </c>
      <c r="AH105" s="5" t="str">
        <f>IFERROR(__xludf.DUMMYFUNCTION("""COMPUTED_VALUE"""),"No")</f>
        <v>No</v>
      </c>
      <c r="AI105" s="5" t="str">
        <f>IFERROR(__xludf.DUMMYFUNCTION("""COMPUTED_VALUE"""),"No")</f>
        <v>No</v>
      </c>
      <c r="AJ105" s="5" t="str">
        <f>IFERROR(__xludf.DUMMYFUNCTION("""COMPUTED_VALUE"""),"No")</f>
        <v>No</v>
      </c>
      <c r="AK105" s="5" t="str">
        <f>IFERROR(__xludf.DUMMYFUNCTION("""COMPUTED_VALUE"""),"No")</f>
        <v>No</v>
      </c>
      <c r="AL105" s="5" t="str">
        <f>IFERROR(__xludf.DUMMYFUNCTION("""COMPUTED_VALUE"""),"No")</f>
        <v>No</v>
      </c>
      <c r="AM105" s="5"/>
      <c r="AN105" s="5"/>
      <c r="AO105" s="5"/>
      <c r="AP105" s="5"/>
      <c r="AQ105" s="5"/>
      <c r="AR105" s="5"/>
      <c r="AS105" s="5"/>
      <c r="AT105" s="5"/>
      <c r="AU105" s="5"/>
      <c r="AV105" s="5"/>
      <c r="AW105" s="5"/>
      <c r="AX105" s="5"/>
      <c r="AY105" s="5"/>
    </row>
    <row r="106">
      <c r="A106"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6" s="5">
        <f>IFERROR(__xludf.DUMMYFUNCTION("""COMPUTED_VALUE"""),105.0)</f>
        <v>105</v>
      </c>
      <c r="C106" s="5">
        <f>IFERROR(__xludf.DUMMYFUNCTION("""COMPUTED_VALUE"""),104.0)</f>
        <v>104</v>
      </c>
      <c r="D106" s="5" t="str">
        <f>IFERROR(__xludf.DUMMYFUNCTION("""COMPUTED_VALUE"""),"FireClover40")</f>
        <v>FireClover40</v>
      </c>
      <c r="E106" s="5" t="str">
        <f>IFERROR(__xludf.DUMMYFUNCTION("""COMPUTED_VALUE"""),"Yes")</f>
        <v>Yes</v>
      </c>
      <c r="F106" s="5" t="str">
        <f>IFERROR(__xludf.DUMMYFUNCTION("""COMPUTED_VALUE"""),"Yes")</f>
        <v>Yes</v>
      </c>
      <c r="G106" s="5" t="str">
        <f>IFERROR(__xludf.DUMMYFUNCTION("""COMPUTED_VALUE"""),"No")</f>
        <v>No</v>
      </c>
      <c r="H106" s="5" t="str">
        <f>IFERROR(__xludf.DUMMYFUNCTION("""COMPUTED_VALUE"""),"Yes")</f>
        <v>Yes</v>
      </c>
      <c r="I106" s="5" t="str">
        <f>IFERROR(__xludf.DUMMYFUNCTION("""COMPUTED_VALUE"""),"Yes")</f>
        <v>Yes</v>
      </c>
      <c r="J106" s="5" t="str">
        <f>IFERROR(__xludf.DUMMYFUNCTION("""COMPUTED_VALUE"""),"Yes")</f>
        <v>Yes</v>
      </c>
      <c r="K106" s="5" t="str">
        <f>IFERROR(__xludf.DUMMYFUNCTION("""COMPUTED_VALUE"""),"Yes")</f>
        <v>Yes</v>
      </c>
      <c r="L106" s="5" t="str">
        <f>IFERROR(__xludf.DUMMYFUNCTION("""COMPUTED_VALUE"""),"Yes")</f>
        <v>Yes</v>
      </c>
      <c r="M106" s="5" t="str">
        <f>IFERROR(__xludf.DUMMYFUNCTION("""COMPUTED_VALUE"""),"Yes")</f>
        <v>Yes</v>
      </c>
      <c r="N106" s="5" t="str">
        <f>IFERROR(__xludf.DUMMYFUNCTION("""COMPUTED_VALUE"""),"Yes")</f>
        <v>Yes</v>
      </c>
      <c r="O106" s="5" t="str">
        <f>IFERROR(__xludf.DUMMYFUNCTION("""COMPUTED_VALUE"""),"Yes")</f>
        <v>Yes</v>
      </c>
      <c r="P106" s="5" t="str">
        <f>IFERROR(__xludf.DUMMYFUNCTION("""COMPUTED_VALUE"""),"Yes")</f>
        <v>Yes</v>
      </c>
      <c r="Q106" s="5" t="str">
        <f>IFERROR(__xludf.DUMMYFUNCTION("""COMPUTED_VALUE"""),"Yes")</f>
        <v>Yes</v>
      </c>
      <c r="R106" s="5" t="str">
        <f>IFERROR(__xludf.DUMMYFUNCTION("""COMPUTED_VALUE"""),"Yes")</f>
        <v>Yes</v>
      </c>
      <c r="S106" s="5" t="str">
        <f>IFERROR(__xludf.DUMMYFUNCTION("""COMPUTED_VALUE"""),"Yes")</f>
        <v>Yes</v>
      </c>
      <c r="T106" s="5" t="str">
        <f>IFERROR(__xludf.DUMMYFUNCTION("""COMPUTED_VALUE"""),"No")</f>
        <v>No</v>
      </c>
      <c r="U106" s="5" t="str">
        <f>IFERROR(__xludf.DUMMYFUNCTION("""COMPUTED_VALUE"""),"No")</f>
        <v>No</v>
      </c>
      <c r="V106" s="5" t="str">
        <f>IFERROR(__xludf.DUMMYFUNCTION("""COMPUTED_VALUE"""),"No")</f>
        <v>No</v>
      </c>
      <c r="W106" s="5" t="str">
        <f>IFERROR(__xludf.DUMMYFUNCTION("""COMPUTED_VALUE"""),"No")</f>
        <v>No</v>
      </c>
      <c r="X106" s="5" t="str">
        <f>IFERROR(__xludf.DUMMYFUNCTION("""COMPUTED_VALUE"""),"No")</f>
        <v>No</v>
      </c>
      <c r="Y106" s="5" t="str">
        <f>IFERROR(__xludf.DUMMYFUNCTION("""COMPUTED_VALUE"""),"No")</f>
        <v>No</v>
      </c>
      <c r="Z106" s="5" t="str">
        <f>IFERROR(__xludf.DUMMYFUNCTION("""COMPUTED_VALUE"""),"No")</f>
        <v>No</v>
      </c>
      <c r="AA106" s="5" t="str">
        <f>IFERROR(__xludf.DUMMYFUNCTION("""COMPUTED_VALUE"""),"No")</f>
        <v>No</v>
      </c>
      <c r="AB106" s="5" t="str">
        <f>IFERROR(__xludf.DUMMYFUNCTION("""COMPUTED_VALUE"""),"No")</f>
        <v>No</v>
      </c>
      <c r="AC106" s="5" t="str">
        <f>IFERROR(__xludf.DUMMYFUNCTION("""COMPUTED_VALUE"""),"No")</f>
        <v>No</v>
      </c>
      <c r="AD106" s="5" t="str">
        <f>IFERROR(__xludf.DUMMYFUNCTION("""COMPUTED_VALUE"""),"No")</f>
        <v>No</v>
      </c>
      <c r="AE106" s="5" t="str">
        <f>IFERROR(__xludf.DUMMYFUNCTION("""COMPUTED_VALUE"""),"No")</f>
        <v>No</v>
      </c>
      <c r="AF106" s="5" t="str">
        <f>IFERROR(__xludf.DUMMYFUNCTION("""COMPUTED_VALUE"""),"Yes")</f>
        <v>Yes</v>
      </c>
      <c r="AG106" s="5" t="str">
        <f>IFERROR(__xludf.DUMMYFUNCTION("""COMPUTED_VALUE"""),"No")</f>
        <v>No</v>
      </c>
      <c r="AH106" s="5" t="str">
        <f>IFERROR(__xludf.DUMMYFUNCTION("""COMPUTED_VALUE"""),"Yes")</f>
        <v>Yes</v>
      </c>
      <c r="AI106" s="5" t="str">
        <f>IFERROR(__xludf.DUMMYFUNCTION("""COMPUTED_VALUE"""),"No")</f>
        <v>No</v>
      </c>
      <c r="AJ106" s="5" t="str">
        <f>IFERROR(__xludf.DUMMYFUNCTION("""COMPUTED_VALUE"""),"No")</f>
        <v>No</v>
      </c>
      <c r="AK106" s="5" t="str">
        <f>IFERROR(__xludf.DUMMYFUNCTION("""COMPUTED_VALUE"""),"No")</f>
        <v>No</v>
      </c>
      <c r="AL106" s="5" t="str">
        <f>IFERROR(__xludf.DUMMYFUNCTION("""COMPUTED_VALUE"""),"No")</f>
        <v>No</v>
      </c>
      <c r="AM106" s="5"/>
      <c r="AN106" s="5"/>
      <c r="AO106" s="5"/>
      <c r="AP106" s="5"/>
      <c r="AQ106" s="5"/>
      <c r="AR106" s="5"/>
      <c r="AS106" s="5"/>
      <c r="AT106" s="5"/>
      <c r="AU106" s="5"/>
      <c r="AV106" s="5"/>
      <c r="AW106" s="5"/>
      <c r="AX106" s="5"/>
      <c r="AY106" s="5"/>
    </row>
    <row r="107">
      <c r="A1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7" s="5">
        <f>IFERROR(__xludf.DUMMYFUNCTION("""COMPUTED_VALUE"""),106.0)</f>
        <v>106</v>
      </c>
      <c r="C107" s="5">
        <f>IFERROR(__xludf.DUMMYFUNCTION("""COMPUTED_VALUE"""),105.0)</f>
        <v>105</v>
      </c>
      <c r="D107" s="5" t="str">
        <f>IFERROR(__xludf.DUMMYFUNCTION("""COMPUTED_VALUE"""),"VeryHot5")</f>
        <v>VeryHot5</v>
      </c>
      <c r="E107" s="5" t="str">
        <f>IFERROR(__xludf.DUMMYFUNCTION("""COMPUTED_VALUE"""),"Yes")</f>
        <v>Yes</v>
      </c>
      <c r="F107" s="5" t="str">
        <f>IFERROR(__xludf.DUMMYFUNCTION("""COMPUTED_VALUE"""),"Yes")</f>
        <v>Yes</v>
      </c>
      <c r="G107" s="5" t="str">
        <f>IFERROR(__xludf.DUMMYFUNCTION("""COMPUTED_VALUE"""),"Yes")</f>
        <v>Yes</v>
      </c>
      <c r="H107" s="5" t="str">
        <f>IFERROR(__xludf.DUMMYFUNCTION("""COMPUTED_VALUE"""),"Yes")</f>
        <v>Yes</v>
      </c>
      <c r="I107" s="5" t="str">
        <f>IFERROR(__xludf.DUMMYFUNCTION("""COMPUTED_VALUE"""),"Yes")</f>
        <v>Yes</v>
      </c>
      <c r="J107" s="5" t="str">
        <f>IFERROR(__xludf.DUMMYFUNCTION("""COMPUTED_VALUE"""),"Yes")</f>
        <v>Yes</v>
      </c>
      <c r="K107" s="5" t="str">
        <f>IFERROR(__xludf.DUMMYFUNCTION("""COMPUTED_VALUE"""),"Yes")</f>
        <v>Yes</v>
      </c>
      <c r="L107" s="5" t="str">
        <f>IFERROR(__xludf.DUMMYFUNCTION("""COMPUTED_VALUE"""),"Yes")</f>
        <v>Yes</v>
      </c>
      <c r="M107" s="5" t="str">
        <f>IFERROR(__xludf.DUMMYFUNCTION("""COMPUTED_VALUE"""),"Yes")</f>
        <v>Yes</v>
      </c>
      <c r="N107" s="5" t="str">
        <f>IFERROR(__xludf.DUMMYFUNCTION("""COMPUTED_VALUE"""),"Yes")</f>
        <v>Yes</v>
      </c>
      <c r="O107" s="5" t="str">
        <f>IFERROR(__xludf.DUMMYFUNCTION("""COMPUTED_VALUE"""),"Yes")</f>
        <v>Yes</v>
      </c>
      <c r="P107" s="5" t="str">
        <f>IFERROR(__xludf.DUMMYFUNCTION("""COMPUTED_VALUE"""),"Yes")</f>
        <v>Yes</v>
      </c>
      <c r="Q107" s="5" t="str">
        <f>IFERROR(__xludf.DUMMYFUNCTION("""COMPUTED_VALUE"""),"Yes")</f>
        <v>Yes</v>
      </c>
      <c r="R107" s="5" t="str">
        <f>IFERROR(__xludf.DUMMYFUNCTION("""COMPUTED_VALUE"""),"Yes")</f>
        <v>Yes</v>
      </c>
      <c r="S107" s="5" t="str">
        <f>IFERROR(__xludf.DUMMYFUNCTION("""COMPUTED_VALUE"""),"Yes")</f>
        <v>Yes</v>
      </c>
      <c r="T107" s="5" t="str">
        <f>IFERROR(__xludf.DUMMYFUNCTION("""COMPUTED_VALUE"""),"Yes")</f>
        <v>Yes</v>
      </c>
      <c r="U107" s="5" t="str">
        <f>IFERROR(__xludf.DUMMYFUNCTION("""COMPUTED_VALUE"""),"Yes")</f>
        <v>Yes</v>
      </c>
      <c r="V107" s="5" t="str">
        <f>IFERROR(__xludf.DUMMYFUNCTION("""COMPUTED_VALUE"""),"Yes")</f>
        <v>Yes</v>
      </c>
      <c r="W107" s="5" t="str">
        <f>IFERROR(__xludf.DUMMYFUNCTION("""COMPUTED_VALUE"""),"Yes")</f>
        <v>Yes</v>
      </c>
      <c r="X107" s="5" t="str">
        <f>IFERROR(__xludf.DUMMYFUNCTION("""COMPUTED_VALUE"""),"Yes")</f>
        <v>Yes</v>
      </c>
      <c r="Y107" s="5" t="str">
        <f>IFERROR(__xludf.DUMMYFUNCTION("""COMPUTED_VALUE"""),"Yes")</f>
        <v>Yes</v>
      </c>
      <c r="Z107" s="5" t="str">
        <f>IFERROR(__xludf.DUMMYFUNCTION("""COMPUTED_VALUE"""),"No")</f>
        <v>No</v>
      </c>
      <c r="AA107" s="5" t="str">
        <f>IFERROR(__xludf.DUMMYFUNCTION("""COMPUTED_VALUE"""),"Yes")</f>
        <v>Yes</v>
      </c>
      <c r="AB107" s="5" t="str">
        <f>IFERROR(__xludf.DUMMYFUNCTION("""COMPUTED_VALUE"""),"Yes")</f>
        <v>Yes</v>
      </c>
      <c r="AC107" s="5" t="str">
        <f>IFERROR(__xludf.DUMMYFUNCTION("""COMPUTED_VALUE"""),"Yes")</f>
        <v>Yes</v>
      </c>
      <c r="AD107" s="5" t="str">
        <f>IFERROR(__xludf.DUMMYFUNCTION("""COMPUTED_VALUE"""),"Yes")</f>
        <v>Yes</v>
      </c>
      <c r="AE107" s="5" t="str">
        <f>IFERROR(__xludf.DUMMYFUNCTION("""COMPUTED_VALUE"""),"No")</f>
        <v>No</v>
      </c>
      <c r="AF107" s="5" t="str">
        <f>IFERROR(__xludf.DUMMYFUNCTION("""COMPUTED_VALUE"""),"Yes")</f>
        <v>Yes</v>
      </c>
      <c r="AG107" s="5" t="str">
        <f>IFERROR(__xludf.DUMMYFUNCTION("""COMPUTED_VALUE"""),"No")</f>
        <v>No</v>
      </c>
      <c r="AH107" s="5" t="str">
        <f>IFERROR(__xludf.DUMMYFUNCTION("""COMPUTED_VALUE"""),"No")</f>
        <v>No</v>
      </c>
      <c r="AI107" s="5" t="str">
        <f>IFERROR(__xludf.DUMMYFUNCTION("""COMPUTED_VALUE"""),"No")</f>
        <v>No</v>
      </c>
      <c r="AJ107" s="5" t="str">
        <f>IFERROR(__xludf.DUMMYFUNCTION("""COMPUTED_VALUE"""),"No")</f>
        <v>No</v>
      </c>
      <c r="AK107" s="5" t="str">
        <f>IFERROR(__xludf.DUMMYFUNCTION("""COMPUTED_VALUE"""),"No")</f>
        <v>No</v>
      </c>
      <c r="AL107" s="5" t="str">
        <f>IFERROR(__xludf.DUMMYFUNCTION("""COMPUTED_VALUE"""),"No")</f>
        <v>No</v>
      </c>
      <c r="AM107" s="5"/>
      <c r="AN107" s="5"/>
      <c r="AO107" s="5"/>
      <c r="AP107" s="5"/>
      <c r="AQ107" s="5"/>
      <c r="AR107" s="5"/>
      <c r="AS107" s="5"/>
      <c r="AT107" s="5"/>
      <c r="AU107" s="5"/>
      <c r="AV107" s="5"/>
      <c r="AW107" s="5"/>
      <c r="AX107" s="5"/>
      <c r="AY107" s="5"/>
    </row>
    <row r="108">
      <c r="A1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8" s="5">
        <f>IFERROR(__xludf.DUMMYFUNCTION("""COMPUTED_VALUE"""),107.0)</f>
        <v>107</v>
      </c>
      <c r="C108" s="5">
        <f>IFERROR(__xludf.DUMMYFUNCTION("""COMPUTED_VALUE"""),106.0)</f>
        <v>106</v>
      </c>
      <c r="D108" s="5" t="str">
        <f>IFERROR(__xludf.DUMMYFUNCTION("""COMPUTED_VALUE"""),"VeryHot40")</f>
        <v>VeryHot40</v>
      </c>
      <c r="E108" s="5" t="str">
        <f>IFERROR(__xludf.DUMMYFUNCTION("""COMPUTED_VALUE"""),"Yes")</f>
        <v>Yes</v>
      </c>
      <c r="F108" s="5" t="str">
        <f>IFERROR(__xludf.DUMMYFUNCTION("""COMPUTED_VALUE"""),"Yes")</f>
        <v>Yes</v>
      </c>
      <c r="G108" s="5" t="str">
        <f>IFERROR(__xludf.DUMMYFUNCTION("""COMPUTED_VALUE"""),"Yes")</f>
        <v>Yes</v>
      </c>
      <c r="H108" s="5" t="str">
        <f>IFERROR(__xludf.DUMMYFUNCTION("""COMPUTED_VALUE"""),"Yes")</f>
        <v>Yes</v>
      </c>
      <c r="I108" s="5" t="str">
        <f>IFERROR(__xludf.DUMMYFUNCTION("""COMPUTED_VALUE"""),"Yes")</f>
        <v>Yes</v>
      </c>
      <c r="J108" s="5" t="str">
        <f>IFERROR(__xludf.DUMMYFUNCTION("""COMPUTED_VALUE"""),"Yes")</f>
        <v>Yes</v>
      </c>
      <c r="K108" s="5" t="str">
        <f>IFERROR(__xludf.DUMMYFUNCTION("""COMPUTED_VALUE"""),"Yes")</f>
        <v>Yes</v>
      </c>
      <c r="L108" s="5" t="str">
        <f>IFERROR(__xludf.DUMMYFUNCTION("""COMPUTED_VALUE"""),"Yes")</f>
        <v>Yes</v>
      </c>
      <c r="M108" s="5" t="str">
        <f>IFERROR(__xludf.DUMMYFUNCTION("""COMPUTED_VALUE"""),"Yes")</f>
        <v>Yes</v>
      </c>
      <c r="N108" s="5" t="str">
        <f>IFERROR(__xludf.DUMMYFUNCTION("""COMPUTED_VALUE"""),"Yes")</f>
        <v>Yes</v>
      </c>
      <c r="O108" s="5" t="str">
        <f>IFERROR(__xludf.DUMMYFUNCTION("""COMPUTED_VALUE"""),"Yes")</f>
        <v>Yes</v>
      </c>
      <c r="P108" s="5" t="str">
        <f>IFERROR(__xludf.DUMMYFUNCTION("""COMPUTED_VALUE"""),"Yes")</f>
        <v>Yes</v>
      </c>
      <c r="Q108" s="5" t="str">
        <f>IFERROR(__xludf.DUMMYFUNCTION("""COMPUTED_VALUE"""),"Yes")</f>
        <v>Yes</v>
      </c>
      <c r="R108" s="5" t="str">
        <f>IFERROR(__xludf.DUMMYFUNCTION("""COMPUTED_VALUE"""),"Yes")</f>
        <v>Yes</v>
      </c>
      <c r="S108" s="5" t="str">
        <f>IFERROR(__xludf.DUMMYFUNCTION("""COMPUTED_VALUE"""),"Yes")</f>
        <v>Yes</v>
      </c>
      <c r="T108" s="5" t="str">
        <f>IFERROR(__xludf.DUMMYFUNCTION("""COMPUTED_VALUE"""),"Yes")</f>
        <v>Yes</v>
      </c>
      <c r="U108" s="5" t="str">
        <f>IFERROR(__xludf.DUMMYFUNCTION("""COMPUTED_VALUE"""),"Yes")</f>
        <v>Yes</v>
      </c>
      <c r="V108" s="5" t="str">
        <f>IFERROR(__xludf.DUMMYFUNCTION("""COMPUTED_VALUE"""),"Yes")</f>
        <v>Yes</v>
      </c>
      <c r="W108" s="5" t="str">
        <f>IFERROR(__xludf.DUMMYFUNCTION("""COMPUTED_VALUE"""),"Yes")</f>
        <v>Yes</v>
      </c>
      <c r="X108" s="5" t="str">
        <f>IFERROR(__xludf.DUMMYFUNCTION("""COMPUTED_VALUE"""),"Yes")</f>
        <v>Yes</v>
      </c>
      <c r="Y108" s="5" t="str">
        <f>IFERROR(__xludf.DUMMYFUNCTION("""COMPUTED_VALUE"""),"Yes")</f>
        <v>Yes</v>
      </c>
      <c r="Z108" s="5" t="str">
        <f>IFERROR(__xludf.DUMMYFUNCTION("""COMPUTED_VALUE"""),"No")</f>
        <v>No</v>
      </c>
      <c r="AA108" s="5" t="str">
        <f>IFERROR(__xludf.DUMMYFUNCTION("""COMPUTED_VALUE"""),"Yes")</f>
        <v>Yes</v>
      </c>
      <c r="AB108" s="5" t="str">
        <f>IFERROR(__xludf.DUMMYFUNCTION("""COMPUTED_VALUE"""),"Yes")</f>
        <v>Yes</v>
      </c>
      <c r="AC108" s="5" t="str">
        <f>IFERROR(__xludf.DUMMYFUNCTION("""COMPUTED_VALUE"""),"Yes")</f>
        <v>Yes</v>
      </c>
      <c r="AD108" s="5" t="str">
        <f>IFERROR(__xludf.DUMMYFUNCTION("""COMPUTED_VALUE"""),"Yes")</f>
        <v>Yes</v>
      </c>
      <c r="AE108" s="5" t="str">
        <f>IFERROR(__xludf.DUMMYFUNCTION("""COMPUTED_VALUE"""),"No")</f>
        <v>No</v>
      </c>
      <c r="AF108" s="5" t="str">
        <f>IFERROR(__xludf.DUMMYFUNCTION("""COMPUTED_VALUE"""),"Yes")</f>
        <v>Yes</v>
      </c>
      <c r="AG108" s="5" t="str">
        <f>IFERROR(__xludf.DUMMYFUNCTION("""COMPUTED_VALUE"""),"No")</f>
        <v>No</v>
      </c>
      <c r="AH108" s="5" t="str">
        <f>IFERROR(__xludf.DUMMYFUNCTION("""COMPUTED_VALUE"""),"No")</f>
        <v>No</v>
      </c>
      <c r="AI108" s="5" t="str">
        <f>IFERROR(__xludf.DUMMYFUNCTION("""COMPUTED_VALUE"""),"No")</f>
        <v>No</v>
      </c>
      <c r="AJ108" s="5" t="str">
        <f>IFERROR(__xludf.DUMMYFUNCTION("""COMPUTED_VALUE"""),"No")</f>
        <v>No</v>
      </c>
      <c r="AK108" s="5" t="str">
        <f>IFERROR(__xludf.DUMMYFUNCTION("""COMPUTED_VALUE"""),"No")</f>
        <v>No</v>
      </c>
      <c r="AL108" s="5" t="str">
        <f>IFERROR(__xludf.DUMMYFUNCTION("""COMPUTED_VALUE"""),"No")</f>
        <v>No</v>
      </c>
      <c r="AM108" s="5"/>
      <c r="AN108" s="5"/>
      <c r="AO108" s="5"/>
      <c r="AP108" s="5"/>
      <c r="AQ108" s="5"/>
      <c r="AR108" s="5"/>
      <c r="AS108" s="5"/>
      <c r="AT108" s="5"/>
      <c r="AU108" s="5"/>
      <c r="AV108" s="5"/>
      <c r="AW108" s="5"/>
      <c r="AX108" s="5"/>
      <c r="AY108" s="5"/>
    </row>
    <row r="109">
      <c r="A1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9" s="5">
        <f>IFERROR(__xludf.DUMMYFUNCTION("""COMPUTED_VALUE"""),108.0)</f>
        <v>108</v>
      </c>
      <c r="C109" s="5">
        <f>IFERROR(__xludf.DUMMYFUNCTION("""COMPUTED_VALUE"""),107.0)</f>
        <v>107</v>
      </c>
      <c r="D109" s="5" t="str">
        <f>IFERROR(__xludf.DUMMYFUNCTION("""COMPUTED_VALUE"""),"JewelsBeat")</f>
        <v>JewelsBeat</v>
      </c>
      <c r="E109" s="5" t="str">
        <f>IFERROR(__xludf.DUMMYFUNCTION("""COMPUTED_VALUE"""),"Yes")</f>
        <v>Yes</v>
      </c>
      <c r="F109" s="5" t="str">
        <f>IFERROR(__xludf.DUMMYFUNCTION("""COMPUTED_VALUE"""),"Yes")</f>
        <v>Yes</v>
      </c>
      <c r="G109" s="5" t="str">
        <f>IFERROR(__xludf.DUMMYFUNCTION("""COMPUTED_VALUE"""),"Yes")</f>
        <v>Yes</v>
      </c>
      <c r="H109" s="5" t="str">
        <f>IFERROR(__xludf.DUMMYFUNCTION("""COMPUTED_VALUE"""),"Yes")</f>
        <v>Yes</v>
      </c>
      <c r="I109" s="5" t="str">
        <f>IFERROR(__xludf.DUMMYFUNCTION("""COMPUTED_VALUE"""),"Yes")</f>
        <v>Yes</v>
      </c>
      <c r="J109" s="5" t="str">
        <f>IFERROR(__xludf.DUMMYFUNCTION("""COMPUTED_VALUE"""),"Yes")</f>
        <v>Yes</v>
      </c>
      <c r="K109" s="5" t="str">
        <f>IFERROR(__xludf.DUMMYFUNCTION("""COMPUTED_VALUE"""),"Yes")</f>
        <v>Yes</v>
      </c>
      <c r="L109" s="5" t="str">
        <f>IFERROR(__xludf.DUMMYFUNCTION("""COMPUTED_VALUE"""),"Yes")</f>
        <v>Yes</v>
      </c>
      <c r="M109" s="5" t="str">
        <f>IFERROR(__xludf.DUMMYFUNCTION("""COMPUTED_VALUE"""),"Yes")</f>
        <v>Yes</v>
      </c>
      <c r="N109" s="5" t="str">
        <f>IFERROR(__xludf.DUMMYFUNCTION("""COMPUTED_VALUE"""),"Yes")</f>
        <v>Yes</v>
      </c>
      <c r="O109" s="5" t="str">
        <f>IFERROR(__xludf.DUMMYFUNCTION("""COMPUTED_VALUE"""),"Yes")</f>
        <v>Yes</v>
      </c>
      <c r="P109" s="5" t="str">
        <f>IFERROR(__xludf.DUMMYFUNCTION("""COMPUTED_VALUE"""),"Yes")</f>
        <v>Yes</v>
      </c>
      <c r="Q109" s="5" t="str">
        <f>IFERROR(__xludf.DUMMYFUNCTION("""COMPUTED_VALUE"""),"Yes")</f>
        <v>Yes</v>
      </c>
      <c r="R109" s="5" t="str">
        <f>IFERROR(__xludf.DUMMYFUNCTION("""COMPUTED_VALUE"""),"Yes")</f>
        <v>Yes</v>
      </c>
      <c r="S109" s="5" t="str">
        <f>IFERROR(__xludf.DUMMYFUNCTION("""COMPUTED_VALUE"""),"Yes")</f>
        <v>Yes</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IFERROR(__xludf.DUMMYFUNCTION("""COMPUTED_VALUE"""),"No")</f>
        <v>No</v>
      </c>
      <c r="AA109" s="5" t="str">
        <f>IFERROR(__xludf.DUMMYFUNCTION("""COMPUTED_VALUE"""),"Yes")</f>
        <v>Yes</v>
      </c>
      <c r="AB109" s="5" t="str">
        <f>IFERROR(__xludf.DUMMYFUNCTION("""COMPUTED_VALUE"""),"Yes")</f>
        <v>Yes</v>
      </c>
      <c r="AC109" s="5" t="str">
        <f>IFERROR(__xludf.DUMMYFUNCTION("""COMPUTED_VALUE"""),"Yes")</f>
        <v>Yes</v>
      </c>
      <c r="AD109" s="5" t="str">
        <f>IFERROR(__xludf.DUMMYFUNCTION("""COMPUTED_VALUE"""),"Yes")</f>
        <v>Yes</v>
      </c>
      <c r="AE109" s="5" t="str">
        <f>IFERROR(__xludf.DUMMYFUNCTION("""COMPUTED_VALUE"""),"No")</f>
        <v>No</v>
      </c>
      <c r="AF109" s="5" t="str">
        <f>IFERROR(__xludf.DUMMYFUNCTION("""COMPUTED_VALUE"""),"Yes")</f>
        <v>Yes</v>
      </c>
      <c r="AG109" s="5" t="str">
        <f>IFERROR(__xludf.DUMMYFUNCTION("""COMPUTED_VALUE"""),"No")</f>
        <v>No</v>
      </c>
      <c r="AH109" s="5" t="str">
        <f>IFERROR(__xludf.DUMMYFUNCTION("""COMPUTED_VALUE"""),"No")</f>
        <v>No</v>
      </c>
      <c r="AI109" s="5" t="str">
        <f>IFERROR(__xludf.DUMMYFUNCTION("""COMPUTED_VALUE"""),"No")</f>
        <v>No</v>
      </c>
      <c r="AJ109" s="5" t="str">
        <f>IFERROR(__xludf.DUMMYFUNCTION("""COMPUTED_VALUE"""),"No")</f>
        <v>No</v>
      </c>
      <c r="AK109" s="5" t="str">
        <f>IFERROR(__xludf.DUMMYFUNCTION("""COMPUTED_VALUE"""),"No")</f>
        <v>No</v>
      </c>
      <c r="AL109" s="5" t="str">
        <f>IFERROR(__xludf.DUMMYFUNCTION("""COMPUTED_VALUE"""),"No")</f>
        <v>No</v>
      </c>
      <c r="AM109" s="5"/>
      <c r="AN109" s="5"/>
      <c r="AO109" s="5"/>
      <c r="AP109" s="5"/>
      <c r="AQ109" s="5"/>
      <c r="AR109" s="5"/>
      <c r="AS109" s="5"/>
      <c r="AT109" s="5"/>
      <c r="AU109" s="5"/>
      <c r="AV109" s="5"/>
      <c r="AW109" s="5"/>
      <c r="AX109" s="5"/>
      <c r="AY109" s="5"/>
    </row>
    <row r="110">
      <c r="A1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0" s="5">
        <f>IFERROR(__xludf.DUMMYFUNCTION("""COMPUTED_VALUE"""),109.0)</f>
        <v>109</v>
      </c>
      <c r="C110" s="5">
        <f>IFERROR(__xludf.DUMMYFUNCTION("""COMPUTED_VALUE"""),108.0)</f>
        <v>108</v>
      </c>
      <c r="D110" s="5" t="str">
        <f>IFERROR(__xludf.DUMMYFUNCTION("""COMPUTED_VALUE"""),"HeatingIce")</f>
        <v>HeatingIce</v>
      </c>
      <c r="E110" s="5" t="str">
        <f>IFERROR(__xludf.DUMMYFUNCTION("""COMPUTED_VALUE"""),"Yes")</f>
        <v>Yes</v>
      </c>
      <c r="F110" s="5" t="str">
        <f>IFERROR(__xludf.DUMMYFUNCTION("""COMPUTED_VALUE"""),"Yes")</f>
        <v>Yes</v>
      </c>
      <c r="G110" s="5" t="str">
        <f>IFERROR(__xludf.DUMMYFUNCTION("""COMPUTED_VALUE"""),"Yes")</f>
        <v>Yes</v>
      </c>
      <c r="H110" s="5" t="str">
        <f>IFERROR(__xludf.DUMMYFUNCTION("""COMPUTED_VALUE"""),"Yes")</f>
        <v>Yes</v>
      </c>
      <c r="I110" s="5" t="str">
        <f>IFERROR(__xludf.DUMMYFUNCTION("""COMPUTED_VALUE"""),"Yes")</f>
        <v>Yes</v>
      </c>
      <c r="J110" s="5" t="str">
        <f>IFERROR(__xludf.DUMMYFUNCTION("""COMPUTED_VALUE"""),"Yes")</f>
        <v>Yes</v>
      </c>
      <c r="K110" s="5" t="str">
        <f>IFERROR(__xludf.DUMMYFUNCTION("""COMPUTED_VALUE"""),"Yes")</f>
        <v>Yes</v>
      </c>
      <c r="L110" s="5" t="str">
        <f>IFERROR(__xludf.DUMMYFUNCTION("""COMPUTED_VALUE"""),"Yes")</f>
        <v>Yes</v>
      </c>
      <c r="M110" s="5" t="str">
        <f>IFERROR(__xludf.DUMMYFUNCTION("""COMPUTED_VALUE"""),"Yes")</f>
        <v>Yes</v>
      </c>
      <c r="N110" s="5" t="str">
        <f>IFERROR(__xludf.DUMMYFUNCTION("""COMPUTED_VALUE"""),"Yes")</f>
        <v>Yes</v>
      </c>
      <c r="O110" s="5" t="str">
        <f>IFERROR(__xludf.DUMMYFUNCTION("""COMPUTED_VALUE"""),"Yes")</f>
        <v>Yes</v>
      </c>
      <c r="P110" s="5" t="str">
        <f>IFERROR(__xludf.DUMMYFUNCTION("""COMPUTED_VALUE"""),"Yes")</f>
        <v>Yes</v>
      </c>
      <c r="Q110" s="5" t="str">
        <f>IFERROR(__xludf.DUMMYFUNCTION("""COMPUTED_VALUE"""),"Yes")</f>
        <v>Yes</v>
      </c>
      <c r="R110" s="5" t="str">
        <f>IFERROR(__xludf.DUMMYFUNCTION("""COMPUTED_VALUE"""),"Yes")</f>
        <v>Yes</v>
      </c>
      <c r="S110" s="5" t="str">
        <f>IFERROR(__xludf.DUMMYFUNCTION("""COMPUTED_VALUE"""),"Yes")</f>
        <v>Yes</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IFERROR(__xludf.DUMMYFUNCTION("""COMPUTED_VALUE"""),"No")</f>
        <v>No</v>
      </c>
      <c r="AA110" s="5" t="str">
        <f>IFERROR(__xludf.DUMMYFUNCTION("""COMPUTED_VALUE"""),"Yes")</f>
        <v>Yes</v>
      </c>
      <c r="AB110" s="5" t="str">
        <f>IFERROR(__xludf.DUMMYFUNCTION("""COMPUTED_VALUE"""),"Yes")</f>
        <v>Yes</v>
      </c>
      <c r="AC110" s="5" t="str">
        <f>IFERROR(__xludf.DUMMYFUNCTION("""COMPUTED_VALUE"""),"Yes")</f>
        <v>Yes</v>
      </c>
      <c r="AD110" s="5" t="str">
        <f>IFERROR(__xludf.DUMMYFUNCTION("""COMPUTED_VALUE"""),"Yes")</f>
        <v>Yes</v>
      </c>
      <c r="AE110" s="5" t="str">
        <f>IFERROR(__xludf.DUMMYFUNCTION("""COMPUTED_VALUE"""),"No")</f>
        <v>No</v>
      </c>
      <c r="AF110" s="5" t="str">
        <f>IFERROR(__xludf.DUMMYFUNCTION("""COMPUTED_VALUE"""),"Yes")</f>
        <v>Yes</v>
      </c>
      <c r="AG110" s="5" t="str">
        <f>IFERROR(__xludf.DUMMYFUNCTION("""COMPUTED_VALUE"""),"No")</f>
        <v>No</v>
      </c>
      <c r="AH110" s="5" t="str">
        <f>IFERROR(__xludf.DUMMYFUNCTION("""COMPUTED_VALUE"""),"No")</f>
        <v>No</v>
      </c>
      <c r="AI110" s="5" t="str">
        <f>IFERROR(__xludf.DUMMYFUNCTION("""COMPUTED_VALUE"""),"No")</f>
        <v>No</v>
      </c>
      <c r="AJ110" s="5" t="str">
        <f>IFERROR(__xludf.DUMMYFUNCTION("""COMPUTED_VALUE"""),"No")</f>
        <v>No</v>
      </c>
      <c r="AK110" s="5" t="str">
        <f>IFERROR(__xludf.DUMMYFUNCTION("""COMPUTED_VALUE"""),"No")</f>
        <v>No</v>
      </c>
      <c r="AL110" s="5" t="str">
        <f>IFERROR(__xludf.DUMMYFUNCTION("""COMPUTED_VALUE"""),"No")</f>
        <v>No</v>
      </c>
      <c r="AM110" s="5"/>
      <c r="AN110" s="5"/>
      <c r="AO110" s="5"/>
      <c r="AP110" s="5"/>
      <c r="AQ110" s="5"/>
      <c r="AR110" s="5"/>
      <c r="AS110" s="5"/>
      <c r="AT110" s="5"/>
      <c r="AU110" s="5"/>
      <c r="AV110" s="5"/>
      <c r="AW110" s="5"/>
      <c r="AX110" s="5"/>
      <c r="AY110" s="5"/>
    </row>
    <row r="111">
      <c r="A1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1" s="5">
        <f>IFERROR(__xludf.DUMMYFUNCTION("""COMPUTED_VALUE"""),110.0)</f>
        <v>110</v>
      </c>
      <c r="C111" s="5">
        <f>IFERROR(__xludf.DUMMYFUNCTION("""COMPUTED_VALUE"""),109.0)</f>
        <v>109</v>
      </c>
      <c r="D111" s="5" t="str">
        <f>IFERROR(__xludf.DUMMYFUNCTION("""COMPUTED_VALUE"""),"HeatingIceDeluxe")</f>
        <v>HeatingIceDeluxe</v>
      </c>
      <c r="E111" s="5" t="str">
        <f>IFERROR(__xludf.DUMMYFUNCTION("""COMPUTED_VALUE"""),"Yes")</f>
        <v>Yes</v>
      </c>
      <c r="F111" s="5" t="str">
        <f>IFERROR(__xludf.DUMMYFUNCTION("""COMPUTED_VALUE"""),"Yes")</f>
        <v>Yes</v>
      </c>
      <c r="G111" s="5" t="str">
        <f>IFERROR(__xludf.DUMMYFUNCTION("""COMPUTED_VALUE"""),"Yes")</f>
        <v>Yes</v>
      </c>
      <c r="H111" s="5" t="str">
        <f>IFERROR(__xludf.DUMMYFUNCTION("""COMPUTED_VALUE"""),"Yes")</f>
        <v>Yes</v>
      </c>
      <c r="I111" s="5" t="str">
        <f>IFERROR(__xludf.DUMMYFUNCTION("""COMPUTED_VALUE"""),"Yes")</f>
        <v>Yes</v>
      </c>
      <c r="J111" s="5" t="str">
        <f>IFERROR(__xludf.DUMMYFUNCTION("""COMPUTED_VALUE"""),"Yes")</f>
        <v>Yes</v>
      </c>
      <c r="K111" s="5" t="str">
        <f>IFERROR(__xludf.DUMMYFUNCTION("""COMPUTED_VALUE"""),"Yes")</f>
        <v>Yes</v>
      </c>
      <c r="L111" s="5" t="str">
        <f>IFERROR(__xludf.DUMMYFUNCTION("""COMPUTED_VALUE"""),"Yes")</f>
        <v>Yes</v>
      </c>
      <c r="M111" s="5" t="str">
        <f>IFERROR(__xludf.DUMMYFUNCTION("""COMPUTED_VALUE"""),"Yes")</f>
        <v>Yes</v>
      </c>
      <c r="N111" s="5" t="str">
        <f>IFERROR(__xludf.DUMMYFUNCTION("""COMPUTED_VALUE"""),"Yes")</f>
        <v>Yes</v>
      </c>
      <c r="O111" s="5" t="str">
        <f>IFERROR(__xludf.DUMMYFUNCTION("""COMPUTED_VALUE"""),"Yes")</f>
        <v>Yes</v>
      </c>
      <c r="P111" s="5" t="str">
        <f>IFERROR(__xludf.DUMMYFUNCTION("""COMPUTED_VALUE"""),"Yes")</f>
        <v>Yes</v>
      </c>
      <c r="Q111" s="5" t="str">
        <f>IFERROR(__xludf.DUMMYFUNCTION("""COMPUTED_VALUE"""),"Yes")</f>
        <v>Yes</v>
      </c>
      <c r="R111" s="5" t="str">
        <f>IFERROR(__xludf.DUMMYFUNCTION("""COMPUTED_VALUE"""),"Yes")</f>
        <v>Yes</v>
      </c>
      <c r="S111" s="5" t="str">
        <f>IFERROR(__xludf.DUMMYFUNCTION("""COMPUTED_VALUE"""),"Yes")</f>
        <v>Yes</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IFERROR(__xludf.DUMMYFUNCTION("""COMPUTED_VALUE"""),"No")</f>
        <v>No</v>
      </c>
      <c r="AA111" s="5" t="str">
        <f>IFERROR(__xludf.DUMMYFUNCTION("""COMPUTED_VALUE"""),"Yes")</f>
        <v>Yes</v>
      </c>
      <c r="AB111" s="5" t="str">
        <f>IFERROR(__xludf.DUMMYFUNCTION("""COMPUTED_VALUE"""),"Yes")</f>
        <v>Yes</v>
      </c>
      <c r="AC111" s="5" t="str">
        <f>IFERROR(__xludf.DUMMYFUNCTION("""COMPUTED_VALUE"""),"Yes")</f>
        <v>Yes</v>
      </c>
      <c r="AD111" s="5" t="str">
        <f>IFERROR(__xludf.DUMMYFUNCTION("""COMPUTED_VALUE"""),"Yes")</f>
        <v>Yes</v>
      </c>
      <c r="AE111" s="5" t="str">
        <f>IFERROR(__xludf.DUMMYFUNCTION("""COMPUTED_VALUE"""),"No")</f>
        <v>No</v>
      </c>
      <c r="AF111" s="5" t="str">
        <f>IFERROR(__xludf.DUMMYFUNCTION("""COMPUTED_VALUE"""),"Yes")</f>
        <v>Yes</v>
      </c>
      <c r="AG111" s="5" t="str">
        <f>IFERROR(__xludf.DUMMYFUNCTION("""COMPUTED_VALUE"""),"No")</f>
        <v>No</v>
      </c>
      <c r="AH111" s="5" t="str">
        <f>IFERROR(__xludf.DUMMYFUNCTION("""COMPUTED_VALUE"""),"No")</f>
        <v>No</v>
      </c>
      <c r="AI111" s="5" t="str">
        <f>IFERROR(__xludf.DUMMYFUNCTION("""COMPUTED_VALUE"""),"No")</f>
        <v>No</v>
      </c>
      <c r="AJ111" s="5" t="str">
        <f>IFERROR(__xludf.DUMMYFUNCTION("""COMPUTED_VALUE"""),"No")</f>
        <v>No</v>
      </c>
      <c r="AK111" s="5" t="str">
        <f>IFERROR(__xludf.DUMMYFUNCTION("""COMPUTED_VALUE"""),"No")</f>
        <v>No</v>
      </c>
      <c r="AL111" s="5" t="str">
        <f>IFERROR(__xludf.DUMMYFUNCTION("""COMPUTED_VALUE"""),"No")</f>
        <v>No</v>
      </c>
      <c r="AM111" s="5"/>
      <c r="AN111" s="5"/>
      <c r="AO111" s="5"/>
      <c r="AP111" s="5"/>
      <c r="AQ111" s="5"/>
      <c r="AR111" s="5"/>
      <c r="AS111" s="5"/>
      <c r="AT111" s="5"/>
      <c r="AU111" s="5"/>
      <c r="AV111" s="5"/>
      <c r="AW111" s="5"/>
      <c r="AX111" s="5"/>
      <c r="AY111" s="5"/>
    </row>
    <row r="112">
      <c r="A1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2" s="5">
        <f>IFERROR(__xludf.DUMMYFUNCTION("""COMPUTED_VALUE"""),111.0)</f>
        <v>111</v>
      </c>
      <c r="C112" s="5">
        <f>IFERROR(__xludf.DUMMYFUNCTION("""COMPUTED_VALUE"""),110.0)</f>
        <v>110</v>
      </c>
      <c r="D112" s="5" t="str">
        <f>IFERROR(__xludf.DUMMYFUNCTION("""COMPUTED_VALUE"""),"FluoDice5")</f>
        <v>FluoDice5</v>
      </c>
      <c r="E112" s="5" t="str">
        <f>IFERROR(__xludf.DUMMYFUNCTION("""COMPUTED_VALUE"""),"Yes")</f>
        <v>Yes</v>
      </c>
      <c r="F112" s="5" t="str">
        <f>IFERROR(__xludf.DUMMYFUNCTION("""COMPUTED_VALUE"""),"Yes")</f>
        <v>Yes</v>
      </c>
      <c r="G112" s="5" t="str">
        <f>IFERROR(__xludf.DUMMYFUNCTION("""COMPUTED_VALUE"""),"Yes")</f>
        <v>Yes</v>
      </c>
      <c r="H112" s="5" t="str">
        <f>IFERROR(__xludf.DUMMYFUNCTION("""COMPUTED_VALUE"""),"Yes")</f>
        <v>Yes</v>
      </c>
      <c r="I112" s="5" t="str">
        <f>IFERROR(__xludf.DUMMYFUNCTION("""COMPUTED_VALUE"""),"Yes")</f>
        <v>Yes</v>
      </c>
      <c r="J112" s="5" t="str">
        <f>IFERROR(__xludf.DUMMYFUNCTION("""COMPUTED_VALUE"""),"Yes")</f>
        <v>Yes</v>
      </c>
      <c r="K112" s="5" t="str">
        <f>IFERROR(__xludf.DUMMYFUNCTION("""COMPUTED_VALUE"""),"Yes")</f>
        <v>Yes</v>
      </c>
      <c r="L112" s="5" t="str">
        <f>IFERROR(__xludf.DUMMYFUNCTION("""COMPUTED_VALUE"""),"Yes")</f>
        <v>Yes</v>
      </c>
      <c r="M112" s="5" t="str">
        <f>IFERROR(__xludf.DUMMYFUNCTION("""COMPUTED_VALUE"""),"Yes")</f>
        <v>Yes</v>
      </c>
      <c r="N112" s="5" t="str">
        <f>IFERROR(__xludf.DUMMYFUNCTION("""COMPUTED_VALUE"""),"Yes")</f>
        <v>Yes</v>
      </c>
      <c r="O112" s="5" t="str">
        <f>IFERROR(__xludf.DUMMYFUNCTION("""COMPUTED_VALUE"""),"Yes")</f>
        <v>Yes</v>
      </c>
      <c r="P112" s="5" t="str">
        <f>IFERROR(__xludf.DUMMYFUNCTION("""COMPUTED_VALUE"""),"Yes")</f>
        <v>Yes</v>
      </c>
      <c r="Q112" s="5" t="str">
        <f>IFERROR(__xludf.DUMMYFUNCTION("""COMPUTED_VALUE"""),"Yes")</f>
        <v>Yes</v>
      </c>
      <c r="R112" s="5" t="str">
        <f>IFERROR(__xludf.DUMMYFUNCTION("""COMPUTED_VALUE"""),"Yes")</f>
        <v>Yes</v>
      </c>
      <c r="S112" s="5" t="str">
        <f>IFERROR(__xludf.DUMMYFUNCTION("""COMPUTED_VALUE"""),"Yes")</f>
        <v>Yes</v>
      </c>
      <c r="T112" s="5" t="str">
        <f>IFERROR(__xludf.DUMMYFUNCTION("""COMPUTED_VALUE"""),"Yes")</f>
        <v>Yes</v>
      </c>
      <c r="U112" s="5" t="str">
        <f>IFERROR(__xludf.DUMMYFUNCTION("""COMPUTED_VALUE"""),"Yes")</f>
        <v>Yes</v>
      </c>
      <c r="V112" s="5" t="str">
        <f>IFERROR(__xludf.DUMMYFUNCTION("""COMPUTED_VALUE"""),"Yes")</f>
        <v>Yes</v>
      </c>
      <c r="W112" s="5" t="str">
        <f>IFERROR(__xludf.DUMMYFUNCTION("""COMPUTED_VALUE"""),"Yes")</f>
        <v>Yes</v>
      </c>
      <c r="X112" s="5" t="str">
        <f>IFERROR(__xludf.DUMMYFUNCTION("""COMPUTED_VALUE"""),"Yes")</f>
        <v>Yes</v>
      </c>
      <c r="Y112" s="5" t="str">
        <f>IFERROR(__xludf.DUMMYFUNCTION("""COMPUTED_VALUE"""),"Yes")</f>
        <v>Yes</v>
      </c>
      <c r="Z112" s="5" t="str">
        <f>IFERROR(__xludf.DUMMYFUNCTION("""COMPUTED_VALUE"""),"No")</f>
        <v>No</v>
      </c>
      <c r="AA112" s="5" t="str">
        <f>IFERROR(__xludf.DUMMYFUNCTION("""COMPUTED_VALUE"""),"Yes")</f>
        <v>Yes</v>
      </c>
      <c r="AB112" s="5" t="str">
        <f>IFERROR(__xludf.DUMMYFUNCTION("""COMPUTED_VALUE"""),"Yes")</f>
        <v>Yes</v>
      </c>
      <c r="AC112" s="5" t="str">
        <f>IFERROR(__xludf.DUMMYFUNCTION("""COMPUTED_VALUE"""),"Yes")</f>
        <v>Yes</v>
      </c>
      <c r="AD112" s="5" t="str">
        <f>IFERROR(__xludf.DUMMYFUNCTION("""COMPUTED_VALUE"""),"Yes")</f>
        <v>Yes</v>
      </c>
      <c r="AE112" s="5" t="str">
        <f>IFERROR(__xludf.DUMMYFUNCTION("""COMPUTED_VALUE"""),"No")</f>
        <v>No</v>
      </c>
      <c r="AF112" s="5" t="str">
        <f>IFERROR(__xludf.DUMMYFUNCTION("""COMPUTED_VALUE"""),"Yes")</f>
        <v>Yes</v>
      </c>
      <c r="AG112" s="5" t="str">
        <f>IFERROR(__xludf.DUMMYFUNCTION("""COMPUTED_VALUE"""),"No")</f>
        <v>No</v>
      </c>
      <c r="AH112" s="5" t="str">
        <f>IFERROR(__xludf.DUMMYFUNCTION("""COMPUTED_VALUE"""),"No")</f>
        <v>No</v>
      </c>
      <c r="AI112" s="5" t="str">
        <f>IFERROR(__xludf.DUMMYFUNCTION("""COMPUTED_VALUE"""),"No")</f>
        <v>No</v>
      </c>
      <c r="AJ112" s="5" t="str">
        <f>IFERROR(__xludf.DUMMYFUNCTION("""COMPUTED_VALUE"""),"No")</f>
        <v>No</v>
      </c>
      <c r="AK112" s="5" t="str">
        <f>IFERROR(__xludf.DUMMYFUNCTION("""COMPUTED_VALUE"""),"No")</f>
        <v>No</v>
      </c>
      <c r="AL112" s="5" t="str">
        <f>IFERROR(__xludf.DUMMYFUNCTION("""COMPUTED_VALUE"""),"No")</f>
        <v>No</v>
      </c>
      <c r="AM112" s="5"/>
      <c r="AN112" s="5"/>
      <c r="AO112" s="5"/>
      <c r="AP112" s="5"/>
      <c r="AQ112" s="5"/>
      <c r="AR112" s="5"/>
      <c r="AS112" s="5"/>
      <c r="AT112" s="5"/>
      <c r="AU112" s="5"/>
      <c r="AV112" s="5"/>
      <c r="AW112" s="5"/>
      <c r="AX112" s="5"/>
      <c r="AY112" s="5"/>
    </row>
    <row r="113">
      <c r="A1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3" s="5">
        <f>IFERROR(__xludf.DUMMYFUNCTION("""COMPUTED_VALUE"""),112.0)</f>
        <v>112</v>
      </c>
      <c r="C113" s="5">
        <f>IFERROR(__xludf.DUMMYFUNCTION("""COMPUTED_VALUE"""),111.0)</f>
        <v>111</v>
      </c>
      <c r="D113" s="5" t="str">
        <f>IFERROR(__xludf.DUMMYFUNCTION("""COMPUTED_VALUE"""),"FluoHot5")</f>
        <v>FluoHot5</v>
      </c>
      <c r="E113" s="5" t="str">
        <f>IFERROR(__xludf.DUMMYFUNCTION("""COMPUTED_VALUE"""),"Yes")</f>
        <v>Yes</v>
      </c>
      <c r="F113" s="5" t="str">
        <f>IFERROR(__xludf.DUMMYFUNCTION("""COMPUTED_VALUE"""),"Yes")</f>
        <v>Yes</v>
      </c>
      <c r="G113" s="5" t="str">
        <f>IFERROR(__xludf.DUMMYFUNCTION("""COMPUTED_VALUE"""),"Yes")</f>
        <v>Yes</v>
      </c>
      <c r="H113" s="5" t="str">
        <f>IFERROR(__xludf.DUMMYFUNCTION("""COMPUTED_VALUE"""),"Yes")</f>
        <v>Yes</v>
      </c>
      <c r="I113" s="5" t="str">
        <f>IFERROR(__xludf.DUMMYFUNCTION("""COMPUTED_VALUE"""),"Yes")</f>
        <v>Yes</v>
      </c>
      <c r="J113" s="5" t="str">
        <f>IFERROR(__xludf.DUMMYFUNCTION("""COMPUTED_VALUE"""),"Yes")</f>
        <v>Yes</v>
      </c>
      <c r="K113" s="5" t="str">
        <f>IFERROR(__xludf.DUMMYFUNCTION("""COMPUTED_VALUE"""),"Yes")</f>
        <v>Yes</v>
      </c>
      <c r="L113" s="5" t="str">
        <f>IFERROR(__xludf.DUMMYFUNCTION("""COMPUTED_VALUE"""),"Yes")</f>
        <v>Yes</v>
      </c>
      <c r="M113" s="5" t="str">
        <f>IFERROR(__xludf.DUMMYFUNCTION("""COMPUTED_VALUE"""),"Yes")</f>
        <v>Yes</v>
      </c>
      <c r="N113" s="5" t="str">
        <f>IFERROR(__xludf.DUMMYFUNCTION("""COMPUTED_VALUE"""),"Yes")</f>
        <v>Yes</v>
      </c>
      <c r="O113" s="5" t="str">
        <f>IFERROR(__xludf.DUMMYFUNCTION("""COMPUTED_VALUE"""),"Yes")</f>
        <v>Yes</v>
      </c>
      <c r="P113" s="5" t="str">
        <f>IFERROR(__xludf.DUMMYFUNCTION("""COMPUTED_VALUE"""),"Yes")</f>
        <v>Yes</v>
      </c>
      <c r="Q113" s="5" t="str">
        <f>IFERROR(__xludf.DUMMYFUNCTION("""COMPUTED_VALUE"""),"Yes")</f>
        <v>Yes</v>
      </c>
      <c r="R113" s="5" t="str">
        <f>IFERROR(__xludf.DUMMYFUNCTION("""COMPUTED_VALUE"""),"Yes")</f>
        <v>Yes</v>
      </c>
      <c r="S113" s="5" t="str">
        <f>IFERROR(__xludf.DUMMYFUNCTION("""COMPUTED_VALUE"""),"Yes")</f>
        <v>Yes</v>
      </c>
      <c r="T113" s="5" t="str">
        <f>IFERROR(__xludf.DUMMYFUNCTION("""COMPUTED_VALUE"""),"Yes")</f>
        <v>Yes</v>
      </c>
      <c r="U113" s="5" t="str">
        <f>IFERROR(__xludf.DUMMYFUNCTION("""COMPUTED_VALUE"""),"Yes")</f>
        <v>Yes</v>
      </c>
      <c r="V113" s="5" t="str">
        <f>IFERROR(__xludf.DUMMYFUNCTION("""COMPUTED_VALUE"""),"Yes")</f>
        <v>Yes</v>
      </c>
      <c r="W113" s="5" t="str">
        <f>IFERROR(__xludf.DUMMYFUNCTION("""COMPUTED_VALUE"""),"Yes")</f>
        <v>Yes</v>
      </c>
      <c r="X113" s="5" t="str">
        <f>IFERROR(__xludf.DUMMYFUNCTION("""COMPUTED_VALUE"""),"Yes")</f>
        <v>Yes</v>
      </c>
      <c r="Y113" s="5" t="str">
        <f>IFERROR(__xludf.DUMMYFUNCTION("""COMPUTED_VALUE"""),"Yes")</f>
        <v>Yes</v>
      </c>
      <c r="Z113" s="5" t="str">
        <f>IFERROR(__xludf.DUMMYFUNCTION("""COMPUTED_VALUE"""),"No")</f>
        <v>No</v>
      </c>
      <c r="AA113" s="5" t="str">
        <f>IFERROR(__xludf.DUMMYFUNCTION("""COMPUTED_VALUE"""),"Yes")</f>
        <v>Yes</v>
      </c>
      <c r="AB113" s="5" t="str">
        <f>IFERROR(__xludf.DUMMYFUNCTION("""COMPUTED_VALUE"""),"Yes")</f>
        <v>Yes</v>
      </c>
      <c r="AC113" s="5" t="str">
        <f>IFERROR(__xludf.DUMMYFUNCTION("""COMPUTED_VALUE"""),"Yes")</f>
        <v>Yes</v>
      </c>
      <c r="AD113" s="5" t="str">
        <f>IFERROR(__xludf.DUMMYFUNCTION("""COMPUTED_VALUE"""),"Yes")</f>
        <v>Yes</v>
      </c>
      <c r="AE113" s="5" t="str">
        <f>IFERROR(__xludf.DUMMYFUNCTION("""COMPUTED_VALUE"""),"No")</f>
        <v>No</v>
      </c>
      <c r="AF113" s="5" t="str">
        <f>IFERROR(__xludf.DUMMYFUNCTION("""COMPUTED_VALUE"""),"Yes")</f>
        <v>Yes</v>
      </c>
      <c r="AG113" s="5" t="str">
        <f>IFERROR(__xludf.DUMMYFUNCTION("""COMPUTED_VALUE"""),"No")</f>
        <v>No</v>
      </c>
      <c r="AH113" s="5" t="str">
        <f>IFERROR(__xludf.DUMMYFUNCTION("""COMPUTED_VALUE"""),"No")</f>
        <v>No</v>
      </c>
      <c r="AI113" s="5" t="str">
        <f>IFERROR(__xludf.DUMMYFUNCTION("""COMPUTED_VALUE"""),"No")</f>
        <v>No</v>
      </c>
      <c r="AJ113" s="5" t="str">
        <f>IFERROR(__xludf.DUMMYFUNCTION("""COMPUTED_VALUE"""),"No")</f>
        <v>No</v>
      </c>
      <c r="AK113" s="5" t="str">
        <f>IFERROR(__xludf.DUMMYFUNCTION("""COMPUTED_VALUE"""),"No")</f>
        <v>No</v>
      </c>
      <c r="AL113" s="5" t="str">
        <f>IFERROR(__xludf.DUMMYFUNCTION("""COMPUTED_VALUE"""),"No")</f>
        <v>No</v>
      </c>
      <c r="AM113" s="5"/>
      <c r="AN113" s="5"/>
      <c r="AO113" s="5"/>
      <c r="AP113" s="5"/>
      <c r="AQ113" s="5"/>
      <c r="AR113" s="5"/>
      <c r="AS113" s="5"/>
      <c r="AT113" s="5"/>
      <c r="AU113" s="5"/>
      <c r="AV113" s="5"/>
      <c r="AW113" s="5"/>
      <c r="AX113" s="5"/>
      <c r="AY113" s="5"/>
    </row>
    <row r="114">
      <c r="A1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4" s="5">
        <f>IFERROR(__xludf.DUMMYFUNCTION("""COMPUTED_VALUE"""),113.0)</f>
        <v>113</v>
      </c>
      <c r="C114" s="5">
        <f>IFERROR(__xludf.DUMMYFUNCTION("""COMPUTED_VALUE"""),112.0)</f>
        <v>112</v>
      </c>
      <c r="D114" s="5" t="str">
        <f>IFERROR(__xludf.DUMMYFUNCTION("""COMPUTED_VALUE"""),"HeatingDice")</f>
        <v>HeatingDice</v>
      </c>
      <c r="E114" s="5" t="str">
        <f>IFERROR(__xludf.DUMMYFUNCTION("""COMPUTED_VALUE"""),"Yes")</f>
        <v>Yes</v>
      </c>
      <c r="F114" s="5" t="str">
        <f>IFERROR(__xludf.DUMMYFUNCTION("""COMPUTED_VALUE"""),"Yes")</f>
        <v>Yes</v>
      </c>
      <c r="G114" s="5" t="str">
        <f>IFERROR(__xludf.DUMMYFUNCTION("""COMPUTED_VALUE"""),"Yes")</f>
        <v>Yes</v>
      </c>
      <c r="H114" s="5" t="str">
        <f>IFERROR(__xludf.DUMMYFUNCTION("""COMPUTED_VALUE"""),"Yes")</f>
        <v>Yes</v>
      </c>
      <c r="I114" s="5" t="str">
        <f>IFERROR(__xludf.DUMMYFUNCTION("""COMPUTED_VALUE"""),"Yes")</f>
        <v>Yes</v>
      </c>
      <c r="J114" s="5" t="str">
        <f>IFERROR(__xludf.DUMMYFUNCTION("""COMPUTED_VALUE"""),"Yes")</f>
        <v>Yes</v>
      </c>
      <c r="K114" s="5" t="str">
        <f>IFERROR(__xludf.DUMMYFUNCTION("""COMPUTED_VALUE"""),"Yes")</f>
        <v>Yes</v>
      </c>
      <c r="L114" s="5" t="str">
        <f>IFERROR(__xludf.DUMMYFUNCTION("""COMPUTED_VALUE"""),"Yes")</f>
        <v>Yes</v>
      </c>
      <c r="M114" s="5" t="str">
        <f>IFERROR(__xludf.DUMMYFUNCTION("""COMPUTED_VALUE"""),"Yes")</f>
        <v>Yes</v>
      </c>
      <c r="N114" s="5" t="str">
        <f>IFERROR(__xludf.DUMMYFUNCTION("""COMPUTED_VALUE"""),"Yes")</f>
        <v>Yes</v>
      </c>
      <c r="O114" s="5" t="str">
        <f>IFERROR(__xludf.DUMMYFUNCTION("""COMPUTED_VALUE"""),"Yes")</f>
        <v>Yes</v>
      </c>
      <c r="P114" s="5" t="str">
        <f>IFERROR(__xludf.DUMMYFUNCTION("""COMPUTED_VALUE"""),"Yes")</f>
        <v>Yes</v>
      </c>
      <c r="Q114" s="5" t="str">
        <f>IFERROR(__xludf.DUMMYFUNCTION("""COMPUTED_VALUE"""),"Yes")</f>
        <v>Yes</v>
      </c>
      <c r="R114" s="5" t="str">
        <f>IFERROR(__xludf.DUMMYFUNCTION("""COMPUTED_VALUE"""),"Yes")</f>
        <v>Yes</v>
      </c>
      <c r="S114" s="5" t="str">
        <f>IFERROR(__xludf.DUMMYFUNCTION("""COMPUTED_VALUE"""),"Yes")</f>
        <v>Yes</v>
      </c>
      <c r="T114" s="5" t="str">
        <f>IFERROR(__xludf.DUMMYFUNCTION("""COMPUTED_VALUE"""),"Yes")</f>
        <v>Yes</v>
      </c>
      <c r="U114" s="5" t="str">
        <f>IFERROR(__xludf.DUMMYFUNCTION("""COMPUTED_VALUE"""),"Yes")</f>
        <v>Yes</v>
      </c>
      <c r="V114" s="5" t="str">
        <f>IFERROR(__xludf.DUMMYFUNCTION("""COMPUTED_VALUE"""),"Yes")</f>
        <v>Yes</v>
      </c>
      <c r="W114" s="5" t="str">
        <f>IFERROR(__xludf.DUMMYFUNCTION("""COMPUTED_VALUE"""),"Yes")</f>
        <v>Yes</v>
      </c>
      <c r="X114" s="5" t="str">
        <f>IFERROR(__xludf.DUMMYFUNCTION("""COMPUTED_VALUE"""),"Yes")</f>
        <v>Yes</v>
      </c>
      <c r="Y114" s="5" t="str">
        <f>IFERROR(__xludf.DUMMYFUNCTION("""COMPUTED_VALUE"""),"Yes")</f>
        <v>Yes</v>
      </c>
      <c r="Z114" s="5" t="str">
        <f>IFERROR(__xludf.DUMMYFUNCTION("""COMPUTED_VALUE"""),"No")</f>
        <v>No</v>
      </c>
      <c r="AA114" s="5" t="str">
        <f>IFERROR(__xludf.DUMMYFUNCTION("""COMPUTED_VALUE"""),"Yes")</f>
        <v>Yes</v>
      </c>
      <c r="AB114" s="5" t="str">
        <f>IFERROR(__xludf.DUMMYFUNCTION("""COMPUTED_VALUE"""),"Yes")</f>
        <v>Yes</v>
      </c>
      <c r="AC114" s="5" t="str">
        <f>IFERROR(__xludf.DUMMYFUNCTION("""COMPUTED_VALUE"""),"Yes")</f>
        <v>Yes</v>
      </c>
      <c r="AD114" s="5" t="str">
        <f>IFERROR(__xludf.DUMMYFUNCTION("""COMPUTED_VALUE"""),"Yes")</f>
        <v>Yes</v>
      </c>
      <c r="AE114" s="5" t="str">
        <f>IFERROR(__xludf.DUMMYFUNCTION("""COMPUTED_VALUE"""),"No")</f>
        <v>No</v>
      </c>
      <c r="AF114" s="5" t="str">
        <f>IFERROR(__xludf.DUMMYFUNCTION("""COMPUTED_VALUE"""),"Yes")</f>
        <v>Yes</v>
      </c>
      <c r="AG114" s="5" t="str">
        <f>IFERROR(__xludf.DUMMYFUNCTION("""COMPUTED_VALUE"""),"No")</f>
        <v>No</v>
      </c>
      <c r="AH114" s="5" t="str">
        <f>IFERROR(__xludf.DUMMYFUNCTION("""COMPUTED_VALUE"""),"No")</f>
        <v>No</v>
      </c>
      <c r="AI114" s="5" t="str">
        <f>IFERROR(__xludf.DUMMYFUNCTION("""COMPUTED_VALUE"""),"No")</f>
        <v>No</v>
      </c>
      <c r="AJ114" s="5" t="str">
        <f>IFERROR(__xludf.DUMMYFUNCTION("""COMPUTED_VALUE"""),"No")</f>
        <v>No</v>
      </c>
      <c r="AK114" s="5" t="str">
        <f>IFERROR(__xludf.DUMMYFUNCTION("""COMPUTED_VALUE"""),"No")</f>
        <v>No</v>
      </c>
      <c r="AL114" s="5" t="str">
        <f>IFERROR(__xludf.DUMMYFUNCTION("""COMPUTED_VALUE"""),"No")</f>
        <v>No</v>
      </c>
      <c r="AM114" s="5"/>
      <c r="AN114" s="5"/>
      <c r="AO114" s="5"/>
      <c r="AP114" s="5"/>
      <c r="AQ114" s="5"/>
      <c r="AR114" s="5"/>
      <c r="AS114" s="5"/>
      <c r="AT114" s="5"/>
      <c r="AU114" s="5"/>
      <c r="AV114" s="5"/>
      <c r="AW114" s="5"/>
      <c r="AX114" s="5"/>
      <c r="AY114" s="5"/>
    </row>
    <row r="115">
      <c r="A1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5" s="5">
        <f>IFERROR(__xludf.DUMMYFUNCTION("""COMPUTED_VALUE"""),114.0)</f>
        <v>114</v>
      </c>
      <c r="C115" s="5">
        <f>IFERROR(__xludf.DUMMYFUNCTION("""COMPUTED_VALUE"""),113.0)</f>
        <v>113</v>
      </c>
      <c r="D115" s="5" t="str">
        <f>IFERROR(__xludf.DUMMYFUNCTION("""COMPUTED_VALUE"""),"CrystalJewels")</f>
        <v>CrystalJewels</v>
      </c>
      <c r="E115" s="5" t="str">
        <f>IFERROR(__xludf.DUMMYFUNCTION("""COMPUTED_VALUE"""),"Yes")</f>
        <v>Yes</v>
      </c>
      <c r="F115" s="5" t="str">
        <f>IFERROR(__xludf.DUMMYFUNCTION("""COMPUTED_VALUE"""),"Yes")</f>
        <v>Yes</v>
      </c>
      <c r="G115" s="5" t="str">
        <f>IFERROR(__xludf.DUMMYFUNCTION("""COMPUTED_VALUE"""),"Yes")</f>
        <v>Yes</v>
      </c>
      <c r="H115" s="5" t="str">
        <f>IFERROR(__xludf.DUMMYFUNCTION("""COMPUTED_VALUE"""),"Yes")</f>
        <v>Yes</v>
      </c>
      <c r="I115" s="5" t="str">
        <f>IFERROR(__xludf.DUMMYFUNCTION("""COMPUTED_VALUE"""),"Yes")</f>
        <v>Yes</v>
      </c>
      <c r="J115" s="5" t="str">
        <f>IFERROR(__xludf.DUMMYFUNCTION("""COMPUTED_VALUE"""),"Yes")</f>
        <v>Yes</v>
      </c>
      <c r="K115" s="5" t="str">
        <f>IFERROR(__xludf.DUMMYFUNCTION("""COMPUTED_VALUE"""),"Yes")</f>
        <v>Yes</v>
      </c>
      <c r="L115" s="5" t="str">
        <f>IFERROR(__xludf.DUMMYFUNCTION("""COMPUTED_VALUE"""),"Yes")</f>
        <v>Yes</v>
      </c>
      <c r="M115" s="5" t="str">
        <f>IFERROR(__xludf.DUMMYFUNCTION("""COMPUTED_VALUE"""),"Yes")</f>
        <v>Yes</v>
      </c>
      <c r="N115" s="5" t="str">
        <f>IFERROR(__xludf.DUMMYFUNCTION("""COMPUTED_VALUE"""),"Yes")</f>
        <v>Yes</v>
      </c>
      <c r="O115" s="5" t="str">
        <f>IFERROR(__xludf.DUMMYFUNCTION("""COMPUTED_VALUE"""),"Yes")</f>
        <v>Yes</v>
      </c>
      <c r="P115" s="5" t="str">
        <f>IFERROR(__xludf.DUMMYFUNCTION("""COMPUTED_VALUE"""),"Yes")</f>
        <v>Yes</v>
      </c>
      <c r="Q115" s="5" t="str">
        <f>IFERROR(__xludf.DUMMYFUNCTION("""COMPUTED_VALUE"""),"Yes")</f>
        <v>Yes</v>
      </c>
      <c r="R115" s="5" t="str">
        <f>IFERROR(__xludf.DUMMYFUNCTION("""COMPUTED_VALUE"""),"Yes")</f>
        <v>Yes</v>
      </c>
      <c r="S115" s="5" t="str">
        <f>IFERROR(__xludf.DUMMYFUNCTION("""COMPUTED_VALUE"""),"Yes")</f>
        <v>Yes</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IFERROR(__xludf.DUMMYFUNCTION("""COMPUTED_VALUE"""),"No")</f>
        <v>No</v>
      </c>
      <c r="AA115" s="5" t="str">
        <f>IFERROR(__xludf.DUMMYFUNCTION("""COMPUTED_VALUE"""),"Yes")</f>
        <v>Yes</v>
      </c>
      <c r="AB115" s="5" t="str">
        <f>IFERROR(__xludf.DUMMYFUNCTION("""COMPUTED_VALUE"""),"Yes")</f>
        <v>Yes</v>
      </c>
      <c r="AC115" s="5" t="str">
        <f>IFERROR(__xludf.DUMMYFUNCTION("""COMPUTED_VALUE"""),"Yes")</f>
        <v>Yes</v>
      </c>
      <c r="AD115" s="5" t="str">
        <f>IFERROR(__xludf.DUMMYFUNCTION("""COMPUTED_VALUE"""),"Yes")</f>
        <v>Yes</v>
      </c>
      <c r="AE115" s="5" t="str">
        <f>IFERROR(__xludf.DUMMYFUNCTION("""COMPUTED_VALUE"""),"No")</f>
        <v>No</v>
      </c>
      <c r="AF115" s="5" t="str">
        <f>IFERROR(__xludf.DUMMYFUNCTION("""COMPUTED_VALUE"""),"Yes")</f>
        <v>Yes</v>
      </c>
      <c r="AG115" s="5" t="str">
        <f>IFERROR(__xludf.DUMMYFUNCTION("""COMPUTED_VALUE"""),"No")</f>
        <v>No</v>
      </c>
      <c r="AH115" s="5" t="str">
        <f>IFERROR(__xludf.DUMMYFUNCTION("""COMPUTED_VALUE"""),"No")</f>
        <v>No</v>
      </c>
      <c r="AI115" s="5" t="str">
        <f>IFERROR(__xludf.DUMMYFUNCTION("""COMPUTED_VALUE"""),"No")</f>
        <v>No</v>
      </c>
      <c r="AJ115" s="5" t="str">
        <f>IFERROR(__xludf.DUMMYFUNCTION("""COMPUTED_VALUE"""),"No")</f>
        <v>No</v>
      </c>
      <c r="AK115" s="5" t="str">
        <f>IFERROR(__xludf.DUMMYFUNCTION("""COMPUTED_VALUE"""),"No")</f>
        <v>No</v>
      </c>
      <c r="AL115" s="5" t="str">
        <f>IFERROR(__xludf.DUMMYFUNCTION("""COMPUTED_VALUE"""),"No")</f>
        <v>No</v>
      </c>
      <c r="AM115" s="5"/>
      <c r="AN115" s="5"/>
      <c r="AO115" s="5"/>
      <c r="AP115" s="5"/>
      <c r="AQ115" s="5"/>
      <c r="AR115" s="5"/>
      <c r="AS115" s="5"/>
      <c r="AT115" s="5"/>
      <c r="AU115" s="5"/>
      <c r="AV115" s="5"/>
      <c r="AW115" s="5"/>
      <c r="AX115" s="5"/>
      <c r="AY115" s="5"/>
    </row>
    <row r="116">
      <c r="A116" s="5" t="str">
        <f>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16" s="5">
        <f>IFERROR(__xludf.DUMMYFUNCTION("""COMPUTED_VALUE"""),115.0)</f>
        <v>115</v>
      </c>
      <c r="C116" s="5">
        <f>IFERROR(__xludf.DUMMYFUNCTION("""COMPUTED_VALUE"""),114.0)</f>
        <v>114</v>
      </c>
      <c r="D116" s="5" t="str">
        <f>IFERROR(__xludf.DUMMYFUNCTION("""COMPUTED_VALUE"""),"WildClover506")</f>
        <v>WildClover506</v>
      </c>
      <c r="E116" s="5" t="str">
        <f>IFERROR(__xludf.DUMMYFUNCTION("""COMPUTED_VALUE"""),"Yes")</f>
        <v>Yes</v>
      </c>
      <c r="F116" s="5" t="str">
        <f>IFERROR(__xludf.DUMMYFUNCTION("""COMPUTED_VALUE"""),"Yes")</f>
        <v>Yes</v>
      </c>
      <c r="G116" s="5" t="str">
        <f>IFERROR(__xludf.DUMMYFUNCTION("""COMPUTED_VALUE"""),"No")</f>
        <v>No</v>
      </c>
      <c r="H116" s="5" t="str">
        <f>IFERROR(__xludf.DUMMYFUNCTION("""COMPUTED_VALUE"""),"Yes")</f>
        <v>Yes</v>
      </c>
      <c r="I116" s="5" t="str">
        <f>IFERROR(__xludf.DUMMYFUNCTION("""COMPUTED_VALUE"""),"Yes")</f>
        <v>Yes</v>
      </c>
      <c r="J116" s="5" t="str">
        <f>IFERROR(__xludf.DUMMYFUNCTION("""COMPUTED_VALUE"""),"Yes")</f>
        <v>Yes</v>
      </c>
      <c r="K116" s="5" t="str">
        <f>IFERROR(__xludf.DUMMYFUNCTION("""COMPUTED_VALUE"""),"Yes")</f>
        <v>Yes</v>
      </c>
      <c r="L116" s="5" t="str">
        <f>IFERROR(__xludf.DUMMYFUNCTION("""COMPUTED_VALUE"""),"Yes")</f>
        <v>Yes</v>
      </c>
      <c r="M116" s="5" t="str">
        <f>IFERROR(__xludf.DUMMYFUNCTION("""COMPUTED_VALUE"""),"Yes")</f>
        <v>Yes</v>
      </c>
      <c r="N116" s="5" t="str">
        <f>IFERROR(__xludf.DUMMYFUNCTION("""COMPUTED_VALUE"""),"Yes")</f>
        <v>Yes</v>
      </c>
      <c r="O116" s="5" t="str">
        <f>IFERROR(__xludf.DUMMYFUNCTION("""COMPUTED_VALUE"""),"Yes")</f>
        <v>Yes</v>
      </c>
      <c r="P116" s="5" t="str">
        <f>IFERROR(__xludf.DUMMYFUNCTION("""COMPUTED_VALUE"""),"Yes")</f>
        <v>Yes</v>
      </c>
      <c r="Q116" s="5" t="str">
        <f>IFERROR(__xludf.DUMMYFUNCTION("""COMPUTED_VALUE"""),"No")</f>
        <v>No</v>
      </c>
      <c r="R116" s="5" t="str">
        <f>IFERROR(__xludf.DUMMYFUNCTION("""COMPUTED_VALUE"""),"No")</f>
        <v>No</v>
      </c>
      <c r="S116" s="5" t="str">
        <f>IFERROR(__xludf.DUMMYFUNCTION("""COMPUTED_VALUE"""),"Yes")</f>
        <v>Yes</v>
      </c>
      <c r="T116" s="5" t="str">
        <f>IFERROR(__xludf.DUMMYFUNCTION("""COMPUTED_VALUE"""),"No")</f>
        <v>No</v>
      </c>
      <c r="U116" s="5" t="str">
        <f>IFERROR(__xludf.DUMMYFUNCTION("""COMPUTED_VALUE"""),"No")</f>
        <v>No</v>
      </c>
      <c r="V116" s="5" t="str">
        <f>IFERROR(__xludf.DUMMYFUNCTION("""COMPUTED_VALUE"""),"No")</f>
        <v>No</v>
      </c>
      <c r="W116" s="5" t="str">
        <f>IFERROR(__xludf.DUMMYFUNCTION("""COMPUTED_VALUE"""),"No")</f>
        <v>No</v>
      </c>
      <c r="X116" s="5" t="str">
        <f>IFERROR(__xludf.DUMMYFUNCTION("""COMPUTED_VALUE"""),"No")</f>
        <v>No</v>
      </c>
      <c r="Y116" s="5" t="str">
        <f>IFERROR(__xludf.DUMMYFUNCTION("""COMPUTED_VALUE"""),"No")</f>
        <v>No</v>
      </c>
      <c r="Z116" s="5" t="str">
        <f>IFERROR(__xludf.DUMMYFUNCTION("""COMPUTED_VALUE"""),"No")</f>
        <v>No</v>
      </c>
      <c r="AA116" s="5" t="str">
        <f>IFERROR(__xludf.DUMMYFUNCTION("""COMPUTED_VALUE"""),"No")</f>
        <v>No</v>
      </c>
      <c r="AB116" s="5" t="str">
        <f>IFERROR(__xludf.DUMMYFUNCTION("""COMPUTED_VALUE"""),"No")</f>
        <v>No</v>
      </c>
      <c r="AC116" s="5" t="str">
        <f>IFERROR(__xludf.DUMMYFUNCTION("""COMPUTED_VALUE"""),"No")</f>
        <v>No</v>
      </c>
      <c r="AD116" s="5" t="str">
        <f>IFERROR(__xludf.DUMMYFUNCTION("""COMPUTED_VALUE"""),"No")</f>
        <v>No</v>
      </c>
      <c r="AE116" s="5" t="str">
        <f>IFERROR(__xludf.DUMMYFUNCTION("""COMPUTED_VALUE"""),"No")</f>
        <v>No</v>
      </c>
      <c r="AF116" s="5" t="str">
        <f>IFERROR(__xludf.DUMMYFUNCTION("""COMPUTED_VALUE"""),"Yes")</f>
        <v>Yes</v>
      </c>
      <c r="AG116" s="5" t="str">
        <f>IFERROR(__xludf.DUMMYFUNCTION("""COMPUTED_VALUE"""),"No")</f>
        <v>No</v>
      </c>
      <c r="AH116" s="5" t="str">
        <f>IFERROR(__xludf.DUMMYFUNCTION("""COMPUTED_VALUE"""),"Yes")</f>
        <v>Yes</v>
      </c>
      <c r="AI116" s="5" t="str">
        <f>IFERROR(__xludf.DUMMYFUNCTION("""COMPUTED_VALUE"""),"No")</f>
        <v>No</v>
      </c>
      <c r="AJ116" s="5" t="str">
        <f>IFERROR(__xludf.DUMMYFUNCTION("""COMPUTED_VALUE"""),"No")</f>
        <v>No</v>
      </c>
      <c r="AK116" s="5" t="str">
        <f>IFERROR(__xludf.DUMMYFUNCTION("""COMPUTED_VALUE"""),"No")</f>
        <v>No</v>
      </c>
      <c r="AL116" s="5" t="str">
        <f>IFERROR(__xludf.DUMMYFUNCTION("""COMPUTED_VALUE"""),"No")</f>
        <v>No</v>
      </c>
      <c r="AM116" s="5"/>
      <c r="AN116" s="5"/>
      <c r="AO116" s="5"/>
      <c r="AP116" s="5"/>
      <c r="AQ116" s="5"/>
      <c r="AR116" s="5"/>
      <c r="AS116" s="5"/>
      <c r="AT116" s="5"/>
      <c r="AU116" s="5"/>
      <c r="AV116" s="5"/>
      <c r="AW116" s="5"/>
      <c r="AX116" s="5"/>
      <c r="AY116" s="5"/>
    </row>
    <row r="117">
      <c r="A1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7" s="5">
        <f>IFERROR(__xludf.DUMMYFUNCTION("""COMPUTED_VALUE"""),116.0)</f>
        <v>116</v>
      </c>
      <c r="C117" s="5">
        <f>IFERROR(__xludf.DUMMYFUNCTION("""COMPUTED_VALUE"""),115.0)</f>
        <v>115</v>
      </c>
      <c r="D117" s="5" t="str">
        <f>IFERROR(__xludf.DUMMYFUNCTION("""COMPUTED_VALUE"""),"TwinklingHot80")</f>
        <v>TwinklingHot80</v>
      </c>
      <c r="E117" s="5" t="str">
        <f>IFERROR(__xludf.DUMMYFUNCTION("""COMPUTED_VALUE"""),"Yes")</f>
        <v>Yes</v>
      </c>
      <c r="F117" s="5" t="str">
        <f>IFERROR(__xludf.DUMMYFUNCTION("""COMPUTED_VALUE"""),"Yes")</f>
        <v>Yes</v>
      </c>
      <c r="G117" s="5" t="str">
        <f>IFERROR(__xludf.DUMMYFUNCTION("""COMPUTED_VALUE"""),"Yes")</f>
        <v>Yes</v>
      </c>
      <c r="H117" s="5" t="str">
        <f>IFERROR(__xludf.DUMMYFUNCTION("""COMPUTED_VALUE"""),"Yes")</f>
        <v>Yes</v>
      </c>
      <c r="I117" s="5" t="str">
        <f>IFERROR(__xludf.DUMMYFUNCTION("""COMPUTED_VALUE"""),"Yes")</f>
        <v>Yes</v>
      </c>
      <c r="J117" s="5" t="str">
        <f>IFERROR(__xludf.DUMMYFUNCTION("""COMPUTED_VALUE"""),"Yes")</f>
        <v>Yes</v>
      </c>
      <c r="K117" s="5" t="str">
        <f>IFERROR(__xludf.DUMMYFUNCTION("""COMPUTED_VALUE"""),"Yes")</f>
        <v>Yes</v>
      </c>
      <c r="L117" s="5" t="str">
        <f>IFERROR(__xludf.DUMMYFUNCTION("""COMPUTED_VALUE"""),"Yes")</f>
        <v>Yes</v>
      </c>
      <c r="M117" s="5" t="str">
        <f>IFERROR(__xludf.DUMMYFUNCTION("""COMPUTED_VALUE"""),"Yes")</f>
        <v>Yes</v>
      </c>
      <c r="N117" s="5" t="str">
        <f>IFERROR(__xludf.DUMMYFUNCTION("""COMPUTED_VALUE"""),"Yes")</f>
        <v>Yes</v>
      </c>
      <c r="O117" s="5" t="str">
        <f>IFERROR(__xludf.DUMMYFUNCTION("""COMPUTED_VALUE"""),"Yes")</f>
        <v>Yes</v>
      </c>
      <c r="P117" s="5" t="str">
        <f>IFERROR(__xludf.DUMMYFUNCTION("""COMPUTED_VALUE"""),"Yes")</f>
        <v>Yes</v>
      </c>
      <c r="Q117" s="5" t="str">
        <f>IFERROR(__xludf.DUMMYFUNCTION("""COMPUTED_VALUE"""),"Yes")</f>
        <v>Yes</v>
      </c>
      <c r="R117" s="5" t="str">
        <f>IFERROR(__xludf.DUMMYFUNCTION("""COMPUTED_VALUE"""),"Yes")</f>
        <v>Yes</v>
      </c>
      <c r="S117" s="5" t="str">
        <f>IFERROR(__xludf.DUMMYFUNCTION("""COMPUTED_VALUE"""),"Yes")</f>
        <v>Yes</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IFERROR(__xludf.DUMMYFUNCTION("""COMPUTED_VALUE"""),"No")</f>
        <v>No</v>
      </c>
      <c r="AA117" s="5" t="str">
        <f>IFERROR(__xludf.DUMMYFUNCTION("""COMPUTED_VALUE"""),"Yes")</f>
        <v>Yes</v>
      </c>
      <c r="AB117" s="5" t="str">
        <f>IFERROR(__xludf.DUMMYFUNCTION("""COMPUTED_VALUE"""),"Yes")</f>
        <v>Yes</v>
      </c>
      <c r="AC117" s="5" t="str">
        <f>IFERROR(__xludf.DUMMYFUNCTION("""COMPUTED_VALUE"""),"Yes")</f>
        <v>Yes</v>
      </c>
      <c r="AD117" s="5" t="str">
        <f>IFERROR(__xludf.DUMMYFUNCTION("""COMPUTED_VALUE"""),"Yes")</f>
        <v>Yes</v>
      </c>
      <c r="AE117" s="5" t="str">
        <f>IFERROR(__xludf.DUMMYFUNCTION("""COMPUTED_VALUE"""),"No")</f>
        <v>No</v>
      </c>
      <c r="AF117" s="5" t="str">
        <f>IFERROR(__xludf.DUMMYFUNCTION("""COMPUTED_VALUE"""),"Yes")</f>
        <v>Yes</v>
      </c>
      <c r="AG117" s="5" t="str">
        <f>IFERROR(__xludf.DUMMYFUNCTION("""COMPUTED_VALUE"""),"No")</f>
        <v>No</v>
      </c>
      <c r="AH117" s="5" t="str">
        <f>IFERROR(__xludf.DUMMYFUNCTION("""COMPUTED_VALUE"""),"No")</f>
        <v>No</v>
      </c>
      <c r="AI117" s="5" t="str">
        <f>IFERROR(__xludf.DUMMYFUNCTION("""COMPUTED_VALUE"""),"No")</f>
        <v>No</v>
      </c>
      <c r="AJ117" s="5" t="str">
        <f>IFERROR(__xludf.DUMMYFUNCTION("""COMPUTED_VALUE"""),"No")</f>
        <v>No</v>
      </c>
      <c r="AK117" s="5" t="str">
        <f>IFERROR(__xludf.DUMMYFUNCTION("""COMPUTED_VALUE"""),"No")</f>
        <v>No</v>
      </c>
      <c r="AL117" s="5" t="str">
        <f>IFERROR(__xludf.DUMMYFUNCTION("""COMPUTED_VALUE"""),"No")</f>
        <v>No</v>
      </c>
      <c r="AM117" s="5"/>
      <c r="AN117" s="5"/>
      <c r="AO117" s="5"/>
      <c r="AP117" s="5"/>
      <c r="AQ117" s="5"/>
      <c r="AR117" s="5"/>
      <c r="AS117" s="5"/>
      <c r="AT117" s="5"/>
      <c r="AU117" s="5"/>
      <c r="AV117" s="5"/>
      <c r="AW117" s="5"/>
      <c r="AX117" s="5"/>
      <c r="AY117" s="5"/>
    </row>
    <row r="118">
      <c r="A11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18" s="5">
        <f>IFERROR(__xludf.DUMMYFUNCTION("""COMPUTED_VALUE"""),117.0)</f>
        <v>117</v>
      </c>
      <c r="C118" s="5">
        <f>IFERROR(__xludf.DUMMYFUNCTION("""COMPUTED_VALUE"""),116.0)</f>
        <v>116</v>
      </c>
      <c r="D118" s="5" t="str">
        <f>IFERROR(__xludf.DUMMYFUNCTION("""COMPUTED_VALUE"""),"UnicornIslandRespins")</f>
        <v>UnicornIslandRespins</v>
      </c>
      <c r="E118" s="5" t="str">
        <f>IFERROR(__xludf.DUMMYFUNCTION("""COMPUTED_VALUE"""),"Yes")</f>
        <v>Yes</v>
      </c>
      <c r="F118" s="5" t="str">
        <f>IFERROR(__xludf.DUMMYFUNCTION("""COMPUTED_VALUE"""),"Yes")</f>
        <v>Yes</v>
      </c>
      <c r="G118" s="5" t="str">
        <f>IFERROR(__xludf.DUMMYFUNCTION("""COMPUTED_VALUE"""),"Yes")</f>
        <v>Yes</v>
      </c>
      <c r="H118" s="5" t="str">
        <f>IFERROR(__xludf.DUMMYFUNCTION("""COMPUTED_VALUE"""),"No")</f>
        <v>No</v>
      </c>
      <c r="I118" s="5" t="str">
        <f>IFERROR(__xludf.DUMMYFUNCTION("""COMPUTED_VALUE"""),"No")</f>
        <v>No</v>
      </c>
      <c r="J118" s="5" t="str">
        <f>IFERROR(__xludf.DUMMYFUNCTION("""COMPUTED_VALUE"""),"No")</f>
        <v>No</v>
      </c>
      <c r="K118" s="5" t="str">
        <f>IFERROR(__xludf.DUMMYFUNCTION("""COMPUTED_VALUE"""),"No")</f>
        <v>No</v>
      </c>
      <c r="L118" s="5" t="str">
        <f>IFERROR(__xludf.DUMMYFUNCTION("""COMPUTED_VALUE"""),"No")</f>
        <v>No</v>
      </c>
      <c r="M118" s="5" t="str">
        <f>IFERROR(__xludf.DUMMYFUNCTION("""COMPUTED_VALUE"""),"Yes")</f>
        <v>Yes</v>
      </c>
      <c r="N118" s="5" t="str">
        <f>IFERROR(__xludf.DUMMYFUNCTION("""COMPUTED_VALUE"""),"Yes")</f>
        <v>Yes</v>
      </c>
      <c r="O118" s="5" t="str">
        <f>IFERROR(__xludf.DUMMYFUNCTION("""COMPUTED_VALUE"""),"Yes")</f>
        <v>Yes</v>
      </c>
      <c r="P118" s="5" t="str">
        <f>IFERROR(__xludf.DUMMYFUNCTION("""COMPUTED_VALUE"""),"Yes")</f>
        <v>Yes</v>
      </c>
      <c r="Q118" s="5" t="str">
        <f>IFERROR(__xludf.DUMMYFUNCTION("""COMPUTED_VALUE"""),"Yes")</f>
        <v>Yes</v>
      </c>
      <c r="R118" s="5" t="str">
        <f>IFERROR(__xludf.DUMMYFUNCTION("""COMPUTED_VALUE"""),"No")</f>
        <v>No</v>
      </c>
      <c r="S118" s="5" t="str">
        <f>IFERROR(__xludf.DUMMYFUNCTION("""COMPUTED_VALUE"""),"Yes")</f>
        <v>Yes</v>
      </c>
      <c r="T118" s="5" t="str">
        <f>IFERROR(__xludf.DUMMYFUNCTION("""COMPUTED_VALUE"""),"No")</f>
        <v>No</v>
      </c>
      <c r="U118" s="5" t="str">
        <f>IFERROR(__xludf.DUMMYFUNCTION("""COMPUTED_VALUE"""),"No")</f>
        <v>No</v>
      </c>
      <c r="V118" s="5" t="str">
        <f>IFERROR(__xludf.DUMMYFUNCTION("""COMPUTED_VALUE"""),"No")</f>
        <v>No</v>
      </c>
      <c r="W118" s="5" t="str">
        <f>IFERROR(__xludf.DUMMYFUNCTION("""COMPUTED_VALUE"""),"No")</f>
        <v>No</v>
      </c>
      <c r="X118" s="5" t="str">
        <f>IFERROR(__xludf.DUMMYFUNCTION("""COMPUTED_VALUE"""),"No")</f>
        <v>No</v>
      </c>
      <c r="Y118" s="5"/>
      <c r="Z118" s="5"/>
      <c r="AA118" s="5"/>
      <c r="AB118" s="5"/>
      <c r="AC118" s="5" t="str">
        <f>IFERROR(__xludf.DUMMYFUNCTION("""COMPUTED_VALUE"""),"No")</f>
        <v>No</v>
      </c>
      <c r="AD118" s="5"/>
      <c r="AE118" s="5"/>
      <c r="AF118" s="5"/>
      <c r="AG118" s="5"/>
      <c r="AH118" s="5"/>
      <c r="AI118" s="5"/>
      <c r="AJ118" s="5"/>
      <c r="AK118" s="5"/>
      <c r="AL118" s="5"/>
      <c r="AM118" s="5"/>
      <c r="AN118" s="5"/>
      <c r="AO118" s="5"/>
      <c r="AP118" s="5"/>
      <c r="AQ118" s="5"/>
      <c r="AR118" s="5"/>
      <c r="AS118" s="5"/>
      <c r="AT118" s="5"/>
      <c r="AU118" s="5"/>
      <c r="AV118" s="5"/>
      <c r="AW118" s="5"/>
      <c r="AX118" s="5"/>
      <c r="AY118" s="5"/>
    </row>
    <row r="119">
      <c r="A11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19" s="5">
        <f>IFERROR(__xludf.DUMMYFUNCTION("""COMPUTED_VALUE"""),118.0)</f>
        <v>118</v>
      </c>
      <c r="C119" s="5">
        <f>IFERROR(__xludf.DUMMYFUNCTION("""COMPUTED_VALUE"""),117.0)</f>
        <v>117</v>
      </c>
      <c r="D119" s="5" t="str">
        <f>IFERROR(__xludf.DUMMYFUNCTION("""COMPUTED_VALUE"""),"UnicornDiceRespins")</f>
        <v>UnicornDiceRespins</v>
      </c>
      <c r="E119" s="5" t="str">
        <f>IFERROR(__xludf.DUMMYFUNCTION("""COMPUTED_VALUE"""),"Yes")</f>
        <v>Yes</v>
      </c>
      <c r="F119" s="5" t="str">
        <f>IFERROR(__xludf.DUMMYFUNCTION("""COMPUTED_VALUE"""),"Yes")</f>
        <v>Yes</v>
      </c>
      <c r="G119" s="5" t="str">
        <f>IFERROR(__xludf.DUMMYFUNCTION("""COMPUTED_VALUE"""),"Yes")</f>
        <v>Yes</v>
      </c>
      <c r="H119" s="5" t="str">
        <f>IFERROR(__xludf.DUMMYFUNCTION("""COMPUTED_VALUE"""),"No")</f>
        <v>No</v>
      </c>
      <c r="I119" s="5" t="str">
        <f>IFERROR(__xludf.DUMMYFUNCTION("""COMPUTED_VALUE"""),"No")</f>
        <v>No</v>
      </c>
      <c r="J119" s="5" t="str">
        <f>IFERROR(__xludf.DUMMYFUNCTION("""COMPUTED_VALUE"""),"No")</f>
        <v>No</v>
      </c>
      <c r="K119" s="5" t="str">
        <f>IFERROR(__xludf.DUMMYFUNCTION("""COMPUTED_VALUE"""),"No")</f>
        <v>No</v>
      </c>
      <c r="L119" s="5" t="str">
        <f>IFERROR(__xludf.DUMMYFUNCTION("""COMPUTED_VALUE"""),"No")</f>
        <v>No</v>
      </c>
      <c r="M119" s="5" t="str">
        <f>IFERROR(__xludf.DUMMYFUNCTION("""COMPUTED_VALUE"""),"Yes")</f>
        <v>Yes</v>
      </c>
      <c r="N119" s="5" t="str">
        <f>IFERROR(__xludf.DUMMYFUNCTION("""COMPUTED_VALUE"""),"Yes")</f>
        <v>Yes</v>
      </c>
      <c r="O119" s="5" t="str">
        <f>IFERROR(__xludf.DUMMYFUNCTION("""COMPUTED_VALUE"""),"Yes")</f>
        <v>Yes</v>
      </c>
      <c r="P119" s="5" t="str">
        <f>IFERROR(__xludf.DUMMYFUNCTION("""COMPUTED_VALUE"""),"Yes")</f>
        <v>Yes</v>
      </c>
      <c r="Q119" s="5" t="str">
        <f>IFERROR(__xludf.DUMMYFUNCTION("""COMPUTED_VALUE"""),"Yes")</f>
        <v>Yes</v>
      </c>
      <c r="R119" s="5" t="str">
        <f>IFERROR(__xludf.DUMMYFUNCTION("""COMPUTED_VALUE"""),"No")</f>
        <v>No</v>
      </c>
      <c r="S119" s="5" t="str">
        <f>IFERROR(__xludf.DUMMYFUNCTION("""COMPUTED_VALUE"""),"Yes")</f>
        <v>Yes</v>
      </c>
      <c r="T119" s="5" t="str">
        <f>IFERROR(__xludf.DUMMYFUNCTION("""COMPUTED_VALUE"""),"No")</f>
        <v>No</v>
      </c>
      <c r="U119" s="5" t="str">
        <f>IFERROR(__xludf.DUMMYFUNCTION("""COMPUTED_VALUE"""),"No")</f>
        <v>No</v>
      </c>
      <c r="V119" s="5" t="str">
        <f>IFERROR(__xludf.DUMMYFUNCTION("""COMPUTED_VALUE"""),"No")</f>
        <v>No</v>
      </c>
      <c r="W119" s="5" t="str">
        <f>IFERROR(__xludf.DUMMYFUNCTION("""COMPUTED_VALUE"""),"No")</f>
        <v>No</v>
      </c>
      <c r="X119" s="5" t="str">
        <f>IFERROR(__xludf.DUMMYFUNCTION("""COMPUTED_VALUE"""),"No")</f>
        <v>No</v>
      </c>
      <c r="Y119" s="5"/>
      <c r="Z119" s="5"/>
      <c r="AA119" s="5"/>
      <c r="AB119" s="5"/>
      <c r="AC119" s="5" t="str">
        <f>IFERROR(__xludf.DUMMYFUNCTION("""COMPUTED_VALUE"""),"No")</f>
        <v>No</v>
      </c>
      <c r="AD119" s="5"/>
      <c r="AE119" s="5"/>
      <c r="AF119" s="5"/>
      <c r="AG119" s="5"/>
      <c r="AH119" s="5"/>
      <c r="AI119" s="5"/>
      <c r="AJ119" s="5"/>
      <c r="AK119" s="5"/>
      <c r="AL119" s="5"/>
      <c r="AM119" s="5"/>
      <c r="AN119" s="5"/>
      <c r="AO119" s="5"/>
      <c r="AP119" s="5"/>
      <c r="AQ119" s="5"/>
      <c r="AR119" s="5"/>
      <c r="AS119" s="5"/>
      <c r="AT119" s="5"/>
      <c r="AU119" s="5"/>
      <c r="AV119" s="5"/>
      <c r="AW119" s="5"/>
      <c r="AX119" s="5"/>
      <c r="AY119" s="5"/>
    </row>
    <row r="120">
      <c r="A120" s="5" t="str">
        <f>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20" s="5">
        <f>IFERROR(__xludf.DUMMYFUNCTION("""COMPUTED_VALUE"""),119.0)</f>
        <v>119</v>
      </c>
      <c r="C120" s="5">
        <f>IFERROR(__xludf.DUMMYFUNCTION("""COMPUTED_VALUE"""),118.0)</f>
        <v>118</v>
      </c>
      <c r="D120" s="5" t="str">
        <f>IFERROR(__xludf.DUMMYFUNCTION("""COMPUTED_VALUE"""),"LostBook")</f>
        <v>LostBook</v>
      </c>
      <c r="E120" s="5" t="str">
        <f>IFERROR(__xludf.DUMMYFUNCTION("""COMPUTED_VALUE"""),"Yes")</f>
        <v>Yes</v>
      </c>
      <c r="F120" s="5" t="str">
        <f>IFERROR(__xludf.DUMMYFUNCTION("""COMPUTED_VALUE"""),"Yes")</f>
        <v>Yes</v>
      </c>
      <c r="G120" s="5" t="str">
        <f>IFERROR(__xludf.DUMMYFUNCTION("""COMPUTED_VALUE"""),"No")</f>
        <v>No</v>
      </c>
      <c r="H120" s="5" t="str">
        <f>IFERROR(__xludf.DUMMYFUNCTION("""COMPUTED_VALUE"""),"Yes")</f>
        <v>Yes</v>
      </c>
      <c r="I120" s="5" t="str">
        <f>IFERROR(__xludf.DUMMYFUNCTION("""COMPUTED_VALUE"""),"Yes")</f>
        <v>Yes</v>
      </c>
      <c r="J120" s="5" t="str">
        <f>IFERROR(__xludf.DUMMYFUNCTION("""COMPUTED_VALUE"""),"Yes")</f>
        <v>Yes</v>
      </c>
      <c r="K120" s="5" t="str">
        <f>IFERROR(__xludf.DUMMYFUNCTION("""COMPUTED_VALUE"""),"Yes")</f>
        <v>Yes</v>
      </c>
      <c r="L120" s="5" t="str">
        <f>IFERROR(__xludf.DUMMYFUNCTION("""COMPUTED_VALUE"""),"Yes")</f>
        <v>Yes</v>
      </c>
      <c r="M120" s="5" t="str">
        <f>IFERROR(__xludf.DUMMYFUNCTION("""COMPUTED_VALUE"""),"Yes")</f>
        <v>Yes</v>
      </c>
      <c r="N120" s="5" t="str">
        <f>IFERROR(__xludf.DUMMYFUNCTION("""COMPUTED_VALUE"""),"Yes")</f>
        <v>Yes</v>
      </c>
      <c r="O120" s="5" t="str">
        <f>IFERROR(__xludf.DUMMYFUNCTION("""COMPUTED_VALUE"""),"Yes")</f>
        <v>Yes</v>
      </c>
      <c r="P120" s="5" t="str">
        <f>IFERROR(__xludf.DUMMYFUNCTION("""COMPUTED_VALUE"""),"Yes")</f>
        <v>Yes</v>
      </c>
      <c r="Q120" s="5" t="str">
        <f>IFERROR(__xludf.DUMMYFUNCTION("""COMPUTED_VALUE"""),"No")</f>
        <v>No</v>
      </c>
      <c r="R120" s="5" t="str">
        <f>IFERROR(__xludf.DUMMYFUNCTION("""COMPUTED_VALUE"""),"No")</f>
        <v>No</v>
      </c>
      <c r="S120" s="5" t="str">
        <f>IFERROR(__xludf.DUMMYFUNCTION("""COMPUTED_VALUE"""),"Yes")</f>
        <v>Yes</v>
      </c>
      <c r="T120" s="5" t="str">
        <f>IFERROR(__xludf.DUMMYFUNCTION("""COMPUTED_VALUE"""),"No")</f>
        <v>No</v>
      </c>
      <c r="U120" s="5" t="str">
        <f>IFERROR(__xludf.DUMMYFUNCTION("""COMPUTED_VALUE"""),"No")</f>
        <v>No</v>
      </c>
      <c r="V120" s="5" t="str">
        <f>IFERROR(__xludf.DUMMYFUNCTION("""COMPUTED_VALUE"""),"No")</f>
        <v>No</v>
      </c>
      <c r="W120" s="5" t="str">
        <f>IFERROR(__xludf.DUMMYFUNCTION("""COMPUTED_VALUE"""),"No")</f>
        <v>No</v>
      </c>
      <c r="X120" s="5" t="str">
        <f>IFERROR(__xludf.DUMMYFUNCTION("""COMPUTED_VALUE"""),"No")</f>
        <v>No</v>
      </c>
      <c r="Y120" s="5" t="str">
        <f>IFERROR(__xludf.DUMMYFUNCTION("""COMPUTED_VALUE"""),"No")</f>
        <v>No</v>
      </c>
      <c r="Z120" s="5" t="str">
        <f>IFERROR(__xludf.DUMMYFUNCTION("""COMPUTED_VALUE"""),"No")</f>
        <v>No</v>
      </c>
      <c r="AA120" s="5" t="str">
        <f>IFERROR(__xludf.DUMMYFUNCTION("""COMPUTED_VALUE"""),"No")</f>
        <v>No</v>
      </c>
      <c r="AB120" s="5" t="str">
        <f>IFERROR(__xludf.DUMMYFUNCTION("""COMPUTED_VALUE"""),"No")</f>
        <v>No</v>
      </c>
      <c r="AC120" s="5" t="str">
        <f>IFERROR(__xludf.DUMMYFUNCTION("""COMPUTED_VALUE"""),"No")</f>
        <v>No</v>
      </c>
      <c r="AD120" s="5" t="str">
        <f>IFERROR(__xludf.DUMMYFUNCTION("""COMPUTED_VALUE"""),"No")</f>
        <v>No</v>
      </c>
      <c r="AE120" s="5" t="str">
        <f>IFERROR(__xludf.DUMMYFUNCTION("""COMPUTED_VALUE"""),"No")</f>
        <v>No</v>
      </c>
      <c r="AF120" s="5" t="str">
        <f>IFERROR(__xludf.DUMMYFUNCTION("""COMPUTED_VALUE"""),"Yes")</f>
        <v>Yes</v>
      </c>
      <c r="AG120" s="5" t="str">
        <f>IFERROR(__xludf.DUMMYFUNCTION("""COMPUTED_VALUE"""),"No")</f>
        <v>No</v>
      </c>
      <c r="AH120" s="5" t="str">
        <f>IFERROR(__xludf.DUMMYFUNCTION("""COMPUTED_VALUE"""),"Yes")</f>
        <v>Yes</v>
      </c>
      <c r="AI120" s="5" t="str">
        <f>IFERROR(__xludf.DUMMYFUNCTION("""COMPUTED_VALUE"""),"No")</f>
        <v>No</v>
      </c>
      <c r="AJ120" s="5" t="str">
        <f>IFERROR(__xludf.DUMMYFUNCTION("""COMPUTED_VALUE"""),"No")</f>
        <v>No</v>
      </c>
      <c r="AK120" s="5" t="str">
        <f>IFERROR(__xludf.DUMMYFUNCTION("""COMPUTED_VALUE"""),"No")</f>
        <v>No</v>
      </c>
      <c r="AL120" s="5" t="str">
        <f>IFERROR(__xludf.DUMMYFUNCTION("""COMPUTED_VALUE"""),"No")</f>
        <v>No</v>
      </c>
      <c r="AM120" s="5"/>
      <c r="AN120" s="5"/>
      <c r="AO120" s="5"/>
      <c r="AP120" s="5"/>
      <c r="AQ120" s="5"/>
      <c r="AR120" s="5"/>
      <c r="AS120" s="5"/>
      <c r="AT120" s="5"/>
      <c r="AU120" s="5"/>
      <c r="AV120" s="5"/>
      <c r="AW120" s="5"/>
      <c r="AX120" s="5"/>
      <c r="AY120" s="5"/>
    </row>
    <row r="121">
      <c r="A1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1" s="5">
        <f>IFERROR(__xludf.DUMMYFUNCTION("""COMPUTED_VALUE"""),120.0)</f>
        <v>120</v>
      </c>
      <c r="C121" s="5">
        <f>IFERROR(__xludf.DUMMYFUNCTION("""COMPUTED_VALUE"""),119.0)</f>
        <v>119</v>
      </c>
      <c r="D121" s="5" t="str">
        <f>IFERROR(__xludf.DUMMYFUNCTION("""COMPUTED_VALUE"""),"BurstingHot40Mozzart")</f>
        <v>BurstingHot40Mozzart</v>
      </c>
      <c r="E121" s="5" t="str">
        <f>IFERROR(__xludf.DUMMYFUNCTION("""COMPUTED_VALUE"""),"Yes")</f>
        <v>Yes</v>
      </c>
      <c r="F121" s="5" t="str">
        <f>IFERROR(__xludf.DUMMYFUNCTION("""COMPUTED_VALUE"""),"Yes")</f>
        <v>Yes</v>
      </c>
      <c r="G121" s="5" t="str">
        <f>IFERROR(__xludf.DUMMYFUNCTION("""COMPUTED_VALUE"""),"Yes")</f>
        <v>Yes</v>
      </c>
      <c r="H121" s="5" t="str">
        <f>IFERROR(__xludf.DUMMYFUNCTION("""COMPUTED_VALUE"""),"Yes")</f>
        <v>Yes</v>
      </c>
      <c r="I121" s="5" t="str">
        <f>IFERROR(__xludf.DUMMYFUNCTION("""COMPUTED_VALUE"""),"Yes")</f>
        <v>Yes</v>
      </c>
      <c r="J121" s="5" t="str">
        <f>IFERROR(__xludf.DUMMYFUNCTION("""COMPUTED_VALUE"""),"Yes")</f>
        <v>Yes</v>
      </c>
      <c r="K121" s="5" t="str">
        <f>IFERROR(__xludf.DUMMYFUNCTION("""COMPUTED_VALUE"""),"Yes")</f>
        <v>Yes</v>
      </c>
      <c r="L121" s="5" t="str">
        <f>IFERROR(__xludf.DUMMYFUNCTION("""COMPUTED_VALUE"""),"Yes")</f>
        <v>Yes</v>
      </c>
      <c r="M121" s="5" t="str">
        <f>IFERROR(__xludf.DUMMYFUNCTION("""COMPUTED_VALUE"""),"Yes")</f>
        <v>Yes</v>
      </c>
      <c r="N121" s="5" t="str">
        <f>IFERROR(__xludf.DUMMYFUNCTION("""COMPUTED_VALUE"""),"Yes")</f>
        <v>Yes</v>
      </c>
      <c r="O121" s="5" t="str">
        <f>IFERROR(__xludf.DUMMYFUNCTION("""COMPUTED_VALUE"""),"Yes")</f>
        <v>Yes</v>
      </c>
      <c r="P121" s="5" t="str">
        <f>IFERROR(__xludf.DUMMYFUNCTION("""COMPUTED_VALUE"""),"Yes")</f>
        <v>Yes</v>
      </c>
      <c r="Q121" s="5" t="str">
        <f>IFERROR(__xludf.DUMMYFUNCTION("""COMPUTED_VALUE"""),"Yes")</f>
        <v>Yes</v>
      </c>
      <c r="R121" s="5" t="str">
        <f>IFERROR(__xludf.DUMMYFUNCTION("""COMPUTED_VALUE"""),"Yes")</f>
        <v>Yes</v>
      </c>
      <c r="S121" s="5" t="str">
        <f>IFERROR(__xludf.DUMMYFUNCTION("""COMPUTED_VALUE"""),"Yes")</f>
        <v>Yes</v>
      </c>
      <c r="T121" s="5" t="str">
        <f>IFERROR(__xludf.DUMMYFUNCTION("""COMPUTED_VALUE"""),"Yes")</f>
        <v>Yes</v>
      </c>
      <c r="U121" s="5" t="str">
        <f>IFERROR(__xludf.DUMMYFUNCTION("""COMPUTED_VALUE"""),"Yes")</f>
        <v>Yes</v>
      </c>
      <c r="V121" s="5" t="str">
        <f>IFERROR(__xludf.DUMMYFUNCTION("""COMPUTED_VALUE"""),"Yes")</f>
        <v>Yes</v>
      </c>
      <c r="W121" s="5" t="str">
        <f>IFERROR(__xludf.DUMMYFUNCTION("""COMPUTED_VALUE"""),"Yes")</f>
        <v>Yes</v>
      </c>
      <c r="X121" s="5" t="str">
        <f>IFERROR(__xludf.DUMMYFUNCTION("""COMPUTED_VALUE"""),"Yes")</f>
        <v>Yes</v>
      </c>
      <c r="Y121" s="5" t="str">
        <f>IFERROR(__xludf.DUMMYFUNCTION("""COMPUTED_VALUE"""),"Yes")</f>
        <v>Yes</v>
      </c>
      <c r="Z121" s="5" t="str">
        <f>IFERROR(__xludf.DUMMYFUNCTION("""COMPUTED_VALUE"""),"No")</f>
        <v>No</v>
      </c>
      <c r="AA121" s="5" t="str">
        <f>IFERROR(__xludf.DUMMYFUNCTION("""COMPUTED_VALUE"""),"Yes")</f>
        <v>Yes</v>
      </c>
      <c r="AB121" s="5" t="str">
        <f>IFERROR(__xludf.DUMMYFUNCTION("""COMPUTED_VALUE"""),"Yes")</f>
        <v>Yes</v>
      </c>
      <c r="AC121" s="5" t="str">
        <f>IFERROR(__xludf.DUMMYFUNCTION("""COMPUTED_VALUE"""),"Yes")</f>
        <v>Yes</v>
      </c>
      <c r="AD121" s="5" t="str">
        <f>IFERROR(__xludf.DUMMYFUNCTION("""COMPUTED_VALUE"""),"Yes")</f>
        <v>Yes</v>
      </c>
      <c r="AE121" s="5" t="str">
        <f>IFERROR(__xludf.DUMMYFUNCTION("""COMPUTED_VALUE"""),"No")</f>
        <v>No</v>
      </c>
      <c r="AF121" s="5" t="str">
        <f>IFERROR(__xludf.DUMMYFUNCTION("""COMPUTED_VALUE"""),"Yes")</f>
        <v>Yes</v>
      </c>
      <c r="AG121" s="5" t="str">
        <f>IFERROR(__xludf.DUMMYFUNCTION("""COMPUTED_VALUE"""),"No")</f>
        <v>No</v>
      </c>
      <c r="AH121" s="5" t="str">
        <f>IFERROR(__xludf.DUMMYFUNCTION("""COMPUTED_VALUE"""),"No")</f>
        <v>No</v>
      </c>
      <c r="AI121" s="5" t="str">
        <f>IFERROR(__xludf.DUMMYFUNCTION("""COMPUTED_VALUE"""),"No")</f>
        <v>No</v>
      </c>
      <c r="AJ121" s="5" t="str">
        <f>IFERROR(__xludf.DUMMYFUNCTION("""COMPUTED_VALUE"""),"No")</f>
        <v>No</v>
      </c>
      <c r="AK121" s="5" t="str">
        <f>IFERROR(__xludf.DUMMYFUNCTION("""COMPUTED_VALUE"""),"No")</f>
        <v>No</v>
      </c>
      <c r="AL121" s="5" t="str">
        <f>IFERROR(__xludf.DUMMYFUNCTION("""COMPUTED_VALUE"""),"No")</f>
        <v>No</v>
      </c>
      <c r="AM121" s="5"/>
      <c r="AN121" s="5"/>
      <c r="AO121" s="5"/>
      <c r="AP121" s="5"/>
      <c r="AQ121" s="5"/>
      <c r="AR121" s="5"/>
      <c r="AS121" s="5"/>
      <c r="AT121" s="5"/>
      <c r="AU121" s="5"/>
      <c r="AV121" s="5"/>
      <c r="AW121" s="5"/>
      <c r="AX121" s="5"/>
      <c r="AY121" s="5"/>
    </row>
    <row r="122">
      <c r="A1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2" s="5">
        <f>IFERROR(__xludf.DUMMYFUNCTION("""COMPUTED_VALUE"""),121.0)</f>
        <v>121</v>
      </c>
      <c r="C122" s="5">
        <f>IFERROR(__xludf.DUMMYFUNCTION("""COMPUTED_VALUE"""),120.0)</f>
        <v>120</v>
      </c>
      <c r="D122" s="5" t="str">
        <f>IFERROR(__xludf.DUMMYFUNCTION("""COMPUTED_VALUE"""),"GoldenCrownMaxbet")</f>
        <v>GoldenCrownMaxbet</v>
      </c>
      <c r="E122" s="5" t="str">
        <f>IFERROR(__xludf.DUMMYFUNCTION("""COMPUTED_VALUE"""),"Yes")</f>
        <v>Yes</v>
      </c>
      <c r="F122" s="5" t="str">
        <f>IFERROR(__xludf.DUMMYFUNCTION("""COMPUTED_VALUE"""),"Yes")</f>
        <v>Yes</v>
      </c>
      <c r="G122" s="5" t="str">
        <f>IFERROR(__xludf.DUMMYFUNCTION("""COMPUTED_VALUE"""),"Yes")</f>
        <v>Yes</v>
      </c>
      <c r="H122" s="5" t="str">
        <f>IFERROR(__xludf.DUMMYFUNCTION("""COMPUTED_VALUE"""),"Yes")</f>
        <v>Yes</v>
      </c>
      <c r="I122" s="5" t="str">
        <f>IFERROR(__xludf.DUMMYFUNCTION("""COMPUTED_VALUE"""),"Yes")</f>
        <v>Yes</v>
      </c>
      <c r="J122" s="5" t="str">
        <f>IFERROR(__xludf.DUMMYFUNCTION("""COMPUTED_VALUE"""),"Yes")</f>
        <v>Yes</v>
      </c>
      <c r="K122" s="5" t="str">
        <f>IFERROR(__xludf.DUMMYFUNCTION("""COMPUTED_VALUE"""),"Yes")</f>
        <v>Yes</v>
      </c>
      <c r="L122" s="5" t="str">
        <f>IFERROR(__xludf.DUMMYFUNCTION("""COMPUTED_VALUE"""),"Yes")</f>
        <v>Yes</v>
      </c>
      <c r="M122" s="5" t="str">
        <f>IFERROR(__xludf.DUMMYFUNCTION("""COMPUTED_VALUE"""),"Yes")</f>
        <v>Yes</v>
      </c>
      <c r="N122" s="5" t="str">
        <f>IFERROR(__xludf.DUMMYFUNCTION("""COMPUTED_VALUE"""),"Yes")</f>
        <v>Yes</v>
      </c>
      <c r="O122" s="5" t="str">
        <f>IFERROR(__xludf.DUMMYFUNCTION("""COMPUTED_VALUE"""),"Yes")</f>
        <v>Yes</v>
      </c>
      <c r="P122" s="5" t="str">
        <f>IFERROR(__xludf.DUMMYFUNCTION("""COMPUTED_VALUE"""),"Yes")</f>
        <v>Yes</v>
      </c>
      <c r="Q122" s="5" t="str">
        <f>IFERROR(__xludf.DUMMYFUNCTION("""COMPUTED_VALUE"""),"Yes")</f>
        <v>Yes</v>
      </c>
      <c r="R122" s="5" t="str">
        <f>IFERROR(__xludf.DUMMYFUNCTION("""COMPUTED_VALUE"""),"Yes")</f>
        <v>Yes</v>
      </c>
      <c r="S122" s="5" t="str">
        <f>IFERROR(__xludf.DUMMYFUNCTION("""COMPUTED_VALUE"""),"Yes")</f>
        <v>Yes</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IFERROR(__xludf.DUMMYFUNCTION("""COMPUTED_VALUE"""),"No")</f>
        <v>No</v>
      </c>
      <c r="AA122" s="5" t="str">
        <f>IFERROR(__xludf.DUMMYFUNCTION("""COMPUTED_VALUE"""),"Yes")</f>
        <v>Yes</v>
      </c>
      <c r="AB122" s="5" t="str">
        <f>IFERROR(__xludf.DUMMYFUNCTION("""COMPUTED_VALUE"""),"Yes")</f>
        <v>Yes</v>
      </c>
      <c r="AC122" s="5" t="str">
        <f>IFERROR(__xludf.DUMMYFUNCTION("""COMPUTED_VALUE"""),"Yes")</f>
        <v>Yes</v>
      </c>
      <c r="AD122" s="5" t="str">
        <f>IFERROR(__xludf.DUMMYFUNCTION("""COMPUTED_VALUE"""),"Yes")</f>
        <v>Yes</v>
      </c>
      <c r="AE122" s="5" t="str">
        <f>IFERROR(__xludf.DUMMYFUNCTION("""COMPUTED_VALUE"""),"No")</f>
        <v>No</v>
      </c>
      <c r="AF122" s="5" t="str">
        <f>IFERROR(__xludf.DUMMYFUNCTION("""COMPUTED_VALUE"""),"Yes")</f>
        <v>Yes</v>
      </c>
      <c r="AG122" s="5" t="str">
        <f>IFERROR(__xludf.DUMMYFUNCTION("""COMPUTED_VALUE"""),"No")</f>
        <v>No</v>
      </c>
      <c r="AH122" s="5" t="str">
        <f>IFERROR(__xludf.DUMMYFUNCTION("""COMPUTED_VALUE"""),"No")</f>
        <v>No</v>
      </c>
      <c r="AI122" s="5" t="str">
        <f>IFERROR(__xludf.DUMMYFUNCTION("""COMPUTED_VALUE"""),"No")</f>
        <v>No</v>
      </c>
      <c r="AJ122" s="5" t="str">
        <f>IFERROR(__xludf.DUMMYFUNCTION("""COMPUTED_VALUE"""),"No")</f>
        <v>No</v>
      </c>
      <c r="AK122" s="5" t="str">
        <f>IFERROR(__xludf.DUMMYFUNCTION("""COMPUTED_VALUE"""),"No")</f>
        <v>No</v>
      </c>
      <c r="AL122" s="5" t="str">
        <f>IFERROR(__xludf.DUMMYFUNCTION("""COMPUTED_VALUE"""),"No")</f>
        <v>No</v>
      </c>
      <c r="AM122" s="5"/>
      <c r="AN122" s="5"/>
      <c r="AO122" s="5"/>
      <c r="AP122" s="5"/>
      <c r="AQ122" s="5"/>
      <c r="AR122" s="5"/>
      <c r="AS122" s="5"/>
      <c r="AT122" s="5"/>
      <c r="AU122" s="5"/>
      <c r="AV122" s="5"/>
      <c r="AW122" s="5"/>
      <c r="AX122" s="5"/>
      <c r="AY122" s="5"/>
    </row>
    <row r="123">
      <c r="A1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3" s="5">
        <f>IFERROR(__xludf.DUMMYFUNCTION("""COMPUTED_VALUE"""),122.0)</f>
        <v>122</v>
      </c>
      <c r="C123" s="5">
        <f>IFERROR(__xludf.DUMMYFUNCTION("""COMPUTED_VALUE"""),121.0)</f>
        <v>121</v>
      </c>
      <c r="D123" s="5" t="str">
        <f>IFERROR(__xludf.DUMMYFUNCTION("""COMPUTED_VALUE"""),"FireDice40")</f>
        <v>FireDice40</v>
      </c>
      <c r="E123" s="5" t="str">
        <f>IFERROR(__xludf.DUMMYFUNCTION("""COMPUTED_VALUE"""),"Yes")</f>
        <v>Yes</v>
      </c>
      <c r="F123" s="5" t="str">
        <f>IFERROR(__xludf.DUMMYFUNCTION("""COMPUTED_VALUE"""),"Yes")</f>
        <v>Yes</v>
      </c>
      <c r="G123" s="5" t="str">
        <f>IFERROR(__xludf.DUMMYFUNCTION("""COMPUTED_VALUE"""),"Yes")</f>
        <v>Yes</v>
      </c>
      <c r="H123" s="5" t="str">
        <f>IFERROR(__xludf.DUMMYFUNCTION("""COMPUTED_VALUE"""),"Yes")</f>
        <v>Yes</v>
      </c>
      <c r="I123" s="5" t="str">
        <f>IFERROR(__xludf.DUMMYFUNCTION("""COMPUTED_VALUE"""),"Yes")</f>
        <v>Yes</v>
      </c>
      <c r="J123" s="5" t="str">
        <f>IFERROR(__xludf.DUMMYFUNCTION("""COMPUTED_VALUE"""),"Yes")</f>
        <v>Yes</v>
      </c>
      <c r="K123" s="5" t="str">
        <f>IFERROR(__xludf.DUMMYFUNCTION("""COMPUTED_VALUE"""),"Yes")</f>
        <v>Yes</v>
      </c>
      <c r="L123" s="5" t="str">
        <f>IFERROR(__xludf.DUMMYFUNCTION("""COMPUTED_VALUE"""),"Yes")</f>
        <v>Yes</v>
      </c>
      <c r="M123" s="5" t="str">
        <f>IFERROR(__xludf.DUMMYFUNCTION("""COMPUTED_VALUE"""),"Yes")</f>
        <v>Yes</v>
      </c>
      <c r="N123" s="5" t="str">
        <f>IFERROR(__xludf.DUMMYFUNCTION("""COMPUTED_VALUE"""),"Yes")</f>
        <v>Yes</v>
      </c>
      <c r="O123" s="5" t="str">
        <f>IFERROR(__xludf.DUMMYFUNCTION("""COMPUTED_VALUE"""),"Yes")</f>
        <v>Yes</v>
      </c>
      <c r="P123" s="5" t="str">
        <f>IFERROR(__xludf.DUMMYFUNCTION("""COMPUTED_VALUE"""),"Yes")</f>
        <v>Yes</v>
      </c>
      <c r="Q123" s="5" t="str">
        <f>IFERROR(__xludf.DUMMYFUNCTION("""COMPUTED_VALUE"""),"Yes")</f>
        <v>Yes</v>
      </c>
      <c r="R123" s="5" t="str">
        <f>IFERROR(__xludf.DUMMYFUNCTION("""COMPUTED_VALUE"""),"Yes")</f>
        <v>Yes</v>
      </c>
      <c r="S123" s="5" t="str">
        <f>IFERROR(__xludf.DUMMYFUNCTION("""COMPUTED_VALUE"""),"Yes")</f>
        <v>Yes</v>
      </c>
      <c r="T123" s="5" t="str">
        <f>IFERROR(__xludf.DUMMYFUNCTION("""COMPUTED_VALUE"""),"Yes")</f>
        <v>Yes</v>
      </c>
      <c r="U123" s="5" t="str">
        <f>IFERROR(__xludf.DUMMYFUNCTION("""COMPUTED_VALUE"""),"Yes")</f>
        <v>Yes</v>
      </c>
      <c r="V123" s="5" t="str">
        <f>IFERROR(__xludf.DUMMYFUNCTION("""COMPUTED_VALUE"""),"Yes")</f>
        <v>Yes</v>
      </c>
      <c r="W123" s="5" t="str">
        <f>IFERROR(__xludf.DUMMYFUNCTION("""COMPUTED_VALUE"""),"Yes")</f>
        <v>Yes</v>
      </c>
      <c r="X123" s="5" t="str">
        <f>IFERROR(__xludf.DUMMYFUNCTION("""COMPUTED_VALUE"""),"Yes")</f>
        <v>Yes</v>
      </c>
      <c r="Y123" s="5"/>
      <c r="Z123" s="5"/>
      <c r="AA123" s="5"/>
      <c r="AB123" s="5"/>
      <c r="AC123" s="5" t="str">
        <f>IFERROR(__xludf.DUMMYFUNCTION("""COMPUTED_VALUE"""),"Yes")</f>
        <v>Yes</v>
      </c>
      <c r="AD123" s="5"/>
      <c r="AE123" s="5"/>
      <c r="AF123" s="5"/>
      <c r="AG123" s="5"/>
      <c r="AH123" s="5"/>
      <c r="AI123" s="5"/>
      <c r="AJ123" s="5"/>
      <c r="AK123" s="5"/>
      <c r="AL123" s="5"/>
      <c r="AM123" s="5"/>
      <c r="AN123" s="5"/>
      <c r="AO123" s="5"/>
      <c r="AP123" s="5"/>
      <c r="AQ123" s="5"/>
      <c r="AR123" s="5"/>
      <c r="AS123" s="5"/>
      <c r="AT123" s="5"/>
      <c r="AU123" s="5"/>
      <c r="AV123" s="5"/>
      <c r="AW123" s="5"/>
      <c r="AX123" s="5"/>
      <c r="AY123" s="5"/>
    </row>
    <row r="124">
      <c r="A1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24" s="5">
        <f>IFERROR(__xludf.DUMMYFUNCTION("""COMPUTED_VALUE"""),123.0)</f>
        <v>123</v>
      </c>
      <c r="C124" s="5">
        <f>IFERROR(__xludf.DUMMYFUNCTION("""COMPUTED_VALUE"""),122.0)</f>
        <v>122</v>
      </c>
      <c r="D124" s="5" t="str">
        <f>IFERROR(__xludf.DUMMYFUNCTION("""COMPUTED_VALUE"""),"UnicornTheStolenBook")</f>
        <v>UnicornTheStolenBook</v>
      </c>
      <c r="E124" s="5" t="str">
        <f>IFERROR(__xludf.DUMMYFUNCTION("""COMPUTED_VALUE"""),"Yes")</f>
        <v>Yes</v>
      </c>
      <c r="F124" s="5" t="str">
        <f>IFERROR(__xludf.DUMMYFUNCTION("""COMPUTED_VALUE"""),"Yes")</f>
        <v>Yes</v>
      </c>
      <c r="G124" s="5" t="str">
        <f>IFERROR(__xludf.DUMMYFUNCTION("""COMPUTED_VALUE"""),"Yes")</f>
        <v>Yes</v>
      </c>
      <c r="H124" s="5" t="str">
        <f>IFERROR(__xludf.DUMMYFUNCTION("""COMPUTED_VALUE"""),"No")</f>
        <v>No</v>
      </c>
      <c r="I124" s="5" t="str">
        <f>IFERROR(__xludf.DUMMYFUNCTION("""COMPUTED_VALUE"""),"No")</f>
        <v>No</v>
      </c>
      <c r="J124" s="5" t="str">
        <f>IFERROR(__xludf.DUMMYFUNCTION("""COMPUTED_VALUE"""),"No")</f>
        <v>No</v>
      </c>
      <c r="K124" s="5" t="str">
        <f>IFERROR(__xludf.DUMMYFUNCTION("""COMPUTED_VALUE"""),"No")</f>
        <v>No</v>
      </c>
      <c r="L124" s="5" t="str">
        <f>IFERROR(__xludf.DUMMYFUNCTION("""COMPUTED_VALUE"""),"No")</f>
        <v>No</v>
      </c>
      <c r="M124" s="5" t="str">
        <f>IFERROR(__xludf.DUMMYFUNCTION("""COMPUTED_VALUE"""),"Yes")</f>
        <v>Yes</v>
      </c>
      <c r="N124" s="5" t="str">
        <f>IFERROR(__xludf.DUMMYFUNCTION("""COMPUTED_VALUE"""),"Yes")</f>
        <v>Yes</v>
      </c>
      <c r="O124" s="5" t="str">
        <f>IFERROR(__xludf.DUMMYFUNCTION("""COMPUTED_VALUE"""),"Yes")</f>
        <v>Yes</v>
      </c>
      <c r="P124" s="5" t="str">
        <f>IFERROR(__xludf.DUMMYFUNCTION("""COMPUTED_VALUE"""),"Yes")</f>
        <v>Yes</v>
      </c>
      <c r="Q124" s="5" t="str">
        <f>IFERROR(__xludf.DUMMYFUNCTION("""COMPUTED_VALUE"""),"Yes")</f>
        <v>Yes</v>
      </c>
      <c r="R124" s="5" t="str">
        <f>IFERROR(__xludf.DUMMYFUNCTION("""COMPUTED_VALUE"""),"No")</f>
        <v>No</v>
      </c>
      <c r="S124" s="5" t="str">
        <f>IFERROR(__xludf.DUMMYFUNCTION("""COMPUTED_VALUE"""),"Yes")</f>
        <v>Yes</v>
      </c>
      <c r="T124" s="5" t="str">
        <f>IFERROR(__xludf.DUMMYFUNCTION("""COMPUTED_VALUE"""),"No")</f>
        <v>No</v>
      </c>
      <c r="U124" s="5" t="str">
        <f>IFERROR(__xludf.DUMMYFUNCTION("""COMPUTED_VALUE"""),"No")</f>
        <v>No</v>
      </c>
      <c r="V124" s="5" t="str">
        <f>IFERROR(__xludf.DUMMYFUNCTION("""COMPUTED_VALUE"""),"No")</f>
        <v>No</v>
      </c>
      <c r="W124" s="5" t="str">
        <f>IFERROR(__xludf.DUMMYFUNCTION("""COMPUTED_VALUE"""),"No")</f>
        <v>No</v>
      </c>
      <c r="X124" s="5" t="str">
        <f>IFERROR(__xludf.DUMMYFUNCTION("""COMPUTED_VALUE"""),"No")</f>
        <v>No</v>
      </c>
      <c r="Y124" s="5"/>
      <c r="Z124" s="5"/>
      <c r="AA124" s="5"/>
      <c r="AB124" s="5"/>
      <c r="AC124" s="5" t="str">
        <f>IFERROR(__xludf.DUMMYFUNCTION("""COMPUTED_VALUE"""),"No")</f>
        <v>No</v>
      </c>
      <c r="AD124" s="5"/>
      <c r="AE124" s="5"/>
      <c r="AF124" s="5"/>
      <c r="AG124" s="5"/>
      <c r="AH124" s="5"/>
      <c r="AI124" s="5"/>
      <c r="AJ124" s="5"/>
      <c r="AK124" s="5"/>
      <c r="AL124" s="5"/>
      <c r="AM124" s="5"/>
      <c r="AN124" s="5"/>
      <c r="AO124" s="5"/>
      <c r="AP124" s="5"/>
      <c r="AQ124" s="5"/>
      <c r="AR124" s="5"/>
      <c r="AS124" s="5"/>
      <c r="AT124" s="5"/>
      <c r="AU124" s="5"/>
      <c r="AV124" s="5"/>
      <c r="AW124" s="5"/>
      <c r="AX124" s="5"/>
      <c r="AY124" s="5"/>
    </row>
    <row r="125">
      <c r="A1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5" s="5">
        <f>IFERROR(__xludf.DUMMYFUNCTION("""COMPUTED_VALUE"""),124.0)</f>
        <v>124</v>
      </c>
      <c r="C125" s="5">
        <f>IFERROR(__xludf.DUMMYFUNCTION("""COMPUTED_VALUE"""),123.0)</f>
        <v>123</v>
      </c>
      <c r="D125" s="5" t="str">
        <f>IFERROR(__xludf.DUMMYFUNCTION("""COMPUTED_VALUE"""),"LuckyBrilliants")</f>
        <v>LuckyBrilliants</v>
      </c>
      <c r="E125" s="5" t="str">
        <f>IFERROR(__xludf.DUMMYFUNCTION("""COMPUTED_VALUE"""),"Yes")</f>
        <v>Yes</v>
      </c>
      <c r="F125" s="5" t="str">
        <f>IFERROR(__xludf.DUMMYFUNCTION("""COMPUTED_VALUE"""),"Yes")</f>
        <v>Yes</v>
      </c>
      <c r="G125" s="5" t="str">
        <f>IFERROR(__xludf.DUMMYFUNCTION("""COMPUTED_VALUE"""),"Yes")</f>
        <v>Yes</v>
      </c>
      <c r="H125" s="5" t="str">
        <f>IFERROR(__xludf.DUMMYFUNCTION("""COMPUTED_VALUE"""),"Yes")</f>
        <v>Yes</v>
      </c>
      <c r="I125" s="5" t="str">
        <f>IFERROR(__xludf.DUMMYFUNCTION("""COMPUTED_VALUE"""),"Yes")</f>
        <v>Yes</v>
      </c>
      <c r="J125" s="5" t="str">
        <f>IFERROR(__xludf.DUMMYFUNCTION("""COMPUTED_VALUE"""),"Yes")</f>
        <v>Yes</v>
      </c>
      <c r="K125" s="5" t="str">
        <f>IFERROR(__xludf.DUMMYFUNCTION("""COMPUTED_VALUE"""),"Yes")</f>
        <v>Yes</v>
      </c>
      <c r="L125" s="5" t="str">
        <f>IFERROR(__xludf.DUMMYFUNCTION("""COMPUTED_VALUE"""),"Yes")</f>
        <v>Yes</v>
      </c>
      <c r="M125" s="5" t="str">
        <f>IFERROR(__xludf.DUMMYFUNCTION("""COMPUTED_VALUE"""),"Yes")</f>
        <v>Yes</v>
      </c>
      <c r="N125" s="5" t="str">
        <f>IFERROR(__xludf.DUMMYFUNCTION("""COMPUTED_VALUE"""),"Yes")</f>
        <v>Yes</v>
      </c>
      <c r="O125" s="5" t="str">
        <f>IFERROR(__xludf.DUMMYFUNCTION("""COMPUTED_VALUE"""),"Yes")</f>
        <v>Yes</v>
      </c>
      <c r="P125" s="5" t="str">
        <f>IFERROR(__xludf.DUMMYFUNCTION("""COMPUTED_VALUE"""),"Yes")</f>
        <v>Yes</v>
      </c>
      <c r="Q125" s="5" t="str">
        <f>IFERROR(__xludf.DUMMYFUNCTION("""COMPUTED_VALUE"""),"Yes")</f>
        <v>Yes</v>
      </c>
      <c r="R125" s="5" t="str">
        <f>IFERROR(__xludf.DUMMYFUNCTION("""COMPUTED_VALUE"""),"Yes")</f>
        <v>Yes</v>
      </c>
      <c r="S125" s="5" t="str">
        <f>IFERROR(__xludf.DUMMYFUNCTION("""COMPUTED_VALUE"""),"Yes")</f>
        <v>Yes</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IFERROR(__xludf.DUMMYFUNCTION("""COMPUTED_VALUE"""),"No")</f>
        <v>No</v>
      </c>
      <c r="AA125" s="5" t="str">
        <f>IFERROR(__xludf.DUMMYFUNCTION("""COMPUTED_VALUE"""),"Yes")</f>
        <v>Yes</v>
      </c>
      <c r="AB125" s="5" t="str">
        <f>IFERROR(__xludf.DUMMYFUNCTION("""COMPUTED_VALUE"""),"Yes")</f>
        <v>Yes</v>
      </c>
      <c r="AC125" s="5" t="str">
        <f>IFERROR(__xludf.DUMMYFUNCTION("""COMPUTED_VALUE"""),"Yes")</f>
        <v>Yes</v>
      </c>
      <c r="AD125" s="5" t="str">
        <f>IFERROR(__xludf.DUMMYFUNCTION("""COMPUTED_VALUE"""),"Yes")</f>
        <v>Yes</v>
      </c>
      <c r="AE125" s="5" t="str">
        <f>IFERROR(__xludf.DUMMYFUNCTION("""COMPUTED_VALUE"""),"No")</f>
        <v>No</v>
      </c>
      <c r="AF125" s="5" t="str">
        <f>IFERROR(__xludf.DUMMYFUNCTION("""COMPUTED_VALUE"""),"Yes")</f>
        <v>Yes</v>
      </c>
      <c r="AG125" s="5" t="str">
        <f>IFERROR(__xludf.DUMMYFUNCTION("""COMPUTED_VALUE"""),"No")</f>
        <v>No</v>
      </c>
      <c r="AH125" s="5" t="str">
        <f>IFERROR(__xludf.DUMMYFUNCTION("""COMPUTED_VALUE"""),"No")</f>
        <v>No</v>
      </c>
      <c r="AI125" s="5" t="str">
        <f>IFERROR(__xludf.DUMMYFUNCTION("""COMPUTED_VALUE"""),"No")</f>
        <v>No</v>
      </c>
      <c r="AJ125" s="5" t="str">
        <f>IFERROR(__xludf.DUMMYFUNCTION("""COMPUTED_VALUE"""),"No")</f>
        <v>No</v>
      </c>
      <c r="AK125" s="5" t="str">
        <f>IFERROR(__xludf.DUMMYFUNCTION("""COMPUTED_VALUE"""),"No")</f>
        <v>No</v>
      </c>
      <c r="AL125" s="5" t="str">
        <f>IFERROR(__xludf.DUMMYFUNCTION("""COMPUTED_VALUE"""),"No")</f>
        <v>No</v>
      </c>
      <c r="AM125" s="5"/>
      <c r="AN125" s="5"/>
      <c r="AO125" s="5"/>
      <c r="AP125" s="5"/>
      <c r="AQ125" s="5"/>
      <c r="AR125" s="5"/>
      <c r="AS125" s="5"/>
      <c r="AT125" s="5"/>
      <c r="AU125" s="5"/>
      <c r="AV125" s="5"/>
      <c r="AW125" s="5"/>
      <c r="AX125" s="5"/>
      <c r="AY125" s="5"/>
    </row>
    <row r="126">
      <c r="A1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6" s="5">
        <f>IFERROR(__xludf.DUMMYFUNCTION("""COMPUTED_VALUE"""),125.0)</f>
        <v>125</v>
      </c>
      <c r="C126" s="5">
        <f>IFERROR(__xludf.DUMMYFUNCTION("""COMPUTED_VALUE"""),124.0)</f>
        <v>124</v>
      </c>
      <c r="D126" s="5" t="str">
        <f>IFERROR(__xludf.DUMMYFUNCTION("""COMPUTED_VALUE"""),"CrystalHot40Soccer")</f>
        <v>CrystalHot40Soccer</v>
      </c>
      <c r="E126" s="5" t="str">
        <f>IFERROR(__xludf.DUMMYFUNCTION("""COMPUTED_VALUE"""),"Yes")</f>
        <v>Yes</v>
      </c>
      <c r="F126" s="5" t="str">
        <f>IFERROR(__xludf.DUMMYFUNCTION("""COMPUTED_VALUE"""),"Yes")</f>
        <v>Yes</v>
      </c>
      <c r="G126" s="5" t="str">
        <f>IFERROR(__xludf.DUMMYFUNCTION("""COMPUTED_VALUE"""),"Yes")</f>
        <v>Yes</v>
      </c>
      <c r="H126" s="5" t="str">
        <f>IFERROR(__xludf.DUMMYFUNCTION("""COMPUTED_VALUE"""),"Yes")</f>
        <v>Yes</v>
      </c>
      <c r="I126" s="5" t="str">
        <f>IFERROR(__xludf.DUMMYFUNCTION("""COMPUTED_VALUE"""),"Yes")</f>
        <v>Yes</v>
      </c>
      <c r="J126" s="5" t="str">
        <f>IFERROR(__xludf.DUMMYFUNCTION("""COMPUTED_VALUE"""),"Yes")</f>
        <v>Yes</v>
      </c>
      <c r="K126" s="5" t="str">
        <f>IFERROR(__xludf.DUMMYFUNCTION("""COMPUTED_VALUE"""),"Yes")</f>
        <v>Yes</v>
      </c>
      <c r="L126" s="5" t="str">
        <f>IFERROR(__xludf.DUMMYFUNCTION("""COMPUTED_VALUE"""),"Yes")</f>
        <v>Yes</v>
      </c>
      <c r="M126" s="5" t="str">
        <f>IFERROR(__xludf.DUMMYFUNCTION("""COMPUTED_VALUE"""),"Yes")</f>
        <v>Yes</v>
      </c>
      <c r="N126" s="5" t="str">
        <f>IFERROR(__xludf.DUMMYFUNCTION("""COMPUTED_VALUE"""),"Yes")</f>
        <v>Yes</v>
      </c>
      <c r="O126" s="5" t="str">
        <f>IFERROR(__xludf.DUMMYFUNCTION("""COMPUTED_VALUE"""),"Yes")</f>
        <v>Yes</v>
      </c>
      <c r="P126" s="5" t="str">
        <f>IFERROR(__xludf.DUMMYFUNCTION("""COMPUTED_VALUE"""),"Yes")</f>
        <v>Yes</v>
      </c>
      <c r="Q126" s="5" t="str">
        <f>IFERROR(__xludf.DUMMYFUNCTION("""COMPUTED_VALUE"""),"Yes")</f>
        <v>Yes</v>
      </c>
      <c r="R126" s="5" t="str">
        <f>IFERROR(__xludf.DUMMYFUNCTION("""COMPUTED_VALUE"""),"Yes")</f>
        <v>Yes</v>
      </c>
      <c r="S126" s="5" t="str">
        <f>IFERROR(__xludf.DUMMYFUNCTION("""COMPUTED_VALUE"""),"Yes")</f>
        <v>Yes</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IFERROR(__xludf.DUMMYFUNCTION("""COMPUTED_VALUE"""),"No")</f>
        <v>No</v>
      </c>
      <c r="AA126" s="5" t="str">
        <f>IFERROR(__xludf.DUMMYFUNCTION("""COMPUTED_VALUE"""),"Yes")</f>
        <v>Yes</v>
      </c>
      <c r="AB126" s="5" t="str">
        <f>IFERROR(__xludf.DUMMYFUNCTION("""COMPUTED_VALUE"""),"Yes")</f>
        <v>Yes</v>
      </c>
      <c r="AC126" s="5" t="str">
        <f>IFERROR(__xludf.DUMMYFUNCTION("""COMPUTED_VALUE"""),"Yes")</f>
        <v>Yes</v>
      </c>
      <c r="AD126" s="5" t="str">
        <f>IFERROR(__xludf.DUMMYFUNCTION("""COMPUTED_VALUE"""),"Yes")</f>
        <v>Yes</v>
      </c>
      <c r="AE126" s="5" t="str">
        <f>IFERROR(__xludf.DUMMYFUNCTION("""COMPUTED_VALUE"""),"No")</f>
        <v>No</v>
      </c>
      <c r="AF126" s="5" t="str">
        <f>IFERROR(__xludf.DUMMYFUNCTION("""COMPUTED_VALUE"""),"Yes")</f>
        <v>Yes</v>
      </c>
      <c r="AG126" s="5" t="str">
        <f>IFERROR(__xludf.DUMMYFUNCTION("""COMPUTED_VALUE"""),"No")</f>
        <v>No</v>
      </c>
      <c r="AH126" s="5" t="str">
        <f>IFERROR(__xludf.DUMMYFUNCTION("""COMPUTED_VALUE"""),"No")</f>
        <v>No</v>
      </c>
      <c r="AI126" s="5" t="str">
        <f>IFERROR(__xludf.DUMMYFUNCTION("""COMPUTED_VALUE"""),"No")</f>
        <v>No</v>
      </c>
      <c r="AJ126" s="5" t="str">
        <f>IFERROR(__xludf.DUMMYFUNCTION("""COMPUTED_VALUE"""),"No")</f>
        <v>No</v>
      </c>
      <c r="AK126" s="5" t="str">
        <f>IFERROR(__xludf.DUMMYFUNCTION("""COMPUTED_VALUE"""),"No")</f>
        <v>No</v>
      </c>
      <c r="AL126" s="5" t="str">
        <f>IFERROR(__xludf.DUMMYFUNCTION("""COMPUTED_VALUE"""),"No")</f>
        <v>No</v>
      </c>
      <c r="AM126" s="5"/>
      <c r="AN126" s="5"/>
      <c r="AO126" s="5"/>
      <c r="AP126" s="5"/>
      <c r="AQ126" s="5"/>
      <c r="AR126" s="5"/>
      <c r="AS126" s="5"/>
      <c r="AT126" s="5"/>
      <c r="AU126" s="5"/>
      <c r="AV126" s="5"/>
      <c r="AW126" s="5"/>
      <c r="AX126" s="5"/>
      <c r="AY126" s="5"/>
    </row>
    <row r="127">
      <c r="A1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7" s="5">
        <f>IFERROR(__xludf.DUMMYFUNCTION("""COMPUTED_VALUE"""),126.0)</f>
        <v>126</v>
      </c>
      <c r="C127" s="5">
        <f>IFERROR(__xludf.DUMMYFUNCTION("""COMPUTED_VALUE"""),125.0)</f>
        <v>125</v>
      </c>
      <c r="D127" s="5" t="str">
        <f>IFERROR(__xludf.DUMMYFUNCTION("""COMPUTED_VALUE"""),"BurstingHot5Admiral")</f>
        <v>BurstingHot5Admiral</v>
      </c>
      <c r="E127" s="5" t="str">
        <f>IFERROR(__xludf.DUMMYFUNCTION("""COMPUTED_VALUE"""),"Yes")</f>
        <v>Yes</v>
      </c>
      <c r="F127" s="5" t="str">
        <f>IFERROR(__xludf.DUMMYFUNCTION("""COMPUTED_VALUE"""),"Yes")</f>
        <v>Yes</v>
      </c>
      <c r="G127" s="5" t="str">
        <f>IFERROR(__xludf.DUMMYFUNCTION("""COMPUTED_VALUE"""),"Yes")</f>
        <v>Yes</v>
      </c>
      <c r="H127" s="5" t="str">
        <f>IFERROR(__xludf.DUMMYFUNCTION("""COMPUTED_VALUE"""),"Yes")</f>
        <v>Yes</v>
      </c>
      <c r="I127" s="5" t="str">
        <f>IFERROR(__xludf.DUMMYFUNCTION("""COMPUTED_VALUE"""),"Yes")</f>
        <v>Yes</v>
      </c>
      <c r="J127" s="5" t="str">
        <f>IFERROR(__xludf.DUMMYFUNCTION("""COMPUTED_VALUE"""),"Yes")</f>
        <v>Yes</v>
      </c>
      <c r="K127" s="5" t="str">
        <f>IFERROR(__xludf.DUMMYFUNCTION("""COMPUTED_VALUE"""),"Yes")</f>
        <v>Yes</v>
      </c>
      <c r="L127" s="5" t="str">
        <f>IFERROR(__xludf.DUMMYFUNCTION("""COMPUTED_VALUE"""),"Yes")</f>
        <v>Yes</v>
      </c>
      <c r="M127" s="5" t="str">
        <f>IFERROR(__xludf.DUMMYFUNCTION("""COMPUTED_VALUE"""),"Yes")</f>
        <v>Yes</v>
      </c>
      <c r="N127" s="5" t="str">
        <f>IFERROR(__xludf.DUMMYFUNCTION("""COMPUTED_VALUE"""),"Yes")</f>
        <v>Yes</v>
      </c>
      <c r="O127" s="5" t="str">
        <f>IFERROR(__xludf.DUMMYFUNCTION("""COMPUTED_VALUE"""),"Yes")</f>
        <v>Yes</v>
      </c>
      <c r="P127" s="5" t="str">
        <f>IFERROR(__xludf.DUMMYFUNCTION("""COMPUTED_VALUE"""),"Yes")</f>
        <v>Yes</v>
      </c>
      <c r="Q127" s="5" t="str">
        <f>IFERROR(__xludf.DUMMYFUNCTION("""COMPUTED_VALUE"""),"Yes")</f>
        <v>Yes</v>
      </c>
      <c r="R127" s="5" t="str">
        <f>IFERROR(__xludf.DUMMYFUNCTION("""COMPUTED_VALUE"""),"Yes")</f>
        <v>Yes</v>
      </c>
      <c r="S127" s="5" t="str">
        <f>IFERROR(__xludf.DUMMYFUNCTION("""COMPUTED_VALUE"""),"Yes")</f>
        <v>Yes</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IFERROR(__xludf.DUMMYFUNCTION("""COMPUTED_VALUE"""),"No")</f>
        <v>No</v>
      </c>
      <c r="AA127" s="5" t="str">
        <f>IFERROR(__xludf.DUMMYFUNCTION("""COMPUTED_VALUE"""),"Yes")</f>
        <v>Yes</v>
      </c>
      <c r="AB127" s="5" t="str">
        <f>IFERROR(__xludf.DUMMYFUNCTION("""COMPUTED_VALUE"""),"Yes")</f>
        <v>Yes</v>
      </c>
      <c r="AC127" s="5" t="str">
        <f>IFERROR(__xludf.DUMMYFUNCTION("""COMPUTED_VALUE"""),"Yes")</f>
        <v>Yes</v>
      </c>
      <c r="AD127" s="5" t="str">
        <f>IFERROR(__xludf.DUMMYFUNCTION("""COMPUTED_VALUE"""),"Yes")</f>
        <v>Yes</v>
      </c>
      <c r="AE127" s="5" t="str">
        <f>IFERROR(__xludf.DUMMYFUNCTION("""COMPUTED_VALUE"""),"No")</f>
        <v>No</v>
      </c>
      <c r="AF127" s="5" t="str">
        <f>IFERROR(__xludf.DUMMYFUNCTION("""COMPUTED_VALUE"""),"Yes")</f>
        <v>Yes</v>
      </c>
      <c r="AG127" s="5" t="str">
        <f>IFERROR(__xludf.DUMMYFUNCTION("""COMPUTED_VALUE"""),"No")</f>
        <v>No</v>
      </c>
      <c r="AH127" s="5" t="str">
        <f>IFERROR(__xludf.DUMMYFUNCTION("""COMPUTED_VALUE"""),"No")</f>
        <v>No</v>
      </c>
      <c r="AI127" s="5" t="str">
        <f>IFERROR(__xludf.DUMMYFUNCTION("""COMPUTED_VALUE"""),"No")</f>
        <v>No</v>
      </c>
      <c r="AJ127" s="5" t="str">
        <f>IFERROR(__xludf.DUMMYFUNCTION("""COMPUTED_VALUE"""),"No")</f>
        <v>No</v>
      </c>
      <c r="AK127" s="5" t="str">
        <f>IFERROR(__xludf.DUMMYFUNCTION("""COMPUTED_VALUE"""),"No")</f>
        <v>No</v>
      </c>
      <c r="AL127" s="5" t="str">
        <f>IFERROR(__xludf.DUMMYFUNCTION("""COMPUTED_VALUE"""),"No")</f>
        <v>No</v>
      </c>
      <c r="AM127" s="5"/>
      <c r="AN127" s="5"/>
      <c r="AO127" s="5"/>
      <c r="AP127" s="5"/>
      <c r="AQ127" s="5"/>
      <c r="AR127" s="5"/>
      <c r="AS127" s="5"/>
      <c r="AT127" s="5"/>
      <c r="AU127" s="5"/>
      <c r="AV127" s="5"/>
      <c r="AW127" s="5"/>
      <c r="AX127" s="5"/>
      <c r="AY127" s="5"/>
    </row>
    <row r="128">
      <c r="A1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8" s="5">
        <f>IFERROR(__xludf.DUMMYFUNCTION("""COMPUTED_VALUE"""),127.0)</f>
        <v>127</v>
      </c>
      <c r="C128" s="5">
        <f>IFERROR(__xludf.DUMMYFUNCTION("""COMPUTED_VALUE"""),126.0)</f>
        <v>126</v>
      </c>
      <c r="D128" s="5" t="str">
        <f>IFERROR(__xludf.DUMMYFUNCTION("""COMPUTED_VALUE"""),"GoldenCrown20BalkanBet")</f>
        <v>GoldenCrown20BalkanBet</v>
      </c>
      <c r="E128" s="5" t="str">
        <f>IFERROR(__xludf.DUMMYFUNCTION("""COMPUTED_VALUE"""),"Yes")</f>
        <v>Yes</v>
      </c>
      <c r="F128" s="5" t="str">
        <f>IFERROR(__xludf.DUMMYFUNCTION("""COMPUTED_VALUE"""),"Yes")</f>
        <v>Yes</v>
      </c>
      <c r="G128" s="5" t="str">
        <f>IFERROR(__xludf.DUMMYFUNCTION("""COMPUTED_VALUE"""),"Yes")</f>
        <v>Yes</v>
      </c>
      <c r="H128" s="5" t="str">
        <f>IFERROR(__xludf.DUMMYFUNCTION("""COMPUTED_VALUE"""),"Yes")</f>
        <v>Yes</v>
      </c>
      <c r="I128" s="5" t="str">
        <f>IFERROR(__xludf.DUMMYFUNCTION("""COMPUTED_VALUE"""),"Yes")</f>
        <v>Yes</v>
      </c>
      <c r="J128" s="5" t="str">
        <f>IFERROR(__xludf.DUMMYFUNCTION("""COMPUTED_VALUE"""),"Yes")</f>
        <v>Yes</v>
      </c>
      <c r="K128" s="5" t="str">
        <f>IFERROR(__xludf.DUMMYFUNCTION("""COMPUTED_VALUE"""),"Yes")</f>
        <v>Yes</v>
      </c>
      <c r="L128" s="5" t="str">
        <f>IFERROR(__xludf.DUMMYFUNCTION("""COMPUTED_VALUE"""),"Yes")</f>
        <v>Yes</v>
      </c>
      <c r="M128" s="5" t="str">
        <f>IFERROR(__xludf.DUMMYFUNCTION("""COMPUTED_VALUE"""),"Yes")</f>
        <v>Yes</v>
      </c>
      <c r="N128" s="5" t="str">
        <f>IFERROR(__xludf.DUMMYFUNCTION("""COMPUTED_VALUE"""),"Yes")</f>
        <v>Yes</v>
      </c>
      <c r="O128" s="5" t="str">
        <f>IFERROR(__xludf.DUMMYFUNCTION("""COMPUTED_VALUE"""),"Yes")</f>
        <v>Yes</v>
      </c>
      <c r="P128" s="5" t="str">
        <f>IFERROR(__xludf.DUMMYFUNCTION("""COMPUTED_VALUE"""),"Yes")</f>
        <v>Yes</v>
      </c>
      <c r="Q128" s="5" t="str">
        <f>IFERROR(__xludf.DUMMYFUNCTION("""COMPUTED_VALUE"""),"Yes")</f>
        <v>Yes</v>
      </c>
      <c r="R128" s="5" t="str">
        <f>IFERROR(__xludf.DUMMYFUNCTION("""COMPUTED_VALUE"""),"Yes")</f>
        <v>Yes</v>
      </c>
      <c r="S128" s="5" t="str">
        <f>IFERROR(__xludf.DUMMYFUNCTION("""COMPUTED_VALUE"""),"Yes")</f>
        <v>Yes</v>
      </c>
      <c r="T128" s="5" t="str">
        <f>IFERROR(__xludf.DUMMYFUNCTION("""COMPUTED_VALUE"""),"Yes")</f>
        <v>Yes</v>
      </c>
      <c r="U128" s="5" t="str">
        <f>IFERROR(__xludf.DUMMYFUNCTION("""COMPUTED_VALUE"""),"Yes")</f>
        <v>Yes</v>
      </c>
      <c r="V128" s="5" t="str">
        <f>IFERROR(__xludf.DUMMYFUNCTION("""COMPUTED_VALUE"""),"Yes")</f>
        <v>Yes</v>
      </c>
      <c r="W128" s="5" t="str">
        <f>IFERROR(__xludf.DUMMYFUNCTION("""COMPUTED_VALUE"""),"Yes")</f>
        <v>Yes</v>
      </c>
      <c r="X128" s="5" t="str">
        <f>IFERROR(__xludf.DUMMYFUNCTION("""COMPUTED_VALUE"""),"Yes")</f>
        <v>Yes</v>
      </c>
      <c r="Y128" s="5" t="str">
        <f>IFERROR(__xludf.DUMMYFUNCTION("""COMPUTED_VALUE"""),"Yes")</f>
        <v>Yes</v>
      </c>
      <c r="Z128" s="5" t="str">
        <f>IFERROR(__xludf.DUMMYFUNCTION("""COMPUTED_VALUE"""),"No")</f>
        <v>No</v>
      </c>
      <c r="AA128" s="5" t="str">
        <f>IFERROR(__xludf.DUMMYFUNCTION("""COMPUTED_VALUE"""),"Yes")</f>
        <v>Yes</v>
      </c>
      <c r="AB128" s="5" t="str">
        <f>IFERROR(__xludf.DUMMYFUNCTION("""COMPUTED_VALUE"""),"Yes")</f>
        <v>Yes</v>
      </c>
      <c r="AC128" s="5" t="str">
        <f>IFERROR(__xludf.DUMMYFUNCTION("""COMPUTED_VALUE"""),"Yes")</f>
        <v>Yes</v>
      </c>
      <c r="AD128" s="5" t="str">
        <f>IFERROR(__xludf.DUMMYFUNCTION("""COMPUTED_VALUE"""),"Yes")</f>
        <v>Yes</v>
      </c>
      <c r="AE128" s="5" t="str">
        <f>IFERROR(__xludf.DUMMYFUNCTION("""COMPUTED_VALUE"""),"No")</f>
        <v>No</v>
      </c>
      <c r="AF128" s="5" t="str">
        <f>IFERROR(__xludf.DUMMYFUNCTION("""COMPUTED_VALUE"""),"Yes")</f>
        <v>Yes</v>
      </c>
      <c r="AG128" s="5" t="str">
        <f>IFERROR(__xludf.DUMMYFUNCTION("""COMPUTED_VALUE"""),"No")</f>
        <v>No</v>
      </c>
      <c r="AH128" s="5" t="str">
        <f>IFERROR(__xludf.DUMMYFUNCTION("""COMPUTED_VALUE"""),"No")</f>
        <v>No</v>
      </c>
      <c r="AI128" s="5" t="str">
        <f>IFERROR(__xludf.DUMMYFUNCTION("""COMPUTED_VALUE"""),"No")</f>
        <v>No</v>
      </c>
      <c r="AJ128" s="5" t="str">
        <f>IFERROR(__xludf.DUMMYFUNCTION("""COMPUTED_VALUE"""),"No")</f>
        <v>No</v>
      </c>
      <c r="AK128" s="5" t="str">
        <f>IFERROR(__xludf.DUMMYFUNCTION("""COMPUTED_VALUE"""),"No")</f>
        <v>No</v>
      </c>
      <c r="AL128" s="5" t="str">
        <f>IFERROR(__xludf.DUMMYFUNCTION("""COMPUTED_VALUE"""),"No")</f>
        <v>No</v>
      </c>
      <c r="AM128" s="5"/>
      <c r="AN128" s="5"/>
      <c r="AO128" s="5"/>
      <c r="AP128" s="5"/>
      <c r="AQ128" s="5"/>
      <c r="AR128" s="5"/>
      <c r="AS128" s="5"/>
      <c r="AT128" s="5"/>
      <c r="AU128" s="5"/>
      <c r="AV128" s="5"/>
      <c r="AW128" s="5"/>
      <c r="AX128" s="5"/>
      <c r="AY128" s="5"/>
    </row>
    <row r="129">
      <c r="A1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9" s="5">
        <f>IFERROR(__xludf.DUMMYFUNCTION("""COMPUTED_VALUE"""),128.0)</f>
        <v>128</v>
      </c>
      <c r="C129" s="5">
        <f>IFERROR(__xludf.DUMMYFUNCTION("""COMPUTED_VALUE"""),127.0)</f>
        <v>127</v>
      </c>
      <c r="D129" s="5" t="str">
        <f>IFERROR(__xludf.DUMMYFUNCTION("""COMPUTED_VALUE"""),"WildHot40Meridian")</f>
        <v>WildHot40Meridian</v>
      </c>
      <c r="E129" s="5" t="str">
        <f>IFERROR(__xludf.DUMMYFUNCTION("""COMPUTED_VALUE"""),"Yes")</f>
        <v>Yes</v>
      </c>
      <c r="F129" s="5" t="str">
        <f>IFERROR(__xludf.DUMMYFUNCTION("""COMPUTED_VALUE"""),"Yes")</f>
        <v>Yes</v>
      </c>
      <c r="G129" s="5" t="str">
        <f>IFERROR(__xludf.DUMMYFUNCTION("""COMPUTED_VALUE"""),"Yes")</f>
        <v>Yes</v>
      </c>
      <c r="H129" s="5" t="str">
        <f>IFERROR(__xludf.DUMMYFUNCTION("""COMPUTED_VALUE"""),"Yes")</f>
        <v>Yes</v>
      </c>
      <c r="I129" s="5" t="str">
        <f>IFERROR(__xludf.DUMMYFUNCTION("""COMPUTED_VALUE"""),"Yes")</f>
        <v>Yes</v>
      </c>
      <c r="J129" s="5" t="str">
        <f>IFERROR(__xludf.DUMMYFUNCTION("""COMPUTED_VALUE"""),"Yes")</f>
        <v>Yes</v>
      </c>
      <c r="K129" s="5" t="str">
        <f>IFERROR(__xludf.DUMMYFUNCTION("""COMPUTED_VALUE"""),"Yes")</f>
        <v>Yes</v>
      </c>
      <c r="L129" s="5" t="str">
        <f>IFERROR(__xludf.DUMMYFUNCTION("""COMPUTED_VALUE"""),"Yes")</f>
        <v>Yes</v>
      </c>
      <c r="M129" s="5" t="str">
        <f>IFERROR(__xludf.DUMMYFUNCTION("""COMPUTED_VALUE"""),"Yes")</f>
        <v>Yes</v>
      </c>
      <c r="N129" s="5" t="str">
        <f>IFERROR(__xludf.DUMMYFUNCTION("""COMPUTED_VALUE"""),"Yes")</f>
        <v>Yes</v>
      </c>
      <c r="O129" s="5" t="str">
        <f>IFERROR(__xludf.DUMMYFUNCTION("""COMPUTED_VALUE"""),"Yes")</f>
        <v>Yes</v>
      </c>
      <c r="P129" s="5" t="str">
        <f>IFERROR(__xludf.DUMMYFUNCTION("""COMPUTED_VALUE"""),"Yes")</f>
        <v>Yes</v>
      </c>
      <c r="Q129" s="5" t="str">
        <f>IFERROR(__xludf.DUMMYFUNCTION("""COMPUTED_VALUE"""),"Yes")</f>
        <v>Yes</v>
      </c>
      <c r="R129" s="5" t="str">
        <f>IFERROR(__xludf.DUMMYFUNCTION("""COMPUTED_VALUE"""),"Yes")</f>
        <v>Yes</v>
      </c>
      <c r="S129" s="5" t="str">
        <f>IFERROR(__xludf.DUMMYFUNCTION("""COMPUTED_VALUE"""),"Yes")</f>
        <v>Yes</v>
      </c>
      <c r="T129" s="5" t="str">
        <f>IFERROR(__xludf.DUMMYFUNCTION("""COMPUTED_VALUE"""),"Yes")</f>
        <v>Yes</v>
      </c>
      <c r="U129" s="5" t="str">
        <f>IFERROR(__xludf.DUMMYFUNCTION("""COMPUTED_VALUE"""),"Yes")</f>
        <v>Yes</v>
      </c>
      <c r="V129" s="5" t="str">
        <f>IFERROR(__xludf.DUMMYFUNCTION("""COMPUTED_VALUE"""),"Yes")</f>
        <v>Yes</v>
      </c>
      <c r="W129" s="5" t="str">
        <f>IFERROR(__xludf.DUMMYFUNCTION("""COMPUTED_VALUE"""),"Yes")</f>
        <v>Yes</v>
      </c>
      <c r="X129" s="5" t="str">
        <f>IFERROR(__xludf.DUMMYFUNCTION("""COMPUTED_VALUE"""),"Yes")</f>
        <v>Yes</v>
      </c>
      <c r="Y129" s="5" t="str">
        <f>IFERROR(__xludf.DUMMYFUNCTION("""COMPUTED_VALUE"""),"Yes")</f>
        <v>Yes</v>
      </c>
      <c r="Z129" s="5" t="str">
        <f>IFERROR(__xludf.DUMMYFUNCTION("""COMPUTED_VALUE"""),"No")</f>
        <v>No</v>
      </c>
      <c r="AA129" s="5" t="str">
        <f>IFERROR(__xludf.DUMMYFUNCTION("""COMPUTED_VALUE"""),"Yes")</f>
        <v>Yes</v>
      </c>
      <c r="AB129" s="5" t="str">
        <f>IFERROR(__xludf.DUMMYFUNCTION("""COMPUTED_VALUE"""),"Yes")</f>
        <v>Yes</v>
      </c>
      <c r="AC129" s="5" t="str">
        <f>IFERROR(__xludf.DUMMYFUNCTION("""COMPUTED_VALUE"""),"Yes")</f>
        <v>Yes</v>
      </c>
      <c r="AD129" s="5" t="str">
        <f>IFERROR(__xludf.DUMMYFUNCTION("""COMPUTED_VALUE"""),"Yes")</f>
        <v>Yes</v>
      </c>
      <c r="AE129" s="5" t="str">
        <f>IFERROR(__xludf.DUMMYFUNCTION("""COMPUTED_VALUE"""),"No")</f>
        <v>No</v>
      </c>
      <c r="AF129" s="5" t="str">
        <f>IFERROR(__xludf.DUMMYFUNCTION("""COMPUTED_VALUE"""),"Yes")</f>
        <v>Yes</v>
      </c>
      <c r="AG129" s="5" t="str">
        <f>IFERROR(__xludf.DUMMYFUNCTION("""COMPUTED_VALUE"""),"No")</f>
        <v>No</v>
      </c>
      <c r="AH129" s="5" t="str">
        <f>IFERROR(__xludf.DUMMYFUNCTION("""COMPUTED_VALUE"""),"No")</f>
        <v>No</v>
      </c>
      <c r="AI129" s="5" t="str">
        <f>IFERROR(__xludf.DUMMYFUNCTION("""COMPUTED_VALUE"""),"No")</f>
        <v>No</v>
      </c>
      <c r="AJ129" s="5" t="str">
        <f>IFERROR(__xludf.DUMMYFUNCTION("""COMPUTED_VALUE"""),"No")</f>
        <v>No</v>
      </c>
      <c r="AK129" s="5" t="str">
        <f>IFERROR(__xludf.DUMMYFUNCTION("""COMPUTED_VALUE"""),"No")</f>
        <v>No</v>
      </c>
      <c r="AL129" s="5" t="str">
        <f>IFERROR(__xludf.DUMMYFUNCTION("""COMPUTED_VALUE"""),"No")</f>
        <v>No</v>
      </c>
      <c r="AM129" s="5"/>
      <c r="AN129" s="5"/>
      <c r="AO129" s="5"/>
      <c r="AP129" s="5"/>
      <c r="AQ129" s="5"/>
      <c r="AR129" s="5"/>
      <c r="AS129" s="5"/>
      <c r="AT129" s="5"/>
      <c r="AU129" s="5"/>
      <c r="AV129" s="5"/>
      <c r="AW129" s="5"/>
      <c r="AX129" s="5"/>
      <c r="AY129" s="5"/>
    </row>
    <row r="130">
      <c r="A1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0" s="5">
        <f>IFERROR(__xludf.DUMMYFUNCTION("""COMPUTED_VALUE"""),129.0)</f>
        <v>129</v>
      </c>
      <c r="C130" s="5">
        <f>IFERROR(__xludf.DUMMYFUNCTION("""COMPUTED_VALUE"""),128.0)</f>
        <v>128</v>
      </c>
      <c r="D130" s="5" t="str">
        <f>IFERROR(__xludf.DUMMYFUNCTION("""COMPUTED_VALUE"""),"CrystalHot40Free")</f>
        <v>CrystalHot40Free</v>
      </c>
      <c r="E130" s="5" t="str">
        <f>IFERROR(__xludf.DUMMYFUNCTION("""COMPUTED_VALUE"""),"Yes")</f>
        <v>Yes</v>
      </c>
      <c r="F130" s="5" t="str">
        <f>IFERROR(__xludf.DUMMYFUNCTION("""COMPUTED_VALUE"""),"Yes")</f>
        <v>Yes</v>
      </c>
      <c r="G130" s="5" t="str">
        <f>IFERROR(__xludf.DUMMYFUNCTION("""COMPUTED_VALUE"""),"Yes")</f>
        <v>Yes</v>
      </c>
      <c r="H130" s="5" t="str">
        <f>IFERROR(__xludf.DUMMYFUNCTION("""COMPUTED_VALUE"""),"Yes")</f>
        <v>Yes</v>
      </c>
      <c r="I130" s="5" t="str">
        <f>IFERROR(__xludf.DUMMYFUNCTION("""COMPUTED_VALUE"""),"Yes")</f>
        <v>Yes</v>
      </c>
      <c r="J130" s="5" t="str">
        <f>IFERROR(__xludf.DUMMYFUNCTION("""COMPUTED_VALUE"""),"Yes")</f>
        <v>Yes</v>
      </c>
      <c r="K130" s="5" t="str">
        <f>IFERROR(__xludf.DUMMYFUNCTION("""COMPUTED_VALUE"""),"Yes")</f>
        <v>Yes</v>
      </c>
      <c r="L130" s="5" t="str">
        <f>IFERROR(__xludf.DUMMYFUNCTION("""COMPUTED_VALUE"""),"Yes")</f>
        <v>Yes</v>
      </c>
      <c r="M130" s="5" t="str">
        <f>IFERROR(__xludf.DUMMYFUNCTION("""COMPUTED_VALUE"""),"Yes")</f>
        <v>Yes</v>
      </c>
      <c r="N130" s="5" t="str">
        <f>IFERROR(__xludf.DUMMYFUNCTION("""COMPUTED_VALUE"""),"Yes")</f>
        <v>Yes</v>
      </c>
      <c r="O130" s="5" t="str">
        <f>IFERROR(__xludf.DUMMYFUNCTION("""COMPUTED_VALUE"""),"Yes")</f>
        <v>Yes</v>
      </c>
      <c r="P130" s="5" t="str">
        <f>IFERROR(__xludf.DUMMYFUNCTION("""COMPUTED_VALUE"""),"Yes")</f>
        <v>Yes</v>
      </c>
      <c r="Q130" s="5" t="str">
        <f>IFERROR(__xludf.DUMMYFUNCTION("""COMPUTED_VALUE"""),"Yes")</f>
        <v>Yes</v>
      </c>
      <c r="R130" s="5" t="str">
        <f>IFERROR(__xludf.DUMMYFUNCTION("""COMPUTED_VALUE"""),"Yes")</f>
        <v>Yes</v>
      </c>
      <c r="S130" s="5" t="str">
        <f>IFERROR(__xludf.DUMMYFUNCTION("""COMPUTED_VALUE"""),"Yes")</f>
        <v>Yes</v>
      </c>
      <c r="T130" s="5" t="str">
        <f>IFERROR(__xludf.DUMMYFUNCTION("""COMPUTED_VALUE"""),"Yes")</f>
        <v>Yes</v>
      </c>
      <c r="U130" s="5" t="str">
        <f>IFERROR(__xludf.DUMMYFUNCTION("""COMPUTED_VALUE"""),"Yes")</f>
        <v>Yes</v>
      </c>
      <c r="V130" s="5" t="str">
        <f>IFERROR(__xludf.DUMMYFUNCTION("""COMPUTED_VALUE"""),"Yes")</f>
        <v>Yes</v>
      </c>
      <c r="W130" s="5" t="str">
        <f>IFERROR(__xludf.DUMMYFUNCTION("""COMPUTED_VALUE"""),"Yes")</f>
        <v>Yes</v>
      </c>
      <c r="X130" s="5" t="str">
        <f>IFERROR(__xludf.DUMMYFUNCTION("""COMPUTED_VALUE"""),"Yes")</f>
        <v>Yes</v>
      </c>
      <c r="Y130" s="5" t="str">
        <f>IFERROR(__xludf.DUMMYFUNCTION("""COMPUTED_VALUE"""),"Yes")</f>
        <v>Yes</v>
      </c>
      <c r="Z130" s="5" t="str">
        <f>IFERROR(__xludf.DUMMYFUNCTION("""COMPUTED_VALUE"""),"No")</f>
        <v>No</v>
      </c>
      <c r="AA130" s="5" t="str">
        <f>IFERROR(__xludf.DUMMYFUNCTION("""COMPUTED_VALUE"""),"Yes")</f>
        <v>Yes</v>
      </c>
      <c r="AB130" s="5" t="str">
        <f>IFERROR(__xludf.DUMMYFUNCTION("""COMPUTED_VALUE"""),"Yes")</f>
        <v>Yes</v>
      </c>
      <c r="AC130" s="5" t="str">
        <f>IFERROR(__xludf.DUMMYFUNCTION("""COMPUTED_VALUE"""),"Yes")</f>
        <v>Yes</v>
      </c>
      <c r="AD130" s="5" t="str">
        <f>IFERROR(__xludf.DUMMYFUNCTION("""COMPUTED_VALUE"""),"Yes")</f>
        <v>Yes</v>
      </c>
      <c r="AE130" s="5" t="str">
        <f>IFERROR(__xludf.DUMMYFUNCTION("""COMPUTED_VALUE"""),"No")</f>
        <v>No</v>
      </c>
      <c r="AF130" s="5" t="str">
        <f>IFERROR(__xludf.DUMMYFUNCTION("""COMPUTED_VALUE"""),"Yes")</f>
        <v>Yes</v>
      </c>
      <c r="AG130" s="5" t="str">
        <f>IFERROR(__xludf.DUMMYFUNCTION("""COMPUTED_VALUE"""),"No")</f>
        <v>No</v>
      </c>
      <c r="AH130" s="5" t="str">
        <f>IFERROR(__xludf.DUMMYFUNCTION("""COMPUTED_VALUE"""),"No")</f>
        <v>No</v>
      </c>
      <c r="AI130" s="5" t="str">
        <f>IFERROR(__xludf.DUMMYFUNCTION("""COMPUTED_VALUE"""),"No")</f>
        <v>No</v>
      </c>
      <c r="AJ130" s="5" t="str">
        <f>IFERROR(__xludf.DUMMYFUNCTION("""COMPUTED_VALUE"""),"No")</f>
        <v>No</v>
      </c>
      <c r="AK130" s="5" t="str">
        <f>IFERROR(__xludf.DUMMYFUNCTION("""COMPUTED_VALUE"""),"No")</f>
        <v>No</v>
      </c>
      <c r="AL130" s="5" t="str">
        <f>IFERROR(__xludf.DUMMYFUNCTION("""COMPUTED_VALUE"""),"No")</f>
        <v>No</v>
      </c>
      <c r="AM130" s="5"/>
      <c r="AN130" s="5"/>
      <c r="AO130" s="5"/>
      <c r="AP130" s="5"/>
      <c r="AQ130" s="5"/>
      <c r="AR130" s="5"/>
      <c r="AS130" s="5"/>
      <c r="AT130" s="5"/>
      <c r="AU130" s="5"/>
      <c r="AV130" s="5"/>
      <c r="AW130" s="5"/>
      <c r="AX130" s="5"/>
      <c r="AY130" s="5"/>
    </row>
    <row r="131">
      <c r="A1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1" s="5">
        <f>IFERROR(__xludf.DUMMYFUNCTION("""COMPUTED_VALUE"""),130.0)</f>
        <v>130</v>
      </c>
      <c r="C131" s="5">
        <f>IFERROR(__xludf.DUMMYFUNCTION("""COMPUTED_VALUE"""),129.0)</f>
        <v>129</v>
      </c>
      <c r="D131" s="5" t="str">
        <f>IFERROR(__xludf.DUMMYFUNCTION("""COMPUTED_VALUE"""),"CrystalHot40Pw")</f>
        <v>CrystalHot40Pw</v>
      </c>
      <c r="E131" s="5" t="str">
        <f>IFERROR(__xludf.DUMMYFUNCTION("""COMPUTED_VALUE"""),"Yes")</f>
        <v>Yes</v>
      </c>
      <c r="F131" s="5" t="str">
        <f>IFERROR(__xludf.DUMMYFUNCTION("""COMPUTED_VALUE"""),"Yes")</f>
        <v>Yes</v>
      </c>
      <c r="G131" s="5" t="str">
        <f>IFERROR(__xludf.DUMMYFUNCTION("""COMPUTED_VALUE"""),"Yes")</f>
        <v>Yes</v>
      </c>
      <c r="H131" s="5" t="str">
        <f>IFERROR(__xludf.DUMMYFUNCTION("""COMPUTED_VALUE"""),"Yes")</f>
        <v>Yes</v>
      </c>
      <c r="I131" s="5" t="str">
        <f>IFERROR(__xludf.DUMMYFUNCTION("""COMPUTED_VALUE"""),"Yes")</f>
        <v>Yes</v>
      </c>
      <c r="J131" s="5" t="str">
        <f>IFERROR(__xludf.DUMMYFUNCTION("""COMPUTED_VALUE"""),"Yes")</f>
        <v>Yes</v>
      </c>
      <c r="K131" s="5" t="str">
        <f>IFERROR(__xludf.DUMMYFUNCTION("""COMPUTED_VALUE"""),"Yes")</f>
        <v>Yes</v>
      </c>
      <c r="L131" s="5" t="str">
        <f>IFERROR(__xludf.DUMMYFUNCTION("""COMPUTED_VALUE"""),"Yes")</f>
        <v>Yes</v>
      </c>
      <c r="M131" s="5" t="str">
        <f>IFERROR(__xludf.DUMMYFUNCTION("""COMPUTED_VALUE"""),"Yes")</f>
        <v>Yes</v>
      </c>
      <c r="N131" s="5" t="str">
        <f>IFERROR(__xludf.DUMMYFUNCTION("""COMPUTED_VALUE"""),"Yes")</f>
        <v>Yes</v>
      </c>
      <c r="O131" s="5" t="str">
        <f>IFERROR(__xludf.DUMMYFUNCTION("""COMPUTED_VALUE"""),"Yes")</f>
        <v>Yes</v>
      </c>
      <c r="P131" s="5" t="str">
        <f>IFERROR(__xludf.DUMMYFUNCTION("""COMPUTED_VALUE"""),"Yes")</f>
        <v>Yes</v>
      </c>
      <c r="Q131" s="5" t="str">
        <f>IFERROR(__xludf.DUMMYFUNCTION("""COMPUTED_VALUE"""),"Yes")</f>
        <v>Yes</v>
      </c>
      <c r="R131" s="5" t="str">
        <f>IFERROR(__xludf.DUMMYFUNCTION("""COMPUTED_VALUE"""),"Yes")</f>
        <v>Yes</v>
      </c>
      <c r="S131" s="5" t="str">
        <f>IFERROR(__xludf.DUMMYFUNCTION("""COMPUTED_VALUE"""),"Yes")</f>
        <v>Yes</v>
      </c>
      <c r="T131" s="5" t="str">
        <f>IFERROR(__xludf.DUMMYFUNCTION("""COMPUTED_VALUE"""),"Yes")</f>
        <v>Yes</v>
      </c>
      <c r="U131" s="5" t="str">
        <f>IFERROR(__xludf.DUMMYFUNCTION("""COMPUTED_VALUE"""),"Yes")</f>
        <v>Yes</v>
      </c>
      <c r="V131" s="5" t="str">
        <f>IFERROR(__xludf.DUMMYFUNCTION("""COMPUTED_VALUE"""),"Yes")</f>
        <v>Yes</v>
      </c>
      <c r="W131" s="5" t="str">
        <f>IFERROR(__xludf.DUMMYFUNCTION("""COMPUTED_VALUE"""),"Yes")</f>
        <v>Yes</v>
      </c>
      <c r="X131" s="5" t="str">
        <f>IFERROR(__xludf.DUMMYFUNCTION("""COMPUTED_VALUE"""),"Yes")</f>
        <v>Yes</v>
      </c>
      <c r="Y131" s="5" t="str">
        <f>IFERROR(__xludf.DUMMYFUNCTION("""COMPUTED_VALUE"""),"Yes")</f>
        <v>Yes</v>
      </c>
      <c r="Z131" s="5" t="str">
        <f>IFERROR(__xludf.DUMMYFUNCTION("""COMPUTED_VALUE"""),"No")</f>
        <v>No</v>
      </c>
      <c r="AA131" s="5" t="str">
        <f>IFERROR(__xludf.DUMMYFUNCTION("""COMPUTED_VALUE"""),"Yes")</f>
        <v>Yes</v>
      </c>
      <c r="AB131" s="5" t="str">
        <f>IFERROR(__xludf.DUMMYFUNCTION("""COMPUTED_VALUE"""),"Yes")</f>
        <v>Yes</v>
      </c>
      <c r="AC131" s="5" t="str">
        <f>IFERROR(__xludf.DUMMYFUNCTION("""COMPUTED_VALUE"""),"Yes")</f>
        <v>Yes</v>
      </c>
      <c r="AD131" s="5" t="str">
        <f>IFERROR(__xludf.DUMMYFUNCTION("""COMPUTED_VALUE"""),"Yes")</f>
        <v>Yes</v>
      </c>
      <c r="AE131" s="5" t="str">
        <f>IFERROR(__xludf.DUMMYFUNCTION("""COMPUTED_VALUE"""),"No")</f>
        <v>No</v>
      </c>
      <c r="AF131" s="5" t="str">
        <f>IFERROR(__xludf.DUMMYFUNCTION("""COMPUTED_VALUE"""),"Yes")</f>
        <v>Yes</v>
      </c>
      <c r="AG131" s="5" t="str">
        <f>IFERROR(__xludf.DUMMYFUNCTION("""COMPUTED_VALUE"""),"No")</f>
        <v>No</v>
      </c>
      <c r="AH131" s="5" t="str">
        <f>IFERROR(__xludf.DUMMYFUNCTION("""COMPUTED_VALUE"""),"No")</f>
        <v>No</v>
      </c>
      <c r="AI131" s="5" t="str">
        <f>IFERROR(__xludf.DUMMYFUNCTION("""COMPUTED_VALUE"""),"No")</f>
        <v>No</v>
      </c>
      <c r="AJ131" s="5" t="str">
        <f>IFERROR(__xludf.DUMMYFUNCTION("""COMPUTED_VALUE"""),"No")</f>
        <v>No</v>
      </c>
      <c r="AK131" s="5" t="str">
        <f>IFERROR(__xludf.DUMMYFUNCTION("""COMPUTED_VALUE"""),"No")</f>
        <v>No</v>
      </c>
      <c r="AL131" s="5" t="str">
        <f>IFERROR(__xludf.DUMMYFUNCTION("""COMPUTED_VALUE"""),"No")</f>
        <v>No</v>
      </c>
      <c r="AM131" s="5"/>
      <c r="AN131" s="5"/>
      <c r="AO131" s="5"/>
      <c r="AP131" s="5"/>
      <c r="AQ131" s="5"/>
      <c r="AR131" s="5"/>
      <c r="AS131" s="5"/>
      <c r="AT131" s="5"/>
      <c r="AU131" s="5"/>
      <c r="AV131" s="5"/>
      <c r="AW131" s="5"/>
      <c r="AX131" s="5"/>
      <c r="AY131" s="5"/>
    </row>
    <row r="132">
      <c r="A1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2" s="5">
        <f>IFERROR(__xludf.DUMMYFUNCTION("""COMPUTED_VALUE"""),132.0)</f>
        <v>132</v>
      </c>
      <c r="C132" s="5">
        <f>IFERROR(__xludf.DUMMYFUNCTION("""COMPUTED_VALUE"""),131.0)</f>
        <v>131</v>
      </c>
      <c r="D132" s="5" t="str">
        <f>IFERROR(__xludf.DUMMYFUNCTION("""COMPUTED_VALUE"""),"ElGrandeToro")</f>
        <v>ElGrandeToro</v>
      </c>
      <c r="E132" s="5" t="str">
        <f>IFERROR(__xludf.DUMMYFUNCTION("""COMPUTED_VALUE"""),"Yes")</f>
        <v>Yes</v>
      </c>
      <c r="F132" s="5" t="str">
        <f>IFERROR(__xludf.DUMMYFUNCTION("""COMPUTED_VALUE"""),"Yes")</f>
        <v>Yes</v>
      </c>
      <c r="G132" s="5" t="str">
        <f>IFERROR(__xludf.DUMMYFUNCTION("""COMPUTED_VALUE"""),"Yes")</f>
        <v>Yes</v>
      </c>
      <c r="H132" s="5" t="str">
        <f>IFERROR(__xludf.DUMMYFUNCTION("""COMPUTED_VALUE"""),"Yes")</f>
        <v>Yes</v>
      </c>
      <c r="I132" s="5" t="str">
        <f>IFERROR(__xludf.DUMMYFUNCTION("""COMPUTED_VALUE"""),"Yes")</f>
        <v>Yes</v>
      </c>
      <c r="J132" s="5" t="str">
        <f>IFERROR(__xludf.DUMMYFUNCTION("""COMPUTED_VALUE"""),"Yes")</f>
        <v>Yes</v>
      </c>
      <c r="K132" s="5" t="str">
        <f>IFERROR(__xludf.DUMMYFUNCTION("""COMPUTED_VALUE"""),"Yes")</f>
        <v>Yes</v>
      </c>
      <c r="L132" s="5" t="str">
        <f>IFERROR(__xludf.DUMMYFUNCTION("""COMPUTED_VALUE"""),"Yes")</f>
        <v>Yes</v>
      </c>
      <c r="M132" s="5" t="str">
        <f>IFERROR(__xludf.DUMMYFUNCTION("""COMPUTED_VALUE"""),"Yes")</f>
        <v>Yes</v>
      </c>
      <c r="N132" s="5" t="str">
        <f>IFERROR(__xludf.DUMMYFUNCTION("""COMPUTED_VALUE"""),"Yes")</f>
        <v>Yes</v>
      </c>
      <c r="O132" s="5" t="str">
        <f>IFERROR(__xludf.DUMMYFUNCTION("""COMPUTED_VALUE"""),"Yes")</f>
        <v>Yes</v>
      </c>
      <c r="P132" s="5" t="str">
        <f>IFERROR(__xludf.DUMMYFUNCTION("""COMPUTED_VALUE"""),"Yes")</f>
        <v>Yes</v>
      </c>
      <c r="Q132" s="5" t="str">
        <f>IFERROR(__xludf.DUMMYFUNCTION("""COMPUTED_VALUE"""),"Yes")</f>
        <v>Yes</v>
      </c>
      <c r="R132" s="5" t="str">
        <f>IFERROR(__xludf.DUMMYFUNCTION("""COMPUTED_VALUE"""),"Yes")</f>
        <v>Yes</v>
      </c>
      <c r="S132" s="5" t="str">
        <f>IFERROR(__xludf.DUMMYFUNCTION("""COMPUTED_VALUE"""),"Yes")</f>
        <v>Yes</v>
      </c>
      <c r="T132" s="5" t="str">
        <f>IFERROR(__xludf.DUMMYFUNCTION("""COMPUTED_VALUE"""),"Yes")</f>
        <v>Yes</v>
      </c>
      <c r="U132" s="5" t="str">
        <f>IFERROR(__xludf.DUMMYFUNCTION("""COMPUTED_VALUE"""),"Yes")</f>
        <v>Yes</v>
      </c>
      <c r="V132" s="5" t="str">
        <f>IFERROR(__xludf.DUMMYFUNCTION("""COMPUTED_VALUE"""),"Yes")</f>
        <v>Yes</v>
      </c>
      <c r="W132" s="5" t="str">
        <f>IFERROR(__xludf.DUMMYFUNCTION("""COMPUTED_VALUE"""),"Yes")</f>
        <v>Yes</v>
      </c>
      <c r="X132" s="5" t="str">
        <f>IFERROR(__xludf.DUMMYFUNCTION("""COMPUTED_VALUE"""),"Yes")</f>
        <v>Yes</v>
      </c>
      <c r="Y132" s="5" t="str">
        <f>IFERROR(__xludf.DUMMYFUNCTION("""COMPUTED_VALUE"""),"Yes")</f>
        <v>Yes</v>
      </c>
      <c r="Z132" s="5" t="str">
        <f>IFERROR(__xludf.DUMMYFUNCTION("""COMPUTED_VALUE"""),"No")</f>
        <v>No</v>
      </c>
      <c r="AA132" s="5" t="str">
        <f>IFERROR(__xludf.DUMMYFUNCTION("""COMPUTED_VALUE"""),"Yes")</f>
        <v>Yes</v>
      </c>
      <c r="AB132" s="5" t="str">
        <f>IFERROR(__xludf.DUMMYFUNCTION("""COMPUTED_VALUE"""),"Yes")</f>
        <v>Yes</v>
      </c>
      <c r="AC132" s="5" t="str">
        <f>IFERROR(__xludf.DUMMYFUNCTION("""COMPUTED_VALUE"""),"Yes")</f>
        <v>Yes</v>
      </c>
      <c r="AD132" s="5" t="str">
        <f>IFERROR(__xludf.DUMMYFUNCTION("""COMPUTED_VALUE"""),"Yes")</f>
        <v>Yes</v>
      </c>
      <c r="AE132" s="5" t="str">
        <f>IFERROR(__xludf.DUMMYFUNCTION("""COMPUTED_VALUE"""),"No")</f>
        <v>No</v>
      </c>
      <c r="AF132" s="5" t="str">
        <f>IFERROR(__xludf.DUMMYFUNCTION("""COMPUTED_VALUE"""),"Yes")</f>
        <v>Yes</v>
      </c>
      <c r="AG132" s="5" t="str">
        <f>IFERROR(__xludf.DUMMYFUNCTION("""COMPUTED_VALUE"""),"No")</f>
        <v>No</v>
      </c>
      <c r="AH132" s="5" t="str">
        <f>IFERROR(__xludf.DUMMYFUNCTION("""COMPUTED_VALUE"""),"No")</f>
        <v>No</v>
      </c>
      <c r="AI132" s="5" t="str">
        <f>IFERROR(__xludf.DUMMYFUNCTION("""COMPUTED_VALUE"""),"No")</f>
        <v>No</v>
      </c>
      <c r="AJ132" s="5" t="str">
        <f>IFERROR(__xludf.DUMMYFUNCTION("""COMPUTED_VALUE"""),"No")</f>
        <v>No</v>
      </c>
      <c r="AK132" s="5" t="str">
        <f>IFERROR(__xludf.DUMMYFUNCTION("""COMPUTED_VALUE"""),"No")</f>
        <v>No</v>
      </c>
      <c r="AL132" s="5" t="str">
        <f>IFERROR(__xludf.DUMMYFUNCTION("""COMPUTED_VALUE"""),"No")</f>
        <v>No</v>
      </c>
      <c r="AM132" s="5"/>
      <c r="AN132" s="5"/>
      <c r="AO132" s="5"/>
      <c r="AP132" s="5"/>
      <c r="AQ132" s="5"/>
      <c r="AR132" s="5"/>
      <c r="AS132" s="5"/>
      <c r="AT132" s="5"/>
      <c r="AU132" s="5"/>
      <c r="AV132" s="5"/>
      <c r="AW132" s="5"/>
      <c r="AX132" s="5"/>
      <c r="AY132" s="5"/>
    </row>
    <row r="133">
      <c r="A1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3" s="5">
        <f>IFERROR(__xludf.DUMMYFUNCTION("""COMPUTED_VALUE"""),133.0)</f>
        <v>133</v>
      </c>
      <c r="C133" s="5">
        <f>IFERROR(__xludf.DUMMYFUNCTION("""COMPUTED_VALUE"""),132.0)</f>
        <v>132</v>
      </c>
      <c r="D133" s="5" t="str">
        <f>IFERROR(__xludf.DUMMYFUNCTION("""COMPUTED_VALUE"""),"UnicornGreatWhale")</f>
        <v>UnicornGreatWhale</v>
      </c>
      <c r="E133" s="5" t="str">
        <f>IFERROR(__xludf.DUMMYFUNCTION("""COMPUTED_VALUE"""),"Yes")</f>
        <v>Yes</v>
      </c>
      <c r="F133" s="5" t="str">
        <f>IFERROR(__xludf.DUMMYFUNCTION("""COMPUTED_VALUE"""),"Yes")</f>
        <v>Yes</v>
      </c>
      <c r="G133" s="5" t="str">
        <f>IFERROR(__xludf.DUMMYFUNCTION("""COMPUTED_VALUE"""),"Yes")</f>
        <v>Yes</v>
      </c>
      <c r="H133" s="5" t="str">
        <f>IFERROR(__xludf.DUMMYFUNCTION("""COMPUTED_VALUE"""),"Yes")</f>
        <v>Yes</v>
      </c>
      <c r="I133" s="5" t="str">
        <f>IFERROR(__xludf.DUMMYFUNCTION("""COMPUTED_VALUE"""),"Yes")</f>
        <v>Yes</v>
      </c>
      <c r="J133" s="5" t="str">
        <f>IFERROR(__xludf.DUMMYFUNCTION("""COMPUTED_VALUE"""),"Yes")</f>
        <v>Yes</v>
      </c>
      <c r="K133" s="5" t="str">
        <f>IFERROR(__xludf.DUMMYFUNCTION("""COMPUTED_VALUE"""),"Yes")</f>
        <v>Yes</v>
      </c>
      <c r="L133" s="5" t="str">
        <f>IFERROR(__xludf.DUMMYFUNCTION("""COMPUTED_VALUE"""),"Yes")</f>
        <v>Yes</v>
      </c>
      <c r="M133" s="5" t="str">
        <f>IFERROR(__xludf.DUMMYFUNCTION("""COMPUTED_VALUE"""),"Yes")</f>
        <v>Yes</v>
      </c>
      <c r="N133" s="5" t="str">
        <f>IFERROR(__xludf.DUMMYFUNCTION("""COMPUTED_VALUE"""),"Yes")</f>
        <v>Yes</v>
      </c>
      <c r="O133" s="5" t="str">
        <f>IFERROR(__xludf.DUMMYFUNCTION("""COMPUTED_VALUE"""),"Yes")</f>
        <v>Yes</v>
      </c>
      <c r="P133" s="5" t="str">
        <f>IFERROR(__xludf.DUMMYFUNCTION("""COMPUTED_VALUE"""),"Yes")</f>
        <v>Yes</v>
      </c>
      <c r="Q133" s="5" t="str">
        <f>IFERROR(__xludf.DUMMYFUNCTION("""COMPUTED_VALUE"""),"Yes")</f>
        <v>Yes</v>
      </c>
      <c r="R133" s="5" t="str">
        <f>IFERROR(__xludf.DUMMYFUNCTION("""COMPUTED_VALUE"""),"Yes")</f>
        <v>Yes</v>
      </c>
      <c r="S133" s="5" t="str">
        <f>IFERROR(__xludf.DUMMYFUNCTION("""COMPUTED_VALUE"""),"Yes")</f>
        <v>Yes</v>
      </c>
      <c r="T133" s="5" t="str">
        <f>IFERROR(__xludf.DUMMYFUNCTION("""COMPUTED_VALUE"""),"Yes")</f>
        <v>Yes</v>
      </c>
      <c r="U133" s="5" t="str">
        <f>IFERROR(__xludf.DUMMYFUNCTION("""COMPUTED_VALUE"""),"Yes")</f>
        <v>Yes</v>
      </c>
      <c r="V133" s="5" t="str">
        <f>IFERROR(__xludf.DUMMYFUNCTION("""COMPUTED_VALUE"""),"Yes")</f>
        <v>Yes</v>
      </c>
      <c r="W133" s="5" t="str">
        <f>IFERROR(__xludf.DUMMYFUNCTION("""COMPUTED_VALUE"""),"Yes")</f>
        <v>Yes</v>
      </c>
      <c r="X133" s="5" t="str">
        <f>IFERROR(__xludf.DUMMYFUNCTION("""COMPUTED_VALUE"""),"Yes")</f>
        <v>Yes</v>
      </c>
      <c r="Y133" s="5" t="str">
        <f>IFERROR(__xludf.DUMMYFUNCTION("""COMPUTED_VALUE"""),"Yes")</f>
        <v>Yes</v>
      </c>
      <c r="Z133" s="5"/>
      <c r="AA133" s="5" t="str">
        <f>IFERROR(__xludf.DUMMYFUNCTION("""COMPUTED_VALUE"""),"Yes")</f>
        <v>Yes</v>
      </c>
      <c r="AB133" s="5" t="str">
        <f>IFERROR(__xludf.DUMMYFUNCTION("""COMPUTED_VALUE"""),"Yes")</f>
        <v>Yes</v>
      </c>
      <c r="AC133" s="5" t="str">
        <f>IFERROR(__xludf.DUMMYFUNCTION("""COMPUTED_VALUE"""),"Yes")</f>
        <v>Yes</v>
      </c>
      <c r="AD133" s="5" t="str">
        <f>IFERROR(__xludf.DUMMYFUNCTION("""COMPUTED_VALUE"""),"Yes")</f>
        <v>Yes</v>
      </c>
      <c r="AE133" s="5"/>
      <c r="AF133" s="5" t="str">
        <f>IFERROR(__xludf.DUMMYFUNCTION("""COMPUTED_VALUE"""),"Yes")</f>
        <v>Yes</v>
      </c>
      <c r="AG133" s="5"/>
      <c r="AH133" s="5"/>
      <c r="AI133" s="5"/>
      <c r="AJ133" s="5"/>
      <c r="AK133" s="5"/>
      <c r="AL133" s="5"/>
      <c r="AM133" s="5"/>
      <c r="AN133" s="5"/>
      <c r="AO133" s="5"/>
      <c r="AP133" s="5"/>
      <c r="AQ133" s="5"/>
      <c r="AR133" s="5"/>
      <c r="AS133" s="5"/>
      <c r="AT133" s="5"/>
      <c r="AU133" s="5"/>
      <c r="AV133" s="5"/>
      <c r="AW133" s="5"/>
      <c r="AX133" s="5"/>
      <c r="AY133" s="5"/>
    </row>
    <row r="134">
      <c r="A1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4" s="5">
        <f>IFERROR(__xludf.DUMMYFUNCTION("""COMPUTED_VALUE"""),134.0)</f>
        <v>134</v>
      </c>
      <c r="C134" s="5">
        <f>IFERROR(__xludf.DUMMYFUNCTION("""COMPUTED_VALUE"""),133.0)</f>
        <v>133</v>
      </c>
      <c r="D134" s="5" t="str">
        <f>IFERROR(__xludf.DUMMYFUNCTION("""COMPUTED_VALUE"""),"WinningStars")</f>
        <v>WinningStars</v>
      </c>
      <c r="E134" s="5" t="str">
        <f>IFERROR(__xludf.DUMMYFUNCTION("""COMPUTED_VALUE"""),"Yes")</f>
        <v>Yes</v>
      </c>
      <c r="F134" s="5" t="str">
        <f>IFERROR(__xludf.DUMMYFUNCTION("""COMPUTED_VALUE"""),"Yes")</f>
        <v>Yes</v>
      </c>
      <c r="G134" s="5" t="str">
        <f>IFERROR(__xludf.DUMMYFUNCTION("""COMPUTED_VALUE"""),"Yes")</f>
        <v>Yes</v>
      </c>
      <c r="H134" s="5" t="str">
        <f>IFERROR(__xludf.DUMMYFUNCTION("""COMPUTED_VALUE"""),"Yes")</f>
        <v>Yes</v>
      </c>
      <c r="I134" s="5" t="str">
        <f>IFERROR(__xludf.DUMMYFUNCTION("""COMPUTED_VALUE"""),"Yes")</f>
        <v>Yes</v>
      </c>
      <c r="J134" s="5" t="str">
        <f>IFERROR(__xludf.DUMMYFUNCTION("""COMPUTED_VALUE"""),"Yes")</f>
        <v>Yes</v>
      </c>
      <c r="K134" s="5" t="str">
        <f>IFERROR(__xludf.DUMMYFUNCTION("""COMPUTED_VALUE"""),"Yes")</f>
        <v>Yes</v>
      </c>
      <c r="L134" s="5" t="str">
        <f>IFERROR(__xludf.DUMMYFUNCTION("""COMPUTED_VALUE"""),"Yes")</f>
        <v>Yes</v>
      </c>
      <c r="M134" s="5" t="str">
        <f>IFERROR(__xludf.DUMMYFUNCTION("""COMPUTED_VALUE"""),"Yes")</f>
        <v>Yes</v>
      </c>
      <c r="N134" s="5" t="str">
        <f>IFERROR(__xludf.DUMMYFUNCTION("""COMPUTED_VALUE"""),"Yes")</f>
        <v>Yes</v>
      </c>
      <c r="O134" s="5" t="str">
        <f>IFERROR(__xludf.DUMMYFUNCTION("""COMPUTED_VALUE"""),"Yes")</f>
        <v>Yes</v>
      </c>
      <c r="P134" s="5" t="str">
        <f>IFERROR(__xludf.DUMMYFUNCTION("""COMPUTED_VALUE"""),"Yes")</f>
        <v>Yes</v>
      </c>
      <c r="Q134" s="5" t="str">
        <f>IFERROR(__xludf.DUMMYFUNCTION("""COMPUTED_VALUE"""),"Yes")</f>
        <v>Yes</v>
      </c>
      <c r="R134" s="5" t="str">
        <f>IFERROR(__xludf.DUMMYFUNCTION("""COMPUTED_VALUE"""),"Yes")</f>
        <v>Yes</v>
      </c>
      <c r="S134" s="5" t="str">
        <f>IFERROR(__xludf.DUMMYFUNCTION("""COMPUTED_VALUE"""),"Yes")</f>
        <v>Yes</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IFERROR(__xludf.DUMMYFUNCTION("""COMPUTED_VALUE"""),"No")</f>
        <v>No</v>
      </c>
      <c r="AA134" s="5" t="str">
        <f>IFERROR(__xludf.DUMMYFUNCTION("""COMPUTED_VALUE"""),"Yes")</f>
        <v>Yes</v>
      </c>
      <c r="AB134" s="5" t="str">
        <f>IFERROR(__xludf.DUMMYFUNCTION("""COMPUTED_VALUE"""),"Yes")</f>
        <v>Yes</v>
      </c>
      <c r="AC134" s="5" t="str">
        <f>IFERROR(__xludf.DUMMYFUNCTION("""COMPUTED_VALUE"""),"Yes")</f>
        <v>Yes</v>
      </c>
      <c r="AD134" s="5" t="str">
        <f>IFERROR(__xludf.DUMMYFUNCTION("""COMPUTED_VALUE"""),"Yes")</f>
        <v>Yes</v>
      </c>
      <c r="AE134" s="5" t="str">
        <f>IFERROR(__xludf.DUMMYFUNCTION("""COMPUTED_VALUE"""),"No")</f>
        <v>No</v>
      </c>
      <c r="AF134" s="5" t="str">
        <f>IFERROR(__xludf.DUMMYFUNCTION("""COMPUTED_VALUE"""),"Yes")</f>
        <v>Yes</v>
      </c>
      <c r="AG134" s="5" t="str">
        <f>IFERROR(__xludf.DUMMYFUNCTION("""COMPUTED_VALUE"""),"No")</f>
        <v>No</v>
      </c>
      <c r="AH134" s="5" t="str">
        <f>IFERROR(__xludf.DUMMYFUNCTION("""COMPUTED_VALUE"""),"No")</f>
        <v>No</v>
      </c>
      <c r="AI134" s="5" t="str">
        <f>IFERROR(__xludf.DUMMYFUNCTION("""COMPUTED_VALUE"""),"No")</f>
        <v>No</v>
      </c>
      <c r="AJ134" s="5" t="str">
        <f>IFERROR(__xludf.DUMMYFUNCTION("""COMPUTED_VALUE"""),"No")</f>
        <v>No</v>
      </c>
      <c r="AK134" s="5" t="str">
        <f>IFERROR(__xludf.DUMMYFUNCTION("""COMPUTED_VALUE"""),"No")</f>
        <v>No</v>
      </c>
      <c r="AL134" s="5" t="str">
        <f>IFERROR(__xludf.DUMMYFUNCTION("""COMPUTED_VALUE"""),"No")</f>
        <v>No</v>
      </c>
      <c r="AM134" s="5"/>
      <c r="AN134" s="5"/>
      <c r="AO134" s="5"/>
      <c r="AP134" s="5"/>
      <c r="AQ134" s="5"/>
      <c r="AR134" s="5"/>
      <c r="AS134" s="5"/>
      <c r="AT134" s="5"/>
      <c r="AU134" s="5"/>
      <c r="AV134" s="5"/>
      <c r="AW134" s="5"/>
      <c r="AX134" s="5"/>
      <c r="AY134" s="5"/>
    </row>
    <row r="135">
      <c r="A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5" s="5">
        <f>IFERROR(__xludf.DUMMYFUNCTION("""COMPUTED_VALUE"""),135.0)</f>
        <v>135</v>
      </c>
      <c r="C135" s="5">
        <f>IFERROR(__xludf.DUMMYFUNCTION("""COMPUTED_VALUE"""),134.0)</f>
        <v>134</v>
      </c>
      <c r="D135" s="5" t="str">
        <f>IFERROR(__xludf.DUMMYFUNCTION("""COMPUTED_VALUE"""),"BigBuddha")</f>
        <v>BigBuddha</v>
      </c>
      <c r="E135" s="5" t="str">
        <f>IFERROR(__xludf.DUMMYFUNCTION("""COMPUTED_VALUE"""),"Yes")</f>
        <v>Yes</v>
      </c>
      <c r="F135" s="5" t="str">
        <f>IFERROR(__xludf.DUMMYFUNCTION("""COMPUTED_VALUE"""),"Yes")</f>
        <v>Yes</v>
      </c>
      <c r="G135" s="5" t="str">
        <f>IFERROR(__xludf.DUMMYFUNCTION("""COMPUTED_VALUE"""),"Yes")</f>
        <v>Yes</v>
      </c>
      <c r="H135" s="5" t="str">
        <f>IFERROR(__xludf.DUMMYFUNCTION("""COMPUTED_VALUE"""),"Yes")</f>
        <v>Yes</v>
      </c>
      <c r="I135" s="5" t="str">
        <f>IFERROR(__xludf.DUMMYFUNCTION("""COMPUTED_VALUE"""),"Yes")</f>
        <v>Yes</v>
      </c>
      <c r="J135" s="5" t="str">
        <f>IFERROR(__xludf.DUMMYFUNCTION("""COMPUTED_VALUE"""),"Yes")</f>
        <v>Yes</v>
      </c>
      <c r="K135" s="5" t="str">
        <f>IFERROR(__xludf.DUMMYFUNCTION("""COMPUTED_VALUE"""),"Yes")</f>
        <v>Yes</v>
      </c>
      <c r="L135" s="5" t="str">
        <f>IFERROR(__xludf.DUMMYFUNCTION("""COMPUTED_VALUE"""),"Yes")</f>
        <v>Yes</v>
      </c>
      <c r="M135" s="5" t="str">
        <f>IFERROR(__xludf.DUMMYFUNCTION("""COMPUTED_VALUE"""),"Yes")</f>
        <v>Yes</v>
      </c>
      <c r="N135" s="5" t="str">
        <f>IFERROR(__xludf.DUMMYFUNCTION("""COMPUTED_VALUE"""),"Yes")</f>
        <v>Yes</v>
      </c>
      <c r="O135" s="5" t="str">
        <f>IFERROR(__xludf.DUMMYFUNCTION("""COMPUTED_VALUE"""),"Yes")</f>
        <v>Yes</v>
      </c>
      <c r="P135" s="5" t="str">
        <f>IFERROR(__xludf.DUMMYFUNCTION("""COMPUTED_VALUE"""),"Yes")</f>
        <v>Yes</v>
      </c>
      <c r="Q135" s="5" t="str">
        <f>IFERROR(__xludf.DUMMYFUNCTION("""COMPUTED_VALUE"""),"Yes")</f>
        <v>Yes</v>
      </c>
      <c r="R135" s="5" t="str">
        <f>IFERROR(__xludf.DUMMYFUNCTION("""COMPUTED_VALUE"""),"Yes")</f>
        <v>Yes</v>
      </c>
      <c r="S135" s="5" t="str">
        <f>IFERROR(__xludf.DUMMYFUNCTION("""COMPUTED_VALUE"""),"Yes")</f>
        <v>Yes</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IFERROR(__xludf.DUMMYFUNCTION("""COMPUTED_VALUE"""),"No")</f>
        <v>No</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IFERROR(__xludf.DUMMYFUNCTION("""COMPUTED_VALUE"""),"No")</f>
        <v>No</v>
      </c>
      <c r="AF135" s="5" t="str">
        <f>IFERROR(__xludf.DUMMYFUNCTION("""COMPUTED_VALUE"""),"Yes")</f>
        <v>Yes</v>
      </c>
      <c r="AG135" s="5" t="str">
        <f>IFERROR(__xludf.DUMMYFUNCTION("""COMPUTED_VALUE"""),"No")</f>
        <v>No</v>
      </c>
      <c r="AH135" s="5" t="str">
        <f>IFERROR(__xludf.DUMMYFUNCTION("""COMPUTED_VALUE"""),"No")</f>
        <v>No</v>
      </c>
      <c r="AI135" s="5" t="str">
        <f>IFERROR(__xludf.DUMMYFUNCTION("""COMPUTED_VALUE"""),"No")</f>
        <v>No</v>
      </c>
      <c r="AJ135" s="5" t="str">
        <f>IFERROR(__xludf.DUMMYFUNCTION("""COMPUTED_VALUE"""),"No")</f>
        <v>No</v>
      </c>
      <c r="AK135" s="5" t="str">
        <f>IFERROR(__xludf.DUMMYFUNCTION("""COMPUTED_VALUE"""),"No")</f>
        <v>No</v>
      </c>
      <c r="AL135" s="5" t="str">
        <f>IFERROR(__xludf.DUMMYFUNCTION("""COMPUTED_VALUE"""),"No")</f>
        <v>No</v>
      </c>
      <c r="AM135" s="5"/>
      <c r="AN135" s="5"/>
      <c r="AO135" s="5"/>
      <c r="AP135" s="5"/>
      <c r="AQ135" s="5"/>
      <c r="AR135" s="5"/>
      <c r="AS135" s="5"/>
      <c r="AT135" s="5"/>
      <c r="AU135" s="5"/>
      <c r="AV135" s="5"/>
      <c r="AW135" s="5"/>
      <c r="AX135" s="5"/>
      <c r="AY135" s="5"/>
    </row>
    <row r="136">
      <c r="A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6" s="5">
        <f>IFERROR(__xludf.DUMMYFUNCTION("""COMPUTED_VALUE"""),136.0)</f>
        <v>136</v>
      </c>
      <c r="C136" s="5">
        <f>IFERROR(__xludf.DUMMYFUNCTION("""COMPUTED_VALUE"""),135.0)</f>
        <v>135</v>
      </c>
      <c r="D136" s="5" t="str">
        <f>IFERROR(__xludf.DUMMYFUNCTION("""COMPUTED_VALUE"""),"CrystalHot100")</f>
        <v>CrystalHot100</v>
      </c>
      <c r="E136" s="5" t="str">
        <f>IFERROR(__xludf.DUMMYFUNCTION("""COMPUTED_VALUE"""),"Yes")</f>
        <v>Yes</v>
      </c>
      <c r="F136" s="5" t="str">
        <f>IFERROR(__xludf.DUMMYFUNCTION("""COMPUTED_VALUE"""),"Yes")</f>
        <v>Yes</v>
      </c>
      <c r="G136" s="5" t="str">
        <f>IFERROR(__xludf.DUMMYFUNCTION("""COMPUTED_VALUE"""),"Yes")</f>
        <v>Yes</v>
      </c>
      <c r="H136" s="5" t="str">
        <f>IFERROR(__xludf.DUMMYFUNCTION("""COMPUTED_VALUE"""),"Yes")</f>
        <v>Yes</v>
      </c>
      <c r="I136" s="5" t="str">
        <f>IFERROR(__xludf.DUMMYFUNCTION("""COMPUTED_VALUE"""),"Yes")</f>
        <v>Yes</v>
      </c>
      <c r="J136" s="5" t="str">
        <f>IFERROR(__xludf.DUMMYFUNCTION("""COMPUTED_VALUE"""),"Yes")</f>
        <v>Yes</v>
      </c>
      <c r="K136" s="5" t="str">
        <f>IFERROR(__xludf.DUMMYFUNCTION("""COMPUTED_VALUE"""),"Yes")</f>
        <v>Yes</v>
      </c>
      <c r="L136" s="5" t="str">
        <f>IFERROR(__xludf.DUMMYFUNCTION("""COMPUTED_VALUE"""),"Yes")</f>
        <v>Yes</v>
      </c>
      <c r="M136" s="5" t="str">
        <f>IFERROR(__xludf.DUMMYFUNCTION("""COMPUTED_VALUE"""),"Yes")</f>
        <v>Yes</v>
      </c>
      <c r="N136" s="5" t="str">
        <f>IFERROR(__xludf.DUMMYFUNCTION("""COMPUTED_VALUE"""),"Yes")</f>
        <v>Yes</v>
      </c>
      <c r="O136" s="5" t="str">
        <f>IFERROR(__xludf.DUMMYFUNCTION("""COMPUTED_VALUE"""),"Yes")</f>
        <v>Yes</v>
      </c>
      <c r="P136" s="5" t="str">
        <f>IFERROR(__xludf.DUMMYFUNCTION("""COMPUTED_VALUE"""),"Yes")</f>
        <v>Yes</v>
      </c>
      <c r="Q136" s="5" t="str">
        <f>IFERROR(__xludf.DUMMYFUNCTION("""COMPUTED_VALUE"""),"Yes")</f>
        <v>Yes</v>
      </c>
      <c r="R136" s="5" t="str">
        <f>IFERROR(__xludf.DUMMYFUNCTION("""COMPUTED_VALUE"""),"Yes")</f>
        <v>Yes</v>
      </c>
      <c r="S136" s="5" t="str">
        <f>IFERROR(__xludf.DUMMYFUNCTION("""COMPUTED_VALUE"""),"Yes")</f>
        <v>Yes</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IFERROR(__xludf.DUMMYFUNCTION("""COMPUTED_VALUE"""),"No")</f>
        <v>No</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IFERROR(__xludf.DUMMYFUNCTION("""COMPUTED_VALUE"""),"No")</f>
        <v>No</v>
      </c>
      <c r="AF136" s="5" t="str">
        <f>IFERROR(__xludf.DUMMYFUNCTION("""COMPUTED_VALUE"""),"Yes")</f>
        <v>Yes</v>
      </c>
      <c r="AG136" s="5" t="str">
        <f>IFERROR(__xludf.DUMMYFUNCTION("""COMPUTED_VALUE"""),"No")</f>
        <v>No</v>
      </c>
      <c r="AH136" s="5" t="str">
        <f>IFERROR(__xludf.DUMMYFUNCTION("""COMPUTED_VALUE"""),"No")</f>
        <v>No</v>
      </c>
      <c r="AI136" s="5" t="str">
        <f>IFERROR(__xludf.DUMMYFUNCTION("""COMPUTED_VALUE"""),"No")</f>
        <v>No</v>
      </c>
      <c r="AJ136" s="5" t="str">
        <f>IFERROR(__xludf.DUMMYFUNCTION("""COMPUTED_VALUE"""),"No")</f>
        <v>No</v>
      </c>
      <c r="AK136" s="5" t="str">
        <f>IFERROR(__xludf.DUMMYFUNCTION("""COMPUTED_VALUE"""),"No")</f>
        <v>No</v>
      </c>
      <c r="AL136" s="5" t="str">
        <f>IFERROR(__xludf.DUMMYFUNCTION("""COMPUTED_VALUE"""),"No")</f>
        <v>No</v>
      </c>
      <c r="AM136" s="5"/>
      <c r="AN136" s="5"/>
      <c r="AO136" s="5"/>
      <c r="AP136" s="5"/>
      <c r="AQ136" s="5"/>
      <c r="AR136" s="5"/>
      <c r="AS136" s="5"/>
      <c r="AT136" s="5"/>
      <c r="AU136" s="5"/>
      <c r="AV136" s="5"/>
      <c r="AW136" s="5"/>
      <c r="AX136" s="5"/>
      <c r="AY136" s="5"/>
    </row>
    <row r="137">
      <c r="A1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7" s="5">
        <f>IFERROR(__xludf.DUMMYFUNCTION("""COMPUTED_VALUE"""),137.0)</f>
        <v>137</v>
      </c>
      <c r="C137" s="5">
        <f>IFERROR(__xludf.DUMMYFUNCTION("""COMPUTED_VALUE"""),136.0)</f>
        <v>136</v>
      </c>
      <c r="D137" s="5" t="str">
        <f>IFERROR(__xludf.DUMMYFUNCTION("""COMPUTED_VALUE"""),"TurboHot80")</f>
        <v>TurboHot80</v>
      </c>
      <c r="E137" s="5" t="str">
        <f>IFERROR(__xludf.DUMMYFUNCTION("""COMPUTED_VALUE"""),"Yes")</f>
        <v>Yes</v>
      </c>
      <c r="F137" s="5" t="str">
        <f>IFERROR(__xludf.DUMMYFUNCTION("""COMPUTED_VALUE"""),"Yes")</f>
        <v>Yes</v>
      </c>
      <c r="G137" s="5" t="str">
        <f>IFERROR(__xludf.DUMMYFUNCTION("""COMPUTED_VALUE"""),"Yes")</f>
        <v>Yes</v>
      </c>
      <c r="H137" s="5" t="str">
        <f>IFERROR(__xludf.DUMMYFUNCTION("""COMPUTED_VALUE"""),"Yes")</f>
        <v>Yes</v>
      </c>
      <c r="I137" s="5" t="str">
        <f>IFERROR(__xludf.DUMMYFUNCTION("""COMPUTED_VALUE"""),"Yes")</f>
        <v>Yes</v>
      </c>
      <c r="J137" s="5" t="str">
        <f>IFERROR(__xludf.DUMMYFUNCTION("""COMPUTED_VALUE"""),"Yes")</f>
        <v>Yes</v>
      </c>
      <c r="K137" s="5" t="str">
        <f>IFERROR(__xludf.DUMMYFUNCTION("""COMPUTED_VALUE"""),"Yes")</f>
        <v>Yes</v>
      </c>
      <c r="L137" s="5" t="str">
        <f>IFERROR(__xludf.DUMMYFUNCTION("""COMPUTED_VALUE"""),"Yes")</f>
        <v>Yes</v>
      </c>
      <c r="M137" s="5" t="str">
        <f>IFERROR(__xludf.DUMMYFUNCTION("""COMPUTED_VALUE"""),"Yes")</f>
        <v>Yes</v>
      </c>
      <c r="N137" s="5" t="str">
        <f>IFERROR(__xludf.DUMMYFUNCTION("""COMPUTED_VALUE"""),"Yes")</f>
        <v>Yes</v>
      </c>
      <c r="O137" s="5" t="str">
        <f>IFERROR(__xludf.DUMMYFUNCTION("""COMPUTED_VALUE"""),"Yes")</f>
        <v>Yes</v>
      </c>
      <c r="P137" s="5" t="str">
        <f>IFERROR(__xludf.DUMMYFUNCTION("""COMPUTED_VALUE"""),"Yes")</f>
        <v>Yes</v>
      </c>
      <c r="Q137" s="5" t="str">
        <f>IFERROR(__xludf.DUMMYFUNCTION("""COMPUTED_VALUE"""),"Yes")</f>
        <v>Yes</v>
      </c>
      <c r="R137" s="5" t="str">
        <f>IFERROR(__xludf.DUMMYFUNCTION("""COMPUTED_VALUE"""),"Yes")</f>
        <v>Yes</v>
      </c>
      <c r="S137" s="5" t="str">
        <f>IFERROR(__xludf.DUMMYFUNCTION("""COMPUTED_VALUE"""),"Yes")</f>
        <v>Yes</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IFERROR(__xludf.DUMMYFUNCTION("""COMPUTED_VALUE"""),"No")</f>
        <v>No</v>
      </c>
      <c r="AA137" s="5" t="str">
        <f>IFERROR(__xludf.DUMMYFUNCTION("""COMPUTED_VALUE"""),"Yes")</f>
        <v>Yes</v>
      </c>
      <c r="AB137" s="5" t="str">
        <f>IFERROR(__xludf.DUMMYFUNCTION("""COMPUTED_VALUE"""),"Yes")</f>
        <v>Yes</v>
      </c>
      <c r="AC137" s="5" t="str">
        <f>IFERROR(__xludf.DUMMYFUNCTION("""COMPUTED_VALUE"""),"Yes")</f>
        <v>Yes</v>
      </c>
      <c r="AD137" s="5" t="str">
        <f>IFERROR(__xludf.DUMMYFUNCTION("""COMPUTED_VALUE"""),"Yes")</f>
        <v>Yes</v>
      </c>
      <c r="AE137" s="5" t="str">
        <f>IFERROR(__xludf.DUMMYFUNCTION("""COMPUTED_VALUE"""),"No")</f>
        <v>No</v>
      </c>
      <c r="AF137" s="5" t="str">
        <f>IFERROR(__xludf.DUMMYFUNCTION("""COMPUTED_VALUE"""),"Yes")</f>
        <v>Yes</v>
      </c>
      <c r="AG137" s="5" t="str">
        <f>IFERROR(__xludf.DUMMYFUNCTION("""COMPUTED_VALUE"""),"No")</f>
        <v>No</v>
      </c>
      <c r="AH137" s="5" t="str">
        <f>IFERROR(__xludf.DUMMYFUNCTION("""COMPUTED_VALUE"""),"No")</f>
        <v>No</v>
      </c>
      <c r="AI137" s="5" t="str">
        <f>IFERROR(__xludf.DUMMYFUNCTION("""COMPUTED_VALUE"""),"No")</f>
        <v>No</v>
      </c>
      <c r="AJ137" s="5" t="str">
        <f>IFERROR(__xludf.DUMMYFUNCTION("""COMPUTED_VALUE"""),"No")</f>
        <v>No</v>
      </c>
      <c r="AK137" s="5" t="str">
        <f>IFERROR(__xludf.DUMMYFUNCTION("""COMPUTED_VALUE"""),"No")</f>
        <v>No</v>
      </c>
      <c r="AL137" s="5" t="str">
        <f>IFERROR(__xludf.DUMMYFUNCTION("""COMPUTED_VALUE"""),"No")</f>
        <v>No</v>
      </c>
      <c r="AM137" s="5"/>
      <c r="AN137" s="5"/>
      <c r="AO137" s="5"/>
      <c r="AP137" s="5"/>
      <c r="AQ137" s="5"/>
      <c r="AR137" s="5"/>
      <c r="AS137" s="5"/>
      <c r="AT137" s="5"/>
      <c r="AU137" s="5"/>
      <c r="AV137" s="5"/>
      <c r="AW137" s="5"/>
      <c r="AX137" s="5"/>
      <c r="AY137" s="5"/>
    </row>
    <row r="138">
      <c r="A1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8" s="5">
        <f>IFERROR(__xludf.DUMMYFUNCTION("""COMPUTED_VALUE"""),138.0)</f>
        <v>138</v>
      </c>
      <c r="C138" s="5">
        <f>IFERROR(__xludf.DUMMYFUNCTION("""COMPUTED_VALUE"""),137.0)</f>
        <v>137</v>
      </c>
      <c r="D138" s="5" t="str">
        <f>IFERROR(__xludf.DUMMYFUNCTION("""COMPUTED_VALUE"""),"SevenClassicHot")</f>
        <v>SevenClassicHot</v>
      </c>
      <c r="E138" s="5" t="str">
        <f>IFERROR(__xludf.DUMMYFUNCTION("""COMPUTED_VALUE"""),"Yes")</f>
        <v>Yes</v>
      </c>
      <c r="F138" s="5" t="str">
        <f>IFERROR(__xludf.DUMMYFUNCTION("""COMPUTED_VALUE"""),"Yes")</f>
        <v>Yes</v>
      </c>
      <c r="G138" s="5" t="str">
        <f>IFERROR(__xludf.DUMMYFUNCTION("""COMPUTED_VALUE"""),"Yes")</f>
        <v>Yes</v>
      </c>
      <c r="H138" s="5" t="str">
        <f>IFERROR(__xludf.DUMMYFUNCTION("""COMPUTED_VALUE"""),"Yes")</f>
        <v>Yes</v>
      </c>
      <c r="I138" s="5" t="str">
        <f>IFERROR(__xludf.DUMMYFUNCTION("""COMPUTED_VALUE"""),"Yes")</f>
        <v>Yes</v>
      </c>
      <c r="J138" s="5" t="str">
        <f>IFERROR(__xludf.DUMMYFUNCTION("""COMPUTED_VALUE"""),"Yes")</f>
        <v>Yes</v>
      </c>
      <c r="K138" s="5" t="str">
        <f>IFERROR(__xludf.DUMMYFUNCTION("""COMPUTED_VALUE"""),"Yes")</f>
        <v>Yes</v>
      </c>
      <c r="L138" s="5" t="str">
        <f>IFERROR(__xludf.DUMMYFUNCTION("""COMPUTED_VALUE"""),"Yes")</f>
        <v>Yes</v>
      </c>
      <c r="M138" s="5" t="str">
        <f>IFERROR(__xludf.DUMMYFUNCTION("""COMPUTED_VALUE"""),"Yes")</f>
        <v>Yes</v>
      </c>
      <c r="N138" s="5" t="str">
        <f>IFERROR(__xludf.DUMMYFUNCTION("""COMPUTED_VALUE"""),"Yes")</f>
        <v>Yes</v>
      </c>
      <c r="O138" s="5" t="str">
        <f>IFERROR(__xludf.DUMMYFUNCTION("""COMPUTED_VALUE"""),"Yes")</f>
        <v>Yes</v>
      </c>
      <c r="P138" s="5" t="str">
        <f>IFERROR(__xludf.DUMMYFUNCTION("""COMPUTED_VALUE"""),"Yes")</f>
        <v>Yes</v>
      </c>
      <c r="Q138" s="5" t="str">
        <f>IFERROR(__xludf.DUMMYFUNCTION("""COMPUTED_VALUE"""),"Yes")</f>
        <v>Yes</v>
      </c>
      <c r="R138" s="5" t="str">
        <f>IFERROR(__xludf.DUMMYFUNCTION("""COMPUTED_VALUE"""),"Yes")</f>
        <v>Yes</v>
      </c>
      <c r="S138" s="5" t="str">
        <f>IFERROR(__xludf.DUMMYFUNCTION("""COMPUTED_VALUE"""),"Yes")</f>
        <v>Yes</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IFERROR(__xludf.DUMMYFUNCTION("""COMPUTED_VALUE"""),"No")</f>
        <v>No</v>
      </c>
      <c r="AA138" s="5" t="str">
        <f>IFERROR(__xludf.DUMMYFUNCTION("""COMPUTED_VALUE"""),"Yes")</f>
        <v>Yes</v>
      </c>
      <c r="AB138" s="5" t="str">
        <f>IFERROR(__xludf.DUMMYFUNCTION("""COMPUTED_VALUE"""),"Yes")</f>
        <v>Yes</v>
      </c>
      <c r="AC138" s="5" t="str">
        <f>IFERROR(__xludf.DUMMYFUNCTION("""COMPUTED_VALUE"""),"Yes")</f>
        <v>Yes</v>
      </c>
      <c r="AD138" s="5" t="str">
        <f>IFERROR(__xludf.DUMMYFUNCTION("""COMPUTED_VALUE"""),"Yes")</f>
        <v>Yes</v>
      </c>
      <c r="AE138" s="5" t="str">
        <f>IFERROR(__xludf.DUMMYFUNCTION("""COMPUTED_VALUE"""),"No")</f>
        <v>No</v>
      </c>
      <c r="AF138" s="5" t="str">
        <f>IFERROR(__xludf.DUMMYFUNCTION("""COMPUTED_VALUE"""),"Yes")</f>
        <v>Yes</v>
      </c>
      <c r="AG138" s="5" t="str">
        <f>IFERROR(__xludf.DUMMYFUNCTION("""COMPUTED_VALUE"""),"No")</f>
        <v>No</v>
      </c>
      <c r="AH138" s="5" t="str">
        <f>IFERROR(__xludf.DUMMYFUNCTION("""COMPUTED_VALUE"""),"No")</f>
        <v>No</v>
      </c>
      <c r="AI138" s="5" t="str">
        <f>IFERROR(__xludf.DUMMYFUNCTION("""COMPUTED_VALUE"""),"No")</f>
        <v>No</v>
      </c>
      <c r="AJ138" s="5" t="str">
        <f>IFERROR(__xludf.DUMMYFUNCTION("""COMPUTED_VALUE"""),"No")</f>
        <v>No</v>
      </c>
      <c r="AK138" s="5" t="str">
        <f>IFERROR(__xludf.DUMMYFUNCTION("""COMPUTED_VALUE"""),"No")</f>
        <v>No</v>
      </c>
      <c r="AL138" s="5" t="str">
        <f>IFERROR(__xludf.DUMMYFUNCTION("""COMPUTED_VALUE"""),"No")</f>
        <v>No</v>
      </c>
      <c r="AM138" s="5"/>
      <c r="AN138" s="5"/>
      <c r="AO138" s="5"/>
      <c r="AP138" s="5"/>
      <c r="AQ138" s="5"/>
      <c r="AR138" s="5"/>
      <c r="AS138" s="5"/>
      <c r="AT138" s="5"/>
      <c r="AU138" s="5"/>
      <c r="AV138" s="5"/>
      <c r="AW138" s="5"/>
      <c r="AX138" s="5"/>
      <c r="AY138" s="5"/>
    </row>
    <row r="139">
      <c r="A1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9" s="5">
        <f>IFERROR(__xludf.DUMMYFUNCTION("""COMPUTED_VALUE"""),139.0)</f>
        <v>139</v>
      </c>
      <c r="C139" s="5">
        <f>IFERROR(__xludf.DUMMYFUNCTION("""COMPUTED_VALUE"""),138.0)</f>
        <v>138</v>
      </c>
      <c r="D139" s="5" t="str">
        <f>IFERROR(__xludf.DUMMYFUNCTION("""COMPUTED_VALUE"""),"TurboHot100")</f>
        <v>TurboHot100</v>
      </c>
      <c r="E139" s="5" t="str">
        <f>IFERROR(__xludf.DUMMYFUNCTION("""COMPUTED_VALUE"""),"Yes")</f>
        <v>Yes</v>
      </c>
      <c r="F139" s="5" t="str">
        <f>IFERROR(__xludf.DUMMYFUNCTION("""COMPUTED_VALUE"""),"Yes")</f>
        <v>Yes</v>
      </c>
      <c r="G139" s="5" t="str">
        <f>IFERROR(__xludf.DUMMYFUNCTION("""COMPUTED_VALUE"""),"Yes")</f>
        <v>Yes</v>
      </c>
      <c r="H139" s="5" t="str">
        <f>IFERROR(__xludf.DUMMYFUNCTION("""COMPUTED_VALUE"""),"Yes")</f>
        <v>Yes</v>
      </c>
      <c r="I139" s="5" t="str">
        <f>IFERROR(__xludf.DUMMYFUNCTION("""COMPUTED_VALUE"""),"Yes")</f>
        <v>Yes</v>
      </c>
      <c r="J139" s="5" t="str">
        <f>IFERROR(__xludf.DUMMYFUNCTION("""COMPUTED_VALUE"""),"Yes")</f>
        <v>Yes</v>
      </c>
      <c r="K139" s="5" t="str">
        <f>IFERROR(__xludf.DUMMYFUNCTION("""COMPUTED_VALUE"""),"Yes")</f>
        <v>Yes</v>
      </c>
      <c r="L139" s="5" t="str">
        <f>IFERROR(__xludf.DUMMYFUNCTION("""COMPUTED_VALUE"""),"Yes")</f>
        <v>Yes</v>
      </c>
      <c r="M139" s="5" t="str">
        <f>IFERROR(__xludf.DUMMYFUNCTION("""COMPUTED_VALUE"""),"Yes")</f>
        <v>Yes</v>
      </c>
      <c r="N139" s="5" t="str">
        <f>IFERROR(__xludf.DUMMYFUNCTION("""COMPUTED_VALUE"""),"Yes")</f>
        <v>Yes</v>
      </c>
      <c r="O139" s="5" t="str">
        <f>IFERROR(__xludf.DUMMYFUNCTION("""COMPUTED_VALUE"""),"Yes")</f>
        <v>Yes</v>
      </c>
      <c r="P139" s="5" t="str">
        <f>IFERROR(__xludf.DUMMYFUNCTION("""COMPUTED_VALUE"""),"Yes")</f>
        <v>Yes</v>
      </c>
      <c r="Q139" s="5" t="str">
        <f>IFERROR(__xludf.DUMMYFUNCTION("""COMPUTED_VALUE"""),"Yes")</f>
        <v>Yes</v>
      </c>
      <c r="R139" s="5" t="str">
        <f>IFERROR(__xludf.DUMMYFUNCTION("""COMPUTED_VALUE"""),"Yes")</f>
        <v>Yes</v>
      </c>
      <c r="S139" s="5" t="str">
        <f>IFERROR(__xludf.DUMMYFUNCTION("""COMPUTED_VALUE"""),"Yes")</f>
        <v>Yes</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IFERROR(__xludf.DUMMYFUNCTION("""COMPUTED_VALUE"""),"No")</f>
        <v>No</v>
      </c>
      <c r="AA139" s="5" t="str">
        <f>IFERROR(__xludf.DUMMYFUNCTION("""COMPUTED_VALUE"""),"Yes")</f>
        <v>Yes</v>
      </c>
      <c r="AB139" s="5" t="str">
        <f>IFERROR(__xludf.DUMMYFUNCTION("""COMPUTED_VALUE"""),"Yes")</f>
        <v>Yes</v>
      </c>
      <c r="AC139" s="5" t="str">
        <f>IFERROR(__xludf.DUMMYFUNCTION("""COMPUTED_VALUE"""),"Yes")</f>
        <v>Yes</v>
      </c>
      <c r="AD139" s="5" t="str">
        <f>IFERROR(__xludf.DUMMYFUNCTION("""COMPUTED_VALUE"""),"Yes")</f>
        <v>Yes</v>
      </c>
      <c r="AE139" s="5" t="str">
        <f>IFERROR(__xludf.DUMMYFUNCTION("""COMPUTED_VALUE"""),"No")</f>
        <v>No</v>
      </c>
      <c r="AF139" s="5" t="str">
        <f>IFERROR(__xludf.DUMMYFUNCTION("""COMPUTED_VALUE"""),"Yes")</f>
        <v>Yes</v>
      </c>
      <c r="AG139" s="5" t="str">
        <f>IFERROR(__xludf.DUMMYFUNCTION("""COMPUTED_VALUE"""),"No")</f>
        <v>No</v>
      </c>
      <c r="AH139" s="5" t="str">
        <f>IFERROR(__xludf.DUMMYFUNCTION("""COMPUTED_VALUE"""),"No")</f>
        <v>No</v>
      </c>
      <c r="AI139" s="5" t="str">
        <f>IFERROR(__xludf.DUMMYFUNCTION("""COMPUTED_VALUE"""),"No")</f>
        <v>No</v>
      </c>
      <c r="AJ139" s="5" t="str">
        <f>IFERROR(__xludf.DUMMYFUNCTION("""COMPUTED_VALUE"""),"No")</f>
        <v>No</v>
      </c>
      <c r="AK139" s="5" t="str">
        <f>IFERROR(__xludf.DUMMYFUNCTION("""COMPUTED_VALUE"""),"No")</f>
        <v>No</v>
      </c>
      <c r="AL139" s="5" t="str">
        <f>IFERROR(__xludf.DUMMYFUNCTION("""COMPUTED_VALUE"""),"No")</f>
        <v>No</v>
      </c>
      <c r="AM139" s="5"/>
      <c r="AN139" s="5"/>
      <c r="AO139" s="5"/>
      <c r="AP139" s="5"/>
      <c r="AQ139" s="5"/>
      <c r="AR139" s="5"/>
      <c r="AS139" s="5"/>
      <c r="AT139" s="5"/>
      <c r="AU139" s="5"/>
      <c r="AV139" s="5"/>
      <c r="AW139" s="5"/>
      <c r="AX139" s="5"/>
      <c r="AY139" s="5"/>
    </row>
    <row r="140">
      <c r="A1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40" s="5">
        <f>IFERROR(__xludf.DUMMYFUNCTION("""COMPUTED_VALUE"""),140.0)</f>
        <v>140</v>
      </c>
      <c r="C140" s="5">
        <f>IFERROR(__xludf.DUMMYFUNCTION("""COMPUTED_VALUE"""),139.0)</f>
        <v>139</v>
      </c>
      <c r="D140" s="5" t="str">
        <f>IFERROR(__xludf.DUMMYFUNCTION("""COMPUTED_VALUE"""),"BonusBells")</f>
        <v>BonusBells</v>
      </c>
      <c r="E140" s="5" t="str">
        <f>IFERROR(__xludf.DUMMYFUNCTION("""COMPUTED_VALUE"""),"Yes")</f>
        <v>Yes</v>
      </c>
      <c r="F140" s="5" t="str">
        <f>IFERROR(__xludf.DUMMYFUNCTION("""COMPUTED_VALUE"""),"Yes")</f>
        <v>Yes</v>
      </c>
      <c r="G140" s="5" t="str">
        <f>IFERROR(__xludf.DUMMYFUNCTION("""COMPUTED_VALUE"""),"Yes")</f>
        <v>Yes</v>
      </c>
      <c r="H140" s="5" t="str">
        <f>IFERROR(__xludf.DUMMYFUNCTION("""COMPUTED_VALUE"""),"Yes")</f>
        <v>Yes</v>
      </c>
      <c r="I140" s="5" t="str">
        <f>IFERROR(__xludf.DUMMYFUNCTION("""COMPUTED_VALUE"""),"Yes")</f>
        <v>Yes</v>
      </c>
      <c r="J140" s="5" t="str">
        <f>IFERROR(__xludf.DUMMYFUNCTION("""COMPUTED_VALUE"""),"Yes")</f>
        <v>Yes</v>
      </c>
      <c r="K140" s="5" t="str">
        <f>IFERROR(__xludf.DUMMYFUNCTION("""COMPUTED_VALUE"""),"Yes")</f>
        <v>Yes</v>
      </c>
      <c r="L140" s="5" t="str">
        <f>IFERROR(__xludf.DUMMYFUNCTION("""COMPUTED_VALUE"""),"Yes")</f>
        <v>Yes</v>
      </c>
      <c r="M140" s="5" t="str">
        <f>IFERROR(__xludf.DUMMYFUNCTION("""COMPUTED_VALUE"""),"Yes")</f>
        <v>Yes</v>
      </c>
      <c r="N140" s="5" t="str">
        <f>IFERROR(__xludf.DUMMYFUNCTION("""COMPUTED_VALUE"""),"Yes")</f>
        <v>Yes</v>
      </c>
      <c r="O140" s="5" t="str">
        <f>IFERROR(__xludf.DUMMYFUNCTION("""COMPUTED_VALUE"""),"Yes")</f>
        <v>Yes</v>
      </c>
      <c r="P140" s="5" t="str">
        <f>IFERROR(__xludf.DUMMYFUNCTION("""COMPUTED_VALUE"""),"Yes")</f>
        <v>Yes</v>
      </c>
      <c r="Q140" s="5" t="str">
        <f>IFERROR(__xludf.DUMMYFUNCTION("""COMPUTED_VALUE"""),"Yes")</f>
        <v>Yes</v>
      </c>
      <c r="R140" s="5" t="str">
        <f>IFERROR(__xludf.DUMMYFUNCTION("""COMPUTED_VALUE"""),"Yes")</f>
        <v>Yes</v>
      </c>
      <c r="S140" s="5" t="str">
        <f>IFERROR(__xludf.DUMMYFUNCTION("""COMPUTED_VALUE"""),"Yes")</f>
        <v>Yes</v>
      </c>
      <c r="T140" s="5" t="str">
        <f>IFERROR(__xludf.DUMMYFUNCTION("""COMPUTED_VALUE"""),"Yes")</f>
        <v>Yes</v>
      </c>
      <c r="U140" s="5" t="str">
        <f>IFERROR(__xludf.DUMMYFUNCTION("""COMPUTED_VALUE"""),"Yes")</f>
        <v>Yes</v>
      </c>
      <c r="V140" s="5" t="str">
        <f>IFERROR(__xludf.DUMMYFUNCTION("""COMPUTED_VALUE"""),"Yes")</f>
        <v>Yes</v>
      </c>
      <c r="W140" s="5" t="str">
        <f>IFERROR(__xludf.DUMMYFUNCTION("""COMPUTED_VALUE"""),"Yes")</f>
        <v>Yes</v>
      </c>
      <c r="X140" s="5" t="str">
        <f>IFERROR(__xludf.DUMMYFUNCTION("""COMPUTED_VALUE"""),"Yes")</f>
        <v>Yes</v>
      </c>
      <c r="Y140" s="5" t="str">
        <f>IFERROR(__xludf.DUMMYFUNCTION("""COMPUTED_VALUE"""),"Yes")</f>
        <v>Yes</v>
      </c>
      <c r="Z140" s="5" t="str">
        <f>IFERROR(__xludf.DUMMYFUNCTION("""COMPUTED_VALUE"""),"Yes")</f>
        <v>Yes</v>
      </c>
      <c r="AA140" s="5" t="str">
        <f>IFERROR(__xludf.DUMMYFUNCTION("""COMPUTED_VALUE"""),"Yes")</f>
        <v>Yes</v>
      </c>
      <c r="AB140" s="5" t="str">
        <f>IFERROR(__xludf.DUMMYFUNCTION("""COMPUTED_VALUE"""),"Yes")</f>
        <v>Yes</v>
      </c>
      <c r="AC140" s="5" t="str">
        <f>IFERROR(__xludf.DUMMYFUNCTION("""COMPUTED_VALUE"""),"Yes")</f>
        <v>Yes</v>
      </c>
      <c r="AD140" s="5" t="str">
        <f>IFERROR(__xludf.DUMMYFUNCTION("""COMPUTED_VALUE"""),"Yes")</f>
        <v>Yes</v>
      </c>
      <c r="AE140" s="5" t="str">
        <f>IFERROR(__xludf.DUMMYFUNCTION("""COMPUTED_VALUE"""),"Yes")</f>
        <v>Yes</v>
      </c>
      <c r="AF140" s="5" t="str">
        <f>IFERROR(__xludf.DUMMYFUNCTION("""COMPUTED_VALUE"""),"Yes")</f>
        <v>Yes</v>
      </c>
      <c r="AG140" s="5" t="str">
        <f>IFERROR(__xludf.DUMMYFUNCTION("""COMPUTED_VALUE"""),"Yes")</f>
        <v>Yes</v>
      </c>
      <c r="AH140" s="5" t="str">
        <f>IFERROR(__xludf.DUMMYFUNCTION("""COMPUTED_VALUE"""),"Yes")</f>
        <v>Yes</v>
      </c>
      <c r="AI140" s="5" t="str">
        <f>IFERROR(__xludf.DUMMYFUNCTION("""COMPUTED_VALUE"""),"No")</f>
        <v>No</v>
      </c>
      <c r="AJ140" s="5" t="str">
        <f>IFERROR(__xludf.DUMMYFUNCTION("""COMPUTED_VALUE"""),"No")</f>
        <v>No</v>
      </c>
      <c r="AK140" s="5" t="str">
        <f>IFERROR(__xludf.DUMMYFUNCTION("""COMPUTED_VALUE"""),"No")</f>
        <v>No</v>
      </c>
      <c r="AL140" s="5" t="str">
        <f>IFERROR(__xludf.DUMMYFUNCTION("""COMPUTED_VALUE"""),"No")</f>
        <v>No</v>
      </c>
      <c r="AM140" s="5"/>
      <c r="AN140" s="5"/>
      <c r="AO140" s="5"/>
      <c r="AP140" s="5"/>
      <c r="AQ140" s="5"/>
      <c r="AR140" s="5"/>
      <c r="AS140" s="5"/>
      <c r="AT140" s="5"/>
      <c r="AU140" s="5"/>
      <c r="AV140" s="5"/>
      <c r="AW140" s="5"/>
      <c r="AX140" s="5"/>
      <c r="AY140" s="5"/>
    </row>
    <row r="141">
      <c r="A1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1" s="5">
        <f>IFERROR(__xludf.DUMMYFUNCTION("""COMPUTED_VALUE"""),141.0)</f>
        <v>141</v>
      </c>
      <c r="C141" s="5">
        <f>IFERROR(__xludf.DUMMYFUNCTION("""COMPUTED_VALUE"""),140.0)</f>
        <v>140</v>
      </c>
      <c r="D141" s="5" t="str">
        <f>IFERROR(__xludf.DUMMYFUNCTION("""COMPUTED_VALUE"""),"FruityHot")</f>
        <v>FruityHot</v>
      </c>
      <c r="E141" s="5" t="str">
        <f>IFERROR(__xludf.DUMMYFUNCTION("""COMPUTED_VALUE"""),"Yes")</f>
        <v>Yes</v>
      </c>
      <c r="F141" s="5" t="str">
        <f>IFERROR(__xludf.DUMMYFUNCTION("""COMPUTED_VALUE"""),"Yes")</f>
        <v>Yes</v>
      </c>
      <c r="G141" s="5" t="str">
        <f>IFERROR(__xludf.DUMMYFUNCTION("""COMPUTED_VALUE"""),"Yes")</f>
        <v>Yes</v>
      </c>
      <c r="H141" s="5" t="str">
        <f>IFERROR(__xludf.DUMMYFUNCTION("""COMPUTED_VALUE"""),"Yes")</f>
        <v>Yes</v>
      </c>
      <c r="I141" s="5" t="str">
        <f>IFERROR(__xludf.DUMMYFUNCTION("""COMPUTED_VALUE"""),"Yes")</f>
        <v>Yes</v>
      </c>
      <c r="J141" s="5" t="str">
        <f>IFERROR(__xludf.DUMMYFUNCTION("""COMPUTED_VALUE"""),"Yes")</f>
        <v>Yes</v>
      </c>
      <c r="K141" s="5" t="str">
        <f>IFERROR(__xludf.DUMMYFUNCTION("""COMPUTED_VALUE"""),"Yes")</f>
        <v>Yes</v>
      </c>
      <c r="L141" s="5" t="str">
        <f>IFERROR(__xludf.DUMMYFUNCTION("""COMPUTED_VALUE"""),"Yes")</f>
        <v>Yes</v>
      </c>
      <c r="M141" s="5" t="str">
        <f>IFERROR(__xludf.DUMMYFUNCTION("""COMPUTED_VALUE"""),"Yes")</f>
        <v>Yes</v>
      </c>
      <c r="N141" s="5" t="str">
        <f>IFERROR(__xludf.DUMMYFUNCTION("""COMPUTED_VALUE"""),"Yes")</f>
        <v>Yes</v>
      </c>
      <c r="O141" s="5" t="str">
        <f>IFERROR(__xludf.DUMMYFUNCTION("""COMPUTED_VALUE"""),"Yes")</f>
        <v>Yes</v>
      </c>
      <c r="P141" s="5" t="str">
        <f>IFERROR(__xludf.DUMMYFUNCTION("""COMPUTED_VALUE"""),"Yes")</f>
        <v>Yes</v>
      </c>
      <c r="Q141" s="5" t="str">
        <f>IFERROR(__xludf.DUMMYFUNCTION("""COMPUTED_VALUE"""),"Yes")</f>
        <v>Yes</v>
      </c>
      <c r="R141" s="5" t="str">
        <f>IFERROR(__xludf.DUMMYFUNCTION("""COMPUTED_VALUE"""),"Yes")</f>
        <v>Yes</v>
      </c>
      <c r="S141" s="5" t="str">
        <f>IFERROR(__xludf.DUMMYFUNCTION("""COMPUTED_VALUE"""),"Yes")</f>
        <v>Yes</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IFERROR(__xludf.DUMMYFUNCTION("""COMPUTED_VALUE"""),"No")</f>
        <v>No</v>
      </c>
      <c r="AA141" s="5" t="str">
        <f>IFERROR(__xludf.DUMMYFUNCTION("""COMPUTED_VALUE"""),"Yes")</f>
        <v>Yes</v>
      </c>
      <c r="AB141" s="5" t="str">
        <f>IFERROR(__xludf.DUMMYFUNCTION("""COMPUTED_VALUE"""),"Yes")</f>
        <v>Yes</v>
      </c>
      <c r="AC141" s="5" t="str">
        <f>IFERROR(__xludf.DUMMYFUNCTION("""COMPUTED_VALUE"""),"Yes")</f>
        <v>Yes</v>
      </c>
      <c r="AD141" s="5" t="str">
        <f>IFERROR(__xludf.DUMMYFUNCTION("""COMPUTED_VALUE"""),"Yes")</f>
        <v>Yes</v>
      </c>
      <c r="AE141" s="5" t="str">
        <f>IFERROR(__xludf.DUMMYFUNCTION("""COMPUTED_VALUE"""),"No")</f>
        <v>No</v>
      </c>
      <c r="AF141" s="5" t="str">
        <f>IFERROR(__xludf.DUMMYFUNCTION("""COMPUTED_VALUE"""),"Yes")</f>
        <v>Yes</v>
      </c>
      <c r="AG141" s="5" t="str">
        <f>IFERROR(__xludf.DUMMYFUNCTION("""COMPUTED_VALUE"""),"No")</f>
        <v>No</v>
      </c>
      <c r="AH141" s="5" t="str">
        <f>IFERROR(__xludf.DUMMYFUNCTION("""COMPUTED_VALUE"""),"No")</f>
        <v>No</v>
      </c>
      <c r="AI141" s="5" t="str">
        <f>IFERROR(__xludf.DUMMYFUNCTION("""COMPUTED_VALUE"""),"No")</f>
        <v>No</v>
      </c>
      <c r="AJ141" s="5" t="str">
        <f>IFERROR(__xludf.DUMMYFUNCTION("""COMPUTED_VALUE"""),"No")</f>
        <v>No</v>
      </c>
      <c r="AK141" s="5" t="str">
        <f>IFERROR(__xludf.DUMMYFUNCTION("""COMPUTED_VALUE"""),"No")</f>
        <v>No</v>
      </c>
      <c r="AL141" s="5" t="str">
        <f>IFERROR(__xludf.DUMMYFUNCTION("""COMPUTED_VALUE"""),"No")</f>
        <v>No</v>
      </c>
      <c r="AM141" s="5"/>
      <c r="AN141" s="5"/>
      <c r="AO141" s="5"/>
      <c r="AP141" s="5"/>
      <c r="AQ141" s="5"/>
      <c r="AR141" s="5"/>
      <c r="AS141" s="5"/>
      <c r="AT141" s="5"/>
      <c r="AU141" s="5"/>
      <c r="AV141" s="5"/>
      <c r="AW141" s="5"/>
      <c r="AX141" s="5"/>
      <c r="AY141" s="5"/>
    </row>
    <row r="142">
      <c r="A1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2" s="5">
        <f>IFERROR(__xludf.DUMMYFUNCTION("""COMPUTED_VALUE"""),142.0)</f>
        <v>142</v>
      </c>
      <c r="C142" s="5">
        <f>IFERROR(__xludf.DUMMYFUNCTION("""COMPUTED_VALUE"""),141.0)</f>
        <v>141</v>
      </c>
      <c r="D142" s="5" t="str">
        <f>IFERROR(__xludf.DUMMYFUNCTION("""COMPUTED_VALUE"""),"ActionHot40")</f>
        <v>ActionHot40</v>
      </c>
      <c r="E142" s="5" t="str">
        <f>IFERROR(__xludf.DUMMYFUNCTION("""COMPUTED_VALUE"""),"Yes")</f>
        <v>Yes</v>
      </c>
      <c r="F142" s="5" t="str">
        <f>IFERROR(__xludf.DUMMYFUNCTION("""COMPUTED_VALUE"""),"Yes")</f>
        <v>Yes</v>
      </c>
      <c r="G142" s="5" t="str">
        <f>IFERROR(__xludf.DUMMYFUNCTION("""COMPUTED_VALUE"""),"Yes")</f>
        <v>Yes</v>
      </c>
      <c r="H142" s="5" t="str">
        <f>IFERROR(__xludf.DUMMYFUNCTION("""COMPUTED_VALUE"""),"Yes")</f>
        <v>Yes</v>
      </c>
      <c r="I142" s="5" t="str">
        <f>IFERROR(__xludf.DUMMYFUNCTION("""COMPUTED_VALUE"""),"Yes")</f>
        <v>Yes</v>
      </c>
      <c r="J142" s="5" t="str">
        <f>IFERROR(__xludf.DUMMYFUNCTION("""COMPUTED_VALUE"""),"Yes")</f>
        <v>Yes</v>
      </c>
      <c r="K142" s="5" t="str">
        <f>IFERROR(__xludf.DUMMYFUNCTION("""COMPUTED_VALUE"""),"Yes")</f>
        <v>Yes</v>
      </c>
      <c r="L142" s="5" t="str">
        <f>IFERROR(__xludf.DUMMYFUNCTION("""COMPUTED_VALUE"""),"Yes")</f>
        <v>Yes</v>
      </c>
      <c r="M142" s="5" t="str">
        <f>IFERROR(__xludf.DUMMYFUNCTION("""COMPUTED_VALUE"""),"Yes")</f>
        <v>Yes</v>
      </c>
      <c r="N142" s="5" t="str">
        <f>IFERROR(__xludf.DUMMYFUNCTION("""COMPUTED_VALUE"""),"Yes")</f>
        <v>Yes</v>
      </c>
      <c r="O142" s="5" t="str">
        <f>IFERROR(__xludf.DUMMYFUNCTION("""COMPUTED_VALUE"""),"Yes")</f>
        <v>Yes</v>
      </c>
      <c r="P142" s="5" t="str">
        <f>IFERROR(__xludf.DUMMYFUNCTION("""COMPUTED_VALUE"""),"Yes")</f>
        <v>Yes</v>
      </c>
      <c r="Q142" s="5" t="str">
        <f>IFERROR(__xludf.DUMMYFUNCTION("""COMPUTED_VALUE"""),"Yes")</f>
        <v>Yes</v>
      </c>
      <c r="R142" s="5" t="str">
        <f>IFERROR(__xludf.DUMMYFUNCTION("""COMPUTED_VALUE"""),"Yes")</f>
        <v>Yes</v>
      </c>
      <c r="S142" s="5" t="str">
        <f>IFERROR(__xludf.DUMMYFUNCTION("""COMPUTED_VALUE"""),"Yes")</f>
        <v>Yes</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c r="AA142" s="5" t="str">
        <f>IFERROR(__xludf.DUMMYFUNCTION("""COMPUTED_VALUE"""),"Yes")</f>
        <v>Yes</v>
      </c>
      <c r="AB142" s="5" t="str">
        <f>IFERROR(__xludf.DUMMYFUNCTION("""COMPUTED_VALUE"""),"Yes")</f>
        <v>Yes</v>
      </c>
      <c r="AC142" s="5" t="str">
        <f>IFERROR(__xludf.DUMMYFUNCTION("""COMPUTED_VALUE"""),"Yes")</f>
        <v>Yes</v>
      </c>
      <c r="AD142" s="5" t="str">
        <f>IFERROR(__xludf.DUMMYFUNCTION("""COMPUTED_VALUE"""),"Yes")</f>
        <v>Yes</v>
      </c>
      <c r="AE142" s="5"/>
      <c r="AF142" s="5" t="str">
        <f>IFERROR(__xludf.DUMMYFUNCTION("""COMPUTED_VALUE"""),"Yes")</f>
        <v>Yes</v>
      </c>
      <c r="AG142" s="5"/>
      <c r="AH142" s="5"/>
      <c r="AI142" s="5"/>
      <c r="AJ142" s="5"/>
      <c r="AK142" s="5"/>
      <c r="AL142" s="5"/>
      <c r="AM142" s="5"/>
      <c r="AN142" s="5"/>
      <c r="AO142" s="5"/>
      <c r="AP142" s="5"/>
      <c r="AQ142" s="5"/>
      <c r="AR142" s="5"/>
      <c r="AS142" s="5"/>
      <c r="AT142" s="5"/>
      <c r="AU142" s="5"/>
      <c r="AV142" s="5"/>
      <c r="AW142" s="5"/>
      <c r="AX142" s="5"/>
      <c r="AY142" s="5"/>
    </row>
    <row r="143">
      <c r="A1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3" s="5">
        <f>IFERROR(__xludf.DUMMYFUNCTION("""COMPUTED_VALUE"""),143.0)</f>
        <v>143</v>
      </c>
      <c r="C143" s="5">
        <f>IFERROR(__xludf.DUMMYFUNCTION("""COMPUTED_VALUE"""),142.0)</f>
        <v>142</v>
      </c>
      <c r="D143" s="5" t="str">
        <f>IFERROR(__xludf.DUMMYFUNCTION("""COMPUTED_VALUE"""),"TurboPinn40")</f>
        <v>TurboPinn40</v>
      </c>
      <c r="E143" s="5" t="str">
        <f>IFERROR(__xludf.DUMMYFUNCTION("""COMPUTED_VALUE"""),"Yes")</f>
        <v>Yes</v>
      </c>
      <c r="F143" s="5" t="str">
        <f>IFERROR(__xludf.DUMMYFUNCTION("""COMPUTED_VALUE"""),"Yes")</f>
        <v>Yes</v>
      </c>
      <c r="G143" s="5" t="str">
        <f>IFERROR(__xludf.DUMMYFUNCTION("""COMPUTED_VALUE"""),"Yes")</f>
        <v>Yes</v>
      </c>
      <c r="H143" s="5" t="str">
        <f>IFERROR(__xludf.DUMMYFUNCTION("""COMPUTED_VALUE"""),"Yes")</f>
        <v>Yes</v>
      </c>
      <c r="I143" s="5" t="str">
        <f>IFERROR(__xludf.DUMMYFUNCTION("""COMPUTED_VALUE"""),"Yes")</f>
        <v>Yes</v>
      </c>
      <c r="J143" s="5" t="str">
        <f>IFERROR(__xludf.DUMMYFUNCTION("""COMPUTED_VALUE"""),"Yes")</f>
        <v>Yes</v>
      </c>
      <c r="K143" s="5" t="str">
        <f>IFERROR(__xludf.DUMMYFUNCTION("""COMPUTED_VALUE"""),"Yes")</f>
        <v>Yes</v>
      </c>
      <c r="L143" s="5" t="str">
        <f>IFERROR(__xludf.DUMMYFUNCTION("""COMPUTED_VALUE"""),"Yes")</f>
        <v>Yes</v>
      </c>
      <c r="M143" s="5" t="str">
        <f>IFERROR(__xludf.DUMMYFUNCTION("""COMPUTED_VALUE"""),"Yes")</f>
        <v>Yes</v>
      </c>
      <c r="N143" s="5" t="str">
        <f>IFERROR(__xludf.DUMMYFUNCTION("""COMPUTED_VALUE"""),"Yes")</f>
        <v>Yes</v>
      </c>
      <c r="O143" s="5" t="str">
        <f>IFERROR(__xludf.DUMMYFUNCTION("""COMPUTED_VALUE"""),"Yes")</f>
        <v>Yes</v>
      </c>
      <c r="P143" s="5" t="str">
        <f>IFERROR(__xludf.DUMMYFUNCTION("""COMPUTED_VALUE"""),"Yes")</f>
        <v>Yes</v>
      </c>
      <c r="Q143" s="5" t="str">
        <f>IFERROR(__xludf.DUMMYFUNCTION("""COMPUTED_VALUE"""),"Yes")</f>
        <v>Yes</v>
      </c>
      <c r="R143" s="5" t="str">
        <f>IFERROR(__xludf.DUMMYFUNCTION("""COMPUTED_VALUE"""),"Yes")</f>
        <v>Yes</v>
      </c>
      <c r="S143" s="5" t="str">
        <f>IFERROR(__xludf.DUMMYFUNCTION("""COMPUTED_VALUE"""),"Yes")</f>
        <v>Yes</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IFERROR(__xludf.DUMMYFUNCTION("""COMPUTED_VALUE"""),"No")</f>
        <v>No</v>
      </c>
      <c r="AA143" s="5" t="str">
        <f>IFERROR(__xludf.DUMMYFUNCTION("""COMPUTED_VALUE"""),"Yes")</f>
        <v>Yes</v>
      </c>
      <c r="AB143" s="5" t="str">
        <f>IFERROR(__xludf.DUMMYFUNCTION("""COMPUTED_VALUE"""),"Yes")</f>
        <v>Yes</v>
      </c>
      <c r="AC143" s="5" t="str">
        <f>IFERROR(__xludf.DUMMYFUNCTION("""COMPUTED_VALUE"""),"Yes")</f>
        <v>Yes</v>
      </c>
      <c r="AD143" s="5" t="str">
        <f>IFERROR(__xludf.DUMMYFUNCTION("""COMPUTED_VALUE"""),"Yes")</f>
        <v>Yes</v>
      </c>
      <c r="AE143" s="5" t="str">
        <f>IFERROR(__xludf.DUMMYFUNCTION("""COMPUTED_VALUE"""),"No")</f>
        <v>No</v>
      </c>
      <c r="AF143" s="5" t="str">
        <f>IFERROR(__xludf.DUMMYFUNCTION("""COMPUTED_VALUE"""),"Yes")</f>
        <v>Yes</v>
      </c>
      <c r="AG143" s="5" t="str">
        <f>IFERROR(__xludf.DUMMYFUNCTION("""COMPUTED_VALUE"""),"No")</f>
        <v>No</v>
      </c>
      <c r="AH143" s="5" t="str">
        <f>IFERROR(__xludf.DUMMYFUNCTION("""COMPUTED_VALUE"""),"No")</f>
        <v>No</v>
      </c>
      <c r="AI143" s="5" t="str">
        <f>IFERROR(__xludf.DUMMYFUNCTION("""COMPUTED_VALUE"""),"No")</f>
        <v>No</v>
      </c>
      <c r="AJ143" s="5" t="str">
        <f>IFERROR(__xludf.DUMMYFUNCTION("""COMPUTED_VALUE"""),"No")</f>
        <v>No</v>
      </c>
      <c r="AK143" s="5" t="str">
        <f>IFERROR(__xludf.DUMMYFUNCTION("""COMPUTED_VALUE"""),"No")</f>
        <v>No</v>
      </c>
      <c r="AL143" s="5" t="str">
        <f>IFERROR(__xludf.DUMMYFUNCTION("""COMPUTED_VALUE"""),"No")</f>
        <v>No</v>
      </c>
      <c r="AM143" s="5"/>
      <c r="AN143" s="5"/>
      <c r="AO143" s="5"/>
      <c r="AP143" s="5"/>
      <c r="AQ143" s="5"/>
      <c r="AR143" s="5"/>
      <c r="AS143" s="5"/>
      <c r="AT143" s="5"/>
      <c r="AU143" s="5"/>
      <c r="AV143" s="5"/>
      <c r="AW143" s="5"/>
      <c r="AX143" s="5"/>
      <c r="AY143" s="5"/>
    </row>
    <row r="144">
      <c r="A1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4" s="5">
        <f>IFERROR(__xludf.DUMMYFUNCTION("""COMPUTED_VALUE"""),144.0)</f>
        <v>144</v>
      </c>
      <c r="C144" s="5">
        <f>IFERROR(__xludf.DUMMYFUNCTION("""COMPUTED_VALUE"""),143.0)</f>
        <v>143</v>
      </c>
      <c r="D144" s="5" t="str">
        <f>IFERROR(__xludf.DUMMYFUNCTION("""COMPUTED_VALUE"""),"StarsOfOktagon")</f>
        <v>StarsOfOktagon</v>
      </c>
      <c r="E144" s="5" t="str">
        <f>IFERROR(__xludf.DUMMYFUNCTION("""COMPUTED_VALUE"""),"Yes")</f>
        <v>Yes</v>
      </c>
      <c r="F144" s="5" t="str">
        <f>IFERROR(__xludf.DUMMYFUNCTION("""COMPUTED_VALUE"""),"Yes")</f>
        <v>Yes</v>
      </c>
      <c r="G144" s="5" t="str">
        <f>IFERROR(__xludf.DUMMYFUNCTION("""COMPUTED_VALUE"""),"Yes")</f>
        <v>Yes</v>
      </c>
      <c r="H144" s="5" t="str">
        <f>IFERROR(__xludf.DUMMYFUNCTION("""COMPUTED_VALUE"""),"Yes")</f>
        <v>Yes</v>
      </c>
      <c r="I144" s="5" t="str">
        <f>IFERROR(__xludf.DUMMYFUNCTION("""COMPUTED_VALUE"""),"Yes")</f>
        <v>Yes</v>
      </c>
      <c r="J144" s="5" t="str">
        <f>IFERROR(__xludf.DUMMYFUNCTION("""COMPUTED_VALUE"""),"Yes")</f>
        <v>Yes</v>
      </c>
      <c r="K144" s="5" t="str">
        <f>IFERROR(__xludf.DUMMYFUNCTION("""COMPUTED_VALUE"""),"Yes")</f>
        <v>Yes</v>
      </c>
      <c r="L144" s="5" t="str">
        <f>IFERROR(__xludf.DUMMYFUNCTION("""COMPUTED_VALUE"""),"Yes")</f>
        <v>Yes</v>
      </c>
      <c r="M144" s="5" t="str">
        <f>IFERROR(__xludf.DUMMYFUNCTION("""COMPUTED_VALUE"""),"Yes")</f>
        <v>Yes</v>
      </c>
      <c r="N144" s="5" t="str">
        <f>IFERROR(__xludf.DUMMYFUNCTION("""COMPUTED_VALUE"""),"Yes")</f>
        <v>Yes</v>
      </c>
      <c r="O144" s="5" t="str">
        <f>IFERROR(__xludf.DUMMYFUNCTION("""COMPUTED_VALUE"""),"Yes")</f>
        <v>Yes</v>
      </c>
      <c r="P144" s="5" t="str">
        <f>IFERROR(__xludf.DUMMYFUNCTION("""COMPUTED_VALUE"""),"Yes")</f>
        <v>Yes</v>
      </c>
      <c r="Q144" s="5" t="str">
        <f>IFERROR(__xludf.DUMMYFUNCTION("""COMPUTED_VALUE"""),"Yes")</f>
        <v>Yes</v>
      </c>
      <c r="R144" s="5" t="str">
        <f>IFERROR(__xludf.DUMMYFUNCTION("""COMPUTED_VALUE"""),"Yes")</f>
        <v>Yes</v>
      </c>
      <c r="S144" s="5" t="str">
        <f>IFERROR(__xludf.DUMMYFUNCTION("""COMPUTED_VALUE"""),"Yes")</f>
        <v>Yes</v>
      </c>
      <c r="T144" s="5" t="str">
        <f>IFERROR(__xludf.DUMMYFUNCTION("""COMPUTED_VALUE"""),"Yes")</f>
        <v>Yes</v>
      </c>
      <c r="U144" s="5" t="str">
        <f>IFERROR(__xludf.DUMMYFUNCTION("""COMPUTED_VALUE"""),"Yes")</f>
        <v>Yes</v>
      </c>
      <c r="V144" s="5" t="str">
        <f>IFERROR(__xludf.DUMMYFUNCTION("""COMPUTED_VALUE"""),"Yes")</f>
        <v>Yes</v>
      </c>
      <c r="W144" s="5" t="str">
        <f>IFERROR(__xludf.DUMMYFUNCTION("""COMPUTED_VALUE"""),"Yes")</f>
        <v>Yes</v>
      </c>
      <c r="X144" s="5" t="str">
        <f>IFERROR(__xludf.DUMMYFUNCTION("""COMPUTED_VALUE"""),"Yes")</f>
        <v>Yes</v>
      </c>
      <c r="Y144" s="5" t="str">
        <f>IFERROR(__xludf.DUMMYFUNCTION("""COMPUTED_VALUE"""),"Yes")</f>
        <v>Yes</v>
      </c>
      <c r="Z144" s="5" t="str">
        <f>IFERROR(__xludf.DUMMYFUNCTION("""COMPUTED_VALUE"""),"No")</f>
        <v>No</v>
      </c>
      <c r="AA144" s="5" t="str">
        <f>IFERROR(__xludf.DUMMYFUNCTION("""COMPUTED_VALUE"""),"Yes")</f>
        <v>Yes</v>
      </c>
      <c r="AB144" s="5" t="str">
        <f>IFERROR(__xludf.DUMMYFUNCTION("""COMPUTED_VALUE"""),"Yes")</f>
        <v>Yes</v>
      </c>
      <c r="AC144" s="5" t="str">
        <f>IFERROR(__xludf.DUMMYFUNCTION("""COMPUTED_VALUE"""),"Yes")</f>
        <v>Yes</v>
      </c>
      <c r="AD144" s="5" t="str">
        <f>IFERROR(__xludf.DUMMYFUNCTION("""COMPUTED_VALUE"""),"Yes")</f>
        <v>Yes</v>
      </c>
      <c r="AE144" s="5" t="str">
        <f>IFERROR(__xludf.DUMMYFUNCTION("""COMPUTED_VALUE"""),"No")</f>
        <v>No</v>
      </c>
      <c r="AF144" s="5" t="str">
        <f>IFERROR(__xludf.DUMMYFUNCTION("""COMPUTED_VALUE"""),"Yes")</f>
        <v>Yes</v>
      </c>
      <c r="AG144" s="5" t="str">
        <f>IFERROR(__xludf.DUMMYFUNCTION("""COMPUTED_VALUE"""),"No")</f>
        <v>No</v>
      </c>
      <c r="AH144" s="5" t="str">
        <f>IFERROR(__xludf.DUMMYFUNCTION("""COMPUTED_VALUE"""),"No")</f>
        <v>No</v>
      </c>
      <c r="AI144" s="5" t="str">
        <f>IFERROR(__xludf.DUMMYFUNCTION("""COMPUTED_VALUE"""),"No")</f>
        <v>No</v>
      </c>
      <c r="AJ144" s="5" t="str">
        <f>IFERROR(__xludf.DUMMYFUNCTION("""COMPUTED_VALUE"""),"No")</f>
        <v>No</v>
      </c>
      <c r="AK144" s="5" t="str">
        <f>IFERROR(__xludf.DUMMYFUNCTION("""COMPUTED_VALUE"""),"No")</f>
        <v>No</v>
      </c>
      <c r="AL144" s="5" t="str">
        <f>IFERROR(__xludf.DUMMYFUNCTION("""COMPUTED_VALUE"""),"No")</f>
        <v>No</v>
      </c>
      <c r="AM144" s="5"/>
      <c r="AN144" s="5"/>
      <c r="AO144" s="5"/>
      <c r="AP144" s="5"/>
      <c r="AQ144" s="5"/>
      <c r="AR144" s="5"/>
      <c r="AS144" s="5"/>
      <c r="AT144" s="5"/>
      <c r="AU144" s="5"/>
      <c r="AV144" s="5"/>
      <c r="AW144" s="5"/>
      <c r="AX144" s="5"/>
      <c r="AY144" s="5"/>
    </row>
    <row r="145">
      <c r="A1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5" s="5">
        <f>IFERROR(__xludf.DUMMYFUNCTION("""COMPUTED_VALUE"""),145.0)</f>
        <v>145</v>
      </c>
      <c r="C145" s="5">
        <f>IFERROR(__xludf.DUMMYFUNCTION("""COMPUTED_VALUE"""),144.0)</f>
        <v>144</v>
      </c>
      <c r="D145" s="5" t="str">
        <f>IFERROR(__xludf.DUMMYFUNCTION("""COMPUTED_VALUE"""),"EyeOfTut")</f>
        <v>EyeOfTut</v>
      </c>
      <c r="E145" s="5" t="str">
        <f>IFERROR(__xludf.DUMMYFUNCTION("""COMPUTED_VALUE"""),"Yes")</f>
        <v>Yes</v>
      </c>
      <c r="F145" s="5" t="str">
        <f>IFERROR(__xludf.DUMMYFUNCTION("""COMPUTED_VALUE"""),"Yes")</f>
        <v>Yes</v>
      </c>
      <c r="G145" s="5" t="str">
        <f>IFERROR(__xludf.DUMMYFUNCTION("""COMPUTED_VALUE"""),"Yes")</f>
        <v>Yes</v>
      </c>
      <c r="H145" s="5" t="str">
        <f>IFERROR(__xludf.DUMMYFUNCTION("""COMPUTED_VALUE"""),"Yes")</f>
        <v>Yes</v>
      </c>
      <c r="I145" s="5" t="str">
        <f>IFERROR(__xludf.DUMMYFUNCTION("""COMPUTED_VALUE"""),"Yes")</f>
        <v>Yes</v>
      </c>
      <c r="J145" s="5" t="str">
        <f>IFERROR(__xludf.DUMMYFUNCTION("""COMPUTED_VALUE"""),"Yes")</f>
        <v>Yes</v>
      </c>
      <c r="K145" s="5" t="str">
        <f>IFERROR(__xludf.DUMMYFUNCTION("""COMPUTED_VALUE"""),"Yes")</f>
        <v>Yes</v>
      </c>
      <c r="L145" s="5" t="str">
        <f>IFERROR(__xludf.DUMMYFUNCTION("""COMPUTED_VALUE"""),"Yes")</f>
        <v>Yes</v>
      </c>
      <c r="M145" s="5" t="str">
        <f>IFERROR(__xludf.DUMMYFUNCTION("""COMPUTED_VALUE"""),"Yes")</f>
        <v>Yes</v>
      </c>
      <c r="N145" s="5" t="str">
        <f>IFERROR(__xludf.DUMMYFUNCTION("""COMPUTED_VALUE"""),"Yes")</f>
        <v>Yes</v>
      </c>
      <c r="O145" s="5" t="str">
        <f>IFERROR(__xludf.DUMMYFUNCTION("""COMPUTED_VALUE"""),"Yes")</f>
        <v>Yes</v>
      </c>
      <c r="P145" s="5" t="str">
        <f>IFERROR(__xludf.DUMMYFUNCTION("""COMPUTED_VALUE"""),"Yes")</f>
        <v>Yes</v>
      </c>
      <c r="Q145" s="5" t="str">
        <f>IFERROR(__xludf.DUMMYFUNCTION("""COMPUTED_VALUE"""),"Yes")</f>
        <v>Yes</v>
      </c>
      <c r="R145" s="5" t="str">
        <f>IFERROR(__xludf.DUMMYFUNCTION("""COMPUTED_VALUE"""),"Yes")</f>
        <v>Yes</v>
      </c>
      <c r="S145" s="5" t="str">
        <f>IFERROR(__xludf.DUMMYFUNCTION("""COMPUTED_VALUE"""),"Yes")</f>
        <v>Yes</v>
      </c>
      <c r="T145" s="5" t="str">
        <f>IFERROR(__xludf.DUMMYFUNCTION("""COMPUTED_VALUE"""),"Yes")</f>
        <v>Yes</v>
      </c>
      <c r="U145" s="5" t="str">
        <f>IFERROR(__xludf.DUMMYFUNCTION("""COMPUTED_VALUE"""),"Yes")</f>
        <v>Yes</v>
      </c>
      <c r="V145" s="5" t="str">
        <f>IFERROR(__xludf.DUMMYFUNCTION("""COMPUTED_VALUE"""),"Yes")</f>
        <v>Yes</v>
      </c>
      <c r="W145" s="5" t="str">
        <f>IFERROR(__xludf.DUMMYFUNCTION("""COMPUTED_VALUE"""),"Yes")</f>
        <v>Yes</v>
      </c>
      <c r="X145" s="5" t="str">
        <f>IFERROR(__xludf.DUMMYFUNCTION("""COMPUTED_VALUE"""),"Yes")</f>
        <v>Yes</v>
      </c>
      <c r="Y145" s="5" t="str">
        <f>IFERROR(__xludf.DUMMYFUNCTION("""COMPUTED_VALUE"""),"Yes")</f>
        <v>Yes</v>
      </c>
      <c r="Z145" s="5" t="str">
        <f>IFERROR(__xludf.DUMMYFUNCTION("""COMPUTED_VALUE"""),"No")</f>
        <v>No</v>
      </c>
      <c r="AA145" s="5" t="str">
        <f>IFERROR(__xludf.DUMMYFUNCTION("""COMPUTED_VALUE"""),"Yes")</f>
        <v>Yes</v>
      </c>
      <c r="AB145" s="5" t="str">
        <f>IFERROR(__xludf.DUMMYFUNCTION("""COMPUTED_VALUE"""),"Yes")</f>
        <v>Yes</v>
      </c>
      <c r="AC145" s="5" t="str">
        <f>IFERROR(__xludf.DUMMYFUNCTION("""COMPUTED_VALUE"""),"Yes")</f>
        <v>Yes</v>
      </c>
      <c r="AD145" s="5" t="str">
        <f>IFERROR(__xludf.DUMMYFUNCTION("""COMPUTED_VALUE"""),"Yes")</f>
        <v>Yes</v>
      </c>
      <c r="AE145" s="5" t="str">
        <f>IFERROR(__xludf.DUMMYFUNCTION("""COMPUTED_VALUE"""),"No")</f>
        <v>No</v>
      </c>
      <c r="AF145" s="5" t="str">
        <f>IFERROR(__xludf.DUMMYFUNCTION("""COMPUTED_VALUE"""),"Yes")</f>
        <v>Yes</v>
      </c>
      <c r="AG145" s="5" t="str">
        <f>IFERROR(__xludf.DUMMYFUNCTION("""COMPUTED_VALUE"""),"No")</f>
        <v>No</v>
      </c>
      <c r="AH145" s="5" t="str">
        <f>IFERROR(__xludf.DUMMYFUNCTION("""COMPUTED_VALUE"""),"No")</f>
        <v>No</v>
      </c>
      <c r="AI145" s="5" t="str">
        <f>IFERROR(__xludf.DUMMYFUNCTION("""COMPUTED_VALUE"""),"No")</f>
        <v>No</v>
      </c>
      <c r="AJ145" s="5" t="str">
        <f>IFERROR(__xludf.DUMMYFUNCTION("""COMPUTED_VALUE"""),"No")</f>
        <v>No</v>
      </c>
      <c r="AK145" s="5" t="str">
        <f>IFERROR(__xludf.DUMMYFUNCTION("""COMPUTED_VALUE"""),"No")</f>
        <v>No</v>
      </c>
      <c r="AL145" s="5" t="str">
        <f>IFERROR(__xludf.DUMMYFUNCTION("""COMPUTED_VALUE"""),"No")</f>
        <v>No</v>
      </c>
      <c r="AM145" s="5"/>
      <c r="AN145" s="5"/>
      <c r="AO145" s="5"/>
      <c r="AP145" s="5"/>
      <c r="AQ145" s="5"/>
      <c r="AR145" s="5"/>
      <c r="AS145" s="5"/>
      <c r="AT145" s="5"/>
      <c r="AU145" s="5"/>
      <c r="AV145" s="5"/>
      <c r="AW145" s="5"/>
      <c r="AX145" s="5"/>
      <c r="AY145" s="5"/>
    </row>
    <row r="146">
      <c r="A1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6" s="5">
        <f>IFERROR(__xludf.DUMMYFUNCTION("""COMPUTED_VALUE"""),146.0)</f>
        <v>146</v>
      </c>
      <c r="C146" s="5">
        <f>IFERROR(__xludf.DUMMYFUNCTION("""COMPUTED_VALUE"""),145.0)</f>
        <v>145</v>
      </c>
      <c r="D146" s="5" t="str">
        <f>IFERROR(__xludf.DUMMYFUNCTION("""COMPUTED_VALUE"""),"FruityWin40")</f>
        <v>FruityWin40</v>
      </c>
      <c r="E146" s="5" t="str">
        <f>IFERROR(__xludf.DUMMYFUNCTION("""COMPUTED_VALUE"""),"Yes")</f>
        <v>Yes</v>
      </c>
      <c r="F146" s="5" t="str">
        <f>IFERROR(__xludf.DUMMYFUNCTION("""COMPUTED_VALUE"""),"Yes")</f>
        <v>Yes</v>
      </c>
      <c r="G146" s="5" t="str">
        <f>IFERROR(__xludf.DUMMYFUNCTION("""COMPUTED_VALUE"""),"Yes")</f>
        <v>Yes</v>
      </c>
      <c r="H146" s="5" t="str">
        <f>IFERROR(__xludf.DUMMYFUNCTION("""COMPUTED_VALUE"""),"Yes")</f>
        <v>Yes</v>
      </c>
      <c r="I146" s="5" t="str">
        <f>IFERROR(__xludf.DUMMYFUNCTION("""COMPUTED_VALUE"""),"Yes")</f>
        <v>Yes</v>
      </c>
      <c r="J146" s="5" t="str">
        <f>IFERROR(__xludf.DUMMYFUNCTION("""COMPUTED_VALUE"""),"Yes")</f>
        <v>Yes</v>
      </c>
      <c r="K146" s="5" t="str">
        <f>IFERROR(__xludf.DUMMYFUNCTION("""COMPUTED_VALUE"""),"Yes")</f>
        <v>Yes</v>
      </c>
      <c r="L146" s="5" t="str">
        <f>IFERROR(__xludf.DUMMYFUNCTION("""COMPUTED_VALUE"""),"Yes")</f>
        <v>Yes</v>
      </c>
      <c r="M146" s="5" t="str">
        <f>IFERROR(__xludf.DUMMYFUNCTION("""COMPUTED_VALUE"""),"Yes")</f>
        <v>Yes</v>
      </c>
      <c r="N146" s="5" t="str">
        <f>IFERROR(__xludf.DUMMYFUNCTION("""COMPUTED_VALUE"""),"Yes")</f>
        <v>Yes</v>
      </c>
      <c r="O146" s="5" t="str">
        <f>IFERROR(__xludf.DUMMYFUNCTION("""COMPUTED_VALUE"""),"Yes")</f>
        <v>Yes</v>
      </c>
      <c r="P146" s="5" t="str">
        <f>IFERROR(__xludf.DUMMYFUNCTION("""COMPUTED_VALUE"""),"Yes")</f>
        <v>Yes</v>
      </c>
      <c r="Q146" s="5" t="str">
        <f>IFERROR(__xludf.DUMMYFUNCTION("""COMPUTED_VALUE"""),"Yes")</f>
        <v>Yes</v>
      </c>
      <c r="R146" s="5" t="str">
        <f>IFERROR(__xludf.DUMMYFUNCTION("""COMPUTED_VALUE"""),"Yes")</f>
        <v>Yes</v>
      </c>
      <c r="S146" s="5" t="str">
        <f>IFERROR(__xludf.DUMMYFUNCTION("""COMPUTED_VALUE"""),"Yes")</f>
        <v>Yes</v>
      </c>
      <c r="T146" s="5" t="str">
        <f>IFERROR(__xludf.DUMMYFUNCTION("""COMPUTED_VALUE"""),"Yes")</f>
        <v>Yes</v>
      </c>
      <c r="U146" s="5" t="str">
        <f>IFERROR(__xludf.DUMMYFUNCTION("""COMPUTED_VALUE"""),"Yes")</f>
        <v>Yes</v>
      </c>
      <c r="V146" s="5" t="str">
        <f>IFERROR(__xludf.DUMMYFUNCTION("""COMPUTED_VALUE"""),"Yes")</f>
        <v>Yes</v>
      </c>
      <c r="W146" s="5" t="str">
        <f>IFERROR(__xludf.DUMMYFUNCTION("""COMPUTED_VALUE"""),"Yes")</f>
        <v>Yes</v>
      </c>
      <c r="X146" s="5" t="str">
        <f>IFERROR(__xludf.DUMMYFUNCTION("""COMPUTED_VALUE"""),"Yes")</f>
        <v>Yes</v>
      </c>
      <c r="Y146" s="5" t="str">
        <f>IFERROR(__xludf.DUMMYFUNCTION("""COMPUTED_VALUE"""),"Yes")</f>
        <v>Yes</v>
      </c>
      <c r="Z146" s="5" t="str">
        <f>IFERROR(__xludf.DUMMYFUNCTION("""COMPUTED_VALUE"""),"No")</f>
        <v>No</v>
      </c>
      <c r="AA146" s="5" t="str">
        <f>IFERROR(__xludf.DUMMYFUNCTION("""COMPUTED_VALUE"""),"Yes")</f>
        <v>Yes</v>
      </c>
      <c r="AB146" s="5" t="str">
        <f>IFERROR(__xludf.DUMMYFUNCTION("""COMPUTED_VALUE"""),"Yes")</f>
        <v>Yes</v>
      </c>
      <c r="AC146" s="5" t="str">
        <f>IFERROR(__xludf.DUMMYFUNCTION("""COMPUTED_VALUE"""),"Yes")</f>
        <v>Yes</v>
      </c>
      <c r="AD146" s="5" t="str">
        <f>IFERROR(__xludf.DUMMYFUNCTION("""COMPUTED_VALUE"""),"Yes")</f>
        <v>Yes</v>
      </c>
      <c r="AE146" s="5" t="str">
        <f>IFERROR(__xludf.DUMMYFUNCTION("""COMPUTED_VALUE"""),"No")</f>
        <v>No</v>
      </c>
      <c r="AF146" s="5" t="str">
        <f>IFERROR(__xludf.DUMMYFUNCTION("""COMPUTED_VALUE"""),"Yes")</f>
        <v>Yes</v>
      </c>
      <c r="AG146" s="5" t="str">
        <f>IFERROR(__xludf.DUMMYFUNCTION("""COMPUTED_VALUE"""),"No")</f>
        <v>No</v>
      </c>
      <c r="AH146" s="5" t="str">
        <f>IFERROR(__xludf.DUMMYFUNCTION("""COMPUTED_VALUE"""),"No")</f>
        <v>No</v>
      </c>
      <c r="AI146" s="5" t="str">
        <f>IFERROR(__xludf.DUMMYFUNCTION("""COMPUTED_VALUE"""),"No")</f>
        <v>No</v>
      </c>
      <c r="AJ146" s="5" t="str">
        <f>IFERROR(__xludf.DUMMYFUNCTION("""COMPUTED_VALUE"""),"No")</f>
        <v>No</v>
      </c>
      <c r="AK146" s="5" t="str">
        <f>IFERROR(__xludf.DUMMYFUNCTION("""COMPUTED_VALUE"""),"No")</f>
        <v>No</v>
      </c>
      <c r="AL146" s="5" t="str">
        <f>IFERROR(__xludf.DUMMYFUNCTION("""COMPUTED_VALUE"""),"No")</f>
        <v>No</v>
      </c>
      <c r="AM146" s="5"/>
      <c r="AN146" s="5"/>
      <c r="AO146" s="5"/>
      <c r="AP146" s="5"/>
      <c r="AQ146" s="5"/>
      <c r="AR146" s="5"/>
      <c r="AS146" s="5"/>
      <c r="AT146" s="5"/>
      <c r="AU146" s="5"/>
      <c r="AV146" s="5"/>
      <c r="AW146" s="5"/>
      <c r="AX146" s="5"/>
      <c r="AY146" s="5"/>
    </row>
    <row r="147">
      <c r="A1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7" s="5">
        <f>IFERROR(__xludf.DUMMYFUNCTION("""COMPUTED_VALUE"""),147.0)</f>
        <v>147</v>
      </c>
      <c r="C147" s="5">
        <f>IFERROR(__xludf.DUMMYFUNCTION("""COMPUTED_VALUE"""),146.0)</f>
        <v>146</v>
      </c>
      <c r="D147" s="5" t="str">
        <f>IFERROR(__xludf.DUMMYFUNCTION("""COMPUTED_VALUE"""),"ActionHot20")</f>
        <v>ActionHot20</v>
      </c>
      <c r="E147" s="5" t="str">
        <f>IFERROR(__xludf.DUMMYFUNCTION("""COMPUTED_VALUE"""),"Yes")</f>
        <v>Yes</v>
      </c>
      <c r="F147" s="5" t="str">
        <f>IFERROR(__xludf.DUMMYFUNCTION("""COMPUTED_VALUE"""),"Yes")</f>
        <v>Yes</v>
      </c>
      <c r="G147" s="5" t="str">
        <f>IFERROR(__xludf.DUMMYFUNCTION("""COMPUTED_VALUE"""),"Yes")</f>
        <v>Yes</v>
      </c>
      <c r="H147" s="5" t="str">
        <f>IFERROR(__xludf.DUMMYFUNCTION("""COMPUTED_VALUE"""),"Yes")</f>
        <v>Yes</v>
      </c>
      <c r="I147" s="5" t="str">
        <f>IFERROR(__xludf.DUMMYFUNCTION("""COMPUTED_VALUE"""),"Yes")</f>
        <v>Yes</v>
      </c>
      <c r="J147" s="5" t="str">
        <f>IFERROR(__xludf.DUMMYFUNCTION("""COMPUTED_VALUE"""),"Yes")</f>
        <v>Yes</v>
      </c>
      <c r="K147" s="5" t="str">
        <f>IFERROR(__xludf.DUMMYFUNCTION("""COMPUTED_VALUE"""),"Yes")</f>
        <v>Yes</v>
      </c>
      <c r="L147" s="5" t="str">
        <f>IFERROR(__xludf.DUMMYFUNCTION("""COMPUTED_VALUE"""),"Yes")</f>
        <v>Yes</v>
      </c>
      <c r="M147" s="5" t="str">
        <f>IFERROR(__xludf.DUMMYFUNCTION("""COMPUTED_VALUE"""),"Yes")</f>
        <v>Yes</v>
      </c>
      <c r="N147" s="5" t="str">
        <f>IFERROR(__xludf.DUMMYFUNCTION("""COMPUTED_VALUE"""),"Yes")</f>
        <v>Yes</v>
      </c>
      <c r="O147" s="5" t="str">
        <f>IFERROR(__xludf.DUMMYFUNCTION("""COMPUTED_VALUE"""),"Yes")</f>
        <v>Yes</v>
      </c>
      <c r="P147" s="5" t="str">
        <f>IFERROR(__xludf.DUMMYFUNCTION("""COMPUTED_VALUE"""),"Yes")</f>
        <v>Yes</v>
      </c>
      <c r="Q147" s="5" t="str">
        <f>IFERROR(__xludf.DUMMYFUNCTION("""COMPUTED_VALUE"""),"Yes")</f>
        <v>Yes</v>
      </c>
      <c r="R147" s="5" t="str">
        <f>IFERROR(__xludf.DUMMYFUNCTION("""COMPUTED_VALUE"""),"Yes")</f>
        <v>Yes</v>
      </c>
      <c r="S147" s="5" t="str">
        <f>IFERROR(__xludf.DUMMYFUNCTION("""COMPUTED_VALUE"""),"Yes")</f>
        <v>Yes</v>
      </c>
      <c r="T147" s="5" t="str">
        <f>IFERROR(__xludf.DUMMYFUNCTION("""COMPUTED_VALUE"""),"Yes")</f>
        <v>Yes</v>
      </c>
      <c r="U147" s="5" t="str">
        <f>IFERROR(__xludf.DUMMYFUNCTION("""COMPUTED_VALUE"""),"Yes")</f>
        <v>Yes</v>
      </c>
      <c r="V147" s="5" t="str">
        <f>IFERROR(__xludf.DUMMYFUNCTION("""COMPUTED_VALUE"""),"Yes")</f>
        <v>Yes</v>
      </c>
      <c r="W147" s="5" t="str">
        <f>IFERROR(__xludf.DUMMYFUNCTION("""COMPUTED_VALUE"""),"Yes")</f>
        <v>Yes</v>
      </c>
      <c r="X147" s="5" t="str">
        <f>IFERROR(__xludf.DUMMYFUNCTION("""COMPUTED_VALUE"""),"Yes")</f>
        <v>Yes</v>
      </c>
      <c r="Y147" s="5" t="str">
        <f>IFERROR(__xludf.DUMMYFUNCTION("""COMPUTED_VALUE"""),"Yes")</f>
        <v>Yes</v>
      </c>
      <c r="Z147" s="5"/>
      <c r="AA147" s="5" t="str">
        <f>IFERROR(__xludf.DUMMYFUNCTION("""COMPUTED_VALUE"""),"Yes")</f>
        <v>Yes</v>
      </c>
      <c r="AB147" s="5" t="str">
        <f>IFERROR(__xludf.DUMMYFUNCTION("""COMPUTED_VALUE"""),"Yes")</f>
        <v>Yes</v>
      </c>
      <c r="AC147" s="5" t="str">
        <f>IFERROR(__xludf.DUMMYFUNCTION("""COMPUTED_VALUE"""),"Yes")</f>
        <v>Yes</v>
      </c>
      <c r="AD147" s="5" t="str">
        <f>IFERROR(__xludf.DUMMYFUNCTION("""COMPUTED_VALUE"""),"Yes")</f>
        <v>Yes</v>
      </c>
      <c r="AE147" s="5"/>
      <c r="AF147" s="5" t="str">
        <f>IFERROR(__xludf.DUMMYFUNCTION("""COMPUTED_VALUE"""),"Yes")</f>
        <v>Yes</v>
      </c>
      <c r="AG147" s="5"/>
      <c r="AH147" s="5"/>
      <c r="AI147" s="5"/>
      <c r="AJ147" s="5"/>
      <c r="AK147" s="5"/>
      <c r="AL147" s="5"/>
      <c r="AM147" s="5"/>
      <c r="AN147" s="5"/>
      <c r="AO147" s="5"/>
      <c r="AP147" s="5"/>
      <c r="AQ147" s="5"/>
      <c r="AR147" s="5"/>
      <c r="AS147" s="5"/>
      <c r="AT147" s="5"/>
      <c r="AU147" s="5"/>
      <c r="AV147" s="5"/>
      <c r="AW147" s="5"/>
      <c r="AX147" s="5"/>
      <c r="AY147" s="5"/>
    </row>
    <row r="148">
      <c r="A1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8" s="5">
        <f>IFERROR(__xludf.DUMMYFUNCTION("""COMPUTED_VALUE"""),148.0)</f>
        <v>148</v>
      </c>
      <c r="C148" s="5">
        <f>IFERROR(__xludf.DUMMYFUNCTION("""COMPUTED_VALUE"""),147.0)</f>
        <v>147</v>
      </c>
      <c r="D148" s="5" t="str">
        <f>IFERROR(__xludf.DUMMYFUNCTION("""COMPUTED_VALUE"""),"JokerQueen")</f>
        <v>JokerQueen</v>
      </c>
      <c r="E148" s="5" t="str">
        <f>IFERROR(__xludf.DUMMYFUNCTION("""COMPUTED_VALUE"""),"Yes")</f>
        <v>Yes</v>
      </c>
      <c r="F148" s="5" t="str">
        <f>IFERROR(__xludf.DUMMYFUNCTION("""COMPUTED_VALUE"""),"Yes")</f>
        <v>Yes</v>
      </c>
      <c r="G148" s="5" t="str">
        <f>IFERROR(__xludf.DUMMYFUNCTION("""COMPUTED_VALUE"""),"Yes")</f>
        <v>Yes</v>
      </c>
      <c r="H148" s="5" t="str">
        <f>IFERROR(__xludf.DUMMYFUNCTION("""COMPUTED_VALUE"""),"Yes")</f>
        <v>Yes</v>
      </c>
      <c r="I148" s="5" t="str">
        <f>IFERROR(__xludf.DUMMYFUNCTION("""COMPUTED_VALUE"""),"Yes")</f>
        <v>Yes</v>
      </c>
      <c r="J148" s="5" t="str">
        <f>IFERROR(__xludf.DUMMYFUNCTION("""COMPUTED_VALUE"""),"Yes")</f>
        <v>Yes</v>
      </c>
      <c r="K148" s="5" t="str">
        <f>IFERROR(__xludf.DUMMYFUNCTION("""COMPUTED_VALUE"""),"Yes")</f>
        <v>Yes</v>
      </c>
      <c r="L148" s="5" t="str">
        <f>IFERROR(__xludf.DUMMYFUNCTION("""COMPUTED_VALUE"""),"Yes")</f>
        <v>Yes</v>
      </c>
      <c r="M148" s="5" t="str">
        <f>IFERROR(__xludf.DUMMYFUNCTION("""COMPUTED_VALUE"""),"Yes")</f>
        <v>Yes</v>
      </c>
      <c r="N148" s="5" t="str">
        <f>IFERROR(__xludf.DUMMYFUNCTION("""COMPUTED_VALUE"""),"Yes")</f>
        <v>Yes</v>
      </c>
      <c r="O148" s="5" t="str">
        <f>IFERROR(__xludf.DUMMYFUNCTION("""COMPUTED_VALUE"""),"Yes")</f>
        <v>Yes</v>
      </c>
      <c r="P148" s="5" t="str">
        <f>IFERROR(__xludf.DUMMYFUNCTION("""COMPUTED_VALUE"""),"Yes")</f>
        <v>Yes</v>
      </c>
      <c r="Q148" s="5" t="str">
        <f>IFERROR(__xludf.DUMMYFUNCTION("""COMPUTED_VALUE"""),"Yes")</f>
        <v>Yes</v>
      </c>
      <c r="R148" s="5" t="str">
        <f>IFERROR(__xludf.DUMMYFUNCTION("""COMPUTED_VALUE"""),"Yes")</f>
        <v>Yes</v>
      </c>
      <c r="S148" s="5" t="str">
        <f>IFERROR(__xludf.DUMMYFUNCTION("""COMPUTED_VALUE"""),"Yes")</f>
        <v>Yes</v>
      </c>
      <c r="T148" s="5" t="str">
        <f>IFERROR(__xludf.DUMMYFUNCTION("""COMPUTED_VALUE"""),"Yes")</f>
        <v>Yes</v>
      </c>
      <c r="U148" s="5" t="str">
        <f>IFERROR(__xludf.DUMMYFUNCTION("""COMPUTED_VALUE"""),"Yes")</f>
        <v>Yes</v>
      </c>
      <c r="V148" s="5" t="str">
        <f>IFERROR(__xludf.DUMMYFUNCTION("""COMPUTED_VALUE"""),"Yes")</f>
        <v>Yes</v>
      </c>
      <c r="W148" s="5" t="str">
        <f>IFERROR(__xludf.DUMMYFUNCTION("""COMPUTED_VALUE"""),"Yes")</f>
        <v>Yes</v>
      </c>
      <c r="X148" s="5" t="str">
        <f>IFERROR(__xludf.DUMMYFUNCTION("""COMPUTED_VALUE"""),"Yes")</f>
        <v>Yes</v>
      </c>
      <c r="Y148" s="5"/>
      <c r="Z148" s="5"/>
      <c r="AA148" s="5"/>
      <c r="AB148" s="5"/>
      <c r="AC148" s="5" t="str">
        <f>IFERROR(__xludf.DUMMYFUNCTION("""COMPUTED_VALUE"""),"Yes")</f>
        <v>Yes</v>
      </c>
      <c r="AD148" s="5"/>
      <c r="AE148" s="5"/>
      <c r="AF148" s="5"/>
      <c r="AG148" s="5"/>
      <c r="AH148" s="5"/>
      <c r="AI148" s="5"/>
      <c r="AJ148" s="5"/>
      <c r="AK148" s="5"/>
      <c r="AL148" s="5"/>
      <c r="AM148" s="5"/>
      <c r="AN148" s="5"/>
      <c r="AO148" s="5"/>
      <c r="AP148" s="5"/>
      <c r="AQ148" s="5"/>
      <c r="AR148" s="5"/>
      <c r="AS148" s="5"/>
      <c r="AT148" s="5"/>
      <c r="AU148" s="5"/>
      <c r="AV148" s="5"/>
      <c r="AW148" s="5"/>
      <c r="AX148" s="5"/>
      <c r="AY148" s="5"/>
    </row>
    <row r="149">
      <c r="A1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9" s="5">
        <f>IFERROR(__xludf.DUMMYFUNCTION("""COMPUTED_VALUE"""),149.0)</f>
        <v>149</v>
      </c>
      <c r="C149" s="5">
        <f>IFERROR(__xludf.DUMMYFUNCTION("""COMPUTED_VALUE"""),148.0)</f>
        <v>148</v>
      </c>
      <c r="D149" s="5" t="str">
        <f>IFERROR(__xludf.DUMMYFUNCTION("""COMPUTED_VALUE"""),"RouletteOnDemand")</f>
        <v>RouletteOnDemand</v>
      </c>
      <c r="E149" s="5" t="str">
        <f>IFERROR(__xludf.DUMMYFUNCTION("""COMPUTED_VALUE"""),"Yes")</f>
        <v>Yes</v>
      </c>
      <c r="F149" s="5" t="str">
        <f>IFERROR(__xludf.DUMMYFUNCTION("""COMPUTED_VALUE"""),"Yes")</f>
        <v>Yes</v>
      </c>
      <c r="G149" s="5" t="str">
        <f>IFERROR(__xludf.DUMMYFUNCTION("""COMPUTED_VALUE"""),"Yes")</f>
        <v>Yes</v>
      </c>
      <c r="H149" s="5" t="str">
        <f>IFERROR(__xludf.DUMMYFUNCTION("""COMPUTED_VALUE"""),"Yes")</f>
        <v>Yes</v>
      </c>
      <c r="I149" s="5" t="str">
        <f>IFERROR(__xludf.DUMMYFUNCTION("""COMPUTED_VALUE"""),"Yes")</f>
        <v>Yes</v>
      </c>
      <c r="J149" s="5" t="str">
        <f>IFERROR(__xludf.DUMMYFUNCTION("""COMPUTED_VALUE"""),"Yes")</f>
        <v>Yes</v>
      </c>
      <c r="K149" s="5" t="str">
        <f>IFERROR(__xludf.DUMMYFUNCTION("""COMPUTED_VALUE"""),"Yes")</f>
        <v>Yes</v>
      </c>
      <c r="L149" s="5" t="str">
        <f>IFERROR(__xludf.DUMMYFUNCTION("""COMPUTED_VALUE"""),"Yes")</f>
        <v>Yes</v>
      </c>
      <c r="M149" s="5" t="str">
        <f>IFERROR(__xludf.DUMMYFUNCTION("""COMPUTED_VALUE"""),"Yes")</f>
        <v>Yes</v>
      </c>
      <c r="N149" s="5" t="str">
        <f>IFERROR(__xludf.DUMMYFUNCTION("""COMPUTED_VALUE"""),"Yes")</f>
        <v>Yes</v>
      </c>
      <c r="O149" s="5" t="str">
        <f>IFERROR(__xludf.DUMMYFUNCTION("""COMPUTED_VALUE"""),"Yes")</f>
        <v>Yes</v>
      </c>
      <c r="P149" s="5" t="str">
        <f>IFERROR(__xludf.DUMMYFUNCTION("""COMPUTED_VALUE"""),"Yes")</f>
        <v>Yes</v>
      </c>
      <c r="Q149" s="5" t="str">
        <f>IFERROR(__xludf.DUMMYFUNCTION("""COMPUTED_VALUE"""),"Yes")</f>
        <v>Yes</v>
      </c>
      <c r="R149" s="5" t="str">
        <f>IFERROR(__xludf.DUMMYFUNCTION("""COMPUTED_VALUE"""),"Yes")</f>
        <v>Yes</v>
      </c>
      <c r="S149" s="5" t="str">
        <f>IFERROR(__xludf.DUMMYFUNCTION("""COMPUTED_VALUE"""),"Yes")</f>
        <v>Yes</v>
      </c>
      <c r="T149" s="5" t="str">
        <f>IFERROR(__xludf.DUMMYFUNCTION("""COMPUTED_VALUE"""),"Yes")</f>
        <v>Yes</v>
      </c>
      <c r="U149" s="5" t="str">
        <f>IFERROR(__xludf.DUMMYFUNCTION("""COMPUTED_VALUE"""),"Yes")</f>
        <v>Yes</v>
      </c>
      <c r="V149" s="5" t="str">
        <f>IFERROR(__xludf.DUMMYFUNCTION("""COMPUTED_VALUE"""),"Yes")</f>
        <v>Yes</v>
      </c>
      <c r="W149" s="5" t="str">
        <f>IFERROR(__xludf.DUMMYFUNCTION("""COMPUTED_VALUE"""),"Yes")</f>
        <v>Yes</v>
      </c>
      <c r="X149" s="5" t="str">
        <f>IFERROR(__xludf.DUMMYFUNCTION("""COMPUTED_VALUE"""),"Yes")</f>
        <v>Yes</v>
      </c>
      <c r="Y149" s="5"/>
      <c r="Z149" s="5"/>
      <c r="AA149" s="5"/>
      <c r="AB149" s="5"/>
      <c r="AC149" s="5" t="str">
        <f>IFERROR(__xludf.DUMMYFUNCTION("""COMPUTED_VALUE"""),"Yes")</f>
        <v>Yes</v>
      </c>
      <c r="AD149" s="5"/>
      <c r="AE149" s="5"/>
      <c r="AF149" s="5"/>
      <c r="AG149" s="5"/>
      <c r="AH149" s="5"/>
      <c r="AI149" s="5"/>
      <c r="AJ149" s="5"/>
      <c r="AK149" s="5"/>
      <c r="AL149" s="5"/>
      <c r="AM149" s="5"/>
      <c r="AN149" s="5"/>
      <c r="AO149" s="5"/>
      <c r="AP149" s="5"/>
      <c r="AQ149" s="5"/>
      <c r="AR149" s="5"/>
      <c r="AS149" s="5"/>
      <c r="AT149" s="5"/>
      <c r="AU149" s="5"/>
      <c r="AV149" s="5"/>
      <c r="AW149" s="5"/>
      <c r="AX149" s="5"/>
      <c r="AY149" s="5"/>
    </row>
    <row r="150">
      <c r="A1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0" s="5">
        <f>IFERROR(__xludf.DUMMYFUNCTION("""COMPUTED_VALUE"""),150.0)</f>
        <v>150</v>
      </c>
      <c r="C150" s="5">
        <f>IFERROR(__xludf.DUMMYFUNCTION("""COMPUTED_VALUE"""),149.0)</f>
        <v>149</v>
      </c>
      <c r="D150" s="5" t="str">
        <f>IFERROR(__xludf.DUMMYFUNCTION("""COMPUTED_VALUE"""),"OlimpHot")</f>
        <v>OlimpHot</v>
      </c>
      <c r="E150" s="5" t="str">
        <f>IFERROR(__xludf.DUMMYFUNCTION("""COMPUTED_VALUE"""),"Yes")</f>
        <v>Yes</v>
      </c>
      <c r="F150" s="5" t="str">
        <f>IFERROR(__xludf.DUMMYFUNCTION("""COMPUTED_VALUE"""),"Yes")</f>
        <v>Yes</v>
      </c>
      <c r="G150" s="5" t="str">
        <f>IFERROR(__xludf.DUMMYFUNCTION("""COMPUTED_VALUE"""),"Yes")</f>
        <v>Yes</v>
      </c>
      <c r="H150" s="5" t="str">
        <f>IFERROR(__xludf.DUMMYFUNCTION("""COMPUTED_VALUE"""),"Yes")</f>
        <v>Yes</v>
      </c>
      <c r="I150" s="5" t="str">
        <f>IFERROR(__xludf.DUMMYFUNCTION("""COMPUTED_VALUE"""),"Yes")</f>
        <v>Yes</v>
      </c>
      <c r="J150" s="5" t="str">
        <f>IFERROR(__xludf.DUMMYFUNCTION("""COMPUTED_VALUE"""),"Yes")</f>
        <v>Yes</v>
      </c>
      <c r="K150" s="5" t="str">
        <f>IFERROR(__xludf.DUMMYFUNCTION("""COMPUTED_VALUE"""),"Yes")</f>
        <v>Yes</v>
      </c>
      <c r="L150" s="5" t="str">
        <f>IFERROR(__xludf.DUMMYFUNCTION("""COMPUTED_VALUE"""),"Yes")</f>
        <v>Yes</v>
      </c>
      <c r="M150" s="5" t="str">
        <f>IFERROR(__xludf.DUMMYFUNCTION("""COMPUTED_VALUE"""),"Yes")</f>
        <v>Yes</v>
      </c>
      <c r="N150" s="5" t="str">
        <f>IFERROR(__xludf.DUMMYFUNCTION("""COMPUTED_VALUE"""),"Yes")</f>
        <v>Yes</v>
      </c>
      <c r="O150" s="5" t="str">
        <f>IFERROR(__xludf.DUMMYFUNCTION("""COMPUTED_VALUE"""),"Yes")</f>
        <v>Yes</v>
      </c>
      <c r="P150" s="5" t="str">
        <f>IFERROR(__xludf.DUMMYFUNCTION("""COMPUTED_VALUE"""),"Yes")</f>
        <v>Yes</v>
      </c>
      <c r="Q150" s="5" t="str">
        <f>IFERROR(__xludf.DUMMYFUNCTION("""COMPUTED_VALUE"""),"Yes")</f>
        <v>Yes</v>
      </c>
      <c r="R150" s="5" t="str">
        <f>IFERROR(__xludf.DUMMYFUNCTION("""COMPUTED_VALUE"""),"Yes")</f>
        <v>Yes</v>
      </c>
      <c r="S150" s="5" t="str">
        <f>IFERROR(__xludf.DUMMYFUNCTION("""COMPUTED_VALUE"""),"Yes")</f>
        <v>Yes</v>
      </c>
      <c r="T150" s="5" t="str">
        <f>IFERROR(__xludf.DUMMYFUNCTION("""COMPUTED_VALUE"""),"Yes")</f>
        <v>Yes</v>
      </c>
      <c r="U150" s="5" t="str">
        <f>IFERROR(__xludf.DUMMYFUNCTION("""COMPUTED_VALUE"""),"Yes")</f>
        <v>Yes</v>
      </c>
      <c r="V150" s="5" t="str">
        <f>IFERROR(__xludf.DUMMYFUNCTION("""COMPUTED_VALUE"""),"Yes")</f>
        <v>Yes</v>
      </c>
      <c r="W150" s="5" t="str">
        <f>IFERROR(__xludf.DUMMYFUNCTION("""COMPUTED_VALUE"""),"Yes")</f>
        <v>Yes</v>
      </c>
      <c r="X150" s="5" t="str">
        <f>IFERROR(__xludf.DUMMYFUNCTION("""COMPUTED_VALUE"""),"Yes")</f>
        <v>Yes</v>
      </c>
      <c r="Y150" s="5" t="str">
        <f>IFERROR(__xludf.DUMMYFUNCTION("""COMPUTED_VALUE"""),"Yes")</f>
        <v>Yes</v>
      </c>
      <c r="Z150" s="5" t="str">
        <f>IFERROR(__xludf.DUMMYFUNCTION("""COMPUTED_VALUE"""),"No")</f>
        <v>No</v>
      </c>
      <c r="AA150" s="5" t="str">
        <f>IFERROR(__xludf.DUMMYFUNCTION("""COMPUTED_VALUE"""),"Yes")</f>
        <v>Yes</v>
      </c>
      <c r="AB150" s="5" t="str">
        <f>IFERROR(__xludf.DUMMYFUNCTION("""COMPUTED_VALUE"""),"Yes")</f>
        <v>Yes</v>
      </c>
      <c r="AC150" s="5" t="str">
        <f>IFERROR(__xludf.DUMMYFUNCTION("""COMPUTED_VALUE"""),"Yes")</f>
        <v>Yes</v>
      </c>
      <c r="AD150" s="5" t="str">
        <f>IFERROR(__xludf.DUMMYFUNCTION("""COMPUTED_VALUE"""),"Yes")</f>
        <v>Yes</v>
      </c>
      <c r="AE150" s="5" t="str">
        <f>IFERROR(__xludf.DUMMYFUNCTION("""COMPUTED_VALUE"""),"No")</f>
        <v>No</v>
      </c>
      <c r="AF150" s="5" t="str">
        <f>IFERROR(__xludf.DUMMYFUNCTION("""COMPUTED_VALUE"""),"Yes")</f>
        <v>Yes</v>
      </c>
      <c r="AG150" s="5" t="str">
        <f>IFERROR(__xludf.DUMMYFUNCTION("""COMPUTED_VALUE"""),"No")</f>
        <v>No</v>
      </c>
      <c r="AH150" s="5" t="str">
        <f>IFERROR(__xludf.DUMMYFUNCTION("""COMPUTED_VALUE"""),"No")</f>
        <v>No</v>
      </c>
      <c r="AI150" s="5" t="str">
        <f>IFERROR(__xludf.DUMMYFUNCTION("""COMPUTED_VALUE"""),"No")</f>
        <v>No</v>
      </c>
      <c r="AJ150" s="5" t="str">
        <f>IFERROR(__xludf.DUMMYFUNCTION("""COMPUTED_VALUE"""),"No")</f>
        <v>No</v>
      </c>
      <c r="AK150" s="5" t="str">
        <f>IFERROR(__xludf.DUMMYFUNCTION("""COMPUTED_VALUE"""),"No")</f>
        <v>No</v>
      </c>
      <c r="AL150" s="5" t="str">
        <f>IFERROR(__xludf.DUMMYFUNCTION("""COMPUTED_VALUE"""),"No")</f>
        <v>No</v>
      </c>
      <c r="AM150" s="5"/>
      <c r="AN150" s="5"/>
      <c r="AO150" s="5"/>
      <c r="AP150" s="5"/>
      <c r="AQ150" s="5"/>
      <c r="AR150" s="5"/>
      <c r="AS150" s="5"/>
      <c r="AT150" s="5"/>
      <c r="AU150" s="5"/>
      <c r="AV150" s="5"/>
      <c r="AW150" s="5"/>
      <c r="AX150" s="5"/>
      <c r="AY150" s="5"/>
    </row>
    <row r="151">
      <c r="A1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1" s="5">
        <f>IFERROR(__xludf.DUMMYFUNCTION("""COMPUTED_VALUE"""),151.0)</f>
        <v>151</v>
      </c>
      <c r="C151" s="5">
        <f>IFERROR(__xludf.DUMMYFUNCTION("""COMPUTED_VALUE"""),150.0)</f>
        <v>150</v>
      </c>
      <c r="D151" s="5" t="str">
        <f>IFERROR(__xludf.DUMMYFUNCTION("""COMPUTED_VALUE"""),"CashBells40")</f>
        <v>CashBells40</v>
      </c>
      <c r="E151" s="5" t="str">
        <f>IFERROR(__xludf.DUMMYFUNCTION("""COMPUTED_VALUE"""),"Yes")</f>
        <v>Yes</v>
      </c>
      <c r="F151" s="5" t="str">
        <f>IFERROR(__xludf.DUMMYFUNCTION("""COMPUTED_VALUE"""),"Yes")</f>
        <v>Yes</v>
      </c>
      <c r="G151" s="5" t="str">
        <f>IFERROR(__xludf.DUMMYFUNCTION("""COMPUTED_VALUE"""),"Yes")</f>
        <v>Yes</v>
      </c>
      <c r="H151" s="5" t="str">
        <f>IFERROR(__xludf.DUMMYFUNCTION("""COMPUTED_VALUE"""),"Yes")</f>
        <v>Yes</v>
      </c>
      <c r="I151" s="5" t="str">
        <f>IFERROR(__xludf.DUMMYFUNCTION("""COMPUTED_VALUE"""),"Yes")</f>
        <v>Yes</v>
      </c>
      <c r="J151" s="5" t="str">
        <f>IFERROR(__xludf.DUMMYFUNCTION("""COMPUTED_VALUE"""),"Yes")</f>
        <v>Yes</v>
      </c>
      <c r="K151" s="5" t="str">
        <f>IFERROR(__xludf.DUMMYFUNCTION("""COMPUTED_VALUE"""),"Yes")</f>
        <v>Yes</v>
      </c>
      <c r="L151" s="5" t="str">
        <f>IFERROR(__xludf.DUMMYFUNCTION("""COMPUTED_VALUE"""),"Yes")</f>
        <v>Yes</v>
      </c>
      <c r="M151" s="5" t="str">
        <f>IFERROR(__xludf.DUMMYFUNCTION("""COMPUTED_VALUE"""),"Yes")</f>
        <v>Yes</v>
      </c>
      <c r="N151" s="5" t="str">
        <f>IFERROR(__xludf.DUMMYFUNCTION("""COMPUTED_VALUE"""),"Yes")</f>
        <v>Yes</v>
      </c>
      <c r="O151" s="5" t="str">
        <f>IFERROR(__xludf.DUMMYFUNCTION("""COMPUTED_VALUE"""),"Yes")</f>
        <v>Yes</v>
      </c>
      <c r="P151" s="5" t="str">
        <f>IFERROR(__xludf.DUMMYFUNCTION("""COMPUTED_VALUE"""),"Yes")</f>
        <v>Yes</v>
      </c>
      <c r="Q151" s="5" t="str">
        <f>IFERROR(__xludf.DUMMYFUNCTION("""COMPUTED_VALUE"""),"Yes")</f>
        <v>Yes</v>
      </c>
      <c r="R151" s="5" t="str">
        <f>IFERROR(__xludf.DUMMYFUNCTION("""COMPUTED_VALUE"""),"Yes")</f>
        <v>Yes</v>
      </c>
      <c r="S151" s="5" t="str">
        <f>IFERROR(__xludf.DUMMYFUNCTION("""COMPUTED_VALUE"""),"Yes")</f>
        <v>Yes</v>
      </c>
      <c r="T151" s="5" t="str">
        <f>IFERROR(__xludf.DUMMYFUNCTION("""COMPUTED_VALUE"""),"Yes")</f>
        <v>Yes</v>
      </c>
      <c r="U151" s="5" t="str">
        <f>IFERROR(__xludf.DUMMYFUNCTION("""COMPUTED_VALUE"""),"Yes")</f>
        <v>Yes</v>
      </c>
      <c r="V151" s="5" t="str">
        <f>IFERROR(__xludf.DUMMYFUNCTION("""COMPUTED_VALUE"""),"Yes")</f>
        <v>Yes</v>
      </c>
      <c r="W151" s="5" t="str">
        <f>IFERROR(__xludf.DUMMYFUNCTION("""COMPUTED_VALUE"""),"Yes")</f>
        <v>Yes</v>
      </c>
      <c r="X151" s="5" t="str">
        <f>IFERROR(__xludf.DUMMYFUNCTION("""COMPUTED_VALUE"""),"Yes")</f>
        <v>Yes</v>
      </c>
      <c r="Y151" s="5"/>
      <c r="Z151" s="5"/>
      <c r="AA151" s="5"/>
      <c r="AB151" s="5"/>
      <c r="AC151" s="5" t="str">
        <f>IFERROR(__xludf.DUMMYFUNCTION("""COMPUTED_VALUE"""),"Yes")</f>
        <v>Yes</v>
      </c>
      <c r="AD151" s="5"/>
      <c r="AE151" s="5"/>
      <c r="AF151" s="5"/>
      <c r="AG151" s="5"/>
      <c r="AH151" s="5"/>
      <c r="AI151" s="5"/>
      <c r="AJ151" s="5"/>
      <c r="AK151" s="5"/>
      <c r="AL151" s="5"/>
      <c r="AM151" s="5"/>
      <c r="AN151" s="5"/>
      <c r="AO151" s="5"/>
      <c r="AP151" s="5"/>
      <c r="AQ151" s="5"/>
      <c r="AR151" s="5"/>
      <c r="AS151" s="5"/>
      <c r="AT151" s="5"/>
      <c r="AU151" s="5"/>
      <c r="AV151" s="5"/>
      <c r="AW151" s="5"/>
      <c r="AX151" s="5"/>
      <c r="AY151" s="5"/>
    </row>
    <row r="152">
      <c r="A15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52" s="5">
        <f>IFERROR(__xludf.DUMMYFUNCTION("""COMPUTED_VALUE"""),152.0)</f>
        <v>152</v>
      </c>
      <c r="C152" s="5">
        <f>IFERROR(__xludf.DUMMYFUNCTION("""COMPUTED_VALUE"""),151.0)</f>
        <v>151</v>
      </c>
      <c r="D152" s="5" t="str">
        <f>IFERROR(__xludf.DUMMYFUNCTION("""COMPUTED_VALUE"""),"SimplyRunner")</f>
        <v>SimplyRunner</v>
      </c>
      <c r="E152" s="5" t="str">
        <f>IFERROR(__xludf.DUMMYFUNCTION("""COMPUTED_VALUE"""),"Yes")</f>
        <v>Yes</v>
      </c>
      <c r="F152" s="5" t="str">
        <f>IFERROR(__xludf.DUMMYFUNCTION("""COMPUTED_VALUE"""),"Yes")</f>
        <v>Yes</v>
      </c>
      <c r="G152" s="5" t="str">
        <f>IFERROR(__xludf.DUMMYFUNCTION("""COMPUTED_VALUE"""),"No")</f>
        <v>No</v>
      </c>
      <c r="H152" s="5" t="str">
        <f>IFERROR(__xludf.DUMMYFUNCTION("""COMPUTED_VALUE"""),"Yes")</f>
        <v>Yes</v>
      </c>
      <c r="I152" s="5" t="str">
        <f>IFERROR(__xludf.DUMMYFUNCTION("""COMPUTED_VALUE"""),"Yes")</f>
        <v>Yes</v>
      </c>
      <c r="J152" s="5" t="str">
        <f>IFERROR(__xludf.DUMMYFUNCTION("""COMPUTED_VALUE"""),"Yes")</f>
        <v>Yes</v>
      </c>
      <c r="K152" s="5" t="str">
        <f>IFERROR(__xludf.DUMMYFUNCTION("""COMPUTED_VALUE"""),"Yes")</f>
        <v>Yes</v>
      </c>
      <c r="L152" s="5" t="str">
        <f>IFERROR(__xludf.DUMMYFUNCTION("""COMPUTED_VALUE"""),"Yes")</f>
        <v>Yes</v>
      </c>
      <c r="M152" s="5" t="str">
        <f>IFERROR(__xludf.DUMMYFUNCTION("""COMPUTED_VALUE"""),"Yes")</f>
        <v>Yes</v>
      </c>
      <c r="N152" s="5" t="str">
        <f>IFERROR(__xludf.DUMMYFUNCTION("""COMPUTED_VALUE"""),"Yes")</f>
        <v>Yes</v>
      </c>
      <c r="O152" s="5" t="str">
        <f>IFERROR(__xludf.DUMMYFUNCTION("""COMPUTED_VALUE"""),"Yes")</f>
        <v>Yes</v>
      </c>
      <c r="P152" s="5" t="str">
        <f>IFERROR(__xludf.DUMMYFUNCTION("""COMPUTED_VALUE"""),"Yes")</f>
        <v>Yes</v>
      </c>
      <c r="Q152" s="5" t="str">
        <f>IFERROR(__xludf.DUMMYFUNCTION("""COMPUTED_VALUE"""),"Yes")</f>
        <v>Yes</v>
      </c>
      <c r="R152" s="5" t="str">
        <f>IFERROR(__xludf.DUMMYFUNCTION("""COMPUTED_VALUE"""),"Yes")</f>
        <v>Yes</v>
      </c>
      <c r="S152" s="5" t="str">
        <f>IFERROR(__xludf.DUMMYFUNCTION("""COMPUTED_VALUE"""),"Yes")</f>
        <v>Yes</v>
      </c>
      <c r="T152" s="5" t="str">
        <f>IFERROR(__xludf.DUMMYFUNCTION("""COMPUTED_VALUE"""),"No")</f>
        <v>No</v>
      </c>
      <c r="U152" s="5" t="str">
        <f>IFERROR(__xludf.DUMMYFUNCTION("""COMPUTED_VALUE"""),"No")</f>
        <v>No</v>
      </c>
      <c r="V152" s="5" t="str">
        <f>IFERROR(__xludf.DUMMYFUNCTION("""COMPUTED_VALUE"""),"No")</f>
        <v>No</v>
      </c>
      <c r="W152" s="5" t="str">
        <f>IFERROR(__xludf.DUMMYFUNCTION("""COMPUTED_VALUE"""),"No")</f>
        <v>No</v>
      </c>
      <c r="X152" s="5" t="str">
        <f>IFERROR(__xludf.DUMMYFUNCTION("""COMPUTED_VALUE"""),"No")</f>
        <v>No</v>
      </c>
      <c r="Y152" s="5" t="str">
        <f>IFERROR(__xludf.DUMMYFUNCTION("""COMPUTED_VALUE"""),"No")</f>
        <v>No</v>
      </c>
      <c r="Z152" s="5" t="str">
        <f>IFERROR(__xludf.DUMMYFUNCTION("""COMPUTED_VALUE"""),"No")</f>
        <v>No</v>
      </c>
      <c r="AA152" s="5" t="str">
        <f>IFERROR(__xludf.DUMMYFUNCTION("""COMPUTED_VALUE"""),"No")</f>
        <v>No</v>
      </c>
      <c r="AB152" s="5" t="str">
        <f>IFERROR(__xludf.DUMMYFUNCTION("""COMPUTED_VALUE"""),"No")</f>
        <v>No</v>
      </c>
      <c r="AC152" s="5" t="str">
        <f>IFERROR(__xludf.DUMMYFUNCTION("""COMPUTED_VALUE"""),"No")</f>
        <v>No</v>
      </c>
      <c r="AD152" s="5" t="str">
        <f>IFERROR(__xludf.DUMMYFUNCTION("""COMPUTED_VALUE"""),"No")</f>
        <v>No</v>
      </c>
      <c r="AE152" s="5" t="str">
        <f>IFERROR(__xludf.DUMMYFUNCTION("""COMPUTED_VALUE"""),"No")</f>
        <v>No</v>
      </c>
      <c r="AF152" s="5" t="str">
        <f>IFERROR(__xludf.DUMMYFUNCTION("""COMPUTED_VALUE"""),"Yes")</f>
        <v>Yes</v>
      </c>
      <c r="AG152" s="5" t="str">
        <f>IFERROR(__xludf.DUMMYFUNCTION("""COMPUTED_VALUE"""),"No")</f>
        <v>No</v>
      </c>
      <c r="AH152" s="5" t="str">
        <f>IFERROR(__xludf.DUMMYFUNCTION("""COMPUTED_VALUE"""),"Yes")</f>
        <v>Yes</v>
      </c>
      <c r="AI152" s="5" t="str">
        <f>IFERROR(__xludf.DUMMYFUNCTION("""COMPUTED_VALUE"""),"No")</f>
        <v>No</v>
      </c>
      <c r="AJ152" s="5" t="str">
        <f>IFERROR(__xludf.DUMMYFUNCTION("""COMPUTED_VALUE"""),"No")</f>
        <v>No</v>
      </c>
      <c r="AK152" s="5" t="str">
        <f>IFERROR(__xludf.DUMMYFUNCTION("""COMPUTED_VALUE"""),"No")</f>
        <v>No</v>
      </c>
      <c r="AL152" s="5" t="str">
        <f>IFERROR(__xludf.DUMMYFUNCTION("""COMPUTED_VALUE"""),"No")</f>
        <v>No</v>
      </c>
      <c r="AM152" s="5"/>
      <c r="AN152" s="5"/>
      <c r="AO152" s="5"/>
      <c r="AP152" s="5"/>
      <c r="AQ152" s="5"/>
      <c r="AR152" s="5"/>
      <c r="AS152" s="5"/>
      <c r="AT152" s="5"/>
      <c r="AU152" s="5"/>
      <c r="AV152" s="5"/>
      <c r="AW152" s="5"/>
      <c r="AX152" s="5"/>
      <c r="AY152" s="5"/>
    </row>
    <row r="153">
      <c r="A1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3" s="5">
        <f>IFERROR(__xludf.DUMMYFUNCTION("""COMPUTED_VALUE"""),153.0)</f>
        <v>153</v>
      </c>
      <c r="C153" s="5">
        <f>IFERROR(__xludf.DUMMYFUNCTION("""COMPUTED_VALUE"""),152.0)</f>
        <v>152</v>
      </c>
      <c r="D153" s="5" t="str">
        <f>IFERROR(__xludf.DUMMYFUNCTION("""COMPUTED_VALUE"""),"Unicorn20MegaFlames")</f>
        <v>Unicorn20MegaFlames</v>
      </c>
      <c r="E153" s="5" t="str">
        <f>IFERROR(__xludf.DUMMYFUNCTION("""COMPUTED_VALUE"""),"Yes")</f>
        <v>Yes</v>
      </c>
      <c r="F153" s="5" t="str">
        <f>IFERROR(__xludf.DUMMYFUNCTION("""COMPUTED_VALUE"""),"Yes")</f>
        <v>Yes</v>
      </c>
      <c r="G153" s="5" t="str">
        <f>IFERROR(__xludf.DUMMYFUNCTION("""COMPUTED_VALUE"""),"Yes")</f>
        <v>Yes</v>
      </c>
      <c r="H153" s="5" t="str">
        <f>IFERROR(__xludf.DUMMYFUNCTION("""COMPUTED_VALUE"""),"Yes")</f>
        <v>Yes</v>
      </c>
      <c r="I153" s="5" t="str">
        <f>IFERROR(__xludf.DUMMYFUNCTION("""COMPUTED_VALUE"""),"Yes")</f>
        <v>Yes</v>
      </c>
      <c r="J153" s="5" t="str">
        <f>IFERROR(__xludf.DUMMYFUNCTION("""COMPUTED_VALUE"""),"Yes")</f>
        <v>Yes</v>
      </c>
      <c r="K153" s="5" t="str">
        <f>IFERROR(__xludf.DUMMYFUNCTION("""COMPUTED_VALUE"""),"Yes")</f>
        <v>Yes</v>
      </c>
      <c r="L153" s="5" t="str">
        <f>IFERROR(__xludf.DUMMYFUNCTION("""COMPUTED_VALUE"""),"Yes")</f>
        <v>Yes</v>
      </c>
      <c r="M153" s="5" t="str">
        <f>IFERROR(__xludf.DUMMYFUNCTION("""COMPUTED_VALUE"""),"Yes")</f>
        <v>Yes</v>
      </c>
      <c r="N153" s="5" t="str">
        <f>IFERROR(__xludf.DUMMYFUNCTION("""COMPUTED_VALUE"""),"Yes")</f>
        <v>Yes</v>
      </c>
      <c r="O153" s="5" t="str">
        <f>IFERROR(__xludf.DUMMYFUNCTION("""COMPUTED_VALUE"""),"Yes")</f>
        <v>Yes</v>
      </c>
      <c r="P153" s="5" t="str">
        <f>IFERROR(__xludf.DUMMYFUNCTION("""COMPUTED_VALUE"""),"Yes")</f>
        <v>Yes</v>
      </c>
      <c r="Q153" s="5" t="str">
        <f>IFERROR(__xludf.DUMMYFUNCTION("""COMPUTED_VALUE"""),"Yes")</f>
        <v>Yes</v>
      </c>
      <c r="R153" s="5" t="str">
        <f>IFERROR(__xludf.DUMMYFUNCTION("""COMPUTED_VALUE"""),"Yes")</f>
        <v>Yes</v>
      </c>
      <c r="S153" s="5" t="str">
        <f>IFERROR(__xludf.DUMMYFUNCTION("""COMPUTED_VALUE"""),"Yes")</f>
        <v>Yes</v>
      </c>
      <c r="T153" s="5" t="str">
        <f>IFERROR(__xludf.DUMMYFUNCTION("""COMPUTED_VALUE"""),"Yes")</f>
        <v>Yes</v>
      </c>
      <c r="U153" s="5" t="str">
        <f>IFERROR(__xludf.DUMMYFUNCTION("""COMPUTED_VALUE"""),"Yes")</f>
        <v>Yes</v>
      </c>
      <c r="V153" s="5" t="str">
        <f>IFERROR(__xludf.DUMMYFUNCTION("""COMPUTED_VALUE"""),"Yes")</f>
        <v>Yes</v>
      </c>
      <c r="W153" s="5" t="str">
        <f>IFERROR(__xludf.DUMMYFUNCTION("""COMPUTED_VALUE"""),"Yes")</f>
        <v>Yes</v>
      </c>
      <c r="X153" s="5" t="str">
        <f>IFERROR(__xludf.DUMMYFUNCTION("""COMPUTED_VALUE"""),"Yes")</f>
        <v>Yes</v>
      </c>
      <c r="Y153" s="5"/>
      <c r="Z153" s="5"/>
      <c r="AA153" s="5"/>
      <c r="AB153" s="5"/>
      <c r="AC153" s="5" t="str">
        <f>IFERROR(__xludf.DUMMYFUNCTION("""COMPUTED_VALUE"""),"Yes")</f>
        <v>Yes</v>
      </c>
      <c r="AD153" s="5"/>
      <c r="AE153" s="5"/>
      <c r="AF153" s="5"/>
      <c r="AG153" s="5"/>
      <c r="AH153" s="5"/>
      <c r="AI153" s="5"/>
      <c r="AJ153" s="5"/>
      <c r="AK153" s="5"/>
      <c r="AL153" s="5"/>
      <c r="AM153" s="5"/>
      <c r="AN153" s="5"/>
      <c r="AO153" s="5"/>
      <c r="AP153" s="5"/>
      <c r="AQ153" s="5"/>
      <c r="AR153" s="5"/>
      <c r="AS153" s="5"/>
      <c r="AT153" s="5"/>
      <c r="AU153" s="5"/>
      <c r="AV153" s="5"/>
      <c r="AW153" s="5"/>
      <c r="AX153" s="5"/>
      <c r="AY153" s="5"/>
    </row>
    <row r="154">
      <c r="A1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4" s="5">
        <f>IFERROR(__xludf.DUMMYFUNCTION("""COMPUTED_VALUE"""),154.0)</f>
        <v>154</v>
      </c>
      <c r="C154" s="5">
        <f>IFERROR(__xludf.DUMMYFUNCTION("""COMPUTED_VALUE"""),153.0)</f>
        <v>153</v>
      </c>
      <c r="D154" s="5" t="str">
        <f>IFERROR(__xludf.DUMMYFUNCTION("""COMPUTED_VALUE"""),"VeryHot20")</f>
        <v>VeryHot20</v>
      </c>
      <c r="E154" s="5" t="str">
        <f>IFERROR(__xludf.DUMMYFUNCTION("""COMPUTED_VALUE"""),"Yes")</f>
        <v>Yes</v>
      </c>
      <c r="F154" s="5" t="str">
        <f>IFERROR(__xludf.DUMMYFUNCTION("""COMPUTED_VALUE"""),"Yes")</f>
        <v>Yes</v>
      </c>
      <c r="G154" s="5" t="str">
        <f>IFERROR(__xludf.DUMMYFUNCTION("""COMPUTED_VALUE"""),"Yes")</f>
        <v>Yes</v>
      </c>
      <c r="H154" s="5" t="str">
        <f>IFERROR(__xludf.DUMMYFUNCTION("""COMPUTED_VALUE"""),"Yes")</f>
        <v>Yes</v>
      </c>
      <c r="I154" s="5" t="str">
        <f>IFERROR(__xludf.DUMMYFUNCTION("""COMPUTED_VALUE"""),"Yes")</f>
        <v>Yes</v>
      </c>
      <c r="J154" s="5" t="str">
        <f>IFERROR(__xludf.DUMMYFUNCTION("""COMPUTED_VALUE"""),"Yes")</f>
        <v>Yes</v>
      </c>
      <c r="K154" s="5" t="str">
        <f>IFERROR(__xludf.DUMMYFUNCTION("""COMPUTED_VALUE"""),"Yes")</f>
        <v>Yes</v>
      </c>
      <c r="L154" s="5" t="str">
        <f>IFERROR(__xludf.DUMMYFUNCTION("""COMPUTED_VALUE"""),"Yes")</f>
        <v>Yes</v>
      </c>
      <c r="M154" s="5" t="str">
        <f>IFERROR(__xludf.DUMMYFUNCTION("""COMPUTED_VALUE"""),"Yes")</f>
        <v>Yes</v>
      </c>
      <c r="N154" s="5" t="str">
        <f>IFERROR(__xludf.DUMMYFUNCTION("""COMPUTED_VALUE"""),"Yes")</f>
        <v>Yes</v>
      </c>
      <c r="O154" s="5" t="str">
        <f>IFERROR(__xludf.DUMMYFUNCTION("""COMPUTED_VALUE"""),"Yes")</f>
        <v>Yes</v>
      </c>
      <c r="P154" s="5" t="str">
        <f>IFERROR(__xludf.DUMMYFUNCTION("""COMPUTED_VALUE"""),"Yes")</f>
        <v>Yes</v>
      </c>
      <c r="Q154" s="5" t="str">
        <f>IFERROR(__xludf.DUMMYFUNCTION("""COMPUTED_VALUE"""),"Yes")</f>
        <v>Yes</v>
      </c>
      <c r="R154" s="5" t="str">
        <f>IFERROR(__xludf.DUMMYFUNCTION("""COMPUTED_VALUE"""),"Yes")</f>
        <v>Yes</v>
      </c>
      <c r="S154" s="5" t="str">
        <f>IFERROR(__xludf.DUMMYFUNCTION("""COMPUTED_VALUE"""),"Yes")</f>
        <v>Yes</v>
      </c>
      <c r="T154" s="5" t="str">
        <f>IFERROR(__xludf.DUMMYFUNCTION("""COMPUTED_VALUE"""),"Yes")</f>
        <v>Yes</v>
      </c>
      <c r="U154" s="5" t="str">
        <f>IFERROR(__xludf.DUMMYFUNCTION("""COMPUTED_VALUE"""),"Yes")</f>
        <v>Yes</v>
      </c>
      <c r="V154" s="5" t="str">
        <f>IFERROR(__xludf.DUMMYFUNCTION("""COMPUTED_VALUE"""),"Yes")</f>
        <v>Yes</v>
      </c>
      <c r="W154" s="5" t="str">
        <f>IFERROR(__xludf.DUMMYFUNCTION("""COMPUTED_VALUE"""),"Yes")</f>
        <v>Yes</v>
      </c>
      <c r="X154" s="5" t="str">
        <f>IFERROR(__xludf.DUMMYFUNCTION("""COMPUTED_VALUE"""),"Yes")</f>
        <v>Yes</v>
      </c>
      <c r="Y154" s="5" t="str">
        <f>IFERROR(__xludf.DUMMYFUNCTION("""COMPUTED_VALUE"""),"Yes")</f>
        <v>Yes</v>
      </c>
      <c r="Z154" s="5" t="str">
        <f>IFERROR(__xludf.DUMMYFUNCTION("""COMPUTED_VALUE"""),"No")</f>
        <v>No</v>
      </c>
      <c r="AA154" s="5" t="str">
        <f>IFERROR(__xludf.DUMMYFUNCTION("""COMPUTED_VALUE"""),"Yes")</f>
        <v>Yes</v>
      </c>
      <c r="AB154" s="5" t="str">
        <f>IFERROR(__xludf.DUMMYFUNCTION("""COMPUTED_VALUE"""),"Yes")</f>
        <v>Yes</v>
      </c>
      <c r="AC154" s="5" t="str">
        <f>IFERROR(__xludf.DUMMYFUNCTION("""COMPUTED_VALUE"""),"Yes")</f>
        <v>Yes</v>
      </c>
      <c r="AD154" s="5" t="str">
        <f>IFERROR(__xludf.DUMMYFUNCTION("""COMPUTED_VALUE"""),"Yes")</f>
        <v>Yes</v>
      </c>
      <c r="AE154" s="5" t="str">
        <f>IFERROR(__xludf.DUMMYFUNCTION("""COMPUTED_VALUE"""),"No")</f>
        <v>No</v>
      </c>
      <c r="AF154" s="5" t="str">
        <f>IFERROR(__xludf.DUMMYFUNCTION("""COMPUTED_VALUE"""),"Yes")</f>
        <v>Yes</v>
      </c>
      <c r="AG154" s="5" t="str">
        <f>IFERROR(__xludf.DUMMYFUNCTION("""COMPUTED_VALUE"""),"No")</f>
        <v>No</v>
      </c>
      <c r="AH154" s="5" t="str">
        <f>IFERROR(__xludf.DUMMYFUNCTION("""COMPUTED_VALUE"""),"No")</f>
        <v>No</v>
      </c>
      <c r="AI154" s="5" t="str">
        <f>IFERROR(__xludf.DUMMYFUNCTION("""COMPUTED_VALUE"""),"No")</f>
        <v>No</v>
      </c>
      <c r="AJ154" s="5" t="str">
        <f>IFERROR(__xludf.DUMMYFUNCTION("""COMPUTED_VALUE"""),"No")</f>
        <v>No</v>
      </c>
      <c r="AK154" s="5" t="str">
        <f>IFERROR(__xludf.DUMMYFUNCTION("""COMPUTED_VALUE"""),"No")</f>
        <v>No</v>
      </c>
      <c r="AL154" s="5" t="str">
        <f>IFERROR(__xludf.DUMMYFUNCTION("""COMPUTED_VALUE"""),"No")</f>
        <v>No</v>
      </c>
      <c r="AM154" s="5"/>
      <c r="AN154" s="5"/>
      <c r="AO154" s="5"/>
      <c r="AP154" s="5"/>
      <c r="AQ154" s="5"/>
      <c r="AR154" s="5"/>
      <c r="AS154" s="5"/>
      <c r="AT154" s="5"/>
      <c r="AU154" s="5"/>
      <c r="AV154" s="5"/>
      <c r="AW154" s="5"/>
      <c r="AX154" s="5"/>
      <c r="AY154" s="5"/>
    </row>
    <row r="155">
      <c r="A1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55" s="5">
        <f>IFERROR(__xludf.DUMMYFUNCTION("""COMPUTED_VALUE"""),155.0)</f>
        <v>155</v>
      </c>
      <c r="C155" s="5">
        <f>IFERROR(__xludf.DUMMYFUNCTION("""COMPUTED_VALUE"""),154.0)</f>
        <v>154</v>
      </c>
      <c r="D155" s="5" t="str">
        <f>IFERROR(__xludf.DUMMYFUNCTION("""COMPUTED_VALUE"""),"KingOfThunder")</f>
        <v>KingOfThunder</v>
      </c>
      <c r="E155" s="5" t="str">
        <f>IFERROR(__xludf.DUMMYFUNCTION("""COMPUTED_VALUE"""),"Yes")</f>
        <v>Yes</v>
      </c>
      <c r="F155" s="5" t="str">
        <f>IFERROR(__xludf.DUMMYFUNCTION("""COMPUTED_VALUE"""),"Yes")</f>
        <v>Yes</v>
      </c>
      <c r="G155" s="5" t="str">
        <f>IFERROR(__xludf.DUMMYFUNCTION("""COMPUTED_VALUE"""),"Yes")</f>
        <v>Yes</v>
      </c>
      <c r="H155" s="5" t="str">
        <f>IFERROR(__xludf.DUMMYFUNCTION("""COMPUTED_VALUE"""),"Yes")</f>
        <v>Yes</v>
      </c>
      <c r="I155" s="5" t="str">
        <f>IFERROR(__xludf.DUMMYFUNCTION("""COMPUTED_VALUE"""),"Yes")</f>
        <v>Yes</v>
      </c>
      <c r="J155" s="5" t="str">
        <f>IFERROR(__xludf.DUMMYFUNCTION("""COMPUTED_VALUE"""),"Yes")</f>
        <v>Yes</v>
      </c>
      <c r="K155" s="5" t="str">
        <f>IFERROR(__xludf.DUMMYFUNCTION("""COMPUTED_VALUE"""),"Yes")</f>
        <v>Yes</v>
      </c>
      <c r="L155" s="5" t="str">
        <f>IFERROR(__xludf.DUMMYFUNCTION("""COMPUTED_VALUE"""),"Yes")</f>
        <v>Yes</v>
      </c>
      <c r="M155" s="5" t="str">
        <f>IFERROR(__xludf.DUMMYFUNCTION("""COMPUTED_VALUE"""),"Yes")</f>
        <v>Yes</v>
      </c>
      <c r="N155" s="5" t="str">
        <f>IFERROR(__xludf.DUMMYFUNCTION("""COMPUTED_VALUE"""),"Yes")</f>
        <v>Yes</v>
      </c>
      <c r="O155" s="5" t="str">
        <f>IFERROR(__xludf.DUMMYFUNCTION("""COMPUTED_VALUE"""),"Yes")</f>
        <v>Yes</v>
      </c>
      <c r="P155" s="5" t="str">
        <f>IFERROR(__xludf.DUMMYFUNCTION("""COMPUTED_VALUE"""),"Yes")</f>
        <v>Yes</v>
      </c>
      <c r="Q155" s="5" t="str">
        <f>IFERROR(__xludf.DUMMYFUNCTION("""COMPUTED_VALUE"""),"Yes")</f>
        <v>Yes</v>
      </c>
      <c r="R155" s="5" t="str">
        <f>IFERROR(__xludf.DUMMYFUNCTION("""COMPUTED_VALUE"""),"Yes")</f>
        <v>Yes</v>
      </c>
      <c r="S155" s="5" t="str">
        <f>IFERROR(__xludf.DUMMYFUNCTION("""COMPUTED_VALUE"""),"Yes")</f>
        <v>Yes</v>
      </c>
      <c r="T155" s="5" t="str">
        <f>IFERROR(__xludf.DUMMYFUNCTION("""COMPUTED_VALUE"""),"Yes")</f>
        <v>Yes</v>
      </c>
      <c r="U155" s="5" t="str">
        <f>IFERROR(__xludf.DUMMYFUNCTION("""COMPUTED_VALUE"""),"Yes")</f>
        <v>Yes</v>
      </c>
      <c r="V155" s="5" t="str">
        <f>IFERROR(__xludf.DUMMYFUNCTION("""COMPUTED_VALUE"""),"Yes")</f>
        <v>Yes</v>
      </c>
      <c r="W155" s="5" t="str">
        <f>IFERROR(__xludf.DUMMYFUNCTION("""COMPUTED_VALUE"""),"Yes")</f>
        <v>Yes</v>
      </c>
      <c r="X155" s="5" t="str">
        <f>IFERROR(__xludf.DUMMYFUNCTION("""COMPUTED_VALUE"""),"Yes")</f>
        <v>Yes</v>
      </c>
      <c r="Y155" s="5" t="str">
        <f>IFERROR(__xludf.DUMMYFUNCTION("""COMPUTED_VALUE"""),"Yes")</f>
        <v>Yes</v>
      </c>
      <c r="Z155" s="5" t="str">
        <f>IFERROR(__xludf.DUMMYFUNCTION("""COMPUTED_VALUE"""),"Yes")</f>
        <v>Yes</v>
      </c>
      <c r="AA155" s="5" t="str">
        <f>IFERROR(__xludf.DUMMYFUNCTION("""COMPUTED_VALUE"""),"Yes")</f>
        <v>Yes</v>
      </c>
      <c r="AB155" s="5" t="str">
        <f>IFERROR(__xludf.DUMMYFUNCTION("""COMPUTED_VALUE"""),"Yes")</f>
        <v>Yes</v>
      </c>
      <c r="AC155" s="5" t="str">
        <f>IFERROR(__xludf.DUMMYFUNCTION("""COMPUTED_VALUE"""),"Yes")</f>
        <v>Yes</v>
      </c>
      <c r="AD155" s="5" t="str">
        <f>IFERROR(__xludf.DUMMYFUNCTION("""COMPUTED_VALUE"""),"Yes")</f>
        <v>Yes</v>
      </c>
      <c r="AE155" s="5" t="str">
        <f>IFERROR(__xludf.DUMMYFUNCTION("""COMPUTED_VALUE"""),"Yes")</f>
        <v>Yes</v>
      </c>
      <c r="AF155" s="5" t="str">
        <f>IFERROR(__xludf.DUMMYFUNCTION("""COMPUTED_VALUE"""),"Yes")</f>
        <v>Yes</v>
      </c>
      <c r="AG155" s="5" t="str">
        <f>IFERROR(__xludf.DUMMYFUNCTION("""COMPUTED_VALUE"""),"Yes")</f>
        <v>Yes</v>
      </c>
      <c r="AH155" s="5" t="str">
        <f>IFERROR(__xludf.DUMMYFUNCTION("""COMPUTED_VALUE"""),"Yes")</f>
        <v>Yes</v>
      </c>
      <c r="AI155" s="5" t="str">
        <f>IFERROR(__xludf.DUMMYFUNCTION("""COMPUTED_VALUE"""),"No")</f>
        <v>No</v>
      </c>
      <c r="AJ155" s="5" t="str">
        <f>IFERROR(__xludf.DUMMYFUNCTION("""COMPUTED_VALUE"""),"No")</f>
        <v>No</v>
      </c>
      <c r="AK155" s="5" t="str">
        <f>IFERROR(__xludf.DUMMYFUNCTION("""COMPUTED_VALUE"""),"No")</f>
        <v>No</v>
      </c>
      <c r="AL155" s="5" t="str">
        <f>IFERROR(__xludf.DUMMYFUNCTION("""COMPUTED_VALUE"""),"No")</f>
        <v>No</v>
      </c>
      <c r="AM155" s="5"/>
      <c r="AN155" s="5"/>
      <c r="AO155" s="5"/>
      <c r="AP155" s="5"/>
      <c r="AQ155" s="5"/>
      <c r="AR155" s="5"/>
      <c r="AS155" s="5"/>
      <c r="AT155" s="5"/>
      <c r="AU155" s="5"/>
      <c r="AV155" s="5"/>
      <c r="AW155" s="5"/>
      <c r="AX155" s="5"/>
      <c r="AY155" s="5"/>
    </row>
    <row r="156">
      <c r="A1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6" s="5">
        <f>IFERROR(__xludf.DUMMYFUNCTION("""COMPUTED_VALUE"""),156.0)</f>
        <v>156</v>
      </c>
      <c r="C156" s="5">
        <f>IFERROR(__xludf.DUMMYFUNCTION("""COMPUTED_VALUE"""),155.0)</f>
        <v>155</v>
      </c>
      <c r="D156" s="5" t="str">
        <f>IFERROR(__xludf.DUMMYFUNCTION("""COMPUTED_VALUE"""),"BookOfSpells2")</f>
        <v>BookOfSpells2</v>
      </c>
      <c r="E156" s="5" t="str">
        <f>IFERROR(__xludf.DUMMYFUNCTION("""COMPUTED_VALUE"""),"Yes")</f>
        <v>Yes</v>
      </c>
      <c r="F156" s="5" t="str">
        <f>IFERROR(__xludf.DUMMYFUNCTION("""COMPUTED_VALUE"""),"Yes")</f>
        <v>Yes</v>
      </c>
      <c r="G156" s="5" t="str">
        <f>IFERROR(__xludf.DUMMYFUNCTION("""COMPUTED_VALUE"""),"Yes")</f>
        <v>Yes</v>
      </c>
      <c r="H156" s="5" t="str">
        <f>IFERROR(__xludf.DUMMYFUNCTION("""COMPUTED_VALUE"""),"Yes")</f>
        <v>Yes</v>
      </c>
      <c r="I156" s="5" t="str">
        <f>IFERROR(__xludf.DUMMYFUNCTION("""COMPUTED_VALUE"""),"Yes")</f>
        <v>Yes</v>
      </c>
      <c r="J156" s="5" t="str">
        <f>IFERROR(__xludf.DUMMYFUNCTION("""COMPUTED_VALUE"""),"Yes")</f>
        <v>Yes</v>
      </c>
      <c r="K156" s="5" t="str">
        <f>IFERROR(__xludf.DUMMYFUNCTION("""COMPUTED_VALUE"""),"Yes")</f>
        <v>Yes</v>
      </c>
      <c r="L156" s="5" t="str">
        <f>IFERROR(__xludf.DUMMYFUNCTION("""COMPUTED_VALUE"""),"Yes")</f>
        <v>Yes</v>
      </c>
      <c r="M156" s="5" t="str">
        <f>IFERROR(__xludf.DUMMYFUNCTION("""COMPUTED_VALUE"""),"Yes")</f>
        <v>Yes</v>
      </c>
      <c r="N156" s="5" t="str">
        <f>IFERROR(__xludf.DUMMYFUNCTION("""COMPUTED_VALUE"""),"Yes")</f>
        <v>Yes</v>
      </c>
      <c r="O156" s="5" t="str">
        <f>IFERROR(__xludf.DUMMYFUNCTION("""COMPUTED_VALUE"""),"Yes")</f>
        <v>Yes</v>
      </c>
      <c r="P156" s="5" t="str">
        <f>IFERROR(__xludf.DUMMYFUNCTION("""COMPUTED_VALUE"""),"Yes")</f>
        <v>Yes</v>
      </c>
      <c r="Q156" s="5" t="str">
        <f>IFERROR(__xludf.DUMMYFUNCTION("""COMPUTED_VALUE"""),"Yes")</f>
        <v>Yes</v>
      </c>
      <c r="R156" s="5" t="str">
        <f>IFERROR(__xludf.DUMMYFUNCTION("""COMPUTED_VALUE"""),"Yes")</f>
        <v>Yes</v>
      </c>
      <c r="S156" s="5" t="str">
        <f>IFERROR(__xludf.DUMMYFUNCTION("""COMPUTED_VALUE"""),"Yes")</f>
        <v>Yes</v>
      </c>
      <c r="T156" s="5" t="str">
        <f>IFERROR(__xludf.DUMMYFUNCTION("""COMPUTED_VALUE"""),"Yes")</f>
        <v>Yes</v>
      </c>
      <c r="U156" s="5" t="str">
        <f>IFERROR(__xludf.DUMMYFUNCTION("""COMPUTED_VALUE"""),"Yes")</f>
        <v>Yes</v>
      </c>
      <c r="V156" s="5" t="str">
        <f>IFERROR(__xludf.DUMMYFUNCTION("""COMPUTED_VALUE"""),"Yes")</f>
        <v>Yes</v>
      </c>
      <c r="W156" s="5" t="str">
        <f>IFERROR(__xludf.DUMMYFUNCTION("""COMPUTED_VALUE"""),"Yes")</f>
        <v>Yes</v>
      </c>
      <c r="X156" s="5" t="str">
        <f>IFERROR(__xludf.DUMMYFUNCTION("""COMPUTED_VALUE"""),"Yes")</f>
        <v>Yes</v>
      </c>
      <c r="Y156" s="5" t="str">
        <f>IFERROR(__xludf.DUMMYFUNCTION("""COMPUTED_VALUE"""),"Yes")</f>
        <v>Yes</v>
      </c>
      <c r="Z156" s="5" t="str">
        <f>IFERROR(__xludf.DUMMYFUNCTION("""COMPUTED_VALUE"""),"No")</f>
        <v>No</v>
      </c>
      <c r="AA156" s="5" t="str">
        <f>IFERROR(__xludf.DUMMYFUNCTION("""COMPUTED_VALUE"""),"Yes")</f>
        <v>Yes</v>
      </c>
      <c r="AB156" s="5" t="str">
        <f>IFERROR(__xludf.DUMMYFUNCTION("""COMPUTED_VALUE"""),"Yes")</f>
        <v>Yes</v>
      </c>
      <c r="AC156" s="5" t="str">
        <f>IFERROR(__xludf.DUMMYFUNCTION("""COMPUTED_VALUE"""),"Yes")</f>
        <v>Yes</v>
      </c>
      <c r="AD156" s="5" t="str">
        <f>IFERROR(__xludf.DUMMYFUNCTION("""COMPUTED_VALUE"""),"Yes")</f>
        <v>Yes</v>
      </c>
      <c r="AE156" s="5" t="str">
        <f>IFERROR(__xludf.DUMMYFUNCTION("""COMPUTED_VALUE"""),"No")</f>
        <v>No</v>
      </c>
      <c r="AF156" s="5" t="str">
        <f>IFERROR(__xludf.DUMMYFUNCTION("""COMPUTED_VALUE"""),"Yes")</f>
        <v>Yes</v>
      </c>
      <c r="AG156" s="5" t="str">
        <f>IFERROR(__xludf.DUMMYFUNCTION("""COMPUTED_VALUE"""),"No")</f>
        <v>No</v>
      </c>
      <c r="AH156" s="5" t="str">
        <f>IFERROR(__xludf.DUMMYFUNCTION("""COMPUTED_VALUE"""),"No")</f>
        <v>No</v>
      </c>
      <c r="AI156" s="5" t="str">
        <f>IFERROR(__xludf.DUMMYFUNCTION("""COMPUTED_VALUE"""),"No")</f>
        <v>No</v>
      </c>
      <c r="AJ156" s="5" t="str">
        <f>IFERROR(__xludf.DUMMYFUNCTION("""COMPUTED_VALUE"""),"No")</f>
        <v>No</v>
      </c>
      <c r="AK156" s="5" t="str">
        <f>IFERROR(__xludf.DUMMYFUNCTION("""COMPUTED_VALUE"""),"No")</f>
        <v>No</v>
      </c>
      <c r="AL156" s="5" t="str">
        <f>IFERROR(__xludf.DUMMYFUNCTION("""COMPUTED_VALUE"""),"No")</f>
        <v>No</v>
      </c>
      <c r="AM156" s="5"/>
      <c r="AN156" s="5"/>
      <c r="AO156" s="5"/>
      <c r="AP156" s="5"/>
      <c r="AQ156" s="5"/>
      <c r="AR156" s="5"/>
      <c r="AS156" s="5"/>
      <c r="AT156" s="5"/>
      <c r="AU156" s="5"/>
      <c r="AV156" s="5"/>
      <c r="AW156" s="5"/>
      <c r="AX156" s="5"/>
      <c r="AY156" s="5"/>
    </row>
    <row r="157">
      <c r="A1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7" s="5">
        <f>IFERROR(__xludf.DUMMYFUNCTION("""COMPUTED_VALUE"""),157.0)</f>
        <v>157</v>
      </c>
      <c r="C157" s="5">
        <f>IFERROR(__xludf.DUMMYFUNCTION("""COMPUTED_VALUE"""),156.0)</f>
        <v>156</v>
      </c>
      <c r="D157" s="5" t="str">
        <f>IFERROR(__xludf.DUMMYFUNCTION("""COMPUTED_VALUE"""),"CrystalHot40Max")</f>
        <v>CrystalHot40Max</v>
      </c>
      <c r="E157" s="5" t="str">
        <f>IFERROR(__xludf.DUMMYFUNCTION("""COMPUTED_VALUE"""),"Yes")</f>
        <v>Yes</v>
      </c>
      <c r="F157" s="5" t="str">
        <f>IFERROR(__xludf.DUMMYFUNCTION("""COMPUTED_VALUE"""),"Yes")</f>
        <v>Yes</v>
      </c>
      <c r="G157" s="5" t="str">
        <f>IFERROR(__xludf.DUMMYFUNCTION("""COMPUTED_VALUE"""),"Yes")</f>
        <v>Yes</v>
      </c>
      <c r="H157" s="5" t="str">
        <f>IFERROR(__xludf.DUMMYFUNCTION("""COMPUTED_VALUE"""),"Yes")</f>
        <v>Yes</v>
      </c>
      <c r="I157" s="5" t="str">
        <f>IFERROR(__xludf.DUMMYFUNCTION("""COMPUTED_VALUE"""),"Yes")</f>
        <v>Yes</v>
      </c>
      <c r="J157" s="5" t="str">
        <f>IFERROR(__xludf.DUMMYFUNCTION("""COMPUTED_VALUE"""),"Yes")</f>
        <v>Yes</v>
      </c>
      <c r="K157" s="5" t="str">
        <f>IFERROR(__xludf.DUMMYFUNCTION("""COMPUTED_VALUE"""),"Yes")</f>
        <v>Yes</v>
      </c>
      <c r="L157" s="5" t="str">
        <f>IFERROR(__xludf.DUMMYFUNCTION("""COMPUTED_VALUE"""),"Yes")</f>
        <v>Yes</v>
      </c>
      <c r="M157" s="5" t="str">
        <f>IFERROR(__xludf.DUMMYFUNCTION("""COMPUTED_VALUE"""),"Yes")</f>
        <v>Yes</v>
      </c>
      <c r="N157" s="5" t="str">
        <f>IFERROR(__xludf.DUMMYFUNCTION("""COMPUTED_VALUE"""),"Yes")</f>
        <v>Yes</v>
      </c>
      <c r="O157" s="5" t="str">
        <f>IFERROR(__xludf.DUMMYFUNCTION("""COMPUTED_VALUE"""),"Yes")</f>
        <v>Yes</v>
      </c>
      <c r="P157" s="5" t="str">
        <f>IFERROR(__xludf.DUMMYFUNCTION("""COMPUTED_VALUE"""),"Yes")</f>
        <v>Yes</v>
      </c>
      <c r="Q157" s="5" t="str">
        <f>IFERROR(__xludf.DUMMYFUNCTION("""COMPUTED_VALUE"""),"Yes")</f>
        <v>Yes</v>
      </c>
      <c r="R157" s="5" t="str">
        <f>IFERROR(__xludf.DUMMYFUNCTION("""COMPUTED_VALUE"""),"Yes")</f>
        <v>Yes</v>
      </c>
      <c r="S157" s="5" t="str">
        <f>IFERROR(__xludf.DUMMYFUNCTION("""COMPUTED_VALUE"""),"Yes")</f>
        <v>Yes</v>
      </c>
      <c r="T157" s="5" t="str">
        <f>IFERROR(__xludf.DUMMYFUNCTION("""COMPUTED_VALUE"""),"Yes")</f>
        <v>Yes</v>
      </c>
      <c r="U157" s="5" t="str">
        <f>IFERROR(__xludf.DUMMYFUNCTION("""COMPUTED_VALUE"""),"Yes")</f>
        <v>Yes</v>
      </c>
      <c r="V157" s="5" t="str">
        <f>IFERROR(__xludf.DUMMYFUNCTION("""COMPUTED_VALUE"""),"Yes")</f>
        <v>Yes</v>
      </c>
      <c r="W157" s="5" t="str">
        <f>IFERROR(__xludf.DUMMYFUNCTION("""COMPUTED_VALUE"""),"Yes")</f>
        <v>Yes</v>
      </c>
      <c r="X157" s="5" t="str">
        <f>IFERROR(__xludf.DUMMYFUNCTION("""COMPUTED_VALUE"""),"Yes")</f>
        <v>Yes</v>
      </c>
      <c r="Y157" s="5" t="str">
        <f>IFERROR(__xludf.DUMMYFUNCTION("""COMPUTED_VALUE"""),"Yes")</f>
        <v>Yes</v>
      </c>
      <c r="Z157" s="5" t="str">
        <f>IFERROR(__xludf.DUMMYFUNCTION("""COMPUTED_VALUE"""),"No")</f>
        <v>No</v>
      </c>
      <c r="AA157" s="5" t="str">
        <f>IFERROR(__xludf.DUMMYFUNCTION("""COMPUTED_VALUE"""),"Yes")</f>
        <v>Yes</v>
      </c>
      <c r="AB157" s="5" t="str">
        <f>IFERROR(__xludf.DUMMYFUNCTION("""COMPUTED_VALUE"""),"Yes")</f>
        <v>Yes</v>
      </c>
      <c r="AC157" s="5" t="str">
        <f>IFERROR(__xludf.DUMMYFUNCTION("""COMPUTED_VALUE"""),"Yes")</f>
        <v>Yes</v>
      </c>
      <c r="AD157" s="5" t="str">
        <f>IFERROR(__xludf.DUMMYFUNCTION("""COMPUTED_VALUE"""),"Yes")</f>
        <v>Yes</v>
      </c>
      <c r="AE157" s="5" t="str">
        <f>IFERROR(__xludf.DUMMYFUNCTION("""COMPUTED_VALUE"""),"No")</f>
        <v>No</v>
      </c>
      <c r="AF157" s="5" t="str">
        <f>IFERROR(__xludf.DUMMYFUNCTION("""COMPUTED_VALUE"""),"Yes")</f>
        <v>Yes</v>
      </c>
      <c r="AG157" s="5" t="str">
        <f>IFERROR(__xludf.DUMMYFUNCTION("""COMPUTED_VALUE"""),"No")</f>
        <v>No</v>
      </c>
      <c r="AH157" s="5" t="str">
        <f>IFERROR(__xludf.DUMMYFUNCTION("""COMPUTED_VALUE"""),"No")</f>
        <v>No</v>
      </c>
      <c r="AI157" s="5" t="str">
        <f>IFERROR(__xludf.DUMMYFUNCTION("""COMPUTED_VALUE"""),"No")</f>
        <v>No</v>
      </c>
      <c r="AJ157" s="5" t="str">
        <f>IFERROR(__xludf.DUMMYFUNCTION("""COMPUTED_VALUE"""),"No")</f>
        <v>No</v>
      </c>
      <c r="AK157" s="5" t="str">
        <f>IFERROR(__xludf.DUMMYFUNCTION("""COMPUTED_VALUE"""),"No")</f>
        <v>No</v>
      </c>
      <c r="AL157" s="5" t="str">
        <f>IFERROR(__xludf.DUMMYFUNCTION("""COMPUTED_VALUE"""),"No")</f>
        <v>No</v>
      </c>
      <c r="AM157" s="5"/>
      <c r="AN157" s="5"/>
      <c r="AO157" s="5"/>
      <c r="AP157" s="5"/>
      <c r="AQ157" s="5"/>
      <c r="AR157" s="5"/>
      <c r="AS157" s="5"/>
      <c r="AT157" s="5"/>
      <c r="AU157" s="5"/>
      <c r="AV157" s="5"/>
      <c r="AW157" s="5"/>
      <c r="AX157" s="5"/>
      <c r="AY157" s="5"/>
    </row>
    <row r="158">
      <c r="A1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8" s="5">
        <f>IFERROR(__xludf.DUMMYFUNCTION("""COMPUTED_VALUE"""),158.0)</f>
        <v>158</v>
      </c>
      <c r="C158" s="5">
        <f>IFERROR(__xludf.DUMMYFUNCTION("""COMPUTED_VALUE"""),157.0)</f>
        <v>157</v>
      </c>
      <c r="D158" s="5" t="str">
        <f>IFERROR(__xludf.DUMMYFUNCTION("""COMPUTED_VALUE"""),"KingOfMyCastleDice")</f>
        <v>KingOfMyCastleDice</v>
      </c>
      <c r="E158" s="5" t="str">
        <f>IFERROR(__xludf.DUMMYFUNCTION("""COMPUTED_VALUE"""),"Yes")</f>
        <v>Yes</v>
      </c>
      <c r="F158" s="5" t="str">
        <f>IFERROR(__xludf.DUMMYFUNCTION("""COMPUTED_VALUE"""),"Yes")</f>
        <v>Yes</v>
      </c>
      <c r="G158" s="5" t="str">
        <f>IFERROR(__xludf.DUMMYFUNCTION("""COMPUTED_VALUE"""),"Yes")</f>
        <v>Yes</v>
      </c>
      <c r="H158" s="5" t="str">
        <f>IFERROR(__xludf.DUMMYFUNCTION("""COMPUTED_VALUE"""),"Yes")</f>
        <v>Yes</v>
      </c>
      <c r="I158" s="5" t="str">
        <f>IFERROR(__xludf.DUMMYFUNCTION("""COMPUTED_VALUE"""),"Yes")</f>
        <v>Yes</v>
      </c>
      <c r="J158" s="5" t="str">
        <f>IFERROR(__xludf.DUMMYFUNCTION("""COMPUTED_VALUE"""),"Yes")</f>
        <v>Yes</v>
      </c>
      <c r="K158" s="5" t="str">
        <f>IFERROR(__xludf.DUMMYFUNCTION("""COMPUTED_VALUE"""),"Yes")</f>
        <v>Yes</v>
      </c>
      <c r="L158" s="5" t="str">
        <f>IFERROR(__xludf.DUMMYFUNCTION("""COMPUTED_VALUE"""),"Yes")</f>
        <v>Yes</v>
      </c>
      <c r="M158" s="5" t="str">
        <f>IFERROR(__xludf.DUMMYFUNCTION("""COMPUTED_VALUE"""),"Yes")</f>
        <v>Yes</v>
      </c>
      <c r="N158" s="5" t="str">
        <f>IFERROR(__xludf.DUMMYFUNCTION("""COMPUTED_VALUE"""),"Yes")</f>
        <v>Yes</v>
      </c>
      <c r="O158" s="5" t="str">
        <f>IFERROR(__xludf.DUMMYFUNCTION("""COMPUTED_VALUE"""),"Yes")</f>
        <v>Yes</v>
      </c>
      <c r="P158" s="5" t="str">
        <f>IFERROR(__xludf.DUMMYFUNCTION("""COMPUTED_VALUE"""),"Yes")</f>
        <v>Yes</v>
      </c>
      <c r="Q158" s="5" t="str">
        <f>IFERROR(__xludf.DUMMYFUNCTION("""COMPUTED_VALUE"""),"Yes")</f>
        <v>Yes</v>
      </c>
      <c r="R158" s="5" t="str">
        <f>IFERROR(__xludf.DUMMYFUNCTION("""COMPUTED_VALUE"""),"Yes")</f>
        <v>Yes</v>
      </c>
      <c r="S158" s="5" t="str">
        <f>IFERROR(__xludf.DUMMYFUNCTION("""COMPUTED_VALUE"""),"Yes")</f>
        <v>Yes</v>
      </c>
      <c r="T158" s="5" t="str">
        <f>IFERROR(__xludf.DUMMYFUNCTION("""COMPUTED_VALUE"""),"Yes")</f>
        <v>Yes</v>
      </c>
      <c r="U158" s="5" t="str">
        <f>IFERROR(__xludf.DUMMYFUNCTION("""COMPUTED_VALUE"""),"Yes")</f>
        <v>Yes</v>
      </c>
      <c r="V158" s="5" t="str">
        <f>IFERROR(__xludf.DUMMYFUNCTION("""COMPUTED_VALUE"""),"Yes")</f>
        <v>Yes</v>
      </c>
      <c r="W158" s="5" t="str">
        <f>IFERROR(__xludf.DUMMYFUNCTION("""COMPUTED_VALUE"""),"Yes")</f>
        <v>Yes</v>
      </c>
      <c r="X158" s="5" t="str">
        <f>IFERROR(__xludf.DUMMYFUNCTION("""COMPUTED_VALUE"""),"Yes")</f>
        <v>Yes</v>
      </c>
      <c r="Y158" s="5" t="str">
        <f>IFERROR(__xludf.DUMMYFUNCTION("""COMPUTED_VALUE"""),"Yes")</f>
        <v>Yes</v>
      </c>
      <c r="Z158" s="5" t="str">
        <f>IFERROR(__xludf.DUMMYFUNCTION("""COMPUTED_VALUE"""),"No")</f>
        <v>No</v>
      </c>
      <c r="AA158" s="5" t="str">
        <f>IFERROR(__xludf.DUMMYFUNCTION("""COMPUTED_VALUE"""),"Yes")</f>
        <v>Yes</v>
      </c>
      <c r="AB158" s="5" t="str">
        <f>IFERROR(__xludf.DUMMYFUNCTION("""COMPUTED_VALUE"""),"Yes")</f>
        <v>Yes</v>
      </c>
      <c r="AC158" s="5" t="str">
        <f>IFERROR(__xludf.DUMMYFUNCTION("""COMPUTED_VALUE"""),"Yes")</f>
        <v>Yes</v>
      </c>
      <c r="AD158" s="5" t="str">
        <f>IFERROR(__xludf.DUMMYFUNCTION("""COMPUTED_VALUE"""),"Yes")</f>
        <v>Yes</v>
      </c>
      <c r="AE158" s="5" t="str">
        <f>IFERROR(__xludf.DUMMYFUNCTION("""COMPUTED_VALUE"""),"No")</f>
        <v>No</v>
      </c>
      <c r="AF158" s="5" t="str">
        <f>IFERROR(__xludf.DUMMYFUNCTION("""COMPUTED_VALUE"""),"Yes")</f>
        <v>Yes</v>
      </c>
      <c r="AG158" s="5" t="str">
        <f>IFERROR(__xludf.DUMMYFUNCTION("""COMPUTED_VALUE"""),"No")</f>
        <v>No</v>
      </c>
      <c r="AH158" s="5" t="str">
        <f>IFERROR(__xludf.DUMMYFUNCTION("""COMPUTED_VALUE"""),"No")</f>
        <v>No</v>
      </c>
      <c r="AI158" s="5" t="str">
        <f>IFERROR(__xludf.DUMMYFUNCTION("""COMPUTED_VALUE"""),"No")</f>
        <v>No</v>
      </c>
      <c r="AJ158" s="5" t="str">
        <f>IFERROR(__xludf.DUMMYFUNCTION("""COMPUTED_VALUE"""),"No")</f>
        <v>No</v>
      </c>
      <c r="AK158" s="5" t="str">
        <f>IFERROR(__xludf.DUMMYFUNCTION("""COMPUTED_VALUE"""),"No")</f>
        <v>No</v>
      </c>
      <c r="AL158" s="5" t="str">
        <f>IFERROR(__xludf.DUMMYFUNCTION("""COMPUTED_VALUE"""),"No")</f>
        <v>No</v>
      </c>
      <c r="AM158" s="5"/>
      <c r="AN158" s="5"/>
      <c r="AO158" s="5"/>
      <c r="AP158" s="5"/>
      <c r="AQ158" s="5"/>
      <c r="AR158" s="5"/>
      <c r="AS158" s="5"/>
      <c r="AT158" s="5"/>
      <c r="AU158" s="5"/>
      <c r="AV158" s="5"/>
      <c r="AW158" s="5"/>
      <c r="AX158" s="5"/>
      <c r="AY158" s="5"/>
    </row>
    <row r="159">
      <c r="A1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9" s="5">
        <f>IFERROR(__xludf.DUMMYFUNCTION("""COMPUTED_VALUE"""),159.0)</f>
        <v>159</v>
      </c>
      <c r="C159" s="5">
        <f>IFERROR(__xludf.DUMMYFUNCTION("""COMPUTED_VALUE"""),158.0)</f>
        <v>158</v>
      </c>
      <c r="D159" s="5" t="str">
        <f>IFERROR(__xludf.DUMMYFUNCTION("""COMPUTED_VALUE"""),"KingOfMyCastle")</f>
        <v>KingOfMyCastle</v>
      </c>
      <c r="E159" s="5" t="str">
        <f>IFERROR(__xludf.DUMMYFUNCTION("""COMPUTED_VALUE"""),"Yes")</f>
        <v>Yes</v>
      </c>
      <c r="F159" s="5" t="str">
        <f>IFERROR(__xludf.DUMMYFUNCTION("""COMPUTED_VALUE"""),"Yes")</f>
        <v>Yes</v>
      </c>
      <c r="G159" s="5" t="str">
        <f>IFERROR(__xludf.DUMMYFUNCTION("""COMPUTED_VALUE"""),"Yes")</f>
        <v>Yes</v>
      </c>
      <c r="H159" s="5" t="str">
        <f>IFERROR(__xludf.DUMMYFUNCTION("""COMPUTED_VALUE"""),"Yes")</f>
        <v>Yes</v>
      </c>
      <c r="I159" s="5" t="str">
        <f>IFERROR(__xludf.DUMMYFUNCTION("""COMPUTED_VALUE"""),"Yes")</f>
        <v>Yes</v>
      </c>
      <c r="J159" s="5" t="str">
        <f>IFERROR(__xludf.DUMMYFUNCTION("""COMPUTED_VALUE"""),"Yes")</f>
        <v>Yes</v>
      </c>
      <c r="K159" s="5" t="str">
        <f>IFERROR(__xludf.DUMMYFUNCTION("""COMPUTED_VALUE"""),"Yes")</f>
        <v>Yes</v>
      </c>
      <c r="L159" s="5" t="str">
        <f>IFERROR(__xludf.DUMMYFUNCTION("""COMPUTED_VALUE"""),"Yes")</f>
        <v>Yes</v>
      </c>
      <c r="M159" s="5" t="str">
        <f>IFERROR(__xludf.DUMMYFUNCTION("""COMPUTED_VALUE"""),"Yes")</f>
        <v>Yes</v>
      </c>
      <c r="N159" s="5" t="str">
        <f>IFERROR(__xludf.DUMMYFUNCTION("""COMPUTED_VALUE"""),"Yes")</f>
        <v>Yes</v>
      </c>
      <c r="O159" s="5" t="str">
        <f>IFERROR(__xludf.DUMMYFUNCTION("""COMPUTED_VALUE"""),"Yes")</f>
        <v>Yes</v>
      </c>
      <c r="P159" s="5" t="str">
        <f>IFERROR(__xludf.DUMMYFUNCTION("""COMPUTED_VALUE"""),"Yes")</f>
        <v>Yes</v>
      </c>
      <c r="Q159" s="5" t="str">
        <f>IFERROR(__xludf.DUMMYFUNCTION("""COMPUTED_VALUE"""),"Yes")</f>
        <v>Yes</v>
      </c>
      <c r="R159" s="5" t="str">
        <f>IFERROR(__xludf.DUMMYFUNCTION("""COMPUTED_VALUE"""),"Yes")</f>
        <v>Yes</v>
      </c>
      <c r="S159" s="5" t="str">
        <f>IFERROR(__xludf.DUMMYFUNCTION("""COMPUTED_VALUE"""),"Yes")</f>
        <v>Yes</v>
      </c>
      <c r="T159" s="5" t="str">
        <f>IFERROR(__xludf.DUMMYFUNCTION("""COMPUTED_VALUE"""),"Yes")</f>
        <v>Yes</v>
      </c>
      <c r="U159" s="5" t="str">
        <f>IFERROR(__xludf.DUMMYFUNCTION("""COMPUTED_VALUE"""),"Yes")</f>
        <v>Yes</v>
      </c>
      <c r="V159" s="5" t="str">
        <f>IFERROR(__xludf.DUMMYFUNCTION("""COMPUTED_VALUE"""),"Yes")</f>
        <v>Yes</v>
      </c>
      <c r="W159" s="5" t="str">
        <f>IFERROR(__xludf.DUMMYFUNCTION("""COMPUTED_VALUE"""),"Yes")</f>
        <v>Yes</v>
      </c>
      <c r="X159" s="5" t="str">
        <f>IFERROR(__xludf.DUMMYFUNCTION("""COMPUTED_VALUE"""),"Yes")</f>
        <v>Yes</v>
      </c>
      <c r="Y159" s="5" t="str">
        <f>IFERROR(__xludf.DUMMYFUNCTION("""COMPUTED_VALUE"""),"Yes")</f>
        <v>Yes</v>
      </c>
      <c r="Z159" s="5" t="str">
        <f>IFERROR(__xludf.DUMMYFUNCTION("""COMPUTED_VALUE"""),"No")</f>
        <v>No</v>
      </c>
      <c r="AA159" s="5" t="str">
        <f>IFERROR(__xludf.DUMMYFUNCTION("""COMPUTED_VALUE"""),"Yes")</f>
        <v>Yes</v>
      </c>
      <c r="AB159" s="5" t="str">
        <f>IFERROR(__xludf.DUMMYFUNCTION("""COMPUTED_VALUE"""),"Yes")</f>
        <v>Yes</v>
      </c>
      <c r="AC159" s="5" t="str">
        <f>IFERROR(__xludf.DUMMYFUNCTION("""COMPUTED_VALUE"""),"Yes")</f>
        <v>Yes</v>
      </c>
      <c r="AD159" s="5" t="str">
        <f>IFERROR(__xludf.DUMMYFUNCTION("""COMPUTED_VALUE"""),"Yes")</f>
        <v>Yes</v>
      </c>
      <c r="AE159" s="5" t="str">
        <f>IFERROR(__xludf.DUMMYFUNCTION("""COMPUTED_VALUE"""),"No")</f>
        <v>No</v>
      </c>
      <c r="AF159" s="5" t="str">
        <f>IFERROR(__xludf.DUMMYFUNCTION("""COMPUTED_VALUE"""),"Yes")</f>
        <v>Yes</v>
      </c>
      <c r="AG159" s="5" t="str">
        <f>IFERROR(__xludf.DUMMYFUNCTION("""COMPUTED_VALUE"""),"No")</f>
        <v>No</v>
      </c>
      <c r="AH159" s="5" t="str">
        <f>IFERROR(__xludf.DUMMYFUNCTION("""COMPUTED_VALUE"""),"No")</f>
        <v>No</v>
      </c>
      <c r="AI159" s="5" t="str">
        <f>IFERROR(__xludf.DUMMYFUNCTION("""COMPUTED_VALUE"""),"No")</f>
        <v>No</v>
      </c>
      <c r="AJ159" s="5" t="str">
        <f>IFERROR(__xludf.DUMMYFUNCTION("""COMPUTED_VALUE"""),"No")</f>
        <v>No</v>
      </c>
      <c r="AK159" s="5" t="str">
        <f>IFERROR(__xludf.DUMMYFUNCTION("""COMPUTED_VALUE"""),"No")</f>
        <v>No</v>
      </c>
      <c r="AL159" s="5" t="str">
        <f>IFERROR(__xludf.DUMMYFUNCTION("""COMPUTED_VALUE"""),"No")</f>
        <v>No</v>
      </c>
      <c r="AM159" s="5"/>
      <c r="AN159" s="5"/>
      <c r="AO159" s="5"/>
      <c r="AP159" s="5"/>
      <c r="AQ159" s="5"/>
      <c r="AR159" s="5"/>
      <c r="AS159" s="5"/>
      <c r="AT159" s="5"/>
      <c r="AU159" s="5"/>
      <c r="AV159" s="5"/>
      <c r="AW159" s="5"/>
      <c r="AX159" s="5"/>
      <c r="AY159" s="5"/>
    </row>
    <row r="160">
      <c r="A1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0" s="5">
        <f>IFERROR(__xludf.DUMMYFUNCTION("""COMPUTED_VALUE"""),160.0)</f>
        <v>160</v>
      </c>
      <c r="C160" s="5">
        <f>IFERROR(__xludf.DUMMYFUNCTION("""COMPUTED_VALUE"""),159.0)</f>
        <v>159</v>
      </c>
      <c r="D160" s="5" t="str">
        <f>IFERROR(__xludf.DUMMYFUNCTION("""COMPUTED_VALUE"""),"FruityWin20")</f>
        <v>FruityWin20</v>
      </c>
      <c r="E160" s="5" t="str">
        <f>IFERROR(__xludf.DUMMYFUNCTION("""COMPUTED_VALUE"""),"Yes")</f>
        <v>Yes</v>
      </c>
      <c r="F160" s="5" t="str">
        <f>IFERROR(__xludf.DUMMYFUNCTION("""COMPUTED_VALUE"""),"Yes")</f>
        <v>Yes</v>
      </c>
      <c r="G160" s="5" t="str">
        <f>IFERROR(__xludf.DUMMYFUNCTION("""COMPUTED_VALUE"""),"Yes")</f>
        <v>Yes</v>
      </c>
      <c r="H160" s="5" t="str">
        <f>IFERROR(__xludf.DUMMYFUNCTION("""COMPUTED_VALUE"""),"Yes")</f>
        <v>Yes</v>
      </c>
      <c r="I160" s="5" t="str">
        <f>IFERROR(__xludf.DUMMYFUNCTION("""COMPUTED_VALUE"""),"Yes")</f>
        <v>Yes</v>
      </c>
      <c r="J160" s="5" t="str">
        <f>IFERROR(__xludf.DUMMYFUNCTION("""COMPUTED_VALUE"""),"Yes")</f>
        <v>Yes</v>
      </c>
      <c r="K160" s="5" t="str">
        <f>IFERROR(__xludf.DUMMYFUNCTION("""COMPUTED_VALUE"""),"Yes")</f>
        <v>Yes</v>
      </c>
      <c r="L160" s="5" t="str">
        <f>IFERROR(__xludf.DUMMYFUNCTION("""COMPUTED_VALUE"""),"Yes")</f>
        <v>Yes</v>
      </c>
      <c r="M160" s="5" t="str">
        <f>IFERROR(__xludf.DUMMYFUNCTION("""COMPUTED_VALUE"""),"Yes")</f>
        <v>Yes</v>
      </c>
      <c r="N160" s="5" t="str">
        <f>IFERROR(__xludf.DUMMYFUNCTION("""COMPUTED_VALUE"""),"Yes")</f>
        <v>Yes</v>
      </c>
      <c r="O160" s="5" t="str">
        <f>IFERROR(__xludf.DUMMYFUNCTION("""COMPUTED_VALUE"""),"Yes")</f>
        <v>Yes</v>
      </c>
      <c r="P160" s="5" t="str">
        <f>IFERROR(__xludf.DUMMYFUNCTION("""COMPUTED_VALUE"""),"Yes")</f>
        <v>Yes</v>
      </c>
      <c r="Q160" s="5" t="str">
        <f>IFERROR(__xludf.DUMMYFUNCTION("""COMPUTED_VALUE"""),"Yes")</f>
        <v>Yes</v>
      </c>
      <c r="R160" s="5" t="str">
        <f>IFERROR(__xludf.DUMMYFUNCTION("""COMPUTED_VALUE"""),"Yes")</f>
        <v>Yes</v>
      </c>
      <c r="S160" s="5" t="str">
        <f>IFERROR(__xludf.DUMMYFUNCTION("""COMPUTED_VALUE"""),"Yes")</f>
        <v>Yes</v>
      </c>
      <c r="T160" s="5" t="str">
        <f>IFERROR(__xludf.DUMMYFUNCTION("""COMPUTED_VALUE"""),"Yes")</f>
        <v>Yes</v>
      </c>
      <c r="U160" s="5" t="str">
        <f>IFERROR(__xludf.DUMMYFUNCTION("""COMPUTED_VALUE"""),"Yes")</f>
        <v>Yes</v>
      </c>
      <c r="V160" s="5" t="str">
        <f>IFERROR(__xludf.DUMMYFUNCTION("""COMPUTED_VALUE"""),"Yes")</f>
        <v>Yes</v>
      </c>
      <c r="W160" s="5" t="str">
        <f>IFERROR(__xludf.DUMMYFUNCTION("""COMPUTED_VALUE"""),"Yes")</f>
        <v>Yes</v>
      </c>
      <c r="X160" s="5" t="str">
        <f>IFERROR(__xludf.DUMMYFUNCTION("""COMPUTED_VALUE"""),"Yes")</f>
        <v>Yes</v>
      </c>
      <c r="Y160" s="5" t="str">
        <f>IFERROR(__xludf.DUMMYFUNCTION("""COMPUTED_VALUE"""),"Yes")</f>
        <v>Yes</v>
      </c>
      <c r="Z160" s="5" t="str">
        <f>IFERROR(__xludf.DUMMYFUNCTION("""COMPUTED_VALUE"""),"No")</f>
        <v>No</v>
      </c>
      <c r="AA160" s="5" t="str">
        <f>IFERROR(__xludf.DUMMYFUNCTION("""COMPUTED_VALUE"""),"Yes")</f>
        <v>Yes</v>
      </c>
      <c r="AB160" s="5" t="str">
        <f>IFERROR(__xludf.DUMMYFUNCTION("""COMPUTED_VALUE"""),"Yes")</f>
        <v>Yes</v>
      </c>
      <c r="AC160" s="5" t="str">
        <f>IFERROR(__xludf.DUMMYFUNCTION("""COMPUTED_VALUE"""),"Yes")</f>
        <v>Yes</v>
      </c>
      <c r="AD160" s="5" t="str">
        <f>IFERROR(__xludf.DUMMYFUNCTION("""COMPUTED_VALUE"""),"Yes")</f>
        <v>Yes</v>
      </c>
      <c r="AE160" s="5" t="str">
        <f>IFERROR(__xludf.DUMMYFUNCTION("""COMPUTED_VALUE"""),"No")</f>
        <v>No</v>
      </c>
      <c r="AF160" s="5" t="str">
        <f>IFERROR(__xludf.DUMMYFUNCTION("""COMPUTED_VALUE"""),"Yes")</f>
        <v>Yes</v>
      </c>
      <c r="AG160" s="5" t="str">
        <f>IFERROR(__xludf.DUMMYFUNCTION("""COMPUTED_VALUE"""),"No")</f>
        <v>No</v>
      </c>
      <c r="AH160" s="5" t="str">
        <f>IFERROR(__xludf.DUMMYFUNCTION("""COMPUTED_VALUE"""),"No")</f>
        <v>No</v>
      </c>
      <c r="AI160" s="5" t="str">
        <f>IFERROR(__xludf.DUMMYFUNCTION("""COMPUTED_VALUE"""),"No")</f>
        <v>No</v>
      </c>
      <c r="AJ160" s="5" t="str">
        <f>IFERROR(__xludf.DUMMYFUNCTION("""COMPUTED_VALUE"""),"No")</f>
        <v>No</v>
      </c>
      <c r="AK160" s="5" t="str">
        <f>IFERROR(__xludf.DUMMYFUNCTION("""COMPUTED_VALUE"""),"No")</f>
        <v>No</v>
      </c>
      <c r="AL160" s="5" t="str">
        <f>IFERROR(__xludf.DUMMYFUNCTION("""COMPUTED_VALUE"""),"No")</f>
        <v>No</v>
      </c>
      <c r="AM160" s="5"/>
      <c r="AN160" s="5"/>
      <c r="AO160" s="5"/>
      <c r="AP160" s="5"/>
      <c r="AQ160" s="5"/>
      <c r="AR160" s="5"/>
      <c r="AS160" s="5"/>
      <c r="AT160" s="5"/>
      <c r="AU160" s="5"/>
      <c r="AV160" s="5"/>
      <c r="AW160" s="5"/>
      <c r="AX160" s="5"/>
      <c r="AY160" s="5"/>
    </row>
    <row r="161">
      <c r="A1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1" s="5">
        <f>IFERROR(__xludf.DUMMYFUNCTION("""COMPUTED_VALUE"""),161.0)</f>
        <v>161</v>
      </c>
      <c r="C161" s="5">
        <f>IFERROR(__xludf.DUMMYFUNCTION("""COMPUTED_VALUE"""),160.0)</f>
        <v>160</v>
      </c>
      <c r="D161" s="5" t="str">
        <f>IFERROR(__xludf.DUMMYFUNCTION("""COMPUTED_VALUE"""),"FruityHot5")</f>
        <v>FruityHot5</v>
      </c>
      <c r="E161" s="5" t="str">
        <f>IFERROR(__xludf.DUMMYFUNCTION("""COMPUTED_VALUE"""),"Yes")</f>
        <v>Yes</v>
      </c>
      <c r="F161" s="5" t="str">
        <f>IFERROR(__xludf.DUMMYFUNCTION("""COMPUTED_VALUE"""),"Yes")</f>
        <v>Yes</v>
      </c>
      <c r="G161" s="5" t="str">
        <f>IFERROR(__xludf.DUMMYFUNCTION("""COMPUTED_VALUE"""),"Yes")</f>
        <v>Yes</v>
      </c>
      <c r="H161" s="5" t="str">
        <f>IFERROR(__xludf.DUMMYFUNCTION("""COMPUTED_VALUE"""),"Yes")</f>
        <v>Yes</v>
      </c>
      <c r="I161" s="5" t="str">
        <f>IFERROR(__xludf.DUMMYFUNCTION("""COMPUTED_VALUE"""),"Yes")</f>
        <v>Yes</v>
      </c>
      <c r="J161" s="5" t="str">
        <f>IFERROR(__xludf.DUMMYFUNCTION("""COMPUTED_VALUE"""),"Yes")</f>
        <v>Yes</v>
      </c>
      <c r="K161" s="5" t="str">
        <f>IFERROR(__xludf.DUMMYFUNCTION("""COMPUTED_VALUE"""),"Yes")</f>
        <v>Yes</v>
      </c>
      <c r="L161" s="5" t="str">
        <f>IFERROR(__xludf.DUMMYFUNCTION("""COMPUTED_VALUE"""),"Yes")</f>
        <v>Yes</v>
      </c>
      <c r="M161" s="5" t="str">
        <f>IFERROR(__xludf.DUMMYFUNCTION("""COMPUTED_VALUE"""),"Yes")</f>
        <v>Yes</v>
      </c>
      <c r="N161" s="5" t="str">
        <f>IFERROR(__xludf.DUMMYFUNCTION("""COMPUTED_VALUE"""),"Yes")</f>
        <v>Yes</v>
      </c>
      <c r="O161" s="5" t="str">
        <f>IFERROR(__xludf.DUMMYFUNCTION("""COMPUTED_VALUE"""),"Yes")</f>
        <v>Yes</v>
      </c>
      <c r="P161" s="5" t="str">
        <f>IFERROR(__xludf.DUMMYFUNCTION("""COMPUTED_VALUE"""),"Yes")</f>
        <v>Yes</v>
      </c>
      <c r="Q161" s="5" t="str">
        <f>IFERROR(__xludf.DUMMYFUNCTION("""COMPUTED_VALUE"""),"Yes")</f>
        <v>Yes</v>
      </c>
      <c r="R161" s="5" t="str">
        <f>IFERROR(__xludf.DUMMYFUNCTION("""COMPUTED_VALUE"""),"Yes")</f>
        <v>Yes</v>
      </c>
      <c r="S161" s="5" t="str">
        <f>IFERROR(__xludf.DUMMYFUNCTION("""COMPUTED_VALUE"""),"Yes")</f>
        <v>Yes</v>
      </c>
      <c r="T161" s="5" t="str">
        <f>IFERROR(__xludf.DUMMYFUNCTION("""COMPUTED_VALUE"""),"Yes")</f>
        <v>Yes</v>
      </c>
      <c r="U161" s="5" t="str">
        <f>IFERROR(__xludf.DUMMYFUNCTION("""COMPUTED_VALUE"""),"Yes")</f>
        <v>Yes</v>
      </c>
      <c r="V161" s="5" t="str">
        <f>IFERROR(__xludf.DUMMYFUNCTION("""COMPUTED_VALUE"""),"Yes")</f>
        <v>Yes</v>
      </c>
      <c r="W161" s="5" t="str">
        <f>IFERROR(__xludf.DUMMYFUNCTION("""COMPUTED_VALUE"""),"Yes")</f>
        <v>Yes</v>
      </c>
      <c r="X161" s="5" t="str">
        <f>IFERROR(__xludf.DUMMYFUNCTION("""COMPUTED_VALUE"""),"Yes")</f>
        <v>Yes</v>
      </c>
      <c r="Y161" s="5" t="str">
        <f>IFERROR(__xludf.DUMMYFUNCTION("""COMPUTED_VALUE"""),"Yes")</f>
        <v>Yes</v>
      </c>
      <c r="Z161" s="5" t="str">
        <f>IFERROR(__xludf.DUMMYFUNCTION("""COMPUTED_VALUE"""),"No")</f>
        <v>No</v>
      </c>
      <c r="AA161" s="5" t="str">
        <f>IFERROR(__xludf.DUMMYFUNCTION("""COMPUTED_VALUE"""),"Yes")</f>
        <v>Yes</v>
      </c>
      <c r="AB161" s="5" t="str">
        <f>IFERROR(__xludf.DUMMYFUNCTION("""COMPUTED_VALUE"""),"Yes")</f>
        <v>Yes</v>
      </c>
      <c r="AC161" s="5" t="str">
        <f>IFERROR(__xludf.DUMMYFUNCTION("""COMPUTED_VALUE"""),"Yes")</f>
        <v>Yes</v>
      </c>
      <c r="AD161" s="5" t="str">
        <f>IFERROR(__xludf.DUMMYFUNCTION("""COMPUTED_VALUE"""),"Yes")</f>
        <v>Yes</v>
      </c>
      <c r="AE161" s="5" t="str">
        <f>IFERROR(__xludf.DUMMYFUNCTION("""COMPUTED_VALUE"""),"No")</f>
        <v>No</v>
      </c>
      <c r="AF161" s="5" t="str">
        <f>IFERROR(__xludf.DUMMYFUNCTION("""COMPUTED_VALUE"""),"Yes")</f>
        <v>Yes</v>
      </c>
      <c r="AG161" s="5" t="str">
        <f>IFERROR(__xludf.DUMMYFUNCTION("""COMPUTED_VALUE"""),"No")</f>
        <v>No</v>
      </c>
      <c r="AH161" s="5" t="str">
        <f>IFERROR(__xludf.DUMMYFUNCTION("""COMPUTED_VALUE"""),"No")</f>
        <v>No</v>
      </c>
      <c r="AI161" s="5" t="str">
        <f>IFERROR(__xludf.DUMMYFUNCTION("""COMPUTED_VALUE"""),"No")</f>
        <v>No</v>
      </c>
      <c r="AJ161" s="5" t="str">
        <f>IFERROR(__xludf.DUMMYFUNCTION("""COMPUTED_VALUE"""),"No")</f>
        <v>No</v>
      </c>
      <c r="AK161" s="5" t="str">
        <f>IFERROR(__xludf.DUMMYFUNCTION("""COMPUTED_VALUE"""),"No")</f>
        <v>No</v>
      </c>
      <c r="AL161" s="5" t="str">
        <f>IFERROR(__xludf.DUMMYFUNCTION("""COMPUTED_VALUE"""),"No")</f>
        <v>No</v>
      </c>
      <c r="AM161" s="5"/>
      <c r="AN161" s="5"/>
      <c r="AO161" s="5"/>
      <c r="AP161" s="5"/>
      <c r="AQ161" s="5"/>
      <c r="AR161" s="5"/>
      <c r="AS161" s="5"/>
      <c r="AT161" s="5"/>
      <c r="AU161" s="5"/>
      <c r="AV161" s="5"/>
      <c r="AW161" s="5"/>
      <c r="AX161" s="5"/>
      <c r="AY161" s="5"/>
    </row>
    <row r="162">
      <c r="A1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2" s="5">
        <f>IFERROR(__xludf.DUMMYFUNCTION("""COMPUTED_VALUE"""),162.0)</f>
        <v>162</v>
      </c>
      <c r="C162" s="5">
        <f>IFERROR(__xludf.DUMMYFUNCTION("""COMPUTED_VALUE"""),161.0)</f>
        <v>161</v>
      </c>
      <c r="D162" s="5" t="str">
        <f>IFERROR(__xludf.DUMMYFUNCTION("""COMPUTED_VALUE"""),"GigaHot40")</f>
        <v>GigaHot40</v>
      </c>
      <c r="E162" s="5" t="str">
        <f>IFERROR(__xludf.DUMMYFUNCTION("""COMPUTED_VALUE"""),"Yes")</f>
        <v>Yes</v>
      </c>
      <c r="F162" s="5" t="str">
        <f>IFERROR(__xludf.DUMMYFUNCTION("""COMPUTED_VALUE"""),"Yes")</f>
        <v>Yes</v>
      </c>
      <c r="G162" s="5" t="str">
        <f>IFERROR(__xludf.DUMMYFUNCTION("""COMPUTED_VALUE"""),"Yes")</f>
        <v>Yes</v>
      </c>
      <c r="H162" s="5" t="str">
        <f>IFERROR(__xludf.DUMMYFUNCTION("""COMPUTED_VALUE"""),"Yes")</f>
        <v>Yes</v>
      </c>
      <c r="I162" s="5" t="str">
        <f>IFERROR(__xludf.DUMMYFUNCTION("""COMPUTED_VALUE"""),"Yes")</f>
        <v>Yes</v>
      </c>
      <c r="J162" s="5" t="str">
        <f>IFERROR(__xludf.DUMMYFUNCTION("""COMPUTED_VALUE"""),"Yes")</f>
        <v>Yes</v>
      </c>
      <c r="K162" s="5" t="str">
        <f>IFERROR(__xludf.DUMMYFUNCTION("""COMPUTED_VALUE"""),"Yes")</f>
        <v>Yes</v>
      </c>
      <c r="L162" s="5" t="str">
        <f>IFERROR(__xludf.DUMMYFUNCTION("""COMPUTED_VALUE"""),"Yes")</f>
        <v>Yes</v>
      </c>
      <c r="M162" s="5" t="str">
        <f>IFERROR(__xludf.DUMMYFUNCTION("""COMPUTED_VALUE"""),"Yes")</f>
        <v>Yes</v>
      </c>
      <c r="N162" s="5" t="str">
        <f>IFERROR(__xludf.DUMMYFUNCTION("""COMPUTED_VALUE"""),"Yes")</f>
        <v>Yes</v>
      </c>
      <c r="O162" s="5" t="str">
        <f>IFERROR(__xludf.DUMMYFUNCTION("""COMPUTED_VALUE"""),"Yes")</f>
        <v>Yes</v>
      </c>
      <c r="P162" s="5" t="str">
        <f>IFERROR(__xludf.DUMMYFUNCTION("""COMPUTED_VALUE"""),"Yes")</f>
        <v>Yes</v>
      </c>
      <c r="Q162" s="5" t="str">
        <f>IFERROR(__xludf.DUMMYFUNCTION("""COMPUTED_VALUE"""),"Yes")</f>
        <v>Yes</v>
      </c>
      <c r="R162" s="5" t="str">
        <f>IFERROR(__xludf.DUMMYFUNCTION("""COMPUTED_VALUE"""),"Yes")</f>
        <v>Yes</v>
      </c>
      <c r="S162" s="5" t="str">
        <f>IFERROR(__xludf.DUMMYFUNCTION("""COMPUTED_VALUE"""),"Yes")</f>
        <v>Yes</v>
      </c>
      <c r="T162" s="5" t="str">
        <f>IFERROR(__xludf.DUMMYFUNCTION("""COMPUTED_VALUE"""),"Yes")</f>
        <v>Yes</v>
      </c>
      <c r="U162" s="5" t="str">
        <f>IFERROR(__xludf.DUMMYFUNCTION("""COMPUTED_VALUE"""),"Yes")</f>
        <v>Yes</v>
      </c>
      <c r="V162" s="5" t="str">
        <f>IFERROR(__xludf.DUMMYFUNCTION("""COMPUTED_VALUE"""),"Yes")</f>
        <v>Yes</v>
      </c>
      <c r="W162" s="5" t="str">
        <f>IFERROR(__xludf.DUMMYFUNCTION("""COMPUTED_VALUE"""),"Yes")</f>
        <v>Yes</v>
      </c>
      <c r="X162" s="5" t="str">
        <f>IFERROR(__xludf.DUMMYFUNCTION("""COMPUTED_VALUE"""),"Yes")</f>
        <v>Yes</v>
      </c>
      <c r="Y162" s="5" t="str">
        <f>IFERROR(__xludf.DUMMYFUNCTION("""COMPUTED_VALUE"""),"Yes")</f>
        <v>Yes</v>
      </c>
      <c r="Z162" s="5" t="str">
        <f>IFERROR(__xludf.DUMMYFUNCTION("""COMPUTED_VALUE"""),"No")</f>
        <v>No</v>
      </c>
      <c r="AA162" s="5" t="str">
        <f>IFERROR(__xludf.DUMMYFUNCTION("""COMPUTED_VALUE"""),"Yes")</f>
        <v>Yes</v>
      </c>
      <c r="AB162" s="5" t="str">
        <f>IFERROR(__xludf.DUMMYFUNCTION("""COMPUTED_VALUE"""),"Yes")</f>
        <v>Yes</v>
      </c>
      <c r="AC162" s="5" t="str">
        <f>IFERROR(__xludf.DUMMYFUNCTION("""COMPUTED_VALUE"""),"Yes")</f>
        <v>Yes</v>
      </c>
      <c r="AD162" s="5" t="str">
        <f>IFERROR(__xludf.DUMMYFUNCTION("""COMPUTED_VALUE"""),"Yes")</f>
        <v>Yes</v>
      </c>
      <c r="AE162" s="5" t="str">
        <f>IFERROR(__xludf.DUMMYFUNCTION("""COMPUTED_VALUE"""),"No")</f>
        <v>No</v>
      </c>
      <c r="AF162" s="5" t="str">
        <f>IFERROR(__xludf.DUMMYFUNCTION("""COMPUTED_VALUE"""),"Yes")</f>
        <v>Yes</v>
      </c>
      <c r="AG162" s="5" t="str">
        <f>IFERROR(__xludf.DUMMYFUNCTION("""COMPUTED_VALUE"""),"No")</f>
        <v>No</v>
      </c>
      <c r="AH162" s="5" t="str">
        <f>IFERROR(__xludf.DUMMYFUNCTION("""COMPUTED_VALUE"""),"No")</f>
        <v>No</v>
      </c>
      <c r="AI162" s="5" t="str">
        <f>IFERROR(__xludf.DUMMYFUNCTION("""COMPUTED_VALUE"""),"No")</f>
        <v>No</v>
      </c>
      <c r="AJ162" s="5" t="str">
        <f>IFERROR(__xludf.DUMMYFUNCTION("""COMPUTED_VALUE"""),"No")</f>
        <v>No</v>
      </c>
      <c r="AK162" s="5" t="str">
        <f>IFERROR(__xludf.DUMMYFUNCTION("""COMPUTED_VALUE"""),"No")</f>
        <v>No</v>
      </c>
      <c r="AL162" s="5" t="str">
        <f>IFERROR(__xludf.DUMMYFUNCTION("""COMPUTED_VALUE"""),"No")</f>
        <v>No</v>
      </c>
      <c r="AM162" s="5"/>
      <c r="AN162" s="5"/>
      <c r="AO162" s="5"/>
      <c r="AP162" s="5"/>
      <c r="AQ162" s="5"/>
      <c r="AR162" s="5"/>
      <c r="AS162" s="5"/>
      <c r="AT162" s="5"/>
      <c r="AU162" s="5"/>
      <c r="AV162" s="5"/>
      <c r="AW162" s="5"/>
      <c r="AX162" s="5"/>
      <c r="AY162" s="5"/>
    </row>
    <row r="163">
      <c r="A1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3" s="5">
        <f>IFERROR(__xludf.DUMMYFUNCTION("""COMPUTED_VALUE"""),163.0)</f>
        <v>163</v>
      </c>
      <c r="C163" s="5">
        <f>IFERROR(__xludf.DUMMYFUNCTION("""COMPUTED_VALUE"""),162.0)</f>
        <v>162</v>
      </c>
      <c r="D163" s="5" t="str">
        <f>IFERROR(__xludf.DUMMYFUNCTION("""COMPUTED_VALUE"""),"UnicornDaVincisFruits")</f>
        <v>UnicornDaVincisFruits</v>
      </c>
      <c r="E163" s="5" t="str">
        <f>IFERROR(__xludf.DUMMYFUNCTION("""COMPUTED_VALUE"""),"Yes")</f>
        <v>Yes</v>
      </c>
      <c r="F163" s="5" t="str">
        <f>IFERROR(__xludf.DUMMYFUNCTION("""COMPUTED_VALUE"""),"Yes")</f>
        <v>Yes</v>
      </c>
      <c r="G163" s="5" t="str">
        <f>IFERROR(__xludf.DUMMYFUNCTION("""COMPUTED_VALUE"""),"Yes")</f>
        <v>Yes</v>
      </c>
      <c r="H163" s="5" t="str">
        <f>IFERROR(__xludf.DUMMYFUNCTION("""COMPUTED_VALUE"""),"Yes")</f>
        <v>Yes</v>
      </c>
      <c r="I163" s="5" t="str">
        <f>IFERROR(__xludf.DUMMYFUNCTION("""COMPUTED_VALUE"""),"Yes")</f>
        <v>Yes</v>
      </c>
      <c r="J163" s="5" t="str">
        <f>IFERROR(__xludf.DUMMYFUNCTION("""COMPUTED_VALUE"""),"Yes")</f>
        <v>Yes</v>
      </c>
      <c r="K163" s="5" t="str">
        <f>IFERROR(__xludf.DUMMYFUNCTION("""COMPUTED_VALUE"""),"Yes")</f>
        <v>Yes</v>
      </c>
      <c r="L163" s="5" t="str">
        <f>IFERROR(__xludf.DUMMYFUNCTION("""COMPUTED_VALUE"""),"Yes")</f>
        <v>Yes</v>
      </c>
      <c r="M163" s="5" t="str">
        <f>IFERROR(__xludf.DUMMYFUNCTION("""COMPUTED_VALUE"""),"Yes")</f>
        <v>Yes</v>
      </c>
      <c r="N163" s="5" t="str">
        <f>IFERROR(__xludf.DUMMYFUNCTION("""COMPUTED_VALUE"""),"Yes")</f>
        <v>Yes</v>
      </c>
      <c r="O163" s="5" t="str">
        <f>IFERROR(__xludf.DUMMYFUNCTION("""COMPUTED_VALUE"""),"Yes")</f>
        <v>Yes</v>
      </c>
      <c r="P163" s="5" t="str">
        <f>IFERROR(__xludf.DUMMYFUNCTION("""COMPUTED_VALUE"""),"Yes")</f>
        <v>Yes</v>
      </c>
      <c r="Q163" s="5" t="str">
        <f>IFERROR(__xludf.DUMMYFUNCTION("""COMPUTED_VALUE"""),"Yes")</f>
        <v>Yes</v>
      </c>
      <c r="R163" s="5" t="str">
        <f>IFERROR(__xludf.DUMMYFUNCTION("""COMPUTED_VALUE"""),"Yes")</f>
        <v>Yes</v>
      </c>
      <c r="S163" s="5" t="str">
        <f>IFERROR(__xludf.DUMMYFUNCTION("""COMPUTED_VALUE"""),"Yes")</f>
        <v>Yes</v>
      </c>
      <c r="T163" s="5" t="str">
        <f>IFERROR(__xludf.DUMMYFUNCTION("""COMPUTED_VALUE"""),"Yes")</f>
        <v>Yes</v>
      </c>
      <c r="U163" s="5" t="str">
        <f>IFERROR(__xludf.DUMMYFUNCTION("""COMPUTED_VALUE"""),"Yes")</f>
        <v>Yes</v>
      </c>
      <c r="V163" s="5" t="str">
        <f>IFERROR(__xludf.DUMMYFUNCTION("""COMPUTED_VALUE"""),"Yes")</f>
        <v>Yes</v>
      </c>
      <c r="W163" s="5" t="str">
        <f>IFERROR(__xludf.DUMMYFUNCTION("""COMPUTED_VALUE"""),"Yes")</f>
        <v>Yes</v>
      </c>
      <c r="X163" s="5" t="str">
        <f>IFERROR(__xludf.DUMMYFUNCTION("""COMPUTED_VALUE"""),"Yes")</f>
        <v>Yes</v>
      </c>
      <c r="Y163" s="5" t="str">
        <f>IFERROR(__xludf.DUMMYFUNCTION("""COMPUTED_VALUE"""),"Yes")</f>
        <v>Yes</v>
      </c>
      <c r="Z163" s="5"/>
      <c r="AA163" s="5" t="str">
        <f>IFERROR(__xludf.DUMMYFUNCTION("""COMPUTED_VALUE"""),"Yes")</f>
        <v>Yes</v>
      </c>
      <c r="AB163" s="5" t="str">
        <f>IFERROR(__xludf.DUMMYFUNCTION("""COMPUTED_VALUE"""),"Yes")</f>
        <v>Yes</v>
      </c>
      <c r="AC163" s="5" t="str">
        <f>IFERROR(__xludf.DUMMYFUNCTION("""COMPUTED_VALUE"""),"Yes")</f>
        <v>Yes</v>
      </c>
      <c r="AD163" s="5" t="str">
        <f>IFERROR(__xludf.DUMMYFUNCTION("""COMPUTED_VALUE"""),"Yes")</f>
        <v>Yes</v>
      </c>
      <c r="AE163" s="5"/>
      <c r="AF163" s="5" t="str">
        <f>IFERROR(__xludf.DUMMYFUNCTION("""COMPUTED_VALUE"""),"Yes")</f>
        <v>Yes</v>
      </c>
      <c r="AG163" s="5"/>
      <c r="AH163" s="5"/>
      <c r="AI163" s="5"/>
      <c r="AJ163" s="5"/>
      <c r="AK163" s="5"/>
      <c r="AL163" s="5"/>
      <c r="AM163" s="5"/>
      <c r="AN163" s="5"/>
      <c r="AO163" s="5"/>
      <c r="AP163" s="5"/>
      <c r="AQ163" s="5"/>
      <c r="AR163" s="5"/>
      <c r="AS163" s="5"/>
      <c r="AT163" s="5"/>
      <c r="AU163" s="5"/>
      <c r="AV163" s="5"/>
      <c r="AW163" s="5"/>
      <c r="AX163" s="5"/>
      <c r="AY163" s="5"/>
    </row>
    <row r="164">
      <c r="A1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4" s="5">
        <f>IFERROR(__xludf.DUMMYFUNCTION("""COMPUTED_VALUE"""),164.0)</f>
        <v>164</v>
      </c>
      <c r="C164" s="5">
        <f>IFERROR(__xludf.DUMMYFUNCTION("""COMPUTED_VALUE"""),163.0)</f>
        <v>163</v>
      </c>
      <c r="D164" s="5" t="str">
        <f>IFERROR(__xludf.DUMMYFUNCTION("""COMPUTED_VALUE"""),"UnicornFruitMagic")</f>
        <v>UnicornFruitMagic</v>
      </c>
      <c r="E164" s="5" t="str">
        <f>IFERROR(__xludf.DUMMYFUNCTION("""COMPUTED_VALUE"""),"Yes")</f>
        <v>Yes</v>
      </c>
      <c r="F164" s="5" t="str">
        <f>IFERROR(__xludf.DUMMYFUNCTION("""COMPUTED_VALUE"""),"Yes")</f>
        <v>Yes</v>
      </c>
      <c r="G164" s="5" t="str">
        <f>IFERROR(__xludf.DUMMYFUNCTION("""COMPUTED_VALUE"""),"Yes")</f>
        <v>Yes</v>
      </c>
      <c r="H164" s="5" t="str">
        <f>IFERROR(__xludf.DUMMYFUNCTION("""COMPUTED_VALUE"""),"No")</f>
        <v>No</v>
      </c>
      <c r="I164" s="5" t="str">
        <f>IFERROR(__xludf.DUMMYFUNCTION("""COMPUTED_VALUE"""),"No")</f>
        <v>No</v>
      </c>
      <c r="J164" s="5" t="str">
        <f>IFERROR(__xludf.DUMMYFUNCTION("""COMPUTED_VALUE"""),"No")</f>
        <v>No</v>
      </c>
      <c r="K164" s="5" t="str">
        <f>IFERROR(__xludf.DUMMYFUNCTION("""COMPUTED_VALUE"""),"No")</f>
        <v>No</v>
      </c>
      <c r="L164" s="5" t="str">
        <f>IFERROR(__xludf.DUMMYFUNCTION("""COMPUTED_VALUE"""),"No")</f>
        <v>No</v>
      </c>
      <c r="M164" s="5" t="str">
        <f>IFERROR(__xludf.DUMMYFUNCTION("""COMPUTED_VALUE"""),"Yes")</f>
        <v>Yes</v>
      </c>
      <c r="N164" s="5" t="str">
        <f>IFERROR(__xludf.DUMMYFUNCTION("""COMPUTED_VALUE"""),"Yes")</f>
        <v>Yes</v>
      </c>
      <c r="O164" s="5" t="str">
        <f>IFERROR(__xludf.DUMMYFUNCTION("""COMPUTED_VALUE"""),"Yes")</f>
        <v>Yes</v>
      </c>
      <c r="P164" s="5" t="str">
        <f>IFERROR(__xludf.DUMMYFUNCTION("""COMPUTED_VALUE"""),"Yes")</f>
        <v>Yes</v>
      </c>
      <c r="Q164" s="5" t="str">
        <f>IFERROR(__xludf.DUMMYFUNCTION("""COMPUTED_VALUE"""),"Yes")</f>
        <v>Yes</v>
      </c>
      <c r="R164" s="5" t="str">
        <f>IFERROR(__xludf.DUMMYFUNCTION("""COMPUTED_VALUE"""),"No")</f>
        <v>No</v>
      </c>
      <c r="S164" s="5" t="str">
        <f>IFERROR(__xludf.DUMMYFUNCTION("""COMPUTED_VALUE"""),"Yes")</f>
        <v>Yes</v>
      </c>
      <c r="T164" s="5" t="str">
        <f>IFERROR(__xludf.DUMMYFUNCTION("""COMPUTED_VALUE"""),"No")</f>
        <v>No</v>
      </c>
      <c r="U164" s="5" t="str">
        <f>IFERROR(__xludf.DUMMYFUNCTION("""COMPUTED_VALUE"""),"No")</f>
        <v>No</v>
      </c>
      <c r="V164" s="5" t="str">
        <f>IFERROR(__xludf.DUMMYFUNCTION("""COMPUTED_VALUE"""),"No")</f>
        <v>No</v>
      </c>
      <c r="W164" s="5" t="str">
        <f>IFERROR(__xludf.DUMMYFUNCTION("""COMPUTED_VALUE"""),"No")</f>
        <v>No</v>
      </c>
      <c r="X164" s="5" t="str">
        <f>IFERROR(__xludf.DUMMYFUNCTION("""COMPUTED_VALUE"""),"No")</f>
        <v>No</v>
      </c>
      <c r="Y164" s="5"/>
      <c r="Z164" s="5"/>
      <c r="AA164" s="5"/>
      <c r="AB164" s="5"/>
      <c r="AC164" s="5" t="str">
        <f>IFERROR(__xludf.DUMMYFUNCTION("""COMPUTED_VALUE"""),"No")</f>
        <v>No</v>
      </c>
      <c r="AD164" s="5"/>
      <c r="AE164" s="5"/>
      <c r="AF164" s="5"/>
      <c r="AG164" s="5"/>
      <c r="AH164" s="5"/>
      <c r="AI164" s="5"/>
      <c r="AJ164" s="5"/>
      <c r="AK164" s="5"/>
      <c r="AL164" s="5"/>
      <c r="AM164" s="5"/>
      <c r="AN164" s="5"/>
      <c r="AO164" s="5"/>
      <c r="AP164" s="5"/>
      <c r="AQ164" s="5"/>
      <c r="AR164" s="5"/>
      <c r="AS164" s="5"/>
      <c r="AT164" s="5"/>
      <c r="AU164" s="5"/>
      <c r="AV164" s="5"/>
      <c r="AW164" s="5"/>
      <c r="AX164" s="5"/>
      <c r="AY164" s="5"/>
    </row>
    <row r="165">
      <c r="A16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5" s="5">
        <f>IFERROR(__xludf.DUMMYFUNCTION("""COMPUTED_VALUE"""),165.0)</f>
        <v>165</v>
      </c>
      <c r="C165" s="5">
        <f>IFERROR(__xludf.DUMMYFUNCTION("""COMPUTED_VALUE"""),164.0)</f>
        <v>164</v>
      </c>
      <c r="D165" s="5" t="str">
        <f>IFERROR(__xludf.DUMMYFUNCTION("""COMPUTED_VALUE"""),"UnicornMoneyStandard")</f>
        <v>UnicornMoneyStandard</v>
      </c>
      <c r="E165" s="5" t="str">
        <f>IFERROR(__xludf.DUMMYFUNCTION("""COMPUTED_VALUE"""),"Yes")</f>
        <v>Yes</v>
      </c>
      <c r="F165" s="5" t="str">
        <f>IFERROR(__xludf.DUMMYFUNCTION("""COMPUTED_VALUE"""),"Yes")</f>
        <v>Yes</v>
      </c>
      <c r="G165" s="5" t="str">
        <f>IFERROR(__xludf.DUMMYFUNCTION("""COMPUTED_VALUE"""),"Yes")</f>
        <v>Yes</v>
      </c>
      <c r="H165" s="5" t="str">
        <f>IFERROR(__xludf.DUMMYFUNCTION("""COMPUTED_VALUE"""),"No")</f>
        <v>No</v>
      </c>
      <c r="I165" s="5" t="str">
        <f>IFERROR(__xludf.DUMMYFUNCTION("""COMPUTED_VALUE"""),"No")</f>
        <v>No</v>
      </c>
      <c r="J165" s="5" t="str">
        <f>IFERROR(__xludf.DUMMYFUNCTION("""COMPUTED_VALUE"""),"No")</f>
        <v>No</v>
      </c>
      <c r="K165" s="5" t="str">
        <f>IFERROR(__xludf.DUMMYFUNCTION("""COMPUTED_VALUE"""),"No")</f>
        <v>No</v>
      </c>
      <c r="L165" s="5" t="str">
        <f>IFERROR(__xludf.DUMMYFUNCTION("""COMPUTED_VALUE"""),"No")</f>
        <v>No</v>
      </c>
      <c r="M165" s="5" t="str">
        <f>IFERROR(__xludf.DUMMYFUNCTION("""COMPUTED_VALUE"""),"Yes")</f>
        <v>Yes</v>
      </c>
      <c r="N165" s="5" t="str">
        <f>IFERROR(__xludf.DUMMYFUNCTION("""COMPUTED_VALUE"""),"Yes")</f>
        <v>Yes</v>
      </c>
      <c r="O165" s="5" t="str">
        <f>IFERROR(__xludf.DUMMYFUNCTION("""COMPUTED_VALUE"""),"Yes")</f>
        <v>Yes</v>
      </c>
      <c r="P165" s="5" t="str">
        <f>IFERROR(__xludf.DUMMYFUNCTION("""COMPUTED_VALUE"""),"Yes")</f>
        <v>Yes</v>
      </c>
      <c r="Q165" s="5" t="str">
        <f>IFERROR(__xludf.DUMMYFUNCTION("""COMPUTED_VALUE"""),"Yes")</f>
        <v>Yes</v>
      </c>
      <c r="R165" s="5" t="str">
        <f>IFERROR(__xludf.DUMMYFUNCTION("""COMPUTED_VALUE"""),"No")</f>
        <v>No</v>
      </c>
      <c r="S165" s="5" t="str">
        <f>IFERROR(__xludf.DUMMYFUNCTION("""COMPUTED_VALUE"""),"Yes")</f>
        <v>Yes</v>
      </c>
      <c r="T165" s="5" t="str">
        <f>IFERROR(__xludf.DUMMYFUNCTION("""COMPUTED_VALUE"""),"No")</f>
        <v>No</v>
      </c>
      <c r="U165" s="5" t="str">
        <f>IFERROR(__xludf.DUMMYFUNCTION("""COMPUTED_VALUE"""),"No")</f>
        <v>No</v>
      </c>
      <c r="V165" s="5" t="str">
        <f>IFERROR(__xludf.DUMMYFUNCTION("""COMPUTED_VALUE"""),"No")</f>
        <v>No</v>
      </c>
      <c r="W165" s="5" t="str">
        <f>IFERROR(__xludf.DUMMYFUNCTION("""COMPUTED_VALUE"""),"No")</f>
        <v>No</v>
      </c>
      <c r="X165" s="5" t="str">
        <f>IFERROR(__xludf.DUMMYFUNCTION("""COMPUTED_VALUE"""),"No")</f>
        <v>No</v>
      </c>
      <c r="Y165" s="5"/>
      <c r="Z165" s="5"/>
      <c r="AA165" s="5"/>
      <c r="AB165" s="5"/>
      <c r="AC165" s="5" t="str">
        <f>IFERROR(__xludf.DUMMYFUNCTION("""COMPUTED_VALUE"""),"No")</f>
        <v>No</v>
      </c>
      <c r="AD165" s="5"/>
      <c r="AE165" s="5"/>
      <c r="AF165" s="5"/>
      <c r="AG165" s="5"/>
      <c r="AH165" s="5"/>
      <c r="AI165" s="5"/>
      <c r="AJ165" s="5"/>
      <c r="AK165" s="5"/>
      <c r="AL165" s="5"/>
      <c r="AM165" s="5"/>
      <c r="AN165" s="5"/>
      <c r="AO165" s="5"/>
      <c r="AP165" s="5"/>
      <c r="AQ165" s="5"/>
      <c r="AR165" s="5"/>
      <c r="AS165" s="5"/>
      <c r="AT165" s="5"/>
      <c r="AU165" s="5"/>
      <c r="AV165" s="5"/>
      <c r="AW165" s="5"/>
      <c r="AX165" s="5"/>
      <c r="AY165" s="5"/>
    </row>
    <row r="166">
      <c r="A16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66" s="5">
        <f>IFERROR(__xludf.DUMMYFUNCTION("""COMPUTED_VALUE"""),166.0)</f>
        <v>166</v>
      </c>
      <c r="C166" s="5">
        <f>IFERROR(__xludf.DUMMYFUNCTION("""COMPUTED_VALUE"""),165.0)</f>
        <v>165</v>
      </c>
      <c r="D166" s="5" t="str">
        <f>IFERROR(__xludf.DUMMYFUNCTION("""COMPUTED_VALUE"""),"WildDiamond10")</f>
        <v>WildDiamond10</v>
      </c>
      <c r="E166" s="5" t="str">
        <f>IFERROR(__xludf.DUMMYFUNCTION("""COMPUTED_VALUE"""),"Yes")</f>
        <v>Yes</v>
      </c>
      <c r="F166" s="5" t="str">
        <f>IFERROR(__xludf.DUMMYFUNCTION("""COMPUTED_VALUE"""),"Yes")</f>
        <v>Yes</v>
      </c>
      <c r="G166" s="5" t="str">
        <f>IFERROR(__xludf.DUMMYFUNCTION("""COMPUTED_VALUE"""),"Yes")</f>
        <v>Yes</v>
      </c>
      <c r="H166" s="5" t="str">
        <f>IFERROR(__xludf.DUMMYFUNCTION("""COMPUTED_VALUE"""),"No")</f>
        <v>No</v>
      </c>
      <c r="I166" s="5" t="str">
        <f>IFERROR(__xludf.DUMMYFUNCTION("""COMPUTED_VALUE"""),"No")</f>
        <v>No</v>
      </c>
      <c r="J166" s="5" t="str">
        <f>IFERROR(__xludf.DUMMYFUNCTION("""COMPUTED_VALUE"""),"No")</f>
        <v>No</v>
      </c>
      <c r="K166" s="5" t="str">
        <f>IFERROR(__xludf.DUMMYFUNCTION("""COMPUTED_VALUE"""),"No")</f>
        <v>No</v>
      </c>
      <c r="L166" s="5" t="str">
        <f>IFERROR(__xludf.DUMMYFUNCTION("""COMPUTED_VALUE"""),"No")</f>
        <v>No</v>
      </c>
      <c r="M166" s="5" t="str">
        <f>IFERROR(__xludf.DUMMYFUNCTION("""COMPUTED_VALUE"""),"Yes")</f>
        <v>Yes</v>
      </c>
      <c r="N166" s="5" t="str">
        <f>IFERROR(__xludf.DUMMYFUNCTION("""COMPUTED_VALUE"""),"Yes")</f>
        <v>Yes</v>
      </c>
      <c r="O166" s="5" t="str">
        <f>IFERROR(__xludf.DUMMYFUNCTION("""COMPUTED_VALUE"""),"Yes")</f>
        <v>Yes</v>
      </c>
      <c r="P166" s="5" t="str">
        <f>IFERROR(__xludf.DUMMYFUNCTION("""COMPUTED_VALUE"""),"Yes")</f>
        <v>Yes</v>
      </c>
      <c r="Q166" s="5" t="str">
        <f>IFERROR(__xludf.DUMMYFUNCTION("""COMPUTED_VALUE"""),"Yes")</f>
        <v>Yes</v>
      </c>
      <c r="R166" s="5" t="str">
        <f>IFERROR(__xludf.DUMMYFUNCTION("""COMPUTED_VALUE"""),"No")</f>
        <v>No</v>
      </c>
      <c r="S166" s="5" t="str">
        <f>IFERROR(__xludf.DUMMYFUNCTION("""COMPUTED_VALUE"""),"Yes")</f>
        <v>Yes</v>
      </c>
      <c r="T166" s="5" t="str">
        <f>IFERROR(__xludf.DUMMYFUNCTION("""COMPUTED_VALUE"""),"No")</f>
        <v>No</v>
      </c>
      <c r="U166" s="5" t="str">
        <f>IFERROR(__xludf.DUMMYFUNCTION("""COMPUTED_VALUE"""),"No")</f>
        <v>No</v>
      </c>
      <c r="V166" s="5" t="str">
        <f>IFERROR(__xludf.DUMMYFUNCTION("""COMPUTED_VALUE"""),"No")</f>
        <v>No</v>
      </c>
      <c r="W166" s="5" t="str">
        <f>IFERROR(__xludf.DUMMYFUNCTION("""COMPUTED_VALUE"""),"No")</f>
        <v>No</v>
      </c>
      <c r="X166" s="5" t="str">
        <f>IFERROR(__xludf.DUMMYFUNCTION("""COMPUTED_VALUE"""),"No")</f>
        <v>No</v>
      </c>
      <c r="Y166" s="5"/>
      <c r="Z166" s="5"/>
      <c r="AA166" s="5"/>
      <c r="AB166" s="5"/>
      <c r="AC166" s="5" t="str">
        <f>IFERROR(__xludf.DUMMYFUNCTION("""COMPUTED_VALUE"""),"No")</f>
        <v>No</v>
      </c>
      <c r="AD166" s="5"/>
      <c r="AE166" s="5"/>
      <c r="AF166" s="5"/>
      <c r="AG166" s="5"/>
      <c r="AH166" s="5"/>
      <c r="AI166" s="5"/>
      <c r="AJ166" s="5"/>
      <c r="AK166" s="5"/>
      <c r="AL166" s="5"/>
      <c r="AM166" s="5"/>
      <c r="AN166" s="5"/>
      <c r="AO166" s="5"/>
      <c r="AP166" s="5"/>
      <c r="AQ166" s="5"/>
      <c r="AR166" s="5"/>
      <c r="AS166" s="5"/>
      <c r="AT166" s="5"/>
      <c r="AU166" s="5"/>
      <c r="AV166" s="5"/>
      <c r="AW166" s="5"/>
      <c r="AX166" s="5"/>
      <c r="AY166" s="5"/>
    </row>
    <row r="167">
      <c r="A16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67" s="5">
        <f>IFERROR(__xludf.DUMMYFUNCTION("""COMPUTED_VALUE"""),167.0)</f>
        <v>167</v>
      </c>
      <c r="C167" s="5">
        <f>IFERROR(__xludf.DUMMYFUNCTION("""COMPUTED_VALUE"""),166.0)</f>
        <v>166</v>
      </c>
      <c r="D167" s="5" t="str">
        <f>IFERROR(__xludf.DUMMYFUNCTION("""COMPUTED_VALUE"""),"UnicornMiniMegaCash")</f>
        <v>UnicornMiniMegaCash</v>
      </c>
      <c r="E167" s="5" t="str">
        <f>IFERROR(__xludf.DUMMYFUNCTION("""COMPUTED_VALUE"""),"Yes")</f>
        <v>Yes</v>
      </c>
      <c r="F167" s="5" t="str">
        <f>IFERROR(__xludf.DUMMYFUNCTION("""COMPUTED_VALUE"""),"Yes")</f>
        <v>Yes</v>
      </c>
      <c r="G167" s="5" t="str">
        <f>IFERROR(__xludf.DUMMYFUNCTION("""COMPUTED_VALUE"""),"No")</f>
        <v>No</v>
      </c>
      <c r="H167" s="5" t="str">
        <f>IFERROR(__xludf.DUMMYFUNCTION("""COMPUTED_VALUE"""),"Yes")</f>
        <v>Yes</v>
      </c>
      <c r="I167" s="5" t="str">
        <f>IFERROR(__xludf.DUMMYFUNCTION("""COMPUTED_VALUE"""),"Yes")</f>
        <v>Yes</v>
      </c>
      <c r="J167" s="5" t="str">
        <f>IFERROR(__xludf.DUMMYFUNCTION("""COMPUTED_VALUE"""),"Yes")</f>
        <v>Yes</v>
      </c>
      <c r="K167" s="5" t="str">
        <f>IFERROR(__xludf.DUMMYFUNCTION("""COMPUTED_VALUE"""),"Yes")</f>
        <v>Yes</v>
      </c>
      <c r="L167" s="5" t="str">
        <f>IFERROR(__xludf.DUMMYFUNCTION("""COMPUTED_VALUE"""),"Yes")</f>
        <v>Yes</v>
      </c>
      <c r="M167" s="5" t="str">
        <f>IFERROR(__xludf.DUMMYFUNCTION("""COMPUTED_VALUE"""),"Yes")</f>
        <v>Yes</v>
      </c>
      <c r="N167" s="5" t="str">
        <f>IFERROR(__xludf.DUMMYFUNCTION("""COMPUTED_VALUE"""),"Yes")</f>
        <v>Yes</v>
      </c>
      <c r="O167" s="5" t="str">
        <f>IFERROR(__xludf.DUMMYFUNCTION("""COMPUTED_VALUE"""),"Yes")</f>
        <v>Yes</v>
      </c>
      <c r="P167" s="5" t="str">
        <f>IFERROR(__xludf.DUMMYFUNCTION("""COMPUTED_VALUE"""),"Yes")</f>
        <v>Yes</v>
      </c>
      <c r="Q167" s="5" t="str">
        <f>IFERROR(__xludf.DUMMYFUNCTION("""COMPUTED_VALUE"""),"Yes")</f>
        <v>Yes</v>
      </c>
      <c r="R167" s="5" t="str">
        <f>IFERROR(__xludf.DUMMYFUNCTION("""COMPUTED_VALUE"""),"Yes")</f>
        <v>Yes</v>
      </c>
      <c r="S167" s="5" t="str">
        <f>IFERROR(__xludf.DUMMYFUNCTION("""COMPUTED_VALUE"""),"Yes")</f>
        <v>Yes</v>
      </c>
      <c r="T167" s="5" t="str">
        <f>IFERROR(__xludf.DUMMYFUNCTION("""COMPUTED_VALUE"""),"No")</f>
        <v>No</v>
      </c>
      <c r="U167" s="5" t="str">
        <f>IFERROR(__xludf.DUMMYFUNCTION("""COMPUTED_VALUE"""),"No")</f>
        <v>No</v>
      </c>
      <c r="V167" s="5" t="str">
        <f>IFERROR(__xludf.DUMMYFUNCTION("""COMPUTED_VALUE"""),"No")</f>
        <v>No</v>
      </c>
      <c r="W167" s="5" t="str">
        <f>IFERROR(__xludf.DUMMYFUNCTION("""COMPUTED_VALUE"""),"No")</f>
        <v>No</v>
      </c>
      <c r="X167" s="5" t="str">
        <f>IFERROR(__xludf.DUMMYFUNCTION("""COMPUTED_VALUE"""),"No")</f>
        <v>No</v>
      </c>
      <c r="Y167" s="5" t="str">
        <f>IFERROR(__xludf.DUMMYFUNCTION("""COMPUTED_VALUE"""),"No")</f>
        <v>No</v>
      </c>
      <c r="Z167" s="5" t="str">
        <f>IFERROR(__xludf.DUMMYFUNCTION("""COMPUTED_VALUE"""),"No")</f>
        <v>No</v>
      </c>
      <c r="AA167" s="5" t="str">
        <f>IFERROR(__xludf.DUMMYFUNCTION("""COMPUTED_VALUE"""),"No")</f>
        <v>No</v>
      </c>
      <c r="AB167" s="5" t="str">
        <f>IFERROR(__xludf.DUMMYFUNCTION("""COMPUTED_VALUE"""),"No")</f>
        <v>No</v>
      </c>
      <c r="AC167" s="5" t="str">
        <f>IFERROR(__xludf.DUMMYFUNCTION("""COMPUTED_VALUE"""),"No")</f>
        <v>No</v>
      </c>
      <c r="AD167" s="5" t="str">
        <f>IFERROR(__xludf.DUMMYFUNCTION("""COMPUTED_VALUE"""),"No")</f>
        <v>No</v>
      </c>
      <c r="AE167" s="5" t="str">
        <f>IFERROR(__xludf.DUMMYFUNCTION("""COMPUTED_VALUE"""),"No")</f>
        <v>No</v>
      </c>
      <c r="AF167" s="5" t="str">
        <f>IFERROR(__xludf.DUMMYFUNCTION("""COMPUTED_VALUE"""),"Yes")</f>
        <v>Yes</v>
      </c>
      <c r="AG167" s="5" t="str">
        <f>IFERROR(__xludf.DUMMYFUNCTION("""COMPUTED_VALUE"""),"No")</f>
        <v>No</v>
      </c>
      <c r="AH167" s="5" t="str">
        <f>IFERROR(__xludf.DUMMYFUNCTION("""COMPUTED_VALUE"""),"Yes")</f>
        <v>Yes</v>
      </c>
      <c r="AI167" s="5" t="str">
        <f>IFERROR(__xludf.DUMMYFUNCTION("""COMPUTED_VALUE"""),"No")</f>
        <v>No</v>
      </c>
      <c r="AJ167" s="5" t="str">
        <f>IFERROR(__xludf.DUMMYFUNCTION("""COMPUTED_VALUE"""),"No")</f>
        <v>No</v>
      </c>
      <c r="AK167" s="5" t="str">
        <f>IFERROR(__xludf.DUMMYFUNCTION("""COMPUTED_VALUE"""),"No")</f>
        <v>No</v>
      </c>
      <c r="AL167" s="5" t="str">
        <f>IFERROR(__xludf.DUMMYFUNCTION("""COMPUTED_VALUE"""),"No")</f>
        <v>No</v>
      </c>
      <c r="AM167" s="5"/>
      <c r="AN167" s="5"/>
      <c r="AO167" s="5"/>
      <c r="AP167" s="5"/>
      <c r="AQ167" s="5"/>
      <c r="AR167" s="5"/>
      <c r="AS167" s="5"/>
      <c r="AT167" s="5"/>
      <c r="AU167" s="5"/>
      <c r="AV167" s="5"/>
      <c r="AW167" s="5"/>
      <c r="AX167" s="5"/>
      <c r="AY167" s="5"/>
    </row>
    <row r="168">
      <c r="A1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8" s="5">
        <f>IFERROR(__xludf.DUMMYFUNCTION("""COMPUTED_VALUE"""),168.0)</f>
        <v>168</v>
      </c>
      <c r="C168" s="5">
        <f>IFERROR(__xludf.DUMMYFUNCTION("""COMPUTED_VALUE"""),167.0)</f>
        <v>167</v>
      </c>
      <c r="D168" s="5" t="str">
        <f>IFERROR(__xludf.DUMMYFUNCTION("""COMPUTED_VALUE"""),"FruityFace")</f>
        <v>FruityFace</v>
      </c>
      <c r="E168" s="5" t="str">
        <f>IFERROR(__xludf.DUMMYFUNCTION("""COMPUTED_VALUE"""),"Yes")</f>
        <v>Yes</v>
      </c>
      <c r="F168" s="5" t="str">
        <f>IFERROR(__xludf.DUMMYFUNCTION("""COMPUTED_VALUE"""),"Yes")</f>
        <v>Yes</v>
      </c>
      <c r="G168" s="5" t="str">
        <f>IFERROR(__xludf.DUMMYFUNCTION("""COMPUTED_VALUE"""),"Yes")</f>
        <v>Yes</v>
      </c>
      <c r="H168" s="5" t="str">
        <f>IFERROR(__xludf.DUMMYFUNCTION("""COMPUTED_VALUE"""),"Yes")</f>
        <v>Yes</v>
      </c>
      <c r="I168" s="5" t="str">
        <f>IFERROR(__xludf.DUMMYFUNCTION("""COMPUTED_VALUE"""),"Yes")</f>
        <v>Yes</v>
      </c>
      <c r="J168" s="5" t="str">
        <f>IFERROR(__xludf.DUMMYFUNCTION("""COMPUTED_VALUE"""),"Yes")</f>
        <v>Yes</v>
      </c>
      <c r="K168" s="5" t="str">
        <f>IFERROR(__xludf.DUMMYFUNCTION("""COMPUTED_VALUE"""),"Yes")</f>
        <v>Yes</v>
      </c>
      <c r="L168" s="5" t="str">
        <f>IFERROR(__xludf.DUMMYFUNCTION("""COMPUTED_VALUE"""),"Yes")</f>
        <v>Yes</v>
      </c>
      <c r="M168" s="5" t="str">
        <f>IFERROR(__xludf.DUMMYFUNCTION("""COMPUTED_VALUE"""),"Yes")</f>
        <v>Yes</v>
      </c>
      <c r="N168" s="5" t="str">
        <f>IFERROR(__xludf.DUMMYFUNCTION("""COMPUTED_VALUE"""),"Yes")</f>
        <v>Yes</v>
      </c>
      <c r="O168" s="5" t="str">
        <f>IFERROR(__xludf.DUMMYFUNCTION("""COMPUTED_VALUE"""),"Yes")</f>
        <v>Yes</v>
      </c>
      <c r="P168" s="5" t="str">
        <f>IFERROR(__xludf.DUMMYFUNCTION("""COMPUTED_VALUE"""),"Yes")</f>
        <v>Yes</v>
      </c>
      <c r="Q168" s="5" t="str">
        <f>IFERROR(__xludf.DUMMYFUNCTION("""COMPUTED_VALUE"""),"Yes")</f>
        <v>Yes</v>
      </c>
      <c r="R168" s="5" t="str">
        <f>IFERROR(__xludf.DUMMYFUNCTION("""COMPUTED_VALUE"""),"Yes")</f>
        <v>Yes</v>
      </c>
      <c r="S168" s="5" t="str">
        <f>IFERROR(__xludf.DUMMYFUNCTION("""COMPUTED_VALUE"""),"Yes")</f>
        <v>Yes</v>
      </c>
      <c r="T168" s="5" t="str">
        <f>IFERROR(__xludf.DUMMYFUNCTION("""COMPUTED_VALUE"""),"Yes")</f>
        <v>Yes</v>
      </c>
      <c r="U168" s="5" t="str">
        <f>IFERROR(__xludf.DUMMYFUNCTION("""COMPUTED_VALUE"""),"Yes")</f>
        <v>Yes</v>
      </c>
      <c r="V168" s="5" t="str">
        <f>IFERROR(__xludf.DUMMYFUNCTION("""COMPUTED_VALUE"""),"Yes")</f>
        <v>Yes</v>
      </c>
      <c r="W168" s="5" t="str">
        <f>IFERROR(__xludf.DUMMYFUNCTION("""COMPUTED_VALUE"""),"Yes")</f>
        <v>Yes</v>
      </c>
      <c r="X168" s="5" t="str">
        <f>IFERROR(__xludf.DUMMYFUNCTION("""COMPUTED_VALUE"""),"Yes")</f>
        <v>Yes</v>
      </c>
      <c r="Y168" s="5" t="str">
        <f>IFERROR(__xludf.DUMMYFUNCTION("""COMPUTED_VALUE"""),"Yes")</f>
        <v>Yes</v>
      </c>
      <c r="Z168" s="5" t="str">
        <f>IFERROR(__xludf.DUMMYFUNCTION("""COMPUTED_VALUE"""),"No")</f>
        <v>No</v>
      </c>
      <c r="AA168" s="5" t="str">
        <f>IFERROR(__xludf.DUMMYFUNCTION("""COMPUTED_VALUE"""),"Yes")</f>
        <v>Yes</v>
      </c>
      <c r="AB168" s="5" t="str">
        <f>IFERROR(__xludf.DUMMYFUNCTION("""COMPUTED_VALUE"""),"Yes")</f>
        <v>Yes</v>
      </c>
      <c r="AC168" s="5" t="str">
        <f>IFERROR(__xludf.DUMMYFUNCTION("""COMPUTED_VALUE"""),"Yes")</f>
        <v>Yes</v>
      </c>
      <c r="AD168" s="5" t="str">
        <f>IFERROR(__xludf.DUMMYFUNCTION("""COMPUTED_VALUE"""),"Yes")</f>
        <v>Yes</v>
      </c>
      <c r="AE168" s="5" t="str">
        <f>IFERROR(__xludf.DUMMYFUNCTION("""COMPUTED_VALUE"""),"No")</f>
        <v>No</v>
      </c>
      <c r="AF168" s="5" t="str">
        <f>IFERROR(__xludf.DUMMYFUNCTION("""COMPUTED_VALUE"""),"Yes")</f>
        <v>Yes</v>
      </c>
      <c r="AG168" s="5" t="str">
        <f>IFERROR(__xludf.DUMMYFUNCTION("""COMPUTED_VALUE"""),"No")</f>
        <v>No</v>
      </c>
      <c r="AH168" s="5" t="str">
        <f>IFERROR(__xludf.DUMMYFUNCTION("""COMPUTED_VALUE"""),"No")</f>
        <v>No</v>
      </c>
      <c r="AI168" s="5" t="str">
        <f>IFERROR(__xludf.DUMMYFUNCTION("""COMPUTED_VALUE"""),"No")</f>
        <v>No</v>
      </c>
      <c r="AJ168" s="5" t="str">
        <f>IFERROR(__xludf.DUMMYFUNCTION("""COMPUTED_VALUE"""),"No")</f>
        <v>No</v>
      </c>
      <c r="AK168" s="5" t="str">
        <f>IFERROR(__xludf.DUMMYFUNCTION("""COMPUTED_VALUE"""),"No")</f>
        <v>No</v>
      </c>
      <c r="AL168" s="5" t="str">
        <f>IFERROR(__xludf.DUMMYFUNCTION("""COMPUTED_VALUE"""),"No")</f>
        <v>No</v>
      </c>
      <c r="AM168" s="5"/>
      <c r="AN168" s="5"/>
      <c r="AO168" s="5"/>
      <c r="AP168" s="5"/>
      <c r="AQ168" s="5"/>
      <c r="AR168" s="5"/>
      <c r="AS168" s="5"/>
      <c r="AT168" s="5"/>
      <c r="AU168" s="5"/>
      <c r="AV168" s="5"/>
      <c r="AW168" s="5"/>
      <c r="AX168" s="5"/>
      <c r="AY168" s="5"/>
    </row>
    <row r="169">
      <c r="A1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9" s="5">
        <f>IFERROR(__xludf.DUMMYFUNCTION("""COMPUTED_VALUE"""),169.0)</f>
        <v>169</v>
      </c>
      <c r="C169" s="5">
        <f>IFERROR(__xludf.DUMMYFUNCTION("""COMPUTED_VALUE"""),168.0)</f>
        <v>168</v>
      </c>
      <c r="D169" s="5" t="str">
        <f>IFERROR(__xludf.DUMMYFUNCTION("""COMPUTED_VALUE"""),"WildHeart5")</f>
        <v>WildHeart5</v>
      </c>
      <c r="E169" s="5" t="str">
        <f>IFERROR(__xludf.DUMMYFUNCTION("""COMPUTED_VALUE"""),"Yes")</f>
        <v>Yes</v>
      </c>
      <c r="F169" s="5" t="str">
        <f>IFERROR(__xludf.DUMMYFUNCTION("""COMPUTED_VALUE"""),"Yes")</f>
        <v>Yes</v>
      </c>
      <c r="G169" s="5" t="str">
        <f>IFERROR(__xludf.DUMMYFUNCTION("""COMPUTED_VALUE"""),"Yes")</f>
        <v>Yes</v>
      </c>
      <c r="H169" s="5" t="str">
        <f>IFERROR(__xludf.DUMMYFUNCTION("""COMPUTED_VALUE"""),"Yes")</f>
        <v>Yes</v>
      </c>
      <c r="I169" s="5" t="str">
        <f>IFERROR(__xludf.DUMMYFUNCTION("""COMPUTED_VALUE"""),"Yes")</f>
        <v>Yes</v>
      </c>
      <c r="J169" s="5" t="str">
        <f>IFERROR(__xludf.DUMMYFUNCTION("""COMPUTED_VALUE"""),"Yes")</f>
        <v>Yes</v>
      </c>
      <c r="K169" s="5" t="str">
        <f>IFERROR(__xludf.DUMMYFUNCTION("""COMPUTED_VALUE"""),"Yes")</f>
        <v>Yes</v>
      </c>
      <c r="L169" s="5" t="str">
        <f>IFERROR(__xludf.DUMMYFUNCTION("""COMPUTED_VALUE"""),"Yes")</f>
        <v>Yes</v>
      </c>
      <c r="M169" s="5" t="str">
        <f>IFERROR(__xludf.DUMMYFUNCTION("""COMPUTED_VALUE"""),"Yes")</f>
        <v>Yes</v>
      </c>
      <c r="N169" s="5" t="str">
        <f>IFERROR(__xludf.DUMMYFUNCTION("""COMPUTED_VALUE"""),"Yes")</f>
        <v>Yes</v>
      </c>
      <c r="O169" s="5" t="str">
        <f>IFERROR(__xludf.DUMMYFUNCTION("""COMPUTED_VALUE"""),"Yes")</f>
        <v>Yes</v>
      </c>
      <c r="P169" s="5" t="str">
        <f>IFERROR(__xludf.DUMMYFUNCTION("""COMPUTED_VALUE"""),"Yes")</f>
        <v>Yes</v>
      </c>
      <c r="Q169" s="5" t="str">
        <f>IFERROR(__xludf.DUMMYFUNCTION("""COMPUTED_VALUE"""),"Yes")</f>
        <v>Yes</v>
      </c>
      <c r="R169" s="5" t="str">
        <f>IFERROR(__xludf.DUMMYFUNCTION("""COMPUTED_VALUE"""),"Yes")</f>
        <v>Yes</v>
      </c>
      <c r="S169" s="5" t="str">
        <f>IFERROR(__xludf.DUMMYFUNCTION("""COMPUTED_VALUE"""),"Yes")</f>
        <v>Yes</v>
      </c>
      <c r="T169" s="5" t="str">
        <f>IFERROR(__xludf.DUMMYFUNCTION("""COMPUTED_VALUE"""),"Yes")</f>
        <v>Yes</v>
      </c>
      <c r="U169" s="5" t="str">
        <f>IFERROR(__xludf.DUMMYFUNCTION("""COMPUTED_VALUE"""),"Yes")</f>
        <v>Yes</v>
      </c>
      <c r="V169" s="5" t="str">
        <f>IFERROR(__xludf.DUMMYFUNCTION("""COMPUTED_VALUE"""),"Yes")</f>
        <v>Yes</v>
      </c>
      <c r="W169" s="5" t="str">
        <f>IFERROR(__xludf.DUMMYFUNCTION("""COMPUTED_VALUE"""),"Yes")</f>
        <v>Yes</v>
      </c>
      <c r="X169" s="5" t="str">
        <f>IFERROR(__xludf.DUMMYFUNCTION("""COMPUTED_VALUE"""),"Yes")</f>
        <v>Yes</v>
      </c>
      <c r="Y169" s="5" t="str">
        <f>IFERROR(__xludf.DUMMYFUNCTION("""COMPUTED_VALUE"""),"Yes")</f>
        <v>Yes</v>
      </c>
      <c r="Z169" s="5"/>
      <c r="AA169" s="5" t="str">
        <f>IFERROR(__xludf.DUMMYFUNCTION("""COMPUTED_VALUE"""),"Yes")</f>
        <v>Yes</v>
      </c>
      <c r="AB169" s="5" t="str">
        <f>IFERROR(__xludf.DUMMYFUNCTION("""COMPUTED_VALUE"""),"Yes")</f>
        <v>Yes</v>
      </c>
      <c r="AC169" s="5" t="str">
        <f>IFERROR(__xludf.DUMMYFUNCTION("""COMPUTED_VALUE"""),"Yes")</f>
        <v>Yes</v>
      </c>
      <c r="AD169" s="5" t="str">
        <f>IFERROR(__xludf.DUMMYFUNCTION("""COMPUTED_VALUE"""),"Yes")</f>
        <v>Yes</v>
      </c>
      <c r="AE169" s="5"/>
      <c r="AF169" s="5" t="str">
        <f>IFERROR(__xludf.DUMMYFUNCTION("""COMPUTED_VALUE"""),"Yes")</f>
        <v>Yes</v>
      </c>
      <c r="AG169" s="5"/>
      <c r="AH169" s="5"/>
      <c r="AI169" s="5"/>
      <c r="AJ169" s="5"/>
      <c r="AK169" s="5"/>
      <c r="AL169" s="5"/>
      <c r="AM169" s="5"/>
      <c r="AN169" s="5"/>
      <c r="AO169" s="5"/>
      <c r="AP169" s="5"/>
      <c r="AQ169" s="5"/>
      <c r="AR169" s="5"/>
      <c r="AS169" s="5"/>
      <c r="AT169" s="5"/>
      <c r="AU169" s="5"/>
      <c r="AV169" s="5"/>
      <c r="AW169" s="5"/>
      <c r="AX169" s="5"/>
      <c r="AY169" s="5"/>
    </row>
    <row r="170">
      <c r="A1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0" s="5">
        <f>IFERROR(__xludf.DUMMYFUNCTION("""COMPUTED_VALUE"""),170.0)</f>
        <v>170</v>
      </c>
      <c r="C170" s="5">
        <f>IFERROR(__xludf.DUMMYFUNCTION("""COMPUTED_VALUE"""),169.0)</f>
        <v>169</v>
      </c>
      <c r="D170" s="5" t="str">
        <f>IFERROR(__xludf.DUMMYFUNCTION("""COMPUTED_VALUE"""),"ClassicLuckySpin")</f>
        <v>ClassicLuckySpin</v>
      </c>
      <c r="E170" s="5" t="str">
        <f>IFERROR(__xludf.DUMMYFUNCTION("""COMPUTED_VALUE"""),"Yes")</f>
        <v>Yes</v>
      </c>
      <c r="F170" s="5" t="str">
        <f>IFERROR(__xludf.DUMMYFUNCTION("""COMPUTED_VALUE"""),"Yes")</f>
        <v>Yes</v>
      </c>
      <c r="G170" s="5" t="str">
        <f>IFERROR(__xludf.DUMMYFUNCTION("""COMPUTED_VALUE"""),"Yes")</f>
        <v>Yes</v>
      </c>
      <c r="H170" s="5" t="str">
        <f>IFERROR(__xludf.DUMMYFUNCTION("""COMPUTED_VALUE"""),"Yes")</f>
        <v>Yes</v>
      </c>
      <c r="I170" s="5" t="str">
        <f>IFERROR(__xludf.DUMMYFUNCTION("""COMPUTED_VALUE"""),"Yes")</f>
        <v>Yes</v>
      </c>
      <c r="J170" s="5" t="str">
        <f>IFERROR(__xludf.DUMMYFUNCTION("""COMPUTED_VALUE"""),"Yes")</f>
        <v>Yes</v>
      </c>
      <c r="K170" s="5" t="str">
        <f>IFERROR(__xludf.DUMMYFUNCTION("""COMPUTED_VALUE"""),"Yes")</f>
        <v>Yes</v>
      </c>
      <c r="L170" s="5" t="str">
        <f>IFERROR(__xludf.DUMMYFUNCTION("""COMPUTED_VALUE"""),"Yes")</f>
        <v>Yes</v>
      </c>
      <c r="M170" s="5" t="str">
        <f>IFERROR(__xludf.DUMMYFUNCTION("""COMPUTED_VALUE"""),"Yes")</f>
        <v>Yes</v>
      </c>
      <c r="N170" s="5" t="str">
        <f>IFERROR(__xludf.DUMMYFUNCTION("""COMPUTED_VALUE"""),"Yes")</f>
        <v>Yes</v>
      </c>
      <c r="O170" s="5" t="str">
        <f>IFERROR(__xludf.DUMMYFUNCTION("""COMPUTED_VALUE"""),"Yes")</f>
        <v>Yes</v>
      </c>
      <c r="P170" s="5" t="str">
        <f>IFERROR(__xludf.DUMMYFUNCTION("""COMPUTED_VALUE"""),"Yes")</f>
        <v>Yes</v>
      </c>
      <c r="Q170" s="5" t="str">
        <f>IFERROR(__xludf.DUMMYFUNCTION("""COMPUTED_VALUE"""),"Yes")</f>
        <v>Yes</v>
      </c>
      <c r="R170" s="5" t="str">
        <f>IFERROR(__xludf.DUMMYFUNCTION("""COMPUTED_VALUE"""),"Yes")</f>
        <v>Yes</v>
      </c>
      <c r="S170" s="5" t="str">
        <f>IFERROR(__xludf.DUMMYFUNCTION("""COMPUTED_VALUE"""),"Yes")</f>
        <v>Yes</v>
      </c>
      <c r="T170" s="5" t="str">
        <f>IFERROR(__xludf.DUMMYFUNCTION("""COMPUTED_VALUE"""),"Yes")</f>
        <v>Yes</v>
      </c>
      <c r="U170" s="5" t="str">
        <f>IFERROR(__xludf.DUMMYFUNCTION("""COMPUTED_VALUE"""),"Yes")</f>
        <v>Yes</v>
      </c>
      <c r="V170" s="5" t="str">
        <f>IFERROR(__xludf.DUMMYFUNCTION("""COMPUTED_VALUE"""),"Yes")</f>
        <v>Yes</v>
      </c>
      <c r="W170" s="5" t="str">
        <f>IFERROR(__xludf.DUMMYFUNCTION("""COMPUTED_VALUE"""),"Yes")</f>
        <v>Yes</v>
      </c>
      <c r="X170" s="5" t="str">
        <f>IFERROR(__xludf.DUMMYFUNCTION("""COMPUTED_VALUE"""),"Yes")</f>
        <v>Yes</v>
      </c>
      <c r="Y170" s="5" t="str">
        <f>IFERROR(__xludf.DUMMYFUNCTION("""COMPUTED_VALUE"""),"Yes")</f>
        <v>Yes</v>
      </c>
      <c r="Z170" s="5" t="str">
        <f>IFERROR(__xludf.DUMMYFUNCTION("""COMPUTED_VALUE"""),"No")</f>
        <v>No</v>
      </c>
      <c r="AA170" s="5" t="str">
        <f>IFERROR(__xludf.DUMMYFUNCTION("""COMPUTED_VALUE"""),"Yes")</f>
        <v>Yes</v>
      </c>
      <c r="AB170" s="5" t="str">
        <f>IFERROR(__xludf.DUMMYFUNCTION("""COMPUTED_VALUE"""),"Yes")</f>
        <v>Yes</v>
      </c>
      <c r="AC170" s="5" t="str">
        <f>IFERROR(__xludf.DUMMYFUNCTION("""COMPUTED_VALUE"""),"Yes")</f>
        <v>Yes</v>
      </c>
      <c r="AD170" s="5" t="str">
        <f>IFERROR(__xludf.DUMMYFUNCTION("""COMPUTED_VALUE"""),"Yes")</f>
        <v>Yes</v>
      </c>
      <c r="AE170" s="5" t="str">
        <f>IFERROR(__xludf.DUMMYFUNCTION("""COMPUTED_VALUE"""),"No")</f>
        <v>No</v>
      </c>
      <c r="AF170" s="5" t="str">
        <f>IFERROR(__xludf.DUMMYFUNCTION("""COMPUTED_VALUE"""),"Yes")</f>
        <v>Yes</v>
      </c>
      <c r="AG170" s="5" t="str">
        <f>IFERROR(__xludf.DUMMYFUNCTION("""COMPUTED_VALUE"""),"No")</f>
        <v>No</v>
      </c>
      <c r="AH170" s="5" t="str">
        <f>IFERROR(__xludf.DUMMYFUNCTION("""COMPUTED_VALUE"""),"No")</f>
        <v>No</v>
      </c>
      <c r="AI170" s="5" t="str">
        <f>IFERROR(__xludf.DUMMYFUNCTION("""COMPUTED_VALUE"""),"No")</f>
        <v>No</v>
      </c>
      <c r="AJ170" s="5" t="str">
        <f>IFERROR(__xludf.DUMMYFUNCTION("""COMPUTED_VALUE"""),"No")</f>
        <v>No</v>
      </c>
      <c r="AK170" s="5" t="str">
        <f>IFERROR(__xludf.DUMMYFUNCTION("""COMPUTED_VALUE"""),"No")</f>
        <v>No</v>
      </c>
      <c r="AL170" s="5" t="str">
        <f>IFERROR(__xludf.DUMMYFUNCTION("""COMPUTED_VALUE"""),"No")</f>
        <v>No</v>
      </c>
      <c r="AM170" s="5"/>
      <c r="AN170" s="5"/>
      <c r="AO170" s="5"/>
      <c r="AP170" s="5"/>
      <c r="AQ170" s="5"/>
      <c r="AR170" s="5"/>
      <c r="AS170" s="5"/>
      <c r="AT170" s="5"/>
      <c r="AU170" s="5"/>
      <c r="AV170" s="5"/>
      <c r="AW170" s="5"/>
      <c r="AX170" s="5"/>
      <c r="AY170" s="5"/>
    </row>
    <row r="171">
      <c r="A1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1" s="5">
        <f>IFERROR(__xludf.DUMMYFUNCTION("""COMPUTED_VALUE"""),171.0)</f>
        <v>171</v>
      </c>
      <c r="C171" s="5">
        <f>IFERROR(__xludf.DUMMYFUNCTION("""COMPUTED_VALUE"""),170.0)</f>
        <v>170</v>
      </c>
      <c r="D171" s="5" t="str">
        <f>IFERROR(__xludf.DUMMYFUNCTION("""COMPUTED_VALUE"""),"Unicorn20DiceFlames")</f>
        <v>Unicorn20DiceFlames</v>
      </c>
      <c r="E171" s="5" t="str">
        <f>IFERROR(__xludf.DUMMYFUNCTION("""COMPUTED_VALUE"""),"Yes")</f>
        <v>Yes</v>
      </c>
      <c r="F171" s="5" t="str">
        <f>IFERROR(__xludf.DUMMYFUNCTION("""COMPUTED_VALUE"""),"Yes")</f>
        <v>Yes</v>
      </c>
      <c r="G171" s="5" t="str">
        <f>IFERROR(__xludf.DUMMYFUNCTION("""COMPUTED_VALUE"""),"Yes")</f>
        <v>Yes</v>
      </c>
      <c r="H171" s="5" t="str">
        <f>IFERROR(__xludf.DUMMYFUNCTION("""COMPUTED_VALUE"""),"Yes")</f>
        <v>Yes</v>
      </c>
      <c r="I171" s="5" t="str">
        <f>IFERROR(__xludf.DUMMYFUNCTION("""COMPUTED_VALUE"""),"Yes")</f>
        <v>Yes</v>
      </c>
      <c r="J171" s="5" t="str">
        <f>IFERROR(__xludf.DUMMYFUNCTION("""COMPUTED_VALUE"""),"Yes")</f>
        <v>Yes</v>
      </c>
      <c r="K171" s="5" t="str">
        <f>IFERROR(__xludf.DUMMYFUNCTION("""COMPUTED_VALUE"""),"Yes")</f>
        <v>Yes</v>
      </c>
      <c r="L171" s="5" t="str">
        <f>IFERROR(__xludf.DUMMYFUNCTION("""COMPUTED_VALUE"""),"Yes")</f>
        <v>Yes</v>
      </c>
      <c r="M171" s="5" t="str">
        <f>IFERROR(__xludf.DUMMYFUNCTION("""COMPUTED_VALUE"""),"Yes")</f>
        <v>Yes</v>
      </c>
      <c r="N171" s="5" t="str">
        <f>IFERROR(__xludf.DUMMYFUNCTION("""COMPUTED_VALUE"""),"Yes")</f>
        <v>Yes</v>
      </c>
      <c r="O171" s="5" t="str">
        <f>IFERROR(__xludf.DUMMYFUNCTION("""COMPUTED_VALUE"""),"Yes")</f>
        <v>Yes</v>
      </c>
      <c r="P171" s="5" t="str">
        <f>IFERROR(__xludf.DUMMYFUNCTION("""COMPUTED_VALUE"""),"Yes")</f>
        <v>Yes</v>
      </c>
      <c r="Q171" s="5" t="str">
        <f>IFERROR(__xludf.DUMMYFUNCTION("""COMPUTED_VALUE"""),"Yes")</f>
        <v>Yes</v>
      </c>
      <c r="R171" s="5" t="str">
        <f>IFERROR(__xludf.DUMMYFUNCTION("""COMPUTED_VALUE"""),"Yes")</f>
        <v>Yes</v>
      </c>
      <c r="S171" s="5" t="str">
        <f>IFERROR(__xludf.DUMMYFUNCTION("""COMPUTED_VALUE"""),"Yes")</f>
        <v>Yes</v>
      </c>
      <c r="T171" s="5" t="str">
        <f>IFERROR(__xludf.DUMMYFUNCTION("""COMPUTED_VALUE"""),"Yes")</f>
        <v>Yes</v>
      </c>
      <c r="U171" s="5" t="str">
        <f>IFERROR(__xludf.DUMMYFUNCTION("""COMPUTED_VALUE"""),"Yes")</f>
        <v>Yes</v>
      </c>
      <c r="V171" s="5" t="str">
        <f>IFERROR(__xludf.DUMMYFUNCTION("""COMPUTED_VALUE"""),"Yes")</f>
        <v>Yes</v>
      </c>
      <c r="W171" s="5" t="str">
        <f>IFERROR(__xludf.DUMMYFUNCTION("""COMPUTED_VALUE"""),"Yes")</f>
        <v>Yes</v>
      </c>
      <c r="X171" s="5" t="str">
        <f>IFERROR(__xludf.DUMMYFUNCTION("""COMPUTED_VALUE"""),"Yes")</f>
        <v>Yes</v>
      </c>
      <c r="Y171" s="5" t="str">
        <f>IFERROR(__xludf.DUMMYFUNCTION("""COMPUTED_VALUE"""),"Yes")</f>
        <v>Yes</v>
      </c>
      <c r="Z171" s="5"/>
      <c r="AA171" s="5" t="str">
        <f>IFERROR(__xludf.DUMMYFUNCTION("""COMPUTED_VALUE"""),"Yes")</f>
        <v>Yes</v>
      </c>
      <c r="AB171" s="5" t="str">
        <f>IFERROR(__xludf.DUMMYFUNCTION("""COMPUTED_VALUE"""),"Yes")</f>
        <v>Yes</v>
      </c>
      <c r="AC171" s="5" t="str">
        <f>IFERROR(__xludf.DUMMYFUNCTION("""COMPUTED_VALUE"""),"Yes")</f>
        <v>Yes</v>
      </c>
      <c r="AD171" s="5" t="str">
        <f>IFERROR(__xludf.DUMMYFUNCTION("""COMPUTED_VALUE"""),"Yes")</f>
        <v>Yes</v>
      </c>
      <c r="AE171" s="5"/>
      <c r="AF171" s="5" t="str">
        <f>IFERROR(__xludf.DUMMYFUNCTION("""COMPUTED_VALUE"""),"Yes")</f>
        <v>Yes</v>
      </c>
      <c r="AG171" s="5"/>
      <c r="AH171" s="5"/>
      <c r="AI171" s="5"/>
      <c r="AJ171" s="5"/>
      <c r="AK171" s="5"/>
      <c r="AL171" s="5"/>
      <c r="AM171" s="5"/>
      <c r="AN171" s="5"/>
      <c r="AO171" s="5"/>
      <c r="AP171" s="5"/>
      <c r="AQ171" s="5"/>
      <c r="AR171" s="5"/>
      <c r="AS171" s="5"/>
      <c r="AT171" s="5"/>
      <c r="AU171" s="5"/>
      <c r="AV171" s="5"/>
      <c r="AW171" s="5"/>
      <c r="AX171" s="5"/>
      <c r="AY171" s="5"/>
    </row>
    <row r="172">
      <c r="A1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2" s="5">
        <f>IFERROR(__xludf.DUMMYFUNCTION("""COMPUTED_VALUE"""),172.0)</f>
        <v>172</v>
      </c>
      <c r="C172" s="5">
        <f>IFERROR(__xludf.DUMMYFUNCTION("""COMPUTED_VALUE"""),171.0)</f>
        <v>171</v>
      </c>
      <c r="D172" s="5" t="str">
        <f>IFERROR(__xludf.DUMMYFUNCTION("""COMPUTED_VALUE"""),"VolcanoHot40")</f>
        <v>VolcanoHot40</v>
      </c>
      <c r="E172" s="5" t="str">
        <f>IFERROR(__xludf.DUMMYFUNCTION("""COMPUTED_VALUE"""),"Yes")</f>
        <v>Yes</v>
      </c>
      <c r="F172" s="5" t="str">
        <f>IFERROR(__xludf.DUMMYFUNCTION("""COMPUTED_VALUE"""),"Yes")</f>
        <v>Yes</v>
      </c>
      <c r="G172" s="5" t="str">
        <f>IFERROR(__xludf.DUMMYFUNCTION("""COMPUTED_VALUE"""),"Yes")</f>
        <v>Yes</v>
      </c>
      <c r="H172" s="5" t="str">
        <f>IFERROR(__xludf.DUMMYFUNCTION("""COMPUTED_VALUE"""),"Yes")</f>
        <v>Yes</v>
      </c>
      <c r="I172" s="5" t="str">
        <f>IFERROR(__xludf.DUMMYFUNCTION("""COMPUTED_VALUE"""),"Yes")</f>
        <v>Yes</v>
      </c>
      <c r="J172" s="5" t="str">
        <f>IFERROR(__xludf.DUMMYFUNCTION("""COMPUTED_VALUE"""),"Yes")</f>
        <v>Yes</v>
      </c>
      <c r="K172" s="5" t="str">
        <f>IFERROR(__xludf.DUMMYFUNCTION("""COMPUTED_VALUE"""),"Yes")</f>
        <v>Yes</v>
      </c>
      <c r="L172" s="5" t="str">
        <f>IFERROR(__xludf.DUMMYFUNCTION("""COMPUTED_VALUE"""),"Yes")</f>
        <v>Yes</v>
      </c>
      <c r="M172" s="5" t="str">
        <f>IFERROR(__xludf.DUMMYFUNCTION("""COMPUTED_VALUE"""),"Yes")</f>
        <v>Yes</v>
      </c>
      <c r="N172" s="5" t="str">
        <f>IFERROR(__xludf.DUMMYFUNCTION("""COMPUTED_VALUE"""),"Yes")</f>
        <v>Yes</v>
      </c>
      <c r="O172" s="5" t="str">
        <f>IFERROR(__xludf.DUMMYFUNCTION("""COMPUTED_VALUE"""),"Yes")</f>
        <v>Yes</v>
      </c>
      <c r="P172" s="5" t="str">
        <f>IFERROR(__xludf.DUMMYFUNCTION("""COMPUTED_VALUE"""),"Yes")</f>
        <v>Yes</v>
      </c>
      <c r="Q172" s="5" t="str">
        <f>IFERROR(__xludf.DUMMYFUNCTION("""COMPUTED_VALUE"""),"Yes")</f>
        <v>Yes</v>
      </c>
      <c r="R172" s="5" t="str">
        <f>IFERROR(__xludf.DUMMYFUNCTION("""COMPUTED_VALUE"""),"Yes")</f>
        <v>Yes</v>
      </c>
      <c r="S172" s="5" t="str">
        <f>IFERROR(__xludf.DUMMYFUNCTION("""COMPUTED_VALUE"""),"Yes")</f>
        <v>Yes</v>
      </c>
      <c r="T172" s="5" t="str">
        <f>IFERROR(__xludf.DUMMYFUNCTION("""COMPUTED_VALUE"""),"Yes")</f>
        <v>Yes</v>
      </c>
      <c r="U172" s="5" t="str">
        <f>IFERROR(__xludf.DUMMYFUNCTION("""COMPUTED_VALUE"""),"Yes")</f>
        <v>Yes</v>
      </c>
      <c r="V172" s="5" t="str">
        <f>IFERROR(__xludf.DUMMYFUNCTION("""COMPUTED_VALUE"""),"Yes")</f>
        <v>Yes</v>
      </c>
      <c r="W172" s="5" t="str">
        <f>IFERROR(__xludf.DUMMYFUNCTION("""COMPUTED_VALUE"""),"Yes")</f>
        <v>Yes</v>
      </c>
      <c r="X172" s="5" t="str">
        <f>IFERROR(__xludf.DUMMYFUNCTION("""COMPUTED_VALUE"""),"Yes")</f>
        <v>Yes</v>
      </c>
      <c r="Y172" s="5" t="str">
        <f>IFERROR(__xludf.DUMMYFUNCTION("""COMPUTED_VALUE"""),"Yes")</f>
        <v>Yes</v>
      </c>
      <c r="Z172" s="5" t="str">
        <f>IFERROR(__xludf.DUMMYFUNCTION("""COMPUTED_VALUE"""),"No")</f>
        <v>No</v>
      </c>
      <c r="AA172" s="5" t="str">
        <f>IFERROR(__xludf.DUMMYFUNCTION("""COMPUTED_VALUE"""),"Yes")</f>
        <v>Yes</v>
      </c>
      <c r="AB172" s="5" t="str">
        <f>IFERROR(__xludf.DUMMYFUNCTION("""COMPUTED_VALUE"""),"Yes")</f>
        <v>Yes</v>
      </c>
      <c r="AC172" s="5" t="str">
        <f>IFERROR(__xludf.DUMMYFUNCTION("""COMPUTED_VALUE"""),"Yes")</f>
        <v>Yes</v>
      </c>
      <c r="AD172" s="5" t="str">
        <f>IFERROR(__xludf.DUMMYFUNCTION("""COMPUTED_VALUE"""),"Yes")</f>
        <v>Yes</v>
      </c>
      <c r="AE172" s="5" t="str">
        <f>IFERROR(__xludf.DUMMYFUNCTION("""COMPUTED_VALUE"""),"No")</f>
        <v>No</v>
      </c>
      <c r="AF172" s="5" t="str">
        <f>IFERROR(__xludf.DUMMYFUNCTION("""COMPUTED_VALUE"""),"Yes")</f>
        <v>Yes</v>
      </c>
      <c r="AG172" s="5" t="str">
        <f>IFERROR(__xludf.DUMMYFUNCTION("""COMPUTED_VALUE"""),"No")</f>
        <v>No</v>
      </c>
      <c r="AH172" s="5" t="str">
        <f>IFERROR(__xludf.DUMMYFUNCTION("""COMPUTED_VALUE"""),"No")</f>
        <v>No</v>
      </c>
      <c r="AI172" s="5" t="str">
        <f>IFERROR(__xludf.DUMMYFUNCTION("""COMPUTED_VALUE"""),"No")</f>
        <v>No</v>
      </c>
      <c r="AJ172" s="5" t="str">
        <f>IFERROR(__xludf.DUMMYFUNCTION("""COMPUTED_VALUE"""),"No")</f>
        <v>No</v>
      </c>
      <c r="AK172" s="5" t="str">
        <f>IFERROR(__xludf.DUMMYFUNCTION("""COMPUTED_VALUE"""),"No")</f>
        <v>No</v>
      </c>
      <c r="AL172" s="5" t="str">
        <f>IFERROR(__xludf.DUMMYFUNCTION("""COMPUTED_VALUE"""),"No")</f>
        <v>No</v>
      </c>
      <c r="AM172" s="5"/>
      <c r="AN172" s="5"/>
      <c r="AO172" s="5"/>
      <c r="AP172" s="5"/>
      <c r="AQ172" s="5"/>
      <c r="AR172" s="5"/>
      <c r="AS172" s="5"/>
      <c r="AT172" s="5"/>
      <c r="AU172" s="5"/>
      <c r="AV172" s="5"/>
      <c r="AW172" s="5"/>
      <c r="AX172" s="5"/>
      <c r="AY172" s="5"/>
    </row>
    <row r="173">
      <c r="A1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3" s="5">
        <f>IFERROR(__xludf.DUMMYFUNCTION("""COMPUTED_VALUE"""),173.0)</f>
        <v>173</v>
      </c>
      <c r="C173" s="5">
        <f>IFERROR(__xludf.DUMMYFUNCTION("""COMPUTED_VALUE"""),172.0)</f>
        <v>172</v>
      </c>
      <c r="D173" s="5" t="str">
        <f>IFERROR(__xludf.DUMMYFUNCTION("""COMPUTED_VALUE"""),"ZabranjenoVoce")</f>
        <v>ZabranjenoVoce</v>
      </c>
      <c r="E173" s="5" t="str">
        <f>IFERROR(__xludf.DUMMYFUNCTION("""COMPUTED_VALUE"""),"Yes")</f>
        <v>Yes</v>
      </c>
      <c r="F173" s="5" t="str">
        <f>IFERROR(__xludf.DUMMYFUNCTION("""COMPUTED_VALUE"""),"Yes")</f>
        <v>Yes</v>
      </c>
      <c r="G173" s="5" t="str">
        <f>IFERROR(__xludf.DUMMYFUNCTION("""COMPUTED_VALUE"""),"Yes")</f>
        <v>Yes</v>
      </c>
      <c r="H173" s="5" t="str">
        <f>IFERROR(__xludf.DUMMYFUNCTION("""COMPUTED_VALUE"""),"Yes")</f>
        <v>Yes</v>
      </c>
      <c r="I173" s="5" t="str">
        <f>IFERROR(__xludf.DUMMYFUNCTION("""COMPUTED_VALUE"""),"Yes")</f>
        <v>Yes</v>
      </c>
      <c r="J173" s="5" t="str">
        <f>IFERROR(__xludf.DUMMYFUNCTION("""COMPUTED_VALUE"""),"Yes")</f>
        <v>Yes</v>
      </c>
      <c r="K173" s="5" t="str">
        <f>IFERROR(__xludf.DUMMYFUNCTION("""COMPUTED_VALUE"""),"Yes")</f>
        <v>Yes</v>
      </c>
      <c r="L173" s="5" t="str">
        <f>IFERROR(__xludf.DUMMYFUNCTION("""COMPUTED_VALUE"""),"Yes")</f>
        <v>Yes</v>
      </c>
      <c r="M173" s="5" t="str">
        <f>IFERROR(__xludf.DUMMYFUNCTION("""COMPUTED_VALUE"""),"Yes")</f>
        <v>Yes</v>
      </c>
      <c r="N173" s="5" t="str">
        <f>IFERROR(__xludf.DUMMYFUNCTION("""COMPUTED_VALUE"""),"Yes")</f>
        <v>Yes</v>
      </c>
      <c r="O173" s="5" t="str">
        <f>IFERROR(__xludf.DUMMYFUNCTION("""COMPUTED_VALUE"""),"Yes")</f>
        <v>Yes</v>
      </c>
      <c r="P173" s="5" t="str">
        <f>IFERROR(__xludf.DUMMYFUNCTION("""COMPUTED_VALUE"""),"Yes")</f>
        <v>Yes</v>
      </c>
      <c r="Q173" s="5" t="str">
        <f>IFERROR(__xludf.DUMMYFUNCTION("""COMPUTED_VALUE"""),"Yes")</f>
        <v>Yes</v>
      </c>
      <c r="R173" s="5" t="str">
        <f>IFERROR(__xludf.DUMMYFUNCTION("""COMPUTED_VALUE"""),"Yes")</f>
        <v>Yes</v>
      </c>
      <c r="S173" s="5" t="str">
        <f>IFERROR(__xludf.DUMMYFUNCTION("""COMPUTED_VALUE"""),"Yes")</f>
        <v>Yes</v>
      </c>
      <c r="T173" s="5" t="str">
        <f>IFERROR(__xludf.DUMMYFUNCTION("""COMPUTED_VALUE"""),"Yes")</f>
        <v>Yes</v>
      </c>
      <c r="U173" s="5" t="str">
        <f>IFERROR(__xludf.DUMMYFUNCTION("""COMPUTED_VALUE"""),"Yes")</f>
        <v>Yes</v>
      </c>
      <c r="V173" s="5" t="str">
        <f>IFERROR(__xludf.DUMMYFUNCTION("""COMPUTED_VALUE"""),"Yes")</f>
        <v>Yes</v>
      </c>
      <c r="W173" s="5" t="str">
        <f>IFERROR(__xludf.DUMMYFUNCTION("""COMPUTED_VALUE"""),"Yes")</f>
        <v>Yes</v>
      </c>
      <c r="X173" s="5" t="str">
        <f>IFERROR(__xludf.DUMMYFUNCTION("""COMPUTED_VALUE"""),"Yes")</f>
        <v>Yes</v>
      </c>
      <c r="Y173" s="5" t="str">
        <f>IFERROR(__xludf.DUMMYFUNCTION("""COMPUTED_VALUE"""),"Yes")</f>
        <v>Yes</v>
      </c>
      <c r="Z173" s="5" t="str">
        <f>IFERROR(__xludf.DUMMYFUNCTION("""COMPUTED_VALUE"""),"No")</f>
        <v>No</v>
      </c>
      <c r="AA173" s="5" t="str">
        <f>IFERROR(__xludf.DUMMYFUNCTION("""COMPUTED_VALUE"""),"Yes")</f>
        <v>Yes</v>
      </c>
      <c r="AB173" s="5" t="str">
        <f>IFERROR(__xludf.DUMMYFUNCTION("""COMPUTED_VALUE"""),"Yes")</f>
        <v>Yes</v>
      </c>
      <c r="AC173" s="5" t="str">
        <f>IFERROR(__xludf.DUMMYFUNCTION("""COMPUTED_VALUE"""),"Yes")</f>
        <v>Yes</v>
      </c>
      <c r="AD173" s="5" t="str">
        <f>IFERROR(__xludf.DUMMYFUNCTION("""COMPUTED_VALUE"""),"Yes")</f>
        <v>Yes</v>
      </c>
      <c r="AE173" s="5" t="str">
        <f>IFERROR(__xludf.DUMMYFUNCTION("""COMPUTED_VALUE"""),"No")</f>
        <v>No</v>
      </c>
      <c r="AF173" s="5" t="str">
        <f>IFERROR(__xludf.DUMMYFUNCTION("""COMPUTED_VALUE"""),"Yes")</f>
        <v>Yes</v>
      </c>
      <c r="AG173" s="5" t="str">
        <f>IFERROR(__xludf.DUMMYFUNCTION("""COMPUTED_VALUE"""),"No")</f>
        <v>No</v>
      </c>
      <c r="AH173" s="5" t="str">
        <f>IFERROR(__xludf.DUMMYFUNCTION("""COMPUTED_VALUE"""),"No")</f>
        <v>No</v>
      </c>
      <c r="AI173" s="5" t="str">
        <f>IFERROR(__xludf.DUMMYFUNCTION("""COMPUTED_VALUE"""),"No")</f>
        <v>No</v>
      </c>
      <c r="AJ173" s="5" t="str">
        <f>IFERROR(__xludf.DUMMYFUNCTION("""COMPUTED_VALUE"""),"No")</f>
        <v>No</v>
      </c>
      <c r="AK173" s="5" t="str">
        <f>IFERROR(__xludf.DUMMYFUNCTION("""COMPUTED_VALUE"""),"No")</f>
        <v>No</v>
      </c>
      <c r="AL173" s="5" t="str">
        <f>IFERROR(__xludf.DUMMYFUNCTION("""COMPUTED_VALUE"""),"No")</f>
        <v>No</v>
      </c>
      <c r="AM173" s="5"/>
      <c r="AN173" s="5"/>
      <c r="AO173" s="5"/>
      <c r="AP173" s="5"/>
      <c r="AQ173" s="5"/>
      <c r="AR173" s="5"/>
      <c r="AS173" s="5"/>
      <c r="AT173" s="5"/>
      <c r="AU173" s="5"/>
      <c r="AV173" s="5"/>
      <c r="AW173" s="5"/>
      <c r="AX173" s="5"/>
      <c r="AY173" s="5"/>
    </row>
    <row r="174">
      <c r="A1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4" s="5">
        <f>IFERROR(__xludf.DUMMYFUNCTION("""COMPUTED_VALUE"""),174.0)</f>
        <v>174</v>
      </c>
      <c r="C174" s="5">
        <f>IFERROR(__xludf.DUMMYFUNCTION("""COMPUTED_VALUE"""),173.0)</f>
        <v>173</v>
      </c>
      <c r="D174" s="5" t="str">
        <f>IFERROR(__xludf.DUMMYFUNCTION("""COMPUTED_VALUE"""),"UnicornSurfinHeat")</f>
        <v>UnicornSurfinHeat</v>
      </c>
      <c r="E174" s="5" t="str">
        <f>IFERROR(__xludf.DUMMYFUNCTION("""COMPUTED_VALUE"""),"Yes")</f>
        <v>Yes</v>
      </c>
      <c r="F174" s="5" t="str">
        <f>IFERROR(__xludf.DUMMYFUNCTION("""COMPUTED_VALUE"""),"Yes")</f>
        <v>Yes</v>
      </c>
      <c r="G174" s="5" t="str">
        <f>IFERROR(__xludf.DUMMYFUNCTION("""COMPUTED_VALUE"""),"Yes")</f>
        <v>Yes</v>
      </c>
      <c r="H174" s="5" t="str">
        <f>IFERROR(__xludf.DUMMYFUNCTION("""COMPUTED_VALUE"""),"Yes")</f>
        <v>Yes</v>
      </c>
      <c r="I174" s="5" t="str">
        <f>IFERROR(__xludf.DUMMYFUNCTION("""COMPUTED_VALUE"""),"Yes")</f>
        <v>Yes</v>
      </c>
      <c r="J174" s="5" t="str">
        <f>IFERROR(__xludf.DUMMYFUNCTION("""COMPUTED_VALUE"""),"Yes")</f>
        <v>Yes</v>
      </c>
      <c r="K174" s="5" t="str">
        <f>IFERROR(__xludf.DUMMYFUNCTION("""COMPUTED_VALUE"""),"Yes")</f>
        <v>Yes</v>
      </c>
      <c r="L174" s="5" t="str">
        <f>IFERROR(__xludf.DUMMYFUNCTION("""COMPUTED_VALUE"""),"Yes")</f>
        <v>Yes</v>
      </c>
      <c r="M174" s="5" t="str">
        <f>IFERROR(__xludf.DUMMYFUNCTION("""COMPUTED_VALUE"""),"Yes")</f>
        <v>Yes</v>
      </c>
      <c r="N174" s="5" t="str">
        <f>IFERROR(__xludf.DUMMYFUNCTION("""COMPUTED_VALUE"""),"Yes")</f>
        <v>Yes</v>
      </c>
      <c r="O174" s="5" t="str">
        <f>IFERROR(__xludf.DUMMYFUNCTION("""COMPUTED_VALUE"""),"Yes")</f>
        <v>Yes</v>
      </c>
      <c r="P174" s="5" t="str">
        <f>IFERROR(__xludf.DUMMYFUNCTION("""COMPUTED_VALUE"""),"Yes")</f>
        <v>Yes</v>
      </c>
      <c r="Q174" s="5" t="str">
        <f>IFERROR(__xludf.DUMMYFUNCTION("""COMPUTED_VALUE"""),"Yes")</f>
        <v>Yes</v>
      </c>
      <c r="R174" s="5" t="str">
        <f>IFERROR(__xludf.DUMMYFUNCTION("""COMPUTED_VALUE"""),"Yes")</f>
        <v>Yes</v>
      </c>
      <c r="S174" s="5" t="str">
        <f>IFERROR(__xludf.DUMMYFUNCTION("""COMPUTED_VALUE"""),"Yes")</f>
        <v>Yes</v>
      </c>
      <c r="T174" s="5" t="str">
        <f>IFERROR(__xludf.DUMMYFUNCTION("""COMPUTED_VALUE"""),"Yes")</f>
        <v>Yes</v>
      </c>
      <c r="U174" s="5" t="str">
        <f>IFERROR(__xludf.DUMMYFUNCTION("""COMPUTED_VALUE"""),"Yes")</f>
        <v>Yes</v>
      </c>
      <c r="V174" s="5" t="str">
        <f>IFERROR(__xludf.DUMMYFUNCTION("""COMPUTED_VALUE"""),"Yes")</f>
        <v>Yes</v>
      </c>
      <c r="W174" s="5" t="str">
        <f>IFERROR(__xludf.DUMMYFUNCTION("""COMPUTED_VALUE"""),"Yes")</f>
        <v>Yes</v>
      </c>
      <c r="X174" s="5" t="str">
        <f>IFERROR(__xludf.DUMMYFUNCTION("""COMPUTED_VALUE"""),"Yes")</f>
        <v>Yes</v>
      </c>
      <c r="Y174" s="5"/>
      <c r="Z174" s="5"/>
      <c r="AA174" s="5"/>
      <c r="AB174" s="5"/>
      <c r="AC174" s="5" t="str">
        <f>IFERROR(__xludf.DUMMYFUNCTION("""COMPUTED_VALUE"""),"Yes")</f>
        <v>Yes</v>
      </c>
      <c r="AD174" s="5"/>
      <c r="AE174" s="5"/>
      <c r="AF174" s="5"/>
      <c r="AG174" s="5"/>
      <c r="AH174" s="5"/>
      <c r="AI174" s="5"/>
      <c r="AJ174" s="5"/>
      <c r="AK174" s="5"/>
      <c r="AL174" s="5"/>
      <c r="AM174" s="5"/>
      <c r="AN174" s="5"/>
      <c r="AO174" s="5"/>
      <c r="AP174" s="5"/>
      <c r="AQ174" s="5"/>
      <c r="AR174" s="5"/>
      <c r="AS174" s="5"/>
      <c r="AT174" s="5"/>
      <c r="AU174" s="5"/>
      <c r="AV174" s="5"/>
      <c r="AW174" s="5"/>
      <c r="AX174" s="5"/>
      <c r="AY174" s="5"/>
    </row>
    <row r="175">
      <c r="A1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5" s="5">
        <f>IFERROR(__xludf.DUMMYFUNCTION("""COMPUTED_VALUE"""),175.0)</f>
        <v>175</v>
      </c>
      <c r="C175" s="5">
        <f>IFERROR(__xludf.DUMMYFUNCTION("""COMPUTED_VALUE"""),174.0)</f>
        <v>174</v>
      </c>
      <c r="D175" s="5" t="str">
        <f>IFERROR(__xludf.DUMMYFUNCTION("""COMPUTED_VALUE"""),"WildJokerHot")</f>
        <v>WildJokerHot</v>
      </c>
      <c r="E175" s="5" t="str">
        <f>IFERROR(__xludf.DUMMYFUNCTION("""COMPUTED_VALUE"""),"Yes")</f>
        <v>Yes</v>
      </c>
      <c r="F175" s="5" t="str">
        <f>IFERROR(__xludf.DUMMYFUNCTION("""COMPUTED_VALUE"""),"Yes")</f>
        <v>Yes</v>
      </c>
      <c r="G175" s="5" t="str">
        <f>IFERROR(__xludf.DUMMYFUNCTION("""COMPUTED_VALUE"""),"Yes")</f>
        <v>Yes</v>
      </c>
      <c r="H175" s="5" t="str">
        <f>IFERROR(__xludf.DUMMYFUNCTION("""COMPUTED_VALUE"""),"Yes")</f>
        <v>Yes</v>
      </c>
      <c r="I175" s="5" t="str">
        <f>IFERROR(__xludf.DUMMYFUNCTION("""COMPUTED_VALUE"""),"Yes")</f>
        <v>Yes</v>
      </c>
      <c r="J175" s="5" t="str">
        <f>IFERROR(__xludf.DUMMYFUNCTION("""COMPUTED_VALUE"""),"Yes")</f>
        <v>Yes</v>
      </c>
      <c r="K175" s="5" t="str">
        <f>IFERROR(__xludf.DUMMYFUNCTION("""COMPUTED_VALUE"""),"Yes")</f>
        <v>Yes</v>
      </c>
      <c r="L175" s="5" t="str">
        <f>IFERROR(__xludf.DUMMYFUNCTION("""COMPUTED_VALUE"""),"Yes")</f>
        <v>Yes</v>
      </c>
      <c r="M175" s="5" t="str">
        <f>IFERROR(__xludf.DUMMYFUNCTION("""COMPUTED_VALUE"""),"Yes")</f>
        <v>Yes</v>
      </c>
      <c r="N175" s="5" t="str">
        <f>IFERROR(__xludf.DUMMYFUNCTION("""COMPUTED_VALUE"""),"Yes")</f>
        <v>Yes</v>
      </c>
      <c r="O175" s="5" t="str">
        <f>IFERROR(__xludf.DUMMYFUNCTION("""COMPUTED_VALUE"""),"Yes")</f>
        <v>Yes</v>
      </c>
      <c r="P175" s="5" t="str">
        <f>IFERROR(__xludf.DUMMYFUNCTION("""COMPUTED_VALUE"""),"Yes")</f>
        <v>Yes</v>
      </c>
      <c r="Q175" s="5" t="str">
        <f>IFERROR(__xludf.DUMMYFUNCTION("""COMPUTED_VALUE"""),"Yes")</f>
        <v>Yes</v>
      </c>
      <c r="R175" s="5" t="str">
        <f>IFERROR(__xludf.DUMMYFUNCTION("""COMPUTED_VALUE"""),"Yes")</f>
        <v>Yes</v>
      </c>
      <c r="S175" s="5" t="str">
        <f>IFERROR(__xludf.DUMMYFUNCTION("""COMPUTED_VALUE"""),"Yes")</f>
        <v>Yes</v>
      </c>
      <c r="T175" s="5" t="str">
        <f>IFERROR(__xludf.DUMMYFUNCTION("""COMPUTED_VALUE"""),"Yes")</f>
        <v>Yes</v>
      </c>
      <c r="U175" s="5" t="str">
        <f>IFERROR(__xludf.DUMMYFUNCTION("""COMPUTED_VALUE"""),"Yes")</f>
        <v>Yes</v>
      </c>
      <c r="V175" s="5" t="str">
        <f>IFERROR(__xludf.DUMMYFUNCTION("""COMPUTED_VALUE"""),"Yes")</f>
        <v>Yes</v>
      </c>
      <c r="W175" s="5" t="str">
        <f>IFERROR(__xludf.DUMMYFUNCTION("""COMPUTED_VALUE"""),"Yes")</f>
        <v>Yes</v>
      </c>
      <c r="X175" s="5" t="str">
        <f>IFERROR(__xludf.DUMMYFUNCTION("""COMPUTED_VALUE"""),"Yes")</f>
        <v>Yes</v>
      </c>
      <c r="Y175" s="5" t="str">
        <f>IFERROR(__xludf.DUMMYFUNCTION("""COMPUTED_VALUE"""),"Yes")</f>
        <v>Yes</v>
      </c>
      <c r="Z175" s="5" t="str">
        <f>IFERROR(__xludf.DUMMYFUNCTION("""COMPUTED_VALUE"""),"No")</f>
        <v>No</v>
      </c>
      <c r="AA175" s="5" t="str">
        <f>IFERROR(__xludf.DUMMYFUNCTION("""COMPUTED_VALUE"""),"Yes")</f>
        <v>Yes</v>
      </c>
      <c r="AB175" s="5" t="str">
        <f>IFERROR(__xludf.DUMMYFUNCTION("""COMPUTED_VALUE"""),"Yes")</f>
        <v>Yes</v>
      </c>
      <c r="AC175" s="5" t="str">
        <f>IFERROR(__xludf.DUMMYFUNCTION("""COMPUTED_VALUE"""),"Yes")</f>
        <v>Yes</v>
      </c>
      <c r="AD175" s="5" t="str">
        <f>IFERROR(__xludf.DUMMYFUNCTION("""COMPUTED_VALUE"""),"Yes")</f>
        <v>Yes</v>
      </c>
      <c r="AE175" s="5" t="str">
        <f>IFERROR(__xludf.DUMMYFUNCTION("""COMPUTED_VALUE"""),"No")</f>
        <v>No</v>
      </c>
      <c r="AF175" s="5" t="str">
        <f>IFERROR(__xludf.DUMMYFUNCTION("""COMPUTED_VALUE"""),"Yes")</f>
        <v>Yes</v>
      </c>
      <c r="AG175" s="5" t="str">
        <f>IFERROR(__xludf.DUMMYFUNCTION("""COMPUTED_VALUE"""),"No")</f>
        <v>No</v>
      </c>
      <c r="AH175" s="5" t="str">
        <f>IFERROR(__xludf.DUMMYFUNCTION("""COMPUTED_VALUE"""),"No")</f>
        <v>No</v>
      </c>
      <c r="AI175" s="5" t="str">
        <f>IFERROR(__xludf.DUMMYFUNCTION("""COMPUTED_VALUE"""),"No")</f>
        <v>No</v>
      </c>
      <c r="AJ175" s="5" t="str">
        <f>IFERROR(__xludf.DUMMYFUNCTION("""COMPUTED_VALUE"""),"No")</f>
        <v>No</v>
      </c>
      <c r="AK175" s="5" t="str">
        <f>IFERROR(__xludf.DUMMYFUNCTION("""COMPUTED_VALUE"""),"No")</f>
        <v>No</v>
      </c>
      <c r="AL175" s="5" t="str">
        <f>IFERROR(__xludf.DUMMYFUNCTION("""COMPUTED_VALUE"""),"No")</f>
        <v>No</v>
      </c>
      <c r="AM175" s="5"/>
      <c r="AN175" s="5"/>
      <c r="AO175" s="5"/>
      <c r="AP175" s="5"/>
      <c r="AQ175" s="5"/>
      <c r="AR175" s="5"/>
      <c r="AS175" s="5"/>
      <c r="AT175" s="5"/>
      <c r="AU175" s="5"/>
      <c r="AV175" s="5"/>
      <c r="AW175" s="5"/>
      <c r="AX175" s="5"/>
      <c r="AY175" s="5"/>
    </row>
    <row r="176">
      <c r="A1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6" s="5">
        <f>IFERROR(__xludf.DUMMYFUNCTION("""COMPUTED_VALUE"""),176.0)</f>
        <v>176</v>
      </c>
      <c r="C176" s="5">
        <f>IFERROR(__xludf.DUMMYFUNCTION("""COMPUTED_VALUE"""),175.0)</f>
        <v>175</v>
      </c>
      <c r="D176" s="5" t="str">
        <f>IFERROR(__xludf.DUMMYFUNCTION("""COMPUTED_VALUE"""),"WildDice10")</f>
        <v>WildDice10</v>
      </c>
      <c r="E176" s="5" t="str">
        <f>IFERROR(__xludf.DUMMYFUNCTION("""COMPUTED_VALUE"""),"Yes")</f>
        <v>Yes</v>
      </c>
      <c r="F176" s="5" t="str">
        <f>IFERROR(__xludf.DUMMYFUNCTION("""COMPUTED_VALUE"""),"Yes")</f>
        <v>Yes</v>
      </c>
      <c r="G176" s="5" t="str">
        <f>IFERROR(__xludf.DUMMYFUNCTION("""COMPUTED_VALUE"""),"Yes")</f>
        <v>Yes</v>
      </c>
      <c r="H176" s="5" t="str">
        <f>IFERROR(__xludf.DUMMYFUNCTION("""COMPUTED_VALUE"""),"Yes")</f>
        <v>Yes</v>
      </c>
      <c r="I176" s="5" t="str">
        <f>IFERROR(__xludf.DUMMYFUNCTION("""COMPUTED_VALUE"""),"Yes")</f>
        <v>Yes</v>
      </c>
      <c r="J176" s="5" t="str">
        <f>IFERROR(__xludf.DUMMYFUNCTION("""COMPUTED_VALUE"""),"Yes")</f>
        <v>Yes</v>
      </c>
      <c r="K176" s="5" t="str">
        <f>IFERROR(__xludf.DUMMYFUNCTION("""COMPUTED_VALUE"""),"Yes")</f>
        <v>Yes</v>
      </c>
      <c r="L176" s="5" t="str">
        <f>IFERROR(__xludf.DUMMYFUNCTION("""COMPUTED_VALUE"""),"Yes")</f>
        <v>Yes</v>
      </c>
      <c r="M176" s="5" t="str">
        <f>IFERROR(__xludf.DUMMYFUNCTION("""COMPUTED_VALUE"""),"Yes")</f>
        <v>Yes</v>
      </c>
      <c r="N176" s="5" t="str">
        <f>IFERROR(__xludf.DUMMYFUNCTION("""COMPUTED_VALUE"""),"Yes")</f>
        <v>Yes</v>
      </c>
      <c r="O176" s="5" t="str">
        <f>IFERROR(__xludf.DUMMYFUNCTION("""COMPUTED_VALUE"""),"Yes")</f>
        <v>Yes</v>
      </c>
      <c r="P176" s="5" t="str">
        <f>IFERROR(__xludf.DUMMYFUNCTION("""COMPUTED_VALUE"""),"Yes")</f>
        <v>Yes</v>
      </c>
      <c r="Q176" s="5" t="str">
        <f>IFERROR(__xludf.DUMMYFUNCTION("""COMPUTED_VALUE"""),"Yes")</f>
        <v>Yes</v>
      </c>
      <c r="R176" s="5" t="str">
        <f>IFERROR(__xludf.DUMMYFUNCTION("""COMPUTED_VALUE"""),"Yes")</f>
        <v>Yes</v>
      </c>
      <c r="S176" s="5" t="str">
        <f>IFERROR(__xludf.DUMMYFUNCTION("""COMPUTED_VALUE"""),"Yes")</f>
        <v>Yes</v>
      </c>
      <c r="T176" s="5" t="str">
        <f>IFERROR(__xludf.DUMMYFUNCTION("""COMPUTED_VALUE"""),"Yes")</f>
        <v>Yes</v>
      </c>
      <c r="U176" s="5" t="str">
        <f>IFERROR(__xludf.DUMMYFUNCTION("""COMPUTED_VALUE"""),"Yes")</f>
        <v>Yes</v>
      </c>
      <c r="V176" s="5" t="str">
        <f>IFERROR(__xludf.DUMMYFUNCTION("""COMPUTED_VALUE"""),"Yes")</f>
        <v>Yes</v>
      </c>
      <c r="W176" s="5" t="str">
        <f>IFERROR(__xludf.DUMMYFUNCTION("""COMPUTED_VALUE"""),"Yes")</f>
        <v>Yes</v>
      </c>
      <c r="X176" s="5" t="str">
        <f>IFERROR(__xludf.DUMMYFUNCTION("""COMPUTED_VALUE"""),"Yes")</f>
        <v>Yes</v>
      </c>
      <c r="Y176" s="5" t="str">
        <f>IFERROR(__xludf.DUMMYFUNCTION("""COMPUTED_VALUE"""),"Yes")</f>
        <v>Yes</v>
      </c>
      <c r="Z176" s="5"/>
      <c r="AA176" s="5" t="str">
        <f>IFERROR(__xludf.DUMMYFUNCTION("""COMPUTED_VALUE"""),"Yes")</f>
        <v>Yes</v>
      </c>
      <c r="AB176" s="5" t="str">
        <f>IFERROR(__xludf.DUMMYFUNCTION("""COMPUTED_VALUE"""),"Yes")</f>
        <v>Yes</v>
      </c>
      <c r="AC176" s="5" t="str">
        <f>IFERROR(__xludf.DUMMYFUNCTION("""COMPUTED_VALUE"""),"Yes")</f>
        <v>Yes</v>
      </c>
      <c r="AD176" s="5" t="str">
        <f>IFERROR(__xludf.DUMMYFUNCTION("""COMPUTED_VALUE"""),"Yes")</f>
        <v>Yes</v>
      </c>
      <c r="AE176" s="5"/>
      <c r="AF176" s="5" t="str">
        <f>IFERROR(__xludf.DUMMYFUNCTION("""COMPUTED_VALUE"""),"Yes")</f>
        <v>Yes</v>
      </c>
      <c r="AG176" s="5"/>
      <c r="AH176" s="5"/>
      <c r="AI176" s="5"/>
      <c r="AJ176" s="5"/>
      <c r="AK176" s="5"/>
      <c r="AL176" s="5"/>
      <c r="AM176" s="5"/>
      <c r="AN176" s="5"/>
      <c r="AO176" s="5"/>
      <c r="AP176" s="5"/>
      <c r="AQ176" s="5"/>
      <c r="AR176" s="5"/>
      <c r="AS176" s="5"/>
      <c r="AT176" s="5"/>
      <c r="AU176" s="5"/>
      <c r="AV176" s="5"/>
      <c r="AW176" s="5"/>
      <c r="AX176" s="5"/>
      <c r="AY176" s="5"/>
    </row>
    <row r="177">
      <c r="A1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7" s="5">
        <f>IFERROR(__xludf.DUMMYFUNCTION("""COMPUTED_VALUE"""),177.0)</f>
        <v>177</v>
      </c>
      <c r="C177" s="5">
        <f>IFERROR(__xludf.DUMMYFUNCTION("""COMPUTED_VALUE"""),176.0)</f>
        <v>176</v>
      </c>
      <c r="D177" s="5" t="str">
        <f>IFERROR(__xludf.DUMMYFUNCTION("""COMPUTED_VALUE"""),"HeatingFruits")</f>
        <v>HeatingFruits</v>
      </c>
      <c r="E177" s="5" t="str">
        <f>IFERROR(__xludf.DUMMYFUNCTION("""COMPUTED_VALUE"""),"Yes")</f>
        <v>Yes</v>
      </c>
      <c r="F177" s="5" t="str">
        <f>IFERROR(__xludf.DUMMYFUNCTION("""COMPUTED_VALUE"""),"Yes")</f>
        <v>Yes</v>
      </c>
      <c r="G177" s="5" t="str">
        <f>IFERROR(__xludf.DUMMYFUNCTION("""COMPUTED_VALUE"""),"Yes")</f>
        <v>Yes</v>
      </c>
      <c r="H177" s="5" t="str">
        <f>IFERROR(__xludf.DUMMYFUNCTION("""COMPUTED_VALUE"""),"Yes")</f>
        <v>Yes</v>
      </c>
      <c r="I177" s="5" t="str">
        <f>IFERROR(__xludf.DUMMYFUNCTION("""COMPUTED_VALUE"""),"Yes")</f>
        <v>Yes</v>
      </c>
      <c r="J177" s="5" t="str">
        <f>IFERROR(__xludf.DUMMYFUNCTION("""COMPUTED_VALUE"""),"Yes")</f>
        <v>Yes</v>
      </c>
      <c r="K177" s="5" t="str">
        <f>IFERROR(__xludf.DUMMYFUNCTION("""COMPUTED_VALUE"""),"Yes")</f>
        <v>Yes</v>
      </c>
      <c r="L177" s="5" t="str">
        <f>IFERROR(__xludf.DUMMYFUNCTION("""COMPUTED_VALUE"""),"Yes")</f>
        <v>Yes</v>
      </c>
      <c r="M177" s="5" t="str">
        <f>IFERROR(__xludf.DUMMYFUNCTION("""COMPUTED_VALUE"""),"Yes")</f>
        <v>Yes</v>
      </c>
      <c r="N177" s="5" t="str">
        <f>IFERROR(__xludf.DUMMYFUNCTION("""COMPUTED_VALUE"""),"Yes")</f>
        <v>Yes</v>
      </c>
      <c r="O177" s="5" t="str">
        <f>IFERROR(__xludf.DUMMYFUNCTION("""COMPUTED_VALUE"""),"Yes")</f>
        <v>Yes</v>
      </c>
      <c r="P177" s="5" t="str">
        <f>IFERROR(__xludf.DUMMYFUNCTION("""COMPUTED_VALUE"""),"Yes")</f>
        <v>Yes</v>
      </c>
      <c r="Q177" s="5" t="str">
        <f>IFERROR(__xludf.DUMMYFUNCTION("""COMPUTED_VALUE"""),"Yes")</f>
        <v>Yes</v>
      </c>
      <c r="R177" s="5" t="str">
        <f>IFERROR(__xludf.DUMMYFUNCTION("""COMPUTED_VALUE"""),"Yes")</f>
        <v>Yes</v>
      </c>
      <c r="S177" s="5" t="str">
        <f>IFERROR(__xludf.DUMMYFUNCTION("""COMPUTED_VALUE"""),"Yes")</f>
        <v>Yes</v>
      </c>
      <c r="T177" s="5" t="str">
        <f>IFERROR(__xludf.DUMMYFUNCTION("""COMPUTED_VALUE"""),"Yes")</f>
        <v>Yes</v>
      </c>
      <c r="U177" s="5" t="str">
        <f>IFERROR(__xludf.DUMMYFUNCTION("""COMPUTED_VALUE"""),"Yes")</f>
        <v>Yes</v>
      </c>
      <c r="V177" s="5" t="str">
        <f>IFERROR(__xludf.DUMMYFUNCTION("""COMPUTED_VALUE"""),"Yes")</f>
        <v>Yes</v>
      </c>
      <c r="W177" s="5" t="str">
        <f>IFERROR(__xludf.DUMMYFUNCTION("""COMPUTED_VALUE"""),"Yes")</f>
        <v>Yes</v>
      </c>
      <c r="X177" s="5" t="str">
        <f>IFERROR(__xludf.DUMMYFUNCTION("""COMPUTED_VALUE"""),"Yes")</f>
        <v>Yes</v>
      </c>
      <c r="Y177" s="5" t="str">
        <f>IFERROR(__xludf.DUMMYFUNCTION("""COMPUTED_VALUE"""),"Yes")</f>
        <v>Yes</v>
      </c>
      <c r="Z177" s="5" t="str">
        <f>IFERROR(__xludf.DUMMYFUNCTION("""COMPUTED_VALUE"""),"No")</f>
        <v>No</v>
      </c>
      <c r="AA177" s="5" t="str">
        <f>IFERROR(__xludf.DUMMYFUNCTION("""COMPUTED_VALUE"""),"Yes")</f>
        <v>Yes</v>
      </c>
      <c r="AB177" s="5" t="str">
        <f>IFERROR(__xludf.DUMMYFUNCTION("""COMPUTED_VALUE"""),"Yes")</f>
        <v>Yes</v>
      </c>
      <c r="AC177" s="5" t="str">
        <f>IFERROR(__xludf.DUMMYFUNCTION("""COMPUTED_VALUE"""),"Yes")</f>
        <v>Yes</v>
      </c>
      <c r="AD177" s="5" t="str">
        <f>IFERROR(__xludf.DUMMYFUNCTION("""COMPUTED_VALUE"""),"Yes")</f>
        <v>Yes</v>
      </c>
      <c r="AE177" s="5" t="str">
        <f>IFERROR(__xludf.DUMMYFUNCTION("""COMPUTED_VALUE"""),"No")</f>
        <v>No</v>
      </c>
      <c r="AF177" s="5" t="str">
        <f>IFERROR(__xludf.DUMMYFUNCTION("""COMPUTED_VALUE"""),"Yes")</f>
        <v>Yes</v>
      </c>
      <c r="AG177" s="5" t="str">
        <f>IFERROR(__xludf.DUMMYFUNCTION("""COMPUTED_VALUE"""),"No")</f>
        <v>No</v>
      </c>
      <c r="AH177" s="5" t="str">
        <f>IFERROR(__xludf.DUMMYFUNCTION("""COMPUTED_VALUE"""),"No")</f>
        <v>No</v>
      </c>
      <c r="AI177" s="5" t="str">
        <f>IFERROR(__xludf.DUMMYFUNCTION("""COMPUTED_VALUE"""),"No")</f>
        <v>No</v>
      </c>
      <c r="AJ177" s="5" t="str">
        <f>IFERROR(__xludf.DUMMYFUNCTION("""COMPUTED_VALUE"""),"No")</f>
        <v>No</v>
      </c>
      <c r="AK177" s="5" t="str">
        <f>IFERROR(__xludf.DUMMYFUNCTION("""COMPUTED_VALUE"""),"No")</f>
        <v>No</v>
      </c>
      <c r="AL177" s="5" t="str">
        <f>IFERROR(__xludf.DUMMYFUNCTION("""COMPUTED_VALUE"""),"No")</f>
        <v>No</v>
      </c>
      <c r="AM177" s="5"/>
      <c r="AN177" s="5"/>
      <c r="AO177" s="5"/>
      <c r="AP177" s="5"/>
      <c r="AQ177" s="5"/>
      <c r="AR177" s="5"/>
      <c r="AS177" s="5"/>
      <c r="AT177" s="5"/>
      <c r="AU177" s="5"/>
      <c r="AV177" s="5"/>
      <c r="AW177" s="5"/>
      <c r="AX177" s="5"/>
      <c r="AY177" s="5"/>
    </row>
    <row r="178">
      <c r="A1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8" s="5">
        <f>IFERROR(__xludf.DUMMYFUNCTION("""COMPUTED_VALUE"""),178.0)</f>
        <v>178</v>
      </c>
      <c r="C178" s="5">
        <f>IFERROR(__xludf.DUMMYFUNCTION("""COMPUTED_VALUE"""),177.0)</f>
        <v>177</v>
      </c>
      <c r="D178" s="5" t="str">
        <f>IFERROR(__xludf.DUMMYFUNCTION("""COMPUTED_VALUE"""),"ExtraFlames10")</f>
        <v>ExtraFlames10</v>
      </c>
      <c r="E178" s="5" t="str">
        <f>IFERROR(__xludf.DUMMYFUNCTION("""COMPUTED_VALUE"""),"Yes")</f>
        <v>Yes</v>
      </c>
      <c r="F178" s="5" t="str">
        <f>IFERROR(__xludf.DUMMYFUNCTION("""COMPUTED_VALUE"""),"Yes")</f>
        <v>Yes</v>
      </c>
      <c r="G178" s="5" t="str">
        <f>IFERROR(__xludf.DUMMYFUNCTION("""COMPUTED_VALUE"""),"Yes")</f>
        <v>Yes</v>
      </c>
      <c r="H178" s="5" t="str">
        <f>IFERROR(__xludf.DUMMYFUNCTION("""COMPUTED_VALUE"""),"Yes")</f>
        <v>Yes</v>
      </c>
      <c r="I178" s="5" t="str">
        <f>IFERROR(__xludf.DUMMYFUNCTION("""COMPUTED_VALUE"""),"Yes")</f>
        <v>Yes</v>
      </c>
      <c r="J178" s="5" t="str">
        <f>IFERROR(__xludf.DUMMYFUNCTION("""COMPUTED_VALUE"""),"Yes")</f>
        <v>Yes</v>
      </c>
      <c r="K178" s="5" t="str">
        <f>IFERROR(__xludf.DUMMYFUNCTION("""COMPUTED_VALUE"""),"Yes")</f>
        <v>Yes</v>
      </c>
      <c r="L178" s="5" t="str">
        <f>IFERROR(__xludf.DUMMYFUNCTION("""COMPUTED_VALUE"""),"Yes")</f>
        <v>Yes</v>
      </c>
      <c r="M178" s="5" t="str">
        <f>IFERROR(__xludf.DUMMYFUNCTION("""COMPUTED_VALUE"""),"Yes")</f>
        <v>Yes</v>
      </c>
      <c r="N178" s="5" t="str">
        <f>IFERROR(__xludf.DUMMYFUNCTION("""COMPUTED_VALUE"""),"Yes")</f>
        <v>Yes</v>
      </c>
      <c r="O178" s="5" t="str">
        <f>IFERROR(__xludf.DUMMYFUNCTION("""COMPUTED_VALUE"""),"Yes")</f>
        <v>Yes</v>
      </c>
      <c r="P178" s="5" t="str">
        <f>IFERROR(__xludf.DUMMYFUNCTION("""COMPUTED_VALUE"""),"Yes")</f>
        <v>Yes</v>
      </c>
      <c r="Q178" s="5" t="str">
        <f>IFERROR(__xludf.DUMMYFUNCTION("""COMPUTED_VALUE"""),"Yes")</f>
        <v>Yes</v>
      </c>
      <c r="R178" s="5" t="str">
        <f>IFERROR(__xludf.DUMMYFUNCTION("""COMPUTED_VALUE"""),"Yes")</f>
        <v>Yes</v>
      </c>
      <c r="S178" s="5" t="str">
        <f>IFERROR(__xludf.DUMMYFUNCTION("""COMPUTED_VALUE"""),"Yes")</f>
        <v>Yes</v>
      </c>
      <c r="T178" s="5" t="str">
        <f>IFERROR(__xludf.DUMMYFUNCTION("""COMPUTED_VALUE"""),"Yes")</f>
        <v>Yes</v>
      </c>
      <c r="U178" s="5" t="str">
        <f>IFERROR(__xludf.DUMMYFUNCTION("""COMPUTED_VALUE"""),"Yes")</f>
        <v>Yes</v>
      </c>
      <c r="V178" s="5" t="str">
        <f>IFERROR(__xludf.DUMMYFUNCTION("""COMPUTED_VALUE"""),"Yes")</f>
        <v>Yes</v>
      </c>
      <c r="W178" s="5" t="str">
        <f>IFERROR(__xludf.DUMMYFUNCTION("""COMPUTED_VALUE"""),"Yes")</f>
        <v>Yes</v>
      </c>
      <c r="X178" s="5" t="str">
        <f>IFERROR(__xludf.DUMMYFUNCTION("""COMPUTED_VALUE"""),"Yes")</f>
        <v>Yes</v>
      </c>
      <c r="Y178" s="5" t="str">
        <f>IFERROR(__xludf.DUMMYFUNCTION("""COMPUTED_VALUE"""),"Yes")</f>
        <v>Yes</v>
      </c>
      <c r="Z178" s="5"/>
      <c r="AA178" s="5" t="str">
        <f>IFERROR(__xludf.DUMMYFUNCTION("""COMPUTED_VALUE"""),"Yes")</f>
        <v>Yes</v>
      </c>
      <c r="AB178" s="5" t="str">
        <f>IFERROR(__xludf.DUMMYFUNCTION("""COMPUTED_VALUE"""),"Yes")</f>
        <v>Yes</v>
      </c>
      <c r="AC178" s="5" t="str">
        <f>IFERROR(__xludf.DUMMYFUNCTION("""COMPUTED_VALUE"""),"Yes")</f>
        <v>Yes</v>
      </c>
      <c r="AD178" s="5" t="str">
        <f>IFERROR(__xludf.DUMMYFUNCTION("""COMPUTED_VALUE"""),"Yes")</f>
        <v>Yes</v>
      </c>
      <c r="AE178" s="5"/>
      <c r="AF178" s="5" t="str">
        <f>IFERROR(__xludf.DUMMYFUNCTION("""COMPUTED_VALUE"""),"Yes")</f>
        <v>Yes</v>
      </c>
      <c r="AG178" s="5"/>
      <c r="AH178" s="5"/>
      <c r="AI178" s="5"/>
      <c r="AJ178" s="5"/>
      <c r="AK178" s="5"/>
      <c r="AL178" s="5"/>
      <c r="AM178" s="5"/>
      <c r="AN178" s="5"/>
      <c r="AO178" s="5"/>
      <c r="AP178" s="5"/>
      <c r="AQ178" s="5"/>
      <c r="AR178" s="5"/>
      <c r="AS178" s="5"/>
      <c r="AT178" s="5"/>
      <c r="AU178" s="5"/>
      <c r="AV178" s="5"/>
      <c r="AW178" s="5"/>
      <c r="AX178" s="5"/>
      <c r="AY178" s="5"/>
    </row>
    <row r="179">
      <c r="A1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9" s="5">
        <f>IFERROR(__xludf.DUMMYFUNCTION("""COMPUTED_VALUE"""),179.0)</f>
        <v>179</v>
      </c>
      <c r="C179" s="5">
        <f>IFERROR(__xludf.DUMMYFUNCTION("""COMPUTED_VALUE"""),178.0)</f>
        <v>178</v>
      </c>
      <c r="D179" s="5" t="str">
        <f>IFERROR(__xludf.DUMMYFUNCTION("""COMPUTED_VALUE"""),"BookOfIbis")</f>
        <v>BookOfIbis</v>
      </c>
      <c r="E179" s="5" t="str">
        <f>IFERROR(__xludf.DUMMYFUNCTION("""COMPUTED_VALUE"""),"Yes")</f>
        <v>Yes</v>
      </c>
      <c r="F179" s="5" t="str">
        <f>IFERROR(__xludf.DUMMYFUNCTION("""COMPUTED_VALUE"""),"Yes")</f>
        <v>Yes</v>
      </c>
      <c r="G179" s="5" t="str">
        <f>IFERROR(__xludf.DUMMYFUNCTION("""COMPUTED_VALUE"""),"Yes")</f>
        <v>Yes</v>
      </c>
      <c r="H179" s="5" t="str">
        <f>IFERROR(__xludf.DUMMYFUNCTION("""COMPUTED_VALUE"""),"Yes")</f>
        <v>Yes</v>
      </c>
      <c r="I179" s="5" t="str">
        <f>IFERROR(__xludf.DUMMYFUNCTION("""COMPUTED_VALUE"""),"Yes")</f>
        <v>Yes</v>
      </c>
      <c r="J179" s="5" t="str">
        <f>IFERROR(__xludf.DUMMYFUNCTION("""COMPUTED_VALUE"""),"Yes")</f>
        <v>Yes</v>
      </c>
      <c r="K179" s="5" t="str">
        <f>IFERROR(__xludf.DUMMYFUNCTION("""COMPUTED_VALUE"""),"Yes")</f>
        <v>Yes</v>
      </c>
      <c r="L179" s="5" t="str">
        <f>IFERROR(__xludf.DUMMYFUNCTION("""COMPUTED_VALUE"""),"Yes")</f>
        <v>Yes</v>
      </c>
      <c r="M179" s="5" t="str">
        <f>IFERROR(__xludf.DUMMYFUNCTION("""COMPUTED_VALUE"""),"Yes")</f>
        <v>Yes</v>
      </c>
      <c r="N179" s="5" t="str">
        <f>IFERROR(__xludf.DUMMYFUNCTION("""COMPUTED_VALUE"""),"Yes")</f>
        <v>Yes</v>
      </c>
      <c r="O179" s="5" t="str">
        <f>IFERROR(__xludf.DUMMYFUNCTION("""COMPUTED_VALUE"""),"Yes")</f>
        <v>Yes</v>
      </c>
      <c r="P179" s="5" t="str">
        <f>IFERROR(__xludf.DUMMYFUNCTION("""COMPUTED_VALUE"""),"Yes")</f>
        <v>Yes</v>
      </c>
      <c r="Q179" s="5" t="str">
        <f>IFERROR(__xludf.DUMMYFUNCTION("""COMPUTED_VALUE"""),"Yes")</f>
        <v>Yes</v>
      </c>
      <c r="R179" s="5" t="str">
        <f>IFERROR(__xludf.DUMMYFUNCTION("""COMPUTED_VALUE"""),"Yes")</f>
        <v>Yes</v>
      </c>
      <c r="S179" s="5" t="str">
        <f>IFERROR(__xludf.DUMMYFUNCTION("""COMPUTED_VALUE"""),"Yes")</f>
        <v>Yes</v>
      </c>
      <c r="T179" s="5" t="str">
        <f>IFERROR(__xludf.DUMMYFUNCTION("""COMPUTED_VALUE"""),"Yes")</f>
        <v>Yes</v>
      </c>
      <c r="U179" s="5" t="str">
        <f>IFERROR(__xludf.DUMMYFUNCTION("""COMPUTED_VALUE"""),"Yes")</f>
        <v>Yes</v>
      </c>
      <c r="V179" s="5" t="str">
        <f>IFERROR(__xludf.DUMMYFUNCTION("""COMPUTED_VALUE"""),"Yes")</f>
        <v>Yes</v>
      </c>
      <c r="W179" s="5" t="str">
        <f>IFERROR(__xludf.DUMMYFUNCTION("""COMPUTED_VALUE"""),"Yes")</f>
        <v>Yes</v>
      </c>
      <c r="X179" s="5" t="str">
        <f>IFERROR(__xludf.DUMMYFUNCTION("""COMPUTED_VALUE"""),"Yes")</f>
        <v>Yes</v>
      </c>
      <c r="Y179" s="5"/>
      <c r="Z179" s="5"/>
      <c r="AA179" s="5"/>
      <c r="AB179" s="5"/>
      <c r="AC179" s="5" t="str">
        <f>IFERROR(__xludf.DUMMYFUNCTION("""COMPUTED_VALUE"""),"Yes")</f>
        <v>Yes</v>
      </c>
      <c r="AD179" s="5"/>
      <c r="AE179" s="5"/>
      <c r="AF179" s="5"/>
      <c r="AG179" s="5"/>
      <c r="AH179" s="5"/>
      <c r="AI179" s="5"/>
      <c r="AJ179" s="5"/>
      <c r="AK179" s="5"/>
      <c r="AL179" s="5"/>
      <c r="AM179" s="5"/>
      <c r="AN179" s="5"/>
      <c r="AO179" s="5"/>
      <c r="AP179" s="5"/>
      <c r="AQ179" s="5"/>
      <c r="AR179" s="5"/>
      <c r="AS179" s="5"/>
      <c r="AT179" s="5"/>
      <c r="AU179" s="5"/>
      <c r="AV179" s="5"/>
      <c r="AW179" s="5"/>
      <c r="AX179" s="5"/>
      <c r="AY179" s="5"/>
    </row>
    <row r="180">
      <c r="A18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80" s="5">
        <f>IFERROR(__xludf.DUMMYFUNCTION("""COMPUTED_VALUE"""),180.0)</f>
        <v>180</v>
      </c>
      <c r="C180" s="5">
        <f>IFERROR(__xludf.DUMMYFUNCTION("""COMPUTED_VALUE"""),179.0)</f>
        <v>179</v>
      </c>
      <c r="D180" s="5" t="str">
        <f>IFERROR(__xludf.DUMMYFUNCTION("""COMPUTED_VALUE"""),"CloverCoin")</f>
        <v>CloverCoin</v>
      </c>
      <c r="E180" s="5" t="str">
        <f>IFERROR(__xludf.DUMMYFUNCTION("""COMPUTED_VALUE"""),"Yes")</f>
        <v>Yes</v>
      </c>
      <c r="F180" s="5" t="str">
        <f>IFERROR(__xludf.DUMMYFUNCTION("""COMPUTED_VALUE"""),"Yes")</f>
        <v>Yes</v>
      </c>
      <c r="G180" s="5" t="str">
        <f>IFERROR(__xludf.DUMMYFUNCTION("""COMPUTED_VALUE"""),"No")</f>
        <v>No</v>
      </c>
      <c r="H180" s="5" t="str">
        <f>IFERROR(__xludf.DUMMYFUNCTION("""COMPUTED_VALUE"""),"Yes")</f>
        <v>Yes</v>
      </c>
      <c r="I180" s="5" t="str">
        <f>IFERROR(__xludf.DUMMYFUNCTION("""COMPUTED_VALUE"""),"Yes")</f>
        <v>Yes</v>
      </c>
      <c r="J180" s="5" t="str">
        <f>IFERROR(__xludf.DUMMYFUNCTION("""COMPUTED_VALUE"""),"Yes")</f>
        <v>Yes</v>
      </c>
      <c r="K180" s="5" t="str">
        <f>IFERROR(__xludf.DUMMYFUNCTION("""COMPUTED_VALUE"""),"Yes")</f>
        <v>Yes</v>
      </c>
      <c r="L180" s="5" t="str">
        <f>IFERROR(__xludf.DUMMYFUNCTION("""COMPUTED_VALUE"""),"Yes")</f>
        <v>Yes</v>
      </c>
      <c r="M180" s="5" t="str">
        <f>IFERROR(__xludf.DUMMYFUNCTION("""COMPUTED_VALUE"""),"Yes")</f>
        <v>Yes</v>
      </c>
      <c r="N180" s="5" t="str">
        <f>IFERROR(__xludf.DUMMYFUNCTION("""COMPUTED_VALUE"""),"Yes")</f>
        <v>Yes</v>
      </c>
      <c r="O180" s="5" t="str">
        <f>IFERROR(__xludf.DUMMYFUNCTION("""COMPUTED_VALUE"""),"Yes")</f>
        <v>Yes</v>
      </c>
      <c r="P180" s="5" t="str">
        <f>IFERROR(__xludf.DUMMYFUNCTION("""COMPUTED_VALUE"""),"Yes")</f>
        <v>Yes</v>
      </c>
      <c r="Q180" s="5" t="str">
        <f>IFERROR(__xludf.DUMMYFUNCTION("""COMPUTED_VALUE"""),"Yes")</f>
        <v>Yes</v>
      </c>
      <c r="R180" s="5" t="str">
        <f>IFERROR(__xludf.DUMMYFUNCTION("""COMPUTED_VALUE"""),"Yes")</f>
        <v>Yes</v>
      </c>
      <c r="S180" s="5" t="str">
        <f>IFERROR(__xludf.DUMMYFUNCTION("""COMPUTED_VALUE"""),"Yes")</f>
        <v>Yes</v>
      </c>
      <c r="T180" s="5" t="str">
        <f>IFERROR(__xludf.DUMMYFUNCTION("""COMPUTED_VALUE"""),"No")</f>
        <v>No</v>
      </c>
      <c r="U180" s="5" t="str">
        <f>IFERROR(__xludf.DUMMYFUNCTION("""COMPUTED_VALUE"""),"No")</f>
        <v>No</v>
      </c>
      <c r="V180" s="5" t="str">
        <f>IFERROR(__xludf.DUMMYFUNCTION("""COMPUTED_VALUE"""),"No")</f>
        <v>No</v>
      </c>
      <c r="W180" s="5" t="str">
        <f>IFERROR(__xludf.DUMMYFUNCTION("""COMPUTED_VALUE"""),"No")</f>
        <v>No</v>
      </c>
      <c r="X180" s="5" t="str">
        <f>IFERROR(__xludf.DUMMYFUNCTION("""COMPUTED_VALUE"""),"No")</f>
        <v>No</v>
      </c>
      <c r="Y180" s="5" t="str">
        <f>IFERROR(__xludf.DUMMYFUNCTION("""COMPUTED_VALUE"""),"No")</f>
        <v>No</v>
      </c>
      <c r="Z180" s="5" t="str">
        <f>IFERROR(__xludf.DUMMYFUNCTION("""COMPUTED_VALUE"""),"No")</f>
        <v>No</v>
      </c>
      <c r="AA180" s="5" t="str">
        <f>IFERROR(__xludf.DUMMYFUNCTION("""COMPUTED_VALUE"""),"No")</f>
        <v>No</v>
      </c>
      <c r="AB180" s="5" t="str">
        <f>IFERROR(__xludf.DUMMYFUNCTION("""COMPUTED_VALUE"""),"No")</f>
        <v>No</v>
      </c>
      <c r="AC180" s="5" t="str">
        <f>IFERROR(__xludf.DUMMYFUNCTION("""COMPUTED_VALUE"""),"No")</f>
        <v>No</v>
      </c>
      <c r="AD180" s="5" t="str">
        <f>IFERROR(__xludf.DUMMYFUNCTION("""COMPUTED_VALUE"""),"No")</f>
        <v>No</v>
      </c>
      <c r="AE180" s="5" t="str">
        <f>IFERROR(__xludf.DUMMYFUNCTION("""COMPUTED_VALUE"""),"No")</f>
        <v>No</v>
      </c>
      <c r="AF180" s="5" t="str">
        <f>IFERROR(__xludf.DUMMYFUNCTION("""COMPUTED_VALUE"""),"Yes")</f>
        <v>Yes</v>
      </c>
      <c r="AG180" s="5" t="str">
        <f>IFERROR(__xludf.DUMMYFUNCTION("""COMPUTED_VALUE"""),"No")</f>
        <v>No</v>
      </c>
      <c r="AH180" s="5" t="str">
        <f>IFERROR(__xludf.DUMMYFUNCTION("""COMPUTED_VALUE"""),"Yes")</f>
        <v>Yes</v>
      </c>
      <c r="AI180" s="5" t="str">
        <f>IFERROR(__xludf.DUMMYFUNCTION("""COMPUTED_VALUE"""),"No")</f>
        <v>No</v>
      </c>
      <c r="AJ180" s="5" t="str">
        <f>IFERROR(__xludf.DUMMYFUNCTION("""COMPUTED_VALUE"""),"No")</f>
        <v>No</v>
      </c>
      <c r="AK180" s="5" t="str">
        <f>IFERROR(__xludf.DUMMYFUNCTION("""COMPUTED_VALUE"""),"No")</f>
        <v>No</v>
      </c>
      <c r="AL180" s="5" t="str">
        <f>IFERROR(__xludf.DUMMYFUNCTION("""COMPUTED_VALUE"""),"No")</f>
        <v>No</v>
      </c>
      <c r="AM180" s="5"/>
      <c r="AN180" s="5"/>
      <c r="AO180" s="5"/>
      <c r="AP180" s="5"/>
      <c r="AQ180" s="5"/>
      <c r="AR180" s="5"/>
      <c r="AS180" s="5"/>
      <c r="AT180" s="5"/>
      <c r="AU180" s="5"/>
      <c r="AV180" s="5"/>
      <c r="AW180" s="5"/>
      <c r="AX180" s="5"/>
      <c r="AY180" s="5"/>
    </row>
    <row r="181">
      <c r="A1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1" s="5">
        <f>IFERROR(__xludf.DUMMYFUNCTION("""COMPUTED_VALUE"""),181.0)</f>
        <v>181</v>
      </c>
      <c r="C181" s="5">
        <f>IFERROR(__xludf.DUMMYFUNCTION("""COMPUTED_VALUE"""),180.0)</f>
        <v>180</v>
      </c>
      <c r="D181" s="5" t="str">
        <f>IFERROR(__xludf.DUMMYFUNCTION("""COMPUTED_VALUE"""),"AdmiralHot5")</f>
        <v>AdmiralHot5</v>
      </c>
      <c r="E181" s="5" t="str">
        <f>IFERROR(__xludf.DUMMYFUNCTION("""COMPUTED_VALUE"""),"Yes")</f>
        <v>Yes</v>
      </c>
      <c r="F181" s="5" t="str">
        <f>IFERROR(__xludf.DUMMYFUNCTION("""COMPUTED_VALUE"""),"Yes")</f>
        <v>Yes</v>
      </c>
      <c r="G181" s="5" t="str">
        <f>IFERROR(__xludf.DUMMYFUNCTION("""COMPUTED_VALUE"""),"Yes")</f>
        <v>Yes</v>
      </c>
      <c r="H181" s="5" t="str">
        <f>IFERROR(__xludf.DUMMYFUNCTION("""COMPUTED_VALUE"""),"Yes")</f>
        <v>Yes</v>
      </c>
      <c r="I181" s="5" t="str">
        <f>IFERROR(__xludf.DUMMYFUNCTION("""COMPUTED_VALUE"""),"Yes")</f>
        <v>Yes</v>
      </c>
      <c r="J181" s="5" t="str">
        <f>IFERROR(__xludf.DUMMYFUNCTION("""COMPUTED_VALUE"""),"Yes")</f>
        <v>Yes</v>
      </c>
      <c r="K181" s="5" t="str">
        <f>IFERROR(__xludf.DUMMYFUNCTION("""COMPUTED_VALUE"""),"Yes")</f>
        <v>Yes</v>
      </c>
      <c r="L181" s="5" t="str">
        <f>IFERROR(__xludf.DUMMYFUNCTION("""COMPUTED_VALUE"""),"Yes")</f>
        <v>Yes</v>
      </c>
      <c r="M181" s="5" t="str">
        <f>IFERROR(__xludf.DUMMYFUNCTION("""COMPUTED_VALUE"""),"Yes")</f>
        <v>Yes</v>
      </c>
      <c r="N181" s="5" t="str">
        <f>IFERROR(__xludf.DUMMYFUNCTION("""COMPUTED_VALUE"""),"Yes")</f>
        <v>Yes</v>
      </c>
      <c r="O181" s="5" t="str">
        <f>IFERROR(__xludf.DUMMYFUNCTION("""COMPUTED_VALUE"""),"Yes")</f>
        <v>Yes</v>
      </c>
      <c r="P181" s="5" t="str">
        <f>IFERROR(__xludf.DUMMYFUNCTION("""COMPUTED_VALUE"""),"Yes")</f>
        <v>Yes</v>
      </c>
      <c r="Q181" s="5" t="str">
        <f>IFERROR(__xludf.DUMMYFUNCTION("""COMPUTED_VALUE"""),"Yes")</f>
        <v>Yes</v>
      </c>
      <c r="R181" s="5" t="str">
        <f>IFERROR(__xludf.DUMMYFUNCTION("""COMPUTED_VALUE"""),"Yes")</f>
        <v>Yes</v>
      </c>
      <c r="S181" s="5" t="str">
        <f>IFERROR(__xludf.DUMMYFUNCTION("""COMPUTED_VALUE"""),"Yes")</f>
        <v>Yes</v>
      </c>
      <c r="T181" s="5" t="str">
        <f>IFERROR(__xludf.DUMMYFUNCTION("""COMPUTED_VALUE"""),"Yes")</f>
        <v>Yes</v>
      </c>
      <c r="U181" s="5" t="str">
        <f>IFERROR(__xludf.DUMMYFUNCTION("""COMPUTED_VALUE"""),"Yes")</f>
        <v>Yes</v>
      </c>
      <c r="V181" s="5" t="str">
        <f>IFERROR(__xludf.DUMMYFUNCTION("""COMPUTED_VALUE"""),"Yes")</f>
        <v>Yes</v>
      </c>
      <c r="W181" s="5" t="str">
        <f>IFERROR(__xludf.DUMMYFUNCTION("""COMPUTED_VALUE"""),"Yes")</f>
        <v>Yes</v>
      </c>
      <c r="X181" s="5" t="str">
        <f>IFERROR(__xludf.DUMMYFUNCTION("""COMPUTED_VALUE"""),"Yes")</f>
        <v>Yes</v>
      </c>
      <c r="Y181" s="5" t="str">
        <f>IFERROR(__xludf.DUMMYFUNCTION("""COMPUTED_VALUE"""),"Yes")</f>
        <v>Yes</v>
      </c>
      <c r="Z181" s="5" t="str">
        <f>IFERROR(__xludf.DUMMYFUNCTION("""COMPUTED_VALUE"""),"No")</f>
        <v>No</v>
      </c>
      <c r="AA181" s="5" t="str">
        <f>IFERROR(__xludf.DUMMYFUNCTION("""COMPUTED_VALUE"""),"Yes")</f>
        <v>Yes</v>
      </c>
      <c r="AB181" s="5" t="str">
        <f>IFERROR(__xludf.DUMMYFUNCTION("""COMPUTED_VALUE"""),"Yes")</f>
        <v>Yes</v>
      </c>
      <c r="AC181" s="5" t="str">
        <f>IFERROR(__xludf.DUMMYFUNCTION("""COMPUTED_VALUE"""),"Yes")</f>
        <v>Yes</v>
      </c>
      <c r="AD181" s="5" t="str">
        <f>IFERROR(__xludf.DUMMYFUNCTION("""COMPUTED_VALUE"""),"Yes")</f>
        <v>Yes</v>
      </c>
      <c r="AE181" s="5" t="str">
        <f>IFERROR(__xludf.DUMMYFUNCTION("""COMPUTED_VALUE"""),"No")</f>
        <v>No</v>
      </c>
      <c r="AF181" s="5" t="str">
        <f>IFERROR(__xludf.DUMMYFUNCTION("""COMPUTED_VALUE"""),"Yes")</f>
        <v>Yes</v>
      </c>
      <c r="AG181" s="5" t="str">
        <f>IFERROR(__xludf.DUMMYFUNCTION("""COMPUTED_VALUE"""),"No")</f>
        <v>No</v>
      </c>
      <c r="AH181" s="5" t="str">
        <f>IFERROR(__xludf.DUMMYFUNCTION("""COMPUTED_VALUE"""),"No")</f>
        <v>No</v>
      </c>
      <c r="AI181" s="5" t="str">
        <f>IFERROR(__xludf.DUMMYFUNCTION("""COMPUTED_VALUE"""),"No")</f>
        <v>No</v>
      </c>
      <c r="AJ181" s="5" t="str">
        <f>IFERROR(__xludf.DUMMYFUNCTION("""COMPUTED_VALUE"""),"No")</f>
        <v>No</v>
      </c>
      <c r="AK181" s="5" t="str">
        <f>IFERROR(__xludf.DUMMYFUNCTION("""COMPUTED_VALUE"""),"No")</f>
        <v>No</v>
      </c>
      <c r="AL181" s="5" t="str">
        <f>IFERROR(__xludf.DUMMYFUNCTION("""COMPUTED_VALUE"""),"No")</f>
        <v>No</v>
      </c>
      <c r="AM181" s="5"/>
      <c r="AN181" s="5"/>
      <c r="AO181" s="5"/>
      <c r="AP181" s="5"/>
      <c r="AQ181" s="5"/>
      <c r="AR181" s="5"/>
      <c r="AS181" s="5"/>
      <c r="AT181" s="5"/>
      <c r="AU181" s="5"/>
      <c r="AV181" s="5"/>
      <c r="AW181" s="5"/>
      <c r="AX181" s="5"/>
      <c r="AY181" s="5"/>
    </row>
    <row r="182">
      <c r="A1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2" s="5">
        <f>IFERROR(__xludf.DUMMYFUNCTION("""COMPUTED_VALUE"""),182.0)</f>
        <v>182</v>
      </c>
      <c r="C182" s="5">
        <f>IFERROR(__xludf.DUMMYFUNCTION("""COMPUTED_VALUE"""),181.0)</f>
        <v>181</v>
      </c>
      <c r="D182" s="5" t="str">
        <f>IFERROR(__xludf.DUMMYFUNCTION("""COMPUTED_VALUE"""),"ArenaHot40")</f>
        <v>ArenaHot40</v>
      </c>
      <c r="E182" s="5" t="str">
        <f>IFERROR(__xludf.DUMMYFUNCTION("""COMPUTED_VALUE"""),"Yes")</f>
        <v>Yes</v>
      </c>
      <c r="F182" s="5" t="str">
        <f>IFERROR(__xludf.DUMMYFUNCTION("""COMPUTED_VALUE"""),"Yes")</f>
        <v>Yes</v>
      </c>
      <c r="G182" s="5" t="str">
        <f>IFERROR(__xludf.DUMMYFUNCTION("""COMPUTED_VALUE"""),"Yes")</f>
        <v>Yes</v>
      </c>
      <c r="H182" s="5" t="str">
        <f>IFERROR(__xludf.DUMMYFUNCTION("""COMPUTED_VALUE"""),"Yes")</f>
        <v>Yes</v>
      </c>
      <c r="I182" s="5" t="str">
        <f>IFERROR(__xludf.DUMMYFUNCTION("""COMPUTED_VALUE"""),"Yes")</f>
        <v>Yes</v>
      </c>
      <c r="J182" s="5" t="str">
        <f>IFERROR(__xludf.DUMMYFUNCTION("""COMPUTED_VALUE"""),"Yes")</f>
        <v>Yes</v>
      </c>
      <c r="K182" s="5" t="str">
        <f>IFERROR(__xludf.DUMMYFUNCTION("""COMPUTED_VALUE"""),"Yes")</f>
        <v>Yes</v>
      </c>
      <c r="L182" s="5" t="str">
        <f>IFERROR(__xludf.DUMMYFUNCTION("""COMPUTED_VALUE"""),"Yes")</f>
        <v>Yes</v>
      </c>
      <c r="M182" s="5" t="str">
        <f>IFERROR(__xludf.DUMMYFUNCTION("""COMPUTED_VALUE"""),"Yes")</f>
        <v>Yes</v>
      </c>
      <c r="N182" s="5" t="str">
        <f>IFERROR(__xludf.DUMMYFUNCTION("""COMPUTED_VALUE"""),"Yes")</f>
        <v>Yes</v>
      </c>
      <c r="O182" s="5" t="str">
        <f>IFERROR(__xludf.DUMMYFUNCTION("""COMPUTED_VALUE"""),"Yes")</f>
        <v>Yes</v>
      </c>
      <c r="P182" s="5" t="str">
        <f>IFERROR(__xludf.DUMMYFUNCTION("""COMPUTED_VALUE"""),"Yes")</f>
        <v>Yes</v>
      </c>
      <c r="Q182" s="5" t="str">
        <f>IFERROR(__xludf.DUMMYFUNCTION("""COMPUTED_VALUE"""),"Yes")</f>
        <v>Yes</v>
      </c>
      <c r="R182" s="5" t="str">
        <f>IFERROR(__xludf.DUMMYFUNCTION("""COMPUTED_VALUE"""),"Yes")</f>
        <v>Yes</v>
      </c>
      <c r="S182" s="5" t="str">
        <f>IFERROR(__xludf.DUMMYFUNCTION("""COMPUTED_VALUE"""),"Yes")</f>
        <v>Yes</v>
      </c>
      <c r="T182" s="5" t="str">
        <f>IFERROR(__xludf.DUMMYFUNCTION("""COMPUTED_VALUE"""),"Yes")</f>
        <v>Yes</v>
      </c>
      <c r="U182" s="5" t="str">
        <f>IFERROR(__xludf.DUMMYFUNCTION("""COMPUTED_VALUE"""),"Yes")</f>
        <v>Yes</v>
      </c>
      <c r="V182" s="5" t="str">
        <f>IFERROR(__xludf.DUMMYFUNCTION("""COMPUTED_VALUE"""),"Yes")</f>
        <v>Yes</v>
      </c>
      <c r="W182" s="5" t="str">
        <f>IFERROR(__xludf.DUMMYFUNCTION("""COMPUTED_VALUE"""),"Yes")</f>
        <v>Yes</v>
      </c>
      <c r="X182" s="5" t="str">
        <f>IFERROR(__xludf.DUMMYFUNCTION("""COMPUTED_VALUE"""),"Yes")</f>
        <v>Yes</v>
      </c>
      <c r="Y182" s="5" t="str">
        <f>IFERROR(__xludf.DUMMYFUNCTION("""COMPUTED_VALUE"""),"Yes")</f>
        <v>Yes</v>
      </c>
      <c r="Z182" s="5" t="str">
        <f>IFERROR(__xludf.DUMMYFUNCTION("""COMPUTED_VALUE"""),"No")</f>
        <v>No</v>
      </c>
      <c r="AA182" s="5" t="str">
        <f>IFERROR(__xludf.DUMMYFUNCTION("""COMPUTED_VALUE"""),"Yes")</f>
        <v>Yes</v>
      </c>
      <c r="AB182" s="5" t="str">
        <f>IFERROR(__xludf.DUMMYFUNCTION("""COMPUTED_VALUE"""),"Yes")</f>
        <v>Yes</v>
      </c>
      <c r="AC182" s="5" t="str">
        <f>IFERROR(__xludf.DUMMYFUNCTION("""COMPUTED_VALUE"""),"Yes")</f>
        <v>Yes</v>
      </c>
      <c r="AD182" s="5" t="str">
        <f>IFERROR(__xludf.DUMMYFUNCTION("""COMPUTED_VALUE"""),"Yes")</f>
        <v>Yes</v>
      </c>
      <c r="AE182" s="5" t="str">
        <f>IFERROR(__xludf.DUMMYFUNCTION("""COMPUTED_VALUE"""),"No")</f>
        <v>No</v>
      </c>
      <c r="AF182" s="5" t="str">
        <f>IFERROR(__xludf.DUMMYFUNCTION("""COMPUTED_VALUE"""),"Yes")</f>
        <v>Yes</v>
      </c>
      <c r="AG182" s="5" t="str">
        <f>IFERROR(__xludf.DUMMYFUNCTION("""COMPUTED_VALUE"""),"No")</f>
        <v>No</v>
      </c>
      <c r="AH182" s="5" t="str">
        <f>IFERROR(__xludf.DUMMYFUNCTION("""COMPUTED_VALUE"""),"No")</f>
        <v>No</v>
      </c>
      <c r="AI182" s="5" t="str">
        <f>IFERROR(__xludf.DUMMYFUNCTION("""COMPUTED_VALUE"""),"No")</f>
        <v>No</v>
      </c>
      <c r="AJ182" s="5" t="str">
        <f>IFERROR(__xludf.DUMMYFUNCTION("""COMPUTED_VALUE"""),"No")</f>
        <v>No</v>
      </c>
      <c r="AK182" s="5" t="str">
        <f>IFERROR(__xludf.DUMMYFUNCTION("""COMPUTED_VALUE"""),"No")</f>
        <v>No</v>
      </c>
      <c r="AL182" s="5" t="str">
        <f>IFERROR(__xludf.DUMMYFUNCTION("""COMPUTED_VALUE"""),"No")</f>
        <v>No</v>
      </c>
      <c r="AM182" s="5"/>
      <c r="AN182" s="5"/>
      <c r="AO182" s="5"/>
      <c r="AP182" s="5"/>
      <c r="AQ182" s="5"/>
      <c r="AR182" s="5"/>
      <c r="AS182" s="5"/>
      <c r="AT182" s="5"/>
      <c r="AU182" s="5"/>
      <c r="AV182" s="5"/>
      <c r="AW182" s="5"/>
      <c r="AX182" s="5"/>
      <c r="AY182" s="5"/>
    </row>
    <row r="183">
      <c r="A1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3" s="5">
        <f>IFERROR(__xludf.DUMMYFUNCTION("""COMPUTED_VALUE"""),183.0)</f>
        <v>183</v>
      </c>
      <c r="C183" s="5">
        <f>IFERROR(__xludf.DUMMYFUNCTION("""COMPUTED_VALUE"""),182.0)</f>
        <v>182</v>
      </c>
      <c r="D183" s="5" t="str">
        <f>IFERROR(__xludf.DUMMYFUNCTION("""COMPUTED_VALUE"""),"GermaniaHot40")</f>
        <v>GermaniaHot40</v>
      </c>
      <c r="E183" s="5" t="str">
        <f>IFERROR(__xludf.DUMMYFUNCTION("""COMPUTED_VALUE"""),"Yes")</f>
        <v>Yes</v>
      </c>
      <c r="F183" s="5" t="str">
        <f>IFERROR(__xludf.DUMMYFUNCTION("""COMPUTED_VALUE"""),"Yes")</f>
        <v>Yes</v>
      </c>
      <c r="G183" s="5" t="str">
        <f>IFERROR(__xludf.DUMMYFUNCTION("""COMPUTED_VALUE"""),"Yes")</f>
        <v>Yes</v>
      </c>
      <c r="H183" s="5" t="str">
        <f>IFERROR(__xludf.DUMMYFUNCTION("""COMPUTED_VALUE"""),"Yes")</f>
        <v>Yes</v>
      </c>
      <c r="I183" s="5" t="str">
        <f>IFERROR(__xludf.DUMMYFUNCTION("""COMPUTED_VALUE"""),"Yes")</f>
        <v>Yes</v>
      </c>
      <c r="J183" s="5" t="str">
        <f>IFERROR(__xludf.DUMMYFUNCTION("""COMPUTED_VALUE"""),"Yes")</f>
        <v>Yes</v>
      </c>
      <c r="K183" s="5" t="str">
        <f>IFERROR(__xludf.DUMMYFUNCTION("""COMPUTED_VALUE"""),"Yes")</f>
        <v>Yes</v>
      </c>
      <c r="L183" s="5" t="str">
        <f>IFERROR(__xludf.DUMMYFUNCTION("""COMPUTED_VALUE"""),"Yes")</f>
        <v>Yes</v>
      </c>
      <c r="M183" s="5" t="str">
        <f>IFERROR(__xludf.DUMMYFUNCTION("""COMPUTED_VALUE"""),"Yes")</f>
        <v>Yes</v>
      </c>
      <c r="N183" s="5" t="str">
        <f>IFERROR(__xludf.DUMMYFUNCTION("""COMPUTED_VALUE"""),"Yes")</f>
        <v>Yes</v>
      </c>
      <c r="O183" s="5" t="str">
        <f>IFERROR(__xludf.DUMMYFUNCTION("""COMPUTED_VALUE"""),"Yes")</f>
        <v>Yes</v>
      </c>
      <c r="P183" s="5" t="str">
        <f>IFERROR(__xludf.DUMMYFUNCTION("""COMPUTED_VALUE"""),"Yes")</f>
        <v>Yes</v>
      </c>
      <c r="Q183" s="5" t="str">
        <f>IFERROR(__xludf.DUMMYFUNCTION("""COMPUTED_VALUE"""),"Yes")</f>
        <v>Yes</v>
      </c>
      <c r="R183" s="5" t="str">
        <f>IFERROR(__xludf.DUMMYFUNCTION("""COMPUTED_VALUE"""),"Yes")</f>
        <v>Yes</v>
      </c>
      <c r="S183" s="5" t="str">
        <f>IFERROR(__xludf.DUMMYFUNCTION("""COMPUTED_VALUE"""),"Yes")</f>
        <v>Yes</v>
      </c>
      <c r="T183" s="5" t="str">
        <f>IFERROR(__xludf.DUMMYFUNCTION("""COMPUTED_VALUE"""),"Yes")</f>
        <v>Yes</v>
      </c>
      <c r="U183" s="5" t="str">
        <f>IFERROR(__xludf.DUMMYFUNCTION("""COMPUTED_VALUE"""),"Yes")</f>
        <v>Yes</v>
      </c>
      <c r="V183" s="5" t="str">
        <f>IFERROR(__xludf.DUMMYFUNCTION("""COMPUTED_VALUE"""),"Yes")</f>
        <v>Yes</v>
      </c>
      <c r="W183" s="5" t="str">
        <f>IFERROR(__xludf.DUMMYFUNCTION("""COMPUTED_VALUE"""),"Yes")</f>
        <v>Yes</v>
      </c>
      <c r="X183" s="5" t="str">
        <f>IFERROR(__xludf.DUMMYFUNCTION("""COMPUTED_VALUE"""),"Yes")</f>
        <v>Yes</v>
      </c>
      <c r="Y183" s="5" t="str">
        <f>IFERROR(__xludf.DUMMYFUNCTION("""COMPUTED_VALUE"""),"Yes")</f>
        <v>Yes</v>
      </c>
      <c r="Z183" s="5" t="str">
        <f>IFERROR(__xludf.DUMMYFUNCTION("""COMPUTED_VALUE"""),"No")</f>
        <v>No</v>
      </c>
      <c r="AA183" s="5" t="str">
        <f>IFERROR(__xludf.DUMMYFUNCTION("""COMPUTED_VALUE"""),"Yes")</f>
        <v>Yes</v>
      </c>
      <c r="AB183" s="5" t="str">
        <f>IFERROR(__xludf.DUMMYFUNCTION("""COMPUTED_VALUE"""),"Yes")</f>
        <v>Yes</v>
      </c>
      <c r="AC183" s="5" t="str">
        <f>IFERROR(__xludf.DUMMYFUNCTION("""COMPUTED_VALUE"""),"Yes")</f>
        <v>Yes</v>
      </c>
      <c r="AD183" s="5" t="str">
        <f>IFERROR(__xludf.DUMMYFUNCTION("""COMPUTED_VALUE"""),"Yes")</f>
        <v>Yes</v>
      </c>
      <c r="AE183" s="5" t="str">
        <f>IFERROR(__xludf.DUMMYFUNCTION("""COMPUTED_VALUE"""),"No")</f>
        <v>No</v>
      </c>
      <c r="AF183" s="5" t="str">
        <f>IFERROR(__xludf.DUMMYFUNCTION("""COMPUTED_VALUE"""),"Yes")</f>
        <v>Yes</v>
      </c>
      <c r="AG183" s="5" t="str">
        <f>IFERROR(__xludf.DUMMYFUNCTION("""COMPUTED_VALUE"""),"No")</f>
        <v>No</v>
      </c>
      <c r="AH183" s="5" t="str">
        <f>IFERROR(__xludf.DUMMYFUNCTION("""COMPUTED_VALUE"""),"No")</f>
        <v>No</v>
      </c>
      <c r="AI183" s="5" t="str">
        <f>IFERROR(__xludf.DUMMYFUNCTION("""COMPUTED_VALUE"""),"No")</f>
        <v>No</v>
      </c>
      <c r="AJ183" s="5" t="str">
        <f>IFERROR(__xludf.DUMMYFUNCTION("""COMPUTED_VALUE"""),"No")</f>
        <v>No</v>
      </c>
      <c r="AK183" s="5" t="str">
        <f>IFERROR(__xludf.DUMMYFUNCTION("""COMPUTED_VALUE"""),"No")</f>
        <v>No</v>
      </c>
      <c r="AL183" s="5" t="str">
        <f>IFERROR(__xludf.DUMMYFUNCTION("""COMPUTED_VALUE"""),"No")</f>
        <v>No</v>
      </c>
      <c r="AM183" s="5"/>
      <c r="AN183" s="5"/>
      <c r="AO183" s="5"/>
      <c r="AP183" s="5"/>
      <c r="AQ183" s="5"/>
      <c r="AR183" s="5"/>
      <c r="AS183" s="5"/>
      <c r="AT183" s="5"/>
      <c r="AU183" s="5"/>
      <c r="AV183" s="5"/>
      <c r="AW183" s="5"/>
      <c r="AX183" s="5"/>
      <c r="AY183" s="5"/>
    </row>
    <row r="184">
      <c r="A1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4" s="5">
        <f>IFERROR(__xludf.DUMMYFUNCTION("""COMPUTED_VALUE"""),184.0)</f>
        <v>184</v>
      </c>
      <c r="C184" s="5">
        <f>IFERROR(__xludf.DUMMYFUNCTION("""COMPUTED_VALUE"""),183.0)</f>
        <v>183</v>
      </c>
      <c r="D184" s="5" t="str">
        <f>IFERROR(__xludf.DUMMYFUNCTION("""COMPUTED_VALUE"""),"WinXtip")</f>
        <v>WinXtip</v>
      </c>
      <c r="E184" s="5" t="str">
        <f>IFERROR(__xludf.DUMMYFUNCTION("""COMPUTED_VALUE"""),"Yes")</f>
        <v>Yes</v>
      </c>
      <c r="F184" s="5" t="str">
        <f>IFERROR(__xludf.DUMMYFUNCTION("""COMPUTED_VALUE"""),"Yes")</f>
        <v>Yes</v>
      </c>
      <c r="G184" s="5" t="str">
        <f>IFERROR(__xludf.DUMMYFUNCTION("""COMPUTED_VALUE"""),"Yes")</f>
        <v>Yes</v>
      </c>
      <c r="H184" s="5" t="str">
        <f>IFERROR(__xludf.DUMMYFUNCTION("""COMPUTED_VALUE"""),"Yes")</f>
        <v>Yes</v>
      </c>
      <c r="I184" s="5" t="str">
        <f>IFERROR(__xludf.DUMMYFUNCTION("""COMPUTED_VALUE"""),"Yes")</f>
        <v>Yes</v>
      </c>
      <c r="J184" s="5" t="str">
        <f>IFERROR(__xludf.DUMMYFUNCTION("""COMPUTED_VALUE"""),"Yes")</f>
        <v>Yes</v>
      </c>
      <c r="K184" s="5" t="str">
        <f>IFERROR(__xludf.DUMMYFUNCTION("""COMPUTED_VALUE"""),"Yes")</f>
        <v>Yes</v>
      </c>
      <c r="L184" s="5" t="str">
        <f>IFERROR(__xludf.DUMMYFUNCTION("""COMPUTED_VALUE"""),"Yes")</f>
        <v>Yes</v>
      </c>
      <c r="M184" s="5" t="str">
        <f>IFERROR(__xludf.DUMMYFUNCTION("""COMPUTED_VALUE"""),"Yes")</f>
        <v>Yes</v>
      </c>
      <c r="N184" s="5" t="str">
        <f>IFERROR(__xludf.DUMMYFUNCTION("""COMPUTED_VALUE"""),"Yes")</f>
        <v>Yes</v>
      </c>
      <c r="O184" s="5" t="str">
        <f>IFERROR(__xludf.DUMMYFUNCTION("""COMPUTED_VALUE"""),"Yes")</f>
        <v>Yes</v>
      </c>
      <c r="P184" s="5" t="str">
        <f>IFERROR(__xludf.DUMMYFUNCTION("""COMPUTED_VALUE"""),"Yes")</f>
        <v>Yes</v>
      </c>
      <c r="Q184" s="5" t="str">
        <f>IFERROR(__xludf.DUMMYFUNCTION("""COMPUTED_VALUE"""),"Yes")</f>
        <v>Yes</v>
      </c>
      <c r="R184" s="5" t="str">
        <f>IFERROR(__xludf.DUMMYFUNCTION("""COMPUTED_VALUE"""),"Yes")</f>
        <v>Yes</v>
      </c>
      <c r="S184" s="5" t="str">
        <f>IFERROR(__xludf.DUMMYFUNCTION("""COMPUTED_VALUE"""),"Yes")</f>
        <v>Yes</v>
      </c>
      <c r="T184" s="5" t="str">
        <f>IFERROR(__xludf.DUMMYFUNCTION("""COMPUTED_VALUE"""),"Yes")</f>
        <v>Yes</v>
      </c>
      <c r="U184" s="5" t="str">
        <f>IFERROR(__xludf.DUMMYFUNCTION("""COMPUTED_VALUE"""),"Yes")</f>
        <v>Yes</v>
      </c>
      <c r="V184" s="5" t="str">
        <f>IFERROR(__xludf.DUMMYFUNCTION("""COMPUTED_VALUE"""),"Yes")</f>
        <v>Yes</v>
      </c>
      <c r="W184" s="5" t="str">
        <f>IFERROR(__xludf.DUMMYFUNCTION("""COMPUTED_VALUE"""),"Yes")</f>
        <v>Yes</v>
      </c>
      <c r="X184" s="5" t="str">
        <f>IFERROR(__xludf.DUMMYFUNCTION("""COMPUTED_VALUE"""),"Yes")</f>
        <v>Yes</v>
      </c>
      <c r="Y184" s="5" t="str">
        <f>IFERROR(__xludf.DUMMYFUNCTION("""COMPUTED_VALUE"""),"Yes")</f>
        <v>Yes</v>
      </c>
      <c r="Z184" s="5" t="str">
        <f>IFERROR(__xludf.DUMMYFUNCTION("""COMPUTED_VALUE"""),"No")</f>
        <v>No</v>
      </c>
      <c r="AA184" s="5" t="str">
        <f>IFERROR(__xludf.DUMMYFUNCTION("""COMPUTED_VALUE"""),"Yes")</f>
        <v>Yes</v>
      </c>
      <c r="AB184" s="5" t="str">
        <f>IFERROR(__xludf.DUMMYFUNCTION("""COMPUTED_VALUE"""),"Yes")</f>
        <v>Yes</v>
      </c>
      <c r="AC184" s="5" t="str">
        <f>IFERROR(__xludf.DUMMYFUNCTION("""COMPUTED_VALUE"""),"Yes")</f>
        <v>Yes</v>
      </c>
      <c r="AD184" s="5" t="str">
        <f>IFERROR(__xludf.DUMMYFUNCTION("""COMPUTED_VALUE"""),"Yes")</f>
        <v>Yes</v>
      </c>
      <c r="AE184" s="5" t="str">
        <f>IFERROR(__xludf.DUMMYFUNCTION("""COMPUTED_VALUE"""),"No")</f>
        <v>No</v>
      </c>
      <c r="AF184" s="5" t="str">
        <f>IFERROR(__xludf.DUMMYFUNCTION("""COMPUTED_VALUE"""),"Yes")</f>
        <v>Yes</v>
      </c>
      <c r="AG184" s="5" t="str">
        <f>IFERROR(__xludf.DUMMYFUNCTION("""COMPUTED_VALUE"""),"No")</f>
        <v>No</v>
      </c>
      <c r="AH184" s="5" t="str">
        <f>IFERROR(__xludf.DUMMYFUNCTION("""COMPUTED_VALUE"""),"No")</f>
        <v>No</v>
      </c>
      <c r="AI184" s="5" t="str">
        <f>IFERROR(__xludf.DUMMYFUNCTION("""COMPUTED_VALUE"""),"No")</f>
        <v>No</v>
      </c>
      <c r="AJ184" s="5" t="str">
        <f>IFERROR(__xludf.DUMMYFUNCTION("""COMPUTED_VALUE"""),"No")</f>
        <v>No</v>
      </c>
      <c r="AK184" s="5" t="str">
        <f>IFERROR(__xludf.DUMMYFUNCTION("""COMPUTED_VALUE"""),"No")</f>
        <v>No</v>
      </c>
      <c r="AL184" s="5" t="str">
        <f>IFERROR(__xludf.DUMMYFUNCTION("""COMPUTED_VALUE"""),"No")</f>
        <v>No</v>
      </c>
      <c r="AM184" s="5"/>
      <c r="AN184" s="5"/>
      <c r="AO184" s="5"/>
      <c r="AP184" s="5"/>
      <c r="AQ184" s="5"/>
      <c r="AR184" s="5"/>
      <c r="AS184" s="5"/>
      <c r="AT184" s="5"/>
      <c r="AU184" s="5"/>
      <c r="AV184" s="5"/>
      <c r="AW184" s="5"/>
      <c r="AX184" s="5"/>
      <c r="AY184" s="5"/>
    </row>
    <row r="185">
      <c r="A1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5" s="5">
        <f>IFERROR(__xludf.DUMMYFUNCTION("""COMPUTED_VALUE"""),185.0)</f>
        <v>185</v>
      </c>
      <c r="C185" s="5">
        <f>IFERROR(__xludf.DUMMYFUNCTION("""COMPUTED_VALUE"""),184.0)</f>
        <v>184</v>
      </c>
      <c r="D185" s="5" t="str">
        <f>IFERROR(__xludf.DUMMYFUNCTION("""COMPUTED_VALUE"""),"PskHot40")</f>
        <v>PskHot40</v>
      </c>
      <c r="E185" s="5" t="str">
        <f>IFERROR(__xludf.DUMMYFUNCTION("""COMPUTED_VALUE"""),"Yes")</f>
        <v>Yes</v>
      </c>
      <c r="F185" s="5" t="str">
        <f>IFERROR(__xludf.DUMMYFUNCTION("""COMPUTED_VALUE"""),"Yes")</f>
        <v>Yes</v>
      </c>
      <c r="G185" s="5" t="str">
        <f>IFERROR(__xludf.DUMMYFUNCTION("""COMPUTED_VALUE"""),"Yes")</f>
        <v>Yes</v>
      </c>
      <c r="H185" s="5" t="str">
        <f>IFERROR(__xludf.DUMMYFUNCTION("""COMPUTED_VALUE"""),"Yes")</f>
        <v>Yes</v>
      </c>
      <c r="I185" s="5" t="str">
        <f>IFERROR(__xludf.DUMMYFUNCTION("""COMPUTED_VALUE"""),"Yes")</f>
        <v>Yes</v>
      </c>
      <c r="J185" s="5" t="str">
        <f>IFERROR(__xludf.DUMMYFUNCTION("""COMPUTED_VALUE"""),"Yes")</f>
        <v>Yes</v>
      </c>
      <c r="K185" s="5" t="str">
        <f>IFERROR(__xludf.DUMMYFUNCTION("""COMPUTED_VALUE"""),"Yes")</f>
        <v>Yes</v>
      </c>
      <c r="L185" s="5" t="str">
        <f>IFERROR(__xludf.DUMMYFUNCTION("""COMPUTED_VALUE"""),"Yes")</f>
        <v>Yes</v>
      </c>
      <c r="M185" s="5" t="str">
        <f>IFERROR(__xludf.DUMMYFUNCTION("""COMPUTED_VALUE"""),"Yes")</f>
        <v>Yes</v>
      </c>
      <c r="N185" s="5" t="str">
        <f>IFERROR(__xludf.DUMMYFUNCTION("""COMPUTED_VALUE"""),"Yes")</f>
        <v>Yes</v>
      </c>
      <c r="O185" s="5" t="str">
        <f>IFERROR(__xludf.DUMMYFUNCTION("""COMPUTED_VALUE"""),"Yes")</f>
        <v>Yes</v>
      </c>
      <c r="P185" s="5" t="str">
        <f>IFERROR(__xludf.DUMMYFUNCTION("""COMPUTED_VALUE"""),"Yes")</f>
        <v>Yes</v>
      </c>
      <c r="Q185" s="5" t="str">
        <f>IFERROR(__xludf.DUMMYFUNCTION("""COMPUTED_VALUE"""),"Yes")</f>
        <v>Yes</v>
      </c>
      <c r="R185" s="5" t="str">
        <f>IFERROR(__xludf.DUMMYFUNCTION("""COMPUTED_VALUE"""),"Yes")</f>
        <v>Yes</v>
      </c>
      <c r="S185" s="5" t="str">
        <f>IFERROR(__xludf.DUMMYFUNCTION("""COMPUTED_VALUE"""),"Yes")</f>
        <v>Yes</v>
      </c>
      <c r="T185" s="5" t="str">
        <f>IFERROR(__xludf.DUMMYFUNCTION("""COMPUTED_VALUE"""),"Yes")</f>
        <v>Yes</v>
      </c>
      <c r="U185" s="5" t="str">
        <f>IFERROR(__xludf.DUMMYFUNCTION("""COMPUTED_VALUE"""),"Yes")</f>
        <v>Yes</v>
      </c>
      <c r="V185" s="5" t="str">
        <f>IFERROR(__xludf.DUMMYFUNCTION("""COMPUTED_VALUE"""),"Yes")</f>
        <v>Yes</v>
      </c>
      <c r="W185" s="5" t="str">
        <f>IFERROR(__xludf.DUMMYFUNCTION("""COMPUTED_VALUE"""),"Yes")</f>
        <v>Yes</v>
      </c>
      <c r="X185" s="5" t="str">
        <f>IFERROR(__xludf.DUMMYFUNCTION("""COMPUTED_VALUE"""),"Yes")</f>
        <v>Yes</v>
      </c>
      <c r="Y185" s="5" t="str">
        <f>IFERROR(__xludf.DUMMYFUNCTION("""COMPUTED_VALUE"""),"Yes")</f>
        <v>Yes</v>
      </c>
      <c r="Z185" s="5" t="str">
        <f>IFERROR(__xludf.DUMMYFUNCTION("""COMPUTED_VALUE"""),"No")</f>
        <v>No</v>
      </c>
      <c r="AA185" s="5" t="str">
        <f>IFERROR(__xludf.DUMMYFUNCTION("""COMPUTED_VALUE"""),"Yes")</f>
        <v>Yes</v>
      </c>
      <c r="AB185" s="5" t="str">
        <f>IFERROR(__xludf.DUMMYFUNCTION("""COMPUTED_VALUE"""),"Yes")</f>
        <v>Yes</v>
      </c>
      <c r="AC185" s="5" t="str">
        <f>IFERROR(__xludf.DUMMYFUNCTION("""COMPUTED_VALUE"""),"Yes")</f>
        <v>Yes</v>
      </c>
      <c r="AD185" s="5" t="str">
        <f>IFERROR(__xludf.DUMMYFUNCTION("""COMPUTED_VALUE"""),"Yes")</f>
        <v>Yes</v>
      </c>
      <c r="AE185" s="5" t="str">
        <f>IFERROR(__xludf.DUMMYFUNCTION("""COMPUTED_VALUE"""),"No")</f>
        <v>No</v>
      </c>
      <c r="AF185" s="5" t="str">
        <f>IFERROR(__xludf.DUMMYFUNCTION("""COMPUTED_VALUE"""),"Yes")</f>
        <v>Yes</v>
      </c>
      <c r="AG185" s="5" t="str">
        <f>IFERROR(__xludf.DUMMYFUNCTION("""COMPUTED_VALUE"""),"No")</f>
        <v>No</v>
      </c>
      <c r="AH185" s="5" t="str">
        <f>IFERROR(__xludf.DUMMYFUNCTION("""COMPUTED_VALUE"""),"No")</f>
        <v>No</v>
      </c>
      <c r="AI185" s="5" t="str">
        <f>IFERROR(__xludf.DUMMYFUNCTION("""COMPUTED_VALUE"""),"No")</f>
        <v>No</v>
      </c>
      <c r="AJ185" s="5" t="str">
        <f>IFERROR(__xludf.DUMMYFUNCTION("""COMPUTED_VALUE"""),"No")</f>
        <v>No</v>
      </c>
      <c r="AK185" s="5" t="str">
        <f>IFERROR(__xludf.DUMMYFUNCTION("""COMPUTED_VALUE"""),"No")</f>
        <v>No</v>
      </c>
      <c r="AL185" s="5" t="str">
        <f>IFERROR(__xludf.DUMMYFUNCTION("""COMPUTED_VALUE"""),"No")</f>
        <v>No</v>
      </c>
      <c r="AM185" s="5"/>
      <c r="AN185" s="5"/>
      <c r="AO185" s="5"/>
      <c r="AP185" s="5"/>
      <c r="AQ185" s="5"/>
      <c r="AR185" s="5"/>
      <c r="AS185" s="5"/>
      <c r="AT185" s="5"/>
      <c r="AU185" s="5"/>
      <c r="AV185" s="5"/>
      <c r="AW185" s="5"/>
      <c r="AX185" s="5"/>
      <c r="AY185" s="5"/>
    </row>
    <row r="186">
      <c r="A1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6" s="5">
        <f>IFERROR(__xludf.DUMMYFUNCTION("""COMPUTED_VALUE"""),186.0)</f>
        <v>186</v>
      </c>
      <c r="C186" s="5">
        <f>IFERROR(__xludf.DUMMYFUNCTION("""COMPUTED_VALUE"""),185.0)</f>
        <v>185</v>
      </c>
      <c r="D186" s="5" t="str">
        <f>IFERROR(__xludf.DUMMYFUNCTION("""COMPUTED_VALUE"""),"SuperCasinoCrown")</f>
        <v>SuperCasinoCrown</v>
      </c>
      <c r="E186" s="5" t="str">
        <f>IFERROR(__xludf.DUMMYFUNCTION("""COMPUTED_VALUE"""),"Yes")</f>
        <v>Yes</v>
      </c>
      <c r="F186" s="5" t="str">
        <f>IFERROR(__xludf.DUMMYFUNCTION("""COMPUTED_VALUE"""),"Yes")</f>
        <v>Yes</v>
      </c>
      <c r="G186" s="5" t="str">
        <f>IFERROR(__xludf.DUMMYFUNCTION("""COMPUTED_VALUE"""),"Yes")</f>
        <v>Yes</v>
      </c>
      <c r="H186" s="5" t="str">
        <f>IFERROR(__xludf.DUMMYFUNCTION("""COMPUTED_VALUE"""),"Yes")</f>
        <v>Yes</v>
      </c>
      <c r="I186" s="5" t="str">
        <f>IFERROR(__xludf.DUMMYFUNCTION("""COMPUTED_VALUE"""),"Yes")</f>
        <v>Yes</v>
      </c>
      <c r="J186" s="5" t="str">
        <f>IFERROR(__xludf.DUMMYFUNCTION("""COMPUTED_VALUE"""),"Yes")</f>
        <v>Yes</v>
      </c>
      <c r="K186" s="5" t="str">
        <f>IFERROR(__xludf.DUMMYFUNCTION("""COMPUTED_VALUE"""),"Yes")</f>
        <v>Yes</v>
      </c>
      <c r="L186" s="5" t="str">
        <f>IFERROR(__xludf.DUMMYFUNCTION("""COMPUTED_VALUE"""),"Yes")</f>
        <v>Yes</v>
      </c>
      <c r="M186" s="5" t="str">
        <f>IFERROR(__xludf.DUMMYFUNCTION("""COMPUTED_VALUE"""),"Yes")</f>
        <v>Yes</v>
      </c>
      <c r="N186" s="5" t="str">
        <f>IFERROR(__xludf.DUMMYFUNCTION("""COMPUTED_VALUE"""),"Yes")</f>
        <v>Yes</v>
      </c>
      <c r="O186" s="5" t="str">
        <f>IFERROR(__xludf.DUMMYFUNCTION("""COMPUTED_VALUE"""),"Yes")</f>
        <v>Yes</v>
      </c>
      <c r="P186" s="5" t="str">
        <f>IFERROR(__xludf.DUMMYFUNCTION("""COMPUTED_VALUE"""),"Yes")</f>
        <v>Yes</v>
      </c>
      <c r="Q186" s="5" t="str">
        <f>IFERROR(__xludf.DUMMYFUNCTION("""COMPUTED_VALUE"""),"Yes")</f>
        <v>Yes</v>
      </c>
      <c r="R186" s="5" t="str">
        <f>IFERROR(__xludf.DUMMYFUNCTION("""COMPUTED_VALUE"""),"Yes")</f>
        <v>Yes</v>
      </c>
      <c r="S186" s="5" t="str">
        <f>IFERROR(__xludf.DUMMYFUNCTION("""COMPUTED_VALUE"""),"Yes")</f>
        <v>Yes</v>
      </c>
      <c r="T186" s="5" t="str">
        <f>IFERROR(__xludf.DUMMYFUNCTION("""COMPUTED_VALUE"""),"Yes")</f>
        <v>Yes</v>
      </c>
      <c r="U186" s="5" t="str">
        <f>IFERROR(__xludf.DUMMYFUNCTION("""COMPUTED_VALUE"""),"Yes")</f>
        <v>Yes</v>
      </c>
      <c r="V186" s="5" t="str">
        <f>IFERROR(__xludf.DUMMYFUNCTION("""COMPUTED_VALUE"""),"Yes")</f>
        <v>Yes</v>
      </c>
      <c r="W186" s="5" t="str">
        <f>IFERROR(__xludf.DUMMYFUNCTION("""COMPUTED_VALUE"""),"Yes")</f>
        <v>Yes</v>
      </c>
      <c r="X186" s="5" t="str">
        <f>IFERROR(__xludf.DUMMYFUNCTION("""COMPUTED_VALUE"""),"Yes")</f>
        <v>Yes</v>
      </c>
      <c r="Y186" s="5" t="str">
        <f>IFERROR(__xludf.DUMMYFUNCTION("""COMPUTED_VALUE"""),"Yes")</f>
        <v>Yes</v>
      </c>
      <c r="Z186" s="5" t="str">
        <f>IFERROR(__xludf.DUMMYFUNCTION("""COMPUTED_VALUE"""),"No")</f>
        <v>No</v>
      </c>
      <c r="AA186" s="5" t="str">
        <f>IFERROR(__xludf.DUMMYFUNCTION("""COMPUTED_VALUE"""),"Yes")</f>
        <v>Yes</v>
      </c>
      <c r="AB186" s="5" t="str">
        <f>IFERROR(__xludf.DUMMYFUNCTION("""COMPUTED_VALUE"""),"Yes")</f>
        <v>Yes</v>
      </c>
      <c r="AC186" s="5" t="str">
        <f>IFERROR(__xludf.DUMMYFUNCTION("""COMPUTED_VALUE"""),"Yes")</f>
        <v>Yes</v>
      </c>
      <c r="AD186" s="5" t="str">
        <f>IFERROR(__xludf.DUMMYFUNCTION("""COMPUTED_VALUE"""),"Yes")</f>
        <v>Yes</v>
      </c>
      <c r="AE186" s="5" t="str">
        <f>IFERROR(__xludf.DUMMYFUNCTION("""COMPUTED_VALUE"""),"No")</f>
        <v>No</v>
      </c>
      <c r="AF186" s="5" t="str">
        <f>IFERROR(__xludf.DUMMYFUNCTION("""COMPUTED_VALUE"""),"Yes")</f>
        <v>Yes</v>
      </c>
      <c r="AG186" s="5" t="str">
        <f>IFERROR(__xludf.DUMMYFUNCTION("""COMPUTED_VALUE"""),"No")</f>
        <v>No</v>
      </c>
      <c r="AH186" s="5" t="str">
        <f>IFERROR(__xludf.DUMMYFUNCTION("""COMPUTED_VALUE"""),"No")</f>
        <v>No</v>
      </c>
      <c r="AI186" s="5" t="str">
        <f>IFERROR(__xludf.DUMMYFUNCTION("""COMPUTED_VALUE"""),"No")</f>
        <v>No</v>
      </c>
      <c r="AJ186" s="5" t="str">
        <f>IFERROR(__xludf.DUMMYFUNCTION("""COMPUTED_VALUE"""),"No")</f>
        <v>No</v>
      </c>
      <c r="AK186" s="5" t="str">
        <f>IFERROR(__xludf.DUMMYFUNCTION("""COMPUTED_VALUE"""),"No")</f>
        <v>No</v>
      </c>
      <c r="AL186" s="5" t="str">
        <f>IFERROR(__xludf.DUMMYFUNCTION("""COMPUTED_VALUE"""),"No")</f>
        <v>No</v>
      </c>
      <c r="AM186" s="5"/>
      <c r="AN186" s="5"/>
      <c r="AO186" s="5"/>
      <c r="AP186" s="5"/>
      <c r="AQ186" s="5"/>
      <c r="AR186" s="5"/>
      <c r="AS186" s="5"/>
      <c r="AT186" s="5"/>
      <c r="AU186" s="5"/>
      <c r="AV186" s="5"/>
      <c r="AW186" s="5"/>
      <c r="AX186" s="5"/>
      <c r="AY186" s="5"/>
    </row>
    <row r="187">
      <c r="A1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7" s="5">
        <f>IFERROR(__xludf.DUMMYFUNCTION("""COMPUTED_VALUE"""),187.0)</f>
        <v>187</v>
      </c>
      <c r="C187" s="5">
        <f>IFERROR(__xludf.DUMMYFUNCTION("""COMPUTED_VALUE"""),186.0)</f>
        <v>186</v>
      </c>
      <c r="D187" s="5" t="str">
        <f>IFERROR(__xludf.DUMMYFUNCTION("""COMPUTED_VALUE"""),"TopHot20")</f>
        <v>TopHot20</v>
      </c>
      <c r="E187" s="5" t="str">
        <f>IFERROR(__xludf.DUMMYFUNCTION("""COMPUTED_VALUE"""),"Yes")</f>
        <v>Yes</v>
      </c>
      <c r="F187" s="5" t="str">
        <f>IFERROR(__xludf.DUMMYFUNCTION("""COMPUTED_VALUE"""),"Yes")</f>
        <v>Yes</v>
      </c>
      <c r="G187" s="5" t="str">
        <f>IFERROR(__xludf.DUMMYFUNCTION("""COMPUTED_VALUE"""),"Yes")</f>
        <v>Yes</v>
      </c>
      <c r="H187" s="5" t="str">
        <f>IFERROR(__xludf.DUMMYFUNCTION("""COMPUTED_VALUE"""),"Yes")</f>
        <v>Yes</v>
      </c>
      <c r="I187" s="5" t="str">
        <f>IFERROR(__xludf.DUMMYFUNCTION("""COMPUTED_VALUE"""),"Yes")</f>
        <v>Yes</v>
      </c>
      <c r="J187" s="5" t="str">
        <f>IFERROR(__xludf.DUMMYFUNCTION("""COMPUTED_VALUE"""),"Yes")</f>
        <v>Yes</v>
      </c>
      <c r="K187" s="5" t="str">
        <f>IFERROR(__xludf.DUMMYFUNCTION("""COMPUTED_VALUE"""),"Yes")</f>
        <v>Yes</v>
      </c>
      <c r="L187" s="5" t="str">
        <f>IFERROR(__xludf.DUMMYFUNCTION("""COMPUTED_VALUE"""),"Yes")</f>
        <v>Yes</v>
      </c>
      <c r="M187" s="5" t="str">
        <f>IFERROR(__xludf.DUMMYFUNCTION("""COMPUTED_VALUE"""),"Yes")</f>
        <v>Yes</v>
      </c>
      <c r="N187" s="5" t="str">
        <f>IFERROR(__xludf.DUMMYFUNCTION("""COMPUTED_VALUE"""),"Yes")</f>
        <v>Yes</v>
      </c>
      <c r="O187" s="5" t="str">
        <f>IFERROR(__xludf.DUMMYFUNCTION("""COMPUTED_VALUE"""),"Yes")</f>
        <v>Yes</v>
      </c>
      <c r="P187" s="5" t="str">
        <f>IFERROR(__xludf.DUMMYFUNCTION("""COMPUTED_VALUE"""),"Yes")</f>
        <v>Yes</v>
      </c>
      <c r="Q187" s="5" t="str">
        <f>IFERROR(__xludf.DUMMYFUNCTION("""COMPUTED_VALUE"""),"Yes")</f>
        <v>Yes</v>
      </c>
      <c r="R187" s="5" t="str">
        <f>IFERROR(__xludf.DUMMYFUNCTION("""COMPUTED_VALUE"""),"Yes")</f>
        <v>Yes</v>
      </c>
      <c r="S187" s="5" t="str">
        <f>IFERROR(__xludf.DUMMYFUNCTION("""COMPUTED_VALUE"""),"Yes")</f>
        <v>Yes</v>
      </c>
      <c r="T187" s="5" t="str">
        <f>IFERROR(__xludf.DUMMYFUNCTION("""COMPUTED_VALUE"""),"Yes")</f>
        <v>Yes</v>
      </c>
      <c r="U187" s="5" t="str">
        <f>IFERROR(__xludf.DUMMYFUNCTION("""COMPUTED_VALUE"""),"Yes")</f>
        <v>Yes</v>
      </c>
      <c r="V187" s="5" t="str">
        <f>IFERROR(__xludf.DUMMYFUNCTION("""COMPUTED_VALUE"""),"Yes")</f>
        <v>Yes</v>
      </c>
      <c r="W187" s="5" t="str">
        <f>IFERROR(__xludf.DUMMYFUNCTION("""COMPUTED_VALUE"""),"Yes")</f>
        <v>Yes</v>
      </c>
      <c r="X187" s="5" t="str">
        <f>IFERROR(__xludf.DUMMYFUNCTION("""COMPUTED_VALUE"""),"Yes")</f>
        <v>Yes</v>
      </c>
      <c r="Y187" s="5" t="str">
        <f>IFERROR(__xludf.DUMMYFUNCTION("""COMPUTED_VALUE"""),"Yes")</f>
        <v>Yes</v>
      </c>
      <c r="Z187" s="5" t="str">
        <f>IFERROR(__xludf.DUMMYFUNCTION("""COMPUTED_VALUE"""),"No")</f>
        <v>No</v>
      </c>
      <c r="AA187" s="5" t="str">
        <f>IFERROR(__xludf.DUMMYFUNCTION("""COMPUTED_VALUE"""),"Yes")</f>
        <v>Yes</v>
      </c>
      <c r="AB187" s="5" t="str">
        <f>IFERROR(__xludf.DUMMYFUNCTION("""COMPUTED_VALUE"""),"Yes")</f>
        <v>Yes</v>
      </c>
      <c r="AC187" s="5" t="str">
        <f>IFERROR(__xludf.DUMMYFUNCTION("""COMPUTED_VALUE"""),"Yes")</f>
        <v>Yes</v>
      </c>
      <c r="AD187" s="5" t="str">
        <f>IFERROR(__xludf.DUMMYFUNCTION("""COMPUTED_VALUE"""),"Yes")</f>
        <v>Yes</v>
      </c>
      <c r="AE187" s="5" t="str">
        <f>IFERROR(__xludf.DUMMYFUNCTION("""COMPUTED_VALUE"""),"No")</f>
        <v>No</v>
      </c>
      <c r="AF187" s="5" t="str">
        <f>IFERROR(__xludf.DUMMYFUNCTION("""COMPUTED_VALUE"""),"Yes")</f>
        <v>Yes</v>
      </c>
      <c r="AG187" s="5" t="str">
        <f>IFERROR(__xludf.DUMMYFUNCTION("""COMPUTED_VALUE"""),"No")</f>
        <v>No</v>
      </c>
      <c r="AH187" s="5" t="str">
        <f>IFERROR(__xludf.DUMMYFUNCTION("""COMPUTED_VALUE"""),"No")</f>
        <v>No</v>
      </c>
      <c r="AI187" s="5" t="str">
        <f>IFERROR(__xludf.DUMMYFUNCTION("""COMPUTED_VALUE"""),"No")</f>
        <v>No</v>
      </c>
      <c r="AJ187" s="5" t="str">
        <f>IFERROR(__xludf.DUMMYFUNCTION("""COMPUTED_VALUE"""),"No")</f>
        <v>No</v>
      </c>
      <c r="AK187" s="5" t="str">
        <f>IFERROR(__xludf.DUMMYFUNCTION("""COMPUTED_VALUE"""),"No")</f>
        <v>No</v>
      </c>
      <c r="AL187" s="5" t="str">
        <f>IFERROR(__xludf.DUMMYFUNCTION("""COMPUTED_VALUE"""),"No")</f>
        <v>No</v>
      </c>
      <c r="AM187" s="5"/>
      <c r="AN187" s="5"/>
      <c r="AO187" s="5"/>
      <c r="AP187" s="5"/>
      <c r="AQ187" s="5"/>
      <c r="AR187" s="5"/>
      <c r="AS187" s="5"/>
      <c r="AT187" s="5"/>
      <c r="AU187" s="5"/>
      <c r="AV187" s="5"/>
      <c r="AW187" s="5"/>
      <c r="AX187" s="5"/>
      <c r="AY187" s="5"/>
    </row>
    <row r="188">
      <c r="A1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8" s="5">
        <f>IFERROR(__xludf.DUMMYFUNCTION("""COMPUTED_VALUE"""),188.0)</f>
        <v>188</v>
      </c>
      <c r="C188" s="5">
        <f>IFERROR(__xludf.DUMMYFUNCTION("""COMPUTED_VALUE"""),187.0)</f>
        <v>187</v>
      </c>
      <c r="D188" s="5" t="str">
        <f>IFERROR(__xludf.DUMMYFUNCTION("""COMPUTED_VALUE"""),"PariHot40")</f>
        <v>PariHot40</v>
      </c>
      <c r="E188" s="5" t="str">
        <f>IFERROR(__xludf.DUMMYFUNCTION("""COMPUTED_VALUE"""),"Yes")</f>
        <v>Yes</v>
      </c>
      <c r="F188" s="5" t="str">
        <f>IFERROR(__xludf.DUMMYFUNCTION("""COMPUTED_VALUE"""),"Yes")</f>
        <v>Yes</v>
      </c>
      <c r="G188" s="5" t="str">
        <f>IFERROR(__xludf.DUMMYFUNCTION("""COMPUTED_VALUE"""),"Yes")</f>
        <v>Yes</v>
      </c>
      <c r="H188" s="5" t="str">
        <f>IFERROR(__xludf.DUMMYFUNCTION("""COMPUTED_VALUE"""),"Yes")</f>
        <v>Yes</v>
      </c>
      <c r="I188" s="5" t="str">
        <f>IFERROR(__xludf.DUMMYFUNCTION("""COMPUTED_VALUE"""),"Yes")</f>
        <v>Yes</v>
      </c>
      <c r="J188" s="5" t="str">
        <f>IFERROR(__xludf.DUMMYFUNCTION("""COMPUTED_VALUE"""),"Yes")</f>
        <v>Yes</v>
      </c>
      <c r="K188" s="5" t="str">
        <f>IFERROR(__xludf.DUMMYFUNCTION("""COMPUTED_VALUE"""),"Yes")</f>
        <v>Yes</v>
      </c>
      <c r="L188" s="5" t="str">
        <f>IFERROR(__xludf.DUMMYFUNCTION("""COMPUTED_VALUE"""),"Yes")</f>
        <v>Yes</v>
      </c>
      <c r="M188" s="5" t="str">
        <f>IFERROR(__xludf.DUMMYFUNCTION("""COMPUTED_VALUE"""),"Yes")</f>
        <v>Yes</v>
      </c>
      <c r="N188" s="5" t="str">
        <f>IFERROR(__xludf.DUMMYFUNCTION("""COMPUTED_VALUE"""),"Yes")</f>
        <v>Yes</v>
      </c>
      <c r="O188" s="5" t="str">
        <f>IFERROR(__xludf.DUMMYFUNCTION("""COMPUTED_VALUE"""),"Yes")</f>
        <v>Yes</v>
      </c>
      <c r="P188" s="5" t="str">
        <f>IFERROR(__xludf.DUMMYFUNCTION("""COMPUTED_VALUE"""),"Yes")</f>
        <v>Yes</v>
      </c>
      <c r="Q188" s="5" t="str">
        <f>IFERROR(__xludf.DUMMYFUNCTION("""COMPUTED_VALUE"""),"Yes")</f>
        <v>Yes</v>
      </c>
      <c r="R188" s="5" t="str">
        <f>IFERROR(__xludf.DUMMYFUNCTION("""COMPUTED_VALUE"""),"Yes")</f>
        <v>Yes</v>
      </c>
      <c r="S188" s="5" t="str">
        <f>IFERROR(__xludf.DUMMYFUNCTION("""COMPUTED_VALUE"""),"Yes")</f>
        <v>Yes</v>
      </c>
      <c r="T188" s="5" t="str">
        <f>IFERROR(__xludf.DUMMYFUNCTION("""COMPUTED_VALUE"""),"Yes")</f>
        <v>Yes</v>
      </c>
      <c r="U188" s="5" t="str">
        <f>IFERROR(__xludf.DUMMYFUNCTION("""COMPUTED_VALUE"""),"Yes")</f>
        <v>Yes</v>
      </c>
      <c r="V188" s="5" t="str">
        <f>IFERROR(__xludf.DUMMYFUNCTION("""COMPUTED_VALUE"""),"Yes")</f>
        <v>Yes</v>
      </c>
      <c r="W188" s="5" t="str">
        <f>IFERROR(__xludf.DUMMYFUNCTION("""COMPUTED_VALUE"""),"Yes")</f>
        <v>Yes</v>
      </c>
      <c r="X188" s="5" t="str">
        <f>IFERROR(__xludf.DUMMYFUNCTION("""COMPUTED_VALUE"""),"Yes")</f>
        <v>Yes</v>
      </c>
      <c r="Y188" s="5" t="str">
        <f>IFERROR(__xludf.DUMMYFUNCTION("""COMPUTED_VALUE"""),"Yes")</f>
        <v>Yes</v>
      </c>
      <c r="Z188" s="5" t="str">
        <f>IFERROR(__xludf.DUMMYFUNCTION("""COMPUTED_VALUE"""),"No")</f>
        <v>No</v>
      </c>
      <c r="AA188" s="5" t="str">
        <f>IFERROR(__xludf.DUMMYFUNCTION("""COMPUTED_VALUE"""),"Yes")</f>
        <v>Yes</v>
      </c>
      <c r="AB188" s="5" t="str">
        <f>IFERROR(__xludf.DUMMYFUNCTION("""COMPUTED_VALUE"""),"Yes")</f>
        <v>Yes</v>
      </c>
      <c r="AC188" s="5" t="str">
        <f>IFERROR(__xludf.DUMMYFUNCTION("""COMPUTED_VALUE"""),"Yes")</f>
        <v>Yes</v>
      </c>
      <c r="AD188" s="5" t="str">
        <f>IFERROR(__xludf.DUMMYFUNCTION("""COMPUTED_VALUE"""),"Yes")</f>
        <v>Yes</v>
      </c>
      <c r="AE188" s="5" t="str">
        <f>IFERROR(__xludf.DUMMYFUNCTION("""COMPUTED_VALUE"""),"No")</f>
        <v>No</v>
      </c>
      <c r="AF188" s="5" t="str">
        <f>IFERROR(__xludf.DUMMYFUNCTION("""COMPUTED_VALUE"""),"Yes")</f>
        <v>Yes</v>
      </c>
      <c r="AG188" s="5" t="str">
        <f>IFERROR(__xludf.DUMMYFUNCTION("""COMPUTED_VALUE"""),"No")</f>
        <v>No</v>
      </c>
      <c r="AH188" s="5" t="str">
        <f>IFERROR(__xludf.DUMMYFUNCTION("""COMPUTED_VALUE"""),"No")</f>
        <v>No</v>
      </c>
      <c r="AI188" s="5" t="str">
        <f>IFERROR(__xludf.DUMMYFUNCTION("""COMPUTED_VALUE"""),"No")</f>
        <v>No</v>
      </c>
      <c r="AJ188" s="5" t="str">
        <f>IFERROR(__xludf.DUMMYFUNCTION("""COMPUTED_VALUE"""),"No")</f>
        <v>No</v>
      </c>
      <c r="AK188" s="5" t="str">
        <f>IFERROR(__xludf.DUMMYFUNCTION("""COMPUTED_VALUE"""),"No")</f>
        <v>No</v>
      </c>
      <c r="AL188" s="5" t="str">
        <f>IFERROR(__xludf.DUMMYFUNCTION("""COMPUTED_VALUE"""),"No")</f>
        <v>No</v>
      </c>
      <c r="AM188" s="5"/>
      <c r="AN188" s="5"/>
      <c r="AO188" s="5"/>
      <c r="AP188" s="5"/>
      <c r="AQ188" s="5"/>
      <c r="AR188" s="5"/>
      <c r="AS188" s="5"/>
      <c r="AT188" s="5"/>
      <c r="AU188" s="5"/>
      <c r="AV188" s="5"/>
      <c r="AW188" s="5"/>
      <c r="AX188" s="5"/>
      <c r="AY188" s="5"/>
    </row>
    <row r="189">
      <c r="A1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9" s="5">
        <f>IFERROR(__xludf.DUMMYFUNCTION("""COMPUTED_VALUE"""),189.0)</f>
        <v>189</v>
      </c>
      <c r="C189" s="5">
        <f>IFERROR(__xludf.DUMMYFUNCTION("""COMPUTED_VALUE"""),188.0)</f>
        <v>188</v>
      </c>
      <c r="D189" s="5" t="str">
        <f>IFERROR(__xludf.DUMMYFUNCTION("""COMPUTED_VALUE"""),"PowerOfTheGreat")</f>
        <v>PowerOfTheGreat</v>
      </c>
      <c r="E189" s="5" t="str">
        <f>IFERROR(__xludf.DUMMYFUNCTION("""COMPUTED_VALUE"""),"Yes")</f>
        <v>Yes</v>
      </c>
      <c r="F189" s="5" t="str">
        <f>IFERROR(__xludf.DUMMYFUNCTION("""COMPUTED_VALUE"""),"Yes")</f>
        <v>Yes</v>
      </c>
      <c r="G189" s="5" t="str">
        <f>IFERROR(__xludf.DUMMYFUNCTION("""COMPUTED_VALUE"""),"Yes")</f>
        <v>Yes</v>
      </c>
      <c r="H189" s="5" t="str">
        <f>IFERROR(__xludf.DUMMYFUNCTION("""COMPUTED_VALUE"""),"Yes")</f>
        <v>Yes</v>
      </c>
      <c r="I189" s="5" t="str">
        <f>IFERROR(__xludf.DUMMYFUNCTION("""COMPUTED_VALUE"""),"Yes")</f>
        <v>Yes</v>
      </c>
      <c r="J189" s="5" t="str">
        <f>IFERROR(__xludf.DUMMYFUNCTION("""COMPUTED_VALUE"""),"Yes")</f>
        <v>Yes</v>
      </c>
      <c r="K189" s="5" t="str">
        <f>IFERROR(__xludf.DUMMYFUNCTION("""COMPUTED_VALUE"""),"Yes")</f>
        <v>Yes</v>
      </c>
      <c r="L189" s="5" t="str">
        <f>IFERROR(__xludf.DUMMYFUNCTION("""COMPUTED_VALUE"""),"Yes")</f>
        <v>Yes</v>
      </c>
      <c r="M189" s="5" t="str">
        <f>IFERROR(__xludf.DUMMYFUNCTION("""COMPUTED_VALUE"""),"Yes")</f>
        <v>Yes</v>
      </c>
      <c r="N189" s="5" t="str">
        <f>IFERROR(__xludf.DUMMYFUNCTION("""COMPUTED_VALUE"""),"Yes")</f>
        <v>Yes</v>
      </c>
      <c r="O189" s="5" t="str">
        <f>IFERROR(__xludf.DUMMYFUNCTION("""COMPUTED_VALUE"""),"Yes")</f>
        <v>Yes</v>
      </c>
      <c r="P189" s="5" t="str">
        <f>IFERROR(__xludf.DUMMYFUNCTION("""COMPUTED_VALUE"""),"Yes")</f>
        <v>Yes</v>
      </c>
      <c r="Q189" s="5" t="str">
        <f>IFERROR(__xludf.DUMMYFUNCTION("""COMPUTED_VALUE"""),"Yes")</f>
        <v>Yes</v>
      </c>
      <c r="R189" s="5" t="str">
        <f>IFERROR(__xludf.DUMMYFUNCTION("""COMPUTED_VALUE"""),"Yes")</f>
        <v>Yes</v>
      </c>
      <c r="S189" s="5" t="str">
        <f>IFERROR(__xludf.DUMMYFUNCTION("""COMPUTED_VALUE"""),"Yes")</f>
        <v>Yes</v>
      </c>
      <c r="T189" s="5" t="str">
        <f>IFERROR(__xludf.DUMMYFUNCTION("""COMPUTED_VALUE"""),"Yes")</f>
        <v>Yes</v>
      </c>
      <c r="U189" s="5" t="str">
        <f>IFERROR(__xludf.DUMMYFUNCTION("""COMPUTED_VALUE"""),"Yes")</f>
        <v>Yes</v>
      </c>
      <c r="V189" s="5" t="str">
        <f>IFERROR(__xludf.DUMMYFUNCTION("""COMPUTED_VALUE"""),"Yes")</f>
        <v>Yes</v>
      </c>
      <c r="W189" s="5" t="str">
        <f>IFERROR(__xludf.DUMMYFUNCTION("""COMPUTED_VALUE"""),"Yes")</f>
        <v>Yes</v>
      </c>
      <c r="X189" s="5" t="str">
        <f>IFERROR(__xludf.DUMMYFUNCTION("""COMPUTED_VALUE"""),"Yes")</f>
        <v>Yes</v>
      </c>
      <c r="Y189" s="5" t="str">
        <f>IFERROR(__xludf.DUMMYFUNCTION("""COMPUTED_VALUE"""),"Yes")</f>
        <v>Yes</v>
      </c>
      <c r="Z189" s="5" t="str">
        <f>IFERROR(__xludf.DUMMYFUNCTION("""COMPUTED_VALUE"""),"No")</f>
        <v>No</v>
      </c>
      <c r="AA189" s="5" t="str">
        <f>IFERROR(__xludf.DUMMYFUNCTION("""COMPUTED_VALUE"""),"Yes")</f>
        <v>Yes</v>
      </c>
      <c r="AB189" s="5" t="str">
        <f>IFERROR(__xludf.DUMMYFUNCTION("""COMPUTED_VALUE"""),"Yes")</f>
        <v>Yes</v>
      </c>
      <c r="AC189" s="5" t="str">
        <f>IFERROR(__xludf.DUMMYFUNCTION("""COMPUTED_VALUE"""),"Yes")</f>
        <v>Yes</v>
      </c>
      <c r="AD189" s="5" t="str">
        <f>IFERROR(__xludf.DUMMYFUNCTION("""COMPUTED_VALUE"""),"Yes")</f>
        <v>Yes</v>
      </c>
      <c r="AE189" s="5" t="str">
        <f>IFERROR(__xludf.DUMMYFUNCTION("""COMPUTED_VALUE"""),"No")</f>
        <v>No</v>
      </c>
      <c r="AF189" s="5" t="str">
        <f>IFERROR(__xludf.DUMMYFUNCTION("""COMPUTED_VALUE"""),"Yes")</f>
        <v>Yes</v>
      </c>
      <c r="AG189" s="5" t="str">
        <f>IFERROR(__xludf.DUMMYFUNCTION("""COMPUTED_VALUE"""),"No")</f>
        <v>No</v>
      </c>
      <c r="AH189" s="5" t="str">
        <f>IFERROR(__xludf.DUMMYFUNCTION("""COMPUTED_VALUE"""),"No")</f>
        <v>No</v>
      </c>
      <c r="AI189" s="5" t="str">
        <f>IFERROR(__xludf.DUMMYFUNCTION("""COMPUTED_VALUE"""),"No")</f>
        <v>No</v>
      </c>
      <c r="AJ189" s="5" t="str">
        <f>IFERROR(__xludf.DUMMYFUNCTION("""COMPUTED_VALUE"""),"No")</f>
        <v>No</v>
      </c>
      <c r="AK189" s="5" t="str">
        <f>IFERROR(__xludf.DUMMYFUNCTION("""COMPUTED_VALUE"""),"No")</f>
        <v>No</v>
      </c>
      <c r="AL189" s="5" t="str">
        <f>IFERROR(__xludf.DUMMYFUNCTION("""COMPUTED_VALUE"""),"No")</f>
        <v>No</v>
      </c>
      <c r="AM189" s="5"/>
      <c r="AN189" s="5"/>
      <c r="AO189" s="5"/>
      <c r="AP189" s="5"/>
      <c r="AQ189" s="5"/>
      <c r="AR189" s="5"/>
      <c r="AS189" s="5"/>
      <c r="AT189" s="5"/>
      <c r="AU189" s="5"/>
      <c r="AV189" s="5"/>
      <c r="AW189" s="5"/>
      <c r="AX189" s="5"/>
      <c r="AY189" s="5"/>
    </row>
    <row r="190">
      <c r="A1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0" s="5">
        <f>IFERROR(__xludf.DUMMYFUNCTION("""COMPUTED_VALUE"""),190.0)</f>
        <v>190</v>
      </c>
      <c r="C190" s="5">
        <f>IFERROR(__xludf.DUMMYFUNCTION("""COMPUTED_VALUE"""),189.0)</f>
        <v>189</v>
      </c>
      <c r="D190" s="5" t="str">
        <f>IFERROR(__xludf.DUMMYFUNCTION("""COMPUTED_VALUE"""),"Unicorn40MegaFlames")</f>
        <v>Unicorn40MegaFlames</v>
      </c>
      <c r="E190" s="5" t="str">
        <f>IFERROR(__xludf.DUMMYFUNCTION("""COMPUTED_VALUE"""),"Yes")</f>
        <v>Yes</v>
      </c>
      <c r="F190" s="5" t="str">
        <f>IFERROR(__xludf.DUMMYFUNCTION("""COMPUTED_VALUE"""),"Yes")</f>
        <v>Yes</v>
      </c>
      <c r="G190" s="5" t="str">
        <f>IFERROR(__xludf.DUMMYFUNCTION("""COMPUTED_VALUE"""),"Yes")</f>
        <v>Yes</v>
      </c>
      <c r="H190" s="5" t="str">
        <f>IFERROR(__xludf.DUMMYFUNCTION("""COMPUTED_VALUE"""),"Yes")</f>
        <v>Yes</v>
      </c>
      <c r="I190" s="5" t="str">
        <f>IFERROR(__xludf.DUMMYFUNCTION("""COMPUTED_VALUE"""),"Yes")</f>
        <v>Yes</v>
      </c>
      <c r="J190" s="5" t="str">
        <f>IFERROR(__xludf.DUMMYFUNCTION("""COMPUTED_VALUE"""),"Yes")</f>
        <v>Yes</v>
      </c>
      <c r="K190" s="5" t="str">
        <f>IFERROR(__xludf.DUMMYFUNCTION("""COMPUTED_VALUE"""),"Yes")</f>
        <v>Yes</v>
      </c>
      <c r="L190" s="5" t="str">
        <f>IFERROR(__xludf.DUMMYFUNCTION("""COMPUTED_VALUE"""),"Yes")</f>
        <v>Yes</v>
      </c>
      <c r="M190" s="5" t="str">
        <f>IFERROR(__xludf.DUMMYFUNCTION("""COMPUTED_VALUE"""),"Yes")</f>
        <v>Yes</v>
      </c>
      <c r="N190" s="5" t="str">
        <f>IFERROR(__xludf.DUMMYFUNCTION("""COMPUTED_VALUE"""),"Yes")</f>
        <v>Yes</v>
      </c>
      <c r="O190" s="5" t="str">
        <f>IFERROR(__xludf.DUMMYFUNCTION("""COMPUTED_VALUE"""),"Yes")</f>
        <v>Yes</v>
      </c>
      <c r="P190" s="5" t="str">
        <f>IFERROR(__xludf.DUMMYFUNCTION("""COMPUTED_VALUE"""),"Yes")</f>
        <v>Yes</v>
      </c>
      <c r="Q190" s="5" t="str">
        <f>IFERROR(__xludf.DUMMYFUNCTION("""COMPUTED_VALUE"""),"Yes")</f>
        <v>Yes</v>
      </c>
      <c r="R190" s="5" t="str">
        <f>IFERROR(__xludf.DUMMYFUNCTION("""COMPUTED_VALUE"""),"Yes")</f>
        <v>Yes</v>
      </c>
      <c r="S190" s="5" t="str">
        <f>IFERROR(__xludf.DUMMYFUNCTION("""COMPUTED_VALUE"""),"Yes")</f>
        <v>Yes</v>
      </c>
      <c r="T190" s="5" t="str">
        <f>IFERROR(__xludf.DUMMYFUNCTION("""COMPUTED_VALUE"""),"Yes")</f>
        <v>Yes</v>
      </c>
      <c r="U190" s="5" t="str">
        <f>IFERROR(__xludf.DUMMYFUNCTION("""COMPUTED_VALUE"""),"Yes")</f>
        <v>Yes</v>
      </c>
      <c r="V190" s="5" t="str">
        <f>IFERROR(__xludf.DUMMYFUNCTION("""COMPUTED_VALUE"""),"Yes")</f>
        <v>Yes</v>
      </c>
      <c r="W190" s="5" t="str">
        <f>IFERROR(__xludf.DUMMYFUNCTION("""COMPUTED_VALUE"""),"Yes")</f>
        <v>Yes</v>
      </c>
      <c r="X190" s="5" t="str">
        <f>IFERROR(__xludf.DUMMYFUNCTION("""COMPUTED_VALUE"""),"Yes")</f>
        <v>Yes</v>
      </c>
      <c r="Y190" s="5" t="str">
        <f>IFERROR(__xludf.DUMMYFUNCTION("""COMPUTED_VALUE"""),"Yes")</f>
        <v>Yes</v>
      </c>
      <c r="Z190" s="5"/>
      <c r="AA190" s="5" t="str">
        <f>IFERROR(__xludf.DUMMYFUNCTION("""COMPUTED_VALUE"""),"Yes")</f>
        <v>Yes</v>
      </c>
      <c r="AB190" s="5" t="str">
        <f>IFERROR(__xludf.DUMMYFUNCTION("""COMPUTED_VALUE"""),"Yes")</f>
        <v>Yes</v>
      </c>
      <c r="AC190" s="5" t="str">
        <f>IFERROR(__xludf.DUMMYFUNCTION("""COMPUTED_VALUE"""),"Yes")</f>
        <v>Yes</v>
      </c>
      <c r="AD190" s="5" t="str">
        <f>IFERROR(__xludf.DUMMYFUNCTION("""COMPUTED_VALUE"""),"Yes")</f>
        <v>Yes</v>
      </c>
      <c r="AE190" s="5"/>
      <c r="AF190" s="5" t="str">
        <f>IFERROR(__xludf.DUMMYFUNCTION("""COMPUTED_VALUE"""),"Yes")</f>
        <v>Yes</v>
      </c>
      <c r="AG190" s="5"/>
      <c r="AH190" s="5"/>
      <c r="AI190" s="5"/>
      <c r="AJ190" s="5"/>
      <c r="AK190" s="5"/>
      <c r="AL190" s="5"/>
      <c r="AM190" s="5"/>
      <c r="AN190" s="5"/>
      <c r="AO190" s="5"/>
      <c r="AP190" s="5"/>
      <c r="AQ190" s="5"/>
      <c r="AR190" s="5"/>
      <c r="AS190" s="5"/>
      <c r="AT190" s="5"/>
      <c r="AU190" s="5"/>
      <c r="AV190" s="5"/>
      <c r="AW190" s="5"/>
      <c r="AX190" s="5"/>
      <c r="AY190" s="5"/>
    </row>
    <row r="191">
      <c r="A1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91" s="5">
        <f>IFERROR(__xludf.DUMMYFUNCTION("""COMPUTED_VALUE"""),191.0)</f>
        <v>191</v>
      </c>
      <c r="C191" s="5">
        <f>IFERROR(__xludf.DUMMYFUNCTION("""COMPUTED_VALUE"""),190.0)</f>
        <v>190</v>
      </c>
      <c r="D191" s="5" t="str">
        <f>IFERROR(__xludf.DUMMYFUNCTION("""COMPUTED_VALUE"""),"Unicorn40DiceFlames")</f>
        <v>Unicorn40DiceFlames</v>
      </c>
      <c r="E191" s="5" t="str">
        <f>IFERROR(__xludf.DUMMYFUNCTION("""COMPUTED_VALUE"""),"Yes")</f>
        <v>Yes</v>
      </c>
      <c r="F191" s="5" t="str">
        <f>IFERROR(__xludf.DUMMYFUNCTION("""COMPUTED_VALUE"""),"Yes")</f>
        <v>Yes</v>
      </c>
      <c r="G191" s="5" t="str">
        <f>IFERROR(__xludf.DUMMYFUNCTION("""COMPUTED_VALUE"""),"Yes")</f>
        <v>Yes</v>
      </c>
      <c r="H191" s="5" t="str">
        <f>IFERROR(__xludf.DUMMYFUNCTION("""COMPUTED_VALUE"""),"No")</f>
        <v>No</v>
      </c>
      <c r="I191" s="5" t="str">
        <f>IFERROR(__xludf.DUMMYFUNCTION("""COMPUTED_VALUE"""),"No")</f>
        <v>No</v>
      </c>
      <c r="J191" s="5" t="str">
        <f>IFERROR(__xludf.DUMMYFUNCTION("""COMPUTED_VALUE"""),"No")</f>
        <v>No</v>
      </c>
      <c r="K191" s="5" t="str">
        <f>IFERROR(__xludf.DUMMYFUNCTION("""COMPUTED_VALUE"""),"No")</f>
        <v>No</v>
      </c>
      <c r="L191" s="5" t="str">
        <f>IFERROR(__xludf.DUMMYFUNCTION("""COMPUTED_VALUE"""),"No")</f>
        <v>No</v>
      </c>
      <c r="M191" s="5" t="str">
        <f>IFERROR(__xludf.DUMMYFUNCTION("""COMPUTED_VALUE"""),"Yes")</f>
        <v>Yes</v>
      </c>
      <c r="N191" s="5" t="str">
        <f>IFERROR(__xludf.DUMMYFUNCTION("""COMPUTED_VALUE"""),"Yes")</f>
        <v>Yes</v>
      </c>
      <c r="O191" s="5" t="str">
        <f>IFERROR(__xludf.DUMMYFUNCTION("""COMPUTED_VALUE"""),"Yes")</f>
        <v>Yes</v>
      </c>
      <c r="P191" s="5" t="str">
        <f>IFERROR(__xludf.DUMMYFUNCTION("""COMPUTED_VALUE"""),"Yes")</f>
        <v>Yes</v>
      </c>
      <c r="Q191" s="5" t="str">
        <f>IFERROR(__xludf.DUMMYFUNCTION("""COMPUTED_VALUE"""),"Yes")</f>
        <v>Yes</v>
      </c>
      <c r="R191" s="5" t="str">
        <f>IFERROR(__xludf.DUMMYFUNCTION("""COMPUTED_VALUE"""),"No")</f>
        <v>No</v>
      </c>
      <c r="S191" s="5" t="str">
        <f>IFERROR(__xludf.DUMMYFUNCTION("""COMPUTED_VALUE"""),"Yes")</f>
        <v>Yes</v>
      </c>
      <c r="T191" s="5" t="str">
        <f>IFERROR(__xludf.DUMMYFUNCTION("""COMPUTED_VALUE"""),"No")</f>
        <v>No</v>
      </c>
      <c r="U191" s="5" t="str">
        <f>IFERROR(__xludf.DUMMYFUNCTION("""COMPUTED_VALUE"""),"No")</f>
        <v>No</v>
      </c>
      <c r="V191" s="5" t="str">
        <f>IFERROR(__xludf.DUMMYFUNCTION("""COMPUTED_VALUE"""),"No")</f>
        <v>No</v>
      </c>
      <c r="W191" s="5" t="str">
        <f>IFERROR(__xludf.DUMMYFUNCTION("""COMPUTED_VALUE"""),"No")</f>
        <v>No</v>
      </c>
      <c r="X191" s="5" t="str">
        <f>IFERROR(__xludf.DUMMYFUNCTION("""COMPUTED_VALUE"""),"No")</f>
        <v>No</v>
      </c>
      <c r="Y191" s="5"/>
      <c r="Z191" s="5"/>
      <c r="AA191" s="5"/>
      <c r="AB191" s="5"/>
      <c r="AC191" s="5" t="str">
        <f>IFERROR(__xludf.DUMMYFUNCTION("""COMPUTED_VALUE"""),"No")</f>
        <v>No</v>
      </c>
      <c r="AD191" s="5"/>
      <c r="AE191" s="5"/>
      <c r="AF191" s="5"/>
      <c r="AG191" s="5"/>
      <c r="AH191" s="5"/>
      <c r="AI191" s="5"/>
      <c r="AJ191" s="5"/>
      <c r="AK191" s="5"/>
      <c r="AL191" s="5"/>
      <c r="AM191" s="5"/>
      <c r="AN191" s="5"/>
      <c r="AO191" s="5"/>
      <c r="AP191" s="5"/>
      <c r="AQ191" s="5"/>
      <c r="AR191" s="5"/>
      <c r="AS191" s="5"/>
      <c r="AT191" s="5"/>
      <c r="AU191" s="5"/>
      <c r="AV191" s="5"/>
      <c r="AW191" s="5"/>
      <c r="AX191" s="5"/>
      <c r="AY191" s="5"/>
    </row>
    <row r="192">
      <c r="A19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192" s="5">
        <f>IFERROR(__xludf.DUMMYFUNCTION("""COMPUTED_VALUE"""),192.0)</f>
        <v>192</v>
      </c>
      <c r="C192" s="5">
        <f>IFERROR(__xludf.DUMMYFUNCTION("""COMPUTED_VALUE"""),191.0)</f>
        <v>191</v>
      </c>
      <c r="D192" s="5" t="str">
        <f>IFERROR(__xludf.DUMMYFUNCTION("""COMPUTED_VALUE"""),"HeatClassic5")</f>
        <v>HeatClassic5</v>
      </c>
      <c r="E192" s="5" t="str">
        <f>IFERROR(__xludf.DUMMYFUNCTION("""COMPUTED_VALUE"""),"Yes")</f>
        <v>Yes</v>
      </c>
      <c r="F192" s="5" t="str">
        <f>IFERROR(__xludf.DUMMYFUNCTION("""COMPUTED_VALUE"""),"Yes")</f>
        <v>Yes</v>
      </c>
      <c r="G192" s="5" t="str">
        <f>IFERROR(__xludf.DUMMYFUNCTION("""COMPUTED_VALUE"""),"Yes")</f>
        <v>Yes</v>
      </c>
      <c r="H192" s="5" t="str">
        <f>IFERROR(__xludf.DUMMYFUNCTION("""COMPUTED_VALUE"""),"No")</f>
        <v>No</v>
      </c>
      <c r="I192" s="5" t="str">
        <f>IFERROR(__xludf.DUMMYFUNCTION("""COMPUTED_VALUE"""),"No")</f>
        <v>No</v>
      </c>
      <c r="J192" s="5" t="str">
        <f>IFERROR(__xludf.DUMMYFUNCTION("""COMPUTED_VALUE"""),"No")</f>
        <v>No</v>
      </c>
      <c r="K192" s="5" t="str">
        <f>IFERROR(__xludf.DUMMYFUNCTION("""COMPUTED_VALUE"""),"No")</f>
        <v>No</v>
      </c>
      <c r="L192" s="5" t="str">
        <f>IFERROR(__xludf.DUMMYFUNCTION("""COMPUTED_VALUE"""),"No")</f>
        <v>No</v>
      </c>
      <c r="M192" s="5" t="str">
        <f>IFERROR(__xludf.DUMMYFUNCTION("""COMPUTED_VALUE"""),"Yes")</f>
        <v>Yes</v>
      </c>
      <c r="N192" s="5" t="str">
        <f>IFERROR(__xludf.DUMMYFUNCTION("""COMPUTED_VALUE"""),"Yes")</f>
        <v>Yes</v>
      </c>
      <c r="O192" s="5" t="str">
        <f>IFERROR(__xludf.DUMMYFUNCTION("""COMPUTED_VALUE"""),"Yes")</f>
        <v>Yes</v>
      </c>
      <c r="P192" s="5" t="str">
        <f>IFERROR(__xludf.DUMMYFUNCTION("""COMPUTED_VALUE"""),"Yes")</f>
        <v>Yes</v>
      </c>
      <c r="Q192" s="5" t="str">
        <f>IFERROR(__xludf.DUMMYFUNCTION("""COMPUTED_VALUE"""),"Yes")</f>
        <v>Yes</v>
      </c>
      <c r="R192" s="5" t="str">
        <f>IFERROR(__xludf.DUMMYFUNCTION("""COMPUTED_VALUE"""),"No")</f>
        <v>No</v>
      </c>
      <c r="S192" s="5" t="str">
        <f>IFERROR(__xludf.DUMMYFUNCTION("""COMPUTED_VALUE"""),"Yes")</f>
        <v>Yes</v>
      </c>
      <c r="T192" s="5" t="str">
        <f>IFERROR(__xludf.DUMMYFUNCTION("""COMPUTED_VALUE"""),"No")</f>
        <v>No</v>
      </c>
      <c r="U192" s="5" t="str">
        <f>IFERROR(__xludf.DUMMYFUNCTION("""COMPUTED_VALUE"""),"No")</f>
        <v>No</v>
      </c>
      <c r="V192" s="5" t="str">
        <f>IFERROR(__xludf.DUMMYFUNCTION("""COMPUTED_VALUE"""),"No")</f>
        <v>No</v>
      </c>
      <c r="W192" s="5" t="str">
        <f>IFERROR(__xludf.DUMMYFUNCTION("""COMPUTED_VALUE"""),"No")</f>
        <v>No</v>
      </c>
      <c r="X192" s="5" t="str">
        <f>IFERROR(__xludf.DUMMYFUNCTION("""COMPUTED_VALUE"""),"No")</f>
        <v>No</v>
      </c>
      <c r="Y192" s="5"/>
      <c r="Z192" s="5"/>
      <c r="AA192" s="5"/>
      <c r="AB192" s="5"/>
      <c r="AC192" s="5" t="str">
        <f>IFERROR(__xludf.DUMMYFUNCTION("""COMPUTED_VALUE"""),"No")</f>
        <v>No</v>
      </c>
      <c r="AD192" s="5"/>
      <c r="AE192" s="5"/>
      <c r="AF192" s="5"/>
      <c r="AG192" s="5"/>
      <c r="AH192" s="5"/>
      <c r="AI192" s="5"/>
      <c r="AJ192" s="5"/>
      <c r="AK192" s="5"/>
      <c r="AL192" s="5"/>
      <c r="AM192" s="5"/>
      <c r="AN192" s="5"/>
      <c r="AO192" s="5"/>
      <c r="AP192" s="5"/>
      <c r="AQ192" s="5"/>
      <c r="AR192" s="5"/>
      <c r="AS192" s="5"/>
      <c r="AT192" s="5"/>
      <c r="AU192" s="5"/>
      <c r="AV192" s="5"/>
      <c r="AW192" s="5"/>
      <c r="AX192" s="5"/>
      <c r="AY192" s="5"/>
    </row>
    <row r="193">
      <c r="A1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3" s="5">
        <f>IFERROR(__xludf.DUMMYFUNCTION("""COMPUTED_VALUE"""),193.0)</f>
        <v>193</v>
      </c>
      <c r="C193" s="5">
        <f>IFERROR(__xludf.DUMMYFUNCTION("""COMPUTED_VALUE"""),192.0)</f>
        <v>192</v>
      </c>
      <c r="D193" s="5" t="str">
        <f>IFERROR(__xludf.DUMMYFUNCTION("""COMPUTED_VALUE"""),"WildHot40Halloween")</f>
        <v>WildHot40Halloween</v>
      </c>
      <c r="E193" s="5" t="str">
        <f>IFERROR(__xludf.DUMMYFUNCTION("""COMPUTED_VALUE"""),"Yes")</f>
        <v>Yes</v>
      </c>
      <c r="F193" s="5" t="str">
        <f>IFERROR(__xludf.DUMMYFUNCTION("""COMPUTED_VALUE"""),"Yes")</f>
        <v>Yes</v>
      </c>
      <c r="G193" s="5" t="str">
        <f>IFERROR(__xludf.DUMMYFUNCTION("""COMPUTED_VALUE"""),"Yes")</f>
        <v>Yes</v>
      </c>
      <c r="H193" s="5" t="str">
        <f>IFERROR(__xludf.DUMMYFUNCTION("""COMPUTED_VALUE"""),"Yes")</f>
        <v>Yes</v>
      </c>
      <c r="I193" s="5" t="str">
        <f>IFERROR(__xludf.DUMMYFUNCTION("""COMPUTED_VALUE"""),"Yes")</f>
        <v>Yes</v>
      </c>
      <c r="J193" s="5" t="str">
        <f>IFERROR(__xludf.DUMMYFUNCTION("""COMPUTED_VALUE"""),"Yes")</f>
        <v>Yes</v>
      </c>
      <c r="K193" s="5" t="str">
        <f>IFERROR(__xludf.DUMMYFUNCTION("""COMPUTED_VALUE"""),"Yes")</f>
        <v>Yes</v>
      </c>
      <c r="L193" s="5" t="str">
        <f>IFERROR(__xludf.DUMMYFUNCTION("""COMPUTED_VALUE"""),"Yes")</f>
        <v>Yes</v>
      </c>
      <c r="M193" s="5" t="str">
        <f>IFERROR(__xludf.DUMMYFUNCTION("""COMPUTED_VALUE"""),"Yes")</f>
        <v>Yes</v>
      </c>
      <c r="N193" s="5" t="str">
        <f>IFERROR(__xludf.DUMMYFUNCTION("""COMPUTED_VALUE"""),"Yes")</f>
        <v>Yes</v>
      </c>
      <c r="O193" s="5" t="str">
        <f>IFERROR(__xludf.DUMMYFUNCTION("""COMPUTED_VALUE"""),"Yes")</f>
        <v>Yes</v>
      </c>
      <c r="P193" s="5" t="str">
        <f>IFERROR(__xludf.DUMMYFUNCTION("""COMPUTED_VALUE"""),"Yes")</f>
        <v>Yes</v>
      </c>
      <c r="Q193" s="5" t="str">
        <f>IFERROR(__xludf.DUMMYFUNCTION("""COMPUTED_VALUE"""),"Yes")</f>
        <v>Yes</v>
      </c>
      <c r="R193" s="5" t="str">
        <f>IFERROR(__xludf.DUMMYFUNCTION("""COMPUTED_VALUE"""),"Yes")</f>
        <v>Yes</v>
      </c>
      <c r="S193" s="5" t="str">
        <f>IFERROR(__xludf.DUMMYFUNCTION("""COMPUTED_VALUE"""),"Yes")</f>
        <v>Yes</v>
      </c>
      <c r="T193" s="5" t="str">
        <f>IFERROR(__xludf.DUMMYFUNCTION("""COMPUTED_VALUE"""),"Yes")</f>
        <v>Yes</v>
      </c>
      <c r="U193" s="5" t="str">
        <f>IFERROR(__xludf.DUMMYFUNCTION("""COMPUTED_VALUE"""),"Yes")</f>
        <v>Yes</v>
      </c>
      <c r="V193" s="5" t="str">
        <f>IFERROR(__xludf.DUMMYFUNCTION("""COMPUTED_VALUE"""),"Yes")</f>
        <v>Yes</v>
      </c>
      <c r="W193" s="5" t="str">
        <f>IFERROR(__xludf.DUMMYFUNCTION("""COMPUTED_VALUE"""),"Yes")</f>
        <v>Yes</v>
      </c>
      <c r="X193" s="5" t="str">
        <f>IFERROR(__xludf.DUMMYFUNCTION("""COMPUTED_VALUE"""),"Yes")</f>
        <v>Yes</v>
      </c>
      <c r="Y193" s="5" t="str">
        <f>IFERROR(__xludf.DUMMYFUNCTION("""COMPUTED_VALUE"""),"Yes")</f>
        <v>Yes</v>
      </c>
      <c r="Z193" s="5" t="str">
        <f>IFERROR(__xludf.DUMMYFUNCTION("""COMPUTED_VALUE"""),"No")</f>
        <v>No</v>
      </c>
      <c r="AA193" s="5" t="str">
        <f>IFERROR(__xludf.DUMMYFUNCTION("""COMPUTED_VALUE"""),"Yes")</f>
        <v>Yes</v>
      </c>
      <c r="AB193" s="5" t="str">
        <f>IFERROR(__xludf.DUMMYFUNCTION("""COMPUTED_VALUE"""),"Yes")</f>
        <v>Yes</v>
      </c>
      <c r="AC193" s="5" t="str">
        <f>IFERROR(__xludf.DUMMYFUNCTION("""COMPUTED_VALUE"""),"Yes")</f>
        <v>Yes</v>
      </c>
      <c r="AD193" s="5" t="str">
        <f>IFERROR(__xludf.DUMMYFUNCTION("""COMPUTED_VALUE"""),"Yes")</f>
        <v>Yes</v>
      </c>
      <c r="AE193" s="5" t="str">
        <f>IFERROR(__xludf.DUMMYFUNCTION("""COMPUTED_VALUE"""),"No")</f>
        <v>No</v>
      </c>
      <c r="AF193" s="5" t="str">
        <f>IFERROR(__xludf.DUMMYFUNCTION("""COMPUTED_VALUE"""),"Yes")</f>
        <v>Yes</v>
      </c>
      <c r="AG193" s="5" t="str">
        <f>IFERROR(__xludf.DUMMYFUNCTION("""COMPUTED_VALUE"""),"No")</f>
        <v>No</v>
      </c>
      <c r="AH193" s="5" t="str">
        <f>IFERROR(__xludf.DUMMYFUNCTION("""COMPUTED_VALUE"""),"No")</f>
        <v>No</v>
      </c>
      <c r="AI193" s="5" t="str">
        <f>IFERROR(__xludf.DUMMYFUNCTION("""COMPUTED_VALUE"""),"No")</f>
        <v>No</v>
      </c>
      <c r="AJ193" s="5" t="str">
        <f>IFERROR(__xludf.DUMMYFUNCTION("""COMPUTED_VALUE"""),"No")</f>
        <v>No</v>
      </c>
      <c r="AK193" s="5" t="str">
        <f>IFERROR(__xludf.DUMMYFUNCTION("""COMPUTED_VALUE"""),"No")</f>
        <v>No</v>
      </c>
      <c r="AL193" s="5" t="str">
        <f>IFERROR(__xludf.DUMMYFUNCTION("""COMPUTED_VALUE"""),"No")</f>
        <v>No</v>
      </c>
      <c r="AM193" s="5"/>
      <c r="AN193" s="5"/>
      <c r="AO193" s="5"/>
      <c r="AP193" s="5"/>
      <c r="AQ193" s="5"/>
      <c r="AR193" s="5"/>
      <c r="AS193" s="5"/>
      <c r="AT193" s="5"/>
      <c r="AU193" s="5"/>
      <c r="AV193" s="5"/>
      <c r="AW193" s="5"/>
      <c r="AX193" s="5"/>
      <c r="AY193" s="5"/>
    </row>
    <row r="194">
      <c r="A1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4" s="5">
        <f>IFERROR(__xludf.DUMMYFUNCTION("""COMPUTED_VALUE"""),194.0)</f>
        <v>194</v>
      </c>
      <c r="C194" s="5">
        <f>IFERROR(__xludf.DUMMYFUNCTION("""COMPUTED_VALUE"""),193.0)</f>
        <v>193</v>
      </c>
      <c r="D194" s="5" t="str">
        <f>IFERROR(__xludf.DUMMYFUNCTION("""COMPUTED_VALUE"""),"CrystalHot40Halloween")</f>
        <v>CrystalHot40Halloween</v>
      </c>
      <c r="E194" s="5" t="str">
        <f>IFERROR(__xludf.DUMMYFUNCTION("""COMPUTED_VALUE"""),"Yes")</f>
        <v>Yes</v>
      </c>
      <c r="F194" s="5" t="str">
        <f>IFERROR(__xludf.DUMMYFUNCTION("""COMPUTED_VALUE"""),"Yes")</f>
        <v>Yes</v>
      </c>
      <c r="G194" s="5" t="str">
        <f>IFERROR(__xludf.DUMMYFUNCTION("""COMPUTED_VALUE"""),"Yes")</f>
        <v>Yes</v>
      </c>
      <c r="H194" s="5" t="str">
        <f>IFERROR(__xludf.DUMMYFUNCTION("""COMPUTED_VALUE"""),"Yes")</f>
        <v>Yes</v>
      </c>
      <c r="I194" s="5" t="str">
        <f>IFERROR(__xludf.DUMMYFUNCTION("""COMPUTED_VALUE"""),"Yes")</f>
        <v>Yes</v>
      </c>
      <c r="J194" s="5" t="str">
        <f>IFERROR(__xludf.DUMMYFUNCTION("""COMPUTED_VALUE"""),"Yes")</f>
        <v>Yes</v>
      </c>
      <c r="K194" s="5" t="str">
        <f>IFERROR(__xludf.DUMMYFUNCTION("""COMPUTED_VALUE"""),"Yes")</f>
        <v>Yes</v>
      </c>
      <c r="L194" s="5" t="str">
        <f>IFERROR(__xludf.DUMMYFUNCTION("""COMPUTED_VALUE"""),"Yes")</f>
        <v>Yes</v>
      </c>
      <c r="M194" s="5" t="str">
        <f>IFERROR(__xludf.DUMMYFUNCTION("""COMPUTED_VALUE"""),"Yes")</f>
        <v>Yes</v>
      </c>
      <c r="N194" s="5" t="str">
        <f>IFERROR(__xludf.DUMMYFUNCTION("""COMPUTED_VALUE"""),"Yes")</f>
        <v>Yes</v>
      </c>
      <c r="O194" s="5" t="str">
        <f>IFERROR(__xludf.DUMMYFUNCTION("""COMPUTED_VALUE"""),"Yes")</f>
        <v>Yes</v>
      </c>
      <c r="P194" s="5" t="str">
        <f>IFERROR(__xludf.DUMMYFUNCTION("""COMPUTED_VALUE"""),"Yes")</f>
        <v>Yes</v>
      </c>
      <c r="Q194" s="5" t="str">
        <f>IFERROR(__xludf.DUMMYFUNCTION("""COMPUTED_VALUE"""),"Yes")</f>
        <v>Yes</v>
      </c>
      <c r="R194" s="5" t="str">
        <f>IFERROR(__xludf.DUMMYFUNCTION("""COMPUTED_VALUE"""),"Yes")</f>
        <v>Yes</v>
      </c>
      <c r="S194" s="5" t="str">
        <f>IFERROR(__xludf.DUMMYFUNCTION("""COMPUTED_VALUE"""),"Yes")</f>
        <v>Yes</v>
      </c>
      <c r="T194" s="5" t="str">
        <f>IFERROR(__xludf.DUMMYFUNCTION("""COMPUTED_VALUE"""),"Yes")</f>
        <v>Yes</v>
      </c>
      <c r="U194" s="5" t="str">
        <f>IFERROR(__xludf.DUMMYFUNCTION("""COMPUTED_VALUE"""),"Yes")</f>
        <v>Yes</v>
      </c>
      <c r="V194" s="5" t="str">
        <f>IFERROR(__xludf.DUMMYFUNCTION("""COMPUTED_VALUE"""),"Yes")</f>
        <v>Yes</v>
      </c>
      <c r="W194" s="5" t="str">
        <f>IFERROR(__xludf.DUMMYFUNCTION("""COMPUTED_VALUE"""),"Yes")</f>
        <v>Yes</v>
      </c>
      <c r="X194" s="5" t="str">
        <f>IFERROR(__xludf.DUMMYFUNCTION("""COMPUTED_VALUE"""),"Yes")</f>
        <v>Yes</v>
      </c>
      <c r="Y194" s="5" t="str">
        <f>IFERROR(__xludf.DUMMYFUNCTION("""COMPUTED_VALUE"""),"Yes")</f>
        <v>Yes</v>
      </c>
      <c r="Z194" s="5" t="str">
        <f>IFERROR(__xludf.DUMMYFUNCTION("""COMPUTED_VALUE"""),"No")</f>
        <v>No</v>
      </c>
      <c r="AA194" s="5" t="str">
        <f>IFERROR(__xludf.DUMMYFUNCTION("""COMPUTED_VALUE"""),"Yes")</f>
        <v>Yes</v>
      </c>
      <c r="AB194" s="5" t="str">
        <f>IFERROR(__xludf.DUMMYFUNCTION("""COMPUTED_VALUE"""),"Yes")</f>
        <v>Yes</v>
      </c>
      <c r="AC194" s="5" t="str">
        <f>IFERROR(__xludf.DUMMYFUNCTION("""COMPUTED_VALUE"""),"Yes")</f>
        <v>Yes</v>
      </c>
      <c r="AD194" s="5" t="str">
        <f>IFERROR(__xludf.DUMMYFUNCTION("""COMPUTED_VALUE"""),"Yes")</f>
        <v>Yes</v>
      </c>
      <c r="AE194" s="5" t="str">
        <f>IFERROR(__xludf.DUMMYFUNCTION("""COMPUTED_VALUE"""),"No")</f>
        <v>No</v>
      </c>
      <c r="AF194" s="5" t="str">
        <f>IFERROR(__xludf.DUMMYFUNCTION("""COMPUTED_VALUE"""),"Yes")</f>
        <v>Yes</v>
      </c>
      <c r="AG194" s="5" t="str">
        <f>IFERROR(__xludf.DUMMYFUNCTION("""COMPUTED_VALUE"""),"No")</f>
        <v>No</v>
      </c>
      <c r="AH194" s="5" t="str">
        <f>IFERROR(__xludf.DUMMYFUNCTION("""COMPUTED_VALUE"""),"No")</f>
        <v>No</v>
      </c>
      <c r="AI194" s="5" t="str">
        <f>IFERROR(__xludf.DUMMYFUNCTION("""COMPUTED_VALUE"""),"No")</f>
        <v>No</v>
      </c>
      <c r="AJ194" s="5" t="str">
        <f>IFERROR(__xludf.DUMMYFUNCTION("""COMPUTED_VALUE"""),"No")</f>
        <v>No</v>
      </c>
      <c r="AK194" s="5" t="str">
        <f>IFERROR(__xludf.DUMMYFUNCTION("""COMPUTED_VALUE"""),"No")</f>
        <v>No</v>
      </c>
      <c r="AL194" s="5" t="str">
        <f>IFERROR(__xludf.DUMMYFUNCTION("""COMPUTED_VALUE"""),"No")</f>
        <v>No</v>
      </c>
      <c r="AM194" s="5"/>
      <c r="AN194" s="5"/>
      <c r="AO194" s="5"/>
      <c r="AP194" s="5"/>
      <c r="AQ194" s="5"/>
      <c r="AR194" s="5"/>
      <c r="AS194" s="5"/>
      <c r="AT194" s="5"/>
      <c r="AU194" s="5"/>
      <c r="AV194" s="5"/>
      <c r="AW194" s="5"/>
      <c r="AX194" s="5"/>
      <c r="AY194" s="5"/>
    </row>
    <row r="195">
      <c r="A1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5" s="5">
        <f>IFERROR(__xludf.DUMMYFUNCTION("""COMPUTED_VALUE"""),195.0)</f>
        <v>195</v>
      </c>
      <c r="C195" s="5">
        <f>IFERROR(__xludf.DUMMYFUNCTION("""COMPUTED_VALUE"""),194.0)</f>
        <v>194</v>
      </c>
      <c r="D195" s="5" t="str">
        <f>IFERROR(__xludf.DUMMYFUNCTION("""COMPUTED_VALUE"""),"VeryHot40Dice")</f>
        <v>VeryHot40Dice</v>
      </c>
      <c r="E195" s="5" t="str">
        <f>IFERROR(__xludf.DUMMYFUNCTION("""COMPUTED_VALUE"""),"Yes")</f>
        <v>Yes</v>
      </c>
      <c r="F195" s="5" t="str">
        <f>IFERROR(__xludf.DUMMYFUNCTION("""COMPUTED_VALUE"""),"Yes")</f>
        <v>Yes</v>
      </c>
      <c r="G195" s="5" t="str">
        <f>IFERROR(__xludf.DUMMYFUNCTION("""COMPUTED_VALUE"""),"Yes")</f>
        <v>Yes</v>
      </c>
      <c r="H195" s="5" t="str">
        <f>IFERROR(__xludf.DUMMYFUNCTION("""COMPUTED_VALUE"""),"Yes")</f>
        <v>Yes</v>
      </c>
      <c r="I195" s="5" t="str">
        <f>IFERROR(__xludf.DUMMYFUNCTION("""COMPUTED_VALUE"""),"Yes")</f>
        <v>Yes</v>
      </c>
      <c r="J195" s="5" t="str">
        <f>IFERROR(__xludf.DUMMYFUNCTION("""COMPUTED_VALUE"""),"Yes")</f>
        <v>Yes</v>
      </c>
      <c r="K195" s="5" t="str">
        <f>IFERROR(__xludf.DUMMYFUNCTION("""COMPUTED_VALUE"""),"Yes")</f>
        <v>Yes</v>
      </c>
      <c r="L195" s="5" t="str">
        <f>IFERROR(__xludf.DUMMYFUNCTION("""COMPUTED_VALUE"""),"Yes")</f>
        <v>Yes</v>
      </c>
      <c r="M195" s="5" t="str">
        <f>IFERROR(__xludf.DUMMYFUNCTION("""COMPUTED_VALUE"""),"Yes")</f>
        <v>Yes</v>
      </c>
      <c r="N195" s="5" t="str">
        <f>IFERROR(__xludf.DUMMYFUNCTION("""COMPUTED_VALUE"""),"Yes")</f>
        <v>Yes</v>
      </c>
      <c r="O195" s="5" t="str">
        <f>IFERROR(__xludf.DUMMYFUNCTION("""COMPUTED_VALUE"""),"Yes")</f>
        <v>Yes</v>
      </c>
      <c r="P195" s="5" t="str">
        <f>IFERROR(__xludf.DUMMYFUNCTION("""COMPUTED_VALUE"""),"Yes")</f>
        <v>Yes</v>
      </c>
      <c r="Q195" s="5" t="str">
        <f>IFERROR(__xludf.DUMMYFUNCTION("""COMPUTED_VALUE"""),"Yes")</f>
        <v>Yes</v>
      </c>
      <c r="R195" s="5" t="str">
        <f>IFERROR(__xludf.DUMMYFUNCTION("""COMPUTED_VALUE"""),"Yes")</f>
        <v>Yes</v>
      </c>
      <c r="S195" s="5" t="str">
        <f>IFERROR(__xludf.DUMMYFUNCTION("""COMPUTED_VALUE"""),"Yes")</f>
        <v>Yes</v>
      </c>
      <c r="T195" s="5" t="str">
        <f>IFERROR(__xludf.DUMMYFUNCTION("""COMPUTED_VALUE"""),"Yes")</f>
        <v>Yes</v>
      </c>
      <c r="U195" s="5" t="str">
        <f>IFERROR(__xludf.DUMMYFUNCTION("""COMPUTED_VALUE"""),"Yes")</f>
        <v>Yes</v>
      </c>
      <c r="V195" s="5" t="str">
        <f>IFERROR(__xludf.DUMMYFUNCTION("""COMPUTED_VALUE"""),"Yes")</f>
        <v>Yes</v>
      </c>
      <c r="W195" s="5" t="str">
        <f>IFERROR(__xludf.DUMMYFUNCTION("""COMPUTED_VALUE"""),"Yes")</f>
        <v>Yes</v>
      </c>
      <c r="X195" s="5" t="str">
        <f>IFERROR(__xludf.DUMMYFUNCTION("""COMPUTED_VALUE"""),"Yes")</f>
        <v>Yes</v>
      </c>
      <c r="Y195" s="5" t="str">
        <f>IFERROR(__xludf.DUMMYFUNCTION("""COMPUTED_VALUE"""),"Yes")</f>
        <v>Yes</v>
      </c>
      <c r="Z195" s="5" t="str">
        <f>IFERROR(__xludf.DUMMYFUNCTION("""COMPUTED_VALUE"""),"No")</f>
        <v>No</v>
      </c>
      <c r="AA195" s="5" t="str">
        <f>IFERROR(__xludf.DUMMYFUNCTION("""COMPUTED_VALUE"""),"Yes")</f>
        <v>Yes</v>
      </c>
      <c r="AB195" s="5" t="str">
        <f>IFERROR(__xludf.DUMMYFUNCTION("""COMPUTED_VALUE"""),"Yes")</f>
        <v>Yes</v>
      </c>
      <c r="AC195" s="5" t="str">
        <f>IFERROR(__xludf.DUMMYFUNCTION("""COMPUTED_VALUE"""),"Yes")</f>
        <v>Yes</v>
      </c>
      <c r="AD195" s="5" t="str">
        <f>IFERROR(__xludf.DUMMYFUNCTION("""COMPUTED_VALUE"""),"Yes")</f>
        <v>Yes</v>
      </c>
      <c r="AE195" s="5" t="str">
        <f>IFERROR(__xludf.DUMMYFUNCTION("""COMPUTED_VALUE"""),"No")</f>
        <v>No</v>
      </c>
      <c r="AF195" s="5" t="str">
        <f>IFERROR(__xludf.DUMMYFUNCTION("""COMPUTED_VALUE"""),"Yes")</f>
        <v>Yes</v>
      </c>
      <c r="AG195" s="5" t="str">
        <f>IFERROR(__xludf.DUMMYFUNCTION("""COMPUTED_VALUE"""),"No")</f>
        <v>No</v>
      </c>
      <c r="AH195" s="5" t="str">
        <f>IFERROR(__xludf.DUMMYFUNCTION("""COMPUTED_VALUE"""),"No")</f>
        <v>No</v>
      </c>
      <c r="AI195" s="5" t="str">
        <f>IFERROR(__xludf.DUMMYFUNCTION("""COMPUTED_VALUE"""),"No")</f>
        <v>No</v>
      </c>
      <c r="AJ195" s="5" t="str">
        <f>IFERROR(__xludf.DUMMYFUNCTION("""COMPUTED_VALUE"""),"No")</f>
        <v>No</v>
      </c>
      <c r="AK195" s="5" t="str">
        <f>IFERROR(__xludf.DUMMYFUNCTION("""COMPUTED_VALUE"""),"No")</f>
        <v>No</v>
      </c>
      <c r="AL195" s="5" t="str">
        <f>IFERROR(__xludf.DUMMYFUNCTION("""COMPUTED_VALUE"""),"No")</f>
        <v>No</v>
      </c>
      <c r="AM195" s="5"/>
      <c r="AN195" s="5"/>
      <c r="AO195" s="5"/>
      <c r="AP195" s="5"/>
      <c r="AQ195" s="5"/>
      <c r="AR195" s="5"/>
      <c r="AS195" s="5"/>
      <c r="AT195" s="5"/>
      <c r="AU195" s="5"/>
      <c r="AV195" s="5"/>
      <c r="AW195" s="5"/>
      <c r="AX195" s="5"/>
      <c r="AY195" s="5"/>
    </row>
    <row r="196">
      <c r="A1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6" s="5">
        <f>IFERROR(__xludf.DUMMYFUNCTION("""COMPUTED_VALUE"""),196.0)</f>
        <v>196</v>
      </c>
      <c r="C196" s="5">
        <f>IFERROR(__xludf.DUMMYFUNCTION("""COMPUTED_VALUE"""),195.0)</f>
        <v>195</v>
      </c>
      <c r="D196" s="5" t="str">
        <f>IFERROR(__xludf.DUMMYFUNCTION("""COMPUTED_VALUE"""),"WildLuckyClover")</f>
        <v>WildLuckyClover</v>
      </c>
      <c r="E196" s="5" t="str">
        <f>IFERROR(__xludf.DUMMYFUNCTION("""COMPUTED_VALUE"""),"Yes")</f>
        <v>Yes</v>
      </c>
      <c r="F196" s="5" t="str">
        <f>IFERROR(__xludf.DUMMYFUNCTION("""COMPUTED_VALUE"""),"Yes")</f>
        <v>Yes</v>
      </c>
      <c r="G196" s="5" t="str">
        <f>IFERROR(__xludf.DUMMYFUNCTION("""COMPUTED_VALUE"""),"Yes")</f>
        <v>Yes</v>
      </c>
      <c r="H196" s="5" t="str">
        <f>IFERROR(__xludf.DUMMYFUNCTION("""COMPUTED_VALUE"""),"Yes")</f>
        <v>Yes</v>
      </c>
      <c r="I196" s="5" t="str">
        <f>IFERROR(__xludf.DUMMYFUNCTION("""COMPUTED_VALUE"""),"Yes")</f>
        <v>Yes</v>
      </c>
      <c r="J196" s="5" t="str">
        <f>IFERROR(__xludf.DUMMYFUNCTION("""COMPUTED_VALUE"""),"Yes")</f>
        <v>Yes</v>
      </c>
      <c r="K196" s="5" t="str">
        <f>IFERROR(__xludf.DUMMYFUNCTION("""COMPUTED_VALUE"""),"Yes")</f>
        <v>Yes</v>
      </c>
      <c r="L196" s="5" t="str">
        <f>IFERROR(__xludf.DUMMYFUNCTION("""COMPUTED_VALUE"""),"Yes")</f>
        <v>Yes</v>
      </c>
      <c r="M196" s="5" t="str">
        <f>IFERROR(__xludf.DUMMYFUNCTION("""COMPUTED_VALUE"""),"Yes")</f>
        <v>Yes</v>
      </c>
      <c r="N196" s="5" t="str">
        <f>IFERROR(__xludf.DUMMYFUNCTION("""COMPUTED_VALUE"""),"Yes")</f>
        <v>Yes</v>
      </c>
      <c r="O196" s="5" t="str">
        <f>IFERROR(__xludf.DUMMYFUNCTION("""COMPUTED_VALUE"""),"Yes")</f>
        <v>Yes</v>
      </c>
      <c r="P196" s="5" t="str">
        <f>IFERROR(__xludf.DUMMYFUNCTION("""COMPUTED_VALUE"""),"Yes")</f>
        <v>Yes</v>
      </c>
      <c r="Q196" s="5" t="str">
        <f>IFERROR(__xludf.DUMMYFUNCTION("""COMPUTED_VALUE"""),"Yes")</f>
        <v>Yes</v>
      </c>
      <c r="R196" s="5" t="str">
        <f>IFERROR(__xludf.DUMMYFUNCTION("""COMPUTED_VALUE"""),"Yes")</f>
        <v>Yes</v>
      </c>
      <c r="S196" s="5" t="str">
        <f>IFERROR(__xludf.DUMMYFUNCTION("""COMPUTED_VALUE"""),"Yes")</f>
        <v>Yes</v>
      </c>
      <c r="T196" s="5" t="str">
        <f>IFERROR(__xludf.DUMMYFUNCTION("""COMPUTED_VALUE"""),"Yes")</f>
        <v>Yes</v>
      </c>
      <c r="U196" s="5" t="str">
        <f>IFERROR(__xludf.DUMMYFUNCTION("""COMPUTED_VALUE"""),"Yes")</f>
        <v>Yes</v>
      </c>
      <c r="V196" s="5" t="str">
        <f>IFERROR(__xludf.DUMMYFUNCTION("""COMPUTED_VALUE"""),"Yes")</f>
        <v>Yes</v>
      </c>
      <c r="W196" s="5" t="str">
        <f>IFERROR(__xludf.DUMMYFUNCTION("""COMPUTED_VALUE"""),"Yes")</f>
        <v>Yes</v>
      </c>
      <c r="X196" s="5" t="str">
        <f>IFERROR(__xludf.DUMMYFUNCTION("""COMPUTED_VALUE"""),"Yes")</f>
        <v>Yes</v>
      </c>
      <c r="Y196" s="5" t="str">
        <f>IFERROR(__xludf.DUMMYFUNCTION("""COMPUTED_VALUE"""),"Yes")</f>
        <v>Yes</v>
      </c>
      <c r="Z196" s="5" t="str">
        <f>IFERROR(__xludf.DUMMYFUNCTION("""COMPUTED_VALUE"""),"No")</f>
        <v>No</v>
      </c>
      <c r="AA196" s="5" t="str">
        <f>IFERROR(__xludf.DUMMYFUNCTION("""COMPUTED_VALUE"""),"Yes")</f>
        <v>Yes</v>
      </c>
      <c r="AB196" s="5" t="str">
        <f>IFERROR(__xludf.DUMMYFUNCTION("""COMPUTED_VALUE"""),"Yes")</f>
        <v>Yes</v>
      </c>
      <c r="AC196" s="5" t="str">
        <f>IFERROR(__xludf.DUMMYFUNCTION("""COMPUTED_VALUE"""),"Yes")</f>
        <v>Yes</v>
      </c>
      <c r="AD196" s="5" t="str">
        <f>IFERROR(__xludf.DUMMYFUNCTION("""COMPUTED_VALUE"""),"Yes")</f>
        <v>Yes</v>
      </c>
      <c r="AE196" s="5" t="str">
        <f>IFERROR(__xludf.DUMMYFUNCTION("""COMPUTED_VALUE"""),"No")</f>
        <v>No</v>
      </c>
      <c r="AF196" s="5" t="str">
        <f>IFERROR(__xludf.DUMMYFUNCTION("""COMPUTED_VALUE"""),"Yes")</f>
        <v>Yes</v>
      </c>
      <c r="AG196" s="5" t="str">
        <f>IFERROR(__xludf.DUMMYFUNCTION("""COMPUTED_VALUE"""),"No")</f>
        <v>No</v>
      </c>
      <c r="AH196" s="5" t="str">
        <f>IFERROR(__xludf.DUMMYFUNCTION("""COMPUTED_VALUE"""),"No")</f>
        <v>No</v>
      </c>
      <c r="AI196" s="5" t="str">
        <f>IFERROR(__xludf.DUMMYFUNCTION("""COMPUTED_VALUE"""),"No")</f>
        <v>No</v>
      </c>
      <c r="AJ196" s="5" t="str">
        <f>IFERROR(__xludf.DUMMYFUNCTION("""COMPUTED_VALUE"""),"No")</f>
        <v>No</v>
      </c>
      <c r="AK196" s="5" t="str">
        <f>IFERROR(__xludf.DUMMYFUNCTION("""COMPUTED_VALUE"""),"No")</f>
        <v>No</v>
      </c>
      <c r="AL196" s="5" t="str">
        <f>IFERROR(__xludf.DUMMYFUNCTION("""COMPUTED_VALUE"""),"No")</f>
        <v>No</v>
      </c>
      <c r="AM196" s="5"/>
      <c r="AN196" s="5"/>
      <c r="AO196" s="5"/>
      <c r="AP196" s="5"/>
      <c r="AQ196" s="5"/>
      <c r="AR196" s="5"/>
      <c r="AS196" s="5"/>
      <c r="AT196" s="5"/>
      <c r="AU196" s="5"/>
      <c r="AV196" s="5"/>
      <c r="AW196" s="5"/>
      <c r="AX196" s="5"/>
      <c r="AY196" s="5"/>
    </row>
    <row r="197">
      <c r="A1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97" s="5">
        <f>IFERROR(__xludf.DUMMYFUNCTION("""COMPUTED_VALUE"""),197.0)</f>
        <v>197</v>
      </c>
      <c r="C197" s="5">
        <f>IFERROR(__xludf.DUMMYFUNCTION("""COMPUTED_VALUE"""),196.0)</f>
        <v>196</v>
      </c>
      <c r="D197" s="5" t="str">
        <f>IFERROR(__xludf.DUMMYFUNCTION("""COMPUTED_VALUE"""),"FruitsAndStars20Deluxe")</f>
        <v>FruitsAndStars20Deluxe</v>
      </c>
      <c r="E197" s="5" t="str">
        <f>IFERROR(__xludf.DUMMYFUNCTION("""COMPUTED_VALUE"""),"Yes")</f>
        <v>Yes</v>
      </c>
      <c r="F197" s="5" t="str">
        <f>IFERROR(__xludf.DUMMYFUNCTION("""COMPUTED_VALUE"""),"Yes")</f>
        <v>Yes</v>
      </c>
      <c r="G197" s="5" t="str">
        <f>IFERROR(__xludf.DUMMYFUNCTION("""COMPUTED_VALUE"""),"Yes")</f>
        <v>Yes</v>
      </c>
      <c r="H197" s="5" t="str">
        <f>IFERROR(__xludf.DUMMYFUNCTION("""COMPUTED_VALUE"""),"Yes")</f>
        <v>Yes</v>
      </c>
      <c r="I197" s="5" t="str">
        <f>IFERROR(__xludf.DUMMYFUNCTION("""COMPUTED_VALUE"""),"Yes")</f>
        <v>Yes</v>
      </c>
      <c r="J197" s="5" t="str">
        <f>IFERROR(__xludf.DUMMYFUNCTION("""COMPUTED_VALUE"""),"Yes")</f>
        <v>Yes</v>
      </c>
      <c r="K197" s="5" t="str">
        <f>IFERROR(__xludf.DUMMYFUNCTION("""COMPUTED_VALUE"""),"Yes")</f>
        <v>Yes</v>
      </c>
      <c r="L197" s="5" t="str">
        <f>IFERROR(__xludf.DUMMYFUNCTION("""COMPUTED_VALUE"""),"Yes")</f>
        <v>Yes</v>
      </c>
      <c r="M197" s="5" t="str">
        <f>IFERROR(__xludf.DUMMYFUNCTION("""COMPUTED_VALUE"""),"Yes")</f>
        <v>Yes</v>
      </c>
      <c r="N197" s="5" t="str">
        <f>IFERROR(__xludf.DUMMYFUNCTION("""COMPUTED_VALUE"""),"Yes")</f>
        <v>Yes</v>
      </c>
      <c r="O197" s="5" t="str">
        <f>IFERROR(__xludf.DUMMYFUNCTION("""COMPUTED_VALUE"""),"Yes")</f>
        <v>Yes</v>
      </c>
      <c r="P197" s="5" t="str">
        <f>IFERROR(__xludf.DUMMYFUNCTION("""COMPUTED_VALUE"""),"Yes")</f>
        <v>Yes</v>
      </c>
      <c r="Q197" s="5" t="str">
        <f>IFERROR(__xludf.DUMMYFUNCTION("""COMPUTED_VALUE"""),"Yes")</f>
        <v>Yes</v>
      </c>
      <c r="R197" s="5" t="str">
        <f>IFERROR(__xludf.DUMMYFUNCTION("""COMPUTED_VALUE"""),"Yes")</f>
        <v>Yes</v>
      </c>
      <c r="S197" s="5" t="str">
        <f>IFERROR(__xludf.DUMMYFUNCTION("""COMPUTED_VALUE"""),"Yes")</f>
        <v>Yes</v>
      </c>
      <c r="T197" s="5" t="str">
        <f>IFERROR(__xludf.DUMMYFUNCTION("""COMPUTED_VALUE"""),"Yes")</f>
        <v>Yes</v>
      </c>
      <c r="U197" s="5" t="str">
        <f>IFERROR(__xludf.DUMMYFUNCTION("""COMPUTED_VALUE"""),"Yes")</f>
        <v>Yes</v>
      </c>
      <c r="V197" s="5" t="str">
        <f>IFERROR(__xludf.DUMMYFUNCTION("""COMPUTED_VALUE"""),"Yes")</f>
        <v>Yes</v>
      </c>
      <c r="W197" s="5" t="str">
        <f>IFERROR(__xludf.DUMMYFUNCTION("""COMPUTED_VALUE"""),"Yes")</f>
        <v>Yes</v>
      </c>
      <c r="X197" s="5" t="str">
        <f>IFERROR(__xludf.DUMMYFUNCTION("""COMPUTED_VALUE"""),"Yes")</f>
        <v>Yes</v>
      </c>
      <c r="Y197" s="5" t="str">
        <f>IFERROR(__xludf.DUMMYFUNCTION("""COMPUTED_VALUE"""),"Yes")</f>
        <v>Yes</v>
      </c>
      <c r="Z197" s="5" t="str">
        <f>IFERROR(__xludf.DUMMYFUNCTION("""COMPUTED_VALUE"""),"Yes")</f>
        <v>Yes</v>
      </c>
      <c r="AA197" s="5" t="str">
        <f>IFERROR(__xludf.DUMMYFUNCTION("""COMPUTED_VALUE"""),"Yes")</f>
        <v>Yes</v>
      </c>
      <c r="AB197" s="5" t="str">
        <f>IFERROR(__xludf.DUMMYFUNCTION("""COMPUTED_VALUE"""),"Yes")</f>
        <v>Yes</v>
      </c>
      <c r="AC197" s="5" t="str">
        <f>IFERROR(__xludf.DUMMYFUNCTION("""COMPUTED_VALUE"""),"Yes")</f>
        <v>Yes</v>
      </c>
      <c r="AD197" s="5" t="str">
        <f>IFERROR(__xludf.DUMMYFUNCTION("""COMPUTED_VALUE"""),"Yes")</f>
        <v>Yes</v>
      </c>
      <c r="AE197" s="5" t="str">
        <f>IFERROR(__xludf.DUMMYFUNCTION("""COMPUTED_VALUE"""),"Yes")</f>
        <v>Yes</v>
      </c>
      <c r="AF197" s="5" t="str">
        <f>IFERROR(__xludf.DUMMYFUNCTION("""COMPUTED_VALUE"""),"Yes")</f>
        <v>Yes</v>
      </c>
      <c r="AG197" s="5" t="str">
        <f>IFERROR(__xludf.DUMMYFUNCTION("""COMPUTED_VALUE"""),"Yes")</f>
        <v>Yes</v>
      </c>
      <c r="AH197" s="5" t="str">
        <f>IFERROR(__xludf.DUMMYFUNCTION("""COMPUTED_VALUE"""),"Yes")</f>
        <v>Yes</v>
      </c>
      <c r="AI197" s="5" t="str">
        <f>IFERROR(__xludf.DUMMYFUNCTION("""COMPUTED_VALUE"""),"No")</f>
        <v>No</v>
      </c>
      <c r="AJ197" s="5" t="str">
        <f>IFERROR(__xludf.DUMMYFUNCTION("""COMPUTED_VALUE"""),"No")</f>
        <v>No</v>
      </c>
      <c r="AK197" s="5" t="str">
        <f>IFERROR(__xludf.DUMMYFUNCTION("""COMPUTED_VALUE"""),"No")</f>
        <v>No</v>
      </c>
      <c r="AL197" s="5" t="str">
        <f>IFERROR(__xludf.DUMMYFUNCTION("""COMPUTED_VALUE"""),"No")</f>
        <v>No</v>
      </c>
      <c r="AM197" s="5"/>
      <c r="AN197" s="5"/>
      <c r="AO197" s="5"/>
      <c r="AP197" s="5"/>
      <c r="AQ197" s="5"/>
      <c r="AR197" s="5"/>
      <c r="AS197" s="5"/>
      <c r="AT197" s="5"/>
      <c r="AU197" s="5"/>
      <c r="AV197" s="5"/>
      <c r="AW197" s="5"/>
      <c r="AX197" s="5"/>
      <c r="AY197" s="5"/>
    </row>
    <row r="198">
      <c r="A1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8" s="5">
        <f>IFERROR(__xludf.DUMMYFUNCTION("""COMPUTED_VALUE"""),198.0)</f>
        <v>198</v>
      </c>
      <c r="C198" s="5">
        <f>IFERROR(__xludf.DUMMYFUNCTION("""COMPUTED_VALUE"""),197.0)</f>
        <v>197</v>
      </c>
      <c r="D198" s="5" t="str">
        <f>IFERROR(__xludf.DUMMYFUNCTION("""COMPUTED_VALUE"""),"VeryHot40Respin")</f>
        <v>VeryHot40Respin</v>
      </c>
      <c r="E198" s="5" t="str">
        <f>IFERROR(__xludf.DUMMYFUNCTION("""COMPUTED_VALUE"""),"Yes")</f>
        <v>Yes</v>
      </c>
      <c r="F198" s="5" t="str">
        <f>IFERROR(__xludf.DUMMYFUNCTION("""COMPUTED_VALUE"""),"Yes")</f>
        <v>Yes</v>
      </c>
      <c r="G198" s="5" t="str">
        <f>IFERROR(__xludf.DUMMYFUNCTION("""COMPUTED_VALUE"""),"Yes")</f>
        <v>Yes</v>
      </c>
      <c r="H198" s="5" t="str">
        <f>IFERROR(__xludf.DUMMYFUNCTION("""COMPUTED_VALUE"""),"Yes")</f>
        <v>Yes</v>
      </c>
      <c r="I198" s="5" t="str">
        <f>IFERROR(__xludf.DUMMYFUNCTION("""COMPUTED_VALUE"""),"Yes")</f>
        <v>Yes</v>
      </c>
      <c r="J198" s="5" t="str">
        <f>IFERROR(__xludf.DUMMYFUNCTION("""COMPUTED_VALUE"""),"Yes")</f>
        <v>Yes</v>
      </c>
      <c r="K198" s="5" t="str">
        <f>IFERROR(__xludf.DUMMYFUNCTION("""COMPUTED_VALUE"""),"Yes")</f>
        <v>Yes</v>
      </c>
      <c r="L198" s="5" t="str">
        <f>IFERROR(__xludf.DUMMYFUNCTION("""COMPUTED_VALUE"""),"Yes")</f>
        <v>Yes</v>
      </c>
      <c r="M198" s="5" t="str">
        <f>IFERROR(__xludf.DUMMYFUNCTION("""COMPUTED_VALUE"""),"Yes")</f>
        <v>Yes</v>
      </c>
      <c r="N198" s="5" t="str">
        <f>IFERROR(__xludf.DUMMYFUNCTION("""COMPUTED_VALUE"""),"Yes")</f>
        <v>Yes</v>
      </c>
      <c r="O198" s="5" t="str">
        <f>IFERROR(__xludf.DUMMYFUNCTION("""COMPUTED_VALUE"""),"Yes")</f>
        <v>Yes</v>
      </c>
      <c r="P198" s="5" t="str">
        <f>IFERROR(__xludf.DUMMYFUNCTION("""COMPUTED_VALUE"""),"Yes")</f>
        <v>Yes</v>
      </c>
      <c r="Q198" s="5" t="str">
        <f>IFERROR(__xludf.DUMMYFUNCTION("""COMPUTED_VALUE"""),"Yes")</f>
        <v>Yes</v>
      </c>
      <c r="R198" s="5" t="str">
        <f>IFERROR(__xludf.DUMMYFUNCTION("""COMPUTED_VALUE"""),"Yes")</f>
        <v>Yes</v>
      </c>
      <c r="S198" s="5" t="str">
        <f>IFERROR(__xludf.DUMMYFUNCTION("""COMPUTED_VALUE"""),"Yes")</f>
        <v>Yes</v>
      </c>
      <c r="T198" s="5" t="str">
        <f>IFERROR(__xludf.DUMMYFUNCTION("""COMPUTED_VALUE"""),"Yes")</f>
        <v>Yes</v>
      </c>
      <c r="U198" s="5" t="str">
        <f>IFERROR(__xludf.DUMMYFUNCTION("""COMPUTED_VALUE"""),"Yes")</f>
        <v>Yes</v>
      </c>
      <c r="V198" s="5" t="str">
        <f>IFERROR(__xludf.DUMMYFUNCTION("""COMPUTED_VALUE"""),"Yes")</f>
        <v>Yes</v>
      </c>
      <c r="W198" s="5" t="str">
        <f>IFERROR(__xludf.DUMMYFUNCTION("""COMPUTED_VALUE"""),"Yes")</f>
        <v>Yes</v>
      </c>
      <c r="X198" s="5" t="str">
        <f>IFERROR(__xludf.DUMMYFUNCTION("""COMPUTED_VALUE"""),"Yes")</f>
        <v>Yes</v>
      </c>
      <c r="Y198" s="5" t="str">
        <f>IFERROR(__xludf.DUMMYFUNCTION("""COMPUTED_VALUE"""),"Yes")</f>
        <v>Yes</v>
      </c>
      <c r="Z198" s="5" t="str">
        <f>IFERROR(__xludf.DUMMYFUNCTION("""COMPUTED_VALUE"""),"No")</f>
        <v>No</v>
      </c>
      <c r="AA198" s="5" t="str">
        <f>IFERROR(__xludf.DUMMYFUNCTION("""COMPUTED_VALUE"""),"Yes")</f>
        <v>Yes</v>
      </c>
      <c r="AB198" s="5" t="str">
        <f>IFERROR(__xludf.DUMMYFUNCTION("""COMPUTED_VALUE"""),"Yes")</f>
        <v>Yes</v>
      </c>
      <c r="AC198" s="5" t="str">
        <f>IFERROR(__xludf.DUMMYFUNCTION("""COMPUTED_VALUE"""),"Yes")</f>
        <v>Yes</v>
      </c>
      <c r="AD198" s="5" t="str">
        <f>IFERROR(__xludf.DUMMYFUNCTION("""COMPUTED_VALUE"""),"Yes")</f>
        <v>Yes</v>
      </c>
      <c r="AE198" s="5" t="str">
        <f>IFERROR(__xludf.DUMMYFUNCTION("""COMPUTED_VALUE"""),"No")</f>
        <v>No</v>
      </c>
      <c r="AF198" s="5" t="str">
        <f>IFERROR(__xludf.DUMMYFUNCTION("""COMPUTED_VALUE"""),"Yes")</f>
        <v>Yes</v>
      </c>
      <c r="AG198" s="5" t="str">
        <f>IFERROR(__xludf.DUMMYFUNCTION("""COMPUTED_VALUE"""),"No")</f>
        <v>No</v>
      </c>
      <c r="AH198" s="5" t="str">
        <f>IFERROR(__xludf.DUMMYFUNCTION("""COMPUTED_VALUE"""),"No")</f>
        <v>No</v>
      </c>
      <c r="AI198" s="5" t="str">
        <f>IFERROR(__xludf.DUMMYFUNCTION("""COMPUTED_VALUE"""),"No")</f>
        <v>No</v>
      </c>
      <c r="AJ198" s="5" t="str">
        <f>IFERROR(__xludf.DUMMYFUNCTION("""COMPUTED_VALUE"""),"No")</f>
        <v>No</v>
      </c>
      <c r="AK198" s="5" t="str">
        <f>IFERROR(__xludf.DUMMYFUNCTION("""COMPUTED_VALUE"""),"No")</f>
        <v>No</v>
      </c>
      <c r="AL198" s="5" t="str">
        <f>IFERROR(__xludf.DUMMYFUNCTION("""COMPUTED_VALUE"""),"No")</f>
        <v>No</v>
      </c>
      <c r="AM198" s="5"/>
      <c r="AN198" s="5"/>
      <c r="AO198" s="5"/>
      <c r="AP198" s="5"/>
      <c r="AQ198" s="5"/>
      <c r="AR198" s="5"/>
      <c r="AS198" s="5"/>
      <c r="AT198" s="5"/>
      <c r="AU198" s="5"/>
      <c r="AV198" s="5"/>
      <c r="AW198" s="5"/>
      <c r="AX198" s="5"/>
      <c r="AY198" s="5"/>
    </row>
    <row r="199">
      <c r="A1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9" s="5">
        <f>IFERROR(__xludf.DUMMYFUNCTION("""COMPUTED_VALUE"""),199.0)</f>
        <v>199</v>
      </c>
      <c r="C199" s="5">
        <f>IFERROR(__xludf.DUMMYFUNCTION("""COMPUTED_VALUE"""),198.0)</f>
        <v>198</v>
      </c>
      <c r="D199" s="5" t="str">
        <f>IFERROR(__xludf.DUMMYFUNCTION("""COMPUTED_VALUE"""),"BookOfDread")</f>
        <v>BookOfDread</v>
      </c>
      <c r="E199" s="5" t="str">
        <f>IFERROR(__xludf.DUMMYFUNCTION("""COMPUTED_VALUE"""),"Yes")</f>
        <v>Yes</v>
      </c>
      <c r="F199" s="5" t="str">
        <f>IFERROR(__xludf.DUMMYFUNCTION("""COMPUTED_VALUE"""),"Yes")</f>
        <v>Yes</v>
      </c>
      <c r="G199" s="5" t="str">
        <f>IFERROR(__xludf.DUMMYFUNCTION("""COMPUTED_VALUE"""),"Yes")</f>
        <v>Yes</v>
      </c>
      <c r="H199" s="5" t="str">
        <f>IFERROR(__xludf.DUMMYFUNCTION("""COMPUTED_VALUE"""),"Yes")</f>
        <v>Yes</v>
      </c>
      <c r="I199" s="5" t="str">
        <f>IFERROR(__xludf.DUMMYFUNCTION("""COMPUTED_VALUE"""),"Yes")</f>
        <v>Yes</v>
      </c>
      <c r="J199" s="5" t="str">
        <f>IFERROR(__xludf.DUMMYFUNCTION("""COMPUTED_VALUE"""),"Yes")</f>
        <v>Yes</v>
      </c>
      <c r="K199" s="5" t="str">
        <f>IFERROR(__xludf.DUMMYFUNCTION("""COMPUTED_VALUE"""),"Yes")</f>
        <v>Yes</v>
      </c>
      <c r="L199" s="5" t="str">
        <f>IFERROR(__xludf.DUMMYFUNCTION("""COMPUTED_VALUE"""),"Yes")</f>
        <v>Yes</v>
      </c>
      <c r="M199" s="5" t="str">
        <f>IFERROR(__xludf.DUMMYFUNCTION("""COMPUTED_VALUE"""),"Yes")</f>
        <v>Yes</v>
      </c>
      <c r="N199" s="5" t="str">
        <f>IFERROR(__xludf.DUMMYFUNCTION("""COMPUTED_VALUE"""),"Yes")</f>
        <v>Yes</v>
      </c>
      <c r="O199" s="5" t="str">
        <f>IFERROR(__xludf.DUMMYFUNCTION("""COMPUTED_VALUE"""),"Yes")</f>
        <v>Yes</v>
      </c>
      <c r="P199" s="5" t="str">
        <f>IFERROR(__xludf.DUMMYFUNCTION("""COMPUTED_VALUE"""),"Yes")</f>
        <v>Yes</v>
      </c>
      <c r="Q199" s="5" t="str">
        <f>IFERROR(__xludf.DUMMYFUNCTION("""COMPUTED_VALUE"""),"Yes")</f>
        <v>Yes</v>
      </c>
      <c r="R199" s="5" t="str">
        <f>IFERROR(__xludf.DUMMYFUNCTION("""COMPUTED_VALUE"""),"Yes")</f>
        <v>Yes</v>
      </c>
      <c r="S199" s="5" t="str">
        <f>IFERROR(__xludf.DUMMYFUNCTION("""COMPUTED_VALUE"""),"Yes")</f>
        <v>Yes</v>
      </c>
      <c r="T199" s="5" t="str">
        <f>IFERROR(__xludf.DUMMYFUNCTION("""COMPUTED_VALUE"""),"Yes")</f>
        <v>Yes</v>
      </c>
      <c r="U199" s="5" t="str">
        <f>IFERROR(__xludf.DUMMYFUNCTION("""COMPUTED_VALUE"""),"Yes")</f>
        <v>Yes</v>
      </c>
      <c r="V199" s="5" t="str">
        <f>IFERROR(__xludf.DUMMYFUNCTION("""COMPUTED_VALUE"""),"Yes")</f>
        <v>Yes</v>
      </c>
      <c r="W199" s="5" t="str">
        <f>IFERROR(__xludf.DUMMYFUNCTION("""COMPUTED_VALUE"""),"Yes")</f>
        <v>Yes</v>
      </c>
      <c r="X199" s="5" t="str">
        <f>IFERROR(__xludf.DUMMYFUNCTION("""COMPUTED_VALUE"""),"Yes")</f>
        <v>Yes</v>
      </c>
      <c r="Y199" s="5" t="str">
        <f>IFERROR(__xludf.DUMMYFUNCTION("""COMPUTED_VALUE"""),"Yes")</f>
        <v>Yes</v>
      </c>
      <c r="Z199" s="5"/>
      <c r="AA199" s="5" t="str">
        <f>IFERROR(__xludf.DUMMYFUNCTION("""COMPUTED_VALUE"""),"Yes")</f>
        <v>Yes</v>
      </c>
      <c r="AB199" s="5" t="str">
        <f>IFERROR(__xludf.DUMMYFUNCTION("""COMPUTED_VALUE"""),"Yes")</f>
        <v>Yes</v>
      </c>
      <c r="AC199" s="5" t="str">
        <f>IFERROR(__xludf.DUMMYFUNCTION("""COMPUTED_VALUE"""),"Yes")</f>
        <v>Yes</v>
      </c>
      <c r="AD199" s="5" t="str">
        <f>IFERROR(__xludf.DUMMYFUNCTION("""COMPUTED_VALUE"""),"Yes")</f>
        <v>Yes</v>
      </c>
      <c r="AE199" s="5"/>
      <c r="AF199" s="5" t="str">
        <f>IFERROR(__xludf.DUMMYFUNCTION("""COMPUTED_VALUE"""),"Yes")</f>
        <v>Yes</v>
      </c>
      <c r="AG199" s="5"/>
      <c r="AH199" s="5"/>
      <c r="AI199" s="5"/>
      <c r="AJ199" s="5"/>
      <c r="AK199" s="5"/>
      <c r="AL199" s="5"/>
      <c r="AM199" s="5"/>
      <c r="AN199" s="5"/>
      <c r="AO199" s="5"/>
      <c r="AP199" s="5"/>
      <c r="AQ199" s="5"/>
      <c r="AR199" s="5"/>
      <c r="AS199" s="5"/>
      <c r="AT199" s="5"/>
      <c r="AU199" s="5"/>
      <c r="AV199" s="5"/>
      <c r="AW199" s="5"/>
      <c r="AX199" s="5"/>
      <c r="AY199" s="5"/>
    </row>
    <row r="200">
      <c r="A20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00" s="5">
        <f>IFERROR(__xludf.DUMMYFUNCTION("""COMPUTED_VALUE"""),200.0)</f>
        <v>200</v>
      </c>
      <c r="C200" s="5">
        <f>IFERROR(__xludf.DUMMYFUNCTION("""COMPUTED_VALUE"""),199.0)</f>
        <v>199</v>
      </c>
      <c r="D200" s="5" t="str">
        <f>IFERROR(__xludf.DUMMYFUNCTION("""COMPUTED_VALUE"""),"WildPumpkin10")</f>
        <v>WildPumpkin10</v>
      </c>
      <c r="E200" s="5" t="str">
        <f>IFERROR(__xludf.DUMMYFUNCTION("""COMPUTED_VALUE"""),"Yes")</f>
        <v>Yes</v>
      </c>
      <c r="F200" s="5" t="str">
        <f>IFERROR(__xludf.DUMMYFUNCTION("""COMPUTED_VALUE"""),"Yes")</f>
        <v>Yes</v>
      </c>
      <c r="G200" s="5" t="str">
        <f>IFERROR(__xludf.DUMMYFUNCTION("""COMPUTED_VALUE"""),"No")</f>
        <v>No</v>
      </c>
      <c r="H200" s="5" t="str">
        <f>IFERROR(__xludf.DUMMYFUNCTION("""COMPUTED_VALUE"""),"Yes")</f>
        <v>Yes</v>
      </c>
      <c r="I200" s="5" t="str">
        <f>IFERROR(__xludf.DUMMYFUNCTION("""COMPUTED_VALUE"""),"Yes")</f>
        <v>Yes</v>
      </c>
      <c r="J200" s="5" t="str">
        <f>IFERROR(__xludf.DUMMYFUNCTION("""COMPUTED_VALUE"""),"Yes")</f>
        <v>Yes</v>
      </c>
      <c r="K200" s="5" t="str">
        <f>IFERROR(__xludf.DUMMYFUNCTION("""COMPUTED_VALUE"""),"Yes")</f>
        <v>Yes</v>
      </c>
      <c r="L200" s="5" t="str">
        <f>IFERROR(__xludf.DUMMYFUNCTION("""COMPUTED_VALUE"""),"Yes")</f>
        <v>Yes</v>
      </c>
      <c r="M200" s="5" t="str">
        <f>IFERROR(__xludf.DUMMYFUNCTION("""COMPUTED_VALUE"""),"Yes")</f>
        <v>Yes</v>
      </c>
      <c r="N200" s="5" t="str">
        <f>IFERROR(__xludf.DUMMYFUNCTION("""COMPUTED_VALUE"""),"Yes")</f>
        <v>Yes</v>
      </c>
      <c r="O200" s="5" t="str">
        <f>IFERROR(__xludf.DUMMYFUNCTION("""COMPUTED_VALUE"""),"Yes")</f>
        <v>Yes</v>
      </c>
      <c r="P200" s="5" t="str">
        <f>IFERROR(__xludf.DUMMYFUNCTION("""COMPUTED_VALUE"""),"Yes")</f>
        <v>Yes</v>
      </c>
      <c r="Q200" s="5" t="str">
        <f>IFERROR(__xludf.DUMMYFUNCTION("""COMPUTED_VALUE"""),"Yes")</f>
        <v>Yes</v>
      </c>
      <c r="R200" s="5" t="str">
        <f>IFERROR(__xludf.DUMMYFUNCTION("""COMPUTED_VALUE"""),"Yes")</f>
        <v>Yes</v>
      </c>
      <c r="S200" s="5" t="str">
        <f>IFERROR(__xludf.DUMMYFUNCTION("""COMPUTED_VALUE"""),"Yes")</f>
        <v>Yes</v>
      </c>
      <c r="T200" s="5" t="str">
        <f>IFERROR(__xludf.DUMMYFUNCTION("""COMPUTED_VALUE"""),"No")</f>
        <v>No</v>
      </c>
      <c r="U200" s="5" t="str">
        <f>IFERROR(__xludf.DUMMYFUNCTION("""COMPUTED_VALUE"""),"No")</f>
        <v>No</v>
      </c>
      <c r="V200" s="5" t="str">
        <f>IFERROR(__xludf.DUMMYFUNCTION("""COMPUTED_VALUE"""),"No")</f>
        <v>No</v>
      </c>
      <c r="W200" s="5" t="str">
        <f>IFERROR(__xludf.DUMMYFUNCTION("""COMPUTED_VALUE"""),"No")</f>
        <v>No</v>
      </c>
      <c r="X200" s="5" t="str">
        <f>IFERROR(__xludf.DUMMYFUNCTION("""COMPUTED_VALUE"""),"No")</f>
        <v>No</v>
      </c>
      <c r="Y200" s="5" t="str">
        <f>IFERROR(__xludf.DUMMYFUNCTION("""COMPUTED_VALUE"""),"No")</f>
        <v>No</v>
      </c>
      <c r="Z200" s="5" t="str">
        <f>IFERROR(__xludf.DUMMYFUNCTION("""COMPUTED_VALUE"""),"No")</f>
        <v>No</v>
      </c>
      <c r="AA200" s="5" t="str">
        <f>IFERROR(__xludf.DUMMYFUNCTION("""COMPUTED_VALUE"""),"No")</f>
        <v>No</v>
      </c>
      <c r="AB200" s="5" t="str">
        <f>IFERROR(__xludf.DUMMYFUNCTION("""COMPUTED_VALUE"""),"No")</f>
        <v>No</v>
      </c>
      <c r="AC200" s="5" t="str">
        <f>IFERROR(__xludf.DUMMYFUNCTION("""COMPUTED_VALUE"""),"No")</f>
        <v>No</v>
      </c>
      <c r="AD200" s="5" t="str">
        <f>IFERROR(__xludf.DUMMYFUNCTION("""COMPUTED_VALUE"""),"No")</f>
        <v>No</v>
      </c>
      <c r="AE200" s="5" t="str">
        <f>IFERROR(__xludf.DUMMYFUNCTION("""COMPUTED_VALUE"""),"No")</f>
        <v>No</v>
      </c>
      <c r="AF200" s="5" t="str">
        <f>IFERROR(__xludf.DUMMYFUNCTION("""COMPUTED_VALUE"""),"Yes")</f>
        <v>Yes</v>
      </c>
      <c r="AG200" s="5" t="str">
        <f>IFERROR(__xludf.DUMMYFUNCTION("""COMPUTED_VALUE"""),"No")</f>
        <v>No</v>
      </c>
      <c r="AH200" s="5" t="str">
        <f>IFERROR(__xludf.DUMMYFUNCTION("""COMPUTED_VALUE"""),"Yes")</f>
        <v>Yes</v>
      </c>
      <c r="AI200" s="5" t="str">
        <f>IFERROR(__xludf.DUMMYFUNCTION("""COMPUTED_VALUE"""),"No")</f>
        <v>No</v>
      </c>
      <c r="AJ200" s="5" t="str">
        <f>IFERROR(__xludf.DUMMYFUNCTION("""COMPUTED_VALUE"""),"No")</f>
        <v>No</v>
      </c>
      <c r="AK200" s="5" t="str">
        <f>IFERROR(__xludf.DUMMYFUNCTION("""COMPUTED_VALUE"""),"No")</f>
        <v>No</v>
      </c>
      <c r="AL200" s="5" t="str">
        <f>IFERROR(__xludf.DUMMYFUNCTION("""COMPUTED_VALUE"""),"No")</f>
        <v>No</v>
      </c>
      <c r="AM200" s="5"/>
      <c r="AN200" s="5"/>
      <c r="AO200" s="5"/>
      <c r="AP200" s="5"/>
      <c r="AQ200" s="5"/>
      <c r="AR200" s="5"/>
      <c r="AS200" s="5"/>
      <c r="AT200" s="5"/>
      <c r="AU200" s="5"/>
      <c r="AV200" s="5"/>
      <c r="AW200" s="5"/>
      <c r="AX200" s="5"/>
      <c r="AY200" s="5"/>
    </row>
    <row r="201">
      <c r="A2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1" s="5">
        <f>IFERROR(__xludf.DUMMYFUNCTION("""COMPUTED_VALUE"""),201.0)</f>
        <v>201</v>
      </c>
      <c r="C201" s="5">
        <f>IFERROR(__xludf.DUMMYFUNCTION("""COMPUTED_VALUE"""),200.0)</f>
        <v>200</v>
      </c>
      <c r="D201" s="5" t="str">
        <f>IFERROR(__xludf.DUMMYFUNCTION("""COMPUTED_VALUE"""),"AfricanTreasure")</f>
        <v>AfricanTreasure</v>
      </c>
      <c r="E201" s="5" t="str">
        <f>IFERROR(__xludf.DUMMYFUNCTION("""COMPUTED_VALUE"""),"Yes")</f>
        <v>Yes</v>
      </c>
      <c r="F201" s="5" t="str">
        <f>IFERROR(__xludf.DUMMYFUNCTION("""COMPUTED_VALUE"""),"Yes")</f>
        <v>Yes</v>
      </c>
      <c r="G201" s="5" t="str">
        <f>IFERROR(__xludf.DUMMYFUNCTION("""COMPUTED_VALUE"""),"Yes")</f>
        <v>Yes</v>
      </c>
      <c r="H201" s="5" t="str">
        <f>IFERROR(__xludf.DUMMYFUNCTION("""COMPUTED_VALUE"""),"Yes")</f>
        <v>Yes</v>
      </c>
      <c r="I201" s="5" t="str">
        <f>IFERROR(__xludf.DUMMYFUNCTION("""COMPUTED_VALUE"""),"Yes")</f>
        <v>Yes</v>
      </c>
      <c r="J201" s="5" t="str">
        <f>IFERROR(__xludf.DUMMYFUNCTION("""COMPUTED_VALUE"""),"Yes")</f>
        <v>Yes</v>
      </c>
      <c r="K201" s="5" t="str">
        <f>IFERROR(__xludf.DUMMYFUNCTION("""COMPUTED_VALUE"""),"Yes")</f>
        <v>Yes</v>
      </c>
      <c r="L201" s="5" t="str">
        <f>IFERROR(__xludf.DUMMYFUNCTION("""COMPUTED_VALUE"""),"Yes")</f>
        <v>Yes</v>
      </c>
      <c r="M201" s="5" t="str">
        <f>IFERROR(__xludf.DUMMYFUNCTION("""COMPUTED_VALUE"""),"Yes")</f>
        <v>Yes</v>
      </c>
      <c r="N201" s="5" t="str">
        <f>IFERROR(__xludf.DUMMYFUNCTION("""COMPUTED_VALUE"""),"Yes")</f>
        <v>Yes</v>
      </c>
      <c r="O201" s="5" t="str">
        <f>IFERROR(__xludf.DUMMYFUNCTION("""COMPUTED_VALUE"""),"Yes")</f>
        <v>Yes</v>
      </c>
      <c r="P201" s="5" t="str">
        <f>IFERROR(__xludf.DUMMYFUNCTION("""COMPUTED_VALUE"""),"Yes")</f>
        <v>Yes</v>
      </c>
      <c r="Q201" s="5" t="str">
        <f>IFERROR(__xludf.DUMMYFUNCTION("""COMPUTED_VALUE"""),"Yes")</f>
        <v>Yes</v>
      </c>
      <c r="R201" s="5" t="str">
        <f>IFERROR(__xludf.DUMMYFUNCTION("""COMPUTED_VALUE"""),"Yes")</f>
        <v>Yes</v>
      </c>
      <c r="S201" s="5" t="str">
        <f>IFERROR(__xludf.DUMMYFUNCTION("""COMPUTED_VALUE"""),"Yes")</f>
        <v>Yes</v>
      </c>
      <c r="T201" s="5" t="str">
        <f>IFERROR(__xludf.DUMMYFUNCTION("""COMPUTED_VALUE"""),"Yes")</f>
        <v>Yes</v>
      </c>
      <c r="U201" s="5" t="str">
        <f>IFERROR(__xludf.DUMMYFUNCTION("""COMPUTED_VALUE"""),"Yes")</f>
        <v>Yes</v>
      </c>
      <c r="V201" s="5" t="str">
        <f>IFERROR(__xludf.DUMMYFUNCTION("""COMPUTED_VALUE"""),"Yes")</f>
        <v>Yes</v>
      </c>
      <c r="W201" s="5" t="str">
        <f>IFERROR(__xludf.DUMMYFUNCTION("""COMPUTED_VALUE"""),"Yes")</f>
        <v>Yes</v>
      </c>
      <c r="X201" s="5" t="str">
        <f>IFERROR(__xludf.DUMMYFUNCTION("""COMPUTED_VALUE"""),"Yes")</f>
        <v>Yes</v>
      </c>
      <c r="Y201" s="5" t="str">
        <f>IFERROR(__xludf.DUMMYFUNCTION("""COMPUTED_VALUE"""),"Yes")</f>
        <v>Yes</v>
      </c>
      <c r="Z201" s="5" t="str">
        <f>IFERROR(__xludf.DUMMYFUNCTION("""COMPUTED_VALUE"""),"No")</f>
        <v>No</v>
      </c>
      <c r="AA201" s="5" t="str">
        <f>IFERROR(__xludf.DUMMYFUNCTION("""COMPUTED_VALUE"""),"Yes")</f>
        <v>Yes</v>
      </c>
      <c r="AB201" s="5" t="str">
        <f>IFERROR(__xludf.DUMMYFUNCTION("""COMPUTED_VALUE"""),"Yes")</f>
        <v>Yes</v>
      </c>
      <c r="AC201" s="5" t="str">
        <f>IFERROR(__xludf.DUMMYFUNCTION("""COMPUTED_VALUE"""),"Yes")</f>
        <v>Yes</v>
      </c>
      <c r="AD201" s="5" t="str">
        <f>IFERROR(__xludf.DUMMYFUNCTION("""COMPUTED_VALUE"""),"Yes")</f>
        <v>Yes</v>
      </c>
      <c r="AE201" s="5" t="str">
        <f>IFERROR(__xludf.DUMMYFUNCTION("""COMPUTED_VALUE"""),"No")</f>
        <v>No</v>
      </c>
      <c r="AF201" s="5" t="str">
        <f>IFERROR(__xludf.DUMMYFUNCTION("""COMPUTED_VALUE"""),"Yes")</f>
        <v>Yes</v>
      </c>
      <c r="AG201" s="5" t="str">
        <f>IFERROR(__xludf.DUMMYFUNCTION("""COMPUTED_VALUE"""),"No")</f>
        <v>No</v>
      </c>
      <c r="AH201" s="5" t="str">
        <f>IFERROR(__xludf.DUMMYFUNCTION("""COMPUTED_VALUE"""),"No")</f>
        <v>No</v>
      </c>
      <c r="AI201" s="5" t="str">
        <f>IFERROR(__xludf.DUMMYFUNCTION("""COMPUTED_VALUE"""),"No")</f>
        <v>No</v>
      </c>
      <c r="AJ201" s="5" t="str">
        <f>IFERROR(__xludf.DUMMYFUNCTION("""COMPUTED_VALUE"""),"No")</f>
        <v>No</v>
      </c>
      <c r="AK201" s="5" t="str">
        <f>IFERROR(__xludf.DUMMYFUNCTION("""COMPUTED_VALUE"""),"No")</f>
        <v>No</v>
      </c>
      <c r="AL201" s="5" t="str">
        <f>IFERROR(__xludf.DUMMYFUNCTION("""COMPUTED_VALUE"""),"No")</f>
        <v>No</v>
      </c>
      <c r="AM201" s="5"/>
      <c r="AN201" s="5"/>
      <c r="AO201" s="5"/>
      <c r="AP201" s="5"/>
      <c r="AQ201" s="5"/>
      <c r="AR201" s="5"/>
      <c r="AS201" s="5"/>
      <c r="AT201" s="5"/>
      <c r="AU201" s="5"/>
      <c r="AV201" s="5"/>
      <c r="AW201" s="5"/>
      <c r="AX201" s="5"/>
      <c r="AY201" s="5"/>
    </row>
    <row r="202">
      <c r="A2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2" s="5">
        <f>IFERROR(__xludf.DUMMYFUNCTION("""COMPUTED_VALUE"""),202.0)</f>
        <v>202</v>
      </c>
      <c r="C202" s="5">
        <f>IFERROR(__xludf.DUMMYFUNCTION("""COMPUTED_VALUE"""),201.0)</f>
        <v>201</v>
      </c>
      <c r="D202" s="5" t="str">
        <f>IFERROR(__xludf.DUMMYFUNCTION("""COMPUTED_VALUE"""),"UnicornDaVincisDice")</f>
        <v>UnicornDaVincisDice</v>
      </c>
      <c r="E202" s="5" t="str">
        <f>IFERROR(__xludf.DUMMYFUNCTION("""COMPUTED_VALUE"""),"Yes")</f>
        <v>Yes</v>
      </c>
      <c r="F202" s="5" t="str">
        <f>IFERROR(__xludf.DUMMYFUNCTION("""COMPUTED_VALUE"""),"Yes")</f>
        <v>Yes</v>
      </c>
      <c r="G202" s="5" t="str">
        <f>IFERROR(__xludf.DUMMYFUNCTION("""COMPUTED_VALUE"""),"Yes")</f>
        <v>Yes</v>
      </c>
      <c r="H202" s="5" t="str">
        <f>IFERROR(__xludf.DUMMYFUNCTION("""COMPUTED_VALUE"""),"Yes")</f>
        <v>Yes</v>
      </c>
      <c r="I202" s="5" t="str">
        <f>IFERROR(__xludf.DUMMYFUNCTION("""COMPUTED_VALUE"""),"Yes")</f>
        <v>Yes</v>
      </c>
      <c r="J202" s="5" t="str">
        <f>IFERROR(__xludf.DUMMYFUNCTION("""COMPUTED_VALUE"""),"Yes")</f>
        <v>Yes</v>
      </c>
      <c r="K202" s="5" t="str">
        <f>IFERROR(__xludf.DUMMYFUNCTION("""COMPUTED_VALUE"""),"Yes")</f>
        <v>Yes</v>
      </c>
      <c r="L202" s="5" t="str">
        <f>IFERROR(__xludf.DUMMYFUNCTION("""COMPUTED_VALUE"""),"Yes")</f>
        <v>Yes</v>
      </c>
      <c r="M202" s="5" t="str">
        <f>IFERROR(__xludf.DUMMYFUNCTION("""COMPUTED_VALUE"""),"Yes")</f>
        <v>Yes</v>
      </c>
      <c r="N202" s="5" t="str">
        <f>IFERROR(__xludf.DUMMYFUNCTION("""COMPUTED_VALUE"""),"Yes")</f>
        <v>Yes</v>
      </c>
      <c r="O202" s="5" t="str">
        <f>IFERROR(__xludf.DUMMYFUNCTION("""COMPUTED_VALUE"""),"Yes")</f>
        <v>Yes</v>
      </c>
      <c r="P202" s="5" t="str">
        <f>IFERROR(__xludf.DUMMYFUNCTION("""COMPUTED_VALUE"""),"Yes")</f>
        <v>Yes</v>
      </c>
      <c r="Q202" s="5" t="str">
        <f>IFERROR(__xludf.DUMMYFUNCTION("""COMPUTED_VALUE"""),"Yes")</f>
        <v>Yes</v>
      </c>
      <c r="R202" s="5" t="str">
        <f>IFERROR(__xludf.DUMMYFUNCTION("""COMPUTED_VALUE"""),"Yes")</f>
        <v>Yes</v>
      </c>
      <c r="S202" s="5" t="str">
        <f>IFERROR(__xludf.DUMMYFUNCTION("""COMPUTED_VALUE"""),"Yes")</f>
        <v>Yes</v>
      </c>
      <c r="T202" s="5" t="str">
        <f>IFERROR(__xludf.DUMMYFUNCTION("""COMPUTED_VALUE"""),"Yes")</f>
        <v>Yes</v>
      </c>
      <c r="U202" s="5" t="str">
        <f>IFERROR(__xludf.DUMMYFUNCTION("""COMPUTED_VALUE"""),"Yes")</f>
        <v>Yes</v>
      </c>
      <c r="V202" s="5" t="str">
        <f>IFERROR(__xludf.DUMMYFUNCTION("""COMPUTED_VALUE"""),"Yes")</f>
        <v>Yes</v>
      </c>
      <c r="W202" s="5" t="str">
        <f>IFERROR(__xludf.DUMMYFUNCTION("""COMPUTED_VALUE"""),"Yes")</f>
        <v>Yes</v>
      </c>
      <c r="X202" s="5" t="str">
        <f>IFERROR(__xludf.DUMMYFUNCTION("""COMPUTED_VALUE"""),"Yes")</f>
        <v>Yes</v>
      </c>
      <c r="Y202" s="5" t="str">
        <f>IFERROR(__xludf.DUMMYFUNCTION("""COMPUTED_VALUE"""),"Yes")</f>
        <v>Yes</v>
      </c>
      <c r="Z202" s="5"/>
      <c r="AA202" s="5" t="str">
        <f>IFERROR(__xludf.DUMMYFUNCTION("""COMPUTED_VALUE"""),"Yes")</f>
        <v>Yes</v>
      </c>
      <c r="AB202" s="5" t="str">
        <f>IFERROR(__xludf.DUMMYFUNCTION("""COMPUTED_VALUE"""),"Yes")</f>
        <v>Yes</v>
      </c>
      <c r="AC202" s="5" t="str">
        <f>IFERROR(__xludf.DUMMYFUNCTION("""COMPUTED_VALUE"""),"Yes")</f>
        <v>Yes</v>
      </c>
      <c r="AD202" s="5" t="str">
        <f>IFERROR(__xludf.DUMMYFUNCTION("""COMPUTED_VALUE"""),"Yes")</f>
        <v>Yes</v>
      </c>
      <c r="AE202" s="5"/>
      <c r="AF202" s="5" t="str">
        <f>IFERROR(__xludf.DUMMYFUNCTION("""COMPUTED_VALUE"""),"Yes")</f>
        <v>Yes</v>
      </c>
      <c r="AG202" s="5"/>
      <c r="AH202" s="5"/>
      <c r="AI202" s="5"/>
      <c r="AJ202" s="5"/>
      <c r="AK202" s="5"/>
      <c r="AL202" s="5"/>
      <c r="AM202" s="5"/>
      <c r="AN202" s="5"/>
      <c r="AO202" s="5"/>
      <c r="AP202" s="5"/>
      <c r="AQ202" s="5"/>
      <c r="AR202" s="5"/>
      <c r="AS202" s="5"/>
      <c r="AT202" s="5"/>
      <c r="AU202" s="5"/>
      <c r="AV202" s="5"/>
      <c r="AW202" s="5"/>
      <c r="AX202" s="5"/>
      <c r="AY202" s="5"/>
    </row>
    <row r="203">
      <c r="A20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03" s="5">
        <f>IFERROR(__xludf.DUMMYFUNCTION("""COMPUTED_VALUE"""),203.0)</f>
        <v>203</v>
      </c>
      <c r="C203" s="5">
        <f>IFERROR(__xludf.DUMMYFUNCTION("""COMPUTED_VALUE"""),202.0)</f>
        <v>202</v>
      </c>
      <c r="D203" s="5" t="str">
        <f>IFERROR(__xludf.DUMMYFUNCTION("""COMPUTED_VALUE"""),"UnicornWinterFruits")</f>
        <v>UnicornWinterFruits</v>
      </c>
      <c r="E203" s="5" t="str">
        <f>IFERROR(__xludf.DUMMYFUNCTION("""COMPUTED_VALUE"""),"Yes")</f>
        <v>Yes</v>
      </c>
      <c r="F203" s="5" t="str">
        <f>IFERROR(__xludf.DUMMYFUNCTION("""COMPUTED_VALUE"""),"Yes")</f>
        <v>Yes</v>
      </c>
      <c r="G203" s="5" t="str">
        <f>IFERROR(__xludf.DUMMYFUNCTION("""COMPUTED_VALUE"""),"Yes")</f>
        <v>Yes</v>
      </c>
      <c r="H203" s="5" t="str">
        <f>IFERROR(__xludf.DUMMYFUNCTION("""COMPUTED_VALUE"""),"No")</f>
        <v>No</v>
      </c>
      <c r="I203" s="5" t="str">
        <f>IFERROR(__xludf.DUMMYFUNCTION("""COMPUTED_VALUE"""),"No")</f>
        <v>No</v>
      </c>
      <c r="J203" s="5" t="str">
        <f>IFERROR(__xludf.DUMMYFUNCTION("""COMPUTED_VALUE"""),"No")</f>
        <v>No</v>
      </c>
      <c r="K203" s="5" t="str">
        <f>IFERROR(__xludf.DUMMYFUNCTION("""COMPUTED_VALUE"""),"No")</f>
        <v>No</v>
      </c>
      <c r="L203" s="5" t="str">
        <f>IFERROR(__xludf.DUMMYFUNCTION("""COMPUTED_VALUE"""),"No")</f>
        <v>No</v>
      </c>
      <c r="M203" s="5" t="str">
        <f>IFERROR(__xludf.DUMMYFUNCTION("""COMPUTED_VALUE"""),"Yes")</f>
        <v>Yes</v>
      </c>
      <c r="N203" s="5" t="str">
        <f>IFERROR(__xludf.DUMMYFUNCTION("""COMPUTED_VALUE"""),"Yes")</f>
        <v>Yes</v>
      </c>
      <c r="O203" s="5" t="str">
        <f>IFERROR(__xludf.DUMMYFUNCTION("""COMPUTED_VALUE"""),"Yes")</f>
        <v>Yes</v>
      </c>
      <c r="P203" s="5" t="str">
        <f>IFERROR(__xludf.DUMMYFUNCTION("""COMPUTED_VALUE"""),"Yes")</f>
        <v>Yes</v>
      </c>
      <c r="Q203" s="5" t="str">
        <f>IFERROR(__xludf.DUMMYFUNCTION("""COMPUTED_VALUE"""),"Yes")</f>
        <v>Yes</v>
      </c>
      <c r="R203" s="5" t="str">
        <f>IFERROR(__xludf.DUMMYFUNCTION("""COMPUTED_VALUE"""),"No")</f>
        <v>No</v>
      </c>
      <c r="S203" s="5" t="str">
        <f>IFERROR(__xludf.DUMMYFUNCTION("""COMPUTED_VALUE"""),"Yes")</f>
        <v>Yes</v>
      </c>
      <c r="T203" s="5" t="str">
        <f>IFERROR(__xludf.DUMMYFUNCTION("""COMPUTED_VALUE"""),"No")</f>
        <v>No</v>
      </c>
      <c r="U203" s="5" t="str">
        <f>IFERROR(__xludf.DUMMYFUNCTION("""COMPUTED_VALUE"""),"No")</f>
        <v>No</v>
      </c>
      <c r="V203" s="5" t="str">
        <f>IFERROR(__xludf.DUMMYFUNCTION("""COMPUTED_VALUE"""),"No")</f>
        <v>No</v>
      </c>
      <c r="W203" s="5" t="str">
        <f>IFERROR(__xludf.DUMMYFUNCTION("""COMPUTED_VALUE"""),"No")</f>
        <v>No</v>
      </c>
      <c r="X203" s="5" t="str">
        <f>IFERROR(__xludf.DUMMYFUNCTION("""COMPUTED_VALUE"""),"No")</f>
        <v>No</v>
      </c>
      <c r="Y203" s="5"/>
      <c r="Z203" s="5"/>
      <c r="AA203" s="5"/>
      <c r="AB203" s="5"/>
      <c r="AC203" s="5" t="str">
        <f>IFERROR(__xludf.DUMMYFUNCTION("""COMPUTED_VALUE"""),"No")</f>
        <v>No</v>
      </c>
      <c r="AD203" s="5"/>
      <c r="AE203" s="5"/>
      <c r="AF203" s="5"/>
      <c r="AG203" s="5"/>
      <c r="AH203" s="5"/>
      <c r="AI203" s="5"/>
      <c r="AJ203" s="5"/>
      <c r="AK203" s="5"/>
      <c r="AL203" s="5"/>
      <c r="AM203" s="5"/>
      <c r="AN203" s="5"/>
      <c r="AO203" s="5"/>
      <c r="AP203" s="5"/>
      <c r="AQ203" s="5"/>
      <c r="AR203" s="5"/>
      <c r="AS203" s="5"/>
      <c r="AT203" s="5"/>
      <c r="AU203" s="5"/>
      <c r="AV203" s="5"/>
      <c r="AW203" s="5"/>
      <c r="AX203" s="5"/>
      <c r="AY203" s="5"/>
    </row>
    <row r="204">
      <c r="A2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4" s="5">
        <f>IFERROR(__xludf.DUMMYFUNCTION("""COMPUTED_VALUE"""),204.0)</f>
        <v>204</v>
      </c>
      <c r="C204" s="5">
        <f>IFERROR(__xludf.DUMMYFUNCTION("""COMPUTED_VALUE"""),203.0)</f>
        <v>203</v>
      </c>
      <c r="D204" s="5" t="str">
        <f>IFERROR(__xludf.DUMMYFUNCTION("""COMPUTED_VALUE"""),"CrystalHot40Christmas")</f>
        <v>CrystalHot40Christmas</v>
      </c>
      <c r="E204" s="5" t="str">
        <f>IFERROR(__xludf.DUMMYFUNCTION("""COMPUTED_VALUE"""),"Yes")</f>
        <v>Yes</v>
      </c>
      <c r="F204" s="5" t="str">
        <f>IFERROR(__xludf.DUMMYFUNCTION("""COMPUTED_VALUE"""),"Yes")</f>
        <v>Yes</v>
      </c>
      <c r="G204" s="5" t="str">
        <f>IFERROR(__xludf.DUMMYFUNCTION("""COMPUTED_VALUE"""),"Yes")</f>
        <v>Yes</v>
      </c>
      <c r="H204" s="5" t="str">
        <f>IFERROR(__xludf.DUMMYFUNCTION("""COMPUTED_VALUE"""),"Yes")</f>
        <v>Yes</v>
      </c>
      <c r="I204" s="5" t="str">
        <f>IFERROR(__xludf.DUMMYFUNCTION("""COMPUTED_VALUE"""),"Yes")</f>
        <v>Yes</v>
      </c>
      <c r="J204" s="5" t="str">
        <f>IFERROR(__xludf.DUMMYFUNCTION("""COMPUTED_VALUE"""),"Yes")</f>
        <v>Yes</v>
      </c>
      <c r="K204" s="5" t="str">
        <f>IFERROR(__xludf.DUMMYFUNCTION("""COMPUTED_VALUE"""),"Yes")</f>
        <v>Yes</v>
      </c>
      <c r="L204" s="5" t="str">
        <f>IFERROR(__xludf.DUMMYFUNCTION("""COMPUTED_VALUE"""),"Yes")</f>
        <v>Yes</v>
      </c>
      <c r="M204" s="5" t="str">
        <f>IFERROR(__xludf.DUMMYFUNCTION("""COMPUTED_VALUE"""),"Yes")</f>
        <v>Yes</v>
      </c>
      <c r="N204" s="5" t="str">
        <f>IFERROR(__xludf.DUMMYFUNCTION("""COMPUTED_VALUE"""),"Yes")</f>
        <v>Yes</v>
      </c>
      <c r="O204" s="5" t="str">
        <f>IFERROR(__xludf.DUMMYFUNCTION("""COMPUTED_VALUE"""),"Yes")</f>
        <v>Yes</v>
      </c>
      <c r="P204" s="5" t="str">
        <f>IFERROR(__xludf.DUMMYFUNCTION("""COMPUTED_VALUE"""),"Yes")</f>
        <v>Yes</v>
      </c>
      <c r="Q204" s="5" t="str">
        <f>IFERROR(__xludf.DUMMYFUNCTION("""COMPUTED_VALUE"""),"Yes")</f>
        <v>Yes</v>
      </c>
      <c r="R204" s="5" t="str">
        <f>IFERROR(__xludf.DUMMYFUNCTION("""COMPUTED_VALUE"""),"Yes")</f>
        <v>Yes</v>
      </c>
      <c r="S204" s="5" t="str">
        <f>IFERROR(__xludf.DUMMYFUNCTION("""COMPUTED_VALUE"""),"Yes")</f>
        <v>Yes</v>
      </c>
      <c r="T204" s="5" t="str">
        <f>IFERROR(__xludf.DUMMYFUNCTION("""COMPUTED_VALUE"""),"Yes")</f>
        <v>Yes</v>
      </c>
      <c r="U204" s="5" t="str">
        <f>IFERROR(__xludf.DUMMYFUNCTION("""COMPUTED_VALUE"""),"Yes")</f>
        <v>Yes</v>
      </c>
      <c r="V204" s="5" t="str">
        <f>IFERROR(__xludf.DUMMYFUNCTION("""COMPUTED_VALUE"""),"Yes")</f>
        <v>Yes</v>
      </c>
      <c r="W204" s="5" t="str">
        <f>IFERROR(__xludf.DUMMYFUNCTION("""COMPUTED_VALUE"""),"Yes")</f>
        <v>Yes</v>
      </c>
      <c r="X204" s="5" t="str">
        <f>IFERROR(__xludf.DUMMYFUNCTION("""COMPUTED_VALUE"""),"Yes")</f>
        <v>Yes</v>
      </c>
      <c r="Y204" s="5" t="str">
        <f>IFERROR(__xludf.DUMMYFUNCTION("""COMPUTED_VALUE"""),"Yes")</f>
        <v>Yes</v>
      </c>
      <c r="Z204" s="5" t="str">
        <f>IFERROR(__xludf.DUMMYFUNCTION("""COMPUTED_VALUE"""),"No")</f>
        <v>No</v>
      </c>
      <c r="AA204" s="5" t="str">
        <f>IFERROR(__xludf.DUMMYFUNCTION("""COMPUTED_VALUE"""),"Yes")</f>
        <v>Yes</v>
      </c>
      <c r="AB204" s="5" t="str">
        <f>IFERROR(__xludf.DUMMYFUNCTION("""COMPUTED_VALUE"""),"Yes")</f>
        <v>Yes</v>
      </c>
      <c r="AC204" s="5" t="str">
        <f>IFERROR(__xludf.DUMMYFUNCTION("""COMPUTED_VALUE"""),"Yes")</f>
        <v>Yes</v>
      </c>
      <c r="AD204" s="5" t="str">
        <f>IFERROR(__xludf.DUMMYFUNCTION("""COMPUTED_VALUE"""),"Yes")</f>
        <v>Yes</v>
      </c>
      <c r="AE204" s="5" t="str">
        <f>IFERROR(__xludf.DUMMYFUNCTION("""COMPUTED_VALUE"""),"No")</f>
        <v>No</v>
      </c>
      <c r="AF204" s="5" t="str">
        <f>IFERROR(__xludf.DUMMYFUNCTION("""COMPUTED_VALUE"""),"Yes")</f>
        <v>Yes</v>
      </c>
      <c r="AG204" s="5" t="str">
        <f>IFERROR(__xludf.DUMMYFUNCTION("""COMPUTED_VALUE"""),"No")</f>
        <v>No</v>
      </c>
      <c r="AH204" s="5" t="str">
        <f>IFERROR(__xludf.DUMMYFUNCTION("""COMPUTED_VALUE"""),"No")</f>
        <v>No</v>
      </c>
      <c r="AI204" s="5" t="str">
        <f>IFERROR(__xludf.DUMMYFUNCTION("""COMPUTED_VALUE"""),"No")</f>
        <v>No</v>
      </c>
      <c r="AJ204" s="5" t="str">
        <f>IFERROR(__xludf.DUMMYFUNCTION("""COMPUTED_VALUE"""),"No")</f>
        <v>No</v>
      </c>
      <c r="AK204" s="5" t="str">
        <f>IFERROR(__xludf.DUMMYFUNCTION("""COMPUTED_VALUE"""),"No")</f>
        <v>No</v>
      </c>
      <c r="AL204" s="5" t="str">
        <f>IFERROR(__xludf.DUMMYFUNCTION("""COMPUTED_VALUE"""),"No")</f>
        <v>No</v>
      </c>
      <c r="AM204" s="5"/>
      <c r="AN204" s="5"/>
      <c r="AO204" s="5"/>
      <c r="AP204" s="5"/>
      <c r="AQ204" s="5"/>
      <c r="AR204" s="5"/>
      <c r="AS204" s="5"/>
      <c r="AT204" s="5"/>
      <c r="AU204" s="5"/>
      <c r="AV204" s="5"/>
      <c r="AW204" s="5"/>
      <c r="AX204" s="5"/>
      <c r="AY204" s="5"/>
    </row>
    <row r="205">
      <c r="A2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5" s="5">
        <f>IFERROR(__xludf.DUMMYFUNCTION("""COMPUTED_VALUE"""),205.0)</f>
        <v>205</v>
      </c>
      <c r="C205" s="5">
        <f>IFERROR(__xludf.DUMMYFUNCTION("""COMPUTED_VALUE"""),204.0)</f>
        <v>204</v>
      </c>
      <c r="D205" s="5" t="str">
        <f>IFERROR(__xludf.DUMMYFUNCTION("""COMPUTED_VALUE"""),"FruitsAndStarsChristmas")</f>
        <v>FruitsAndStarsChristmas</v>
      </c>
      <c r="E205" s="5" t="str">
        <f>IFERROR(__xludf.DUMMYFUNCTION("""COMPUTED_VALUE"""),"Yes")</f>
        <v>Yes</v>
      </c>
      <c r="F205" s="5" t="str">
        <f>IFERROR(__xludf.DUMMYFUNCTION("""COMPUTED_VALUE"""),"Yes")</f>
        <v>Yes</v>
      </c>
      <c r="G205" s="5" t="str">
        <f>IFERROR(__xludf.DUMMYFUNCTION("""COMPUTED_VALUE"""),"Yes")</f>
        <v>Yes</v>
      </c>
      <c r="H205" s="5" t="str">
        <f>IFERROR(__xludf.DUMMYFUNCTION("""COMPUTED_VALUE"""),"Yes")</f>
        <v>Yes</v>
      </c>
      <c r="I205" s="5" t="str">
        <f>IFERROR(__xludf.DUMMYFUNCTION("""COMPUTED_VALUE"""),"Yes")</f>
        <v>Yes</v>
      </c>
      <c r="J205" s="5" t="str">
        <f>IFERROR(__xludf.DUMMYFUNCTION("""COMPUTED_VALUE"""),"Yes")</f>
        <v>Yes</v>
      </c>
      <c r="K205" s="5" t="str">
        <f>IFERROR(__xludf.DUMMYFUNCTION("""COMPUTED_VALUE"""),"Yes")</f>
        <v>Yes</v>
      </c>
      <c r="L205" s="5" t="str">
        <f>IFERROR(__xludf.DUMMYFUNCTION("""COMPUTED_VALUE"""),"Yes")</f>
        <v>Yes</v>
      </c>
      <c r="M205" s="5" t="str">
        <f>IFERROR(__xludf.DUMMYFUNCTION("""COMPUTED_VALUE"""),"Yes")</f>
        <v>Yes</v>
      </c>
      <c r="N205" s="5" t="str">
        <f>IFERROR(__xludf.DUMMYFUNCTION("""COMPUTED_VALUE"""),"Yes")</f>
        <v>Yes</v>
      </c>
      <c r="O205" s="5" t="str">
        <f>IFERROR(__xludf.DUMMYFUNCTION("""COMPUTED_VALUE"""),"Yes")</f>
        <v>Yes</v>
      </c>
      <c r="P205" s="5" t="str">
        <f>IFERROR(__xludf.DUMMYFUNCTION("""COMPUTED_VALUE"""),"Yes")</f>
        <v>Yes</v>
      </c>
      <c r="Q205" s="5" t="str">
        <f>IFERROR(__xludf.DUMMYFUNCTION("""COMPUTED_VALUE"""),"Yes")</f>
        <v>Yes</v>
      </c>
      <c r="R205" s="5" t="str">
        <f>IFERROR(__xludf.DUMMYFUNCTION("""COMPUTED_VALUE"""),"Yes")</f>
        <v>Yes</v>
      </c>
      <c r="S205" s="5" t="str">
        <f>IFERROR(__xludf.DUMMYFUNCTION("""COMPUTED_VALUE"""),"Yes")</f>
        <v>Yes</v>
      </c>
      <c r="T205" s="5" t="str">
        <f>IFERROR(__xludf.DUMMYFUNCTION("""COMPUTED_VALUE"""),"Yes")</f>
        <v>Yes</v>
      </c>
      <c r="U205" s="5" t="str">
        <f>IFERROR(__xludf.DUMMYFUNCTION("""COMPUTED_VALUE"""),"Yes")</f>
        <v>Yes</v>
      </c>
      <c r="V205" s="5" t="str">
        <f>IFERROR(__xludf.DUMMYFUNCTION("""COMPUTED_VALUE"""),"Yes")</f>
        <v>Yes</v>
      </c>
      <c r="W205" s="5" t="str">
        <f>IFERROR(__xludf.DUMMYFUNCTION("""COMPUTED_VALUE"""),"Yes")</f>
        <v>Yes</v>
      </c>
      <c r="X205" s="5" t="str">
        <f>IFERROR(__xludf.DUMMYFUNCTION("""COMPUTED_VALUE"""),"Yes")</f>
        <v>Yes</v>
      </c>
      <c r="Y205" s="5" t="str">
        <f>IFERROR(__xludf.DUMMYFUNCTION("""COMPUTED_VALUE"""),"Yes")</f>
        <v>Yes</v>
      </c>
      <c r="Z205" s="5" t="str">
        <f>IFERROR(__xludf.DUMMYFUNCTION("""COMPUTED_VALUE"""),"No")</f>
        <v>No</v>
      </c>
      <c r="AA205" s="5" t="str">
        <f>IFERROR(__xludf.DUMMYFUNCTION("""COMPUTED_VALUE"""),"Yes")</f>
        <v>Yes</v>
      </c>
      <c r="AB205" s="5" t="str">
        <f>IFERROR(__xludf.DUMMYFUNCTION("""COMPUTED_VALUE"""),"Yes")</f>
        <v>Yes</v>
      </c>
      <c r="AC205" s="5" t="str">
        <f>IFERROR(__xludf.DUMMYFUNCTION("""COMPUTED_VALUE"""),"Yes")</f>
        <v>Yes</v>
      </c>
      <c r="AD205" s="5" t="str">
        <f>IFERROR(__xludf.DUMMYFUNCTION("""COMPUTED_VALUE"""),"Yes")</f>
        <v>Yes</v>
      </c>
      <c r="AE205" s="5" t="str">
        <f>IFERROR(__xludf.DUMMYFUNCTION("""COMPUTED_VALUE"""),"No")</f>
        <v>No</v>
      </c>
      <c r="AF205" s="5" t="str">
        <f>IFERROR(__xludf.DUMMYFUNCTION("""COMPUTED_VALUE"""),"Yes")</f>
        <v>Yes</v>
      </c>
      <c r="AG205" s="5" t="str">
        <f>IFERROR(__xludf.DUMMYFUNCTION("""COMPUTED_VALUE"""),"No")</f>
        <v>No</v>
      </c>
      <c r="AH205" s="5" t="str">
        <f>IFERROR(__xludf.DUMMYFUNCTION("""COMPUTED_VALUE"""),"No")</f>
        <v>No</v>
      </c>
      <c r="AI205" s="5" t="str">
        <f>IFERROR(__xludf.DUMMYFUNCTION("""COMPUTED_VALUE"""),"No")</f>
        <v>No</v>
      </c>
      <c r="AJ205" s="5" t="str">
        <f>IFERROR(__xludf.DUMMYFUNCTION("""COMPUTED_VALUE"""),"No")</f>
        <v>No</v>
      </c>
      <c r="AK205" s="5" t="str">
        <f>IFERROR(__xludf.DUMMYFUNCTION("""COMPUTED_VALUE"""),"No")</f>
        <v>No</v>
      </c>
      <c r="AL205" s="5" t="str">
        <f>IFERROR(__xludf.DUMMYFUNCTION("""COMPUTED_VALUE"""),"No")</f>
        <v>No</v>
      </c>
      <c r="AM205" s="5"/>
      <c r="AN205" s="5"/>
      <c r="AO205" s="5"/>
      <c r="AP205" s="5"/>
      <c r="AQ205" s="5"/>
      <c r="AR205" s="5"/>
      <c r="AS205" s="5"/>
      <c r="AT205" s="5"/>
      <c r="AU205" s="5"/>
      <c r="AV205" s="5"/>
      <c r="AW205" s="5"/>
      <c r="AX205" s="5"/>
      <c r="AY205" s="5"/>
    </row>
    <row r="206">
      <c r="A2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6" s="5">
        <f>IFERROR(__xludf.DUMMYFUNCTION("""COMPUTED_VALUE"""),206.0)</f>
        <v>206</v>
      </c>
      <c r="C206" s="5">
        <f>IFERROR(__xludf.DUMMYFUNCTION("""COMPUTED_VALUE"""),205.0)</f>
        <v>205</v>
      </c>
      <c r="D206" s="5" t="str">
        <f>IFERROR(__xludf.DUMMYFUNCTION("""COMPUTED_VALUE"""),"HotStarsChristmas")</f>
        <v>HotStarsChristmas</v>
      </c>
      <c r="E206" s="5" t="str">
        <f>IFERROR(__xludf.DUMMYFUNCTION("""COMPUTED_VALUE"""),"Yes")</f>
        <v>Yes</v>
      </c>
      <c r="F206" s="5" t="str">
        <f>IFERROR(__xludf.DUMMYFUNCTION("""COMPUTED_VALUE"""),"Yes")</f>
        <v>Yes</v>
      </c>
      <c r="G206" s="5" t="str">
        <f>IFERROR(__xludf.DUMMYFUNCTION("""COMPUTED_VALUE"""),"Yes")</f>
        <v>Yes</v>
      </c>
      <c r="H206" s="5" t="str">
        <f>IFERROR(__xludf.DUMMYFUNCTION("""COMPUTED_VALUE"""),"Yes")</f>
        <v>Yes</v>
      </c>
      <c r="I206" s="5" t="str">
        <f>IFERROR(__xludf.DUMMYFUNCTION("""COMPUTED_VALUE"""),"Yes")</f>
        <v>Yes</v>
      </c>
      <c r="J206" s="5" t="str">
        <f>IFERROR(__xludf.DUMMYFUNCTION("""COMPUTED_VALUE"""),"Yes")</f>
        <v>Yes</v>
      </c>
      <c r="K206" s="5" t="str">
        <f>IFERROR(__xludf.DUMMYFUNCTION("""COMPUTED_VALUE"""),"Yes")</f>
        <v>Yes</v>
      </c>
      <c r="L206" s="5" t="str">
        <f>IFERROR(__xludf.DUMMYFUNCTION("""COMPUTED_VALUE"""),"Yes")</f>
        <v>Yes</v>
      </c>
      <c r="M206" s="5" t="str">
        <f>IFERROR(__xludf.DUMMYFUNCTION("""COMPUTED_VALUE"""),"Yes")</f>
        <v>Yes</v>
      </c>
      <c r="N206" s="5" t="str">
        <f>IFERROR(__xludf.DUMMYFUNCTION("""COMPUTED_VALUE"""),"Yes")</f>
        <v>Yes</v>
      </c>
      <c r="O206" s="5" t="str">
        <f>IFERROR(__xludf.DUMMYFUNCTION("""COMPUTED_VALUE"""),"Yes")</f>
        <v>Yes</v>
      </c>
      <c r="P206" s="5" t="str">
        <f>IFERROR(__xludf.DUMMYFUNCTION("""COMPUTED_VALUE"""),"Yes")</f>
        <v>Yes</v>
      </c>
      <c r="Q206" s="5" t="str">
        <f>IFERROR(__xludf.DUMMYFUNCTION("""COMPUTED_VALUE"""),"Yes")</f>
        <v>Yes</v>
      </c>
      <c r="R206" s="5" t="str">
        <f>IFERROR(__xludf.DUMMYFUNCTION("""COMPUTED_VALUE"""),"Yes")</f>
        <v>Yes</v>
      </c>
      <c r="S206" s="5" t="str">
        <f>IFERROR(__xludf.DUMMYFUNCTION("""COMPUTED_VALUE"""),"Yes")</f>
        <v>Yes</v>
      </c>
      <c r="T206" s="5" t="str">
        <f>IFERROR(__xludf.DUMMYFUNCTION("""COMPUTED_VALUE"""),"Yes")</f>
        <v>Yes</v>
      </c>
      <c r="U206" s="5" t="str">
        <f>IFERROR(__xludf.DUMMYFUNCTION("""COMPUTED_VALUE"""),"Yes")</f>
        <v>Yes</v>
      </c>
      <c r="V206" s="5" t="str">
        <f>IFERROR(__xludf.DUMMYFUNCTION("""COMPUTED_VALUE"""),"Yes")</f>
        <v>Yes</v>
      </c>
      <c r="W206" s="5" t="str">
        <f>IFERROR(__xludf.DUMMYFUNCTION("""COMPUTED_VALUE"""),"Yes")</f>
        <v>Yes</v>
      </c>
      <c r="X206" s="5" t="str">
        <f>IFERROR(__xludf.DUMMYFUNCTION("""COMPUTED_VALUE"""),"Yes")</f>
        <v>Yes</v>
      </c>
      <c r="Y206" s="5" t="str">
        <f>IFERROR(__xludf.DUMMYFUNCTION("""COMPUTED_VALUE"""),"Yes")</f>
        <v>Yes</v>
      </c>
      <c r="Z206" s="5" t="str">
        <f>IFERROR(__xludf.DUMMYFUNCTION("""COMPUTED_VALUE"""),"No")</f>
        <v>No</v>
      </c>
      <c r="AA206" s="5" t="str">
        <f>IFERROR(__xludf.DUMMYFUNCTION("""COMPUTED_VALUE"""),"Yes")</f>
        <v>Yes</v>
      </c>
      <c r="AB206" s="5" t="str">
        <f>IFERROR(__xludf.DUMMYFUNCTION("""COMPUTED_VALUE"""),"Yes")</f>
        <v>Yes</v>
      </c>
      <c r="AC206" s="5" t="str">
        <f>IFERROR(__xludf.DUMMYFUNCTION("""COMPUTED_VALUE"""),"Yes")</f>
        <v>Yes</v>
      </c>
      <c r="AD206" s="5" t="str">
        <f>IFERROR(__xludf.DUMMYFUNCTION("""COMPUTED_VALUE"""),"Yes")</f>
        <v>Yes</v>
      </c>
      <c r="AE206" s="5" t="str">
        <f>IFERROR(__xludf.DUMMYFUNCTION("""COMPUTED_VALUE"""),"No")</f>
        <v>No</v>
      </c>
      <c r="AF206" s="5" t="str">
        <f>IFERROR(__xludf.DUMMYFUNCTION("""COMPUTED_VALUE"""),"Yes")</f>
        <v>Yes</v>
      </c>
      <c r="AG206" s="5" t="str">
        <f>IFERROR(__xludf.DUMMYFUNCTION("""COMPUTED_VALUE"""),"No")</f>
        <v>No</v>
      </c>
      <c r="AH206" s="5" t="str">
        <f>IFERROR(__xludf.DUMMYFUNCTION("""COMPUTED_VALUE"""),"No")</f>
        <v>No</v>
      </c>
      <c r="AI206" s="5" t="str">
        <f>IFERROR(__xludf.DUMMYFUNCTION("""COMPUTED_VALUE"""),"No")</f>
        <v>No</v>
      </c>
      <c r="AJ206" s="5" t="str">
        <f>IFERROR(__xludf.DUMMYFUNCTION("""COMPUTED_VALUE"""),"No")</f>
        <v>No</v>
      </c>
      <c r="AK206" s="5" t="str">
        <f>IFERROR(__xludf.DUMMYFUNCTION("""COMPUTED_VALUE"""),"No")</f>
        <v>No</v>
      </c>
      <c r="AL206" s="5" t="str">
        <f>IFERROR(__xludf.DUMMYFUNCTION("""COMPUTED_VALUE"""),"No")</f>
        <v>No</v>
      </c>
      <c r="AM206" s="5"/>
      <c r="AN206" s="5"/>
      <c r="AO206" s="5"/>
      <c r="AP206" s="5"/>
      <c r="AQ206" s="5"/>
      <c r="AR206" s="5"/>
      <c r="AS206" s="5"/>
      <c r="AT206" s="5"/>
      <c r="AU206" s="5"/>
      <c r="AV206" s="5"/>
      <c r="AW206" s="5"/>
      <c r="AX206" s="5"/>
      <c r="AY206" s="5"/>
    </row>
    <row r="207">
      <c r="A2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7" s="5">
        <f>IFERROR(__xludf.DUMMYFUNCTION("""COMPUTED_VALUE"""),207.0)</f>
        <v>207</v>
      </c>
      <c r="C207" s="5">
        <f>IFERROR(__xludf.DUMMYFUNCTION("""COMPUTED_VALUE"""),206.0)</f>
        <v>206</v>
      </c>
      <c r="D207" s="5" t="str">
        <f>IFERROR(__xludf.DUMMYFUNCTION("""COMPUTED_VALUE"""),"TurboHot40Christmas")</f>
        <v>TurboHot40Christmas</v>
      </c>
      <c r="E207" s="5" t="str">
        <f>IFERROR(__xludf.DUMMYFUNCTION("""COMPUTED_VALUE"""),"Yes")</f>
        <v>Yes</v>
      </c>
      <c r="F207" s="5" t="str">
        <f>IFERROR(__xludf.DUMMYFUNCTION("""COMPUTED_VALUE"""),"Yes")</f>
        <v>Yes</v>
      </c>
      <c r="G207" s="5" t="str">
        <f>IFERROR(__xludf.DUMMYFUNCTION("""COMPUTED_VALUE"""),"Yes")</f>
        <v>Yes</v>
      </c>
      <c r="H207" s="5" t="str">
        <f>IFERROR(__xludf.DUMMYFUNCTION("""COMPUTED_VALUE"""),"Yes")</f>
        <v>Yes</v>
      </c>
      <c r="I207" s="5" t="str">
        <f>IFERROR(__xludf.DUMMYFUNCTION("""COMPUTED_VALUE"""),"Yes")</f>
        <v>Yes</v>
      </c>
      <c r="J207" s="5" t="str">
        <f>IFERROR(__xludf.DUMMYFUNCTION("""COMPUTED_VALUE"""),"Yes")</f>
        <v>Yes</v>
      </c>
      <c r="K207" s="5" t="str">
        <f>IFERROR(__xludf.DUMMYFUNCTION("""COMPUTED_VALUE"""),"Yes")</f>
        <v>Yes</v>
      </c>
      <c r="L207" s="5" t="str">
        <f>IFERROR(__xludf.DUMMYFUNCTION("""COMPUTED_VALUE"""),"Yes")</f>
        <v>Yes</v>
      </c>
      <c r="M207" s="5" t="str">
        <f>IFERROR(__xludf.DUMMYFUNCTION("""COMPUTED_VALUE"""),"Yes")</f>
        <v>Yes</v>
      </c>
      <c r="N207" s="5" t="str">
        <f>IFERROR(__xludf.DUMMYFUNCTION("""COMPUTED_VALUE"""),"Yes")</f>
        <v>Yes</v>
      </c>
      <c r="O207" s="5" t="str">
        <f>IFERROR(__xludf.DUMMYFUNCTION("""COMPUTED_VALUE"""),"Yes")</f>
        <v>Yes</v>
      </c>
      <c r="P207" s="5" t="str">
        <f>IFERROR(__xludf.DUMMYFUNCTION("""COMPUTED_VALUE"""),"Yes")</f>
        <v>Yes</v>
      </c>
      <c r="Q207" s="5" t="str">
        <f>IFERROR(__xludf.DUMMYFUNCTION("""COMPUTED_VALUE"""),"Yes")</f>
        <v>Yes</v>
      </c>
      <c r="R207" s="5" t="str">
        <f>IFERROR(__xludf.DUMMYFUNCTION("""COMPUTED_VALUE"""),"Yes")</f>
        <v>Yes</v>
      </c>
      <c r="S207" s="5" t="str">
        <f>IFERROR(__xludf.DUMMYFUNCTION("""COMPUTED_VALUE"""),"Yes")</f>
        <v>Yes</v>
      </c>
      <c r="T207" s="5" t="str">
        <f>IFERROR(__xludf.DUMMYFUNCTION("""COMPUTED_VALUE"""),"Yes")</f>
        <v>Yes</v>
      </c>
      <c r="U207" s="5" t="str">
        <f>IFERROR(__xludf.DUMMYFUNCTION("""COMPUTED_VALUE"""),"Yes")</f>
        <v>Yes</v>
      </c>
      <c r="V207" s="5" t="str">
        <f>IFERROR(__xludf.DUMMYFUNCTION("""COMPUTED_VALUE"""),"Yes")</f>
        <v>Yes</v>
      </c>
      <c r="W207" s="5" t="str">
        <f>IFERROR(__xludf.DUMMYFUNCTION("""COMPUTED_VALUE"""),"Yes")</f>
        <v>Yes</v>
      </c>
      <c r="X207" s="5" t="str">
        <f>IFERROR(__xludf.DUMMYFUNCTION("""COMPUTED_VALUE"""),"Yes")</f>
        <v>Yes</v>
      </c>
      <c r="Y207" s="5" t="str">
        <f>IFERROR(__xludf.DUMMYFUNCTION("""COMPUTED_VALUE"""),"Yes")</f>
        <v>Yes</v>
      </c>
      <c r="Z207" s="5" t="str">
        <f>IFERROR(__xludf.DUMMYFUNCTION("""COMPUTED_VALUE"""),"No")</f>
        <v>No</v>
      </c>
      <c r="AA207" s="5" t="str">
        <f>IFERROR(__xludf.DUMMYFUNCTION("""COMPUTED_VALUE"""),"Yes")</f>
        <v>Yes</v>
      </c>
      <c r="AB207" s="5" t="str">
        <f>IFERROR(__xludf.DUMMYFUNCTION("""COMPUTED_VALUE"""),"Yes")</f>
        <v>Yes</v>
      </c>
      <c r="AC207" s="5" t="str">
        <f>IFERROR(__xludf.DUMMYFUNCTION("""COMPUTED_VALUE"""),"Yes")</f>
        <v>Yes</v>
      </c>
      <c r="AD207" s="5" t="str">
        <f>IFERROR(__xludf.DUMMYFUNCTION("""COMPUTED_VALUE"""),"Yes")</f>
        <v>Yes</v>
      </c>
      <c r="AE207" s="5" t="str">
        <f>IFERROR(__xludf.DUMMYFUNCTION("""COMPUTED_VALUE"""),"No")</f>
        <v>No</v>
      </c>
      <c r="AF207" s="5" t="str">
        <f>IFERROR(__xludf.DUMMYFUNCTION("""COMPUTED_VALUE"""),"Yes")</f>
        <v>Yes</v>
      </c>
      <c r="AG207" s="5" t="str">
        <f>IFERROR(__xludf.DUMMYFUNCTION("""COMPUTED_VALUE"""),"No")</f>
        <v>No</v>
      </c>
      <c r="AH207" s="5" t="str">
        <f>IFERROR(__xludf.DUMMYFUNCTION("""COMPUTED_VALUE"""),"No")</f>
        <v>No</v>
      </c>
      <c r="AI207" s="5" t="str">
        <f>IFERROR(__xludf.DUMMYFUNCTION("""COMPUTED_VALUE"""),"No")</f>
        <v>No</v>
      </c>
      <c r="AJ207" s="5" t="str">
        <f>IFERROR(__xludf.DUMMYFUNCTION("""COMPUTED_VALUE"""),"No")</f>
        <v>No</v>
      </c>
      <c r="AK207" s="5" t="str">
        <f>IFERROR(__xludf.DUMMYFUNCTION("""COMPUTED_VALUE"""),"No")</f>
        <v>No</v>
      </c>
      <c r="AL207" s="5" t="str">
        <f>IFERROR(__xludf.DUMMYFUNCTION("""COMPUTED_VALUE"""),"No")</f>
        <v>No</v>
      </c>
      <c r="AM207" s="5"/>
      <c r="AN207" s="5"/>
      <c r="AO207" s="5"/>
      <c r="AP207" s="5"/>
      <c r="AQ207" s="5"/>
      <c r="AR207" s="5"/>
      <c r="AS207" s="5"/>
      <c r="AT207" s="5"/>
      <c r="AU207" s="5"/>
      <c r="AV207" s="5"/>
      <c r="AW207" s="5"/>
      <c r="AX207" s="5"/>
      <c r="AY207" s="5"/>
    </row>
    <row r="208">
      <c r="A2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8" s="5">
        <f>IFERROR(__xludf.DUMMYFUNCTION("""COMPUTED_VALUE"""),208.0)</f>
        <v>208</v>
      </c>
      <c r="C208" s="5">
        <f>IFERROR(__xludf.DUMMYFUNCTION("""COMPUTED_VALUE"""),207.0)</f>
        <v>207</v>
      </c>
      <c r="D208" s="5" t="str">
        <f>IFERROR(__xludf.DUMMYFUNCTION("""COMPUTED_VALUE"""),"Retro7HotChristmas")</f>
        <v>Retro7HotChristmas</v>
      </c>
      <c r="E208" s="5" t="str">
        <f>IFERROR(__xludf.DUMMYFUNCTION("""COMPUTED_VALUE"""),"Yes")</f>
        <v>Yes</v>
      </c>
      <c r="F208" s="5" t="str">
        <f>IFERROR(__xludf.DUMMYFUNCTION("""COMPUTED_VALUE"""),"Yes")</f>
        <v>Yes</v>
      </c>
      <c r="G208" s="5" t="str">
        <f>IFERROR(__xludf.DUMMYFUNCTION("""COMPUTED_VALUE"""),"Yes")</f>
        <v>Yes</v>
      </c>
      <c r="H208" s="5" t="str">
        <f>IFERROR(__xludf.DUMMYFUNCTION("""COMPUTED_VALUE"""),"Yes")</f>
        <v>Yes</v>
      </c>
      <c r="I208" s="5" t="str">
        <f>IFERROR(__xludf.DUMMYFUNCTION("""COMPUTED_VALUE"""),"Yes")</f>
        <v>Yes</v>
      </c>
      <c r="J208" s="5" t="str">
        <f>IFERROR(__xludf.DUMMYFUNCTION("""COMPUTED_VALUE"""),"Yes")</f>
        <v>Yes</v>
      </c>
      <c r="K208" s="5" t="str">
        <f>IFERROR(__xludf.DUMMYFUNCTION("""COMPUTED_VALUE"""),"Yes")</f>
        <v>Yes</v>
      </c>
      <c r="L208" s="5" t="str">
        <f>IFERROR(__xludf.DUMMYFUNCTION("""COMPUTED_VALUE"""),"Yes")</f>
        <v>Yes</v>
      </c>
      <c r="M208" s="5" t="str">
        <f>IFERROR(__xludf.DUMMYFUNCTION("""COMPUTED_VALUE"""),"Yes")</f>
        <v>Yes</v>
      </c>
      <c r="N208" s="5" t="str">
        <f>IFERROR(__xludf.DUMMYFUNCTION("""COMPUTED_VALUE"""),"Yes")</f>
        <v>Yes</v>
      </c>
      <c r="O208" s="5" t="str">
        <f>IFERROR(__xludf.DUMMYFUNCTION("""COMPUTED_VALUE"""),"Yes")</f>
        <v>Yes</v>
      </c>
      <c r="P208" s="5" t="str">
        <f>IFERROR(__xludf.DUMMYFUNCTION("""COMPUTED_VALUE"""),"Yes")</f>
        <v>Yes</v>
      </c>
      <c r="Q208" s="5" t="str">
        <f>IFERROR(__xludf.DUMMYFUNCTION("""COMPUTED_VALUE"""),"Yes")</f>
        <v>Yes</v>
      </c>
      <c r="R208" s="5" t="str">
        <f>IFERROR(__xludf.DUMMYFUNCTION("""COMPUTED_VALUE"""),"Yes")</f>
        <v>Yes</v>
      </c>
      <c r="S208" s="5" t="str">
        <f>IFERROR(__xludf.DUMMYFUNCTION("""COMPUTED_VALUE"""),"Yes")</f>
        <v>Yes</v>
      </c>
      <c r="T208" s="5" t="str">
        <f>IFERROR(__xludf.DUMMYFUNCTION("""COMPUTED_VALUE"""),"Yes")</f>
        <v>Yes</v>
      </c>
      <c r="U208" s="5" t="str">
        <f>IFERROR(__xludf.DUMMYFUNCTION("""COMPUTED_VALUE"""),"Yes")</f>
        <v>Yes</v>
      </c>
      <c r="V208" s="5" t="str">
        <f>IFERROR(__xludf.DUMMYFUNCTION("""COMPUTED_VALUE"""),"Yes")</f>
        <v>Yes</v>
      </c>
      <c r="W208" s="5" t="str">
        <f>IFERROR(__xludf.DUMMYFUNCTION("""COMPUTED_VALUE"""),"Yes")</f>
        <v>Yes</v>
      </c>
      <c r="X208" s="5" t="str">
        <f>IFERROR(__xludf.DUMMYFUNCTION("""COMPUTED_VALUE"""),"Yes")</f>
        <v>Yes</v>
      </c>
      <c r="Y208" s="5" t="str">
        <f>IFERROR(__xludf.DUMMYFUNCTION("""COMPUTED_VALUE"""),"Yes")</f>
        <v>Yes</v>
      </c>
      <c r="Z208" s="5" t="str">
        <f>IFERROR(__xludf.DUMMYFUNCTION("""COMPUTED_VALUE"""),"No")</f>
        <v>No</v>
      </c>
      <c r="AA208" s="5" t="str">
        <f>IFERROR(__xludf.DUMMYFUNCTION("""COMPUTED_VALUE"""),"Yes")</f>
        <v>Yes</v>
      </c>
      <c r="AB208" s="5" t="str">
        <f>IFERROR(__xludf.DUMMYFUNCTION("""COMPUTED_VALUE"""),"Yes")</f>
        <v>Yes</v>
      </c>
      <c r="AC208" s="5" t="str">
        <f>IFERROR(__xludf.DUMMYFUNCTION("""COMPUTED_VALUE"""),"Yes")</f>
        <v>Yes</v>
      </c>
      <c r="AD208" s="5" t="str">
        <f>IFERROR(__xludf.DUMMYFUNCTION("""COMPUTED_VALUE"""),"Yes")</f>
        <v>Yes</v>
      </c>
      <c r="AE208" s="5" t="str">
        <f>IFERROR(__xludf.DUMMYFUNCTION("""COMPUTED_VALUE"""),"No")</f>
        <v>No</v>
      </c>
      <c r="AF208" s="5" t="str">
        <f>IFERROR(__xludf.DUMMYFUNCTION("""COMPUTED_VALUE"""),"Yes")</f>
        <v>Yes</v>
      </c>
      <c r="AG208" s="5" t="str">
        <f>IFERROR(__xludf.DUMMYFUNCTION("""COMPUTED_VALUE"""),"No")</f>
        <v>No</v>
      </c>
      <c r="AH208" s="5" t="str">
        <f>IFERROR(__xludf.DUMMYFUNCTION("""COMPUTED_VALUE"""),"No")</f>
        <v>No</v>
      </c>
      <c r="AI208" s="5" t="str">
        <f>IFERROR(__xludf.DUMMYFUNCTION("""COMPUTED_VALUE"""),"No")</f>
        <v>No</v>
      </c>
      <c r="AJ208" s="5" t="str">
        <f>IFERROR(__xludf.DUMMYFUNCTION("""COMPUTED_VALUE"""),"No")</f>
        <v>No</v>
      </c>
      <c r="AK208" s="5" t="str">
        <f>IFERROR(__xludf.DUMMYFUNCTION("""COMPUTED_VALUE"""),"No")</f>
        <v>No</v>
      </c>
      <c r="AL208" s="5" t="str">
        <f>IFERROR(__xludf.DUMMYFUNCTION("""COMPUTED_VALUE"""),"No")</f>
        <v>No</v>
      </c>
      <c r="AM208" s="5"/>
      <c r="AN208" s="5"/>
      <c r="AO208" s="5"/>
      <c r="AP208" s="5"/>
      <c r="AQ208" s="5"/>
      <c r="AR208" s="5"/>
      <c r="AS208" s="5"/>
      <c r="AT208" s="5"/>
      <c r="AU208" s="5"/>
      <c r="AV208" s="5"/>
      <c r="AW208" s="5"/>
      <c r="AX208" s="5"/>
      <c r="AY208" s="5"/>
    </row>
    <row r="209">
      <c r="A2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9" s="5">
        <f>IFERROR(__xludf.DUMMYFUNCTION("""COMPUTED_VALUE"""),209.0)</f>
        <v>209</v>
      </c>
      <c r="C209" s="5">
        <f>IFERROR(__xludf.DUMMYFUNCTION("""COMPUTED_VALUE"""),208.0)</f>
        <v>208</v>
      </c>
      <c r="D209" s="5" t="str">
        <f>IFERROR(__xludf.DUMMYFUNCTION("""COMPUTED_VALUE"""),"FruitsAndStars40Christmas")</f>
        <v>FruitsAndStars40Christmas</v>
      </c>
      <c r="E209" s="5" t="str">
        <f>IFERROR(__xludf.DUMMYFUNCTION("""COMPUTED_VALUE"""),"Yes")</f>
        <v>Yes</v>
      </c>
      <c r="F209" s="5" t="str">
        <f>IFERROR(__xludf.DUMMYFUNCTION("""COMPUTED_VALUE"""),"Yes")</f>
        <v>Yes</v>
      </c>
      <c r="G209" s="5" t="str">
        <f>IFERROR(__xludf.DUMMYFUNCTION("""COMPUTED_VALUE"""),"Yes")</f>
        <v>Yes</v>
      </c>
      <c r="H209" s="5" t="str">
        <f>IFERROR(__xludf.DUMMYFUNCTION("""COMPUTED_VALUE"""),"Yes")</f>
        <v>Yes</v>
      </c>
      <c r="I209" s="5" t="str">
        <f>IFERROR(__xludf.DUMMYFUNCTION("""COMPUTED_VALUE"""),"Yes")</f>
        <v>Yes</v>
      </c>
      <c r="J209" s="5" t="str">
        <f>IFERROR(__xludf.DUMMYFUNCTION("""COMPUTED_VALUE"""),"Yes")</f>
        <v>Yes</v>
      </c>
      <c r="K209" s="5" t="str">
        <f>IFERROR(__xludf.DUMMYFUNCTION("""COMPUTED_VALUE"""),"Yes")</f>
        <v>Yes</v>
      </c>
      <c r="L209" s="5" t="str">
        <f>IFERROR(__xludf.DUMMYFUNCTION("""COMPUTED_VALUE"""),"Yes")</f>
        <v>Yes</v>
      </c>
      <c r="M209" s="5" t="str">
        <f>IFERROR(__xludf.DUMMYFUNCTION("""COMPUTED_VALUE"""),"Yes")</f>
        <v>Yes</v>
      </c>
      <c r="N209" s="5" t="str">
        <f>IFERROR(__xludf.DUMMYFUNCTION("""COMPUTED_VALUE"""),"Yes")</f>
        <v>Yes</v>
      </c>
      <c r="O209" s="5" t="str">
        <f>IFERROR(__xludf.DUMMYFUNCTION("""COMPUTED_VALUE"""),"Yes")</f>
        <v>Yes</v>
      </c>
      <c r="P209" s="5" t="str">
        <f>IFERROR(__xludf.DUMMYFUNCTION("""COMPUTED_VALUE"""),"Yes")</f>
        <v>Yes</v>
      </c>
      <c r="Q209" s="5" t="str">
        <f>IFERROR(__xludf.DUMMYFUNCTION("""COMPUTED_VALUE"""),"Yes")</f>
        <v>Yes</v>
      </c>
      <c r="R209" s="5" t="str">
        <f>IFERROR(__xludf.DUMMYFUNCTION("""COMPUTED_VALUE"""),"Yes")</f>
        <v>Yes</v>
      </c>
      <c r="S209" s="5" t="str">
        <f>IFERROR(__xludf.DUMMYFUNCTION("""COMPUTED_VALUE"""),"Yes")</f>
        <v>Yes</v>
      </c>
      <c r="T209" s="5" t="str">
        <f>IFERROR(__xludf.DUMMYFUNCTION("""COMPUTED_VALUE"""),"Yes")</f>
        <v>Yes</v>
      </c>
      <c r="U209" s="5" t="str">
        <f>IFERROR(__xludf.DUMMYFUNCTION("""COMPUTED_VALUE"""),"Yes")</f>
        <v>Yes</v>
      </c>
      <c r="V209" s="5" t="str">
        <f>IFERROR(__xludf.DUMMYFUNCTION("""COMPUTED_VALUE"""),"Yes")</f>
        <v>Yes</v>
      </c>
      <c r="W209" s="5" t="str">
        <f>IFERROR(__xludf.DUMMYFUNCTION("""COMPUTED_VALUE"""),"Yes")</f>
        <v>Yes</v>
      </c>
      <c r="X209" s="5" t="str">
        <f>IFERROR(__xludf.DUMMYFUNCTION("""COMPUTED_VALUE"""),"Yes")</f>
        <v>Yes</v>
      </c>
      <c r="Y209" s="5" t="str">
        <f>IFERROR(__xludf.DUMMYFUNCTION("""COMPUTED_VALUE"""),"Yes")</f>
        <v>Yes</v>
      </c>
      <c r="Z209" s="5" t="str">
        <f>IFERROR(__xludf.DUMMYFUNCTION("""COMPUTED_VALUE"""),"No")</f>
        <v>No</v>
      </c>
      <c r="AA209" s="5" t="str">
        <f>IFERROR(__xludf.DUMMYFUNCTION("""COMPUTED_VALUE"""),"Yes")</f>
        <v>Yes</v>
      </c>
      <c r="AB209" s="5" t="str">
        <f>IFERROR(__xludf.DUMMYFUNCTION("""COMPUTED_VALUE"""),"Yes")</f>
        <v>Yes</v>
      </c>
      <c r="AC209" s="5" t="str">
        <f>IFERROR(__xludf.DUMMYFUNCTION("""COMPUTED_VALUE"""),"Yes")</f>
        <v>Yes</v>
      </c>
      <c r="AD209" s="5" t="str">
        <f>IFERROR(__xludf.DUMMYFUNCTION("""COMPUTED_VALUE"""),"Yes")</f>
        <v>Yes</v>
      </c>
      <c r="AE209" s="5" t="str">
        <f>IFERROR(__xludf.DUMMYFUNCTION("""COMPUTED_VALUE"""),"No")</f>
        <v>No</v>
      </c>
      <c r="AF209" s="5" t="str">
        <f>IFERROR(__xludf.DUMMYFUNCTION("""COMPUTED_VALUE"""),"Yes")</f>
        <v>Yes</v>
      </c>
      <c r="AG209" s="5" t="str">
        <f>IFERROR(__xludf.DUMMYFUNCTION("""COMPUTED_VALUE"""),"No")</f>
        <v>No</v>
      </c>
      <c r="AH209" s="5" t="str">
        <f>IFERROR(__xludf.DUMMYFUNCTION("""COMPUTED_VALUE"""),"No")</f>
        <v>No</v>
      </c>
      <c r="AI209" s="5" t="str">
        <f>IFERROR(__xludf.DUMMYFUNCTION("""COMPUTED_VALUE"""),"No")</f>
        <v>No</v>
      </c>
      <c r="AJ209" s="5" t="str">
        <f>IFERROR(__xludf.DUMMYFUNCTION("""COMPUTED_VALUE"""),"No")</f>
        <v>No</v>
      </c>
      <c r="AK209" s="5" t="str">
        <f>IFERROR(__xludf.DUMMYFUNCTION("""COMPUTED_VALUE"""),"No")</f>
        <v>No</v>
      </c>
      <c r="AL209" s="5" t="str">
        <f>IFERROR(__xludf.DUMMYFUNCTION("""COMPUTED_VALUE"""),"No")</f>
        <v>No</v>
      </c>
      <c r="AM209" s="5"/>
      <c r="AN209" s="5"/>
      <c r="AO209" s="5"/>
      <c r="AP209" s="5"/>
      <c r="AQ209" s="5"/>
      <c r="AR209" s="5"/>
      <c r="AS209" s="5"/>
      <c r="AT209" s="5"/>
      <c r="AU209" s="5"/>
      <c r="AV209" s="5"/>
      <c r="AW209" s="5"/>
      <c r="AX209" s="5"/>
      <c r="AY209" s="5"/>
    </row>
    <row r="210">
      <c r="A2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0" s="5">
        <f>IFERROR(__xludf.DUMMYFUNCTION("""COMPUTED_VALUE"""),210.0)</f>
        <v>210</v>
      </c>
      <c r="C210" s="5">
        <f>IFERROR(__xludf.DUMMYFUNCTION("""COMPUTED_VALUE"""),209.0)</f>
        <v>209</v>
      </c>
      <c r="D210" s="5" t="str">
        <f>IFERROR(__xludf.DUMMYFUNCTION("""COMPUTED_VALUE"""),"TwinklingHot40Christmas")</f>
        <v>TwinklingHot40Christmas</v>
      </c>
      <c r="E210" s="5" t="str">
        <f>IFERROR(__xludf.DUMMYFUNCTION("""COMPUTED_VALUE"""),"Yes")</f>
        <v>Yes</v>
      </c>
      <c r="F210" s="5" t="str">
        <f>IFERROR(__xludf.DUMMYFUNCTION("""COMPUTED_VALUE"""),"Yes")</f>
        <v>Yes</v>
      </c>
      <c r="G210" s="5" t="str">
        <f>IFERROR(__xludf.DUMMYFUNCTION("""COMPUTED_VALUE"""),"Yes")</f>
        <v>Yes</v>
      </c>
      <c r="H210" s="5" t="str">
        <f>IFERROR(__xludf.DUMMYFUNCTION("""COMPUTED_VALUE"""),"Yes")</f>
        <v>Yes</v>
      </c>
      <c r="I210" s="5" t="str">
        <f>IFERROR(__xludf.DUMMYFUNCTION("""COMPUTED_VALUE"""),"Yes")</f>
        <v>Yes</v>
      </c>
      <c r="J210" s="5" t="str">
        <f>IFERROR(__xludf.DUMMYFUNCTION("""COMPUTED_VALUE"""),"Yes")</f>
        <v>Yes</v>
      </c>
      <c r="K210" s="5" t="str">
        <f>IFERROR(__xludf.DUMMYFUNCTION("""COMPUTED_VALUE"""),"Yes")</f>
        <v>Yes</v>
      </c>
      <c r="L210" s="5" t="str">
        <f>IFERROR(__xludf.DUMMYFUNCTION("""COMPUTED_VALUE"""),"Yes")</f>
        <v>Yes</v>
      </c>
      <c r="M210" s="5" t="str">
        <f>IFERROR(__xludf.DUMMYFUNCTION("""COMPUTED_VALUE"""),"Yes")</f>
        <v>Yes</v>
      </c>
      <c r="N210" s="5" t="str">
        <f>IFERROR(__xludf.DUMMYFUNCTION("""COMPUTED_VALUE"""),"Yes")</f>
        <v>Yes</v>
      </c>
      <c r="O210" s="5" t="str">
        <f>IFERROR(__xludf.DUMMYFUNCTION("""COMPUTED_VALUE"""),"Yes")</f>
        <v>Yes</v>
      </c>
      <c r="P210" s="5" t="str">
        <f>IFERROR(__xludf.DUMMYFUNCTION("""COMPUTED_VALUE"""),"Yes")</f>
        <v>Yes</v>
      </c>
      <c r="Q210" s="5" t="str">
        <f>IFERROR(__xludf.DUMMYFUNCTION("""COMPUTED_VALUE"""),"Yes")</f>
        <v>Yes</v>
      </c>
      <c r="R210" s="5" t="str">
        <f>IFERROR(__xludf.DUMMYFUNCTION("""COMPUTED_VALUE"""),"Yes")</f>
        <v>Yes</v>
      </c>
      <c r="S210" s="5" t="str">
        <f>IFERROR(__xludf.DUMMYFUNCTION("""COMPUTED_VALUE"""),"Yes")</f>
        <v>Yes</v>
      </c>
      <c r="T210" s="5" t="str">
        <f>IFERROR(__xludf.DUMMYFUNCTION("""COMPUTED_VALUE"""),"Yes")</f>
        <v>Yes</v>
      </c>
      <c r="U210" s="5" t="str">
        <f>IFERROR(__xludf.DUMMYFUNCTION("""COMPUTED_VALUE"""),"Yes")</f>
        <v>Yes</v>
      </c>
      <c r="V210" s="5" t="str">
        <f>IFERROR(__xludf.DUMMYFUNCTION("""COMPUTED_VALUE"""),"Yes")</f>
        <v>Yes</v>
      </c>
      <c r="W210" s="5" t="str">
        <f>IFERROR(__xludf.DUMMYFUNCTION("""COMPUTED_VALUE"""),"Yes")</f>
        <v>Yes</v>
      </c>
      <c r="X210" s="5" t="str">
        <f>IFERROR(__xludf.DUMMYFUNCTION("""COMPUTED_VALUE"""),"Yes")</f>
        <v>Yes</v>
      </c>
      <c r="Y210" s="5" t="str">
        <f>IFERROR(__xludf.DUMMYFUNCTION("""COMPUTED_VALUE"""),"Yes")</f>
        <v>Yes</v>
      </c>
      <c r="Z210" s="5" t="str">
        <f>IFERROR(__xludf.DUMMYFUNCTION("""COMPUTED_VALUE"""),"No")</f>
        <v>No</v>
      </c>
      <c r="AA210" s="5" t="str">
        <f>IFERROR(__xludf.DUMMYFUNCTION("""COMPUTED_VALUE"""),"Yes")</f>
        <v>Yes</v>
      </c>
      <c r="AB210" s="5" t="str">
        <f>IFERROR(__xludf.DUMMYFUNCTION("""COMPUTED_VALUE"""),"Yes")</f>
        <v>Yes</v>
      </c>
      <c r="AC210" s="5" t="str">
        <f>IFERROR(__xludf.DUMMYFUNCTION("""COMPUTED_VALUE"""),"Yes")</f>
        <v>Yes</v>
      </c>
      <c r="AD210" s="5" t="str">
        <f>IFERROR(__xludf.DUMMYFUNCTION("""COMPUTED_VALUE"""),"Yes")</f>
        <v>Yes</v>
      </c>
      <c r="AE210" s="5" t="str">
        <f>IFERROR(__xludf.DUMMYFUNCTION("""COMPUTED_VALUE"""),"No")</f>
        <v>No</v>
      </c>
      <c r="AF210" s="5" t="str">
        <f>IFERROR(__xludf.DUMMYFUNCTION("""COMPUTED_VALUE"""),"Yes")</f>
        <v>Yes</v>
      </c>
      <c r="AG210" s="5" t="str">
        <f>IFERROR(__xludf.DUMMYFUNCTION("""COMPUTED_VALUE"""),"No")</f>
        <v>No</v>
      </c>
      <c r="AH210" s="5" t="str">
        <f>IFERROR(__xludf.DUMMYFUNCTION("""COMPUTED_VALUE"""),"No")</f>
        <v>No</v>
      </c>
      <c r="AI210" s="5" t="str">
        <f>IFERROR(__xludf.DUMMYFUNCTION("""COMPUTED_VALUE"""),"No")</f>
        <v>No</v>
      </c>
      <c r="AJ210" s="5" t="str">
        <f>IFERROR(__xludf.DUMMYFUNCTION("""COMPUTED_VALUE"""),"No")</f>
        <v>No</v>
      </c>
      <c r="AK210" s="5" t="str">
        <f>IFERROR(__xludf.DUMMYFUNCTION("""COMPUTED_VALUE"""),"No")</f>
        <v>No</v>
      </c>
      <c r="AL210" s="5" t="str">
        <f>IFERROR(__xludf.DUMMYFUNCTION("""COMPUTED_VALUE"""),"No")</f>
        <v>No</v>
      </c>
      <c r="AM210" s="5"/>
      <c r="AN210" s="5"/>
      <c r="AO210" s="5"/>
      <c r="AP210" s="5"/>
      <c r="AQ210" s="5"/>
      <c r="AR210" s="5"/>
      <c r="AS210" s="5"/>
      <c r="AT210" s="5"/>
      <c r="AU210" s="5"/>
      <c r="AV210" s="5"/>
      <c r="AW210" s="5"/>
      <c r="AX210" s="5"/>
      <c r="AY210" s="5"/>
    </row>
    <row r="211">
      <c r="A2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1" s="5">
        <f>IFERROR(__xludf.DUMMYFUNCTION("""COMPUTED_VALUE"""),211.0)</f>
        <v>211</v>
      </c>
      <c r="C211" s="5">
        <f>IFERROR(__xludf.DUMMYFUNCTION("""COMPUTED_VALUE"""),210.0)</f>
        <v>210</v>
      </c>
      <c r="D211" s="5" t="str">
        <f>IFERROR(__xludf.DUMMYFUNCTION("""COMPUTED_VALUE"""),"GoldenCrownChristmas")</f>
        <v>GoldenCrownChristmas</v>
      </c>
      <c r="E211" s="5" t="str">
        <f>IFERROR(__xludf.DUMMYFUNCTION("""COMPUTED_VALUE"""),"Yes")</f>
        <v>Yes</v>
      </c>
      <c r="F211" s="5" t="str">
        <f>IFERROR(__xludf.DUMMYFUNCTION("""COMPUTED_VALUE"""),"Yes")</f>
        <v>Yes</v>
      </c>
      <c r="G211" s="5" t="str">
        <f>IFERROR(__xludf.DUMMYFUNCTION("""COMPUTED_VALUE"""),"Yes")</f>
        <v>Yes</v>
      </c>
      <c r="H211" s="5" t="str">
        <f>IFERROR(__xludf.DUMMYFUNCTION("""COMPUTED_VALUE"""),"Yes")</f>
        <v>Yes</v>
      </c>
      <c r="I211" s="5" t="str">
        <f>IFERROR(__xludf.DUMMYFUNCTION("""COMPUTED_VALUE"""),"Yes")</f>
        <v>Yes</v>
      </c>
      <c r="J211" s="5" t="str">
        <f>IFERROR(__xludf.DUMMYFUNCTION("""COMPUTED_VALUE"""),"Yes")</f>
        <v>Yes</v>
      </c>
      <c r="K211" s="5" t="str">
        <f>IFERROR(__xludf.DUMMYFUNCTION("""COMPUTED_VALUE"""),"Yes")</f>
        <v>Yes</v>
      </c>
      <c r="L211" s="5" t="str">
        <f>IFERROR(__xludf.DUMMYFUNCTION("""COMPUTED_VALUE"""),"Yes")</f>
        <v>Yes</v>
      </c>
      <c r="M211" s="5" t="str">
        <f>IFERROR(__xludf.DUMMYFUNCTION("""COMPUTED_VALUE"""),"Yes")</f>
        <v>Yes</v>
      </c>
      <c r="N211" s="5" t="str">
        <f>IFERROR(__xludf.DUMMYFUNCTION("""COMPUTED_VALUE"""),"Yes")</f>
        <v>Yes</v>
      </c>
      <c r="O211" s="5" t="str">
        <f>IFERROR(__xludf.DUMMYFUNCTION("""COMPUTED_VALUE"""),"Yes")</f>
        <v>Yes</v>
      </c>
      <c r="P211" s="5" t="str">
        <f>IFERROR(__xludf.DUMMYFUNCTION("""COMPUTED_VALUE"""),"Yes")</f>
        <v>Yes</v>
      </c>
      <c r="Q211" s="5" t="str">
        <f>IFERROR(__xludf.DUMMYFUNCTION("""COMPUTED_VALUE"""),"Yes")</f>
        <v>Yes</v>
      </c>
      <c r="R211" s="5" t="str">
        <f>IFERROR(__xludf.DUMMYFUNCTION("""COMPUTED_VALUE"""),"Yes")</f>
        <v>Yes</v>
      </c>
      <c r="S211" s="5" t="str">
        <f>IFERROR(__xludf.DUMMYFUNCTION("""COMPUTED_VALUE"""),"Yes")</f>
        <v>Yes</v>
      </c>
      <c r="T211" s="5" t="str">
        <f>IFERROR(__xludf.DUMMYFUNCTION("""COMPUTED_VALUE"""),"Yes")</f>
        <v>Yes</v>
      </c>
      <c r="U211" s="5" t="str">
        <f>IFERROR(__xludf.DUMMYFUNCTION("""COMPUTED_VALUE"""),"Yes")</f>
        <v>Yes</v>
      </c>
      <c r="V211" s="5" t="str">
        <f>IFERROR(__xludf.DUMMYFUNCTION("""COMPUTED_VALUE"""),"Yes")</f>
        <v>Yes</v>
      </c>
      <c r="W211" s="5" t="str">
        <f>IFERROR(__xludf.DUMMYFUNCTION("""COMPUTED_VALUE"""),"Yes")</f>
        <v>Yes</v>
      </c>
      <c r="X211" s="5" t="str">
        <f>IFERROR(__xludf.DUMMYFUNCTION("""COMPUTED_VALUE"""),"Yes")</f>
        <v>Yes</v>
      </c>
      <c r="Y211" s="5" t="str">
        <f>IFERROR(__xludf.DUMMYFUNCTION("""COMPUTED_VALUE"""),"Yes")</f>
        <v>Yes</v>
      </c>
      <c r="Z211" s="5" t="str">
        <f>IFERROR(__xludf.DUMMYFUNCTION("""COMPUTED_VALUE"""),"No")</f>
        <v>No</v>
      </c>
      <c r="AA211" s="5" t="str">
        <f>IFERROR(__xludf.DUMMYFUNCTION("""COMPUTED_VALUE"""),"Yes")</f>
        <v>Yes</v>
      </c>
      <c r="AB211" s="5" t="str">
        <f>IFERROR(__xludf.DUMMYFUNCTION("""COMPUTED_VALUE"""),"Yes")</f>
        <v>Yes</v>
      </c>
      <c r="AC211" s="5" t="str">
        <f>IFERROR(__xludf.DUMMYFUNCTION("""COMPUTED_VALUE"""),"Yes")</f>
        <v>Yes</v>
      </c>
      <c r="AD211" s="5" t="str">
        <f>IFERROR(__xludf.DUMMYFUNCTION("""COMPUTED_VALUE"""),"Yes")</f>
        <v>Yes</v>
      </c>
      <c r="AE211" s="5" t="str">
        <f>IFERROR(__xludf.DUMMYFUNCTION("""COMPUTED_VALUE"""),"No")</f>
        <v>No</v>
      </c>
      <c r="AF211" s="5" t="str">
        <f>IFERROR(__xludf.DUMMYFUNCTION("""COMPUTED_VALUE"""),"Yes")</f>
        <v>Yes</v>
      </c>
      <c r="AG211" s="5" t="str">
        <f>IFERROR(__xludf.DUMMYFUNCTION("""COMPUTED_VALUE"""),"No")</f>
        <v>No</v>
      </c>
      <c r="AH211" s="5" t="str">
        <f>IFERROR(__xludf.DUMMYFUNCTION("""COMPUTED_VALUE"""),"No")</f>
        <v>No</v>
      </c>
      <c r="AI211" s="5" t="str">
        <f>IFERROR(__xludf.DUMMYFUNCTION("""COMPUTED_VALUE"""),"No")</f>
        <v>No</v>
      </c>
      <c r="AJ211" s="5" t="str">
        <f>IFERROR(__xludf.DUMMYFUNCTION("""COMPUTED_VALUE"""),"No")</f>
        <v>No</v>
      </c>
      <c r="AK211" s="5" t="str">
        <f>IFERROR(__xludf.DUMMYFUNCTION("""COMPUTED_VALUE"""),"No")</f>
        <v>No</v>
      </c>
      <c r="AL211" s="5" t="str">
        <f>IFERROR(__xludf.DUMMYFUNCTION("""COMPUTED_VALUE"""),"No")</f>
        <v>No</v>
      </c>
      <c r="AM211" s="5"/>
      <c r="AN211" s="5"/>
      <c r="AO211" s="5"/>
      <c r="AP211" s="5"/>
      <c r="AQ211" s="5"/>
      <c r="AR211" s="5"/>
      <c r="AS211" s="5"/>
      <c r="AT211" s="5"/>
      <c r="AU211" s="5"/>
      <c r="AV211" s="5"/>
      <c r="AW211" s="5"/>
      <c r="AX211" s="5"/>
      <c r="AY211" s="5"/>
    </row>
    <row r="212">
      <c r="A2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2" s="5">
        <f>IFERROR(__xludf.DUMMYFUNCTION("""COMPUTED_VALUE"""),212.0)</f>
        <v>212</v>
      </c>
      <c r="C212" s="5">
        <f>IFERROR(__xludf.DUMMYFUNCTION("""COMPUTED_VALUE"""),211.0)</f>
        <v>211</v>
      </c>
      <c r="D212" s="5" t="str">
        <f>IFERROR(__xludf.DUMMYFUNCTION("""COMPUTED_VALUE"""),"LollasWorldChristmas")</f>
        <v>LollasWorldChristmas</v>
      </c>
      <c r="E212" s="5" t="str">
        <f>IFERROR(__xludf.DUMMYFUNCTION("""COMPUTED_VALUE"""),"Yes")</f>
        <v>Yes</v>
      </c>
      <c r="F212" s="5" t="str">
        <f>IFERROR(__xludf.DUMMYFUNCTION("""COMPUTED_VALUE"""),"Yes")</f>
        <v>Yes</v>
      </c>
      <c r="G212" s="5" t="str">
        <f>IFERROR(__xludf.DUMMYFUNCTION("""COMPUTED_VALUE"""),"Yes")</f>
        <v>Yes</v>
      </c>
      <c r="H212" s="5" t="str">
        <f>IFERROR(__xludf.DUMMYFUNCTION("""COMPUTED_VALUE"""),"Yes")</f>
        <v>Yes</v>
      </c>
      <c r="I212" s="5" t="str">
        <f>IFERROR(__xludf.DUMMYFUNCTION("""COMPUTED_VALUE"""),"Yes")</f>
        <v>Yes</v>
      </c>
      <c r="J212" s="5" t="str">
        <f>IFERROR(__xludf.DUMMYFUNCTION("""COMPUTED_VALUE"""),"Yes")</f>
        <v>Yes</v>
      </c>
      <c r="K212" s="5" t="str">
        <f>IFERROR(__xludf.DUMMYFUNCTION("""COMPUTED_VALUE"""),"Yes")</f>
        <v>Yes</v>
      </c>
      <c r="L212" s="5" t="str">
        <f>IFERROR(__xludf.DUMMYFUNCTION("""COMPUTED_VALUE"""),"Yes")</f>
        <v>Yes</v>
      </c>
      <c r="M212" s="5" t="str">
        <f>IFERROR(__xludf.DUMMYFUNCTION("""COMPUTED_VALUE"""),"Yes")</f>
        <v>Yes</v>
      </c>
      <c r="N212" s="5" t="str">
        <f>IFERROR(__xludf.DUMMYFUNCTION("""COMPUTED_VALUE"""),"Yes")</f>
        <v>Yes</v>
      </c>
      <c r="O212" s="5" t="str">
        <f>IFERROR(__xludf.DUMMYFUNCTION("""COMPUTED_VALUE"""),"Yes")</f>
        <v>Yes</v>
      </c>
      <c r="P212" s="5" t="str">
        <f>IFERROR(__xludf.DUMMYFUNCTION("""COMPUTED_VALUE"""),"Yes")</f>
        <v>Yes</v>
      </c>
      <c r="Q212" s="5" t="str">
        <f>IFERROR(__xludf.DUMMYFUNCTION("""COMPUTED_VALUE"""),"Yes")</f>
        <v>Yes</v>
      </c>
      <c r="R212" s="5" t="str">
        <f>IFERROR(__xludf.DUMMYFUNCTION("""COMPUTED_VALUE"""),"Yes")</f>
        <v>Yes</v>
      </c>
      <c r="S212" s="5" t="str">
        <f>IFERROR(__xludf.DUMMYFUNCTION("""COMPUTED_VALUE"""),"Yes")</f>
        <v>Yes</v>
      </c>
      <c r="T212" s="5" t="str">
        <f>IFERROR(__xludf.DUMMYFUNCTION("""COMPUTED_VALUE"""),"Yes")</f>
        <v>Yes</v>
      </c>
      <c r="U212" s="5" t="str">
        <f>IFERROR(__xludf.DUMMYFUNCTION("""COMPUTED_VALUE"""),"Yes")</f>
        <v>Yes</v>
      </c>
      <c r="V212" s="5" t="str">
        <f>IFERROR(__xludf.DUMMYFUNCTION("""COMPUTED_VALUE"""),"Yes")</f>
        <v>Yes</v>
      </c>
      <c r="W212" s="5" t="str">
        <f>IFERROR(__xludf.DUMMYFUNCTION("""COMPUTED_VALUE"""),"Yes")</f>
        <v>Yes</v>
      </c>
      <c r="X212" s="5" t="str">
        <f>IFERROR(__xludf.DUMMYFUNCTION("""COMPUTED_VALUE"""),"Yes")</f>
        <v>Yes</v>
      </c>
      <c r="Y212" s="5" t="str">
        <f>IFERROR(__xludf.DUMMYFUNCTION("""COMPUTED_VALUE"""),"Yes")</f>
        <v>Yes</v>
      </c>
      <c r="Z212" s="5" t="str">
        <f>IFERROR(__xludf.DUMMYFUNCTION("""COMPUTED_VALUE"""),"No")</f>
        <v>No</v>
      </c>
      <c r="AA212" s="5" t="str">
        <f>IFERROR(__xludf.DUMMYFUNCTION("""COMPUTED_VALUE"""),"Yes")</f>
        <v>Yes</v>
      </c>
      <c r="AB212" s="5" t="str">
        <f>IFERROR(__xludf.DUMMYFUNCTION("""COMPUTED_VALUE"""),"Yes")</f>
        <v>Yes</v>
      </c>
      <c r="AC212" s="5" t="str">
        <f>IFERROR(__xludf.DUMMYFUNCTION("""COMPUTED_VALUE"""),"Yes")</f>
        <v>Yes</v>
      </c>
      <c r="AD212" s="5" t="str">
        <f>IFERROR(__xludf.DUMMYFUNCTION("""COMPUTED_VALUE"""),"Yes")</f>
        <v>Yes</v>
      </c>
      <c r="AE212" s="5" t="str">
        <f>IFERROR(__xludf.DUMMYFUNCTION("""COMPUTED_VALUE"""),"No")</f>
        <v>No</v>
      </c>
      <c r="AF212" s="5" t="str">
        <f>IFERROR(__xludf.DUMMYFUNCTION("""COMPUTED_VALUE"""),"Yes")</f>
        <v>Yes</v>
      </c>
      <c r="AG212" s="5" t="str">
        <f>IFERROR(__xludf.DUMMYFUNCTION("""COMPUTED_VALUE"""),"No")</f>
        <v>No</v>
      </c>
      <c r="AH212" s="5" t="str">
        <f>IFERROR(__xludf.DUMMYFUNCTION("""COMPUTED_VALUE"""),"No")</f>
        <v>No</v>
      </c>
      <c r="AI212" s="5" t="str">
        <f>IFERROR(__xludf.DUMMYFUNCTION("""COMPUTED_VALUE"""),"No")</f>
        <v>No</v>
      </c>
      <c r="AJ212" s="5" t="str">
        <f>IFERROR(__xludf.DUMMYFUNCTION("""COMPUTED_VALUE"""),"No")</f>
        <v>No</v>
      </c>
      <c r="AK212" s="5" t="str">
        <f>IFERROR(__xludf.DUMMYFUNCTION("""COMPUTED_VALUE"""),"No")</f>
        <v>No</v>
      </c>
      <c r="AL212" s="5" t="str">
        <f>IFERROR(__xludf.DUMMYFUNCTION("""COMPUTED_VALUE"""),"No")</f>
        <v>No</v>
      </c>
      <c r="AM212" s="5"/>
      <c r="AN212" s="5"/>
      <c r="AO212" s="5"/>
      <c r="AP212" s="5"/>
      <c r="AQ212" s="5"/>
      <c r="AR212" s="5"/>
      <c r="AS212" s="5"/>
      <c r="AT212" s="5"/>
      <c r="AU212" s="5"/>
      <c r="AV212" s="5"/>
      <c r="AW212" s="5"/>
      <c r="AX212" s="5"/>
      <c r="AY212" s="5"/>
    </row>
    <row r="213">
      <c r="A2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3" s="5">
        <f>IFERROR(__xludf.DUMMYFUNCTION("""COMPUTED_VALUE"""),213.0)</f>
        <v>213</v>
      </c>
      <c r="C213" s="5">
        <f>IFERROR(__xludf.DUMMYFUNCTION("""COMPUTED_VALUE"""),212.0)</f>
        <v>212</v>
      </c>
      <c r="D213" s="5" t="str">
        <f>IFERROR(__xludf.DUMMYFUNCTION("""COMPUTED_VALUE"""),"WildHot40Christmas")</f>
        <v>WildHot40Christmas</v>
      </c>
      <c r="E213" s="5" t="str">
        <f>IFERROR(__xludf.DUMMYFUNCTION("""COMPUTED_VALUE"""),"Yes")</f>
        <v>Yes</v>
      </c>
      <c r="F213" s="5" t="str">
        <f>IFERROR(__xludf.DUMMYFUNCTION("""COMPUTED_VALUE"""),"Yes")</f>
        <v>Yes</v>
      </c>
      <c r="G213" s="5" t="str">
        <f>IFERROR(__xludf.DUMMYFUNCTION("""COMPUTED_VALUE"""),"Yes")</f>
        <v>Yes</v>
      </c>
      <c r="H213" s="5" t="str">
        <f>IFERROR(__xludf.DUMMYFUNCTION("""COMPUTED_VALUE"""),"Yes")</f>
        <v>Yes</v>
      </c>
      <c r="I213" s="5" t="str">
        <f>IFERROR(__xludf.DUMMYFUNCTION("""COMPUTED_VALUE"""),"Yes")</f>
        <v>Yes</v>
      </c>
      <c r="J213" s="5" t="str">
        <f>IFERROR(__xludf.DUMMYFUNCTION("""COMPUTED_VALUE"""),"Yes")</f>
        <v>Yes</v>
      </c>
      <c r="K213" s="5" t="str">
        <f>IFERROR(__xludf.DUMMYFUNCTION("""COMPUTED_VALUE"""),"Yes")</f>
        <v>Yes</v>
      </c>
      <c r="L213" s="5" t="str">
        <f>IFERROR(__xludf.DUMMYFUNCTION("""COMPUTED_VALUE"""),"Yes")</f>
        <v>Yes</v>
      </c>
      <c r="M213" s="5" t="str">
        <f>IFERROR(__xludf.DUMMYFUNCTION("""COMPUTED_VALUE"""),"Yes")</f>
        <v>Yes</v>
      </c>
      <c r="N213" s="5" t="str">
        <f>IFERROR(__xludf.DUMMYFUNCTION("""COMPUTED_VALUE"""),"Yes")</f>
        <v>Yes</v>
      </c>
      <c r="O213" s="5" t="str">
        <f>IFERROR(__xludf.DUMMYFUNCTION("""COMPUTED_VALUE"""),"Yes")</f>
        <v>Yes</v>
      </c>
      <c r="P213" s="5" t="str">
        <f>IFERROR(__xludf.DUMMYFUNCTION("""COMPUTED_VALUE"""),"Yes")</f>
        <v>Yes</v>
      </c>
      <c r="Q213" s="5" t="str">
        <f>IFERROR(__xludf.DUMMYFUNCTION("""COMPUTED_VALUE"""),"Yes")</f>
        <v>Yes</v>
      </c>
      <c r="R213" s="5" t="str">
        <f>IFERROR(__xludf.DUMMYFUNCTION("""COMPUTED_VALUE"""),"Yes")</f>
        <v>Yes</v>
      </c>
      <c r="S213" s="5" t="str">
        <f>IFERROR(__xludf.DUMMYFUNCTION("""COMPUTED_VALUE"""),"Yes")</f>
        <v>Yes</v>
      </c>
      <c r="T213" s="5" t="str">
        <f>IFERROR(__xludf.DUMMYFUNCTION("""COMPUTED_VALUE"""),"Yes")</f>
        <v>Yes</v>
      </c>
      <c r="U213" s="5" t="str">
        <f>IFERROR(__xludf.DUMMYFUNCTION("""COMPUTED_VALUE"""),"Yes")</f>
        <v>Yes</v>
      </c>
      <c r="V213" s="5" t="str">
        <f>IFERROR(__xludf.DUMMYFUNCTION("""COMPUTED_VALUE"""),"Yes")</f>
        <v>Yes</v>
      </c>
      <c r="W213" s="5" t="str">
        <f>IFERROR(__xludf.DUMMYFUNCTION("""COMPUTED_VALUE"""),"Yes")</f>
        <v>Yes</v>
      </c>
      <c r="X213" s="5" t="str">
        <f>IFERROR(__xludf.DUMMYFUNCTION("""COMPUTED_VALUE"""),"Yes")</f>
        <v>Yes</v>
      </c>
      <c r="Y213" s="5" t="str">
        <f>IFERROR(__xludf.DUMMYFUNCTION("""COMPUTED_VALUE"""),"Yes")</f>
        <v>Yes</v>
      </c>
      <c r="Z213" s="5" t="str">
        <f>IFERROR(__xludf.DUMMYFUNCTION("""COMPUTED_VALUE"""),"No")</f>
        <v>No</v>
      </c>
      <c r="AA213" s="5" t="str">
        <f>IFERROR(__xludf.DUMMYFUNCTION("""COMPUTED_VALUE"""),"Yes")</f>
        <v>Yes</v>
      </c>
      <c r="AB213" s="5" t="str">
        <f>IFERROR(__xludf.DUMMYFUNCTION("""COMPUTED_VALUE"""),"Yes")</f>
        <v>Yes</v>
      </c>
      <c r="AC213" s="5" t="str">
        <f>IFERROR(__xludf.DUMMYFUNCTION("""COMPUTED_VALUE"""),"Yes")</f>
        <v>Yes</v>
      </c>
      <c r="AD213" s="5" t="str">
        <f>IFERROR(__xludf.DUMMYFUNCTION("""COMPUTED_VALUE"""),"Yes")</f>
        <v>Yes</v>
      </c>
      <c r="AE213" s="5" t="str">
        <f>IFERROR(__xludf.DUMMYFUNCTION("""COMPUTED_VALUE"""),"No")</f>
        <v>No</v>
      </c>
      <c r="AF213" s="5" t="str">
        <f>IFERROR(__xludf.DUMMYFUNCTION("""COMPUTED_VALUE"""),"Yes")</f>
        <v>Yes</v>
      </c>
      <c r="AG213" s="5" t="str">
        <f>IFERROR(__xludf.DUMMYFUNCTION("""COMPUTED_VALUE"""),"No")</f>
        <v>No</v>
      </c>
      <c r="AH213" s="5" t="str">
        <f>IFERROR(__xludf.DUMMYFUNCTION("""COMPUTED_VALUE"""),"No")</f>
        <v>No</v>
      </c>
      <c r="AI213" s="5" t="str">
        <f>IFERROR(__xludf.DUMMYFUNCTION("""COMPUTED_VALUE"""),"No")</f>
        <v>No</v>
      </c>
      <c r="AJ213" s="5" t="str">
        <f>IFERROR(__xludf.DUMMYFUNCTION("""COMPUTED_VALUE"""),"No")</f>
        <v>No</v>
      </c>
      <c r="AK213" s="5" t="str">
        <f>IFERROR(__xludf.DUMMYFUNCTION("""COMPUTED_VALUE"""),"No")</f>
        <v>No</v>
      </c>
      <c r="AL213" s="5" t="str">
        <f>IFERROR(__xludf.DUMMYFUNCTION("""COMPUTED_VALUE"""),"No")</f>
        <v>No</v>
      </c>
      <c r="AM213" s="5"/>
      <c r="AN213" s="5"/>
      <c r="AO213" s="5"/>
      <c r="AP213" s="5"/>
      <c r="AQ213" s="5"/>
      <c r="AR213" s="5"/>
      <c r="AS213" s="5"/>
      <c r="AT213" s="5"/>
      <c r="AU213" s="5"/>
      <c r="AV213" s="5"/>
      <c r="AW213" s="5"/>
      <c r="AX213" s="5"/>
      <c r="AY213" s="5"/>
    </row>
    <row r="214">
      <c r="A2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4" s="5">
        <f>IFERROR(__xludf.DUMMYFUNCTION("""COMPUTED_VALUE"""),214.0)</f>
        <v>214</v>
      </c>
      <c r="C214" s="5">
        <f>IFERROR(__xludf.DUMMYFUNCTION("""COMPUTED_VALUE"""),213.0)</f>
        <v>213</v>
      </c>
      <c r="D214" s="5" t="str">
        <f>IFERROR(__xludf.DUMMYFUNCTION("""COMPUTED_VALUE"""),"VeryHot5Christmas")</f>
        <v>VeryHot5Christmas</v>
      </c>
      <c r="E214" s="5" t="str">
        <f>IFERROR(__xludf.DUMMYFUNCTION("""COMPUTED_VALUE"""),"Yes")</f>
        <v>Yes</v>
      </c>
      <c r="F214" s="5" t="str">
        <f>IFERROR(__xludf.DUMMYFUNCTION("""COMPUTED_VALUE"""),"Yes")</f>
        <v>Yes</v>
      </c>
      <c r="G214" s="5" t="str">
        <f>IFERROR(__xludf.DUMMYFUNCTION("""COMPUTED_VALUE"""),"Yes")</f>
        <v>Yes</v>
      </c>
      <c r="H214" s="5" t="str">
        <f>IFERROR(__xludf.DUMMYFUNCTION("""COMPUTED_VALUE"""),"Yes")</f>
        <v>Yes</v>
      </c>
      <c r="I214" s="5" t="str">
        <f>IFERROR(__xludf.DUMMYFUNCTION("""COMPUTED_VALUE"""),"Yes")</f>
        <v>Yes</v>
      </c>
      <c r="J214" s="5" t="str">
        <f>IFERROR(__xludf.DUMMYFUNCTION("""COMPUTED_VALUE"""),"Yes")</f>
        <v>Yes</v>
      </c>
      <c r="K214" s="5" t="str">
        <f>IFERROR(__xludf.DUMMYFUNCTION("""COMPUTED_VALUE"""),"Yes")</f>
        <v>Yes</v>
      </c>
      <c r="L214" s="5" t="str">
        <f>IFERROR(__xludf.DUMMYFUNCTION("""COMPUTED_VALUE"""),"Yes")</f>
        <v>Yes</v>
      </c>
      <c r="M214" s="5" t="str">
        <f>IFERROR(__xludf.DUMMYFUNCTION("""COMPUTED_VALUE"""),"Yes")</f>
        <v>Yes</v>
      </c>
      <c r="N214" s="5" t="str">
        <f>IFERROR(__xludf.DUMMYFUNCTION("""COMPUTED_VALUE"""),"Yes")</f>
        <v>Yes</v>
      </c>
      <c r="O214" s="5" t="str">
        <f>IFERROR(__xludf.DUMMYFUNCTION("""COMPUTED_VALUE"""),"Yes")</f>
        <v>Yes</v>
      </c>
      <c r="P214" s="5" t="str">
        <f>IFERROR(__xludf.DUMMYFUNCTION("""COMPUTED_VALUE"""),"Yes")</f>
        <v>Yes</v>
      </c>
      <c r="Q214" s="5" t="str">
        <f>IFERROR(__xludf.DUMMYFUNCTION("""COMPUTED_VALUE"""),"Yes")</f>
        <v>Yes</v>
      </c>
      <c r="R214" s="5" t="str">
        <f>IFERROR(__xludf.DUMMYFUNCTION("""COMPUTED_VALUE"""),"Yes")</f>
        <v>Yes</v>
      </c>
      <c r="S214" s="5" t="str">
        <f>IFERROR(__xludf.DUMMYFUNCTION("""COMPUTED_VALUE"""),"Yes")</f>
        <v>Yes</v>
      </c>
      <c r="T214" s="5" t="str">
        <f>IFERROR(__xludf.DUMMYFUNCTION("""COMPUTED_VALUE"""),"Yes")</f>
        <v>Yes</v>
      </c>
      <c r="U214" s="5" t="str">
        <f>IFERROR(__xludf.DUMMYFUNCTION("""COMPUTED_VALUE"""),"Yes")</f>
        <v>Yes</v>
      </c>
      <c r="V214" s="5" t="str">
        <f>IFERROR(__xludf.DUMMYFUNCTION("""COMPUTED_VALUE"""),"Yes")</f>
        <v>Yes</v>
      </c>
      <c r="W214" s="5" t="str">
        <f>IFERROR(__xludf.DUMMYFUNCTION("""COMPUTED_VALUE"""),"Yes")</f>
        <v>Yes</v>
      </c>
      <c r="X214" s="5" t="str">
        <f>IFERROR(__xludf.DUMMYFUNCTION("""COMPUTED_VALUE"""),"Yes")</f>
        <v>Yes</v>
      </c>
      <c r="Y214" s="5" t="str">
        <f>IFERROR(__xludf.DUMMYFUNCTION("""COMPUTED_VALUE"""),"Yes")</f>
        <v>Yes</v>
      </c>
      <c r="Z214" s="5" t="str">
        <f>IFERROR(__xludf.DUMMYFUNCTION("""COMPUTED_VALUE"""),"No")</f>
        <v>No</v>
      </c>
      <c r="AA214" s="5" t="str">
        <f>IFERROR(__xludf.DUMMYFUNCTION("""COMPUTED_VALUE"""),"Yes")</f>
        <v>Yes</v>
      </c>
      <c r="AB214" s="5" t="str">
        <f>IFERROR(__xludf.DUMMYFUNCTION("""COMPUTED_VALUE"""),"Yes")</f>
        <v>Yes</v>
      </c>
      <c r="AC214" s="5" t="str">
        <f>IFERROR(__xludf.DUMMYFUNCTION("""COMPUTED_VALUE"""),"Yes")</f>
        <v>Yes</v>
      </c>
      <c r="AD214" s="5" t="str">
        <f>IFERROR(__xludf.DUMMYFUNCTION("""COMPUTED_VALUE"""),"Yes")</f>
        <v>Yes</v>
      </c>
      <c r="AE214" s="5" t="str">
        <f>IFERROR(__xludf.DUMMYFUNCTION("""COMPUTED_VALUE"""),"No")</f>
        <v>No</v>
      </c>
      <c r="AF214" s="5" t="str">
        <f>IFERROR(__xludf.DUMMYFUNCTION("""COMPUTED_VALUE"""),"Yes")</f>
        <v>Yes</v>
      </c>
      <c r="AG214" s="5" t="str">
        <f>IFERROR(__xludf.DUMMYFUNCTION("""COMPUTED_VALUE"""),"No")</f>
        <v>No</v>
      </c>
      <c r="AH214" s="5" t="str">
        <f>IFERROR(__xludf.DUMMYFUNCTION("""COMPUTED_VALUE"""),"No")</f>
        <v>No</v>
      </c>
      <c r="AI214" s="5" t="str">
        <f>IFERROR(__xludf.DUMMYFUNCTION("""COMPUTED_VALUE"""),"No")</f>
        <v>No</v>
      </c>
      <c r="AJ214" s="5" t="str">
        <f>IFERROR(__xludf.DUMMYFUNCTION("""COMPUTED_VALUE"""),"No")</f>
        <v>No</v>
      </c>
      <c r="AK214" s="5" t="str">
        <f>IFERROR(__xludf.DUMMYFUNCTION("""COMPUTED_VALUE"""),"No")</f>
        <v>No</v>
      </c>
      <c r="AL214" s="5" t="str">
        <f>IFERROR(__xludf.DUMMYFUNCTION("""COMPUTED_VALUE"""),"No")</f>
        <v>No</v>
      </c>
      <c r="AM214" s="5"/>
      <c r="AN214" s="5"/>
      <c r="AO214" s="5"/>
      <c r="AP214" s="5"/>
      <c r="AQ214" s="5"/>
      <c r="AR214" s="5"/>
      <c r="AS214" s="5"/>
      <c r="AT214" s="5"/>
      <c r="AU214" s="5"/>
      <c r="AV214" s="5"/>
      <c r="AW214" s="5"/>
      <c r="AX214" s="5"/>
      <c r="AY214" s="5"/>
    </row>
    <row r="215">
      <c r="A2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5" s="5">
        <f>IFERROR(__xludf.DUMMYFUNCTION("""COMPUTED_VALUE"""),215.0)</f>
        <v>215</v>
      </c>
      <c r="C215" s="5">
        <f>IFERROR(__xludf.DUMMYFUNCTION("""COMPUTED_VALUE"""),214.0)</f>
        <v>214</v>
      </c>
      <c r="D215" s="5" t="str">
        <f>IFERROR(__xludf.DUMMYFUNCTION("""COMPUTED_VALUE"""),"VeryHot40Christmas")</f>
        <v>VeryHot40Christmas</v>
      </c>
      <c r="E215" s="5" t="str">
        <f>IFERROR(__xludf.DUMMYFUNCTION("""COMPUTED_VALUE"""),"Yes")</f>
        <v>Yes</v>
      </c>
      <c r="F215" s="5" t="str">
        <f>IFERROR(__xludf.DUMMYFUNCTION("""COMPUTED_VALUE"""),"Yes")</f>
        <v>Yes</v>
      </c>
      <c r="G215" s="5" t="str">
        <f>IFERROR(__xludf.DUMMYFUNCTION("""COMPUTED_VALUE"""),"Yes")</f>
        <v>Yes</v>
      </c>
      <c r="H215" s="5" t="str">
        <f>IFERROR(__xludf.DUMMYFUNCTION("""COMPUTED_VALUE"""),"Yes")</f>
        <v>Yes</v>
      </c>
      <c r="I215" s="5" t="str">
        <f>IFERROR(__xludf.DUMMYFUNCTION("""COMPUTED_VALUE"""),"Yes")</f>
        <v>Yes</v>
      </c>
      <c r="J215" s="5" t="str">
        <f>IFERROR(__xludf.DUMMYFUNCTION("""COMPUTED_VALUE"""),"Yes")</f>
        <v>Yes</v>
      </c>
      <c r="K215" s="5" t="str">
        <f>IFERROR(__xludf.DUMMYFUNCTION("""COMPUTED_VALUE"""),"Yes")</f>
        <v>Yes</v>
      </c>
      <c r="L215" s="5" t="str">
        <f>IFERROR(__xludf.DUMMYFUNCTION("""COMPUTED_VALUE"""),"Yes")</f>
        <v>Yes</v>
      </c>
      <c r="M215" s="5" t="str">
        <f>IFERROR(__xludf.DUMMYFUNCTION("""COMPUTED_VALUE"""),"Yes")</f>
        <v>Yes</v>
      </c>
      <c r="N215" s="5" t="str">
        <f>IFERROR(__xludf.DUMMYFUNCTION("""COMPUTED_VALUE"""),"Yes")</f>
        <v>Yes</v>
      </c>
      <c r="O215" s="5" t="str">
        <f>IFERROR(__xludf.DUMMYFUNCTION("""COMPUTED_VALUE"""),"Yes")</f>
        <v>Yes</v>
      </c>
      <c r="P215" s="5" t="str">
        <f>IFERROR(__xludf.DUMMYFUNCTION("""COMPUTED_VALUE"""),"Yes")</f>
        <v>Yes</v>
      </c>
      <c r="Q215" s="5" t="str">
        <f>IFERROR(__xludf.DUMMYFUNCTION("""COMPUTED_VALUE"""),"Yes")</f>
        <v>Yes</v>
      </c>
      <c r="R215" s="5" t="str">
        <f>IFERROR(__xludf.DUMMYFUNCTION("""COMPUTED_VALUE"""),"Yes")</f>
        <v>Yes</v>
      </c>
      <c r="S215" s="5" t="str">
        <f>IFERROR(__xludf.DUMMYFUNCTION("""COMPUTED_VALUE"""),"Yes")</f>
        <v>Yes</v>
      </c>
      <c r="T215" s="5" t="str">
        <f>IFERROR(__xludf.DUMMYFUNCTION("""COMPUTED_VALUE"""),"Yes")</f>
        <v>Yes</v>
      </c>
      <c r="U215" s="5" t="str">
        <f>IFERROR(__xludf.DUMMYFUNCTION("""COMPUTED_VALUE"""),"Yes")</f>
        <v>Yes</v>
      </c>
      <c r="V215" s="5" t="str">
        <f>IFERROR(__xludf.DUMMYFUNCTION("""COMPUTED_VALUE"""),"Yes")</f>
        <v>Yes</v>
      </c>
      <c r="W215" s="5" t="str">
        <f>IFERROR(__xludf.DUMMYFUNCTION("""COMPUTED_VALUE"""),"Yes")</f>
        <v>Yes</v>
      </c>
      <c r="X215" s="5" t="str">
        <f>IFERROR(__xludf.DUMMYFUNCTION("""COMPUTED_VALUE"""),"Yes")</f>
        <v>Yes</v>
      </c>
      <c r="Y215" s="5" t="str">
        <f>IFERROR(__xludf.DUMMYFUNCTION("""COMPUTED_VALUE"""),"Yes")</f>
        <v>Yes</v>
      </c>
      <c r="Z215" s="5" t="str">
        <f>IFERROR(__xludf.DUMMYFUNCTION("""COMPUTED_VALUE"""),"No")</f>
        <v>No</v>
      </c>
      <c r="AA215" s="5" t="str">
        <f>IFERROR(__xludf.DUMMYFUNCTION("""COMPUTED_VALUE"""),"Yes")</f>
        <v>Yes</v>
      </c>
      <c r="AB215" s="5" t="str">
        <f>IFERROR(__xludf.DUMMYFUNCTION("""COMPUTED_VALUE"""),"Yes")</f>
        <v>Yes</v>
      </c>
      <c r="AC215" s="5" t="str">
        <f>IFERROR(__xludf.DUMMYFUNCTION("""COMPUTED_VALUE"""),"Yes")</f>
        <v>Yes</v>
      </c>
      <c r="AD215" s="5" t="str">
        <f>IFERROR(__xludf.DUMMYFUNCTION("""COMPUTED_VALUE"""),"Yes")</f>
        <v>Yes</v>
      </c>
      <c r="AE215" s="5" t="str">
        <f>IFERROR(__xludf.DUMMYFUNCTION("""COMPUTED_VALUE"""),"No")</f>
        <v>No</v>
      </c>
      <c r="AF215" s="5" t="str">
        <f>IFERROR(__xludf.DUMMYFUNCTION("""COMPUTED_VALUE"""),"Yes")</f>
        <v>Yes</v>
      </c>
      <c r="AG215" s="5" t="str">
        <f>IFERROR(__xludf.DUMMYFUNCTION("""COMPUTED_VALUE"""),"No")</f>
        <v>No</v>
      </c>
      <c r="AH215" s="5" t="str">
        <f>IFERROR(__xludf.DUMMYFUNCTION("""COMPUTED_VALUE"""),"No")</f>
        <v>No</v>
      </c>
      <c r="AI215" s="5" t="str">
        <f>IFERROR(__xludf.DUMMYFUNCTION("""COMPUTED_VALUE"""),"No")</f>
        <v>No</v>
      </c>
      <c r="AJ215" s="5" t="str">
        <f>IFERROR(__xludf.DUMMYFUNCTION("""COMPUTED_VALUE"""),"No")</f>
        <v>No</v>
      </c>
      <c r="AK215" s="5" t="str">
        <f>IFERROR(__xludf.DUMMYFUNCTION("""COMPUTED_VALUE"""),"No")</f>
        <v>No</v>
      </c>
      <c r="AL215" s="5" t="str">
        <f>IFERROR(__xludf.DUMMYFUNCTION("""COMPUTED_VALUE"""),"No")</f>
        <v>No</v>
      </c>
      <c r="AM215" s="5"/>
      <c r="AN215" s="5"/>
      <c r="AO215" s="5"/>
      <c r="AP215" s="5"/>
      <c r="AQ215" s="5"/>
      <c r="AR215" s="5"/>
      <c r="AS215" s="5"/>
      <c r="AT215" s="5"/>
      <c r="AU215" s="5"/>
      <c r="AV215" s="5"/>
      <c r="AW215" s="5"/>
      <c r="AX215" s="5"/>
      <c r="AY215" s="5"/>
    </row>
    <row r="216">
      <c r="A2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6" s="5">
        <f>IFERROR(__xludf.DUMMYFUNCTION("""COMPUTED_VALUE"""),216.0)</f>
        <v>216</v>
      </c>
      <c r="C216" s="5">
        <f>IFERROR(__xludf.DUMMYFUNCTION("""COMPUTED_VALUE"""),215.0)</f>
        <v>215</v>
      </c>
      <c r="D216" s="5" t="str">
        <f>IFERROR(__xludf.DUMMYFUNCTION("""COMPUTED_VALUE"""),"CrownFire5")</f>
        <v>CrownFire5</v>
      </c>
      <c r="E216" s="5" t="str">
        <f>IFERROR(__xludf.DUMMYFUNCTION("""COMPUTED_VALUE"""),"Yes")</f>
        <v>Yes</v>
      </c>
      <c r="F216" s="5" t="str">
        <f>IFERROR(__xludf.DUMMYFUNCTION("""COMPUTED_VALUE"""),"Yes")</f>
        <v>Yes</v>
      </c>
      <c r="G216" s="5" t="str">
        <f>IFERROR(__xludf.DUMMYFUNCTION("""COMPUTED_VALUE"""),"Yes")</f>
        <v>Yes</v>
      </c>
      <c r="H216" s="5" t="str">
        <f>IFERROR(__xludf.DUMMYFUNCTION("""COMPUTED_VALUE"""),"Yes")</f>
        <v>Yes</v>
      </c>
      <c r="I216" s="5" t="str">
        <f>IFERROR(__xludf.DUMMYFUNCTION("""COMPUTED_VALUE"""),"Yes")</f>
        <v>Yes</v>
      </c>
      <c r="J216" s="5" t="str">
        <f>IFERROR(__xludf.DUMMYFUNCTION("""COMPUTED_VALUE"""),"Yes")</f>
        <v>Yes</v>
      </c>
      <c r="K216" s="5" t="str">
        <f>IFERROR(__xludf.DUMMYFUNCTION("""COMPUTED_VALUE"""),"Yes")</f>
        <v>Yes</v>
      </c>
      <c r="L216" s="5" t="str">
        <f>IFERROR(__xludf.DUMMYFUNCTION("""COMPUTED_VALUE"""),"Yes")</f>
        <v>Yes</v>
      </c>
      <c r="M216" s="5" t="str">
        <f>IFERROR(__xludf.DUMMYFUNCTION("""COMPUTED_VALUE"""),"Yes")</f>
        <v>Yes</v>
      </c>
      <c r="N216" s="5" t="str">
        <f>IFERROR(__xludf.DUMMYFUNCTION("""COMPUTED_VALUE"""),"Yes")</f>
        <v>Yes</v>
      </c>
      <c r="O216" s="5" t="str">
        <f>IFERROR(__xludf.DUMMYFUNCTION("""COMPUTED_VALUE"""),"Yes")</f>
        <v>Yes</v>
      </c>
      <c r="P216" s="5" t="str">
        <f>IFERROR(__xludf.DUMMYFUNCTION("""COMPUTED_VALUE"""),"Yes")</f>
        <v>Yes</v>
      </c>
      <c r="Q216" s="5" t="str">
        <f>IFERROR(__xludf.DUMMYFUNCTION("""COMPUTED_VALUE"""),"Yes")</f>
        <v>Yes</v>
      </c>
      <c r="R216" s="5" t="str">
        <f>IFERROR(__xludf.DUMMYFUNCTION("""COMPUTED_VALUE"""),"Yes")</f>
        <v>Yes</v>
      </c>
      <c r="S216" s="5" t="str">
        <f>IFERROR(__xludf.DUMMYFUNCTION("""COMPUTED_VALUE"""),"Yes")</f>
        <v>Yes</v>
      </c>
      <c r="T216" s="5" t="str">
        <f>IFERROR(__xludf.DUMMYFUNCTION("""COMPUTED_VALUE"""),"Yes")</f>
        <v>Yes</v>
      </c>
      <c r="U216" s="5" t="str">
        <f>IFERROR(__xludf.DUMMYFUNCTION("""COMPUTED_VALUE"""),"Yes")</f>
        <v>Yes</v>
      </c>
      <c r="V216" s="5" t="str">
        <f>IFERROR(__xludf.DUMMYFUNCTION("""COMPUTED_VALUE"""),"Yes")</f>
        <v>Yes</v>
      </c>
      <c r="W216" s="5" t="str">
        <f>IFERROR(__xludf.DUMMYFUNCTION("""COMPUTED_VALUE"""),"Yes")</f>
        <v>Yes</v>
      </c>
      <c r="X216" s="5" t="str">
        <f>IFERROR(__xludf.DUMMYFUNCTION("""COMPUTED_VALUE"""),"Yes")</f>
        <v>Yes</v>
      </c>
      <c r="Y216" s="5"/>
      <c r="Z216" s="5"/>
      <c r="AA216" s="5"/>
      <c r="AB216" s="5"/>
      <c r="AC216" s="5" t="str">
        <f>IFERROR(__xludf.DUMMYFUNCTION("""COMPUTED_VALUE"""),"Yes")</f>
        <v>Yes</v>
      </c>
      <c r="AD216" s="5"/>
      <c r="AE216" s="5"/>
      <c r="AF216" s="5"/>
      <c r="AG216" s="5"/>
      <c r="AH216" s="5"/>
      <c r="AI216" s="5"/>
      <c r="AJ216" s="5"/>
      <c r="AK216" s="5"/>
      <c r="AL216" s="5"/>
      <c r="AM216" s="5"/>
      <c r="AN216" s="5"/>
      <c r="AO216" s="5"/>
      <c r="AP216" s="5"/>
      <c r="AQ216" s="5"/>
      <c r="AR216" s="5"/>
      <c r="AS216" s="5"/>
      <c r="AT216" s="5"/>
      <c r="AU216" s="5"/>
      <c r="AV216" s="5"/>
      <c r="AW216" s="5"/>
      <c r="AX216" s="5"/>
      <c r="AY216" s="5"/>
    </row>
    <row r="217">
      <c r="A21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7" s="5">
        <f>IFERROR(__xludf.DUMMYFUNCTION("""COMPUTED_VALUE"""),217.0)</f>
        <v>217</v>
      </c>
      <c r="C217" s="5">
        <f>IFERROR(__xludf.DUMMYFUNCTION("""COMPUTED_VALUE"""),216.0)</f>
        <v>216</v>
      </c>
      <c r="D217" s="5" t="str">
        <f>IFERROR(__xludf.DUMMYFUNCTION("""COMPUTED_VALUE"""),"ShiningPresents")</f>
        <v>ShiningPresents</v>
      </c>
      <c r="E217" s="5" t="str">
        <f>IFERROR(__xludf.DUMMYFUNCTION("""COMPUTED_VALUE"""),"Yes")</f>
        <v>Yes</v>
      </c>
      <c r="F217" s="5" t="str">
        <f>IFERROR(__xludf.DUMMYFUNCTION("""COMPUTED_VALUE"""),"Yes")</f>
        <v>Yes</v>
      </c>
      <c r="G217" s="5" t="str">
        <f>IFERROR(__xludf.DUMMYFUNCTION("""COMPUTED_VALUE"""),"No")</f>
        <v>No</v>
      </c>
      <c r="H217" s="5" t="str">
        <f>IFERROR(__xludf.DUMMYFUNCTION("""COMPUTED_VALUE"""),"Yes")</f>
        <v>Yes</v>
      </c>
      <c r="I217" s="5" t="str">
        <f>IFERROR(__xludf.DUMMYFUNCTION("""COMPUTED_VALUE"""),"Yes")</f>
        <v>Yes</v>
      </c>
      <c r="J217" s="5" t="str">
        <f>IFERROR(__xludf.DUMMYFUNCTION("""COMPUTED_VALUE"""),"Yes")</f>
        <v>Yes</v>
      </c>
      <c r="K217" s="5" t="str">
        <f>IFERROR(__xludf.DUMMYFUNCTION("""COMPUTED_VALUE"""),"Yes")</f>
        <v>Yes</v>
      </c>
      <c r="L217" s="5" t="str">
        <f>IFERROR(__xludf.DUMMYFUNCTION("""COMPUTED_VALUE"""),"Yes")</f>
        <v>Yes</v>
      </c>
      <c r="M217" s="5" t="str">
        <f>IFERROR(__xludf.DUMMYFUNCTION("""COMPUTED_VALUE"""),"Yes")</f>
        <v>Yes</v>
      </c>
      <c r="N217" s="5" t="str">
        <f>IFERROR(__xludf.DUMMYFUNCTION("""COMPUTED_VALUE"""),"Yes")</f>
        <v>Yes</v>
      </c>
      <c r="O217" s="5" t="str">
        <f>IFERROR(__xludf.DUMMYFUNCTION("""COMPUTED_VALUE"""),"Yes")</f>
        <v>Yes</v>
      </c>
      <c r="P217" s="5" t="str">
        <f>IFERROR(__xludf.DUMMYFUNCTION("""COMPUTED_VALUE"""),"Yes")</f>
        <v>Yes</v>
      </c>
      <c r="Q217" s="5" t="str">
        <f>IFERROR(__xludf.DUMMYFUNCTION("""COMPUTED_VALUE"""),"Yes")</f>
        <v>Yes</v>
      </c>
      <c r="R217" s="5" t="str">
        <f>IFERROR(__xludf.DUMMYFUNCTION("""COMPUTED_VALUE"""),"Yes")</f>
        <v>Yes</v>
      </c>
      <c r="S217" s="5" t="str">
        <f>IFERROR(__xludf.DUMMYFUNCTION("""COMPUTED_VALUE"""),"Yes")</f>
        <v>Yes</v>
      </c>
      <c r="T217" s="5" t="str">
        <f>IFERROR(__xludf.DUMMYFUNCTION("""COMPUTED_VALUE"""),"No")</f>
        <v>No</v>
      </c>
      <c r="U217" s="5" t="str">
        <f>IFERROR(__xludf.DUMMYFUNCTION("""COMPUTED_VALUE"""),"No")</f>
        <v>No</v>
      </c>
      <c r="V217" s="5" t="str">
        <f>IFERROR(__xludf.DUMMYFUNCTION("""COMPUTED_VALUE"""),"No")</f>
        <v>No</v>
      </c>
      <c r="W217" s="5" t="str">
        <f>IFERROR(__xludf.DUMMYFUNCTION("""COMPUTED_VALUE"""),"No")</f>
        <v>No</v>
      </c>
      <c r="X217" s="5" t="str">
        <f>IFERROR(__xludf.DUMMYFUNCTION("""COMPUTED_VALUE"""),"No")</f>
        <v>No</v>
      </c>
      <c r="Y217" s="5" t="str">
        <f>IFERROR(__xludf.DUMMYFUNCTION("""COMPUTED_VALUE"""),"No")</f>
        <v>No</v>
      </c>
      <c r="Z217" s="5" t="str">
        <f>IFERROR(__xludf.DUMMYFUNCTION("""COMPUTED_VALUE"""),"No")</f>
        <v>No</v>
      </c>
      <c r="AA217" s="5" t="str">
        <f>IFERROR(__xludf.DUMMYFUNCTION("""COMPUTED_VALUE"""),"No")</f>
        <v>No</v>
      </c>
      <c r="AB217" s="5" t="str">
        <f>IFERROR(__xludf.DUMMYFUNCTION("""COMPUTED_VALUE"""),"No")</f>
        <v>No</v>
      </c>
      <c r="AC217" s="5" t="str">
        <f>IFERROR(__xludf.DUMMYFUNCTION("""COMPUTED_VALUE"""),"No")</f>
        <v>No</v>
      </c>
      <c r="AD217" s="5" t="str">
        <f>IFERROR(__xludf.DUMMYFUNCTION("""COMPUTED_VALUE"""),"No")</f>
        <v>No</v>
      </c>
      <c r="AE217" s="5" t="str">
        <f>IFERROR(__xludf.DUMMYFUNCTION("""COMPUTED_VALUE"""),"No")</f>
        <v>No</v>
      </c>
      <c r="AF217" s="5" t="str">
        <f>IFERROR(__xludf.DUMMYFUNCTION("""COMPUTED_VALUE"""),"Yes")</f>
        <v>Yes</v>
      </c>
      <c r="AG217" s="5" t="str">
        <f>IFERROR(__xludf.DUMMYFUNCTION("""COMPUTED_VALUE"""),"No")</f>
        <v>No</v>
      </c>
      <c r="AH217" s="5" t="str">
        <f>IFERROR(__xludf.DUMMYFUNCTION("""COMPUTED_VALUE"""),"Yes")</f>
        <v>Yes</v>
      </c>
      <c r="AI217" s="5" t="str">
        <f>IFERROR(__xludf.DUMMYFUNCTION("""COMPUTED_VALUE"""),"No")</f>
        <v>No</v>
      </c>
      <c r="AJ217" s="5" t="str">
        <f>IFERROR(__xludf.DUMMYFUNCTION("""COMPUTED_VALUE"""),"No")</f>
        <v>No</v>
      </c>
      <c r="AK217" s="5" t="str">
        <f>IFERROR(__xludf.DUMMYFUNCTION("""COMPUTED_VALUE"""),"No")</f>
        <v>No</v>
      </c>
      <c r="AL217" s="5" t="str">
        <f>IFERROR(__xludf.DUMMYFUNCTION("""COMPUTED_VALUE"""),"No")</f>
        <v>No</v>
      </c>
      <c r="AM217" s="5"/>
      <c r="AN217" s="5"/>
      <c r="AO217" s="5"/>
      <c r="AP217" s="5"/>
      <c r="AQ217" s="5"/>
      <c r="AR217" s="5"/>
      <c r="AS217" s="5"/>
      <c r="AT217" s="5"/>
      <c r="AU217" s="5"/>
      <c r="AV217" s="5"/>
      <c r="AW217" s="5"/>
      <c r="AX217" s="5"/>
      <c r="AY217" s="5"/>
    </row>
    <row r="218">
      <c r="A2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8" s="5">
        <f>IFERROR(__xludf.DUMMYFUNCTION("""COMPUTED_VALUE"""),218.0)</f>
        <v>218</v>
      </c>
      <c r="C218" s="5">
        <f>IFERROR(__xludf.DUMMYFUNCTION("""COMPUTED_VALUE"""),217.0)</f>
        <v>217</v>
      </c>
      <c r="D218" s="5" t="str">
        <f>IFERROR(__xludf.DUMMYFUNCTION("""COMPUTED_VALUE"""),"WildSanta10")</f>
        <v>WildSanta10</v>
      </c>
      <c r="E218" s="5" t="str">
        <f>IFERROR(__xludf.DUMMYFUNCTION("""COMPUTED_VALUE"""),"Yes")</f>
        <v>Yes</v>
      </c>
      <c r="F218" s="5" t="str">
        <f>IFERROR(__xludf.DUMMYFUNCTION("""COMPUTED_VALUE"""),"Yes")</f>
        <v>Yes</v>
      </c>
      <c r="G218" s="5" t="str">
        <f>IFERROR(__xludf.DUMMYFUNCTION("""COMPUTED_VALUE"""),"Yes")</f>
        <v>Yes</v>
      </c>
      <c r="H218" s="5" t="str">
        <f>IFERROR(__xludf.DUMMYFUNCTION("""COMPUTED_VALUE"""),"Yes")</f>
        <v>Yes</v>
      </c>
      <c r="I218" s="5" t="str">
        <f>IFERROR(__xludf.DUMMYFUNCTION("""COMPUTED_VALUE"""),"Yes")</f>
        <v>Yes</v>
      </c>
      <c r="J218" s="5" t="str">
        <f>IFERROR(__xludf.DUMMYFUNCTION("""COMPUTED_VALUE"""),"Yes")</f>
        <v>Yes</v>
      </c>
      <c r="K218" s="5" t="str">
        <f>IFERROR(__xludf.DUMMYFUNCTION("""COMPUTED_VALUE"""),"Yes")</f>
        <v>Yes</v>
      </c>
      <c r="L218" s="5" t="str">
        <f>IFERROR(__xludf.DUMMYFUNCTION("""COMPUTED_VALUE"""),"Yes")</f>
        <v>Yes</v>
      </c>
      <c r="M218" s="5" t="str">
        <f>IFERROR(__xludf.DUMMYFUNCTION("""COMPUTED_VALUE"""),"Yes")</f>
        <v>Yes</v>
      </c>
      <c r="N218" s="5" t="str">
        <f>IFERROR(__xludf.DUMMYFUNCTION("""COMPUTED_VALUE"""),"Yes")</f>
        <v>Yes</v>
      </c>
      <c r="O218" s="5" t="str">
        <f>IFERROR(__xludf.DUMMYFUNCTION("""COMPUTED_VALUE"""),"Yes")</f>
        <v>Yes</v>
      </c>
      <c r="P218" s="5" t="str">
        <f>IFERROR(__xludf.DUMMYFUNCTION("""COMPUTED_VALUE"""),"Yes")</f>
        <v>Yes</v>
      </c>
      <c r="Q218" s="5" t="str">
        <f>IFERROR(__xludf.DUMMYFUNCTION("""COMPUTED_VALUE"""),"Yes")</f>
        <v>Yes</v>
      </c>
      <c r="R218" s="5" t="str">
        <f>IFERROR(__xludf.DUMMYFUNCTION("""COMPUTED_VALUE"""),"Yes")</f>
        <v>Yes</v>
      </c>
      <c r="S218" s="5" t="str">
        <f>IFERROR(__xludf.DUMMYFUNCTION("""COMPUTED_VALUE"""),"Yes")</f>
        <v>Yes</v>
      </c>
      <c r="T218" s="5" t="str">
        <f>IFERROR(__xludf.DUMMYFUNCTION("""COMPUTED_VALUE"""),"Yes")</f>
        <v>Yes</v>
      </c>
      <c r="U218" s="5" t="str">
        <f>IFERROR(__xludf.DUMMYFUNCTION("""COMPUTED_VALUE"""),"Yes")</f>
        <v>Yes</v>
      </c>
      <c r="V218" s="5" t="str">
        <f>IFERROR(__xludf.DUMMYFUNCTION("""COMPUTED_VALUE"""),"Yes")</f>
        <v>Yes</v>
      </c>
      <c r="W218" s="5" t="str">
        <f>IFERROR(__xludf.DUMMYFUNCTION("""COMPUTED_VALUE"""),"Yes")</f>
        <v>Yes</v>
      </c>
      <c r="X218" s="5" t="str">
        <f>IFERROR(__xludf.DUMMYFUNCTION("""COMPUTED_VALUE"""),"Yes")</f>
        <v>Yes</v>
      </c>
      <c r="Y218" s="5"/>
      <c r="Z218" s="5"/>
      <c r="AA218" s="5"/>
      <c r="AB218" s="5"/>
      <c r="AC218" s="5" t="str">
        <f>IFERROR(__xludf.DUMMYFUNCTION("""COMPUTED_VALUE"""),"Yes")</f>
        <v>Yes</v>
      </c>
      <c r="AD218" s="5"/>
      <c r="AE218" s="5"/>
      <c r="AF218" s="5"/>
      <c r="AG218" s="5"/>
      <c r="AH218" s="5"/>
      <c r="AI218" s="5"/>
      <c r="AJ218" s="5"/>
      <c r="AK218" s="5"/>
      <c r="AL218" s="5"/>
      <c r="AM218" s="5"/>
      <c r="AN218" s="5"/>
      <c r="AO218" s="5"/>
      <c r="AP218" s="5"/>
      <c r="AQ218" s="5"/>
      <c r="AR218" s="5"/>
      <c r="AS218" s="5"/>
      <c r="AT218" s="5"/>
      <c r="AU218" s="5"/>
      <c r="AV218" s="5"/>
      <c r="AW218" s="5"/>
      <c r="AX218" s="5"/>
      <c r="AY218" s="5"/>
    </row>
    <row r="219">
      <c r="A21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9" s="5">
        <f>IFERROR(__xludf.DUMMYFUNCTION("""COMPUTED_VALUE"""),219.0)</f>
        <v>219</v>
      </c>
      <c r="C219" s="5">
        <f>IFERROR(__xludf.DUMMYFUNCTION("""COMPUTED_VALUE"""),218.0)</f>
        <v>218</v>
      </c>
      <c r="D219" s="5" t="str">
        <f>IFERROR(__xludf.DUMMYFUNCTION("""COMPUTED_VALUE"""),"UnicornFastFruits")</f>
        <v>UnicornFastFruits</v>
      </c>
      <c r="E219" s="5" t="str">
        <f>IFERROR(__xludf.DUMMYFUNCTION("""COMPUTED_VALUE"""),"Yes")</f>
        <v>Yes</v>
      </c>
      <c r="F219" s="5" t="str">
        <f>IFERROR(__xludf.DUMMYFUNCTION("""COMPUTED_VALUE"""),"Yes")</f>
        <v>Yes</v>
      </c>
      <c r="G219" s="5" t="str">
        <f>IFERROR(__xludf.DUMMYFUNCTION("""COMPUTED_VALUE"""),"No")</f>
        <v>No</v>
      </c>
      <c r="H219" s="5" t="str">
        <f>IFERROR(__xludf.DUMMYFUNCTION("""COMPUTED_VALUE"""),"Yes")</f>
        <v>Yes</v>
      </c>
      <c r="I219" s="5" t="str">
        <f>IFERROR(__xludf.DUMMYFUNCTION("""COMPUTED_VALUE"""),"Yes")</f>
        <v>Yes</v>
      </c>
      <c r="J219" s="5" t="str">
        <f>IFERROR(__xludf.DUMMYFUNCTION("""COMPUTED_VALUE"""),"Yes")</f>
        <v>Yes</v>
      </c>
      <c r="K219" s="5" t="str">
        <f>IFERROR(__xludf.DUMMYFUNCTION("""COMPUTED_VALUE"""),"Yes")</f>
        <v>Yes</v>
      </c>
      <c r="L219" s="5" t="str">
        <f>IFERROR(__xludf.DUMMYFUNCTION("""COMPUTED_VALUE"""),"Yes")</f>
        <v>Yes</v>
      </c>
      <c r="M219" s="5" t="str">
        <f>IFERROR(__xludf.DUMMYFUNCTION("""COMPUTED_VALUE"""),"Yes")</f>
        <v>Yes</v>
      </c>
      <c r="N219" s="5" t="str">
        <f>IFERROR(__xludf.DUMMYFUNCTION("""COMPUTED_VALUE"""),"Yes")</f>
        <v>Yes</v>
      </c>
      <c r="O219" s="5" t="str">
        <f>IFERROR(__xludf.DUMMYFUNCTION("""COMPUTED_VALUE"""),"Yes")</f>
        <v>Yes</v>
      </c>
      <c r="P219" s="5" t="str">
        <f>IFERROR(__xludf.DUMMYFUNCTION("""COMPUTED_VALUE"""),"Yes")</f>
        <v>Yes</v>
      </c>
      <c r="Q219" s="5" t="str">
        <f>IFERROR(__xludf.DUMMYFUNCTION("""COMPUTED_VALUE"""),"Yes")</f>
        <v>Yes</v>
      </c>
      <c r="R219" s="5" t="str">
        <f>IFERROR(__xludf.DUMMYFUNCTION("""COMPUTED_VALUE"""),"Yes")</f>
        <v>Yes</v>
      </c>
      <c r="S219" s="5" t="str">
        <f>IFERROR(__xludf.DUMMYFUNCTION("""COMPUTED_VALUE"""),"Yes")</f>
        <v>Yes</v>
      </c>
      <c r="T219" s="5" t="str">
        <f>IFERROR(__xludf.DUMMYFUNCTION("""COMPUTED_VALUE"""),"No")</f>
        <v>No</v>
      </c>
      <c r="U219" s="5" t="str">
        <f>IFERROR(__xludf.DUMMYFUNCTION("""COMPUTED_VALUE"""),"No")</f>
        <v>No</v>
      </c>
      <c r="V219" s="5" t="str">
        <f>IFERROR(__xludf.DUMMYFUNCTION("""COMPUTED_VALUE"""),"No")</f>
        <v>No</v>
      </c>
      <c r="W219" s="5" t="str">
        <f>IFERROR(__xludf.DUMMYFUNCTION("""COMPUTED_VALUE"""),"No")</f>
        <v>No</v>
      </c>
      <c r="X219" s="5" t="str">
        <f>IFERROR(__xludf.DUMMYFUNCTION("""COMPUTED_VALUE"""),"No")</f>
        <v>No</v>
      </c>
      <c r="Y219" s="5" t="str">
        <f>IFERROR(__xludf.DUMMYFUNCTION("""COMPUTED_VALUE"""),"No")</f>
        <v>No</v>
      </c>
      <c r="Z219" s="5" t="str">
        <f>IFERROR(__xludf.DUMMYFUNCTION("""COMPUTED_VALUE"""),"No")</f>
        <v>No</v>
      </c>
      <c r="AA219" s="5" t="str">
        <f>IFERROR(__xludf.DUMMYFUNCTION("""COMPUTED_VALUE"""),"No")</f>
        <v>No</v>
      </c>
      <c r="AB219" s="5" t="str">
        <f>IFERROR(__xludf.DUMMYFUNCTION("""COMPUTED_VALUE"""),"No")</f>
        <v>No</v>
      </c>
      <c r="AC219" s="5" t="str">
        <f>IFERROR(__xludf.DUMMYFUNCTION("""COMPUTED_VALUE"""),"No")</f>
        <v>No</v>
      </c>
      <c r="AD219" s="5" t="str">
        <f>IFERROR(__xludf.DUMMYFUNCTION("""COMPUTED_VALUE"""),"No")</f>
        <v>No</v>
      </c>
      <c r="AE219" s="5" t="str">
        <f>IFERROR(__xludf.DUMMYFUNCTION("""COMPUTED_VALUE"""),"No")</f>
        <v>No</v>
      </c>
      <c r="AF219" s="5" t="str">
        <f>IFERROR(__xludf.DUMMYFUNCTION("""COMPUTED_VALUE"""),"Yes")</f>
        <v>Yes</v>
      </c>
      <c r="AG219" s="5" t="str">
        <f>IFERROR(__xludf.DUMMYFUNCTION("""COMPUTED_VALUE"""),"No")</f>
        <v>No</v>
      </c>
      <c r="AH219" s="5" t="str">
        <f>IFERROR(__xludf.DUMMYFUNCTION("""COMPUTED_VALUE"""),"Yes")</f>
        <v>Yes</v>
      </c>
      <c r="AI219" s="5" t="str">
        <f>IFERROR(__xludf.DUMMYFUNCTION("""COMPUTED_VALUE"""),"No")</f>
        <v>No</v>
      </c>
      <c r="AJ219" s="5" t="str">
        <f>IFERROR(__xludf.DUMMYFUNCTION("""COMPUTED_VALUE"""),"No")</f>
        <v>No</v>
      </c>
      <c r="AK219" s="5" t="str">
        <f>IFERROR(__xludf.DUMMYFUNCTION("""COMPUTED_VALUE"""),"No")</f>
        <v>No</v>
      </c>
      <c r="AL219" s="5" t="str">
        <f>IFERROR(__xludf.DUMMYFUNCTION("""COMPUTED_VALUE"""),"No")</f>
        <v>No</v>
      </c>
      <c r="AM219" s="5"/>
      <c r="AN219" s="5"/>
      <c r="AO219" s="5"/>
      <c r="AP219" s="5"/>
      <c r="AQ219" s="5"/>
      <c r="AR219" s="5"/>
      <c r="AS219" s="5"/>
      <c r="AT219" s="5"/>
      <c r="AU219" s="5"/>
      <c r="AV219" s="5"/>
      <c r="AW219" s="5"/>
      <c r="AX219" s="5"/>
      <c r="AY219" s="5"/>
    </row>
    <row r="220">
      <c r="A22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0" s="5">
        <f>IFERROR(__xludf.DUMMYFUNCTION("""COMPUTED_VALUE"""),220.0)</f>
        <v>220</v>
      </c>
      <c r="C220" s="5">
        <f>IFERROR(__xludf.DUMMYFUNCTION("""COMPUTED_VALUE"""),219.0)</f>
        <v>219</v>
      </c>
      <c r="D220" s="5" t="str">
        <f>IFERROR(__xludf.DUMMYFUNCTION("""COMPUTED_VALUE"""),"UnicornMoneyStandardWild")</f>
        <v>UnicornMoneyStandardWild</v>
      </c>
      <c r="E220" s="5" t="str">
        <f>IFERROR(__xludf.DUMMYFUNCTION("""COMPUTED_VALUE"""),"Yes")</f>
        <v>Yes</v>
      </c>
      <c r="F220" s="5" t="str">
        <f>IFERROR(__xludf.DUMMYFUNCTION("""COMPUTED_VALUE"""),"Yes")</f>
        <v>Yes</v>
      </c>
      <c r="G220" s="5" t="str">
        <f>IFERROR(__xludf.DUMMYFUNCTION("""COMPUTED_VALUE"""),"Yes")</f>
        <v>Yes</v>
      </c>
      <c r="H220" s="5" t="str">
        <f>IFERROR(__xludf.DUMMYFUNCTION("""COMPUTED_VALUE"""),"No")</f>
        <v>No</v>
      </c>
      <c r="I220" s="5" t="str">
        <f>IFERROR(__xludf.DUMMYFUNCTION("""COMPUTED_VALUE"""),"No")</f>
        <v>No</v>
      </c>
      <c r="J220" s="5" t="str">
        <f>IFERROR(__xludf.DUMMYFUNCTION("""COMPUTED_VALUE"""),"No")</f>
        <v>No</v>
      </c>
      <c r="K220" s="5" t="str">
        <f>IFERROR(__xludf.DUMMYFUNCTION("""COMPUTED_VALUE"""),"No")</f>
        <v>No</v>
      </c>
      <c r="L220" s="5" t="str">
        <f>IFERROR(__xludf.DUMMYFUNCTION("""COMPUTED_VALUE"""),"No")</f>
        <v>No</v>
      </c>
      <c r="M220" s="5" t="str">
        <f>IFERROR(__xludf.DUMMYFUNCTION("""COMPUTED_VALUE"""),"Yes")</f>
        <v>Yes</v>
      </c>
      <c r="N220" s="5" t="str">
        <f>IFERROR(__xludf.DUMMYFUNCTION("""COMPUTED_VALUE"""),"Yes")</f>
        <v>Yes</v>
      </c>
      <c r="O220" s="5" t="str">
        <f>IFERROR(__xludf.DUMMYFUNCTION("""COMPUTED_VALUE"""),"Yes")</f>
        <v>Yes</v>
      </c>
      <c r="P220" s="5" t="str">
        <f>IFERROR(__xludf.DUMMYFUNCTION("""COMPUTED_VALUE"""),"Yes")</f>
        <v>Yes</v>
      </c>
      <c r="Q220" s="5" t="str">
        <f>IFERROR(__xludf.DUMMYFUNCTION("""COMPUTED_VALUE"""),"Yes")</f>
        <v>Yes</v>
      </c>
      <c r="R220" s="5" t="str">
        <f>IFERROR(__xludf.DUMMYFUNCTION("""COMPUTED_VALUE"""),"No")</f>
        <v>No</v>
      </c>
      <c r="S220" s="5" t="str">
        <f>IFERROR(__xludf.DUMMYFUNCTION("""COMPUTED_VALUE"""),"Yes")</f>
        <v>Yes</v>
      </c>
      <c r="T220" s="5" t="str">
        <f>IFERROR(__xludf.DUMMYFUNCTION("""COMPUTED_VALUE"""),"No")</f>
        <v>No</v>
      </c>
      <c r="U220" s="5" t="str">
        <f>IFERROR(__xludf.DUMMYFUNCTION("""COMPUTED_VALUE"""),"No")</f>
        <v>No</v>
      </c>
      <c r="V220" s="5" t="str">
        <f>IFERROR(__xludf.DUMMYFUNCTION("""COMPUTED_VALUE"""),"No")</f>
        <v>No</v>
      </c>
      <c r="W220" s="5" t="str">
        <f>IFERROR(__xludf.DUMMYFUNCTION("""COMPUTED_VALUE"""),"No")</f>
        <v>No</v>
      </c>
      <c r="X220" s="5" t="str">
        <f>IFERROR(__xludf.DUMMYFUNCTION("""COMPUTED_VALUE"""),"No")</f>
        <v>No</v>
      </c>
      <c r="Y220" s="5"/>
      <c r="Z220" s="5"/>
      <c r="AA220" s="5"/>
      <c r="AB220" s="5"/>
      <c r="AC220" s="5" t="str">
        <f>IFERROR(__xludf.DUMMYFUNCTION("""COMPUTED_VALUE"""),"No")</f>
        <v>No</v>
      </c>
      <c r="AD220" s="5"/>
      <c r="AE220" s="5"/>
      <c r="AF220" s="5"/>
      <c r="AG220" s="5"/>
      <c r="AH220" s="5"/>
      <c r="AI220" s="5"/>
      <c r="AJ220" s="5"/>
      <c r="AK220" s="5"/>
      <c r="AL220" s="5"/>
      <c r="AM220" s="5"/>
      <c r="AN220" s="5"/>
      <c r="AO220" s="5"/>
      <c r="AP220" s="5"/>
      <c r="AQ220" s="5"/>
      <c r="AR220" s="5"/>
      <c r="AS220" s="5"/>
      <c r="AT220" s="5"/>
      <c r="AU220" s="5"/>
      <c r="AV220" s="5"/>
      <c r="AW220" s="5"/>
      <c r="AX220" s="5"/>
      <c r="AY220" s="5"/>
    </row>
    <row r="221">
      <c r="A2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1" s="5">
        <f>IFERROR(__xludf.DUMMYFUNCTION("""COMPUTED_VALUE"""),221.0)</f>
        <v>221</v>
      </c>
      <c r="C221" s="5">
        <f>IFERROR(__xludf.DUMMYFUNCTION("""COMPUTED_VALUE"""),220.0)</f>
        <v>220</v>
      </c>
      <c r="D221" s="5" t="str">
        <f>IFERROR(__xludf.DUMMYFUNCTION("""COMPUTED_VALUE"""),"WildHot40Blow")</f>
        <v>WildHot40Blow</v>
      </c>
      <c r="E221" s="5" t="str">
        <f>IFERROR(__xludf.DUMMYFUNCTION("""COMPUTED_VALUE"""),"Yes")</f>
        <v>Yes</v>
      </c>
      <c r="F221" s="5" t="str">
        <f>IFERROR(__xludf.DUMMYFUNCTION("""COMPUTED_VALUE"""),"Yes")</f>
        <v>Yes</v>
      </c>
      <c r="G221" s="5" t="str">
        <f>IFERROR(__xludf.DUMMYFUNCTION("""COMPUTED_VALUE"""),"Yes")</f>
        <v>Yes</v>
      </c>
      <c r="H221" s="5" t="str">
        <f>IFERROR(__xludf.DUMMYFUNCTION("""COMPUTED_VALUE"""),"Yes")</f>
        <v>Yes</v>
      </c>
      <c r="I221" s="5" t="str">
        <f>IFERROR(__xludf.DUMMYFUNCTION("""COMPUTED_VALUE"""),"Yes")</f>
        <v>Yes</v>
      </c>
      <c r="J221" s="5" t="str">
        <f>IFERROR(__xludf.DUMMYFUNCTION("""COMPUTED_VALUE"""),"Yes")</f>
        <v>Yes</v>
      </c>
      <c r="K221" s="5" t="str">
        <f>IFERROR(__xludf.DUMMYFUNCTION("""COMPUTED_VALUE"""),"Yes")</f>
        <v>Yes</v>
      </c>
      <c r="L221" s="5" t="str">
        <f>IFERROR(__xludf.DUMMYFUNCTION("""COMPUTED_VALUE"""),"Yes")</f>
        <v>Yes</v>
      </c>
      <c r="M221" s="5" t="str">
        <f>IFERROR(__xludf.DUMMYFUNCTION("""COMPUTED_VALUE"""),"Yes")</f>
        <v>Yes</v>
      </c>
      <c r="N221" s="5" t="str">
        <f>IFERROR(__xludf.DUMMYFUNCTION("""COMPUTED_VALUE"""),"Yes")</f>
        <v>Yes</v>
      </c>
      <c r="O221" s="5" t="str">
        <f>IFERROR(__xludf.DUMMYFUNCTION("""COMPUTED_VALUE"""),"Yes")</f>
        <v>Yes</v>
      </c>
      <c r="P221" s="5" t="str">
        <f>IFERROR(__xludf.DUMMYFUNCTION("""COMPUTED_VALUE"""),"Yes")</f>
        <v>Yes</v>
      </c>
      <c r="Q221" s="5" t="str">
        <f>IFERROR(__xludf.DUMMYFUNCTION("""COMPUTED_VALUE"""),"Yes")</f>
        <v>Yes</v>
      </c>
      <c r="R221" s="5" t="str">
        <f>IFERROR(__xludf.DUMMYFUNCTION("""COMPUTED_VALUE"""),"Yes")</f>
        <v>Yes</v>
      </c>
      <c r="S221" s="5" t="str">
        <f>IFERROR(__xludf.DUMMYFUNCTION("""COMPUTED_VALUE"""),"Yes")</f>
        <v>Yes</v>
      </c>
      <c r="T221" s="5" t="str">
        <f>IFERROR(__xludf.DUMMYFUNCTION("""COMPUTED_VALUE"""),"Yes")</f>
        <v>Yes</v>
      </c>
      <c r="U221" s="5" t="str">
        <f>IFERROR(__xludf.DUMMYFUNCTION("""COMPUTED_VALUE"""),"Yes")</f>
        <v>Yes</v>
      </c>
      <c r="V221" s="5" t="str">
        <f>IFERROR(__xludf.DUMMYFUNCTION("""COMPUTED_VALUE"""),"Yes")</f>
        <v>Yes</v>
      </c>
      <c r="W221" s="5" t="str">
        <f>IFERROR(__xludf.DUMMYFUNCTION("""COMPUTED_VALUE"""),"Yes")</f>
        <v>Yes</v>
      </c>
      <c r="X221" s="5" t="str">
        <f>IFERROR(__xludf.DUMMYFUNCTION("""COMPUTED_VALUE"""),"Yes")</f>
        <v>Yes</v>
      </c>
      <c r="Y221" s="5" t="str">
        <f>IFERROR(__xludf.DUMMYFUNCTION("""COMPUTED_VALUE"""),"Yes")</f>
        <v>Yes</v>
      </c>
      <c r="Z221" s="5" t="str">
        <f>IFERROR(__xludf.DUMMYFUNCTION("""COMPUTED_VALUE"""),"No")</f>
        <v>No</v>
      </c>
      <c r="AA221" s="5" t="str">
        <f>IFERROR(__xludf.DUMMYFUNCTION("""COMPUTED_VALUE"""),"Yes")</f>
        <v>Yes</v>
      </c>
      <c r="AB221" s="5" t="str">
        <f>IFERROR(__xludf.DUMMYFUNCTION("""COMPUTED_VALUE"""),"Yes")</f>
        <v>Yes</v>
      </c>
      <c r="AC221" s="5" t="str">
        <f>IFERROR(__xludf.DUMMYFUNCTION("""COMPUTED_VALUE"""),"Yes")</f>
        <v>Yes</v>
      </c>
      <c r="AD221" s="5" t="str">
        <f>IFERROR(__xludf.DUMMYFUNCTION("""COMPUTED_VALUE"""),"Yes")</f>
        <v>Yes</v>
      </c>
      <c r="AE221" s="5" t="str">
        <f>IFERROR(__xludf.DUMMYFUNCTION("""COMPUTED_VALUE"""),"No")</f>
        <v>No</v>
      </c>
      <c r="AF221" s="5" t="str">
        <f>IFERROR(__xludf.DUMMYFUNCTION("""COMPUTED_VALUE"""),"Yes")</f>
        <v>Yes</v>
      </c>
      <c r="AG221" s="5" t="str">
        <f>IFERROR(__xludf.DUMMYFUNCTION("""COMPUTED_VALUE"""),"No")</f>
        <v>No</v>
      </c>
      <c r="AH221" s="5" t="str">
        <f>IFERROR(__xludf.DUMMYFUNCTION("""COMPUTED_VALUE"""),"No")</f>
        <v>No</v>
      </c>
      <c r="AI221" s="5" t="str">
        <f>IFERROR(__xludf.DUMMYFUNCTION("""COMPUTED_VALUE"""),"No")</f>
        <v>No</v>
      </c>
      <c r="AJ221" s="5" t="str">
        <f>IFERROR(__xludf.DUMMYFUNCTION("""COMPUTED_VALUE"""),"No")</f>
        <v>No</v>
      </c>
      <c r="AK221" s="5" t="str">
        <f>IFERROR(__xludf.DUMMYFUNCTION("""COMPUTED_VALUE"""),"No")</f>
        <v>No</v>
      </c>
      <c r="AL221" s="5" t="str">
        <f>IFERROR(__xludf.DUMMYFUNCTION("""COMPUTED_VALUE"""),"No")</f>
        <v>No</v>
      </c>
      <c r="AM221" s="5"/>
      <c r="AN221" s="5"/>
      <c r="AO221" s="5"/>
      <c r="AP221" s="5"/>
      <c r="AQ221" s="5"/>
      <c r="AR221" s="5"/>
      <c r="AS221" s="5"/>
      <c r="AT221" s="5"/>
      <c r="AU221" s="5"/>
      <c r="AV221" s="5"/>
      <c r="AW221" s="5"/>
      <c r="AX221" s="5"/>
      <c r="AY221" s="5"/>
    </row>
    <row r="222">
      <c r="A2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2" s="5">
        <f>IFERROR(__xludf.DUMMYFUNCTION("""COMPUTED_VALUE"""),222.0)</f>
        <v>222</v>
      </c>
      <c r="C222" s="5">
        <f>IFERROR(__xludf.DUMMYFUNCTION("""COMPUTED_VALUE"""),221.0)</f>
        <v>221</v>
      </c>
      <c r="D222" s="5" t="str">
        <f>IFERROR(__xludf.DUMMYFUNCTION("""COMPUTED_VALUE"""),"UnicornDiceMegaCash")</f>
        <v>UnicornDiceMegaCash</v>
      </c>
      <c r="E222" s="5" t="str">
        <f>IFERROR(__xludf.DUMMYFUNCTION("""COMPUTED_VALUE"""),"Yes")</f>
        <v>Yes</v>
      </c>
      <c r="F222" s="5" t="str">
        <f>IFERROR(__xludf.DUMMYFUNCTION("""COMPUTED_VALUE"""),"Yes")</f>
        <v>Yes</v>
      </c>
      <c r="G222" s="5" t="str">
        <f>IFERROR(__xludf.DUMMYFUNCTION("""COMPUTED_VALUE"""),"Yes")</f>
        <v>Yes</v>
      </c>
      <c r="H222" s="5" t="str">
        <f>IFERROR(__xludf.DUMMYFUNCTION("""COMPUTED_VALUE"""),"Yes")</f>
        <v>Yes</v>
      </c>
      <c r="I222" s="5" t="str">
        <f>IFERROR(__xludf.DUMMYFUNCTION("""COMPUTED_VALUE"""),"Yes")</f>
        <v>Yes</v>
      </c>
      <c r="J222" s="5" t="str">
        <f>IFERROR(__xludf.DUMMYFUNCTION("""COMPUTED_VALUE"""),"Yes")</f>
        <v>Yes</v>
      </c>
      <c r="K222" s="5" t="str">
        <f>IFERROR(__xludf.DUMMYFUNCTION("""COMPUTED_VALUE"""),"Yes")</f>
        <v>Yes</v>
      </c>
      <c r="L222" s="5" t="str">
        <f>IFERROR(__xludf.DUMMYFUNCTION("""COMPUTED_VALUE"""),"Yes")</f>
        <v>Yes</v>
      </c>
      <c r="M222" s="5" t="str">
        <f>IFERROR(__xludf.DUMMYFUNCTION("""COMPUTED_VALUE"""),"Yes")</f>
        <v>Yes</v>
      </c>
      <c r="N222" s="5" t="str">
        <f>IFERROR(__xludf.DUMMYFUNCTION("""COMPUTED_VALUE"""),"Yes")</f>
        <v>Yes</v>
      </c>
      <c r="O222" s="5" t="str">
        <f>IFERROR(__xludf.DUMMYFUNCTION("""COMPUTED_VALUE"""),"Yes")</f>
        <v>Yes</v>
      </c>
      <c r="P222" s="5" t="str">
        <f>IFERROR(__xludf.DUMMYFUNCTION("""COMPUTED_VALUE"""),"Yes")</f>
        <v>Yes</v>
      </c>
      <c r="Q222" s="5" t="str">
        <f>IFERROR(__xludf.DUMMYFUNCTION("""COMPUTED_VALUE"""),"Yes")</f>
        <v>Yes</v>
      </c>
      <c r="R222" s="5" t="str">
        <f>IFERROR(__xludf.DUMMYFUNCTION("""COMPUTED_VALUE"""),"Yes")</f>
        <v>Yes</v>
      </c>
      <c r="S222" s="5" t="str">
        <f>IFERROR(__xludf.DUMMYFUNCTION("""COMPUTED_VALUE"""),"Yes")</f>
        <v>Yes</v>
      </c>
      <c r="T222" s="5" t="str">
        <f>IFERROR(__xludf.DUMMYFUNCTION("""COMPUTED_VALUE"""),"Yes")</f>
        <v>Yes</v>
      </c>
      <c r="U222" s="5" t="str">
        <f>IFERROR(__xludf.DUMMYFUNCTION("""COMPUTED_VALUE"""),"Yes")</f>
        <v>Yes</v>
      </c>
      <c r="V222" s="5" t="str">
        <f>IFERROR(__xludf.DUMMYFUNCTION("""COMPUTED_VALUE"""),"Yes")</f>
        <v>Yes</v>
      </c>
      <c r="W222" s="5" t="str">
        <f>IFERROR(__xludf.DUMMYFUNCTION("""COMPUTED_VALUE"""),"Yes")</f>
        <v>Yes</v>
      </c>
      <c r="X222" s="5" t="str">
        <f>IFERROR(__xludf.DUMMYFUNCTION("""COMPUTED_VALUE"""),"Yes")</f>
        <v>Yes</v>
      </c>
      <c r="Y222" s="5" t="str">
        <f>IFERROR(__xludf.DUMMYFUNCTION("""COMPUTED_VALUE"""),"Yes")</f>
        <v>Yes</v>
      </c>
      <c r="Z222" s="5"/>
      <c r="AA222" s="5" t="str">
        <f>IFERROR(__xludf.DUMMYFUNCTION("""COMPUTED_VALUE"""),"Yes")</f>
        <v>Yes</v>
      </c>
      <c r="AB222" s="5" t="str">
        <f>IFERROR(__xludf.DUMMYFUNCTION("""COMPUTED_VALUE"""),"Yes")</f>
        <v>Yes</v>
      </c>
      <c r="AC222" s="5" t="str">
        <f>IFERROR(__xludf.DUMMYFUNCTION("""COMPUTED_VALUE"""),"Yes")</f>
        <v>Yes</v>
      </c>
      <c r="AD222" s="5" t="str">
        <f>IFERROR(__xludf.DUMMYFUNCTION("""COMPUTED_VALUE"""),"Yes")</f>
        <v>Yes</v>
      </c>
      <c r="AE222" s="5"/>
      <c r="AF222" s="5" t="str">
        <f>IFERROR(__xludf.DUMMYFUNCTION("""COMPUTED_VALUE"""),"Yes")</f>
        <v>Yes</v>
      </c>
      <c r="AG222" s="5"/>
      <c r="AH222" s="5"/>
      <c r="AI222" s="5"/>
      <c r="AJ222" s="5"/>
      <c r="AK222" s="5"/>
      <c r="AL222" s="5"/>
      <c r="AM222" s="5"/>
      <c r="AN222" s="5"/>
      <c r="AO222" s="5"/>
      <c r="AP222" s="5"/>
      <c r="AQ222" s="5"/>
      <c r="AR222" s="5"/>
      <c r="AS222" s="5"/>
      <c r="AT222" s="5"/>
      <c r="AU222" s="5"/>
      <c r="AV222" s="5"/>
      <c r="AW222" s="5"/>
      <c r="AX222" s="5"/>
      <c r="AY222" s="5"/>
    </row>
    <row r="223">
      <c r="A22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3" s="5">
        <f>IFERROR(__xludf.DUMMYFUNCTION("""COMPUTED_VALUE"""),223.0)</f>
        <v>223</v>
      </c>
      <c r="C223" s="5">
        <f>IFERROR(__xludf.DUMMYFUNCTION("""COMPUTED_VALUE"""),222.0)</f>
        <v>222</v>
      </c>
      <c r="D223" s="5" t="str">
        <f>IFERROR(__xludf.DUMMYFUNCTION("""COMPUTED_VALUE"""),"Unicorn40HotStrike")</f>
        <v>Unicorn40HotStrike</v>
      </c>
      <c r="E223" s="5" t="str">
        <f>IFERROR(__xludf.DUMMYFUNCTION("""COMPUTED_VALUE"""),"Yes")</f>
        <v>Yes</v>
      </c>
      <c r="F223" s="5" t="str">
        <f>IFERROR(__xludf.DUMMYFUNCTION("""COMPUTED_VALUE"""),"Yes")</f>
        <v>Yes</v>
      </c>
      <c r="G223" s="5" t="str">
        <f>IFERROR(__xludf.DUMMYFUNCTION("""COMPUTED_VALUE"""),"Yes")</f>
        <v>Yes</v>
      </c>
      <c r="H223" s="5" t="str">
        <f>IFERROR(__xludf.DUMMYFUNCTION("""COMPUTED_VALUE"""),"No")</f>
        <v>No</v>
      </c>
      <c r="I223" s="5" t="str">
        <f>IFERROR(__xludf.DUMMYFUNCTION("""COMPUTED_VALUE"""),"No")</f>
        <v>No</v>
      </c>
      <c r="J223" s="5" t="str">
        <f>IFERROR(__xludf.DUMMYFUNCTION("""COMPUTED_VALUE"""),"No")</f>
        <v>No</v>
      </c>
      <c r="K223" s="5" t="str">
        <f>IFERROR(__xludf.DUMMYFUNCTION("""COMPUTED_VALUE"""),"No")</f>
        <v>No</v>
      </c>
      <c r="L223" s="5" t="str">
        <f>IFERROR(__xludf.DUMMYFUNCTION("""COMPUTED_VALUE"""),"No")</f>
        <v>No</v>
      </c>
      <c r="M223" s="5" t="str">
        <f>IFERROR(__xludf.DUMMYFUNCTION("""COMPUTED_VALUE"""),"Yes")</f>
        <v>Yes</v>
      </c>
      <c r="N223" s="5" t="str">
        <f>IFERROR(__xludf.DUMMYFUNCTION("""COMPUTED_VALUE"""),"Yes")</f>
        <v>Yes</v>
      </c>
      <c r="O223" s="5" t="str">
        <f>IFERROR(__xludf.DUMMYFUNCTION("""COMPUTED_VALUE"""),"Yes")</f>
        <v>Yes</v>
      </c>
      <c r="P223" s="5" t="str">
        <f>IFERROR(__xludf.DUMMYFUNCTION("""COMPUTED_VALUE"""),"Yes")</f>
        <v>Yes</v>
      </c>
      <c r="Q223" s="5" t="str">
        <f>IFERROR(__xludf.DUMMYFUNCTION("""COMPUTED_VALUE"""),"Yes")</f>
        <v>Yes</v>
      </c>
      <c r="R223" s="5" t="str">
        <f>IFERROR(__xludf.DUMMYFUNCTION("""COMPUTED_VALUE"""),"No")</f>
        <v>No</v>
      </c>
      <c r="S223" s="5" t="str">
        <f>IFERROR(__xludf.DUMMYFUNCTION("""COMPUTED_VALUE"""),"Yes")</f>
        <v>Yes</v>
      </c>
      <c r="T223" s="5" t="str">
        <f>IFERROR(__xludf.DUMMYFUNCTION("""COMPUTED_VALUE"""),"No")</f>
        <v>No</v>
      </c>
      <c r="U223" s="5" t="str">
        <f>IFERROR(__xludf.DUMMYFUNCTION("""COMPUTED_VALUE"""),"No")</f>
        <v>No</v>
      </c>
      <c r="V223" s="5" t="str">
        <f>IFERROR(__xludf.DUMMYFUNCTION("""COMPUTED_VALUE"""),"No")</f>
        <v>No</v>
      </c>
      <c r="W223" s="5" t="str">
        <f>IFERROR(__xludf.DUMMYFUNCTION("""COMPUTED_VALUE"""),"No")</f>
        <v>No</v>
      </c>
      <c r="X223" s="5" t="str">
        <f>IFERROR(__xludf.DUMMYFUNCTION("""COMPUTED_VALUE"""),"No")</f>
        <v>No</v>
      </c>
      <c r="Y223" s="5"/>
      <c r="Z223" s="5"/>
      <c r="AA223" s="5"/>
      <c r="AB223" s="5"/>
      <c r="AC223" s="5" t="str">
        <f>IFERROR(__xludf.DUMMYFUNCTION("""COMPUTED_VALUE"""),"No")</f>
        <v>No</v>
      </c>
      <c r="AD223" s="5"/>
      <c r="AE223" s="5"/>
      <c r="AF223" s="5"/>
      <c r="AG223" s="5"/>
      <c r="AH223" s="5"/>
      <c r="AI223" s="5"/>
      <c r="AJ223" s="5"/>
      <c r="AK223" s="5"/>
      <c r="AL223" s="5"/>
      <c r="AM223" s="5"/>
      <c r="AN223" s="5"/>
      <c r="AO223" s="5"/>
      <c r="AP223" s="5"/>
      <c r="AQ223" s="5"/>
      <c r="AR223" s="5"/>
      <c r="AS223" s="5"/>
      <c r="AT223" s="5"/>
      <c r="AU223" s="5"/>
      <c r="AV223" s="5"/>
      <c r="AW223" s="5"/>
      <c r="AX223" s="5"/>
      <c r="AY223" s="5"/>
    </row>
    <row r="224">
      <c r="A2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4" s="5">
        <f>IFERROR(__xludf.DUMMYFUNCTION("""COMPUTED_VALUE"""),224.0)</f>
        <v>224</v>
      </c>
      <c r="C224" s="5">
        <f>IFERROR(__xludf.DUMMYFUNCTION("""COMPUTED_VALUE"""),223.0)</f>
        <v>223</v>
      </c>
      <c r="D224" s="5" t="str">
        <f>IFERROR(__xludf.DUMMYFUNCTION("""COMPUTED_VALUE"""),"ShiningRush")</f>
        <v>ShiningRush</v>
      </c>
      <c r="E224" s="5" t="str">
        <f>IFERROR(__xludf.DUMMYFUNCTION("""COMPUTED_VALUE"""),"Yes")</f>
        <v>Yes</v>
      </c>
      <c r="F224" s="5" t="str">
        <f>IFERROR(__xludf.DUMMYFUNCTION("""COMPUTED_VALUE"""),"Yes")</f>
        <v>Yes</v>
      </c>
      <c r="G224" s="5" t="str">
        <f>IFERROR(__xludf.DUMMYFUNCTION("""COMPUTED_VALUE"""),"Yes")</f>
        <v>Yes</v>
      </c>
      <c r="H224" s="5" t="str">
        <f>IFERROR(__xludf.DUMMYFUNCTION("""COMPUTED_VALUE"""),"No")</f>
        <v>No</v>
      </c>
      <c r="I224" s="5" t="str">
        <f>IFERROR(__xludf.DUMMYFUNCTION("""COMPUTED_VALUE"""),"No")</f>
        <v>No</v>
      </c>
      <c r="J224" s="5" t="str">
        <f>IFERROR(__xludf.DUMMYFUNCTION("""COMPUTED_VALUE"""),"No")</f>
        <v>No</v>
      </c>
      <c r="K224" s="5" t="str">
        <f>IFERROR(__xludf.DUMMYFUNCTION("""COMPUTED_VALUE"""),"No")</f>
        <v>No</v>
      </c>
      <c r="L224" s="5" t="str">
        <f>IFERROR(__xludf.DUMMYFUNCTION("""COMPUTED_VALUE"""),"No")</f>
        <v>No</v>
      </c>
      <c r="M224" s="5" t="str">
        <f>IFERROR(__xludf.DUMMYFUNCTION("""COMPUTED_VALUE"""),"Yes")</f>
        <v>Yes</v>
      </c>
      <c r="N224" s="5" t="str">
        <f>IFERROR(__xludf.DUMMYFUNCTION("""COMPUTED_VALUE"""),"Yes")</f>
        <v>Yes</v>
      </c>
      <c r="O224" s="5" t="str">
        <f>IFERROR(__xludf.DUMMYFUNCTION("""COMPUTED_VALUE"""),"Yes")</f>
        <v>Yes</v>
      </c>
      <c r="P224" s="5" t="str">
        <f>IFERROR(__xludf.DUMMYFUNCTION("""COMPUTED_VALUE"""),"Yes")</f>
        <v>Yes</v>
      </c>
      <c r="Q224" s="5" t="str">
        <f>IFERROR(__xludf.DUMMYFUNCTION("""COMPUTED_VALUE"""),"Yes")</f>
        <v>Yes</v>
      </c>
      <c r="R224" s="5" t="str">
        <f>IFERROR(__xludf.DUMMYFUNCTION("""COMPUTED_VALUE"""),"No")</f>
        <v>No</v>
      </c>
      <c r="S224" s="5" t="str">
        <f>IFERROR(__xludf.DUMMYFUNCTION("""COMPUTED_VALUE"""),"Yes")</f>
        <v>Yes</v>
      </c>
      <c r="T224" s="5" t="str">
        <f>IFERROR(__xludf.DUMMYFUNCTION("""COMPUTED_VALUE"""),"No")</f>
        <v>No</v>
      </c>
      <c r="U224" s="5" t="str">
        <f>IFERROR(__xludf.DUMMYFUNCTION("""COMPUTED_VALUE"""),"No")</f>
        <v>No</v>
      </c>
      <c r="V224" s="5" t="str">
        <f>IFERROR(__xludf.DUMMYFUNCTION("""COMPUTED_VALUE"""),"No")</f>
        <v>No</v>
      </c>
      <c r="W224" s="5" t="str">
        <f>IFERROR(__xludf.DUMMYFUNCTION("""COMPUTED_VALUE"""),"No")</f>
        <v>No</v>
      </c>
      <c r="X224" s="5" t="str">
        <f>IFERROR(__xludf.DUMMYFUNCTION("""COMPUTED_VALUE"""),"No")</f>
        <v>No</v>
      </c>
      <c r="Y224" s="5"/>
      <c r="Z224" s="5"/>
      <c r="AA224" s="5"/>
      <c r="AB224" s="5"/>
      <c r="AC224" s="5" t="str">
        <f>IFERROR(__xludf.DUMMYFUNCTION("""COMPUTED_VALUE"""),"No")</f>
        <v>No</v>
      </c>
      <c r="AD224" s="5"/>
      <c r="AE224" s="5"/>
      <c r="AF224" s="5"/>
      <c r="AG224" s="5"/>
      <c r="AH224" s="5"/>
      <c r="AI224" s="5"/>
      <c r="AJ224" s="5"/>
      <c r="AK224" s="5"/>
      <c r="AL224" s="5"/>
      <c r="AM224" s="5"/>
      <c r="AN224" s="5"/>
      <c r="AO224" s="5"/>
      <c r="AP224" s="5"/>
      <c r="AQ224" s="5"/>
      <c r="AR224" s="5"/>
      <c r="AS224" s="5"/>
      <c r="AT224" s="5"/>
      <c r="AU224" s="5"/>
      <c r="AV224" s="5"/>
      <c r="AW224" s="5"/>
      <c r="AX224" s="5"/>
      <c r="AY224" s="5"/>
    </row>
    <row r="225">
      <c r="A2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5" s="5">
        <f>IFERROR(__xludf.DUMMYFUNCTION("""COMPUTED_VALUE"""),225.0)</f>
        <v>225</v>
      </c>
      <c r="C225" s="5">
        <f>IFERROR(__xludf.DUMMYFUNCTION("""COMPUTED_VALUE"""),224.0)</f>
        <v>224</v>
      </c>
      <c r="D225" s="5" t="str">
        <f>IFERROR(__xludf.DUMMYFUNCTION("""COMPUTED_VALUE"""),"GoldenExplosion")</f>
        <v>GoldenExplosion</v>
      </c>
      <c r="E225" s="5" t="str">
        <f>IFERROR(__xludf.DUMMYFUNCTION("""COMPUTED_VALUE"""),"Yes")</f>
        <v>Yes</v>
      </c>
      <c r="F225" s="5" t="str">
        <f>IFERROR(__xludf.DUMMYFUNCTION("""COMPUTED_VALUE"""),"Yes")</f>
        <v>Yes</v>
      </c>
      <c r="G225" s="5" t="str">
        <f>IFERROR(__xludf.DUMMYFUNCTION("""COMPUTED_VALUE"""),"Yes")</f>
        <v>Yes</v>
      </c>
      <c r="H225" s="5" t="str">
        <f>IFERROR(__xludf.DUMMYFUNCTION("""COMPUTED_VALUE"""),"Yes")</f>
        <v>Yes</v>
      </c>
      <c r="I225" s="5" t="str">
        <f>IFERROR(__xludf.DUMMYFUNCTION("""COMPUTED_VALUE"""),"Yes")</f>
        <v>Yes</v>
      </c>
      <c r="J225" s="5" t="str">
        <f>IFERROR(__xludf.DUMMYFUNCTION("""COMPUTED_VALUE"""),"Yes")</f>
        <v>Yes</v>
      </c>
      <c r="K225" s="5" t="str">
        <f>IFERROR(__xludf.DUMMYFUNCTION("""COMPUTED_VALUE"""),"Yes")</f>
        <v>Yes</v>
      </c>
      <c r="L225" s="5" t="str">
        <f>IFERROR(__xludf.DUMMYFUNCTION("""COMPUTED_VALUE"""),"Yes")</f>
        <v>Yes</v>
      </c>
      <c r="M225" s="5" t="str">
        <f>IFERROR(__xludf.DUMMYFUNCTION("""COMPUTED_VALUE"""),"Yes")</f>
        <v>Yes</v>
      </c>
      <c r="N225" s="5" t="str">
        <f>IFERROR(__xludf.DUMMYFUNCTION("""COMPUTED_VALUE"""),"Yes")</f>
        <v>Yes</v>
      </c>
      <c r="O225" s="5" t="str">
        <f>IFERROR(__xludf.DUMMYFUNCTION("""COMPUTED_VALUE"""),"Yes")</f>
        <v>Yes</v>
      </c>
      <c r="P225" s="5" t="str">
        <f>IFERROR(__xludf.DUMMYFUNCTION("""COMPUTED_VALUE"""),"Yes")</f>
        <v>Yes</v>
      </c>
      <c r="Q225" s="5" t="str">
        <f>IFERROR(__xludf.DUMMYFUNCTION("""COMPUTED_VALUE"""),"Yes")</f>
        <v>Yes</v>
      </c>
      <c r="R225" s="5" t="str">
        <f>IFERROR(__xludf.DUMMYFUNCTION("""COMPUTED_VALUE"""),"Yes")</f>
        <v>Yes</v>
      </c>
      <c r="S225" s="5" t="str">
        <f>IFERROR(__xludf.DUMMYFUNCTION("""COMPUTED_VALUE"""),"Yes")</f>
        <v>Yes</v>
      </c>
      <c r="T225" s="5" t="str">
        <f>IFERROR(__xludf.DUMMYFUNCTION("""COMPUTED_VALUE"""),"Yes")</f>
        <v>Yes</v>
      </c>
      <c r="U225" s="5" t="str">
        <f>IFERROR(__xludf.DUMMYFUNCTION("""COMPUTED_VALUE"""),"Yes")</f>
        <v>Yes</v>
      </c>
      <c r="V225" s="5" t="str">
        <f>IFERROR(__xludf.DUMMYFUNCTION("""COMPUTED_VALUE"""),"Yes")</f>
        <v>Yes</v>
      </c>
      <c r="W225" s="5" t="str">
        <f>IFERROR(__xludf.DUMMYFUNCTION("""COMPUTED_VALUE"""),"Yes")</f>
        <v>Yes</v>
      </c>
      <c r="X225" s="5" t="str">
        <f>IFERROR(__xludf.DUMMYFUNCTION("""COMPUTED_VALUE"""),"Yes")</f>
        <v>Yes</v>
      </c>
      <c r="Y225" s="5" t="str">
        <f>IFERROR(__xludf.DUMMYFUNCTION("""COMPUTED_VALUE"""),"Yes")</f>
        <v>Yes</v>
      </c>
      <c r="Z225" s="5" t="str">
        <f>IFERROR(__xludf.DUMMYFUNCTION("""COMPUTED_VALUE"""),"No")</f>
        <v>No</v>
      </c>
      <c r="AA225" s="5" t="str">
        <f>IFERROR(__xludf.DUMMYFUNCTION("""COMPUTED_VALUE"""),"Yes")</f>
        <v>Yes</v>
      </c>
      <c r="AB225" s="5" t="str">
        <f>IFERROR(__xludf.DUMMYFUNCTION("""COMPUTED_VALUE"""),"Yes")</f>
        <v>Yes</v>
      </c>
      <c r="AC225" s="5" t="str">
        <f>IFERROR(__xludf.DUMMYFUNCTION("""COMPUTED_VALUE"""),"Yes")</f>
        <v>Yes</v>
      </c>
      <c r="AD225" s="5" t="str">
        <f>IFERROR(__xludf.DUMMYFUNCTION("""COMPUTED_VALUE"""),"Yes")</f>
        <v>Yes</v>
      </c>
      <c r="AE225" s="5" t="str">
        <f>IFERROR(__xludf.DUMMYFUNCTION("""COMPUTED_VALUE"""),"No")</f>
        <v>No</v>
      </c>
      <c r="AF225" s="5" t="str">
        <f>IFERROR(__xludf.DUMMYFUNCTION("""COMPUTED_VALUE"""),"Yes")</f>
        <v>Yes</v>
      </c>
      <c r="AG225" s="5" t="str">
        <f>IFERROR(__xludf.DUMMYFUNCTION("""COMPUTED_VALUE"""),"No")</f>
        <v>No</v>
      </c>
      <c r="AH225" s="5" t="str">
        <f>IFERROR(__xludf.DUMMYFUNCTION("""COMPUTED_VALUE"""),"No")</f>
        <v>No</v>
      </c>
      <c r="AI225" s="5" t="str">
        <f>IFERROR(__xludf.DUMMYFUNCTION("""COMPUTED_VALUE"""),"No")</f>
        <v>No</v>
      </c>
      <c r="AJ225" s="5" t="str">
        <f>IFERROR(__xludf.DUMMYFUNCTION("""COMPUTED_VALUE"""),"No")</f>
        <v>No</v>
      </c>
      <c r="AK225" s="5" t="str">
        <f>IFERROR(__xludf.DUMMYFUNCTION("""COMPUTED_VALUE"""),"No")</f>
        <v>No</v>
      </c>
      <c r="AL225" s="5" t="str">
        <f>IFERROR(__xludf.DUMMYFUNCTION("""COMPUTED_VALUE"""),"No")</f>
        <v>No</v>
      </c>
      <c r="AM225" s="5"/>
      <c r="AN225" s="5"/>
      <c r="AO225" s="5"/>
      <c r="AP225" s="5"/>
      <c r="AQ225" s="5"/>
      <c r="AR225" s="5"/>
      <c r="AS225" s="5"/>
      <c r="AT225" s="5"/>
      <c r="AU225" s="5"/>
      <c r="AV225" s="5"/>
      <c r="AW225" s="5"/>
      <c r="AX225" s="5"/>
      <c r="AY225" s="5"/>
    </row>
    <row r="226">
      <c r="A2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26" s="5">
        <f>IFERROR(__xludf.DUMMYFUNCTION("""COMPUTED_VALUE"""),226.0)</f>
        <v>226</v>
      </c>
      <c r="C226" s="5">
        <f>IFERROR(__xludf.DUMMYFUNCTION("""COMPUTED_VALUE"""),225.0)</f>
        <v>225</v>
      </c>
      <c r="D226" s="5" t="str">
        <f>IFERROR(__xludf.DUMMYFUNCTION("""COMPUTED_VALUE"""),"VeryHot5Extreme")</f>
        <v>VeryHot5Extreme</v>
      </c>
      <c r="E226" s="5" t="str">
        <f>IFERROR(__xludf.DUMMYFUNCTION("""COMPUTED_VALUE"""),"Yes")</f>
        <v>Yes</v>
      </c>
      <c r="F226" s="5" t="str">
        <f>IFERROR(__xludf.DUMMYFUNCTION("""COMPUTED_VALUE"""),"Yes")</f>
        <v>Yes</v>
      </c>
      <c r="G226" s="5" t="str">
        <f>IFERROR(__xludf.DUMMYFUNCTION("""COMPUTED_VALUE"""),"Yes")</f>
        <v>Yes</v>
      </c>
      <c r="H226" s="5" t="str">
        <f>IFERROR(__xludf.DUMMYFUNCTION("""COMPUTED_VALUE"""),"Yes")</f>
        <v>Yes</v>
      </c>
      <c r="I226" s="5" t="str">
        <f>IFERROR(__xludf.DUMMYFUNCTION("""COMPUTED_VALUE"""),"Yes")</f>
        <v>Yes</v>
      </c>
      <c r="J226" s="5" t="str">
        <f>IFERROR(__xludf.DUMMYFUNCTION("""COMPUTED_VALUE"""),"Yes")</f>
        <v>Yes</v>
      </c>
      <c r="K226" s="5" t="str">
        <f>IFERROR(__xludf.DUMMYFUNCTION("""COMPUTED_VALUE"""),"Yes")</f>
        <v>Yes</v>
      </c>
      <c r="L226" s="5" t="str">
        <f>IFERROR(__xludf.DUMMYFUNCTION("""COMPUTED_VALUE"""),"Yes")</f>
        <v>Yes</v>
      </c>
      <c r="M226" s="5" t="str">
        <f>IFERROR(__xludf.DUMMYFUNCTION("""COMPUTED_VALUE"""),"Yes")</f>
        <v>Yes</v>
      </c>
      <c r="N226" s="5" t="str">
        <f>IFERROR(__xludf.DUMMYFUNCTION("""COMPUTED_VALUE"""),"Yes")</f>
        <v>Yes</v>
      </c>
      <c r="O226" s="5" t="str">
        <f>IFERROR(__xludf.DUMMYFUNCTION("""COMPUTED_VALUE"""),"Yes")</f>
        <v>Yes</v>
      </c>
      <c r="P226" s="5" t="str">
        <f>IFERROR(__xludf.DUMMYFUNCTION("""COMPUTED_VALUE"""),"Yes")</f>
        <v>Yes</v>
      </c>
      <c r="Q226" s="5" t="str">
        <f>IFERROR(__xludf.DUMMYFUNCTION("""COMPUTED_VALUE"""),"Yes")</f>
        <v>Yes</v>
      </c>
      <c r="R226" s="5" t="str">
        <f>IFERROR(__xludf.DUMMYFUNCTION("""COMPUTED_VALUE"""),"Yes")</f>
        <v>Yes</v>
      </c>
      <c r="S226" s="5" t="str">
        <f>IFERROR(__xludf.DUMMYFUNCTION("""COMPUTED_VALUE"""),"Yes")</f>
        <v>Yes</v>
      </c>
      <c r="T226" s="5" t="str">
        <f>IFERROR(__xludf.DUMMYFUNCTION("""COMPUTED_VALUE"""),"Yes")</f>
        <v>Yes</v>
      </c>
      <c r="U226" s="5" t="str">
        <f>IFERROR(__xludf.DUMMYFUNCTION("""COMPUTED_VALUE"""),"Yes")</f>
        <v>Yes</v>
      </c>
      <c r="V226" s="5" t="str">
        <f>IFERROR(__xludf.DUMMYFUNCTION("""COMPUTED_VALUE"""),"Yes")</f>
        <v>Yes</v>
      </c>
      <c r="W226" s="5" t="str">
        <f>IFERROR(__xludf.DUMMYFUNCTION("""COMPUTED_VALUE"""),"Yes")</f>
        <v>Yes</v>
      </c>
      <c r="X226" s="5" t="str">
        <f>IFERROR(__xludf.DUMMYFUNCTION("""COMPUTED_VALUE"""),"Yes")</f>
        <v>Yes</v>
      </c>
      <c r="Y226" s="5" t="str">
        <f>IFERROR(__xludf.DUMMYFUNCTION("""COMPUTED_VALUE"""),"Yes")</f>
        <v>Yes</v>
      </c>
      <c r="Z226" s="5" t="str">
        <f>IFERROR(__xludf.DUMMYFUNCTION("""COMPUTED_VALUE"""),"Yes")</f>
        <v>Yes</v>
      </c>
      <c r="AA226" s="5" t="str">
        <f>IFERROR(__xludf.DUMMYFUNCTION("""COMPUTED_VALUE"""),"Yes")</f>
        <v>Yes</v>
      </c>
      <c r="AB226" s="5" t="str">
        <f>IFERROR(__xludf.DUMMYFUNCTION("""COMPUTED_VALUE"""),"Yes")</f>
        <v>Yes</v>
      </c>
      <c r="AC226" s="5" t="str">
        <f>IFERROR(__xludf.DUMMYFUNCTION("""COMPUTED_VALUE"""),"Yes")</f>
        <v>Yes</v>
      </c>
      <c r="AD226" s="5" t="str">
        <f>IFERROR(__xludf.DUMMYFUNCTION("""COMPUTED_VALUE"""),"Yes")</f>
        <v>Yes</v>
      </c>
      <c r="AE226" s="5" t="str">
        <f>IFERROR(__xludf.DUMMYFUNCTION("""COMPUTED_VALUE"""),"Yes")</f>
        <v>Yes</v>
      </c>
      <c r="AF226" s="5" t="str">
        <f>IFERROR(__xludf.DUMMYFUNCTION("""COMPUTED_VALUE"""),"Yes")</f>
        <v>Yes</v>
      </c>
      <c r="AG226" s="5" t="str">
        <f>IFERROR(__xludf.DUMMYFUNCTION("""COMPUTED_VALUE"""),"Yes")</f>
        <v>Yes</v>
      </c>
      <c r="AH226" s="5" t="str">
        <f>IFERROR(__xludf.DUMMYFUNCTION("""COMPUTED_VALUE"""),"Yes")</f>
        <v>Yes</v>
      </c>
      <c r="AI226" s="5" t="str">
        <f>IFERROR(__xludf.DUMMYFUNCTION("""COMPUTED_VALUE"""),"No")</f>
        <v>No</v>
      </c>
      <c r="AJ226" s="5" t="str">
        <f>IFERROR(__xludf.DUMMYFUNCTION("""COMPUTED_VALUE"""),"No")</f>
        <v>No</v>
      </c>
      <c r="AK226" s="5" t="str">
        <f>IFERROR(__xludf.DUMMYFUNCTION("""COMPUTED_VALUE"""),"No")</f>
        <v>No</v>
      </c>
      <c r="AL226" s="5" t="str">
        <f>IFERROR(__xludf.DUMMYFUNCTION("""COMPUTED_VALUE"""),"No")</f>
        <v>No</v>
      </c>
      <c r="AM226" s="5"/>
      <c r="AN226" s="5"/>
      <c r="AO226" s="5"/>
      <c r="AP226" s="5"/>
      <c r="AQ226" s="5"/>
      <c r="AR226" s="5"/>
      <c r="AS226" s="5"/>
      <c r="AT226" s="5"/>
      <c r="AU226" s="5"/>
      <c r="AV226" s="5"/>
      <c r="AW226" s="5"/>
      <c r="AX226" s="5"/>
      <c r="AY226" s="5"/>
    </row>
    <row r="227">
      <c r="A2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7" s="5">
        <f>IFERROR(__xludf.DUMMYFUNCTION("""COMPUTED_VALUE"""),227.0)</f>
        <v>227</v>
      </c>
      <c r="C227" s="5">
        <f>IFERROR(__xludf.DUMMYFUNCTION("""COMPUTED_VALUE"""),226.0)</f>
        <v>226</v>
      </c>
      <c r="D227" s="5" t="str">
        <f>IFERROR(__xludf.DUMMYFUNCTION("""COMPUTED_VALUE"""),"PixelHot40")</f>
        <v>PixelHot40</v>
      </c>
      <c r="E227" s="5" t="str">
        <f>IFERROR(__xludf.DUMMYFUNCTION("""COMPUTED_VALUE"""),"Yes")</f>
        <v>Yes</v>
      </c>
      <c r="F227" s="5" t="str">
        <f>IFERROR(__xludf.DUMMYFUNCTION("""COMPUTED_VALUE"""),"Yes")</f>
        <v>Yes</v>
      </c>
      <c r="G227" s="5" t="str">
        <f>IFERROR(__xludf.DUMMYFUNCTION("""COMPUTED_VALUE"""),"Yes")</f>
        <v>Yes</v>
      </c>
      <c r="H227" s="5" t="str">
        <f>IFERROR(__xludf.DUMMYFUNCTION("""COMPUTED_VALUE"""),"Yes")</f>
        <v>Yes</v>
      </c>
      <c r="I227" s="5" t="str">
        <f>IFERROR(__xludf.DUMMYFUNCTION("""COMPUTED_VALUE"""),"Yes")</f>
        <v>Yes</v>
      </c>
      <c r="J227" s="5" t="str">
        <f>IFERROR(__xludf.DUMMYFUNCTION("""COMPUTED_VALUE"""),"Yes")</f>
        <v>Yes</v>
      </c>
      <c r="K227" s="5" t="str">
        <f>IFERROR(__xludf.DUMMYFUNCTION("""COMPUTED_VALUE"""),"Yes")</f>
        <v>Yes</v>
      </c>
      <c r="L227" s="5" t="str">
        <f>IFERROR(__xludf.DUMMYFUNCTION("""COMPUTED_VALUE"""),"Yes")</f>
        <v>Yes</v>
      </c>
      <c r="M227" s="5" t="str">
        <f>IFERROR(__xludf.DUMMYFUNCTION("""COMPUTED_VALUE"""),"Yes")</f>
        <v>Yes</v>
      </c>
      <c r="N227" s="5" t="str">
        <f>IFERROR(__xludf.DUMMYFUNCTION("""COMPUTED_VALUE"""),"Yes")</f>
        <v>Yes</v>
      </c>
      <c r="O227" s="5" t="str">
        <f>IFERROR(__xludf.DUMMYFUNCTION("""COMPUTED_VALUE"""),"Yes")</f>
        <v>Yes</v>
      </c>
      <c r="P227" s="5" t="str">
        <f>IFERROR(__xludf.DUMMYFUNCTION("""COMPUTED_VALUE"""),"Yes")</f>
        <v>Yes</v>
      </c>
      <c r="Q227" s="5" t="str">
        <f>IFERROR(__xludf.DUMMYFUNCTION("""COMPUTED_VALUE"""),"Yes")</f>
        <v>Yes</v>
      </c>
      <c r="R227" s="5" t="str">
        <f>IFERROR(__xludf.DUMMYFUNCTION("""COMPUTED_VALUE"""),"Yes")</f>
        <v>Yes</v>
      </c>
      <c r="S227" s="5" t="str">
        <f>IFERROR(__xludf.DUMMYFUNCTION("""COMPUTED_VALUE"""),"Yes")</f>
        <v>Yes</v>
      </c>
      <c r="T227" s="5" t="str">
        <f>IFERROR(__xludf.DUMMYFUNCTION("""COMPUTED_VALUE"""),"Yes")</f>
        <v>Yes</v>
      </c>
      <c r="U227" s="5" t="str">
        <f>IFERROR(__xludf.DUMMYFUNCTION("""COMPUTED_VALUE"""),"Yes")</f>
        <v>Yes</v>
      </c>
      <c r="V227" s="5" t="str">
        <f>IFERROR(__xludf.DUMMYFUNCTION("""COMPUTED_VALUE"""),"Yes")</f>
        <v>Yes</v>
      </c>
      <c r="W227" s="5" t="str">
        <f>IFERROR(__xludf.DUMMYFUNCTION("""COMPUTED_VALUE"""),"Yes")</f>
        <v>Yes</v>
      </c>
      <c r="X227" s="5" t="str">
        <f>IFERROR(__xludf.DUMMYFUNCTION("""COMPUTED_VALUE"""),"Yes")</f>
        <v>Yes</v>
      </c>
      <c r="Y227" s="5" t="str">
        <f>IFERROR(__xludf.DUMMYFUNCTION("""COMPUTED_VALUE"""),"Yes")</f>
        <v>Yes</v>
      </c>
      <c r="Z227" s="5" t="str">
        <f>IFERROR(__xludf.DUMMYFUNCTION("""COMPUTED_VALUE"""),"No")</f>
        <v>No</v>
      </c>
      <c r="AA227" s="5" t="str">
        <f>IFERROR(__xludf.DUMMYFUNCTION("""COMPUTED_VALUE"""),"Yes")</f>
        <v>Yes</v>
      </c>
      <c r="AB227" s="5" t="str">
        <f>IFERROR(__xludf.DUMMYFUNCTION("""COMPUTED_VALUE"""),"Yes")</f>
        <v>Yes</v>
      </c>
      <c r="AC227" s="5" t="str">
        <f>IFERROR(__xludf.DUMMYFUNCTION("""COMPUTED_VALUE"""),"Yes")</f>
        <v>Yes</v>
      </c>
      <c r="AD227" s="5" t="str">
        <f>IFERROR(__xludf.DUMMYFUNCTION("""COMPUTED_VALUE"""),"Yes")</f>
        <v>Yes</v>
      </c>
      <c r="AE227" s="5" t="str">
        <f>IFERROR(__xludf.DUMMYFUNCTION("""COMPUTED_VALUE"""),"No")</f>
        <v>No</v>
      </c>
      <c r="AF227" s="5" t="str">
        <f>IFERROR(__xludf.DUMMYFUNCTION("""COMPUTED_VALUE"""),"Yes")</f>
        <v>Yes</v>
      </c>
      <c r="AG227" s="5" t="str">
        <f>IFERROR(__xludf.DUMMYFUNCTION("""COMPUTED_VALUE"""),"No")</f>
        <v>No</v>
      </c>
      <c r="AH227" s="5" t="str">
        <f>IFERROR(__xludf.DUMMYFUNCTION("""COMPUTED_VALUE"""),"No")</f>
        <v>No</v>
      </c>
      <c r="AI227" s="5" t="str">
        <f>IFERROR(__xludf.DUMMYFUNCTION("""COMPUTED_VALUE"""),"No")</f>
        <v>No</v>
      </c>
      <c r="AJ227" s="5" t="str">
        <f>IFERROR(__xludf.DUMMYFUNCTION("""COMPUTED_VALUE"""),"No")</f>
        <v>No</v>
      </c>
      <c r="AK227" s="5" t="str">
        <f>IFERROR(__xludf.DUMMYFUNCTION("""COMPUTED_VALUE"""),"No")</f>
        <v>No</v>
      </c>
      <c r="AL227" s="5" t="str">
        <f>IFERROR(__xludf.DUMMYFUNCTION("""COMPUTED_VALUE"""),"No")</f>
        <v>No</v>
      </c>
      <c r="AM227" s="5"/>
      <c r="AN227" s="5"/>
      <c r="AO227" s="5"/>
      <c r="AP227" s="5"/>
      <c r="AQ227" s="5"/>
      <c r="AR227" s="5"/>
      <c r="AS227" s="5"/>
      <c r="AT227" s="5"/>
      <c r="AU227" s="5"/>
      <c r="AV227" s="5"/>
      <c r="AW227" s="5"/>
      <c r="AX227" s="5"/>
      <c r="AY227" s="5"/>
    </row>
    <row r="228">
      <c r="A2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8" s="5">
        <f>IFERROR(__xludf.DUMMYFUNCTION("""COMPUTED_VALUE"""),228.0)</f>
        <v>228</v>
      </c>
      <c r="C228" s="5">
        <f>IFERROR(__xludf.DUMMYFUNCTION("""COMPUTED_VALUE"""),227.0)</f>
        <v>227</v>
      </c>
      <c r="D228" s="5" t="str">
        <f>IFERROR(__xludf.DUMMYFUNCTION("""COMPUTED_VALUE"""),"Unicorn40HotStrikeDice")</f>
        <v>Unicorn40HotStrikeDice</v>
      </c>
      <c r="E228" s="5" t="str">
        <f>IFERROR(__xludf.DUMMYFUNCTION("""COMPUTED_VALUE"""),"Yes")</f>
        <v>Yes</v>
      </c>
      <c r="F228" s="5" t="str">
        <f>IFERROR(__xludf.DUMMYFUNCTION("""COMPUTED_VALUE"""),"Yes")</f>
        <v>Yes</v>
      </c>
      <c r="G228" s="5" t="str">
        <f>IFERROR(__xludf.DUMMYFUNCTION("""COMPUTED_VALUE"""),"Yes")</f>
        <v>Yes</v>
      </c>
      <c r="H228" s="5" t="str">
        <f>IFERROR(__xludf.DUMMYFUNCTION("""COMPUTED_VALUE"""),"Yes")</f>
        <v>Yes</v>
      </c>
      <c r="I228" s="5" t="str">
        <f>IFERROR(__xludf.DUMMYFUNCTION("""COMPUTED_VALUE"""),"Yes")</f>
        <v>Yes</v>
      </c>
      <c r="J228" s="5" t="str">
        <f>IFERROR(__xludf.DUMMYFUNCTION("""COMPUTED_VALUE"""),"Yes")</f>
        <v>Yes</v>
      </c>
      <c r="K228" s="5" t="str">
        <f>IFERROR(__xludf.DUMMYFUNCTION("""COMPUTED_VALUE"""),"Yes")</f>
        <v>Yes</v>
      </c>
      <c r="L228" s="5" t="str">
        <f>IFERROR(__xludf.DUMMYFUNCTION("""COMPUTED_VALUE"""),"Yes")</f>
        <v>Yes</v>
      </c>
      <c r="M228" s="5" t="str">
        <f>IFERROR(__xludf.DUMMYFUNCTION("""COMPUTED_VALUE"""),"Yes")</f>
        <v>Yes</v>
      </c>
      <c r="N228" s="5" t="str">
        <f>IFERROR(__xludf.DUMMYFUNCTION("""COMPUTED_VALUE"""),"Yes")</f>
        <v>Yes</v>
      </c>
      <c r="O228" s="5" t="str">
        <f>IFERROR(__xludf.DUMMYFUNCTION("""COMPUTED_VALUE"""),"Yes")</f>
        <v>Yes</v>
      </c>
      <c r="P228" s="5" t="str">
        <f>IFERROR(__xludf.DUMMYFUNCTION("""COMPUTED_VALUE"""),"Yes")</f>
        <v>Yes</v>
      </c>
      <c r="Q228" s="5" t="str">
        <f>IFERROR(__xludf.DUMMYFUNCTION("""COMPUTED_VALUE"""),"Yes")</f>
        <v>Yes</v>
      </c>
      <c r="R228" s="5" t="str">
        <f>IFERROR(__xludf.DUMMYFUNCTION("""COMPUTED_VALUE"""),"Yes")</f>
        <v>Yes</v>
      </c>
      <c r="S228" s="5" t="str">
        <f>IFERROR(__xludf.DUMMYFUNCTION("""COMPUTED_VALUE"""),"Yes")</f>
        <v>Yes</v>
      </c>
      <c r="T228" s="5" t="str">
        <f>IFERROR(__xludf.DUMMYFUNCTION("""COMPUTED_VALUE"""),"Yes")</f>
        <v>Yes</v>
      </c>
      <c r="U228" s="5" t="str">
        <f>IFERROR(__xludf.DUMMYFUNCTION("""COMPUTED_VALUE"""),"Yes")</f>
        <v>Yes</v>
      </c>
      <c r="V228" s="5" t="str">
        <f>IFERROR(__xludf.DUMMYFUNCTION("""COMPUTED_VALUE"""),"Yes")</f>
        <v>Yes</v>
      </c>
      <c r="W228" s="5" t="str">
        <f>IFERROR(__xludf.DUMMYFUNCTION("""COMPUTED_VALUE"""),"Yes")</f>
        <v>Yes</v>
      </c>
      <c r="X228" s="5" t="str">
        <f>IFERROR(__xludf.DUMMYFUNCTION("""COMPUTED_VALUE"""),"Yes")</f>
        <v>Yes</v>
      </c>
      <c r="Y228" s="5" t="str">
        <f>IFERROR(__xludf.DUMMYFUNCTION("""COMPUTED_VALUE"""),"Yes")</f>
        <v>Yes</v>
      </c>
      <c r="Z228" s="5"/>
      <c r="AA228" s="5" t="str">
        <f>IFERROR(__xludf.DUMMYFUNCTION("""COMPUTED_VALUE"""),"Yes")</f>
        <v>Yes</v>
      </c>
      <c r="AB228" s="5" t="str">
        <f>IFERROR(__xludf.DUMMYFUNCTION("""COMPUTED_VALUE"""),"Yes")</f>
        <v>Yes</v>
      </c>
      <c r="AC228" s="5" t="str">
        <f>IFERROR(__xludf.DUMMYFUNCTION("""COMPUTED_VALUE"""),"Yes")</f>
        <v>Yes</v>
      </c>
      <c r="AD228" s="5" t="str">
        <f>IFERROR(__xludf.DUMMYFUNCTION("""COMPUTED_VALUE"""),"Yes")</f>
        <v>Yes</v>
      </c>
      <c r="AE228" s="5"/>
      <c r="AF228" s="5" t="str">
        <f>IFERROR(__xludf.DUMMYFUNCTION("""COMPUTED_VALUE"""),"Yes")</f>
        <v>Yes</v>
      </c>
      <c r="AG228" s="5"/>
      <c r="AH228" s="5"/>
      <c r="AI228" s="5"/>
      <c r="AJ228" s="5"/>
      <c r="AK228" s="5"/>
      <c r="AL228" s="5"/>
      <c r="AM228" s="5"/>
      <c r="AN228" s="5"/>
      <c r="AO228" s="5"/>
      <c r="AP228" s="5"/>
      <c r="AQ228" s="5"/>
      <c r="AR228" s="5"/>
      <c r="AS228" s="5"/>
      <c r="AT228" s="5"/>
      <c r="AU228" s="5"/>
      <c r="AV228" s="5"/>
      <c r="AW228" s="5"/>
      <c r="AX228" s="5"/>
      <c r="AY228" s="5"/>
    </row>
    <row r="229">
      <c r="A2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29" s="5">
        <f>IFERROR(__xludf.DUMMYFUNCTION("""COMPUTED_VALUE"""),229.0)</f>
        <v>229</v>
      </c>
      <c r="C229" s="5">
        <f>IFERROR(__xludf.DUMMYFUNCTION("""COMPUTED_VALUE"""),228.0)</f>
        <v>228</v>
      </c>
      <c r="D229" s="5" t="str">
        <f>IFERROR(__xludf.DUMMYFUNCTION("""COMPUTED_VALUE"""),"Unicorn20HotStrike")</f>
        <v>Unicorn20HotStrike</v>
      </c>
      <c r="E229" s="5" t="str">
        <f>IFERROR(__xludf.DUMMYFUNCTION("""COMPUTED_VALUE"""),"Yes")</f>
        <v>Yes</v>
      </c>
      <c r="F229" s="5" t="str">
        <f>IFERROR(__xludf.DUMMYFUNCTION("""COMPUTED_VALUE"""),"Yes")</f>
        <v>Yes</v>
      </c>
      <c r="G229" s="5" t="str">
        <f>IFERROR(__xludf.DUMMYFUNCTION("""COMPUTED_VALUE"""),"Yes")</f>
        <v>Yes</v>
      </c>
      <c r="H229" s="5" t="str">
        <f>IFERROR(__xludf.DUMMYFUNCTION("""COMPUTED_VALUE"""),"No")</f>
        <v>No</v>
      </c>
      <c r="I229" s="5" t="str">
        <f>IFERROR(__xludf.DUMMYFUNCTION("""COMPUTED_VALUE"""),"No")</f>
        <v>No</v>
      </c>
      <c r="J229" s="5" t="str">
        <f>IFERROR(__xludf.DUMMYFUNCTION("""COMPUTED_VALUE"""),"No")</f>
        <v>No</v>
      </c>
      <c r="K229" s="5" t="str">
        <f>IFERROR(__xludf.DUMMYFUNCTION("""COMPUTED_VALUE"""),"No")</f>
        <v>No</v>
      </c>
      <c r="L229" s="5" t="str">
        <f>IFERROR(__xludf.DUMMYFUNCTION("""COMPUTED_VALUE"""),"No")</f>
        <v>No</v>
      </c>
      <c r="M229" s="5" t="str">
        <f>IFERROR(__xludf.DUMMYFUNCTION("""COMPUTED_VALUE"""),"Yes")</f>
        <v>Yes</v>
      </c>
      <c r="N229" s="5" t="str">
        <f>IFERROR(__xludf.DUMMYFUNCTION("""COMPUTED_VALUE"""),"Yes")</f>
        <v>Yes</v>
      </c>
      <c r="O229" s="5" t="str">
        <f>IFERROR(__xludf.DUMMYFUNCTION("""COMPUTED_VALUE"""),"Yes")</f>
        <v>Yes</v>
      </c>
      <c r="P229" s="5" t="str">
        <f>IFERROR(__xludf.DUMMYFUNCTION("""COMPUTED_VALUE"""),"Yes")</f>
        <v>Yes</v>
      </c>
      <c r="Q229" s="5" t="str">
        <f>IFERROR(__xludf.DUMMYFUNCTION("""COMPUTED_VALUE"""),"Yes")</f>
        <v>Yes</v>
      </c>
      <c r="R229" s="5" t="str">
        <f>IFERROR(__xludf.DUMMYFUNCTION("""COMPUTED_VALUE"""),"No")</f>
        <v>No</v>
      </c>
      <c r="S229" s="5" t="str">
        <f>IFERROR(__xludf.DUMMYFUNCTION("""COMPUTED_VALUE"""),"Yes")</f>
        <v>Yes</v>
      </c>
      <c r="T229" s="5" t="str">
        <f>IFERROR(__xludf.DUMMYFUNCTION("""COMPUTED_VALUE"""),"No")</f>
        <v>No</v>
      </c>
      <c r="U229" s="5" t="str">
        <f>IFERROR(__xludf.DUMMYFUNCTION("""COMPUTED_VALUE"""),"No")</f>
        <v>No</v>
      </c>
      <c r="V229" s="5" t="str">
        <f>IFERROR(__xludf.DUMMYFUNCTION("""COMPUTED_VALUE"""),"No")</f>
        <v>No</v>
      </c>
      <c r="W229" s="5" t="str">
        <f>IFERROR(__xludf.DUMMYFUNCTION("""COMPUTED_VALUE"""),"No")</f>
        <v>No</v>
      </c>
      <c r="X229" s="5" t="str">
        <f>IFERROR(__xludf.DUMMYFUNCTION("""COMPUTED_VALUE"""),"No")</f>
        <v>No</v>
      </c>
      <c r="Y229" s="5"/>
      <c r="Z229" s="5"/>
      <c r="AA229" s="5"/>
      <c r="AB229" s="5"/>
      <c r="AC229" s="5" t="str">
        <f>IFERROR(__xludf.DUMMYFUNCTION("""COMPUTED_VALUE"""),"No")</f>
        <v>No</v>
      </c>
      <c r="AD229" s="5"/>
      <c r="AE229" s="5"/>
      <c r="AF229" s="5"/>
      <c r="AG229" s="5"/>
      <c r="AH229" s="5"/>
      <c r="AI229" s="5"/>
      <c r="AJ229" s="5"/>
      <c r="AK229" s="5"/>
      <c r="AL229" s="5"/>
      <c r="AM229" s="5"/>
      <c r="AN229" s="5"/>
      <c r="AO229" s="5"/>
      <c r="AP229" s="5"/>
      <c r="AQ229" s="5"/>
      <c r="AR229" s="5"/>
      <c r="AS229" s="5"/>
      <c r="AT229" s="5"/>
      <c r="AU229" s="5"/>
      <c r="AV229" s="5"/>
      <c r="AW229" s="5"/>
      <c r="AX229" s="5"/>
      <c r="AY229" s="5"/>
    </row>
    <row r="230">
      <c r="A2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30" s="5">
        <f>IFERROR(__xludf.DUMMYFUNCTION("""COMPUTED_VALUE"""),230.0)</f>
        <v>230</v>
      </c>
      <c r="C230" s="5">
        <f>IFERROR(__xludf.DUMMYFUNCTION("""COMPUTED_VALUE"""),229.0)</f>
        <v>229</v>
      </c>
      <c r="D230" s="5" t="str">
        <f>IFERROR(__xludf.DUMMYFUNCTION("""COMPUTED_VALUE"""),"FireCash20")</f>
        <v>FireCash20</v>
      </c>
      <c r="E230" s="5" t="str">
        <f>IFERROR(__xludf.DUMMYFUNCTION("""COMPUTED_VALUE"""),"Yes")</f>
        <v>Yes</v>
      </c>
      <c r="F230" s="5" t="str">
        <f>IFERROR(__xludf.DUMMYFUNCTION("""COMPUTED_VALUE"""),"Yes")</f>
        <v>Yes</v>
      </c>
      <c r="G230" s="5" t="str">
        <f>IFERROR(__xludf.DUMMYFUNCTION("""COMPUTED_VALUE"""),"Yes")</f>
        <v>Yes</v>
      </c>
      <c r="H230" s="5" t="str">
        <f>IFERROR(__xludf.DUMMYFUNCTION("""COMPUTED_VALUE"""),"No")</f>
        <v>No</v>
      </c>
      <c r="I230" s="5" t="str">
        <f>IFERROR(__xludf.DUMMYFUNCTION("""COMPUTED_VALUE"""),"No")</f>
        <v>No</v>
      </c>
      <c r="J230" s="5" t="str">
        <f>IFERROR(__xludf.DUMMYFUNCTION("""COMPUTED_VALUE"""),"No")</f>
        <v>No</v>
      </c>
      <c r="K230" s="5" t="str">
        <f>IFERROR(__xludf.DUMMYFUNCTION("""COMPUTED_VALUE"""),"No")</f>
        <v>No</v>
      </c>
      <c r="L230" s="5" t="str">
        <f>IFERROR(__xludf.DUMMYFUNCTION("""COMPUTED_VALUE"""),"No")</f>
        <v>No</v>
      </c>
      <c r="M230" s="5" t="str">
        <f>IFERROR(__xludf.DUMMYFUNCTION("""COMPUTED_VALUE"""),"Yes")</f>
        <v>Yes</v>
      </c>
      <c r="N230" s="5" t="str">
        <f>IFERROR(__xludf.DUMMYFUNCTION("""COMPUTED_VALUE"""),"Yes")</f>
        <v>Yes</v>
      </c>
      <c r="O230" s="5" t="str">
        <f>IFERROR(__xludf.DUMMYFUNCTION("""COMPUTED_VALUE"""),"Yes")</f>
        <v>Yes</v>
      </c>
      <c r="P230" s="5" t="str">
        <f>IFERROR(__xludf.DUMMYFUNCTION("""COMPUTED_VALUE"""),"Yes")</f>
        <v>Yes</v>
      </c>
      <c r="Q230" s="5" t="str">
        <f>IFERROR(__xludf.DUMMYFUNCTION("""COMPUTED_VALUE"""),"Yes")</f>
        <v>Yes</v>
      </c>
      <c r="R230" s="5" t="str">
        <f>IFERROR(__xludf.DUMMYFUNCTION("""COMPUTED_VALUE"""),"No")</f>
        <v>No</v>
      </c>
      <c r="S230" s="5" t="str">
        <f>IFERROR(__xludf.DUMMYFUNCTION("""COMPUTED_VALUE"""),"Yes")</f>
        <v>Yes</v>
      </c>
      <c r="T230" s="5" t="str">
        <f>IFERROR(__xludf.DUMMYFUNCTION("""COMPUTED_VALUE"""),"No")</f>
        <v>No</v>
      </c>
      <c r="U230" s="5" t="str">
        <f>IFERROR(__xludf.DUMMYFUNCTION("""COMPUTED_VALUE"""),"No")</f>
        <v>No</v>
      </c>
      <c r="V230" s="5" t="str">
        <f>IFERROR(__xludf.DUMMYFUNCTION("""COMPUTED_VALUE"""),"No")</f>
        <v>No</v>
      </c>
      <c r="W230" s="5" t="str">
        <f>IFERROR(__xludf.DUMMYFUNCTION("""COMPUTED_VALUE"""),"No")</f>
        <v>No</v>
      </c>
      <c r="X230" s="5" t="str">
        <f>IFERROR(__xludf.DUMMYFUNCTION("""COMPUTED_VALUE"""),"No")</f>
        <v>No</v>
      </c>
      <c r="Y230" s="5"/>
      <c r="Z230" s="5"/>
      <c r="AA230" s="5"/>
      <c r="AB230" s="5"/>
      <c r="AC230" s="5" t="str">
        <f>IFERROR(__xludf.DUMMYFUNCTION("""COMPUTED_VALUE"""),"No")</f>
        <v>No</v>
      </c>
      <c r="AD230" s="5"/>
      <c r="AE230" s="5"/>
      <c r="AF230" s="5"/>
      <c r="AG230" s="5"/>
      <c r="AH230" s="5"/>
      <c r="AI230" s="5"/>
      <c r="AJ230" s="5"/>
      <c r="AK230" s="5"/>
      <c r="AL230" s="5"/>
      <c r="AM230" s="5"/>
      <c r="AN230" s="5"/>
      <c r="AO230" s="5"/>
      <c r="AP230" s="5"/>
      <c r="AQ230" s="5"/>
      <c r="AR230" s="5"/>
      <c r="AS230" s="5"/>
      <c r="AT230" s="5"/>
      <c r="AU230" s="5"/>
      <c r="AV230" s="5"/>
      <c r="AW230" s="5"/>
      <c r="AX230" s="5"/>
      <c r="AY230" s="5"/>
    </row>
    <row r="231">
      <c r="A231" s="5" t="str">
        <f>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31" s="5">
        <f>IFERROR(__xludf.DUMMYFUNCTION("""COMPUTED_VALUE"""),231.0)</f>
        <v>231</v>
      </c>
      <c r="C231" s="5">
        <f>IFERROR(__xludf.DUMMYFUNCTION("""COMPUTED_VALUE"""),230.0)</f>
        <v>230</v>
      </c>
      <c r="D231" s="5" t="str">
        <f>IFERROR(__xludf.DUMMYFUNCTION("""COMPUTED_VALUE"""),"UnicornCoyoteSevens")</f>
        <v>UnicornCoyoteSevens</v>
      </c>
      <c r="E231" s="5" t="str">
        <f>IFERROR(__xludf.DUMMYFUNCTION("""COMPUTED_VALUE"""),"Yes")</f>
        <v>Yes</v>
      </c>
      <c r="F231" s="5" t="str">
        <f>IFERROR(__xludf.DUMMYFUNCTION("""COMPUTED_VALUE"""),"Yes")</f>
        <v>Yes</v>
      </c>
      <c r="G231" s="5" t="str">
        <f>IFERROR(__xludf.DUMMYFUNCTION("""COMPUTED_VALUE"""),"No")</f>
        <v>No</v>
      </c>
      <c r="H231" s="5" t="str">
        <f>IFERROR(__xludf.DUMMYFUNCTION("""COMPUTED_VALUE"""),"Yes")</f>
        <v>Yes</v>
      </c>
      <c r="I231" s="5" t="str">
        <f>IFERROR(__xludf.DUMMYFUNCTION("""COMPUTED_VALUE"""),"Yes")</f>
        <v>Yes</v>
      </c>
      <c r="J231" s="5" t="str">
        <f>IFERROR(__xludf.DUMMYFUNCTION("""COMPUTED_VALUE"""),"Yes")</f>
        <v>Yes</v>
      </c>
      <c r="K231" s="5" t="str">
        <f>IFERROR(__xludf.DUMMYFUNCTION("""COMPUTED_VALUE"""),"Yes")</f>
        <v>Yes</v>
      </c>
      <c r="L231" s="5" t="str">
        <f>IFERROR(__xludf.DUMMYFUNCTION("""COMPUTED_VALUE"""),"Yes")</f>
        <v>Yes</v>
      </c>
      <c r="M231" s="5" t="str">
        <f>IFERROR(__xludf.DUMMYFUNCTION("""COMPUTED_VALUE"""),"Yes")</f>
        <v>Yes</v>
      </c>
      <c r="N231" s="5" t="str">
        <f>IFERROR(__xludf.DUMMYFUNCTION("""COMPUTED_VALUE"""),"Yes")</f>
        <v>Yes</v>
      </c>
      <c r="O231" s="5" t="str">
        <f>IFERROR(__xludf.DUMMYFUNCTION("""COMPUTED_VALUE"""),"Yes")</f>
        <v>Yes</v>
      </c>
      <c r="P231" s="5" t="str">
        <f>IFERROR(__xludf.DUMMYFUNCTION("""COMPUTED_VALUE"""),"Yes")</f>
        <v>Yes</v>
      </c>
      <c r="Q231" s="5" t="str">
        <f>IFERROR(__xludf.DUMMYFUNCTION("""COMPUTED_VALUE"""),"Yes")</f>
        <v>Yes</v>
      </c>
      <c r="R231" s="5" t="str">
        <f>IFERROR(__xludf.DUMMYFUNCTION("""COMPUTED_VALUE"""),"Yes")</f>
        <v>Yes</v>
      </c>
      <c r="S231" s="5" t="str">
        <f>IFERROR(__xludf.DUMMYFUNCTION("""COMPUTED_VALUE"""),"Yes")</f>
        <v>Yes</v>
      </c>
      <c r="T231" s="5" t="str">
        <f>IFERROR(__xludf.DUMMYFUNCTION("""COMPUTED_VALUE"""),"Yes")</f>
        <v>Yes</v>
      </c>
      <c r="U231" s="5" t="str">
        <f>IFERROR(__xludf.DUMMYFUNCTION("""COMPUTED_VALUE"""),"Yes")</f>
        <v>Yes</v>
      </c>
      <c r="V231" s="5" t="str">
        <f>IFERROR(__xludf.DUMMYFUNCTION("""COMPUTED_VALUE"""),"No")</f>
        <v>No</v>
      </c>
      <c r="W231" s="5" t="str">
        <f>IFERROR(__xludf.DUMMYFUNCTION("""COMPUTED_VALUE"""),"No")</f>
        <v>No</v>
      </c>
      <c r="X231" s="5" t="str">
        <f>IFERROR(__xludf.DUMMYFUNCTION("""COMPUTED_VALUE"""),"No")</f>
        <v>No</v>
      </c>
      <c r="Y231" s="5" t="str">
        <f>IFERROR(__xludf.DUMMYFUNCTION("""COMPUTED_VALUE"""),"No")</f>
        <v>No</v>
      </c>
      <c r="Z231" s="5" t="str">
        <f>IFERROR(__xludf.DUMMYFUNCTION("""COMPUTED_VALUE"""),"No")</f>
        <v>No</v>
      </c>
      <c r="AA231" s="5" t="str">
        <f>IFERROR(__xludf.DUMMYFUNCTION("""COMPUTED_VALUE"""),"No")</f>
        <v>No</v>
      </c>
      <c r="AB231" s="5" t="str">
        <f>IFERROR(__xludf.DUMMYFUNCTION("""COMPUTED_VALUE"""),"No")</f>
        <v>No</v>
      </c>
      <c r="AC231" s="5" t="str">
        <f>IFERROR(__xludf.DUMMYFUNCTION("""COMPUTED_VALUE"""),"No")</f>
        <v>No</v>
      </c>
      <c r="AD231" s="5" t="str">
        <f>IFERROR(__xludf.DUMMYFUNCTION("""COMPUTED_VALUE"""),"No")</f>
        <v>No</v>
      </c>
      <c r="AE231" s="5" t="str">
        <f>IFERROR(__xludf.DUMMYFUNCTION("""COMPUTED_VALUE"""),"No")</f>
        <v>No</v>
      </c>
      <c r="AF231" s="5" t="str">
        <f>IFERROR(__xludf.DUMMYFUNCTION("""COMPUTED_VALUE"""),"Yes")</f>
        <v>Yes</v>
      </c>
      <c r="AG231" s="5" t="str">
        <f>IFERROR(__xludf.DUMMYFUNCTION("""COMPUTED_VALUE"""),"No")</f>
        <v>No</v>
      </c>
      <c r="AH231" s="5" t="str">
        <f>IFERROR(__xludf.DUMMYFUNCTION("""COMPUTED_VALUE"""),"Yes")</f>
        <v>Yes</v>
      </c>
      <c r="AI231" s="5" t="str">
        <f>IFERROR(__xludf.DUMMYFUNCTION("""COMPUTED_VALUE"""),"No")</f>
        <v>No</v>
      </c>
      <c r="AJ231" s="5" t="str">
        <f>IFERROR(__xludf.DUMMYFUNCTION("""COMPUTED_VALUE"""),"No")</f>
        <v>No</v>
      </c>
      <c r="AK231" s="5" t="str">
        <f>IFERROR(__xludf.DUMMYFUNCTION("""COMPUTED_VALUE"""),"No")</f>
        <v>No</v>
      </c>
      <c r="AL231" s="5" t="str">
        <f>IFERROR(__xludf.DUMMYFUNCTION("""COMPUTED_VALUE"""),"No")</f>
        <v>No</v>
      </c>
      <c r="AM231" s="5"/>
      <c r="AN231" s="5"/>
      <c r="AO231" s="5"/>
      <c r="AP231" s="5"/>
      <c r="AQ231" s="5"/>
      <c r="AR231" s="5"/>
      <c r="AS231" s="5"/>
      <c r="AT231" s="5"/>
      <c r="AU231" s="5"/>
      <c r="AV231" s="5"/>
      <c r="AW231" s="5"/>
      <c r="AX231" s="5"/>
      <c r="AY231" s="5"/>
    </row>
    <row r="232">
      <c r="A2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2" s="5">
        <f>IFERROR(__xludf.DUMMYFUNCTION("""COMPUTED_VALUE"""),232.0)</f>
        <v>232</v>
      </c>
      <c r="C232" s="5">
        <f>IFERROR(__xludf.DUMMYFUNCTION("""COMPUTED_VALUE"""),231.0)</f>
        <v>231</v>
      </c>
      <c r="D232" s="5" t="str">
        <f>IFERROR(__xludf.DUMMYFUNCTION("""COMPUTED_VALUE"""),"EpicFire40")</f>
        <v>EpicFire40</v>
      </c>
      <c r="E232" s="5" t="str">
        <f>IFERROR(__xludf.DUMMYFUNCTION("""COMPUTED_VALUE"""),"Yes")</f>
        <v>Yes</v>
      </c>
      <c r="F232" s="5" t="str">
        <f>IFERROR(__xludf.DUMMYFUNCTION("""COMPUTED_VALUE"""),"Yes")</f>
        <v>Yes</v>
      </c>
      <c r="G232" s="5" t="str">
        <f>IFERROR(__xludf.DUMMYFUNCTION("""COMPUTED_VALUE"""),"Yes")</f>
        <v>Yes</v>
      </c>
      <c r="H232" s="5" t="str">
        <f>IFERROR(__xludf.DUMMYFUNCTION("""COMPUTED_VALUE"""),"Yes")</f>
        <v>Yes</v>
      </c>
      <c r="I232" s="5" t="str">
        <f>IFERROR(__xludf.DUMMYFUNCTION("""COMPUTED_VALUE"""),"Yes")</f>
        <v>Yes</v>
      </c>
      <c r="J232" s="5" t="str">
        <f>IFERROR(__xludf.DUMMYFUNCTION("""COMPUTED_VALUE"""),"Yes")</f>
        <v>Yes</v>
      </c>
      <c r="K232" s="5" t="str">
        <f>IFERROR(__xludf.DUMMYFUNCTION("""COMPUTED_VALUE"""),"Yes")</f>
        <v>Yes</v>
      </c>
      <c r="L232" s="5" t="str">
        <f>IFERROR(__xludf.DUMMYFUNCTION("""COMPUTED_VALUE"""),"Yes")</f>
        <v>Yes</v>
      </c>
      <c r="M232" s="5" t="str">
        <f>IFERROR(__xludf.DUMMYFUNCTION("""COMPUTED_VALUE"""),"Yes")</f>
        <v>Yes</v>
      </c>
      <c r="N232" s="5" t="str">
        <f>IFERROR(__xludf.DUMMYFUNCTION("""COMPUTED_VALUE"""),"Yes")</f>
        <v>Yes</v>
      </c>
      <c r="O232" s="5" t="str">
        <f>IFERROR(__xludf.DUMMYFUNCTION("""COMPUTED_VALUE"""),"Yes")</f>
        <v>Yes</v>
      </c>
      <c r="P232" s="5" t="str">
        <f>IFERROR(__xludf.DUMMYFUNCTION("""COMPUTED_VALUE"""),"Yes")</f>
        <v>Yes</v>
      </c>
      <c r="Q232" s="5" t="str">
        <f>IFERROR(__xludf.DUMMYFUNCTION("""COMPUTED_VALUE"""),"Yes")</f>
        <v>Yes</v>
      </c>
      <c r="R232" s="5" t="str">
        <f>IFERROR(__xludf.DUMMYFUNCTION("""COMPUTED_VALUE"""),"Yes")</f>
        <v>Yes</v>
      </c>
      <c r="S232" s="5" t="str">
        <f>IFERROR(__xludf.DUMMYFUNCTION("""COMPUTED_VALUE"""),"Yes")</f>
        <v>Yes</v>
      </c>
      <c r="T232" s="5" t="str">
        <f>IFERROR(__xludf.DUMMYFUNCTION("""COMPUTED_VALUE"""),"Yes")</f>
        <v>Yes</v>
      </c>
      <c r="U232" s="5" t="str">
        <f>IFERROR(__xludf.DUMMYFUNCTION("""COMPUTED_VALUE"""),"Yes")</f>
        <v>Yes</v>
      </c>
      <c r="V232" s="5" t="str">
        <f>IFERROR(__xludf.DUMMYFUNCTION("""COMPUTED_VALUE"""),"Yes")</f>
        <v>Yes</v>
      </c>
      <c r="W232" s="5" t="str">
        <f>IFERROR(__xludf.DUMMYFUNCTION("""COMPUTED_VALUE"""),"Yes")</f>
        <v>Yes</v>
      </c>
      <c r="X232" s="5" t="str">
        <f>IFERROR(__xludf.DUMMYFUNCTION("""COMPUTED_VALUE"""),"Yes")</f>
        <v>Yes</v>
      </c>
      <c r="Y232" s="5" t="str">
        <f>IFERROR(__xludf.DUMMYFUNCTION("""COMPUTED_VALUE"""),"Yes")</f>
        <v>Yes</v>
      </c>
      <c r="Z232" s="5" t="str">
        <f>IFERROR(__xludf.DUMMYFUNCTION("""COMPUTED_VALUE"""),"No")</f>
        <v>No</v>
      </c>
      <c r="AA232" s="5" t="str">
        <f>IFERROR(__xludf.DUMMYFUNCTION("""COMPUTED_VALUE"""),"Yes")</f>
        <v>Yes</v>
      </c>
      <c r="AB232" s="5" t="str">
        <f>IFERROR(__xludf.DUMMYFUNCTION("""COMPUTED_VALUE"""),"Yes")</f>
        <v>Yes</v>
      </c>
      <c r="AC232" s="5" t="str">
        <f>IFERROR(__xludf.DUMMYFUNCTION("""COMPUTED_VALUE"""),"Yes")</f>
        <v>Yes</v>
      </c>
      <c r="AD232" s="5" t="str">
        <f>IFERROR(__xludf.DUMMYFUNCTION("""COMPUTED_VALUE"""),"Yes")</f>
        <v>Yes</v>
      </c>
      <c r="AE232" s="5" t="str">
        <f>IFERROR(__xludf.DUMMYFUNCTION("""COMPUTED_VALUE"""),"No")</f>
        <v>No</v>
      </c>
      <c r="AF232" s="5" t="str">
        <f>IFERROR(__xludf.DUMMYFUNCTION("""COMPUTED_VALUE"""),"Yes")</f>
        <v>Yes</v>
      </c>
      <c r="AG232" s="5" t="str">
        <f>IFERROR(__xludf.DUMMYFUNCTION("""COMPUTED_VALUE"""),"No")</f>
        <v>No</v>
      </c>
      <c r="AH232" s="5" t="str">
        <f>IFERROR(__xludf.DUMMYFUNCTION("""COMPUTED_VALUE"""),"No")</f>
        <v>No</v>
      </c>
      <c r="AI232" s="5" t="str">
        <f>IFERROR(__xludf.DUMMYFUNCTION("""COMPUTED_VALUE"""),"No")</f>
        <v>No</v>
      </c>
      <c r="AJ232" s="5" t="str">
        <f>IFERROR(__xludf.DUMMYFUNCTION("""COMPUTED_VALUE"""),"No")</f>
        <v>No</v>
      </c>
      <c r="AK232" s="5" t="str">
        <f>IFERROR(__xludf.DUMMYFUNCTION("""COMPUTED_VALUE"""),"No")</f>
        <v>No</v>
      </c>
      <c r="AL232" s="5" t="str">
        <f>IFERROR(__xludf.DUMMYFUNCTION("""COMPUTED_VALUE"""),"No")</f>
        <v>No</v>
      </c>
      <c r="AM232" s="5"/>
      <c r="AN232" s="5"/>
      <c r="AO232" s="5"/>
      <c r="AP232" s="5"/>
      <c r="AQ232" s="5"/>
      <c r="AR232" s="5"/>
      <c r="AS232" s="5"/>
      <c r="AT232" s="5"/>
      <c r="AU232" s="5"/>
      <c r="AV232" s="5"/>
      <c r="AW232" s="5"/>
      <c r="AX232" s="5"/>
      <c r="AY232" s="5"/>
    </row>
    <row r="233">
      <c r="A2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3" s="5">
        <f>IFERROR(__xludf.DUMMYFUNCTION("""COMPUTED_VALUE"""),233.0)</f>
        <v>233</v>
      </c>
      <c r="C233" s="5">
        <f>IFERROR(__xludf.DUMMYFUNCTION("""COMPUTED_VALUE"""),232.0)</f>
        <v>232</v>
      </c>
      <c r="D233" s="5" t="str">
        <f>IFERROR(__xludf.DUMMYFUNCTION("""COMPUTED_VALUE"""),"GoldenCrown40")</f>
        <v>GoldenCrown40</v>
      </c>
      <c r="E233" s="5" t="str">
        <f>IFERROR(__xludf.DUMMYFUNCTION("""COMPUTED_VALUE"""),"Yes")</f>
        <v>Yes</v>
      </c>
      <c r="F233" s="5" t="str">
        <f>IFERROR(__xludf.DUMMYFUNCTION("""COMPUTED_VALUE"""),"Yes")</f>
        <v>Yes</v>
      </c>
      <c r="G233" s="5" t="str">
        <f>IFERROR(__xludf.DUMMYFUNCTION("""COMPUTED_VALUE"""),"Yes")</f>
        <v>Yes</v>
      </c>
      <c r="H233" s="5" t="str">
        <f>IFERROR(__xludf.DUMMYFUNCTION("""COMPUTED_VALUE"""),"Yes")</f>
        <v>Yes</v>
      </c>
      <c r="I233" s="5" t="str">
        <f>IFERROR(__xludf.DUMMYFUNCTION("""COMPUTED_VALUE"""),"Yes")</f>
        <v>Yes</v>
      </c>
      <c r="J233" s="5" t="str">
        <f>IFERROR(__xludf.DUMMYFUNCTION("""COMPUTED_VALUE"""),"Yes")</f>
        <v>Yes</v>
      </c>
      <c r="K233" s="5" t="str">
        <f>IFERROR(__xludf.DUMMYFUNCTION("""COMPUTED_VALUE"""),"Yes")</f>
        <v>Yes</v>
      </c>
      <c r="L233" s="5" t="str">
        <f>IFERROR(__xludf.DUMMYFUNCTION("""COMPUTED_VALUE"""),"Yes")</f>
        <v>Yes</v>
      </c>
      <c r="M233" s="5" t="str">
        <f>IFERROR(__xludf.DUMMYFUNCTION("""COMPUTED_VALUE"""),"Yes")</f>
        <v>Yes</v>
      </c>
      <c r="N233" s="5" t="str">
        <f>IFERROR(__xludf.DUMMYFUNCTION("""COMPUTED_VALUE"""),"Yes")</f>
        <v>Yes</v>
      </c>
      <c r="O233" s="5" t="str">
        <f>IFERROR(__xludf.DUMMYFUNCTION("""COMPUTED_VALUE"""),"Yes")</f>
        <v>Yes</v>
      </c>
      <c r="P233" s="5" t="str">
        <f>IFERROR(__xludf.DUMMYFUNCTION("""COMPUTED_VALUE"""),"Yes")</f>
        <v>Yes</v>
      </c>
      <c r="Q233" s="5" t="str">
        <f>IFERROR(__xludf.DUMMYFUNCTION("""COMPUTED_VALUE"""),"Yes")</f>
        <v>Yes</v>
      </c>
      <c r="R233" s="5" t="str">
        <f>IFERROR(__xludf.DUMMYFUNCTION("""COMPUTED_VALUE"""),"Yes")</f>
        <v>Yes</v>
      </c>
      <c r="S233" s="5" t="str">
        <f>IFERROR(__xludf.DUMMYFUNCTION("""COMPUTED_VALUE"""),"Yes")</f>
        <v>Yes</v>
      </c>
      <c r="T233" s="5" t="str">
        <f>IFERROR(__xludf.DUMMYFUNCTION("""COMPUTED_VALUE"""),"Yes")</f>
        <v>Yes</v>
      </c>
      <c r="U233" s="5" t="str">
        <f>IFERROR(__xludf.DUMMYFUNCTION("""COMPUTED_VALUE"""),"Yes")</f>
        <v>Yes</v>
      </c>
      <c r="V233" s="5" t="str">
        <f>IFERROR(__xludf.DUMMYFUNCTION("""COMPUTED_VALUE"""),"Yes")</f>
        <v>Yes</v>
      </c>
      <c r="W233" s="5" t="str">
        <f>IFERROR(__xludf.DUMMYFUNCTION("""COMPUTED_VALUE"""),"Yes")</f>
        <v>Yes</v>
      </c>
      <c r="X233" s="5" t="str">
        <f>IFERROR(__xludf.DUMMYFUNCTION("""COMPUTED_VALUE"""),"Yes")</f>
        <v>Yes</v>
      </c>
      <c r="Y233" s="5" t="str">
        <f>IFERROR(__xludf.DUMMYFUNCTION("""COMPUTED_VALUE"""),"Yes")</f>
        <v>Yes</v>
      </c>
      <c r="Z233" s="5" t="str">
        <f>IFERROR(__xludf.DUMMYFUNCTION("""COMPUTED_VALUE"""),"No")</f>
        <v>No</v>
      </c>
      <c r="AA233" s="5" t="str">
        <f>IFERROR(__xludf.DUMMYFUNCTION("""COMPUTED_VALUE"""),"Yes")</f>
        <v>Yes</v>
      </c>
      <c r="AB233" s="5" t="str">
        <f>IFERROR(__xludf.DUMMYFUNCTION("""COMPUTED_VALUE"""),"Yes")</f>
        <v>Yes</v>
      </c>
      <c r="AC233" s="5" t="str">
        <f>IFERROR(__xludf.DUMMYFUNCTION("""COMPUTED_VALUE"""),"Yes")</f>
        <v>Yes</v>
      </c>
      <c r="AD233" s="5" t="str">
        <f>IFERROR(__xludf.DUMMYFUNCTION("""COMPUTED_VALUE"""),"Yes")</f>
        <v>Yes</v>
      </c>
      <c r="AE233" s="5" t="str">
        <f>IFERROR(__xludf.DUMMYFUNCTION("""COMPUTED_VALUE"""),"No")</f>
        <v>No</v>
      </c>
      <c r="AF233" s="5" t="str">
        <f>IFERROR(__xludf.DUMMYFUNCTION("""COMPUTED_VALUE"""),"Yes")</f>
        <v>Yes</v>
      </c>
      <c r="AG233" s="5" t="str">
        <f>IFERROR(__xludf.DUMMYFUNCTION("""COMPUTED_VALUE"""),"No")</f>
        <v>No</v>
      </c>
      <c r="AH233" s="5" t="str">
        <f>IFERROR(__xludf.DUMMYFUNCTION("""COMPUTED_VALUE"""),"No")</f>
        <v>No</v>
      </c>
      <c r="AI233" s="5" t="str">
        <f>IFERROR(__xludf.DUMMYFUNCTION("""COMPUTED_VALUE"""),"No")</f>
        <v>No</v>
      </c>
      <c r="AJ233" s="5" t="str">
        <f>IFERROR(__xludf.DUMMYFUNCTION("""COMPUTED_VALUE"""),"No")</f>
        <v>No</v>
      </c>
      <c r="AK233" s="5" t="str">
        <f>IFERROR(__xludf.DUMMYFUNCTION("""COMPUTED_VALUE"""),"No")</f>
        <v>No</v>
      </c>
      <c r="AL233" s="5" t="str">
        <f>IFERROR(__xludf.DUMMYFUNCTION("""COMPUTED_VALUE"""),"No")</f>
        <v>No</v>
      </c>
      <c r="AM233" s="5"/>
      <c r="AN233" s="5"/>
      <c r="AO233" s="5"/>
      <c r="AP233" s="5"/>
      <c r="AQ233" s="5"/>
      <c r="AR233" s="5"/>
      <c r="AS233" s="5"/>
      <c r="AT233" s="5"/>
      <c r="AU233" s="5"/>
      <c r="AV233" s="5"/>
      <c r="AW233" s="5"/>
      <c r="AX233" s="5"/>
      <c r="AY233" s="5"/>
    </row>
    <row r="234">
      <c r="A2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4" s="5">
        <f>IFERROR(__xludf.DUMMYFUNCTION("""COMPUTED_VALUE"""),234.0)</f>
        <v>234</v>
      </c>
      <c r="C234" s="5">
        <f>IFERROR(__xludf.DUMMYFUNCTION("""COMPUTED_VALUE"""),233.0)</f>
        <v>233</v>
      </c>
      <c r="D234" s="5" t="str">
        <f>IFERROR(__xludf.DUMMYFUNCTION("""COMPUTED_VALUE"""),"UnicornCoyoteDice")</f>
        <v>UnicornCoyoteDice</v>
      </c>
      <c r="E234" s="5" t="str">
        <f>IFERROR(__xludf.DUMMYFUNCTION("""COMPUTED_VALUE"""),"Yes")</f>
        <v>Yes</v>
      </c>
      <c r="F234" s="5" t="str">
        <f>IFERROR(__xludf.DUMMYFUNCTION("""COMPUTED_VALUE"""),"Yes")</f>
        <v>Yes</v>
      </c>
      <c r="G234" s="5" t="str">
        <f>IFERROR(__xludf.DUMMYFUNCTION("""COMPUTED_VALUE"""),"Yes")</f>
        <v>Yes</v>
      </c>
      <c r="H234" s="5" t="str">
        <f>IFERROR(__xludf.DUMMYFUNCTION("""COMPUTED_VALUE"""),"Yes")</f>
        <v>Yes</v>
      </c>
      <c r="I234" s="5" t="str">
        <f>IFERROR(__xludf.DUMMYFUNCTION("""COMPUTED_VALUE"""),"Yes")</f>
        <v>Yes</v>
      </c>
      <c r="J234" s="5" t="str">
        <f>IFERROR(__xludf.DUMMYFUNCTION("""COMPUTED_VALUE"""),"Yes")</f>
        <v>Yes</v>
      </c>
      <c r="K234" s="5" t="str">
        <f>IFERROR(__xludf.DUMMYFUNCTION("""COMPUTED_VALUE"""),"Yes")</f>
        <v>Yes</v>
      </c>
      <c r="L234" s="5" t="str">
        <f>IFERROR(__xludf.DUMMYFUNCTION("""COMPUTED_VALUE"""),"Yes")</f>
        <v>Yes</v>
      </c>
      <c r="M234" s="5" t="str">
        <f>IFERROR(__xludf.DUMMYFUNCTION("""COMPUTED_VALUE"""),"Yes")</f>
        <v>Yes</v>
      </c>
      <c r="N234" s="5" t="str">
        <f>IFERROR(__xludf.DUMMYFUNCTION("""COMPUTED_VALUE"""),"Yes")</f>
        <v>Yes</v>
      </c>
      <c r="O234" s="5" t="str">
        <f>IFERROR(__xludf.DUMMYFUNCTION("""COMPUTED_VALUE"""),"Yes")</f>
        <v>Yes</v>
      </c>
      <c r="P234" s="5" t="str">
        <f>IFERROR(__xludf.DUMMYFUNCTION("""COMPUTED_VALUE"""),"Yes")</f>
        <v>Yes</v>
      </c>
      <c r="Q234" s="5" t="str">
        <f>IFERROR(__xludf.DUMMYFUNCTION("""COMPUTED_VALUE"""),"Yes")</f>
        <v>Yes</v>
      </c>
      <c r="R234" s="5" t="str">
        <f>IFERROR(__xludf.DUMMYFUNCTION("""COMPUTED_VALUE"""),"Yes")</f>
        <v>Yes</v>
      </c>
      <c r="S234" s="5" t="str">
        <f>IFERROR(__xludf.DUMMYFUNCTION("""COMPUTED_VALUE"""),"Yes")</f>
        <v>Yes</v>
      </c>
      <c r="T234" s="5" t="str">
        <f>IFERROR(__xludf.DUMMYFUNCTION("""COMPUTED_VALUE"""),"Yes")</f>
        <v>Yes</v>
      </c>
      <c r="U234" s="5" t="str">
        <f>IFERROR(__xludf.DUMMYFUNCTION("""COMPUTED_VALUE"""),"Yes")</f>
        <v>Yes</v>
      </c>
      <c r="V234" s="5" t="str">
        <f>IFERROR(__xludf.DUMMYFUNCTION("""COMPUTED_VALUE"""),"Yes")</f>
        <v>Yes</v>
      </c>
      <c r="W234" s="5" t="str">
        <f>IFERROR(__xludf.DUMMYFUNCTION("""COMPUTED_VALUE"""),"Yes")</f>
        <v>Yes</v>
      </c>
      <c r="X234" s="5" t="str">
        <f>IFERROR(__xludf.DUMMYFUNCTION("""COMPUTED_VALUE"""),"Yes")</f>
        <v>Yes</v>
      </c>
      <c r="Y234" s="5" t="str">
        <f>IFERROR(__xludf.DUMMYFUNCTION("""COMPUTED_VALUE"""),"Yes")</f>
        <v>Yes</v>
      </c>
      <c r="Z234" s="5"/>
      <c r="AA234" s="5" t="str">
        <f>IFERROR(__xludf.DUMMYFUNCTION("""COMPUTED_VALUE"""),"Yes")</f>
        <v>Yes</v>
      </c>
      <c r="AB234" s="5" t="str">
        <f>IFERROR(__xludf.DUMMYFUNCTION("""COMPUTED_VALUE"""),"Yes")</f>
        <v>Yes</v>
      </c>
      <c r="AC234" s="5" t="str">
        <f>IFERROR(__xludf.DUMMYFUNCTION("""COMPUTED_VALUE"""),"Yes")</f>
        <v>Yes</v>
      </c>
      <c r="AD234" s="5" t="str">
        <f>IFERROR(__xludf.DUMMYFUNCTION("""COMPUTED_VALUE"""),"Yes")</f>
        <v>Yes</v>
      </c>
      <c r="AE234" s="5"/>
      <c r="AF234" s="5" t="str">
        <f>IFERROR(__xludf.DUMMYFUNCTION("""COMPUTED_VALUE"""),"Yes")</f>
        <v>Yes</v>
      </c>
      <c r="AG234" s="5"/>
      <c r="AH234" s="5"/>
      <c r="AI234" s="5"/>
      <c r="AJ234" s="5"/>
      <c r="AK234" s="5"/>
      <c r="AL234" s="5"/>
      <c r="AM234" s="5"/>
      <c r="AN234" s="5"/>
      <c r="AO234" s="5"/>
      <c r="AP234" s="5"/>
      <c r="AQ234" s="5"/>
      <c r="AR234" s="5"/>
      <c r="AS234" s="5"/>
      <c r="AT234" s="5"/>
      <c r="AU234" s="5"/>
      <c r="AV234" s="5"/>
      <c r="AW234" s="5"/>
      <c r="AX234" s="5"/>
      <c r="AY234" s="5"/>
    </row>
    <row r="235">
      <c r="A2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35" s="5">
        <f>IFERROR(__xludf.DUMMYFUNCTION("""COMPUTED_VALUE"""),235.0)</f>
        <v>235</v>
      </c>
      <c r="C235" s="5">
        <f>IFERROR(__xludf.DUMMYFUNCTION("""COMPUTED_VALUE"""),234.0)</f>
        <v>234</v>
      </c>
      <c r="D235" s="5" t="str">
        <f>IFERROR(__xludf.DUMMYFUNCTION("""COMPUTED_VALUE"""),"Wild27")</f>
        <v>Wild27</v>
      </c>
      <c r="E235" s="5" t="str">
        <f>IFERROR(__xludf.DUMMYFUNCTION("""COMPUTED_VALUE"""),"Yes")</f>
        <v>Yes</v>
      </c>
      <c r="F235" s="5" t="str">
        <f>IFERROR(__xludf.DUMMYFUNCTION("""COMPUTED_VALUE"""),"Yes")</f>
        <v>Yes</v>
      </c>
      <c r="G235" s="5" t="str">
        <f>IFERROR(__xludf.DUMMYFUNCTION("""COMPUTED_VALUE"""),"Yes")</f>
        <v>Yes</v>
      </c>
      <c r="H235" s="5" t="str">
        <f>IFERROR(__xludf.DUMMYFUNCTION("""COMPUTED_VALUE"""),"Yes")</f>
        <v>Yes</v>
      </c>
      <c r="I235" s="5" t="str">
        <f>IFERROR(__xludf.DUMMYFUNCTION("""COMPUTED_VALUE"""),"Yes")</f>
        <v>Yes</v>
      </c>
      <c r="J235" s="5" t="str">
        <f>IFERROR(__xludf.DUMMYFUNCTION("""COMPUTED_VALUE"""),"Yes")</f>
        <v>Yes</v>
      </c>
      <c r="K235" s="5" t="str">
        <f>IFERROR(__xludf.DUMMYFUNCTION("""COMPUTED_VALUE"""),"Yes")</f>
        <v>Yes</v>
      </c>
      <c r="L235" s="5" t="str">
        <f>IFERROR(__xludf.DUMMYFUNCTION("""COMPUTED_VALUE"""),"Yes")</f>
        <v>Yes</v>
      </c>
      <c r="M235" s="5" t="str">
        <f>IFERROR(__xludf.DUMMYFUNCTION("""COMPUTED_VALUE"""),"Yes")</f>
        <v>Yes</v>
      </c>
      <c r="N235" s="5" t="str">
        <f>IFERROR(__xludf.DUMMYFUNCTION("""COMPUTED_VALUE"""),"Yes")</f>
        <v>Yes</v>
      </c>
      <c r="O235" s="5" t="str">
        <f>IFERROR(__xludf.DUMMYFUNCTION("""COMPUTED_VALUE"""),"Yes")</f>
        <v>Yes</v>
      </c>
      <c r="P235" s="5" t="str">
        <f>IFERROR(__xludf.DUMMYFUNCTION("""COMPUTED_VALUE"""),"Yes")</f>
        <v>Yes</v>
      </c>
      <c r="Q235" s="5" t="str">
        <f>IFERROR(__xludf.DUMMYFUNCTION("""COMPUTED_VALUE"""),"Yes")</f>
        <v>Yes</v>
      </c>
      <c r="R235" s="5" t="str">
        <f>IFERROR(__xludf.DUMMYFUNCTION("""COMPUTED_VALUE"""),"Yes")</f>
        <v>Yes</v>
      </c>
      <c r="S235" s="5" t="str">
        <f>IFERROR(__xludf.DUMMYFUNCTION("""COMPUTED_VALUE"""),"Yes")</f>
        <v>Yes</v>
      </c>
      <c r="T235" s="5" t="str">
        <f>IFERROR(__xludf.DUMMYFUNCTION("""COMPUTED_VALUE"""),"Yes")</f>
        <v>Yes</v>
      </c>
      <c r="U235" s="5" t="str">
        <f>IFERROR(__xludf.DUMMYFUNCTION("""COMPUTED_VALUE"""),"Yes")</f>
        <v>Yes</v>
      </c>
      <c r="V235" s="5" t="str">
        <f>IFERROR(__xludf.DUMMYFUNCTION("""COMPUTED_VALUE"""),"Yes")</f>
        <v>Yes</v>
      </c>
      <c r="W235" s="5" t="str">
        <f>IFERROR(__xludf.DUMMYFUNCTION("""COMPUTED_VALUE"""),"Yes")</f>
        <v>Yes</v>
      </c>
      <c r="X235" s="5" t="str">
        <f>IFERROR(__xludf.DUMMYFUNCTION("""COMPUTED_VALUE"""),"Yes")</f>
        <v>Yes</v>
      </c>
      <c r="Y235" s="5" t="str">
        <f>IFERROR(__xludf.DUMMYFUNCTION("""COMPUTED_VALUE"""),"Yes")</f>
        <v>Yes</v>
      </c>
      <c r="Z235" s="5" t="str">
        <f>IFERROR(__xludf.DUMMYFUNCTION("""COMPUTED_VALUE"""),"Yes")</f>
        <v>Yes</v>
      </c>
      <c r="AA235" s="5" t="str">
        <f>IFERROR(__xludf.DUMMYFUNCTION("""COMPUTED_VALUE"""),"Yes")</f>
        <v>Yes</v>
      </c>
      <c r="AB235" s="5" t="str">
        <f>IFERROR(__xludf.DUMMYFUNCTION("""COMPUTED_VALUE"""),"Yes")</f>
        <v>Yes</v>
      </c>
      <c r="AC235" s="5" t="str">
        <f>IFERROR(__xludf.DUMMYFUNCTION("""COMPUTED_VALUE"""),"Yes")</f>
        <v>Yes</v>
      </c>
      <c r="AD235" s="5" t="str">
        <f>IFERROR(__xludf.DUMMYFUNCTION("""COMPUTED_VALUE"""),"Yes")</f>
        <v>Yes</v>
      </c>
      <c r="AE235" s="5" t="str">
        <f>IFERROR(__xludf.DUMMYFUNCTION("""COMPUTED_VALUE"""),"Yes")</f>
        <v>Yes</v>
      </c>
      <c r="AF235" s="5" t="str">
        <f>IFERROR(__xludf.DUMMYFUNCTION("""COMPUTED_VALUE"""),"Yes")</f>
        <v>Yes</v>
      </c>
      <c r="AG235" s="5" t="str">
        <f>IFERROR(__xludf.DUMMYFUNCTION("""COMPUTED_VALUE"""),"Yes")</f>
        <v>Yes</v>
      </c>
      <c r="AH235" s="5" t="str">
        <f>IFERROR(__xludf.DUMMYFUNCTION("""COMPUTED_VALUE"""),"Yes")</f>
        <v>Yes</v>
      </c>
      <c r="AI235" s="5" t="str">
        <f>IFERROR(__xludf.DUMMYFUNCTION("""COMPUTED_VALUE"""),"No")</f>
        <v>No</v>
      </c>
      <c r="AJ235" s="5" t="str">
        <f>IFERROR(__xludf.DUMMYFUNCTION("""COMPUTED_VALUE"""),"No")</f>
        <v>No</v>
      </c>
      <c r="AK235" s="5" t="str">
        <f>IFERROR(__xludf.DUMMYFUNCTION("""COMPUTED_VALUE"""),"No")</f>
        <v>No</v>
      </c>
      <c r="AL235" s="5" t="str">
        <f>IFERROR(__xludf.DUMMYFUNCTION("""COMPUTED_VALUE"""),"No")</f>
        <v>No</v>
      </c>
      <c r="AM235" s="5"/>
      <c r="AN235" s="5"/>
      <c r="AO235" s="5"/>
      <c r="AP235" s="5"/>
      <c r="AQ235" s="5"/>
      <c r="AR235" s="5"/>
      <c r="AS235" s="5"/>
      <c r="AT235" s="5"/>
      <c r="AU235" s="5"/>
      <c r="AV235" s="5"/>
      <c r="AW235" s="5"/>
      <c r="AX235" s="5"/>
      <c r="AY235" s="5"/>
    </row>
    <row r="236">
      <c r="A2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36" s="5">
        <f>IFERROR(__xludf.DUMMYFUNCTION("""COMPUTED_VALUE"""),236.0)</f>
        <v>236</v>
      </c>
      <c r="C236" s="5">
        <f>IFERROR(__xludf.DUMMYFUNCTION("""COMPUTED_VALUE"""),235.0)</f>
        <v>235</v>
      </c>
      <c r="D236" s="5" t="str">
        <f>IFERROR(__xludf.DUMMYFUNCTION("""COMPUTED_VALUE"""),"UnicornFruitWildLines")</f>
        <v>UnicornFruitWildLines</v>
      </c>
      <c r="E236" s="5" t="str">
        <f>IFERROR(__xludf.DUMMYFUNCTION("""COMPUTED_VALUE"""),"Yes")</f>
        <v>Yes</v>
      </c>
      <c r="F236" s="5" t="str">
        <f>IFERROR(__xludf.DUMMYFUNCTION("""COMPUTED_VALUE"""),"Yes")</f>
        <v>Yes</v>
      </c>
      <c r="G236" s="5" t="str">
        <f>IFERROR(__xludf.DUMMYFUNCTION("""COMPUTED_VALUE"""),"Yes")</f>
        <v>Yes</v>
      </c>
      <c r="H236" s="5" t="str">
        <f>IFERROR(__xludf.DUMMYFUNCTION("""COMPUTED_VALUE"""),"Yes")</f>
        <v>Yes</v>
      </c>
      <c r="I236" s="5" t="str">
        <f>IFERROR(__xludf.DUMMYFUNCTION("""COMPUTED_VALUE"""),"Yes")</f>
        <v>Yes</v>
      </c>
      <c r="J236" s="5" t="str">
        <f>IFERROR(__xludf.DUMMYFUNCTION("""COMPUTED_VALUE"""),"Yes")</f>
        <v>Yes</v>
      </c>
      <c r="K236" s="5" t="str">
        <f>IFERROR(__xludf.DUMMYFUNCTION("""COMPUTED_VALUE"""),"Yes")</f>
        <v>Yes</v>
      </c>
      <c r="L236" s="5" t="str">
        <f>IFERROR(__xludf.DUMMYFUNCTION("""COMPUTED_VALUE"""),"Yes")</f>
        <v>Yes</v>
      </c>
      <c r="M236" s="5" t="str">
        <f>IFERROR(__xludf.DUMMYFUNCTION("""COMPUTED_VALUE"""),"Yes")</f>
        <v>Yes</v>
      </c>
      <c r="N236" s="5" t="str">
        <f>IFERROR(__xludf.DUMMYFUNCTION("""COMPUTED_VALUE"""),"Yes")</f>
        <v>Yes</v>
      </c>
      <c r="O236" s="5" t="str">
        <f>IFERROR(__xludf.DUMMYFUNCTION("""COMPUTED_VALUE"""),"Yes")</f>
        <v>Yes</v>
      </c>
      <c r="P236" s="5" t="str">
        <f>IFERROR(__xludf.DUMMYFUNCTION("""COMPUTED_VALUE"""),"Yes")</f>
        <v>Yes</v>
      </c>
      <c r="Q236" s="5" t="str">
        <f>IFERROR(__xludf.DUMMYFUNCTION("""COMPUTED_VALUE"""),"Yes")</f>
        <v>Yes</v>
      </c>
      <c r="R236" s="5" t="str">
        <f>IFERROR(__xludf.DUMMYFUNCTION("""COMPUTED_VALUE"""),"Yes")</f>
        <v>Yes</v>
      </c>
      <c r="S236" s="5" t="str">
        <f>IFERROR(__xludf.DUMMYFUNCTION("""COMPUTED_VALUE"""),"Yes")</f>
        <v>Yes</v>
      </c>
      <c r="T236" s="5" t="str">
        <f>IFERROR(__xludf.DUMMYFUNCTION("""COMPUTED_VALUE"""),"Yes")</f>
        <v>Yes</v>
      </c>
      <c r="U236" s="5" t="str">
        <f>IFERROR(__xludf.DUMMYFUNCTION("""COMPUTED_VALUE"""),"Yes")</f>
        <v>Yes</v>
      </c>
      <c r="V236" s="5" t="str">
        <f>IFERROR(__xludf.DUMMYFUNCTION("""COMPUTED_VALUE"""),"Yes")</f>
        <v>Yes</v>
      </c>
      <c r="W236" s="5" t="str">
        <f>IFERROR(__xludf.DUMMYFUNCTION("""COMPUTED_VALUE"""),"Yes")</f>
        <v>Yes</v>
      </c>
      <c r="X236" s="5" t="str">
        <f>IFERROR(__xludf.DUMMYFUNCTION("""COMPUTED_VALUE"""),"Yes")</f>
        <v>Yes</v>
      </c>
      <c r="Y236" s="5" t="str">
        <f>IFERROR(__xludf.DUMMYFUNCTION("""COMPUTED_VALUE"""),"Yes")</f>
        <v>Yes</v>
      </c>
      <c r="Z236" s="5"/>
      <c r="AA236" s="5"/>
      <c r="AB236" s="5"/>
      <c r="AC236" s="5" t="str">
        <f>IFERROR(__xludf.DUMMYFUNCTION("""COMPUTED_VALUE"""),"Yes")</f>
        <v>Yes</v>
      </c>
      <c r="AD236" s="5"/>
      <c r="AE236" s="5"/>
      <c r="AF236" s="5"/>
      <c r="AG236" s="5"/>
      <c r="AH236" s="5"/>
      <c r="AI236" s="5"/>
      <c r="AJ236" s="5"/>
      <c r="AK236" s="5"/>
      <c r="AL236" s="5"/>
      <c r="AM236" s="5"/>
      <c r="AN236" s="5"/>
      <c r="AO236" s="5"/>
      <c r="AP236" s="5"/>
      <c r="AQ236" s="5"/>
      <c r="AR236" s="5"/>
      <c r="AS236" s="5"/>
      <c r="AT236" s="5"/>
      <c r="AU236" s="5"/>
      <c r="AV236" s="5"/>
      <c r="AW236" s="5"/>
      <c r="AX236" s="5"/>
      <c r="AY236" s="5"/>
    </row>
    <row r="237">
      <c r="A23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37" s="5">
        <f>IFERROR(__xludf.DUMMYFUNCTION("""COMPUTED_VALUE"""),237.0)</f>
        <v>237</v>
      </c>
      <c r="C237" s="5">
        <f>IFERROR(__xludf.DUMMYFUNCTION("""COMPUTED_VALUE"""),236.0)</f>
        <v>236</v>
      </c>
      <c r="D237" s="5" t="str">
        <f>IFERROR(__xludf.DUMMYFUNCTION("""COMPUTED_VALUE"""),"FireCash40")</f>
        <v>FireCash40</v>
      </c>
      <c r="E237" s="5" t="str">
        <f>IFERROR(__xludf.DUMMYFUNCTION("""COMPUTED_VALUE"""),"Yes")</f>
        <v>Yes</v>
      </c>
      <c r="F237" s="5" t="str">
        <f>IFERROR(__xludf.DUMMYFUNCTION("""COMPUTED_VALUE"""),"Yes")</f>
        <v>Yes</v>
      </c>
      <c r="G237" s="5" t="str">
        <f>IFERROR(__xludf.DUMMYFUNCTION("""COMPUTED_VALUE"""),"Yes")</f>
        <v>Yes</v>
      </c>
      <c r="H237" s="5" t="str">
        <f>IFERROR(__xludf.DUMMYFUNCTION("""COMPUTED_VALUE"""),"No")</f>
        <v>No</v>
      </c>
      <c r="I237" s="5" t="str">
        <f>IFERROR(__xludf.DUMMYFUNCTION("""COMPUTED_VALUE"""),"No")</f>
        <v>No</v>
      </c>
      <c r="J237" s="5" t="str">
        <f>IFERROR(__xludf.DUMMYFUNCTION("""COMPUTED_VALUE"""),"No")</f>
        <v>No</v>
      </c>
      <c r="K237" s="5" t="str">
        <f>IFERROR(__xludf.DUMMYFUNCTION("""COMPUTED_VALUE"""),"No")</f>
        <v>No</v>
      </c>
      <c r="L237" s="5" t="str">
        <f>IFERROR(__xludf.DUMMYFUNCTION("""COMPUTED_VALUE"""),"No")</f>
        <v>No</v>
      </c>
      <c r="M237" s="5" t="str">
        <f>IFERROR(__xludf.DUMMYFUNCTION("""COMPUTED_VALUE"""),"Yes")</f>
        <v>Yes</v>
      </c>
      <c r="N237" s="5" t="str">
        <f>IFERROR(__xludf.DUMMYFUNCTION("""COMPUTED_VALUE"""),"Yes")</f>
        <v>Yes</v>
      </c>
      <c r="O237" s="5" t="str">
        <f>IFERROR(__xludf.DUMMYFUNCTION("""COMPUTED_VALUE"""),"Yes")</f>
        <v>Yes</v>
      </c>
      <c r="P237" s="5" t="str">
        <f>IFERROR(__xludf.DUMMYFUNCTION("""COMPUTED_VALUE"""),"Yes")</f>
        <v>Yes</v>
      </c>
      <c r="Q237" s="5" t="str">
        <f>IFERROR(__xludf.DUMMYFUNCTION("""COMPUTED_VALUE"""),"Yes")</f>
        <v>Yes</v>
      </c>
      <c r="R237" s="5" t="str">
        <f>IFERROR(__xludf.DUMMYFUNCTION("""COMPUTED_VALUE"""),"No")</f>
        <v>No</v>
      </c>
      <c r="S237" s="5" t="str">
        <f>IFERROR(__xludf.DUMMYFUNCTION("""COMPUTED_VALUE"""),"Yes")</f>
        <v>Yes</v>
      </c>
      <c r="T237" s="5" t="str">
        <f>IFERROR(__xludf.DUMMYFUNCTION("""COMPUTED_VALUE"""),"No")</f>
        <v>No</v>
      </c>
      <c r="U237" s="5" t="str">
        <f>IFERROR(__xludf.DUMMYFUNCTION("""COMPUTED_VALUE"""),"No")</f>
        <v>No</v>
      </c>
      <c r="V237" s="5" t="str">
        <f>IFERROR(__xludf.DUMMYFUNCTION("""COMPUTED_VALUE"""),"No")</f>
        <v>No</v>
      </c>
      <c r="W237" s="5" t="str">
        <f>IFERROR(__xludf.DUMMYFUNCTION("""COMPUTED_VALUE"""),"No")</f>
        <v>No</v>
      </c>
      <c r="X237" s="5" t="str">
        <f>IFERROR(__xludf.DUMMYFUNCTION("""COMPUTED_VALUE"""),"No")</f>
        <v>No</v>
      </c>
      <c r="Y237" s="5"/>
      <c r="Z237" s="5"/>
      <c r="AA237" s="5"/>
      <c r="AB237" s="5"/>
      <c r="AC237" s="5" t="str">
        <f>IFERROR(__xludf.DUMMYFUNCTION("""COMPUTED_VALUE"""),"No")</f>
        <v>No</v>
      </c>
      <c r="AD237" s="5"/>
      <c r="AE237" s="5"/>
      <c r="AF237" s="5"/>
      <c r="AG237" s="5"/>
      <c r="AH237" s="5"/>
      <c r="AI237" s="5"/>
      <c r="AJ237" s="5"/>
      <c r="AK237" s="5"/>
      <c r="AL237" s="5"/>
      <c r="AM237" s="5"/>
      <c r="AN237" s="5"/>
      <c r="AO237" s="5"/>
      <c r="AP237" s="5"/>
      <c r="AQ237" s="5"/>
      <c r="AR237" s="5"/>
      <c r="AS237" s="5"/>
      <c r="AT237" s="5"/>
      <c r="AU237" s="5"/>
      <c r="AV237" s="5"/>
      <c r="AW237" s="5"/>
      <c r="AX237" s="5"/>
      <c r="AY237" s="5"/>
    </row>
    <row r="238">
      <c r="A2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8" s="5">
        <f>IFERROR(__xludf.DUMMYFUNCTION("""COMPUTED_VALUE"""),238.0)</f>
        <v>238</v>
      </c>
      <c r="C238" s="5">
        <f>IFERROR(__xludf.DUMMYFUNCTION("""COMPUTED_VALUE"""),237.0)</f>
        <v>237</v>
      </c>
      <c r="D238" s="5" t="str">
        <f>IFERROR(__xludf.DUMMYFUNCTION("""COMPUTED_VALUE"""),"WildHot40FreeSpins")</f>
        <v>WildHot40FreeSpins</v>
      </c>
      <c r="E238" s="5" t="str">
        <f>IFERROR(__xludf.DUMMYFUNCTION("""COMPUTED_VALUE"""),"Yes")</f>
        <v>Yes</v>
      </c>
      <c r="F238" s="5" t="str">
        <f>IFERROR(__xludf.DUMMYFUNCTION("""COMPUTED_VALUE"""),"Yes")</f>
        <v>Yes</v>
      </c>
      <c r="G238" s="5" t="str">
        <f>IFERROR(__xludf.DUMMYFUNCTION("""COMPUTED_VALUE"""),"Yes")</f>
        <v>Yes</v>
      </c>
      <c r="H238" s="5" t="str">
        <f>IFERROR(__xludf.DUMMYFUNCTION("""COMPUTED_VALUE"""),"Yes")</f>
        <v>Yes</v>
      </c>
      <c r="I238" s="5" t="str">
        <f>IFERROR(__xludf.DUMMYFUNCTION("""COMPUTED_VALUE"""),"Yes")</f>
        <v>Yes</v>
      </c>
      <c r="J238" s="5" t="str">
        <f>IFERROR(__xludf.DUMMYFUNCTION("""COMPUTED_VALUE"""),"Yes")</f>
        <v>Yes</v>
      </c>
      <c r="K238" s="5" t="str">
        <f>IFERROR(__xludf.DUMMYFUNCTION("""COMPUTED_VALUE"""),"Yes")</f>
        <v>Yes</v>
      </c>
      <c r="L238" s="5" t="str">
        <f>IFERROR(__xludf.DUMMYFUNCTION("""COMPUTED_VALUE"""),"Yes")</f>
        <v>Yes</v>
      </c>
      <c r="M238" s="5" t="str">
        <f>IFERROR(__xludf.DUMMYFUNCTION("""COMPUTED_VALUE"""),"Yes")</f>
        <v>Yes</v>
      </c>
      <c r="N238" s="5" t="str">
        <f>IFERROR(__xludf.DUMMYFUNCTION("""COMPUTED_VALUE"""),"Yes")</f>
        <v>Yes</v>
      </c>
      <c r="O238" s="5" t="str">
        <f>IFERROR(__xludf.DUMMYFUNCTION("""COMPUTED_VALUE"""),"Yes")</f>
        <v>Yes</v>
      </c>
      <c r="P238" s="5" t="str">
        <f>IFERROR(__xludf.DUMMYFUNCTION("""COMPUTED_VALUE"""),"Yes")</f>
        <v>Yes</v>
      </c>
      <c r="Q238" s="5" t="str">
        <f>IFERROR(__xludf.DUMMYFUNCTION("""COMPUTED_VALUE"""),"Yes")</f>
        <v>Yes</v>
      </c>
      <c r="R238" s="5" t="str">
        <f>IFERROR(__xludf.DUMMYFUNCTION("""COMPUTED_VALUE"""),"Yes")</f>
        <v>Yes</v>
      </c>
      <c r="S238" s="5" t="str">
        <f>IFERROR(__xludf.DUMMYFUNCTION("""COMPUTED_VALUE"""),"Yes")</f>
        <v>Yes</v>
      </c>
      <c r="T238" s="5" t="str">
        <f>IFERROR(__xludf.DUMMYFUNCTION("""COMPUTED_VALUE"""),"Yes")</f>
        <v>Yes</v>
      </c>
      <c r="U238" s="5" t="str">
        <f>IFERROR(__xludf.DUMMYFUNCTION("""COMPUTED_VALUE"""),"Yes")</f>
        <v>Yes</v>
      </c>
      <c r="V238" s="5" t="str">
        <f>IFERROR(__xludf.DUMMYFUNCTION("""COMPUTED_VALUE"""),"Yes")</f>
        <v>Yes</v>
      </c>
      <c r="W238" s="5" t="str">
        <f>IFERROR(__xludf.DUMMYFUNCTION("""COMPUTED_VALUE"""),"Yes")</f>
        <v>Yes</v>
      </c>
      <c r="X238" s="5" t="str">
        <f>IFERROR(__xludf.DUMMYFUNCTION("""COMPUTED_VALUE"""),"Yes")</f>
        <v>Yes</v>
      </c>
      <c r="Y238" s="5" t="str">
        <f>IFERROR(__xludf.DUMMYFUNCTION("""COMPUTED_VALUE"""),"Yes")</f>
        <v>Yes</v>
      </c>
      <c r="Z238" s="5" t="str">
        <f>IFERROR(__xludf.DUMMYFUNCTION("""COMPUTED_VALUE"""),"No")</f>
        <v>No</v>
      </c>
      <c r="AA238" s="5" t="str">
        <f>IFERROR(__xludf.DUMMYFUNCTION("""COMPUTED_VALUE"""),"Yes")</f>
        <v>Yes</v>
      </c>
      <c r="AB238" s="5" t="str">
        <f>IFERROR(__xludf.DUMMYFUNCTION("""COMPUTED_VALUE"""),"Yes")</f>
        <v>Yes</v>
      </c>
      <c r="AC238" s="5" t="str">
        <f>IFERROR(__xludf.DUMMYFUNCTION("""COMPUTED_VALUE"""),"Yes")</f>
        <v>Yes</v>
      </c>
      <c r="AD238" s="5" t="str">
        <f>IFERROR(__xludf.DUMMYFUNCTION("""COMPUTED_VALUE"""),"Yes")</f>
        <v>Yes</v>
      </c>
      <c r="AE238" s="5" t="str">
        <f>IFERROR(__xludf.DUMMYFUNCTION("""COMPUTED_VALUE"""),"No")</f>
        <v>No</v>
      </c>
      <c r="AF238" s="5" t="str">
        <f>IFERROR(__xludf.DUMMYFUNCTION("""COMPUTED_VALUE"""),"Yes")</f>
        <v>Yes</v>
      </c>
      <c r="AG238" s="5" t="str">
        <f>IFERROR(__xludf.DUMMYFUNCTION("""COMPUTED_VALUE"""),"No")</f>
        <v>No</v>
      </c>
      <c r="AH238" s="5" t="str">
        <f>IFERROR(__xludf.DUMMYFUNCTION("""COMPUTED_VALUE"""),"No")</f>
        <v>No</v>
      </c>
      <c r="AI238" s="5" t="str">
        <f>IFERROR(__xludf.DUMMYFUNCTION("""COMPUTED_VALUE"""),"No")</f>
        <v>No</v>
      </c>
      <c r="AJ238" s="5" t="str">
        <f>IFERROR(__xludf.DUMMYFUNCTION("""COMPUTED_VALUE"""),"No")</f>
        <v>No</v>
      </c>
      <c r="AK238" s="5" t="str">
        <f>IFERROR(__xludf.DUMMYFUNCTION("""COMPUTED_VALUE"""),"No")</f>
        <v>No</v>
      </c>
      <c r="AL238" s="5" t="str">
        <f>IFERROR(__xludf.DUMMYFUNCTION("""COMPUTED_VALUE"""),"No")</f>
        <v>No</v>
      </c>
      <c r="AM238" s="5"/>
      <c r="AN238" s="5"/>
      <c r="AO238" s="5"/>
      <c r="AP238" s="5"/>
      <c r="AQ238" s="5"/>
      <c r="AR238" s="5"/>
      <c r="AS238" s="5"/>
      <c r="AT238" s="5"/>
      <c r="AU238" s="5"/>
      <c r="AV238" s="5"/>
      <c r="AW238" s="5"/>
      <c r="AX238" s="5"/>
      <c r="AY238" s="5"/>
    </row>
    <row r="239">
      <c r="A2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9" s="5">
        <f>IFERROR(__xludf.DUMMYFUNCTION("""COMPUTED_VALUE"""),239.0)</f>
        <v>239</v>
      </c>
      <c r="C239" s="5">
        <f>IFERROR(__xludf.DUMMYFUNCTION("""COMPUTED_VALUE"""),238.0)</f>
        <v>238</v>
      </c>
      <c r="D239" s="5" t="str">
        <f>IFERROR(__xludf.DUMMYFUNCTION("""COMPUTED_VALUE"""),"UnicornMoneyStandardDice")</f>
        <v>UnicornMoneyStandardDice</v>
      </c>
      <c r="E239" s="5" t="str">
        <f>IFERROR(__xludf.DUMMYFUNCTION("""COMPUTED_VALUE"""),"Yes")</f>
        <v>Yes</v>
      </c>
      <c r="F239" s="5" t="str">
        <f>IFERROR(__xludf.DUMMYFUNCTION("""COMPUTED_VALUE"""),"Yes")</f>
        <v>Yes</v>
      </c>
      <c r="G239" s="5" t="str">
        <f>IFERROR(__xludf.DUMMYFUNCTION("""COMPUTED_VALUE"""),"Yes")</f>
        <v>Yes</v>
      </c>
      <c r="H239" s="5" t="str">
        <f>IFERROR(__xludf.DUMMYFUNCTION("""COMPUTED_VALUE"""),"Yes")</f>
        <v>Yes</v>
      </c>
      <c r="I239" s="5" t="str">
        <f>IFERROR(__xludf.DUMMYFUNCTION("""COMPUTED_VALUE"""),"Yes")</f>
        <v>Yes</v>
      </c>
      <c r="J239" s="5" t="str">
        <f>IFERROR(__xludf.DUMMYFUNCTION("""COMPUTED_VALUE"""),"Yes")</f>
        <v>Yes</v>
      </c>
      <c r="K239" s="5" t="str">
        <f>IFERROR(__xludf.DUMMYFUNCTION("""COMPUTED_VALUE"""),"Yes")</f>
        <v>Yes</v>
      </c>
      <c r="L239" s="5" t="str">
        <f>IFERROR(__xludf.DUMMYFUNCTION("""COMPUTED_VALUE"""),"Yes")</f>
        <v>Yes</v>
      </c>
      <c r="M239" s="5" t="str">
        <f>IFERROR(__xludf.DUMMYFUNCTION("""COMPUTED_VALUE"""),"Yes")</f>
        <v>Yes</v>
      </c>
      <c r="N239" s="5" t="str">
        <f>IFERROR(__xludf.DUMMYFUNCTION("""COMPUTED_VALUE"""),"Yes")</f>
        <v>Yes</v>
      </c>
      <c r="O239" s="5" t="str">
        <f>IFERROR(__xludf.DUMMYFUNCTION("""COMPUTED_VALUE"""),"Yes")</f>
        <v>Yes</v>
      </c>
      <c r="P239" s="5" t="str">
        <f>IFERROR(__xludf.DUMMYFUNCTION("""COMPUTED_VALUE"""),"Yes")</f>
        <v>Yes</v>
      </c>
      <c r="Q239" s="5" t="str">
        <f>IFERROR(__xludf.DUMMYFUNCTION("""COMPUTED_VALUE"""),"Yes")</f>
        <v>Yes</v>
      </c>
      <c r="R239" s="5" t="str">
        <f>IFERROR(__xludf.DUMMYFUNCTION("""COMPUTED_VALUE"""),"Yes")</f>
        <v>Yes</v>
      </c>
      <c r="S239" s="5" t="str">
        <f>IFERROR(__xludf.DUMMYFUNCTION("""COMPUTED_VALUE"""),"Yes")</f>
        <v>Yes</v>
      </c>
      <c r="T239" s="5" t="str">
        <f>IFERROR(__xludf.DUMMYFUNCTION("""COMPUTED_VALUE"""),"Yes")</f>
        <v>Yes</v>
      </c>
      <c r="U239" s="5" t="str">
        <f>IFERROR(__xludf.DUMMYFUNCTION("""COMPUTED_VALUE"""),"Yes")</f>
        <v>Yes</v>
      </c>
      <c r="V239" s="5" t="str">
        <f>IFERROR(__xludf.DUMMYFUNCTION("""COMPUTED_VALUE"""),"Yes")</f>
        <v>Yes</v>
      </c>
      <c r="W239" s="5" t="str">
        <f>IFERROR(__xludf.DUMMYFUNCTION("""COMPUTED_VALUE"""),"Yes")</f>
        <v>Yes</v>
      </c>
      <c r="X239" s="5" t="str">
        <f>IFERROR(__xludf.DUMMYFUNCTION("""COMPUTED_VALUE"""),"Yes")</f>
        <v>Yes</v>
      </c>
      <c r="Y239" s="5" t="str">
        <f>IFERROR(__xludf.DUMMYFUNCTION("""COMPUTED_VALUE"""),"Yes")</f>
        <v>Yes</v>
      </c>
      <c r="Z239" s="5"/>
      <c r="AA239" s="5" t="str">
        <f>IFERROR(__xludf.DUMMYFUNCTION("""COMPUTED_VALUE"""),"Yes")</f>
        <v>Yes</v>
      </c>
      <c r="AB239" s="5" t="str">
        <f>IFERROR(__xludf.DUMMYFUNCTION("""COMPUTED_VALUE"""),"Yes")</f>
        <v>Yes</v>
      </c>
      <c r="AC239" s="5" t="str">
        <f>IFERROR(__xludf.DUMMYFUNCTION("""COMPUTED_VALUE"""),"Yes")</f>
        <v>Yes</v>
      </c>
      <c r="AD239" s="5" t="str">
        <f>IFERROR(__xludf.DUMMYFUNCTION("""COMPUTED_VALUE"""),"Yes")</f>
        <v>Yes</v>
      </c>
      <c r="AE239" s="5"/>
      <c r="AF239" s="5" t="str">
        <f>IFERROR(__xludf.DUMMYFUNCTION("""COMPUTED_VALUE"""),"Yes")</f>
        <v>Yes</v>
      </c>
      <c r="AG239" s="5"/>
      <c r="AH239" s="5"/>
      <c r="AI239" s="5"/>
      <c r="AJ239" s="5"/>
      <c r="AK239" s="5"/>
      <c r="AL239" s="5"/>
      <c r="AM239" s="5"/>
      <c r="AN239" s="5"/>
      <c r="AO239" s="5"/>
      <c r="AP239" s="5"/>
      <c r="AQ239" s="5"/>
      <c r="AR239" s="5"/>
      <c r="AS239" s="5"/>
      <c r="AT239" s="5"/>
      <c r="AU239" s="5"/>
      <c r="AV239" s="5"/>
      <c r="AW239" s="5"/>
      <c r="AX239" s="5"/>
      <c r="AY239" s="5"/>
    </row>
    <row r="240">
      <c r="A24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40" s="5">
        <f>IFERROR(__xludf.DUMMYFUNCTION("""COMPUTED_VALUE"""),240.0)</f>
        <v>240</v>
      </c>
      <c r="C240" s="5">
        <f>IFERROR(__xludf.DUMMYFUNCTION("""COMPUTED_VALUE"""),239.0)</f>
        <v>239</v>
      </c>
      <c r="D240" s="5" t="str">
        <f>IFERROR(__xludf.DUMMYFUNCTION("""COMPUTED_VALUE"""),"UnicornDoubleWildDice")</f>
        <v>UnicornDoubleWildDice</v>
      </c>
      <c r="E240" s="5" t="str">
        <f>IFERROR(__xludf.DUMMYFUNCTION("""COMPUTED_VALUE"""),"Yes")</f>
        <v>Yes</v>
      </c>
      <c r="F240" s="5" t="str">
        <f>IFERROR(__xludf.DUMMYFUNCTION("""COMPUTED_VALUE"""),"Yes")</f>
        <v>Yes</v>
      </c>
      <c r="G240" s="5" t="str">
        <f>IFERROR(__xludf.DUMMYFUNCTION("""COMPUTED_VALUE"""),"Yes")</f>
        <v>Yes</v>
      </c>
      <c r="H240" s="5" t="str">
        <f>IFERROR(__xludf.DUMMYFUNCTION("""COMPUTED_VALUE"""),"No")</f>
        <v>No</v>
      </c>
      <c r="I240" s="5" t="str">
        <f>IFERROR(__xludf.DUMMYFUNCTION("""COMPUTED_VALUE"""),"No")</f>
        <v>No</v>
      </c>
      <c r="J240" s="5" t="str">
        <f>IFERROR(__xludf.DUMMYFUNCTION("""COMPUTED_VALUE"""),"No")</f>
        <v>No</v>
      </c>
      <c r="K240" s="5" t="str">
        <f>IFERROR(__xludf.DUMMYFUNCTION("""COMPUTED_VALUE"""),"No")</f>
        <v>No</v>
      </c>
      <c r="L240" s="5" t="str">
        <f>IFERROR(__xludf.DUMMYFUNCTION("""COMPUTED_VALUE"""),"No")</f>
        <v>No</v>
      </c>
      <c r="M240" s="5" t="str">
        <f>IFERROR(__xludf.DUMMYFUNCTION("""COMPUTED_VALUE"""),"Yes")</f>
        <v>Yes</v>
      </c>
      <c r="N240" s="5" t="str">
        <f>IFERROR(__xludf.DUMMYFUNCTION("""COMPUTED_VALUE"""),"Yes")</f>
        <v>Yes</v>
      </c>
      <c r="O240" s="5" t="str">
        <f>IFERROR(__xludf.DUMMYFUNCTION("""COMPUTED_VALUE"""),"Yes")</f>
        <v>Yes</v>
      </c>
      <c r="P240" s="5" t="str">
        <f>IFERROR(__xludf.DUMMYFUNCTION("""COMPUTED_VALUE"""),"Yes")</f>
        <v>Yes</v>
      </c>
      <c r="Q240" s="5" t="str">
        <f>IFERROR(__xludf.DUMMYFUNCTION("""COMPUTED_VALUE"""),"Yes")</f>
        <v>Yes</v>
      </c>
      <c r="R240" s="5" t="str">
        <f>IFERROR(__xludf.DUMMYFUNCTION("""COMPUTED_VALUE"""),"No")</f>
        <v>No</v>
      </c>
      <c r="S240" s="5" t="str">
        <f>IFERROR(__xludf.DUMMYFUNCTION("""COMPUTED_VALUE"""),"Yes")</f>
        <v>Yes</v>
      </c>
      <c r="T240" s="5" t="str">
        <f>IFERROR(__xludf.DUMMYFUNCTION("""COMPUTED_VALUE"""),"No")</f>
        <v>No</v>
      </c>
      <c r="U240" s="5" t="str">
        <f>IFERROR(__xludf.DUMMYFUNCTION("""COMPUTED_VALUE"""),"No")</f>
        <v>No</v>
      </c>
      <c r="V240" s="5" t="str">
        <f>IFERROR(__xludf.DUMMYFUNCTION("""COMPUTED_VALUE"""),"No")</f>
        <v>No</v>
      </c>
      <c r="W240" s="5" t="str">
        <f>IFERROR(__xludf.DUMMYFUNCTION("""COMPUTED_VALUE"""),"No")</f>
        <v>No</v>
      </c>
      <c r="X240" s="5" t="str">
        <f>IFERROR(__xludf.DUMMYFUNCTION("""COMPUTED_VALUE"""),"No")</f>
        <v>No</v>
      </c>
      <c r="Y240" s="5"/>
      <c r="Z240" s="5"/>
      <c r="AA240" s="5"/>
      <c r="AB240" s="5"/>
      <c r="AC240" s="5" t="str">
        <f>IFERROR(__xludf.DUMMYFUNCTION("""COMPUTED_VALUE"""),"No")</f>
        <v>No</v>
      </c>
      <c r="AD240" s="5"/>
      <c r="AE240" s="5"/>
      <c r="AF240" s="5"/>
      <c r="AG240" s="5"/>
      <c r="AH240" s="5"/>
      <c r="AI240" s="5"/>
      <c r="AJ240" s="5"/>
      <c r="AK240" s="5"/>
      <c r="AL240" s="5"/>
      <c r="AM240" s="5"/>
      <c r="AN240" s="5"/>
      <c r="AO240" s="5"/>
      <c r="AP240" s="5"/>
      <c r="AQ240" s="5"/>
      <c r="AR240" s="5"/>
      <c r="AS240" s="5"/>
      <c r="AT240" s="5"/>
      <c r="AU240" s="5"/>
      <c r="AV240" s="5"/>
      <c r="AW240" s="5"/>
      <c r="AX240" s="5"/>
      <c r="AY240" s="5"/>
    </row>
    <row r="241">
      <c r="A2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1" s="5">
        <f>IFERROR(__xludf.DUMMYFUNCTION("""COMPUTED_VALUE"""),241.0)</f>
        <v>241</v>
      </c>
      <c r="C241" s="5">
        <f>IFERROR(__xludf.DUMMYFUNCTION("""COMPUTED_VALUE"""),240.0)</f>
        <v>240</v>
      </c>
      <c r="D241" s="5" t="str">
        <f>IFERROR(__xludf.DUMMYFUNCTION("""COMPUTED_VALUE"""),"PiratesFazi")</f>
        <v>PiratesFazi</v>
      </c>
      <c r="E241" s="5" t="str">
        <f>IFERROR(__xludf.DUMMYFUNCTION("""COMPUTED_VALUE"""),"Yes")</f>
        <v>Yes</v>
      </c>
      <c r="F241" s="5" t="str">
        <f>IFERROR(__xludf.DUMMYFUNCTION("""COMPUTED_VALUE"""),"Yes")</f>
        <v>Yes</v>
      </c>
      <c r="G241" s="5" t="str">
        <f>IFERROR(__xludf.DUMMYFUNCTION("""COMPUTED_VALUE"""),"Yes")</f>
        <v>Yes</v>
      </c>
      <c r="H241" s="5" t="str">
        <f>IFERROR(__xludf.DUMMYFUNCTION("""COMPUTED_VALUE"""),"Yes")</f>
        <v>Yes</v>
      </c>
      <c r="I241" s="5" t="str">
        <f>IFERROR(__xludf.DUMMYFUNCTION("""COMPUTED_VALUE"""),"Yes")</f>
        <v>Yes</v>
      </c>
      <c r="J241" s="5" t="str">
        <f>IFERROR(__xludf.DUMMYFUNCTION("""COMPUTED_VALUE"""),"Yes")</f>
        <v>Yes</v>
      </c>
      <c r="K241" s="5" t="str">
        <f>IFERROR(__xludf.DUMMYFUNCTION("""COMPUTED_VALUE"""),"Yes")</f>
        <v>Yes</v>
      </c>
      <c r="L241" s="5" t="str">
        <f>IFERROR(__xludf.DUMMYFUNCTION("""COMPUTED_VALUE"""),"Yes")</f>
        <v>Yes</v>
      </c>
      <c r="M241" s="5" t="str">
        <f>IFERROR(__xludf.DUMMYFUNCTION("""COMPUTED_VALUE"""),"Yes")</f>
        <v>Yes</v>
      </c>
      <c r="N241" s="5" t="str">
        <f>IFERROR(__xludf.DUMMYFUNCTION("""COMPUTED_VALUE"""),"Yes")</f>
        <v>Yes</v>
      </c>
      <c r="O241" s="5" t="str">
        <f>IFERROR(__xludf.DUMMYFUNCTION("""COMPUTED_VALUE"""),"Yes")</f>
        <v>Yes</v>
      </c>
      <c r="P241" s="5" t="str">
        <f>IFERROR(__xludf.DUMMYFUNCTION("""COMPUTED_VALUE"""),"Yes")</f>
        <v>Yes</v>
      </c>
      <c r="Q241" s="5" t="str">
        <f>IFERROR(__xludf.DUMMYFUNCTION("""COMPUTED_VALUE"""),"Yes")</f>
        <v>Yes</v>
      </c>
      <c r="R241" s="5" t="str">
        <f>IFERROR(__xludf.DUMMYFUNCTION("""COMPUTED_VALUE"""),"Yes")</f>
        <v>Yes</v>
      </c>
      <c r="S241" s="5" t="str">
        <f>IFERROR(__xludf.DUMMYFUNCTION("""COMPUTED_VALUE"""),"Yes")</f>
        <v>Yes</v>
      </c>
      <c r="T241" s="5" t="str">
        <f>IFERROR(__xludf.DUMMYFUNCTION("""COMPUTED_VALUE"""),"Yes")</f>
        <v>Yes</v>
      </c>
      <c r="U241" s="5" t="str">
        <f>IFERROR(__xludf.DUMMYFUNCTION("""COMPUTED_VALUE"""),"Yes")</f>
        <v>Yes</v>
      </c>
      <c r="V241" s="5" t="str">
        <f>IFERROR(__xludf.DUMMYFUNCTION("""COMPUTED_VALUE"""),"Yes")</f>
        <v>Yes</v>
      </c>
      <c r="W241" s="5" t="str">
        <f>IFERROR(__xludf.DUMMYFUNCTION("""COMPUTED_VALUE"""),"Yes")</f>
        <v>Yes</v>
      </c>
      <c r="X241" s="5" t="str">
        <f>IFERROR(__xludf.DUMMYFUNCTION("""COMPUTED_VALUE"""),"Yes")</f>
        <v>Yes</v>
      </c>
      <c r="Y241" s="5" t="str">
        <f>IFERROR(__xludf.DUMMYFUNCTION("""COMPUTED_VALUE"""),"Yes")</f>
        <v>Yes</v>
      </c>
      <c r="Z241" s="5" t="str">
        <f>IFERROR(__xludf.DUMMYFUNCTION("""COMPUTED_VALUE"""),"Yes")</f>
        <v>Yes</v>
      </c>
      <c r="AA241" s="5" t="str">
        <f>IFERROR(__xludf.DUMMYFUNCTION("""COMPUTED_VALUE"""),"Yes")</f>
        <v>Yes</v>
      </c>
      <c r="AB241" s="5" t="str">
        <f>IFERROR(__xludf.DUMMYFUNCTION("""COMPUTED_VALUE"""),"Yes")</f>
        <v>Yes</v>
      </c>
      <c r="AC241" s="5" t="str">
        <f>IFERROR(__xludf.DUMMYFUNCTION("""COMPUTED_VALUE"""),"Yes")</f>
        <v>Yes</v>
      </c>
      <c r="AD241" s="5" t="str">
        <f>IFERROR(__xludf.DUMMYFUNCTION("""COMPUTED_VALUE"""),"Yes")</f>
        <v>Yes</v>
      </c>
      <c r="AE241" s="5" t="str">
        <f>IFERROR(__xludf.DUMMYFUNCTION("""COMPUTED_VALUE"""),"Yes")</f>
        <v>Yes</v>
      </c>
      <c r="AF241" s="5" t="str">
        <f>IFERROR(__xludf.DUMMYFUNCTION("""COMPUTED_VALUE"""),"Yes")</f>
        <v>Yes</v>
      </c>
      <c r="AG241" s="5" t="str">
        <f>IFERROR(__xludf.DUMMYFUNCTION("""COMPUTED_VALUE"""),"Yes")</f>
        <v>Yes</v>
      </c>
      <c r="AH241" s="5" t="str">
        <f>IFERROR(__xludf.DUMMYFUNCTION("""COMPUTED_VALUE"""),"Yes")</f>
        <v>Yes</v>
      </c>
      <c r="AI241" s="5" t="str">
        <f>IFERROR(__xludf.DUMMYFUNCTION("""COMPUTED_VALUE"""),"No")</f>
        <v>No</v>
      </c>
      <c r="AJ241" s="5" t="str">
        <f>IFERROR(__xludf.DUMMYFUNCTION("""COMPUTED_VALUE"""),"No")</f>
        <v>No</v>
      </c>
      <c r="AK241" s="5" t="str">
        <f>IFERROR(__xludf.DUMMYFUNCTION("""COMPUTED_VALUE"""),"No")</f>
        <v>No</v>
      </c>
      <c r="AL241" s="5" t="str">
        <f>IFERROR(__xludf.DUMMYFUNCTION("""COMPUTED_VALUE"""),"No")</f>
        <v>No</v>
      </c>
      <c r="AM241" s="5"/>
      <c r="AN241" s="5"/>
      <c r="AO241" s="5"/>
      <c r="AP241" s="5"/>
      <c r="AQ241" s="5"/>
      <c r="AR241" s="5"/>
      <c r="AS241" s="5"/>
      <c r="AT241" s="5"/>
      <c r="AU241" s="5"/>
      <c r="AV241" s="5"/>
      <c r="AW241" s="5"/>
      <c r="AX241" s="5"/>
      <c r="AY241" s="5"/>
    </row>
    <row r="242">
      <c r="A2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2" s="5">
        <f>IFERROR(__xludf.DUMMYFUNCTION("""COMPUTED_VALUE"""),242.0)</f>
        <v>242</v>
      </c>
      <c r="C242" s="5">
        <f>IFERROR(__xludf.DUMMYFUNCTION("""COMPUTED_VALUE"""),241.0)</f>
        <v>241</v>
      </c>
      <c r="D242" s="5" t="str">
        <f>IFERROR(__xludf.DUMMYFUNCTION("""COMPUTED_VALUE"""),"SuperLucky")</f>
        <v>SuperLucky</v>
      </c>
      <c r="E242" s="5" t="str">
        <f>IFERROR(__xludf.DUMMYFUNCTION("""COMPUTED_VALUE"""),"Yes")</f>
        <v>Yes</v>
      </c>
      <c r="F242" s="5" t="str">
        <f>IFERROR(__xludf.DUMMYFUNCTION("""COMPUTED_VALUE"""),"Yes")</f>
        <v>Yes</v>
      </c>
      <c r="G242" s="5" t="str">
        <f>IFERROR(__xludf.DUMMYFUNCTION("""COMPUTED_VALUE"""),"Yes")</f>
        <v>Yes</v>
      </c>
      <c r="H242" s="5" t="str">
        <f>IFERROR(__xludf.DUMMYFUNCTION("""COMPUTED_VALUE"""),"Yes")</f>
        <v>Yes</v>
      </c>
      <c r="I242" s="5" t="str">
        <f>IFERROR(__xludf.DUMMYFUNCTION("""COMPUTED_VALUE"""),"Yes")</f>
        <v>Yes</v>
      </c>
      <c r="J242" s="5" t="str">
        <f>IFERROR(__xludf.DUMMYFUNCTION("""COMPUTED_VALUE"""),"Yes")</f>
        <v>Yes</v>
      </c>
      <c r="K242" s="5" t="str">
        <f>IFERROR(__xludf.DUMMYFUNCTION("""COMPUTED_VALUE"""),"Yes")</f>
        <v>Yes</v>
      </c>
      <c r="L242" s="5" t="str">
        <f>IFERROR(__xludf.DUMMYFUNCTION("""COMPUTED_VALUE"""),"Yes")</f>
        <v>Yes</v>
      </c>
      <c r="M242" s="5" t="str">
        <f>IFERROR(__xludf.DUMMYFUNCTION("""COMPUTED_VALUE"""),"Yes")</f>
        <v>Yes</v>
      </c>
      <c r="N242" s="5" t="str">
        <f>IFERROR(__xludf.DUMMYFUNCTION("""COMPUTED_VALUE"""),"Yes")</f>
        <v>Yes</v>
      </c>
      <c r="O242" s="5" t="str">
        <f>IFERROR(__xludf.DUMMYFUNCTION("""COMPUTED_VALUE"""),"Yes")</f>
        <v>Yes</v>
      </c>
      <c r="P242" s="5" t="str">
        <f>IFERROR(__xludf.DUMMYFUNCTION("""COMPUTED_VALUE"""),"Yes")</f>
        <v>Yes</v>
      </c>
      <c r="Q242" s="5" t="str">
        <f>IFERROR(__xludf.DUMMYFUNCTION("""COMPUTED_VALUE"""),"Yes")</f>
        <v>Yes</v>
      </c>
      <c r="R242" s="5" t="str">
        <f>IFERROR(__xludf.DUMMYFUNCTION("""COMPUTED_VALUE"""),"Yes")</f>
        <v>Yes</v>
      </c>
      <c r="S242" s="5" t="str">
        <f>IFERROR(__xludf.DUMMYFUNCTION("""COMPUTED_VALUE"""),"Yes")</f>
        <v>Yes</v>
      </c>
      <c r="T242" s="5" t="str">
        <f>IFERROR(__xludf.DUMMYFUNCTION("""COMPUTED_VALUE"""),"Yes")</f>
        <v>Yes</v>
      </c>
      <c r="U242" s="5" t="str">
        <f>IFERROR(__xludf.DUMMYFUNCTION("""COMPUTED_VALUE"""),"Yes")</f>
        <v>Yes</v>
      </c>
      <c r="V242" s="5" t="str">
        <f>IFERROR(__xludf.DUMMYFUNCTION("""COMPUTED_VALUE"""),"Yes")</f>
        <v>Yes</v>
      </c>
      <c r="W242" s="5" t="str">
        <f>IFERROR(__xludf.DUMMYFUNCTION("""COMPUTED_VALUE"""),"Yes")</f>
        <v>Yes</v>
      </c>
      <c r="X242" s="5" t="str">
        <f>IFERROR(__xludf.DUMMYFUNCTION("""COMPUTED_VALUE"""),"Yes")</f>
        <v>Yes</v>
      </c>
      <c r="Y242" s="5" t="str">
        <f>IFERROR(__xludf.DUMMYFUNCTION("""COMPUTED_VALUE"""),"Yes")</f>
        <v>Yes</v>
      </c>
      <c r="Z242" s="5"/>
      <c r="AA242" s="5"/>
      <c r="AB242" s="5"/>
      <c r="AC242" s="5" t="str">
        <f>IFERROR(__xludf.DUMMYFUNCTION("""COMPUTED_VALUE"""),"Yes")</f>
        <v>Yes</v>
      </c>
      <c r="AD242" s="5"/>
      <c r="AE242" s="5"/>
      <c r="AF242" s="5"/>
      <c r="AG242" s="5"/>
      <c r="AH242" s="5"/>
      <c r="AI242" s="5"/>
      <c r="AJ242" s="5"/>
      <c r="AK242" s="5"/>
      <c r="AL242" s="5"/>
      <c r="AM242" s="5"/>
      <c r="AN242" s="5"/>
      <c r="AO242" s="5"/>
      <c r="AP242" s="5"/>
      <c r="AQ242" s="5"/>
      <c r="AR242" s="5"/>
      <c r="AS242" s="5"/>
      <c r="AT242" s="5"/>
      <c r="AU242" s="5"/>
      <c r="AV242" s="5"/>
      <c r="AW242" s="5"/>
      <c r="AX242" s="5"/>
      <c r="AY242" s="5"/>
    </row>
    <row r="243">
      <c r="A2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3" s="5">
        <f>IFERROR(__xludf.DUMMYFUNCTION("""COMPUTED_VALUE"""),243.0)</f>
        <v>243</v>
      </c>
      <c r="C243" s="5">
        <f>IFERROR(__xludf.DUMMYFUNCTION("""COMPUTED_VALUE"""),242.0)</f>
        <v>242</v>
      </c>
      <c r="D243" s="5" t="str">
        <f>IFERROR(__xludf.DUMMYFUNCTION("""COMPUTED_VALUE"""),"EpicClover40")</f>
        <v>EpicClover40</v>
      </c>
      <c r="E243" s="5" t="str">
        <f>IFERROR(__xludf.DUMMYFUNCTION("""COMPUTED_VALUE"""),"Yes")</f>
        <v>Yes</v>
      </c>
      <c r="F243" s="5" t="str">
        <f>IFERROR(__xludf.DUMMYFUNCTION("""COMPUTED_VALUE"""),"Yes")</f>
        <v>Yes</v>
      </c>
      <c r="G243" s="5" t="str">
        <f>IFERROR(__xludf.DUMMYFUNCTION("""COMPUTED_VALUE"""),"Yes")</f>
        <v>Yes</v>
      </c>
      <c r="H243" s="5" t="str">
        <f>IFERROR(__xludf.DUMMYFUNCTION("""COMPUTED_VALUE"""),"Yes")</f>
        <v>Yes</v>
      </c>
      <c r="I243" s="5" t="str">
        <f>IFERROR(__xludf.DUMMYFUNCTION("""COMPUTED_VALUE"""),"Yes")</f>
        <v>Yes</v>
      </c>
      <c r="J243" s="5" t="str">
        <f>IFERROR(__xludf.DUMMYFUNCTION("""COMPUTED_VALUE"""),"Yes")</f>
        <v>Yes</v>
      </c>
      <c r="K243" s="5" t="str">
        <f>IFERROR(__xludf.DUMMYFUNCTION("""COMPUTED_VALUE"""),"Yes")</f>
        <v>Yes</v>
      </c>
      <c r="L243" s="5" t="str">
        <f>IFERROR(__xludf.DUMMYFUNCTION("""COMPUTED_VALUE"""),"Yes")</f>
        <v>Yes</v>
      </c>
      <c r="M243" s="5" t="str">
        <f>IFERROR(__xludf.DUMMYFUNCTION("""COMPUTED_VALUE"""),"Yes")</f>
        <v>Yes</v>
      </c>
      <c r="N243" s="5" t="str">
        <f>IFERROR(__xludf.DUMMYFUNCTION("""COMPUTED_VALUE"""),"Yes")</f>
        <v>Yes</v>
      </c>
      <c r="O243" s="5" t="str">
        <f>IFERROR(__xludf.DUMMYFUNCTION("""COMPUTED_VALUE"""),"Yes")</f>
        <v>Yes</v>
      </c>
      <c r="P243" s="5" t="str">
        <f>IFERROR(__xludf.DUMMYFUNCTION("""COMPUTED_VALUE"""),"Yes")</f>
        <v>Yes</v>
      </c>
      <c r="Q243" s="5" t="str">
        <f>IFERROR(__xludf.DUMMYFUNCTION("""COMPUTED_VALUE"""),"Yes")</f>
        <v>Yes</v>
      </c>
      <c r="R243" s="5" t="str">
        <f>IFERROR(__xludf.DUMMYFUNCTION("""COMPUTED_VALUE"""),"Yes")</f>
        <v>Yes</v>
      </c>
      <c r="S243" s="5" t="str">
        <f>IFERROR(__xludf.DUMMYFUNCTION("""COMPUTED_VALUE"""),"Yes")</f>
        <v>Yes</v>
      </c>
      <c r="T243" s="5" t="str">
        <f>IFERROR(__xludf.DUMMYFUNCTION("""COMPUTED_VALUE"""),"Yes")</f>
        <v>Yes</v>
      </c>
      <c r="U243" s="5" t="str">
        <f>IFERROR(__xludf.DUMMYFUNCTION("""COMPUTED_VALUE"""),"Yes")</f>
        <v>Yes</v>
      </c>
      <c r="V243" s="5" t="str">
        <f>IFERROR(__xludf.DUMMYFUNCTION("""COMPUTED_VALUE"""),"Yes")</f>
        <v>Yes</v>
      </c>
      <c r="W243" s="5" t="str">
        <f>IFERROR(__xludf.DUMMYFUNCTION("""COMPUTED_VALUE"""),"Yes")</f>
        <v>Yes</v>
      </c>
      <c r="X243" s="5" t="str">
        <f>IFERROR(__xludf.DUMMYFUNCTION("""COMPUTED_VALUE"""),"Yes")</f>
        <v>Yes</v>
      </c>
      <c r="Y243" s="5" t="str">
        <f>IFERROR(__xludf.DUMMYFUNCTION("""COMPUTED_VALUE"""),"Yes")</f>
        <v>Yes</v>
      </c>
      <c r="Z243" s="5" t="str">
        <f>IFERROR(__xludf.DUMMYFUNCTION("""COMPUTED_VALUE"""),"No")</f>
        <v>No</v>
      </c>
      <c r="AA243" s="5" t="str">
        <f>IFERROR(__xludf.DUMMYFUNCTION("""COMPUTED_VALUE"""),"Yes")</f>
        <v>Yes</v>
      </c>
      <c r="AB243" s="5" t="str">
        <f>IFERROR(__xludf.DUMMYFUNCTION("""COMPUTED_VALUE"""),"Yes")</f>
        <v>Yes</v>
      </c>
      <c r="AC243" s="5" t="str">
        <f>IFERROR(__xludf.DUMMYFUNCTION("""COMPUTED_VALUE"""),"Yes")</f>
        <v>Yes</v>
      </c>
      <c r="AD243" s="5" t="str">
        <f>IFERROR(__xludf.DUMMYFUNCTION("""COMPUTED_VALUE"""),"Yes")</f>
        <v>Yes</v>
      </c>
      <c r="AE243" s="5" t="str">
        <f>IFERROR(__xludf.DUMMYFUNCTION("""COMPUTED_VALUE"""),"No")</f>
        <v>No</v>
      </c>
      <c r="AF243" s="5" t="str">
        <f>IFERROR(__xludf.DUMMYFUNCTION("""COMPUTED_VALUE"""),"Yes")</f>
        <v>Yes</v>
      </c>
      <c r="AG243" s="5" t="str">
        <f>IFERROR(__xludf.DUMMYFUNCTION("""COMPUTED_VALUE"""),"No")</f>
        <v>No</v>
      </c>
      <c r="AH243" s="5" t="str">
        <f>IFERROR(__xludf.DUMMYFUNCTION("""COMPUTED_VALUE"""),"No")</f>
        <v>No</v>
      </c>
      <c r="AI243" s="5" t="str">
        <f>IFERROR(__xludf.DUMMYFUNCTION("""COMPUTED_VALUE"""),"No")</f>
        <v>No</v>
      </c>
      <c r="AJ243" s="5" t="str">
        <f>IFERROR(__xludf.DUMMYFUNCTION("""COMPUTED_VALUE"""),"No")</f>
        <v>No</v>
      </c>
      <c r="AK243" s="5" t="str">
        <f>IFERROR(__xludf.DUMMYFUNCTION("""COMPUTED_VALUE"""),"No")</f>
        <v>No</v>
      </c>
      <c r="AL243" s="5" t="str">
        <f>IFERROR(__xludf.DUMMYFUNCTION("""COMPUTED_VALUE"""),"No")</f>
        <v>No</v>
      </c>
      <c r="AM243" s="5"/>
      <c r="AN243" s="5"/>
      <c r="AO243" s="5"/>
      <c r="AP243" s="5"/>
      <c r="AQ243" s="5"/>
      <c r="AR243" s="5"/>
      <c r="AS243" s="5"/>
      <c r="AT243" s="5"/>
      <c r="AU243" s="5"/>
      <c r="AV243" s="5"/>
      <c r="AW243" s="5"/>
      <c r="AX243" s="5"/>
      <c r="AY243" s="5"/>
    </row>
    <row r="244">
      <c r="A2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4" s="5">
        <f>IFERROR(__xludf.DUMMYFUNCTION("""COMPUTED_VALUE"""),244.0)</f>
        <v>244</v>
      </c>
      <c r="C244" s="5">
        <f>IFERROR(__xludf.DUMMYFUNCTION("""COMPUTED_VALUE"""),243.0)</f>
        <v>243</v>
      </c>
      <c r="D244" s="5" t="str">
        <f>IFERROR(__xludf.DUMMYFUNCTION("""COMPUTED_VALUE"""),"WildLuckyClover2")</f>
        <v>WildLuckyClover2</v>
      </c>
      <c r="E244" s="5" t="str">
        <f>IFERROR(__xludf.DUMMYFUNCTION("""COMPUTED_VALUE"""),"Yes")</f>
        <v>Yes</v>
      </c>
      <c r="F244" s="5" t="str">
        <f>IFERROR(__xludf.DUMMYFUNCTION("""COMPUTED_VALUE"""),"Yes")</f>
        <v>Yes</v>
      </c>
      <c r="G244" s="5" t="str">
        <f>IFERROR(__xludf.DUMMYFUNCTION("""COMPUTED_VALUE"""),"Yes")</f>
        <v>Yes</v>
      </c>
      <c r="H244" s="5" t="str">
        <f>IFERROR(__xludf.DUMMYFUNCTION("""COMPUTED_VALUE"""),"Yes")</f>
        <v>Yes</v>
      </c>
      <c r="I244" s="5" t="str">
        <f>IFERROR(__xludf.DUMMYFUNCTION("""COMPUTED_VALUE"""),"Yes")</f>
        <v>Yes</v>
      </c>
      <c r="J244" s="5" t="str">
        <f>IFERROR(__xludf.DUMMYFUNCTION("""COMPUTED_VALUE"""),"Yes")</f>
        <v>Yes</v>
      </c>
      <c r="K244" s="5" t="str">
        <f>IFERROR(__xludf.DUMMYFUNCTION("""COMPUTED_VALUE"""),"Yes")</f>
        <v>Yes</v>
      </c>
      <c r="L244" s="5" t="str">
        <f>IFERROR(__xludf.DUMMYFUNCTION("""COMPUTED_VALUE"""),"Yes")</f>
        <v>Yes</v>
      </c>
      <c r="M244" s="5" t="str">
        <f>IFERROR(__xludf.DUMMYFUNCTION("""COMPUTED_VALUE"""),"Yes")</f>
        <v>Yes</v>
      </c>
      <c r="N244" s="5" t="str">
        <f>IFERROR(__xludf.DUMMYFUNCTION("""COMPUTED_VALUE"""),"Yes")</f>
        <v>Yes</v>
      </c>
      <c r="O244" s="5" t="str">
        <f>IFERROR(__xludf.DUMMYFUNCTION("""COMPUTED_VALUE"""),"Yes")</f>
        <v>Yes</v>
      </c>
      <c r="P244" s="5" t="str">
        <f>IFERROR(__xludf.DUMMYFUNCTION("""COMPUTED_VALUE"""),"Yes")</f>
        <v>Yes</v>
      </c>
      <c r="Q244" s="5" t="str">
        <f>IFERROR(__xludf.DUMMYFUNCTION("""COMPUTED_VALUE"""),"Yes")</f>
        <v>Yes</v>
      </c>
      <c r="R244" s="5" t="str">
        <f>IFERROR(__xludf.DUMMYFUNCTION("""COMPUTED_VALUE"""),"Yes")</f>
        <v>Yes</v>
      </c>
      <c r="S244" s="5" t="str">
        <f>IFERROR(__xludf.DUMMYFUNCTION("""COMPUTED_VALUE"""),"Yes")</f>
        <v>Yes</v>
      </c>
      <c r="T244" s="5" t="str">
        <f>IFERROR(__xludf.DUMMYFUNCTION("""COMPUTED_VALUE"""),"Yes")</f>
        <v>Yes</v>
      </c>
      <c r="U244" s="5" t="str">
        <f>IFERROR(__xludf.DUMMYFUNCTION("""COMPUTED_VALUE"""),"Yes")</f>
        <v>Yes</v>
      </c>
      <c r="V244" s="5" t="str">
        <f>IFERROR(__xludf.DUMMYFUNCTION("""COMPUTED_VALUE"""),"Yes")</f>
        <v>Yes</v>
      </c>
      <c r="W244" s="5" t="str">
        <f>IFERROR(__xludf.DUMMYFUNCTION("""COMPUTED_VALUE"""),"Yes")</f>
        <v>Yes</v>
      </c>
      <c r="X244" s="5" t="str">
        <f>IFERROR(__xludf.DUMMYFUNCTION("""COMPUTED_VALUE"""),"Yes")</f>
        <v>Yes</v>
      </c>
      <c r="Y244" s="5" t="str">
        <f>IFERROR(__xludf.DUMMYFUNCTION("""COMPUTED_VALUE"""),"Yes")</f>
        <v>Yes</v>
      </c>
      <c r="Z244" s="5" t="str">
        <f>IFERROR(__xludf.DUMMYFUNCTION("""COMPUTED_VALUE"""),"No")</f>
        <v>No</v>
      </c>
      <c r="AA244" s="5" t="str">
        <f>IFERROR(__xludf.DUMMYFUNCTION("""COMPUTED_VALUE"""),"Yes")</f>
        <v>Yes</v>
      </c>
      <c r="AB244" s="5" t="str">
        <f>IFERROR(__xludf.DUMMYFUNCTION("""COMPUTED_VALUE"""),"Yes")</f>
        <v>Yes</v>
      </c>
      <c r="AC244" s="5" t="str">
        <f>IFERROR(__xludf.DUMMYFUNCTION("""COMPUTED_VALUE"""),"Yes")</f>
        <v>Yes</v>
      </c>
      <c r="AD244" s="5" t="str">
        <f>IFERROR(__xludf.DUMMYFUNCTION("""COMPUTED_VALUE"""),"Yes")</f>
        <v>Yes</v>
      </c>
      <c r="AE244" s="5" t="str">
        <f>IFERROR(__xludf.DUMMYFUNCTION("""COMPUTED_VALUE"""),"No")</f>
        <v>No</v>
      </c>
      <c r="AF244" s="5" t="str">
        <f>IFERROR(__xludf.DUMMYFUNCTION("""COMPUTED_VALUE"""),"Yes")</f>
        <v>Yes</v>
      </c>
      <c r="AG244" s="5" t="str">
        <f>IFERROR(__xludf.DUMMYFUNCTION("""COMPUTED_VALUE"""),"No")</f>
        <v>No</v>
      </c>
      <c r="AH244" s="5" t="str">
        <f>IFERROR(__xludf.DUMMYFUNCTION("""COMPUTED_VALUE"""),"No")</f>
        <v>No</v>
      </c>
      <c r="AI244" s="5" t="str">
        <f>IFERROR(__xludf.DUMMYFUNCTION("""COMPUTED_VALUE"""),"No")</f>
        <v>No</v>
      </c>
      <c r="AJ244" s="5" t="str">
        <f>IFERROR(__xludf.DUMMYFUNCTION("""COMPUTED_VALUE"""),"No")</f>
        <v>No</v>
      </c>
      <c r="AK244" s="5" t="str">
        <f>IFERROR(__xludf.DUMMYFUNCTION("""COMPUTED_VALUE"""),"No")</f>
        <v>No</v>
      </c>
      <c r="AL244" s="5" t="str">
        <f>IFERROR(__xludf.DUMMYFUNCTION("""COMPUTED_VALUE"""),"No")</f>
        <v>No</v>
      </c>
      <c r="AM244" s="5"/>
      <c r="AN244" s="5"/>
      <c r="AO244" s="5"/>
      <c r="AP244" s="5"/>
      <c r="AQ244" s="5"/>
      <c r="AR244" s="5"/>
      <c r="AS244" s="5"/>
      <c r="AT244" s="5"/>
      <c r="AU244" s="5"/>
      <c r="AV244" s="5"/>
      <c r="AW244" s="5"/>
      <c r="AX244" s="5"/>
      <c r="AY244" s="5"/>
    </row>
    <row r="245">
      <c r="A2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5" s="5">
        <f>IFERROR(__xludf.DUMMYFUNCTION("""COMPUTED_VALUE"""),245.0)</f>
        <v>245</v>
      </c>
      <c r="C245" s="5">
        <f>IFERROR(__xludf.DUMMYFUNCTION("""COMPUTED_VALUE"""),244.0)</f>
        <v>244</v>
      </c>
      <c r="D245" s="5" t="str">
        <f>IFERROR(__xludf.DUMMYFUNCTION("""COMPUTED_VALUE"""),"Unicorn40FruitReels")</f>
        <v>Unicorn40FruitReels</v>
      </c>
      <c r="E245" s="5" t="str">
        <f>IFERROR(__xludf.DUMMYFUNCTION("""COMPUTED_VALUE"""),"Yes")</f>
        <v>Yes</v>
      </c>
      <c r="F245" s="5" t="str">
        <f>IFERROR(__xludf.DUMMYFUNCTION("""COMPUTED_VALUE"""),"Yes")</f>
        <v>Yes</v>
      </c>
      <c r="G245" s="5" t="str">
        <f>IFERROR(__xludf.DUMMYFUNCTION("""COMPUTED_VALUE"""),"Yes")</f>
        <v>Yes</v>
      </c>
      <c r="H245" s="5" t="str">
        <f>IFERROR(__xludf.DUMMYFUNCTION("""COMPUTED_VALUE"""),"Yes")</f>
        <v>Yes</v>
      </c>
      <c r="I245" s="5" t="str">
        <f>IFERROR(__xludf.DUMMYFUNCTION("""COMPUTED_VALUE"""),"Yes")</f>
        <v>Yes</v>
      </c>
      <c r="J245" s="5" t="str">
        <f>IFERROR(__xludf.DUMMYFUNCTION("""COMPUTED_VALUE"""),"Yes")</f>
        <v>Yes</v>
      </c>
      <c r="K245" s="5" t="str">
        <f>IFERROR(__xludf.DUMMYFUNCTION("""COMPUTED_VALUE"""),"Yes")</f>
        <v>Yes</v>
      </c>
      <c r="L245" s="5" t="str">
        <f>IFERROR(__xludf.DUMMYFUNCTION("""COMPUTED_VALUE"""),"Yes")</f>
        <v>Yes</v>
      </c>
      <c r="M245" s="5" t="str">
        <f>IFERROR(__xludf.DUMMYFUNCTION("""COMPUTED_VALUE"""),"Yes")</f>
        <v>Yes</v>
      </c>
      <c r="N245" s="5" t="str">
        <f>IFERROR(__xludf.DUMMYFUNCTION("""COMPUTED_VALUE"""),"Yes")</f>
        <v>Yes</v>
      </c>
      <c r="O245" s="5" t="str">
        <f>IFERROR(__xludf.DUMMYFUNCTION("""COMPUTED_VALUE"""),"Yes")</f>
        <v>Yes</v>
      </c>
      <c r="P245" s="5" t="str">
        <f>IFERROR(__xludf.DUMMYFUNCTION("""COMPUTED_VALUE"""),"Yes")</f>
        <v>Yes</v>
      </c>
      <c r="Q245" s="5" t="str">
        <f>IFERROR(__xludf.DUMMYFUNCTION("""COMPUTED_VALUE"""),"Yes")</f>
        <v>Yes</v>
      </c>
      <c r="R245" s="5" t="str">
        <f>IFERROR(__xludf.DUMMYFUNCTION("""COMPUTED_VALUE"""),"Yes")</f>
        <v>Yes</v>
      </c>
      <c r="S245" s="5" t="str">
        <f>IFERROR(__xludf.DUMMYFUNCTION("""COMPUTED_VALUE"""),"Yes")</f>
        <v>Yes</v>
      </c>
      <c r="T245" s="5" t="str">
        <f>IFERROR(__xludf.DUMMYFUNCTION("""COMPUTED_VALUE"""),"Yes")</f>
        <v>Yes</v>
      </c>
      <c r="U245" s="5" t="str">
        <f>IFERROR(__xludf.DUMMYFUNCTION("""COMPUTED_VALUE"""),"Yes")</f>
        <v>Yes</v>
      </c>
      <c r="V245" s="5" t="str">
        <f>IFERROR(__xludf.DUMMYFUNCTION("""COMPUTED_VALUE"""),"Yes")</f>
        <v>Yes</v>
      </c>
      <c r="W245" s="5" t="str">
        <f>IFERROR(__xludf.DUMMYFUNCTION("""COMPUTED_VALUE"""),"Yes")</f>
        <v>Yes</v>
      </c>
      <c r="X245" s="5" t="str">
        <f>IFERROR(__xludf.DUMMYFUNCTION("""COMPUTED_VALUE"""),"Yes")</f>
        <v>Yes</v>
      </c>
      <c r="Y245" s="5" t="str">
        <f>IFERROR(__xludf.DUMMYFUNCTION("""COMPUTED_VALUE"""),"Yes")</f>
        <v>Yes</v>
      </c>
      <c r="Z245" s="5"/>
      <c r="AA245" s="5" t="str">
        <f>IFERROR(__xludf.DUMMYFUNCTION("""COMPUTED_VALUE"""),"Yes")</f>
        <v>Yes</v>
      </c>
      <c r="AB245" s="5" t="str">
        <f>IFERROR(__xludf.DUMMYFUNCTION("""COMPUTED_VALUE"""),"Yes")</f>
        <v>Yes</v>
      </c>
      <c r="AC245" s="5" t="str">
        <f>IFERROR(__xludf.DUMMYFUNCTION("""COMPUTED_VALUE"""),"Yes")</f>
        <v>Yes</v>
      </c>
      <c r="AD245" s="5" t="str">
        <f>IFERROR(__xludf.DUMMYFUNCTION("""COMPUTED_VALUE"""),"Yes")</f>
        <v>Yes</v>
      </c>
      <c r="AE245" s="5"/>
      <c r="AF245" s="5" t="str">
        <f>IFERROR(__xludf.DUMMYFUNCTION("""COMPUTED_VALUE"""),"Yes")</f>
        <v>Yes</v>
      </c>
      <c r="AG245" s="5"/>
      <c r="AH245" s="5"/>
      <c r="AI245" s="5"/>
      <c r="AJ245" s="5"/>
      <c r="AK245" s="5"/>
      <c r="AL245" s="5"/>
      <c r="AM245" s="5"/>
      <c r="AN245" s="5"/>
      <c r="AO245" s="5"/>
      <c r="AP245" s="5"/>
      <c r="AQ245" s="5"/>
      <c r="AR245" s="5"/>
      <c r="AS245" s="5"/>
      <c r="AT245" s="5"/>
      <c r="AU245" s="5"/>
      <c r="AV245" s="5"/>
      <c r="AW245" s="5"/>
      <c r="AX245" s="5"/>
      <c r="AY245" s="5"/>
    </row>
    <row r="246">
      <c r="A2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6" s="5">
        <f>IFERROR(__xludf.DUMMYFUNCTION("""COMPUTED_VALUE"""),246.0)</f>
        <v>246</v>
      </c>
      <c r="C246" s="5">
        <f>IFERROR(__xludf.DUMMYFUNCTION("""COMPUTED_VALUE"""),245.0)</f>
        <v>245</v>
      </c>
      <c r="D246" s="5" t="str">
        <f>IFERROR(__xludf.DUMMYFUNCTION("""COMPUTED_VALUE"""),"EpicCrown10")</f>
        <v>EpicCrown10</v>
      </c>
      <c r="E246" s="5" t="str">
        <f>IFERROR(__xludf.DUMMYFUNCTION("""COMPUTED_VALUE"""),"Yes")</f>
        <v>Yes</v>
      </c>
      <c r="F246" s="5" t="str">
        <f>IFERROR(__xludf.DUMMYFUNCTION("""COMPUTED_VALUE"""),"Yes")</f>
        <v>Yes</v>
      </c>
      <c r="G246" s="5" t="str">
        <f>IFERROR(__xludf.DUMMYFUNCTION("""COMPUTED_VALUE"""),"Yes")</f>
        <v>Yes</v>
      </c>
      <c r="H246" s="5" t="str">
        <f>IFERROR(__xludf.DUMMYFUNCTION("""COMPUTED_VALUE"""),"Yes")</f>
        <v>Yes</v>
      </c>
      <c r="I246" s="5" t="str">
        <f>IFERROR(__xludf.DUMMYFUNCTION("""COMPUTED_VALUE"""),"Yes")</f>
        <v>Yes</v>
      </c>
      <c r="J246" s="5" t="str">
        <f>IFERROR(__xludf.DUMMYFUNCTION("""COMPUTED_VALUE"""),"Yes")</f>
        <v>Yes</v>
      </c>
      <c r="K246" s="5" t="str">
        <f>IFERROR(__xludf.DUMMYFUNCTION("""COMPUTED_VALUE"""),"Yes")</f>
        <v>Yes</v>
      </c>
      <c r="L246" s="5" t="str">
        <f>IFERROR(__xludf.DUMMYFUNCTION("""COMPUTED_VALUE"""),"Yes")</f>
        <v>Yes</v>
      </c>
      <c r="M246" s="5" t="str">
        <f>IFERROR(__xludf.DUMMYFUNCTION("""COMPUTED_VALUE"""),"Yes")</f>
        <v>Yes</v>
      </c>
      <c r="N246" s="5" t="str">
        <f>IFERROR(__xludf.DUMMYFUNCTION("""COMPUTED_VALUE"""),"Yes")</f>
        <v>Yes</v>
      </c>
      <c r="O246" s="5" t="str">
        <f>IFERROR(__xludf.DUMMYFUNCTION("""COMPUTED_VALUE"""),"Yes")</f>
        <v>Yes</v>
      </c>
      <c r="P246" s="5" t="str">
        <f>IFERROR(__xludf.DUMMYFUNCTION("""COMPUTED_VALUE"""),"Yes")</f>
        <v>Yes</v>
      </c>
      <c r="Q246" s="5" t="str">
        <f>IFERROR(__xludf.DUMMYFUNCTION("""COMPUTED_VALUE"""),"Yes")</f>
        <v>Yes</v>
      </c>
      <c r="R246" s="5" t="str">
        <f>IFERROR(__xludf.DUMMYFUNCTION("""COMPUTED_VALUE"""),"Yes")</f>
        <v>Yes</v>
      </c>
      <c r="S246" s="5" t="str">
        <f>IFERROR(__xludf.DUMMYFUNCTION("""COMPUTED_VALUE"""),"Yes")</f>
        <v>Yes</v>
      </c>
      <c r="T246" s="5" t="str">
        <f>IFERROR(__xludf.DUMMYFUNCTION("""COMPUTED_VALUE"""),"Yes")</f>
        <v>Yes</v>
      </c>
      <c r="U246" s="5" t="str">
        <f>IFERROR(__xludf.DUMMYFUNCTION("""COMPUTED_VALUE"""),"Yes")</f>
        <v>Yes</v>
      </c>
      <c r="V246" s="5" t="str">
        <f>IFERROR(__xludf.DUMMYFUNCTION("""COMPUTED_VALUE"""),"Yes")</f>
        <v>Yes</v>
      </c>
      <c r="W246" s="5" t="str">
        <f>IFERROR(__xludf.DUMMYFUNCTION("""COMPUTED_VALUE"""),"Yes")</f>
        <v>Yes</v>
      </c>
      <c r="X246" s="5" t="str">
        <f>IFERROR(__xludf.DUMMYFUNCTION("""COMPUTED_VALUE"""),"Yes")</f>
        <v>Yes</v>
      </c>
      <c r="Y246" s="5" t="str">
        <f>IFERROR(__xludf.DUMMYFUNCTION("""COMPUTED_VALUE"""),"Yes")</f>
        <v>Yes</v>
      </c>
      <c r="Z246" s="5" t="str">
        <f>IFERROR(__xludf.DUMMYFUNCTION("""COMPUTED_VALUE"""),"No")</f>
        <v>No</v>
      </c>
      <c r="AA246" s="5" t="str">
        <f>IFERROR(__xludf.DUMMYFUNCTION("""COMPUTED_VALUE"""),"Yes")</f>
        <v>Yes</v>
      </c>
      <c r="AB246" s="5" t="str">
        <f>IFERROR(__xludf.DUMMYFUNCTION("""COMPUTED_VALUE"""),"Yes")</f>
        <v>Yes</v>
      </c>
      <c r="AC246" s="5" t="str">
        <f>IFERROR(__xludf.DUMMYFUNCTION("""COMPUTED_VALUE"""),"Yes")</f>
        <v>Yes</v>
      </c>
      <c r="AD246" s="5" t="str">
        <f>IFERROR(__xludf.DUMMYFUNCTION("""COMPUTED_VALUE"""),"Yes")</f>
        <v>Yes</v>
      </c>
      <c r="AE246" s="5" t="str">
        <f>IFERROR(__xludf.DUMMYFUNCTION("""COMPUTED_VALUE"""),"No")</f>
        <v>No</v>
      </c>
      <c r="AF246" s="5" t="str">
        <f>IFERROR(__xludf.DUMMYFUNCTION("""COMPUTED_VALUE"""),"Yes")</f>
        <v>Yes</v>
      </c>
      <c r="AG246" s="5" t="str">
        <f>IFERROR(__xludf.DUMMYFUNCTION("""COMPUTED_VALUE"""),"No")</f>
        <v>No</v>
      </c>
      <c r="AH246" s="5" t="str">
        <f>IFERROR(__xludf.DUMMYFUNCTION("""COMPUTED_VALUE"""),"No")</f>
        <v>No</v>
      </c>
      <c r="AI246" s="5" t="str">
        <f>IFERROR(__xludf.DUMMYFUNCTION("""COMPUTED_VALUE"""),"No")</f>
        <v>No</v>
      </c>
      <c r="AJ246" s="5" t="str">
        <f>IFERROR(__xludf.DUMMYFUNCTION("""COMPUTED_VALUE"""),"No")</f>
        <v>No</v>
      </c>
      <c r="AK246" s="5" t="str">
        <f>IFERROR(__xludf.DUMMYFUNCTION("""COMPUTED_VALUE"""),"No")</f>
        <v>No</v>
      </c>
      <c r="AL246" s="5" t="str">
        <f>IFERROR(__xludf.DUMMYFUNCTION("""COMPUTED_VALUE"""),"No")</f>
        <v>No</v>
      </c>
      <c r="AM246" s="5"/>
      <c r="AN246" s="5"/>
      <c r="AO246" s="5"/>
      <c r="AP246" s="5"/>
      <c r="AQ246" s="5"/>
      <c r="AR246" s="5"/>
      <c r="AS246" s="5"/>
      <c r="AT246" s="5"/>
      <c r="AU246" s="5"/>
      <c r="AV246" s="5"/>
      <c r="AW246" s="5"/>
      <c r="AX246" s="5"/>
      <c r="AY246" s="5"/>
    </row>
    <row r="247">
      <c r="A2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7" s="5">
        <f>IFERROR(__xludf.DUMMYFUNCTION("""COMPUTED_VALUE"""),247.0)</f>
        <v>247</v>
      </c>
      <c r="C247" s="5">
        <f>IFERROR(__xludf.DUMMYFUNCTION("""COMPUTED_VALUE"""),246.0)</f>
        <v>246</v>
      </c>
      <c r="D247" s="5" t="str">
        <f>IFERROR(__xludf.DUMMYFUNCTION("""COMPUTED_VALUE"""),"JokerTripleDouble")</f>
        <v>JokerTripleDouble</v>
      </c>
      <c r="E247" s="5" t="str">
        <f>IFERROR(__xludf.DUMMYFUNCTION("""COMPUTED_VALUE"""),"Yes")</f>
        <v>Yes</v>
      </c>
      <c r="F247" s="5" t="str">
        <f>IFERROR(__xludf.DUMMYFUNCTION("""COMPUTED_VALUE"""),"Yes")</f>
        <v>Yes</v>
      </c>
      <c r="G247" s="5" t="str">
        <f>IFERROR(__xludf.DUMMYFUNCTION("""COMPUTED_VALUE"""),"Yes")</f>
        <v>Yes</v>
      </c>
      <c r="H247" s="5" t="str">
        <f>IFERROR(__xludf.DUMMYFUNCTION("""COMPUTED_VALUE"""),"Yes")</f>
        <v>Yes</v>
      </c>
      <c r="I247" s="5" t="str">
        <f>IFERROR(__xludf.DUMMYFUNCTION("""COMPUTED_VALUE"""),"Yes")</f>
        <v>Yes</v>
      </c>
      <c r="J247" s="5" t="str">
        <f>IFERROR(__xludf.DUMMYFUNCTION("""COMPUTED_VALUE"""),"Yes")</f>
        <v>Yes</v>
      </c>
      <c r="K247" s="5" t="str">
        <f>IFERROR(__xludf.DUMMYFUNCTION("""COMPUTED_VALUE"""),"Yes")</f>
        <v>Yes</v>
      </c>
      <c r="L247" s="5" t="str">
        <f>IFERROR(__xludf.DUMMYFUNCTION("""COMPUTED_VALUE"""),"Yes")</f>
        <v>Yes</v>
      </c>
      <c r="M247" s="5" t="str">
        <f>IFERROR(__xludf.DUMMYFUNCTION("""COMPUTED_VALUE"""),"Yes")</f>
        <v>Yes</v>
      </c>
      <c r="N247" s="5" t="str">
        <f>IFERROR(__xludf.DUMMYFUNCTION("""COMPUTED_VALUE"""),"Yes")</f>
        <v>Yes</v>
      </c>
      <c r="O247" s="5" t="str">
        <f>IFERROR(__xludf.DUMMYFUNCTION("""COMPUTED_VALUE"""),"Yes")</f>
        <v>Yes</v>
      </c>
      <c r="P247" s="5" t="str">
        <f>IFERROR(__xludf.DUMMYFUNCTION("""COMPUTED_VALUE"""),"Yes")</f>
        <v>Yes</v>
      </c>
      <c r="Q247" s="5" t="str">
        <f>IFERROR(__xludf.DUMMYFUNCTION("""COMPUTED_VALUE"""),"Yes")</f>
        <v>Yes</v>
      </c>
      <c r="R247" s="5" t="str">
        <f>IFERROR(__xludf.DUMMYFUNCTION("""COMPUTED_VALUE"""),"Yes")</f>
        <v>Yes</v>
      </c>
      <c r="S247" s="5" t="str">
        <f>IFERROR(__xludf.DUMMYFUNCTION("""COMPUTED_VALUE"""),"Yes")</f>
        <v>Yes</v>
      </c>
      <c r="T247" s="5" t="str">
        <f>IFERROR(__xludf.DUMMYFUNCTION("""COMPUTED_VALUE"""),"Yes")</f>
        <v>Yes</v>
      </c>
      <c r="U247" s="5" t="str">
        <f>IFERROR(__xludf.DUMMYFUNCTION("""COMPUTED_VALUE"""),"Yes")</f>
        <v>Yes</v>
      </c>
      <c r="V247" s="5" t="str">
        <f>IFERROR(__xludf.DUMMYFUNCTION("""COMPUTED_VALUE"""),"Yes")</f>
        <v>Yes</v>
      </c>
      <c r="W247" s="5" t="str">
        <f>IFERROR(__xludf.DUMMYFUNCTION("""COMPUTED_VALUE"""),"Yes")</f>
        <v>Yes</v>
      </c>
      <c r="X247" s="5" t="str">
        <f>IFERROR(__xludf.DUMMYFUNCTION("""COMPUTED_VALUE"""),"Yes")</f>
        <v>Yes</v>
      </c>
      <c r="Y247" s="5" t="str">
        <f>IFERROR(__xludf.DUMMYFUNCTION("""COMPUTED_VALUE"""),"Yes")</f>
        <v>Yes</v>
      </c>
      <c r="Z247" s="5" t="str">
        <f>IFERROR(__xludf.DUMMYFUNCTION("""COMPUTED_VALUE"""),"Yes")</f>
        <v>Yes</v>
      </c>
      <c r="AA247" s="5" t="str">
        <f>IFERROR(__xludf.DUMMYFUNCTION("""COMPUTED_VALUE"""),"Yes")</f>
        <v>Yes</v>
      </c>
      <c r="AB247" s="5" t="str">
        <f>IFERROR(__xludf.DUMMYFUNCTION("""COMPUTED_VALUE"""),"Yes")</f>
        <v>Yes</v>
      </c>
      <c r="AC247" s="5" t="str">
        <f>IFERROR(__xludf.DUMMYFUNCTION("""COMPUTED_VALUE"""),"Yes")</f>
        <v>Yes</v>
      </c>
      <c r="AD247" s="5" t="str">
        <f>IFERROR(__xludf.DUMMYFUNCTION("""COMPUTED_VALUE"""),"Yes")</f>
        <v>Yes</v>
      </c>
      <c r="AE247" s="5" t="str">
        <f>IFERROR(__xludf.DUMMYFUNCTION("""COMPUTED_VALUE"""),"Yes")</f>
        <v>Yes</v>
      </c>
      <c r="AF247" s="5" t="str">
        <f>IFERROR(__xludf.DUMMYFUNCTION("""COMPUTED_VALUE"""),"Yes")</f>
        <v>Yes</v>
      </c>
      <c r="AG247" s="5" t="str">
        <f>IFERROR(__xludf.DUMMYFUNCTION("""COMPUTED_VALUE"""),"Yes")</f>
        <v>Yes</v>
      </c>
      <c r="AH247" s="5" t="str">
        <f>IFERROR(__xludf.DUMMYFUNCTION("""COMPUTED_VALUE"""),"Yes")</f>
        <v>Yes</v>
      </c>
      <c r="AI247" s="5" t="str">
        <f>IFERROR(__xludf.DUMMYFUNCTION("""COMPUTED_VALUE"""),"No")</f>
        <v>No</v>
      </c>
      <c r="AJ247" s="5" t="str">
        <f>IFERROR(__xludf.DUMMYFUNCTION("""COMPUTED_VALUE"""),"No")</f>
        <v>No</v>
      </c>
      <c r="AK247" s="5" t="str">
        <f>IFERROR(__xludf.DUMMYFUNCTION("""COMPUTED_VALUE"""),"No")</f>
        <v>No</v>
      </c>
      <c r="AL247" s="5" t="str">
        <f>IFERROR(__xludf.DUMMYFUNCTION("""COMPUTED_VALUE"""),"No")</f>
        <v>No</v>
      </c>
      <c r="AM247" s="5"/>
      <c r="AN247" s="5"/>
      <c r="AO247" s="5"/>
      <c r="AP247" s="5"/>
      <c r="AQ247" s="5"/>
      <c r="AR247" s="5"/>
      <c r="AS247" s="5"/>
      <c r="AT247" s="5"/>
      <c r="AU247" s="5"/>
      <c r="AV247" s="5"/>
      <c r="AW247" s="5"/>
      <c r="AX247" s="5"/>
      <c r="AY247" s="5"/>
    </row>
    <row r="248">
      <c r="A2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8" s="5">
        <f>IFERROR(__xludf.DUMMYFUNCTION("""COMPUTED_VALUE"""),248.0)</f>
        <v>248</v>
      </c>
      <c r="C248" s="5">
        <f>IFERROR(__xludf.DUMMYFUNCTION("""COMPUTED_VALUE"""),247.0)</f>
        <v>247</v>
      </c>
      <c r="D248" s="5" t="str">
        <f>IFERROR(__xludf.DUMMYFUNCTION("""COMPUTED_VALUE"""),"HeatDouble")</f>
        <v>HeatDouble</v>
      </c>
      <c r="E248" s="5" t="str">
        <f>IFERROR(__xludf.DUMMYFUNCTION("""COMPUTED_VALUE"""),"Yes")</f>
        <v>Yes</v>
      </c>
      <c r="F248" s="5" t="str">
        <f>IFERROR(__xludf.DUMMYFUNCTION("""COMPUTED_VALUE"""),"Yes")</f>
        <v>Yes</v>
      </c>
      <c r="G248" s="5" t="str">
        <f>IFERROR(__xludf.DUMMYFUNCTION("""COMPUTED_VALUE"""),"Yes")</f>
        <v>Yes</v>
      </c>
      <c r="H248" s="5" t="str">
        <f>IFERROR(__xludf.DUMMYFUNCTION("""COMPUTED_VALUE"""),"Yes")</f>
        <v>Yes</v>
      </c>
      <c r="I248" s="5" t="str">
        <f>IFERROR(__xludf.DUMMYFUNCTION("""COMPUTED_VALUE"""),"Yes")</f>
        <v>Yes</v>
      </c>
      <c r="J248" s="5" t="str">
        <f>IFERROR(__xludf.DUMMYFUNCTION("""COMPUTED_VALUE"""),"Yes")</f>
        <v>Yes</v>
      </c>
      <c r="K248" s="5" t="str">
        <f>IFERROR(__xludf.DUMMYFUNCTION("""COMPUTED_VALUE"""),"Yes")</f>
        <v>Yes</v>
      </c>
      <c r="L248" s="5" t="str">
        <f>IFERROR(__xludf.DUMMYFUNCTION("""COMPUTED_VALUE"""),"Yes")</f>
        <v>Yes</v>
      </c>
      <c r="M248" s="5" t="str">
        <f>IFERROR(__xludf.DUMMYFUNCTION("""COMPUTED_VALUE"""),"Yes")</f>
        <v>Yes</v>
      </c>
      <c r="N248" s="5" t="str">
        <f>IFERROR(__xludf.DUMMYFUNCTION("""COMPUTED_VALUE"""),"Yes")</f>
        <v>Yes</v>
      </c>
      <c r="O248" s="5" t="str">
        <f>IFERROR(__xludf.DUMMYFUNCTION("""COMPUTED_VALUE"""),"Yes")</f>
        <v>Yes</v>
      </c>
      <c r="P248" s="5" t="str">
        <f>IFERROR(__xludf.DUMMYFUNCTION("""COMPUTED_VALUE"""),"Yes")</f>
        <v>Yes</v>
      </c>
      <c r="Q248" s="5" t="str">
        <f>IFERROR(__xludf.DUMMYFUNCTION("""COMPUTED_VALUE"""),"Yes")</f>
        <v>Yes</v>
      </c>
      <c r="R248" s="5" t="str">
        <f>IFERROR(__xludf.DUMMYFUNCTION("""COMPUTED_VALUE"""),"Yes")</f>
        <v>Yes</v>
      </c>
      <c r="S248" s="5" t="str">
        <f>IFERROR(__xludf.DUMMYFUNCTION("""COMPUTED_VALUE"""),"Yes")</f>
        <v>Yes</v>
      </c>
      <c r="T248" s="5" t="str">
        <f>IFERROR(__xludf.DUMMYFUNCTION("""COMPUTED_VALUE"""),"Yes")</f>
        <v>Yes</v>
      </c>
      <c r="U248" s="5" t="str">
        <f>IFERROR(__xludf.DUMMYFUNCTION("""COMPUTED_VALUE"""),"Yes")</f>
        <v>Yes</v>
      </c>
      <c r="V248" s="5" t="str">
        <f>IFERROR(__xludf.DUMMYFUNCTION("""COMPUTED_VALUE"""),"Yes")</f>
        <v>Yes</v>
      </c>
      <c r="W248" s="5" t="str">
        <f>IFERROR(__xludf.DUMMYFUNCTION("""COMPUTED_VALUE"""),"Yes")</f>
        <v>Yes</v>
      </c>
      <c r="X248" s="5" t="str">
        <f>IFERROR(__xludf.DUMMYFUNCTION("""COMPUTED_VALUE"""),"Yes")</f>
        <v>Yes</v>
      </c>
      <c r="Y248" s="5" t="str">
        <f>IFERROR(__xludf.DUMMYFUNCTION("""COMPUTED_VALUE"""),"Yes")</f>
        <v>Yes</v>
      </c>
      <c r="Z248" s="5"/>
      <c r="AA248" s="5"/>
      <c r="AB248" s="5"/>
      <c r="AC248" s="5" t="str">
        <f>IFERROR(__xludf.DUMMYFUNCTION("""COMPUTED_VALUE"""),"Yes")</f>
        <v>Yes</v>
      </c>
      <c r="AD248" s="5"/>
      <c r="AE248" s="5"/>
      <c r="AF248" s="5"/>
      <c r="AG248" s="5"/>
      <c r="AH248" s="5"/>
      <c r="AI248" s="5"/>
      <c r="AJ248" s="5"/>
      <c r="AK248" s="5"/>
      <c r="AL248" s="5"/>
      <c r="AM248" s="5"/>
      <c r="AN248" s="5"/>
      <c r="AO248" s="5"/>
      <c r="AP248" s="5"/>
      <c r="AQ248" s="5"/>
      <c r="AR248" s="5"/>
      <c r="AS248" s="5"/>
      <c r="AT248" s="5"/>
      <c r="AU248" s="5"/>
      <c r="AV248" s="5"/>
      <c r="AW248" s="5"/>
      <c r="AX248" s="5"/>
      <c r="AY248" s="5"/>
    </row>
    <row r="249">
      <c r="A2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9" s="5">
        <f>IFERROR(__xludf.DUMMYFUNCTION("""COMPUTED_VALUE"""),249.0)</f>
        <v>249</v>
      </c>
      <c r="C249" s="5">
        <f>IFERROR(__xludf.DUMMYFUNCTION("""COMPUTED_VALUE"""),248.0)</f>
        <v>248</v>
      </c>
      <c r="D249" s="5" t="str">
        <f>IFERROR(__xludf.DUMMYFUNCTION("""COMPUTED_VALUE"""),"Unicorn5HotStrike")</f>
        <v>Unicorn5HotStrike</v>
      </c>
      <c r="E249" s="5" t="str">
        <f>IFERROR(__xludf.DUMMYFUNCTION("""COMPUTED_VALUE"""),"Yes")</f>
        <v>Yes</v>
      </c>
      <c r="F249" s="5" t="str">
        <f>IFERROR(__xludf.DUMMYFUNCTION("""COMPUTED_VALUE"""),"Yes")</f>
        <v>Yes</v>
      </c>
      <c r="G249" s="5" t="str">
        <f>IFERROR(__xludf.DUMMYFUNCTION("""COMPUTED_VALUE"""),"Yes")</f>
        <v>Yes</v>
      </c>
      <c r="H249" s="5" t="str">
        <f>IFERROR(__xludf.DUMMYFUNCTION("""COMPUTED_VALUE"""),"Yes")</f>
        <v>Yes</v>
      </c>
      <c r="I249" s="5" t="str">
        <f>IFERROR(__xludf.DUMMYFUNCTION("""COMPUTED_VALUE"""),"Yes")</f>
        <v>Yes</v>
      </c>
      <c r="J249" s="5" t="str">
        <f>IFERROR(__xludf.DUMMYFUNCTION("""COMPUTED_VALUE"""),"Yes")</f>
        <v>Yes</v>
      </c>
      <c r="K249" s="5" t="str">
        <f>IFERROR(__xludf.DUMMYFUNCTION("""COMPUTED_VALUE"""),"Yes")</f>
        <v>Yes</v>
      </c>
      <c r="L249" s="5" t="str">
        <f>IFERROR(__xludf.DUMMYFUNCTION("""COMPUTED_VALUE"""),"Yes")</f>
        <v>Yes</v>
      </c>
      <c r="M249" s="5" t="str">
        <f>IFERROR(__xludf.DUMMYFUNCTION("""COMPUTED_VALUE"""),"Yes")</f>
        <v>Yes</v>
      </c>
      <c r="N249" s="5" t="str">
        <f>IFERROR(__xludf.DUMMYFUNCTION("""COMPUTED_VALUE"""),"Yes")</f>
        <v>Yes</v>
      </c>
      <c r="O249" s="5" t="str">
        <f>IFERROR(__xludf.DUMMYFUNCTION("""COMPUTED_VALUE"""),"Yes")</f>
        <v>Yes</v>
      </c>
      <c r="P249" s="5" t="str">
        <f>IFERROR(__xludf.DUMMYFUNCTION("""COMPUTED_VALUE"""),"Yes")</f>
        <v>Yes</v>
      </c>
      <c r="Q249" s="5" t="str">
        <f>IFERROR(__xludf.DUMMYFUNCTION("""COMPUTED_VALUE"""),"Yes")</f>
        <v>Yes</v>
      </c>
      <c r="R249" s="5" t="str">
        <f>IFERROR(__xludf.DUMMYFUNCTION("""COMPUTED_VALUE"""),"Yes")</f>
        <v>Yes</v>
      </c>
      <c r="S249" s="5" t="str">
        <f>IFERROR(__xludf.DUMMYFUNCTION("""COMPUTED_VALUE"""),"Yes")</f>
        <v>Yes</v>
      </c>
      <c r="T249" s="5" t="str">
        <f>IFERROR(__xludf.DUMMYFUNCTION("""COMPUTED_VALUE"""),"Yes")</f>
        <v>Yes</v>
      </c>
      <c r="U249" s="5" t="str">
        <f>IFERROR(__xludf.DUMMYFUNCTION("""COMPUTED_VALUE"""),"Yes")</f>
        <v>Yes</v>
      </c>
      <c r="V249" s="5" t="str">
        <f>IFERROR(__xludf.DUMMYFUNCTION("""COMPUTED_VALUE"""),"Yes")</f>
        <v>Yes</v>
      </c>
      <c r="W249" s="5" t="str">
        <f>IFERROR(__xludf.DUMMYFUNCTION("""COMPUTED_VALUE"""),"Yes")</f>
        <v>Yes</v>
      </c>
      <c r="X249" s="5" t="str">
        <f>IFERROR(__xludf.DUMMYFUNCTION("""COMPUTED_VALUE"""),"Yes")</f>
        <v>Yes</v>
      </c>
      <c r="Y249" s="5"/>
      <c r="Z249" s="5"/>
      <c r="AA249" s="5"/>
      <c r="AB249" s="5"/>
      <c r="AC249" s="5" t="str">
        <f>IFERROR(__xludf.DUMMYFUNCTION("""COMPUTED_VALUE"""),"Yes")</f>
        <v>Yes</v>
      </c>
      <c r="AD249" s="5"/>
      <c r="AE249" s="5"/>
      <c r="AF249" s="5"/>
      <c r="AG249" s="5"/>
      <c r="AH249" s="5"/>
      <c r="AI249" s="5"/>
      <c r="AJ249" s="5"/>
      <c r="AK249" s="5"/>
      <c r="AL249" s="5"/>
      <c r="AM249" s="5"/>
      <c r="AN249" s="5"/>
      <c r="AO249" s="5"/>
      <c r="AP249" s="5"/>
      <c r="AQ249" s="5"/>
      <c r="AR249" s="5"/>
      <c r="AS249" s="5"/>
      <c r="AT249" s="5"/>
      <c r="AU249" s="5"/>
      <c r="AV249" s="5"/>
      <c r="AW249" s="5"/>
      <c r="AX249" s="5"/>
      <c r="AY249" s="5"/>
    </row>
    <row r="250">
      <c r="A25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0" s="5">
        <f>IFERROR(__xludf.DUMMYFUNCTION("""COMPUTED_VALUE"""),250.0)</f>
        <v>250</v>
      </c>
      <c r="C250" s="5">
        <f>IFERROR(__xludf.DUMMYFUNCTION("""COMPUTED_VALUE"""),249.0)</f>
        <v>249</v>
      </c>
      <c r="D250" s="5" t="str">
        <f>IFERROR(__xludf.DUMMYFUNCTION("""COMPUTED_VALUE"""),"UnicornBikiniFruits")</f>
        <v>UnicornBikiniFruits</v>
      </c>
      <c r="E250" s="5" t="str">
        <f>IFERROR(__xludf.DUMMYFUNCTION("""COMPUTED_VALUE"""),"Yes")</f>
        <v>Yes</v>
      </c>
      <c r="F250" s="5" t="str">
        <f>IFERROR(__xludf.DUMMYFUNCTION("""COMPUTED_VALUE"""),"Yes")</f>
        <v>Yes</v>
      </c>
      <c r="G250" s="5" t="str">
        <f>IFERROR(__xludf.DUMMYFUNCTION("""COMPUTED_VALUE"""),"Yes")</f>
        <v>Yes</v>
      </c>
      <c r="H250" s="5" t="str">
        <f>IFERROR(__xludf.DUMMYFUNCTION("""COMPUTED_VALUE"""),"No")</f>
        <v>No</v>
      </c>
      <c r="I250" s="5" t="str">
        <f>IFERROR(__xludf.DUMMYFUNCTION("""COMPUTED_VALUE"""),"No")</f>
        <v>No</v>
      </c>
      <c r="J250" s="5" t="str">
        <f>IFERROR(__xludf.DUMMYFUNCTION("""COMPUTED_VALUE"""),"No")</f>
        <v>No</v>
      </c>
      <c r="K250" s="5" t="str">
        <f>IFERROR(__xludf.DUMMYFUNCTION("""COMPUTED_VALUE"""),"No")</f>
        <v>No</v>
      </c>
      <c r="L250" s="5" t="str">
        <f>IFERROR(__xludf.DUMMYFUNCTION("""COMPUTED_VALUE"""),"No")</f>
        <v>No</v>
      </c>
      <c r="M250" s="5" t="str">
        <f>IFERROR(__xludf.DUMMYFUNCTION("""COMPUTED_VALUE"""),"Yes")</f>
        <v>Yes</v>
      </c>
      <c r="N250" s="5" t="str">
        <f>IFERROR(__xludf.DUMMYFUNCTION("""COMPUTED_VALUE"""),"Yes")</f>
        <v>Yes</v>
      </c>
      <c r="O250" s="5" t="str">
        <f>IFERROR(__xludf.DUMMYFUNCTION("""COMPUTED_VALUE"""),"Yes")</f>
        <v>Yes</v>
      </c>
      <c r="P250" s="5" t="str">
        <f>IFERROR(__xludf.DUMMYFUNCTION("""COMPUTED_VALUE"""),"Yes")</f>
        <v>Yes</v>
      </c>
      <c r="Q250" s="5" t="str">
        <f>IFERROR(__xludf.DUMMYFUNCTION("""COMPUTED_VALUE"""),"Yes")</f>
        <v>Yes</v>
      </c>
      <c r="R250" s="5" t="str">
        <f>IFERROR(__xludf.DUMMYFUNCTION("""COMPUTED_VALUE"""),"No")</f>
        <v>No</v>
      </c>
      <c r="S250" s="5" t="str">
        <f>IFERROR(__xludf.DUMMYFUNCTION("""COMPUTED_VALUE"""),"Yes")</f>
        <v>Yes</v>
      </c>
      <c r="T250" s="5" t="str">
        <f>IFERROR(__xludf.DUMMYFUNCTION("""COMPUTED_VALUE"""),"No")</f>
        <v>No</v>
      </c>
      <c r="U250" s="5" t="str">
        <f>IFERROR(__xludf.DUMMYFUNCTION("""COMPUTED_VALUE"""),"No")</f>
        <v>No</v>
      </c>
      <c r="V250" s="5" t="str">
        <f>IFERROR(__xludf.DUMMYFUNCTION("""COMPUTED_VALUE"""),"No")</f>
        <v>No</v>
      </c>
      <c r="W250" s="5" t="str">
        <f>IFERROR(__xludf.DUMMYFUNCTION("""COMPUTED_VALUE"""),"No")</f>
        <v>No</v>
      </c>
      <c r="X250" s="5" t="str">
        <f>IFERROR(__xludf.DUMMYFUNCTION("""COMPUTED_VALUE"""),"No")</f>
        <v>No</v>
      </c>
      <c r="Y250" s="5"/>
      <c r="Z250" s="5"/>
      <c r="AA250" s="5"/>
      <c r="AB250" s="5"/>
      <c r="AC250" s="5" t="str">
        <f>IFERROR(__xludf.DUMMYFUNCTION("""COMPUTED_VALUE"""),"No")</f>
        <v>No</v>
      </c>
      <c r="AD250" s="5"/>
      <c r="AE250" s="5"/>
      <c r="AF250" s="5"/>
      <c r="AG250" s="5"/>
      <c r="AH250" s="5"/>
      <c r="AI250" s="5"/>
      <c r="AJ250" s="5"/>
      <c r="AK250" s="5"/>
      <c r="AL250" s="5"/>
      <c r="AM250" s="5"/>
      <c r="AN250" s="5"/>
      <c r="AO250" s="5"/>
      <c r="AP250" s="5"/>
      <c r="AQ250" s="5"/>
      <c r="AR250" s="5"/>
      <c r="AS250" s="5"/>
      <c r="AT250" s="5"/>
      <c r="AU250" s="5"/>
      <c r="AV250" s="5"/>
      <c r="AW250" s="5"/>
      <c r="AX250" s="5"/>
      <c r="AY250" s="5"/>
    </row>
    <row r="251">
      <c r="A25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1" s="5">
        <f>IFERROR(__xludf.DUMMYFUNCTION("""COMPUTED_VALUE"""),251.0)</f>
        <v>251</v>
      </c>
      <c r="C251" s="5">
        <f>IFERROR(__xludf.DUMMYFUNCTION("""COMPUTED_VALUE"""),250.0)</f>
        <v>250</v>
      </c>
      <c r="D251" s="5" t="str">
        <f>IFERROR(__xludf.DUMMYFUNCTION("""COMPUTED_VALUE"""),"UnicornQueenOfPyramids")</f>
        <v>UnicornQueenOfPyramids</v>
      </c>
      <c r="E251" s="5" t="str">
        <f>IFERROR(__xludf.DUMMYFUNCTION("""COMPUTED_VALUE"""),"Yes")</f>
        <v>Yes</v>
      </c>
      <c r="F251" s="5" t="str">
        <f>IFERROR(__xludf.DUMMYFUNCTION("""COMPUTED_VALUE"""),"Yes")</f>
        <v>Yes</v>
      </c>
      <c r="G251" s="5" t="str">
        <f>IFERROR(__xludf.DUMMYFUNCTION("""COMPUTED_VALUE"""),"Yes")</f>
        <v>Yes</v>
      </c>
      <c r="H251" s="5" t="str">
        <f>IFERROR(__xludf.DUMMYFUNCTION("""COMPUTED_VALUE"""),"No")</f>
        <v>No</v>
      </c>
      <c r="I251" s="5" t="str">
        <f>IFERROR(__xludf.DUMMYFUNCTION("""COMPUTED_VALUE"""),"No")</f>
        <v>No</v>
      </c>
      <c r="J251" s="5" t="str">
        <f>IFERROR(__xludf.DUMMYFUNCTION("""COMPUTED_VALUE"""),"No")</f>
        <v>No</v>
      </c>
      <c r="K251" s="5" t="str">
        <f>IFERROR(__xludf.DUMMYFUNCTION("""COMPUTED_VALUE"""),"No")</f>
        <v>No</v>
      </c>
      <c r="L251" s="5" t="str">
        <f>IFERROR(__xludf.DUMMYFUNCTION("""COMPUTED_VALUE"""),"No")</f>
        <v>No</v>
      </c>
      <c r="M251" s="5" t="str">
        <f>IFERROR(__xludf.DUMMYFUNCTION("""COMPUTED_VALUE"""),"Yes")</f>
        <v>Yes</v>
      </c>
      <c r="N251" s="5" t="str">
        <f>IFERROR(__xludf.DUMMYFUNCTION("""COMPUTED_VALUE"""),"Yes")</f>
        <v>Yes</v>
      </c>
      <c r="O251" s="5" t="str">
        <f>IFERROR(__xludf.DUMMYFUNCTION("""COMPUTED_VALUE"""),"Yes")</f>
        <v>Yes</v>
      </c>
      <c r="P251" s="5" t="str">
        <f>IFERROR(__xludf.DUMMYFUNCTION("""COMPUTED_VALUE"""),"Yes")</f>
        <v>Yes</v>
      </c>
      <c r="Q251" s="5" t="str">
        <f>IFERROR(__xludf.DUMMYFUNCTION("""COMPUTED_VALUE"""),"Yes")</f>
        <v>Yes</v>
      </c>
      <c r="R251" s="5" t="str">
        <f>IFERROR(__xludf.DUMMYFUNCTION("""COMPUTED_VALUE"""),"No")</f>
        <v>No</v>
      </c>
      <c r="S251" s="5" t="str">
        <f>IFERROR(__xludf.DUMMYFUNCTION("""COMPUTED_VALUE"""),"Yes")</f>
        <v>Yes</v>
      </c>
      <c r="T251" s="5" t="str">
        <f>IFERROR(__xludf.DUMMYFUNCTION("""COMPUTED_VALUE"""),"No")</f>
        <v>No</v>
      </c>
      <c r="U251" s="5" t="str">
        <f>IFERROR(__xludf.DUMMYFUNCTION("""COMPUTED_VALUE"""),"No")</f>
        <v>No</v>
      </c>
      <c r="V251" s="5" t="str">
        <f>IFERROR(__xludf.DUMMYFUNCTION("""COMPUTED_VALUE"""),"No")</f>
        <v>No</v>
      </c>
      <c r="W251" s="5" t="str">
        <f>IFERROR(__xludf.DUMMYFUNCTION("""COMPUTED_VALUE"""),"No")</f>
        <v>No</v>
      </c>
      <c r="X251" s="5" t="str">
        <f>IFERROR(__xludf.DUMMYFUNCTION("""COMPUTED_VALUE"""),"No")</f>
        <v>No</v>
      </c>
      <c r="Y251" s="5"/>
      <c r="Z251" s="5"/>
      <c r="AA251" s="5"/>
      <c r="AB251" s="5"/>
      <c r="AC251" s="5" t="str">
        <f>IFERROR(__xludf.DUMMYFUNCTION("""COMPUTED_VALUE"""),"No")</f>
        <v>No</v>
      </c>
      <c r="AD251" s="5"/>
      <c r="AE251" s="5"/>
      <c r="AF251" s="5"/>
      <c r="AG251" s="5"/>
      <c r="AH251" s="5"/>
      <c r="AI251" s="5"/>
      <c r="AJ251" s="5"/>
      <c r="AK251" s="5"/>
      <c r="AL251" s="5"/>
      <c r="AM251" s="5"/>
      <c r="AN251" s="5"/>
      <c r="AO251" s="5"/>
      <c r="AP251" s="5"/>
      <c r="AQ251" s="5"/>
      <c r="AR251" s="5"/>
      <c r="AS251" s="5"/>
      <c r="AT251" s="5"/>
      <c r="AU251" s="5"/>
      <c r="AV251" s="5"/>
      <c r="AW251" s="5"/>
      <c r="AX251" s="5"/>
      <c r="AY251" s="5"/>
    </row>
    <row r="252">
      <c r="A2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2" s="5">
        <f>IFERROR(__xludf.DUMMYFUNCTION("""COMPUTED_VALUE"""),252.0)</f>
        <v>252</v>
      </c>
      <c r="C252" s="5">
        <f>IFERROR(__xludf.DUMMYFUNCTION("""COMPUTED_VALUE"""),251.0)</f>
        <v>251</v>
      </c>
      <c r="D252" s="5" t="str">
        <f>IFERROR(__xludf.DUMMYFUNCTION("""COMPUTED_VALUE"""),"KettysFashionWorld")</f>
        <v>KettysFashionWorld</v>
      </c>
      <c r="E252" s="5" t="str">
        <f>IFERROR(__xludf.DUMMYFUNCTION("""COMPUTED_VALUE"""),"Yes")</f>
        <v>Yes</v>
      </c>
      <c r="F252" s="5" t="str">
        <f>IFERROR(__xludf.DUMMYFUNCTION("""COMPUTED_VALUE"""),"Yes")</f>
        <v>Yes</v>
      </c>
      <c r="G252" s="5" t="str">
        <f>IFERROR(__xludf.DUMMYFUNCTION("""COMPUTED_VALUE"""),"Yes")</f>
        <v>Yes</v>
      </c>
      <c r="H252" s="5" t="str">
        <f>IFERROR(__xludf.DUMMYFUNCTION("""COMPUTED_VALUE"""),"Yes")</f>
        <v>Yes</v>
      </c>
      <c r="I252" s="5" t="str">
        <f>IFERROR(__xludf.DUMMYFUNCTION("""COMPUTED_VALUE"""),"Yes")</f>
        <v>Yes</v>
      </c>
      <c r="J252" s="5" t="str">
        <f>IFERROR(__xludf.DUMMYFUNCTION("""COMPUTED_VALUE"""),"Yes")</f>
        <v>Yes</v>
      </c>
      <c r="K252" s="5" t="str">
        <f>IFERROR(__xludf.DUMMYFUNCTION("""COMPUTED_VALUE"""),"Yes")</f>
        <v>Yes</v>
      </c>
      <c r="L252" s="5" t="str">
        <f>IFERROR(__xludf.DUMMYFUNCTION("""COMPUTED_VALUE"""),"Yes")</f>
        <v>Yes</v>
      </c>
      <c r="M252" s="5" t="str">
        <f>IFERROR(__xludf.DUMMYFUNCTION("""COMPUTED_VALUE"""),"Yes")</f>
        <v>Yes</v>
      </c>
      <c r="N252" s="5" t="str">
        <f>IFERROR(__xludf.DUMMYFUNCTION("""COMPUTED_VALUE"""),"Yes")</f>
        <v>Yes</v>
      </c>
      <c r="O252" s="5" t="str">
        <f>IFERROR(__xludf.DUMMYFUNCTION("""COMPUTED_VALUE"""),"Yes")</f>
        <v>Yes</v>
      </c>
      <c r="P252" s="5" t="str">
        <f>IFERROR(__xludf.DUMMYFUNCTION("""COMPUTED_VALUE"""),"Yes")</f>
        <v>Yes</v>
      </c>
      <c r="Q252" s="5" t="str">
        <f>IFERROR(__xludf.DUMMYFUNCTION("""COMPUTED_VALUE"""),"Yes")</f>
        <v>Yes</v>
      </c>
      <c r="R252" s="5" t="str">
        <f>IFERROR(__xludf.DUMMYFUNCTION("""COMPUTED_VALUE"""),"Yes")</f>
        <v>Yes</v>
      </c>
      <c r="S252" s="5" t="str">
        <f>IFERROR(__xludf.DUMMYFUNCTION("""COMPUTED_VALUE"""),"Yes")</f>
        <v>Yes</v>
      </c>
      <c r="T252" s="5" t="str">
        <f>IFERROR(__xludf.DUMMYFUNCTION("""COMPUTED_VALUE"""),"Yes")</f>
        <v>Yes</v>
      </c>
      <c r="U252" s="5" t="str">
        <f>IFERROR(__xludf.DUMMYFUNCTION("""COMPUTED_VALUE"""),"Yes")</f>
        <v>Yes</v>
      </c>
      <c r="V252" s="5" t="str">
        <f>IFERROR(__xludf.DUMMYFUNCTION("""COMPUTED_VALUE"""),"Yes")</f>
        <v>Yes</v>
      </c>
      <c r="W252" s="5" t="str">
        <f>IFERROR(__xludf.DUMMYFUNCTION("""COMPUTED_VALUE"""),"Yes")</f>
        <v>Yes</v>
      </c>
      <c r="X252" s="5" t="str">
        <f>IFERROR(__xludf.DUMMYFUNCTION("""COMPUTED_VALUE"""),"Yes")</f>
        <v>Yes</v>
      </c>
      <c r="Y252" s="5" t="str">
        <f>IFERROR(__xludf.DUMMYFUNCTION("""COMPUTED_VALUE"""),"Yes")</f>
        <v>Yes</v>
      </c>
      <c r="Z252" s="5" t="str">
        <f>IFERROR(__xludf.DUMMYFUNCTION("""COMPUTED_VALUE"""),"No")</f>
        <v>No</v>
      </c>
      <c r="AA252" s="5" t="str">
        <f>IFERROR(__xludf.DUMMYFUNCTION("""COMPUTED_VALUE"""),"Yes")</f>
        <v>Yes</v>
      </c>
      <c r="AB252" s="5" t="str">
        <f>IFERROR(__xludf.DUMMYFUNCTION("""COMPUTED_VALUE"""),"Yes")</f>
        <v>Yes</v>
      </c>
      <c r="AC252" s="5" t="str">
        <f>IFERROR(__xludf.DUMMYFUNCTION("""COMPUTED_VALUE"""),"Yes")</f>
        <v>Yes</v>
      </c>
      <c r="AD252" s="5" t="str">
        <f>IFERROR(__xludf.DUMMYFUNCTION("""COMPUTED_VALUE"""),"Yes")</f>
        <v>Yes</v>
      </c>
      <c r="AE252" s="5" t="str">
        <f>IFERROR(__xludf.DUMMYFUNCTION("""COMPUTED_VALUE"""),"No")</f>
        <v>No</v>
      </c>
      <c r="AF252" s="5" t="str">
        <f>IFERROR(__xludf.DUMMYFUNCTION("""COMPUTED_VALUE"""),"Yes")</f>
        <v>Yes</v>
      </c>
      <c r="AG252" s="5" t="str">
        <f>IFERROR(__xludf.DUMMYFUNCTION("""COMPUTED_VALUE"""),"No")</f>
        <v>No</v>
      </c>
      <c r="AH252" s="5" t="str">
        <f>IFERROR(__xludf.DUMMYFUNCTION("""COMPUTED_VALUE"""),"No")</f>
        <v>No</v>
      </c>
      <c r="AI252" s="5" t="str">
        <f>IFERROR(__xludf.DUMMYFUNCTION("""COMPUTED_VALUE"""),"No")</f>
        <v>No</v>
      </c>
      <c r="AJ252" s="5" t="str">
        <f>IFERROR(__xludf.DUMMYFUNCTION("""COMPUTED_VALUE"""),"No")</f>
        <v>No</v>
      </c>
      <c r="AK252" s="5" t="str">
        <f>IFERROR(__xludf.DUMMYFUNCTION("""COMPUTED_VALUE"""),"No")</f>
        <v>No</v>
      </c>
      <c r="AL252" s="5" t="str">
        <f>IFERROR(__xludf.DUMMYFUNCTION("""COMPUTED_VALUE"""),"No")</f>
        <v>No</v>
      </c>
      <c r="AM252" s="5"/>
      <c r="AN252" s="5"/>
      <c r="AO252" s="5"/>
      <c r="AP252" s="5"/>
      <c r="AQ252" s="5"/>
      <c r="AR252" s="5"/>
      <c r="AS252" s="5"/>
      <c r="AT252" s="5"/>
      <c r="AU252" s="5"/>
      <c r="AV252" s="5"/>
      <c r="AW252" s="5"/>
      <c r="AX252" s="5"/>
      <c r="AY252" s="5"/>
    </row>
    <row r="253">
      <c r="A2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3" s="5">
        <f>IFERROR(__xludf.DUMMYFUNCTION("""COMPUTED_VALUE"""),253.0)</f>
        <v>253</v>
      </c>
      <c r="C253" s="5">
        <f>IFERROR(__xludf.DUMMYFUNCTION("""COMPUTED_VALUE"""),252.0)</f>
        <v>252</v>
      </c>
      <c r="D253" s="5" t="str">
        <f>IFERROR(__xludf.DUMMYFUNCTION("""COMPUTED_VALUE"""),"RetroFire")</f>
        <v>RetroFire</v>
      </c>
      <c r="E253" s="5" t="str">
        <f>IFERROR(__xludf.DUMMYFUNCTION("""COMPUTED_VALUE"""),"Yes")</f>
        <v>Yes</v>
      </c>
      <c r="F253" s="5" t="str">
        <f>IFERROR(__xludf.DUMMYFUNCTION("""COMPUTED_VALUE"""),"Yes")</f>
        <v>Yes</v>
      </c>
      <c r="G253" s="5" t="str">
        <f>IFERROR(__xludf.DUMMYFUNCTION("""COMPUTED_VALUE"""),"Yes")</f>
        <v>Yes</v>
      </c>
      <c r="H253" s="5" t="str">
        <f>IFERROR(__xludf.DUMMYFUNCTION("""COMPUTED_VALUE"""),"Yes")</f>
        <v>Yes</v>
      </c>
      <c r="I253" s="5" t="str">
        <f>IFERROR(__xludf.DUMMYFUNCTION("""COMPUTED_VALUE"""),"Yes")</f>
        <v>Yes</v>
      </c>
      <c r="J253" s="5" t="str">
        <f>IFERROR(__xludf.DUMMYFUNCTION("""COMPUTED_VALUE"""),"Yes")</f>
        <v>Yes</v>
      </c>
      <c r="K253" s="5" t="str">
        <f>IFERROR(__xludf.DUMMYFUNCTION("""COMPUTED_VALUE"""),"Yes")</f>
        <v>Yes</v>
      </c>
      <c r="L253" s="5" t="str">
        <f>IFERROR(__xludf.DUMMYFUNCTION("""COMPUTED_VALUE"""),"Yes")</f>
        <v>Yes</v>
      </c>
      <c r="M253" s="5" t="str">
        <f>IFERROR(__xludf.DUMMYFUNCTION("""COMPUTED_VALUE"""),"Yes")</f>
        <v>Yes</v>
      </c>
      <c r="N253" s="5" t="str">
        <f>IFERROR(__xludf.DUMMYFUNCTION("""COMPUTED_VALUE"""),"Yes")</f>
        <v>Yes</v>
      </c>
      <c r="O253" s="5" t="str">
        <f>IFERROR(__xludf.DUMMYFUNCTION("""COMPUTED_VALUE"""),"Yes")</f>
        <v>Yes</v>
      </c>
      <c r="P253" s="5" t="str">
        <f>IFERROR(__xludf.DUMMYFUNCTION("""COMPUTED_VALUE"""),"Yes")</f>
        <v>Yes</v>
      </c>
      <c r="Q253" s="5" t="str">
        <f>IFERROR(__xludf.DUMMYFUNCTION("""COMPUTED_VALUE"""),"Yes")</f>
        <v>Yes</v>
      </c>
      <c r="R253" s="5" t="str">
        <f>IFERROR(__xludf.DUMMYFUNCTION("""COMPUTED_VALUE"""),"Yes")</f>
        <v>Yes</v>
      </c>
      <c r="S253" s="5" t="str">
        <f>IFERROR(__xludf.DUMMYFUNCTION("""COMPUTED_VALUE"""),"Yes")</f>
        <v>Yes</v>
      </c>
      <c r="T253" s="5" t="str">
        <f>IFERROR(__xludf.DUMMYFUNCTION("""COMPUTED_VALUE"""),"Yes")</f>
        <v>Yes</v>
      </c>
      <c r="U253" s="5" t="str">
        <f>IFERROR(__xludf.DUMMYFUNCTION("""COMPUTED_VALUE"""),"Yes")</f>
        <v>Yes</v>
      </c>
      <c r="V253" s="5" t="str">
        <f>IFERROR(__xludf.DUMMYFUNCTION("""COMPUTED_VALUE"""),"Yes")</f>
        <v>Yes</v>
      </c>
      <c r="W253" s="5" t="str">
        <f>IFERROR(__xludf.DUMMYFUNCTION("""COMPUTED_VALUE"""),"Yes")</f>
        <v>Yes</v>
      </c>
      <c r="X253" s="5" t="str">
        <f>IFERROR(__xludf.DUMMYFUNCTION("""COMPUTED_VALUE"""),"Yes")</f>
        <v>Yes</v>
      </c>
      <c r="Y253" s="5" t="str">
        <f>IFERROR(__xludf.DUMMYFUNCTION("""COMPUTED_VALUE"""),"Yes")</f>
        <v>Yes</v>
      </c>
      <c r="Z253" s="5" t="str">
        <f>IFERROR(__xludf.DUMMYFUNCTION("""COMPUTED_VALUE"""),"No")</f>
        <v>No</v>
      </c>
      <c r="AA253" s="5" t="str">
        <f>IFERROR(__xludf.DUMMYFUNCTION("""COMPUTED_VALUE"""),"Yes")</f>
        <v>Yes</v>
      </c>
      <c r="AB253" s="5" t="str">
        <f>IFERROR(__xludf.DUMMYFUNCTION("""COMPUTED_VALUE"""),"Yes")</f>
        <v>Yes</v>
      </c>
      <c r="AC253" s="5" t="str">
        <f>IFERROR(__xludf.DUMMYFUNCTION("""COMPUTED_VALUE"""),"Yes")</f>
        <v>Yes</v>
      </c>
      <c r="AD253" s="5" t="str">
        <f>IFERROR(__xludf.DUMMYFUNCTION("""COMPUTED_VALUE"""),"Yes")</f>
        <v>Yes</v>
      </c>
      <c r="AE253" s="5" t="str">
        <f>IFERROR(__xludf.DUMMYFUNCTION("""COMPUTED_VALUE"""),"No")</f>
        <v>No</v>
      </c>
      <c r="AF253" s="5" t="str">
        <f>IFERROR(__xludf.DUMMYFUNCTION("""COMPUTED_VALUE"""),"Yes")</f>
        <v>Yes</v>
      </c>
      <c r="AG253" s="5" t="str">
        <f>IFERROR(__xludf.DUMMYFUNCTION("""COMPUTED_VALUE"""),"No")</f>
        <v>No</v>
      </c>
      <c r="AH253" s="5" t="str">
        <f>IFERROR(__xludf.DUMMYFUNCTION("""COMPUTED_VALUE"""),"No")</f>
        <v>No</v>
      </c>
      <c r="AI253" s="5" t="str">
        <f>IFERROR(__xludf.DUMMYFUNCTION("""COMPUTED_VALUE"""),"No")</f>
        <v>No</v>
      </c>
      <c r="AJ253" s="5" t="str">
        <f>IFERROR(__xludf.DUMMYFUNCTION("""COMPUTED_VALUE"""),"No")</f>
        <v>No</v>
      </c>
      <c r="AK253" s="5" t="str">
        <f>IFERROR(__xludf.DUMMYFUNCTION("""COMPUTED_VALUE"""),"No")</f>
        <v>No</v>
      </c>
      <c r="AL253" s="5" t="str">
        <f>IFERROR(__xludf.DUMMYFUNCTION("""COMPUTED_VALUE"""),"No")</f>
        <v>No</v>
      </c>
      <c r="AM253" s="5"/>
      <c r="AN253" s="5"/>
      <c r="AO253" s="5"/>
      <c r="AP253" s="5"/>
      <c r="AQ253" s="5"/>
      <c r="AR253" s="5"/>
      <c r="AS253" s="5"/>
      <c r="AT253" s="5"/>
      <c r="AU253" s="5"/>
      <c r="AV253" s="5"/>
      <c r="AW253" s="5"/>
      <c r="AX253" s="5"/>
      <c r="AY253" s="5"/>
    </row>
    <row r="254">
      <c r="A2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4" s="5">
        <f>IFERROR(__xludf.DUMMYFUNCTION("""COMPUTED_VALUE"""),254.0)</f>
        <v>254</v>
      </c>
      <c r="C254" s="5">
        <f>IFERROR(__xludf.DUMMYFUNCTION("""COMPUTED_VALUE"""),253.0)</f>
        <v>253</v>
      </c>
      <c r="D254" s="5" t="str">
        <f>IFERROR(__xludf.DUMMYFUNCTION("""COMPUTED_VALUE"""),"Money5")</f>
        <v>Money5</v>
      </c>
      <c r="E254" s="5" t="str">
        <f>IFERROR(__xludf.DUMMYFUNCTION("""COMPUTED_VALUE"""),"Yes")</f>
        <v>Yes</v>
      </c>
      <c r="F254" s="5" t="str">
        <f>IFERROR(__xludf.DUMMYFUNCTION("""COMPUTED_VALUE"""),"Yes")</f>
        <v>Yes</v>
      </c>
      <c r="G254" s="5" t="str">
        <f>IFERROR(__xludf.DUMMYFUNCTION("""COMPUTED_VALUE"""),"Yes")</f>
        <v>Yes</v>
      </c>
      <c r="H254" s="5" t="str">
        <f>IFERROR(__xludf.DUMMYFUNCTION("""COMPUTED_VALUE"""),"Yes")</f>
        <v>Yes</v>
      </c>
      <c r="I254" s="5" t="str">
        <f>IFERROR(__xludf.DUMMYFUNCTION("""COMPUTED_VALUE"""),"Yes")</f>
        <v>Yes</v>
      </c>
      <c r="J254" s="5" t="str">
        <f>IFERROR(__xludf.DUMMYFUNCTION("""COMPUTED_VALUE"""),"Yes")</f>
        <v>Yes</v>
      </c>
      <c r="K254" s="5" t="str">
        <f>IFERROR(__xludf.DUMMYFUNCTION("""COMPUTED_VALUE"""),"Yes")</f>
        <v>Yes</v>
      </c>
      <c r="L254" s="5" t="str">
        <f>IFERROR(__xludf.DUMMYFUNCTION("""COMPUTED_VALUE"""),"Yes")</f>
        <v>Yes</v>
      </c>
      <c r="M254" s="5" t="str">
        <f>IFERROR(__xludf.DUMMYFUNCTION("""COMPUTED_VALUE"""),"Yes")</f>
        <v>Yes</v>
      </c>
      <c r="N254" s="5" t="str">
        <f>IFERROR(__xludf.DUMMYFUNCTION("""COMPUTED_VALUE"""),"Yes")</f>
        <v>Yes</v>
      </c>
      <c r="O254" s="5" t="str">
        <f>IFERROR(__xludf.DUMMYFUNCTION("""COMPUTED_VALUE"""),"Yes")</f>
        <v>Yes</v>
      </c>
      <c r="P254" s="5" t="str">
        <f>IFERROR(__xludf.DUMMYFUNCTION("""COMPUTED_VALUE"""),"Yes")</f>
        <v>Yes</v>
      </c>
      <c r="Q254" s="5" t="str">
        <f>IFERROR(__xludf.DUMMYFUNCTION("""COMPUTED_VALUE"""),"Yes")</f>
        <v>Yes</v>
      </c>
      <c r="R254" s="5" t="str">
        <f>IFERROR(__xludf.DUMMYFUNCTION("""COMPUTED_VALUE"""),"Yes")</f>
        <v>Yes</v>
      </c>
      <c r="S254" s="5" t="str">
        <f>IFERROR(__xludf.DUMMYFUNCTION("""COMPUTED_VALUE"""),"Yes")</f>
        <v>Yes</v>
      </c>
      <c r="T254" s="5" t="str">
        <f>IFERROR(__xludf.DUMMYFUNCTION("""COMPUTED_VALUE"""),"Yes")</f>
        <v>Yes</v>
      </c>
      <c r="U254" s="5" t="str">
        <f>IFERROR(__xludf.DUMMYFUNCTION("""COMPUTED_VALUE"""),"Yes")</f>
        <v>Yes</v>
      </c>
      <c r="V254" s="5" t="str">
        <f>IFERROR(__xludf.DUMMYFUNCTION("""COMPUTED_VALUE"""),"Yes")</f>
        <v>Yes</v>
      </c>
      <c r="W254" s="5" t="str">
        <f>IFERROR(__xludf.DUMMYFUNCTION("""COMPUTED_VALUE"""),"Yes")</f>
        <v>Yes</v>
      </c>
      <c r="X254" s="5" t="str">
        <f>IFERROR(__xludf.DUMMYFUNCTION("""COMPUTED_VALUE"""),"Yes")</f>
        <v>Yes</v>
      </c>
      <c r="Y254" s="5" t="str">
        <f>IFERROR(__xludf.DUMMYFUNCTION("""COMPUTED_VALUE"""),"Yes")</f>
        <v>Yes</v>
      </c>
      <c r="Z254" s="5" t="str">
        <f>IFERROR(__xludf.DUMMYFUNCTION("""COMPUTED_VALUE"""),"No")</f>
        <v>No</v>
      </c>
      <c r="AA254" s="5" t="str">
        <f>IFERROR(__xludf.DUMMYFUNCTION("""COMPUTED_VALUE"""),"Yes")</f>
        <v>Yes</v>
      </c>
      <c r="AB254" s="5" t="str">
        <f>IFERROR(__xludf.DUMMYFUNCTION("""COMPUTED_VALUE"""),"Yes")</f>
        <v>Yes</v>
      </c>
      <c r="AC254" s="5" t="str">
        <f>IFERROR(__xludf.DUMMYFUNCTION("""COMPUTED_VALUE"""),"Yes")</f>
        <v>Yes</v>
      </c>
      <c r="AD254" s="5" t="str">
        <f>IFERROR(__xludf.DUMMYFUNCTION("""COMPUTED_VALUE"""),"Yes")</f>
        <v>Yes</v>
      </c>
      <c r="AE254" s="5" t="str">
        <f>IFERROR(__xludf.DUMMYFUNCTION("""COMPUTED_VALUE"""),"No")</f>
        <v>No</v>
      </c>
      <c r="AF254" s="5" t="str">
        <f>IFERROR(__xludf.DUMMYFUNCTION("""COMPUTED_VALUE"""),"Yes")</f>
        <v>Yes</v>
      </c>
      <c r="AG254" s="5" t="str">
        <f>IFERROR(__xludf.DUMMYFUNCTION("""COMPUTED_VALUE"""),"No")</f>
        <v>No</v>
      </c>
      <c r="AH254" s="5" t="str">
        <f>IFERROR(__xludf.DUMMYFUNCTION("""COMPUTED_VALUE"""),"No")</f>
        <v>No</v>
      </c>
      <c r="AI254" s="5" t="str">
        <f>IFERROR(__xludf.DUMMYFUNCTION("""COMPUTED_VALUE"""),"No")</f>
        <v>No</v>
      </c>
      <c r="AJ254" s="5" t="str">
        <f>IFERROR(__xludf.DUMMYFUNCTION("""COMPUTED_VALUE"""),"No")</f>
        <v>No</v>
      </c>
      <c r="AK254" s="5" t="str">
        <f>IFERROR(__xludf.DUMMYFUNCTION("""COMPUTED_VALUE"""),"No")</f>
        <v>No</v>
      </c>
      <c r="AL254" s="5" t="str">
        <f>IFERROR(__xludf.DUMMYFUNCTION("""COMPUTED_VALUE"""),"No")</f>
        <v>No</v>
      </c>
      <c r="AM254" s="5"/>
      <c r="AN254" s="5"/>
      <c r="AO254" s="5"/>
      <c r="AP254" s="5"/>
      <c r="AQ254" s="5"/>
      <c r="AR254" s="5"/>
      <c r="AS254" s="5"/>
      <c r="AT254" s="5"/>
      <c r="AU254" s="5"/>
      <c r="AV254" s="5"/>
      <c r="AW254" s="5"/>
      <c r="AX254" s="5"/>
      <c r="AY254" s="5"/>
    </row>
    <row r="255">
      <c r="A2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5" s="5">
        <f>IFERROR(__xludf.DUMMYFUNCTION("""COMPUTED_VALUE"""),255.0)</f>
        <v>255</v>
      </c>
      <c r="C255" s="5">
        <f>IFERROR(__xludf.DUMMYFUNCTION("""COMPUTED_VALUE"""),254.0)</f>
        <v>254</v>
      </c>
      <c r="D255" s="5" t="str">
        <f>IFERROR(__xludf.DUMMYFUNCTION("""COMPUTED_VALUE"""),"BlazingHeat")</f>
        <v>BlazingHeat</v>
      </c>
      <c r="E255" s="5" t="str">
        <f>IFERROR(__xludf.DUMMYFUNCTION("""COMPUTED_VALUE"""),"Yes")</f>
        <v>Yes</v>
      </c>
      <c r="F255" s="5" t="str">
        <f>IFERROR(__xludf.DUMMYFUNCTION("""COMPUTED_VALUE"""),"Yes")</f>
        <v>Yes</v>
      </c>
      <c r="G255" s="5" t="str">
        <f>IFERROR(__xludf.DUMMYFUNCTION("""COMPUTED_VALUE"""),"Yes")</f>
        <v>Yes</v>
      </c>
      <c r="H255" s="5" t="str">
        <f>IFERROR(__xludf.DUMMYFUNCTION("""COMPUTED_VALUE"""),"Yes")</f>
        <v>Yes</v>
      </c>
      <c r="I255" s="5" t="str">
        <f>IFERROR(__xludf.DUMMYFUNCTION("""COMPUTED_VALUE"""),"Yes")</f>
        <v>Yes</v>
      </c>
      <c r="J255" s="5" t="str">
        <f>IFERROR(__xludf.DUMMYFUNCTION("""COMPUTED_VALUE"""),"Yes")</f>
        <v>Yes</v>
      </c>
      <c r="K255" s="5" t="str">
        <f>IFERROR(__xludf.DUMMYFUNCTION("""COMPUTED_VALUE"""),"Yes")</f>
        <v>Yes</v>
      </c>
      <c r="L255" s="5" t="str">
        <f>IFERROR(__xludf.DUMMYFUNCTION("""COMPUTED_VALUE"""),"Yes")</f>
        <v>Yes</v>
      </c>
      <c r="M255" s="5" t="str">
        <f>IFERROR(__xludf.DUMMYFUNCTION("""COMPUTED_VALUE"""),"Yes")</f>
        <v>Yes</v>
      </c>
      <c r="N255" s="5" t="str">
        <f>IFERROR(__xludf.DUMMYFUNCTION("""COMPUTED_VALUE"""),"Yes")</f>
        <v>Yes</v>
      </c>
      <c r="O255" s="5" t="str">
        <f>IFERROR(__xludf.DUMMYFUNCTION("""COMPUTED_VALUE"""),"Yes")</f>
        <v>Yes</v>
      </c>
      <c r="P255" s="5" t="str">
        <f>IFERROR(__xludf.DUMMYFUNCTION("""COMPUTED_VALUE"""),"Yes")</f>
        <v>Yes</v>
      </c>
      <c r="Q255" s="5" t="str">
        <f>IFERROR(__xludf.DUMMYFUNCTION("""COMPUTED_VALUE"""),"Yes")</f>
        <v>Yes</v>
      </c>
      <c r="R255" s="5" t="str">
        <f>IFERROR(__xludf.DUMMYFUNCTION("""COMPUTED_VALUE"""),"Yes")</f>
        <v>Yes</v>
      </c>
      <c r="S255" s="5" t="str">
        <f>IFERROR(__xludf.DUMMYFUNCTION("""COMPUTED_VALUE"""),"Yes")</f>
        <v>Yes</v>
      </c>
      <c r="T255" s="5" t="str">
        <f>IFERROR(__xludf.DUMMYFUNCTION("""COMPUTED_VALUE"""),"Yes")</f>
        <v>Yes</v>
      </c>
      <c r="U255" s="5" t="str">
        <f>IFERROR(__xludf.DUMMYFUNCTION("""COMPUTED_VALUE"""),"Yes")</f>
        <v>Yes</v>
      </c>
      <c r="V255" s="5" t="str">
        <f>IFERROR(__xludf.DUMMYFUNCTION("""COMPUTED_VALUE"""),"Yes")</f>
        <v>Yes</v>
      </c>
      <c r="W255" s="5" t="str">
        <f>IFERROR(__xludf.DUMMYFUNCTION("""COMPUTED_VALUE"""),"Yes")</f>
        <v>Yes</v>
      </c>
      <c r="X255" s="5" t="str">
        <f>IFERROR(__xludf.DUMMYFUNCTION("""COMPUTED_VALUE"""),"Yes")</f>
        <v>Yes</v>
      </c>
      <c r="Y255" s="5" t="str">
        <f>IFERROR(__xludf.DUMMYFUNCTION("""COMPUTED_VALUE"""),"Yes")</f>
        <v>Yes</v>
      </c>
      <c r="Z255" s="5"/>
      <c r="AA255" s="5" t="str">
        <f>IFERROR(__xludf.DUMMYFUNCTION("""COMPUTED_VALUE"""),"Yes")</f>
        <v>Yes</v>
      </c>
      <c r="AB255" s="5" t="str">
        <f>IFERROR(__xludf.DUMMYFUNCTION("""COMPUTED_VALUE"""),"Yes")</f>
        <v>Yes</v>
      </c>
      <c r="AC255" s="5" t="str">
        <f>IFERROR(__xludf.DUMMYFUNCTION("""COMPUTED_VALUE"""),"Yes")</f>
        <v>Yes</v>
      </c>
      <c r="AD255" s="5" t="str">
        <f>IFERROR(__xludf.DUMMYFUNCTION("""COMPUTED_VALUE"""),"Yes")</f>
        <v>Yes</v>
      </c>
      <c r="AE255" s="5"/>
      <c r="AF255" s="5" t="str">
        <f>IFERROR(__xludf.DUMMYFUNCTION("""COMPUTED_VALUE"""),"Yes")</f>
        <v>Yes</v>
      </c>
      <c r="AG255" s="5"/>
      <c r="AH255" s="5"/>
      <c r="AI255" s="5"/>
      <c r="AJ255" s="5"/>
      <c r="AK255" s="5"/>
      <c r="AL255" s="5"/>
      <c r="AM255" s="5"/>
      <c r="AN255" s="5"/>
      <c r="AO255" s="5"/>
      <c r="AP255" s="5"/>
      <c r="AQ255" s="5"/>
      <c r="AR255" s="5"/>
      <c r="AS255" s="5"/>
      <c r="AT255" s="5"/>
      <c r="AU255" s="5"/>
      <c r="AV255" s="5"/>
      <c r="AW255" s="5"/>
      <c r="AX255" s="5"/>
      <c r="AY255" s="5"/>
    </row>
    <row r="256">
      <c r="A256" s="5" t="str">
        <f>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56" s="5">
        <f>IFERROR(__xludf.DUMMYFUNCTION("""COMPUTED_VALUE"""),256.0)</f>
        <v>256</v>
      </c>
      <c r="C256" s="5">
        <f>IFERROR(__xludf.DUMMYFUNCTION("""COMPUTED_VALUE"""),255.0)</f>
        <v>255</v>
      </c>
      <c r="D256" s="5"/>
      <c r="E256" s="5" t="str">
        <f>IFERROR(__xludf.DUMMYFUNCTION("""COMPUTED_VALUE"""),"Yes")</f>
        <v>Yes</v>
      </c>
      <c r="F256" s="5" t="str">
        <f>IFERROR(__xludf.DUMMYFUNCTION("""COMPUTED_VALUE"""),"Yes")</f>
        <v>Yes</v>
      </c>
      <c r="G256" s="5" t="str">
        <f>IFERROR(__xludf.DUMMYFUNCTION("""COMPUTED_VALUE"""),"No")</f>
        <v>No</v>
      </c>
      <c r="H256" s="5" t="str">
        <f>IFERROR(__xludf.DUMMYFUNCTION("""COMPUTED_VALUE"""),"Yes")</f>
        <v>Yes</v>
      </c>
      <c r="I256" s="5" t="str">
        <f>IFERROR(__xludf.DUMMYFUNCTION("""COMPUTED_VALUE"""),"Yes")</f>
        <v>Yes</v>
      </c>
      <c r="J256" s="5" t="str">
        <f>IFERROR(__xludf.DUMMYFUNCTION("""COMPUTED_VALUE"""),"Yes")</f>
        <v>Yes</v>
      </c>
      <c r="K256" s="5" t="str">
        <f>IFERROR(__xludf.DUMMYFUNCTION("""COMPUTED_VALUE"""),"Yes")</f>
        <v>Yes</v>
      </c>
      <c r="L256" s="5" t="str">
        <f>IFERROR(__xludf.DUMMYFUNCTION("""COMPUTED_VALUE"""),"Yes")</f>
        <v>Yes</v>
      </c>
      <c r="M256" s="5" t="str">
        <f>IFERROR(__xludf.DUMMYFUNCTION("""COMPUTED_VALUE"""),"Yes")</f>
        <v>Yes</v>
      </c>
      <c r="N256" s="5" t="str">
        <f>IFERROR(__xludf.DUMMYFUNCTION("""COMPUTED_VALUE"""),"Yes")</f>
        <v>Yes</v>
      </c>
      <c r="O256" s="5" t="str">
        <f>IFERROR(__xludf.DUMMYFUNCTION("""COMPUTED_VALUE"""),"Yes")</f>
        <v>Yes</v>
      </c>
      <c r="P256" s="5" t="str">
        <f>IFERROR(__xludf.DUMMYFUNCTION("""COMPUTED_VALUE"""),"Yes")</f>
        <v>Yes</v>
      </c>
      <c r="Q256" s="5" t="str">
        <f>IFERROR(__xludf.DUMMYFUNCTION("""COMPUTED_VALUE"""),"Yes")</f>
        <v>Yes</v>
      </c>
      <c r="R256" s="5" t="str">
        <f>IFERROR(__xludf.DUMMYFUNCTION("""COMPUTED_VALUE"""),"Yes")</f>
        <v>Yes</v>
      </c>
      <c r="S256" s="5" t="str">
        <f>IFERROR(__xludf.DUMMYFUNCTION("""COMPUTED_VALUE"""),"Yes")</f>
        <v>Yes</v>
      </c>
      <c r="T256" s="5" t="str">
        <f>IFERROR(__xludf.DUMMYFUNCTION("""COMPUTED_VALUE"""),"Yes")</f>
        <v>Yes</v>
      </c>
      <c r="U256" s="5" t="str">
        <f>IFERROR(__xludf.DUMMYFUNCTION("""COMPUTED_VALUE"""),"Yes")</f>
        <v>Yes</v>
      </c>
      <c r="V256" s="5" t="str">
        <f>IFERROR(__xludf.DUMMYFUNCTION("""COMPUTED_VALUE"""),"No")</f>
        <v>No</v>
      </c>
      <c r="W256" s="5" t="str">
        <f>IFERROR(__xludf.DUMMYFUNCTION("""COMPUTED_VALUE"""),"No")</f>
        <v>No</v>
      </c>
      <c r="X256" s="5" t="str">
        <f>IFERROR(__xludf.DUMMYFUNCTION("""COMPUTED_VALUE"""),"No")</f>
        <v>No</v>
      </c>
      <c r="Y256" s="5" t="str">
        <f>IFERROR(__xludf.DUMMYFUNCTION("""COMPUTED_VALUE"""),"No")</f>
        <v>No</v>
      </c>
      <c r="Z256" s="5" t="str">
        <f>IFERROR(__xludf.DUMMYFUNCTION("""COMPUTED_VALUE"""),"No")</f>
        <v>No</v>
      </c>
      <c r="AA256" s="5" t="str">
        <f>IFERROR(__xludf.DUMMYFUNCTION("""COMPUTED_VALUE"""),"No")</f>
        <v>No</v>
      </c>
      <c r="AB256" s="5" t="str">
        <f>IFERROR(__xludf.DUMMYFUNCTION("""COMPUTED_VALUE"""),"No")</f>
        <v>No</v>
      </c>
      <c r="AC256" s="5" t="str">
        <f>IFERROR(__xludf.DUMMYFUNCTION("""COMPUTED_VALUE"""),"No")</f>
        <v>No</v>
      </c>
      <c r="AD256" s="5" t="str">
        <f>IFERROR(__xludf.DUMMYFUNCTION("""COMPUTED_VALUE"""),"No")</f>
        <v>No</v>
      </c>
      <c r="AE256" s="5" t="str">
        <f>IFERROR(__xludf.DUMMYFUNCTION("""COMPUTED_VALUE"""),"No")</f>
        <v>No</v>
      </c>
      <c r="AF256" s="5" t="str">
        <f>IFERROR(__xludf.DUMMYFUNCTION("""COMPUTED_VALUE"""),"Yes")</f>
        <v>Yes</v>
      </c>
      <c r="AG256" s="5" t="str">
        <f>IFERROR(__xludf.DUMMYFUNCTION("""COMPUTED_VALUE"""),"No")</f>
        <v>No</v>
      </c>
      <c r="AH256" s="5" t="str">
        <f>IFERROR(__xludf.DUMMYFUNCTION("""COMPUTED_VALUE"""),"Yes")</f>
        <v>Yes</v>
      </c>
      <c r="AI256" s="5" t="str">
        <f>IFERROR(__xludf.DUMMYFUNCTION("""COMPUTED_VALUE"""),"No")</f>
        <v>No</v>
      </c>
      <c r="AJ256" s="5" t="str">
        <f>IFERROR(__xludf.DUMMYFUNCTION("""COMPUTED_VALUE"""),"No")</f>
        <v>No</v>
      </c>
      <c r="AK256" s="5" t="str">
        <f>IFERROR(__xludf.DUMMYFUNCTION("""COMPUTED_VALUE"""),"No")</f>
        <v>No</v>
      </c>
      <c r="AL256" s="5" t="str">
        <f>IFERROR(__xludf.DUMMYFUNCTION("""COMPUTED_VALUE"""),"No")</f>
        <v>No</v>
      </c>
      <c r="AM256" s="5"/>
      <c r="AN256" s="5"/>
      <c r="AO256" s="5"/>
      <c r="AP256" s="5"/>
      <c r="AQ256" s="5"/>
      <c r="AR256" s="5"/>
      <c r="AS256" s="5"/>
      <c r="AT256" s="5"/>
      <c r="AU256" s="5"/>
      <c r="AV256" s="5"/>
      <c r="AW256" s="5"/>
      <c r="AX256" s="5"/>
      <c r="AY256" s="5"/>
    </row>
    <row r="257">
      <c r="A257" s="5" t="str">
        <f>IFERROR(__xludf.DUMMYFUNCTION("""COMPUTED_VALUE"""),"English(""eng"")")</f>
        <v>English("eng")</v>
      </c>
      <c r="B257" s="5">
        <f>IFERROR(__xludf.DUMMYFUNCTION("""COMPUTED_VALUE"""),257.0)</f>
        <v>257</v>
      </c>
      <c r="C257" s="5">
        <f>IFERROR(__xludf.DUMMYFUNCTION("""COMPUTED_VALUE"""),256.0)</f>
        <v>256</v>
      </c>
      <c r="D257" s="5" t="str">
        <f>IFERROR(__xludf.DUMMYFUNCTION("""COMPUTED_VALUE"""),"UnicornFireStars")</f>
        <v>UnicornFireStars</v>
      </c>
      <c r="E257" s="5" t="str">
        <f>IFERROR(__xludf.DUMMYFUNCTION("""COMPUTED_VALUE"""),"Yes")</f>
        <v>Yes</v>
      </c>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row>
    <row r="258">
      <c r="A25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8" s="5">
        <f>IFERROR(__xludf.DUMMYFUNCTION("""COMPUTED_VALUE"""),258.0)</f>
        <v>258</v>
      </c>
      <c r="C258" s="5">
        <f>IFERROR(__xludf.DUMMYFUNCTION("""COMPUTED_VALUE"""),257.0)</f>
        <v>257</v>
      </c>
      <c r="D258" s="5" t="str">
        <f>IFERROR(__xludf.DUMMYFUNCTION("""COMPUTED_VALUE"""),"Unicorn20HotStrikeDice")</f>
        <v>Unicorn20HotStrikeDice</v>
      </c>
      <c r="E258" s="5" t="str">
        <f>IFERROR(__xludf.DUMMYFUNCTION("""COMPUTED_VALUE"""),"Yes")</f>
        <v>Yes</v>
      </c>
      <c r="F258" s="5" t="str">
        <f>IFERROR(__xludf.DUMMYFUNCTION("""COMPUTED_VALUE"""),"Yes")</f>
        <v>Yes</v>
      </c>
      <c r="G258" s="5" t="str">
        <f>IFERROR(__xludf.DUMMYFUNCTION("""COMPUTED_VALUE"""),"Yes")</f>
        <v>Yes</v>
      </c>
      <c r="H258" s="5" t="str">
        <f>IFERROR(__xludf.DUMMYFUNCTION("""COMPUTED_VALUE"""),"No")</f>
        <v>No</v>
      </c>
      <c r="I258" s="5" t="str">
        <f>IFERROR(__xludf.DUMMYFUNCTION("""COMPUTED_VALUE"""),"No")</f>
        <v>No</v>
      </c>
      <c r="J258" s="5" t="str">
        <f>IFERROR(__xludf.DUMMYFUNCTION("""COMPUTED_VALUE"""),"No")</f>
        <v>No</v>
      </c>
      <c r="K258" s="5" t="str">
        <f>IFERROR(__xludf.DUMMYFUNCTION("""COMPUTED_VALUE"""),"No")</f>
        <v>No</v>
      </c>
      <c r="L258" s="5" t="str">
        <f>IFERROR(__xludf.DUMMYFUNCTION("""COMPUTED_VALUE"""),"No")</f>
        <v>No</v>
      </c>
      <c r="M258" s="5" t="str">
        <f>IFERROR(__xludf.DUMMYFUNCTION("""COMPUTED_VALUE"""),"Yes")</f>
        <v>Yes</v>
      </c>
      <c r="N258" s="5" t="str">
        <f>IFERROR(__xludf.DUMMYFUNCTION("""COMPUTED_VALUE"""),"Yes")</f>
        <v>Yes</v>
      </c>
      <c r="O258" s="5" t="str">
        <f>IFERROR(__xludf.DUMMYFUNCTION("""COMPUTED_VALUE"""),"Yes")</f>
        <v>Yes</v>
      </c>
      <c r="P258" s="5" t="str">
        <f>IFERROR(__xludf.DUMMYFUNCTION("""COMPUTED_VALUE"""),"Yes")</f>
        <v>Yes</v>
      </c>
      <c r="Q258" s="5" t="str">
        <f>IFERROR(__xludf.DUMMYFUNCTION("""COMPUTED_VALUE"""),"Yes")</f>
        <v>Yes</v>
      </c>
      <c r="R258" s="5" t="str">
        <f>IFERROR(__xludf.DUMMYFUNCTION("""COMPUTED_VALUE"""),"No")</f>
        <v>No</v>
      </c>
      <c r="S258" s="5" t="str">
        <f>IFERROR(__xludf.DUMMYFUNCTION("""COMPUTED_VALUE"""),"Yes")</f>
        <v>Yes</v>
      </c>
      <c r="T258" s="5" t="str">
        <f>IFERROR(__xludf.DUMMYFUNCTION("""COMPUTED_VALUE"""),"No")</f>
        <v>No</v>
      </c>
      <c r="U258" s="5" t="str">
        <f>IFERROR(__xludf.DUMMYFUNCTION("""COMPUTED_VALUE"""),"No")</f>
        <v>No</v>
      </c>
      <c r="V258" s="5" t="str">
        <f>IFERROR(__xludf.DUMMYFUNCTION("""COMPUTED_VALUE"""),"No")</f>
        <v>No</v>
      </c>
      <c r="W258" s="5" t="str">
        <f>IFERROR(__xludf.DUMMYFUNCTION("""COMPUTED_VALUE"""),"No")</f>
        <v>No</v>
      </c>
      <c r="X258" s="5"/>
      <c r="Y258" s="5"/>
      <c r="Z258" s="5"/>
      <c r="AA258" s="5"/>
      <c r="AB258" s="5"/>
      <c r="AC258" s="5" t="str">
        <f>IFERROR(__xludf.DUMMYFUNCTION("""COMPUTED_VALUE"""),"No")</f>
        <v>No</v>
      </c>
      <c r="AD258" s="5"/>
      <c r="AE258" s="5"/>
      <c r="AF258" s="5"/>
      <c r="AG258" s="5"/>
      <c r="AH258" s="5"/>
      <c r="AI258" s="5"/>
      <c r="AJ258" s="5"/>
      <c r="AK258" s="5"/>
      <c r="AL258" s="5"/>
      <c r="AM258" s="5"/>
      <c r="AN258" s="5"/>
      <c r="AO258" s="5"/>
      <c r="AP258" s="5"/>
      <c r="AQ258" s="5"/>
      <c r="AR258" s="5"/>
      <c r="AS258" s="5"/>
      <c r="AT258" s="5"/>
      <c r="AU258" s="5"/>
      <c r="AV258" s="5"/>
      <c r="AW258" s="5"/>
      <c r="AX258" s="5"/>
      <c r="AY258" s="5"/>
    </row>
    <row r="259">
      <c r="A25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59" s="5">
        <f>IFERROR(__xludf.DUMMYFUNCTION("""COMPUTED_VALUE"""),259.0)</f>
        <v>259</v>
      </c>
      <c r="C259" s="5">
        <f>IFERROR(__xludf.DUMMYFUNCTION("""COMPUTED_VALUE"""),258.0)</f>
        <v>258</v>
      </c>
      <c r="D259" s="5" t="str">
        <f>IFERROR(__xludf.DUMMYFUNCTION("""COMPUTED_VALUE"""),"UnicornBikiniDice")</f>
        <v>UnicornBikiniDice</v>
      </c>
      <c r="E259" s="5" t="str">
        <f>IFERROR(__xludf.DUMMYFUNCTION("""COMPUTED_VALUE"""),"Yes")</f>
        <v>Yes</v>
      </c>
      <c r="F259" s="5" t="str">
        <f>IFERROR(__xludf.DUMMYFUNCTION("""COMPUTED_VALUE"""),"Yes")</f>
        <v>Yes</v>
      </c>
      <c r="G259" s="5" t="str">
        <f>IFERROR(__xludf.DUMMYFUNCTION("""COMPUTED_VALUE"""),"Yes")</f>
        <v>Yes</v>
      </c>
      <c r="H259" s="5" t="str">
        <f>IFERROR(__xludf.DUMMYFUNCTION("""COMPUTED_VALUE"""),"No")</f>
        <v>No</v>
      </c>
      <c r="I259" s="5" t="str">
        <f>IFERROR(__xludf.DUMMYFUNCTION("""COMPUTED_VALUE"""),"No")</f>
        <v>No</v>
      </c>
      <c r="J259" s="5" t="str">
        <f>IFERROR(__xludf.DUMMYFUNCTION("""COMPUTED_VALUE"""),"No")</f>
        <v>No</v>
      </c>
      <c r="K259" s="5" t="str">
        <f>IFERROR(__xludf.DUMMYFUNCTION("""COMPUTED_VALUE"""),"No")</f>
        <v>No</v>
      </c>
      <c r="L259" s="5" t="str">
        <f>IFERROR(__xludf.DUMMYFUNCTION("""COMPUTED_VALUE"""),"No")</f>
        <v>No</v>
      </c>
      <c r="M259" s="5" t="str">
        <f>IFERROR(__xludf.DUMMYFUNCTION("""COMPUTED_VALUE"""),"Yes")</f>
        <v>Yes</v>
      </c>
      <c r="N259" s="5" t="str">
        <f>IFERROR(__xludf.DUMMYFUNCTION("""COMPUTED_VALUE"""),"Yes")</f>
        <v>Yes</v>
      </c>
      <c r="O259" s="5" t="str">
        <f>IFERROR(__xludf.DUMMYFUNCTION("""COMPUTED_VALUE"""),"Yes")</f>
        <v>Yes</v>
      </c>
      <c r="P259" s="5" t="str">
        <f>IFERROR(__xludf.DUMMYFUNCTION("""COMPUTED_VALUE"""),"Yes")</f>
        <v>Yes</v>
      </c>
      <c r="Q259" s="5" t="str">
        <f>IFERROR(__xludf.DUMMYFUNCTION("""COMPUTED_VALUE"""),"Yes")</f>
        <v>Yes</v>
      </c>
      <c r="R259" s="5" t="str">
        <f>IFERROR(__xludf.DUMMYFUNCTION("""COMPUTED_VALUE"""),"No")</f>
        <v>No</v>
      </c>
      <c r="S259" s="5" t="str">
        <f>IFERROR(__xludf.DUMMYFUNCTION("""COMPUTED_VALUE"""),"Yes")</f>
        <v>Yes</v>
      </c>
      <c r="T259" s="5" t="str">
        <f>IFERROR(__xludf.DUMMYFUNCTION("""COMPUTED_VALUE"""),"No")</f>
        <v>No</v>
      </c>
      <c r="U259" s="5" t="str">
        <f>IFERROR(__xludf.DUMMYFUNCTION("""COMPUTED_VALUE"""),"No")</f>
        <v>No</v>
      </c>
      <c r="V259" s="5" t="str">
        <f>IFERROR(__xludf.DUMMYFUNCTION("""COMPUTED_VALUE"""),"No")</f>
        <v>No</v>
      </c>
      <c r="W259" s="5" t="str">
        <f>IFERROR(__xludf.DUMMYFUNCTION("""COMPUTED_VALUE"""),"No")</f>
        <v>No</v>
      </c>
      <c r="X259" s="5"/>
      <c r="Y259" s="5"/>
      <c r="Z259" s="5"/>
      <c r="AA259" s="5"/>
      <c r="AB259" s="5"/>
      <c r="AC259" s="5" t="str">
        <f>IFERROR(__xludf.DUMMYFUNCTION("""COMPUTED_VALUE"""),"No")</f>
        <v>No</v>
      </c>
      <c r="AD259" s="5"/>
      <c r="AE259" s="5"/>
      <c r="AF259" s="5"/>
      <c r="AG259" s="5"/>
      <c r="AH259" s="5"/>
      <c r="AI259" s="5"/>
      <c r="AJ259" s="5"/>
      <c r="AK259" s="5"/>
      <c r="AL259" s="5"/>
      <c r="AM259" s="5"/>
      <c r="AN259" s="5"/>
      <c r="AO259" s="5"/>
      <c r="AP259" s="5"/>
      <c r="AQ259" s="5"/>
      <c r="AR259" s="5"/>
      <c r="AS259" s="5"/>
      <c r="AT259" s="5"/>
      <c r="AU259" s="5"/>
      <c r="AV259" s="5"/>
      <c r="AW259" s="5"/>
      <c r="AX259" s="5"/>
      <c r="AY259" s="5"/>
    </row>
    <row r="260">
      <c r="A26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60" s="5">
        <f>IFERROR(__xludf.DUMMYFUNCTION("""COMPUTED_VALUE"""),260.0)</f>
        <v>260</v>
      </c>
      <c r="C260" s="5">
        <f>IFERROR(__xludf.DUMMYFUNCTION("""COMPUTED_VALUE"""),259.0)</f>
        <v>259</v>
      </c>
      <c r="D260" s="5" t="str">
        <f>IFERROR(__xludf.DUMMYFUNCTION("""COMPUTED_VALUE"""),"HotHotStereoWin")</f>
        <v>HotHotStereoWin</v>
      </c>
      <c r="E260" s="5" t="str">
        <f>IFERROR(__xludf.DUMMYFUNCTION("""COMPUTED_VALUE"""),"Yes")</f>
        <v>Yes</v>
      </c>
      <c r="F260" s="5" t="str">
        <f>IFERROR(__xludf.DUMMYFUNCTION("""COMPUTED_VALUE"""),"Yes")</f>
        <v>Yes</v>
      </c>
      <c r="G260" s="5" t="str">
        <f>IFERROR(__xludf.DUMMYFUNCTION("""COMPUTED_VALUE"""),"Yes")</f>
        <v>Yes</v>
      </c>
      <c r="H260" s="5" t="str">
        <f>IFERROR(__xludf.DUMMYFUNCTION("""COMPUTED_VALUE"""),"No")</f>
        <v>No</v>
      </c>
      <c r="I260" s="5" t="str">
        <f>IFERROR(__xludf.DUMMYFUNCTION("""COMPUTED_VALUE"""),"No")</f>
        <v>No</v>
      </c>
      <c r="J260" s="5" t="str">
        <f>IFERROR(__xludf.DUMMYFUNCTION("""COMPUTED_VALUE"""),"No")</f>
        <v>No</v>
      </c>
      <c r="K260" s="5" t="str">
        <f>IFERROR(__xludf.DUMMYFUNCTION("""COMPUTED_VALUE"""),"No")</f>
        <v>No</v>
      </c>
      <c r="L260" s="5" t="str">
        <f>IFERROR(__xludf.DUMMYFUNCTION("""COMPUTED_VALUE"""),"No")</f>
        <v>No</v>
      </c>
      <c r="M260" s="5" t="str">
        <f>IFERROR(__xludf.DUMMYFUNCTION("""COMPUTED_VALUE"""),"Yes")</f>
        <v>Yes</v>
      </c>
      <c r="N260" s="5" t="str">
        <f>IFERROR(__xludf.DUMMYFUNCTION("""COMPUTED_VALUE"""),"Yes")</f>
        <v>Yes</v>
      </c>
      <c r="O260" s="5" t="str">
        <f>IFERROR(__xludf.DUMMYFUNCTION("""COMPUTED_VALUE"""),"Yes")</f>
        <v>Yes</v>
      </c>
      <c r="P260" s="5" t="str">
        <f>IFERROR(__xludf.DUMMYFUNCTION("""COMPUTED_VALUE"""),"Yes")</f>
        <v>Yes</v>
      </c>
      <c r="Q260" s="5" t="str">
        <f>IFERROR(__xludf.DUMMYFUNCTION("""COMPUTED_VALUE"""),"Yes")</f>
        <v>Yes</v>
      </c>
      <c r="R260" s="5" t="str">
        <f>IFERROR(__xludf.DUMMYFUNCTION("""COMPUTED_VALUE"""),"No")</f>
        <v>No</v>
      </c>
      <c r="S260" s="5" t="str">
        <f>IFERROR(__xludf.DUMMYFUNCTION("""COMPUTED_VALUE"""),"Yes")</f>
        <v>Yes</v>
      </c>
      <c r="T260" s="5" t="str">
        <f>IFERROR(__xludf.DUMMYFUNCTION("""COMPUTED_VALUE"""),"No")</f>
        <v>No</v>
      </c>
      <c r="U260" s="5" t="str">
        <f>IFERROR(__xludf.DUMMYFUNCTION("""COMPUTED_VALUE"""),"No")</f>
        <v>No</v>
      </c>
      <c r="V260" s="5" t="str">
        <f>IFERROR(__xludf.DUMMYFUNCTION("""COMPUTED_VALUE"""),"No")</f>
        <v>No</v>
      </c>
      <c r="W260" s="5" t="str">
        <f>IFERROR(__xludf.DUMMYFUNCTION("""COMPUTED_VALUE"""),"No")</f>
        <v>No</v>
      </c>
      <c r="X260" s="5"/>
      <c r="Y260" s="5"/>
      <c r="Z260" s="5"/>
      <c r="AA260" s="5"/>
      <c r="AB260" s="5"/>
      <c r="AC260" s="5" t="str">
        <f>IFERROR(__xludf.DUMMYFUNCTION("""COMPUTED_VALUE"""),"No")</f>
        <v>No</v>
      </c>
      <c r="AD260" s="5"/>
      <c r="AE260" s="5"/>
      <c r="AF260" s="5"/>
      <c r="AG260" s="5"/>
      <c r="AH260" s="5"/>
      <c r="AI260" s="5"/>
      <c r="AJ260" s="5"/>
      <c r="AK260" s="5"/>
      <c r="AL260" s="5"/>
      <c r="AM260" s="5"/>
      <c r="AN260" s="5"/>
      <c r="AO260" s="5"/>
      <c r="AP260" s="5"/>
      <c r="AQ260" s="5"/>
      <c r="AR260" s="5"/>
      <c r="AS260" s="5"/>
      <c r="AT260" s="5"/>
      <c r="AU260" s="5"/>
      <c r="AV260" s="5"/>
      <c r="AW260" s="5"/>
      <c r="AX260" s="5"/>
      <c r="AY260" s="5"/>
    </row>
    <row r="261">
      <c r="A2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1" s="5">
        <f>IFERROR(__xludf.DUMMYFUNCTION("""COMPUTED_VALUE"""),261.0)</f>
        <v>261</v>
      </c>
      <c r="C261" s="5">
        <f>IFERROR(__xludf.DUMMYFUNCTION("""COMPUTED_VALUE"""),260.0)</f>
        <v>260</v>
      </c>
      <c r="D261" s="5" t="str">
        <f>IFERROR(__xludf.DUMMYFUNCTION("""COMPUTED_VALUE"""),"EpicCrown5")</f>
        <v>EpicCrown5</v>
      </c>
      <c r="E261" s="5" t="str">
        <f>IFERROR(__xludf.DUMMYFUNCTION("""COMPUTED_VALUE"""),"Yes")</f>
        <v>Yes</v>
      </c>
      <c r="F261" s="5" t="str">
        <f>IFERROR(__xludf.DUMMYFUNCTION("""COMPUTED_VALUE"""),"Yes")</f>
        <v>Yes</v>
      </c>
      <c r="G261" s="5" t="str">
        <f>IFERROR(__xludf.DUMMYFUNCTION("""COMPUTED_VALUE"""),"Yes")</f>
        <v>Yes</v>
      </c>
      <c r="H261" s="5" t="str">
        <f>IFERROR(__xludf.DUMMYFUNCTION("""COMPUTED_VALUE"""),"Yes")</f>
        <v>Yes</v>
      </c>
      <c r="I261" s="5" t="str">
        <f>IFERROR(__xludf.DUMMYFUNCTION("""COMPUTED_VALUE"""),"Yes")</f>
        <v>Yes</v>
      </c>
      <c r="J261" s="5" t="str">
        <f>IFERROR(__xludf.DUMMYFUNCTION("""COMPUTED_VALUE"""),"Yes")</f>
        <v>Yes</v>
      </c>
      <c r="K261" s="5" t="str">
        <f>IFERROR(__xludf.DUMMYFUNCTION("""COMPUTED_VALUE"""),"Yes")</f>
        <v>Yes</v>
      </c>
      <c r="L261" s="5" t="str">
        <f>IFERROR(__xludf.DUMMYFUNCTION("""COMPUTED_VALUE"""),"Yes")</f>
        <v>Yes</v>
      </c>
      <c r="M261" s="5" t="str">
        <f>IFERROR(__xludf.DUMMYFUNCTION("""COMPUTED_VALUE"""),"Yes")</f>
        <v>Yes</v>
      </c>
      <c r="N261" s="5" t="str">
        <f>IFERROR(__xludf.DUMMYFUNCTION("""COMPUTED_VALUE"""),"Yes")</f>
        <v>Yes</v>
      </c>
      <c r="O261" s="5" t="str">
        <f>IFERROR(__xludf.DUMMYFUNCTION("""COMPUTED_VALUE"""),"Yes")</f>
        <v>Yes</v>
      </c>
      <c r="P261" s="5" t="str">
        <f>IFERROR(__xludf.DUMMYFUNCTION("""COMPUTED_VALUE"""),"Yes")</f>
        <v>Yes</v>
      </c>
      <c r="Q261" s="5" t="str">
        <f>IFERROR(__xludf.DUMMYFUNCTION("""COMPUTED_VALUE"""),"Yes")</f>
        <v>Yes</v>
      </c>
      <c r="R261" s="5" t="str">
        <f>IFERROR(__xludf.DUMMYFUNCTION("""COMPUTED_VALUE"""),"Yes")</f>
        <v>Yes</v>
      </c>
      <c r="S261" s="5" t="str">
        <f>IFERROR(__xludf.DUMMYFUNCTION("""COMPUTED_VALUE"""),"Yes")</f>
        <v>Yes</v>
      </c>
      <c r="T261" s="5" t="str">
        <f>IFERROR(__xludf.DUMMYFUNCTION("""COMPUTED_VALUE"""),"Yes")</f>
        <v>Yes</v>
      </c>
      <c r="U261" s="5" t="str">
        <f>IFERROR(__xludf.DUMMYFUNCTION("""COMPUTED_VALUE"""),"Yes")</f>
        <v>Yes</v>
      </c>
      <c r="V261" s="5" t="str">
        <f>IFERROR(__xludf.DUMMYFUNCTION("""COMPUTED_VALUE"""),"Yes")</f>
        <v>Yes</v>
      </c>
      <c r="W261" s="5" t="str">
        <f>IFERROR(__xludf.DUMMYFUNCTION("""COMPUTED_VALUE"""),"Yes")</f>
        <v>Yes</v>
      </c>
      <c r="X261" s="5" t="str">
        <f>IFERROR(__xludf.DUMMYFUNCTION("""COMPUTED_VALUE"""),"Yes")</f>
        <v>Yes</v>
      </c>
      <c r="Y261" s="5" t="str">
        <f>IFERROR(__xludf.DUMMYFUNCTION("""COMPUTED_VALUE"""),"Yes")</f>
        <v>Yes</v>
      </c>
      <c r="Z261" s="5" t="str">
        <f>IFERROR(__xludf.DUMMYFUNCTION("""COMPUTED_VALUE"""),"No")</f>
        <v>No</v>
      </c>
      <c r="AA261" s="5" t="str">
        <f>IFERROR(__xludf.DUMMYFUNCTION("""COMPUTED_VALUE"""),"Yes")</f>
        <v>Yes</v>
      </c>
      <c r="AB261" s="5" t="str">
        <f>IFERROR(__xludf.DUMMYFUNCTION("""COMPUTED_VALUE"""),"Yes")</f>
        <v>Yes</v>
      </c>
      <c r="AC261" s="5" t="str">
        <f>IFERROR(__xludf.DUMMYFUNCTION("""COMPUTED_VALUE"""),"Yes")</f>
        <v>Yes</v>
      </c>
      <c r="AD261" s="5" t="str">
        <f>IFERROR(__xludf.DUMMYFUNCTION("""COMPUTED_VALUE"""),"Yes")</f>
        <v>Yes</v>
      </c>
      <c r="AE261" s="5" t="str">
        <f>IFERROR(__xludf.DUMMYFUNCTION("""COMPUTED_VALUE"""),"No")</f>
        <v>No</v>
      </c>
      <c r="AF261" s="5" t="str">
        <f>IFERROR(__xludf.DUMMYFUNCTION("""COMPUTED_VALUE"""),"Yes")</f>
        <v>Yes</v>
      </c>
      <c r="AG261" s="5" t="str">
        <f>IFERROR(__xludf.DUMMYFUNCTION("""COMPUTED_VALUE"""),"No")</f>
        <v>No</v>
      </c>
      <c r="AH261" s="5" t="str">
        <f>IFERROR(__xludf.DUMMYFUNCTION("""COMPUTED_VALUE"""),"No")</f>
        <v>No</v>
      </c>
      <c r="AI261" s="5" t="str">
        <f>IFERROR(__xludf.DUMMYFUNCTION("""COMPUTED_VALUE"""),"No")</f>
        <v>No</v>
      </c>
      <c r="AJ261" s="5" t="str">
        <f>IFERROR(__xludf.DUMMYFUNCTION("""COMPUTED_VALUE"""),"No")</f>
        <v>No</v>
      </c>
      <c r="AK261" s="5" t="str">
        <f>IFERROR(__xludf.DUMMYFUNCTION("""COMPUTED_VALUE"""),"No")</f>
        <v>No</v>
      </c>
      <c r="AL261" s="5" t="str">
        <f>IFERROR(__xludf.DUMMYFUNCTION("""COMPUTED_VALUE"""),"No")</f>
        <v>No</v>
      </c>
      <c r="AM261" s="5"/>
      <c r="AN261" s="5"/>
      <c r="AO261" s="5"/>
      <c r="AP261" s="5"/>
      <c r="AQ261" s="5"/>
      <c r="AR261" s="5"/>
      <c r="AS261" s="5"/>
      <c r="AT261" s="5"/>
      <c r="AU261" s="5"/>
      <c r="AV261" s="5"/>
      <c r="AW261" s="5"/>
      <c r="AX261" s="5"/>
      <c r="AY261" s="5"/>
    </row>
    <row r="262">
      <c r="A2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62" s="5">
        <f>IFERROR(__xludf.DUMMYFUNCTION("""COMPUTED_VALUE"""),262.0)</f>
        <v>262</v>
      </c>
      <c r="C262" s="5">
        <f>IFERROR(__xludf.DUMMYFUNCTION("""COMPUTED_VALUE"""),261.0)</f>
        <v>261</v>
      </c>
      <c r="D262" s="5" t="str">
        <f>IFERROR(__xludf.DUMMYFUNCTION("""COMPUTED_VALUE"""),"UnicornSimplySevens")</f>
        <v>UnicornSimplySevens</v>
      </c>
      <c r="E262" s="5" t="str">
        <f>IFERROR(__xludf.DUMMYFUNCTION("""COMPUTED_VALUE"""),"Yes")</f>
        <v>Yes</v>
      </c>
      <c r="F262" s="5" t="str">
        <f>IFERROR(__xludf.DUMMYFUNCTION("""COMPUTED_VALUE"""),"Yes")</f>
        <v>Yes</v>
      </c>
      <c r="G262" s="5" t="str">
        <f>IFERROR(__xludf.DUMMYFUNCTION("""COMPUTED_VALUE"""),"Yes")</f>
        <v>Yes</v>
      </c>
      <c r="H262" s="5" t="str">
        <f>IFERROR(__xludf.DUMMYFUNCTION("""COMPUTED_VALUE"""),"Yes")</f>
        <v>Yes</v>
      </c>
      <c r="I262" s="5" t="str">
        <f>IFERROR(__xludf.DUMMYFUNCTION("""COMPUTED_VALUE"""),"Yes")</f>
        <v>Yes</v>
      </c>
      <c r="J262" s="5" t="str">
        <f>IFERROR(__xludf.DUMMYFUNCTION("""COMPUTED_VALUE"""),"Yes")</f>
        <v>Yes</v>
      </c>
      <c r="K262" s="5" t="str">
        <f>IFERROR(__xludf.DUMMYFUNCTION("""COMPUTED_VALUE"""),"Yes")</f>
        <v>Yes</v>
      </c>
      <c r="L262" s="5" t="str">
        <f>IFERROR(__xludf.DUMMYFUNCTION("""COMPUTED_VALUE"""),"Yes")</f>
        <v>Yes</v>
      </c>
      <c r="M262" s="5" t="str">
        <f>IFERROR(__xludf.DUMMYFUNCTION("""COMPUTED_VALUE"""),"Yes")</f>
        <v>Yes</v>
      </c>
      <c r="N262" s="5" t="str">
        <f>IFERROR(__xludf.DUMMYFUNCTION("""COMPUTED_VALUE"""),"Yes")</f>
        <v>Yes</v>
      </c>
      <c r="O262" s="5" t="str">
        <f>IFERROR(__xludf.DUMMYFUNCTION("""COMPUTED_VALUE"""),"Yes")</f>
        <v>Yes</v>
      </c>
      <c r="P262" s="5" t="str">
        <f>IFERROR(__xludf.DUMMYFUNCTION("""COMPUTED_VALUE"""),"Yes")</f>
        <v>Yes</v>
      </c>
      <c r="Q262" s="5" t="str">
        <f>IFERROR(__xludf.DUMMYFUNCTION("""COMPUTED_VALUE"""),"Yes")</f>
        <v>Yes</v>
      </c>
      <c r="R262" s="5" t="str">
        <f>IFERROR(__xludf.DUMMYFUNCTION("""COMPUTED_VALUE"""),"Yes")</f>
        <v>Yes</v>
      </c>
      <c r="S262" s="5" t="str">
        <f>IFERROR(__xludf.DUMMYFUNCTION("""COMPUTED_VALUE"""),"Yes")</f>
        <v>Yes</v>
      </c>
      <c r="T262" s="5" t="str">
        <f>IFERROR(__xludf.DUMMYFUNCTION("""COMPUTED_VALUE"""),"Yes")</f>
        <v>Yes</v>
      </c>
      <c r="U262" s="5" t="str">
        <f>IFERROR(__xludf.DUMMYFUNCTION("""COMPUTED_VALUE"""),"Yes")</f>
        <v>Yes</v>
      </c>
      <c r="V262" s="5" t="str">
        <f>IFERROR(__xludf.DUMMYFUNCTION("""COMPUTED_VALUE"""),"Yes")</f>
        <v>Yes</v>
      </c>
      <c r="W262" s="5" t="str">
        <f>IFERROR(__xludf.DUMMYFUNCTION("""COMPUTED_VALUE"""),"Yes")</f>
        <v>Yes</v>
      </c>
      <c r="X262" s="5"/>
      <c r="Y262" s="5" t="str">
        <f>IFERROR(__xludf.DUMMYFUNCTION("""COMPUTED_VALUE"""),"Yes")</f>
        <v>Yes</v>
      </c>
      <c r="Z262" s="5"/>
      <c r="AA262" s="5" t="str">
        <f>IFERROR(__xludf.DUMMYFUNCTION("""COMPUTED_VALUE"""),"Yes")</f>
        <v>Yes</v>
      </c>
      <c r="AB262" s="5" t="str">
        <f>IFERROR(__xludf.DUMMYFUNCTION("""COMPUTED_VALUE"""),"Yes")</f>
        <v>Yes</v>
      </c>
      <c r="AC262" s="5" t="str">
        <f>IFERROR(__xludf.DUMMYFUNCTION("""COMPUTED_VALUE"""),"Yes")</f>
        <v>Yes</v>
      </c>
      <c r="AD262" s="5" t="str">
        <f>IFERROR(__xludf.DUMMYFUNCTION("""COMPUTED_VALUE"""),"Yes")</f>
        <v>Yes</v>
      </c>
      <c r="AE262" s="5"/>
      <c r="AF262" s="5" t="str">
        <f>IFERROR(__xludf.DUMMYFUNCTION("""COMPUTED_VALUE"""),"Yes")</f>
        <v>Yes</v>
      </c>
      <c r="AG262" s="5"/>
      <c r="AH262" s="5"/>
      <c r="AI262" s="5"/>
      <c r="AJ262" s="5"/>
      <c r="AK262" s="5"/>
      <c r="AL262" s="5"/>
      <c r="AM262" s="5"/>
      <c r="AN262" s="5"/>
      <c r="AO262" s="5"/>
      <c r="AP262" s="5"/>
      <c r="AQ262" s="5"/>
      <c r="AR262" s="5"/>
      <c r="AS262" s="5"/>
      <c r="AT262" s="5"/>
      <c r="AU262" s="5"/>
      <c r="AV262" s="5"/>
      <c r="AW262" s="5"/>
      <c r="AX262" s="5"/>
      <c r="AY262" s="5"/>
    </row>
    <row r="263">
      <c r="A2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3" s="5">
        <f>IFERROR(__xludf.DUMMYFUNCTION("""COMPUTED_VALUE"""),263.0)</f>
        <v>263</v>
      </c>
      <c r="C263" s="5">
        <f>IFERROR(__xludf.DUMMYFUNCTION("""COMPUTED_VALUE"""),262.0)</f>
        <v>262</v>
      </c>
      <c r="D263" s="5" t="str">
        <f>IFERROR(__xludf.DUMMYFUNCTION("""COMPUTED_VALUE"""),"DeadNight")</f>
        <v>DeadNight</v>
      </c>
      <c r="E263" s="5" t="str">
        <f>IFERROR(__xludf.DUMMYFUNCTION("""COMPUTED_VALUE"""),"Yes")</f>
        <v>Yes</v>
      </c>
      <c r="F263" s="5" t="str">
        <f>IFERROR(__xludf.DUMMYFUNCTION("""COMPUTED_VALUE"""),"Yes")</f>
        <v>Yes</v>
      </c>
      <c r="G263" s="5" t="str">
        <f>IFERROR(__xludf.DUMMYFUNCTION("""COMPUTED_VALUE"""),"Yes")</f>
        <v>Yes</v>
      </c>
      <c r="H263" s="5" t="str">
        <f>IFERROR(__xludf.DUMMYFUNCTION("""COMPUTED_VALUE"""),"Yes")</f>
        <v>Yes</v>
      </c>
      <c r="I263" s="5" t="str">
        <f>IFERROR(__xludf.DUMMYFUNCTION("""COMPUTED_VALUE"""),"Yes")</f>
        <v>Yes</v>
      </c>
      <c r="J263" s="5" t="str">
        <f>IFERROR(__xludf.DUMMYFUNCTION("""COMPUTED_VALUE"""),"Yes")</f>
        <v>Yes</v>
      </c>
      <c r="K263" s="5" t="str">
        <f>IFERROR(__xludf.DUMMYFUNCTION("""COMPUTED_VALUE"""),"Yes")</f>
        <v>Yes</v>
      </c>
      <c r="L263" s="5" t="str">
        <f>IFERROR(__xludf.DUMMYFUNCTION("""COMPUTED_VALUE"""),"Yes")</f>
        <v>Yes</v>
      </c>
      <c r="M263" s="5" t="str">
        <f>IFERROR(__xludf.DUMMYFUNCTION("""COMPUTED_VALUE"""),"Yes")</f>
        <v>Yes</v>
      </c>
      <c r="N263" s="5" t="str">
        <f>IFERROR(__xludf.DUMMYFUNCTION("""COMPUTED_VALUE"""),"Yes")</f>
        <v>Yes</v>
      </c>
      <c r="O263" s="5" t="str">
        <f>IFERROR(__xludf.DUMMYFUNCTION("""COMPUTED_VALUE"""),"Yes")</f>
        <v>Yes</v>
      </c>
      <c r="P263" s="5" t="str">
        <f>IFERROR(__xludf.DUMMYFUNCTION("""COMPUTED_VALUE"""),"Yes")</f>
        <v>Yes</v>
      </c>
      <c r="Q263" s="5" t="str">
        <f>IFERROR(__xludf.DUMMYFUNCTION("""COMPUTED_VALUE"""),"Yes")</f>
        <v>Yes</v>
      </c>
      <c r="R263" s="5" t="str">
        <f>IFERROR(__xludf.DUMMYFUNCTION("""COMPUTED_VALUE"""),"Yes")</f>
        <v>Yes</v>
      </c>
      <c r="S263" s="5" t="str">
        <f>IFERROR(__xludf.DUMMYFUNCTION("""COMPUTED_VALUE"""),"Yes")</f>
        <v>Yes</v>
      </c>
      <c r="T263" s="5" t="str">
        <f>IFERROR(__xludf.DUMMYFUNCTION("""COMPUTED_VALUE"""),"Yes")</f>
        <v>Yes</v>
      </c>
      <c r="U263" s="5" t="str">
        <f>IFERROR(__xludf.DUMMYFUNCTION("""COMPUTED_VALUE"""),"Yes")</f>
        <v>Yes</v>
      </c>
      <c r="V263" s="5" t="str">
        <f>IFERROR(__xludf.DUMMYFUNCTION("""COMPUTED_VALUE"""),"Yes")</f>
        <v>Yes</v>
      </c>
      <c r="W263" s="5" t="str">
        <f>IFERROR(__xludf.DUMMYFUNCTION("""COMPUTED_VALUE"""),"Yes")</f>
        <v>Yes</v>
      </c>
      <c r="X263" s="5" t="str">
        <f>IFERROR(__xludf.DUMMYFUNCTION("""COMPUTED_VALUE"""),"Yes")</f>
        <v>Yes</v>
      </c>
      <c r="Y263" s="5" t="str">
        <f>IFERROR(__xludf.DUMMYFUNCTION("""COMPUTED_VALUE"""),"Yes")</f>
        <v>Yes</v>
      </c>
      <c r="Z263" s="5" t="str">
        <f>IFERROR(__xludf.DUMMYFUNCTION("""COMPUTED_VALUE"""),"No")</f>
        <v>No</v>
      </c>
      <c r="AA263" s="5" t="str">
        <f>IFERROR(__xludf.DUMMYFUNCTION("""COMPUTED_VALUE"""),"Yes")</f>
        <v>Yes</v>
      </c>
      <c r="AB263" s="5" t="str">
        <f>IFERROR(__xludf.DUMMYFUNCTION("""COMPUTED_VALUE"""),"Yes")</f>
        <v>Yes</v>
      </c>
      <c r="AC263" s="5" t="str">
        <f>IFERROR(__xludf.DUMMYFUNCTION("""COMPUTED_VALUE"""),"Yes")</f>
        <v>Yes</v>
      </c>
      <c r="AD263" s="5" t="str">
        <f>IFERROR(__xludf.DUMMYFUNCTION("""COMPUTED_VALUE"""),"Yes")</f>
        <v>Yes</v>
      </c>
      <c r="AE263" s="5" t="str">
        <f>IFERROR(__xludf.DUMMYFUNCTION("""COMPUTED_VALUE"""),"No")</f>
        <v>No</v>
      </c>
      <c r="AF263" s="5" t="str">
        <f>IFERROR(__xludf.DUMMYFUNCTION("""COMPUTED_VALUE"""),"Yes")</f>
        <v>Yes</v>
      </c>
      <c r="AG263" s="5" t="str">
        <f>IFERROR(__xludf.DUMMYFUNCTION("""COMPUTED_VALUE"""),"No")</f>
        <v>No</v>
      </c>
      <c r="AH263" s="5" t="str">
        <f>IFERROR(__xludf.DUMMYFUNCTION("""COMPUTED_VALUE"""),"No")</f>
        <v>No</v>
      </c>
      <c r="AI263" s="5" t="str">
        <f>IFERROR(__xludf.DUMMYFUNCTION("""COMPUTED_VALUE"""),"No")</f>
        <v>No</v>
      </c>
      <c r="AJ263" s="5" t="str">
        <f>IFERROR(__xludf.DUMMYFUNCTION("""COMPUTED_VALUE"""),"No")</f>
        <v>No</v>
      </c>
      <c r="AK263" s="5" t="str">
        <f>IFERROR(__xludf.DUMMYFUNCTION("""COMPUTED_VALUE"""),"No")</f>
        <v>No</v>
      </c>
      <c r="AL263" s="5" t="str">
        <f>IFERROR(__xludf.DUMMYFUNCTION("""COMPUTED_VALUE"""),"No")</f>
        <v>No</v>
      </c>
      <c r="AM263" s="5"/>
      <c r="AN263" s="5"/>
      <c r="AO263" s="5"/>
      <c r="AP263" s="5"/>
      <c r="AQ263" s="5"/>
      <c r="AR263" s="5"/>
      <c r="AS263" s="5"/>
      <c r="AT263" s="5"/>
      <c r="AU263" s="5"/>
      <c r="AV263" s="5"/>
      <c r="AW263" s="5"/>
      <c r="AX263" s="5"/>
      <c r="AY263" s="5"/>
    </row>
    <row r="264">
      <c r="A2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4" s="5">
        <f>IFERROR(__xludf.DUMMYFUNCTION("""COMPUTED_VALUE"""),264.0)</f>
        <v>264</v>
      </c>
      <c r="C264" s="5">
        <f>IFERROR(__xludf.DUMMYFUNCTION("""COMPUTED_VALUE"""),263.0)</f>
        <v>263</v>
      </c>
      <c r="D264" s="5" t="str">
        <f>IFERROR(__xludf.DUMMYFUNCTION("""COMPUTED_VALUE"""),"WinningClover5")</f>
        <v>WinningClover5</v>
      </c>
      <c r="E264" s="5" t="str">
        <f>IFERROR(__xludf.DUMMYFUNCTION("""COMPUTED_VALUE"""),"Yes")</f>
        <v>Yes</v>
      </c>
      <c r="F264" s="5" t="str">
        <f>IFERROR(__xludf.DUMMYFUNCTION("""COMPUTED_VALUE"""),"Yes")</f>
        <v>Yes</v>
      </c>
      <c r="G264" s="5" t="str">
        <f>IFERROR(__xludf.DUMMYFUNCTION("""COMPUTED_VALUE"""),"Yes")</f>
        <v>Yes</v>
      </c>
      <c r="H264" s="5" t="str">
        <f>IFERROR(__xludf.DUMMYFUNCTION("""COMPUTED_VALUE"""),"Yes")</f>
        <v>Yes</v>
      </c>
      <c r="I264" s="5" t="str">
        <f>IFERROR(__xludf.DUMMYFUNCTION("""COMPUTED_VALUE"""),"Yes")</f>
        <v>Yes</v>
      </c>
      <c r="J264" s="5" t="str">
        <f>IFERROR(__xludf.DUMMYFUNCTION("""COMPUTED_VALUE"""),"Yes")</f>
        <v>Yes</v>
      </c>
      <c r="K264" s="5" t="str">
        <f>IFERROR(__xludf.DUMMYFUNCTION("""COMPUTED_VALUE"""),"Yes")</f>
        <v>Yes</v>
      </c>
      <c r="L264" s="5" t="str">
        <f>IFERROR(__xludf.DUMMYFUNCTION("""COMPUTED_VALUE"""),"Yes")</f>
        <v>Yes</v>
      </c>
      <c r="M264" s="5" t="str">
        <f>IFERROR(__xludf.DUMMYFUNCTION("""COMPUTED_VALUE"""),"Yes")</f>
        <v>Yes</v>
      </c>
      <c r="N264" s="5" t="str">
        <f>IFERROR(__xludf.DUMMYFUNCTION("""COMPUTED_VALUE"""),"Yes")</f>
        <v>Yes</v>
      </c>
      <c r="O264" s="5" t="str">
        <f>IFERROR(__xludf.DUMMYFUNCTION("""COMPUTED_VALUE"""),"Yes")</f>
        <v>Yes</v>
      </c>
      <c r="P264" s="5" t="str">
        <f>IFERROR(__xludf.DUMMYFUNCTION("""COMPUTED_VALUE"""),"Yes")</f>
        <v>Yes</v>
      </c>
      <c r="Q264" s="5" t="str">
        <f>IFERROR(__xludf.DUMMYFUNCTION("""COMPUTED_VALUE"""),"Yes")</f>
        <v>Yes</v>
      </c>
      <c r="R264" s="5" t="str">
        <f>IFERROR(__xludf.DUMMYFUNCTION("""COMPUTED_VALUE"""),"Yes")</f>
        <v>Yes</v>
      </c>
      <c r="S264" s="5" t="str">
        <f>IFERROR(__xludf.DUMMYFUNCTION("""COMPUTED_VALUE"""),"Yes")</f>
        <v>Yes</v>
      </c>
      <c r="T264" s="5" t="str">
        <f>IFERROR(__xludf.DUMMYFUNCTION("""COMPUTED_VALUE"""),"Yes")</f>
        <v>Yes</v>
      </c>
      <c r="U264" s="5" t="str">
        <f>IFERROR(__xludf.DUMMYFUNCTION("""COMPUTED_VALUE"""),"Yes")</f>
        <v>Yes</v>
      </c>
      <c r="V264" s="5" t="str">
        <f>IFERROR(__xludf.DUMMYFUNCTION("""COMPUTED_VALUE"""),"Yes")</f>
        <v>Yes</v>
      </c>
      <c r="W264" s="5" t="str">
        <f>IFERROR(__xludf.DUMMYFUNCTION("""COMPUTED_VALUE"""),"Yes")</f>
        <v>Yes</v>
      </c>
      <c r="X264" s="5" t="str">
        <f>IFERROR(__xludf.DUMMYFUNCTION("""COMPUTED_VALUE"""),"Yes")</f>
        <v>Yes</v>
      </c>
      <c r="Y264" s="5" t="str">
        <f>IFERROR(__xludf.DUMMYFUNCTION("""COMPUTED_VALUE"""),"Yes")</f>
        <v>Yes</v>
      </c>
      <c r="Z264" s="5" t="str">
        <f>IFERROR(__xludf.DUMMYFUNCTION("""COMPUTED_VALUE"""),"Yes")</f>
        <v>Yes</v>
      </c>
      <c r="AA264" s="5" t="str">
        <f>IFERROR(__xludf.DUMMYFUNCTION("""COMPUTED_VALUE"""),"Yes")</f>
        <v>Yes</v>
      </c>
      <c r="AB264" s="5" t="str">
        <f>IFERROR(__xludf.DUMMYFUNCTION("""COMPUTED_VALUE"""),"Yes")</f>
        <v>Yes</v>
      </c>
      <c r="AC264" s="5" t="str">
        <f>IFERROR(__xludf.DUMMYFUNCTION("""COMPUTED_VALUE"""),"Yes")</f>
        <v>Yes</v>
      </c>
      <c r="AD264" s="5" t="str">
        <f>IFERROR(__xludf.DUMMYFUNCTION("""COMPUTED_VALUE"""),"Yes")</f>
        <v>Yes</v>
      </c>
      <c r="AE264" s="5" t="str">
        <f>IFERROR(__xludf.DUMMYFUNCTION("""COMPUTED_VALUE"""),"Yes")</f>
        <v>Yes</v>
      </c>
      <c r="AF264" s="5" t="str">
        <f>IFERROR(__xludf.DUMMYFUNCTION("""COMPUTED_VALUE"""),"Yes")</f>
        <v>Yes</v>
      </c>
      <c r="AG264" s="5" t="str">
        <f>IFERROR(__xludf.DUMMYFUNCTION("""COMPUTED_VALUE"""),"Yes")</f>
        <v>Yes</v>
      </c>
      <c r="AH264" s="5" t="str">
        <f>IFERROR(__xludf.DUMMYFUNCTION("""COMPUTED_VALUE"""),"Yes")</f>
        <v>Yes</v>
      </c>
      <c r="AI264" s="5" t="str">
        <f>IFERROR(__xludf.DUMMYFUNCTION("""COMPUTED_VALUE"""),"No")</f>
        <v>No</v>
      </c>
      <c r="AJ264" s="5" t="str">
        <f>IFERROR(__xludf.DUMMYFUNCTION("""COMPUTED_VALUE"""),"No")</f>
        <v>No</v>
      </c>
      <c r="AK264" s="5" t="str">
        <f>IFERROR(__xludf.DUMMYFUNCTION("""COMPUTED_VALUE"""),"No")</f>
        <v>No</v>
      </c>
      <c r="AL264" s="5" t="str">
        <f>IFERROR(__xludf.DUMMYFUNCTION("""COMPUTED_VALUE"""),"No")</f>
        <v>No</v>
      </c>
      <c r="AM264" s="5"/>
      <c r="AN264" s="5"/>
      <c r="AO264" s="5"/>
      <c r="AP264" s="5"/>
      <c r="AQ264" s="5"/>
      <c r="AR264" s="5"/>
      <c r="AS264" s="5"/>
      <c r="AT264" s="5"/>
      <c r="AU264" s="5"/>
      <c r="AV264" s="5"/>
      <c r="AW264" s="5"/>
      <c r="AX264" s="5"/>
      <c r="AY264" s="5"/>
    </row>
    <row r="265">
      <c r="A2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5" s="5">
        <f>IFERROR(__xludf.DUMMYFUNCTION("""COMPUTED_VALUE"""),265.0)</f>
        <v>265</v>
      </c>
      <c r="C265" s="5">
        <f>IFERROR(__xludf.DUMMYFUNCTION("""COMPUTED_VALUE"""),264.0)</f>
        <v>264</v>
      </c>
      <c r="D265" s="5" t="str">
        <f>IFERROR(__xludf.DUMMYFUNCTION("""COMPUTED_VALUE"""),"TurboFire")</f>
        <v>TurboFire</v>
      </c>
      <c r="E265" s="5" t="str">
        <f>IFERROR(__xludf.DUMMYFUNCTION("""COMPUTED_VALUE"""),"Yes")</f>
        <v>Yes</v>
      </c>
      <c r="F265" s="5" t="str">
        <f>IFERROR(__xludf.DUMMYFUNCTION("""COMPUTED_VALUE"""),"Yes")</f>
        <v>Yes</v>
      </c>
      <c r="G265" s="5" t="str">
        <f>IFERROR(__xludf.DUMMYFUNCTION("""COMPUTED_VALUE"""),"Yes")</f>
        <v>Yes</v>
      </c>
      <c r="H265" s="5" t="str">
        <f>IFERROR(__xludf.DUMMYFUNCTION("""COMPUTED_VALUE"""),"Yes")</f>
        <v>Yes</v>
      </c>
      <c r="I265" s="5" t="str">
        <f>IFERROR(__xludf.DUMMYFUNCTION("""COMPUTED_VALUE"""),"Yes")</f>
        <v>Yes</v>
      </c>
      <c r="J265" s="5" t="str">
        <f>IFERROR(__xludf.DUMMYFUNCTION("""COMPUTED_VALUE"""),"Yes")</f>
        <v>Yes</v>
      </c>
      <c r="K265" s="5" t="str">
        <f>IFERROR(__xludf.DUMMYFUNCTION("""COMPUTED_VALUE"""),"Yes")</f>
        <v>Yes</v>
      </c>
      <c r="L265" s="5" t="str">
        <f>IFERROR(__xludf.DUMMYFUNCTION("""COMPUTED_VALUE"""),"Yes")</f>
        <v>Yes</v>
      </c>
      <c r="M265" s="5" t="str">
        <f>IFERROR(__xludf.DUMMYFUNCTION("""COMPUTED_VALUE"""),"Yes")</f>
        <v>Yes</v>
      </c>
      <c r="N265" s="5" t="str">
        <f>IFERROR(__xludf.DUMMYFUNCTION("""COMPUTED_VALUE"""),"Yes")</f>
        <v>Yes</v>
      </c>
      <c r="O265" s="5" t="str">
        <f>IFERROR(__xludf.DUMMYFUNCTION("""COMPUTED_VALUE"""),"Yes")</f>
        <v>Yes</v>
      </c>
      <c r="P265" s="5" t="str">
        <f>IFERROR(__xludf.DUMMYFUNCTION("""COMPUTED_VALUE"""),"Yes")</f>
        <v>Yes</v>
      </c>
      <c r="Q265" s="5" t="str">
        <f>IFERROR(__xludf.DUMMYFUNCTION("""COMPUTED_VALUE"""),"Yes")</f>
        <v>Yes</v>
      </c>
      <c r="R265" s="5" t="str">
        <f>IFERROR(__xludf.DUMMYFUNCTION("""COMPUTED_VALUE"""),"Yes")</f>
        <v>Yes</v>
      </c>
      <c r="S265" s="5" t="str">
        <f>IFERROR(__xludf.DUMMYFUNCTION("""COMPUTED_VALUE"""),"Yes")</f>
        <v>Yes</v>
      </c>
      <c r="T265" s="5" t="str">
        <f>IFERROR(__xludf.DUMMYFUNCTION("""COMPUTED_VALUE"""),"Yes")</f>
        <v>Yes</v>
      </c>
      <c r="U265" s="5" t="str">
        <f>IFERROR(__xludf.DUMMYFUNCTION("""COMPUTED_VALUE"""),"Yes")</f>
        <v>Yes</v>
      </c>
      <c r="V265" s="5" t="str">
        <f>IFERROR(__xludf.DUMMYFUNCTION("""COMPUTED_VALUE"""),"Yes")</f>
        <v>Yes</v>
      </c>
      <c r="W265" s="5" t="str">
        <f>IFERROR(__xludf.DUMMYFUNCTION("""COMPUTED_VALUE"""),"Yes")</f>
        <v>Yes</v>
      </c>
      <c r="X265" s="5" t="str">
        <f>IFERROR(__xludf.DUMMYFUNCTION("""COMPUTED_VALUE"""),"Yes")</f>
        <v>Yes</v>
      </c>
      <c r="Y265" s="5" t="str">
        <f>IFERROR(__xludf.DUMMYFUNCTION("""COMPUTED_VALUE"""),"Yes")</f>
        <v>Yes</v>
      </c>
      <c r="Z265" s="5" t="str">
        <f>IFERROR(__xludf.DUMMYFUNCTION("""COMPUTED_VALUE"""),"Yes")</f>
        <v>Yes</v>
      </c>
      <c r="AA265" s="5" t="str">
        <f>IFERROR(__xludf.DUMMYFUNCTION("""COMPUTED_VALUE"""),"Yes")</f>
        <v>Yes</v>
      </c>
      <c r="AB265" s="5" t="str">
        <f>IFERROR(__xludf.DUMMYFUNCTION("""COMPUTED_VALUE"""),"Yes")</f>
        <v>Yes</v>
      </c>
      <c r="AC265" s="5" t="str">
        <f>IFERROR(__xludf.DUMMYFUNCTION("""COMPUTED_VALUE"""),"Yes")</f>
        <v>Yes</v>
      </c>
      <c r="AD265" s="5" t="str">
        <f>IFERROR(__xludf.DUMMYFUNCTION("""COMPUTED_VALUE"""),"Yes")</f>
        <v>Yes</v>
      </c>
      <c r="AE265" s="5" t="str">
        <f>IFERROR(__xludf.DUMMYFUNCTION("""COMPUTED_VALUE"""),"Yes")</f>
        <v>Yes</v>
      </c>
      <c r="AF265" s="5" t="str">
        <f>IFERROR(__xludf.DUMMYFUNCTION("""COMPUTED_VALUE"""),"Yes")</f>
        <v>Yes</v>
      </c>
      <c r="AG265" s="5" t="str">
        <f>IFERROR(__xludf.DUMMYFUNCTION("""COMPUTED_VALUE"""),"Yes")</f>
        <v>Yes</v>
      </c>
      <c r="AH265" s="5" t="str">
        <f>IFERROR(__xludf.DUMMYFUNCTION("""COMPUTED_VALUE"""),"Yes")</f>
        <v>Yes</v>
      </c>
      <c r="AI265" s="5" t="str">
        <f>IFERROR(__xludf.DUMMYFUNCTION("""COMPUTED_VALUE"""),"No")</f>
        <v>No</v>
      </c>
      <c r="AJ265" s="5" t="str">
        <f>IFERROR(__xludf.DUMMYFUNCTION("""COMPUTED_VALUE"""),"No")</f>
        <v>No</v>
      </c>
      <c r="AK265" s="5" t="str">
        <f>IFERROR(__xludf.DUMMYFUNCTION("""COMPUTED_VALUE"""),"No")</f>
        <v>No</v>
      </c>
      <c r="AL265" s="5" t="str">
        <f>IFERROR(__xludf.DUMMYFUNCTION("""COMPUTED_VALUE"""),"No")</f>
        <v>No</v>
      </c>
      <c r="AM265" s="5"/>
      <c r="AN265" s="5"/>
      <c r="AO265" s="5"/>
      <c r="AP265" s="5"/>
      <c r="AQ265" s="5"/>
      <c r="AR265" s="5"/>
      <c r="AS265" s="5"/>
      <c r="AT265" s="5"/>
      <c r="AU265" s="5"/>
      <c r="AV265" s="5"/>
      <c r="AW265" s="5"/>
      <c r="AX265" s="5"/>
      <c r="AY265" s="5"/>
    </row>
    <row r="266">
      <c r="A2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6" s="5">
        <f>IFERROR(__xludf.DUMMYFUNCTION("""COMPUTED_VALUE"""),266.0)</f>
        <v>266</v>
      </c>
      <c r="C266" s="5">
        <f>IFERROR(__xludf.DUMMYFUNCTION("""COMPUTED_VALUE"""),265.0)</f>
        <v>265</v>
      </c>
      <c r="D266" s="5" t="str">
        <f>IFERROR(__xludf.DUMMYFUNCTION("""COMPUTED_VALUE"""),"Unicorn10JingleFruits")</f>
        <v>Unicorn10JingleFruits</v>
      </c>
      <c r="E266" s="5" t="str">
        <f>IFERROR(__xludf.DUMMYFUNCTION("""COMPUTED_VALUE"""),"Yes")</f>
        <v>Yes</v>
      </c>
      <c r="F266" s="5" t="str">
        <f>IFERROR(__xludf.DUMMYFUNCTION("""COMPUTED_VALUE"""),"Yes")</f>
        <v>Yes</v>
      </c>
      <c r="G266" s="5" t="str">
        <f>IFERROR(__xludf.DUMMYFUNCTION("""COMPUTED_VALUE"""),"Yes")</f>
        <v>Yes</v>
      </c>
      <c r="H266" s="5" t="str">
        <f>IFERROR(__xludf.DUMMYFUNCTION("""COMPUTED_VALUE"""),"Yes")</f>
        <v>Yes</v>
      </c>
      <c r="I266" s="5" t="str">
        <f>IFERROR(__xludf.DUMMYFUNCTION("""COMPUTED_VALUE"""),"Yes")</f>
        <v>Yes</v>
      </c>
      <c r="J266" s="5" t="str">
        <f>IFERROR(__xludf.DUMMYFUNCTION("""COMPUTED_VALUE"""),"Yes")</f>
        <v>Yes</v>
      </c>
      <c r="K266" s="5" t="str">
        <f>IFERROR(__xludf.DUMMYFUNCTION("""COMPUTED_VALUE"""),"Yes")</f>
        <v>Yes</v>
      </c>
      <c r="L266" s="5" t="str">
        <f>IFERROR(__xludf.DUMMYFUNCTION("""COMPUTED_VALUE"""),"Yes")</f>
        <v>Yes</v>
      </c>
      <c r="M266" s="5" t="str">
        <f>IFERROR(__xludf.DUMMYFUNCTION("""COMPUTED_VALUE"""),"Yes")</f>
        <v>Yes</v>
      </c>
      <c r="N266" s="5" t="str">
        <f>IFERROR(__xludf.DUMMYFUNCTION("""COMPUTED_VALUE"""),"Yes")</f>
        <v>Yes</v>
      </c>
      <c r="O266" s="5" t="str">
        <f>IFERROR(__xludf.DUMMYFUNCTION("""COMPUTED_VALUE"""),"Yes")</f>
        <v>Yes</v>
      </c>
      <c r="P266" s="5" t="str">
        <f>IFERROR(__xludf.DUMMYFUNCTION("""COMPUTED_VALUE"""),"Yes")</f>
        <v>Yes</v>
      </c>
      <c r="Q266" s="5" t="str">
        <f>IFERROR(__xludf.DUMMYFUNCTION("""COMPUTED_VALUE"""),"Yes")</f>
        <v>Yes</v>
      </c>
      <c r="R266" s="5" t="str">
        <f>IFERROR(__xludf.DUMMYFUNCTION("""COMPUTED_VALUE"""),"Yes")</f>
        <v>Yes</v>
      </c>
      <c r="S266" s="5" t="str">
        <f>IFERROR(__xludf.DUMMYFUNCTION("""COMPUTED_VALUE"""),"Yes")</f>
        <v>Yes</v>
      </c>
      <c r="T266" s="5" t="str">
        <f>IFERROR(__xludf.DUMMYFUNCTION("""COMPUTED_VALUE"""),"Yes")</f>
        <v>Yes</v>
      </c>
      <c r="U266" s="5" t="str">
        <f>IFERROR(__xludf.DUMMYFUNCTION("""COMPUTED_VALUE"""),"Yes")</f>
        <v>Yes</v>
      </c>
      <c r="V266" s="5" t="str">
        <f>IFERROR(__xludf.DUMMYFUNCTION("""COMPUTED_VALUE"""),"Yes")</f>
        <v>Yes</v>
      </c>
      <c r="W266" s="5" t="str">
        <f>IFERROR(__xludf.DUMMYFUNCTION("""COMPUTED_VALUE"""),"Yes")</f>
        <v>Yes</v>
      </c>
      <c r="X266" s="5"/>
      <c r="Y266" s="5" t="str">
        <f>IFERROR(__xludf.DUMMYFUNCTION("""COMPUTED_VALUE"""),"Yes")</f>
        <v>Yes</v>
      </c>
      <c r="Z266" s="5"/>
      <c r="AA266" s="5"/>
      <c r="AB266" s="5"/>
      <c r="AC266" s="5" t="str">
        <f>IFERROR(__xludf.DUMMYFUNCTION("""COMPUTED_VALUE"""),"Yes")</f>
        <v>Yes</v>
      </c>
      <c r="AD266" s="5"/>
      <c r="AE266" s="5"/>
      <c r="AF266" s="5"/>
      <c r="AG266" s="5"/>
      <c r="AH266" s="5"/>
      <c r="AI266" s="5"/>
      <c r="AJ266" s="5"/>
      <c r="AK266" s="5"/>
      <c r="AL266" s="5"/>
      <c r="AM266" s="5"/>
      <c r="AN266" s="5"/>
      <c r="AO266" s="5"/>
      <c r="AP266" s="5"/>
      <c r="AQ266" s="5"/>
      <c r="AR266" s="5"/>
      <c r="AS266" s="5"/>
      <c r="AT266" s="5"/>
      <c r="AU266" s="5"/>
      <c r="AV266" s="5"/>
      <c r="AW266" s="5"/>
      <c r="AX266" s="5"/>
      <c r="AY266" s="5"/>
    </row>
    <row r="267">
      <c r="A2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7" s="5">
        <f>IFERROR(__xludf.DUMMYFUNCTION("""COMPUTED_VALUE"""),267.0)</f>
        <v>267</v>
      </c>
      <c r="C267" s="5">
        <f>IFERROR(__xludf.DUMMYFUNCTION("""COMPUTED_VALUE"""),266.0)</f>
        <v>266</v>
      </c>
      <c r="D267" s="5" t="str">
        <f>IFERROR(__xludf.DUMMYFUNCTION("""COMPUTED_VALUE"""),"WinningClover5Extreme")</f>
        <v>WinningClover5Extreme</v>
      </c>
      <c r="E267" s="5" t="str">
        <f>IFERROR(__xludf.DUMMYFUNCTION("""COMPUTED_VALUE"""),"Yes")</f>
        <v>Yes</v>
      </c>
      <c r="F267" s="5" t="str">
        <f>IFERROR(__xludf.DUMMYFUNCTION("""COMPUTED_VALUE"""),"Yes")</f>
        <v>Yes</v>
      </c>
      <c r="G267" s="5" t="str">
        <f>IFERROR(__xludf.DUMMYFUNCTION("""COMPUTED_VALUE"""),"Yes")</f>
        <v>Yes</v>
      </c>
      <c r="H267" s="5" t="str">
        <f>IFERROR(__xludf.DUMMYFUNCTION("""COMPUTED_VALUE"""),"Yes")</f>
        <v>Yes</v>
      </c>
      <c r="I267" s="5" t="str">
        <f>IFERROR(__xludf.DUMMYFUNCTION("""COMPUTED_VALUE"""),"Yes")</f>
        <v>Yes</v>
      </c>
      <c r="J267" s="5" t="str">
        <f>IFERROR(__xludf.DUMMYFUNCTION("""COMPUTED_VALUE"""),"Yes")</f>
        <v>Yes</v>
      </c>
      <c r="K267" s="5" t="str">
        <f>IFERROR(__xludf.DUMMYFUNCTION("""COMPUTED_VALUE"""),"Yes")</f>
        <v>Yes</v>
      </c>
      <c r="L267" s="5" t="str">
        <f>IFERROR(__xludf.DUMMYFUNCTION("""COMPUTED_VALUE"""),"Yes")</f>
        <v>Yes</v>
      </c>
      <c r="M267" s="5" t="str">
        <f>IFERROR(__xludf.DUMMYFUNCTION("""COMPUTED_VALUE"""),"Yes")</f>
        <v>Yes</v>
      </c>
      <c r="N267" s="5" t="str">
        <f>IFERROR(__xludf.DUMMYFUNCTION("""COMPUTED_VALUE"""),"Yes")</f>
        <v>Yes</v>
      </c>
      <c r="O267" s="5" t="str">
        <f>IFERROR(__xludf.DUMMYFUNCTION("""COMPUTED_VALUE"""),"Yes")</f>
        <v>Yes</v>
      </c>
      <c r="P267" s="5" t="str">
        <f>IFERROR(__xludf.DUMMYFUNCTION("""COMPUTED_VALUE"""),"Yes")</f>
        <v>Yes</v>
      </c>
      <c r="Q267" s="5" t="str">
        <f>IFERROR(__xludf.DUMMYFUNCTION("""COMPUTED_VALUE"""),"Yes")</f>
        <v>Yes</v>
      </c>
      <c r="R267" s="5" t="str">
        <f>IFERROR(__xludf.DUMMYFUNCTION("""COMPUTED_VALUE"""),"Yes")</f>
        <v>Yes</v>
      </c>
      <c r="S267" s="5" t="str">
        <f>IFERROR(__xludf.DUMMYFUNCTION("""COMPUTED_VALUE"""),"Yes")</f>
        <v>Yes</v>
      </c>
      <c r="T267" s="5" t="str">
        <f>IFERROR(__xludf.DUMMYFUNCTION("""COMPUTED_VALUE"""),"Yes")</f>
        <v>Yes</v>
      </c>
      <c r="U267" s="5" t="str">
        <f>IFERROR(__xludf.DUMMYFUNCTION("""COMPUTED_VALUE"""),"Yes")</f>
        <v>Yes</v>
      </c>
      <c r="V267" s="5" t="str">
        <f>IFERROR(__xludf.DUMMYFUNCTION("""COMPUTED_VALUE"""),"Yes")</f>
        <v>Yes</v>
      </c>
      <c r="W267" s="5" t="str">
        <f>IFERROR(__xludf.DUMMYFUNCTION("""COMPUTED_VALUE"""),"Yes")</f>
        <v>Yes</v>
      </c>
      <c r="X267" s="5" t="str">
        <f>IFERROR(__xludf.DUMMYFUNCTION("""COMPUTED_VALUE"""),"Yes")</f>
        <v>Yes</v>
      </c>
      <c r="Y267" s="5" t="str">
        <f>IFERROR(__xludf.DUMMYFUNCTION("""COMPUTED_VALUE"""),"Yes")</f>
        <v>Yes</v>
      </c>
      <c r="Z267" s="5" t="str">
        <f>IFERROR(__xludf.DUMMYFUNCTION("""COMPUTED_VALUE"""),"Yes")</f>
        <v>Yes</v>
      </c>
      <c r="AA267" s="5" t="str">
        <f>IFERROR(__xludf.DUMMYFUNCTION("""COMPUTED_VALUE"""),"Yes")</f>
        <v>Yes</v>
      </c>
      <c r="AB267" s="5" t="str">
        <f>IFERROR(__xludf.DUMMYFUNCTION("""COMPUTED_VALUE"""),"Yes")</f>
        <v>Yes</v>
      </c>
      <c r="AC267" s="5" t="str">
        <f>IFERROR(__xludf.DUMMYFUNCTION("""COMPUTED_VALUE"""),"Yes")</f>
        <v>Yes</v>
      </c>
      <c r="AD267" s="5" t="str">
        <f>IFERROR(__xludf.DUMMYFUNCTION("""COMPUTED_VALUE"""),"Yes")</f>
        <v>Yes</v>
      </c>
      <c r="AE267" s="5" t="str">
        <f>IFERROR(__xludf.DUMMYFUNCTION("""COMPUTED_VALUE"""),"Yes")</f>
        <v>Yes</v>
      </c>
      <c r="AF267" s="5" t="str">
        <f>IFERROR(__xludf.DUMMYFUNCTION("""COMPUTED_VALUE"""),"Yes")</f>
        <v>Yes</v>
      </c>
      <c r="AG267" s="5" t="str">
        <f>IFERROR(__xludf.DUMMYFUNCTION("""COMPUTED_VALUE"""),"Yes")</f>
        <v>Yes</v>
      </c>
      <c r="AH267" s="5" t="str">
        <f>IFERROR(__xludf.DUMMYFUNCTION("""COMPUTED_VALUE"""),"Yes")</f>
        <v>Yes</v>
      </c>
      <c r="AI267" s="5" t="str">
        <f>IFERROR(__xludf.DUMMYFUNCTION("""COMPUTED_VALUE"""),"No")</f>
        <v>No</v>
      </c>
      <c r="AJ267" s="5" t="str">
        <f>IFERROR(__xludf.DUMMYFUNCTION("""COMPUTED_VALUE"""),"No")</f>
        <v>No</v>
      </c>
      <c r="AK267" s="5" t="str">
        <f>IFERROR(__xludf.DUMMYFUNCTION("""COMPUTED_VALUE"""),"No")</f>
        <v>No</v>
      </c>
      <c r="AL267" s="5" t="str">
        <f>IFERROR(__xludf.DUMMYFUNCTION("""COMPUTED_VALUE"""),"No")</f>
        <v>No</v>
      </c>
      <c r="AM267" s="5"/>
      <c r="AN267" s="5"/>
      <c r="AO267" s="5"/>
      <c r="AP267" s="5"/>
      <c r="AQ267" s="5"/>
      <c r="AR267" s="5"/>
      <c r="AS267" s="5"/>
      <c r="AT267" s="5"/>
      <c r="AU267" s="5"/>
      <c r="AV267" s="5"/>
      <c r="AW267" s="5"/>
      <c r="AX267" s="5"/>
      <c r="AY267" s="5"/>
    </row>
    <row r="268">
      <c r="A2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8" s="5">
        <f>IFERROR(__xludf.DUMMYFUNCTION("""COMPUTED_VALUE"""),268.0)</f>
        <v>268</v>
      </c>
      <c r="C268" s="5">
        <f>IFERROR(__xludf.DUMMYFUNCTION("""COMPUTED_VALUE"""),267.0)</f>
        <v>267</v>
      </c>
      <c r="D268" s="5" t="str">
        <f>IFERROR(__xludf.DUMMYFUNCTION("""COMPUTED_VALUE"""),"CloverBlast5")</f>
        <v>CloverBlast5</v>
      </c>
      <c r="E268" s="5" t="str">
        <f>IFERROR(__xludf.DUMMYFUNCTION("""COMPUTED_VALUE"""),"Yes")</f>
        <v>Yes</v>
      </c>
      <c r="F268" s="5" t="str">
        <f>IFERROR(__xludf.DUMMYFUNCTION("""COMPUTED_VALUE"""),"Yes")</f>
        <v>Yes</v>
      </c>
      <c r="G268" s="5" t="str">
        <f>IFERROR(__xludf.DUMMYFUNCTION("""COMPUTED_VALUE"""),"Yes")</f>
        <v>Yes</v>
      </c>
      <c r="H268" s="5" t="str">
        <f>IFERROR(__xludf.DUMMYFUNCTION("""COMPUTED_VALUE"""),"Yes")</f>
        <v>Yes</v>
      </c>
      <c r="I268" s="5" t="str">
        <f>IFERROR(__xludf.DUMMYFUNCTION("""COMPUTED_VALUE"""),"Yes")</f>
        <v>Yes</v>
      </c>
      <c r="J268" s="5" t="str">
        <f>IFERROR(__xludf.DUMMYFUNCTION("""COMPUTED_VALUE"""),"Yes")</f>
        <v>Yes</v>
      </c>
      <c r="K268" s="5" t="str">
        <f>IFERROR(__xludf.DUMMYFUNCTION("""COMPUTED_VALUE"""),"Yes")</f>
        <v>Yes</v>
      </c>
      <c r="L268" s="5" t="str">
        <f>IFERROR(__xludf.DUMMYFUNCTION("""COMPUTED_VALUE"""),"Yes")</f>
        <v>Yes</v>
      </c>
      <c r="M268" s="5" t="str">
        <f>IFERROR(__xludf.DUMMYFUNCTION("""COMPUTED_VALUE"""),"Yes")</f>
        <v>Yes</v>
      </c>
      <c r="N268" s="5" t="str">
        <f>IFERROR(__xludf.DUMMYFUNCTION("""COMPUTED_VALUE"""),"Yes")</f>
        <v>Yes</v>
      </c>
      <c r="O268" s="5" t="str">
        <f>IFERROR(__xludf.DUMMYFUNCTION("""COMPUTED_VALUE"""),"Yes")</f>
        <v>Yes</v>
      </c>
      <c r="P268" s="5" t="str">
        <f>IFERROR(__xludf.DUMMYFUNCTION("""COMPUTED_VALUE"""),"Yes")</f>
        <v>Yes</v>
      </c>
      <c r="Q268" s="5" t="str">
        <f>IFERROR(__xludf.DUMMYFUNCTION("""COMPUTED_VALUE"""),"Yes")</f>
        <v>Yes</v>
      </c>
      <c r="R268" s="5" t="str">
        <f>IFERROR(__xludf.DUMMYFUNCTION("""COMPUTED_VALUE"""),"Yes")</f>
        <v>Yes</v>
      </c>
      <c r="S268" s="5" t="str">
        <f>IFERROR(__xludf.DUMMYFUNCTION("""COMPUTED_VALUE"""),"Yes")</f>
        <v>Yes</v>
      </c>
      <c r="T268" s="5" t="str">
        <f>IFERROR(__xludf.DUMMYFUNCTION("""COMPUTED_VALUE"""),"Yes")</f>
        <v>Yes</v>
      </c>
      <c r="U268" s="5" t="str">
        <f>IFERROR(__xludf.DUMMYFUNCTION("""COMPUTED_VALUE"""),"Yes")</f>
        <v>Yes</v>
      </c>
      <c r="V268" s="5" t="str">
        <f>IFERROR(__xludf.DUMMYFUNCTION("""COMPUTED_VALUE"""),"Yes")</f>
        <v>Yes</v>
      </c>
      <c r="W268" s="5" t="str">
        <f>IFERROR(__xludf.DUMMYFUNCTION("""COMPUTED_VALUE"""),"Yes")</f>
        <v>Yes</v>
      </c>
      <c r="X268" s="5"/>
      <c r="Y268" s="5" t="str">
        <f>IFERROR(__xludf.DUMMYFUNCTION("""COMPUTED_VALUE"""),"Yes")</f>
        <v>Yes</v>
      </c>
      <c r="Z268" s="5"/>
      <c r="AA268" s="5"/>
      <c r="AB268" s="5"/>
      <c r="AC268" s="5" t="str">
        <f>IFERROR(__xludf.DUMMYFUNCTION("""COMPUTED_VALUE"""),"Yes")</f>
        <v>Yes</v>
      </c>
      <c r="AD268" s="5"/>
      <c r="AE268" s="5"/>
      <c r="AF268" s="5"/>
      <c r="AG268" s="5"/>
      <c r="AH268" s="5"/>
      <c r="AI268" s="5"/>
      <c r="AJ268" s="5"/>
      <c r="AK268" s="5"/>
      <c r="AL268" s="5"/>
      <c r="AM268" s="5"/>
      <c r="AN268" s="5"/>
      <c r="AO268" s="5"/>
      <c r="AP268" s="5"/>
      <c r="AQ268" s="5"/>
      <c r="AR268" s="5"/>
      <c r="AS268" s="5"/>
      <c r="AT268" s="5"/>
      <c r="AU268" s="5"/>
      <c r="AV268" s="5"/>
      <c r="AW268" s="5"/>
      <c r="AX268" s="5"/>
      <c r="AY268" s="5"/>
    </row>
    <row r="269">
      <c r="A2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9" s="5">
        <f>IFERROR(__xludf.DUMMYFUNCTION("""COMPUTED_VALUE"""),269.0)</f>
        <v>269</v>
      </c>
      <c r="C269" s="5">
        <f>IFERROR(__xludf.DUMMYFUNCTION("""COMPUTED_VALUE"""),268.0)</f>
        <v>268</v>
      </c>
      <c r="D269" s="5" t="str">
        <f>IFERROR(__xludf.DUMMYFUNCTION("""COMPUTED_VALUE"""),"WildHot40Dice")</f>
        <v>WildHot40Dice</v>
      </c>
      <c r="E269" s="5" t="str">
        <f>IFERROR(__xludf.DUMMYFUNCTION("""COMPUTED_VALUE"""),"Yes")</f>
        <v>Yes</v>
      </c>
      <c r="F269" s="5" t="str">
        <f>IFERROR(__xludf.DUMMYFUNCTION("""COMPUTED_VALUE"""),"Yes")</f>
        <v>Yes</v>
      </c>
      <c r="G269" s="5" t="str">
        <f>IFERROR(__xludf.DUMMYFUNCTION("""COMPUTED_VALUE"""),"Yes")</f>
        <v>Yes</v>
      </c>
      <c r="H269" s="5" t="str">
        <f>IFERROR(__xludf.DUMMYFUNCTION("""COMPUTED_VALUE"""),"Yes")</f>
        <v>Yes</v>
      </c>
      <c r="I269" s="5" t="str">
        <f>IFERROR(__xludf.DUMMYFUNCTION("""COMPUTED_VALUE"""),"Yes")</f>
        <v>Yes</v>
      </c>
      <c r="J269" s="5" t="str">
        <f>IFERROR(__xludf.DUMMYFUNCTION("""COMPUTED_VALUE"""),"Yes")</f>
        <v>Yes</v>
      </c>
      <c r="K269" s="5" t="str">
        <f>IFERROR(__xludf.DUMMYFUNCTION("""COMPUTED_VALUE"""),"Yes")</f>
        <v>Yes</v>
      </c>
      <c r="L269" s="5" t="str">
        <f>IFERROR(__xludf.DUMMYFUNCTION("""COMPUTED_VALUE"""),"Yes")</f>
        <v>Yes</v>
      </c>
      <c r="M269" s="5" t="str">
        <f>IFERROR(__xludf.DUMMYFUNCTION("""COMPUTED_VALUE"""),"Yes")</f>
        <v>Yes</v>
      </c>
      <c r="N269" s="5" t="str">
        <f>IFERROR(__xludf.DUMMYFUNCTION("""COMPUTED_VALUE"""),"Yes")</f>
        <v>Yes</v>
      </c>
      <c r="O269" s="5" t="str">
        <f>IFERROR(__xludf.DUMMYFUNCTION("""COMPUTED_VALUE"""),"Yes")</f>
        <v>Yes</v>
      </c>
      <c r="P269" s="5" t="str">
        <f>IFERROR(__xludf.DUMMYFUNCTION("""COMPUTED_VALUE"""),"Yes")</f>
        <v>Yes</v>
      </c>
      <c r="Q269" s="5" t="str">
        <f>IFERROR(__xludf.DUMMYFUNCTION("""COMPUTED_VALUE"""),"Yes")</f>
        <v>Yes</v>
      </c>
      <c r="R269" s="5" t="str">
        <f>IFERROR(__xludf.DUMMYFUNCTION("""COMPUTED_VALUE"""),"Yes")</f>
        <v>Yes</v>
      </c>
      <c r="S269" s="5" t="str">
        <f>IFERROR(__xludf.DUMMYFUNCTION("""COMPUTED_VALUE"""),"Yes")</f>
        <v>Yes</v>
      </c>
      <c r="T269" s="5" t="str">
        <f>IFERROR(__xludf.DUMMYFUNCTION("""COMPUTED_VALUE"""),"Yes")</f>
        <v>Yes</v>
      </c>
      <c r="U269" s="5" t="str">
        <f>IFERROR(__xludf.DUMMYFUNCTION("""COMPUTED_VALUE"""),"Yes")</f>
        <v>Yes</v>
      </c>
      <c r="V269" s="5" t="str">
        <f>IFERROR(__xludf.DUMMYFUNCTION("""COMPUTED_VALUE"""),"Yes")</f>
        <v>Yes</v>
      </c>
      <c r="W269" s="5" t="str">
        <f>IFERROR(__xludf.DUMMYFUNCTION("""COMPUTED_VALUE"""),"Yes")</f>
        <v>Yes</v>
      </c>
      <c r="X269" s="5" t="str">
        <f>IFERROR(__xludf.DUMMYFUNCTION("""COMPUTED_VALUE"""),"Yes")</f>
        <v>Yes</v>
      </c>
      <c r="Y269" s="5" t="str">
        <f>IFERROR(__xludf.DUMMYFUNCTION("""COMPUTED_VALUE"""),"Yes")</f>
        <v>Yes</v>
      </c>
      <c r="Z269" s="5" t="str">
        <f>IFERROR(__xludf.DUMMYFUNCTION("""COMPUTED_VALUE"""),"No")</f>
        <v>No</v>
      </c>
      <c r="AA269" s="5" t="str">
        <f>IFERROR(__xludf.DUMMYFUNCTION("""COMPUTED_VALUE"""),"Yes")</f>
        <v>Yes</v>
      </c>
      <c r="AB269" s="5" t="str">
        <f>IFERROR(__xludf.DUMMYFUNCTION("""COMPUTED_VALUE"""),"Yes")</f>
        <v>Yes</v>
      </c>
      <c r="AC269" s="5" t="str">
        <f>IFERROR(__xludf.DUMMYFUNCTION("""COMPUTED_VALUE"""),"Yes")</f>
        <v>Yes</v>
      </c>
      <c r="AD269" s="5" t="str">
        <f>IFERROR(__xludf.DUMMYFUNCTION("""COMPUTED_VALUE"""),"Yes")</f>
        <v>Yes</v>
      </c>
      <c r="AE269" s="5" t="str">
        <f>IFERROR(__xludf.DUMMYFUNCTION("""COMPUTED_VALUE"""),"No")</f>
        <v>No</v>
      </c>
      <c r="AF269" s="5" t="str">
        <f>IFERROR(__xludf.DUMMYFUNCTION("""COMPUTED_VALUE"""),"Yes")</f>
        <v>Yes</v>
      </c>
      <c r="AG269" s="5" t="str">
        <f>IFERROR(__xludf.DUMMYFUNCTION("""COMPUTED_VALUE"""),"No")</f>
        <v>No</v>
      </c>
      <c r="AH269" s="5" t="str">
        <f>IFERROR(__xludf.DUMMYFUNCTION("""COMPUTED_VALUE"""),"No")</f>
        <v>No</v>
      </c>
      <c r="AI269" s="5" t="str">
        <f>IFERROR(__xludf.DUMMYFUNCTION("""COMPUTED_VALUE"""),"No")</f>
        <v>No</v>
      </c>
      <c r="AJ269" s="5" t="str">
        <f>IFERROR(__xludf.DUMMYFUNCTION("""COMPUTED_VALUE"""),"No")</f>
        <v>No</v>
      </c>
      <c r="AK269" s="5" t="str">
        <f>IFERROR(__xludf.DUMMYFUNCTION("""COMPUTED_VALUE"""),"No")</f>
        <v>No</v>
      </c>
      <c r="AL269" s="5" t="str">
        <f>IFERROR(__xludf.DUMMYFUNCTION("""COMPUTED_VALUE"""),"No")</f>
        <v>No</v>
      </c>
      <c r="AM269" s="5"/>
      <c r="AN269" s="5"/>
      <c r="AO269" s="5"/>
      <c r="AP269" s="5"/>
      <c r="AQ269" s="5"/>
      <c r="AR269" s="5"/>
      <c r="AS269" s="5"/>
      <c r="AT269" s="5"/>
      <c r="AU269" s="5"/>
      <c r="AV269" s="5"/>
      <c r="AW269" s="5"/>
      <c r="AX269" s="5"/>
      <c r="AY269" s="5"/>
    </row>
    <row r="270">
      <c r="A2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0" s="5">
        <f>IFERROR(__xludf.DUMMYFUNCTION("""COMPUTED_VALUE"""),270.0)</f>
        <v>270</v>
      </c>
      <c r="C270" s="5">
        <f>IFERROR(__xludf.DUMMYFUNCTION("""COMPUTED_VALUE"""),269.0)</f>
        <v>269</v>
      </c>
      <c r="D270" s="5" t="str">
        <f>IFERROR(__xludf.DUMMYFUNCTION("""COMPUTED_VALUE"""),"UnicornGoldLine")</f>
        <v>UnicornGoldLine</v>
      </c>
      <c r="E270" s="5" t="str">
        <f>IFERROR(__xludf.DUMMYFUNCTION("""COMPUTED_VALUE"""),"Yes")</f>
        <v>Yes</v>
      </c>
      <c r="F270" s="5" t="str">
        <f>IFERROR(__xludf.DUMMYFUNCTION("""COMPUTED_VALUE"""),"Yes")</f>
        <v>Yes</v>
      </c>
      <c r="G270" s="5" t="str">
        <f>IFERROR(__xludf.DUMMYFUNCTION("""COMPUTED_VALUE"""),"Yes")</f>
        <v>Yes</v>
      </c>
      <c r="H270" s="5" t="str">
        <f>IFERROR(__xludf.DUMMYFUNCTION("""COMPUTED_VALUE"""),"Yes")</f>
        <v>Yes</v>
      </c>
      <c r="I270" s="5" t="str">
        <f>IFERROR(__xludf.DUMMYFUNCTION("""COMPUTED_VALUE"""),"Yes")</f>
        <v>Yes</v>
      </c>
      <c r="J270" s="5" t="str">
        <f>IFERROR(__xludf.DUMMYFUNCTION("""COMPUTED_VALUE"""),"Yes")</f>
        <v>Yes</v>
      </c>
      <c r="K270" s="5" t="str">
        <f>IFERROR(__xludf.DUMMYFUNCTION("""COMPUTED_VALUE"""),"Yes")</f>
        <v>Yes</v>
      </c>
      <c r="L270" s="5" t="str">
        <f>IFERROR(__xludf.DUMMYFUNCTION("""COMPUTED_VALUE"""),"Yes")</f>
        <v>Yes</v>
      </c>
      <c r="M270" s="5" t="str">
        <f>IFERROR(__xludf.DUMMYFUNCTION("""COMPUTED_VALUE"""),"Yes")</f>
        <v>Yes</v>
      </c>
      <c r="N270" s="5" t="str">
        <f>IFERROR(__xludf.DUMMYFUNCTION("""COMPUTED_VALUE"""),"Yes")</f>
        <v>Yes</v>
      </c>
      <c r="O270" s="5" t="str">
        <f>IFERROR(__xludf.DUMMYFUNCTION("""COMPUTED_VALUE"""),"Yes")</f>
        <v>Yes</v>
      </c>
      <c r="P270" s="5" t="str">
        <f>IFERROR(__xludf.DUMMYFUNCTION("""COMPUTED_VALUE"""),"Yes")</f>
        <v>Yes</v>
      </c>
      <c r="Q270" s="5" t="str">
        <f>IFERROR(__xludf.DUMMYFUNCTION("""COMPUTED_VALUE"""),"Yes")</f>
        <v>Yes</v>
      </c>
      <c r="R270" s="5" t="str">
        <f>IFERROR(__xludf.DUMMYFUNCTION("""COMPUTED_VALUE"""),"Yes")</f>
        <v>Yes</v>
      </c>
      <c r="S270" s="5" t="str">
        <f>IFERROR(__xludf.DUMMYFUNCTION("""COMPUTED_VALUE"""),"Yes")</f>
        <v>Yes</v>
      </c>
      <c r="T270" s="5" t="str">
        <f>IFERROR(__xludf.DUMMYFUNCTION("""COMPUTED_VALUE"""),"Yes")</f>
        <v>Yes</v>
      </c>
      <c r="U270" s="5" t="str">
        <f>IFERROR(__xludf.DUMMYFUNCTION("""COMPUTED_VALUE"""),"Yes")</f>
        <v>Yes</v>
      </c>
      <c r="V270" s="5" t="str">
        <f>IFERROR(__xludf.DUMMYFUNCTION("""COMPUTED_VALUE"""),"Yes")</f>
        <v>Yes</v>
      </c>
      <c r="W270" s="5" t="str">
        <f>IFERROR(__xludf.DUMMYFUNCTION("""COMPUTED_VALUE"""),"Yes")</f>
        <v>Yes</v>
      </c>
      <c r="X270" s="5"/>
      <c r="Y270" s="5" t="str">
        <f>IFERROR(__xludf.DUMMYFUNCTION("""COMPUTED_VALUE"""),"Yes")</f>
        <v>Yes</v>
      </c>
      <c r="Z270" s="5"/>
      <c r="AA270" s="5" t="str">
        <f>IFERROR(__xludf.DUMMYFUNCTION("""COMPUTED_VALUE"""),"Yes")</f>
        <v>Yes</v>
      </c>
      <c r="AB270" s="5" t="str">
        <f>IFERROR(__xludf.DUMMYFUNCTION("""COMPUTED_VALUE"""),"Yes")</f>
        <v>Yes</v>
      </c>
      <c r="AC270" s="5" t="str">
        <f>IFERROR(__xludf.DUMMYFUNCTION("""COMPUTED_VALUE"""),"Yes")</f>
        <v>Yes</v>
      </c>
      <c r="AD270" s="5" t="str">
        <f>IFERROR(__xludf.DUMMYFUNCTION("""COMPUTED_VALUE"""),"Yes")</f>
        <v>Yes</v>
      </c>
      <c r="AE270" s="5"/>
      <c r="AF270" s="5" t="str">
        <f>IFERROR(__xludf.DUMMYFUNCTION("""COMPUTED_VALUE"""),"Yes")</f>
        <v>Yes</v>
      </c>
      <c r="AG270" s="5"/>
      <c r="AH270" s="5"/>
      <c r="AI270" s="5"/>
      <c r="AJ270" s="5"/>
      <c r="AK270" s="5"/>
      <c r="AL270" s="5"/>
      <c r="AM270" s="5"/>
      <c r="AN270" s="5"/>
      <c r="AO270" s="5"/>
      <c r="AP270" s="5"/>
      <c r="AQ270" s="5"/>
      <c r="AR270" s="5"/>
      <c r="AS270" s="5"/>
      <c r="AT270" s="5"/>
      <c r="AU270" s="5"/>
      <c r="AV270" s="5"/>
      <c r="AW270" s="5"/>
      <c r="AX270" s="5"/>
      <c r="AY270" s="5"/>
    </row>
    <row r="271">
      <c r="A2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1" s="5">
        <f>IFERROR(__xludf.DUMMYFUNCTION("""COMPUTED_VALUE"""),271.0)</f>
        <v>271</v>
      </c>
      <c r="C271" s="5">
        <f>IFERROR(__xludf.DUMMYFUNCTION("""COMPUTED_VALUE"""),270.0)</f>
        <v>270</v>
      </c>
      <c r="D271" s="5" t="str">
        <f>IFERROR(__xludf.DUMMYFUNCTION("""COMPUTED_VALUE"""),"HotLine1X")</f>
        <v>HotLine1X</v>
      </c>
      <c r="E271" s="5" t="str">
        <f>IFERROR(__xludf.DUMMYFUNCTION("""COMPUTED_VALUE"""),"Yes")</f>
        <v>Yes</v>
      </c>
      <c r="F271" s="5" t="str">
        <f>IFERROR(__xludf.DUMMYFUNCTION("""COMPUTED_VALUE"""),"Yes")</f>
        <v>Yes</v>
      </c>
      <c r="G271" s="5" t="str">
        <f>IFERROR(__xludf.DUMMYFUNCTION("""COMPUTED_VALUE"""),"Yes")</f>
        <v>Yes</v>
      </c>
      <c r="H271" s="5" t="str">
        <f>IFERROR(__xludf.DUMMYFUNCTION("""COMPUTED_VALUE"""),"Yes")</f>
        <v>Yes</v>
      </c>
      <c r="I271" s="5" t="str">
        <f>IFERROR(__xludf.DUMMYFUNCTION("""COMPUTED_VALUE"""),"Yes")</f>
        <v>Yes</v>
      </c>
      <c r="J271" s="5" t="str">
        <f>IFERROR(__xludf.DUMMYFUNCTION("""COMPUTED_VALUE"""),"Yes")</f>
        <v>Yes</v>
      </c>
      <c r="K271" s="5" t="str">
        <f>IFERROR(__xludf.DUMMYFUNCTION("""COMPUTED_VALUE"""),"Yes")</f>
        <v>Yes</v>
      </c>
      <c r="L271" s="5" t="str">
        <f>IFERROR(__xludf.DUMMYFUNCTION("""COMPUTED_VALUE"""),"Yes")</f>
        <v>Yes</v>
      </c>
      <c r="M271" s="5" t="str">
        <f>IFERROR(__xludf.DUMMYFUNCTION("""COMPUTED_VALUE"""),"Yes")</f>
        <v>Yes</v>
      </c>
      <c r="N271" s="5" t="str">
        <f>IFERROR(__xludf.DUMMYFUNCTION("""COMPUTED_VALUE"""),"Yes")</f>
        <v>Yes</v>
      </c>
      <c r="O271" s="5" t="str">
        <f>IFERROR(__xludf.DUMMYFUNCTION("""COMPUTED_VALUE"""),"Yes")</f>
        <v>Yes</v>
      </c>
      <c r="P271" s="5" t="str">
        <f>IFERROR(__xludf.DUMMYFUNCTION("""COMPUTED_VALUE"""),"Yes")</f>
        <v>Yes</v>
      </c>
      <c r="Q271" s="5" t="str">
        <f>IFERROR(__xludf.DUMMYFUNCTION("""COMPUTED_VALUE"""),"Yes")</f>
        <v>Yes</v>
      </c>
      <c r="R271" s="5" t="str">
        <f>IFERROR(__xludf.DUMMYFUNCTION("""COMPUTED_VALUE"""),"Yes")</f>
        <v>Yes</v>
      </c>
      <c r="S271" s="5" t="str">
        <f>IFERROR(__xludf.DUMMYFUNCTION("""COMPUTED_VALUE"""),"Yes")</f>
        <v>Yes</v>
      </c>
      <c r="T271" s="5" t="str">
        <f>IFERROR(__xludf.DUMMYFUNCTION("""COMPUTED_VALUE"""),"Yes")</f>
        <v>Yes</v>
      </c>
      <c r="U271" s="5" t="str">
        <f>IFERROR(__xludf.DUMMYFUNCTION("""COMPUTED_VALUE"""),"Yes")</f>
        <v>Yes</v>
      </c>
      <c r="V271" s="5" t="str">
        <f>IFERROR(__xludf.DUMMYFUNCTION("""COMPUTED_VALUE"""),"Yes")</f>
        <v>Yes</v>
      </c>
      <c r="W271" s="5" t="str">
        <f>IFERROR(__xludf.DUMMYFUNCTION("""COMPUTED_VALUE"""),"Yes")</f>
        <v>Yes</v>
      </c>
      <c r="X271" s="5" t="str">
        <f>IFERROR(__xludf.DUMMYFUNCTION("""COMPUTED_VALUE"""),"Yes")</f>
        <v>Yes</v>
      </c>
      <c r="Y271" s="5" t="str">
        <f>IFERROR(__xludf.DUMMYFUNCTION("""COMPUTED_VALUE"""),"Yes")</f>
        <v>Yes</v>
      </c>
      <c r="Z271" s="5" t="str">
        <f>IFERROR(__xludf.DUMMYFUNCTION("""COMPUTED_VALUE"""),"No")</f>
        <v>No</v>
      </c>
      <c r="AA271" s="5" t="str">
        <f>IFERROR(__xludf.DUMMYFUNCTION("""COMPUTED_VALUE"""),"Yes")</f>
        <v>Yes</v>
      </c>
      <c r="AB271" s="5" t="str">
        <f>IFERROR(__xludf.DUMMYFUNCTION("""COMPUTED_VALUE"""),"Yes")</f>
        <v>Yes</v>
      </c>
      <c r="AC271" s="5" t="str">
        <f>IFERROR(__xludf.DUMMYFUNCTION("""COMPUTED_VALUE"""),"Yes")</f>
        <v>Yes</v>
      </c>
      <c r="AD271" s="5" t="str">
        <f>IFERROR(__xludf.DUMMYFUNCTION("""COMPUTED_VALUE"""),"Yes")</f>
        <v>Yes</v>
      </c>
      <c r="AE271" s="5" t="str">
        <f>IFERROR(__xludf.DUMMYFUNCTION("""COMPUTED_VALUE"""),"No")</f>
        <v>No</v>
      </c>
      <c r="AF271" s="5" t="str">
        <f>IFERROR(__xludf.DUMMYFUNCTION("""COMPUTED_VALUE"""),"Yes")</f>
        <v>Yes</v>
      </c>
      <c r="AG271" s="5" t="str">
        <f>IFERROR(__xludf.DUMMYFUNCTION("""COMPUTED_VALUE"""),"No")</f>
        <v>No</v>
      </c>
      <c r="AH271" s="5" t="str">
        <f>IFERROR(__xludf.DUMMYFUNCTION("""COMPUTED_VALUE"""),"No")</f>
        <v>No</v>
      </c>
      <c r="AI271" s="5" t="str">
        <f>IFERROR(__xludf.DUMMYFUNCTION("""COMPUTED_VALUE"""),"No")</f>
        <v>No</v>
      </c>
      <c r="AJ271" s="5" t="str">
        <f>IFERROR(__xludf.DUMMYFUNCTION("""COMPUTED_VALUE"""),"No")</f>
        <v>No</v>
      </c>
      <c r="AK271" s="5" t="str">
        <f>IFERROR(__xludf.DUMMYFUNCTION("""COMPUTED_VALUE"""),"No")</f>
        <v>No</v>
      </c>
      <c r="AL271" s="5" t="str">
        <f>IFERROR(__xludf.DUMMYFUNCTION("""COMPUTED_VALUE"""),"No")</f>
        <v>No</v>
      </c>
      <c r="AM271" s="5"/>
      <c r="AN271" s="5"/>
      <c r="AO271" s="5"/>
      <c r="AP271" s="5"/>
      <c r="AQ271" s="5"/>
      <c r="AR271" s="5"/>
      <c r="AS271" s="5"/>
      <c r="AT271" s="5"/>
      <c r="AU271" s="5"/>
      <c r="AV271" s="5"/>
      <c r="AW271" s="5"/>
      <c r="AX271" s="5"/>
      <c r="AY271" s="5"/>
    </row>
    <row r="272">
      <c r="A2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2" s="5">
        <f>IFERROR(__xludf.DUMMYFUNCTION("""COMPUTED_VALUE"""),272.0)</f>
        <v>272</v>
      </c>
      <c r="C272" s="5">
        <f>IFERROR(__xludf.DUMMYFUNCTION("""COMPUTED_VALUE"""),271.0)</f>
        <v>271</v>
      </c>
      <c r="D272" s="5" t="str">
        <f>IFERROR(__xludf.DUMMYFUNCTION("""COMPUTED_VALUE"""),"WildHot40BlowDice")</f>
        <v>WildHot40BlowDice</v>
      </c>
      <c r="E272" s="5" t="str">
        <f>IFERROR(__xludf.DUMMYFUNCTION("""COMPUTED_VALUE"""),"Yes")</f>
        <v>Yes</v>
      </c>
      <c r="F272" s="5" t="str">
        <f>IFERROR(__xludf.DUMMYFUNCTION("""COMPUTED_VALUE"""),"Yes")</f>
        <v>Yes</v>
      </c>
      <c r="G272" s="5" t="str">
        <f>IFERROR(__xludf.DUMMYFUNCTION("""COMPUTED_VALUE"""),"Yes")</f>
        <v>Yes</v>
      </c>
      <c r="H272" s="5" t="str">
        <f>IFERROR(__xludf.DUMMYFUNCTION("""COMPUTED_VALUE"""),"Yes")</f>
        <v>Yes</v>
      </c>
      <c r="I272" s="5" t="str">
        <f>IFERROR(__xludf.DUMMYFUNCTION("""COMPUTED_VALUE"""),"Yes")</f>
        <v>Yes</v>
      </c>
      <c r="J272" s="5" t="str">
        <f>IFERROR(__xludf.DUMMYFUNCTION("""COMPUTED_VALUE"""),"Yes")</f>
        <v>Yes</v>
      </c>
      <c r="K272" s="5" t="str">
        <f>IFERROR(__xludf.DUMMYFUNCTION("""COMPUTED_VALUE"""),"Yes")</f>
        <v>Yes</v>
      </c>
      <c r="L272" s="5" t="str">
        <f>IFERROR(__xludf.DUMMYFUNCTION("""COMPUTED_VALUE"""),"Yes")</f>
        <v>Yes</v>
      </c>
      <c r="M272" s="5" t="str">
        <f>IFERROR(__xludf.DUMMYFUNCTION("""COMPUTED_VALUE"""),"Yes")</f>
        <v>Yes</v>
      </c>
      <c r="N272" s="5" t="str">
        <f>IFERROR(__xludf.DUMMYFUNCTION("""COMPUTED_VALUE"""),"Yes")</f>
        <v>Yes</v>
      </c>
      <c r="O272" s="5" t="str">
        <f>IFERROR(__xludf.DUMMYFUNCTION("""COMPUTED_VALUE"""),"Yes")</f>
        <v>Yes</v>
      </c>
      <c r="P272" s="5" t="str">
        <f>IFERROR(__xludf.DUMMYFUNCTION("""COMPUTED_VALUE"""),"Yes")</f>
        <v>Yes</v>
      </c>
      <c r="Q272" s="5" t="str">
        <f>IFERROR(__xludf.DUMMYFUNCTION("""COMPUTED_VALUE"""),"Yes")</f>
        <v>Yes</v>
      </c>
      <c r="R272" s="5" t="str">
        <f>IFERROR(__xludf.DUMMYFUNCTION("""COMPUTED_VALUE"""),"Yes")</f>
        <v>Yes</v>
      </c>
      <c r="S272" s="5" t="str">
        <f>IFERROR(__xludf.DUMMYFUNCTION("""COMPUTED_VALUE"""),"Yes")</f>
        <v>Yes</v>
      </c>
      <c r="T272" s="5" t="str">
        <f>IFERROR(__xludf.DUMMYFUNCTION("""COMPUTED_VALUE"""),"Yes")</f>
        <v>Yes</v>
      </c>
      <c r="U272" s="5" t="str">
        <f>IFERROR(__xludf.DUMMYFUNCTION("""COMPUTED_VALUE"""),"Yes")</f>
        <v>Yes</v>
      </c>
      <c r="V272" s="5" t="str">
        <f>IFERROR(__xludf.DUMMYFUNCTION("""COMPUTED_VALUE"""),"Yes")</f>
        <v>Yes</v>
      </c>
      <c r="W272" s="5" t="str">
        <f>IFERROR(__xludf.DUMMYFUNCTION("""COMPUTED_VALUE"""),"Yes")</f>
        <v>Yes</v>
      </c>
      <c r="X272" s="5" t="str">
        <f>IFERROR(__xludf.DUMMYFUNCTION("""COMPUTED_VALUE"""),"Yes")</f>
        <v>Yes</v>
      </c>
      <c r="Y272" s="5" t="str">
        <f>IFERROR(__xludf.DUMMYFUNCTION("""COMPUTED_VALUE"""),"Yes")</f>
        <v>Yes</v>
      </c>
      <c r="Z272" s="5" t="str">
        <f>IFERROR(__xludf.DUMMYFUNCTION("""COMPUTED_VALUE"""),"No")</f>
        <v>No</v>
      </c>
      <c r="AA272" s="5" t="str">
        <f>IFERROR(__xludf.DUMMYFUNCTION("""COMPUTED_VALUE"""),"Yes")</f>
        <v>Yes</v>
      </c>
      <c r="AB272" s="5" t="str">
        <f>IFERROR(__xludf.DUMMYFUNCTION("""COMPUTED_VALUE"""),"Yes")</f>
        <v>Yes</v>
      </c>
      <c r="AC272" s="5" t="str">
        <f>IFERROR(__xludf.DUMMYFUNCTION("""COMPUTED_VALUE"""),"Yes")</f>
        <v>Yes</v>
      </c>
      <c r="AD272" s="5" t="str">
        <f>IFERROR(__xludf.DUMMYFUNCTION("""COMPUTED_VALUE"""),"Yes")</f>
        <v>Yes</v>
      </c>
      <c r="AE272" s="5" t="str">
        <f>IFERROR(__xludf.DUMMYFUNCTION("""COMPUTED_VALUE"""),"No")</f>
        <v>No</v>
      </c>
      <c r="AF272" s="5" t="str">
        <f>IFERROR(__xludf.DUMMYFUNCTION("""COMPUTED_VALUE"""),"Yes")</f>
        <v>Yes</v>
      </c>
      <c r="AG272" s="5" t="str">
        <f>IFERROR(__xludf.DUMMYFUNCTION("""COMPUTED_VALUE"""),"No")</f>
        <v>No</v>
      </c>
      <c r="AH272" s="5" t="str">
        <f>IFERROR(__xludf.DUMMYFUNCTION("""COMPUTED_VALUE"""),"No")</f>
        <v>No</v>
      </c>
      <c r="AI272" s="5" t="str">
        <f>IFERROR(__xludf.DUMMYFUNCTION("""COMPUTED_VALUE"""),"No")</f>
        <v>No</v>
      </c>
      <c r="AJ272" s="5" t="str">
        <f>IFERROR(__xludf.DUMMYFUNCTION("""COMPUTED_VALUE"""),"No")</f>
        <v>No</v>
      </c>
      <c r="AK272" s="5" t="str">
        <f>IFERROR(__xludf.DUMMYFUNCTION("""COMPUTED_VALUE"""),"No")</f>
        <v>No</v>
      </c>
      <c r="AL272" s="5" t="str">
        <f>IFERROR(__xludf.DUMMYFUNCTION("""COMPUTED_VALUE"""),"No")</f>
        <v>No</v>
      </c>
      <c r="AM272" s="5"/>
      <c r="AN272" s="5"/>
      <c r="AO272" s="5"/>
      <c r="AP272" s="5"/>
      <c r="AQ272" s="5"/>
      <c r="AR272" s="5"/>
      <c r="AS272" s="5"/>
      <c r="AT272" s="5"/>
      <c r="AU272" s="5"/>
      <c r="AV272" s="5"/>
      <c r="AW272" s="5"/>
      <c r="AX272" s="5"/>
      <c r="AY272" s="5"/>
    </row>
    <row r="273">
      <c r="A2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3" s="5">
        <f>IFERROR(__xludf.DUMMYFUNCTION("""COMPUTED_VALUE"""),273.0)</f>
        <v>273</v>
      </c>
      <c r="C273" s="5">
        <f>IFERROR(__xludf.DUMMYFUNCTION("""COMPUTED_VALUE"""),272.0)</f>
        <v>272</v>
      </c>
      <c r="D273" s="5" t="str">
        <f>IFERROR(__xludf.DUMMYFUNCTION("""COMPUTED_VALUE"""),"FashionNight")</f>
        <v>FashionNight</v>
      </c>
      <c r="E273" s="5" t="str">
        <f>IFERROR(__xludf.DUMMYFUNCTION("""COMPUTED_VALUE"""),"Yes")</f>
        <v>Yes</v>
      </c>
      <c r="F273" s="5" t="str">
        <f>IFERROR(__xludf.DUMMYFUNCTION("""COMPUTED_VALUE"""),"Yes")</f>
        <v>Yes</v>
      </c>
      <c r="G273" s="5" t="str">
        <f>IFERROR(__xludf.DUMMYFUNCTION("""COMPUTED_VALUE"""),"Yes")</f>
        <v>Yes</v>
      </c>
      <c r="H273" s="5" t="str">
        <f>IFERROR(__xludf.DUMMYFUNCTION("""COMPUTED_VALUE"""),"Yes")</f>
        <v>Yes</v>
      </c>
      <c r="I273" s="5" t="str">
        <f>IFERROR(__xludf.DUMMYFUNCTION("""COMPUTED_VALUE"""),"Yes")</f>
        <v>Yes</v>
      </c>
      <c r="J273" s="5" t="str">
        <f>IFERROR(__xludf.DUMMYFUNCTION("""COMPUTED_VALUE"""),"Yes")</f>
        <v>Yes</v>
      </c>
      <c r="K273" s="5" t="str">
        <f>IFERROR(__xludf.DUMMYFUNCTION("""COMPUTED_VALUE"""),"Yes")</f>
        <v>Yes</v>
      </c>
      <c r="L273" s="5" t="str">
        <f>IFERROR(__xludf.DUMMYFUNCTION("""COMPUTED_VALUE"""),"Yes")</f>
        <v>Yes</v>
      </c>
      <c r="M273" s="5" t="str">
        <f>IFERROR(__xludf.DUMMYFUNCTION("""COMPUTED_VALUE"""),"Yes")</f>
        <v>Yes</v>
      </c>
      <c r="N273" s="5" t="str">
        <f>IFERROR(__xludf.DUMMYFUNCTION("""COMPUTED_VALUE"""),"Yes")</f>
        <v>Yes</v>
      </c>
      <c r="O273" s="5" t="str">
        <f>IFERROR(__xludf.DUMMYFUNCTION("""COMPUTED_VALUE"""),"Yes")</f>
        <v>Yes</v>
      </c>
      <c r="P273" s="5" t="str">
        <f>IFERROR(__xludf.DUMMYFUNCTION("""COMPUTED_VALUE"""),"Yes")</f>
        <v>Yes</v>
      </c>
      <c r="Q273" s="5" t="str">
        <f>IFERROR(__xludf.DUMMYFUNCTION("""COMPUTED_VALUE"""),"Yes")</f>
        <v>Yes</v>
      </c>
      <c r="R273" s="5" t="str">
        <f>IFERROR(__xludf.DUMMYFUNCTION("""COMPUTED_VALUE"""),"Yes")</f>
        <v>Yes</v>
      </c>
      <c r="S273" s="5" t="str">
        <f>IFERROR(__xludf.DUMMYFUNCTION("""COMPUTED_VALUE"""),"Yes")</f>
        <v>Yes</v>
      </c>
      <c r="T273" s="5" t="str">
        <f>IFERROR(__xludf.DUMMYFUNCTION("""COMPUTED_VALUE"""),"Yes")</f>
        <v>Yes</v>
      </c>
      <c r="U273" s="5" t="str">
        <f>IFERROR(__xludf.DUMMYFUNCTION("""COMPUTED_VALUE"""),"Yes")</f>
        <v>Yes</v>
      </c>
      <c r="V273" s="5" t="str">
        <f>IFERROR(__xludf.DUMMYFUNCTION("""COMPUTED_VALUE"""),"Yes")</f>
        <v>Yes</v>
      </c>
      <c r="W273" s="5" t="str">
        <f>IFERROR(__xludf.DUMMYFUNCTION("""COMPUTED_VALUE"""),"Yes")</f>
        <v>Yes</v>
      </c>
      <c r="X273" s="5" t="str">
        <f>IFERROR(__xludf.DUMMYFUNCTION("""COMPUTED_VALUE"""),"Yes")</f>
        <v>Yes</v>
      </c>
      <c r="Y273" s="5" t="str">
        <f>IFERROR(__xludf.DUMMYFUNCTION("""COMPUTED_VALUE"""),"Yes")</f>
        <v>Yes</v>
      </c>
      <c r="Z273" s="5" t="str">
        <f>IFERROR(__xludf.DUMMYFUNCTION("""COMPUTED_VALUE"""),"No")</f>
        <v>No</v>
      </c>
      <c r="AA273" s="5" t="str">
        <f>IFERROR(__xludf.DUMMYFUNCTION("""COMPUTED_VALUE"""),"Yes")</f>
        <v>Yes</v>
      </c>
      <c r="AB273" s="5" t="str">
        <f>IFERROR(__xludf.DUMMYFUNCTION("""COMPUTED_VALUE"""),"Yes")</f>
        <v>Yes</v>
      </c>
      <c r="AC273" s="5" t="str">
        <f>IFERROR(__xludf.DUMMYFUNCTION("""COMPUTED_VALUE"""),"Yes")</f>
        <v>Yes</v>
      </c>
      <c r="AD273" s="5" t="str">
        <f>IFERROR(__xludf.DUMMYFUNCTION("""COMPUTED_VALUE"""),"Yes")</f>
        <v>Yes</v>
      </c>
      <c r="AE273" s="5" t="str">
        <f>IFERROR(__xludf.DUMMYFUNCTION("""COMPUTED_VALUE"""),"No")</f>
        <v>No</v>
      </c>
      <c r="AF273" s="5" t="str">
        <f>IFERROR(__xludf.DUMMYFUNCTION("""COMPUTED_VALUE"""),"Yes")</f>
        <v>Yes</v>
      </c>
      <c r="AG273" s="5" t="str">
        <f>IFERROR(__xludf.DUMMYFUNCTION("""COMPUTED_VALUE"""),"No")</f>
        <v>No</v>
      </c>
      <c r="AH273" s="5" t="str">
        <f>IFERROR(__xludf.DUMMYFUNCTION("""COMPUTED_VALUE"""),"No")</f>
        <v>No</v>
      </c>
      <c r="AI273" s="5" t="str">
        <f>IFERROR(__xludf.DUMMYFUNCTION("""COMPUTED_VALUE"""),"No")</f>
        <v>No</v>
      </c>
      <c r="AJ273" s="5" t="str">
        <f>IFERROR(__xludf.DUMMYFUNCTION("""COMPUTED_VALUE"""),"No")</f>
        <v>No</v>
      </c>
      <c r="AK273" s="5" t="str">
        <f>IFERROR(__xludf.DUMMYFUNCTION("""COMPUTED_VALUE"""),"No")</f>
        <v>No</v>
      </c>
      <c r="AL273" s="5" t="str">
        <f>IFERROR(__xludf.DUMMYFUNCTION("""COMPUTED_VALUE"""),"No")</f>
        <v>No</v>
      </c>
      <c r="AM273" s="5"/>
      <c r="AN273" s="5"/>
      <c r="AO273" s="5"/>
      <c r="AP273" s="5"/>
      <c r="AQ273" s="5"/>
      <c r="AR273" s="5"/>
      <c r="AS273" s="5"/>
      <c r="AT273" s="5"/>
      <c r="AU273" s="5"/>
      <c r="AV273" s="5"/>
      <c r="AW273" s="5"/>
      <c r="AX273" s="5"/>
      <c r="AY273" s="5"/>
    </row>
    <row r="274">
      <c r="A2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4" s="5">
        <f>IFERROR(__xludf.DUMMYFUNCTION("""COMPUTED_VALUE"""),274.0)</f>
        <v>274</v>
      </c>
      <c r="C274" s="5">
        <f>IFERROR(__xludf.DUMMYFUNCTION("""COMPUTED_VALUE"""),273.0)</f>
        <v>273</v>
      </c>
      <c r="D274" s="5" t="str">
        <f>IFERROR(__xludf.DUMMYFUNCTION("""COMPUTED_VALUE"""),"MayansBattle")</f>
        <v>MayansBattle</v>
      </c>
      <c r="E274" s="5" t="str">
        <f>IFERROR(__xludf.DUMMYFUNCTION("""COMPUTED_VALUE"""),"Yes")</f>
        <v>Yes</v>
      </c>
      <c r="F274" s="5" t="str">
        <f>IFERROR(__xludf.DUMMYFUNCTION("""COMPUTED_VALUE"""),"Yes")</f>
        <v>Yes</v>
      </c>
      <c r="G274" s="5" t="str">
        <f>IFERROR(__xludf.DUMMYFUNCTION("""COMPUTED_VALUE"""),"Yes")</f>
        <v>Yes</v>
      </c>
      <c r="H274" s="5" t="str">
        <f>IFERROR(__xludf.DUMMYFUNCTION("""COMPUTED_VALUE"""),"Yes")</f>
        <v>Yes</v>
      </c>
      <c r="I274" s="5" t="str">
        <f>IFERROR(__xludf.DUMMYFUNCTION("""COMPUTED_VALUE"""),"Yes")</f>
        <v>Yes</v>
      </c>
      <c r="J274" s="5" t="str">
        <f>IFERROR(__xludf.DUMMYFUNCTION("""COMPUTED_VALUE"""),"Yes")</f>
        <v>Yes</v>
      </c>
      <c r="K274" s="5" t="str">
        <f>IFERROR(__xludf.DUMMYFUNCTION("""COMPUTED_VALUE"""),"Yes")</f>
        <v>Yes</v>
      </c>
      <c r="L274" s="5" t="str">
        <f>IFERROR(__xludf.DUMMYFUNCTION("""COMPUTED_VALUE"""),"Yes")</f>
        <v>Yes</v>
      </c>
      <c r="M274" s="5" t="str">
        <f>IFERROR(__xludf.DUMMYFUNCTION("""COMPUTED_VALUE"""),"Yes")</f>
        <v>Yes</v>
      </c>
      <c r="N274" s="5" t="str">
        <f>IFERROR(__xludf.DUMMYFUNCTION("""COMPUTED_VALUE"""),"Yes")</f>
        <v>Yes</v>
      </c>
      <c r="O274" s="5" t="str">
        <f>IFERROR(__xludf.DUMMYFUNCTION("""COMPUTED_VALUE"""),"Yes")</f>
        <v>Yes</v>
      </c>
      <c r="P274" s="5" t="str">
        <f>IFERROR(__xludf.DUMMYFUNCTION("""COMPUTED_VALUE"""),"Yes")</f>
        <v>Yes</v>
      </c>
      <c r="Q274" s="5" t="str">
        <f>IFERROR(__xludf.DUMMYFUNCTION("""COMPUTED_VALUE"""),"Yes")</f>
        <v>Yes</v>
      </c>
      <c r="R274" s="5" t="str">
        <f>IFERROR(__xludf.DUMMYFUNCTION("""COMPUTED_VALUE"""),"Yes")</f>
        <v>Yes</v>
      </c>
      <c r="S274" s="5" t="str">
        <f>IFERROR(__xludf.DUMMYFUNCTION("""COMPUTED_VALUE"""),"Yes")</f>
        <v>Yes</v>
      </c>
      <c r="T274" s="5" t="str">
        <f>IFERROR(__xludf.DUMMYFUNCTION("""COMPUTED_VALUE"""),"Yes")</f>
        <v>Yes</v>
      </c>
      <c r="U274" s="5" t="str">
        <f>IFERROR(__xludf.DUMMYFUNCTION("""COMPUTED_VALUE"""),"Yes")</f>
        <v>Yes</v>
      </c>
      <c r="V274" s="5" t="str">
        <f>IFERROR(__xludf.DUMMYFUNCTION("""COMPUTED_VALUE"""),"Yes")</f>
        <v>Yes</v>
      </c>
      <c r="W274" s="5" t="str">
        <f>IFERROR(__xludf.DUMMYFUNCTION("""COMPUTED_VALUE"""),"Yes")</f>
        <v>Yes</v>
      </c>
      <c r="X274" s="5" t="str">
        <f>IFERROR(__xludf.DUMMYFUNCTION("""COMPUTED_VALUE"""),"Yes")</f>
        <v>Yes</v>
      </c>
      <c r="Y274" s="5" t="str">
        <f>IFERROR(__xludf.DUMMYFUNCTION("""COMPUTED_VALUE"""),"Yes")</f>
        <v>Yes</v>
      </c>
      <c r="Z274" s="5" t="str">
        <f>IFERROR(__xludf.DUMMYFUNCTION("""COMPUTED_VALUE"""),"No")</f>
        <v>No</v>
      </c>
      <c r="AA274" s="5" t="str">
        <f>IFERROR(__xludf.DUMMYFUNCTION("""COMPUTED_VALUE"""),"Yes")</f>
        <v>Yes</v>
      </c>
      <c r="AB274" s="5" t="str">
        <f>IFERROR(__xludf.DUMMYFUNCTION("""COMPUTED_VALUE"""),"Yes")</f>
        <v>Yes</v>
      </c>
      <c r="AC274" s="5" t="str">
        <f>IFERROR(__xludf.DUMMYFUNCTION("""COMPUTED_VALUE"""),"Yes")</f>
        <v>Yes</v>
      </c>
      <c r="AD274" s="5" t="str">
        <f>IFERROR(__xludf.DUMMYFUNCTION("""COMPUTED_VALUE"""),"Yes")</f>
        <v>Yes</v>
      </c>
      <c r="AE274" s="5" t="str">
        <f>IFERROR(__xludf.DUMMYFUNCTION("""COMPUTED_VALUE"""),"No")</f>
        <v>No</v>
      </c>
      <c r="AF274" s="5" t="str">
        <f>IFERROR(__xludf.DUMMYFUNCTION("""COMPUTED_VALUE"""),"Yes")</f>
        <v>Yes</v>
      </c>
      <c r="AG274" s="5" t="str">
        <f>IFERROR(__xludf.DUMMYFUNCTION("""COMPUTED_VALUE"""),"No")</f>
        <v>No</v>
      </c>
      <c r="AH274" s="5" t="str">
        <f>IFERROR(__xludf.DUMMYFUNCTION("""COMPUTED_VALUE"""),"No")</f>
        <v>No</v>
      </c>
      <c r="AI274" s="5" t="str">
        <f>IFERROR(__xludf.DUMMYFUNCTION("""COMPUTED_VALUE"""),"No")</f>
        <v>No</v>
      </c>
      <c r="AJ274" s="5" t="str">
        <f>IFERROR(__xludf.DUMMYFUNCTION("""COMPUTED_VALUE"""),"No")</f>
        <v>No</v>
      </c>
      <c r="AK274" s="5" t="str">
        <f>IFERROR(__xludf.DUMMYFUNCTION("""COMPUTED_VALUE"""),"No")</f>
        <v>No</v>
      </c>
      <c r="AL274" s="5" t="str">
        <f>IFERROR(__xludf.DUMMYFUNCTION("""COMPUTED_VALUE"""),"No")</f>
        <v>No</v>
      </c>
      <c r="AM274" s="5"/>
      <c r="AN274" s="5"/>
      <c r="AO274" s="5"/>
      <c r="AP274" s="5"/>
      <c r="AQ274" s="5"/>
      <c r="AR274" s="5"/>
      <c r="AS274" s="5"/>
      <c r="AT274" s="5"/>
      <c r="AU274" s="5"/>
      <c r="AV274" s="5"/>
      <c r="AW274" s="5"/>
      <c r="AX274" s="5"/>
      <c r="AY274" s="5"/>
    </row>
    <row r="275">
      <c r="A2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275" s="5">
        <f>IFERROR(__xludf.DUMMYFUNCTION("""COMPUTED_VALUE"""),275.0)</f>
        <v>275</v>
      </c>
      <c r="C275" s="5">
        <f>IFERROR(__xludf.DUMMYFUNCTION("""COMPUTED_VALUE"""),274.0)</f>
        <v>274</v>
      </c>
      <c r="D275" s="5" t="str">
        <f>IFERROR(__xludf.DUMMYFUNCTION("""COMPUTED_VALUE"""),"UnicornFrootMachine")</f>
        <v>UnicornFrootMachine</v>
      </c>
      <c r="E275" s="5" t="str">
        <f>IFERROR(__xludf.DUMMYFUNCTION("""COMPUTED_VALUE"""),"Yes")</f>
        <v>Yes</v>
      </c>
      <c r="F275" s="5" t="str">
        <f>IFERROR(__xludf.DUMMYFUNCTION("""COMPUTED_VALUE"""),"Yes")</f>
        <v>Yes</v>
      </c>
      <c r="G275" s="5" t="str">
        <f>IFERROR(__xludf.DUMMYFUNCTION("""COMPUTED_VALUE"""),"Yes")</f>
        <v>Yes</v>
      </c>
      <c r="H275" s="5" t="str">
        <f>IFERROR(__xludf.DUMMYFUNCTION("""COMPUTED_VALUE"""),"Yes")</f>
        <v>Yes</v>
      </c>
      <c r="I275" s="5" t="str">
        <f>IFERROR(__xludf.DUMMYFUNCTION("""COMPUTED_VALUE"""),"Yes")</f>
        <v>Yes</v>
      </c>
      <c r="J275" s="5" t="str">
        <f>IFERROR(__xludf.DUMMYFUNCTION("""COMPUTED_VALUE"""),"Yes")</f>
        <v>Yes</v>
      </c>
      <c r="K275" s="5" t="str">
        <f>IFERROR(__xludf.DUMMYFUNCTION("""COMPUTED_VALUE"""),"Yes")</f>
        <v>Yes</v>
      </c>
      <c r="L275" s="5" t="str">
        <f>IFERROR(__xludf.DUMMYFUNCTION("""COMPUTED_VALUE"""),"Yes")</f>
        <v>Yes</v>
      </c>
      <c r="M275" s="5" t="str">
        <f>IFERROR(__xludf.DUMMYFUNCTION("""COMPUTED_VALUE"""),"Yes")</f>
        <v>Yes</v>
      </c>
      <c r="N275" s="5" t="str">
        <f>IFERROR(__xludf.DUMMYFUNCTION("""COMPUTED_VALUE"""),"Yes")</f>
        <v>Yes</v>
      </c>
      <c r="O275" s="5" t="str">
        <f>IFERROR(__xludf.DUMMYFUNCTION("""COMPUTED_VALUE"""),"Yes")</f>
        <v>Yes</v>
      </c>
      <c r="P275" s="5" t="str">
        <f>IFERROR(__xludf.DUMMYFUNCTION("""COMPUTED_VALUE"""),"Yes")</f>
        <v>Yes</v>
      </c>
      <c r="Q275" s="5" t="str">
        <f>IFERROR(__xludf.DUMMYFUNCTION("""COMPUTED_VALUE"""),"Yes")</f>
        <v>Yes</v>
      </c>
      <c r="R275" s="5" t="str">
        <f>IFERROR(__xludf.DUMMYFUNCTION("""COMPUTED_VALUE"""),"Yes")</f>
        <v>Yes</v>
      </c>
      <c r="S275" s="5" t="str">
        <f>IFERROR(__xludf.DUMMYFUNCTION("""COMPUTED_VALUE"""),"Yes")</f>
        <v>Yes</v>
      </c>
      <c r="T275" s="5" t="str">
        <f>IFERROR(__xludf.DUMMYFUNCTION("""COMPUTED_VALUE"""),"Yes")</f>
        <v>Yes</v>
      </c>
      <c r="U275" s="5" t="str">
        <f>IFERROR(__xludf.DUMMYFUNCTION("""COMPUTED_VALUE"""),"Yes")</f>
        <v>Yes</v>
      </c>
      <c r="V275" s="5" t="str">
        <f>IFERROR(__xludf.DUMMYFUNCTION("""COMPUTED_VALUE"""),"Yes")</f>
        <v>Yes</v>
      </c>
      <c r="W275" s="5" t="str">
        <f>IFERROR(__xludf.DUMMYFUNCTION("""COMPUTED_VALUE"""),"Yes")</f>
        <v>Yes</v>
      </c>
      <c r="X275" s="5"/>
      <c r="Y275" s="5"/>
      <c r="Z275" s="5"/>
      <c r="AA275" s="5"/>
      <c r="AB275" s="5"/>
      <c r="AC275" s="5" t="str">
        <f>IFERROR(__xludf.DUMMYFUNCTION("""COMPUTED_VALUE"""),"Yes")</f>
        <v>Yes</v>
      </c>
      <c r="AD275" s="5"/>
      <c r="AE275" s="5"/>
      <c r="AF275" s="5"/>
      <c r="AG275" s="5"/>
      <c r="AH275" s="5"/>
      <c r="AI275" s="5"/>
      <c r="AJ275" s="5"/>
      <c r="AK275" s="5"/>
      <c r="AL275" s="5"/>
      <c r="AM275" s="5"/>
      <c r="AN275" s="5"/>
      <c r="AO275" s="5"/>
      <c r="AP275" s="5"/>
      <c r="AQ275" s="5"/>
      <c r="AR275" s="5"/>
      <c r="AS275" s="5"/>
      <c r="AT275" s="5"/>
      <c r="AU275" s="5"/>
      <c r="AV275" s="5"/>
      <c r="AW275" s="5"/>
      <c r="AX275" s="5"/>
      <c r="AY275" s="5"/>
    </row>
    <row r="276">
      <c r="A27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76" s="5">
        <f>IFERROR(__xludf.DUMMYFUNCTION("""COMPUTED_VALUE"""),276.0)</f>
        <v>276</v>
      </c>
      <c r="C276" s="5">
        <f>IFERROR(__xludf.DUMMYFUNCTION("""COMPUTED_VALUE"""),275.0)</f>
        <v>275</v>
      </c>
      <c r="D276" s="5" t="str">
        <f>IFERROR(__xludf.DUMMYFUNCTION("""COMPUTED_VALUE"""),"UnicornSimplySevensDice")</f>
        <v>UnicornSimplySevensDice</v>
      </c>
      <c r="E276" s="5" t="str">
        <f>IFERROR(__xludf.DUMMYFUNCTION("""COMPUTED_VALUE"""),"Yes")</f>
        <v>Yes</v>
      </c>
      <c r="F276" s="5" t="str">
        <f>IFERROR(__xludf.DUMMYFUNCTION("""COMPUTED_VALUE"""),"Yes")</f>
        <v>Yes</v>
      </c>
      <c r="G276" s="5" t="str">
        <f>IFERROR(__xludf.DUMMYFUNCTION("""COMPUTED_VALUE"""),"Yes")</f>
        <v>Yes</v>
      </c>
      <c r="H276" s="5" t="str">
        <f>IFERROR(__xludf.DUMMYFUNCTION("""COMPUTED_VALUE"""),"No")</f>
        <v>No</v>
      </c>
      <c r="I276" s="5" t="str">
        <f>IFERROR(__xludf.DUMMYFUNCTION("""COMPUTED_VALUE"""),"No")</f>
        <v>No</v>
      </c>
      <c r="J276" s="5" t="str">
        <f>IFERROR(__xludf.DUMMYFUNCTION("""COMPUTED_VALUE"""),"No")</f>
        <v>No</v>
      </c>
      <c r="K276" s="5" t="str">
        <f>IFERROR(__xludf.DUMMYFUNCTION("""COMPUTED_VALUE"""),"No")</f>
        <v>No</v>
      </c>
      <c r="L276" s="5" t="str">
        <f>IFERROR(__xludf.DUMMYFUNCTION("""COMPUTED_VALUE"""),"No")</f>
        <v>No</v>
      </c>
      <c r="M276" s="5" t="str">
        <f>IFERROR(__xludf.DUMMYFUNCTION("""COMPUTED_VALUE"""),"Yes")</f>
        <v>Yes</v>
      </c>
      <c r="N276" s="5" t="str">
        <f>IFERROR(__xludf.DUMMYFUNCTION("""COMPUTED_VALUE"""),"Yes")</f>
        <v>Yes</v>
      </c>
      <c r="O276" s="5" t="str">
        <f>IFERROR(__xludf.DUMMYFUNCTION("""COMPUTED_VALUE"""),"Yes")</f>
        <v>Yes</v>
      </c>
      <c r="P276" s="5" t="str">
        <f>IFERROR(__xludf.DUMMYFUNCTION("""COMPUTED_VALUE"""),"Yes")</f>
        <v>Yes</v>
      </c>
      <c r="Q276" s="5" t="str">
        <f>IFERROR(__xludf.DUMMYFUNCTION("""COMPUTED_VALUE"""),"Yes")</f>
        <v>Yes</v>
      </c>
      <c r="R276" s="5" t="str">
        <f>IFERROR(__xludf.DUMMYFUNCTION("""COMPUTED_VALUE"""),"No")</f>
        <v>No</v>
      </c>
      <c r="S276" s="5" t="str">
        <f>IFERROR(__xludf.DUMMYFUNCTION("""COMPUTED_VALUE"""),"Yes")</f>
        <v>Yes</v>
      </c>
      <c r="T276" s="5" t="str">
        <f>IFERROR(__xludf.DUMMYFUNCTION("""COMPUTED_VALUE"""),"No")</f>
        <v>No</v>
      </c>
      <c r="U276" s="5" t="str">
        <f>IFERROR(__xludf.DUMMYFUNCTION("""COMPUTED_VALUE"""),"No")</f>
        <v>No</v>
      </c>
      <c r="V276" s="5" t="str">
        <f>IFERROR(__xludf.DUMMYFUNCTION("""COMPUTED_VALUE"""),"No")</f>
        <v>No</v>
      </c>
      <c r="W276" s="5" t="str">
        <f>IFERROR(__xludf.DUMMYFUNCTION("""COMPUTED_VALUE"""),"No")</f>
        <v>No</v>
      </c>
      <c r="X276" s="5"/>
      <c r="Y276" s="5"/>
      <c r="Z276" s="5"/>
      <c r="AA276" s="5"/>
      <c r="AB276" s="5"/>
      <c r="AC276" s="5" t="str">
        <f>IFERROR(__xludf.DUMMYFUNCTION("""COMPUTED_VALUE"""),"No")</f>
        <v>No</v>
      </c>
      <c r="AD276" s="5"/>
      <c r="AE276" s="5"/>
      <c r="AF276" s="5"/>
      <c r="AG276" s="5"/>
      <c r="AH276" s="5"/>
      <c r="AI276" s="5"/>
      <c r="AJ276" s="5"/>
      <c r="AK276" s="5"/>
      <c r="AL276" s="5"/>
      <c r="AM276" s="5"/>
      <c r="AN276" s="5"/>
      <c r="AO276" s="5"/>
      <c r="AP276" s="5"/>
      <c r="AQ276" s="5"/>
      <c r="AR276" s="5"/>
      <c r="AS276" s="5"/>
      <c r="AT276" s="5"/>
      <c r="AU276" s="5"/>
      <c r="AV276" s="5"/>
      <c r="AW276" s="5"/>
      <c r="AX276" s="5"/>
      <c r="AY276" s="5"/>
    </row>
    <row r="277">
      <c r="A2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7" s="5">
        <f>IFERROR(__xludf.DUMMYFUNCTION("""COMPUTED_VALUE"""),277.0)</f>
        <v>277</v>
      </c>
      <c r="C277" s="5">
        <f>IFERROR(__xludf.DUMMYFUNCTION("""COMPUTED_VALUE"""),276.0)</f>
        <v>276</v>
      </c>
      <c r="D277" s="5" t="str">
        <f>IFERROR(__xludf.DUMMYFUNCTION("""COMPUTED_VALUE"""),"WildCraps")</f>
        <v>WildCraps</v>
      </c>
      <c r="E277" s="5" t="str">
        <f>IFERROR(__xludf.DUMMYFUNCTION("""COMPUTED_VALUE"""),"Yes")</f>
        <v>Yes</v>
      </c>
      <c r="F277" s="5" t="str">
        <f>IFERROR(__xludf.DUMMYFUNCTION("""COMPUTED_VALUE"""),"Yes")</f>
        <v>Yes</v>
      </c>
      <c r="G277" s="5" t="str">
        <f>IFERROR(__xludf.DUMMYFUNCTION("""COMPUTED_VALUE"""),"Yes")</f>
        <v>Yes</v>
      </c>
      <c r="H277" s="5" t="str">
        <f>IFERROR(__xludf.DUMMYFUNCTION("""COMPUTED_VALUE"""),"Yes")</f>
        <v>Yes</v>
      </c>
      <c r="I277" s="5" t="str">
        <f>IFERROR(__xludf.DUMMYFUNCTION("""COMPUTED_VALUE"""),"Yes")</f>
        <v>Yes</v>
      </c>
      <c r="J277" s="5" t="str">
        <f>IFERROR(__xludf.DUMMYFUNCTION("""COMPUTED_VALUE"""),"Yes")</f>
        <v>Yes</v>
      </c>
      <c r="K277" s="5" t="str">
        <f>IFERROR(__xludf.DUMMYFUNCTION("""COMPUTED_VALUE"""),"Yes")</f>
        <v>Yes</v>
      </c>
      <c r="L277" s="5" t="str">
        <f>IFERROR(__xludf.DUMMYFUNCTION("""COMPUTED_VALUE"""),"Yes")</f>
        <v>Yes</v>
      </c>
      <c r="M277" s="5" t="str">
        <f>IFERROR(__xludf.DUMMYFUNCTION("""COMPUTED_VALUE"""),"Yes")</f>
        <v>Yes</v>
      </c>
      <c r="N277" s="5" t="str">
        <f>IFERROR(__xludf.DUMMYFUNCTION("""COMPUTED_VALUE"""),"Yes")</f>
        <v>Yes</v>
      </c>
      <c r="O277" s="5" t="str">
        <f>IFERROR(__xludf.DUMMYFUNCTION("""COMPUTED_VALUE"""),"Yes")</f>
        <v>Yes</v>
      </c>
      <c r="P277" s="5" t="str">
        <f>IFERROR(__xludf.DUMMYFUNCTION("""COMPUTED_VALUE"""),"Yes")</f>
        <v>Yes</v>
      </c>
      <c r="Q277" s="5" t="str">
        <f>IFERROR(__xludf.DUMMYFUNCTION("""COMPUTED_VALUE"""),"Yes")</f>
        <v>Yes</v>
      </c>
      <c r="R277" s="5" t="str">
        <f>IFERROR(__xludf.DUMMYFUNCTION("""COMPUTED_VALUE"""),"Yes")</f>
        <v>Yes</v>
      </c>
      <c r="S277" s="5" t="str">
        <f>IFERROR(__xludf.DUMMYFUNCTION("""COMPUTED_VALUE"""),"Yes")</f>
        <v>Yes</v>
      </c>
      <c r="T277" s="5" t="str">
        <f>IFERROR(__xludf.DUMMYFUNCTION("""COMPUTED_VALUE"""),"Yes")</f>
        <v>Yes</v>
      </c>
      <c r="U277" s="5" t="str">
        <f>IFERROR(__xludf.DUMMYFUNCTION("""COMPUTED_VALUE"""),"Yes")</f>
        <v>Yes</v>
      </c>
      <c r="V277" s="5" t="str">
        <f>IFERROR(__xludf.DUMMYFUNCTION("""COMPUTED_VALUE"""),"Yes")</f>
        <v>Yes</v>
      </c>
      <c r="W277" s="5" t="str">
        <f>IFERROR(__xludf.DUMMYFUNCTION("""COMPUTED_VALUE"""),"Yes")</f>
        <v>Yes</v>
      </c>
      <c r="X277" s="5" t="str">
        <f>IFERROR(__xludf.DUMMYFUNCTION("""COMPUTED_VALUE"""),"Yes")</f>
        <v>Yes</v>
      </c>
      <c r="Y277" s="5" t="str">
        <f>IFERROR(__xludf.DUMMYFUNCTION("""COMPUTED_VALUE"""),"Yes")</f>
        <v>Yes</v>
      </c>
      <c r="Z277" s="5" t="str">
        <f>IFERROR(__xludf.DUMMYFUNCTION("""COMPUTED_VALUE"""),"No")</f>
        <v>No</v>
      </c>
      <c r="AA277" s="5" t="str">
        <f>IFERROR(__xludf.DUMMYFUNCTION("""COMPUTED_VALUE"""),"Yes")</f>
        <v>Yes</v>
      </c>
      <c r="AB277" s="5" t="str">
        <f>IFERROR(__xludf.DUMMYFUNCTION("""COMPUTED_VALUE"""),"Yes")</f>
        <v>Yes</v>
      </c>
      <c r="AC277" s="5" t="str">
        <f>IFERROR(__xludf.DUMMYFUNCTION("""COMPUTED_VALUE"""),"Yes")</f>
        <v>Yes</v>
      </c>
      <c r="AD277" s="5" t="str">
        <f>IFERROR(__xludf.DUMMYFUNCTION("""COMPUTED_VALUE"""),"Yes")</f>
        <v>Yes</v>
      </c>
      <c r="AE277" s="5" t="str">
        <f>IFERROR(__xludf.DUMMYFUNCTION("""COMPUTED_VALUE"""),"No")</f>
        <v>No</v>
      </c>
      <c r="AF277" s="5" t="str">
        <f>IFERROR(__xludf.DUMMYFUNCTION("""COMPUTED_VALUE"""),"Yes")</f>
        <v>Yes</v>
      </c>
      <c r="AG277" s="5" t="str">
        <f>IFERROR(__xludf.DUMMYFUNCTION("""COMPUTED_VALUE"""),"No")</f>
        <v>No</v>
      </c>
      <c r="AH277" s="5" t="str">
        <f>IFERROR(__xludf.DUMMYFUNCTION("""COMPUTED_VALUE"""),"No")</f>
        <v>No</v>
      </c>
      <c r="AI277" s="5" t="str">
        <f>IFERROR(__xludf.DUMMYFUNCTION("""COMPUTED_VALUE"""),"No")</f>
        <v>No</v>
      </c>
      <c r="AJ277" s="5" t="str">
        <f>IFERROR(__xludf.DUMMYFUNCTION("""COMPUTED_VALUE"""),"No")</f>
        <v>No</v>
      </c>
      <c r="AK277" s="5" t="str">
        <f>IFERROR(__xludf.DUMMYFUNCTION("""COMPUTED_VALUE"""),"No")</f>
        <v>No</v>
      </c>
      <c r="AL277" s="5" t="str">
        <f>IFERROR(__xludf.DUMMYFUNCTION("""COMPUTED_VALUE"""),"No")</f>
        <v>No</v>
      </c>
      <c r="AM277" s="5"/>
      <c r="AN277" s="5"/>
      <c r="AO277" s="5"/>
      <c r="AP277" s="5"/>
      <c r="AQ277" s="5"/>
      <c r="AR277" s="5"/>
      <c r="AS277" s="5"/>
      <c r="AT277" s="5"/>
      <c r="AU277" s="5"/>
      <c r="AV277" s="5"/>
      <c r="AW277" s="5"/>
      <c r="AX277" s="5"/>
      <c r="AY277" s="5"/>
    </row>
    <row r="278">
      <c r="A2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8" s="5">
        <f>IFERROR(__xludf.DUMMYFUNCTION("""COMPUTED_VALUE"""),278.0)</f>
        <v>278</v>
      </c>
      <c r="C278" s="5">
        <f>IFERROR(__xludf.DUMMYFUNCTION("""COMPUTED_VALUE"""),277.0)</f>
        <v>277</v>
      </c>
      <c r="D278" s="5" t="str">
        <f>IFERROR(__xludf.DUMMYFUNCTION("""COMPUTED_VALUE"""),"RedstoneFearOfDark")</f>
        <v>RedstoneFearOfDark</v>
      </c>
      <c r="E278" s="5" t="str">
        <f>IFERROR(__xludf.DUMMYFUNCTION("""COMPUTED_VALUE"""),"Yes")</f>
        <v>Yes</v>
      </c>
      <c r="F278" s="5" t="str">
        <f>IFERROR(__xludf.DUMMYFUNCTION("""COMPUTED_VALUE"""),"Yes")</f>
        <v>Yes</v>
      </c>
      <c r="G278" s="5" t="str">
        <f>IFERROR(__xludf.DUMMYFUNCTION("""COMPUTED_VALUE"""),"Yes")</f>
        <v>Yes</v>
      </c>
      <c r="H278" s="5" t="str">
        <f>IFERROR(__xludf.DUMMYFUNCTION("""COMPUTED_VALUE"""),"Yes")</f>
        <v>Yes</v>
      </c>
      <c r="I278" s="5" t="str">
        <f>IFERROR(__xludf.DUMMYFUNCTION("""COMPUTED_VALUE"""),"Yes")</f>
        <v>Yes</v>
      </c>
      <c r="J278" s="5" t="str">
        <f>IFERROR(__xludf.DUMMYFUNCTION("""COMPUTED_VALUE"""),"Yes")</f>
        <v>Yes</v>
      </c>
      <c r="K278" s="5" t="str">
        <f>IFERROR(__xludf.DUMMYFUNCTION("""COMPUTED_VALUE"""),"Yes")</f>
        <v>Yes</v>
      </c>
      <c r="L278" s="5" t="str">
        <f>IFERROR(__xludf.DUMMYFUNCTION("""COMPUTED_VALUE"""),"Yes")</f>
        <v>Yes</v>
      </c>
      <c r="M278" s="5" t="str">
        <f>IFERROR(__xludf.DUMMYFUNCTION("""COMPUTED_VALUE"""),"Yes")</f>
        <v>Yes</v>
      </c>
      <c r="N278" s="5" t="str">
        <f>IFERROR(__xludf.DUMMYFUNCTION("""COMPUTED_VALUE"""),"Yes")</f>
        <v>Yes</v>
      </c>
      <c r="O278" s="5" t="str">
        <f>IFERROR(__xludf.DUMMYFUNCTION("""COMPUTED_VALUE"""),"Yes")</f>
        <v>Yes</v>
      </c>
      <c r="P278" s="5" t="str">
        <f>IFERROR(__xludf.DUMMYFUNCTION("""COMPUTED_VALUE"""),"Yes")</f>
        <v>Yes</v>
      </c>
      <c r="Q278" s="5" t="str">
        <f>IFERROR(__xludf.DUMMYFUNCTION("""COMPUTED_VALUE"""),"Yes")</f>
        <v>Yes</v>
      </c>
      <c r="R278" s="5" t="str">
        <f>IFERROR(__xludf.DUMMYFUNCTION("""COMPUTED_VALUE"""),"Yes")</f>
        <v>Yes</v>
      </c>
      <c r="S278" s="5" t="str">
        <f>IFERROR(__xludf.DUMMYFUNCTION("""COMPUTED_VALUE"""),"Yes")</f>
        <v>Yes</v>
      </c>
      <c r="T278" s="5" t="str">
        <f>IFERROR(__xludf.DUMMYFUNCTION("""COMPUTED_VALUE"""),"Yes")</f>
        <v>Yes</v>
      </c>
      <c r="U278" s="5" t="str">
        <f>IFERROR(__xludf.DUMMYFUNCTION("""COMPUTED_VALUE"""),"Yes")</f>
        <v>Yes</v>
      </c>
      <c r="V278" s="5" t="str">
        <f>IFERROR(__xludf.DUMMYFUNCTION("""COMPUTED_VALUE"""),"Yes")</f>
        <v>Yes</v>
      </c>
      <c r="W278" s="5" t="str">
        <f>IFERROR(__xludf.DUMMYFUNCTION("""COMPUTED_VALUE"""),"Yes")</f>
        <v>Yes</v>
      </c>
      <c r="X278" s="5"/>
      <c r="Y278" s="5" t="str">
        <f>IFERROR(__xludf.DUMMYFUNCTION("""COMPUTED_VALUE"""),"Yes")</f>
        <v>Yes</v>
      </c>
      <c r="Z278" s="5"/>
      <c r="AA278" s="5" t="str">
        <f>IFERROR(__xludf.DUMMYFUNCTION("""COMPUTED_VALUE"""),"Yes")</f>
        <v>Yes</v>
      </c>
      <c r="AB278" s="5" t="str">
        <f>IFERROR(__xludf.DUMMYFUNCTION("""COMPUTED_VALUE"""),"Yes")</f>
        <v>Yes</v>
      </c>
      <c r="AC278" s="5" t="str">
        <f>IFERROR(__xludf.DUMMYFUNCTION("""COMPUTED_VALUE"""),"Yes")</f>
        <v>Yes</v>
      </c>
      <c r="AD278" s="5" t="str">
        <f>IFERROR(__xludf.DUMMYFUNCTION("""COMPUTED_VALUE"""),"Yes")</f>
        <v>Yes</v>
      </c>
      <c r="AE278" s="5"/>
      <c r="AF278" s="5" t="str">
        <f>IFERROR(__xludf.DUMMYFUNCTION("""COMPUTED_VALUE"""),"Yes")</f>
        <v>Yes</v>
      </c>
      <c r="AG278" s="5"/>
      <c r="AH278" s="5"/>
      <c r="AI278" s="5"/>
      <c r="AJ278" s="5"/>
      <c r="AK278" s="5"/>
      <c r="AL278" s="5"/>
      <c r="AM278" s="5"/>
      <c r="AN278" s="5"/>
      <c r="AO278" s="5"/>
      <c r="AP278" s="5"/>
      <c r="AQ278" s="5"/>
      <c r="AR278" s="5"/>
      <c r="AS278" s="5"/>
      <c r="AT278" s="5"/>
      <c r="AU278" s="5"/>
      <c r="AV278" s="5"/>
      <c r="AW278" s="5"/>
      <c r="AX278" s="5"/>
      <c r="AY278" s="5"/>
    </row>
    <row r="279">
      <c r="A2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9" s="5">
        <f>IFERROR(__xludf.DUMMYFUNCTION("""COMPUTED_VALUE"""),279.0)</f>
        <v>279</v>
      </c>
      <c r="C279" s="5">
        <f>IFERROR(__xludf.DUMMYFUNCTION("""COMPUTED_VALUE"""),278.0)</f>
        <v>278</v>
      </c>
      <c r="D279" s="5" t="str">
        <f>IFERROR(__xludf.DUMMYFUNCTION("""COMPUTED_VALUE"""),"MrFirstCryptonium")</f>
        <v>MrFirstCryptonium</v>
      </c>
      <c r="E279" s="5" t="str">
        <f>IFERROR(__xludf.DUMMYFUNCTION("""COMPUTED_VALUE"""),"Yes")</f>
        <v>Yes</v>
      </c>
      <c r="F279" s="5" t="str">
        <f>IFERROR(__xludf.DUMMYFUNCTION("""COMPUTED_VALUE"""),"Yes")</f>
        <v>Yes</v>
      </c>
      <c r="G279" s="5" t="str">
        <f>IFERROR(__xludf.DUMMYFUNCTION("""COMPUTED_VALUE"""),"Yes")</f>
        <v>Yes</v>
      </c>
      <c r="H279" s="5" t="str">
        <f>IFERROR(__xludf.DUMMYFUNCTION("""COMPUTED_VALUE"""),"Yes")</f>
        <v>Yes</v>
      </c>
      <c r="I279" s="5" t="str">
        <f>IFERROR(__xludf.DUMMYFUNCTION("""COMPUTED_VALUE"""),"Yes")</f>
        <v>Yes</v>
      </c>
      <c r="J279" s="5" t="str">
        <f>IFERROR(__xludf.DUMMYFUNCTION("""COMPUTED_VALUE"""),"Yes")</f>
        <v>Yes</v>
      </c>
      <c r="K279" s="5" t="str">
        <f>IFERROR(__xludf.DUMMYFUNCTION("""COMPUTED_VALUE"""),"Yes")</f>
        <v>Yes</v>
      </c>
      <c r="L279" s="5" t="str">
        <f>IFERROR(__xludf.DUMMYFUNCTION("""COMPUTED_VALUE"""),"Yes")</f>
        <v>Yes</v>
      </c>
      <c r="M279" s="5" t="str">
        <f>IFERROR(__xludf.DUMMYFUNCTION("""COMPUTED_VALUE"""),"Yes")</f>
        <v>Yes</v>
      </c>
      <c r="N279" s="5" t="str">
        <f>IFERROR(__xludf.DUMMYFUNCTION("""COMPUTED_VALUE"""),"Yes")</f>
        <v>Yes</v>
      </c>
      <c r="O279" s="5" t="str">
        <f>IFERROR(__xludf.DUMMYFUNCTION("""COMPUTED_VALUE"""),"Yes")</f>
        <v>Yes</v>
      </c>
      <c r="P279" s="5" t="str">
        <f>IFERROR(__xludf.DUMMYFUNCTION("""COMPUTED_VALUE"""),"Yes")</f>
        <v>Yes</v>
      </c>
      <c r="Q279" s="5" t="str">
        <f>IFERROR(__xludf.DUMMYFUNCTION("""COMPUTED_VALUE"""),"Yes")</f>
        <v>Yes</v>
      </c>
      <c r="R279" s="5" t="str">
        <f>IFERROR(__xludf.DUMMYFUNCTION("""COMPUTED_VALUE"""),"Yes")</f>
        <v>Yes</v>
      </c>
      <c r="S279" s="5" t="str">
        <f>IFERROR(__xludf.DUMMYFUNCTION("""COMPUTED_VALUE"""),"Yes")</f>
        <v>Yes</v>
      </c>
      <c r="T279" s="5" t="str">
        <f>IFERROR(__xludf.DUMMYFUNCTION("""COMPUTED_VALUE"""),"Yes")</f>
        <v>Yes</v>
      </c>
      <c r="U279" s="5" t="str">
        <f>IFERROR(__xludf.DUMMYFUNCTION("""COMPUTED_VALUE"""),"Yes")</f>
        <v>Yes</v>
      </c>
      <c r="V279" s="5" t="str">
        <f>IFERROR(__xludf.DUMMYFUNCTION("""COMPUTED_VALUE"""),"Yes")</f>
        <v>Yes</v>
      </c>
      <c r="W279" s="5" t="str">
        <f>IFERROR(__xludf.DUMMYFUNCTION("""COMPUTED_VALUE"""),"Yes")</f>
        <v>Yes</v>
      </c>
      <c r="X279" s="5" t="str">
        <f>IFERROR(__xludf.DUMMYFUNCTION("""COMPUTED_VALUE"""),"Yes")</f>
        <v>Yes</v>
      </c>
      <c r="Y279" s="5" t="str">
        <f>IFERROR(__xludf.DUMMYFUNCTION("""COMPUTED_VALUE"""),"Yes")</f>
        <v>Yes</v>
      </c>
      <c r="Z279" s="5" t="str">
        <f>IFERROR(__xludf.DUMMYFUNCTION("""COMPUTED_VALUE"""),"No")</f>
        <v>No</v>
      </c>
      <c r="AA279" s="5" t="str">
        <f>IFERROR(__xludf.DUMMYFUNCTION("""COMPUTED_VALUE"""),"Yes")</f>
        <v>Yes</v>
      </c>
      <c r="AB279" s="5" t="str">
        <f>IFERROR(__xludf.DUMMYFUNCTION("""COMPUTED_VALUE"""),"Yes")</f>
        <v>Yes</v>
      </c>
      <c r="AC279" s="5" t="str">
        <f>IFERROR(__xludf.DUMMYFUNCTION("""COMPUTED_VALUE"""),"Yes")</f>
        <v>Yes</v>
      </c>
      <c r="AD279" s="5" t="str">
        <f>IFERROR(__xludf.DUMMYFUNCTION("""COMPUTED_VALUE"""),"Yes")</f>
        <v>Yes</v>
      </c>
      <c r="AE279" s="5" t="str">
        <f>IFERROR(__xludf.DUMMYFUNCTION("""COMPUTED_VALUE"""),"No")</f>
        <v>No</v>
      </c>
      <c r="AF279" s="5" t="str">
        <f>IFERROR(__xludf.DUMMYFUNCTION("""COMPUTED_VALUE"""),"Yes")</f>
        <v>Yes</v>
      </c>
      <c r="AG279" s="5" t="str">
        <f>IFERROR(__xludf.DUMMYFUNCTION("""COMPUTED_VALUE"""),"No")</f>
        <v>No</v>
      </c>
      <c r="AH279" s="5" t="str">
        <f>IFERROR(__xludf.DUMMYFUNCTION("""COMPUTED_VALUE"""),"No")</f>
        <v>No</v>
      </c>
      <c r="AI279" s="5" t="str">
        <f>IFERROR(__xludf.DUMMYFUNCTION("""COMPUTED_VALUE"""),"No")</f>
        <v>No</v>
      </c>
      <c r="AJ279" s="5" t="str">
        <f>IFERROR(__xludf.DUMMYFUNCTION("""COMPUTED_VALUE"""),"No")</f>
        <v>No</v>
      </c>
      <c r="AK279" s="5" t="str">
        <f>IFERROR(__xludf.DUMMYFUNCTION("""COMPUTED_VALUE"""),"No")</f>
        <v>No</v>
      </c>
      <c r="AL279" s="5" t="str">
        <f>IFERROR(__xludf.DUMMYFUNCTION("""COMPUTED_VALUE"""),"No")</f>
        <v>No</v>
      </c>
      <c r="AM279" s="5"/>
      <c r="AN279" s="5"/>
      <c r="AO279" s="5"/>
      <c r="AP279" s="5"/>
      <c r="AQ279" s="5"/>
      <c r="AR279" s="5"/>
      <c r="AS279" s="5"/>
      <c r="AT279" s="5"/>
      <c r="AU279" s="5"/>
      <c r="AV279" s="5"/>
      <c r="AW279" s="5"/>
      <c r="AX279" s="5"/>
      <c r="AY279" s="5"/>
    </row>
    <row r="280">
      <c r="A2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80" s="5">
        <f>IFERROR(__xludf.DUMMYFUNCTION("""COMPUTED_VALUE"""),280.0)</f>
        <v>280</v>
      </c>
      <c r="C280" s="5">
        <f>IFERROR(__xludf.DUMMYFUNCTION("""COMPUTED_VALUE"""),279.0)</f>
        <v>279</v>
      </c>
      <c r="D280" s="5" t="str">
        <f>IFERROR(__xludf.DUMMYFUNCTION("""COMPUTED_VALUE"""),"UnicornFruitIslandChristmas")</f>
        <v>UnicornFruitIslandChristmas</v>
      </c>
      <c r="E280" s="5" t="str">
        <f>IFERROR(__xludf.DUMMYFUNCTION("""COMPUTED_VALUE"""),"Yes")</f>
        <v>Yes</v>
      </c>
      <c r="F280" s="5" t="str">
        <f>IFERROR(__xludf.DUMMYFUNCTION("""COMPUTED_VALUE"""),"Yes")</f>
        <v>Yes</v>
      </c>
      <c r="G280" s="5" t="str">
        <f>IFERROR(__xludf.DUMMYFUNCTION("""COMPUTED_VALUE"""),"Yes")</f>
        <v>Yes</v>
      </c>
      <c r="H280" s="5" t="str">
        <f>IFERROR(__xludf.DUMMYFUNCTION("""COMPUTED_VALUE"""),"Yes")</f>
        <v>Yes</v>
      </c>
      <c r="I280" s="5" t="str">
        <f>IFERROR(__xludf.DUMMYFUNCTION("""COMPUTED_VALUE"""),"Yes")</f>
        <v>Yes</v>
      </c>
      <c r="J280" s="5" t="str">
        <f>IFERROR(__xludf.DUMMYFUNCTION("""COMPUTED_VALUE"""),"Yes")</f>
        <v>Yes</v>
      </c>
      <c r="K280" s="5" t="str">
        <f>IFERROR(__xludf.DUMMYFUNCTION("""COMPUTED_VALUE"""),"Yes")</f>
        <v>Yes</v>
      </c>
      <c r="L280" s="5" t="str">
        <f>IFERROR(__xludf.DUMMYFUNCTION("""COMPUTED_VALUE"""),"Yes")</f>
        <v>Yes</v>
      </c>
      <c r="M280" s="5" t="str">
        <f>IFERROR(__xludf.DUMMYFUNCTION("""COMPUTED_VALUE"""),"Yes")</f>
        <v>Yes</v>
      </c>
      <c r="N280" s="5" t="str">
        <f>IFERROR(__xludf.DUMMYFUNCTION("""COMPUTED_VALUE"""),"Yes")</f>
        <v>Yes</v>
      </c>
      <c r="O280" s="5" t="str">
        <f>IFERROR(__xludf.DUMMYFUNCTION("""COMPUTED_VALUE"""),"Yes")</f>
        <v>Yes</v>
      </c>
      <c r="P280" s="5" t="str">
        <f>IFERROR(__xludf.DUMMYFUNCTION("""COMPUTED_VALUE"""),"Yes")</f>
        <v>Yes</v>
      </c>
      <c r="Q280" s="5" t="str">
        <f>IFERROR(__xludf.DUMMYFUNCTION("""COMPUTED_VALUE"""),"Yes")</f>
        <v>Yes</v>
      </c>
      <c r="R280" s="5" t="str">
        <f>IFERROR(__xludf.DUMMYFUNCTION("""COMPUTED_VALUE"""),"Yes")</f>
        <v>Yes</v>
      </c>
      <c r="S280" s="5" t="str">
        <f>IFERROR(__xludf.DUMMYFUNCTION("""COMPUTED_VALUE"""),"Yes")</f>
        <v>Yes</v>
      </c>
      <c r="T280" s="5" t="str">
        <f>IFERROR(__xludf.DUMMYFUNCTION("""COMPUTED_VALUE"""),"Yes")</f>
        <v>Yes</v>
      </c>
      <c r="U280" s="5" t="str">
        <f>IFERROR(__xludf.DUMMYFUNCTION("""COMPUTED_VALUE"""),"Yes")</f>
        <v>Yes</v>
      </c>
      <c r="V280" s="5" t="str">
        <f>IFERROR(__xludf.DUMMYFUNCTION("""COMPUTED_VALUE"""),"Yes")</f>
        <v>Yes</v>
      </c>
      <c r="W280" s="5" t="str">
        <f>IFERROR(__xludf.DUMMYFUNCTION("""COMPUTED_VALUE"""),"Yes")</f>
        <v>Yes</v>
      </c>
      <c r="X280" s="5"/>
      <c r="Y280" s="5" t="str">
        <f>IFERROR(__xludf.DUMMYFUNCTION("""COMPUTED_VALUE"""),"Yes")</f>
        <v>Yes</v>
      </c>
      <c r="Z280" s="5"/>
      <c r="AA280" s="5" t="str">
        <f>IFERROR(__xludf.DUMMYFUNCTION("""COMPUTED_VALUE"""),"Yes")</f>
        <v>Yes</v>
      </c>
      <c r="AB280" s="5" t="str">
        <f>IFERROR(__xludf.DUMMYFUNCTION("""COMPUTED_VALUE"""),"Yes")</f>
        <v>Yes</v>
      </c>
      <c r="AC280" s="5" t="str">
        <f>IFERROR(__xludf.DUMMYFUNCTION("""COMPUTED_VALUE"""),"Yes")</f>
        <v>Yes</v>
      </c>
      <c r="AD280" s="5" t="str">
        <f>IFERROR(__xludf.DUMMYFUNCTION("""COMPUTED_VALUE"""),"Yes")</f>
        <v>Yes</v>
      </c>
      <c r="AE280" s="5"/>
      <c r="AF280" s="5" t="str">
        <f>IFERROR(__xludf.DUMMYFUNCTION("""COMPUTED_VALUE"""),"Yes")</f>
        <v>Yes</v>
      </c>
      <c r="AG280" s="5"/>
      <c r="AH280" s="5"/>
      <c r="AI280" s="5"/>
      <c r="AJ280" s="5"/>
      <c r="AK280" s="5"/>
      <c r="AL280" s="5"/>
      <c r="AM280" s="5"/>
      <c r="AN280" s="5"/>
      <c r="AO280" s="5"/>
      <c r="AP280" s="5"/>
      <c r="AQ280" s="5"/>
      <c r="AR280" s="5"/>
      <c r="AS280" s="5"/>
      <c r="AT280" s="5"/>
      <c r="AU280" s="5"/>
      <c r="AV280" s="5"/>
      <c r="AW280" s="5"/>
      <c r="AX280" s="5"/>
      <c r="AY280" s="5"/>
    </row>
    <row r="281">
      <c r="A28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81" s="5">
        <f>IFERROR(__xludf.DUMMYFUNCTION("""COMPUTED_VALUE"""),281.0)</f>
        <v>281</v>
      </c>
      <c r="C281" s="5">
        <f>IFERROR(__xludf.DUMMYFUNCTION("""COMPUTED_VALUE"""),280.0)</f>
        <v>280</v>
      </c>
      <c r="D281" s="5" t="str">
        <f>IFERROR(__xludf.DUMMYFUNCTION("""COMPUTED_VALUE"""),"UnicornStarDiceChristmas")</f>
        <v>UnicornStarDiceChristmas</v>
      </c>
      <c r="E281" s="5" t="str">
        <f>IFERROR(__xludf.DUMMYFUNCTION("""COMPUTED_VALUE"""),"Yes")</f>
        <v>Yes</v>
      </c>
      <c r="F281" s="5" t="str">
        <f>IFERROR(__xludf.DUMMYFUNCTION("""COMPUTED_VALUE"""),"Yes")</f>
        <v>Yes</v>
      </c>
      <c r="G281" s="5" t="str">
        <f>IFERROR(__xludf.DUMMYFUNCTION("""COMPUTED_VALUE"""),"Yes")</f>
        <v>Yes</v>
      </c>
      <c r="H281" s="5" t="str">
        <f>IFERROR(__xludf.DUMMYFUNCTION("""COMPUTED_VALUE"""),"No")</f>
        <v>No</v>
      </c>
      <c r="I281" s="5" t="str">
        <f>IFERROR(__xludf.DUMMYFUNCTION("""COMPUTED_VALUE"""),"No")</f>
        <v>No</v>
      </c>
      <c r="J281" s="5" t="str">
        <f>IFERROR(__xludf.DUMMYFUNCTION("""COMPUTED_VALUE"""),"No")</f>
        <v>No</v>
      </c>
      <c r="K281" s="5" t="str">
        <f>IFERROR(__xludf.DUMMYFUNCTION("""COMPUTED_VALUE"""),"No")</f>
        <v>No</v>
      </c>
      <c r="L281" s="5" t="str">
        <f>IFERROR(__xludf.DUMMYFUNCTION("""COMPUTED_VALUE"""),"No")</f>
        <v>No</v>
      </c>
      <c r="M281" s="5" t="str">
        <f>IFERROR(__xludf.DUMMYFUNCTION("""COMPUTED_VALUE"""),"Yes")</f>
        <v>Yes</v>
      </c>
      <c r="N281" s="5" t="str">
        <f>IFERROR(__xludf.DUMMYFUNCTION("""COMPUTED_VALUE"""),"Yes")</f>
        <v>Yes</v>
      </c>
      <c r="O281" s="5" t="str">
        <f>IFERROR(__xludf.DUMMYFUNCTION("""COMPUTED_VALUE"""),"Yes")</f>
        <v>Yes</v>
      </c>
      <c r="P281" s="5" t="str">
        <f>IFERROR(__xludf.DUMMYFUNCTION("""COMPUTED_VALUE"""),"Yes")</f>
        <v>Yes</v>
      </c>
      <c r="Q281" s="5" t="str">
        <f>IFERROR(__xludf.DUMMYFUNCTION("""COMPUTED_VALUE"""),"Yes")</f>
        <v>Yes</v>
      </c>
      <c r="R281" s="5" t="str">
        <f>IFERROR(__xludf.DUMMYFUNCTION("""COMPUTED_VALUE"""),"No")</f>
        <v>No</v>
      </c>
      <c r="S281" s="5" t="str">
        <f>IFERROR(__xludf.DUMMYFUNCTION("""COMPUTED_VALUE"""),"Yes")</f>
        <v>Yes</v>
      </c>
      <c r="T281" s="5" t="str">
        <f>IFERROR(__xludf.DUMMYFUNCTION("""COMPUTED_VALUE"""),"No")</f>
        <v>No</v>
      </c>
      <c r="U281" s="5" t="str">
        <f>IFERROR(__xludf.DUMMYFUNCTION("""COMPUTED_VALUE"""),"No")</f>
        <v>No</v>
      </c>
      <c r="V281" s="5" t="str">
        <f>IFERROR(__xludf.DUMMYFUNCTION("""COMPUTED_VALUE"""),"No")</f>
        <v>No</v>
      </c>
      <c r="W281" s="5" t="str">
        <f>IFERROR(__xludf.DUMMYFUNCTION("""COMPUTED_VALUE"""),"No")</f>
        <v>No</v>
      </c>
      <c r="X281" s="5"/>
      <c r="Y281" s="5"/>
      <c r="Z281" s="5"/>
      <c r="AA281" s="5"/>
      <c r="AB281" s="5"/>
      <c r="AC281" s="5" t="str">
        <f>IFERROR(__xludf.DUMMYFUNCTION("""COMPUTED_VALUE"""),"No")</f>
        <v>No</v>
      </c>
      <c r="AD281" s="5"/>
      <c r="AE281" s="5"/>
      <c r="AF281" s="5"/>
      <c r="AG281" s="5"/>
      <c r="AH281" s="5"/>
      <c r="AI281" s="5"/>
      <c r="AJ281" s="5"/>
      <c r="AK281" s="5"/>
      <c r="AL281" s="5"/>
      <c r="AM281" s="5"/>
      <c r="AN281" s="5"/>
      <c r="AO281" s="5"/>
      <c r="AP281" s="5"/>
      <c r="AQ281" s="5"/>
      <c r="AR281" s="5"/>
      <c r="AS281" s="5"/>
      <c r="AT281" s="5"/>
      <c r="AU281" s="5"/>
      <c r="AV281" s="5"/>
      <c r="AW281" s="5"/>
      <c r="AX281" s="5"/>
      <c r="AY281" s="5"/>
    </row>
    <row r="282">
      <c r="A28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282" s="5">
        <f>IFERROR(__xludf.DUMMYFUNCTION("""COMPUTED_VALUE"""),282.0)</f>
        <v>282</v>
      </c>
      <c r="C282" s="5">
        <f>IFERROR(__xludf.DUMMYFUNCTION("""COMPUTED_VALUE"""),281.0)</f>
        <v>281</v>
      </c>
      <c r="D282" s="5" t="str">
        <f>IFERROR(__xludf.DUMMYFUNCTION("""COMPUTED_VALUE"""),"UnicornChristmasPresents")</f>
        <v>UnicornChristmasPresents</v>
      </c>
      <c r="E282" s="5" t="str">
        <f>IFERROR(__xludf.DUMMYFUNCTION("""COMPUTED_VALUE"""),"Yes")</f>
        <v>Yes</v>
      </c>
      <c r="F282" s="5" t="str">
        <f>IFERROR(__xludf.DUMMYFUNCTION("""COMPUTED_VALUE"""),"Yes")</f>
        <v>Yes</v>
      </c>
      <c r="G282" s="5" t="str">
        <f>IFERROR(__xludf.DUMMYFUNCTION("""COMPUTED_VALUE"""),"Yes")</f>
        <v>Yes</v>
      </c>
      <c r="H282" s="5" t="str">
        <f>IFERROR(__xludf.DUMMYFUNCTION("""COMPUTED_VALUE"""),"No")</f>
        <v>No</v>
      </c>
      <c r="I282" s="5" t="str">
        <f>IFERROR(__xludf.DUMMYFUNCTION("""COMPUTED_VALUE"""),"No")</f>
        <v>No</v>
      </c>
      <c r="J282" s="5" t="str">
        <f>IFERROR(__xludf.DUMMYFUNCTION("""COMPUTED_VALUE"""),"No")</f>
        <v>No</v>
      </c>
      <c r="K282" s="5" t="str">
        <f>IFERROR(__xludf.DUMMYFUNCTION("""COMPUTED_VALUE"""),"No")</f>
        <v>No</v>
      </c>
      <c r="L282" s="5" t="str">
        <f>IFERROR(__xludf.DUMMYFUNCTION("""COMPUTED_VALUE"""),"No")</f>
        <v>No</v>
      </c>
      <c r="M282" s="5" t="str">
        <f>IFERROR(__xludf.DUMMYFUNCTION("""COMPUTED_VALUE"""),"Yes")</f>
        <v>Yes</v>
      </c>
      <c r="N282" s="5" t="str">
        <f>IFERROR(__xludf.DUMMYFUNCTION("""COMPUTED_VALUE"""),"Yes")</f>
        <v>Yes</v>
      </c>
      <c r="O282" s="5" t="str">
        <f>IFERROR(__xludf.DUMMYFUNCTION("""COMPUTED_VALUE"""),"Yes")</f>
        <v>Yes</v>
      </c>
      <c r="P282" s="5" t="str">
        <f>IFERROR(__xludf.DUMMYFUNCTION("""COMPUTED_VALUE"""),"Yes")</f>
        <v>Yes</v>
      </c>
      <c r="Q282" s="5" t="str">
        <f>IFERROR(__xludf.DUMMYFUNCTION("""COMPUTED_VALUE"""),"Yes")</f>
        <v>Yes</v>
      </c>
      <c r="R282" s="5" t="str">
        <f>IFERROR(__xludf.DUMMYFUNCTION("""COMPUTED_VALUE"""),"No")</f>
        <v>No</v>
      </c>
      <c r="S282" s="5" t="str">
        <f>IFERROR(__xludf.DUMMYFUNCTION("""COMPUTED_VALUE"""),"Yes")</f>
        <v>Yes</v>
      </c>
      <c r="T282" s="5" t="str">
        <f>IFERROR(__xludf.DUMMYFUNCTION("""COMPUTED_VALUE"""),"No")</f>
        <v>No</v>
      </c>
      <c r="U282" s="5" t="str">
        <f>IFERROR(__xludf.DUMMYFUNCTION("""COMPUTED_VALUE"""),"No")</f>
        <v>No</v>
      </c>
      <c r="V282" s="5" t="str">
        <f>IFERROR(__xludf.DUMMYFUNCTION("""COMPUTED_VALUE"""),"No")</f>
        <v>No</v>
      </c>
      <c r="W282" s="5" t="str">
        <f>IFERROR(__xludf.DUMMYFUNCTION("""COMPUTED_VALUE"""),"No")</f>
        <v>No</v>
      </c>
      <c r="X282" s="5"/>
      <c r="Y282" s="5"/>
      <c r="Z282" s="5"/>
      <c r="AA282" s="5"/>
      <c r="AB282" s="5"/>
      <c r="AC282" s="5" t="str">
        <f>IFERROR(__xludf.DUMMYFUNCTION("""COMPUTED_VALUE"""),"No")</f>
        <v>No</v>
      </c>
      <c r="AD282" s="5"/>
      <c r="AE282" s="5"/>
      <c r="AF282" s="5"/>
      <c r="AG282" s="5"/>
      <c r="AH282" s="5"/>
      <c r="AI282" s="5"/>
      <c r="AJ282" s="5"/>
      <c r="AK282" s="5"/>
      <c r="AL282" s="5"/>
      <c r="AM282" s="5"/>
      <c r="AN282" s="5"/>
      <c r="AO282" s="5"/>
      <c r="AP282" s="5"/>
      <c r="AQ282" s="5"/>
      <c r="AR282" s="5"/>
      <c r="AS282" s="5"/>
      <c r="AT282" s="5"/>
      <c r="AU282" s="5"/>
      <c r="AV282" s="5"/>
      <c r="AW282" s="5"/>
      <c r="AX282" s="5"/>
      <c r="AY282" s="5"/>
    </row>
    <row r="283">
      <c r="A2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3" s="5">
        <f>IFERROR(__xludf.DUMMYFUNCTION("""COMPUTED_VALUE"""),283.0)</f>
        <v>283</v>
      </c>
      <c r="C283" s="5">
        <f>IFERROR(__xludf.DUMMYFUNCTION("""COMPUTED_VALUE"""),282.0)</f>
        <v>282</v>
      </c>
      <c r="D283" s="5" t="str">
        <f>IFERROR(__xludf.DUMMYFUNCTION("""COMPUTED_VALUE"""),"SantasPresents")</f>
        <v>SantasPresents</v>
      </c>
      <c r="E283" s="5" t="str">
        <f>IFERROR(__xludf.DUMMYFUNCTION("""COMPUTED_VALUE"""),"Yes")</f>
        <v>Yes</v>
      </c>
      <c r="F283" s="5" t="str">
        <f>IFERROR(__xludf.DUMMYFUNCTION("""COMPUTED_VALUE"""),"Yes")</f>
        <v>Yes</v>
      </c>
      <c r="G283" s="5" t="str">
        <f>IFERROR(__xludf.DUMMYFUNCTION("""COMPUTED_VALUE"""),"Yes")</f>
        <v>Yes</v>
      </c>
      <c r="H283" s="5" t="str">
        <f>IFERROR(__xludf.DUMMYFUNCTION("""COMPUTED_VALUE"""),"Yes")</f>
        <v>Yes</v>
      </c>
      <c r="I283" s="5" t="str">
        <f>IFERROR(__xludf.DUMMYFUNCTION("""COMPUTED_VALUE"""),"Yes")</f>
        <v>Yes</v>
      </c>
      <c r="J283" s="5" t="str">
        <f>IFERROR(__xludf.DUMMYFUNCTION("""COMPUTED_VALUE"""),"Yes")</f>
        <v>Yes</v>
      </c>
      <c r="K283" s="5" t="str">
        <f>IFERROR(__xludf.DUMMYFUNCTION("""COMPUTED_VALUE"""),"Yes")</f>
        <v>Yes</v>
      </c>
      <c r="L283" s="5" t="str">
        <f>IFERROR(__xludf.DUMMYFUNCTION("""COMPUTED_VALUE"""),"Yes")</f>
        <v>Yes</v>
      </c>
      <c r="M283" s="5" t="str">
        <f>IFERROR(__xludf.DUMMYFUNCTION("""COMPUTED_VALUE"""),"Yes")</f>
        <v>Yes</v>
      </c>
      <c r="N283" s="5" t="str">
        <f>IFERROR(__xludf.DUMMYFUNCTION("""COMPUTED_VALUE"""),"Yes")</f>
        <v>Yes</v>
      </c>
      <c r="O283" s="5" t="str">
        <f>IFERROR(__xludf.DUMMYFUNCTION("""COMPUTED_VALUE"""),"Yes")</f>
        <v>Yes</v>
      </c>
      <c r="P283" s="5" t="str">
        <f>IFERROR(__xludf.DUMMYFUNCTION("""COMPUTED_VALUE"""),"Yes")</f>
        <v>Yes</v>
      </c>
      <c r="Q283" s="5" t="str">
        <f>IFERROR(__xludf.DUMMYFUNCTION("""COMPUTED_VALUE"""),"Yes")</f>
        <v>Yes</v>
      </c>
      <c r="R283" s="5" t="str">
        <f>IFERROR(__xludf.DUMMYFUNCTION("""COMPUTED_VALUE"""),"Yes")</f>
        <v>Yes</v>
      </c>
      <c r="S283" s="5" t="str">
        <f>IFERROR(__xludf.DUMMYFUNCTION("""COMPUTED_VALUE"""),"Yes")</f>
        <v>Yes</v>
      </c>
      <c r="T283" s="5" t="str">
        <f>IFERROR(__xludf.DUMMYFUNCTION("""COMPUTED_VALUE"""),"Yes")</f>
        <v>Yes</v>
      </c>
      <c r="U283" s="5" t="str">
        <f>IFERROR(__xludf.DUMMYFUNCTION("""COMPUTED_VALUE"""),"Yes")</f>
        <v>Yes</v>
      </c>
      <c r="V283" s="5" t="str">
        <f>IFERROR(__xludf.DUMMYFUNCTION("""COMPUTED_VALUE"""),"Yes")</f>
        <v>Yes</v>
      </c>
      <c r="W283" s="5" t="str">
        <f>IFERROR(__xludf.DUMMYFUNCTION("""COMPUTED_VALUE"""),"Yes")</f>
        <v>Yes</v>
      </c>
      <c r="X283" s="5" t="str">
        <f>IFERROR(__xludf.DUMMYFUNCTION("""COMPUTED_VALUE"""),"Yes")</f>
        <v>Yes</v>
      </c>
      <c r="Y283" s="5" t="str">
        <f>IFERROR(__xludf.DUMMYFUNCTION("""COMPUTED_VALUE"""),"Yes")</f>
        <v>Yes</v>
      </c>
      <c r="Z283" s="5" t="str">
        <f>IFERROR(__xludf.DUMMYFUNCTION("""COMPUTED_VALUE"""),"Yes")</f>
        <v>Yes</v>
      </c>
      <c r="AA283" s="5" t="str">
        <f>IFERROR(__xludf.DUMMYFUNCTION("""COMPUTED_VALUE"""),"Yes")</f>
        <v>Yes</v>
      </c>
      <c r="AB283" s="5" t="str">
        <f>IFERROR(__xludf.DUMMYFUNCTION("""COMPUTED_VALUE"""),"Yes")</f>
        <v>Yes</v>
      </c>
      <c r="AC283" s="5" t="str">
        <f>IFERROR(__xludf.DUMMYFUNCTION("""COMPUTED_VALUE"""),"Yes")</f>
        <v>Yes</v>
      </c>
      <c r="AD283" s="5" t="str">
        <f>IFERROR(__xludf.DUMMYFUNCTION("""COMPUTED_VALUE"""),"Yes")</f>
        <v>Yes</v>
      </c>
      <c r="AE283" s="5" t="str">
        <f>IFERROR(__xludf.DUMMYFUNCTION("""COMPUTED_VALUE"""),"Yes")</f>
        <v>Yes</v>
      </c>
      <c r="AF283" s="5" t="str">
        <f>IFERROR(__xludf.DUMMYFUNCTION("""COMPUTED_VALUE"""),"Yes")</f>
        <v>Yes</v>
      </c>
      <c r="AG283" s="5" t="str">
        <f>IFERROR(__xludf.DUMMYFUNCTION("""COMPUTED_VALUE"""),"Yes")</f>
        <v>Yes</v>
      </c>
      <c r="AH283" s="5" t="str">
        <f>IFERROR(__xludf.DUMMYFUNCTION("""COMPUTED_VALUE"""),"Yes")</f>
        <v>Yes</v>
      </c>
      <c r="AI283" s="5" t="str">
        <f>IFERROR(__xludf.DUMMYFUNCTION("""COMPUTED_VALUE"""),"No")</f>
        <v>No</v>
      </c>
      <c r="AJ283" s="5" t="str">
        <f>IFERROR(__xludf.DUMMYFUNCTION("""COMPUTED_VALUE"""),"No")</f>
        <v>No</v>
      </c>
      <c r="AK283" s="5" t="str">
        <f>IFERROR(__xludf.DUMMYFUNCTION("""COMPUTED_VALUE"""),"No")</f>
        <v>No</v>
      </c>
      <c r="AL283" s="5" t="str">
        <f>IFERROR(__xludf.DUMMYFUNCTION("""COMPUTED_VALUE"""),"No")</f>
        <v>No</v>
      </c>
      <c r="AM283" s="5"/>
      <c r="AN283" s="5"/>
      <c r="AO283" s="5"/>
      <c r="AP283" s="5"/>
      <c r="AQ283" s="5"/>
      <c r="AR283" s="5"/>
      <c r="AS283" s="5"/>
      <c r="AT283" s="5"/>
      <c r="AU283" s="5"/>
      <c r="AV283" s="5"/>
      <c r="AW283" s="5"/>
      <c r="AX283" s="5"/>
      <c r="AY283" s="5"/>
    </row>
    <row r="284">
      <c r="A2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84" s="5">
        <f>IFERROR(__xludf.DUMMYFUNCTION("""COMPUTED_VALUE"""),284.0)</f>
        <v>284</v>
      </c>
      <c r="C284" s="5">
        <f>IFERROR(__xludf.DUMMYFUNCTION("""COMPUTED_VALUE"""),283.0)</f>
        <v>283</v>
      </c>
      <c r="D284" s="5" t="str">
        <f>IFERROR(__xludf.DUMMYFUNCTION("""COMPUTED_VALUE"""),"GoldenVegas")</f>
        <v>GoldenVegas</v>
      </c>
      <c r="E284" s="5" t="str">
        <f>IFERROR(__xludf.DUMMYFUNCTION("""COMPUTED_VALUE"""),"Yes")</f>
        <v>Yes</v>
      </c>
      <c r="F284" s="5" t="str">
        <f>IFERROR(__xludf.DUMMYFUNCTION("""COMPUTED_VALUE"""),"Yes")</f>
        <v>Yes</v>
      </c>
      <c r="G284" s="5" t="str">
        <f>IFERROR(__xludf.DUMMYFUNCTION("""COMPUTED_VALUE"""),"Yes")</f>
        <v>Yes</v>
      </c>
      <c r="H284" s="5" t="str">
        <f>IFERROR(__xludf.DUMMYFUNCTION("""COMPUTED_VALUE"""),"Yes")</f>
        <v>Yes</v>
      </c>
      <c r="I284" s="5" t="str">
        <f>IFERROR(__xludf.DUMMYFUNCTION("""COMPUTED_VALUE"""),"Yes")</f>
        <v>Yes</v>
      </c>
      <c r="J284" s="5" t="str">
        <f>IFERROR(__xludf.DUMMYFUNCTION("""COMPUTED_VALUE"""),"Yes")</f>
        <v>Yes</v>
      </c>
      <c r="K284" s="5" t="str">
        <f>IFERROR(__xludf.DUMMYFUNCTION("""COMPUTED_VALUE"""),"Yes")</f>
        <v>Yes</v>
      </c>
      <c r="L284" s="5" t="str">
        <f>IFERROR(__xludf.DUMMYFUNCTION("""COMPUTED_VALUE"""),"Yes")</f>
        <v>Yes</v>
      </c>
      <c r="M284" s="5" t="str">
        <f>IFERROR(__xludf.DUMMYFUNCTION("""COMPUTED_VALUE"""),"Yes")</f>
        <v>Yes</v>
      </c>
      <c r="N284" s="5" t="str">
        <f>IFERROR(__xludf.DUMMYFUNCTION("""COMPUTED_VALUE"""),"Yes")</f>
        <v>Yes</v>
      </c>
      <c r="O284" s="5" t="str">
        <f>IFERROR(__xludf.DUMMYFUNCTION("""COMPUTED_VALUE"""),"Yes")</f>
        <v>Yes</v>
      </c>
      <c r="P284" s="5" t="str">
        <f>IFERROR(__xludf.DUMMYFUNCTION("""COMPUTED_VALUE"""),"Yes")</f>
        <v>Yes</v>
      </c>
      <c r="Q284" s="5" t="str">
        <f>IFERROR(__xludf.DUMMYFUNCTION("""COMPUTED_VALUE"""),"Yes")</f>
        <v>Yes</v>
      </c>
      <c r="R284" s="5" t="str">
        <f>IFERROR(__xludf.DUMMYFUNCTION("""COMPUTED_VALUE"""),"Yes")</f>
        <v>Yes</v>
      </c>
      <c r="S284" s="5" t="str">
        <f>IFERROR(__xludf.DUMMYFUNCTION("""COMPUTED_VALUE"""),"Yes")</f>
        <v>Yes</v>
      </c>
      <c r="T284" s="5" t="str">
        <f>IFERROR(__xludf.DUMMYFUNCTION("""COMPUTED_VALUE"""),"Yes")</f>
        <v>Yes</v>
      </c>
      <c r="U284" s="5" t="str">
        <f>IFERROR(__xludf.DUMMYFUNCTION("""COMPUTED_VALUE"""),"Yes")</f>
        <v>Yes</v>
      </c>
      <c r="V284" s="5" t="str">
        <f>IFERROR(__xludf.DUMMYFUNCTION("""COMPUTED_VALUE"""),"Yes")</f>
        <v>Yes</v>
      </c>
      <c r="W284" s="5" t="str">
        <f>IFERROR(__xludf.DUMMYFUNCTION("""COMPUTED_VALUE"""),"Yes")</f>
        <v>Yes</v>
      </c>
      <c r="X284" s="5" t="str">
        <f>IFERROR(__xludf.DUMMYFUNCTION("""COMPUTED_VALUE"""),"Yes")</f>
        <v>Yes</v>
      </c>
      <c r="Y284" s="5" t="str">
        <f>IFERROR(__xludf.DUMMYFUNCTION("""COMPUTED_VALUE"""),"Yes")</f>
        <v>Yes</v>
      </c>
      <c r="Z284" s="5" t="str">
        <f>IFERROR(__xludf.DUMMYFUNCTION("""COMPUTED_VALUE"""),"No")</f>
        <v>No</v>
      </c>
      <c r="AA284" s="5" t="str">
        <f>IFERROR(__xludf.DUMMYFUNCTION("""COMPUTED_VALUE"""),"Yes")</f>
        <v>Yes</v>
      </c>
      <c r="AB284" s="5" t="str">
        <f>IFERROR(__xludf.DUMMYFUNCTION("""COMPUTED_VALUE"""),"Yes")</f>
        <v>Yes</v>
      </c>
      <c r="AC284" s="5" t="str">
        <f>IFERROR(__xludf.DUMMYFUNCTION("""COMPUTED_VALUE"""),"Yes")</f>
        <v>Yes</v>
      </c>
      <c r="AD284" s="5" t="str">
        <f>IFERROR(__xludf.DUMMYFUNCTION("""COMPUTED_VALUE"""),"Yes")</f>
        <v>Yes</v>
      </c>
      <c r="AE284" s="5" t="str">
        <f>IFERROR(__xludf.DUMMYFUNCTION("""COMPUTED_VALUE"""),"No")</f>
        <v>No</v>
      </c>
      <c r="AF284" s="5" t="str">
        <f>IFERROR(__xludf.DUMMYFUNCTION("""COMPUTED_VALUE"""),"Yes")</f>
        <v>Yes</v>
      </c>
      <c r="AG284" s="5" t="str">
        <f>IFERROR(__xludf.DUMMYFUNCTION("""COMPUTED_VALUE"""),"No")</f>
        <v>No</v>
      </c>
      <c r="AH284" s="5" t="str">
        <f>IFERROR(__xludf.DUMMYFUNCTION("""COMPUTED_VALUE"""),"No")</f>
        <v>No</v>
      </c>
      <c r="AI284" s="5" t="str">
        <f>IFERROR(__xludf.DUMMYFUNCTION("""COMPUTED_VALUE"""),"No")</f>
        <v>No</v>
      </c>
      <c r="AJ284" s="5" t="str">
        <f>IFERROR(__xludf.DUMMYFUNCTION("""COMPUTED_VALUE"""),"No")</f>
        <v>No</v>
      </c>
      <c r="AK284" s="5" t="str">
        <f>IFERROR(__xludf.DUMMYFUNCTION("""COMPUTED_VALUE"""),"No")</f>
        <v>No</v>
      </c>
      <c r="AL284" s="5" t="str">
        <f>IFERROR(__xludf.DUMMYFUNCTION("""COMPUTED_VALUE"""),"No")</f>
        <v>No</v>
      </c>
      <c r="AM284" s="5"/>
      <c r="AN284" s="5"/>
      <c r="AO284" s="5"/>
      <c r="AP284" s="5"/>
      <c r="AQ284" s="5"/>
      <c r="AR284" s="5"/>
      <c r="AS284" s="5"/>
      <c r="AT284" s="5"/>
      <c r="AU284" s="5"/>
      <c r="AV284" s="5"/>
      <c r="AW284" s="5"/>
      <c r="AX284" s="5"/>
      <c r="AY284" s="5"/>
    </row>
    <row r="285">
      <c r="A2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5" s="5">
        <f>IFERROR(__xludf.DUMMYFUNCTION("""COMPUTED_VALUE"""),285.0)</f>
        <v>285</v>
      </c>
      <c r="C285" s="5">
        <f>IFERROR(__xludf.DUMMYFUNCTION("""COMPUTED_VALUE"""),284.0)</f>
        <v>284</v>
      </c>
      <c r="D285" s="5" t="str">
        <f>IFERROR(__xludf.DUMMYFUNCTION("""COMPUTED_VALUE"""),"ChilliRespin")</f>
        <v>ChilliRespin</v>
      </c>
      <c r="E285" s="5" t="str">
        <f>IFERROR(__xludf.DUMMYFUNCTION("""COMPUTED_VALUE"""),"Yes")</f>
        <v>Yes</v>
      </c>
      <c r="F285" s="5" t="str">
        <f>IFERROR(__xludf.DUMMYFUNCTION("""COMPUTED_VALUE"""),"Yes")</f>
        <v>Yes</v>
      </c>
      <c r="G285" s="5" t="str">
        <f>IFERROR(__xludf.DUMMYFUNCTION("""COMPUTED_VALUE"""),"Yes")</f>
        <v>Yes</v>
      </c>
      <c r="H285" s="5" t="str">
        <f>IFERROR(__xludf.DUMMYFUNCTION("""COMPUTED_VALUE"""),"Yes")</f>
        <v>Yes</v>
      </c>
      <c r="I285" s="5" t="str">
        <f>IFERROR(__xludf.DUMMYFUNCTION("""COMPUTED_VALUE"""),"Yes")</f>
        <v>Yes</v>
      </c>
      <c r="J285" s="5" t="str">
        <f>IFERROR(__xludf.DUMMYFUNCTION("""COMPUTED_VALUE"""),"Yes")</f>
        <v>Yes</v>
      </c>
      <c r="K285" s="5" t="str">
        <f>IFERROR(__xludf.DUMMYFUNCTION("""COMPUTED_VALUE"""),"Yes")</f>
        <v>Yes</v>
      </c>
      <c r="L285" s="5" t="str">
        <f>IFERROR(__xludf.DUMMYFUNCTION("""COMPUTED_VALUE"""),"Yes")</f>
        <v>Yes</v>
      </c>
      <c r="M285" s="5" t="str">
        <f>IFERROR(__xludf.DUMMYFUNCTION("""COMPUTED_VALUE"""),"Yes")</f>
        <v>Yes</v>
      </c>
      <c r="N285" s="5" t="str">
        <f>IFERROR(__xludf.DUMMYFUNCTION("""COMPUTED_VALUE"""),"Yes")</f>
        <v>Yes</v>
      </c>
      <c r="O285" s="5" t="str">
        <f>IFERROR(__xludf.DUMMYFUNCTION("""COMPUTED_VALUE"""),"Yes")</f>
        <v>Yes</v>
      </c>
      <c r="P285" s="5" t="str">
        <f>IFERROR(__xludf.DUMMYFUNCTION("""COMPUTED_VALUE"""),"Yes")</f>
        <v>Yes</v>
      </c>
      <c r="Q285" s="5" t="str">
        <f>IFERROR(__xludf.DUMMYFUNCTION("""COMPUTED_VALUE"""),"Yes")</f>
        <v>Yes</v>
      </c>
      <c r="R285" s="5" t="str">
        <f>IFERROR(__xludf.DUMMYFUNCTION("""COMPUTED_VALUE"""),"Yes")</f>
        <v>Yes</v>
      </c>
      <c r="S285" s="5" t="str">
        <f>IFERROR(__xludf.DUMMYFUNCTION("""COMPUTED_VALUE"""),"Yes")</f>
        <v>Yes</v>
      </c>
      <c r="T285" s="5" t="str">
        <f>IFERROR(__xludf.DUMMYFUNCTION("""COMPUTED_VALUE"""),"Yes")</f>
        <v>Yes</v>
      </c>
      <c r="U285" s="5" t="str">
        <f>IFERROR(__xludf.DUMMYFUNCTION("""COMPUTED_VALUE"""),"Yes")</f>
        <v>Yes</v>
      </c>
      <c r="V285" s="5" t="str">
        <f>IFERROR(__xludf.DUMMYFUNCTION("""COMPUTED_VALUE"""),"Yes")</f>
        <v>Yes</v>
      </c>
      <c r="W285" s="5" t="str">
        <f>IFERROR(__xludf.DUMMYFUNCTION("""COMPUTED_VALUE"""),"Yes")</f>
        <v>Yes</v>
      </c>
      <c r="X285" s="5" t="str">
        <f>IFERROR(__xludf.DUMMYFUNCTION("""COMPUTED_VALUE"""),"Yes")</f>
        <v>Yes</v>
      </c>
      <c r="Y285" s="5" t="str">
        <f>IFERROR(__xludf.DUMMYFUNCTION("""COMPUTED_VALUE"""),"Yes")</f>
        <v>Yes</v>
      </c>
      <c r="Z285" s="5" t="str">
        <f>IFERROR(__xludf.DUMMYFUNCTION("""COMPUTED_VALUE"""),"Yes")</f>
        <v>Yes</v>
      </c>
      <c r="AA285" s="5" t="str">
        <f>IFERROR(__xludf.DUMMYFUNCTION("""COMPUTED_VALUE"""),"Yes")</f>
        <v>Yes</v>
      </c>
      <c r="AB285" s="5" t="str">
        <f>IFERROR(__xludf.DUMMYFUNCTION("""COMPUTED_VALUE"""),"Yes")</f>
        <v>Yes</v>
      </c>
      <c r="AC285" s="5" t="str">
        <f>IFERROR(__xludf.DUMMYFUNCTION("""COMPUTED_VALUE"""),"Yes")</f>
        <v>Yes</v>
      </c>
      <c r="AD285" s="5" t="str">
        <f>IFERROR(__xludf.DUMMYFUNCTION("""COMPUTED_VALUE"""),"Yes")</f>
        <v>Yes</v>
      </c>
      <c r="AE285" s="5" t="str">
        <f>IFERROR(__xludf.DUMMYFUNCTION("""COMPUTED_VALUE"""),"Yes")</f>
        <v>Yes</v>
      </c>
      <c r="AF285" s="5" t="str">
        <f>IFERROR(__xludf.DUMMYFUNCTION("""COMPUTED_VALUE"""),"Yes")</f>
        <v>Yes</v>
      </c>
      <c r="AG285" s="5" t="str">
        <f>IFERROR(__xludf.DUMMYFUNCTION("""COMPUTED_VALUE"""),"Yes")</f>
        <v>Yes</v>
      </c>
      <c r="AH285" s="5" t="str">
        <f>IFERROR(__xludf.DUMMYFUNCTION("""COMPUTED_VALUE"""),"Yes")</f>
        <v>Yes</v>
      </c>
      <c r="AI285" s="5" t="str">
        <f>IFERROR(__xludf.DUMMYFUNCTION("""COMPUTED_VALUE"""),"No")</f>
        <v>No</v>
      </c>
      <c r="AJ285" s="5" t="str">
        <f>IFERROR(__xludf.DUMMYFUNCTION("""COMPUTED_VALUE"""),"No")</f>
        <v>No</v>
      </c>
      <c r="AK285" s="5" t="str">
        <f>IFERROR(__xludf.DUMMYFUNCTION("""COMPUTED_VALUE"""),"No")</f>
        <v>No</v>
      </c>
      <c r="AL285" s="5" t="str">
        <f>IFERROR(__xludf.DUMMYFUNCTION("""COMPUTED_VALUE"""),"No")</f>
        <v>No</v>
      </c>
      <c r="AM285" s="5"/>
      <c r="AN285" s="5"/>
      <c r="AO285" s="5"/>
      <c r="AP285" s="5"/>
      <c r="AQ285" s="5"/>
      <c r="AR285" s="5"/>
      <c r="AS285" s="5"/>
      <c r="AT285" s="5"/>
      <c r="AU285" s="5"/>
      <c r="AV285" s="5"/>
      <c r="AW285" s="5"/>
      <c r="AX285" s="5"/>
      <c r="AY285" s="5"/>
    </row>
    <row r="286">
      <c r="A2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86" s="5">
        <f>IFERROR(__xludf.DUMMYFUNCTION("""COMPUTED_VALUE"""),286.0)</f>
        <v>286</v>
      </c>
      <c r="C286" s="5">
        <f>IFERROR(__xludf.DUMMYFUNCTION("""COMPUTED_VALUE"""),285.0)</f>
        <v>285</v>
      </c>
      <c r="D286" s="5" t="str">
        <f>IFERROR(__xludf.DUMMYFUNCTION("""COMPUTED_VALUE"""),"RedstoneChilliHot5")</f>
        <v>RedstoneChilliHot5</v>
      </c>
      <c r="E286" s="5" t="str">
        <f>IFERROR(__xludf.DUMMYFUNCTION("""COMPUTED_VALUE"""),"Yes")</f>
        <v>Yes</v>
      </c>
      <c r="F286" s="5" t="str">
        <f>IFERROR(__xludf.DUMMYFUNCTION("""COMPUTED_VALUE"""),"Yes")</f>
        <v>Yes</v>
      </c>
      <c r="G286" s="5" t="str">
        <f>IFERROR(__xludf.DUMMYFUNCTION("""COMPUTED_VALUE"""),"Yes")</f>
        <v>Yes</v>
      </c>
      <c r="H286" s="5" t="str">
        <f>IFERROR(__xludf.DUMMYFUNCTION("""COMPUTED_VALUE"""),"Yes")</f>
        <v>Yes</v>
      </c>
      <c r="I286" s="5" t="str">
        <f>IFERROR(__xludf.DUMMYFUNCTION("""COMPUTED_VALUE"""),"Yes")</f>
        <v>Yes</v>
      </c>
      <c r="J286" s="5" t="str">
        <f>IFERROR(__xludf.DUMMYFUNCTION("""COMPUTED_VALUE"""),"Yes")</f>
        <v>Yes</v>
      </c>
      <c r="K286" s="5" t="str">
        <f>IFERROR(__xludf.DUMMYFUNCTION("""COMPUTED_VALUE"""),"Yes")</f>
        <v>Yes</v>
      </c>
      <c r="L286" s="5" t="str">
        <f>IFERROR(__xludf.DUMMYFUNCTION("""COMPUTED_VALUE"""),"Yes")</f>
        <v>Yes</v>
      </c>
      <c r="M286" s="5" t="str">
        <f>IFERROR(__xludf.DUMMYFUNCTION("""COMPUTED_VALUE"""),"Yes")</f>
        <v>Yes</v>
      </c>
      <c r="N286" s="5" t="str">
        <f>IFERROR(__xludf.DUMMYFUNCTION("""COMPUTED_VALUE"""),"Yes")</f>
        <v>Yes</v>
      </c>
      <c r="O286" s="5" t="str">
        <f>IFERROR(__xludf.DUMMYFUNCTION("""COMPUTED_VALUE"""),"Yes")</f>
        <v>Yes</v>
      </c>
      <c r="P286" s="5" t="str">
        <f>IFERROR(__xludf.DUMMYFUNCTION("""COMPUTED_VALUE"""),"Yes")</f>
        <v>Yes</v>
      </c>
      <c r="Q286" s="5" t="str">
        <f>IFERROR(__xludf.DUMMYFUNCTION("""COMPUTED_VALUE"""),"Yes")</f>
        <v>Yes</v>
      </c>
      <c r="R286" s="5" t="str">
        <f>IFERROR(__xludf.DUMMYFUNCTION("""COMPUTED_VALUE"""),"Yes")</f>
        <v>Yes</v>
      </c>
      <c r="S286" s="5" t="str">
        <f>IFERROR(__xludf.DUMMYFUNCTION("""COMPUTED_VALUE"""),"Yes")</f>
        <v>Yes</v>
      </c>
      <c r="T286" s="5" t="str">
        <f>IFERROR(__xludf.DUMMYFUNCTION("""COMPUTED_VALUE"""),"Yes")</f>
        <v>Yes</v>
      </c>
      <c r="U286" s="5" t="str">
        <f>IFERROR(__xludf.DUMMYFUNCTION("""COMPUTED_VALUE"""),"Yes")</f>
        <v>Yes</v>
      </c>
      <c r="V286" s="5" t="str">
        <f>IFERROR(__xludf.DUMMYFUNCTION("""COMPUTED_VALUE"""),"Yes")</f>
        <v>Yes</v>
      </c>
      <c r="W286" s="5" t="str">
        <f>IFERROR(__xludf.DUMMYFUNCTION("""COMPUTED_VALUE"""),"Yes")</f>
        <v>Yes</v>
      </c>
      <c r="X286" s="5"/>
      <c r="Y286" s="5" t="str">
        <f>IFERROR(__xludf.DUMMYFUNCTION("""COMPUTED_VALUE"""),"Yes")</f>
        <v>Yes</v>
      </c>
      <c r="Z286" s="5"/>
      <c r="AA286" s="5"/>
      <c r="AB286" s="5"/>
      <c r="AC286" s="5" t="str">
        <f>IFERROR(__xludf.DUMMYFUNCTION("""COMPUTED_VALUE"""),"Yes")</f>
        <v>Yes</v>
      </c>
      <c r="AD286" s="5"/>
      <c r="AE286" s="5"/>
      <c r="AF286" s="5"/>
      <c r="AG286" s="5"/>
      <c r="AH286" s="5"/>
      <c r="AI286" s="5"/>
      <c r="AJ286" s="5"/>
      <c r="AK286" s="5"/>
      <c r="AL286" s="5"/>
      <c r="AM286" s="5"/>
      <c r="AN286" s="5"/>
      <c r="AO286" s="5"/>
      <c r="AP286" s="5"/>
      <c r="AQ286" s="5"/>
      <c r="AR286" s="5"/>
      <c r="AS286" s="5"/>
      <c r="AT286" s="5"/>
      <c r="AU286" s="5"/>
      <c r="AV286" s="5"/>
      <c r="AW286" s="5"/>
      <c r="AX286" s="5"/>
      <c r="AY286" s="5"/>
    </row>
    <row r="287">
      <c r="A28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7" s="5">
        <f>IFERROR(__xludf.DUMMYFUNCTION("""COMPUTED_VALUE"""),287.0)</f>
        <v>287</v>
      </c>
      <c r="C287" s="5">
        <f>IFERROR(__xludf.DUMMYFUNCTION("""COMPUTED_VALUE"""),286.0)</f>
        <v>286</v>
      </c>
      <c r="D287" s="5" t="str">
        <f>IFERROR(__xludf.DUMMYFUNCTION("""COMPUTED_VALUE"""),"Redstone40HotJoker")</f>
        <v>Redstone40HotJoker</v>
      </c>
      <c r="E287" s="5" t="str">
        <f>IFERROR(__xludf.DUMMYFUNCTION("""COMPUTED_VALUE"""),"Yes")</f>
        <v>Yes</v>
      </c>
      <c r="F287" s="5" t="str">
        <f>IFERROR(__xludf.DUMMYFUNCTION("""COMPUTED_VALUE"""),"Yes")</f>
        <v>Yes</v>
      </c>
      <c r="G287" s="5" t="str">
        <f>IFERROR(__xludf.DUMMYFUNCTION("""COMPUTED_VALUE"""),"No")</f>
        <v>No</v>
      </c>
      <c r="H287" s="5" t="str">
        <f>IFERROR(__xludf.DUMMYFUNCTION("""COMPUTED_VALUE"""),"Yes")</f>
        <v>Yes</v>
      </c>
      <c r="I287" s="5" t="str">
        <f>IFERROR(__xludf.DUMMYFUNCTION("""COMPUTED_VALUE"""),"Yes")</f>
        <v>Yes</v>
      </c>
      <c r="J287" s="5" t="str">
        <f>IFERROR(__xludf.DUMMYFUNCTION("""COMPUTED_VALUE"""),"Yes")</f>
        <v>Yes</v>
      </c>
      <c r="K287" s="5" t="str">
        <f>IFERROR(__xludf.DUMMYFUNCTION("""COMPUTED_VALUE"""),"Yes")</f>
        <v>Yes</v>
      </c>
      <c r="L287" s="5" t="str">
        <f>IFERROR(__xludf.DUMMYFUNCTION("""COMPUTED_VALUE"""),"Yes")</f>
        <v>Yes</v>
      </c>
      <c r="M287" s="5" t="str">
        <f>IFERROR(__xludf.DUMMYFUNCTION("""COMPUTED_VALUE"""),"Yes")</f>
        <v>Yes</v>
      </c>
      <c r="N287" s="5" t="str">
        <f>IFERROR(__xludf.DUMMYFUNCTION("""COMPUTED_VALUE"""),"Yes")</f>
        <v>Yes</v>
      </c>
      <c r="O287" s="5" t="str">
        <f>IFERROR(__xludf.DUMMYFUNCTION("""COMPUTED_VALUE"""),"Yes")</f>
        <v>Yes</v>
      </c>
      <c r="P287" s="5" t="str">
        <f>IFERROR(__xludf.DUMMYFUNCTION("""COMPUTED_VALUE"""),"Yes")</f>
        <v>Yes</v>
      </c>
      <c r="Q287" s="5" t="str">
        <f>IFERROR(__xludf.DUMMYFUNCTION("""COMPUTED_VALUE"""),"Yes")</f>
        <v>Yes</v>
      </c>
      <c r="R287" s="5" t="str">
        <f>IFERROR(__xludf.DUMMYFUNCTION("""COMPUTED_VALUE"""),"Yes")</f>
        <v>Yes</v>
      </c>
      <c r="S287" s="5" t="str">
        <f>IFERROR(__xludf.DUMMYFUNCTION("""COMPUTED_VALUE"""),"Yes")</f>
        <v>Yes</v>
      </c>
      <c r="T287" s="5" t="str">
        <f>IFERROR(__xludf.DUMMYFUNCTION("""COMPUTED_VALUE"""),"No")</f>
        <v>No</v>
      </c>
      <c r="U287" s="5" t="str">
        <f>IFERROR(__xludf.DUMMYFUNCTION("""COMPUTED_VALUE"""),"No")</f>
        <v>No</v>
      </c>
      <c r="V287" s="5" t="str">
        <f>IFERROR(__xludf.DUMMYFUNCTION("""COMPUTED_VALUE"""),"No")</f>
        <v>No</v>
      </c>
      <c r="W287" s="5" t="str">
        <f>IFERROR(__xludf.DUMMYFUNCTION("""COMPUTED_VALUE"""),"No")</f>
        <v>No</v>
      </c>
      <c r="X287" s="5" t="str">
        <f>IFERROR(__xludf.DUMMYFUNCTION("""COMPUTED_VALUE"""),"No")</f>
        <v>No</v>
      </c>
      <c r="Y287" s="5" t="str">
        <f>IFERROR(__xludf.DUMMYFUNCTION("""COMPUTED_VALUE"""),"No")</f>
        <v>No</v>
      </c>
      <c r="Z287" s="5" t="str">
        <f>IFERROR(__xludf.DUMMYFUNCTION("""COMPUTED_VALUE"""),"No")</f>
        <v>No</v>
      </c>
      <c r="AA287" s="5" t="str">
        <f>IFERROR(__xludf.DUMMYFUNCTION("""COMPUTED_VALUE"""),"No")</f>
        <v>No</v>
      </c>
      <c r="AB287" s="5" t="str">
        <f>IFERROR(__xludf.DUMMYFUNCTION("""COMPUTED_VALUE"""),"No")</f>
        <v>No</v>
      </c>
      <c r="AC287" s="5" t="str">
        <f>IFERROR(__xludf.DUMMYFUNCTION("""COMPUTED_VALUE"""),"No")</f>
        <v>No</v>
      </c>
      <c r="AD287" s="5" t="str">
        <f>IFERROR(__xludf.DUMMYFUNCTION("""COMPUTED_VALUE"""),"No")</f>
        <v>No</v>
      </c>
      <c r="AE287" s="5" t="str">
        <f>IFERROR(__xludf.DUMMYFUNCTION("""COMPUTED_VALUE"""),"No")</f>
        <v>No</v>
      </c>
      <c r="AF287" s="5" t="str">
        <f>IFERROR(__xludf.DUMMYFUNCTION("""COMPUTED_VALUE"""),"Yes")</f>
        <v>Yes</v>
      </c>
      <c r="AG287" s="5" t="str">
        <f>IFERROR(__xludf.DUMMYFUNCTION("""COMPUTED_VALUE"""),"No")</f>
        <v>No</v>
      </c>
      <c r="AH287" s="5" t="str">
        <f>IFERROR(__xludf.DUMMYFUNCTION("""COMPUTED_VALUE"""),"Yes")</f>
        <v>Yes</v>
      </c>
      <c r="AI287" s="5" t="str">
        <f>IFERROR(__xludf.DUMMYFUNCTION("""COMPUTED_VALUE"""),"No")</f>
        <v>No</v>
      </c>
      <c r="AJ287" s="5" t="str">
        <f>IFERROR(__xludf.DUMMYFUNCTION("""COMPUTED_VALUE"""),"No")</f>
        <v>No</v>
      </c>
      <c r="AK287" s="5" t="str">
        <f>IFERROR(__xludf.DUMMYFUNCTION("""COMPUTED_VALUE"""),"No")</f>
        <v>No</v>
      </c>
      <c r="AL287" s="5" t="str">
        <f>IFERROR(__xludf.DUMMYFUNCTION("""COMPUTED_VALUE"""),"No")</f>
        <v>No</v>
      </c>
      <c r="AM287" s="5"/>
      <c r="AN287" s="5"/>
      <c r="AO287" s="5"/>
      <c r="AP287" s="5"/>
      <c r="AQ287" s="5"/>
      <c r="AR287" s="5"/>
      <c r="AS287" s="5"/>
      <c r="AT287" s="5"/>
      <c r="AU287" s="5"/>
      <c r="AV287" s="5"/>
      <c r="AW287" s="5"/>
      <c r="AX287" s="5"/>
      <c r="AY287" s="5"/>
    </row>
    <row r="288">
      <c r="A28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8" s="5">
        <f>IFERROR(__xludf.DUMMYFUNCTION("""COMPUTED_VALUE"""),288.0)</f>
        <v>288</v>
      </c>
      <c r="C288" s="5">
        <f>IFERROR(__xludf.DUMMYFUNCTION("""COMPUTED_VALUE"""),287.0)</f>
        <v>287</v>
      </c>
      <c r="D288" s="5" t="str">
        <f>IFERROR(__xludf.DUMMYFUNCTION("""COMPUTED_VALUE"""),"RedstoneJollyPresents")</f>
        <v>RedstoneJollyPresents</v>
      </c>
      <c r="E288" s="5" t="str">
        <f>IFERROR(__xludf.DUMMYFUNCTION("""COMPUTED_VALUE"""),"Yes")</f>
        <v>Yes</v>
      </c>
      <c r="F288" s="5" t="str">
        <f>IFERROR(__xludf.DUMMYFUNCTION("""COMPUTED_VALUE"""),"Yes")</f>
        <v>Yes</v>
      </c>
      <c r="G288" s="5" t="str">
        <f>IFERROR(__xludf.DUMMYFUNCTION("""COMPUTED_VALUE"""),"No")</f>
        <v>No</v>
      </c>
      <c r="H288" s="5" t="str">
        <f>IFERROR(__xludf.DUMMYFUNCTION("""COMPUTED_VALUE"""),"Yes")</f>
        <v>Yes</v>
      </c>
      <c r="I288" s="5" t="str">
        <f>IFERROR(__xludf.DUMMYFUNCTION("""COMPUTED_VALUE"""),"Yes")</f>
        <v>Yes</v>
      </c>
      <c r="J288" s="5" t="str">
        <f>IFERROR(__xludf.DUMMYFUNCTION("""COMPUTED_VALUE"""),"Yes")</f>
        <v>Yes</v>
      </c>
      <c r="K288" s="5" t="str">
        <f>IFERROR(__xludf.DUMMYFUNCTION("""COMPUTED_VALUE"""),"Yes")</f>
        <v>Yes</v>
      </c>
      <c r="L288" s="5" t="str">
        <f>IFERROR(__xludf.DUMMYFUNCTION("""COMPUTED_VALUE"""),"Yes")</f>
        <v>Yes</v>
      </c>
      <c r="M288" s="5" t="str">
        <f>IFERROR(__xludf.DUMMYFUNCTION("""COMPUTED_VALUE"""),"Yes")</f>
        <v>Yes</v>
      </c>
      <c r="N288" s="5" t="str">
        <f>IFERROR(__xludf.DUMMYFUNCTION("""COMPUTED_VALUE"""),"Yes")</f>
        <v>Yes</v>
      </c>
      <c r="O288" s="5" t="str">
        <f>IFERROR(__xludf.DUMMYFUNCTION("""COMPUTED_VALUE"""),"Yes")</f>
        <v>Yes</v>
      </c>
      <c r="P288" s="5" t="str">
        <f>IFERROR(__xludf.DUMMYFUNCTION("""COMPUTED_VALUE"""),"Yes")</f>
        <v>Yes</v>
      </c>
      <c r="Q288" s="5" t="str">
        <f>IFERROR(__xludf.DUMMYFUNCTION("""COMPUTED_VALUE"""),"Yes")</f>
        <v>Yes</v>
      </c>
      <c r="R288" s="5" t="str">
        <f>IFERROR(__xludf.DUMMYFUNCTION("""COMPUTED_VALUE"""),"Yes")</f>
        <v>Yes</v>
      </c>
      <c r="S288" s="5" t="str">
        <f>IFERROR(__xludf.DUMMYFUNCTION("""COMPUTED_VALUE"""),"Yes")</f>
        <v>Yes</v>
      </c>
      <c r="T288" s="5" t="str">
        <f>IFERROR(__xludf.DUMMYFUNCTION("""COMPUTED_VALUE"""),"No")</f>
        <v>No</v>
      </c>
      <c r="U288" s="5" t="str">
        <f>IFERROR(__xludf.DUMMYFUNCTION("""COMPUTED_VALUE"""),"No")</f>
        <v>No</v>
      </c>
      <c r="V288" s="5" t="str">
        <f>IFERROR(__xludf.DUMMYFUNCTION("""COMPUTED_VALUE"""),"No")</f>
        <v>No</v>
      </c>
      <c r="W288" s="5" t="str">
        <f>IFERROR(__xludf.DUMMYFUNCTION("""COMPUTED_VALUE"""),"No")</f>
        <v>No</v>
      </c>
      <c r="X288" s="5" t="str">
        <f>IFERROR(__xludf.DUMMYFUNCTION("""COMPUTED_VALUE"""),"No")</f>
        <v>No</v>
      </c>
      <c r="Y288" s="5" t="str">
        <f>IFERROR(__xludf.DUMMYFUNCTION("""COMPUTED_VALUE"""),"No")</f>
        <v>No</v>
      </c>
      <c r="Z288" s="5" t="str">
        <f>IFERROR(__xludf.DUMMYFUNCTION("""COMPUTED_VALUE"""),"No")</f>
        <v>No</v>
      </c>
      <c r="AA288" s="5" t="str">
        <f>IFERROR(__xludf.DUMMYFUNCTION("""COMPUTED_VALUE"""),"No")</f>
        <v>No</v>
      </c>
      <c r="AB288" s="5" t="str">
        <f>IFERROR(__xludf.DUMMYFUNCTION("""COMPUTED_VALUE"""),"No")</f>
        <v>No</v>
      </c>
      <c r="AC288" s="5" t="str">
        <f>IFERROR(__xludf.DUMMYFUNCTION("""COMPUTED_VALUE"""),"No")</f>
        <v>No</v>
      </c>
      <c r="AD288" s="5" t="str">
        <f>IFERROR(__xludf.DUMMYFUNCTION("""COMPUTED_VALUE"""),"No")</f>
        <v>No</v>
      </c>
      <c r="AE288" s="5" t="str">
        <f>IFERROR(__xludf.DUMMYFUNCTION("""COMPUTED_VALUE"""),"No")</f>
        <v>No</v>
      </c>
      <c r="AF288" s="5" t="str">
        <f>IFERROR(__xludf.DUMMYFUNCTION("""COMPUTED_VALUE"""),"Yes")</f>
        <v>Yes</v>
      </c>
      <c r="AG288" s="5" t="str">
        <f>IFERROR(__xludf.DUMMYFUNCTION("""COMPUTED_VALUE"""),"No")</f>
        <v>No</v>
      </c>
      <c r="AH288" s="5" t="str">
        <f>IFERROR(__xludf.DUMMYFUNCTION("""COMPUTED_VALUE"""),"Yes")</f>
        <v>Yes</v>
      </c>
      <c r="AI288" s="5" t="str">
        <f>IFERROR(__xludf.DUMMYFUNCTION("""COMPUTED_VALUE"""),"No")</f>
        <v>No</v>
      </c>
      <c r="AJ288" s="5" t="str">
        <f>IFERROR(__xludf.DUMMYFUNCTION("""COMPUTED_VALUE"""),"No")</f>
        <v>No</v>
      </c>
      <c r="AK288" s="5" t="str">
        <f>IFERROR(__xludf.DUMMYFUNCTION("""COMPUTED_VALUE"""),"No")</f>
        <v>No</v>
      </c>
      <c r="AL288" s="5" t="str">
        <f>IFERROR(__xludf.DUMMYFUNCTION("""COMPUTED_VALUE"""),"No")</f>
        <v>No</v>
      </c>
      <c r="AM288" s="5"/>
      <c r="AN288" s="5"/>
      <c r="AO288" s="5"/>
      <c r="AP288" s="5"/>
      <c r="AQ288" s="5"/>
      <c r="AR288" s="5"/>
      <c r="AS288" s="5"/>
      <c r="AT288" s="5"/>
      <c r="AU288" s="5"/>
      <c r="AV288" s="5"/>
      <c r="AW288" s="5"/>
      <c r="AX288" s="5"/>
      <c r="AY288" s="5"/>
    </row>
    <row r="289">
      <c r="A28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9" s="5">
        <f>IFERROR(__xludf.DUMMYFUNCTION("""COMPUTED_VALUE"""),289.0)</f>
        <v>289</v>
      </c>
      <c r="C289" s="5">
        <f>IFERROR(__xludf.DUMMYFUNCTION("""COMPUTED_VALUE"""),288.0)</f>
        <v>288</v>
      </c>
      <c r="D289" s="5" t="str">
        <f>IFERROR(__xludf.DUMMYFUNCTION("""COMPUTED_VALUE"""),"Redstone20FruitFrenzy")</f>
        <v>Redstone20FruitFrenzy</v>
      </c>
      <c r="E289" s="5" t="str">
        <f>IFERROR(__xludf.DUMMYFUNCTION("""COMPUTED_VALUE"""),"Yes")</f>
        <v>Yes</v>
      </c>
      <c r="F289" s="5" t="str">
        <f>IFERROR(__xludf.DUMMYFUNCTION("""COMPUTED_VALUE"""),"Yes")</f>
        <v>Yes</v>
      </c>
      <c r="G289" s="5" t="str">
        <f>IFERROR(__xludf.DUMMYFUNCTION("""COMPUTED_VALUE"""),"No")</f>
        <v>No</v>
      </c>
      <c r="H289" s="5" t="str">
        <f>IFERROR(__xludf.DUMMYFUNCTION("""COMPUTED_VALUE"""),"Yes")</f>
        <v>Yes</v>
      </c>
      <c r="I289" s="5" t="str">
        <f>IFERROR(__xludf.DUMMYFUNCTION("""COMPUTED_VALUE"""),"Yes")</f>
        <v>Yes</v>
      </c>
      <c r="J289" s="5" t="str">
        <f>IFERROR(__xludf.DUMMYFUNCTION("""COMPUTED_VALUE"""),"Yes")</f>
        <v>Yes</v>
      </c>
      <c r="K289" s="5" t="str">
        <f>IFERROR(__xludf.DUMMYFUNCTION("""COMPUTED_VALUE"""),"Yes")</f>
        <v>Yes</v>
      </c>
      <c r="L289" s="5" t="str">
        <f>IFERROR(__xludf.DUMMYFUNCTION("""COMPUTED_VALUE"""),"Yes")</f>
        <v>Yes</v>
      </c>
      <c r="M289" s="5" t="str">
        <f>IFERROR(__xludf.DUMMYFUNCTION("""COMPUTED_VALUE"""),"Yes")</f>
        <v>Yes</v>
      </c>
      <c r="N289" s="5" t="str">
        <f>IFERROR(__xludf.DUMMYFUNCTION("""COMPUTED_VALUE"""),"Yes")</f>
        <v>Yes</v>
      </c>
      <c r="O289" s="5" t="str">
        <f>IFERROR(__xludf.DUMMYFUNCTION("""COMPUTED_VALUE"""),"Yes")</f>
        <v>Yes</v>
      </c>
      <c r="P289" s="5" t="str">
        <f>IFERROR(__xludf.DUMMYFUNCTION("""COMPUTED_VALUE"""),"Yes")</f>
        <v>Yes</v>
      </c>
      <c r="Q289" s="5" t="str">
        <f>IFERROR(__xludf.DUMMYFUNCTION("""COMPUTED_VALUE"""),"Yes")</f>
        <v>Yes</v>
      </c>
      <c r="R289" s="5" t="str">
        <f>IFERROR(__xludf.DUMMYFUNCTION("""COMPUTED_VALUE"""),"Yes")</f>
        <v>Yes</v>
      </c>
      <c r="S289" s="5" t="str">
        <f>IFERROR(__xludf.DUMMYFUNCTION("""COMPUTED_VALUE"""),"Yes")</f>
        <v>Yes</v>
      </c>
      <c r="T289" s="5" t="str">
        <f>IFERROR(__xludf.DUMMYFUNCTION("""COMPUTED_VALUE"""),"No")</f>
        <v>No</v>
      </c>
      <c r="U289" s="5" t="str">
        <f>IFERROR(__xludf.DUMMYFUNCTION("""COMPUTED_VALUE"""),"No")</f>
        <v>No</v>
      </c>
      <c r="V289" s="5" t="str">
        <f>IFERROR(__xludf.DUMMYFUNCTION("""COMPUTED_VALUE"""),"No")</f>
        <v>No</v>
      </c>
      <c r="W289" s="5" t="str">
        <f>IFERROR(__xludf.DUMMYFUNCTION("""COMPUTED_VALUE"""),"No")</f>
        <v>No</v>
      </c>
      <c r="X289" s="5" t="str">
        <f>IFERROR(__xludf.DUMMYFUNCTION("""COMPUTED_VALUE"""),"No")</f>
        <v>No</v>
      </c>
      <c r="Y289" s="5" t="str">
        <f>IFERROR(__xludf.DUMMYFUNCTION("""COMPUTED_VALUE"""),"No")</f>
        <v>No</v>
      </c>
      <c r="Z289" s="5" t="str">
        <f>IFERROR(__xludf.DUMMYFUNCTION("""COMPUTED_VALUE"""),"No")</f>
        <v>No</v>
      </c>
      <c r="AA289" s="5" t="str">
        <f>IFERROR(__xludf.DUMMYFUNCTION("""COMPUTED_VALUE"""),"No")</f>
        <v>No</v>
      </c>
      <c r="AB289" s="5" t="str">
        <f>IFERROR(__xludf.DUMMYFUNCTION("""COMPUTED_VALUE"""),"No")</f>
        <v>No</v>
      </c>
      <c r="AC289" s="5" t="str">
        <f>IFERROR(__xludf.DUMMYFUNCTION("""COMPUTED_VALUE"""),"No")</f>
        <v>No</v>
      </c>
      <c r="AD289" s="5" t="str">
        <f>IFERROR(__xludf.DUMMYFUNCTION("""COMPUTED_VALUE"""),"No")</f>
        <v>No</v>
      </c>
      <c r="AE289" s="5" t="str">
        <f>IFERROR(__xludf.DUMMYFUNCTION("""COMPUTED_VALUE"""),"No")</f>
        <v>No</v>
      </c>
      <c r="AF289" s="5" t="str">
        <f>IFERROR(__xludf.DUMMYFUNCTION("""COMPUTED_VALUE"""),"Yes")</f>
        <v>Yes</v>
      </c>
      <c r="AG289" s="5" t="str">
        <f>IFERROR(__xludf.DUMMYFUNCTION("""COMPUTED_VALUE"""),"No")</f>
        <v>No</v>
      </c>
      <c r="AH289" s="5" t="str">
        <f>IFERROR(__xludf.DUMMYFUNCTION("""COMPUTED_VALUE"""),"Yes")</f>
        <v>Yes</v>
      </c>
      <c r="AI289" s="5" t="str">
        <f>IFERROR(__xludf.DUMMYFUNCTION("""COMPUTED_VALUE"""),"No")</f>
        <v>No</v>
      </c>
      <c r="AJ289" s="5" t="str">
        <f>IFERROR(__xludf.DUMMYFUNCTION("""COMPUTED_VALUE"""),"No")</f>
        <v>No</v>
      </c>
      <c r="AK289" s="5" t="str">
        <f>IFERROR(__xludf.DUMMYFUNCTION("""COMPUTED_VALUE"""),"No")</f>
        <v>No</v>
      </c>
      <c r="AL289" s="5" t="str">
        <f>IFERROR(__xludf.DUMMYFUNCTION("""COMPUTED_VALUE"""),"No")</f>
        <v>No</v>
      </c>
      <c r="AM289" s="5"/>
      <c r="AN289" s="5"/>
      <c r="AO289" s="5"/>
      <c r="AP289" s="5"/>
      <c r="AQ289" s="5"/>
      <c r="AR289" s="5"/>
      <c r="AS289" s="5"/>
      <c r="AT289" s="5"/>
      <c r="AU289" s="5"/>
      <c r="AV289" s="5"/>
      <c r="AW289" s="5"/>
      <c r="AX289" s="5"/>
      <c r="AY289" s="5"/>
    </row>
    <row r="290">
      <c r="A29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0" s="5">
        <f>IFERROR(__xludf.DUMMYFUNCTION("""COMPUTED_VALUE"""),290.0)</f>
        <v>290</v>
      </c>
      <c r="C290" s="5">
        <f>IFERROR(__xludf.DUMMYFUNCTION("""COMPUTED_VALUE"""),289.0)</f>
        <v>289</v>
      </c>
      <c r="D290" s="5" t="str">
        <f>IFERROR(__xludf.DUMMYFUNCTION("""COMPUTED_VALUE"""),"Redstone40FruitFrenzy")</f>
        <v>Redstone40FruitFrenzy</v>
      </c>
      <c r="E290" s="5" t="str">
        <f>IFERROR(__xludf.DUMMYFUNCTION("""COMPUTED_VALUE"""),"Yes")</f>
        <v>Yes</v>
      </c>
      <c r="F290" s="5" t="str">
        <f>IFERROR(__xludf.DUMMYFUNCTION("""COMPUTED_VALUE"""),"Yes")</f>
        <v>Yes</v>
      </c>
      <c r="G290" s="5" t="str">
        <f>IFERROR(__xludf.DUMMYFUNCTION("""COMPUTED_VALUE"""),"No")</f>
        <v>No</v>
      </c>
      <c r="H290" s="5" t="str">
        <f>IFERROR(__xludf.DUMMYFUNCTION("""COMPUTED_VALUE"""),"Yes")</f>
        <v>Yes</v>
      </c>
      <c r="I290" s="5" t="str">
        <f>IFERROR(__xludf.DUMMYFUNCTION("""COMPUTED_VALUE"""),"Yes")</f>
        <v>Yes</v>
      </c>
      <c r="J290" s="5" t="str">
        <f>IFERROR(__xludf.DUMMYFUNCTION("""COMPUTED_VALUE"""),"Yes")</f>
        <v>Yes</v>
      </c>
      <c r="K290" s="5" t="str">
        <f>IFERROR(__xludf.DUMMYFUNCTION("""COMPUTED_VALUE"""),"Yes")</f>
        <v>Yes</v>
      </c>
      <c r="L290" s="5" t="str">
        <f>IFERROR(__xludf.DUMMYFUNCTION("""COMPUTED_VALUE"""),"Yes")</f>
        <v>Yes</v>
      </c>
      <c r="M290" s="5" t="str">
        <f>IFERROR(__xludf.DUMMYFUNCTION("""COMPUTED_VALUE"""),"Yes")</f>
        <v>Yes</v>
      </c>
      <c r="N290" s="5" t="str">
        <f>IFERROR(__xludf.DUMMYFUNCTION("""COMPUTED_VALUE"""),"Yes")</f>
        <v>Yes</v>
      </c>
      <c r="O290" s="5" t="str">
        <f>IFERROR(__xludf.DUMMYFUNCTION("""COMPUTED_VALUE"""),"Yes")</f>
        <v>Yes</v>
      </c>
      <c r="P290" s="5" t="str">
        <f>IFERROR(__xludf.DUMMYFUNCTION("""COMPUTED_VALUE"""),"Yes")</f>
        <v>Yes</v>
      </c>
      <c r="Q290" s="5" t="str">
        <f>IFERROR(__xludf.DUMMYFUNCTION("""COMPUTED_VALUE"""),"Yes")</f>
        <v>Yes</v>
      </c>
      <c r="R290" s="5" t="str">
        <f>IFERROR(__xludf.DUMMYFUNCTION("""COMPUTED_VALUE"""),"Yes")</f>
        <v>Yes</v>
      </c>
      <c r="S290" s="5" t="str">
        <f>IFERROR(__xludf.DUMMYFUNCTION("""COMPUTED_VALUE"""),"Yes")</f>
        <v>Yes</v>
      </c>
      <c r="T290" s="5" t="str">
        <f>IFERROR(__xludf.DUMMYFUNCTION("""COMPUTED_VALUE"""),"No")</f>
        <v>No</v>
      </c>
      <c r="U290" s="5" t="str">
        <f>IFERROR(__xludf.DUMMYFUNCTION("""COMPUTED_VALUE"""),"No")</f>
        <v>No</v>
      </c>
      <c r="V290" s="5" t="str">
        <f>IFERROR(__xludf.DUMMYFUNCTION("""COMPUTED_VALUE"""),"No")</f>
        <v>No</v>
      </c>
      <c r="W290" s="5" t="str">
        <f>IFERROR(__xludf.DUMMYFUNCTION("""COMPUTED_VALUE"""),"No")</f>
        <v>No</v>
      </c>
      <c r="X290" s="5" t="str">
        <f>IFERROR(__xludf.DUMMYFUNCTION("""COMPUTED_VALUE"""),"No")</f>
        <v>No</v>
      </c>
      <c r="Y290" s="5" t="str">
        <f>IFERROR(__xludf.DUMMYFUNCTION("""COMPUTED_VALUE"""),"No")</f>
        <v>No</v>
      </c>
      <c r="Z290" s="5" t="str">
        <f>IFERROR(__xludf.DUMMYFUNCTION("""COMPUTED_VALUE"""),"No")</f>
        <v>No</v>
      </c>
      <c r="AA290" s="5" t="str">
        <f>IFERROR(__xludf.DUMMYFUNCTION("""COMPUTED_VALUE"""),"No")</f>
        <v>No</v>
      </c>
      <c r="AB290" s="5" t="str">
        <f>IFERROR(__xludf.DUMMYFUNCTION("""COMPUTED_VALUE"""),"No")</f>
        <v>No</v>
      </c>
      <c r="AC290" s="5" t="str">
        <f>IFERROR(__xludf.DUMMYFUNCTION("""COMPUTED_VALUE"""),"No")</f>
        <v>No</v>
      </c>
      <c r="AD290" s="5" t="str">
        <f>IFERROR(__xludf.DUMMYFUNCTION("""COMPUTED_VALUE"""),"No")</f>
        <v>No</v>
      </c>
      <c r="AE290" s="5" t="str">
        <f>IFERROR(__xludf.DUMMYFUNCTION("""COMPUTED_VALUE"""),"No")</f>
        <v>No</v>
      </c>
      <c r="AF290" s="5" t="str">
        <f>IFERROR(__xludf.DUMMYFUNCTION("""COMPUTED_VALUE"""),"Yes")</f>
        <v>Yes</v>
      </c>
      <c r="AG290" s="5" t="str">
        <f>IFERROR(__xludf.DUMMYFUNCTION("""COMPUTED_VALUE"""),"No")</f>
        <v>No</v>
      </c>
      <c r="AH290" s="5" t="str">
        <f>IFERROR(__xludf.DUMMYFUNCTION("""COMPUTED_VALUE"""),"Yes")</f>
        <v>Yes</v>
      </c>
      <c r="AI290" s="5" t="str">
        <f>IFERROR(__xludf.DUMMYFUNCTION("""COMPUTED_VALUE"""),"No")</f>
        <v>No</v>
      </c>
      <c r="AJ290" s="5" t="str">
        <f>IFERROR(__xludf.DUMMYFUNCTION("""COMPUTED_VALUE"""),"No")</f>
        <v>No</v>
      </c>
      <c r="AK290" s="5" t="str">
        <f>IFERROR(__xludf.DUMMYFUNCTION("""COMPUTED_VALUE"""),"No")</f>
        <v>No</v>
      </c>
      <c r="AL290" s="5" t="str">
        <f>IFERROR(__xludf.DUMMYFUNCTION("""COMPUTED_VALUE"""),"No")</f>
        <v>No</v>
      </c>
      <c r="AM290" s="5"/>
      <c r="AN290" s="5"/>
      <c r="AO290" s="5"/>
      <c r="AP290" s="5"/>
      <c r="AQ290" s="5"/>
      <c r="AR290" s="5"/>
      <c r="AS290" s="5"/>
      <c r="AT290" s="5"/>
      <c r="AU290" s="5"/>
      <c r="AV290" s="5"/>
      <c r="AW290" s="5"/>
      <c r="AX290" s="5"/>
      <c r="AY290" s="5"/>
    </row>
    <row r="291">
      <c r="A29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1" s="5">
        <f>IFERROR(__xludf.DUMMYFUNCTION("""COMPUTED_VALUE"""),291.0)</f>
        <v>291</v>
      </c>
      <c r="C291" s="5">
        <f>IFERROR(__xludf.DUMMYFUNCTION("""COMPUTED_VALUE"""),290.0)</f>
        <v>290</v>
      </c>
      <c r="D291" s="5" t="str">
        <f>IFERROR(__xludf.DUMMYFUNCTION("""COMPUTED_VALUE"""),"RedstoneWildHeartBeat")</f>
        <v>RedstoneWildHeartBeat</v>
      </c>
      <c r="E291" s="5" t="str">
        <f>IFERROR(__xludf.DUMMYFUNCTION("""COMPUTED_VALUE"""),"Yes")</f>
        <v>Yes</v>
      </c>
      <c r="F291" s="5" t="str">
        <f>IFERROR(__xludf.DUMMYFUNCTION("""COMPUTED_VALUE"""),"Yes")</f>
        <v>Yes</v>
      </c>
      <c r="G291" s="5" t="str">
        <f>IFERROR(__xludf.DUMMYFUNCTION("""COMPUTED_VALUE"""),"No")</f>
        <v>No</v>
      </c>
      <c r="H291" s="5" t="str">
        <f>IFERROR(__xludf.DUMMYFUNCTION("""COMPUTED_VALUE"""),"Yes")</f>
        <v>Yes</v>
      </c>
      <c r="I291" s="5" t="str">
        <f>IFERROR(__xludf.DUMMYFUNCTION("""COMPUTED_VALUE"""),"Yes")</f>
        <v>Yes</v>
      </c>
      <c r="J291" s="5" t="str">
        <f>IFERROR(__xludf.DUMMYFUNCTION("""COMPUTED_VALUE"""),"Yes")</f>
        <v>Yes</v>
      </c>
      <c r="K291" s="5" t="str">
        <f>IFERROR(__xludf.DUMMYFUNCTION("""COMPUTED_VALUE"""),"Yes")</f>
        <v>Yes</v>
      </c>
      <c r="L291" s="5" t="str">
        <f>IFERROR(__xludf.DUMMYFUNCTION("""COMPUTED_VALUE"""),"Yes")</f>
        <v>Yes</v>
      </c>
      <c r="M291" s="5" t="str">
        <f>IFERROR(__xludf.DUMMYFUNCTION("""COMPUTED_VALUE"""),"Yes")</f>
        <v>Yes</v>
      </c>
      <c r="N291" s="5" t="str">
        <f>IFERROR(__xludf.DUMMYFUNCTION("""COMPUTED_VALUE"""),"Yes")</f>
        <v>Yes</v>
      </c>
      <c r="O291" s="5" t="str">
        <f>IFERROR(__xludf.DUMMYFUNCTION("""COMPUTED_VALUE"""),"Yes")</f>
        <v>Yes</v>
      </c>
      <c r="P291" s="5" t="str">
        <f>IFERROR(__xludf.DUMMYFUNCTION("""COMPUTED_VALUE"""),"Yes")</f>
        <v>Yes</v>
      </c>
      <c r="Q291" s="5" t="str">
        <f>IFERROR(__xludf.DUMMYFUNCTION("""COMPUTED_VALUE"""),"Yes")</f>
        <v>Yes</v>
      </c>
      <c r="R291" s="5" t="str">
        <f>IFERROR(__xludf.DUMMYFUNCTION("""COMPUTED_VALUE"""),"Yes")</f>
        <v>Yes</v>
      </c>
      <c r="S291" s="5" t="str">
        <f>IFERROR(__xludf.DUMMYFUNCTION("""COMPUTED_VALUE"""),"Yes")</f>
        <v>Yes</v>
      </c>
      <c r="T291" s="5" t="str">
        <f>IFERROR(__xludf.DUMMYFUNCTION("""COMPUTED_VALUE"""),"No")</f>
        <v>No</v>
      </c>
      <c r="U291" s="5" t="str">
        <f>IFERROR(__xludf.DUMMYFUNCTION("""COMPUTED_VALUE"""),"No")</f>
        <v>No</v>
      </c>
      <c r="V291" s="5" t="str">
        <f>IFERROR(__xludf.DUMMYFUNCTION("""COMPUTED_VALUE"""),"No")</f>
        <v>No</v>
      </c>
      <c r="W291" s="5" t="str">
        <f>IFERROR(__xludf.DUMMYFUNCTION("""COMPUTED_VALUE"""),"No")</f>
        <v>No</v>
      </c>
      <c r="X291" s="5" t="str">
        <f>IFERROR(__xludf.DUMMYFUNCTION("""COMPUTED_VALUE"""),"No")</f>
        <v>No</v>
      </c>
      <c r="Y291" s="5" t="str">
        <f>IFERROR(__xludf.DUMMYFUNCTION("""COMPUTED_VALUE"""),"No")</f>
        <v>No</v>
      </c>
      <c r="Z291" s="5" t="str">
        <f>IFERROR(__xludf.DUMMYFUNCTION("""COMPUTED_VALUE"""),"No")</f>
        <v>No</v>
      </c>
      <c r="AA291" s="5" t="str">
        <f>IFERROR(__xludf.DUMMYFUNCTION("""COMPUTED_VALUE"""),"No")</f>
        <v>No</v>
      </c>
      <c r="AB291" s="5" t="str">
        <f>IFERROR(__xludf.DUMMYFUNCTION("""COMPUTED_VALUE"""),"No")</f>
        <v>No</v>
      </c>
      <c r="AC291" s="5" t="str">
        <f>IFERROR(__xludf.DUMMYFUNCTION("""COMPUTED_VALUE"""),"No")</f>
        <v>No</v>
      </c>
      <c r="AD291" s="5" t="str">
        <f>IFERROR(__xludf.DUMMYFUNCTION("""COMPUTED_VALUE"""),"No")</f>
        <v>No</v>
      </c>
      <c r="AE291" s="5" t="str">
        <f>IFERROR(__xludf.DUMMYFUNCTION("""COMPUTED_VALUE"""),"No")</f>
        <v>No</v>
      </c>
      <c r="AF291" s="5" t="str">
        <f>IFERROR(__xludf.DUMMYFUNCTION("""COMPUTED_VALUE"""),"Yes")</f>
        <v>Yes</v>
      </c>
      <c r="AG291" s="5" t="str">
        <f>IFERROR(__xludf.DUMMYFUNCTION("""COMPUTED_VALUE"""),"No")</f>
        <v>No</v>
      </c>
      <c r="AH291" s="5" t="str">
        <f>IFERROR(__xludf.DUMMYFUNCTION("""COMPUTED_VALUE"""),"Yes")</f>
        <v>Yes</v>
      </c>
      <c r="AI291" s="5" t="str">
        <f>IFERROR(__xludf.DUMMYFUNCTION("""COMPUTED_VALUE"""),"No")</f>
        <v>No</v>
      </c>
      <c r="AJ291" s="5" t="str">
        <f>IFERROR(__xludf.DUMMYFUNCTION("""COMPUTED_VALUE"""),"No")</f>
        <v>No</v>
      </c>
      <c r="AK291" s="5" t="str">
        <f>IFERROR(__xludf.DUMMYFUNCTION("""COMPUTED_VALUE"""),"No")</f>
        <v>No</v>
      </c>
      <c r="AL291" s="5" t="str">
        <f>IFERROR(__xludf.DUMMYFUNCTION("""COMPUTED_VALUE"""),"No")</f>
        <v>No</v>
      </c>
      <c r="AM291" s="5"/>
      <c r="AN291" s="5"/>
      <c r="AO291" s="5"/>
      <c r="AP291" s="5"/>
      <c r="AQ291" s="5"/>
      <c r="AR291" s="5"/>
      <c r="AS291" s="5"/>
      <c r="AT291" s="5"/>
      <c r="AU291" s="5"/>
      <c r="AV291" s="5"/>
      <c r="AW291" s="5"/>
      <c r="AX291" s="5"/>
      <c r="AY291" s="5"/>
    </row>
    <row r="292">
      <c r="A29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2" s="5">
        <f>IFERROR(__xludf.DUMMYFUNCTION("""COMPUTED_VALUE"""),292.0)</f>
        <v>292</v>
      </c>
      <c r="C292" s="5">
        <f>IFERROR(__xludf.DUMMYFUNCTION("""COMPUTED_VALUE"""),291.0)</f>
        <v>291</v>
      </c>
      <c r="D292" s="5" t="str">
        <f>IFERROR(__xludf.DUMMYFUNCTION("""COMPUTED_VALUE"""),"RedstoneWildTrail")</f>
        <v>RedstoneWildTrail</v>
      </c>
      <c r="E292" s="5" t="str">
        <f>IFERROR(__xludf.DUMMYFUNCTION("""COMPUTED_VALUE"""),"Yes")</f>
        <v>Yes</v>
      </c>
      <c r="F292" s="5" t="str">
        <f>IFERROR(__xludf.DUMMYFUNCTION("""COMPUTED_VALUE"""),"Yes")</f>
        <v>Yes</v>
      </c>
      <c r="G292" s="5" t="str">
        <f>IFERROR(__xludf.DUMMYFUNCTION("""COMPUTED_VALUE"""),"No")</f>
        <v>No</v>
      </c>
      <c r="H292" s="5" t="str">
        <f>IFERROR(__xludf.DUMMYFUNCTION("""COMPUTED_VALUE"""),"Yes")</f>
        <v>Yes</v>
      </c>
      <c r="I292" s="5" t="str">
        <f>IFERROR(__xludf.DUMMYFUNCTION("""COMPUTED_VALUE"""),"Yes")</f>
        <v>Yes</v>
      </c>
      <c r="J292" s="5" t="str">
        <f>IFERROR(__xludf.DUMMYFUNCTION("""COMPUTED_VALUE"""),"Yes")</f>
        <v>Yes</v>
      </c>
      <c r="K292" s="5" t="str">
        <f>IFERROR(__xludf.DUMMYFUNCTION("""COMPUTED_VALUE"""),"Yes")</f>
        <v>Yes</v>
      </c>
      <c r="L292" s="5" t="str">
        <f>IFERROR(__xludf.DUMMYFUNCTION("""COMPUTED_VALUE"""),"Yes")</f>
        <v>Yes</v>
      </c>
      <c r="M292" s="5" t="str">
        <f>IFERROR(__xludf.DUMMYFUNCTION("""COMPUTED_VALUE"""),"Yes")</f>
        <v>Yes</v>
      </c>
      <c r="N292" s="5" t="str">
        <f>IFERROR(__xludf.DUMMYFUNCTION("""COMPUTED_VALUE"""),"Yes")</f>
        <v>Yes</v>
      </c>
      <c r="O292" s="5" t="str">
        <f>IFERROR(__xludf.DUMMYFUNCTION("""COMPUTED_VALUE"""),"Yes")</f>
        <v>Yes</v>
      </c>
      <c r="P292" s="5" t="str">
        <f>IFERROR(__xludf.DUMMYFUNCTION("""COMPUTED_VALUE"""),"Yes")</f>
        <v>Yes</v>
      </c>
      <c r="Q292" s="5" t="str">
        <f>IFERROR(__xludf.DUMMYFUNCTION("""COMPUTED_VALUE"""),"Yes")</f>
        <v>Yes</v>
      </c>
      <c r="R292" s="5" t="str">
        <f>IFERROR(__xludf.DUMMYFUNCTION("""COMPUTED_VALUE"""),"Yes")</f>
        <v>Yes</v>
      </c>
      <c r="S292" s="5" t="str">
        <f>IFERROR(__xludf.DUMMYFUNCTION("""COMPUTED_VALUE"""),"Yes")</f>
        <v>Yes</v>
      </c>
      <c r="T292" s="5" t="str">
        <f>IFERROR(__xludf.DUMMYFUNCTION("""COMPUTED_VALUE"""),"No")</f>
        <v>No</v>
      </c>
      <c r="U292" s="5" t="str">
        <f>IFERROR(__xludf.DUMMYFUNCTION("""COMPUTED_VALUE"""),"No")</f>
        <v>No</v>
      </c>
      <c r="V292" s="5" t="str">
        <f>IFERROR(__xludf.DUMMYFUNCTION("""COMPUTED_VALUE"""),"No")</f>
        <v>No</v>
      </c>
      <c r="W292" s="5" t="str">
        <f>IFERROR(__xludf.DUMMYFUNCTION("""COMPUTED_VALUE"""),"No")</f>
        <v>No</v>
      </c>
      <c r="X292" s="5" t="str">
        <f>IFERROR(__xludf.DUMMYFUNCTION("""COMPUTED_VALUE"""),"No")</f>
        <v>No</v>
      </c>
      <c r="Y292" s="5" t="str">
        <f>IFERROR(__xludf.DUMMYFUNCTION("""COMPUTED_VALUE"""),"No")</f>
        <v>No</v>
      </c>
      <c r="Z292" s="5" t="str">
        <f>IFERROR(__xludf.DUMMYFUNCTION("""COMPUTED_VALUE"""),"No")</f>
        <v>No</v>
      </c>
      <c r="AA292" s="5" t="str">
        <f>IFERROR(__xludf.DUMMYFUNCTION("""COMPUTED_VALUE"""),"No")</f>
        <v>No</v>
      </c>
      <c r="AB292" s="5" t="str">
        <f>IFERROR(__xludf.DUMMYFUNCTION("""COMPUTED_VALUE"""),"No")</f>
        <v>No</v>
      </c>
      <c r="AC292" s="5" t="str">
        <f>IFERROR(__xludf.DUMMYFUNCTION("""COMPUTED_VALUE"""),"No")</f>
        <v>No</v>
      </c>
      <c r="AD292" s="5" t="str">
        <f>IFERROR(__xludf.DUMMYFUNCTION("""COMPUTED_VALUE"""),"No")</f>
        <v>No</v>
      </c>
      <c r="AE292" s="5" t="str">
        <f>IFERROR(__xludf.DUMMYFUNCTION("""COMPUTED_VALUE"""),"No")</f>
        <v>No</v>
      </c>
      <c r="AF292" s="5" t="str">
        <f>IFERROR(__xludf.DUMMYFUNCTION("""COMPUTED_VALUE"""),"Yes")</f>
        <v>Yes</v>
      </c>
      <c r="AG292" s="5" t="str">
        <f>IFERROR(__xludf.DUMMYFUNCTION("""COMPUTED_VALUE"""),"No")</f>
        <v>No</v>
      </c>
      <c r="AH292" s="5" t="str">
        <f>IFERROR(__xludf.DUMMYFUNCTION("""COMPUTED_VALUE"""),"Yes")</f>
        <v>Yes</v>
      </c>
      <c r="AI292" s="5" t="str">
        <f>IFERROR(__xludf.DUMMYFUNCTION("""COMPUTED_VALUE"""),"No")</f>
        <v>No</v>
      </c>
      <c r="AJ292" s="5" t="str">
        <f>IFERROR(__xludf.DUMMYFUNCTION("""COMPUTED_VALUE"""),"No")</f>
        <v>No</v>
      </c>
      <c r="AK292" s="5" t="str">
        <f>IFERROR(__xludf.DUMMYFUNCTION("""COMPUTED_VALUE"""),"No")</f>
        <v>No</v>
      </c>
      <c r="AL292" s="5" t="str">
        <f>IFERROR(__xludf.DUMMYFUNCTION("""COMPUTED_VALUE"""),"No")</f>
        <v>No</v>
      </c>
      <c r="AM292" s="5"/>
      <c r="AN292" s="5"/>
      <c r="AO292" s="5"/>
      <c r="AP292" s="5"/>
      <c r="AQ292" s="5"/>
      <c r="AR292" s="5"/>
      <c r="AS292" s="5"/>
      <c r="AT292" s="5"/>
      <c r="AU292" s="5"/>
      <c r="AV292" s="5"/>
      <c r="AW292" s="5"/>
      <c r="AX292" s="5"/>
      <c r="AY292" s="5"/>
    </row>
    <row r="293">
      <c r="A29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3" s="5">
        <f>IFERROR(__xludf.DUMMYFUNCTION("""COMPUTED_VALUE"""),293.0)</f>
        <v>293</v>
      </c>
      <c r="C293" s="5">
        <f>IFERROR(__xludf.DUMMYFUNCTION("""COMPUTED_VALUE"""),292.0)</f>
        <v>292</v>
      </c>
      <c r="D293" s="5" t="str">
        <f>IFERROR(__xludf.DUMMYFUNCTION("""COMPUTED_VALUE"""),"Redstone40JokersFreeGames")</f>
        <v>Redstone40JokersFreeGames</v>
      </c>
      <c r="E293" s="5" t="str">
        <f>IFERROR(__xludf.DUMMYFUNCTION("""COMPUTED_VALUE"""),"Yes")</f>
        <v>Yes</v>
      </c>
      <c r="F293" s="5" t="str">
        <f>IFERROR(__xludf.DUMMYFUNCTION("""COMPUTED_VALUE"""),"Yes")</f>
        <v>Yes</v>
      </c>
      <c r="G293" s="5" t="str">
        <f>IFERROR(__xludf.DUMMYFUNCTION("""COMPUTED_VALUE"""),"No")</f>
        <v>No</v>
      </c>
      <c r="H293" s="5" t="str">
        <f>IFERROR(__xludf.DUMMYFUNCTION("""COMPUTED_VALUE"""),"Yes")</f>
        <v>Yes</v>
      </c>
      <c r="I293" s="5" t="str">
        <f>IFERROR(__xludf.DUMMYFUNCTION("""COMPUTED_VALUE"""),"Yes")</f>
        <v>Yes</v>
      </c>
      <c r="J293" s="5" t="str">
        <f>IFERROR(__xludf.DUMMYFUNCTION("""COMPUTED_VALUE"""),"Yes")</f>
        <v>Yes</v>
      </c>
      <c r="K293" s="5" t="str">
        <f>IFERROR(__xludf.DUMMYFUNCTION("""COMPUTED_VALUE"""),"Yes")</f>
        <v>Yes</v>
      </c>
      <c r="L293" s="5" t="str">
        <f>IFERROR(__xludf.DUMMYFUNCTION("""COMPUTED_VALUE"""),"Yes")</f>
        <v>Yes</v>
      </c>
      <c r="M293" s="5" t="str">
        <f>IFERROR(__xludf.DUMMYFUNCTION("""COMPUTED_VALUE"""),"Yes")</f>
        <v>Yes</v>
      </c>
      <c r="N293" s="5" t="str">
        <f>IFERROR(__xludf.DUMMYFUNCTION("""COMPUTED_VALUE"""),"Yes")</f>
        <v>Yes</v>
      </c>
      <c r="O293" s="5" t="str">
        <f>IFERROR(__xludf.DUMMYFUNCTION("""COMPUTED_VALUE"""),"Yes")</f>
        <v>Yes</v>
      </c>
      <c r="P293" s="5" t="str">
        <f>IFERROR(__xludf.DUMMYFUNCTION("""COMPUTED_VALUE"""),"Yes")</f>
        <v>Yes</v>
      </c>
      <c r="Q293" s="5" t="str">
        <f>IFERROR(__xludf.DUMMYFUNCTION("""COMPUTED_VALUE"""),"Yes")</f>
        <v>Yes</v>
      </c>
      <c r="R293" s="5" t="str">
        <f>IFERROR(__xludf.DUMMYFUNCTION("""COMPUTED_VALUE"""),"Yes")</f>
        <v>Yes</v>
      </c>
      <c r="S293" s="5" t="str">
        <f>IFERROR(__xludf.DUMMYFUNCTION("""COMPUTED_VALUE"""),"Yes")</f>
        <v>Yes</v>
      </c>
      <c r="T293" s="5" t="str">
        <f>IFERROR(__xludf.DUMMYFUNCTION("""COMPUTED_VALUE"""),"No")</f>
        <v>No</v>
      </c>
      <c r="U293" s="5" t="str">
        <f>IFERROR(__xludf.DUMMYFUNCTION("""COMPUTED_VALUE"""),"No")</f>
        <v>No</v>
      </c>
      <c r="V293" s="5" t="str">
        <f>IFERROR(__xludf.DUMMYFUNCTION("""COMPUTED_VALUE"""),"No")</f>
        <v>No</v>
      </c>
      <c r="W293" s="5" t="str">
        <f>IFERROR(__xludf.DUMMYFUNCTION("""COMPUTED_VALUE"""),"No")</f>
        <v>No</v>
      </c>
      <c r="X293" s="5" t="str">
        <f>IFERROR(__xludf.DUMMYFUNCTION("""COMPUTED_VALUE"""),"No")</f>
        <v>No</v>
      </c>
      <c r="Y293" s="5" t="str">
        <f>IFERROR(__xludf.DUMMYFUNCTION("""COMPUTED_VALUE"""),"No")</f>
        <v>No</v>
      </c>
      <c r="Z293" s="5" t="str">
        <f>IFERROR(__xludf.DUMMYFUNCTION("""COMPUTED_VALUE"""),"No")</f>
        <v>No</v>
      </c>
      <c r="AA293" s="5" t="str">
        <f>IFERROR(__xludf.DUMMYFUNCTION("""COMPUTED_VALUE"""),"No")</f>
        <v>No</v>
      </c>
      <c r="AB293" s="5" t="str">
        <f>IFERROR(__xludf.DUMMYFUNCTION("""COMPUTED_VALUE"""),"No")</f>
        <v>No</v>
      </c>
      <c r="AC293" s="5" t="str">
        <f>IFERROR(__xludf.DUMMYFUNCTION("""COMPUTED_VALUE"""),"No")</f>
        <v>No</v>
      </c>
      <c r="AD293" s="5" t="str">
        <f>IFERROR(__xludf.DUMMYFUNCTION("""COMPUTED_VALUE"""),"No")</f>
        <v>No</v>
      </c>
      <c r="AE293" s="5" t="str">
        <f>IFERROR(__xludf.DUMMYFUNCTION("""COMPUTED_VALUE"""),"No")</f>
        <v>No</v>
      </c>
      <c r="AF293" s="5" t="str">
        <f>IFERROR(__xludf.DUMMYFUNCTION("""COMPUTED_VALUE"""),"Yes")</f>
        <v>Yes</v>
      </c>
      <c r="AG293" s="5" t="str">
        <f>IFERROR(__xludf.DUMMYFUNCTION("""COMPUTED_VALUE"""),"No")</f>
        <v>No</v>
      </c>
      <c r="AH293" s="5" t="str">
        <f>IFERROR(__xludf.DUMMYFUNCTION("""COMPUTED_VALUE"""),"Yes")</f>
        <v>Yes</v>
      </c>
      <c r="AI293" s="5" t="str">
        <f>IFERROR(__xludf.DUMMYFUNCTION("""COMPUTED_VALUE"""),"No")</f>
        <v>No</v>
      </c>
      <c r="AJ293" s="5" t="str">
        <f>IFERROR(__xludf.DUMMYFUNCTION("""COMPUTED_VALUE"""),"No")</f>
        <v>No</v>
      </c>
      <c r="AK293" s="5" t="str">
        <f>IFERROR(__xludf.DUMMYFUNCTION("""COMPUTED_VALUE"""),"No")</f>
        <v>No</v>
      </c>
      <c r="AL293" s="5" t="str">
        <f>IFERROR(__xludf.DUMMYFUNCTION("""COMPUTED_VALUE"""),"No")</f>
        <v>No</v>
      </c>
      <c r="AM293" s="5"/>
      <c r="AN293" s="5"/>
      <c r="AO293" s="5"/>
      <c r="AP293" s="5"/>
      <c r="AQ293" s="5"/>
      <c r="AR293" s="5"/>
      <c r="AS293" s="5"/>
      <c r="AT293" s="5"/>
      <c r="AU293" s="5"/>
      <c r="AV293" s="5"/>
      <c r="AW293" s="5"/>
      <c r="AX293" s="5"/>
      <c r="AY293" s="5"/>
    </row>
    <row r="294">
      <c r="A29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4" s="5">
        <f>IFERROR(__xludf.DUMMYFUNCTION("""COMPUTED_VALUE"""),294.0)</f>
        <v>294</v>
      </c>
      <c r="C294" s="5">
        <f>IFERROR(__xludf.DUMMYFUNCTION("""COMPUTED_VALUE"""),293.0)</f>
        <v>293</v>
      </c>
      <c r="D294" s="5" t="str">
        <f>IFERROR(__xludf.DUMMYFUNCTION("""COMPUTED_VALUE"""),"RedstoneMoonDog")</f>
        <v>RedstoneMoonDog</v>
      </c>
      <c r="E294" s="5" t="str">
        <f>IFERROR(__xludf.DUMMYFUNCTION("""COMPUTED_VALUE"""),"Yes")</f>
        <v>Yes</v>
      </c>
      <c r="F294" s="5" t="str">
        <f>IFERROR(__xludf.DUMMYFUNCTION("""COMPUTED_VALUE"""),"Yes")</f>
        <v>Yes</v>
      </c>
      <c r="G294" s="5" t="str">
        <f>IFERROR(__xludf.DUMMYFUNCTION("""COMPUTED_VALUE"""),"No")</f>
        <v>No</v>
      </c>
      <c r="H294" s="5" t="str">
        <f>IFERROR(__xludf.DUMMYFUNCTION("""COMPUTED_VALUE"""),"Yes")</f>
        <v>Yes</v>
      </c>
      <c r="I294" s="5" t="str">
        <f>IFERROR(__xludf.DUMMYFUNCTION("""COMPUTED_VALUE"""),"Yes")</f>
        <v>Yes</v>
      </c>
      <c r="J294" s="5" t="str">
        <f>IFERROR(__xludf.DUMMYFUNCTION("""COMPUTED_VALUE"""),"Yes")</f>
        <v>Yes</v>
      </c>
      <c r="K294" s="5" t="str">
        <f>IFERROR(__xludf.DUMMYFUNCTION("""COMPUTED_VALUE"""),"Yes")</f>
        <v>Yes</v>
      </c>
      <c r="L294" s="5" t="str">
        <f>IFERROR(__xludf.DUMMYFUNCTION("""COMPUTED_VALUE"""),"Yes")</f>
        <v>Yes</v>
      </c>
      <c r="M294" s="5" t="str">
        <f>IFERROR(__xludf.DUMMYFUNCTION("""COMPUTED_VALUE"""),"Yes")</f>
        <v>Yes</v>
      </c>
      <c r="N294" s="5" t="str">
        <f>IFERROR(__xludf.DUMMYFUNCTION("""COMPUTED_VALUE"""),"Yes")</f>
        <v>Yes</v>
      </c>
      <c r="O294" s="5" t="str">
        <f>IFERROR(__xludf.DUMMYFUNCTION("""COMPUTED_VALUE"""),"Yes")</f>
        <v>Yes</v>
      </c>
      <c r="P294" s="5" t="str">
        <f>IFERROR(__xludf.DUMMYFUNCTION("""COMPUTED_VALUE"""),"Yes")</f>
        <v>Yes</v>
      </c>
      <c r="Q294" s="5" t="str">
        <f>IFERROR(__xludf.DUMMYFUNCTION("""COMPUTED_VALUE"""),"Yes")</f>
        <v>Yes</v>
      </c>
      <c r="R294" s="5" t="str">
        <f>IFERROR(__xludf.DUMMYFUNCTION("""COMPUTED_VALUE"""),"Yes")</f>
        <v>Yes</v>
      </c>
      <c r="S294" s="5" t="str">
        <f>IFERROR(__xludf.DUMMYFUNCTION("""COMPUTED_VALUE"""),"Yes")</f>
        <v>Yes</v>
      </c>
      <c r="T294" s="5" t="str">
        <f>IFERROR(__xludf.DUMMYFUNCTION("""COMPUTED_VALUE"""),"No")</f>
        <v>No</v>
      </c>
      <c r="U294" s="5" t="str">
        <f>IFERROR(__xludf.DUMMYFUNCTION("""COMPUTED_VALUE"""),"No")</f>
        <v>No</v>
      </c>
      <c r="V294" s="5" t="str">
        <f>IFERROR(__xludf.DUMMYFUNCTION("""COMPUTED_VALUE"""),"No")</f>
        <v>No</v>
      </c>
      <c r="W294" s="5" t="str">
        <f>IFERROR(__xludf.DUMMYFUNCTION("""COMPUTED_VALUE"""),"No")</f>
        <v>No</v>
      </c>
      <c r="X294" s="5" t="str">
        <f>IFERROR(__xludf.DUMMYFUNCTION("""COMPUTED_VALUE"""),"No")</f>
        <v>No</v>
      </c>
      <c r="Y294" s="5" t="str">
        <f>IFERROR(__xludf.DUMMYFUNCTION("""COMPUTED_VALUE"""),"No")</f>
        <v>No</v>
      </c>
      <c r="Z294" s="5" t="str">
        <f>IFERROR(__xludf.DUMMYFUNCTION("""COMPUTED_VALUE"""),"No")</f>
        <v>No</v>
      </c>
      <c r="AA294" s="5" t="str">
        <f>IFERROR(__xludf.DUMMYFUNCTION("""COMPUTED_VALUE"""),"No")</f>
        <v>No</v>
      </c>
      <c r="AB294" s="5" t="str">
        <f>IFERROR(__xludf.DUMMYFUNCTION("""COMPUTED_VALUE"""),"No")</f>
        <v>No</v>
      </c>
      <c r="AC294" s="5" t="str">
        <f>IFERROR(__xludf.DUMMYFUNCTION("""COMPUTED_VALUE"""),"No")</f>
        <v>No</v>
      </c>
      <c r="AD294" s="5" t="str">
        <f>IFERROR(__xludf.DUMMYFUNCTION("""COMPUTED_VALUE"""),"No")</f>
        <v>No</v>
      </c>
      <c r="AE294" s="5" t="str">
        <f>IFERROR(__xludf.DUMMYFUNCTION("""COMPUTED_VALUE"""),"No")</f>
        <v>No</v>
      </c>
      <c r="AF294" s="5" t="str">
        <f>IFERROR(__xludf.DUMMYFUNCTION("""COMPUTED_VALUE"""),"Yes")</f>
        <v>Yes</v>
      </c>
      <c r="AG294" s="5" t="str">
        <f>IFERROR(__xludf.DUMMYFUNCTION("""COMPUTED_VALUE"""),"No")</f>
        <v>No</v>
      </c>
      <c r="AH294" s="5" t="str">
        <f>IFERROR(__xludf.DUMMYFUNCTION("""COMPUTED_VALUE"""),"Yes")</f>
        <v>Yes</v>
      </c>
      <c r="AI294" s="5" t="str">
        <f>IFERROR(__xludf.DUMMYFUNCTION("""COMPUTED_VALUE"""),"No")</f>
        <v>No</v>
      </c>
      <c r="AJ294" s="5" t="str">
        <f>IFERROR(__xludf.DUMMYFUNCTION("""COMPUTED_VALUE"""),"No")</f>
        <v>No</v>
      </c>
      <c r="AK294" s="5" t="str">
        <f>IFERROR(__xludf.DUMMYFUNCTION("""COMPUTED_VALUE"""),"No")</f>
        <v>No</v>
      </c>
      <c r="AL294" s="5" t="str">
        <f>IFERROR(__xludf.DUMMYFUNCTION("""COMPUTED_VALUE"""),"No")</f>
        <v>No</v>
      </c>
      <c r="AM294" s="5"/>
      <c r="AN294" s="5"/>
      <c r="AO294" s="5"/>
      <c r="AP294" s="5"/>
      <c r="AQ294" s="5"/>
      <c r="AR294" s="5"/>
      <c r="AS294" s="5"/>
      <c r="AT294" s="5"/>
      <c r="AU294" s="5"/>
      <c r="AV294" s="5"/>
      <c r="AW294" s="5"/>
      <c r="AX294" s="5"/>
      <c r="AY294" s="5"/>
    </row>
    <row r="295">
      <c r="A2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95" s="5">
        <f>IFERROR(__xludf.DUMMYFUNCTION("""COMPUTED_VALUE"""),295.0)</f>
        <v>295</v>
      </c>
      <c r="C295" s="5">
        <f>IFERROR(__xludf.DUMMYFUNCTION("""COMPUTED_VALUE"""),294.0)</f>
        <v>294</v>
      </c>
      <c r="D295" s="5" t="str">
        <f>IFERROR(__xludf.DUMMYFUNCTION("""COMPUTED_VALUE"""),"BonusEpicCrown")</f>
        <v>BonusEpicCrown</v>
      </c>
      <c r="E295" s="5" t="str">
        <f>IFERROR(__xludf.DUMMYFUNCTION("""COMPUTED_VALUE"""),"Yes")</f>
        <v>Yes</v>
      </c>
      <c r="F295" s="5" t="str">
        <f>IFERROR(__xludf.DUMMYFUNCTION("""COMPUTED_VALUE"""),"Yes")</f>
        <v>Yes</v>
      </c>
      <c r="G295" s="5" t="str">
        <f>IFERROR(__xludf.DUMMYFUNCTION("""COMPUTED_VALUE"""),"Yes")</f>
        <v>Yes</v>
      </c>
      <c r="H295" s="5" t="str">
        <f>IFERROR(__xludf.DUMMYFUNCTION("""COMPUTED_VALUE"""),"Yes")</f>
        <v>Yes</v>
      </c>
      <c r="I295" s="5" t="str">
        <f>IFERROR(__xludf.DUMMYFUNCTION("""COMPUTED_VALUE"""),"Yes")</f>
        <v>Yes</v>
      </c>
      <c r="J295" s="5" t="str">
        <f>IFERROR(__xludf.DUMMYFUNCTION("""COMPUTED_VALUE"""),"Yes")</f>
        <v>Yes</v>
      </c>
      <c r="K295" s="5" t="str">
        <f>IFERROR(__xludf.DUMMYFUNCTION("""COMPUTED_VALUE"""),"Yes")</f>
        <v>Yes</v>
      </c>
      <c r="L295" s="5" t="str">
        <f>IFERROR(__xludf.DUMMYFUNCTION("""COMPUTED_VALUE"""),"Yes")</f>
        <v>Yes</v>
      </c>
      <c r="M295" s="5" t="str">
        <f>IFERROR(__xludf.DUMMYFUNCTION("""COMPUTED_VALUE"""),"Yes")</f>
        <v>Yes</v>
      </c>
      <c r="N295" s="5" t="str">
        <f>IFERROR(__xludf.DUMMYFUNCTION("""COMPUTED_VALUE"""),"Yes")</f>
        <v>Yes</v>
      </c>
      <c r="O295" s="5" t="str">
        <f>IFERROR(__xludf.DUMMYFUNCTION("""COMPUTED_VALUE"""),"Yes")</f>
        <v>Yes</v>
      </c>
      <c r="P295" s="5" t="str">
        <f>IFERROR(__xludf.DUMMYFUNCTION("""COMPUTED_VALUE"""),"Yes")</f>
        <v>Yes</v>
      </c>
      <c r="Q295" s="5" t="str">
        <f>IFERROR(__xludf.DUMMYFUNCTION("""COMPUTED_VALUE"""),"Yes")</f>
        <v>Yes</v>
      </c>
      <c r="R295" s="5" t="str">
        <f>IFERROR(__xludf.DUMMYFUNCTION("""COMPUTED_VALUE"""),"Yes")</f>
        <v>Yes</v>
      </c>
      <c r="S295" s="5" t="str">
        <f>IFERROR(__xludf.DUMMYFUNCTION("""COMPUTED_VALUE"""),"Yes")</f>
        <v>Yes</v>
      </c>
      <c r="T295" s="5" t="str">
        <f>IFERROR(__xludf.DUMMYFUNCTION("""COMPUTED_VALUE"""),"Yes")</f>
        <v>Yes</v>
      </c>
      <c r="U295" s="5" t="str">
        <f>IFERROR(__xludf.DUMMYFUNCTION("""COMPUTED_VALUE"""),"Yes")</f>
        <v>Yes</v>
      </c>
      <c r="V295" s="5" t="str">
        <f>IFERROR(__xludf.DUMMYFUNCTION("""COMPUTED_VALUE"""),"Yes")</f>
        <v>Yes</v>
      </c>
      <c r="W295" s="5" t="str">
        <f>IFERROR(__xludf.DUMMYFUNCTION("""COMPUTED_VALUE"""),"Yes")</f>
        <v>Yes</v>
      </c>
      <c r="X295" s="5" t="str">
        <f>IFERROR(__xludf.DUMMYFUNCTION("""COMPUTED_VALUE"""),"Yes")</f>
        <v>Yes</v>
      </c>
      <c r="Y295" s="5" t="str">
        <f>IFERROR(__xludf.DUMMYFUNCTION("""COMPUTED_VALUE"""),"Yes")</f>
        <v>Yes</v>
      </c>
      <c r="Z295" s="5" t="str">
        <f>IFERROR(__xludf.DUMMYFUNCTION("""COMPUTED_VALUE"""),"Yes")</f>
        <v>Yes</v>
      </c>
      <c r="AA295" s="5" t="str">
        <f>IFERROR(__xludf.DUMMYFUNCTION("""COMPUTED_VALUE"""),"Yes")</f>
        <v>Yes</v>
      </c>
      <c r="AB295" s="5" t="str">
        <f>IFERROR(__xludf.DUMMYFUNCTION("""COMPUTED_VALUE"""),"Yes")</f>
        <v>Yes</v>
      </c>
      <c r="AC295" s="5" t="str">
        <f>IFERROR(__xludf.DUMMYFUNCTION("""COMPUTED_VALUE"""),"Yes")</f>
        <v>Yes</v>
      </c>
      <c r="AD295" s="5" t="str">
        <f>IFERROR(__xludf.DUMMYFUNCTION("""COMPUTED_VALUE"""),"Yes")</f>
        <v>Yes</v>
      </c>
      <c r="AE295" s="5" t="str">
        <f>IFERROR(__xludf.DUMMYFUNCTION("""COMPUTED_VALUE"""),"Yes")</f>
        <v>Yes</v>
      </c>
      <c r="AF295" s="5" t="str">
        <f>IFERROR(__xludf.DUMMYFUNCTION("""COMPUTED_VALUE"""),"Yes")</f>
        <v>Yes</v>
      </c>
      <c r="AG295" s="5" t="str">
        <f>IFERROR(__xludf.DUMMYFUNCTION("""COMPUTED_VALUE"""),"Yes")</f>
        <v>Yes</v>
      </c>
      <c r="AH295" s="5" t="str">
        <f>IFERROR(__xludf.DUMMYFUNCTION("""COMPUTED_VALUE"""),"Yes")</f>
        <v>Yes</v>
      </c>
      <c r="AI295" s="5" t="str">
        <f>IFERROR(__xludf.DUMMYFUNCTION("""COMPUTED_VALUE"""),"No")</f>
        <v>No</v>
      </c>
      <c r="AJ295" s="5" t="str">
        <f>IFERROR(__xludf.DUMMYFUNCTION("""COMPUTED_VALUE"""),"No")</f>
        <v>No</v>
      </c>
      <c r="AK295" s="5" t="str">
        <f>IFERROR(__xludf.DUMMYFUNCTION("""COMPUTED_VALUE"""),"No")</f>
        <v>No</v>
      </c>
      <c r="AL295" s="5" t="str">
        <f>IFERROR(__xludf.DUMMYFUNCTION("""COMPUTED_VALUE"""),"No")</f>
        <v>No</v>
      </c>
      <c r="AM295" s="5"/>
      <c r="AN295" s="5"/>
      <c r="AO295" s="5"/>
      <c r="AP295" s="5"/>
      <c r="AQ295" s="5"/>
      <c r="AR295" s="5"/>
      <c r="AS295" s="5"/>
      <c r="AT295" s="5"/>
      <c r="AU295" s="5"/>
      <c r="AV295" s="5"/>
      <c r="AW295" s="5"/>
      <c r="AX295" s="5"/>
      <c r="AY295" s="5"/>
    </row>
    <row r="296">
      <c r="A2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96" s="5">
        <f>IFERROR(__xludf.DUMMYFUNCTION("""COMPUTED_VALUE"""),296.0)</f>
        <v>296</v>
      </c>
      <c r="C296" s="5">
        <f>IFERROR(__xludf.DUMMYFUNCTION("""COMPUTED_VALUE"""),295.0)</f>
        <v>295</v>
      </c>
      <c r="D296" s="5" t="str">
        <f>IFERROR(__xludf.DUMMYFUNCTION("""COMPUTED_VALUE"""),"Redstone20WildCrown")</f>
        <v>Redstone20WildCrown</v>
      </c>
      <c r="E296" s="5" t="str">
        <f>IFERROR(__xludf.DUMMYFUNCTION("""COMPUTED_VALUE"""),"Yes")</f>
        <v>Yes</v>
      </c>
      <c r="F296" s="5" t="str">
        <f>IFERROR(__xludf.DUMMYFUNCTION("""COMPUTED_VALUE"""),"Yes")</f>
        <v>Yes</v>
      </c>
      <c r="G296" s="5" t="str">
        <f>IFERROR(__xludf.DUMMYFUNCTION("""COMPUTED_VALUE"""),"Yes")</f>
        <v>Yes</v>
      </c>
      <c r="H296" s="5" t="str">
        <f>IFERROR(__xludf.DUMMYFUNCTION("""COMPUTED_VALUE"""),"Yes")</f>
        <v>Yes</v>
      </c>
      <c r="I296" s="5" t="str">
        <f>IFERROR(__xludf.DUMMYFUNCTION("""COMPUTED_VALUE"""),"Yes")</f>
        <v>Yes</v>
      </c>
      <c r="J296" s="5" t="str">
        <f>IFERROR(__xludf.DUMMYFUNCTION("""COMPUTED_VALUE"""),"Yes")</f>
        <v>Yes</v>
      </c>
      <c r="K296" s="5" t="str">
        <f>IFERROR(__xludf.DUMMYFUNCTION("""COMPUTED_VALUE"""),"Yes")</f>
        <v>Yes</v>
      </c>
      <c r="L296" s="5" t="str">
        <f>IFERROR(__xludf.DUMMYFUNCTION("""COMPUTED_VALUE"""),"Yes")</f>
        <v>Yes</v>
      </c>
      <c r="M296" s="5" t="str">
        <f>IFERROR(__xludf.DUMMYFUNCTION("""COMPUTED_VALUE"""),"Yes")</f>
        <v>Yes</v>
      </c>
      <c r="N296" s="5" t="str">
        <f>IFERROR(__xludf.DUMMYFUNCTION("""COMPUTED_VALUE"""),"Yes")</f>
        <v>Yes</v>
      </c>
      <c r="O296" s="5" t="str">
        <f>IFERROR(__xludf.DUMMYFUNCTION("""COMPUTED_VALUE"""),"Yes")</f>
        <v>Yes</v>
      </c>
      <c r="P296" s="5" t="str">
        <f>IFERROR(__xludf.DUMMYFUNCTION("""COMPUTED_VALUE"""),"Yes")</f>
        <v>Yes</v>
      </c>
      <c r="Q296" s="5" t="str">
        <f>IFERROR(__xludf.DUMMYFUNCTION("""COMPUTED_VALUE"""),"Yes")</f>
        <v>Yes</v>
      </c>
      <c r="R296" s="5" t="str">
        <f>IFERROR(__xludf.DUMMYFUNCTION("""COMPUTED_VALUE"""),"Yes")</f>
        <v>Yes</v>
      </c>
      <c r="S296" s="5" t="str">
        <f>IFERROR(__xludf.DUMMYFUNCTION("""COMPUTED_VALUE"""),"Yes")</f>
        <v>Yes</v>
      </c>
      <c r="T296" s="5" t="str">
        <f>IFERROR(__xludf.DUMMYFUNCTION("""COMPUTED_VALUE"""),"Yes")</f>
        <v>Yes</v>
      </c>
      <c r="U296" s="5" t="str">
        <f>IFERROR(__xludf.DUMMYFUNCTION("""COMPUTED_VALUE"""),"Yes")</f>
        <v>Yes</v>
      </c>
      <c r="V296" s="5" t="str">
        <f>IFERROR(__xludf.DUMMYFUNCTION("""COMPUTED_VALUE"""),"Yes")</f>
        <v>Yes</v>
      </c>
      <c r="W296" s="5" t="str">
        <f>IFERROR(__xludf.DUMMYFUNCTION("""COMPUTED_VALUE"""),"Yes")</f>
        <v>Yes</v>
      </c>
      <c r="X296" s="5"/>
      <c r="Y296" s="5" t="str">
        <f>IFERROR(__xludf.DUMMYFUNCTION("""COMPUTED_VALUE"""),"Yes")</f>
        <v>Yes</v>
      </c>
      <c r="Z296" s="5"/>
      <c r="AA296" s="5"/>
      <c r="AB296" s="5"/>
      <c r="AC296" s="5" t="str">
        <f>IFERROR(__xludf.DUMMYFUNCTION("""COMPUTED_VALUE"""),"Yes")</f>
        <v>Yes</v>
      </c>
      <c r="AD296" s="5"/>
      <c r="AE296" s="5"/>
      <c r="AF296" s="5"/>
      <c r="AG296" s="5"/>
      <c r="AH296" s="5"/>
      <c r="AI296" s="5"/>
      <c r="AJ296" s="5"/>
      <c r="AK296" s="5"/>
      <c r="AL296" s="5"/>
      <c r="AM296" s="5"/>
      <c r="AN296" s="5"/>
      <c r="AO296" s="5"/>
      <c r="AP296" s="5"/>
      <c r="AQ296" s="5"/>
      <c r="AR296" s="5"/>
      <c r="AS296" s="5"/>
      <c r="AT296" s="5"/>
      <c r="AU296" s="5"/>
      <c r="AV296" s="5"/>
      <c r="AW296" s="5"/>
      <c r="AX296" s="5"/>
      <c r="AY296" s="5"/>
    </row>
    <row r="297">
      <c r="A2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7" s="5">
        <f>IFERROR(__xludf.DUMMYFUNCTION("""COMPUTED_VALUE"""),297.0)</f>
        <v>297</v>
      </c>
      <c r="C297" s="5">
        <f>IFERROR(__xludf.DUMMYFUNCTION("""COMPUTED_VALUE"""),296.0)</f>
        <v>296</v>
      </c>
      <c r="D297" s="5" t="str">
        <f>IFERROR(__xludf.DUMMYFUNCTION("""COMPUTED_VALUE"""),"EpicClover100")</f>
        <v>EpicClover100</v>
      </c>
      <c r="E297" s="5" t="str">
        <f>IFERROR(__xludf.DUMMYFUNCTION("""COMPUTED_VALUE"""),"Yes")</f>
        <v>Yes</v>
      </c>
      <c r="F297" s="5" t="str">
        <f>IFERROR(__xludf.DUMMYFUNCTION("""COMPUTED_VALUE"""),"Yes")</f>
        <v>Yes</v>
      </c>
      <c r="G297" s="5" t="str">
        <f>IFERROR(__xludf.DUMMYFUNCTION("""COMPUTED_VALUE"""),"Yes")</f>
        <v>Yes</v>
      </c>
      <c r="H297" s="5" t="str">
        <f>IFERROR(__xludf.DUMMYFUNCTION("""COMPUTED_VALUE"""),"Yes")</f>
        <v>Yes</v>
      </c>
      <c r="I297" s="5" t="str">
        <f>IFERROR(__xludf.DUMMYFUNCTION("""COMPUTED_VALUE"""),"Yes")</f>
        <v>Yes</v>
      </c>
      <c r="J297" s="5" t="str">
        <f>IFERROR(__xludf.DUMMYFUNCTION("""COMPUTED_VALUE"""),"Yes")</f>
        <v>Yes</v>
      </c>
      <c r="K297" s="5" t="str">
        <f>IFERROR(__xludf.DUMMYFUNCTION("""COMPUTED_VALUE"""),"Yes")</f>
        <v>Yes</v>
      </c>
      <c r="L297" s="5" t="str">
        <f>IFERROR(__xludf.DUMMYFUNCTION("""COMPUTED_VALUE"""),"Yes")</f>
        <v>Yes</v>
      </c>
      <c r="M297" s="5" t="str">
        <f>IFERROR(__xludf.DUMMYFUNCTION("""COMPUTED_VALUE"""),"Yes")</f>
        <v>Yes</v>
      </c>
      <c r="N297" s="5" t="str">
        <f>IFERROR(__xludf.DUMMYFUNCTION("""COMPUTED_VALUE"""),"Yes")</f>
        <v>Yes</v>
      </c>
      <c r="O297" s="5" t="str">
        <f>IFERROR(__xludf.DUMMYFUNCTION("""COMPUTED_VALUE"""),"Yes")</f>
        <v>Yes</v>
      </c>
      <c r="P297" s="5" t="str">
        <f>IFERROR(__xludf.DUMMYFUNCTION("""COMPUTED_VALUE"""),"Yes")</f>
        <v>Yes</v>
      </c>
      <c r="Q297" s="5" t="str">
        <f>IFERROR(__xludf.DUMMYFUNCTION("""COMPUTED_VALUE"""),"Yes")</f>
        <v>Yes</v>
      </c>
      <c r="R297" s="5" t="str">
        <f>IFERROR(__xludf.DUMMYFUNCTION("""COMPUTED_VALUE"""),"Yes")</f>
        <v>Yes</v>
      </c>
      <c r="S297" s="5" t="str">
        <f>IFERROR(__xludf.DUMMYFUNCTION("""COMPUTED_VALUE"""),"Yes")</f>
        <v>Yes</v>
      </c>
      <c r="T297" s="5" t="str">
        <f>IFERROR(__xludf.DUMMYFUNCTION("""COMPUTED_VALUE"""),"Yes")</f>
        <v>Yes</v>
      </c>
      <c r="U297" s="5" t="str">
        <f>IFERROR(__xludf.DUMMYFUNCTION("""COMPUTED_VALUE"""),"Yes")</f>
        <v>Yes</v>
      </c>
      <c r="V297" s="5" t="str">
        <f>IFERROR(__xludf.DUMMYFUNCTION("""COMPUTED_VALUE"""),"Yes")</f>
        <v>Yes</v>
      </c>
      <c r="W297" s="5" t="str">
        <f>IFERROR(__xludf.DUMMYFUNCTION("""COMPUTED_VALUE"""),"Yes")</f>
        <v>Yes</v>
      </c>
      <c r="X297" s="5" t="str">
        <f>IFERROR(__xludf.DUMMYFUNCTION("""COMPUTED_VALUE"""),"Yes")</f>
        <v>Yes</v>
      </c>
      <c r="Y297" s="5" t="str">
        <f>IFERROR(__xludf.DUMMYFUNCTION("""COMPUTED_VALUE"""),"Yes")</f>
        <v>Yes</v>
      </c>
      <c r="Z297" s="5" t="str">
        <f>IFERROR(__xludf.DUMMYFUNCTION("""COMPUTED_VALUE"""),"No")</f>
        <v>No</v>
      </c>
      <c r="AA297" s="5" t="str">
        <f>IFERROR(__xludf.DUMMYFUNCTION("""COMPUTED_VALUE"""),"Yes")</f>
        <v>Yes</v>
      </c>
      <c r="AB297" s="5" t="str">
        <f>IFERROR(__xludf.DUMMYFUNCTION("""COMPUTED_VALUE"""),"Yes")</f>
        <v>Yes</v>
      </c>
      <c r="AC297" s="5" t="str">
        <f>IFERROR(__xludf.DUMMYFUNCTION("""COMPUTED_VALUE"""),"Yes")</f>
        <v>Yes</v>
      </c>
      <c r="AD297" s="5" t="str">
        <f>IFERROR(__xludf.DUMMYFUNCTION("""COMPUTED_VALUE"""),"Yes")</f>
        <v>Yes</v>
      </c>
      <c r="AE297" s="5" t="str">
        <f>IFERROR(__xludf.DUMMYFUNCTION("""COMPUTED_VALUE"""),"No")</f>
        <v>No</v>
      </c>
      <c r="AF297" s="5" t="str">
        <f>IFERROR(__xludf.DUMMYFUNCTION("""COMPUTED_VALUE"""),"Yes")</f>
        <v>Yes</v>
      </c>
      <c r="AG297" s="5" t="str">
        <f>IFERROR(__xludf.DUMMYFUNCTION("""COMPUTED_VALUE"""),"No")</f>
        <v>No</v>
      </c>
      <c r="AH297" s="5" t="str">
        <f>IFERROR(__xludf.DUMMYFUNCTION("""COMPUTED_VALUE"""),"No")</f>
        <v>No</v>
      </c>
      <c r="AI297" s="5" t="str">
        <f>IFERROR(__xludf.DUMMYFUNCTION("""COMPUTED_VALUE"""),"No")</f>
        <v>No</v>
      </c>
      <c r="AJ297" s="5" t="str">
        <f>IFERROR(__xludf.DUMMYFUNCTION("""COMPUTED_VALUE"""),"No")</f>
        <v>No</v>
      </c>
      <c r="AK297" s="5" t="str">
        <f>IFERROR(__xludf.DUMMYFUNCTION("""COMPUTED_VALUE"""),"No")</f>
        <v>No</v>
      </c>
      <c r="AL297" s="5" t="str">
        <f>IFERROR(__xludf.DUMMYFUNCTION("""COMPUTED_VALUE"""),"No")</f>
        <v>No</v>
      </c>
      <c r="AM297" s="5"/>
      <c r="AN297" s="5"/>
      <c r="AO297" s="5"/>
      <c r="AP297" s="5"/>
      <c r="AQ297" s="5"/>
      <c r="AR297" s="5"/>
      <c r="AS297" s="5"/>
      <c r="AT297" s="5"/>
      <c r="AU297" s="5"/>
      <c r="AV297" s="5"/>
      <c r="AW297" s="5"/>
      <c r="AX297" s="5"/>
      <c r="AY297" s="5"/>
    </row>
    <row r="298">
      <c r="A2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8" s="5">
        <f>IFERROR(__xludf.DUMMYFUNCTION("""COMPUTED_VALUE"""),298.0)</f>
        <v>298</v>
      </c>
      <c r="C298" s="5">
        <f>IFERROR(__xludf.DUMMYFUNCTION("""COMPUTED_VALUE"""),297.0)</f>
        <v>297</v>
      </c>
      <c r="D298" s="5" t="str">
        <f>IFERROR(__xludf.DUMMYFUNCTION("""COMPUTED_VALUE"""),"AmazingJoker")</f>
        <v>AmazingJoker</v>
      </c>
      <c r="E298" s="5" t="str">
        <f>IFERROR(__xludf.DUMMYFUNCTION("""COMPUTED_VALUE"""),"Yes")</f>
        <v>Yes</v>
      </c>
      <c r="F298" s="5" t="str">
        <f>IFERROR(__xludf.DUMMYFUNCTION("""COMPUTED_VALUE"""),"Yes")</f>
        <v>Yes</v>
      </c>
      <c r="G298" s="5" t="str">
        <f>IFERROR(__xludf.DUMMYFUNCTION("""COMPUTED_VALUE"""),"Yes")</f>
        <v>Yes</v>
      </c>
      <c r="H298" s="5" t="str">
        <f>IFERROR(__xludf.DUMMYFUNCTION("""COMPUTED_VALUE"""),"Yes")</f>
        <v>Yes</v>
      </c>
      <c r="I298" s="5" t="str">
        <f>IFERROR(__xludf.DUMMYFUNCTION("""COMPUTED_VALUE"""),"Yes")</f>
        <v>Yes</v>
      </c>
      <c r="J298" s="5" t="str">
        <f>IFERROR(__xludf.DUMMYFUNCTION("""COMPUTED_VALUE"""),"Yes")</f>
        <v>Yes</v>
      </c>
      <c r="K298" s="5" t="str">
        <f>IFERROR(__xludf.DUMMYFUNCTION("""COMPUTED_VALUE"""),"Yes")</f>
        <v>Yes</v>
      </c>
      <c r="L298" s="5" t="str">
        <f>IFERROR(__xludf.DUMMYFUNCTION("""COMPUTED_VALUE"""),"Yes")</f>
        <v>Yes</v>
      </c>
      <c r="M298" s="5" t="str">
        <f>IFERROR(__xludf.DUMMYFUNCTION("""COMPUTED_VALUE"""),"Yes")</f>
        <v>Yes</v>
      </c>
      <c r="N298" s="5" t="str">
        <f>IFERROR(__xludf.DUMMYFUNCTION("""COMPUTED_VALUE"""),"Yes")</f>
        <v>Yes</v>
      </c>
      <c r="O298" s="5" t="str">
        <f>IFERROR(__xludf.DUMMYFUNCTION("""COMPUTED_VALUE"""),"Yes")</f>
        <v>Yes</v>
      </c>
      <c r="P298" s="5" t="str">
        <f>IFERROR(__xludf.DUMMYFUNCTION("""COMPUTED_VALUE"""),"Yes")</f>
        <v>Yes</v>
      </c>
      <c r="Q298" s="5" t="str">
        <f>IFERROR(__xludf.DUMMYFUNCTION("""COMPUTED_VALUE"""),"Yes")</f>
        <v>Yes</v>
      </c>
      <c r="R298" s="5" t="str">
        <f>IFERROR(__xludf.DUMMYFUNCTION("""COMPUTED_VALUE"""),"Yes")</f>
        <v>Yes</v>
      </c>
      <c r="S298" s="5" t="str">
        <f>IFERROR(__xludf.DUMMYFUNCTION("""COMPUTED_VALUE"""),"Yes")</f>
        <v>Yes</v>
      </c>
      <c r="T298" s="5" t="str">
        <f>IFERROR(__xludf.DUMMYFUNCTION("""COMPUTED_VALUE"""),"Yes")</f>
        <v>Yes</v>
      </c>
      <c r="U298" s="5" t="str">
        <f>IFERROR(__xludf.DUMMYFUNCTION("""COMPUTED_VALUE"""),"Yes")</f>
        <v>Yes</v>
      </c>
      <c r="V298" s="5" t="str">
        <f>IFERROR(__xludf.DUMMYFUNCTION("""COMPUTED_VALUE"""),"Yes")</f>
        <v>Yes</v>
      </c>
      <c r="W298" s="5" t="str">
        <f>IFERROR(__xludf.DUMMYFUNCTION("""COMPUTED_VALUE"""),"Yes")</f>
        <v>Yes</v>
      </c>
      <c r="X298" s="5" t="str">
        <f>IFERROR(__xludf.DUMMYFUNCTION("""COMPUTED_VALUE"""),"Yes")</f>
        <v>Yes</v>
      </c>
      <c r="Y298" s="5" t="str">
        <f>IFERROR(__xludf.DUMMYFUNCTION("""COMPUTED_VALUE"""),"Yes")</f>
        <v>Yes</v>
      </c>
      <c r="Z298" s="5" t="str">
        <f>IFERROR(__xludf.DUMMYFUNCTION("""COMPUTED_VALUE"""),"No")</f>
        <v>No</v>
      </c>
      <c r="AA298" s="5" t="str">
        <f>IFERROR(__xludf.DUMMYFUNCTION("""COMPUTED_VALUE"""),"Yes")</f>
        <v>Yes</v>
      </c>
      <c r="AB298" s="5" t="str">
        <f>IFERROR(__xludf.DUMMYFUNCTION("""COMPUTED_VALUE"""),"Yes")</f>
        <v>Yes</v>
      </c>
      <c r="AC298" s="5" t="str">
        <f>IFERROR(__xludf.DUMMYFUNCTION("""COMPUTED_VALUE"""),"Yes")</f>
        <v>Yes</v>
      </c>
      <c r="AD298" s="5" t="str">
        <f>IFERROR(__xludf.DUMMYFUNCTION("""COMPUTED_VALUE"""),"Yes")</f>
        <v>Yes</v>
      </c>
      <c r="AE298" s="5" t="str">
        <f>IFERROR(__xludf.DUMMYFUNCTION("""COMPUTED_VALUE"""),"No")</f>
        <v>No</v>
      </c>
      <c r="AF298" s="5" t="str">
        <f>IFERROR(__xludf.DUMMYFUNCTION("""COMPUTED_VALUE"""),"Yes")</f>
        <v>Yes</v>
      </c>
      <c r="AG298" s="5" t="str">
        <f>IFERROR(__xludf.DUMMYFUNCTION("""COMPUTED_VALUE"""),"No")</f>
        <v>No</v>
      </c>
      <c r="AH298" s="5" t="str">
        <f>IFERROR(__xludf.DUMMYFUNCTION("""COMPUTED_VALUE"""),"No")</f>
        <v>No</v>
      </c>
      <c r="AI298" s="5" t="str">
        <f>IFERROR(__xludf.DUMMYFUNCTION("""COMPUTED_VALUE"""),"No")</f>
        <v>No</v>
      </c>
      <c r="AJ298" s="5" t="str">
        <f>IFERROR(__xludf.DUMMYFUNCTION("""COMPUTED_VALUE"""),"No")</f>
        <v>No</v>
      </c>
      <c r="AK298" s="5" t="str">
        <f>IFERROR(__xludf.DUMMYFUNCTION("""COMPUTED_VALUE"""),"No")</f>
        <v>No</v>
      </c>
      <c r="AL298" s="5" t="str">
        <f>IFERROR(__xludf.DUMMYFUNCTION("""COMPUTED_VALUE"""),"No")</f>
        <v>No</v>
      </c>
      <c r="AM298" s="5"/>
      <c r="AN298" s="5"/>
      <c r="AO298" s="5"/>
      <c r="AP298" s="5"/>
      <c r="AQ298" s="5"/>
      <c r="AR298" s="5"/>
      <c r="AS298" s="5"/>
      <c r="AT298" s="5"/>
      <c r="AU298" s="5"/>
      <c r="AV298" s="5"/>
      <c r="AW298" s="5"/>
      <c r="AX298" s="5"/>
      <c r="AY298" s="5"/>
    </row>
    <row r="299">
      <c r="A2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9" s="5">
        <f>IFERROR(__xludf.DUMMYFUNCTION("""COMPUTED_VALUE"""),299.0)</f>
        <v>299</v>
      </c>
      <c r="C299" s="5">
        <f>IFERROR(__xludf.DUMMYFUNCTION("""COMPUTED_VALUE"""),298.0)</f>
        <v>298</v>
      </c>
      <c r="D299" s="5" t="str">
        <f>IFERROR(__xludf.DUMMYFUNCTION("""COMPUTED_VALUE"""),"GrandpashabetCrown")</f>
        <v>GrandpashabetCrown</v>
      </c>
      <c r="E299" s="5" t="str">
        <f>IFERROR(__xludf.DUMMYFUNCTION("""COMPUTED_VALUE"""),"Yes")</f>
        <v>Yes</v>
      </c>
      <c r="F299" s="5" t="str">
        <f>IFERROR(__xludf.DUMMYFUNCTION("""COMPUTED_VALUE"""),"Yes")</f>
        <v>Yes</v>
      </c>
      <c r="G299" s="5" t="str">
        <f>IFERROR(__xludf.DUMMYFUNCTION("""COMPUTED_VALUE"""),"Yes")</f>
        <v>Yes</v>
      </c>
      <c r="H299" s="5" t="str">
        <f>IFERROR(__xludf.DUMMYFUNCTION("""COMPUTED_VALUE"""),"Yes")</f>
        <v>Yes</v>
      </c>
      <c r="I299" s="5" t="str">
        <f>IFERROR(__xludf.DUMMYFUNCTION("""COMPUTED_VALUE"""),"Yes")</f>
        <v>Yes</v>
      </c>
      <c r="J299" s="5" t="str">
        <f>IFERROR(__xludf.DUMMYFUNCTION("""COMPUTED_VALUE"""),"Yes")</f>
        <v>Yes</v>
      </c>
      <c r="K299" s="5" t="str">
        <f>IFERROR(__xludf.DUMMYFUNCTION("""COMPUTED_VALUE"""),"Yes")</f>
        <v>Yes</v>
      </c>
      <c r="L299" s="5" t="str">
        <f>IFERROR(__xludf.DUMMYFUNCTION("""COMPUTED_VALUE"""),"Yes")</f>
        <v>Yes</v>
      </c>
      <c r="M299" s="5" t="str">
        <f>IFERROR(__xludf.DUMMYFUNCTION("""COMPUTED_VALUE"""),"Yes")</f>
        <v>Yes</v>
      </c>
      <c r="N299" s="5" t="str">
        <f>IFERROR(__xludf.DUMMYFUNCTION("""COMPUTED_VALUE"""),"Yes")</f>
        <v>Yes</v>
      </c>
      <c r="O299" s="5" t="str">
        <f>IFERROR(__xludf.DUMMYFUNCTION("""COMPUTED_VALUE"""),"Yes")</f>
        <v>Yes</v>
      </c>
      <c r="P299" s="5" t="str">
        <f>IFERROR(__xludf.DUMMYFUNCTION("""COMPUTED_VALUE"""),"Yes")</f>
        <v>Yes</v>
      </c>
      <c r="Q299" s="5" t="str">
        <f>IFERROR(__xludf.DUMMYFUNCTION("""COMPUTED_VALUE"""),"Yes")</f>
        <v>Yes</v>
      </c>
      <c r="R299" s="5" t="str">
        <f>IFERROR(__xludf.DUMMYFUNCTION("""COMPUTED_VALUE"""),"Yes")</f>
        <v>Yes</v>
      </c>
      <c r="S299" s="5" t="str">
        <f>IFERROR(__xludf.DUMMYFUNCTION("""COMPUTED_VALUE"""),"Yes")</f>
        <v>Yes</v>
      </c>
      <c r="T299" s="5" t="str">
        <f>IFERROR(__xludf.DUMMYFUNCTION("""COMPUTED_VALUE"""),"Yes")</f>
        <v>Yes</v>
      </c>
      <c r="U299" s="5" t="str">
        <f>IFERROR(__xludf.DUMMYFUNCTION("""COMPUTED_VALUE"""),"Yes")</f>
        <v>Yes</v>
      </c>
      <c r="V299" s="5" t="str">
        <f>IFERROR(__xludf.DUMMYFUNCTION("""COMPUTED_VALUE"""),"Yes")</f>
        <v>Yes</v>
      </c>
      <c r="W299" s="5" t="str">
        <f>IFERROR(__xludf.DUMMYFUNCTION("""COMPUTED_VALUE"""),"Yes")</f>
        <v>Yes</v>
      </c>
      <c r="X299" s="5" t="str">
        <f>IFERROR(__xludf.DUMMYFUNCTION("""COMPUTED_VALUE"""),"Yes")</f>
        <v>Yes</v>
      </c>
      <c r="Y299" s="5" t="str">
        <f>IFERROR(__xludf.DUMMYFUNCTION("""COMPUTED_VALUE"""),"Yes")</f>
        <v>Yes</v>
      </c>
      <c r="Z299" s="5" t="str">
        <f>IFERROR(__xludf.DUMMYFUNCTION("""COMPUTED_VALUE"""),"No")</f>
        <v>No</v>
      </c>
      <c r="AA299" s="5" t="str">
        <f>IFERROR(__xludf.DUMMYFUNCTION("""COMPUTED_VALUE"""),"Yes")</f>
        <v>Yes</v>
      </c>
      <c r="AB299" s="5" t="str">
        <f>IFERROR(__xludf.DUMMYFUNCTION("""COMPUTED_VALUE"""),"Yes")</f>
        <v>Yes</v>
      </c>
      <c r="AC299" s="5" t="str">
        <f>IFERROR(__xludf.DUMMYFUNCTION("""COMPUTED_VALUE"""),"Yes")</f>
        <v>Yes</v>
      </c>
      <c r="AD299" s="5" t="str">
        <f>IFERROR(__xludf.DUMMYFUNCTION("""COMPUTED_VALUE"""),"Yes")</f>
        <v>Yes</v>
      </c>
      <c r="AE299" s="5" t="str">
        <f>IFERROR(__xludf.DUMMYFUNCTION("""COMPUTED_VALUE"""),"No")</f>
        <v>No</v>
      </c>
      <c r="AF299" s="5" t="str">
        <f>IFERROR(__xludf.DUMMYFUNCTION("""COMPUTED_VALUE"""),"Yes")</f>
        <v>Yes</v>
      </c>
      <c r="AG299" s="5" t="str">
        <f>IFERROR(__xludf.DUMMYFUNCTION("""COMPUTED_VALUE"""),"No")</f>
        <v>No</v>
      </c>
      <c r="AH299" s="5" t="str">
        <f>IFERROR(__xludf.DUMMYFUNCTION("""COMPUTED_VALUE"""),"No")</f>
        <v>No</v>
      </c>
      <c r="AI299" s="5" t="str">
        <f>IFERROR(__xludf.DUMMYFUNCTION("""COMPUTED_VALUE"""),"No")</f>
        <v>No</v>
      </c>
      <c r="AJ299" s="5" t="str">
        <f>IFERROR(__xludf.DUMMYFUNCTION("""COMPUTED_VALUE"""),"No")</f>
        <v>No</v>
      </c>
      <c r="AK299" s="5" t="str">
        <f>IFERROR(__xludf.DUMMYFUNCTION("""COMPUTED_VALUE"""),"No")</f>
        <v>No</v>
      </c>
      <c r="AL299" s="5" t="str">
        <f>IFERROR(__xludf.DUMMYFUNCTION("""COMPUTED_VALUE"""),"No")</f>
        <v>No</v>
      </c>
      <c r="AM299" s="5"/>
      <c r="AN299" s="5"/>
      <c r="AO299" s="5"/>
      <c r="AP299" s="5"/>
      <c r="AQ299" s="5"/>
      <c r="AR299" s="5"/>
      <c r="AS299" s="5"/>
      <c r="AT299" s="5"/>
      <c r="AU299" s="5"/>
      <c r="AV299" s="5"/>
      <c r="AW299" s="5"/>
      <c r="AX299" s="5"/>
      <c r="AY299" s="5"/>
    </row>
    <row r="300">
      <c r="A3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0" s="5">
        <f>IFERROR(__xludf.DUMMYFUNCTION("""COMPUTED_VALUE"""),300.0)</f>
        <v>300</v>
      </c>
      <c r="C300" s="5">
        <f>IFERROR(__xludf.DUMMYFUNCTION("""COMPUTED_VALUE"""),299.0)</f>
        <v>299</v>
      </c>
      <c r="D300" s="5" t="str">
        <f>IFERROR(__xludf.DUMMYFUNCTION("""COMPUTED_VALUE"""),"TripleFieldsOfLuck")</f>
        <v>TripleFieldsOfLuck</v>
      </c>
      <c r="E300" s="5" t="str">
        <f>IFERROR(__xludf.DUMMYFUNCTION("""COMPUTED_VALUE"""),"Yes")</f>
        <v>Yes</v>
      </c>
      <c r="F300" s="5" t="str">
        <f>IFERROR(__xludf.DUMMYFUNCTION("""COMPUTED_VALUE"""),"Yes")</f>
        <v>Yes</v>
      </c>
      <c r="G300" s="5" t="str">
        <f>IFERROR(__xludf.DUMMYFUNCTION("""COMPUTED_VALUE"""),"Yes")</f>
        <v>Yes</v>
      </c>
      <c r="H300" s="5" t="str">
        <f>IFERROR(__xludf.DUMMYFUNCTION("""COMPUTED_VALUE"""),"Yes")</f>
        <v>Yes</v>
      </c>
      <c r="I300" s="5" t="str">
        <f>IFERROR(__xludf.DUMMYFUNCTION("""COMPUTED_VALUE"""),"Yes")</f>
        <v>Yes</v>
      </c>
      <c r="J300" s="5" t="str">
        <f>IFERROR(__xludf.DUMMYFUNCTION("""COMPUTED_VALUE"""),"Yes")</f>
        <v>Yes</v>
      </c>
      <c r="K300" s="5" t="str">
        <f>IFERROR(__xludf.DUMMYFUNCTION("""COMPUTED_VALUE"""),"Yes")</f>
        <v>Yes</v>
      </c>
      <c r="L300" s="5" t="str">
        <f>IFERROR(__xludf.DUMMYFUNCTION("""COMPUTED_VALUE"""),"Yes")</f>
        <v>Yes</v>
      </c>
      <c r="M300" s="5" t="str">
        <f>IFERROR(__xludf.DUMMYFUNCTION("""COMPUTED_VALUE"""),"Yes")</f>
        <v>Yes</v>
      </c>
      <c r="N300" s="5" t="str">
        <f>IFERROR(__xludf.DUMMYFUNCTION("""COMPUTED_VALUE"""),"Yes")</f>
        <v>Yes</v>
      </c>
      <c r="O300" s="5" t="str">
        <f>IFERROR(__xludf.DUMMYFUNCTION("""COMPUTED_VALUE"""),"Yes")</f>
        <v>Yes</v>
      </c>
      <c r="P300" s="5" t="str">
        <f>IFERROR(__xludf.DUMMYFUNCTION("""COMPUTED_VALUE"""),"Yes")</f>
        <v>Yes</v>
      </c>
      <c r="Q300" s="5" t="str">
        <f>IFERROR(__xludf.DUMMYFUNCTION("""COMPUTED_VALUE"""),"Yes")</f>
        <v>Yes</v>
      </c>
      <c r="R300" s="5" t="str">
        <f>IFERROR(__xludf.DUMMYFUNCTION("""COMPUTED_VALUE"""),"Yes")</f>
        <v>Yes</v>
      </c>
      <c r="S300" s="5" t="str">
        <f>IFERROR(__xludf.DUMMYFUNCTION("""COMPUTED_VALUE"""),"Yes")</f>
        <v>Yes</v>
      </c>
      <c r="T300" s="5" t="str">
        <f>IFERROR(__xludf.DUMMYFUNCTION("""COMPUTED_VALUE"""),"Yes")</f>
        <v>Yes</v>
      </c>
      <c r="U300" s="5" t="str">
        <f>IFERROR(__xludf.DUMMYFUNCTION("""COMPUTED_VALUE"""),"Yes")</f>
        <v>Yes</v>
      </c>
      <c r="V300" s="5" t="str">
        <f>IFERROR(__xludf.DUMMYFUNCTION("""COMPUTED_VALUE"""),"Yes")</f>
        <v>Yes</v>
      </c>
      <c r="W300" s="5" t="str">
        <f>IFERROR(__xludf.DUMMYFUNCTION("""COMPUTED_VALUE"""),"Yes")</f>
        <v>Yes</v>
      </c>
      <c r="X300" s="5" t="str">
        <f>IFERROR(__xludf.DUMMYFUNCTION("""COMPUTED_VALUE"""),"Yes")</f>
        <v>Yes</v>
      </c>
      <c r="Y300" s="5" t="str">
        <f>IFERROR(__xludf.DUMMYFUNCTION("""COMPUTED_VALUE"""),"Yes")</f>
        <v>Yes</v>
      </c>
      <c r="Z300" s="5" t="str">
        <f>IFERROR(__xludf.DUMMYFUNCTION("""COMPUTED_VALUE"""),"No")</f>
        <v>No</v>
      </c>
      <c r="AA300" s="5" t="str">
        <f>IFERROR(__xludf.DUMMYFUNCTION("""COMPUTED_VALUE"""),"Yes")</f>
        <v>Yes</v>
      </c>
      <c r="AB300" s="5" t="str">
        <f>IFERROR(__xludf.DUMMYFUNCTION("""COMPUTED_VALUE"""),"Yes")</f>
        <v>Yes</v>
      </c>
      <c r="AC300" s="5" t="str">
        <f>IFERROR(__xludf.DUMMYFUNCTION("""COMPUTED_VALUE"""),"Yes")</f>
        <v>Yes</v>
      </c>
      <c r="AD300" s="5" t="str">
        <f>IFERROR(__xludf.DUMMYFUNCTION("""COMPUTED_VALUE"""),"Yes")</f>
        <v>Yes</v>
      </c>
      <c r="AE300" s="5" t="str">
        <f>IFERROR(__xludf.DUMMYFUNCTION("""COMPUTED_VALUE"""),"No")</f>
        <v>No</v>
      </c>
      <c r="AF300" s="5" t="str">
        <f>IFERROR(__xludf.DUMMYFUNCTION("""COMPUTED_VALUE"""),"Yes")</f>
        <v>Yes</v>
      </c>
      <c r="AG300" s="5" t="str">
        <f>IFERROR(__xludf.DUMMYFUNCTION("""COMPUTED_VALUE"""),"No")</f>
        <v>No</v>
      </c>
      <c r="AH300" s="5" t="str">
        <f>IFERROR(__xludf.DUMMYFUNCTION("""COMPUTED_VALUE"""),"No")</f>
        <v>No</v>
      </c>
      <c r="AI300" s="5" t="str">
        <f>IFERROR(__xludf.DUMMYFUNCTION("""COMPUTED_VALUE"""),"No")</f>
        <v>No</v>
      </c>
      <c r="AJ300" s="5" t="str">
        <f>IFERROR(__xludf.DUMMYFUNCTION("""COMPUTED_VALUE"""),"No")</f>
        <v>No</v>
      </c>
      <c r="AK300" s="5" t="str">
        <f>IFERROR(__xludf.DUMMYFUNCTION("""COMPUTED_VALUE"""),"No")</f>
        <v>No</v>
      </c>
      <c r="AL300" s="5" t="str">
        <f>IFERROR(__xludf.DUMMYFUNCTION("""COMPUTED_VALUE"""),"No")</f>
        <v>No</v>
      </c>
      <c r="AM300" s="5"/>
      <c r="AN300" s="5"/>
      <c r="AO300" s="5"/>
      <c r="AP300" s="5"/>
      <c r="AQ300" s="5"/>
      <c r="AR300" s="5"/>
      <c r="AS300" s="5"/>
      <c r="AT300" s="5"/>
      <c r="AU300" s="5"/>
      <c r="AV300" s="5"/>
      <c r="AW300" s="5"/>
      <c r="AX300" s="5"/>
      <c r="AY300" s="5"/>
    </row>
    <row r="301">
      <c r="A3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01" s="5">
        <f>IFERROR(__xludf.DUMMYFUNCTION("""COMPUTED_VALUE"""),301.0)</f>
        <v>301</v>
      </c>
      <c r="C301" s="5">
        <f>IFERROR(__xludf.DUMMYFUNCTION("""COMPUTED_VALUE"""),300.0)</f>
        <v>300</v>
      </c>
      <c r="D301" s="5" t="str">
        <f>IFERROR(__xludf.DUMMYFUNCTION("""COMPUTED_VALUE"""),"RedstoneChilliDouble")</f>
        <v>RedstoneChilliDouble</v>
      </c>
      <c r="E301" s="5" t="str">
        <f>IFERROR(__xludf.DUMMYFUNCTION("""COMPUTED_VALUE"""),"Yes")</f>
        <v>Yes</v>
      </c>
      <c r="F301" s="5" t="str">
        <f>IFERROR(__xludf.DUMMYFUNCTION("""COMPUTED_VALUE"""),"Yes")</f>
        <v>Yes</v>
      </c>
      <c r="G301" s="5" t="str">
        <f>IFERROR(__xludf.DUMMYFUNCTION("""COMPUTED_VALUE"""),"Yes")</f>
        <v>Yes</v>
      </c>
      <c r="H301" s="5" t="str">
        <f>IFERROR(__xludf.DUMMYFUNCTION("""COMPUTED_VALUE"""),"Yes")</f>
        <v>Yes</v>
      </c>
      <c r="I301" s="5" t="str">
        <f>IFERROR(__xludf.DUMMYFUNCTION("""COMPUTED_VALUE"""),"Yes")</f>
        <v>Yes</v>
      </c>
      <c r="J301" s="5" t="str">
        <f>IFERROR(__xludf.DUMMYFUNCTION("""COMPUTED_VALUE"""),"Yes")</f>
        <v>Yes</v>
      </c>
      <c r="K301" s="5" t="str">
        <f>IFERROR(__xludf.DUMMYFUNCTION("""COMPUTED_VALUE"""),"Yes")</f>
        <v>Yes</v>
      </c>
      <c r="L301" s="5" t="str">
        <f>IFERROR(__xludf.DUMMYFUNCTION("""COMPUTED_VALUE"""),"Yes")</f>
        <v>Yes</v>
      </c>
      <c r="M301" s="5" t="str">
        <f>IFERROR(__xludf.DUMMYFUNCTION("""COMPUTED_VALUE"""),"Yes")</f>
        <v>Yes</v>
      </c>
      <c r="N301" s="5" t="str">
        <f>IFERROR(__xludf.DUMMYFUNCTION("""COMPUTED_VALUE"""),"Yes")</f>
        <v>Yes</v>
      </c>
      <c r="O301" s="5" t="str">
        <f>IFERROR(__xludf.DUMMYFUNCTION("""COMPUTED_VALUE"""),"Yes")</f>
        <v>Yes</v>
      </c>
      <c r="P301" s="5" t="str">
        <f>IFERROR(__xludf.DUMMYFUNCTION("""COMPUTED_VALUE"""),"Yes")</f>
        <v>Yes</v>
      </c>
      <c r="Q301" s="5" t="str">
        <f>IFERROR(__xludf.DUMMYFUNCTION("""COMPUTED_VALUE"""),"Yes")</f>
        <v>Yes</v>
      </c>
      <c r="R301" s="5" t="str">
        <f>IFERROR(__xludf.DUMMYFUNCTION("""COMPUTED_VALUE"""),"Yes")</f>
        <v>Yes</v>
      </c>
      <c r="S301" s="5" t="str">
        <f>IFERROR(__xludf.DUMMYFUNCTION("""COMPUTED_VALUE"""),"Yes")</f>
        <v>Yes</v>
      </c>
      <c r="T301" s="5" t="str">
        <f>IFERROR(__xludf.DUMMYFUNCTION("""COMPUTED_VALUE"""),"Yes")</f>
        <v>Yes</v>
      </c>
      <c r="U301" s="5" t="str">
        <f>IFERROR(__xludf.DUMMYFUNCTION("""COMPUTED_VALUE"""),"Yes")</f>
        <v>Yes</v>
      </c>
      <c r="V301" s="5" t="str">
        <f>IFERROR(__xludf.DUMMYFUNCTION("""COMPUTED_VALUE"""),"Yes")</f>
        <v>Yes</v>
      </c>
      <c r="W301" s="5" t="str">
        <f>IFERROR(__xludf.DUMMYFUNCTION("""COMPUTED_VALUE"""),"Yes")</f>
        <v>Yes</v>
      </c>
      <c r="X301" s="5"/>
      <c r="Y301" s="5" t="str">
        <f>IFERROR(__xludf.DUMMYFUNCTION("""COMPUTED_VALUE"""),"Yes")</f>
        <v>Yes</v>
      </c>
      <c r="Z301" s="5"/>
      <c r="AA301" s="5" t="str">
        <f>IFERROR(__xludf.DUMMYFUNCTION("""COMPUTED_VALUE"""),"Yes")</f>
        <v>Yes</v>
      </c>
      <c r="AB301" s="5" t="str">
        <f>IFERROR(__xludf.DUMMYFUNCTION("""COMPUTED_VALUE"""),"Yes")</f>
        <v>Yes</v>
      </c>
      <c r="AC301" s="5" t="str">
        <f>IFERROR(__xludf.DUMMYFUNCTION("""COMPUTED_VALUE"""),"Yes")</f>
        <v>Yes</v>
      </c>
      <c r="AD301" s="5" t="str">
        <f>IFERROR(__xludf.DUMMYFUNCTION("""COMPUTED_VALUE"""),"Yes")</f>
        <v>Yes</v>
      </c>
      <c r="AE301" s="5"/>
      <c r="AF301" s="5" t="str">
        <f>IFERROR(__xludf.DUMMYFUNCTION("""COMPUTED_VALUE"""),"Yes")</f>
        <v>Yes</v>
      </c>
      <c r="AG301" s="5"/>
      <c r="AH301" s="5"/>
      <c r="AI301" s="5"/>
      <c r="AJ301" s="5"/>
      <c r="AK301" s="5"/>
      <c r="AL301" s="5"/>
      <c r="AM301" s="5"/>
      <c r="AN301" s="5"/>
      <c r="AO301" s="5"/>
      <c r="AP301" s="5"/>
      <c r="AQ301" s="5"/>
      <c r="AR301" s="5"/>
      <c r="AS301" s="5"/>
      <c r="AT301" s="5"/>
      <c r="AU301" s="5"/>
      <c r="AV301" s="5"/>
      <c r="AW301" s="5"/>
      <c r="AX301" s="5"/>
      <c r="AY301" s="5"/>
    </row>
    <row r="302">
      <c r="A3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2" s="5">
        <f>IFERROR(__xludf.DUMMYFUNCTION("""COMPUTED_VALUE"""),302.0)</f>
        <v>302</v>
      </c>
      <c r="C302" s="5">
        <f>IFERROR(__xludf.DUMMYFUNCTION("""COMPUTED_VALUE"""),301.0)</f>
        <v>301</v>
      </c>
      <c r="D302" s="5" t="str">
        <f>IFERROR(__xludf.DUMMYFUNCTION("""COMPUTED_VALUE"""),"RedstoneHotRushCrownBurst")</f>
        <v>RedstoneHotRushCrownBurst</v>
      </c>
      <c r="E302" s="5" t="str">
        <f>IFERROR(__xludf.DUMMYFUNCTION("""COMPUTED_VALUE"""),"Yes")</f>
        <v>Yes</v>
      </c>
      <c r="F302" s="5" t="str">
        <f>IFERROR(__xludf.DUMMYFUNCTION("""COMPUTED_VALUE"""),"Yes")</f>
        <v>Yes</v>
      </c>
      <c r="G302" s="5" t="str">
        <f>IFERROR(__xludf.DUMMYFUNCTION("""COMPUTED_VALUE"""),"Yes")</f>
        <v>Yes</v>
      </c>
      <c r="H302" s="5" t="str">
        <f>IFERROR(__xludf.DUMMYFUNCTION("""COMPUTED_VALUE"""),"Yes")</f>
        <v>Yes</v>
      </c>
      <c r="I302" s="5" t="str">
        <f>IFERROR(__xludf.DUMMYFUNCTION("""COMPUTED_VALUE"""),"Yes")</f>
        <v>Yes</v>
      </c>
      <c r="J302" s="5" t="str">
        <f>IFERROR(__xludf.DUMMYFUNCTION("""COMPUTED_VALUE"""),"Yes")</f>
        <v>Yes</v>
      </c>
      <c r="K302" s="5" t="str">
        <f>IFERROR(__xludf.DUMMYFUNCTION("""COMPUTED_VALUE"""),"Yes")</f>
        <v>Yes</v>
      </c>
      <c r="L302" s="5" t="str">
        <f>IFERROR(__xludf.DUMMYFUNCTION("""COMPUTED_VALUE"""),"Yes")</f>
        <v>Yes</v>
      </c>
      <c r="M302" s="5" t="str">
        <f>IFERROR(__xludf.DUMMYFUNCTION("""COMPUTED_VALUE"""),"Yes")</f>
        <v>Yes</v>
      </c>
      <c r="N302" s="5" t="str">
        <f>IFERROR(__xludf.DUMMYFUNCTION("""COMPUTED_VALUE"""),"Yes")</f>
        <v>Yes</v>
      </c>
      <c r="O302" s="5" t="str">
        <f>IFERROR(__xludf.DUMMYFUNCTION("""COMPUTED_VALUE"""),"Yes")</f>
        <v>Yes</v>
      </c>
      <c r="P302" s="5" t="str">
        <f>IFERROR(__xludf.DUMMYFUNCTION("""COMPUTED_VALUE"""),"Yes")</f>
        <v>Yes</v>
      </c>
      <c r="Q302" s="5" t="str">
        <f>IFERROR(__xludf.DUMMYFUNCTION("""COMPUTED_VALUE"""),"Yes")</f>
        <v>Yes</v>
      </c>
      <c r="R302" s="5" t="str">
        <f>IFERROR(__xludf.DUMMYFUNCTION("""COMPUTED_VALUE"""),"Yes")</f>
        <v>Yes</v>
      </c>
      <c r="S302" s="5" t="str">
        <f>IFERROR(__xludf.DUMMYFUNCTION("""COMPUTED_VALUE"""),"Yes")</f>
        <v>Yes</v>
      </c>
      <c r="T302" s="5" t="str">
        <f>IFERROR(__xludf.DUMMYFUNCTION("""COMPUTED_VALUE"""),"Yes")</f>
        <v>Yes</v>
      </c>
      <c r="U302" s="5" t="str">
        <f>IFERROR(__xludf.DUMMYFUNCTION("""COMPUTED_VALUE"""),"Yes")</f>
        <v>Yes</v>
      </c>
      <c r="V302" s="5" t="str">
        <f>IFERROR(__xludf.DUMMYFUNCTION("""COMPUTED_VALUE"""),"Yes")</f>
        <v>Yes</v>
      </c>
      <c r="W302" s="5" t="str">
        <f>IFERROR(__xludf.DUMMYFUNCTION("""COMPUTED_VALUE"""),"Yes")</f>
        <v>Yes</v>
      </c>
      <c r="X302" s="5"/>
      <c r="Y302" s="5"/>
      <c r="Z302" s="5"/>
      <c r="AA302" s="5"/>
      <c r="AB302" s="5"/>
      <c r="AC302" s="5" t="str">
        <f>IFERROR(__xludf.DUMMYFUNCTION("""COMPUTED_VALUE"""),"Yes")</f>
        <v>Yes</v>
      </c>
      <c r="AD302" s="5"/>
      <c r="AE302" s="5"/>
      <c r="AF302" s="5"/>
      <c r="AG302" s="5"/>
      <c r="AH302" s="5"/>
      <c r="AI302" s="5"/>
      <c r="AJ302" s="5"/>
      <c r="AK302" s="5"/>
      <c r="AL302" s="5"/>
      <c r="AM302" s="5"/>
      <c r="AN302" s="5"/>
      <c r="AO302" s="5"/>
      <c r="AP302" s="5"/>
      <c r="AQ302" s="5"/>
      <c r="AR302" s="5"/>
      <c r="AS302" s="5"/>
      <c r="AT302" s="5"/>
      <c r="AU302" s="5"/>
      <c r="AV302" s="5"/>
      <c r="AW302" s="5"/>
      <c r="AX302" s="5"/>
      <c r="AY302" s="5"/>
    </row>
    <row r="303">
      <c r="A3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3" s="5">
        <f>IFERROR(__xludf.DUMMYFUNCTION("""COMPUTED_VALUE"""),303.0)</f>
        <v>303</v>
      </c>
      <c r="C303" s="5">
        <f>IFERROR(__xludf.DUMMYFUNCTION("""COMPUTED_VALUE"""),302.0)</f>
        <v>302</v>
      </c>
      <c r="D303" s="5" t="str">
        <f>IFERROR(__xludf.DUMMYFUNCTION("""COMPUTED_VALUE"""),"MozzartHot5")</f>
        <v>MozzartHot5</v>
      </c>
      <c r="E303" s="5" t="str">
        <f>IFERROR(__xludf.DUMMYFUNCTION("""COMPUTED_VALUE"""),"Yes")</f>
        <v>Yes</v>
      </c>
      <c r="F303" s="5" t="str">
        <f>IFERROR(__xludf.DUMMYFUNCTION("""COMPUTED_VALUE"""),"Yes")</f>
        <v>Yes</v>
      </c>
      <c r="G303" s="5" t="str">
        <f>IFERROR(__xludf.DUMMYFUNCTION("""COMPUTED_VALUE"""),"Yes")</f>
        <v>Yes</v>
      </c>
      <c r="H303" s="5" t="str">
        <f>IFERROR(__xludf.DUMMYFUNCTION("""COMPUTED_VALUE"""),"Yes")</f>
        <v>Yes</v>
      </c>
      <c r="I303" s="5" t="str">
        <f>IFERROR(__xludf.DUMMYFUNCTION("""COMPUTED_VALUE"""),"Yes")</f>
        <v>Yes</v>
      </c>
      <c r="J303" s="5" t="str">
        <f>IFERROR(__xludf.DUMMYFUNCTION("""COMPUTED_VALUE"""),"Yes")</f>
        <v>Yes</v>
      </c>
      <c r="K303" s="5" t="str">
        <f>IFERROR(__xludf.DUMMYFUNCTION("""COMPUTED_VALUE"""),"Yes")</f>
        <v>Yes</v>
      </c>
      <c r="L303" s="5" t="str">
        <f>IFERROR(__xludf.DUMMYFUNCTION("""COMPUTED_VALUE"""),"Yes")</f>
        <v>Yes</v>
      </c>
      <c r="M303" s="5" t="str">
        <f>IFERROR(__xludf.DUMMYFUNCTION("""COMPUTED_VALUE"""),"Yes")</f>
        <v>Yes</v>
      </c>
      <c r="N303" s="5" t="str">
        <f>IFERROR(__xludf.DUMMYFUNCTION("""COMPUTED_VALUE"""),"Yes")</f>
        <v>Yes</v>
      </c>
      <c r="O303" s="5" t="str">
        <f>IFERROR(__xludf.DUMMYFUNCTION("""COMPUTED_VALUE"""),"Yes")</f>
        <v>Yes</v>
      </c>
      <c r="P303" s="5" t="str">
        <f>IFERROR(__xludf.DUMMYFUNCTION("""COMPUTED_VALUE"""),"Yes")</f>
        <v>Yes</v>
      </c>
      <c r="Q303" s="5" t="str">
        <f>IFERROR(__xludf.DUMMYFUNCTION("""COMPUTED_VALUE"""),"Yes")</f>
        <v>Yes</v>
      </c>
      <c r="R303" s="5" t="str">
        <f>IFERROR(__xludf.DUMMYFUNCTION("""COMPUTED_VALUE"""),"Yes")</f>
        <v>Yes</v>
      </c>
      <c r="S303" s="5" t="str">
        <f>IFERROR(__xludf.DUMMYFUNCTION("""COMPUTED_VALUE"""),"Yes")</f>
        <v>Yes</v>
      </c>
      <c r="T303" s="5" t="str">
        <f>IFERROR(__xludf.DUMMYFUNCTION("""COMPUTED_VALUE"""),"Yes")</f>
        <v>Yes</v>
      </c>
      <c r="U303" s="5" t="str">
        <f>IFERROR(__xludf.DUMMYFUNCTION("""COMPUTED_VALUE"""),"Yes")</f>
        <v>Yes</v>
      </c>
      <c r="V303" s="5" t="str">
        <f>IFERROR(__xludf.DUMMYFUNCTION("""COMPUTED_VALUE"""),"Yes")</f>
        <v>Yes</v>
      </c>
      <c r="W303" s="5" t="str">
        <f>IFERROR(__xludf.DUMMYFUNCTION("""COMPUTED_VALUE"""),"Yes")</f>
        <v>Yes</v>
      </c>
      <c r="X303" s="5" t="str">
        <f>IFERROR(__xludf.DUMMYFUNCTION("""COMPUTED_VALUE"""),"Yes")</f>
        <v>Yes</v>
      </c>
      <c r="Y303" s="5" t="str">
        <f>IFERROR(__xludf.DUMMYFUNCTION("""COMPUTED_VALUE"""),"Yes")</f>
        <v>Yes</v>
      </c>
      <c r="Z303" s="5" t="str">
        <f>IFERROR(__xludf.DUMMYFUNCTION("""COMPUTED_VALUE"""),"No")</f>
        <v>No</v>
      </c>
      <c r="AA303" s="5" t="str">
        <f>IFERROR(__xludf.DUMMYFUNCTION("""COMPUTED_VALUE"""),"Yes")</f>
        <v>Yes</v>
      </c>
      <c r="AB303" s="5" t="str">
        <f>IFERROR(__xludf.DUMMYFUNCTION("""COMPUTED_VALUE"""),"Yes")</f>
        <v>Yes</v>
      </c>
      <c r="AC303" s="5" t="str">
        <f>IFERROR(__xludf.DUMMYFUNCTION("""COMPUTED_VALUE"""),"Yes")</f>
        <v>Yes</v>
      </c>
      <c r="AD303" s="5" t="str">
        <f>IFERROR(__xludf.DUMMYFUNCTION("""COMPUTED_VALUE"""),"Yes")</f>
        <v>Yes</v>
      </c>
      <c r="AE303" s="5" t="str">
        <f>IFERROR(__xludf.DUMMYFUNCTION("""COMPUTED_VALUE"""),"No")</f>
        <v>No</v>
      </c>
      <c r="AF303" s="5" t="str">
        <f>IFERROR(__xludf.DUMMYFUNCTION("""COMPUTED_VALUE"""),"Yes")</f>
        <v>Yes</v>
      </c>
      <c r="AG303" s="5" t="str">
        <f>IFERROR(__xludf.DUMMYFUNCTION("""COMPUTED_VALUE"""),"No")</f>
        <v>No</v>
      </c>
      <c r="AH303" s="5" t="str">
        <f>IFERROR(__xludf.DUMMYFUNCTION("""COMPUTED_VALUE"""),"No")</f>
        <v>No</v>
      </c>
      <c r="AI303" s="5" t="str">
        <f>IFERROR(__xludf.DUMMYFUNCTION("""COMPUTED_VALUE"""),"No")</f>
        <v>No</v>
      </c>
      <c r="AJ303" s="5" t="str">
        <f>IFERROR(__xludf.DUMMYFUNCTION("""COMPUTED_VALUE"""),"No")</f>
        <v>No</v>
      </c>
      <c r="AK303" s="5" t="str">
        <f>IFERROR(__xludf.DUMMYFUNCTION("""COMPUTED_VALUE"""),"No")</f>
        <v>No</v>
      </c>
      <c r="AL303" s="5" t="str">
        <f>IFERROR(__xludf.DUMMYFUNCTION("""COMPUTED_VALUE"""),"No")</f>
        <v>No</v>
      </c>
      <c r="AM303" s="5"/>
      <c r="AN303" s="5"/>
      <c r="AO303" s="5"/>
      <c r="AP303" s="5"/>
      <c r="AQ303" s="5"/>
      <c r="AR303" s="5"/>
      <c r="AS303" s="5"/>
      <c r="AT303" s="5"/>
      <c r="AU303" s="5"/>
      <c r="AV303" s="5"/>
      <c r="AW303" s="5"/>
      <c r="AX303" s="5"/>
      <c r="AY303" s="5"/>
    </row>
    <row r="304">
      <c r="A3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4" s="5">
        <f>IFERROR(__xludf.DUMMYFUNCTION("""COMPUTED_VALUE"""),304.0)</f>
        <v>304</v>
      </c>
      <c r="C304" s="5">
        <f>IFERROR(__xludf.DUMMYFUNCTION("""COMPUTED_VALUE"""),303.0)</f>
        <v>303</v>
      </c>
      <c r="D304" s="5" t="str">
        <f>IFERROR(__xludf.DUMMYFUNCTION("""COMPUTED_VALUE"""),"MozzartHot40")</f>
        <v>MozzartHot40</v>
      </c>
      <c r="E304" s="5" t="str">
        <f>IFERROR(__xludf.DUMMYFUNCTION("""COMPUTED_VALUE"""),"Yes")</f>
        <v>Yes</v>
      </c>
      <c r="F304" s="5" t="str">
        <f>IFERROR(__xludf.DUMMYFUNCTION("""COMPUTED_VALUE"""),"Yes")</f>
        <v>Yes</v>
      </c>
      <c r="G304" s="5" t="str">
        <f>IFERROR(__xludf.DUMMYFUNCTION("""COMPUTED_VALUE"""),"Yes")</f>
        <v>Yes</v>
      </c>
      <c r="H304" s="5" t="str">
        <f>IFERROR(__xludf.DUMMYFUNCTION("""COMPUTED_VALUE"""),"Yes")</f>
        <v>Yes</v>
      </c>
      <c r="I304" s="5" t="str">
        <f>IFERROR(__xludf.DUMMYFUNCTION("""COMPUTED_VALUE"""),"Yes")</f>
        <v>Yes</v>
      </c>
      <c r="J304" s="5" t="str">
        <f>IFERROR(__xludf.DUMMYFUNCTION("""COMPUTED_VALUE"""),"Yes")</f>
        <v>Yes</v>
      </c>
      <c r="K304" s="5" t="str">
        <f>IFERROR(__xludf.DUMMYFUNCTION("""COMPUTED_VALUE"""),"Yes")</f>
        <v>Yes</v>
      </c>
      <c r="L304" s="5" t="str">
        <f>IFERROR(__xludf.DUMMYFUNCTION("""COMPUTED_VALUE"""),"Yes")</f>
        <v>Yes</v>
      </c>
      <c r="M304" s="5" t="str">
        <f>IFERROR(__xludf.DUMMYFUNCTION("""COMPUTED_VALUE"""),"Yes")</f>
        <v>Yes</v>
      </c>
      <c r="N304" s="5" t="str">
        <f>IFERROR(__xludf.DUMMYFUNCTION("""COMPUTED_VALUE"""),"Yes")</f>
        <v>Yes</v>
      </c>
      <c r="O304" s="5" t="str">
        <f>IFERROR(__xludf.DUMMYFUNCTION("""COMPUTED_VALUE"""),"Yes")</f>
        <v>Yes</v>
      </c>
      <c r="P304" s="5" t="str">
        <f>IFERROR(__xludf.DUMMYFUNCTION("""COMPUTED_VALUE"""),"Yes")</f>
        <v>Yes</v>
      </c>
      <c r="Q304" s="5" t="str">
        <f>IFERROR(__xludf.DUMMYFUNCTION("""COMPUTED_VALUE"""),"Yes")</f>
        <v>Yes</v>
      </c>
      <c r="R304" s="5" t="str">
        <f>IFERROR(__xludf.DUMMYFUNCTION("""COMPUTED_VALUE"""),"Yes")</f>
        <v>Yes</v>
      </c>
      <c r="S304" s="5" t="str">
        <f>IFERROR(__xludf.DUMMYFUNCTION("""COMPUTED_VALUE"""),"Yes")</f>
        <v>Yes</v>
      </c>
      <c r="T304" s="5" t="str">
        <f>IFERROR(__xludf.DUMMYFUNCTION("""COMPUTED_VALUE"""),"Yes")</f>
        <v>Yes</v>
      </c>
      <c r="U304" s="5" t="str">
        <f>IFERROR(__xludf.DUMMYFUNCTION("""COMPUTED_VALUE"""),"Yes")</f>
        <v>Yes</v>
      </c>
      <c r="V304" s="5" t="str">
        <f>IFERROR(__xludf.DUMMYFUNCTION("""COMPUTED_VALUE"""),"Yes")</f>
        <v>Yes</v>
      </c>
      <c r="W304" s="5" t="str">
        <f>IFERROR(__xludf.DUMMYFUNCTION("""COMPUTED_VALUE"""),"Yes")</f>
        <v>Yes</v>
      </c>
      <c r="X304" s="5" t="str">
        <f>IFERROR(__xludf.DUMMYFUNCTION("""COMPUTED_VALUE"""),"Yes")</f>
        <v>Yes</v>
      </c>
      <c r="Y304" s="5" t="str">
        <f>IFERROR(__xludf.DUMMYFUNCTION("""COMPUTED_VALUE"""),"Yes")</f>
        <v>Yes</v>
      </c>
      <c r="Z304" s="5" t="str">
        <f>IFERROR(__xludf.DUMMYFUNCTION("""COMPUTED_VALUE"""),"No")</f>
        <v>No</v>
      </c>
      <c r="AA304" s="5" t="str">
        <f>IFERROR(__xludf.DUMMYFUNCTION("""COMPUTED_VALUE"""),"Yes")</f>
        <v>Yes</v>
      </c>
      <c r="AB304" s="5" t="str">
        <f>IFERROR(__xludf.DUMMYFUNCTION("""COMPUTED_VALUE"""),"Yes")</f>
        <v>Yes</v>
      </c>
      <c r="AC304" s="5" t="str">
        <f>IFERROR(__xludf.DUMMYFUNCTION("""COMPUTED_VALUE"""),"Yes")</f>
        <v>Yes</v>
      </c>
      <c r="AD304" s="5" t="str">
        <f>IFERROR(__xludf.DUMMYFUNCTION("""COMPUTED_VALUE"""),"Yes")</f>
        <v>Yes</v>
      </c>
      <c r="AE304" s="5" t="str">
        <f>IFERROR(__xludf.DUMMYFUNCTION("""COMPUTED_VALUE"""),"No")</f>
        <v>No</v>
      </c>
      <c r="AF304" s="5" t="str">
        <f>IFERROR(__xludf.DUMMYFUNCTION("""COMPUTED_VALUE"""),"Yes")</f>
        <v>Yes</v>
      </c>
      <c r="AG304" s="5" t="str">
        <f>IFERROR(__xludf.DUMMYFUNCTION("""COMPUTED_VALUE"""),"No")</f>
        <v>No</v>
      </c>
      <c r="AH304" s="5" t="str">
        <f>IFERROR(__xludf.DUMMYFUNCTION("""COMPUTED_VALUE"""),"No")</f>
        <v>No</v>
      </c>
      <c r="AI304" s="5" t="str">
        <f>IFERROR(__xludf.DUMMYFUNCTION("""COMPUTED_VALUE"""),"No")</f>
        <v>No</v>
      </c>
      <c r="AJ304" s="5" t="str">
        <f>IFERROR(__xludf.DUMMYFUNCTION("""COMPUTED_VALUE"""),"No")</f>
        <v>No</v>
      </c>
      <c r="AK304" s="5" t="str">
        <f>IFERROR(__xludf.DUMMYFUNCTION("""COMPUTED_VALUE"""),"No")</f>
        <v>No</v>
      </c>
      <c r="AL304" s="5" t="str">
        <f>IFERROR(__xludf.DUMMYFUNCTION("""COMPUTED_VALUE"""),"No")</f>
        <v>No</v>
      </c>
      <c r="AM304" s="5"/>
      <c r="AN304" s="5"/>
      <c r="AO304" s="5"/>
      <c r="AP304" s="5"/>
      <c r="AQ304" s="5"/>
      <c r="AR304" s="5"/>
      <c r="AS304" s="5"/>
      <c r="AT304" s="5"/>
      <c r="AU304" s="5"/>
      <c r="AV304" s="5"/>
      <c r="AW304" s="5"/>
      <c r="AX304" s="5"/>
      <c r="AY304" s="5"/>
    </row>
    <row r="305">
      <c r="A3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5" s="5">
        <f>IFERROR(__xludf.DUMMYFUNCTION("""COMPUTED_VALUE"""),305.0)</f>
        <v>305</v>
      </c>
      <c r="C305" s="5">
        <f>IFERROR(__xludf.DUMMYFUNCTION("""COMPUTED_VALUE"""),304.0)</f>
        <v>304</v>
      </c>
      <c r="D305" s="5" t="str">
        <f>IFERROR(__xludf.DUMMYFUNCTION("""COMPUTED_VALUE"""),"CrownOfMozzart")</f>
        <v>CrownOfMozzart</v>
      </c>
      <c r="E305" s="5" t="str">
        <f>IFERROR(__xludf.DUMMYFUNCTION("""COMPUTED_VALUE"""),"Yes")</f>
        <v>Yes</v>
      </c>
      <c r="F305" s="5" t="str">
        <f>IFERROR(__xludf.DUMMYFUNCTION("""COMPUTED_VALUE"""),"Yes")</f>
        <v>Yes</v>
      </c>
      <c r="G305" s="5" t="str">
        <f>IFERROR(__xludf.DUMMYFUNCTION("""COMPUTED_VALUE"""),"Yes")</f>
        <v>Yes</v>
      </c>
      <c r="H305" s="5" t="str">
        <f>IFERROR(__xludf.DUMMYFUNCTION("""COMPUTED_VALUE"""),"Yes")</f>
        <v>Yes</v>
      </c>
      <c r="I305" s="5" t="str">
        <f>IFERROR(__xludf.DUMMYFUNCTION("""COMPUTED_VALUE"""),"Yes")</f>
        <v>Yes</v>
      </c>
      <c r="J305" s="5" t="str">
        <f>IFERROR(__xludf.DUMMYFUNCTION("""COMPUTED_VALUE"""),"Yes")</f>
        <v>Yes</v>
      </c>
      <c r="K305" s="5" t="str">
        <f>IFERROR(__xludf.DUMMYFUNCTION("""COMPUTED_VALUE"""),"Yes")</f>
        <v>Yes</v>
      </c>
      <c r="L305" s="5" t="str">
        <f>IFERROR(__xludf.DUMMYFUNCTION("""COMPUTED_VALUE"""),"Yes")</f>
        <v>Yes</v>
      </c>
      <c r="M305" s="5" t="str">
        <f>IFERROR(__xludf.DUMMYFUNCTION("""COMPUTED_VALUE"""),"Yes")</f>
        <v>Yes</v>
      </c>
      <c r="N305" s="5" t="str">
        <f>IFERROR(__xludf.DUMMYFUNCTION("""COMPUTED_VALUE"""),"Yes")</f>
        <v>Yes</v>
      </c>
      <c r="O305" s="5" t="str">
        <f>IFERROR(__xludf.DUMMYFUNCTION("""COMPUTED_VALUE"""),"Yes")</f>
        <v>Yes</v>
      </c>
      <c r="P305" s="5" t="str">
        <f>IFERROR(__xludf.DUMMYFUNCTION("""COMPUTED_VALUE"""),"Yes")</f>
        <v>Yes</v>
      </c>
      <c r="Q305" s="5" t="str">
        <f>IFERROR(__xludf.DUMMYFUNCTION("""COMPUTED_VALUE"""),"Yes")</f>
        <v>Yes</v>
      </c>
      <c r="R305" s="5" t="str">
        <f>IFERROR(__xludf.DUMMYFUNCTION("""COMPUTED_VALUE"""),"Yes")</f>
        <v>Yes</v>
      </c>
      <c r="S305" s="5" t="str">
        <f>IFERROR(__xludf.DUMMYFUNCTION("""COMPUTED_VALUE"""),"Yes")</f>
        <v>Yes</v>
      </c>
      <c r="T305" s="5" t="str">
        <f>IFERROR(__xludf.DUMMYFUNCTION("""COMPUTED_VALUE"""),"Yes")</f>
        <v>Yes</v>
      </c>
      <c r="U305" s="5" t="str">
        <f>IFERROR(__xludf.DUMMYFUNCTION("""COMPUTED_VALUE"""),"Yes")</f>
        <v>Yes</v>
      </c>
      <c r="V305" s="5" t="str">
        <f>IFERROR(__xludf.DUMMYFUNCTION("""COMPUTED_VALUE"""),"Yes")</f>
        <v>Yes</v>
      </c>
      <c r="W305" s="5" t="str">
        <f>IFERROR(__xludf.DUMMYFUNCTION("""COMPUTED_VALUE"""),"Yes")</f>
        <v>Yes</v>
      </c>
      <c r="X305" s="5" t="str">
        <f>IFERROR(__xludf.DUMMYFUNCTION("""COMPUTED_VALUE"""),"Yes")</f>
        <v>Yes</v>
      </c>
      <c r="Y305" s="5" t="str">
        <f>IFERROR(__xludf.DUMMYFUNCTION("""COMPUTED_VALUE"""),"Yes")</f>
        <v>Yes</v>
      </c>
      <c r="Z305" s="5" t="str">
        <f>IFERROR(__xludf.DUMMYFUNCTION("""COMPUTED_VALUE"""),"No")</f>
        <v>No</v>
      </c>
      <c r="AA305" s="5" t="str">
        <f>IFERROR(__xludf.DUMMYFUNCTION("""COMPUTED_VALUE"""),"Yes")</f>
        <v>Yes</v>
      </c>
      <c r="AB305" s="5" t="str">
        <f>IFERROR(__xludf.DUMMYFUNCTION("""COMPUTED_VALUE"""),"Yes")</f>
        <v>Yes</v>
      </c>
      <c r="AC305" s="5" t="str">
        <f>IFERROR(__xludf.DUMMYFUNCTION("""COMPUTED_VALUE"""),"Yes")</f>
        <v>Yes</v>
      </c>
      <c r="AD305" s="5" t="str">
        <f>IFERROR(__xludf.DUMMYFUNCTION("""COMPUTED_VALUE"""),"Yes")</f>
        <v>Yes</v>
      </c>
      <c r="AE305" s="5" t="str">
        <f>IFERROR(__xludf.DUMMYFUNCTION("""COMPUTED_VALUE"""),"No")</f>
        <v>No</v>
      </c>
      <c r="AF305" s="5" t="str">
        <f>IFERROR(__xludf.DUMMYFUNCTION("""COMPUTED_VALUE"""),"Yes")</f>
        <v>Yes</v>
      </c>
      <c r="AG305" s="5" t="str">
        <f>IFERROR(__xludf.DUMMYFUNCTION("""COMPUTED_VALUE"""),"No")</f>
        <v>No</v>
      </c>
      <c r="AH305" s="5" t="str">
        <f>IFERROR(__xludf.DUMMYFUNCTION("""COMPUTED_VALUE"""),"No")</f>
        <v>No</v>
      </c>
      <c r="AI305" s="5" t="str">
        <f>IFERROR(__xludf.DUMMYFUNCTION("""COMPUTED_VALUE"""),"No")</f>
        <v>No</v>
      </c>
      <c r="AJ305" s="5" t="str">
        <f>IFERROR(__xludf.DUMMYFUNCTION("""COMPUTED_VALUE"""),"No")</f>
        <v>No</v>
      </c>
      <c r="AK305" s="5" t="str">
        <f>IFERROR(__xludf.DUMMYFUNCTION("""COMPUTED_VALUE"""),"No")</f>
        <v>No</v>
      </c>
      <c r="AL305" s="5" t="str">
        <f>IFERROR(__xludf.DUMMYFUNCTION("""COMPUTED_VALUE"""),"No")</f>
        <v>No</v>
      </c>
      <c r="AM305" s="5"/>
      <c r="AN305" s="5"/>
      <c r="AO305" s="5"/>
      <c r="AP305" s="5"/>
      <c r="AQ305" s="5"/>
      <c r="AR305" s="5"/>
      <c r="AS305" s="5"/>
      <c r="AT305" s="5"/>
      <c r="AU305" s="5"/>
      <c r="AV305" s="5"/>
      <c r="AW305" s="5"/>
      <c r="AX305" s="5"/>
      <c r="AY305" s="5"/>
    </row>
    <row r="306">
      <c r="A3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6" s="5">
        <f>IFERROR(__xludf.DUMMYFUNCTION("""COMPUTED_VALUE"""),306.0)</f>
        <v>306</v>
      </c>
      <c r="C306" s="5">
        <f>IFERROR(__xludf.DUMMYFUNCTION("""COMPUTED_VALUE"""),305.0)</f>
        <v>305</v>
      </c>
      <c r="D306" s="5" t="str">
        <f>IFERROR(__xludf.DUMMYFUNCTION("""COMPUTED_VALUE"""),"MozzartsWorld")</f>
        <v>MozzartsWorld</v>
      </c>
      <c r="E306" s="5" t="str">
        <f>IFERROR(__xludf.DUMMYFUNCTION("""COMPUTED_VALUE"""),"Yes")</f>
        <v>Yes</v>
      </c>
      <c r="F306" s="5" t="str">
        <f>IFERROR(__xludf.DUMMYFUNCTION("""COMPUTED_VALUE"""),"Yes")</f>
        <v>Yes</v>
      </c>
      <c r="G306" s="5" t="str">
        <f>IFERROR(__xludf.DUMMYFUNCTION("""COMPUTED_VALUE"""),"Yes")</f>
        <v>Yes</v>
      </c>
      <c r="H306" s="5" t="str">
        <f>IFERROR(__xludf.DUMMYFUNCTION("""COMPUTED_VALUE"""),"Yes")</f>
        <v>Yes</v>
      </c>
      <c r="I306" s="5" t="str">
        <f>IFERROR(__xludf.DUMMYFUNCTION("""COMPUTED_VALUE"""),"Yes")</f>
        <v>Yes</v>
      </c>
      <c r="J306" s="5" t="str">
        <f>IFERROR(__xludf.DUMMYFUNCTION("""COMPUTED_VALUE"""),"Yes")</f>
        <v>Yes</v>
      </c>
      <c r="K306" s="5" t="str">
        <f>IFERROR(__xludf.DUMMYFUNCTION("""COMPUTED_VALUE"""),"Yes")</f>
        <v>Yes</v>
      </c>
      <c r="L306" s="5" t="str">
        <f>IFERROR(__xludf.DUMMYFUNCTION("""COMPUTED_VALUE"""),"Yes")</f>
        <v>Yes</v>
      </c>
      <c r="M306" s="5" t="str">
        <f>IFERROR(__xludf.DUMMYFUNCTION("""COMPUTED_VALUE"""),"Yes")</f>
        <v>Yes</v>
      </c>
      <c r="N306" s="5" t="str">
        <f>IFERROR(__xludf.DUMMYFUNCTION("""COMPUTED_VALUE"""),"Yes")</f>
        <v>Yes</v>
      </c>
      <c r="O306" s="5" t="str">
        <f>IFERROR(__xludf.DUMMYFUNCTION("""COMPUTED_VALUE"""),"Yes")</f>
        <v>Yes</v>
      </c>
      <c r="P306" s="5" t="str">
        <f>IFERROR(__xludf.DUMMYFUNCTION("""COMPUTED_VALUE"""),"Yes")</f>
        <v>Yes</v>
      </c>
      <c r="Q306" s="5" t="str">
        <f>IFERROR(__xludf.DUMMYFUNCTION("""COMPUTED_VALUE"""),"Yes")</f>
        <v>Yes</v>
      </c>
      <c r="R306" s="5" t="str">
        <f>IFERROR(__xludf.DUMMYFUNCTION("""COMPUTED_VALUE"""),"Yes")</f>
        <v>Yes</v>
      </c>
      <c r="S306" s="5" t="str">
        <f>IFERROR(__xludf.DUMMYFUNCTION("""COMPUTED_VALUE"""),"Yes")</f>
        <v>Yes</v>
      </c>
      <c r="T306" s="5" t="str">
        <f>IFERROR(__xludf.DUMMYFUNCTION("""COMPUTED_VALUE"""),"Yes")</f>
        <v>Yes</v>
      </c>
      <c r="U306" s="5" t="str">
        <f>IFERROR(__xludf.DUMMYFUNCTION("""COMPUTED_VALUE"""),"Yes")</f>
        <v>Yes</v>
      </c>
      <c r="V306" s="5" t="str">
        <f>IFERROR(__xludf.DUMMYFUNCTION("""COMPUTED_VALUE"""),"Yes")</f>
        <v>Yes</v>
      </c>
      <c r="W306" s="5" t="str">
        <f>IFERROR(__xludf.DUMMYFUNCTION("""COMPUTED_VALUE"""),"Yes")</f>
        <v>Yes</v>
      </c>
      <c r="X306" s="5" t="str">
        <f>IFERROR(__xludf.DUMMYFUNCTION("""COMPUTED_VALUE"""),"Yes")</f>
        <v>Yes</v>
      </c>
      <c r="Y306" s="5" t="str">
        <f>IFERROR(__xludf.DUMMYFUNCTION("""COMPUTED_VALUE"""),"Yes")</f>
        <v>Yes</v>
      </c>
      <c r="Z306" s="5" t="str">
        <f>IFERROR(__xludf.DUMMYFUNCTION("""COMPUTED_VALUE"""),"No")</f>
        <v>No</v>
      </c>
      <c r="AA306" s="5" t="str">
        <f>IFERROR(__xludf.DUMMYFUNCTION("""COMPUTED_VALUE"""),"Yes")</f>
        <v>Yes</v>
      </c>
      <c r="AB306" s="5" t="str">
        <f>IFERROR(__xludf.DUMMYFUNCTION("""COMPUTED_VALUE"""),"Yes")</f>
        <v>Yes</v>
      </c>
      <c r="AC306" s="5" t="str">
        <f>IFERROR(__xludf.DUMMYFUNCTION("""COMPUTED_VALUE"""),"Yes")</f>
        <v>Yes</v>
      </c>
      <c r="AD306" s="5" t="str">
        <f>IFERROR(__xludf.DUMMYFUNCTION("""COMPUTED_VALUE"""),"Yes")</f>
        <v>Yes</v>
      </c>
      <c r="AE306" s="5" t="str">
        <f>IFERROR(__xludf.DUMMYFUNCTION("""COMPUTED_VALUE"""),"No")</f>
        <v>No</v>
      </c>
      <c r="AF306" s="5" t="str">
        <f>IFERROR(__xludf.DUMMYFUNCTION("""COMPUTED_VALUE"""),"Yes")</f>
        <v>Yes</v>
      </c>
      <c r="AG306" s="5" t="str">
        <f>IFERROR(__xludf.DUMMYFUNCTION("""COMPUTED_VALUE"""),"No")</f>
        <v>No</v>
      </c>
      <c r="AH306" s="5" t="str">
        <f>IFERROR(__xludf.DUMMYFUNCTION("""COMPUTED_VALUE"""),"No")</f>
        <v>No</v>
      </c>
      <c r="AI306" s="5" t="str">
        <f>IFERROR(__xludf.DUMMYFUNCTION("""COMPUTED_VALUE"""),"No")</f>
        <v>No</v>
      </c>
      <c r="AJ306" s="5" t="str">
        <f>IFERROR(__xludf.DUMMYFUNCTION("""COMPUTED_VALUE"""),"No")</f>
        <v>No</v>
      </c>
      <c r="AK306" s="5" t="str">
        <f>IFERROR(__xludf.DUMMYFUNCTION("""COMPUTED_VALUE"""),"No")</f>
        <v>No</v>
      </c>
      <c r="AL306" s="5" t="str">
        <f>IFERROR(__xludf.DUMMYFUNCTION("""COMPUTED_VALUE"""),"No")</f>
        <v>No</v>
      </c>
      <c r="AM306" s="5"/>
      <c r="AN306" s="5"/>
      <c r="AO306" s="5"/>
      <c r="AP306" s="5"/>
      <c r="AQ306" s="5"/>
      <c r="AR306" s="5"/>
      <c r="AS306" s="5"/>
      <c r="AT306" s="5"/>
      <c r="AU306" s="5"/>
      <c r="AV306" s="5"/>
      <c r="AW306" s="5"/>
      <c r="AX306" s="5"/>
      <c r="AY306" s="5"/>
    </row>
    <row r="307">
      <c r="A3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7" s="5">
        <f>IFERROR(__xludf.DUMMYFUNCTION("""COMPUTED_VALUE"""),307.0)</f>
        <v>307</v>
      </c>
      <c r="C307" s="5">
        <f>IFERROR(__xludf.DUMMYFUNCTION("""COMPUTED_VALUE"""),306.0)</f>
        <v>306</v>
      </c>
      <c r="D307" s="5" t="str">
        <f>IFERROR(__xludf.DUMMYFUNCTION("""COMPUTED_VALUE"""),"BookOfMozzart")</f>
        <v>BookOfMozzart</v>
      </c>
      <c r="E307" s="5" t="str">
        <f>IFERROR(__xludf.DUMMYFUNCTION("""COMPUTED_VALUE"""),"Yes")</f>
        <v>Yes</v>
      </c>
      <c r="F307" s="5" t="str">
        <f>IFERROR(__xludf.DUMMYFUNCTION("""COMPUTED_VALUE"""),"Yes")</f>
        <v>Yes</v>
      </c>
      <c r="G307" s="5" t="str">
        <f>IFERROR(__xludf.DUMMYFUNCTION("""COMPUTED_VALUE"""),"Yes")</f>
        <v>Yes</v>
      </c>
      <c r="H307" s="5" t="str">
        <f>IFERROR(__xludf.DUMMYFUNCTION("""COMPUTED_VALUE"""),"Yes")</f>
        <v>Yes</v>
      </c>
      <c r="I307" s="5" t="str">
        <f>IFERROR(__xludf.DUMMYFUNCTION("""COMPUTED_VALUE"""),"Yes")</f>
        <v>Yes</v>
      </c>
      <c r="J307" s="5" t="str">
        <f>IFERROR(__xludf.DUMMYFUNCTION("""COMPUTED_VALUE"""),"Yes")</f>
        <v>Yes</v>
      </c>
      <c r="K307" s="5" t="str">
        <f>IFERROR(__xludf.DUMMYFUNCTION("""COMPUTED_VALUE"""),"Yes")</f>
        <v>Yes</v>
      </c>
      <c r="L307" s="5" t="str">
        <f>IFERROR(__xludf.DUMMYFUNCTION("""COMPUTED_VALUE"""),"Yes")</f>
        <v>Yes</v>
      </c>
      <c r="M307" s="5" t="str">
        <f>IFERROR(__xludf.DUMMYFUNCTION("""COMPUTED_VALUE"""),"Yes")</f>
        <v>Yes</v>
      </c>
      <c r="N307" s="5" t="str">
        <f>IFERROR(__xludf.DUMMYFUNCTION("""COMPUTED_VALUE"""),"Yes")</f>
        <v>Yes</v>
      </c>
      <c r="O307" s="5" t="str">
        <f>IFERROR(__xludf.DUMMYFUNCTION("""COMPUTED_VALUE"""),"Yes")</f>
        <v>Yes</v>
      </c>
      <c r="P307" s="5" t="str">
        <f>IFERROR(__xludf.DUMMYFUNCTION("""COMPUTED_VALUE"""),"Yes")</f>
        <v>Yes</v>
      </c>
      <c r="Q307" s="5" t="str">
        <f>IFERROR(__xludf.DUMMYFUNCTION("""COMPUTED_VALUE"""),"Yes")</f>
        <v>Yes</v>
      </c>
      <c r="R307" s="5" t="str">
        <f>IFERROR(__xludf.DUMMYFUNCTION("""COMPUTED_VALUE"""),"Yes")</f>
        <v>Yes</v>
      </c>
      <c r="S307" s="5" t="str">
        <f>IFERROR(__xludf.DUMMYFUNCTION("""COMPUTED_VALUE"""),"Yes")</f>
        <v>Yes</v>
      </c>
      <c r="T307" s="5" t="str">
        <f>IFERROR(__xludf.DUMMYFUNCTION("""COMPUTED_VALUE"""),"Yes")</f>
        <v>Yes</v>
      </c>
      <c r="U307" s="5" t="str">
        <f>IFERROR(__xludf.DUMMYFUNCTION("""COMPUTED_VALUE"""),"Yes")</f>
        <v>Yes</v>
      </c>
      <c r="V307" s="5" t="str">
        <f>IFERROR(__xludf.DUMMYFUNCTION("""COMPUTED_VALUE"""),"Yes")</f>
        <v>Yes</v>
      </c>
      <c r="W307" s="5" t="str">
        <f>IFERROR(__xludf.DUMMYFUNCTION("""COMPUTED_VALUE"""),"Yes")</f>
        <v>Yes</v>
      </c>
      <c r="X307" s="5" t="str">
        <f>IFERROR(__xludf.DUMMYFUNCTION("""COMPUTED_VALUE"""),"Yes")</f>
        <v>Yes</v>
      </c>
      <c r="Y307" s="5" t="str">
        <f>IFERROR(__xludf.DUMMYFUNCTION("""COMPUTED_VALUE"""),"Yes")</f>
        <v>Yes</v>
      </c>
      <c r="Z307" s="5" t="str">
        <f>IFERROR(__xludf.DUMMYFUNCTION("""COMPUTED_VALUE"""),"No")</f>
        <v>No</v>
      </c>
      <c r="AA307" s="5" t="str">
        <f>IFERROR(__xludf.DUMMYFUNCTION("""COMPUTED_VALUE"""),"Yes")</f>
        <v>Yes</v>
      </c>
      <c r="AB307" s="5" t="str">
        <f>IFERROR(__xludf.DUMMYFUNCTION("""COMPUTED_VALUE"""),"Yes")</f>
        <v>Yes</v>
      </c>
      <c r="AC307" s="5" t="str">
        <f>IFERROR(__xludf.DUMMYFUNCTION("""COMPUTED_VALUE"""),"Yes")</f>
        <v>Yes</v>
      </c>
      <c r="AD307" s="5" t="str">
        <f>IFERROR(__xludf.DUMMYFUNCTION("""COMPUTED_VALUE"""),"Yes")</f>
        <v>Yes</v>
      </c>
      <c r="AE307" s="5" t="str">
        <f>IFERROR(__xludf.DUMMYFUNCTION("""COMPUTED_VALUE"""),"No")</f>
        <v>No</v>
      </c>
      <c r="AF307" s="5" t="str">
        <f>IFERROR(__xludf.DUMMYFUNCTION("""COMPUTED_VALUE"""),"Yes")</f>
        <v>Yes</v>
      </c>
      <c r="AG307" s="5" t="str">
        <f>IFERROR(__xludf.DUMMYFUNCTION("""COMPUTED_VALUE"""),"No")</f>
        <v>No</v>
      </c>
      <c r="AH307" s="5" t="str">
        <f>IFERROR(__xludf.DUMMYFUNCTION("""COMPUTED_VALUE"""),"No")</f>
        <v>No</v>
      </c>
      <c r="AI307" s="5" t="str">
        <f>IFERROR(__xludf.DUMMYFUNCTION("""COMPUTED_VALUE"""),"No")</f>
        <v>No</v>
      </c>
      <c r="AJ307" s="5" t="str">
        <f>IFERROR(__xludf.DUMMYFUNCTION("""COMPUTED_VALUE"""),"No")</f>
        <v>No</v>
      </c>
      <c r="AK307" s="5" t="str">
        <f>IFERROR(__xludf.DUMMYFUNCTION("""COMPUTED_VALUE"""),"No")</f>
        <v>No</v>
      </c>
      <c r="AL307" s="5" t="str">
        <f>IFERROR(__xludf.DUMMYFUNCTION("""COMPUTED_VALUE"""),"No")</f>
        <v>No</v>
      </c>
      <c r="AM307" s="5"/>
      <c r="AN307" s="5"/>
      <c r="AO307" s="5"/>
      <c r="AP307" s="5"/>
      <c r="AQ307" s="5"/>
      <c r="AR307" s="5"/>
      <c r="AS307" s="5"/>
      <c r="AT307" s="5"/>
      <c r="AU307" s="5"/>
      <c r="AV307" s="5"/>
      <c r="AW307" s="5"/>
      <c r="AX307" s="5"/>
      <c r="AY307" s="5"/>
    </row>
    <row r="308">
      <c r="A3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8" s="5">
        <f>IFERROR(__xludf.DUMMYFUNCTION("""COMPUTED_VALUE"""),308.0)</f>
        <v>308</v>
      </c>
      <c r="C308" s="5">
        <f>IFERROR(__xludf.DUMMYFUNCTION("""COMPUTED_VALUE"""),307.0)</f>
        <v>307</v>
      </c>
      <c r="D308" s="5" t="str">
        <f>IFERROR(__xludf.DUMMYFUNCTION("""COMPUTED_VALUE"""),"LuckyMozzart")</f>
        <v>LuckyMozzart</v>
      </c>
      <c r="E308" s="5" t="str">
        <f>IFERROR(__xludf.DUMMYFUNCTION("""COMPUTED_VALUE"""),"Yes")</f>
        <v>Yes</v>
      </c>
      <c r="F308" s="5" t="str">
        <f>IFERROR(__xludf.DUMMYFUNCTION("""COMPUTED_VALUE"""),"Yes")</f>
        <v>Yes</v>
      </c>
      <c r="G308" s="5" t="str">
        <f>IFERROR(__xludf.DUMMYFUNCTION("""COMPUTED_VALUE"""),"Yes")</f>
        <v>Yes</v>
      </c>
      <c r="H308" s="5" t="str">
        <f>IFERROR(__xludf.DUMMYFUNCTION("""COMPUTED_VALUE"""),"Yes")</f>
        <v>Yes</v>
      </c>
      <c r="I308" s="5" t="str">
        <f>IFERROR(__xludf.DUMMYFUNCTION("""COMPUTED_VALUE"""),"Yes")</f>
        <v>Yes</v>
      </c>
      <c r="J308" s="5" t="str">
        <f>IFERROR(__xludf.DUMMYFUNCTION("""COMPUTED_VALUE"""),"Yes")</f>
        <v>Yes</v>
      </c>
      <c r="K308" s="5" t="str">
        <f>IFERROR(__xludf.DUMMYFUNCTION("""COMPUTED_VALUE"""),"Yes")</f>
        <v>Yes</v>
      </c>
      <c r="L308" s="5" t="str">
        <f>IFERROR(__xludf.DUMMYFUNCTION("""COMPUTED_VALUE"""),"Yes")</f>
        <v>Yes</v>
      </c>
      <c r="M308" s="5" t="str">
        <f>IFERROR(__xludf.DUMMYFUNCTION("""COMPUTED_VALUE"""),"Yes")</f>
        <v>Yes</v>
      </c>
      <c r="N308" s="5" t="str">
        <f>IFERROR(__xludf.DUMMYFUNCTION("""COMPUTED_VALUE"""),"Yes")</f>
        <v>Yes</v>
      </c>
      <c r="O308" s="5" t="str">
        <f>IFERROR(__xludf.DUMMYFUNCTION("""COMPUTED_VALUE"""),"Yes")</f>
        <v>Yes</v>
      </c>
      <c r="P308" s="5" t="str">
        <f>IFERROR(__xludf.DUMMYFUNCTION("""COMPUTED_VALUE"""),"Yes")</f>
        <v>Yes</v>
      </c>
      <c r="Q308" s="5" t="str">
        <f>IFERROR(__xludf.DUMMYFUNCTION("""COMPUTED_VALUE"""),"Yes")</f>
        <v>Yes</v>
      </c>
      <c r="R308" s="5" t="str">
        <f>IFERROR(__xludf.DUMMYFUNCTION("""COMPUTED_VALUE"""),"Yes")</f>
        <v>Yes</v>
      </c>
      <c r="S308" s="5" t="str">
        <f>IFERROR(__xludf.DUMMYFUNCTION("""COMPUTED_VALUE"""),"Yes")</f>
        <v>Yes</v>
      </c>
      <c r="T308" s="5" t="str">
        <f>IFERROR(__xludf.DUMMYFUNCTION("""COMPUTED_VALUE"""),"Yes")</f>
        <v>Yes</v>
      </c>
      <c r="U308" s="5" t="str">
        <f>IFERROR(__xludf.DUMMYFUNCTION("""COMPUTED_VALUE"""),"Yes")</f>
        <v>Yes</v>
      </c>
      <c r="V308" s="5" t="str">
        <f>IFERROR(__xludf.DUMMYFUNCTION("""COMPUTED_VALUE"""),"Yes")</f>
        <v>Yes</v>
      </c>
      <c r="W308" s="5" t="str">
        <f>IFERROR(__xludf.DUMMYFUNCTION("""COMPUTED_VALUE"""),"Yes")</f>
        <v>Yes</v>
      </c>
      <c r="X308" s="5" t="str">
        <f>IFERROR(__xludf.DUMMYFUNCTION("""COMPUTED_VALUE"""),"Yes")</f>
        <v>Yes</v>
      </c>
      <c r="Y308" s="5" t="str">
        <f>IFERROR(__xludf.DUMMYFUNCTION("""COMPUTED_VALUE"""),"Yes")</f>
        <v>Yes</v>
      </c>
      <c r="Z308" s="5" t="str">
        <f>IFERROR(__xludf.DUMMYFUNCTION("""COMPUTED_VALUE"""),"No")</f>
        <v>No</v>
      </c>
      <c r="AA308" s="5" t="str">
        <f>IFERROR(__xludf.DUMMYFUNCTION("""COMPUTED_VALUE"""),"Yes")</f>
        <v>Yes</v>
      </c>
      <c r="AB308" s="5" t="str">
        <f>IFERROR(__xludf.DUMMYFUNCTION("""COMPUTED_VALUE"""),"Yes")</f>
        <v>Yes</v>
      </c>
      <c r="AC308" s="5" t="str">
        <f>IFERROR(__xludf.DUMMYFUNCTION("""COMPUTED_VALUE"""),"Yes")</f>
        <v>Yes</v>
      </c>
      <c r="AD308" s="5" t="str">
        <f>IFERROR(__xludf.DUMMYFUNCTION("""COMPUTED_VALUE"""),"Yes")</f>
        <v>Yes</v>
      </c>
      <c r="AE308" s="5" t="str">
        <f>IFERROR(__xludf.DUMMYFUNCTION("""COMPUTED_VALUE"""),"No")</f>
        <v>No</v>
      </c>
      <c r="AF308" s="5" t="str">
        <f>IFERROR(__xludf.DUMMYFUNCTION("""COMPUTED_VALUE"""),"Yes")</f>
        <v>Yes</v>
      </c>
      <c r="AG308" s="5" t="str">
        <f>IFERROR(__xludf.DUMMYFUNCTION("""COMPUTED_VALUE"""),"No")</f>
        <v>No</v>
      </c>
      <c r="AH308" s="5" t="str">
        <f>IFERROR(__xludf.DUMMYFUNCTION("""COMPUTED_VALUE"""),"No")</f>
        <v>No</v>
      </c>
      <c r="AI308" s="5" t="str">
        <f>IFERROR(__xludf.DUMMYFUNCTION("""COMPUTED_VALUE"""),"No")</f>
        <v>No</v>
      </c>
      <c r="AJ308" s="5" t="str">
        <f>IFERROR(__xludf.DUMMYFUNCTION("""COMPUTED_VALUE"""),"No")</f>
        <v>No</v>
      </c>
      <c r="AK308" s="5" t="str">
        <f>IFERROR(__xludf.DUMMYFUNCTION("""COMPUTED_VALUE"""),"No")</f>
        <v>No</v>
      </c>
      <c r="AL308" s="5" t="str">
        <f>IFERROR(__xludf.DUMMYFUNCTION("""COMPUTED_VALUE"""),"No")</f>
        <v>No</v>
      </c>
      <c r="AM308" s="5"/>
      <c r="AN308" s="5"/>
      <c r="AO308" s="5"/>
      <c r="AP308" s="5"/>
      <c r="AQ308" s="5"/>
      <c r="AR308" s="5"/>
      <c r="AS308" s="5"/>
      <c r="AT308" s="5"/>
      <c r="AU308" s="5"/>
      <c r="AV308" s="5"/>
      <c r="AW308" s="5"/>
      <c r="AX308" s="5"/>
      <c r="AY308" s="5"/>
    </row>
    <row r="309">
      <c r="A3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9" s="5">
        <f>IFERROR(__xludf.DUMMYFUNCTION("""COMPUTED_VALUE"""),309.0)</f>
        <v>309</v>
      </c>
      <c r="C309" s="5">
        <f>IFERROR(__xludf.DUMMYFUNCTION("""COMPUTED_VALUE"""),308.0)</f>
        <v>308</v>
      </c>
      <c r="D309" s="5" t="str">
        <f>IFERROR(__xludf.DUMMYFUNCTION("""COMPUTED_VALUE"""),"RedstoneLadyTripleFortune")</f>
        <v>RedstoneLadyTripleFortune</v>
      </c>
      <c r="E309" s="5" t="str">
        <f>IFERROR(__xludf.DUMMYFUNCTION("""COMPUTED_VALUE"""),"Yes")</f>
        <v>Yes</v>
      </c>
      <c r="F309" s="5" t="str">
        <f>IFERROR(__xludf.DUMMYFUNCTION("""COMPUTED_VALUE"""),"Yes")</f>
        <v>Yes</v>
      </c>
      <c r="G309" s="5" t="str">
        <f>IFERROR(__xludf.DUMMYFUNCTION("""COMPUTED_VALUE"""),"Yes")</f>
        <v>Yes</v>
      </c>
      <c r="H309" s="5" t="str">
        <f>IFERROR(__xludf.DUMMYFUNCTION("""COMPUTED_VALUE"""),"Yes")</f>
        <v>Yes</v>
      </c>
      <c r="I309" s="5" t="str">
        <f>IFERROR(__xludf.DUMMYFUNCTION("""COMPUTED_VALUE"""),"Yes")</f>
        <v>Yes</v>
      </c>
      <c r="J309" s="5" t="str">
        <f>IFERROR(__xludf.DUMMYFUNCTION("""COMPUTED_VALUE"""),"Yes")</f>
        <v>Yes</v>
      </c>
      <c r="K309" s="5" t="str">
        <f>IFERROR(__xludf.DUMMYFUNCTION("""COMPUTED_VALUE"""),"Yes")</f>
        <v>Yes</v>
      </c>
      <c r="L309" s="5" t="str">
        <f>IFERROR(__xludf.DUMMYFUNCTION("""COMPUTED_VALUE"""),"Yes")</f>
        <v>Yes</v>
      </c>
      <c r="M309" s="5" t="str">
        <f>IFERROR(__xludf.DUMMYFUNCTION("""COMPUTED_VALUE"""),"Yes")</f>
        <v>Yes</v>
      </c>
      <c r="N309" s="5" t="str">
        <f>IFERROR(__xludf.DUMMYFUNCTION("""COMPUTED_VALUE"""),"Yes")</f>
        <v>Yes</v>
      </c>
      <c r="O309" s="5" t="str">
        <f>IFERROR(__xludf.DUMMYFUNCTION("""COMPUTED_VALUE"""),"Yes")</f>
        <v>Yes</v>
      </c>
      <c r="P309" s="5" t="str">
        <f>IFERROR(__xludf.DUMMYFUNCTION("""COMPUTED_VALUE"""),"Yes")</f>
        <v>Yes</v>
      </c>
      <c r="Q309" s="5" t="str">
        <f>IFERROR(__xludf.DUMMYFUNCTION("""COMPUTED_VALUE"""),"Yes")</f>
        <v>Yes</v>
      </c>
      <c r="R309" s="5" t="str">
        <f>IFERROR(__xludf.DUMMYFUNCTION("""COMPUTED_VALUE"""),"Yes")</f>
        <v>Yes</v>
      </c>
      <c r="S309" s="5" t="str">
        <f>IFERROR(__xludf.DUMMYFUNCTION("""COMPUTED_VALUE"""),"Yes")</f>
        <v>Yes</v>
      </c>
      <c r="T309" s="5" t="str">
        <f>IFERROR(__xludf.DUMMYFUNCTION("""COMPUTED_VALUE"""),"Yes")</f>
        <v>Yes</v>
      </c>
      <c r="U309" s="5" t="str">
        <f>IFERROR(__xludf.DUMMYFUNCTION("""COMPUTED_VALUE"""),"Yes")</f>
        <v>Yes</v>
      </c>
      <c r="V309" s="5" t="str">
        <f>IFERROR(__xludf.DUMMYFUNCTION("""COMPUTED_VALUE"""),"Yes")</f>
        <v>Yes</v>
      </c>
      <c r="W309" s="5" t="str">
        <f>IFERROR(__xludf.DUMMYFUNCTION("""COMPUTED_VALUE"""),"Yes")</f>
        <v>Yes</v>
      </c>
      <c r="X309" s="5"/>
      <c r="Y309" s="5"/>
      <c r="Z309" s="5"/>
      <c r="AA309" s="5"/>
      <c r="AB309" s="5"/>
      <c r="AC309" s="5" t="str">
        <f>IFERROR(__xludf.DUMMYFUNCTION("""COMPUTED_VALUE"""),"Yes")</f>
        <v>Yes</v>
      </c>
      <c r="AD309" s="5"/>
      <c r="AE309" s="5"/>
      <c r="AF309" s="5"/>
      <c r="AG309" s="5"/>
      <c r="AH309" s="5"/>
      <c r="AI309" s="5"/>
      <c r="AJ309" s="5"/>
      <c r="AK309" s="5"/>
      <c r="AL309" s="5"/>
      <c r="AM309" s="5"/>
      <c r="AN309" s="5"/>
      <c r="AO309" s="5"/>
      <c r="AP309" s="5"/>
      <c r="AQ309" s="5"/>
      <c r="AR309" s="5"/>
      <c r="AS309" s="5"/>
      <c r="AT309" s="5"/>
      <c r="AU309" s="5"/>
      <c r="AV309" s="5"/>
      <c r="AW309" s="5"/>
      <c r="AX309" s="5"/>
      <c r="AY309" s="5"/>
    </row>
    <row r="310">
      <c r="A31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0" s="5">
        <f>IFERROR(__xludf.DUMMYFUNCTION("""COMPUTED_VALUE"""),310.0)</f>
        <v>310</v>
      </c>
      <c r="C310" s="5">
        <f>IFERROR(__xludf.DUMMYFUNCTION("""COMPUTED_VALUE"""),309.0)</f>
        <v>309</v>
      </c>
      <c r="D310" s="5" t="str">
        <f>IFERROR(__xludf.DUMMYFUNCTION("""COMPUTED_VALUE"""),"RedstoneHotRushStarsDeluxe")</f>
        <v>RedstoneHotRushStarsDeluxe</v>
      </c>
      <c r="E310" s="5" t="str">
        <f>IFERROR(__xludf.DUMMYFUNCTION("""COMPUTED_VALUE"""),"Yes")</f>
        <v>Yes</v>
      </c>
      <c r="F310" s="5" t="str">
        <f>IFERROR(__xludf.DUMMYFUNCTION("""COMPUTED_VALUE"""),"Yes")</f>
        <v>Yes</v>
      </c>
      <c r="G310" s="5" t="str">
        <f>IFERROR(__xludf.DUMMYFUNCTION("""COMPUTED_VALUE"""),"No")</f>
        <v>No</v>
      </c>
      <c r="H310" s="5" t="str">
        <f>IFERROR(__xludf.DUMMYFUNCTION("""COMPUTED_VALUE"""),"Yes")</f>
        <v>Yes</v>
      </c>
      <c r="I310" s="5" t="str">
        <f>IFERROR(__xludf.DUMMYFUNCTION("""COMPUTED_VALUE"""),"Yes")</f>
        <v>Yes</v>
      </c>
      <c r="J310" s="5" t="str">
        <f>IFERROR(__xludf.DUMMYFUNCTION("""COMPUTED_VALUE"""),"Yes")</f>
        <v>Yes</v>
      </c>
      <c r="K310" s="5" t="str">
        <f>IFERROR(__xludf.DUMMYFUNCTION("""COMPUTED_VALUE"""),"Yes")</f>
        <v>Yes</v>
      </c>
      <c r="L310" s="5" t="str">
        <f>IFERROR(__xludf.DUMMYFUNCTION("""COMPUTED_VALUE"""),"Yes")</f>
        <v>Yes</v>
      </c>
      <c r="M310" s="5" t="str">
        <f>IFERROR(__xludf.DUMMYFUNCTION("""COMPUTED_VALUE"""),"Yes")</f>
        <v>Yes</v>
      </c>
      <c r="N310" s="5" t="str">
        <f>IFERROR(__xludf.DUMMYFUNCTION("""COMPUTED_VALUE"""),"Yes")</f>
        <v>Yes</v>
      </c>
      <c r="O310" s="5" t="str">
        <f>IFERROR(__xludf.DUMMYFUNCTION("""COMPUTED_VALUE"""),"Yes")</f>
        <v>Yes</v>
      </c>
      <c r="P310" s="5" t="str">
        <f>IFERROR(__xludf.DUMMYFUNCTION("""COMPUTED_VALUE"""),"Yes")</f>
        <v>Yes</v>
      </c>
      <c r="Q310" s="5" t="str">
        <f>IFERROR(__xludf.DUMMYFUNCTION("""COMPUTED_VALUE"""),"Yes")</f>
        <v>Yes</v>
      </c>
      <c r="R310" s="5" t="str">
        <f>IFERROR(__xludf.DUMMYFUNCTION("""COMPUTED_VALUE"""),"Yes")</f>
        <v>Yes</v>
      </c>
      <c r="S310" s="5" t="str">
        <f>IFERROR(__xludf.DUMMYFUNCTION("""COMPUTED_VALUE"""),"Yes")</f>
        <v>Yes</v>
      </c>
      <c r="T310" s="5" t="str">
        <f>IFERROR(__xludf.DUMMYFUNCTION("""COMPUTED_VALUE"""),"No")</f>
        <v>No</v>
      </c>
      <c r="U310" s="5" t="str">
        <f>IFERROR(__xludf.DUMMYFUNCTION("""COMPUTED_VALUE"""),"No")</f>
        <v>No</v>
      </c>
      <c r="V310" s="5" t="str">
        <f>IFERROR(__xludf.DUMMYFUNCTION("""COMPUTED_VALUE"""),"No")</f>
        <v>No</v>
      </c>
      <c r="W310" s="5" t="str">
        <f>IFERROR(__xludf.DUMMYFUNCTION("""COMPUTED_VALUE"""),"No")</f>
        <v>No</v>
      </c>
      <c r="X310" s="5" t="str">
        <f>IFERROR(__xludf.DUMMYFUNCTION("""COMPUTED_VALUE"""),"No")</f>
        <v>No</v>
      </c>
      <c r="Y310" s="5" t="str">
        <f>IFERROR(__xludf.DUMMYFUNCTION("""COMPUTED_VALUE"""),"No")</f>
        <v>No</v>
      </c>
      <c r="Z310" s="5" t="str">
        <f>IFERROR(__xludf.DUMMYFUNCTION("""COMPUTED_VALUE"""),"No")</f>
        <v>No</v>
      </c>
      <c r="AA310" s="5" t="str">
        <f>IFERROR(__xludf.DUMMYFUNCTION("""COMPUTED_VALUE"""),"No")</f>
        <v>No</v>
      </c>
      <c r="AB310" s="5" t="str">
        <f>IFERROR(__xludf.DUMMYFUNCTION("""COMPUTED_VALUE"""),"No")</f>
        <v>No</v>
      </c>
      <c r="AC310" s="5" t="str">
        <f>IFERROR(__xludf.DUMMYFUNCTION("""COMPUTED_VALUE"""),"No")</f>
        <v>No</v>
      </c>
      <c r="AD310" s="5" t="str">
        <f>IFERROR(__xludf.DUMMYFUNCTION("""COMPUTED_VALUE"""),"No")</f>
        <v>No</v>
      </c>
      <c r="AE310" s="5" t="str">
        <f>IFERROR(__xludf.DUMMYFUNCTION("""COMPUTED_VALUE"""),"No")</f>
        <v>No</v>
      </c>
      <c r="AF310" s="5" t="str">
        <f>IFERROR(__xludf.DUMMYFUNCTION("""COMPUTED_VALUE"""),"Yes")</f>
        <v>Yes</v>
      </c>
      <c r="AG310" s="5" t="str">
        <f>IFERROR(__xludf.DUMMYFUNCTION("""COMPUTED_VALUE"""),"No")</f>
        <v>No</v>
      </c>
      <c r="AH310" s="5" t="str">
        <f>IFERROR(__xludf.DUMMYFUNCTION("""COMPUTED_VALUE"""),"Yes")</f>
        <v>Yes</v>
      </c>
      <c r="AI310" s="5" t="str">
        <f>IFERROR(__xludf.DUMMYFUNCTION("""COMPUTED_VALUE"""),"No")</f>
        <v>No</v>
      </c>
      <c r="AJ310" s="5" t="str">
        <f>IFERROR(__xludf.DUMMYFUNCTION("""COMPUTED_VALUE"""),"No")</f>
        <v>No</v>
      </c>
      <c r="AK310" s="5" t="str">
        <f>IFERROR(__xludf.DUMMYFUNCTION("""COMPUTED_VALUE"""),"No")</f>
        <v>No</v>
      </c>
      <c r="AL310" s="5" t="str">
        <f>IFERROR(__xludf.DUMMYFUNCTION("""COMPUTED_VALUE"""),"No")</f>
        <v>No</v>
      </c>
      <c r="AM310" s="5"/>
      <c r="AN310" s="5"/>
      <c r="AO310" s="5"/>
      <c r="AP310" s="5"/>
      <c r="AQ310" s="5"/>
      <c r="AR310" s="5"/>
      <c r="AS310" s="5"/>
      <c r="AT310" s="5"/>
      <c r="AU310" s="5"/>
      <c r="AV310" s="5"/>
      <c r="AW310" s="5"/>
      <c r="AX310" s="5"/>
      <c r="AY310" s="5"/>
    </row>
    <row r="311">
      <c r="A3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1" s="5">
        <f>IFERROR(__xludf.DUMMYFUNCTION("""COMPUTED_VALUE"""),311.0)</f>
        <v>311</v>
      </c>
      <c r="C311" s="5">
        <f>IFERROR(__xludf.DUMMYFUNCTION("""COMPUTED_VALUE"""),310.0)</f>
        <v>310</v>
      </c>
      <c r="D311" s="5" t="str">
        <f>IFERROR(__xludf.DUMMYFUNCTION("""COMPUTED_VALUE"""),"Wild81")</f>
        <v>Wild81</v>
      </c>
      <c r="E311" s="5" t="str">
        <f>IFERROR(__xludf.DUMMYFUNCTION("""COMPUTED_VALUE"""),"Yes")</f>
        <v>Yes</v>
      </c>
      <c r="F311" s="5" t="str">
        <f>IFERROR(__xludf.DUMMYFUNCTION("""COMPUTED_VALUE"""),"Yes")</f>
        <v>Yes</v>
      </c>
      <c r="G311" s="5" t="str">
        <f>IFERROR(__xludf.DUMMYFUNCTION("""COMPUTED_VALUE"""),"Yes")</f>
        <v>Yes</v>
      </c>
      <c r="H311" s="5" t="str">
        <f>IFERROR(__xludf.DUMMYFUNCTION("""COMPUTED_VALUE"""),"Yes")</f>
        <v>Yes</v>
      </c>
      <c r="I311" s="5" t="str">
        <f>IFERROR(__xludf.DUMMYFUNCTION("""COMPUTED_VALUE"""),"Yes")</f>
        <v>Yes</v>
      </c>
      <c r="J311" s="5" t="str">
        <f>IFERROR(__xludf.DUMMYFUNCTION("""COMPUTED_VALUE"""),"Yes")</f>
        <v>Yes</v>
      </c>
      <c r="K311" s="5" t="str">
        <f>IFERROR(__xludf.DUMMYFUNCTION("""COMPUTED_VALUE"""),"Yes")</f>
        <v>Yes</v>
      </c>
      <c r="L311" s="5" t="str">
        <f>IFERROR(__xludf.DUMMYFUNCTION("""COMPUTED_VALUE"""),"Yes")</f>
        <v>Yes</v>
      </c>
      <c r="M311" s="5" t="str">
        <f>IFERROR(__xludf.DUMMYFUNCTION("""COMPUTED_VALUE"""),"Yes")</f>
        <v>Yes</v>
      </c>
      <c r="N311" s="5" t="str">
        <f>IFERROR(__xludf.DUMMYFUNCTION("""COMPUTED_VALUE"""),"Yes")</f>
        <v>Yes</v>
      </c>
      <c r="O311" s="5" t="str">
        <f>IFERROR(__xludf.DUMMYFUNCTION("""COMPUTED_VALUE"""),"Yes")</f>
        <v>Yes</v>
      </c>
      <c r="P311" s="5" t="str">
        <f>IFERROR(__xludf.DUMMYFUNCTION("""COMPUTED_VALUE"""),"Yes")</f>
        <v>Yes</v>
      </c>
      <c r="Q311" s="5" t="str">
        <f>IFERROR(__xludf.DUMMYFUNCTION("""COMPUTED_VALUE"""),"Yes")</f>
        <v>Yes</v>
      </c>
      <c r="R311" s="5" t="str">
        <f>IFERROR(__xludf.DUMMYFUNCTION("""COMPUTED_VALUE"""),"Yes")</f>
        <v>Yes</v>
      </c>
      <c r="S311" s="5" t="str">
        <f>IFERROR(__xludf.DUMMYFUNCTION("""COMPUTED_VALUE"""),"Yes")</f>
        <v>Yes</v>
      </c>
      <c r="T311" s="5" t="str">
        <f>IFERROR(__xludf.DUMMYFUNCTION("""COMPUTED_VALUE"""),"Yes")</f>
        <v>Yes</v>
      </c>
      <c r="U311" s="5" t="str">
        <f>IFERROR(__xludf.DUMMYFUNCTION("""COMPUTED_VALUE"""),"Yes")</f>
        <v>Yes</v>
      </c>
      <c r="V311" s="5" t="str">
        <f>IFERROR(__xludf.DUMMYFUNCTION("""COMPUTED_VALUE"""),"Yes")</f>
        <v>Yes</v>
      </c>
      <c r="W311" s="5" t="str">
        <f>IFERROR(__xludf.DUMMYFUNCTION("""COMPUTED_VALUE"""),"Yes")</f>
        <v>Yes</v>
      </c>
      <c r="X311" s="5" t="str">
        <f>IFERROR(__xludf.DUMMYFUNCTION("""COMPUTED_VALUE"""),"Yes")</f>
        <v>Yes</v>
      </c>
      <c r="Y311" s="5" t="str">
        <f>IFERROR(__xludf.DUMMYFUNCTION("""COMPUTED_VALUE"""),"Yes")</f>
        <v>Yes</v>
      </c>
      <c r="Z311" s="5" t="str">
        <f>IFERROR(__xludf.DUMMYFUNCTION("""COMPUTED_VALUE"""),"Yes")</f>
        <v>Yes</v>
      </c>
      <c r="AA311" s="5" t="str">
        <f>IFERROR(__xludf.DUMMYFUNCTION("""COMPUTED_VALUE"""),"Yes")</f>
        <v>Yes</v>
      </c>
      <c r="AB311" s="5" t="str">
        <f>IFERROR(__xludf.DUMMYFUNCTION("""COMPUTED_VALUE"""),"Yes")</f>
        <v>Yes</v>
      </c>
      <c r="AC311" s="5" t="str">
        <f>IFERROR(__xludf.DUMMYFUNCTION("""COMPUTED_VALUE"""),"Yes")</f>
        <v>Yes</v>
      </c>
      <c r="AD311" s="5" t="str">
        <f>IFERROR(__xludf.DUMMYFUNCTION("""COMPUTED_VALUE"""),"Yes")</f>
        <v>Yes</v>
      </c>
      <c r="AE311" s="5" t="str">
        <f>IFERROR(__xludf.DUMMYFUNCTION("""COMPUTED_VALUE"""),"Yes")</f>
        <v>Yes</v>
      </c>
      <c r="AF311" s="5" t="str">
        <f>IFERROR(__xludf.DUMMYFUNCTION("""COMPUTED_VALUE"""),"Yes")</f>
        <v>Yes</v>
      </c>
      <c r="AG311" s="5" t="str">
        <f>IFERROR(__xludf.DUMMYFUNCTION("""COMPUTED_VALUE"""),"Yes")</f>
        <v>Yes</v>
      </c>
      <c r="AH311" s="5" t="str">
        <f>IFERROR(__xludf.DUMMYFUNCTION("""COMPUTED_VALUE"""),"Yes")</f>
        <v>Yes</v>
      </c>
      <c r="AI311" s="5" t="str">
        <f>IFERROR(__xludf.DUMMYFUNCTION("""COMPUTED_VALUE"""),"No")</f>
        <v>No</v>
      </c>
      <c r="AJ311" s="5" t="str">
        <f>IFERROR(__xludf.DUMMYFUNCTION("""COMPUTED_VALUE"""),"No")</f>
        <v>No</v>
      </c>
      <c r="AK311" s="5" t="str">
        <f>IFERROR(__xludf.DUMMYFUNCTION("""COMPUTED_VALUE"""),"No")</f>
        <v>No</v>
      </c>
      <c r="AL311" s="5" t="str">
        <f>IFERROR(__xludf.DUMMYFUNCTION("""COMPUTED_VALUE"""),"No")</f>
        <v>No</v>
      </c>
      <c r="AM311" s="5"/>
      <c r="AN311" s="5"/>
      <c r="AO311" s="5"/>
      <c r="AP311" s="5"/>
      <c r="AQ311" s="5"/>
      <c r="AR311" s="5"/>
      <c r="AS311" s="5"/>
      <c r="AT311" s="5"/>
      <c r="AU311" s="5"/>
      <c r="AV311" s="5"/>
      <c r="AW311" s="5"/>
      <c r="AX311" s="5"/>
      <c r="AY311" s="5"/>
    </row>
    <row r="312">
      <c r="A3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2" s="5">
        <f>IFERROR(__xludf.DUMMYFUNCTION("""COMPUTED_VALUE"""),312.0)</f>
        <v>312</v>
      </c>
      <c r="C312" s="5">
        <f>IFERROR(__xludf.DUMMYFUNCTION("""COMPUTED_VALUE"""),311.0)</f>
        <v>311</v>
      </c>
      <c r="D312" s="5" t="str">
        <f>IFERROR(__xludf.DUMMYFUNCTION("""COMPUTED_VALUE"""),"MysticJungle")</f>
        <v>MysticJungle</v>
      </c>
      <c r="E312" s="5" t="str">
        <f>IFERROR(__xludf.DUMMYFUNCTION("""COMPUTED_VALUE"""),"Yes")</f>
        <v>Yes</v>
      </c>
      <c r="F312" s="5" t="str">
        <f>IFERROR(__xludf.DUMMYFUNCTION("""COMPUTED_VALUE"""),"Yes")</f>
        <v>Yes</v>
      </c>
      <c r="G312" s="5" t="str">
        <f>IFERROR(__xludf.DUMMYFUNCTION("""COMPUTED_VALUE"""),"Yes")</f>
        <v>Yes</v>
      </c>
      <c r="H312" s="5" t="str">
        <f>IFERROR(__xludf.DUMMYFUNCTION("""COMPUTED_VALUE"""),"Yes")</f>
        <v>Yes</v>
      </c>
      <c r="I312" s="5" t="str">
        <f>IFERROR(__xludf.DUMMYFUNCTION("""COMPUTED_VALUE"""),"Yes")</f>
        <v>Yes</v>
      </c>
      <c r="J312" s="5" t="str">
        <f>IFERROR(__xludf.DUMMYFUNCTION("""COMPUTED_VALUE"""),"Yes")</f>
        <v>Yes</v>
      </c>
      <c r="K312" s="5" t="str">
        <f>IFERROR(__xludf.DUMMYFUNCTION("""COMPUTED_VALUE"""),"Yes")</f>
        <v>Yes</v>
      </c>
      <c r="L312" s="5" t="str">
        <f>IFERROR(__xludf.DUMMYFUNCTION("""COMPUTED_VALUE"""),"Yes")</f>
        <v>Yes</v>
      </c>
      <c r="M312" s="5" t="str">
        <f>IFERROR(__xludf.DUMMYFUNCTION("""COMPUTED_VALUE"""),"Yes")</f>
        <v>Yes</v>
      </c>
      <c r="N312" s="5" t="str">
        <f>IFERROR(__xludf.DUMMYFUNCTION("""COMPUTED_VALUE"""),"Yes")</f>
        <v>Yes</v>
      </c>
      <c r="O312" s="5" t="str">
        <f>IFERROR(__xludf.DUMMYFUNCTION("""COMPUTED_VALUE"""),"Yes")</f>
        <v>Yes</v>
      </c>
      <c r="P312" s="5" t="str">
        <f>IFERROR(__xludf.DUMMYFUNCTION("""COMPUTED_VALUE"""),"Yes")</f>
        <v>Yes</v>
      </c>
      <c r="Q312" s="5" t="str">
        <f>IFERROR(__xludf.DUMMYFUNCTION("""COMPUTED_VALUE"""),"Yes")</f>
        <v>Yes</v>
      </c>
      <c r="R312" s="5" t="str">
        <f>IFERROR(__xludf.DUMMYFUNCTION("""COMPUTED_VALUE"""),"Yes")</f>
        <v>Yes</v>
      </c>
      <c r="S312" s="5" t="str">
        <f>IFERROR(__xludf.DUMMYFUNCTION("""COMPUTED_VALUE"""),"Yes")</f>
        <v>Yes</v>
      </c>
      <c r="T312" s="5" t="str">
        <f>IFERROR(__xludf.DUMMYFUNCTION("""COMPUTED_VALUE"""),"Yes")</f>
        <v>Yes</v>
      </c>
      <c r="U312" s="5" t="str">
        <f>IFERROR(__xludf.DUMMYFUNCTION("""COMPUTED_VALUE"""),"Yes")</f>
        <v>Yes</v>
      </c>
      <c r="V312" s="5" t="str">
        <f>IFERROR(__xludf.DUMMYFUNCTION("""COMPUTED_VALUE"""),"Yes")</f>
        <v>Yes</v>
      </c>
      <c r="W312" s="5" t="str">
        <f>IFERROR(__xludf.DUMMYFUNCTION("""COMPUTED_VALUE"""),"Yes")</f>
        <v>Yes</v>
      </c>
      <c r="X312" s="5" t="str">
        <f>IFERROR(__xludf.DUMMYFUNCTION("""COMPUTED_VALUE"""),"Yes")</f>
        <v>Yes</v>
      </c>
      <c r="Y312" s="5" t="str">
        <f>IFERROR(__xludf.DUMMYFUNCTION("""COMPUTED_VALUE"""),"Yes")</f>
        <v>Yes</v>
      </c>
      <c r="Z312" s="5" t="str">
        <f>IFERROR(__xludf.DUMMYFUNCTION("""COMPUTED_VALUE"""),"Yes")</f>
        <v>Yes</v>
      </c>
      <c r="AA312" s="5" t="str">
        <f>IFERROR(__xludf.DUMMYFUNCTION("""COMPUTED_VALUE"""),"Yes")</f>
        <v>Yes</v>
      </c>
      <c r="AB312" s="5" t="str">
        <f>IFERROR(__xludf.DUMMYFUNCTION("""COMPUTED_VALUE"""),"Yes")</f>
        <v>Yes</v>
      </c>
      <c r="AC312" s="5" t="str">
        <f>IFERROR(__xludf.DUMMYFUNCTION("""COMPUTED_VALUE"""),"Yes")</f>
        <v>Yes</v>
      </c>
      <c r="AD312" s="5" t="str">
        <f>IFERROR(__xludf.DUMMYFUNCTION("""COMPUTED_VALUE"""),"Yes")</f>
        <v>Yes</v>
      </c>
      <c r="AE312" s="5" t="str">
        <f>IFERROR(__xludf.DUMMYFUNCTION("""COMPUTED_VALUE"""),"Yes")</f>
        <v>Yes</v>
      </c>
      <c r="AF312" s="5" t="str">
        <f>IFERROR(__xludf.DUMMYFUNCTION("""COMPUTED_VALUE"""),"Yes")</f>
        <v>Yes</v>
      </c>
      <c r="AG312" s="5" t="str">
        <f>IFERROR(__xludf.DUMMYFUNCTION("""COMPUTED_VALUE"""),"Yes")</f>
        <v>Yes</v>
      </c>
      <c r="AH312" s="5" t="str">
        <f>IFERROR(__xludf.DUMMYFUNCTION("""COMPUTED_VALUE"""),"Yes")</f>
        <v>Yes</v>
      </c>
      <c r="AI312" s="5" t="str">
        <f>IFERROR(__xludf.DUMMYFUNCTION("""COMPUTED_VALUE"""),"No")</f>
        <v>No</v>
      </c>
      <c r="AJ312" s="5" t="str">
        <f>IFERROR(__xludf.DUMMYFUNCTION("""COMPUTED_VALUE"""),"No")</f>
        <v>No</v>
      </c>
      <c r="AK312" s="5" t="str">
        <f>IFERROR(__xludf.DUMMYFUNCTION("""COMPUTED_VALUE"""),"No")</f>
        <v>No</v>
      </c>
      <c r="AL312" s="5" t="str">
        <f>IFERROR(__xludf.DUMMYFUNCTION("""COMPUTED_VALUE"""),"No")</f>
        <v>No</v>
      </c>
      <c r="AM312" s="5"/>
      <c r="AN312" s="5"/>
      <c r="AO312" s="5"/>
      <c r="AP312" s="5"/>
      <c r="AQ312" s="5"/>
      <c r="AR312" s="5"/>
      <c r="AS312" s="5"/>
      <c r="AT312" s="5"/>
      <c r="AU312" s="5"/>
      <c r="AV312" s="5"/>
      <c r="AW312" s="5"/>
      <c r="AX312" s="5"/>
      <c r="AY312" s="5"/>
    </row>
    <row r="313">
      <c r="A3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13" s="5">
        <f>IFERROR(__xludf.DUMMYFUNCTION("""COMPUTED_VALUE"""),313.0)</f>
        <v>313</v>
      </c>
      <c r="C313" s="5">
        <f>IFERROR(__xludf.DUMMYFUNCTION("""COMPUTED_VALUE"""),312.0)</f>
        <v>312</v>
      </c>
      <c r="D313" s="5" t="str">
        <f>IFERROR(__xludf.DUMMYFUNCTION("""COMPUTED_VALUE"""),"RedstoneSlotRoyale")</f>
        <v>RedstoneSlotRoyale</v>
      </c>
      <c r="E313" s="5" t="str">
        <f>IFERROR(__xludf.DUMMYFUNCTION("""COMPUTED_VALUE"""),"Yes")</f>
        <v>Yes</v>
      </c>
      <c r="F313" s="5" t="str">
        <f>IFERROR(__xludf.DUMMYFUNCTION("""COMPUTED_VALUE"""),"Yes")</f>
        <v>Yes</v>
      </c>
      <c r="G313" s="5" t="str">
        <f>IFERROR(__xludf.DUMMYFUNCTION("""COMPUTED_VALUE"""),"Yes")</f>
        <v>Yes</v>
      </c>
      <c r="H313" s="5" t="str">
        <f>IFERROR(__xludf.DUMMYFUNCTION("""COMPUTED_VALUE"""),"Yes")</f>
        <v>Yes</v>
      </c>
      <c r="I313" s="5" t="str">
        <f>IFERROR(__xludf.DUMMYFUNCTION("""COMPUTED_VALUE"""),"Yes")</f>
        <v>Yes</v>
      </c>
      <c r="J313" s="5" t="str">
        <f>IFERROR(__xludf.DUMMYFUNCTION("""COMPUTED_VALUE"""),"Yes")</f>
        <v>Yes</v>
      </c>
      <c r="K313" s="5" t="str">
        <f>IFERROR(__xludf.DUMMYFUNCTION("""COMPUTED_VALUE"""),"Yes")</f>
        <v>Yes</v>
      </c>
      <c r="L313" s="5" t="str">
        <f>IFERROR(__xludf.DUMMYFUNCTION("""COMPUTED_VALUE"""),"Yes")</f>
        <v>Yes</v>
      </c>
      <c r="M313" s="5" t="str">
        <f>IFERROR(__xludf.DUMMYFUNCTION("""COMPUTED_VALUE"""),"Yes")</f>
        <v>Yes</v>
      </c>
      <c r="N313" s="5" t="str">
        <f>IFERROR(__xludf.DUMMYFUNCTION("""COMPUTED_VALUE"""),"Yes")</f>
        <v>Yes</v>
      </c>
      <c r="O313" s="5" t="str">
        <f>IFERROR(__xludf.DUMMYFUNCTION("""COMPUTED_VALUE"""),"Yes")</f>
        <v>Yes</v>
      </c>
      <c r="P313" s="5" t="str">
        <f>IFERROR(__xludf.DUMMYFUNCTION("""COMPUTED_VALUE"""),"Yes")</f>
        <v>Yes</v>
      </c>
      <c r="Q313" s="5" t="str">
        <f>IFERROR(__xludf.DUMMYFUNCTION("""COMPUTED_VALUE"""),"Yes")</f>
        <v>Yes</v>
      </c>
      <c r="R313" s="5" t="str">
        <f>IFERROR(__xludf.DUMMYFUNCTION("""COMPUTED_VALUE"""),"Yes")</f>
        <v>Yes</v>
      </c>
      <c r="S313" s="5" t="str">
        <f>IFERROR(__xludf.DUMMYFUNCTION("""COMPUTED_VALUE"""),"Yes")</f>
        <v>Yes</v>
      </c>
      <c r="T313" s="5" t="str">
        <f>IFERROR(__xludf.DUMMYFUNCTION("""COMPUTED_VALUE"""),"Yes")</f>
        <v>Yes</v>
      </c>
      <c r="U313" s="5" t="str">
        <f>IFERROR(__xludf.DUMMYFUNCTION("""COMPUTED_VALUE"""),"Yes")</f>
        <v>Yes</v>
      </c>
      <c r="V313" s="5" t="str">
        <f>IFERROR(__xludf.DUMMYFUNCTION("""COMPUTED_VALUE"""),"Yes")</f>
        <v>Yes</v>
      </c>
      <c r="W313" s="5" t="str">
        <f>IFERROR(__xludf.DUMMYFUNCTION("""COMPUTED_VALUE"""),"Yes")</f>
        <v>Yes</v>
      </c>
      <c r="X313" s="5"/>
      <c r="Y313" s="5" t="str">
        <f>IFERROR(__xludf.DUMMYFUNCTION("""COMPUTED_VALUE"""),"Yes")</f>
        <v>Yes</v>
      </c>
      <c r="Z313" s="5"/>
      <c r="AA313" s="5"/>
      <c r="AB313" s="5"/>
      <c r="AC313" s="5" t="str">
        <f>IFERROR(__xludf.DUMMYFUNCTION("""COMPUTED_VALUE"""),"Yes")</f>
        <v>Yes</v>
      </c>
      <c r="AD313" s="5"/>
      <c r="AE313" s="5"/>
      <c r="AF313" s="5"/>
      <c r="AG313" s="5"/>
      <c r="AH313" s="5"/>
      <c r="AI313" s="5"/>
      <c r="AJ313" s="5"/>
      <c r="AK313" s="5"/>
      <c r="AL313" s="5"/>
      <c r="AM313" s="5"/>
      <c r="AN313" s="5"/>
      <c r="AO313" s="5"/>
      <c r="AP313" s="5"/>
      <c r="AQ313" s="5"/>
      <c r="AR313" s="5"/>
      <c r="AS313" s="5"/>
      <c r="AT313" s="5"/>
      <c r="AU313" s="5"/>
      <c r="AV313" s="5"/>
      <c r="AW313" s="5"/>
      <c r="AX313" s="5"/>
      <c r="AY313" s="5"/>
    </row>
    <row r="314">
      <c r="A31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4" s="5">
        <f>IFERROR(__xludf.DUMMYFUNCTION("""COMPUTED_VALUE"""),314.0)</f>
        <v>314</v>
      </c>
      <c r="C314" s="5">
        <f>IFERROR(__xludf.DUMMYFUNCTION("""COMPUTED_VALUE"""),313.0)</f>
        <v>313</v>
      </c>
      <c r="D314" s="5" t="str">
        <f>IFERROR(__xludf.DUMMYFUNCTION("""COMPUTED_VALUE"""),"RedstoneClover5LockAndCash")</f>
        <v>RedstoneClover5LockAndCash</v>
      </c>
      <c r="E314" s="5" t="str">
        <f>IFERROR(__xludf.DUMMYFUNCTION("""COMPUTED_VALUE"""),"Yes")</f>
        <v>Yes</v>
      </c>
      <c r="F314" s="5" t="str">
        <f>IFERROR(__xludf.DUMMYFUNCTION("""COMPUTED_VALUE"""),"Yes")</f>
        <v>Yes</v>
      </c>
      <c r="G314" s="5" t="str">
        <f>IFERROR(__xludf.DUMMYFUNCTION("""COMPUTED_VALUE"""),"No")</f>
        <v>No</v>
      </c>
      <c r="H314" s="5" t="str">
        <f>IFERROR(__xludf.DUMMYFUNCTION("""COMPUTED_VALUE"""),"Yes")</f>
        <v>Yes</v>
      </c>
      <c r="I314" s="5" t="str">
        <f>IFERROR(__xludf.DUMMYFUNCTION("""COMPUTED_VALUE"""),"Yes")</f>
        <v>Yes</v>
      </c>
      <c r="J314" s="5" t="str">
        <f>IFERROR(__xludf.DUMMYFUNCTION("""COMPUTED_VALUE"""),"Yes")</f>
        <v>Yes</v>
      </c>
      <c r="K314" s="5" t="str">
        <f>IFERROR(__xludf.DUMMYFUNCTION("""COMPUTED_VALUE"""),"Yes")</f>
        <v>Yes</v>
      </c>
      <c r="L314" s="5" t="str">
        <f>IFERROR(__xludf.DUMMYFUNCTION("""COMPUTED_VALUE"""),"Yes")</f>
        <v>Yes</v>
      </c>
      <c r="M314" s="5" t="str">
        <f>IFERROR(__xludf.DUMMYFUNCTION("""COMPUTED_VALUE"""),"Yes")</f>
        <v>Yes</v>
      </c>
      <c r="N314" s="5" t="str">
        <f>IFERROR(__xludf.DUMMYFUNCTION("""COMPUTED_VALUE"""),"Yes")</f>
        <v>Yes</v>
      </c>
      <c r="O314" s="5" t="str">
        <f>IFERROR(__xludf.DUMMYFUNCTION("""COMPUTED_VALUE"""),"Yes")</f>
        <v>Yes</v>
      </c>
      <c r="P314" s="5" t="str">
        <f>IFERROR(__xludf.DUMMYFUNCTION("""COMPUTED_VALUE"""),"Yes")</f>
        <v>Yes</v>
      </c>
      <c r="Q314" s="5" t="str">
        <f>IFERROR(__xludf.DUMMYFUNCTION("""COMPUTED_VALUE"""),"Yes")</f>
        <v>Yes</v>
      </c>
      <c r="R314" s="5" t="str">
        <f>IFERROR(__xludf.DUMMYFUNCTION("""COMPUTED_VALUE"""),"Yes")</f>
        <v>Yes</v>
      </c>
      <c r="S314" s="5" t="str">
        <f>IFERROR(__xludf.DUMMYFUNCTION("""COMPUTED_VALUE"""),"Yes")</f>
        <v>Yes</v>
      </c>
      <c r="T314" s="5" t="str">
        <f>IFERROR(__xludf.DUMMYFUNCTION("""COMPUTED_VALUE"""),"No")</f>
        <v>No</v>
      </c>
      <c r="U314" s="5" t="str">
        <f>IFERROR(__xludf.DUMMYFUNCTION("""COMPUTED_VALUE"""),"No")</f>
        <v>No</v>
      </c>
      <c r="V314" s="5" t="str">
        <f>IFERROR(__xludf.DUMMYFUNCTION("""COMPUTED_VALUE"""),"No")</f>
        <v>No</v>
      </c>
      <c r="W314" s="5" t="str">
        <f>IFERROR(__xludf.DUMMYFUNCTION("""COMPUTED_VALUE"""),"No")</f>
        <v>No</v>
      </c>
      <c r="X314" s="5" t="str">
        <f>IFERROR(__xludf.DUMMYFUNCTION("""COMPUTED_VALUE"""),"No")</f>
        <v>No</v>
      </c>
      <c r="Y314" s="5" t="str">
        <f>IFERROR(__xludf.DUMMYFUNCTION("""COMPUTED_VALUE"""),"No")</f>
        <v>No</v>
      </c>
      <c r="Z314" s="5" t="str">
        <f>IFERROR(__xludf.DUMMYFUNCTION("""COMPUTED_VALUE"""),"No")</f>
        <v>No</v>
      </c>
      <c r="AA314" s="5" t="str">
        <f>IFERROR(__xludf.DUMMYFUNCTION("""COMPUTED_VALUE"""),"No")</f>
        <v>No</v>
      </c>
      <c r="AB314" s="5" t="str">
        <f>IFERROR(__xludf.DUMMYFUNCTION("""COMPUTED_VALUE"""),"No")</f>
        <v>No</v>
      </c>
      <c r="AC314" s="5" t="str">
        <f>IFERROR(__xludf.DUMMYFUNCTION("""COMPUTED_VALUE"""),"No")</f>
        <v>No</v>
      </c>
      <c r="AD314" s="5" t="str">
        <f>IFERROR(__xludf.DUMMYFUNCTION("""COMPUTED_VALUE"""),"No")</f>
        <v>No</v>
      </c>
      <c r="AE314" s="5" t="str">
        <f>IFERROR(__xludf.DUMMYFUNCTION("""COMPUTED_VALUE"""),"No")</f>
        <v>No</v>
      </c>
      <c r="AF314" s="5" t="str">
        <f>IFERROR(__xludf.DUMMYFUNCTION("""COMPUTED_VALUE"""),"Yes")</f>
        <v>Yes</v>
      </c>
      <c r="AG314" s="5" t="str">
        <f>IFERROR(__xludf.DUMMYFUNCTION("""COMPUTED_VALUE"""),"No")</f>
        <v>No</v>
      </c>
      <c r="AH314" s="5" t="str">
        <f>IFERROR(__xludf.DUMMYFUNCTION("""COMPUTED_VALUE"""),"Yes")</f>
        <v>Yes</v>
      </c>
      <c r="AI314" s="5" t="str">
        <f>IFERROR(__xludf.DUMMYFUNCTION("""COMPUTED_VALUE"""),"No")</f>
        <v>No</v>
      </c>
      <c r="AJ314" s="5" t="str">
        <f>IFERROR(__xludf.DUMMYFUNCTION("""COMPUTED_VALUE"""),"No")</f>
        <v>No</v>
      </c>
      <c r="AK314" s="5" t="str">
        <f>IFERROR(__xludf.DUMMYFUNCTION("""COMPUTED_VALUE"""),"No")</f>
        <v>No</v>
      </c>
      <c r="AL314" s="5" t="str">
        <f>IFERROR(__xludf.DUMMYFUNCTION("""COMPUTED_VALUE"""),"No")</f>
        <v>No</v>
      </c>
      <c r="AM314" s="5"/>
      <c r="AN314" s="5"/>
      <c r="AO314" s="5"/>
      <c r="AP314" s="5"/>
      <c r="AQ314" s="5"/>
      <c r="AR314" s="5"/>
      <c r="AS314" s="5"/>
      <c r="AT314" s="5"/>
      <c r="AU314" s="5"/>
      <c r="AV314" s="5"/>
      <c r="AW314" s="5"/>
      <c r="AX314" s="5"/>
      <c r="AY314" s="5"/>
    </row>
    <row r="315">
      <c r="A3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5" s="5">
        <f>IFERROR(__xludf.DUMMYFUNCTION("""COMPUTED_VALUE"""),315.0)</f>
        <v>315</v>
      </c>
      <c r="C315" s="5">
        <f>IFERROR(__xludf.DUMMYFUNCTION("""COMPUTED_VALUE"""),314.0)</f>
        <v>314</v>
      </c>
      <c r="D315" s="5" t="str">
        <f>IFERROR(__xludf.DUMMYFUNCTION("""COMPUTED_VALUE"""),"WildLuckyDice")</f>
        <v>WildLuckyDice</v>
      </c>
      <c r="E315" s="5" t="str">
        <f>IFERROR(__xludf.DUMMYFUNCTION("""COMPUTED_VALUE"""),"Yes")</f>
        <v>Yes</v>
      </c>
      <c r="F315" s="5" t="str">
        <f>IFERROR(__xludf.DUMMYFUNCTION("""COMPUTED_VALUE"""),"Yes")</f>
        <v>Yes</v>
      </c>
      <c r="G315" s="5" t="str">
        <f>IFERROR(__xludf.DUMMYFUNCTION("""COMPUTED_VALUE"""),"Yes")</f>
        <v>Yes</v>
      </c>
      <c r="H315" s="5" t="str">
        <f>IFERROR(__xludf.DUMMYFUNCTION("""COMPUTED_VALUE"""),"Yes")</f>
        <v>Yes</v>
      </c>
      <c r="I315" s="5" t="str">
        <f>IFERROR(__xludf.DUMMYFUNCTION("""COMPUTED_VALUE"""),"Yes")</f>
        <v>Yes</v>
      </c>
      <c r="J315" s="5" t="str">
        <f>IFERROR(__xludf.DUMMYFUNCTION("""COMPUTED_VALUE"""),"Yes")</f>
        <v>Yes</v>
      </c>
      <c r="K315" s="5" t="str">
        <f>IFERROR(__xludf.DUMMYFUNCTION("""COMPUTED_VALUE"""),"Yes")</f>
        <v>Yes</v>
      </c>
      <c r="L315" s="5" t="str">
        <f>IFERROR(__xludf.DUMMYFUNCTION("""COMPUTED_VALUE"""),"Yes")</f>
        <v>Yes</v>
      </c>
      <c r="M315" s="5" t="str">
        <f>IFERROR(__xludf.DUMMYFUNCTION("""COMPUTED_VALUE"""),"Yes")</f>
        <v>Yes</v>
      </c>
      <c r="N315" s="5" t="str">
        <f>IFERROR(__xludf.DUMMYFUNCTION("""COMPUTED_VALUE"""),"Yes")</f>
        <v>Yes</v>
      </c>
      <c r="O315" s="5" t="str">
        <f>IFERROR(__xludf.DUMMYFUNCTION("""COMPUTED_VALUE"""),"Yes")</f>
        <v>Yes</v>
      </c>
      <c r="P315" s="5" t="str">
        <f>IFERROR(__xludf.DUMMYFUNCTION("""COMPUTED_VALUE"""),"Yes")</f>
        <v>Yes</v>
      </c>
      <c r="Q315" s="5" t="str">
        <f>IFERROR(__xludf.DUMMYFUNCTION("""COMPUTED_VALUE"""),"Yes")</f>
        <v>Yes</v>
      </c>
      <c r="R315" s="5" t="str">
        <f>IFERROR(__xludf.DUMMYFUNCTION("""COMPUTED_VALUE"""),"Yes")</f>
        <v>Yes</v>
      </c>
      <c r="S315" s="5" t="str">
        <f>IFERROR(__xludf.DUMMYFUNCTION("""COMPUTED_VALUE"""),"Yes")</f>
        <v>Yes</v>
      </c>
      <c r="T315" s="5" t="str">
        <f>IFERROR(__xludf.DUMMYFUNCTION("""COMPUTED_VALUE"""),"Yes")</f>
        <v>Yes</v>
      </c>
      <c r="U315" s="5" t="str">
        <f>IFERROR(__xludf.DUMMYFUNCTION("""COMPUTED_VALUE"""),"Yes")</f>
        <v>Yes</v>
      </c>
      <c r="V315" s="5" t="str">
        <f>IFERROR(__xludf.DUMMYFUNCTION("""COMPUTED_VALUE"""),"Yes")</f>
        <v>Yes</v>
      </c>
      <c r="W315" s="5" t="str">
        <f>IFERROR(__xludf.DUMMYFUNCTION("""COMPUTED_VALUE"""),"Yes")</f>
        <v>Yes</v>
      </c>
      <c r="X315" s="5" t="str">
        <f>IFERROR(__xludf.DUMMYFUNCTION("""COMPUTED_VALUE"""),"Yes")</f>
        <v>Yes</v>
      </c>
      <c r="Y315" s="5" t="str">
        <f>IFERROR(__xludf.DUMMYFUNCTION("""COMPUTED_VALUE"""),"Yes")</f>
        <v>Yes</v>
      </c>
      <c r="Z315" s="5" t="str">
        <f>IFERROR(__xludf.DUMMYFUNCTION("""COMPUTED_VALUE"""),"No")</f>
        <v>No</v>
      </c>
      <c r="AA315" s="5" t="str">
        <f>IFERROR(__xludf.DUMMYFUNCTION("""COMPUTED_VALUE"""),"Yes")</f>
        <v>Yes</v>
      </c>
      <c r="AB315" s="5" t="str">
        <f>IFERROR(__xludf.DUMMYFUNCTION("""COMPUTED_VALUE"""),"Yes")</f>
        <v>Yes</v>
      </c>
      <c r="AC315" s="5" t="str">
        <f>IFERROR(__xludf.DUMMYFUNCTION("""COMPUTED_VALUE"""),"Yes")</f>
        <v>Yes</v>
      </c>
      <c r="AD315" s="5" t="str">
        <f>IFERROR(__xludf.DUMMYFUNCTION("""COMPUTED_VALUE"""),"Yes")</f>
        <v>Yes</v>
      </c>
      <c r="AE315" s="5" t="str">
        <f>IFERROR(__xludf.DUMMYFUNCTION("""COMPUTED_VALUE"""),"No")</f>
        <v>No</v>
      </c>
      <c r="AF315" s="5" t="str">
        <f>IFERROR(__xludf.DUMMYFUNCTION("""COMPUTED_VALUE"""),"Yes")</f>
        <v>Yes</v>
      </c>
      <c r="AG315" s="5" t="str">
        <f>IFERROR(__xludf.DUMMYFUNCTION("""COMPUTED_VALUE"""),"No")</f>
        <v>No</v>
      </c>
      <c r="AH315" s="5" t="str">
        <f>IFERROR(__xludf.DUMMYFUNCTION("""COMPUTED_VALUE"""),"No")</f>
        <v>No</v>
      </c>
      <c r="AI315" s="5" t="str">
        <f>IFERROR(__xludf.DUMMYFUNCTION("""COMPUTED_VALUE"""),"No")</f>
        <v>No</v>
      </c>
      <c r="AJ315" s="5" t="str">
        <f>IFERROR(__xludf.DUMMYFUNCTION("""COMPUTED_VALUE"""),"No")</f>
        <v>No</v>
      </c>
      <c r="AK315" s="5" t="str">
        <f>IFERROR(__xludf.DUMMYFUNCTION("""COMPUTED_VALUE"""),"No")</f>
        <v>No</v>
      </c>
      <c r="AL315" s="5" t="str">
        <f>IFERROR(__xludf.DUMMYFUNCTION("""COMPUTED_VALUE"""),"No")</f>
        <v>No</v>
      </c>
      <c r="AM315" s="5"/>
      <c r="AN315" s="5"/>
      <c r="AO315" s="5"/>
      <c r="AP315" s="5"/>
      <c r="AQ315" s="5"/>
      <c r="AR315" s="5"/>
      <c r="AS315" s="5"/>
      <c r="AT315" s="5"/>
      <c r="AU315" s="5"/>
      <c r="AV315" s="5"/>
      <c r="AW315" s="5"/>
      <c r="AX315" s="5"/>
      <c r="AY315" s="5"/>
    </row>
    <row r="316">
      <c r="A3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6" s="5">
        <f>IFERROR(__xludf.DUMMYFUNCTION("""COMPUTED_VALUE"""),316.0)</f>
        <v>316</v>
      </c>
      <c r="C316" s="5">
        <f>IFERROR(__xludf.DUMMYFUNCTION("""COMPUTED_VALUE"""),315.0)</f>
        <v>315</v>
      </c>
      <c r="D316" s="5" t="str">
        <f>IFERROR(__xludf.DUMMYFUNCTION("""COMPUTED_VALUE"""),"EggspandingRush")</f>
        <v>EggspandingRush</v>
      </c>
      <c r="E316" s="5" t="str">
        <f>IFERROR(__xludf.DUMMYFUNCTION("""COMPUTED_VALUE"""),"Yes")</f>
        <v>Yes</v>
      </c>
      <c r="F316" s="5" t="str">
        <f>IFERROR(__xludf.DUMMYFUNCTION("""COMPUTED_VALUE"""),"Yes")</f>
        <v>Yes</v>
      </c>
      <c r="G316" s="5" t="str">
        <f>IFERROR(__xludf.DUMMYFUNCTION("""COMPUTED_VALUE"""),"Yes")</f>
        <v>Yes</v>
      </c>
      <c r="H316" s="5" t="str">
        <f>IFERROR(__xludf.DUMMYFUNCTION("""COMPUTED_VALUE"""),"Yes")</f>
        <v>Yes</v>
      </c>
      <c r="I316" s="5" t="str">
        <f>IFERROR(__xludf.DUMMYFUNCTION("""COMPUTED_VALUE"""),"Yes")</f>
        <v>Yes</v>
      </c>
      <c r="J316" s="5" t="str">
        <f>IFERROR(__xludf.DUMMYFUNCTION("""COMPUTED_VALUE"""),"Yes")</f>
        <v>Yes</v>
      </c>
      <c r="K316" s="5" t="str">
        <f>IFERROR(__xludf.DUMMYFUNCTION("""COMPUTED_VALUE"""),"Yes")</f>
        <v>Yes</v>
      </c>
      <c r="L316" s="5" t="str">
        <f>IFERROR(__xludf.DUMMYFUNCTION("""COMPUTED_VALUE"""),"Yes")</f>
        <v>Yes</v>
      </c>
      <c r="M316" s="5" t="str">
        <f>IFERROR(__xludf.DUMMYFUNCTION("""COMPUTED_VALUE"""),"Yes")</f>
        <v>Yes</v>
      </c>
      <c r="N316" s="5" t="str">
        <f>IFERROR(__xludf.DUMMYFUNCTION("""COMPUTED_VALUE"""),"Yes")</f>
        <v>Yes</v>
      </c>
      <c r="O316" s="5" t="str">
        <f>IFERROR(__xludf.DUMMYFUNCTION("""COMPUTED_VALUE"""),"Yes")</f>
        <v>Yes</v>
      </c>
      <c r="P316" s="5" t="str">
        <f>IFERROR(__xludf.DUMMYFUNCTION("""COMPUTED_VALUE"""),"Yes")</f>
        <v>Yes</v>
      </c>
      <c r="Q316" s="5" t="str">
        <f>IFERROR(__xludf.DUMMYFUNCTION("""COMPUTED_VALUE"""),"Yes")</f>
        <v>Yes</v>
      </c>
      <c r="R316" s="5" t="str">
        <f>IFERROR(__xludf.DUMMYFUNCTION("""COMPUTED_VALUE"""),"Yes")</f>
        <v>Yes</v>
      </c>
      <c r="S316" s="5" t="str">
        <f>IFERROR(__xludf.DUMMYFUNCTION("""COMPUTED_VALUE"""),"Yes")</f>
        <v>Yes</v>
      </c>
      <c r="T316" s="5" t="str">
        <f>IFERROR(__xludf.DUMMYFUNCTION("""COMPUTED_VALUE"""),"Yes")</f>
        <v>Yes</v>
      </c>
      <c r="U316" s="5" t="str">
        <f>IFERROR(__xludf.DUMMYFUNCTION("""COMPUTED_VALUE"""),"Yes")</f>
        <v>Yes</v>
      </c>
      <c r="V316" s="5" t="str">
        <f>IFERROR(__xludf.DUMMYFUNCTION("""COMPUTED_VALUE"""),"Yes")</f>
        <v>Yes</v>
      </c>
      <c r="W316" s="5" t="str">
        <f>IFERROR(__xludf.DUMMYFUNCTION("""COMPUTED_VALUE"""),"Yes")</f>
        <v>Yes</v>
      </c>
      <c r="X316" s="5" t="str">
        <f>IFERROR(__xludf.DUMMYFUNCTION("""COMPUTED_VALUE"""),"Yes")</f>
        <v>Yes</v>
      </c>
      <c r="Y316" s="5" t="str">
        <f>IFERROR(__xludf.DUMMYFUNCTION("""COMPUTED_VALUE"""),"Yes")</f>
        <v>Yes</v>
      </c>
      <c r="Z316" s="5" t="str">
        <f>IFERROR(__xludf.DUMMYFUNCTION("""COMPUTED_VALUE"""),"No")</f>
        <v>No</v>
      </c>
      <c r="AA316" s="5" t="str">
        <f>IFERROR(__xludf.DUMMYFUNCTION("""COMPUTED_VALUE"""),"Yes")</f>
        <v>Yes</v>
      </c>
      <c r="AB316" s="5" t="str">
        <f>IFERROR(__xludf.DUMMYFUNCTION("""COMPUTED_VALUE"""),"Yes")</f>
        <v>Yes</v>
      </c>
      <c r="AC316" s="5" t="str">
        <f>IFERROR(__xludf.DUMMYFUNCTION("""COMPUTED_VALUE"""),"Yes")</f>
        <v>Yes</v>
      </c>
      <c r="AD316" s="5" t="str">
        <f>IFERROR(__xludf.DUMMYFUNCTION("""COMPUTED_VALUE"""),"Yes")</f>
        <v>Yes</v>
      </c>
      <c r="AE316" s="5" t="str">
        <f>IFERROR(__xludf.DUMMYFUNCTION("""COMPUTED_VALUE"""),"No")</f>
        <v>No</v>
      </c>
      <c r="AF316" s="5" t="str">
        <f>IFERROR(__xludf.DUMMYFUNCTION("""COMPUTED_VALUE"""),"Yes")</f>
        <v>Yes</v>
      </c>
      <c r="AG316" s="5" t="str">
        <f>IFERROR(__xludf.DUMMYFUNCTION("""COMPUTED_VALUE"""),"No")</f>
        <v>No</v>
      </c>
      <c r="AH316" s="5" t="str">
        <f>IFERROR(__xludf.DUMMYFUNCTION("""COMPUTED_VALUE"""),"No")</f>
        <v>No</v>
      </c>
      <c r="AI316" s="5" t="str">
        <f>IFERROR(__xludf.DUMMYFUNCTION("""COMPUTED_VALUE"""),"No")</f>
        <v>No</v>
      </c>
      <c r="AJ316" s="5" t="str">
        <f>IFERROR(__xludf.DUMMYFUNCTION("""COMPUTED_VALUE"""),"No")</f>
        <v>No</v>
      </c>
      <c r="AK316" s="5" t="str">
        <f>IFERROR(__xludf.DUMMYFUNCTION("""COMPUTED_VALUE"""),"No")</f>
        <v>No</v>
      </c>
      <c r="AL316" s="5" t="str">
        <f>IFERROR(__xludf.DUMMYFUNCTION("""COMPUTED_VALUE"""),"No")</f>
        <v>No</v>
      </c>
      <c r="AM316" s="5"/>
      <c r="AN316" s="5"/>
      <c r="AO316" s="5"/>
      <c r="AP316" s="5"/>
      <c r="AQ316" s="5"/>
      <c r="AR316" s="5"/>
      <c r="AS316" s="5"/>
      <c r="AT316" s="5"/>
      <c r="AU316" s="5"/>
      <c r="AV316" s="5"/>
      <c r="AW316" s="5"/>
      <c r="AX316" s="5"/>
      <c r="AY316" s="5"/>
    </row>
    <row r="317">
      <c r="A3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7" s="5">
        <f>IFERROR(__xludf.DUMMYFUNCTION("""COMPUTED_VALUE"""),317.0)</f>
        <v>317</v>
      </c>
      <c r="C317" s="5">
        <f>IFERROR(__xludf.DUMMYFUNCTION("""COMPUTED_VALUE"""),316.0)</f>
        <v>316</v>
      </c>
      <c r="D317" s="5" t="str">
        <f>IFERROR(__xludf.DUMMYFUNCTION("""COMPUTED_VALUE"""),"MozzartWild40")</f>
        <v>MozzartWild40</v>
      </c>
      <c r="E317" s="5" t="str">
        <f>IFERROR(__xludf.DUMMYFUNCTION("""COMPUTED_VALUE"""),"Yes")</f>
        <v>Yes</v>
      </c>
      <c r="F317" s="5" t="str">
        <f>IFERROR(__xludf.DUMMYFUNCTION("""COMPUTED_VALUE"""),"Yes")</f>
        <v>Yes</v>
      </c>
      <c r="G317" s="5" t="str">
        <f>IFERROR(__xludf.DUMMYFUNCTION("""COMPUTED_VALUE"""),"Yes")</f>
        <v>Yes</v>
      </c>
      <c r="H317" s="5" t="str">
        <f>IFERROR(__xludf.DUMMYFUNCTION("""COMPUTED_VALUE"""),"Yes")</f>
        <v>Yes</v>
      </c>
      <c r="I317" s="5" t="str">
        <f>IFERROR(__xludf.DUMMYFUNCTION("""COMPUTED_VALUE"""),"Yes")</f>
        <v>Yes</v>
      </c>
      <c r="J317" s="5" t="str">
        <f>IFERROR(__xludf.DUMMYFUNCTION("""COMPUTED_VALUE"""),"Yes")</f>
        <v>Yes</v>
      </c>
      <c r="K317" s="5" t="str">
        <f>IFERROR(__xludf.DUMMYFUNCTION("""COMPUTED_VALUE"""),"Yes")</f>
        <v>Yes</v>
      </c>
      <c r="L317" s="5" t="str">
        <f>IFERROR(__xludf.DUMMYFUNCTION("""COMPUTED_VALUE"""),"Yes")</f>
        <v>Yes</v>
      </c>
      <c r="M317" s="5" t="str">
        <f>IFERROR(__xludf.DUMMYFUNCTION("""COMPUTED_VALUE"""),"Yes")</f>
        <v>Yes</v>
      </c>
      <c r="N317" s="5" t="str">
        <f>IFERROR(__xludf.DUMMYFUNCTION("""COMPUTED_VALUE"""),"Yes")</f>
        <v>Yes</v>
      </c>
      <c r="O317" s="5" t="str">
        <f>IFERROR(__xludf.DUMMYFUNCTION("""COMPUTED_VALUE"""),"Yes")</f>
        <v>Yes</v>
      </c>
      <c r="P317" s="5" t="str">
        <f>IFERROR(__xludf.DUMMYFUNCTION("""COMPUTED_VALUE"""),"Yes")</f>
        <v>Yes</v>
      </c>
      <c r="Q317" s="5" t="str">
        <f>IFERROR(__xludf.DUMMYFUNCTION("""COMPUTED_VALUE"""),"Yes")</f>
        <v>Yes</v>
      </c>
      <c r="R317" s="5" t="str">
        <f>IFERROR(__xludf.DUMMYFUNCTION("""COMPUTED_VALUE"""),"Yes")</f>
        <v>Yes</v>
      </c>
      <c r="S317" s="5" t="str">
        <f>IFERROR(__xludf.DUMMYFUNCTION("""COMPUTED_VALUE"""),"Yes")</f>
        <v>Yes</v>
      </c>
      <c r="T317" s="5" t="str">
        <f>IFERROR(__xludf.DUMMYFUNCTION("""COMPUTED_VALUE"""),"Yes")</f>
        <v>Yes</v>
      </c>
      <c r="U317" s="5" t="str">
        <f>IFERROR(__xludf.DUMMYFUNCTION("""COMPUTED_VALUE"""),"Yes")</f>
        <v>Yes</v>
      </c>
      <c r="V317" s="5" t="str">
        <f>IFERROR(__xludf.DUMMYFUNCTION("""COMPUTED_VALUE"""),"Yes")</f>
        <v>Yes</v>
      </c>
      <c r="W317" s="5" t="str">
        <f>IFERROR(__xludf.DUMMYFUNCTION("""COMPUTED_VALUE"""),"Yes")</f>
        <v>Yes</v>
      </c>
      <c r="X317" s="5" t="str">
        <f>IFERROR(__xludf.DUMMYFUNCTION("""COMPUTED_VALUE"""),"Yes")</f>
        <v>Yes</v>
      </c>
      <c r="Y317" s="5" t="str">
        <f>IFERROR(__xludf.DUMMYFUNCTION("""COMPUTED_VALUE"""),"Yes")</f>
        <v>Yes</v>
      </c>
      <c r="Z317" s="5" t="str">
        <f>IFERROR(__xludf.DUMMYFUNCTION("""COMPUTED_VALUE"""),"No")</f>
        <v>No</v>
      </c>
      <c r="AA317" s="5" t="str">
        <f>IFERROR(__xludf.DUMMYFUNCTION("""COMPUTED_VALUE"""),"Yes")</f>
        <v>Yes</v>
      </c>
      <c r="AB317" s="5" t="str">
        <f>IFERROR(__xludf.DUMMYFUNCTION("""COMPUTED_VALUE"""),"Yes")</f>
        <v>Yes</v>
      </c>
      <c r="AC317" s="5" t="str">
        <f>IFERROR(__xludf.DUMMYFUNCTION("""COMPUTED_VALUE"""),"Yes")</f>
        <v>Yes</v>
      </c>
      <c r="AD317" s="5" t="str">
        <f>IFERROR(__xludf.DUMMYFUNCTION("""COMPUTED_VALUE"""),"Yes")</f>
        <v>Yes</v>
      </c>
      <c r="AE317" s="5" t="str">
        <f>IFERROR(__xludf.DUMMYFUNCTION("""COMPUTED_VALUE"""),"No")</f>
        <v>No</v>
      </c>
      <c r="AF317" s="5" t="str">
        <f>IFERROR(__xludf.DUMMYFUNCTION("""COMPUTED_VALUE"""),"Yes")</f>
        <v>Yes</v>
      </c>
      <c r="AG317" s="5" t="str">
        <f>IFERROR(__xludf.DUMMYFUNCTION("""COMPUTED_VALUE"""),"No")</f>
        <v>No</v>
      </c>
      <c r="AH317" s="5" t="str">
        <f>IFERROR(__xludf.DUMMYFUNCTION("""COMPUTED_VALUE"""),"No")</f>
        <v>No</v>
      </c>
      <c r="AI317" s="5" t="str">
        <f>IFERROR(__xludf.DUMMYFUNCTION("""COMPUTED_VALUE"""),"No")</f>
        <v>No</v>
      </c>
      <c r="AJ317" s="5" t="str">
        <f>IFERROR(__xludf.DUMMYFUNCTION("""COMPUTED_VALUE"""),"No")</f>
        <v>No</v>
      </c>
      <c r="AK317" s="5" t="str">
        <f>IFERROR(__xludf.DUMMYFUNCTION("""COMPUTED_VALUE"""),"No")</f>
        <v>No</v>
      </c>
      <c r="AL317" s="5" t="str">
        <f>IFERROR(__xludf.DUMMYFUNCTION("""COMPUTED_VALUE"""),"No")</f>
        <v>No</v>
      </c>
      <c r="AM317" s="5"/>
      <c r="AN317" s="5"/>
      <c r="AO317" s="5"/>
      <c r="AP317" s="5"/>
      <c r="AQ317" s="5"/>
      <c r="AR317" s="5"/>
      <c r="AS317" s="5"/>
      <c r="AT317" s="5"/>
      <c r="AU317" s="5"/>
      <c r="AV317" s="5"/>
      <c r="AW317" s="5"/>
      <c r="AX317" s="5"/>
      <c r="AY317" s="5"/>
    </row>
    <row r="318">
      <c r="A3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8" s="5">
        <f>IFERROR(__xludf.DUMMYFUNCTION("""COMPUTED_VALUE"""),318.0)</f>
        <v>318</v>
      </c>
      <c r="C318" s="5">
        <f>IFERROR(__xludf.DUMMYFUNCTION("""COMPUTED_VALUE"""),317.0)</f>
        <v>317</v>
      </c>
      <c r="D318" s="5" t="str">
        <f>IFERROR(__xludf.DUMMYFUNCTION("""COMPUTED_VALUE"""),"MozzartFruits")</f>
        <v>MozzartFruits</v>
      </c>
      <c r="E318" s="5" t="str">
        <f>IFERROR(__xludf.DUMMYFUNCTION("""COMPUTED_VALUE"""),"Yes")</f>
        <v>Yes</v>
      </c>
      <c r="F318" s="5" t="str">
        <f>IFERROR(__xludf.DUMMYFUNCTION("""COMPUTED_VALUE"""),"Yes")</f>
        <v>Yes</v>
      </c>
      <c r="G318" s="5" t="str">
        <f>IFERROR(__xludf.DUMMYFUNCTION("""COMPUTED_VALUE"""),"Yes")</f>
        <v>Yes</v>
      </c>
      <c r="H318" s="5" t="str">
        <f>IFERROR(__xludf.DUMMYFUNCTION("""COMPUTED_VALUE"""),"Yes")</f>
        <v>Yes</v>
      </c>
      <c r="I318" s="5" t="str">
        <f>IFERROR(__xludf.DUMMYFUNCTION("""COMPUTED_VALUE"""),"Yes")</f>
        <v>Yes</v>
      </c>
      <c r="J318" s="5" t="str">
        <f>IFERROR(__xludf.DUMMYFUNCTION("""COMPUTED_VALUE"""),"Yes")</f>
        <v>Yes</v>
      </c>
      <c r="K318" s="5" t="str">
        <f>IFERROR(__xludf.DUMMYFUNCTION("""COMPUTED_VALUE"""),"Yes")</f>
        <v>Yes</v>
      </c>
      <c r="L318" s="5" t="str">
        <f>IFERROR(__xludf.DUMMYFUNCTION("""COMPUTED_VALUE"""),"Yes")</f>
        <v>Yes</v>
      </c>
      <c r="M318" s="5" t="str">
        <f>IFERROR(__xludf.DUMMYFUNCTION("""COMPUTED_VALUE"""),"Yes")</f>
        <v>Yes</v>
      </c>
      <c r="N318" s="5" t="str">
        <f>IFERROR(__xludf.DUMMYFUNCTION("""COMPUTED_VALUE"""),"Yes")</f>
        <v>Yes</v>
      </c>
      <c r="O318" s="5" t="str">
        <f>IFERROR(__xludf.DUMMYFUNCTION("""COMPUTED_VALUE"""),"Yes")</f>
        <v>Yes</v>
      </c>
      <c r="P318" s="5" t="str">
        <f>IFERROR(__xludf.DUMMYFUNCTION("""COMPUTED_VALUE"""),"Yes")</f>
        <v>Yes</v>
      </c>
      <c r="Q318" s="5" t="str">
        <f>IFERROR(__xludf.DUMMYFUNCTION("""COMPUTED_VALUE"""),"Yes")</f>
        <v>Yes</v>
      </c>
      <c r="R318" s="5" t="str">
        <f>IFERROR(__xludf.DUMMYFUNCTION("""COMPUTED_VALUE"""),"Yes")</f>
        <v>Yes</v>
      </c>
      <c r="S318" s="5" t="str">
        <f>IFERROR(__xludf.DUMMYFUNCTION("""COMPUTED_VALUE"""),"Yes")</f>
        <v>Yes</v>
      </c>
      <c r="T318" s="5" t="str">
        <f>IFERROR(__xludf.DUMMYFUNCTION("""COMPUTED_VALUE"""),"Yes")</f>
        <v>Yes</v>
      </c>
      <c r="U318" s="5" t="str">
        <f>IFERROR(__xludf.DUMMYFUNCTION("""COMPUTED_VALUE"""),"Yes")</f>
        <v>Yes</v>
      </c>
      <c r="V318" s="5" t="str">
        <f>IFERROR(__xludf.DUMMYFUNCTION("""COMPUTED_VALUE"""),"Yes")</f>
        <v>Yes</v>
      </c>
      <c r="W318" s="5" t="str">
        <f>IFERROR(__xludf.DUMMYFUNCTION("""COMPUTED_VALUE"""),"Yes")</f>
        <v>Yes</v>
      </c>
      <c r="X318" s="5" t="str">
        <f>IFERROR(__xludf.DUMMYFUNCTION("""COMPUTED_VALUE"""),"Yes")</f>
        <v>Yes</v>
      </c>
      <c r="Y318" s="5" t="str">
        <f>IFERROR(__xludf.DUMMYFUNCTION("""COMPUTED_VALUE"""),"Yes")</f>
        <v>Yes</v>
      </c>
      <c r="Z318" s="5" t="str">
        <f>IFERROR(__xludf.DUMMYFUNCTION("""COMPUTED_VALUE"""),"No")</f>
        <v>No</v>
      </c>
      <c r="AA318" s="5" t="str">
        <f>IFERROR(__xludf.DUMMYFUNCTION("""COMPUTED_VALUE"""),"Yes")</f>
        <v>Yes</v>
      </c>
      <c r="AB318" s="5" t="str">
        <f>IFERROR(__xludf.DUMMYFUNCTION("""COMPUTED_VALUE"""),"Yes")</f>
        <v>Yes</v>
      </c>
      <c r="AC318" s="5" t="str">
        <f>IFERROR(__xludf.DUMMYFUNCTION("""COMPUTED_VALUE"""),"Yes")</f>
        <v>Yes</v>
      </c>
      <c r="AD318" s="5" t="str">
        <f>IFERROR(__xludf.DUMMYFUNCTION("""COMPUTED_VALUE"""),"Yes")</f>
        <v>Yes</v>
      </c>
      <c r="AE318" s="5" t="str">
        <f>IFERROR(__xludf.DUMMYFUNCTION("""COMPUTED_VALUE"""),"No")</f>
        <v>No</v>
      </c>
      <c r="AF318" s="5" t="str">
        <f>IFERROR(__xludf.DUMMYFUNCTION("""COMPUTED_VALUE"""),"Yes")</f>
        <v>Yes</v>
      </c>
      <c r="AG318" s="5" t="str">
        <f>IFERROR(__xludf.DUMMYFUNCTION("""COMPUTED_VALUE"""),"No")</f>
        <v>No</v>
      </c>
      <c r="AH318" s="5" t="str">
        <f>IFERROR(__xludf.DUMMYFUNCTION("""COMPUTED_VALUE"""),"No")</f>
        <v>No</v>
      </c>
      <c r="AI318" s="5" t="str">
        <f>IFERROR(__xludf.DUMMYFUNCTION("""COMPUTED_VALUE"""),"No")</f>
        <v>No</v>
      </c>
      <c r="AJ318" s="5" t="str">
        <f>IFERROR(__xludf.DUMMYFUNCTION("""COMPUTED_VALUE"""),"No")</f>
        <v>No</v>
      </c>
      <c r="AK318" s="5" t="str">
        <f>IFERROR(__xludf.DUMMYFUNCTION("""COMPUTED_VALUE"""),"No")</f>
        <v>No</v>
      </c>
      <c r="AL318" s="5" t="str">
        <f>IFERROR(__xludf.DUMMYFUNCTION("""COMPUTED_VALUE"""),"No")</f>
        <v>No</v>
      </c>
      <c r="AM318" s="5"/>
      <c r="AN318" s="5"/>
      <c r="AO318" s="5"/>
      <c r="AP318" s="5"/>
      <c r="AQ318" s="5"/>
      <c r="AR318" s="5"/>
      <c r="AS318" s="5"/>
      <c r="AT318" s="5"/>
      <c r="AU318" s="5"/>
      <c r="AV318" s="5"/>
      <c r="AW318" s="5"/>
      <c r="AX318" s="5"/>
      <c r="AY318" s="5"/>
    </row>
    <row r="319">
      <c r="A3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9" s="5">
        <f>IFERROR(__xludf.DUMMYFUNCTION("""COMPUTED_VALUE"""),319.0)</f>
        <v>319</v>
      </c>
      <c r="C319" s="5">
        <f>IFERROR(__xludf.DUMMYFUNCTION("""COMPUTED_VALUE"""),318.0)</f>
        <v>318</v>
      </c>
      <c r="D319" s="5" t="str">
        <f>IFERROR(__xludf.DUMMYFUNCTION("""COMPUTED_VALUE"""),"MozzartHeat")</f>
        <v>MozzartHeat</v>
      </c>
      <c r="E319" s="5" t="str">
        <f>IFERROR(__xludf.DUMMYFUNCTION("""COMPUTED_VALUE"""),"Yes")</f>
        <v>Yes</v>
      </c>
      <c r="F319" s="5" t="str">
        <f>IFERROR(__xludf.DUMMYFUNCTION("""COMPUTED_VALUE"""),"Yes")</f>
        <v>Yes</v>
      </c>
      <c r="G319" s="5" t="str">
        <f>IFERROR(__xludf.DUMMYFUNCTION("""COMPUTED_VALUE"""),"Yes")</f>
        <v>Yes</v>
      </c>
      <c r="H319" s="5" t="str">
        <f>IFERROR(__xludf.DUMMYFUNCTION("""COMPUTED_VALUE"""),"Yes")</f>
        <v>Yes</v>
      </c>
      <c r="I319" s="5" t="str">
        <f>IFERROR(__xludf.DUMMYFUNCTION("""COMPUTED_VALUE"""),"Yes")</f>
        <v>Yes</v>
      </c>
      <c r="J319" s="5" t="str">
        <f>IFERROR(__xludf.DUMMYFUNCTION("""COMPUTED_VALUE"""),"Yes")</f>
        <v>Yes</v>
      </c>
      <c r="K319" s="5" t="str">
        <f>IFERROR(__xludf.DUMMYFUNCTION("""COMPUTED_VALUE"""),"Yes")</f>
        <v>Yes</v>
      </c>
      <c r="L319" s="5" t="str">
        <f>IFERROR(__xludf.DUMMYFUNCTION("""COMPUTED_VALUE"""),"Yes")</f>
        <v>Yes</v>
      </c>
      <c r="M319" s="5" t="str">
        <f>IFERROR(__xludf.DUMMYFUNCTION("""COMPUTED_VALUE"""),"Yes")</f>
        <v>Yes</v>
      </c>
      <c r="N319" s="5" t="str">
        <f>IFERROR(__xludf.DUMMYFUNCTION("""COMPUTED_VALUE"""),"Yes")</f>
        <v>Yes</v>
      </c>
      <c r="O319" s="5" t="str">
        <f>IFERROR(__xludf.DUMMYFUNCTION("""COMPUTED_VALUE"""),"Yes")</f>
        <v>Yes</v>
      </c>
      <c r="P319" s="5" t="str">
        <f>IFERROR(__xludf.DUMMYFUNCTION("""COMPUTED_VALUE"""),"Yes")</f>
        <v>Yes</v>
      </c>
      <c r="Q319" s="5" t="str">
        <f>IFERROR(__xludf.DUMMYFUNCTION("""COMPUTED_VALUE"""),"Yes")</f>
        <v>Yes</v>
      </c>
      <c r="R319" s="5" t="str">
        <f>IFERROR(__xludf.DUMMYFUNCTION("""COMPUTED_VALUE"""),"Yes")</f>
        <v>Yes</v>
      </c>
      <c r="S319" s="5" t="str">
        <f>IFERROR(__xludf.DUMMYFUNCTION("""COMPUTED_VALUE"""),"Yes")</f>
        <v>Yes</v>
      </c>
      <c r="T319" s="5" t="str">
        <f>IFERROR(__xludf.DUMMYFUNCTION("""COMPUTED_VALUE"""),"Yes")</f>
        <v>Yes</v>
      </c>
      <c r="U319" s="5" t="str">
        <f>IFERROR(__xludf.DUMMYFUNCTION("""COMPUTED_VALUE"""),"Yes")</f>
        <v>Yes</v>
      </c>
      <c r="V319" s="5" t="str">
        <f>IFERROR(__xludf.DUMMYFUNCTION("""COMPUTED_VALUE"""),"Yes")</f>
        <v>Yes</v>
      </c>
      <c r="W319" s="5" t="str">
        <f>IFERROR(__xludf.DUMMYFUNCTION("""COMPUTED_VALUE"""),"Yes")</f>
        <v>Yes</v>
      </c>
      <c r="X319" s="5" t="str">
        <f>IFERROR(__xludf.DUMMYFUNCTION("""COMPUTED_VALUE"""),"Yes")</f>
        <v>Yes</v>
      </c>
      <c r="Y319" s="5" t="str">
        <f>IFERROR(__xludf.DUMMYFUNCTION("""COMPUTED_VALUE"""),"Yes")</f>
        <v>Yes</v>
      </c>
      <c r="Z319" s="5" t="str">
        <f>IFERROR(__xludf.DUMMYFUNCTION("""COMPUTED_VALUE"""),"No")</f>
        <v>No</v>
      </c>
      <c r="AA319" s="5" t="str">
        <f>IFERROR(__xludf.DUMMYFUNCTION("""COMPUTED_VALUE"""),"Yes")</f>
        <v>Yes</v>
      </c>
      <c r="AB319" s="5" t="str">
        <f>IFERROR(__xludf.DUMMYFUNCTION("""COMPUTED_VALUE"""),"Yes")</f>
        <v>Yes</v>
      </c>
      <c r="AC319" s="5" t="str">
        <f>IFERROR(__xludf.DUMMYFUNCTION("""COMPUTED_VALUE"""),"Yes")</f>
        <v>Yes</v>
      </c>
      <c r="AD319" s="5" t="str">
        <f>IFERROR(__xludf.DUMMYFUNCTION("""COMPUTED_VALUE"""),"Yes")</f>
        <v>Yes</v>
      </c>
      <c r="AE319" s="5" t="str">
        <f>IFERROR(__xludf.DUMMYFUNCTION("""COMPUTED_VALUE"""),"No")</f>
        <v>No</v>
      </c>
      <c r="AF319" s="5" t="str">
        <f>IFERROR(__xludf.DUMMYFUNCTION("""COMPUTED_VALUE"""),"Yes")</f>
        <v>Yes</v>
      </c>
      <c r="AG319" s="5" t="str">
        <f>IFERROR(__xludf.DUMMYFUNCTION("""COMPUTED_VALUE"""),"No")</f>
        <v>No</v>
      </c>
      <c r="AH319" s="5" t="str">
        <f>IFERROR(__xludf.DUMMYFUNCTION("""COMPUTED_VALUE"""),"No")</f>
        <v>No</v>
      </c>
      <c r="AI319" s="5" t="str">
        <f>IFERROR(__xludf.DUMMYFUNCTION("""COMPUTED_VALUE"""),"No")</f>
        <v>No</v>
      </c>
      <c r="AJ319" s="5" t="str">
        <f>IFERROR(__xludf.DUMMYFUNCTION("""COMPUTED_VALUE"""),"No")</f>
        <v>No</v>
      </c>
      <c r="AK319" s="5" t="str">
        <f>IFERROR(__xludf.DUMMYFUNCTION("""COMPUTED_VALUE"""),"No")</f>
        <v>No</v>
      </c>
      <c r="AL319" s="5" t="str">
        <f>IFERROR(__xludf.DUMMYFUNCTION("""COMPUTED_VALUE"""),"No")</f>
        <v>No</v>
      </c>
      <c r="AM319" s="5"/>
      <c r="AN319" s="5"/>
      <c r="AO319" s="5"/>
      <c r="AP319" s="5"/>
      <c r="AQ319" s="5"/>
      <c r="AR319" s="5"/>
      <c r="AS319" s="5"/>
      <c r="AT319" s="5"/>
      <c r="AU319" s="5"/>
      <c r="AV319" s="5"/>
      <c r="AW319" s="5"/>
      <c r="AX319" s="5"/>
      <c r="AY319" s="5"/>
    </row>
    <row r="320">
      <c r="A3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0" s="5">
        <f>IFERROR(__xludf.DUMMYFUNCTION("""COMPUTED_VALUE"""),320.0)</f>
        <v>320</v>
      </c>
      <c r="C320" s="5">
        <f>IFERROR(__xludf.DUMMYFUNCTION("""COMPUTED_VALUE"""),319.0)</f>
        <v>319</v>
      </c>
      <c r="D320" s="5" t="str">
        <f>IFERROR(__xludf.DUMMYFUNCTION("""COMPUTED_VALUE"""),"CrystalsOfMozzart")</f>
        <v>CrystalsOfMozzart</v>
      </c>
      <c r="E320" s="5" t="str">
        <f>IFERROR(__xludf.DUMMYFUNCTION("""COMPUTED_VALUE"""),"Yes")</f>
        <v>Yes</v>
      </c>
      <c r="F320" s="5" t="str">
        <f>IFERROR(__xludf.DUMMYFUNCTION("""COMPUTED_VALUE"""),"Yes")</f>
        <v>Yes</v>
      </c>
      <c r="G320" s="5" t="str">
        <f>IFERROR(__xludf.DUMMYFUNCTION("""COMPUTED_VALUE"""),"Yes")</f>
        <v>Yes</v>
      </c>
      <c r="H320" s="5" t="str">
        <f>IFERROR(__xludf.DUMMYFUNCTION("""COMPUTED_VALUE"""),"Yes")</f>
        <v>Yes</v>
      </c>
      <c r="I320" s="5" t="str">
        <f>IFERROR(__xludf.DUMMYFUNCTION("""COMPUTED_VALUE"""),"Yes")</f>
        <v>Yes</v>
      </c>
      <c r="J320" s="5" t="str">
        <f>IFERROR(__xludf.DUMMYFUNCTION("""COMPUTED_VALUE"""),"Yes")</f>
        <v>Yes</v>
      </c>
      <c r="K320" s="5" t="str">
        <f>IFERROR(__xludf.DUMMYFUNCTION("""COMPUTED_VALUE"""),"Yes")</f>
        <v>Yes</v>
      </c>
      <c r="L320" s="5" t="str">
        <f>IFERROR(__xludf.DUMMYFUNCTION("""COMPUTED_VALUE"""),"Yes")</f>
        <v>Yes</v>
      </c>
      <c r="M320" s="5" t="str">
        <f>IFERROR(__xludf.DUMMYFUNCTION("""COMPUTED_VALUE"""),"Yes")</f>
        <v>Yes</v>
      </c>
      <c r="N320" s="5" t="str">
        <f>IFERROR(__xludf.DUMMYFUNCTION("""COMPUTED_VALUE"""),"Yes")</f>
        <v>Yes</v>
      </c>
      <c r="O320" s="5" t="str">
        <f>IFERROR(__xludf.DUMMYFUNCTION("""COMPUTED_VALUE"""),"Yes")</f>
        <v>Yes</v>
      </c>
      <c r="P320" s="5" t="str">
        <f>IFERROR(__xludf.DUMMYFUNCTION("""COMPUTED_VALUE"""),"Yes")</f>
        <v>Yes</v>
      </c>
      <c r="Q320" s="5" t="str">
        <f>IFERROR(__xludf.DUMMYFUNCTION("""COMPUTED_VALUE"""),"Yes")</f>
        <v>Yes</v>
      </c>
      <c r="R320" s="5" t="str">
        <f>IFERROR(__xludf.DUMMYFUNCTION("""COMPUTED_VALUE"""),"Yes")</f>
        <v>Yes</v>
      </c>
      <c r="S320" s="5" t="str">
        <f>IFERROR(__xludf.DUMMYFUNCTION("""COMPUTED_VALUE"""),"Yes")</f>
        <v>Yes</v>
      </c>
      <c r="T320" s="5" t="str">
        <f>IFERROR(__xludf.DUMMYFUNCTION("""COMPUTED_VALUE"""),"Yes")</f>
        <v>Yes</v>
      </c>
      <c r="U320" s="5" t="str">
        <f>IFERROR(__xludf.DUMMYFUNCTION("""COMPUTED_VALUE"""),"Yes")</f>
        <v>Yes</v>
      </c>
      <c r="V320" s="5" t="str">
        <f>IFERROR(__xludf.DUMMYFUNCTION("""COMPUTED_VALUE"""),"Yes")</f>
        <v>Yes</v>
      </c>
      <c r="W320" s="5" t="str">
        <f>IFERROR(__xludf.DUMMYFUNCTION("""COMPUTED_VALUE"""),"Yes")</f>
        <v>Yes</v>
      </c>
      <c r="X320" s="5" t="str">
        <f>IFERROR(__xludf.DUMMYFUNCTION("""COMPUTED_VALUE"""),"Yes")</f>
        <v>Yes</v>
      </c>
      <c r="Y320" s="5" t="str">
        <f>IFERROR(__xludf.DUMMYFUNCTION("""COMPUTED_VALUE"""),"Yes")</f>
        <v>Yes</v>
      </c>
      <c r="Z320" s="5" t="str">
        <f>IFERROR(__xludf.DUMMYFUNCTION("""COMPUTED_VALUE"""),"No")</f>
        <v>No</v>
      </c>
      <c r="AA320" s="5" t="str">
        <f>IFERROR(__xludf.DUMMYFUNCTION("""COMPUTED_VALUE"""),"Yes")</f>
        <v>Yes</v>
      </c>
      <c r="AB320" s="5" t="str">
        <f>IFERROR(__xludf.DUMMYFUNCTION("""COMPUTED_VALUE"""),"Yes")</f>
        <v>Yes</v>
      </c>
      <c r="AC320" s="5" t="str">
        <f>IFERROR(__xludf.DUMMYFUNCTION("""COMPUTED_VALUE"""),"Yes")</f>
        <v>Yes</v>
      </c>
      <c r="AD320" s="5" t="str">
        <f>IFERROR(__xludf.DUMMYFUNCTION("""COMPUTED_VALUE"""),"Yes")</f>
        <v>Yes</v>
      </c>
      <c r="AE320" s="5" t="str">
        <f>IFERROR(__xludf.DUMMYFUNCTION("""COMPUTED_VALUE"""),"No")</f>
        <v>No</v>
      </c>
      <c r="AF320" s="5" t="str">
        <f>IFERROR(__xludf.DUMMYFUNCTION("""COMPUTED_VALUE"""),"Yes")</f>
        <v>Yes</v>
      </c>
      <c r="AG320" s="5" t="str">
        <f>IFERROR(__xludf.DUMMYFUNCTION("""COMPUTED_VALUE"""),"No")</f>
        <v>No</v>
      </c>
      <c r="AH320" s="5" t="str">
        <f>IFERROR(__xludf.DUMMYFUNCTION("""COMPUTED_VALUE"""),"No")</f>
        <v>No</v>
      </c>
      <c r="AI320" s="5" t="str">
        <f>IFERROR(__xludf.DUMMYFUNCTION("""COMPUTED_VALUE"""),"No")</f>
        <v>No</v>
      </c>
      <c r="AJ320" s="5" t="str">
        <f>IFERROR(__xludf.DUMMYFUNCTION("""COMPUTED_VALUE"""),"No")</f>
        <v>No</v>
      </c>
      <c r="AK320" s="5" t="str">
        <f>IFERROR(__xludf.DUMMYFUNCTION("""COMPUTED_VALUE"""),"No")</f>
        <v>No</v>
      </c>
      <c r="AL320" s="5" t="str">
        <f>IFERROR(__xludf.DUMMYFUNCTION("""COMPUTED_VALUE"""),"No")</f>
        <v>No</v>
      </c>
      <c r="AM320" s="5"/>
      <c r="AN320" s="5"/>
      <c r="AO320" s="5"/>
      <c r="AP320" s="5"/>
      <c r="AQ320" s="5"/>
      <c r="AR320" s="5"/>
      <c r="AS320" s="5"/>
      <c r="AT320" s="5"/>
      <c r="AU320" s="5"/>
      <c r="AV320" s="5"/>
      <c r="AW320" s="5"/>
      <c r="AX320" s="5"/>
      <c r="AY320" s="5"/>
    </row>
    <row r="321">
      <c r="A3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21" s="5">
        <f>IFERROR(__xludf.DUMMYFUNCTION("""COMPUTED_VALUE"""),321.0)</f>
        <v>321</v>
      </c>
      <c r="C321" s="5">
        <f>IFERROR(__xludf.DUMMYFUNCTION("""COMPUTED_VALUE"""),320.0)</f>
        <v>320</v>
      </c>
      <c r="D321" s="5" t="str">
        <f>IFERROR(__xludf.DUMMYFUNCTION("""COMPUTED_VALUE"""),"VintageFruits40")</f>
        <v>VintageFruits40</v>
      </c>
      <c r="E321" s="5" t="str">
        <f>IFERROR(__xludf.DUMMYFUNCTION("""COMPUTED_VALUE"""),"Yes")</f>
        <v>Yes</v>
      </c>
      <c r="F321" s="5" t="str">
        <f>IFERROR(__xludf.DUMMYFUNCTION("""COMPUTED_VALUE"""),"Yes")</f>
        <v>Yes</v>
      </c>
      <c r="G321" s="5" t="str">
        <f>IFERROR(__xludf.DUMMYFUNCTION("""COMPUTED_VALUE"""),"Yes")</f>
        <v>Yes</v>
      </c>
      <c r="H321" s="5" t="str">
        <f>IFERROR(__xludf.DUMMYFUNCTION("""COMPUTED_VALUE"""),"Yes")</f>
        <v>Yes</v>
      </c>
      <c r="I321" s="5" t="str">
        <f>IFERROR(__xludf.DUMMYFUNCTION("""COMPUTED_VALUE"""),"Yes")</f>
        <v>Yes</v>
      </c>
      <c r="J321" s="5" t="str">
        <f>IFERROR(__xludf.DUMMYFUNCTION("""COMPUTED_VALUE"""),"Yes")</f>
        <v>Yes</v>
      </c>
      <c r="K321" s="5" t="str">
        <f>IFERROR(__xludf.DUMMYFUNCTION("""COMPUTED_VALUE"""),"Yes")</f>
        <v>Yes</v>
      </c>
      <c r="L321" s="5" t="str">
        <f>IFERROR(__xludf.DUMMYFUNCTION("""COMPUTED_VALUE"""),"Yes")</f>
        <v>Yes</v>
      </c>
      <c r="M321" s="5" t="str">
        <f>IFERROR(__xludf.DUMMYFUNCTION("""COMPUTED_VALUE"""),"Yes")</f>
        <v>Yes</v>
      </c>
      <c r="N321" s="5" t="str">
        <f>IFERROR(__xludf.DUMMYFUNCTION("""COMPUTED_VALUE"""),"Yes")</f>
        <v>Yes</v>
      </c>
      <c r="O321" s="5" t="str">
        <f>IFERROR(__xludf.DUMMYFUNCTION("""COMPUTED_VALUE"""),"Yes")</f>
        <v>Yes</v>
      </c>
      <c r="P321" s="5" t="str">
        <f>IFERROR(__xludf.DUMMYFUNCTION("""COMPUTED_VALUE"""),"Yes")</f>
        <v>Yes</v>
      </c>
      <c r="Q321" s="5" t="str">
        <f>IFERROR(__xludf.DUMMYFUNCTION("""COMPUTED_VALUE"""),"Yes")</f>
        <v>Yes</v>
      </c>
      <c r="R321" s="5" t="str">
        <f>IFERROR(__xludf.DUMMYFUNCTION("""COMPUTED_VALUE"""),"Yes")</f>
        <v>Yes</v>
      </c>
      <c r="S321" s="5" t="str">
        <f>IFERROR(__xludf.DUMMYFUNCTION("""COMPUTED_VALUE"""),"Yes")</f>
        <v>Yes</v>
      </c>
      <c r="T321" s="5" t="str">
        <f>IFERROR(__xludf.DUMMYFUNCTION("""COMPUTED_VALUE"""),"Yes")</f>
        <v>Yes</v>
      </c>
      <c r="U321" s="5" t="str">
        <f>IFERROR(__xludf.DUMMYFUNCTION("""COMPUTED_VALUE"""),"Yes")</f>
        <v>Yes</v>
      </c>
      <c r="V321" s="5" t="str">
        <f>IFERROR(__xludf.DUMMYFUNCTION("""COMPUTED_VALUE"""),"Yes")</f>
        <v>Yes</v>
      </c>
      <c r="W321" s="5" t="str">
        <f>IFERROR(__xludf.DUMMYFUNCTION("""COMPUTED_VALUE"""),"Yes")</f>
        <v>Yes</v>
      </c>
      <c r="X321" s="5" t="str">
        <f>IFERROR(__xludf.DUMMYFUNCTION("""COMPUTED_VALUE"""),"Yes")</f>
        <v>Yes</v>
      </c>
      <c r="Y321" s="5" t="str">
        <f>IFERROR(__xludf.DUMMYFUNCTION("""COMPUTED_VALUE"""),"Yes")</f>
        <v>Yes</v>
      </c>
      <c r="Z321" s="5" t="str">
        <f>IFERROR(__xludf.DUMMYFUNCTION("""COMPUTED_VALUE"""),"Yes")</f>
        <v>Yes</v>
      </c>
      <c r="AA321" s="5" t="str">
        <f>IFERROR(__xludf.DUMMYFUNCTION("""COMPUTED_VALUE"""),"Yes")</f>
        <v>Yes</v>
      </c>
      <c r="AB321" s="5" t="str">
        <f>IFERROR(__xludf.DUMMYFUNCTION("""COMPUTED_VALUE"""),"Yes")</f>
        <v>Yes</v>
      </c>
      <c r="AC321" s="5" t="str">
        <f>IFERROR(__xludf.DUMMYFUNCTION("""COMPUTED_VALUE"""),"Yes")</f>
        <v>Yes</v>
      </c>
      <c r="AD321" s="5" t="str">
        <f>IFERROR(__xludf.DUMMYFUNCTION("""COMPUTED_VALUE"""),"Yes")</f>
        <v>Yes</v>
      </c>
      <c r="AE321" s="5" t="str">
        <f>IFERROR(__xludf.DUMMYFUNCTION("""COMPUTED_VALUE"""),"Yes")</f>
        <v>Yes</v>
      </c>
      <c r="AF321" s="5" t="str">
        <f>IFERROR(__xludf.DUMMYFUNCTION("""COMPUTED_VALUE"""),"Yes")</f>
        <v>Yes</v>
      </c>
      <c r="AG321" s="5" t="str">
        <f>IFERROR(__xludf.DUMMYFUNCTION("""COMPUTED_VALUE"""),"Yes")</f>
        <v>Yes</v>
      </c>
      <c r="AH321" s="5" t="str">
        <f>IFERROR(__xludf.DUMMYFUNCTION("""COMPUTED_VALUE"""),"Yes")</f>
        <v>Yes</v>
      </c>
      <c r="AI321" s="5" t="str">
        <f>IFERROR(__xludf.DUMMYFUNCTION("""COMPUTED_VALUE"""),"No")</f>
        <v>No</v>
      </c>
      <c r="AJ321" s="5" t="str">
        <f>IFERROR(__xludf.DUMMYFUNCTION("""COMPUTED_VALUE"""),"No")</f>
        <v>No</v>
      </c>
      <c r="AK321" s="5" t="str">
        <f>IFERROR(__xludf.DUMMYFUNCTION("""COMPUTED_VALUE"""),"No")</f>
        <v>No</v>
      </c>
      <c r="AL321" s="5" t="str">
        <f>IFERROR(__xludf.DUMMYFUNCTION("""COMPUTED_VALUE"""),"No")</f>
        <v>No</v>
      </c>
      <c r="AM321" s="5"/>
      <c r="AN321" s="5"/>
      <c r="AO321" s="5"/>
      <c r="AP321" s="5"/>
      <c r="AQ321" s="5"/>
      <c r="AR321" s="5"/>
      <c r="AS321" s="5"/>
      <c r="AT321" s="5"/>
      <c r="AU321" s="5"/>
      <c r="AV321" s="5"/>
      <c r="AW321" s="5"/>
      <c r="AX321" s="5"/>
      <c r="AY321" s="5"/>
    </row>
    <row r="322">
      <c r="A3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2" s="5">
        <f>IFERROR(__xludf.DUMMYFUNCTION("""COMPUTED_VALUE"""),322.0)</f>
        <v>322</v>
      </c>
      <c r="C322" s="5">
        <f>IFERROR(__xludf.DUMMYFUNCTION("""COMPUTED_VALUE"""),321.0)</f>
        <v>321</v>
      </c>
      <c r="D322" s="5" t="str">
        <f>IFERROR(__xludf.DUMMYFUNCTION("""COMPUTED_VALUE"""),"SummerRush")</f>
        <v>SummerRush</v>
      </c>
      <c r="E322" s="5" t="str">
        <f>IFERROR(__xludf.DUMMYFUNCTION("""COMPUTED_VALUE"""),"Yes")</f>
        <v>Yes</v>
      </c>
      <c r="F322" s="5" t="str">
        <f>IFERROR(__xludf.DUMMYFUNCTION("""COMPUTED_VALUE"""),"Yes")</f>
        <v>Yes</v>
      </c>
      <c r="G322" s="5" t="str">
        <f>IFERROR(__xludf.DUMMYFUNCTION("""COMPUTED_VALUE"""),"Yes")</f>
        <v>Yes</v>
      </c>
      <c r="H322" s="5" t="str">
        <f>IFERROR(__xludf.DUMMYFUNCTION("""COMPUTED_VALUE"""),"Yes")</f>
        <v>Yes</v>
      </c>
      <c r="I322" s="5" t="str">
        <f>IFERROR(__xludf.DUMMYFUNCTION("""COMPUTED_VALUE"""),"Yes")</f>
        <v>Yes</v>
      </c>
      <c r="J322" s="5" t="str">
        <f>IFERROR(__xludf.DUMMYFUNCTION("""COMPUTED_VALUE"""),"Yes")</f>
        <v>Yes</v>
      </c>
      <c r="K322" s="5" t="str">
        <f>IFERROR(__xludf.DUMMYFUNCTION("""COMPUTED_VALUE"""),"Yes")</f>
        <v>Yes</v>
      </c>
      <c r="L322" s="5" t="str">
        <f>IFERROR(__xludf.DUMMYFUNCTION("""COMPUTED_VALUE"""),"Yes")</f>
        <v>Yes</v>
      </c>
      <c r="M322" s="5" t="str">
        <f>IFERROR(__xludf.DUMMYFUNCTION("""COMPUTED_VALUE"""),"Yes")</f>
        <v>Yes</v>
      </c>
      <c r="N322" s="5" t="str">
        <f>IFERROR(__xludf.DUMMYFUNCTION("""COMPUTED_VALUE"""),"Yes")</f>
        <v>Yes</v>
      </c>
      <c r="O322" s="5" t="str">
        <f>IFERROR(__xludf.DUMMYFUNCTION("""COMPUTED_VALUE"""),"Yes")</f>
        <v>Yes</v>
      </c>
      <c r="P322" s="5" t="str">
        <f>IFERROR(__xludf.DUMMYFUNCTION("""COMPUTED_VALUE"""),"Yes")</f>
        <v>Yes</v>
      </c>
      <c r="Q322" s="5" t="str">
        <f>IFERROR(__xludf.DUMMYFUNCTION("""COMPUTED_VALUE"""),"Yes")</f>
        <v>Yes</v>
      </c>
      <c r="R322" s="5" t="str">
        <f>IFERROR(__xludf.DUMMYFUNCTION("""COMPUTED_VALUE"""),"Yes")</f>
        <v>Yes</v>
      </c>
      <c r="S322" s="5" t="str">
        <f>IFERROR(__xludf.DUMMYFUNCTION("""COMPUTED_VALUE"""),"Yes")</f>
        <v>Yes</v>
      </c>
      <c r="T322" s="5" t="str">
        <f>IFERROR(__xludf.DUMMYFUNCTION("""COMPUTED_VALUE"""),"Yes")</f>
        <v>Yes</v>
      </c>
      <c r="U322" s="5" t="str">
        <f>IFERROR(__xludf.DUMMYFUNCTION("""COMPUTED_VALUE"""),"Yes")</f>
        <v>Yes</v>
      </c>
      <c r="V322" s="5" t="str">
        <f>IFERROR(__xludf.DUMMYFUNCTION("""COMPUTED_VALUE"""),"Yes")</f>
        <v>Yes</v>
      </c>
      <c r="W322" s="5" t="str">
        <f>IFERROR(__xludf.DUMMYFUNCTION("""COMPUTED_VALUE"""),"Yes")</f>
        <v>Yes</v>
      </c>
      <c r="X322" s="5" t="str">
        <f>IFERROR(__xludf.DUMMYFUNCTION("""COMPUTED_VALUE"""),"Yes")</f>
        <v>Yes</v>
      </c>
      <c r="Y322" s="5" t="str">
        <f>IFERROR(__xludf.DUMMYFUNCTION("""COMPUTED_VALUE"""),"Yes")</f>
        <v>Yes</v>
      </c>
      <c r="Z322" s="5" t="str">
        <f>IFERROR(__xludf.DUMMYFUNCTION("""COMPUTED_VALUE"""),"No")</f>
        <v>No</v>
      </c>
      <c r="AA322" s="5" t="str">
        <f>IFERROR(__xludf.DUMMYFUNCTION("""COMPUTED_VALUE"""),"Yes")</f>
        <v>Yes</v>
      </c>
      <c r="AB322" s="5" t="str">
        <f>IFERROR(__xludf.DUMMYFUNCTION("""COMPUTED_VALUE"""),"Yes")</f>
        <v>Yes</v>
      </c>
      <c r="AC322" s="5" t="str">
        <f>IFERROR(__xludf.DUMMYFUNCTION("""COMPUTED_VALUE"""),"Yes")</f>
        <v>Yes</v>
      </c>
      <c r="AD322" s="5" t="str">
        <f>IFERROR(__xludf.DUMMYFUNCTION("""COMPUTED_VALUE"""),"Yes")</f>
        <v>Yes</v>
      </c>
      <c r="AE322" s="5" t="str">
        <f>IFERROR(__xludf.DUMMYFUNCTION("""COMPUTED_VALUE"""),"No")</f>
        <v>No</v>
      </c>
      <c r="AF322" s="5" t="str">
        <f>IFERROR(__xludf.DUMMYFUNCTION("""COMPUTED_VALUE"""),"Yes")</f>
        <v>Yes</v>
      </c>
      <c r="AG322" s="5" t="str">
        <f>IFERROR(__xludf.DUMMYFUNCTION("""COMPUTED_VALUE"""),"No")</f>
        <v>No</v>
      </c>
      <c r="AH322" s="5" t="str">
        <f>IFERROR(__xludf.DUMMYFUNCTION("""COMPUTED_VALUE"""),"No")</f>
        <v>No</v>
      </c>
      <c r="AI322" s="5" t="str">
        <f>IFERROR(__xludf.DUMMYFUNCTION("""COMPUTED_VALUE"""),"No")</f>
        <v>No</v>
      </c>
      <c r="AJ322" s="5" t="str">
        <f>IFERROR(__xludf.DUMMYFUNCTION("""COMPUTED_VALUE"""),"No")</f>
        <v>No</v>
      </c>
      <c r="AK322" s="5" t="str">
        <f>IFERROR(__xludf.DUMMYFUNCTION("""COMPUTED_VALUE"""),"No")</f>
        <v>No</v>
      </c>
      <c r="AL322" s="5" t="str">
        <f>IFERROR(__xludf.DUMMYFUNCTION("""COMPUTED_VALUE"""),"No")</f>
        <v>No</v>
      </c>
      <c r="AM322" s="5"/>
      <c r="AN322" s="5"/>
      <c r="AO322" s="5"/>
      <c r="AP322" s="5"/>
      <c r="AQ322" s="5"/>
      <c r="AR322" s="5"/>
      <c r="AS322" s="5"/>
      <c r="AT322" s="5"/>
      <c r="AU322" s="5"/>
      <c r="AV322" s="5"/>
      <c r="AW322" s="5"/>
      <c r="AX322" s="5"/>
      <c r="AY322" s="5"/>
    </row>
    <row r="323">
      <c r="A3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3" s="5">
        <f>IFERROR(__xludf.DUMMYFUNCTION("""COMPUTED_VALUE"""),323.0)</f>
        <v>323</v>
      </c>
      <c r="C323" s="5">
        <f>IFERROR(__xludf.DUMMYFUNCTION("""COMPUTED_VALUE"""),322.0)</f>
        <v>322</v>
      </c>
      <c r="D323" s="5" t="str">
        <f>IFERROR(__xludf.DUMMYFUNCTION("""COMPUTED_VALUE"""),"FootballVictory")</f>
        <v>FootballVictory</v>
      </c>
      <c r="E323" s="5" t="str">
        <f>IFERROR(__xludf.DUMMYFUNCTION("""COMPUTED_VALUE"""),"Yes")</f>
        <v>Yes</v>
      </c>
      <c r="F323" s="5" t="str">
        <f>IFERROR(__xludf.DUMMYFUNCTION("""COMPUTED_VALUE"""),"Yes")</f>
        <v>Yes</v>
      </c>
      <c r="G323" s="5" t="str">
        <f>IFERROR(__xludf.DUMMYFUNCTION("""COMPUTED_VALUE"""),"Yes")</f>
        <v>Yes</v>
      </c>
      <c r="H323" s="5" t="str">
        <f>IFERROR(__xludf.DUMMYFUNCTION("""COMPUTED_VALUE"""),"Yes")</f>
        <v>Yes</v>
      </c>
      <c r="I323" s="5" t="str">
        <f>IFERROR(__xludf.DUMMYFUNCTION("""COMPUTED_VALUE"""),"Yes")</f>
        <v>Yes</v>
      </c>
      <c r="J323" s="5" t="str">
        <f>IFERROR(__xludf.DUMMYFUNCTION("""COMPUTED_VALUE"""),"Yes")</f>
        <v>Yes</v>
      </c>
      <c r="K323" s="5" t="str">
        <f>IFERROR(__xludf.DUMMYFUNCTION("""COMPUTED_VALUE"""),"Yes")</f>
        <v>Yes</v>
      </c>
      <c r="L323" s="5" t="str">
        <f>IFERROR(__xludf.DUMMYFUNCTION("""COMPUTED_VALUE"""),"Yes")</f>
        <v>Yes</v>
      </c>
      <c r="M323" s="5" t="str">
        <f>IFERROR(__xludf.DUMMYFUNCTION("""COMPUTED_VALUE"""),"Yes")</f>
        <v>Yes</v>
      </c>
      <c r="N323" s="5" t="str">
        <f>IFERROR(__xludf.DUMMYFUNCTION("""COMPUTED_VALUE"""),"Yes")</f>
        <v>Yes</v>
      </c>
      <c r="O323" s="5" t="str">
        <f>IFERROR(__xludf.DUMMYFUNCTION("""COMPUTED_VALUE"""),"Yes")</f>
        <v>Yes</v>
      </c>
      <c r="P323" s="5" t="str">
        <f>IFERROR(__xludf.DUMMYFUNCTION("""COMPUTED_VALUE"""),"Yes")</f>
        <v>Yes</v>
      </c>
      <c r="Q323" s="5" t="str">
        <f>IFERROR(__xludf.DUMMYFUNCTION("""COMPUTED_VALUE"""),"Yes")</f>
        <v>Yes</v>
      </c>
      <c r="R323" s="5" t="str">
        <f>IFERROR(__xludf.DUMMYFUNCTION("""COMPUTED_VALUE"""),"Yes")</f>
        <v>Yes</v>
      </c>
      <c r="S323" s="5" t="str">
        <f>IFERROR(__xludf.DUMMYFUNCTION("""COMPUTED_VALUE"""),"Yes")</f>
        <v>Yes</v>
      </c>
      <c r="T323" s="5" t="str">
        <f>IFERROR(__xludf.DUMMYFUNCTION("""COMPUTED_VALUE"""),"Yes")</f>
        <v>Yes</v>
      </c>
      <c r="U323" s="5" t="str">
        <f>IFERROR(__xludf.DUMMYFUNCTION("""COMPUTED_VALUE"""),"Yes")</f>
        <v>Yes</v>
      </c>
      <c r="V323" s="5" t="str">
        <f>IFERROR(__xludf.DUMMYFUNCTION("""COMPUTED_VALUE"""),"Yes")</f>
        <v>Yes</v>
      </c>
      <c r="W323" s="5" t="str">
        <f>IFERROR(__xludf.DUMMYFUNCTION("""COMPUTED_VALUE"""),"Yes")</f>
        <v>Yes</v>
      </c>
      <c r="X323" s="5" t="str">
        <f>IFERROR(__xludf.DUMMYFUNCTION("""COMPUTED_VALUE"""),"Yes")</f>
        <v>Yes</v>
      </c>
      <c r="Y323" s="5" t="str">
        <f>IFERROR(__xludf.DUMMYFUNCTION("""COMPUTED_VALUE"""),"Yes")</f>
        <v>Yes</v>
      </c>
      <c r="Z323" s="5" t="str">
        <f>IFERROR(__xludf.DUMMYFUNCTION("""COMPUTED_VALUE"""),"No")</f>
        <v>No</v>
      </c>
      <c r="AA323" s="5" t="str">
        <f>IFERROR(__xludf.DUMMYFUNCTION("""COMPUTED_VALUE"""),"Yes")</f>
        <v>Yes</v>
      </c>
      <c r="AB323" s="5" t="str">
        <f>IFERROR(__xludf.DUMMYFUNCTION("""COMPUTED_VALUE"""),"Yes")</f>
        <v>Yes</v>
      </c>
      <c r="AC323" s="5" t="str">
        <f>IFERROR(__xludf.DUMMYFUNCTION("""COMPUTED_VALUE"""),"Yes")</f>
        <v>Yes</v>
      </c>
      <c r="AD323" s="5" t="str">
        <f>IFERROR(__xludf.DUMMYFUNCTION("""COMPUTED_VALUE"""),"Yes")</f>
        <v>Yes</v>
      </c>
      <c r="AE323" s="5" t="str">
        <f>IFERROR(__xludf.DUMMYFUNCTION("""COMPUTED_VALUE"""),"No")</f>
        <v>No</v>
      </c>
      <c r="AF323" s="5" t="str">
        <f>IFERROR(__xludf.DUMMYFUNCTION("""COMPUTED_VALUE"""),"Yes")</f>
        <v>Yes</v>
      </c>
      <c r="AG323" s="5" t="str">
        <f>IFERROR(__xludf.DUMMYFUNCTION("""COMPUTED_VALUE"""),"No")</f>
        <v>No</v>
      </c>
      <c r="AH323" s="5" t="str">
        <f>IFERROR(__xludf.DUMMYFUNCTION("""COMPUTED_VALUE"""),"No")</f>
        <v>No</v>
      </c>
      <c r="AI323" s="5" t="str">
        <f>IFERROR(__xludf.DUMMYFUNCTION("""COMPUTED_VALUE"""),"No")</f>
        <v>No</v>
      </c>
      <c r="AJ323" s="5" t="str">
        <f>IFERROR(__xludf.DUMMYFUNCTION("""COMPUTED_VALUE"""),"No")</f>
        <v>No</v>
      </c>
      <c r="AK323" s="5" t="str">
        <f>IFERROR(__xludf.DUMMYFUNCTION("""COMPUTED_VALUE"""),"No")</f>
        <v>No</v>
      </c>
      <c r="AL323" s="5" t="str">
        <f>IFERROR(__xludf.DUMMYFUNCTION("""COMPUTED_VALUE"""),"No")</f>
        <v>No</v>
      </c>
      <c r="AM323" s="5"/>
      <c r="AN323" s="5"/>
      <c r="AO323" s="5"/>
      <c r="AP323" s="5"/>
      <c r="AQ323" s="5"/>
      <c r="AR323" s="5"/>
      <c r="AS323" s="5"/>
      <c r="AT323" s="5"/>
      <c r="AU323" s="5"/>
      <c r="AV323" s="5"/>
      <c r="AW323" s="5"/>
      <c r="AX323" s="5"/>
      <c r="AY323" s="5"/>
    </row>
    <row r="324">
      <c r="A3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24" s="5">
        <f>IFERROR(__xludf.DUMMYFUNCTION("""COMPUTED_VALUE"""),324.0)</f>
        <v>324</v>
      </c>
      <c r="C324" s="5">
        <f>IFERROR(__xludf.DUMMYFUNCTION("""COMPUTED_VALUE"""),323.0)</f>
        <v>323</v>
      </c>
      <c r="D324" s="5" t="str">
        <f>IFERROR(__xludf.DUMMYFUNCTION("""COMPUTED_VALUE"""),"RedstoneCapsAndCrowns")</f>
        <v>RedstoneCapsAndCrowns</v>
      </c>
      <c r="E324" s="5" t="str">
        <f>IFERROR(__xludf.DUMMYFUNCTION("""COMPUTED_VALUE"""),"Yes")</f>
        <v>Yes</v>
      </c>
      <c r="F324" s="5" t="str">
        <f>IFERROR(__xludf.DUMMYFUNCTION("""COMPUTED_VALUE"""),"Yes")</f>
        <v>Yes</v>
      </c>
      <c r="G324" s="5" t="str">
        <f>IFERROR(__xludf.DUMMYFUNCTION("""COMPUTED_VALUE"""),"Yes")</f>
        <v>Yes</v>
      </c>
      <c r="H324" s="5" t="str">
        <f>IFERROR(__xludf.DUMMYFUNCTION("""COMPUTED_VALUE"""),"Yes")</f>
        <v>Yes</v>
      </c>
      <c r="I324" s="5" t="str">
        <f>IFERROR(__xludf.DUMMYFUNCTION("""COMPUTED_VALUE"""),"Yes")</f>
        <v>Yes</v>
      </c>
      <c r="J324" s="5" t="str">
        <f>IFERROR(__xludf.DUMMYFUNCTION("""COMPUTED_VALUE"""),"Yes")</f>
        <v>Yes</v>
      </c>
      <c r="K324" s="5" t="str">
        <f>IFERROR(__xludf.DUMMYFUNCTION("""COMPUTED_VALUE"""),"Yes")</f>
        <v>Yes</v>
      </c>
      <c r="L324" s="5" t="str">
        <f>IFERROR(__xludf.DUMMYFUNCTION("""COMPUTED_VALUE"""),"Yes")</f>
        <v>Yes</v>
      </c>
      <c r="M324" s="5" t="str">
        <f>IFERROR(__xludf.DUMMYFUNCTION("""COMPUTED_VALUE"""),"Yes")</f>
        <v>Yes</v>
      </c>
      <c r="N324" s="5" t="str">
        <f>IFERROR(__xludf.DUMMYFUNCTION("""COMPUTED_VALUE"""),"Yes")</f>
        <v>Yes</v>
      </c>
      <c r="O324" s="5" t="str">
        <f>IFERROR(__xludf.DUMMYFUNCTION("""COMPUTED_VALUE"""),"Yes")</f>
        <v>Yes</v>
      </c>
      <c r="P324" s="5" t="str">
        <f>IFERROR(__xludf.DUMMYFUNCTION("""COMPUTED_VALUE"""),"Yes")</f>
        <v>Yes</v>
      </c>
      <c r="Q324" s="5" t="str">
        <f>IFERROR(__xludf.DUMMYFUNCTION("""COMPUTED_VALUE"""),"Yes")</f>
        <v>Yes</v>
      </c>
      <c r="R324" s="5" t="str">
        <f>IFERROR(__xludf.DUMMYFUNCTION("""COMPUTED_VALUE"""),"Yes")</f>
        <v>Yes</v>
      </c>
      <c r="S324" s="5" t="str">
        <f>IFERROR(__xludf.DUMMYFUNCTION("""COMPUTED_VALUE"""),"Yes")</f>
        <v>Yes</v>
      </c>
      <c r="T324" s="5" t="str">
        <f>IFERROR(__xludf.DUMMYFUNCTION("""COMPUTED_VALUE"""),"Yes")</f>
        <v>Yes</v>
      </c>
      <c r="U324" s="5" t="str">
        <f>IFERROR(__xludf.DUMMYFUNCTION("""COMPUTED_VALUE"""),"Yes")</f>
        <v>Yes</v>
      </c>
      <c r="V324" s="5" t="str">
        <f>IFERROR(__xludf.DUMMYFUNCTION("""COMPUTED_VALUE"""),"Yes")</f>
        <v>Yes</v>
      </c>
      <c r="W324" s="5" t="str">
        <f>IFERROR(__xludf.DUMMYFUNCTION("""COMPUTED_VALUE"""),"Yes")</f>
        <v>Yes</v>
      </c>
      <c r="X324" s="5"/>
      <c r="Y324" s="5" t="str">
        <f>IFERROR(__xludf.DUMMYFUNCTION("""COMPUTED_VALUE"""),"Yes")</f>
        <v>Yes</v>
      </c>
      <c r="Z324" s="5"/>
      <c r="AA324" s="5" t="str">
        <f>IFERROR(__xludf.DUMMYFUNCTION("""COMPUTED_VALUE"""),"Yes")</f>
        <v>Yes</v>
      </c>
      <c r="AB324" s="5" t="str">
        <f>IFERROR(__xludf.DUMMYFUNCTION("""COMPUTED_VALUE"""),"Yes")</f>
        <v>Yes</v>
      </c>
      <c r="AC324" s="5" t="str">
        <f>IFERROR(__xludf.DUMMYFUNCTION("""COMPUTED_VALUE"""),"Yes")</f>
        <v>Yes</v>
      </c>
      <c r="AD324" s="5" t="str">
        <f>IFERROR(__xludf.DUMMYFUNCTION("""COMPUTED_VALUE"""),"Yes")</f>
        <v>Yes</v>
      </c>
      <c r="AE324" s="5"/>
      <c r="AF324" s="5" t="str">
        <f>IFERROR(__xludf.DUMMYFUNCTION("""COMPUTED_VALUE"""),"Yes")</f>
        <v>Yes</v>
      </c>
      <c r="AG324" s="5"/>
      <c r="AH324" s="5"/>
      <c r="AI324" s="5"/>
      <c r="AJ324" s="5"/>
      <c r="AK324" s="5"/>
      <c r="AL324" s="5"/>
      <c r="AM324" s="5"/>
      <c r="AN324" s="5"/>
      <c r="AO324" s="5"/>
      <c r="AP324" s="5"/>
      <c r="AQ324" s="5"/>
      <c r="AR324" s="5"/>
      <c r="AS324" s="5"/>
      <c r="AT324" s="5"/>
      <c r="AU324" s="5"/>
      <c r="AV324" s="5"/>
      <c r="AW324" s="5"/>
      <c r="AX324" s="5"/>
      <c r="AY324" s="5"/>
    </row>
    <row r="325">
      <c r="A32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5" s="5">
        <f>IFERROR(__xludf.DUMMYFUNCTION("""COMPUTED_VALUE"""),325.0)</f>
        <v>325</v>
      </c>
      <c r="C325" s="5">
        <f>IFERROR(__xludf.DUMMYFUNCTION("""COMPUTED_VALUE"""),324.0)</f>
        <v>324</v>
      </c>
      <c r="D325" s="5" t="str">
        <f>IFERROR(__xludf.DUMMYFUNCTION("""COMPUTED_VALUE"""),"UnicornLavaDiamonds")</f>
        <v>UnicornLavaDiamonds</v>
      </c>
      <c r="E325" s="5" t="str">
        <f>IFERROR(__xludf.DUMMYFUNCTION("""COMPUTED_VALUE"""),"Yes")</f>
        <v>Yes</v>
      </c>
      <c r="F325" s="5" t="str">
        <f>IFERROR(__xludf.DUMMYFUNCTION("""COMPUTED_VALUE"""),"Yes")</f>
        <v>Yes</v>
      </c>
      <c r="G325" s="5" t="str">
        <f>IFERROR(__xludf.DUMMYFUNCTION("""COMPUTED_VALUE"""),"No")</f>
        <v>No</v>
      </c>
      <c r="H325" s="5" t="str">
        <f>IFERROR(__xludf.DUMMYFUNCTION("""COMPUTED_VALUE"""),"Yes")</f>
        <v>Yes</v>
      </c>
      <c r="I325" s="5" t="str">
        <f>IFERROR(__xludf.DUMMYFUNCTION("""COMPUTED_VALUE"""),"Yes")</f>
        <v>Yes</v>
      </c>
      <c r="J325" s="5" t="str">
        <f>IFERROR(__xludf.DUMMYFUNCTION("""COMPUTED_VALUE"""),"Yes")</f>
        <v>Yes</v>
      </c>
      <c r="K325" s="5" t="str">
        <f>IFERROR(__xludf.DUMMYFUNCTION("""COMPUTED_VALUE"""),"Yes")</f>
        <v>Yes</v>
      </c>
      <c r="L325" s="5" t="str">
        <f>IFERROR(__xludf.DUMMYFUNCTION("""COMPUTED_VALUE"""),"Yes")</f>
        <v>Yes</v>
      </c>
      <c r="M325" s="5" t="str">
        <f>IFERROR(__xludf.DUMMYFUNCTION("""COMPUTED_VALUE"""),"Yes")</f>
        <v>Yes</v>
      </c>
      <c r="N325" s="5" t="str">
        <f>IFERROR(__xludf.DUMMYFUNCTION("""COMPUTED_VALUE"""),"Yes")</f>
        <v>Yes</v>
      </c>
      <c r="O325" s="5" t="str">
        <f>IFERROR(__xludf.DUMMYFUNCTION("""COMPUTED_VALUE"""),"Yes")</f>
        <v>Yes</v>
      </c>
      <c r="P325" s="5" t="str">
        <f>IFERROR(__xludf.DUMMYFUNCTION("""COMPUTED_VALUE"""),"Yes")</f>
        <v>Yes</v>
      </c>
      <c r="Q325" s="5" t="str">
        <f>IFERROR(__xludf.DUMMYFUNCTION("""COMPUTED_VALUE"""),"Yes")</f>
        <v>Yes</v>
      </c>
      <c r="R325" s="5" t="str">
        <f>IFERROR(__xludf.DUMMYFUNCTION("""COMPUTED_VALUE"""),"Yes")</f>
        <v>Yes</v>
      </c>
      <c r="S325" s="5" t="str">
        <f>IFERROR(__xludf.DUMMYFUNCTION("""COMPUTED_VALUE"""),"Yes")</f>
        <v>Yes</v>
      </c>
      <c r="T325" s="5" t="str">
        <f>IFERROR(__xludf.DUMMYFUNCTION("""COMPUTED_VALUE"""),"No")</f>
        <v>No</v>
      </c>
      <c r="U325" s="5" t="str">
        <f>IFERROR(__xludf.DUMMYFUNCTION("""COMPUTED_VALUE"""),"No")</f>
        <v>No</v>
      </c>
      <c r="V325" s="5" t="str">
        <f>IFERROR(__xludf.DUMMYFUNCTION("""COMPUTED_VALUE"""),"No")</f>
        <v>No</v>
      </c>
      <c r="W325" s="5" t="str">
        <f>IFERROR(__xludf.DUMMYFUNCTION("""COMPUTED_VALUE"""),"No")</f>
        <v>No</v>
      </c>
      <c r="X325" s="5" t="str">
        <f>IFERROR(__xludf.DUMMYFUNCTION("""COMPUTED_VALUE"""),"No")</f>
        <v>No</v>
      </c>
      <c r="Y325" s="5" t="str">
        <f>IFERROR(__xludf.DUMMYFUNCTION("""COMPUTED_VALUE"""),"No")</f>
        <v>No</v>
      </c>
      <c r="Z325" s="5" t="str">
        <f>IFERROR(__xludf.DUMMYFUNCTION("""COMPUTED_VALUE"""),"No")</f>
        <v>No</v>
      </c>
      <c r="AA325" s="5" t="str">
        <f>IFERROR(__xludf.DUMMYFUNCTION("""COMPUTED_VALUE"""),"No")</f>
        <v>No</v>
      </c>
      <c r="AB325" s="5" t="str">
        <f>IFERROR(__xludf.DUMMYFUNCTION("""COMPUTED_VALUE"""),"No")</f>
        <v>No</v>
      </c>
      <c r="AC325" s="5" t="str">
        <f>IFERROR(__xludf.DUMMYFUNCTION("""COMPUTED_VALUE"""),"No")</f>
        <v>No</v>
      </c>
      <c r="AD325" s="5" t="str">
        <f>IFERROR(__xludf.DUMMYFUNCTION("""COMPUTED_VALUE"""),"No")</f>
        <v>No</v>
      </c>
      <c r="AE325" s="5" t="str">
        <f>IFERROR(__xludf.DUMMYFUNCTION("""COMPUTED_VALUE"""),"No")</f>
        <v>No</v>
      </c>
      <c r="AF325" s="5" t="str">
        <f>IFERROR(__xludf.DUMMYFUNCTION("""COMPUTED_VALUE"""),"Yes")</f>
        <v>Yes</v>
      </c>
      <c r="AG325" s="5" t="str">
        <f>IFERROR(__xludf.DUMMYFUNCTION("""COMPUTED_VALUE"""),"No")</f>
        <v>No</v>
      </c>
      <c r="AH325" s="5" t="str">
        <f>IFERROR(__xludf.DUMMYFUNCTION("""COMPUTED_VALUE"""),"Yes")</f>
        <v>Yes</v>
      </c>
      <c r="AI325" s="5" t="str">
        <f>IFERROR(__xludf.DUMMYFUNCTION("""COMPUTED_VALUE"""),"No")</f>
        <v>No</v>
      </c>
      <c r="AJ325" s="5" t="str">
        <f>IFERROR(__xludf.DUMMYFUNCTION("""COMPUTED_VALUE"""),"No")</f>
        <v>No</v>
      </c>
      <c r="AK325" s="5" t="str">
        <f>IFERROR(__xludf.DUMMYFUNCTION("""COMPUTED_VALUE"""),"No")</f>
        <v>No</v>
      </c>
      <c r="AL325" s="5" t="str">
        <f>IFERROR(__xludf.DUMMYFUNCTION("""COMPUTED_VALUE"""),"No")</f>
        <v>No</v>
      </c>
      <c r="AM325" s="5"/>
      <c r="AN325" s="5"/>
      <c r="AO325" s="5"/>
      <c r="AP325" s="5"/>
      <c r="AQ325" s="5"/>
      <c r="AR325" s="5"/>
      <c r="AS325" s="5"/>
      <c r="AT325" s="5"/>
      <c r="AU325" s="5"/>
      <c r="AV325" s="5"/>
      <c r="AW325" s="5"/>
      <c r="AX325" s="5"/>
      <c r="AY325" s="5"/>
    </row>
    <row r="326">
      <c r="A3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26" s="5">
        <f>IFERROR(__xludf.DUMMYFUNCTION("""COMPUTED_VALUE"""),326.0)</f>
        <v>326</v>
      </c>
      <c r="C326" s="5">
        <f>IFERROR(__xludf.DUMMYFUNCTION("""COMPUTED_VALUE"""),325.0)</f>
        <v>325</v>
      </c>
      <c r="D326" s="5" t="str">
        <f>IFERROR(__xludf.DUMMYFUNCTION("""COMPUTED_VALUE"""),"Unicorn5HotStrikeDice")</f>
        <v>Unicorn5HotStrikeDice</v>
      </c>
      <c r="E326" s="5" t="str">
        <f>IFERROR(__xludf.DUMMYFUNCTION("""COMPUTED_VALUE"""),"Yes")</f>
        <v>Yes</v>
      </c>
      <c r="F326" s="5" t="str">
        <f>IFERROR(__xludf.DUMMYFUNCTION("""COMPUTED_VALUE"""),"Yes")</f>
        <v>Yes</v>
      </c>
      <c r="G326" s="5" t="str">
        <f>IFERROR(__xludf.DUMMYFUNCTION("""COMPUTED_VALUE"""),"Yes")</f>
        <v>Yes</v>
      </c>
      <c r="H326" s="5" t="str">
        <f>IFERROR(__xludf.DUMMYFUNCTION("""COMPUTED_VALUE"""),"No")</f>
        <v>No</v>
      </c>
      <c r="I326" s="5" t="str">
        <f>IFERROR(__xludf.DUMMYFUNCTION("""COMPUTED_VALUE"""),"No")</f>
        <v>No</v>
      </c>
      <c r="J326" s="5" t="str">
        <f>IFERROR(__xludf.DUMMYFUNCTION("""COMPUTED_VALUE"""),"No")</f>
        <v>No</v>
      </c>
      <c r="K326" s="5" t="str">
        <f>IFERROR(__xludf.DUMMYFUNCTION("""COMPUTED_VALUE"""),"No")</f>
        <v>No</v>
      </c>
      <c r="L326" s="5" t="str">
        <f>IFERROR(__xludf.DUMMYFUNCTION("""COMPUTED_VALUE"""),"No")</f>
        <v>No</v>
      </c>
      <c r="M326" s="5" t="str">
        <f>IFERROR(__xludf.DUMMYFUNCTION("""COMPUTED_VALUE"""),"Yes")</f>
        <v>Yes</v>
      </c>
      <c r="N326" s="5" t="str">
        <f>IFERROR(__xludf.DUMMYFUNCTION("""COMPUTED_VALUE"""),"Yes")</f>
        <v>Yes</v>
      </c>
      <c r="O326" s="5" t="str">
        <f>IFERROR(__xludf.DUMMYFUNCTION("""COMPUTED_VALUE"""),"Yes")</f>
        <v>Yes</v>
      </c>
      <c r="P326" s="5" t="str">
        <f>IFERROR(__xludf.DUMMYFUNCTION("""COMPUTED_VALUE"""),"Yes")</f>
        <v>Yes</v>
      </c>
      <c r="Q326" s="5" t="str">
        <f>IFERROR(__xludf.DUMMYFUNCTION("""COMPUTED_VALUE"""),"Yes")</f>
        <v>Yes</v>
      </c>
      <c r="R326" s="5" t="str">
        <f>IFERROR(__xludf.DUMMYFUNCTION("""COMPUTED_VALUE"""),"No")</f>
        <v>No</v>
      </c>
      <c r="S326" s="5" t="str">
        <f>IFERROR(__xludf.DUMMYFUNCTION("""COMPUTED_VALUE"""),"Yes")</f>
        <v>Yes</v>
      </c>
      <c r="T326" s="5" t="str">
        <f>IFERROR(__xludf.DUMMYFUNCTION("""COMPUTED_VALUE"""),"No")</f>
        <v>No</v>
      </c>
      <c r="U326" s="5" t="str">
        <f>IFERROR(__xludf.DUMMYFUNCTION("""COMPUTED_VALUE"""),"No")</f>
        <v>No</v>
      </c>
      <c r="V326" s="5" t="str">
        <f>IFERROR(__xludf.DUMMYFUNCTION("""COMPUTED_VALUE"""),"No")</f>
        <v>No</v>
      </c>
      <c r="W326" s="5" t="str">
        <f>IFERROR(__xludf.DUMMYFUNCTION("""COMPUTED_VALUE"""),"No")</f>
        <v>No</v>
      </c>
      <c r="X326" s="5"/>
      <c r="Y326" s="5"/>
      <c r="Z326" s="5"/>
      <c r="AA326" s="5"/>
      <c r="AB326" s="5"/>
      <c r="AC326" s="5" t="str">
        <f>IFERROR(__xludf.DUMMYFUNCTION("""COMPUTED_VALUE"""),"No")</f>
        <v>No</v>
      </c>
      <c r="AD326" s="5"/>
      <c r="AE326" s="5"/>
      <c r="AF326" s="5"/>
      <c r="AG326" s="5"/>
      <c r="AH326" s="5"/>
      <c r="AI326" s="5"/>
      <c r="AJ326" s="5"/>
      <c r="AK326" s="5"/>
      <c r="AL326" s="5"/>
      <c r="AM326" s="5"/>
      <c r="AN326" s="5"/>
      <c r="AO326" s="5"/>
      <c r="AP326" s="5"/>
      <c r="AQ326" s="5"/>
      <c r="AR326" s="5"/>
      <c r="AS326" s="5"/>
      <c r="AT326" s="5"/>
      <c r="AU326" s="5"/>
      <c r="AV326" s="5"/>
      <c r="AW326" s="5"/>
      <c r="AX326" s="5"/>
      <c r="AY326" s="5"/>
    </row>
    <row r="327">
      <c r="A32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27" s="5">
        <f>IFERROR(__xludf.DUMMYFUNCTION("""COMPUTED_VALUE"""),327.0)</f>
        <v>327</v>
      </c>
      <c r="C327" s="5">
        <f>IFERROR(__xludf.DUMMYFUNCTION("""COMPUTED_VALUE"""),326.0)</f>
        <v>326</v>
      </c>
      <c r="D327" s="5" t="str">
        <f>IFERROR(__xludf.DUMMYFUNCTION("""COMPUTED_VALUE"""),"RedstoneHotRushBothWays")</f>
        <v>RedstoneHotRushBothWays</v>
      </c>
      <c r="E327" s="5" t="str">
        <f>IFERROR(__xludf.DUMMYFUNCTION("""COMPUTED_VALUE"""),"Yes")</f>
        <v>Yes</v>
      </c>
      <c r="F327" s="5" t="str">
        <f>IFERROR(__xludf.DUMMYFUNCTION("""COMPUTED_VALUE"""),"Yes")</f>
        <v>Yes</v>
      </c>
      <c r="G327" s="5" t="str">
        <f>IFERROR(__xludf.DUMMYFUNCTION("""COMPUTED_VALUE"""),"Yes")</f>
        <v>Yes</v>
      </c>
      <c r="H327" s="5" t="str">
        <f>IFERROR(__xludf.DUMMYFUNCTION("""COMPUTED_VALUE"""),"No")</f>
        <v>No</v>
      </c>
      <c r="I327" s="5" t="str">
        <f>IFERROR(__xludf.DUMMYFUNCTION("""COMPUTED_VALUE"""),"No")</f>
        <v>No</v>
      </c>
      <c r="J327" s="5" t="str">
        <f>IFERROR(__xludf.DUMMYFUNCTION("""COMPUTED_VALUE"""),"No")</f>
        <v>No</v>
      </c>
      <c r="K327" s="5" t="str">
        <f>IFERROR(__xludf.DUMMYFUNCTION("""COMPUTED_VALUE"""),"No")</f>
        <v>No</v>
      </c>
      <c r="L327" s="5" t="str">
        <f>IFERROR(__xludf.DUMMYFUNCTION("""COMPUTED_VALUE"""),"No")</f>
        <v>No</v>
      </c>
      <c r="M327" s="5" t="str">
        <f>IFERROR(__xludf.DUMMYFUNCTION("""COMPUTED_VALUE"""),"Yes")</f>
        <v>Yes</v>
      </c>
      <c r="N327" s="5" t="str">
        <f>IFERROR(__xludf.DUMMYFUNCTION("""COMPUTED_VALUE"""),"Yes")</f>
        <v>Yes</v>
      </c>
      <c r="O327" s="5" t="str">
        <f>IFERROR(__xludf.DUMMYFUNCTION("""COMPUTED_VALUE"""),"Yes")</f>
        <v>Yes</v>
      </c>
      <c r="P327" s="5" t="str">
        <f>IFERROR(__xludf.DUMMYFUNCTION("""COMPUTED_VALUE"""),"Yes")</f>
        <v>Yes</v>
      </c>
      <c r="Q327" s="5" t="str">
        <f>IFERROR(__xludf.DUMMYFUNCTION("""COMPUTED_VALUE"""),"Yes")</f>
        <v>Yes</v>
      </c>
      <c r="R327" s="5" t="str">
        <f>IFERROR(__xludf.DUMMYFUNCTION("""COMPUTED_VALUE"""),"No")</f>
        <v>No</v>
      </c>
      <c r="S327" s="5" t="str">
        <f>IFERROR(__xludf.DUMMYFUNCTION("""COMPUTED_VALUE"""),"Yes")</f>
        <v>Yes</v>
      </c>
      <c r="T327" s="5" t="str">
        <f>IFERROR(__xludf.DUMMYFUNCTION("""COMPUTED_VALUE"""),"No")</f>
        <v>No</v>
      </c>
      <c r="U327" s="5" t="str">
        <f>IFERROR(__xludf.DUMMYFUNCTION("""COMPUTED_VALUE"""),"No")</f>
        <v>No</v>
      </c>
      <c r="V327" s="5" t="str">
        <f>IFERROR(__xludf.DUMMYFUNCTION("""COMPUTED_VALUE"""),"No")</f>
        <v>No</v>
      </c>
      <c r="W327" s="5" t="str">
        <f>IFERROR(__xludf.DUMMYFUNCTION("""COMPUTED_VALUE"""),"No")</f>
        <v>No</v>
      </c>
      <c r="X327" s="5"/>
      <c r="Y327" s="5"/>
      <c r="Z327" s="5"/>
      <c r="AA327" s="5"/>
      <c r="AB327" s="5"/>
      <c r="AC327" s="5" t="str">
        <f>IFERROR(__xludf.DUMMYFUNCTION("""COMPUTED_VALUE"""),"No")</f>
        <v>No</v>
      </c>
      <c r="AD327" s="5"/>
      <c r="AE327" s="5"/>
      <c r="AF327" s="5"/>
      <c r="AG327" s="5"/>
      <c r="AH327" s="5"/>
      <c r="AI327" s="5"/>
      <c r="AJ327" s="5"/>
      <c r="AK327" s="5"/>
      <c r="AL327" s="5"/>
      <c r="AM327" s="5"/>
      <c r="AN327" s="5"/>
      <c r="AO327" s="5"/>
      <c r="AP327" s="5"/>
      <c r="AQ327" s="5"/>
      <c r="AR327" s="5"/>
      <c r="AS327" s="5"/>
      <c r="AT327" s="5"/>
      <c r="AU327" s="5"/>
      <c r="AV327" s="5"/>
      <c r="AW327" s="5"/>
      <c r="AX327" s="5"/>
      <c r="AY327" s="5"/>
    </row>
    <row r="328">
      <c r="A32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8" s="5">
        <f>IFERROR(__xludf.DUMMYFUNCTION("""COMPUTED_VALUE"""),329.0)</f>
        <v>329</v>
      </c>
      <c r="C328" s="5">
        <f>IFERROR(__xludf.DUMMYFUNCTION("""COMPUTED_VALUE"""),328.0)</f>
        <v>328</v>
      </c>
      <c r="D328" s="5" t="str">
        <f>IFERROR(__xludf.DUMMYFUNCTION("""COMPUTED_VALUE"""),"RedstoneBookOfScorpio")</f>
        <v>RedstoneBookOfScorpio</v>
      </c>
      <c r="E328" s="5" t="str">
        <f>IFERROR(__xludf.DUMMYFUNCTION("""COMPUTED_VALUE"""),"Yes")</f>
        <v>Yes</v>
      </c>
      <c r="F328" s="5" t="str">
        <f>IFERROR(__xludf.DUMMYFUNCTION("""COMPUTED_VALUE"""),"Yes")</f>
        <v>Yes</v>
      </c>
      <c r="G328" s="5" t="str">
        <f>IFERROR(__xludf.DUMMYFUNCTION("""COMPUTED_VALUE"""),"No")</f>
        <v>No</v>
      </c>
      <c r="H328" s="5" t="str">
        <f>IFERROR(__xludf.DUMMYFUNCTION("""COMPUTED_VALUE"""),"Yes")</f>
        <v>Yes</v>
      </c>
      <c r="I328" s="5" t="str">
        <f>IFERROR(__xludf.DUMMYFUNCTION("""COMPUTED_VALUE"""),"Yes")</f>
        <v>Yes</v>
      </c>
      <c r="J328" s="5" t="str">
        <f>IFERROR(__xludf.DUMMYFUNCTION("""COMPUTED_VALUE"""),"Yes")</f>
        <v>Yes</v>
      </c>
      <c r="K328" s="5" t="str">
        <f>IFERROR(__xludf.DUMMYFUNCTION("""COMPUTED_VALUE"""),"Yes")</f>
        <v>Yes</v>
      </c>
      <c r="L328" s="5" t="str">
        <f>IFERROR(__xludf.DUMMYFUNCTION("""COMPUTED_VALUE"""),"Yes")</f>
        <v>Yes</v>
      </c>
      <c r="M328" s="5" t="str">
        <f>IFERROR(__xludf.DUMMYFUNCTION("""COMPUTED_VALUE"""),"Yes")</f>
        <v>Yes</v>
      </c>
      <c r="N328" s="5" t="str">
        <f>IFERROR(__xludf.DUMMYFUNCTION("""COMPUTED_VALUE"""),"Yes")</f>
        <v>Yes</v>
      </c>
      <c r="O328" s="5" t="str">
        <f>IFERROR(__xludf.DUMMYFUNCTION("""COMPUTED_VALUE"""),"Yes")</f>
        <v>Yes</v>
      </c>
      <c r="P328" s="5" t="str">
        <f>IFERROR(__xludf.DUMMYFUNCTION("""COMPUTED_VALUE"""),"Yes")</f>
        <v>Yes</v>
      </c>
      <c r="Q328" s="5" t="str">
        <f>IFERROR(__xludf.DUMMYFUNCTION("""COMPUTED_VALUE"""),"Yes")</f>
        <v>Yes</v>
      </c>
      <c r="R328" s="5" t="str">
        <f>IFERROR(__xludf.DUMMYFUNCTION("""COMPUTED_VALUE"""),"Yes")</f>
        <v>Yes</v>
      </c>
      <c r="S328" s="5" t="str">
        <f>IFERROR(__xludf.DUMMYFUNCTION("""COMPUTED_VALUE"""),"Yes")</f>
        <v>Yes</v>
      </c>
      <c r="T328" s="5" t="str">
        <f>IFERROR(__xludf.DUMMYFUNCTION("""COMPUTED_VALUE"""),"No")</f>
        <v>No</v>
      </c>
      <c r="U328" s="5" t="str">
        <f>IFERROR(__xludf.DUMMYFUNCTION("""COMPUTED_VALUE"""),"No")</f>
        <v>No</v>
      </c>
      <c r="V328" s="5" t="str">
        <f>IFERROR(__xludf.DUMMYFUNCTION("""COMPUTED_VALUE"""),"No")</f>
        <v>No</v>
      </c>
      <c r="W328" s="5" t="str">
        <f>IFERROR(__xludf.DUMMYFUNCTION("""COMPUTED_VALUE"""),"No")</f>
        <v>No</v>
      </c>
      <c r="X328" s="5" t="str">
        <f>IFERROR(__xludf.DUMMYFUNCTION("""COMPUTED_VALUE"""),"No")</f>
        <v>No</v>
      </c>
      <c r="Y328" s="5" t="str">
        <f>IFERROR(__xludf.DUMMYFUNCTION("""COMPUTED_VALUE"""),"No")</f>
        <v>No</v>
      </c>
      <c r="Z328" s="5" t="str">
        <f>IFERROR(__xludf.DUMMYFUNCTION("""COMPUTED_VALUE"""),"No")</f>
        <v>No</v>
      </c>
      <c r="AA328" s="5" t="str">
        <f>IFERROR(__xludf.DUMMYFUNCTION("""COMPUTED_VALUE"""),"No")</f>
        <v>No</v>
      </c>
      <c r="AB328" s="5" t="str">
        <f>IFERROR(__xludf.DUMMYFUNCTION("""COMPUTED_VALUE"""),"No")</f>
        <v>No</v>
      </c>
      <c r="AC328" s="5" t="str">
        <f>IFERROR(__xludf.DUMMYFUNCTION("""COMPUTED_VALUE"""),"No")</f>
        <v>No</v>
      </c>
      <c r="AD328" s="5" t="str">
        <f>IFERROR(__xludf.DUMMYFUNCTION("""COMPUTED_VALUE"""),"No")</f>
        <v>No</v>
      </c>
      <c r="AE328" s="5" t="str">
        <f>IFERROR(__xludf.DUMMYFUNCTION("""COMPUTED_VALUE"""),"No")</f>
        <v>No</v>
      </c>
      <c r="AF328" s="5" t="str">
        <f>IFERROR(__xludf.DUMMYFUNCTION("""COMPUTED_VALUE"""),"Yes")</f>
        <v>Yes</v>
      </c>
      <c r="AG328" s="5" t="str">
        <f>IFERROR(__xludf.DUMMYFUNCTION("""COMPUTED_VALUE"""),"No")</f>
        <v>No</v>
      </c>
      <c r="AH328" s="5" t="str">
        <f>IFERROR(__xludf.DUMMYFUNCTION("""COMPUTED_VALUE"""),"Yes")</f>
        <v>Yes</v>
      </c>
      <c r="AI328" s="5" t="str">
        <f>IFERROR(__xludf.DUMMYFUNCTION("""COMPUTED_VALUE"""),"No")</f>
        <v>No</v>
      </c>
      <c r="AJ328" s="5" t="str">
        <f>IFERROR(__xludf.DUMMYFUNCTION("""COMPUTED_VALUE"""),"No")</f>
        <v>No</v>
      </c>
      <c r="AK328" s="5" t="str">
        <f>IFERROR(__xludf.DUMMYFUNCTION("""COMPUTED_VALUE"""),"No")</f>
        <v>No</v>
      </c>
      <c r="AL328" s="5" t="str">
        <f>IFERROR(__xludf.DUMMYFUNCTION("""COMPUTED_VALUE"""),"No")</f>
        <v>No</v>
      </c>
      <c r="AM328" s="5"/>
      <c r="AN328" s="5"/>
      <c r="AO328" s="5"/>
      <c r="AP328" s="5"/>
      <c r="AQ328" s="5"/>
      <c r="AR328" s="5"/>
      <c r="AS328" s="5"/>
      <c r="AT328" s="5"/>
      <c r="AU328" s="5"/>
      <c r="AV328" s="5"/>
      <c r="AW328" s="5"/>
      <c r="AX328" s="5"/>
      <c r="AY328" s="5"/>
    </row>
    <row r="329">
      <c r="A329" s="5" t="str">
        <f>IFERROR(__xludf.DUMMYFUNCTION("""COMPUTED_VALUE"""),"English(""eng""), Serbian(""""srp"",""srb""""), Bulgarian(""bul""), Spanish(""spa""), Portuguese(""por""), Italian(""ita""), Romanian(""rum/ron""), Croatian(""hrv""), French(""fre/fra""), German(""ger/deu""), Dutch(""dut/nld""), Turkish(""tur""), Greek("""&amp;"gre/ell""), Russian(""rus""), Latvian(""lav""), Ukrainian(""ukr""), Chinese(""zho/chi"")")</f>
        <v>English("eng"), Serbian(""srp","srb""), Bulgarian("bul"), Spanish("spa"), Portuguese("por"), Italian("ita"), Romanian("rum/ron"), Croatian("hrv"), French("fre/fra"), German("ger/deu"), Dutch("dut/nld"), Turkish("tur"), Greek("gre/ell"), Russian("rus"), Latvian("lav"), Ukrainian("ukr"), Chinese("zho/chi")</v>
      </c>
      <c r="B329" s="5">
        <f>IFERROR(__xludf.DUMMYFUNCTION("""COMPUTED_VALUE"""),331.0)</f>
        <v>331</v>
      </c>
      <c r="C329" s="5">
        <f>IFERROR(__xludf.DUMMYFUNCTION("""COMPUTED_VALUE"""),330.0)</f>
        <v>330</v>
      </c>
      <c r="D329" s="5" t="str">
        <f>IFERROR(__xludf.DUMMYFUNCTION("""COMPUTED_VALUE"""),"UnicornBuffaloSevens")</f>
        <v>UnicornBuffaloSevens</v>
      </c>
      <c r="E329" s="5" t="str">
        <f>IFERROR(__xludf.DUMMYFUNCTION("""COMPUTED_VALUE"""),"Yes")</f>
        <v>Yes</v>
      </c>
      <c r="F329" s="5" t="str">
        <f>IFERROR(__xludf.DUMMYFUNCTION("""COMPUTED_VALUE"""),"Yes")</f>
        <v>Yes</v>
      </c>
      <c r="G329" s="5" t="str">
        <f>IFERROR(__xludf.DUMMYFUNCTION("""COMPUTED_VALUE"""),"No")</f>
        <v>No</v>
      </c>
      <c r="H329" s="5" t="str">
        <f>IFERROR(__xludf.DUMMYFUNCTION("""COMPUTED_VALUE"""),"Yes")</f>
        <v>Yes</v>
      </c>
      <c r="I329" s="5" t="str">
        <f>IFERROR(__xludf.DUMMYFUNCTION("""COMPUTED_VALUE"""),"Yes")</f>
        <v>Yes</v>
      </c>
      <c r="J329" s="5" t="str">
        <f>IFERROR(__xludf.DUMMYFUNCTION("""COMPUTED_VALUE"""),"Yes")</f>
        <v>Yes</v>
      </c>
      <c r="K329" s="5" t="str">
        <f>IFERROR(__xludf.DUMMYFUNCTION("""COMPUTED_VALUE"""),"Yes")</f>
        <v>Yes</v>
      </c>
      <c r="L329" s="5" t="str">
        <f>IFERROR(__xludf.DUMMYFUNCTION("""COMPUTED_VALUE"""),"Yes")</f>
        <v>Yes</v>
      </c>
      <c r="M329" s="5" t="str">
        <f>IFERROR(__xludf.DUMMYFUNCTION("""COMPUTED_VALUE"""),"Yes")</f>
        <v>Yes</v>
      </c>
      <c r="N329" s="5" t="str">
        <f>IFERROR(__xludf.DUMMYFUNCTION("""COMPUTED_VALUE"""),"Yes")</f>
        <v>Yes</v>
      </c>
      <c r="O329" s="5" t="str">
        <f>IFERROR(__xludf.DUMMYFUNCTION("""COMPUTED_VALUE"""),"Yes")</f>
        <v>Yes</v>
      </c>
      <c r="P329" s="5" t="str">
        <f>IFERROR(__xludf.DUMMYFUNCTION("""COMPUTED_VALUE"""),"Yes")</f>
        <v>Yes</v>
      </c>
      <c r="Q329" s="5" t="str">
        <f>IFERROR(__xludf.DUMMYFUNCTION("""COMPUTED_VALUE"""),"Yes")</f>
        <v>Yes</v>
      </c>
      <c r="R329" s="5" t="str">
        <f>IFERROR(__xludf.DUMMYFUNCTION("""COMPUTED_VALUE"""),"Yes")</f>
        <v>Yes</v>
      </c>
      <c r="S329" s="5" t="str">
        <f>IFERROR(__xludf.DUMMYFUNCTION("""COMPUTED_VALUE"""),"Yes")</f>
        <v>Yes</v>
      </c>
      <c r="T329" s="5" t="str">
        <f>IFERROR(__xludf.DUMMYFUNCTION("""COMPUTED_VALUE"""),"No")</f>
        <v>No</v>
      </c>
      <c r="U329" s="5" t="str">
        <f>IFERROR(__xludf.DUMMYFUNCTION("""COMPUTED_VALUE"""),"No")</f>
        <v>No</v>
      </c>
      <c r="V329" s="5" t="str">
        <f>IFERROR(__xludf.DUMMYFUNCTION("""COMPUTED_VALUE"""),"No")</f>
        <v>No</v>
      </c>
      <c r="W329" s="5" t="str">
        <f>IFERROR(__xludf.DUMMYFUNCTION("""COMPUTED_VALUE"""),"No")</f>
        <v>No</v>
      </c>
      <c r="X329" s="5" t="str">
        <f>IFERROR(__xludf.DUMMYFUNCTION("""COMPUTED_VALUE"""),"No")</f>
        <v>No</v>
      </c>
      <c r="Y329" s="5" t="str">
        <f>IFERROR(__xludf.DUMMYFUNCTION("""COMPUTED_VALUE"""),"No")</f>
        <v>No</v>
      </c>
      <c r="Z329" s="5" t="str">
        <f>IFERROR(__xludf.DUMMYFUNCTION("""COMPUTED_VALUE"""),"No")</f>
        <v>No</v>
      </c>
      <c r="AA329" s="5" t="str">
        <f>IFERROR(__xludf.DUMMYFUNCTION("""COMPUTED_VALUE"""),"No")</f>
        <v>No</v>
      </c>
      <c r="AB329" s="5" t="str">
        <f>IFERROR(__xludf.DUMMYFUNCTION("""COMPUTED_VALUE"""),"No")</f>
        <v>No</v>
      </c>
      <c r="AC329" s="5" t="str">
        <f>IFERROR(__xludf.DUMMYFUNCTION("""COMPUTED_VALUE"""),"Yes")</f>
        <v>Yes</v>
      </c>
      <c r="AD329" s="5" t="str">
        <f>IFERROR(__xludf.DUMMYFUNCTION("""COMPUTED_VALUE"""),"No")</f>
        <v>No</v>
      </c>
      <c r="AE329" s="5" t="str">
        <f>IFERROR(__xludf.DUMMYFUNCTION("""COMPUTED_VALUE"""),"No")</f>
        <v>No</v>
      </c>
      <c r="AF329" s="5" t="str">
        <f>IFERROR(__xludf.DUMMYFUNCTION("""COMPUTED_VALUE"""),"Yes")</f>
        <v>Yes</v>
      </c>
      <c r="AG329" s="5" t="str">
        <f>IFERROR(__xludf.DUMMYFUNCTION("""COMPUTED_VALUE"""),"No")</f>
        <v>No</v>
      </c>
      <c r="AH329" s="5" t="str">
        <f>IFERROR(__xludf.DUMMYFUNCTION("""COMPUTED_VALUE"""),"Yes")</f>
        <v>Yes</v>
      </c>
      <c r="AI329" s="5" t="str">
        <f>IFERROR(__xludf.DUMMYFUNCTION("""COMPUTED_VALUE"""),"No")</f>
        <v>No</v>
      </c>
      <c r="AJ329" s="5" t="str">
        <f>IFERROR(__xludf.DUMMYFUNCTION("""COMPUTED_VALUE"""),"No")</f>
        <v>No</v>
      </c>
      <c r="AK329" s="5" t="str">
        <f>IFERROR(__xludf.DUMMYFUNCTION("""COMPUTED_VALUE"""),"No")</f>
        <v>No</v>
      </c>
      <c r="AL329" s="5" t="str">
        <f>IFERROR(__xludf.DUMMYFUNCTION("""COMPUTED_VALUE"""),"No")</f>
        <v>No</v>
      </c>
      <c r="AM329" s="5"/>
      <c r="AN329" s="5"/>
      <c r="AO329" s="5"/>
      <c r="AP329" s="5"/>
      <c r="AQ329" s="5"/>
      <c r="AR329" s="5"/>
      <c r="AS329" s="5"/>
      <c r="AT329" s="5"/>
      <c r="AU329" s="5"/>
      <c r="AV329" s="5"/>
      <c r="AW329" s="5"/>
      <c r="AX329" s="5"/>
      <c r="AY329" s="5"/>
    </row>
    <row r="330">
      <c r="A3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0" s="5">
        <f>IFERROR(__xludf.DUMMYFUNCTION("""COMPUTED_VALUE"""),332.0)</f>
        <v>332</v>
      </c>
      <c r="C330" s="5">
        <f>IFERROR(__xludf.DUMMYFUNCTION("""COMPUTED_VALUE"""),331.0)</f>
        <v>331</v>
      </c>
      <c r="D330" s="5" t="str">
        <f>IFERROR(__xludf.DUMMYFUNCTION("""COMPUTED_VALUE"""),"UnicornMisterLuck")</f>
        <v>UnicornMisterLuck</v>
      </c>
      <c r="E330" s="5" t="str">
        <f>IFERROR(__xludf.DUMMYFUNCTION("""COMPUTED_VALUE"""),"Yes")</f>
        <v>Yes</v>
      </c>
      <c r="F330" s="5" t="str">
        <f>IFERROR(__xludf.DUMMYFUNCTION("""COMPUTED_VALUE"""),"Yes")</f>
        <v>Yes</v>
      </c>
      <c r="G330" s="5" t="str">
        <f>IFERROR(__xludf.DUMMYFUNCTION("""COMPUTED_VALUE"""),"Yes")</f>
        <v>Yes</v>
      </c>
      <c r="H330" s="5" t="str">
        <f>IFERROR(__xludf.DUMMYFUNCTION("""COMPUTED_VALUE"""),"No")</f>
        <v>No</v>
      </c>
      <c r="I330" s="5" t="str">
        <f>IFERROR(__xludf.DUMMYFUNCTION("""COMPUTED_VALUE"""),"No")</f>
        <v>No</v>
      </c>
      <c r="J330" s="5" t="str">
        <f>IFERROR(__xludf.DUMMYFUNCTION("""COMPUTED_VALUE"""),"No")</f>
        <v>No</v>
      </c>
      <c r="K330" s="5" t="str">
        <f>IFERROR(__xludf.DUMMYFUNCTION("""COMPUTED_VALUE"""),"No")</f>
        <v>No</v>
      </c>
      <c r="L330" s="5" t="str">
        <f>IFERROR(__xludf.DUMMYFUNCTION("""COMPUTED_VALUE"""),"No")</f>
        <v>No</v>
      </c>
      <c r="M330" s="5" t="str">
        <f>IFERROR(__xludf.DUMMYFUNCTION("""COMPUTED_VALUE"""),"Yes")</f>
        <v>Yes</v>
      </c>
      <c r="N330" s="5" t="str">
        <f>IFERROR(__xludf.DUMMYFUNCTION("""COMPUTED_VALUE"""),"Yes")</f>
        <v>Yes</v>
      </c>
      <c r="O330" s="5" t="str">
        <f>IFERROR(__xludf.DUMMYFUNCTION("""COMPUTED_VALUE"""),"Yes")</f>
        <v>Yes</v>
      </c>
      <c r="P330" s="5" t="str">
        <f>IFERROR(__xludf.DUMMYFUNCTION("""COMPUTED_VALUE"""),"Yes")</f>
        <v>Yes</v>
      </c>
      <c r="Q330" s="5" t="str">
        <f>IFERROR(__xludf.DUMMYFUNCTION("""COMPUTED_VALUE"""),"Yes")</f>
        <v>Yes</v>
      </c>
      <c r="R330" s="5" t="str">
        <f>IFERROR(__xludf.DUMMYFUNCTION("""COMPUTED_VALUE"""),"No")</f>
        <v>No</v>
      </c>
      <c r="S330" s="5" t="str">
        <f>IFERROR(__xludf.DUMMYFUNCTION("""COMPUTED_VALUE"""),"Yes")</f>
        <v>Yes</v>
      </c>
      <c r="T330" s="5" t="str">
        <f>IFERROR(__xludf.DUMMYFUNCTION("""COMPUTED_VALUE"""),"No")</f>
        <v>No</v>
      </c>
      <c r="U330" s="5" t="str">
        <f>IFERROR(__xludf.DUMMYFUNCTION("""COMPUTED_VALUE"""),"No")</f>
        <v>No</v>
      </c>
      <c r="V330" s="5" t="str">
        <f>IFERROR(__xludf.DUMMYFUNCTION("""COMPUTED_VALUE"""),"No")</f>
        <v>No</v>
      </c>
      <c r="W330" s="5" t="str">
        <f>IFERROR(__xludf.DUMMYFUNCTION("""COMPUTED_VALUE"""),"No")</f>
        <v>No</v>
      </c>
      <c r="X330" s="5"/>
      <c r="Y330" s="5"/>
      <c r="Z330" s="5"/>
      <c r="AA330" s="5"/>
      <c r="AB330" s="5"/>
      <c r="AC330" s="5" t="str">
        <f>IFERROR(__xludf.DUMMYFUNCTION("""COMPUTED_VALUE"""),"No")</f>
        <v>No</v>
      </c>
      <c r="AD330" s="5"/>
      <c r="AE330" s="5"/>
      <c r="AF330" s="5"/>
      <c r="AG330" s="5"/>
      <c r="AH330" s="5"/>
      <c r="AI330" s="5"/>
      <c r="AJ330" s="5"/>
      <c r="AK330" s="5"/>
      <c r="AL330" s="5"/>
      <c r="AM330" s="5"/>
      <c r="AN330" s="5"/>
      <c r="AO330" s="5"/>
      <c r="AP330" s="5"/>
      <c r="AQ330" s="5"/>
      <c r="AR330" s="5"/>
      <c r="AS330" s="5"/>
      <c r="AT330" s="5"/>
      <c r="AU330" s="5"/>
      <c r="AV330" s="5"/>
      <c r="AW330" s="5"/>
      <c r="AX330" s="5"/>
      <c r="AY330" s="5"/>
    </row>
    <row r="331">
      <c r="A3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1" s="5">
        <f>IFERROR(__xludf.DUMMYFUNCTION("""COMPUTED_VALUE"""),334.0)</f>
        <v>334</v>
      </c>
      <c r="C331" s="5">
        <f>IFERROR(__xludf.DUMMYFUNCTION("""COMPUTED_VALUE"""),333.0)</f>
        <v>333</v>
      </c>
      <c r="D331" s="5" t="str">
        <f>IFERROR(__xludf.DUMMYFUNCTION("""COMPUTED_VALUE"""),"WildSunburst")</f>
        <v>WildSunburst</v>
      </c>
      <c r="E331" s="5" t="str">
        <f>IFERROR(__xludf.DUMMYFUNCTION("""COMPUTED_VALUE"""),"Yes")</f>
        <v>Yes</v>
      </c>
      <c r="F331" s="5" t="str">
        <f>IFERROR(__xludf.DUMMYFUNCTION("""COMPUTED_VALUE"""),"Yes")</f>
        <v>Yes</v>
      </c>
      <c r="G331" s="5" t="str">
        <f>IFERROR(__xludf.DUMMYFUNCTION("""COMPUTED_VALUE"""),"Yes")</f>
        <v>Yes</v>
      </c>
      <c r="H331" s="5" t="str">
        <f>IFERROR(__xludf.DUMMYFUNCTION("""COMPUTED_VALUE"""),"Yes")</f>
        <v>Yes</v>
      </c>
      <c r="I331" s="5" t="str">
        <f>IFERROR(__xludf.DUMMYFUNCTION("""COMPUTED_VALUE"""),"Yes")</f>
        <v>Yes</v>
      </c>
      <c r="J331" s="5" t="str">
        <f>IFERROR(__xludf.DUMMYFUNCTION("""COMPUTED_VALUE"""),"Yes")</f>
        <v>Yes</v>
      </c>
      <c r="K331" s="5" t="str">
        <f>IFERROR(__xludf.DUMMYFUNCTION("""COMPUTED_VALUE"""),"Yes")</f>
        <v>Yes</v>
      </c>
      <c r="L331" s="5" t="str">
        <f>IFERROR(__xludf.DUMMYFUNCTION("""COMPUTED_VALUE"""),"Yes")</f>
        <v>Yes</v>
      </c>
      <c r="M331" s="5" t="str">
        <f>IFERROR(__xludf.DUMMYFUNCTION("""COMPUTED_VALUE"""),"Yes")</f>
        <v>Yes</v>
      </c>
      <c r="N331" s="5" t="str">
        <f>IFERROR(__xludf.DUMMYFUNCTION("""COMPUTED_VALUE"""),"Yes")</f>
        <v>Yes</v>
      </c>
      <c r="O331" s="5" t="str">
        <f>IFERROR(__xludf.DUMMYFUNCTION("""COMPUTED_VALUE"""),"Yes")</f>
        <v>Yes</v>
      </c>
      <c r="P331" s="5" t="str">
        <f>IFERROR(__xludf.DUMMYFUNCTION("""COMPUTED_VALUE"""),"Yes")</f>
        <v>Yes</v>
      </c>
      <c r="Q331" s="5" t="str">
        <f>IFERROR(__xludf.DUMMYFUNCTION("""COMPUTED_VALUE"""),"Yes")</f>
        <v>Yes</v>
      </c>
      <c r="R331" s="5" t="str">
        <f>IFERROR(__xludf.DUMMYFUNCTION("""COMPUTED_VALUE"""),"Yes")</f>
        <v>Yes</v>
      </c>
      <c r="S331" s="5" t="str">
        <f>IFERROR(__xludf.DUMMYFUNCTION("""COMPUTED_VALUE"""),"Yes")</f>
        <v>Yes</v>
      </c>
      <c r="T331" s="5" t="str">
        <f>IFERROR(__xludf.DUMMYFUNCTION("""COMPUTED_VALUE"""),"Yes")</f>
        <v>Yes</v>
      </c>
      <c r="U331" s="5" t="str">
        <f>IFERROR(__xludf.DUMMYFUNCTION("""COMPUTED_VALUE"""),"Yes")</f>
        <v>Yes</v>
      </c>
      <c r="V331" s="5" t="str">
        <f>IFERROR(__xludf.DUMMYFUNCTION("""COMPUTED_VALUE"""),"Yes")</f>
        <v>Yes</v>
      </c>
      <c r="W331" s="5" t="str">
        <f>IFERROR(__xludf.DUMMYFUNCTION("""COMPUTED_VALUE"""),"Yes")</f>
        <v>Yes</v>
      </c>
      <c r="X331" s="5" t="str">
        <f>IFERROR(__xludf.DUMMYFUNCTION("""COMPUTED_VALUE"""),"Yes")</f>
        <v>Yes</v>
      </c>
      <c r="Y331" s="5" t="str">
        <f>IFERROR(__xludf.DUMMYFUNCTION("""COMPUTED_VALUE"""),"Yes")</f>
        <v>Yes</v>
      </c>
      <c r="Z331" s="5" t="str">
        <f>IFERROR(__xludf.DUMMYFUNCTION("""COMPUTED_VALUE"""),"Yes")</f>
        <v>Yes</v>
      </c>
      <c r="AA331" s="5" t="str">
        <f>IFERROR(__xludf.DUMMYFUNCTION("""COMPUTED_VALUE"""),"Yes")</f>
        <v>Yes</v>
      </c>
      <c r="AB331" s="5" t="str">
        <f>IFERROR(__xludf.DUMMYFUNCTION("""COMPUTED_VALUE"""),"Yes")</f>
        <v>Yes</v>
      </c>
      <c r="AC331" s="5" t="str">
        <f>IFERROR(__xludf.DUMMYFUNCTION("""COMPUTED_VALUE"""),"Yes")</f>
        <v>Yes</v>
      </c>
      <c r="AD331" s="5" t="str">
        <f>IFERROR(__xludf.DUMMYFUNCTION("""COMPUTED_VALUE"""),"Yes")</f>
        <v>Yes</v>
      </c>
      <c r="AE331" s="5" t="str">
        <f>IFERROR(__xludf.DUMMYFUNCTION("""COMPUTED_VALUE"""),"Yes")</f>
        <v>Yes</v>
      </c>
      <c r="AF331" s="5" t="str">
        <f>IFERROR(__xludf.DUMMYFUNCTION("""COMPUTED_VALUE"""),"Yes")</f>
        <v>Yes</v>
      </c>
      <c r="AG331" s="5" t="str">
        <f>IFERROR(__xludf.DUMMYFUNCTION("""COMPUTED_VALUE"""),"Yes")</f>
        <v>Yes</v>
      </c>
      <c r="AH331" s="5" t="str">
        <f>IFERROR(__xludf.DUMMYFUNCTION("""COMPUTED_VALUE"""),"Yes")</f>
        <v>Yes</v>
      </c>
      <c r="AI331" s="5" t="str">
        <f>IFERROR(__xludf.DUMMYFUNCTION("""COMPUTED_VALUE"""),"No")</f>
        <v>No</v>
      </c>
      <c r="AJ331" s="5" t="str">
        <f>IFERROR(__xludf.DUMMYFUNCTION("""COMPUTED_VALUE"""),"No")</f>
        <v>No</v>
      </c>
      <c r="AK331" s="5" t="str">
        <f>IFERROR(__xludf.DUMMYFUNCTION("""COMPUTED_VALUE"""),"No")</f>
        <v>No</v>
      </c>
      <c r="AL331" s="5" t="str">
        <f>IFERROR(__xludf.DUMMYFUNCTION("""COMPUTED_VALUE"""),"No")</f>
        <v>No</v>
      </c>
      <c r="AM331" s="5"/>
      <c r="AN331" s="5"/>
      <c r="AO331" s="5"/>
      <c r="AP331" s="5"/>
      <c r="AQ331" s="5"/>
      <c r="AR331" s="5"/>
      <c r="AS331" s="5"/>
      <c r="AT331" s="5"/>
      <c r="AU331" s="5"/>
      <c r="AV331" s="5"/>
      <c r="AW331" s="5"/>
      <c r="AX331" s="5"/>
      <c r="AY331" s="5"/>
    </row>
    <row r="332">
      <c r="A3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2" s="5">
        <f>IFERROR(__xludf.DUMMYFUNCTION("""COMPUTED_VALUE"""),335.0)</f>
        <v>335</v>
      </c>
      <c r="C332" s="5">
        <f>IFERROR(__xludf.DUMMYFUNCTION("""COMPUTED_VALUE"""),334.0)</f>
        <v>334</v>
      </c>
      <c r="D332" s="5" t="str">
        <f>IFERROR(__xludf.DUMMYFUNCTION("""COMPUTED_VALUE"""),"ToxicHaze")</f>
        <v>ToxicHaze</v>
      </c>
      <c r="E332" s="5" t="str">
        <f>IFERROR(__xludf.DUMMYFUNCTION("""COMPUTED_VALUE"""),"Yes")</f>
        <v>Yes</v>
      </c>
      <c r="F332" s="5" t="str">
        <f>IFERROR(__xludf.DUMMYFUNCTION("""COMPUTED_VALUE"""),"Yes")</f>
        <v>Yes</v>
      </c>
      <c r="G332" s="5" t="str">
        <f>IFERROR(__xludf.DUMMYFUNCTION("""COMPUTED_VALUE"""),"Yes")</f>
        <v>Yes</v>
      </c>
      <c r="H332" s="5" t="str">
        <f>IFERROR(__xludf.DUMMYFUNCTION("""COMPUTED_VALUE"""),"Yes")</f>
        <v>Yes</v>
      </c>
      <c r="I332" s="5" t="str">
        <f>IFERROR(__xludf.DUMMYFUNCTION("""COMPUTED_VALUE"""),"Yes")</f>
        <v>Yes</v>
      </c>
      <c r="J332" s="5" t="str">
        <f>IFERROR(__xludf.DUMMYFUNCTION("""COMPUTED_VALUE"""),"Yes")</f>
        <v>Yes</v>
      </c>
      <c r="K332" s="5" t="str">
        <f>IFERROR(__xludf.DUMMYFUNCTION("""COMPUTED_VALUE"""),"Yes")</f>
        <v>Yes</v>
      </c>
      <c r="L332" s="5" t="str">
        <f>IFERROR(__xludf.DUMMYFUNCTION("""COMPUTED_VALUE"""),"Yes")</f>
        <v>Yes</v>
      </c>
      <c r="M332" s="5" t="str">
        <f>IFERROR(__xludf.DUMMYFUNCTION("""COMPUTED_VALUE"""),"Yes")</f>
        <v>Yes</v>
      </c>
      <c r="N332" s="5" t="str">
        <f>IFERROR(__xludf.DUMMYFUNCTION("""COMPUTED_VALUE"""),"Yes")</f>
        <v>Yes</v>
      </c>
      <c r="O332" s="5" t="str">
        <f>IFERROR(__xludf.DUMMYFUNCTION("""COMPUTED_VALUE"""),"Yes")</f>
        <v>Yes</v>
      </c>
      <c r="P332" s="5" t="str">
        <f>IFERROR(__xludf.DUMMYFUNCTION("""COMPUTED_VALUE"""),"Yes")</f>
        <v>Yes</v>
      </c>
      <c r="Q332" s="5" t="str">
        <f>IFERROR(__xludf.DUMMYFUNCTION("""COMPUTED_VALUE"""),"Yes")</f>
        <v>Yes</v>
      </c>
      <c r="R332" s="5" t="str">
        <f>IFERROR(__xludf.DUMMYFUNCTION("""COMPUTED_VALUE"""),"Yes")</f>
        <v>Yes</v>
      </c>
      <c r="S332" s="5" t="str">
        <f>IFERROR(__xludf.DUMMYFUNCTION("""COMPUTED_VALUE"""),"Yes")</f>
        <v>Yes</v>
      </c>
      <c r="T332" s="5" t="str">
        <f>IFERROR(__xludf.DUMMYFUNCTION("""COMPUTED_VALUE"""),"Yes")</f>
        <v>Yes</v>
      </c>
      <c r="U332" s="5" t="str">
        <f>IFERROR(__xludf.DUMMYFUNCTION("""COMPUTED_VALUE"""),"Yes")</f>
        <v>Yes</v>
      </c>
      <c r="V332" s="5" t="str">
        <f>IFERROR(__xludf.DUMMYFUNCTION("""COMPUTED_VALUE"""),"Yes")</f>
        <v>Yes</v>
      </c>
      <c r="W332" s="5" t="str">
        <f>IFERROR(__xludf.DUMMYFUNCTION("""COMPUTED_VALUE"""),"Yes")</f>
        <v>Yes</v>
      </c>
      <c r="X332" s="5" t="str">
        <f>IFERROR(__xludf.DUMMYFUNCTION("""COMPUTED_VALUE"""),"Yes")</f>
        <v>Yes</v>
      </c>
      <c r="Y332" s="5" t="str">
        <f>IFERROR(__xludf.DUMMYFUNCTION("""COMPUTED_VALUE"""),"Yes")</f>
        <v>Yes</v>
      </c>
      <c r="Z332" s="5" t="str">
        <f>IFERROR(__xludf.DUMMYFUNCTION("""COMPUTED_VALUE"""),"Yes")</f>
        <v>Yes</v>
      </c>
      <c r="AA332" s="5" t="str">
        <f>IFERROR(__xludf.DUMMYFUNCTION("""COMPUTED_VALUE"""),"Yes")</f>
        <v>Yes</v>
      </c>
      <c r="AB332" s="5" t="str">
        <f>IFERROR(__xludf.DUMMYFUNCTION("""COMPUTED_VALUE"""),"Yes")</f>
        <v>Yes</v>
      </c>
      <c r="AC332" s="5" t="str">
        <f>IFERROR(__xludf.DUMMYFUNCTION("""COMPUTED_VALUE"""),"Yes")</f>
        <v>Yes</v>
      </c>
      <c r="AD332" s="5" t="str">
        <f>IFERROR(__xludf.DUMMYFUNCTION("""COMPUTED_VALUE"""),"Yes")</f>
        <v>Yes</v>
      </c>
      <c r="AE332" s="5" t="str">
        <f>IFERROR(__xludf.DUMMYFUNCTION("""COMPUTED_VALUE"""),"Yes")</f>
        <v>Yes</v>
      </c>
      <c r="AF332" s="5" t="str">
        <f>IFERROR(__xludf.DUMMYFUNCTION("""COMPUTED_VALUE"""),"Yes")</f>
        <v>Yes</v>
      </c>
      <c r="AG332" s="5" t="str">
        <f>IFERROR(__xludf.DUMMYFUNCTION("""COMPUTED_VALUE"""),"Yes")</f>
        <v>Yes</v>
      </c>
      <c r="AH332" s="5" t="str">
        <f>IFERROR(__xludf.DUMMYFUNCTION("""COMPUTED_VALUE"""),"Yes")</f>
        <v>Yes</v>
      </c>
      <c r="AI332" s="5" t="str">
        <f>IFERROR(__xludf.DUMMYFUNCTION("""COMPUTED_VALUE"""),"No")</f>
        <v>No</v>
      </c>
      <c r="AJ332" s="5" t="str">
        <f>IFERROR(__xludf.DUMMYFUNCTION("""COMPUTED_VALUE"""),"No")</f>
        <v>No</v>
      </c>
      <c r="AK332" s="5" t="str">
        <f>IFERROR(__xludf.DUMMYFUNCTION("""COMPUTED_VALUE"""),"No")</f>
        <v>No</v>
      </c>
      <c r="AL332" s="5" t="str">
        <f>IFERROR(__xludf.DUMMYFUNCTION("""COMPUTED_VALUE"""),"No")</f>
        <v>No</v>
      </c>
      <c r="AM332" s="5"/>
      <c r="AN332" s="5"/>
      <c r="AO332" s="5"/>
      <c r="AP332" s="5"/>
      <c r="AQ332" s="5"/>
      <c r="AR332" s="5"/>
      <c r="AS332" s="5"/>
      <c r="AT332" s="5"/>
      <c r="AU332" s="5"/>
      <c r="AV332" s="5"/>
      <c r="AW332" s="5"/>
      <c r="AX332" s="5"/>
      <c r="AY332" s="5"/>
    </row>
    <row r="333">
      <c r="A3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33" s="5">
        <f>IFERROR(__xludf.DUMMYFUNCTION("""COMPUTED_VALUE"""),337.0)</f>
        <v>337</v>
      </c>
      <c r="C333" s="5">
        <f>IFERROR(__xludf.DUMMYFUNCTION("""COMPUTED_VALUE"""),336.0)</f>
        <v>336</v>
      </c>
      <c r="D333" s="5" t="str">
        <f>IFERROR(__xludf.DUMMYFUNCTION("""COMPUTED_VALUE"""),"UnicornFrootClassic")</f>
        <v>UnicornFrootClassic</v>
      </c>
      <c r="E333" s="5" t="str">
        <f>IFERROR(__xludf.DUMMYFUNCTION("""COMPUTED_VALUE"""),"Yes")</f>
        <v>Yes</v>
      </c>
      <c r="F333" s="5" t="str">
        <f>IFERROR(__xludf.DUMMYFUNCTION("""COMPUTED_VALUE"""),"Yes")</f>
        <v>Yes</v>
      </c>
      <c r="G333" s="5" t="str">
        <f>IFERROR(__xludf.DUMMYFUNCTION("""COMPUTED_VALUE"""),"Yes")</f>
        <v>Yes</v>
      </c>
      <c r="H333" s="5" t="str">
        <f>IFERROR(__xludf.DUMMYFUNCTION("""COMPUTED_VALUE"""),"Yes")</f>
        <v>Yes</v>
      </c>
      <c r="I333" s="5" t="str">
        <f>IFERROR(__xludf.DUMMYFUNCTION("""COMPUTED_VALUE"""),"Yes")</f>
        <v>Yes</v>
      </c>
      <c r="J333" s="5" t="str">
        <f>IFERROR(__xludf.DUMMYFUNCTION("""COMPUTED_VALUE"""),"Yes")</f>
        <v>Yes</v>
      </c>
      <c r="K333" s="5" t="str">
        <f>IFERROR(__xludf.DUMMYFUNCTION("""COMPUTED_VALUE"""),"Yes")</f>
        <v>Yes</v>
      </c>
      <c r="L333" s="5" t="str">
        <f>IFERROR(__xludf.DUMMYFUNCTION("""COMPUTED_VALUE"""),"Yes")</f>
        <v>Yes</v>
      </c>
      <c r="M333" s="5" t="str">
        <f>IFERROR(__xludf.DUMMYFUNCTION("""COMPUTED_VALUE"""),"Yes")</f>
        <v>Yes</v>
      </c>
      <c r="N333" s="5" t="str">
        <f>IFERROR(__xludf.DUMMYFUNCTION("""COMPUTED_VALUE"""),"Yes")</f>
        <v>Yes</v>
      </c>
      <c r="O333" s="5" t="str">
        <f>IFERROR(__xludf.DUMMYFUNCTION("""COMPUTED_VALUE"""),"Yes")</f>
        <v>Yes</v>
      </c>
      <c r="P333" s="5" t="str">
        <f>IFERROR(__xludf.DUMMYFUNCTION("""COMPUTED_VALUE"""),"Yes")</f>
        <v>Yes</v>
      </c>
      <c r="Q333" s="5" t="str">
        <f>IFERROR(__xludf.DUMMYFUNCTION("""COMPUTED_VALUE"""),"Yes")</f>
        <v>Yes</v>
      </c>
      <c r="R333" s="5" t="str">
        <f>IFERROR(__xludf.DUMMYFUNCTION("""COMPUTED_VALUE"""),"Yes")</f>
        <v>Yes</v>
      </c>
      <c r="S333" s="5" t="str">
        <f>IFERROR(__xludf.DUMMYFUNCTION("""COMPUTED_VALUE"""),"Yes")</f>
        <v>Yes</v>
      </c>
      <c r="T333" s="5" t="str">
        <f>IFERROR(__xludf.DUMMYFUNCTION("""COMPUTED_VALUE"""),"Yes")</f>
        <v>Yes</v>
      </c>
      <c r="U333" s="5" t="str">
        <f>IFERROR(__xludf.DUMMYFUNCTION("""COMPUTED_VALUE"""),"Yes")</f>
        <v>Yes</v>
      </c>
      <c r="V333" s="5" t="str">
        <f>IFERROR(__xludf.DUMMYFUNCTION("""COMPUTED_VALUE"""),"Yes")</f>
        <v>Yes</v>
      </c>
      <c r="W333" s="5" t="str">
        <f>IFERROR(__xludf.DUMMYFUNCTION("""COMPUTED_VALUE"""),"Yes")</f>
        <v>Yes</v>
      </c>
      <c r="X333" s="5"/>
      <c r="Y333" s="5" t="str">
        <f>IFERROR(__xludf.DUMMYFUNCTION("""COMPUTED_VALUE"""),"Yes")</f>
        <v>Yes</v>
      </c>
      <c r="Z333" s="5"/>
      <c r="AA333" s="5"/>
      <c r="AB333" s="5"/>
      <c r="AC333" s="5" t="str">
        <f>IFERROR(__xludf.DUMMYFUNCTION("""COMPUTED_VALUE"""),"Yes")</f>
        <v>Yes</v>
      </c>
      <c r="AD333" s="5"/>
      <c r="AE333" s="5"/>
      <c r="AF333" s="5"/>
      <c r="AG333" s="5"/>
      <c r="AH333" s="5"/>
      <c r="AI333" s="5"/>
      <c r="AJ333" s="5"/>
      <c r="AK333" s="5"/>
      <c r="AL333" s="5"/>
      <c r="AM333" s="5"/>
      <c r="AN333" s="5"/>
      <c r="AO333" s="5"/>
      <c r="AP333" s="5"/>
      <c r="AQ333" s="5"/>
      <c r="AR333" s="5"/>
      <c r="AS333" s="5"/>
      <c r="AT333" s="5"/>
      <c r="AU333" s="5"/>
      <c r="AV333" s="5"/>
      <c r="AW333" s="5"/>
      <c r="AX333" s="5"/>
      <c r="AY333" s="5"/>
    </row>
    <row r="334">
      <c r="A33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4" s="5">
        <f>IFERROR(__xludf.DUMMYFUNCTION("""COMPUTED_VALUE"""),338.0)</f>
        <v>338</v>
      </c>
      <c r="C334" s="5">
        <f>IFERROR(__xludf.DUMMYFUNCTION("""COMPUTED_VALUE"""),337.0)</f>
        <v>337</v>
      </c>
      <c r="D334" s="5" t="str">
        <f>IFERROR(__xludf.DUMMYFUNCTION("""COMPUTED_VALUE"""),"UnicornDiceWildLines")</f>
        <v>UnicornDiceWildLines</v>
      </c>
      <c r="E334" s="5" t="str">
        <f>IFERROR(__xludf.DUMMYFUNCTION("""COMPUTED_VALUE"""),"Yes")</f>
        <v>Yes</v>
      </c>
      <c r="F334" s="5" t="str">
        <f>IFERROR(__xludf.DUMMYFUNCTION("""COMPUTED_VALUE"""),"Yes")</f>
        <v>Yes</v>
      </c>
      <c r="G334" s="5" t="str">
        <f>IFERROR(__xludf.DUMMYFUNCTION("""COMPUTED_VALUE"""),"Yes")</f>
        <v>Yes</v>
      </c>
      <c r="H334" s="5" t="str">
        <f>IFERROR(__xludf.DUMMYFUNCTION("""COMPUTED_VALUE"""),"No")</f>
        <v>No</v>
      </c>
      <c r="I334" s="5" t="str">
        <f>IFERROR(__xludf.DUMMYFUNCTION("""COMPUTED_VALUE"""),"No")</f>
        <v>No</v>
      </c>
      <c r="J334" s="5" t="str">
        <f>IFERROR(__xludf.DUMMYFUNCTION("""COMPUTED_VALUE"""),"No")</f>
        <v>No</v>
      </c>
      <c r="K334" s="5" t="str">
        <f>IFERROR(__xludf.DUMMYFUNCTION("""COMPUTED_VALUE"""),"No")</f>
        <v>No</v>
      </c>
      <c r="L334" s="5" t="str">
        <f>IFERROR(__xludf.DUMMYFUNCTION("""COMPUTED_VALUE"""),"No")</f>
        <v>No</v>
      </c>
      <c r="M334" s="5" t="str">
        <f>IFERROR(__xludf.DUMMYFUNCTION("""COMPUTED_VALUE"""),"Yes")</f>
        <v>Yes</v>
      </c>
      <c r="N334" s="5" t="str">
        <f>IFERROR(__xludf.DUMMYFUNCTION("""COMPUTED_VALUE"""),"Yes")</f>
        <v>Yes</v>
      </c>
      <c r="O334" s="5" t="str">
        <f>IFERROR(__xludf.DUMMYFUNCTION("""COMPUTED_VALUE"""),"Yes")</f>
        <v>Yes</v>
      </c>
      <c r="P334" s="5" t="str">
        <f>IFERROR(__xludf.DUMMYFUNCTION("""COMPUTED_VALUE"""),"Yes")</f>
        <v>Yes</v>
      </c>
      <c r="Q334" s="5" t="str">
        <f>IFERROR(__xludf.DUMMYFUNCTION("""COMPUTED_VALUE"""),"Yes")</f>
        <v>Yes</v>
      </c>
      <c r="R334" s="5" t="str">
        <f>IFERROR(__xludf.DUMMYFUNCTION("""COMPUTED_VALUE"""),"No")</f>
        <v>No</v>
      </c>
      <c r="S334" s="5" t="str">
        <f>IFERROR(__xludf.DUMMYFUNCTION("""COMPUTED_VALUE"""),"Yes")</f>
        <v>Yes</v>
      </c>
      <c r="T334" s="5" t="str">
        <f>IFERROR(__xludf.DUMMYFUNCTION("""COMPUTED_VALUE"""),"No")</f>
        <v>No</v>
      </c>
      <c r="U334" s="5" t="str">
        <f>IFERROR(__xludf.DUMMYFUNCTION("""COMPUTED_VALUE"""),"No")</f>
        <v>No</v>
      </c>
      <c r="V334" s="5" t="str">
        <f>IFERROR(__xludf.DUMMYFUNCTION("""COMPUTED_VALUE"""),"No")</f>
        <v>No</v>
      </c>
      <c r="W334" s="5" t="str">
        <f>IFERROR(__xludf.DUMMYFUNCTION("""COMPUTED_VALUE"""),"No")</f>
        <v>No</v>
      </c>
      <c r="X334" s="5"/>
      <c r="Y334" s="5"/>
      <c r="Z334" s="5"/>
      <c r="AA334" s="5"/>
      <c r="AB334" s="5"/>
      <c r="AC334" s="5" t="str">
        <f>IFERROR(__xludf.DUMMYFUNCTION("""COMPUTED_VALUE"""),"No")</f>
        <v>No</v>
      </c>
      <c r="AD334" s="5"/>
      <c r="AE334" s="5"/>
      <c r="AF334" s="5"/>
      <c r="AG334" s="5"/>
      <c r="AH334" s="5"/>
      <c r="AI334" s="5"/>
      <c r="AJ334" s="5"/>
      <c r="AK334" s="5"/>
      <c r="AL334" s="5"/>
      <c r="AM334" s="5"/>
      <c r="AN334" s="5"/>
      <c r="AO334" s="5"/>
      <c r="AP334" s="5"/>
      <c r="AQ334" s="5"/>
      <c r="AR334" s="5"/>
      <c r="AS334" s="5"/>
      <c r="AT334" s="5"/>
      <c r="AU334" s="5"/>
      <c r="AV334" s="5"/>
      <c r="AW334" s="5"/>
      <c r="AX334" s="5"/>
      <c r="AY334" s="5"/>
    </row>
    <row r="335">
      <c r="A33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35" s="5">
        <f>IFERROR(__xludf.DUMMYFUNCTION("""COMPUTED_VALUE"""),339.0)</f>
        <v>339</v>
      </c>
      <c r="C335" s="5">
        <f>IFERROR(__xludf.DUMMYFUNCTION("""COMPUTED_VALUE"""),338.0)</f>
        <v>338</v>
      </c>
      <c r="D335" s="5" t="str">
        <f>IFERROR(__xludf.DUMMYFUNCTION("""COMPUTED_VALUE"""),"RedstoneSpinUp")</f>
        <v>RedstoneSpinUp</v>
      </c>
      <c r="E335" s="5" t="str">
        <f>IFERROR(__xludf.DUMMYFUNCTION("""COMPUTED_VALUE"""),"Yes")</f>
        <v>Yes</v>
      </c>
      <c r="F335" s="5" t="str">
        <f>IFERROR(__xludf.DUMMYFUNCTION("""COMPUTED_VALUE"""),"Yes")</f>
        <v>Yes</v>
      </c>
      <c r="G335" s="5" t="str">
        <f>IFERROR(__xludf.DUMMYFUNCTION("""COMPUTED_VALUE"""),"Yes")</f>
        <v>Yes</v>
      </c>
      <c r="H335" s="5" t="str">
        <f>IFERROR(__xludf.DUMMYFUNCTION("""COMPUTED_VALUE"""),"No")</f>
        <v>No</v>
      </c>
      <c r="I335" s="5" t="str">
        <f>IFERROR(__xludf.DUMMYFUNCTION("""COMPUTED_VALUE"""),"No")</f>
        <v>No</v>
      </c>
      <c r="J335" s="5" t="str">
        <f>IFERROR(__xludf.DUMMYFUNCTION("""COMPUTED_VALUE"""),"No")</f>
        <v>No</v>
      </c>
      <c r="K335" s="5" t="str">
        <f>IFERROR(__xludf.DUMMYFUNCTION("""COMPUTED_VALUE"""),"No")</f>
        <v>No</v>
      </c>
      <c r="L335" s="5" t="str">
        <f>IFERROR(__xludf.DUMMYFUNCTION("""COMPUTED_VALUE"""),"No")</f>
        <v>No</v>
      </c>
      <c r="M335" s="5" t="str">
        <f>IFERROR(__xludf.DUMMYFUNCTION("""COMPUTED_VALUE"""),"Yes")</f>
        <v>Yes</v>
      </c>
      <c r="N335" s="5" t="str">
        <f>IFERROR(__xludf.DUMMYFUNCTION("""COMPUTED_VALUE"""),"Yes")</f>
        <v>Yes</v>
      </c>
      <c r="O335" s="5" t="str">
        <f>IFERROR(__xludf.DUMMYFUNCTION("""COMPUTED_VALUE"""),"Yes")</f>
        <v>Yes</v>
      </c>
      <c r="P335" s="5" t="str">
        <f>IFERROR(__xludf.DUMMYFUNCTION("""COMPUTED_VALUE"""),"Yes")</f>
        <v>Yes</v>
      </c>
      <c r="Q335" s="5" t="str">
        <f>IFERROR(__xludf.DUMMYFUNCTION("""COMPUTED_VALUE"""),"Yes")</f>
        <v>Yes</v>
      </c>
      <c r="R335" s="5" t="str">
        <f>IFERROR(__xludf.DUMMYFUNCTION("""COMPUTED_VALUE"""),"No")</f>
        <v>No</v>
      </c>
      <c r="S335" s="5" t="str">
        <f>IFERROR(__xludf.DUMMYFUNCTION("""COMPUTED_VALUE"""),"Yes")</f>
        <v>Yes</v>
      </c>
      <c r="T335" s="5" t="str">
        <f>IFERROR(__xludf.DUMMYFUNCTION("""COMPUTED_VALUE"""),"No")</f>
        <v>No</v>
      </c>
      <c r="U335" s="5" t="str">
        <f>IFERROR(__xludf.DUMMYFUNCTION("""COMPUTED_VALUE"""),"No")</f>
        <v>No</v>
      </c>
      <c r="V335" s="5" t="str">
        <f>IFERROR(__xludf.DUMMYFUNCTION("""COMPUTED_VALUE"""),"No")</f>
        <v>No</v>
      </c>
      <c r="W335" s="5" t="str">
        <f>IFERROR(__xludf.DUMMYFUNCTION("""COMPUTED_VALUE"""),"No")</f>
        <v>No</v>
      </c>
      <c r="X335" s="5"/>
      <c r="Y335" s="5"/>
      <c r="Z335" s="5"/>
      <c r="AA335" s="5"/>
      <c r="AB335" s="5"/>
      <c r="AC335" s="5" t="str">
        <f>IFERROR(__xludf.DUMMYFUNCTION("""COMPUTED_VALUE"""),"No")</f>
        <v>No</v>
      </c>
      <c r="AD335" s="5"/>
      <c r="AE335" s="5"/>
      <c r="AF335" s="5"/>
      <c r="AG335" s="5"/>
      <c r="AH335" s="5"/>
      <c r="AI335" s="5"/>
      <c r="AJ335" s="5"/>
      <c r="AK335" s="5"/>
      <c r="AL335" s="5"/>
      <c r="AM335" s="5"/>
      <c r="AN335" s="5"/>
      <c r="AO335" s="5"/>
      <c r="AP335" s="5"/>
      <c r="AQ335" s="5"/>
      <c r="AR335" s="5"/>
      <c r="AS335" s="5"/>
      <c r="AT335" s="5"/>
      <c r="AU335" s="5"/>
      <c r="AV335" s="5"/>
      <c r="AW335" s="5"/>
      <c r="AX335" s="5"/>
      <c r="AY335" s="5"/>
    </row>
    <row r="336">
      <c r="A336" s="5"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36" s="5">
        <f>IFERROR(__xludf.DUMMYFUNCTION("""COMPUTED_VALUE"""),340.0)</f>
        <v>340</v>
      </c>
      <c r="C336" s="5">
        <f>IFERROR(__xludf.DUMMYFUNCTION("""COMPUTED_VALUE"""),339.0)</f>
        <v>339</v>
      </c>
      <c r="D336" s="5" t="str">
        <f>IFERROR(__xludf.DUMMYFUNCTION("""COMPUTED_VALUE"""),"UnicornStickyHot")</f>
        <v>UnicornStickyHot</v>
      </c>
      <c r="E336" s="5" t="str">
        <f>IFERROR(__xludf.DUMMYFUNCTION("""COMPUTED_VALUE"""),"Yes")</f>
        <v>Yes</v>
      </c>
      <c r="F336" s="5" t="str">
        <f>IFERROR(__xludf.DUMMYFUNCTION("""COMPUTED_VALUE"""),"Yes")</f>
        <v>Yes</v>
      </c>
      <c r="G336" s="5" t="str">
        <f>IFERROR(__xludf.DUMMYFUNCTION("""COMPUTED_VALUE"""),"No")</f>
        <v>No</v>
      </c>
      <c r="H336" s="5" t="str">
        <f>IFERROR(__xludf.DUMMYFUNCTION("""COMPUTED_VALUE"""),"Yes")</f>
        <v>Yes</v>
      </c>
      <c r="I336" s="5" t="str">
        <f>IFERROR(__xludf.DUMMYFUNCTION("""COMPUTED_VALUE"""),"Yes")</f>
        <v>Yes</v>
      </c>
      <c r="J336" s="5" t="str">
        <f>IFERROR(__xludf.DUMMYFUNCTION("""COMPUTED_VALUE"""),"Yes")</f>
        <v>Yes</v>
      </c>
      <c r="K336" s="5" t="str">
        <f>IFERROR(__xludf.DUMMYFUNCTION("""COMPUTED_VALUE"""),"Yes")</f>
        <v>Yes</v>
      </c>
      <c r="L336" s="5" t="str">
        <f>IFERROR(__xludf.DUMMYFUNCTION("""COMPUTED_VALUE"""),"Yes")</f>
        <v>Yes</v>
      </c>
      <c r="M336" s="5" t="str">
        <f>IFERROR(__xludf.DUMMYFUNCTION("""COMPUTED_VALUE"""),"Yes")</f>
        <v>Yes</v>
      </c>
      <c r="N336" s="5" t="str">
        <f>IFERROR(__xludf.DUMMYFUNCTION("""COMPUTED_VALUE"""),"Yes")</f>
        <v>Yes</v>
      </c>
      <c r="O336" s="5" t="str">
        <f>IFERROR(__xludf.DUMMYFUNCTION("""COMPUTED_VALUE"""),"Yes")</f>
        <v>Yes</v>
      </c>
      <c r="P336" s="5" t="str">
        <f>IFERROR(__xludf.DUMMYFUNCTION("""COMPUTED_VALUE"""),"Yes")</f>
        <v>Yes</v>
      </c>
      <c r="Q336" s="5" t="str">
        <f>IFERROR(__xludf.DUMMYFUNCTION("""COMPUTED_VALUE"""),"Yes")</f>
        <v>Yes</v>
      </c>
      <c r="R336" s="5" t="str">
        <f>IFERROR(__xludf.DUMMYFUNCTION("""COMPUTED_VALUE"""),"No")</f>
        <v>No</v>
      </c>
      <c r="S336" s="5" t="str">
        <f>IFERROR(__xludf.DUMMYFUNCTION("""COMPUTED_VALUE"""),"Yes")</f>
        <v>Yes</v>
      </c>
      <c r="T336" s="5" t="str">
        <f>IFERROR(__xludf.DUMMYFUNCTION("""COMPUTED_VALUE"""),"No")</f>
        <v>No</v>
      </c>
      <c r="U336" s="5" t="str">
        <f>IFERROR(__xludf.DUMMYFUNCTION("""COMPUTED_VALUE"""),"No")</f>
        <v>No</v>
      </c>
      <c r="V336" s="5" t="str">
        <f>IFERROR(__xludf.DUMMYFUNCTION("""COMPUTED_VALUE"""),"No")</f>
        <v>No</v>
      </c>
      <c r="W336" s="5" t="str">
        <f>IFERROR(__xludf.DUMMYFUNCTION("""COMPUTED_VALUE"""),"No")</f>
        <v>No</v>
      </c>
      <c r="X336" s="5" t="str">
        <f>IFERROR(__xludf.DUMMYFUNCTION("""COMPUTED_VALUE"""),"No")</f>
        <v>No</v>
      </c>
      <c r="Y336" s="5" t="str">
        <f>IFERROR(__xludf.DUMMYFUNCTION("""COMPUTED_VALUE"""),"No")</f>
        <v>No</v>
      </c>
      <c r="Z336" s="5" t="str">
        <f>IFERROR(__xludf.DUMMYFUNCTION("""COMPUTED_VALUE"""),"No")</f>
        <v>No</v>
      </c>
      <c r="AA336" s="5" t="str">
        <f>IFERROR(__xludf.DUMMYFUNCTION("""COMPUTED_VALUE"""),"No")</f>
        <v>No</v>
      </c>
      <c r="AB336" s="5" t="str">
        <f>IFERROR(__xludf.DUMMYFUNCTION("""COMPUTED_VALUE"""),"No")</f>
        <v>No</v>
      </c>
      <c r="AC336" s="5" t="str">
        <f>IFERROR(__xludf.DUMMYFUNCTION("""COMPUTED_VALUE"""),"No")</f>
        <v>No</v>
      </c>
      <c r="AD336" s="5" t="str">
        <f>IFERROR(__xludf.DUMMYFUNCTION("""COMPUTED_VALUE"""),"No")</f>
        <v>No</v>
      </c>
      <c r="AE336" s="5" t="str">
        <f>IFERROR(__xludf.DUMMYFUNCTION("""COMPUTED_VALUE"""),"No")</f>
        <v>No</v>
      </c>
      <c r="AF336" s="5" t="str">
        <f>IFERROR(__xludf.DUMMYFUNCTION("""COMPUTED_VALUE"""),"Yes")</f>
        <v>Yes</v>
      </c>
      <c r="AG336" s="5" t="str">
        <f>IFERROR(__xludf.DUMMYFUNCTION("""COMPUTED_VALUE"""),"No")</f>
        <v>No</v>
      </c>
      <c r="AH336" s="5" t="str">
        <f>IFERROR(__xludf.DUMMYFUNCTION("""COMPUTED_VALUE"""),"Yes")</f>
        <v>Yes</v>
      </c>
      <c r="AI336" s="5" t="str">
        <f>IFERROR(__xludf.DUMMYFUNCTION("""COMPUTED_VALUE"""),"No")</f>
        <v>No</v>
      </c>
      <c r="AJ336" s="5" t="str">
        <f>IFERROR(__xludf.DUMMYFUNCTION("""COMPUTED_VALUE"""),"No")</f>
        <v>No</v>
      </c>
      <c r="AK336" s="5" t="str">
        <f>IFERROR(__xludf.DUMMYFUNCTION("""COMPUTED_VALUE"""),"No")</f>
        <v>No</v>
      </c>
      <c r="AL336" s="5" t="str">
        <f>IFERROR(__xludf.DUMMYFUNCTION("""COMPUTED_VALUE"""),"No")</f>
        <v>No</v>
      </c>
      <c r="AM336" s="5"/>
      <c r="AN336" s="5"/>
      <c r="AO336" s="5"/>
      <c r="AP336" s="5"/>
      <c r="AQ336" s="5"/>
      <c r="AR336" s="5"/>
      <c r="AS336" s="5"/>
      <c r="AT336" s="5"/>
      <c r="AU336" s="5"/>
      <c r="AV336" s="5"/>
      <c r="AW336" s="5"/>
      <c r="AX336" s="5"/>
      <c r="AY336" s="5"/>
    </row>
    <row r="337">
      <c r="A3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7" s="5">
        <f>IFERROR(__xludf.DUMMYFUNCTION("""COMPUTED_VALUE"""),341.0)</f>
        <v>341</v>
      </c>
      <c r="C337" s="5">
        <f>IFERROR(__xludf.DUMMYFUNCTION("""COMPUTED_VALUE"""),344.0)</f>
        <v>344</v>
      </c>
      <c r="D337" s="5" t="str">
        <f>IFERROR(__xludf.DUMMYFUNCTION("""COMPUTED_VALUE"""),"MegaHot10")</f>
        <v>MegaHot10</v>
      </c>
      <c r="E337" s="5" t="str">
        <f>IFERROR(__xludf.DUMMYFUNCTION("""COMPUTED_VALUE"""),"Yes")</f>
        <v>Yes</v>
      </c>
      <c r="F337" s="5" t="str">
        <f>IFERROR(__xludf.DUMMYFUNCTION("""COMPUTED_VALUE"""),"Yes")</f>
        <v>Yes</v>
      </c>
      <c r="G337" s="5" t="str">
        <f>IFERROR(__xludf.DUMMYFUNCTION("""COMPUTED_VALUE"""),"Yes")</f>
        <v>Yes</v>
      </c>
      <c r="H337" s="5" t="str">
        <f>IFERROR(__xludf.DUMMYFUNCTION("""COMPUTED_VALUE"""),"Yes")</f>
        <v>Yes</v>
      </c>
      <c r="I337" s="5" t="str">
        <f>IFERROR(__xludf.DUMMYFUNCTION("""COMPUTED_VALUE"""),"Yes")</f>
        <v>Yes</v>
      </c>
      <c r="J337" s="5" t="str">
        <f>IFERROR(__xludf.DUMMYFUNCTION("""COMPUTED_VALUE"""),"Yes")</f>
        <v>Yes</v>
      </c>
      <c r="K337" s="5" t="str">
        <f>IFERROR(__xludf.DUMMYFUNCTION("""COMPUTED_VALUE"""),"Yes")</f>
        <v>Yes</v>
      </c>
      <c r="L337" s="5" t="str">
        <f>IFERROR(__xludf.DUMMYFUNCTION("""COMPUTED_VALUE"""),"Yes")</f>
        <v>Yes</v>
      </c>
      <c r="M337" s="5" t="str">
        <f>IFERROR(__xludf.DUMMYFUNCTION("""COMPUTED_VALUE"""),"Yes")</f>
        <v>Yes</v>
      </c>
      <c r="N337" s="5" t="str">
        <f>IFERROR(__xludf.DUMMYFUNCTION("""COMPUTED_VALUE"""),"Yes")</f>
        <v>Yes</v>
      </c>
      <c r="O337" s="5" t="str">
        <f>IFERROR(__xludf.DUMMYFUNCTION("""COMPUTED_VALUE"""),"Yes")</f>
        <v>Yes</v>
      </c>
      <c r="P337" s="5" t="str">
        <f>IFERROR(__xludf.DUMMYFUNCTION("""COMPUTED_VALUE"""),"Yes")</f>
        <v>Yes</v>
      </c>
      <c r="Q337" s="5" t="str">
        <f>IFERROR(__xludf.DUMMYFUNCTION("""COMPUTED_VALUE"""),"Yes")</f>
        <v>Yes</v>
      </c>
      <c r="R337" s="5" t="str">
        <f>IFERROR(__xludf.DUMMYFUNCTION("""COMPUTED_VALUE"""),"Yes")</f>
        <v>Yes</v>
      </c>
      <c r="S337" s="5" t="str">
        <f>IFERROR(__xludf.DUMMYFUNCTION("""COMPUTED_VALUE"""),"Yes")</f>
        <v>Yes</v>
      </c>
      <c r="T337" s="5" t="str">
        <f>IFERROR(__xludf.DUMMYFUNCTION("""COMPUTED_VALUE"""),"Yes")</f>
        <v>Yes</v>
      </c>
      <c r="U337" s="5" t="str">
        <f>IFERROR(__xludf.DUMMYFUNCTION("""COMPUTED_VALUE"""),"Yes")</f>
        <v>Yes</v>
      </c>
      <c r="V337" s="5" t="str">
        <f>IFERROR(__xludf.DUMMYFUNCTION("""COMPUTED_VALUE"""),"Yes")</f>
        <v>Yes</v>
      </c>
      <c r="W337" s="5" t="str">
        <f>IFERROR(__xludf.DUMMYFUNCTION("""COMPUTED_VALUE"""),"Yes")</f>
        <v>Yes</v>
      </c>
      <c r="X337" s="5" t="str">
        <f>IFERROR(__xludf.DUMMYFUNCTION("""COMPUTED_VALUE"""),"Yes")</f>
        <v>Yes</v>
      </c>
      <c r="Y337" s="5" t="str">
        <f>IFERROR(__xludf.DUMMYFUNCTION("""COMPUTED_VALUE"""),"Yes")</f>
        <v>Yes</v>
      </c>
      <c r="Z337" s="5" t="str">
        <f>IFERROR(__xludf.DUMMYFUNCTION("""COMPUTED_VALUE"""),"Yes")</f>
        <v>Yes</v>
      </c>
      <c r="AA337" s="5" t="str">
        <f>IFERROR(__xludf.DUMMYFUNCTION("""COMPUTED_VALUE"""),"Yes")</f>
        <v>Yes</v>
      </c>
      <c r="AB337" s="5" t="str">
        <f>IFERROR(__xludf.DUMMYFUNCTION("""COMPUTED_VALUE"""),"Yes")</f>
        <v>Yes</v>
      </c>
      <c r="AC337" s="5" t="str">
        <f>IFERROR(__xludf.DUMMYFUNCTION("""COMPUTED_VALUE"""),"Yes")</f>
        <v>Yes</v>
      </c>
      <c r="AD337" s="5" t="str">
        <f>IFERROR(__xludf.DUMMYFUNCTION("""COMPUTED_VALUE"""),"Yes")</f>
        <v>Yes</v>
      </c>
      <c r="AE337" s="5" t="str">
        <f>IFERROR(__xludf.DUMMYFUNCTION("""COMPUTED_VALUE"""),"Yes")</f>
        <v>Yes</v>
      </c>
      <c r="AF337" s="5" t="str">
        <f>IFERROR(__xludf.DUMMYFUNCTION("""COMPUTED_VALUE"""),"Yes")</f>
        <v>Yes</v>
      </c>
      <c r="AG337" s="5" t="str">
        <f>IFERROR(__xludf.DUMMYFUNCTION("""COMPUTED_VALUE"""),"Yes")</f>
        <v>Yes</v>
      </c>
      <c r="AH337" s="5" t="str">
        <f>IFERROR(__xludf.DUMMYFUNCTION("""COMPUTED_VALUE"""),"Yes")</f>
        <v>Yes</v>
      </c>
      <c r="AI337" s="5" t="str">
        <f>IFERROR(__xludf.DUMMYFUNCTION("""COMPUTED_VALUE"""),"No")</f>
        <v>No</v>
      </c>
      <c r="AJ337" s="5" t="str">
        <f>IFERROR(__xludf.DUMMYFUNCTION("""COMPUTED_VALUE"""),"No")</f>
        <v>No</v>
      </c>
      <c r="AK337" s="5" t="str">
        <f>IFERROR(__xludf.DUMMYFUNCTION("""COMPUTED_VALUE"""),"No")</f>
        <v>No</v>
      </c>
      <c r="AL337" s="5" t="str">
        <f>IFERROR(__xludf.DUMMYFUNCTION("""COMPUTED_VALUE"""),"No")</f>
        <v>No</v>
      </c>
      <c r="AM337" s="5"/>
      <c r="AN337" s="5"/>
      <c r="AO337" s="5"/>
      <c r="AP337" s="5"/>
      <c r="AQ337" s="5"/>
      <c r="AR337" s="5"/>
      <c r="AS337" s="5"/>
      <c r="AT337" s="5"/>
      <c r="AU337" s="5"/>
      <c r="AV337" s="5"/>
      <c r="AW337" s="5"/>
      <c r="AX337" s="5"/>
      <c r="AY337" s="5"/>
    </row>
    <row r="338">
      <c r="A3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8" s="5">
        <f>IFERROR(__xludf.DUMMYFUNCTION("""COMPUTED_VALUE"""),342.0)</f>
        <v>342</v>
      </c>
      <c r="C338" s="5">
        <f>IFERROR(__xludf.DUMMYFUNCTION("""COMPUTED_VALUE"""),353.0)</f>
        <v>353</v>
      </c>
      <c r="D338" s="5" t="str">
        <f>IFERROR(__xludf.DUMMYFUNCTION("""COMPUTED_VALUE"""),"WildHeat40")</f>
        <v>WildHeat40</v>
      </c>
      <c r="E338" s="5" t="str">
        <f>IFERROR(__xludf.DUMMYFUNCTION("""COMPUTED_VALUE"""),"Yes")</f>
        <v>Yes</v>
      </c>
      <c r="F338" s="5" t="str">
        <f>IFERROR(__xludf.DUMMYFUNCTION("""COMPUTED_VALUE"""),"Yes")</f>
        <v>Yes</v>
      </c>
      <c r="G338" s="5" t="str">
        <f>IFERROR(__xludf.DUMMYFUNCTION("""COMPUTED_VALUE"""),"Yes")</f>
        <v>Yes</v>
      </c>
      <c r="H338" s="5" t="str">
        <f>IFERROR(__xludf.DUMMYFUNCTION("""COMPUTED_VALUE"""),"Yes")</f>
        <v>Yes</v>
      </c>
      <c r="I338" s="5" t="str">
        <f>IFERROR(__xludf.DUMMYFUNCTION("""COMPUTED_VALUE"""),"Yes")</f>
        <v>Yes</v>
      </c>
      <c r="J338" s="5" t="str">
        <f>IFERROR(__xludf.DUMMYFUNCTION("""COMPUTED_VALUE"""),"Yes")</f>
        <v>Yes</v>
      </c>
      <c r="K338" s="5" t="str">
        <f>IFERROR(__xludf.DUMMYFUNCTION("""COMPUTED_VALUE"""),"Yes")</f>
        <v>Yes</v>
      </c>
      <c r="L338" s="5" t="str">
        <f>IFERROR(__xludf.DUMMYFUNCTION("""COMPUTED_VALUE"""),"Yes")</f>
        <v>Yes</v>
      </c>
      <c r="M338" s="5" t="str">
        <f>IFERROR(__xludf.DUMMYFUNCTION("""COMPUTED_VALUE"""),"Yes")</f>
        <v>Yes</v>
      </c>
      <c r="N338" s="5" t="str">
        <f>IFERROR(__xludf.DUMMYFUNCTION("""COMPUTED_VALUE"""),"Yes")</f>
        <v>Yes</v>
      </c>
      <c r="O338" s="5" t="str">
        <f>IFERROR(__xludf.DUMMYFUNCTION("""COMPUTED_VALUE"""),"Yes")</f>
        <v>Yes</v>
      </c>
      <c r="P338" s="5" t="str">
        <f>IFERROR(__xludf.DUMMYFUNCTION("""COMPUTED_VALUE"""),"Yes")</f>
        <v>Yes</v>
      </c>
      <c r="Q338" s="5" t="str">
        <f>IFERROR(__xludf.DUMMYFUNCTION("""COMPUTED_VALUE"""),"Yes")</f>
        <v>Yes</v>
      </c>
      <c r="R338" s="5" t="str">
        <f>IFERROR(__xludf.DUMMYFUNCTION("""COMPUTED_VALUE"""),"Yes")</f>
        <v>Yes</v>
      </c>
      <c r="S338" s="5" t="str">
        <f>IFERROR(__xludf.DUMMYFUNCTION("""COMPUTED_VALUE"""),"Yes")</f>
        <v>Yes</v>
      </c>
      <c r="T338" s="5" t="str">
        <f>IFERROR(__xludf.DUMMYFUNCTION("""COMPUTED_VALUE"""),"Yes")</f>
        <v>Yes</v>
      </c>
      <c r="U338" s="5" t="str">
        <f>IFERROR(__xludf.DUMMYFUNCTION("""COMPUTED_VALUE"""),"Yes")</f>
        <v>Yes</v>
      </c>
      <c r="V338" s="5" t="str">
        <f>IFERROR(__xludf.DUMMYFUNCTION("""COMPUTED_VALUE"""),"Yes")</f>
        <v>Yes</v>
      </c>
      <c r="W338" s="5" t="str">
        <f>IFERROR(__xludf.DUMMYFUNCTION("""COMPUTED_VALUE"""),"Yes")</f>
        <v>Yes</v>
      </c>
      <c r="X338" s="5" t="str">
        <f>IFERROR(__xludf.DUMMYFUNCTION("""COMPUTED_VALUE"""),"Yes")</f>
        <v>Yes</v>
      </c>
      <c r="Y338" s="5" t="str">
        <f>IFERROR(__xludf.DUMMYFUNCTION("""COMPUTED_VALUE"""),"Yes")</f>
        <v>Yes</v>
      </c>
      <c r="Z338" s="5" t="str">
        <f>IFERROR(__xludf.DUMMYFUNCTION("""COMPUTED_VALUE"""),"Yes")</f>
        <v>Yes</v>
      </c>
      <c r="AA338" s="5" t="str">
        <f>IFERROR(__xludf.DUMMYFUNCTION("""COMPUTED_VALUE"""),"Yes")</f>
        <v>Yes</v>
      </c>
      <c r="AB338" s="5" t="str">
        <f>IFERROR(__xludf.DUMMYFUNCTION("""COMPUTED_VALUE"""),"Yes")</f>
        <v>Yes</v>
      </c>
      <c r="AC338" s="5" t="str">
        <f>IFERROR(__xludf.DUMMYFUNCTION("""COMPUTED_VALUE"""),"Yes")</f>
        <v>Yes</v>
      </c>
      <c r="AD338" s="5" t="str">
        <f>IFERROR(__xludf.DUMMYFUNCTION("""COMPUTED_VALUE"""),"Yes")</f>
        <v>Yes</v>
      </c>
      <c r="AE338" s="5" t="str">
        <f>IFERROR(__xludf.DUMMYFUNCTION("""COMPUTED_VALUE"""),"Yes")</f>
        <v>Yes</v>
      </c>
      <c r="AF338" s="5" t="str">
        <f>IFERROR(__xludf.DUMMYFUNCTION("""COMPUTED_VALUE"""),"Yes")</f>
        <v>Yes</v>
      </c>
      <c r="AG338" s="5" t="str">
        <f>IFERROR(__xludf.DUMMYFUNCTION("""COMPUTED_VALUE"""),"Yes")</f>
        <v>Yes</v>
      </c>
      <c r="AH338" s="5" t="str">
        <f>IFERROR(__xludf.DUMMYFUNCTION("""COMPUTED_VALUE"""),"Yes")</f>
        <v>Yes</v>
      </c>
      <c r="AI338" s="5" t="str">
        <f>IFERROR(__xludf.DUMMYFUNCTION("""COMPUTED_VALUE"""),"No")</f>
        <v>No</v>
      </c>
      <c r="AJ338" s="5" t="str">
        <f>IFERROR(__xludf.DUMMYFUNCTION("""COMPUTED_VALUE"""),"No")</f>
        <v>No</v>
      </c>
      <c r="AK338" s="5" t="str">
        <f>IFERROR(__xludf.DUMMYFUNCTION("""COMPUTED_VALUE"""),"No")</f>
        <v>No</v>
      </c>
      <c r="AL338" s="5" t="str">
        <f>IFERROR(__xludf.DUMMYFUNCTION("""COMPUTED_VALUE"""),"No")</f>
        <v>No</v>
      </c>
      <c r="AM338" s="5"/>
      <c r="AN338" s="5"/>
      <c r="AO338" s="5"/>
      <c r="AP338" s="5"/>
      <c r="AQ338" s="5"/>
      <c r="AR338" s="5"/>
      <c r="AS338" s="5"/>
      <c r="AT338" s="5"/>
      <c r="AU338" s="5"/>
      <c r="AV338" s="5"/>
      <c r="AW338" s="5"/>
      <c r="AX338" s="5"/>
      <c r="AY338" s="5"/>
    </row>
    <row r="339">
      <c r="A3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9" s="5">
        <f>IFERROR(__xludf.DUMMYFUNCTION("""COMPUTED_VALUE"""),343.0)</f>
        <v>343</v>
      </c>
      <c r="C339" s="5">
        <f>IFERROR(__xludf.DUMMYFUNCTION("""COMPUTED_VALUE"""),1001.0)</f>
        <v>1001</v>
      </c>
      <c r="D339" s="5" t="str">
        <f>IFERROR(__xludf.DUMMYFUNCTION("""COMPUTED_VALUE"""),"BlowFruits40")</f>
        <v>BlowFruits40</v>
      </c>
      <c r="E339" s="5" t="str">
        <f>IFERROR(__xludf.DUMMYFUNCTION("""COMPUTED_VALUE"""),"Yes")</f>
        <v>Yes</v>
      </c>
      <c r="F339" s="5" t="str">
        <f>IFERROR(__xludf.DUMMYFUNCTION("""COMPUTED_VALUE"""),"Yes")</f>
        <v>Yes</v>
      </c>
      <c r="G339" s="5" t="str">
        <f>IFERROR(__xludf.DUMMYFUNCTION("""COMPUTED_VALUE"""),"Yes")</f>
        <v>Yes</v>
      </c>
      <c r="H339" s="5" t="str">
        <f>IFERROR(__xludf.DUMMYFUNCTION("""COMPUTED_VALUE"""),"Yes")</f>
        <v>Yes</v>
      </c>
      <c r="I339" s="5" t="str">
        <f>IFERROR(__xludf.DUMMYFUNCTION("""COMPUTED_VALUE"""),"Yes")</f>
        <v>Yes</v>
      </c>
      <c r="J339" s="5" t="str">
        <f>IFERROR(__xludf.DUMMYFUNCTION("""COMPUTED_VALUE"""),"Yes")</f>
        <v>Yes</v>
      </c>
      <c r="K339" s="5" t="str">
        <f>IFERROR(__xludf.DUMMYFUNCTION("""COMPUTED_VALUE"""),"Yes")</f>
        <v>Yes</v>
      </c>
      <c r="L339" s="5" t="str">
        <f>IFERROR(__xludf.DUMMYFUNCTION("""COMPUTED_VALUE"""),"Yes")</f>
        <v>Yes</v>
      </c>
      <c r="M339" s="5" t="str">
        <f>IFERROR(__xludf.DUMMYFUNCTION("""COMPUTED_VALUE"""),"Yes")</f>
        <v>Yes</v>
      </c>
      <c r="N339" s="5" t="str">
        <f>IFERROR(__xludf.DUMMYFUNCTION("""COMPUTED_VALUE"""),"Yes")</f>
        <v>Yes</v>
      </c>
      <c r="O339" s="5" t="str">
        <f>IFERROR(__xludf.DUMMYFUNCTION("""COMPUTED_VALUE"""),"Yes")</f>
        <v>Yes</v>
      </c>
      <c r="P339" s="5" t="str">
        <f>IFERROR(__xludf.DUMMYFUNCTION("""COMPUTED_VALUE"""),"Yes")</f>
        <v>Yes</v>
      </c>
      <c r="Q339" s="5" t="str">
        <f>IFERROR(__xludf.DUMMYFUNCTION("""COMPUTED_VALUE"""),"Yes")</f>
        <v>Yes</v>
      </c>
      <c r="R339" s="5" t="str">
        <f>IFERROR(__xludf.DUMMYFUNCTION("""COMPUTED_VALUE"""),"Yes")</f>
        <v>Yes</v>
      </c>
      <c r="S339" s="5" t="str">
        <f>IFERROR(__xludf.DUMMYFUNCTION("""COMPUTED_VALUE"""),"Yes")</f>
        <v>Yes</v>
      </c>
      <c r="T339" s="5" t="str">
        <f>IFERROR(__xludf.DUMMYFUNCTION("""COMPUTED_VALUE"""),"Yes")</f>
        <v>Yes</v>
      </c>
      <c r="U339" s="5" t="str">
        <f>IFERROR(__xludf.DUMMYFUNCTION("""COMPUTED_VALUE"""),"Yes")</f>
        <v>Yes</v>
      </c>
      <c r="V339" s="5" t="str">
        <f>IFERROR(__xludf.DUMMYFUNCTION("""COMPUTED_VALUE"""),"Yes")</f>
        <v>Yes</v>
      </c>
      <c r="W339" s="5" t="str">
        <f>IFERROR(__xludf.DUMMYFUNCTION("""COMPUTED_VALUE"""),"Yes")</f>
        <v>Yes</v>
      </c>
      <c r="X339" s="5" t="str">
        <f>IFERROR(__xludf.DUMMYFUNCTION("""COMPUTED_VALUE"""),"Yes")</f>
        <v>Yes</v>
      </c>
      <c r="Y339" s="5" t="str">
        <f>IFERROR(__xludf.DUMMYFUNCTION("""COMPUTED_VALUE"""),"Yes")</f>
        <v>Yes</v>
      </c>
      <c r="Z339" s="5" t="str">
        <f>IFERROR(__xludf.DUMMYFUNCTION("""COMPUTED_VALUE"""),"Yes")</f>
        <v>Yes</v>
      </c>
      <c r="AA339" s="5" t="str">
        <f>IFERROR(__xludf.DUMMYFUNCTION("""COMPUTED_VALUE"""),"Yes")</f>
        <v>Yes</v>
      </c>
      <c r="AB339" s="5" t="str">
        <f>IFERROR(__xludf.DUMMYFUNCTION("""COMPUTED_VALUE"""),"Yes")</f>
        <v>Yes</v>
      </c>
      <c r="AC339" s="5" t="str">
        <f>IFERROR(__xludf.DUMMYFUNCTION("""COMPUTED_VALUE"""),"Yes")</f>
        <v>Yes</v>
      </c>
      <c r="AD339" s="5" t="str">
        <f>IFERROR(__xludf.DUMMYFUNCTION("""COMPUTED_VALUE"""),"Yes")</f>
        <v>Yes</v>
      </c>
      <c r="AE339" s="5" t="str">
        <f>IFERROR(__xludf.DUMMYFUNCTION("""COMPUTED_VALUE"""),"Yes")</f>
        <v>Yes</v>
      </c>
      <c r="AF339" s="5" t="str">
        <f>IFERROR(__xludf.DUMMYFUNCTION("""COMPUTED_VALUE"""),"Yes")</f>
        <v>Yes</v>
      </c>
      <c r="AG339" s="5" t="str">
        <f>IFERROR(__xludf.DUMMYFUNCTION("""COMPUTED_VALUE"""),"Yes")</f>
        <v>Yes</v>
      </c>
      <c r="AH339" s="5" t="str">
        <f>IFERROR(__xludf.DUMMYFUNCTION("""COMPUTED_VALUE"""),"Yes")</f>
        <v>Yes</v>
      </c>
      <c r="AI339" s="5" t="str">
        <f>IFERROR(__xludf.DUMMYFUNCTION("""COMPUTED_VALUE"""),"No")</f>
        <v>No</v>
      </c>
      <c r="AJ339" s="5" t="str">
        <f>IFERROR(__xludf.DUMMYFUNCTION("""COMPUTED_VALUE"""),"No")</f>
        <v>No</v>
      </c>
      <c r="AK339" s="5" t="str">
        <f>IFERROR(__xludf.DUMMYFUNCTION("""COMPUTED_VALUE"""),"No")</f>
        <v>No</v>
      </c>
      <c r="AL339" s="5" t="str">
        <f>IFERROR(__xludf.DUMMYFUNCTION("""COMPUTED_VALUE"""),"No")</f>
        <v>No</v>
      </c>
      <c r="AM339" s="5"/>
      <c r="AN339" s="5"/>
      <c r="AO339" s="5"/>
      <c r="AP339" s="5"/>
      <c r="AQ339" s="5"/>
      <c r="AR339" s="5"/>
      <c r="AS339" s="5"/>
      <c r="AT339" s="5"/>
      <c r="AU339" s="5"/>
      <c r="AV339" s="5"/>
      <c r="AW339" s="5"/>
      <c r="AX339" s="5"/>
      <c r="AY339" s="5"/>
    </row>
    <row r="340">
      <c r="A3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0" s="5">
        <f>IFERROR(__xludf.DUMMYFUNCTION("""COMPUTED_VALUE"""),344.0)</f>
        <v>344</v>
      </c>
      <c r="C340" s="5">
        <f>IFERROR(__xludf.DUMMYFUNCTION("""COMPUTED_VALUE"""),2003.0)</f>
        <v>2003</v>
      </c>
      <c r="D340" s="5" t="str">
        <f>IFERROR(__xludf.DUMMYFUNCTION("""COMPUTED_VALUE"""),"AgeOfRome")</f>
        <v>AgeOfRome</v>
      </c>
      <c r="E340" s="5" t="str">
        <f>IFERROR(__xludf.DUMMYFUNCTION("""COMPUTED_VALUE"""),"Yes")</f>
        <v>Yes</v>
      </c>
      <c r="F340" s="5" t="str">
        <f>IFERROR(__xludf.DUMMYFUNCTION("""COMPUTED_VALUE"""),"Yes")</f>
        <v>Yes</v>
      </c>
      <c r="G340" s="5" t="str">
        <f>IFERROR(__xludf.DUMMYFUNCTION("""COMPUTED_VALUE"""),"Yes")</f>
        <v>Yes</v>
      </c>
      <c r="H340" s="5" t="str">
        <f>IFERROR(__xludf.DUMMYFUNCTION("""COMPUTED_VALUE"""),"Yes")</f>
        <v>Yes</v>
      </c>
      <c r="I340" s="5" t="str">
        <f>IFERROR(__xludf.DUMMYFUNCTION("""COMPUTED_VALUE"""),"Yes")</f>
        <v>Yes</v>
      </c>
      <c r="J340" s="5" t="str">
        <f>IFERROR(__xludf.DUMMYFUNCTION("""COMPUTED_VALUE"""),"Yes")</f>
        <v>Yes</v>
      </c>
      <c r="K340" s="5" t="str">
        <f>IFERROR(__xludf.DUMMYFUNCTION("""COMPUTED_VALUE"""),"Yes")</f>
        <v>Yes</v>
      </c>
      <c r="L340" s="5" t="str">
        <f>IFERROR(__xludf.DUMMYFUNCTION("""COMPUTED_VALUE"""),"Yes")</f>
        <v>Yes</v>
      </c>
      <c r="M340" s="5" t="str">
        <f>IFERROR(__xludf.DUMMYFUNCTION("""COMPUTED_VALUE"""),"Yes")</f>
        <v>Yes</v>
      </c>
      <c r="N340" s="5" t="str">
        <f>IFERROR(__xludf.DUMMYFUNCTION("""COMPUTED_VALUE"""),"Yes")</f>
        <v>Yes</v>
      </c>
      <c r="O340" s="5" t="str">
        <f>IFERROR(__xludf.DUMMYFUNCTION("""COMPUTED_VALUE"""),"Yes")</f>
        <v>Yes</v>
      </c>
      <c r="P340" s="5" t="str">
        <f>IFERROR(__xludf.DUMMYFUNCTION("""COMPUTED_VALUE"""),"Yes")</f>
        <v>Yes</v>
      </c>
      <c r="Q340" s="5" t="str">
        <f>IFERROR(__xludf.DUMMYFUNCTION("""COMPUTED_VALUE"""),"Yes")</f>
        <v>Yes</v>
      </c>
      <c r="R340" s="5" t="str">
        <f>IFERROR(__xludf.DUMMYFUNCTION("""COMPUTED_VALUE"""),"Yes")</f>
        <v>Yes</v>
      </c>
      <c r="S340" s="5" t="str">
        <f>IFERROR(__xludf.DUMMYFUNCTION("""COMPUTED_VALUE"""),"Yes")</f>
        <v>Yes</v>
      </c>
      <c r="T340" s="5" t="str">
        <f>IFERROR(__xludf.DUMMYFUNCTION("""COMPUTED_VALUE"""),"Yes")</f>
        <v>Yes</v>
      </c>
      <c r="U340" s="5" t="str">
        <f>IFERROR(__xludf.DUMMYFUNCTION("""COMPUTED_VALUE"""),"Yes")</f>
        <v>Yes</v>
      </c>
      <c r="V340" s="5" t="str">
        <f>IFERROR(__xludf.DUMMYFUNCTION("""COMPUTED_VALUE"""),"Yes")</f>
        <v>Yes</v>
      </c>
      <c r="W340" s="5" t="str">
        <f>IFERROR(__xludf.DUMMYFUNCTION("""COMPUTED_VALUE"""),"Yes")</f>
        <v>Yes</v>
      </c>
      <c r="X340" s="5" t="str">
        <f>IFERROR(__xludf.DUMMYFUNCTION("""COMPUTED_VALUE"""),"Yes")</f>
        <v>Yes</v>
      </c>
      <c r="Y340" s="5" t="str">
        <f>IFERROR(__xludf.DUMMYFUNCTION("""COMPUTED_VALUE"""),"Yes")</f>
        <v>Yes</v>
      </c>
      <c r="Z340" s="5" t="str">
        <f>IFERROR(__xludf.DUMMYFUNCTION("""COMPUTED_VALUE"""),"Yes")</f>
        <v>Yes</v>
      </c>
      <c r="AA340" s="5" t="str">
        <f>IFERROR(__xludf.DUMMYFUNCTION("""COMPUTED_VALUE"""),"Yes")</f>
        <v>Yes</v>
      </c>
      <c r="AB340" s="5" t="str">
        <f>IFERROR(__xludf.DUMMYFUNCTION("""COMPUTED_VALUE"""),"Yes")</f>
        <v>Yes</v>
      </c>
      <c r="AC340" s="5" t="str">
        <f>IFERROR(__xludf.DUMMYFUNCTION("""COMPUTED_VALUE"""),"Yes")</f>
        <v>Yes</v>
      </c>
      <c r="AD340" s="5" t="str">
        <f>IFERROR(__xludf.DUMMYFUNCTION("""COMPUTED_VALUE"""),"Yes")</f>
        <v>Yes</v>
      </c>
      <c r="AE340" s="5" t="str">
        <f>IFERROR(__xludf.DUMMYFUNCTION("""COMPUTED_VALUE"""),"Yes")</f>
        <v>Yes</v>
      </c>
      <c r="AF340" s="5" t="str">
        <f>IFERROR(__xludf.DUMMYFUNCTION("""COMPUTED_VALUE"""),"Yes")</f>
        <v>Yes</v>
      </c>
      <c r="AG340" s="5" t="str">
        <f>IFERROR(__xludf.DUMMYFUNCTION("""COMPUTED_VALUE"""),"Yes")</f>
        <v>Yes</v>
      </c>
      <c r="AH340" s="5" t="str">
        <f>IFERROR(__xludf.DUMMYFUNCTION("""COMPUTED_VALUE"""),"Yes")</f>
        <v>Yes</v>
      </c>
      <c r="AI340" s="5" t="str">
        <f>IFERROR(__xludf.DUMMYFUNCTION("""COMPUTED_VALUE"""),"No")</f>
        <v>No</v>
      </c>
      <c r="AJ340" s="5" t="str">
        <f>IFERROR(__xludf.DUMMYFUNCTION("""COMPUTED_VALUE"""),"No")</f>
        <v>No</v>
      </c>
      <c r="AK340" s="5" t="str">
        <f>IFERROR(__xludf.DUMMYFUNCTION("""COMPUTED_VALUE"""),"No")</f>
        <v>No</v>
      </c>
      <c r="AL340" s="5" t="str">
        <f>IFERROR(__xludf.DUMMYFUNCTION("""COMPUTED_VALUE"""),"No")</f>
        <v>No</v>
      </c>
      <c r="AM340" s="5"/>
      <c r="AN340" s="5"/>
      <c r="AO340" s="5"/>
      <c r="AP340" s="5"/>
      <c r="AQ340" s="5"/>
      <c r="AR340" s="5"/>
      <c r="AS340" s="5"/>
      <c r="AT340" s="5"/>
      <c r="AU340" s="5"/>
      <c r="AV340" s="5"/>
      <c r="AW340" s="5"/>
      <c r="AX340" s="5"/>
      <c r="AY340" s="5"/>
    </row>
    <row r="341">
      <c r="A3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1" s="5">
        <f>IFERROR(__xludf.DUMMYFUNCTION("""COMPUTED_VALUE"""),345.0)</f>
        <v>345</v>
      </c>
      <c r="C341" s="5">
        <f>IFERROR(__xludf.DUMMYFUNCTION("""COMPUTED_VALUE"""),2005.0)</f>
        <v>2005</v>
      </c>
      <c r="D341" s="5" t="str">
        <f>IFERROR(__xludf.DUMMYFUNCTION("""COMPUTED_VALUE"""),"FruityForce40")</f>
        <v>FruityForce40</v>
      </c>
      <c r="E341" s="5" t="str">
        <f>IFERROR(__xludf.DUMMYFUNCTION("""COMPUTED_VALUE"""),"Yes")</f>
        <v>Yes</v>
      </c>
      <c r="F341" s="5" t="str">
        <f>IFERROR(__xludf.DUMMYFUNCTION("""COMPUTED_VALUE"""),"Yes")</f>
        <v>Yes</v>
      </c>
      <c r="G341" s="5" t="str">
        <f>IFERROR(__xludf.DUMMYFUNCTION("""COMPUTED_VALUE"""),"Yes")</f>
        <v>Yes</v>
      </c>
      <c r="H341" s="5" t="str">
        <f>IFERROR(__xludf.DUMMYFUNCTION("""COMPUTED_VALUE"""),"Yes")</f>
        <v>Yes</v>
      </c>
      <c r="I341" s="5" t="str">
        <f>IFERROR(__xludf.DUMMYFUNCTION("""COMPUTED_VALUE"""),"Yes")</f>
        <v>Yes</v>
      </c>
      <c r="J341" s="5" t="str">
        <f>IFERROR(__xludf.DUMMYFUNCTION("""COMPUTED_VALUE"""),"Yes")</f>
        <v>Yes</v>
      </c>
      <c r="K341" s="5" t="str">
        <f>IFERROR(__xludf.DUMMYFUNCTION("""COMPUTED_VALUE"""),"Yes")</f>
        <v>Yes</v>
      </c>
      <c r="L341" s="5" t="str">
        <f>IFERROR(__xludf.DUMMYFUNCTION("""COMPUTED_VALUE"""),"Yes")</f>
        <v>Yes</v>
      </c>
      <c r="M341" s="5" t="str">
        <f>IFERROR(__xludf.DUMMYFUNCTION("""COMPUTED_VALUE"""),"Yes")</f>
        <v>Yes</v>
      </c>
      <c r="N341" s="5" t="str">
        <f>IFERROR(__xludf.DUMMYFUNCTION("""COMPUTED_VALUE"""),"Yes")</f>
        <v>Yes</v>
      </c>
      <c r="O341" s="5" t="str">
        <f>IFERROR(__xludf.DUMMYFUNCTION("""COMPUTED_VALUE"""),"Yes")</f>
        <v>Yes</v>
      </c>
      <c r="P341" s="5" t="str">
        <f>IFERROR(__xludf.DUMMYFUNCTION("""COMPUTED_VALUE"""),"Yes")</f>
        <v>Yes</v>
      </c>
      <c r="Q341" s="5" t="str">
        <f>IFERROR(__xludf.DUMMYFUNCTION("""COMPUTED_VALUE"""),"Yes")</f>
        <v>Yes</v>
      </c>
      <c r="R341" s="5" t="str">
        <f>IFERROR(__xludf.DUMMYFUNCTION("""COMPUTED_VALUE"""),"Yes")</f>
        <v>Yes</v>
      </c>
      <c r="S341" s="5" t="str">
        <f>IFERROR(__xludf.DUMMYFUNCTION("""COMPUTED_VALUE"""),"Yes")</f>
        <v>Yes</v>
      </c>
      <c r="T341" s="5" t="str">
        <f>IFERROR(__xludf.DUMMYFUNCTION("""COMPUTED_VALUE"""),"Yes")</f>
        <v>Yes</v>
      </c>
      <c r="U341" s="5" t="str">
        <f>IFERROR(__xludf.DUMMYFUNCTION("""COMPUTED_VALUE"""),"Yes")</f>
        <v>Yes</v>
      </c>
      <c r="V341" s="5" t="str">
        <f>IFERROR(__xludf.DUMMYFUNCTION("""COMPUTED_VALUE"""),"Yes")</f>
        <v>Yes</v>
      </c>
      <c r="W341" s="5" t="str">
        <f>IFERROR(__xludf.DUMMYFUNCTION("""COMPUTED_VALUE"""),"Yes")</f>
        <v>Yes</v>
      </c>
      <c r="X341" s="5" t="str">
        <f>IFERROR(__xludf.DUMMYFUNCTION("""COMPUTED_VALUE"""),"Yes")</f>
        <v>Yes</v>
      </c>
      <c r="Y341" s="5" t="str">
        <f>IFERROR(__xludf.DUMMYFUNCTION("""COMPUTED_VALUE"""),"Yes")</f>
        <v>Yes</v>
      </c>
      <c r="Z341" s="5" t="str">
        <f>IFERROR(__xludf.DUMMYFUNCTION("""COMPUTED_VALUE"""),"Yes")</f>
        <v>Yes</v>
      </c>
      <c r="AA341" s="5" t="str">
        <f>IFERROR(__xludf.DUMMYFUNCTION("""COMPUTED_VALUE"""),"Yes")</f>
        <v>Yes</v>
      </c>
      <c r="AB341" s="5" t="str">
        <f>IFERROR(__xludf.DUMMYFUNCTION("""COMPUTED_VALUE"""),"Yes")</f>
        <v>Yes</v>
      </c>
      <c r="AC341" s="5" t="str">
        <f>IFERROR(__xludf.DUMMYFUNCTION("""COMPUTED_VALUE"""),"Yes")</f>
        <v>Yes</v>
      </c>
      <c r="AD341" s="5" t="str">
        <f>IFERROR(__xludf.DUMMYFUNCTION("""COMPUTED_VALUE"""),"Yes")</f>
        <v>Yes</v>
      </c>
      <c r="AE341" s="5" t="str">
        <f>IFERROR(__xludf.DUMMYFUNCTION("""COMPUTED_VALUE"""),"Yes")</f>
        <v>Yes</v>
      </c>
      <c r="AF341" s="5" t="str">
        <f>IFERROR(__xludf.DUMMYFUNCTION("""COMPUTED_VALUE"""),"Yes")</f>
        <v>Yes</v>
      </c>
      <c r="AG341" s="5" t="str">
        <f>IFERROR(__xludf.DUMMYFUNCTION("""COMPUTED_VALUE"""),"Yes")</f>
        <v>Yes</v>
      </c>
      <c r="AH341" s="5" t="str">
        <f>IFERROR(__xludf.DUMMYFUNCTION("""COMPUTED_VALUE"""),"Yes")</f>
        <v>Yes</v>
      </c>
      <c r="AI341" s="5" t="str">
        <f>IFERROR(__xludf.DUMMYFUNCTION("""COMPUTED_VALUE"""),"No")</f>
        <v>No</v>
      </c>
      <c r="AJ341" s="5" t="str">
        <f>IFERROR(__xludf.DUMMYFUNCTION("""COMPUTED_VALUE"""),"No")</f>
        <v>No</v>
      </c>
      <c r="AK341" s="5" t="str">
        <f>IFERROR(__xludf.DUMMYFUNCTION("""COMPUTED_VALUE"""),"No")</f>
        <v>No</v>
      </c>
      <c r="AL341" s="5" t="str">
        <f>IFERROR(__xludf.DUMMYFUNCTION("""COMPUTED_VALUE"""),"No")</f>
        <v>No</v>
      </c>
      <c r="AM341" s="5"/>
      <c r="AN341" s="5"/>
      <c r="AO341" s="5"/>
      <c r="AP341" s="5"/>
      <c r="AQ341" s="5"/>
      <c r="AR341" s="5"/>
      <c r="AS341" s="5"/>
      <c r="AT341" s="5"/>
      <c r="AU341" s="5"/>
      <c r="AV341" s="5"/>
      <c r="AW341" s="5"/>
      <c r="AX341" s="5"/>
      <c r="AY341" s="5"/>
    </row>
    <row r="342">
      <c r="A3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2" s="5">
        <f>IFERROR(__xludf.DUMMYFUNCTION("""COMPUTED_VALUE"""),346.0)</f>
        <v>346</v>
      </c>
      <c r="C342" s="5">
        <f>IFERROR(__xludf.DUMMYFUNCTION("""COMPUTED_VALUE"""),2004.0)</f>
        <v>2004</v>
      </c>
      <c r="D342" s="5" t="str">
        <f>IFERROR(__xludf.DUMMYFUNCTION("""COMPUTED_VALUE"""),"BonusCrown")</f>
        <v>BonusCrown</v>
      </c>
      <c r="E342" s="5" t="str">
        <f>IFERROR(__xludf.DUMMYFUNCTION("""COMPUTED_VALUE"""),"Yes")</f>
        <v>Yes</v>
      </c>
      <c r="F342" s="5" t="str">
        <f>IFERROR(__xludf.DUMMYFUNCTION("""COMPUTED_VALUE"""),"Yes")</f>
        <v>Yes</v>
      </c>
      <c r="G342" s="5" t="str">
        <f>IFERROR(__xludf.DUMMYFUNCTION("""COMPUTED_VALUE"""),"Yes")</f>
        <v>Yes</v>
      </c>
      <c r="H342" s="5" t="str">
        <f>IFERROR(__xludf.DUMMYFUNCTION("""COMPUTED_VALUE"""),"Yes")</f>
        <v>Yes</v>
      </c>
      <c r="I342" s="5" t="str">
        <f>IFERROR(__xludf.DUMMYFUNCTION("""COMPUTED_VALUE"""),"Yes")</f>
        <v>Yes</v>
      </c>
      <c r="J342" s="5" t="str">
        <f>IFERROR(__xludf.DUMMYFUNCTION("""COMPUTED_VALUE"""),"Yes")</f>
        <v>Yes</v>
      </c>
      <c r="K342" s="5" t="str">
        <f>IFERROR(__xludf.DUMMYFUNCTION("""COMPUTED_VALUE"""),"Yes")</f>
        <v>Yes</v>
      </c>
      <c r="L342" s="5" t="str">
        <f>IFERROR(__xludf.DUMMYFUNCTION("""COMPUTED_VALUE"""),"Yes")</f>
        <v>Yes</v>
      </c>
      <c r="M342" s="5" t="str">
        <f>IFERROR(__xludf.DUMMYFUNCTION("""COMPUTED_VALUE"""),"Yes")</f>
        <v>Yes</v>
      </c>
      <c r="N342" s="5" t="str">
        <f>IFERROR(__xludf.DUMMYFUNCTION("""COMPUTED_VALUE"""),"Yes")</f>
        <v>Yes</v>
      </c>
      <c r="O342" s="5" t="str">
        <f>IFERROR(__xludf.DUMMYFUNCTION("""COMPUTED_VALUE"""),"Yes")</f>
        <v>Yes</v>
      </c>
      <c r="P342" s="5" t="str">
        <f>IFERROR(__xludf.DUMMYFUNCTION("""COMPUTED_VALUE"""),"Yes")</f>
        <v>Yes</v>
      </c>
      <c r="Q342" s="5" t="str">
        <f>IFERROR(__xludf.DUMMYFUNCTION("""COMPUTED_VALUE"""),"Yes")</f>
        <v>Yes</v>
      </c>
      <c r="R342" s="5" t="str">
        <f>IFERROR(__xludf.DUMMYFUNCTION("""COMPUTED_VALUE"""),"Yes")</f>
        <v>Yes</v>
      </c>
      <c r="S342" s="5" t="str">
        <f>IFERROR(__xludf.DUMMYFUNCTION("""COMPUTED_VALUE"""),"Yes")</f>
        <v>Yes</v>
      </c>
      <c r="T342" s="5" t="str">
        <f>IFERROR(__xludf.DUMMYFUNCTION("""COMPUTED_VALUE"""),"Yes")</f>
        <v>Yes</v>
      </c>
      <c r="U342" s="5" t="str">
        <f>IFERROR(__xludf.DUMMYFUNCTION("""COMPUTED_VALUE"""),"Yes")</f>
        <v>Yes</v>
      </c>
      <c r="V342" s="5" t="str">
        <f>IFERROR(__xludf.DUMMYFUNCTION("""COMPUTED_VALUE"""),"Yes")</f>
        <v>Yes</v>
      </c>
      <c r="W342" s="5" t="str">
        <f>IFERROR(__xludf.DUMMYFUNCTION("""COMPUTED_VALUE"""),"Yes")</f>
        <v>Yes</v>
      </c>
      <c r="X342" s="5" t="str">
        <f>IFERROR(__xludf.DUMMYFUNCTION("""COMPUTED_VALUE"""),"Yes")</f>
        <v>Yes</v>
      </c>
      <c r="Y342" s="5" t="str">
        <f>IFERROR(__xludf.DUMMYFUNCTION("""COMPUTED_VALUE"""),"Yes")</f>
        <v>Yes</v>
      </c>
      <c r="Z342" s="5" t="str">
        <f>IFERROR(__xludf.DUMMYFUNCTION("""COMPUTED_VALUE"""),"Yes")</f>
        <v>Yes</v>
      </c>
      <c r="AA342" s="5" t="str">
        <f>IFERROR(__xludf.DUMMYFUNCTION("""COMPUTED_VALUE"""),"Yes")</f>
        <v>Yes</v>
      </c>
      <c r="AB342" s="5" t="str">
        <f>IFERROR(__xludf.DUMMYFUNCTION("""COMPUTED_VALUE"""),"Yes")</f>
        <v>Yes</v>
      </c>
      <c r="AC342" s="5" t="str">
        <f>IFERROR(__xludf.DUMMYFUNCTION("""COMPUTED_VALUE"""),"Yes")</f>
        <v>Yes</v>
      </c>
      <c r="AD342" s="5" t="str">
        <f>IFERROR(__xludf.DUMMYFUNCTION("""COMPUTED_VALUE"""),"Yes")</f>
        <v>Yes</v>
      </c>
      <c r="AE342" s="5" t="str">
        <f>IFERROR(__xludf.DUMMYFUNCTION("""COMPUTED_VALUE"""),"Yes")</f>
        <v>Yes</v>
      </c>
      <c r="AF342" s="5" t="str">
        <f>IFERROR(__xludf.DUMMYFUNCTION("""COMPUTED_VALUE"""),"Yes")</f>
        <v>Yes</v>
      </c>
      <c r="AG342" s="5" t="str">
        <f>IFERROR(__xludf.DUMMYFUNCTION("""COMPUTED_VALUE"""),"Yes")</f>
        <v>Yes</v>
      </c>
      <c r="AH342" s="5" t="str">
        <f>IFERROR(__xludf.DUMMYFUNCTION("""COMPUTED_VALUE"""),"Yes")</f>
        <v>Yes</v>
      </c>
      <c r="AI342" s="5" t="str">
        <f>IFERROR(__xludf.DUMMYFUNCTION("""COMPUTED_VALUE"""),"No")</f>
        <v>No</v>
      </c>
      <c r="AJ342" s="5" t="str">
        <f>IFERROR(__xludf.DUMMYFUNCTION("""COMPUTED_VALUE"""),"No")</f>
        <v>No</v>
      </c>
      <c r="AK342" s="5" t="str">
        <f>IFERROR(__xludf.DUMMYFUNCTION("""COMPUTED_VALUE"""),"No")</f>
        <v>No</v>
      </c>
      <c r="AL342" s="5" t="str">
        <f>IFERROR(__xludf.DUMMYFUNCTION("""COMPUTED_VALUE"""),"No")</f>
        <v>No</v>
      </c>
      <c r="AM342" s="5"/>
      <c r="AN342" s="5"/>
      <c r="AO342" s="5"/>
      <c r="AP342" s="5"/>
      <c r="AQ342" s="5"/>
      <c r="AR342" s="5"/>
      <c r="AS342" s="5"/>
      <c r="AT342" s="5"/>
      <c r="AU342" s="5"/>
      <c r="AV342" s="5"/>
      <c r="AW342" s="5"/>
      <c r="AX342" s="5"/>
      <c r="AY342" s="5"/>
    </row>
    <row r="343">
      <c r="A3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3" s="5">
        <f>IFERROR(__xludf.DUMMYFUNCTION("""COMPUTED_VALUE"""),347.0)</f>
        <v>347</v>
      </c>
      <c r="C343" s="5">
        <f>IFERROR(__xludf.DUMMYFUNCTION("""COMPUTED_VALUE"""),2006.0)</f>
        <v>2006</v>
      </c>
      <c r="D343" s="5" t="str">
        <f>IFERROR(__xludf.DUMMYFUNCTION("""COMPUTED_VALUE"""),"AquaFlame")</f>
        <v>AquaFlame</v>
      </c>
      <c r="E343" s="5" t="str">
        <f>IFERROR(__xludf.DUMMYFUNCTION("""COMPUTED_VALUE"""),"Yes")</f>
        <v>Yes</v>
      </c>
      <c r="F343" s="5" t="str">
        <f>IFERROR(__xludf.DUMMYFUNCTION("""COMPUTED_VALUE"""),"Yes")</f>
        <v>Yes</v>
      </c>
      <c r="G343" s="5" t="str">
        <f>IFERROR(__xludf.DUMMYFUNCTION("""COMPUTED_VALUE"""),"Yes")</f>
        <v>Yes</v>
      </c>
      <c r="H343" s="5" t="str">
        <f>IFERROR(__xludf.DUMMYFUNCTION("""COMPUTED_VALUE"""),"Yes")</f>
        <v>Yes</v>
      </c>
      <c r="I343" s="5" t="str">
        <f>IFERROR(__xludf.DUMMYFUNCTION("""COMPUTED_VALUE"""),"Yes")</f>
        <v>Yes</v>
      </c>
      <c r="J343" s="5" t="str">
        <f>IFERROR(__xludf.DUMMYFUNCTION("""COMPUTED_VALUE"""),"Yes")</f>
        <v>Yes</v>
      </c>
      <c r="K343" s="5" t="str">
        <f>IFERROR(__xludf.DUMMYFUNCTION("""COMPUTED_VALUE"""),"Yes")</f>
        <v>Yes</v>
      </c>
      <c r="L343" s="5" t="str">
        <f>IFERROR(__xludf.DUMMYFUNCTION("""COMPUTED_VALUE"""),"Yes")</f>
        <v>Yes</v>
      </c>
      <c r="M343" s="5" t="str">
        <f>IFERROR(__xludf.DUMMYFUNCTION("""COMPUTED_VALUE"""),"Yes")</f>
        <v>Yes</v>
      </c>
      <c r="N343" s="5" t="str">
        <f>IFERROR(__xludf.DUMMYFUNCTION("""COMPUTED_VALUE"""),"Yes")</f>
        <v>Yes</v>
      </c>
      <c r="O343" s="5" t="str">
        <f>IFERROR(__xludf.DUMMYFUNCTION("""COMPUTED_VALUE"""),"Yes")</f>
        <v>Yes</v>
      </c>
      <c r="P343" s="5" t="str">
        <f>IFERROR(__xludf.DUMMYFUNCTION("""COMPUTED_VALUE"""),"Yes")</f>
        <v>Yes</v>
      </c>
      <c r="Q343" s="5" t="str">
        <f>IFERROR(__xludf.DUMMYFUNCTION("""COMPUTED_VALUE"""),"Yes")</f>
        <v>Yes</v>
      </c>
      <c r="R343" s="5" t="str">
        <f>IFERROR(__xludf.DUMMYFUNCTION("""COMPUTED_VALUE"""),"Yes")</f>
        <v>Yes</v>
      </c>
      <c r="S343" s="5" t="str">
        <f>IFERROR(__xludf.DUMMYFUNCTION("""COMPUTED_VALUE"""),"Yes")</f>
        <v>Yes</v>
      </c>
      <c r="T343" s="5" t="str">
        <f>IFERROR(__xludf.DUMMYFUNCTION("""COMPUTED_VALUE"""),"Yes")</f>
        <v>Yes</v>
      </c>
      <c r="U343" s="5" t="str">
        <f>IFERROR(__xludf.DUMMYFUNCTION("""COMPUTED_VALUE"""),"Yes")</f>
        <v>Yes</v>
      </c>
      <c r="V343" s="5" t="str">
        <f>IFERROR(__xludf.DUMMYFUNCTION("""COMPUTED_VALUE"""),"Yes")</f>
        <v>Yes</v>
      </c>
      <c r="W343" s="5" t="str">
        <f>IFERROR(__xludf.DUMMYFUNCTION("""COMPUTED_VALUE"""),"Yes")</f>
        <v>Yes</v>
      </c>
      <c r="X343" s="5" t="str">
        <f>IFERROR(__xludf.DUMMYFUNCTION("""COMPUTED_VALUE"""),"Yes")</f>
        <v>Yes</v>
      </c>
      <c r="Y343" s="5" t="str">
        <f>IFERROR(__xludf.DUMMYFUNCTION("""COMPUTED_VALUE"""),"Yes")</f>
        <v>Yes</v>
      </c>
      <c r="Z343" s="5" t="str">
        <f>IFERROR(__xludf.DUMMYFUNCTION("""COMPUTED_VALUE"""),"Yes")</f>
        <v>Yes</v>
      </c>
      <c r="AA343" s="5" t="str">
        <f>IFERROR(__xludf.DUMMYFUNCTION("""COMPUTED_VALUE"""),"Yes")</f>
        <v>Yes</v>
      </c>
      <c r="AB343" s="5" t="str">
        <f>IFERROR(__xludf.DUMMYFUNCTION("""COMPUTED_VALUE"""),"Yes")</f>
        <v>Yes</v>
      </c>
      <c r="AC343" s="5" t="str">
        <f>IFERROR(__xludf.DUMMYFUNCTION("""COMPUTED_VALUE"""),"Yes")</f>
        <v>Yes</v>
      </c>
      <c r="AD343" s="5" t="str">
        <f>IFERROR(__xludf.DUMMYFUNCTION("""COMPUTED_VALUE"""),"Yes")</f>
        <v>Yes</v>
      </c>
      <c r="AE343" s="5" t="str">
        <f>IFERROR(__xludf.DUMMYFUNCTION("""COMPUTED_VALUE"""),"Yes")</f>
        <v>Yes</v>
      </c>
      <c r="AF343" s="5" t="str">
        <f>IFERROR(__xludf.DUMMYFUNCTION("""COMPUTED_VALUE"""),"Yes")</f>
        <v>Yes</v>
      </c>
      <c r="AG343" s="5" t="str">
        <f>IFERROR(__xludf.DUMMYFUNCTION("""COMPUTED_VALUE"""),"Yes")</f>
        <v>Yes</v>
      </c>
      <c r="AH343" s="5" t="str">
        <f>IFERROR(__xludf.DUMMYFUNCTION("""COMPUTED_VALUE"""),"Yes")</f>
        <v>Yes</v>
      </c>
      <c r="AI343" s="5" t="str">
        <f>IFERROR(__xludf.DUMMYFUNCTION("""COMPUTED_VALUE"""),"No")</f>
        <v>No</v>
      </c>
      <c r="AJ343" s="5" t="str">
        <f>IFERROR(__xludf.DUMMYFUNCTION("""COMPUTED_VALUE"""),"No")</f>
        <v>No</v>
      </c>
      <c r="AK343" s="5" t="str">
        <f>IFERROR(__xludf.DUMMYFUNCTION("""COMPUTED_VALUE"""),"No")</f>
        <v>No</v>
      </c>
      <c r="AL343" s="5" t="str">
        <f>IFERROR(__xludf.DUMMYFUNCTION("""COMPUTED_VALUE"""),"No")</f>
        <v>No</v>
      </c>
      <c r="AM343" s="5"/>
      <c r="AN343" s="5"/>
      <c r="AO343" s="5"/>
      <c r="AP343" s="5"/>
      <c r="AQ343" s="5"/>
      <c r="AR343" s="5"/>
      <c r="AS343" s="5"/>
      <c r="AT343" s="5"/>
      <c r="AU343" s="5"/>
      <c r="AV343" s="5"/>
      <c r="AW343" s="5"/>
      <c r="AX343" s="5"/>
      <c r="AY343" s="5"/>
    </row>
    <row r="344">
      <c r="A3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4" s="5">
        <f>IFERROR(__xludf.DUMMYFUNCTION("""COMPUTED_VALUE"""),348.0)</f>
        <v>348</v>
      </c>
      <c r="C344" s="5">
        <f>IFERROR(__xludf.DUMMYFUNCTION("""COMPUTED_VALUE"""),1004.0)</f>
        <v>1004</v>
      </c>
      <c r="D344" s="5" t="str">
        <f>IFERROR(__xludf.DUMMYFUNCTION("""COMPUTED_VALUE"""),"CrownOfSecret")</f>
        <v>CrownOfSecret</v>
      </c>
      <c r="E344" s="5" t="str">
        <f>IFERROR(__xludf.DUMMYFUNCTION("""COMPUTED_VALUE"""),"Yes")</f>
        <v>Yes</v>
      </c>
      <c r="F344" s="5" t="str">
        <f>IFERROR(__xludf.DUMMYFUNCTION("""COMPUTED_VALUE"""),"Yes")</f>
        <v>Yes</v>
      </c>
      <c r="G344" s="5" t="str">
        <f>IFERROR(__xludf.DUMMYFUNCTION("""COMPUTED_VALUE"""),"Yes")</f>
        <v>Yes</v>
      </c>
      <c r="H344" s="5" t="str">
        <f>IFERROR(__xludf.DUMMYFUNCTION("""COMPUTED_VALUE"""),"Yes")</f>
        <v>Yes</v>
      </c>
      <c r="I344" s="5" t="str">
        <f>IFERROR(__xludf.DUMMYFUNCTION("""COMPUTED_VALUE"""),"Yes")</f>
        <v>Yes</v>
      </c>
      <c r="J344" s="5" t="str">
        <f>IFERROR(__xludf.DUMMYFUNCTION("""COMPUTED_VALUE"""),"Yes")</f>
        <v>Yes</v>
      </c>
      <c r="K344" s="5" t="str">
        <f>IFERROR(__xludf.DUMMYFUNCTION("""COMPUTED_VALUE"""),"Yes")</f>
        <v>Yes</v>
      </c>
      <c r="L344" s="5" t="str">
        <f>IFERROR(__xludf.DUMMYFUNCTION("""COMPUTED_VALUE"""),"Yes")</f>
        <v>Yes</v>
      </c>
      <c r="M344" s="5" t="str">
        <f>IFERROR(__xludf.DUMMYFUNCTION("""COMPUTED_VALUE"""),"Yes")</f>
        <v>Yes</v>
      </c>
      <c r="N344" s="5" t="str">
        <f>IFERROR(__xludf.DUMMYFUNCTION("""COMPUTED_VALUE"""),"Yes")</f>
        <v>Yes</v>
      </c>
      <c r="O344" s="5" t="str">
        <f>IFERROR(__xludf.DUMMYFUNCTION("""COMPUTED_VALUE"""),"Yes")</f>
        <v>Yes</v>
      </c>
      <c r="P344" s="5" t="str">
        <f>IFERROR(__xludf.DUMMYFUNCTION("""COMPUTED_VALUE"""),"Yes")</f>
        <v>Yes</v>
      </c>
      <c r="Q344" s="5" t="str">
        <f>IFERROR(__xludf.DUMMYFUNCTION("""COMPUTED_VALUE"""),"Yes")</f>
        <v>Yes</v>
      </c>
      <c r="R344" s="5" t="str">
        <f>IFERROR(__xludf.DUMMYFUNCTION("""COMPUTED_VALUE"""),"Yes")</f>
        <v>Yes</v>
      </c>
      <c r="S344" s="5" t="str">
        <f>IFERROR(__xludf.DUMMYFUNCTION("""COMPUTED_VALUE"""),"Yes")</f>
        <v>Yes</v>
      </c>
      <c r="T344" s="5" t="str">
        <f>IFERROR(__xludf.DUMMYFUNCTION("""COMPUTED_VALUE"""),"Yes")</f>
        <v>Yes</v>
      </c>
      <c r="U344" s="5" t="str">
        <f>IFERROR(__xludf.DUMMYFUNCTION("""COMPUTED_VALUE"""),"Yes")</f>
        <v>Yes</v>
      </c>
      <c r="V344" s="5" t="str">
        <f>IFERROR(__xludf.DUMMYFUNCTION("""COMPUTED_VALUE"""),"Yes")</f>
        <v>Yes</v>
      </c>
      <c r="W344" s="5" t="str">
        <f>IFERROR(__xludf.DUMMYFUNCTION("""COMPUTED_VALUE"""),"Yes")</f>
        <v>Yes</v>
      </c>
      <c r="X344" s="5" t="str">
        <f>IFERROR(__xludf.DUMMYFUNCTION("""COMPUTED_VALUE"""),"Yes")</f>
        <v>Yes</v>
      </c>
      <c r="Y344" s="5" t="str">
        <f>IFERROR(__xludf.DUMMYFUNCTION("""COMPUTED_VALUE"""),"Yes")</f>
        <v>Yes</v>
      </c>
      <c r="Z344" s="5" t="str">
        <f>IFERROR(__xludf.DUMMYFUNCTION("""COMPUTED_VALUE"""),"Yes")</f>
        <v>Yes</v>
      </c>
      <c r="AA344" s="5" t="str">
        <f>IFERROR(__xludf.DUMMYFUNCTION("""COMPUTED_VALUE"""),"Yes")</f>
        <v>Yes</v>
      </c>
      <c r="AB344" s="5" t="str">
        <f>IFERROR(__xludf.DUMMYFUNCTION("""COMPUTED_VALUE"""),"Yes")</f>
        <v>Yes</v>
      </c>
      <c r="AC344" s="5" t="str">
        <f>IFERROR(__xludf.DUMMYFUNCTION("""COMPUTED_VALUE"""),"Yes")</f>
        <v>Yes</v>
      </c>
      <c r="AD344" s="5" t="str">
        <f>IFERROR(__xludf.DUMMYFUNCTION("""COMPUTED_VALUE"""),"Yes")</f>
        <v>Yes</v>
      </c>
      <c r="AE344" s="5" t="str">
        <f>IFERROR(__xludf.DUMMYFUNCTION("""COMPUTED_VALUE"""),"Yes")</f>
        <v>Yes</v>
      </c>
      <c r="AF344" s="5" t="str">
        <f>IFERROR(__xludf.DUMMYFUNCTION("""COMPUTED_VALUE"""),"Yes")</f>
        <v>Yes</v>
      </c>
      <c r="AG344" s="5" t="str">
        <f>IFERROR(__xludf.DUMMYFUNCTION("""COMPUTED_VALUE"""),"Yes")</f>
        <v>Yes</v>
      </c>
      <c r="AH344" s="5" t="str">
        <f>IFERROR(__xludf.DUMMYFUNCTION("""COMPUTED_VALUE"""),"Yes")</f>
        <v>Yes</v>
      </c>
      <c r="AI344" s="5" t="str">
        <f>IFERROR(__xludf.DUMMYFUNCTION("""COMPUTED_VALUE"""),"No")</f>
        <v>No</v>
      </c>
      <c r="AJ344" s="5" t="str">
        <f>IFERROR(__xludf.DUMMYFUNCTION("""COMPUTED_VALUE"""),"No")</f>
        <v>No</v>
      </c>
      <c r="AK344" s="5" t="str">
        <f>IFERROR(__xludf.DUMMYFUNCTION("""COMPUTED_VALUE"""),"No")</f>
        <v>No</v>
      </c>
      <c r="AL344" s="5" t="str">
        <f>IFERROR(__xludf.DUMMYFUNCTION("""COMPUTED_VALUE"""),"No")</f>
        <v>No</v>
      </c>
      <c r="AM344" s="5"/>
      <c r="AN344" s="5"/>
      <c r="AO344" s="5"/>
      <c r="AP344" s="5"/>
      <c r="AQ344" s="5"/>
      <c r="AR344" s="5"/>
      <c r="AS344" s="5"/>
      <c r="AT344" s="5"/>
      <c r="AU344" s="5"/>
      <c r="AV344" s="5"/>
      <c r="AW344" s="5"/>
      <c r="AX344" s="5"/>
      <c r="AY344" s="5"/>
    </row>
    <row r="345">
      <c r="A3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5" s="5">
        <f>IFERROR(__xludf.DUMMYFUNCTION("""COMPUTED_VALUE"""),349.0)</f>
        <v>349</v>
      </c>
      <c r="C345" s="5">
        <f>IFERROR(__xludf.DUMMYFUNCTION("""COMPUTED_VALUE"""),1002.0)</f>
        <v>1002</v>
      </c>
      <c r="D345" s="5" t="str">
        <f>IFERROR(__xludf.DUMMYFUNCTION("""COMPUTED_VALUE"""),"VeryHot40Extreme")</f>
        <v>VeryHot40Extreme</v>
      </c>
      <c r="E345" s="5" t="str">
        <f>IFERROR(__xludf.DUMMYFUNCTION("""COMPUTED_VALUE"""),"Yes")</f>
        <v>Yes</v>
      </c>
      <c r="F345" s="5" t="str">
        <f>IFERROR(__xludf.DUMMYFUNCTION("""COMPUTED_VALUE"""),"Yes")</f>
        <v>Yes</v>
      </c>
      <c r="G345" s="5" t="str">
        <f>IFERROR(__xludf.DUMMYFUNCTION("""COMPUTED_VALUE"""),"Yes")</f>
        <v>Yes</v>
      </c>
      <c r="H345" s="5" t="str">
        <f>IFERROR(__xludf.DUMMYFUNCTION("""COMPUTED_VALUE"""),"Yes")</f>
        <v>Yes</v>
      </c>
      <c r="I345" s="5" t="str">
        <f>IFERROR(__xludf.DUMMYFUNCTION("""COMPUTED_VALUE"""),"Yes")</f>
        <v>Yes</v>
      </c>
      <c r="J345" s="5" t="str">
        <f>IFERROR(__xludf.DUMMYFUNCTION("""COMPUTED_VALUE"""),"Yes")</f>
        <v>Yes</v>
      </c>
      <c r="K345" s="5" t="str">
        <f>IFERROR(__xludf.DUMMYFUNCTION("""COMPUTED_VALUE"""),"Yes")</f>
        <v>Yes</v>
      </c>
      <c r="L345" s="5" t="str">
        <f>IFERROR(__xludf.DUMMYFUNCTION("""COMPUTED_VALUE"""),"Yes")</f>
        <v>Yes</v>
      </c>
      <c r="M345" s="5" t="str">
        <f>IFERROR(__xludf.DUMMYFUNCTION("""COMPUTED_VALUE"""),"Yes")</f>
        <v>Yes</v>
      </c>
      <c r="N345" s="5" t="str">
        <f>IFERROR(__xludf.DUMMYFUNCTION("""COMPUTED_VALUE"""),"Yes")</f>
        <v>Yes</v>
      </c>
      <c r="O345" s="5" t="str">
        <f>IFERROR(__xludf.DUMMYFUNCTION("""COMPUTED_VALUE"""),"Yes")</f>
        <v>Yes</v>
      </c>
      <c r="P345" s="5" t="str">
        <f>IFERROR(__xludf.DUMMYFUNCTION("""COMPUTED_VALUE"""),"Yes")</f>
        <v>Yes</v>
      </c>
      <c r="Q345" s="5" t="str">
        <f>IFERROR(__xludf.DUMMYFUNCTION("""COMPUTED_VALUE"""),"Yes")</f>
        <v>Yes</v>
      </c>
      <c r="R345" s="5" t="str">
        <f>IFERROR(__xludf.DUMMYFUNCTION("""COMPUTED_VALUE"""),"Yes")</f>
        <v>Yes</v>
      </c>
      <c r="S345" s="5" t="str">
        <f>IFERROR(__xludf.DUMMYFUNCTION("""COMPUTED_VALUE"""),"Yes")</f>
        <v>Yes</v>
      </c>
      <c r="T345" s="5" t="str">
        <f>IFERROR(__xludf.DUMMYFUNCTION("""COMPUTED_VALUE"""),"Yes")</f>
        <v>Yes</v>
      </c>
      <c r="U345" s="5" t="str">
        <f>IFERROR(__xludf.DUMMYFUNCTION("""COMPUTED_VALUE"""),"Yes")</f>
        <v>Yes</v>
      </c>
      <c r="V345" s="5" t="str">
        <f>IFERROR(__xludf.DUMMYFUNCTION("""COMPUTED_VALUE"""),"Yes")</f>
        <v>Yes</v>
      </c>
      <c r="W345" s="5" t="str">
        <f>IFERROR(__xludf.DUMMYFUNCTION("""COMPUTED_VALUE"""),"Yes")</f>
        <v>Yes</v>
      </c>
      <c r="X345" s="5" t="str">
        <f>IFERROR(__xludf.DUMMYFUNCTION("""COMPUTED_VALUE"""),"Yes")</f>
        <v>Yes</v>
      </c>
      <c r="Y345" s="5" t="str">
        <f>IFERROR(__xludf.DUMMYFUNCTION("""COMPUTED_VALUE"""),"Yes")</f>
        <v>Yes</v>
      </c>
      <c r="Z345" s="5" t="str">
        <f>IFERROR(__xludf.DUMMYFUNCTION("""COMPUTED_VALUE"""),"Yes")</f>
        <v>Yes</v>
      </c>
      <c r="AA345" s="5" t="str">
        <f>IFERROR(__xludf.DUMMYFUNCTION("""COMPUTED_VALUE"""),"Yes")</f>
        <v>Yes</v>
      </c>
      <c r="AB345" s="5" t="str">
        <f>IFERROR(__xludf.DUMMYFUNCTION("""COMPUTED_VALUE"""),"Yes")</f>
        <v>Yes</v>
      </c>
      <c r="AC345" s="5" t="str">
        <f>IFERROR(__xludf.DUMMYFUNCTION("""COMPUTED_VALUE"""),"Yes")</f>
        <v>Yes</v>
      </c>
      <c r="AD345" s="5" t="str">
        <f>IFERROR(__xludf.DUMMYFUNCTION("""COMPUTED_VALUE"""),"Yes")</f>
        <v>Yes</v>
      </c>
      <c r="AE345" s="5" t="str">
        <f>IFERROR(__xludf.DUMMYFUNCTION("""COMPUTED_VALUE"""),"Yes")</f>
        <v>Yes</v>
      </c>
      <c r="AF345" s="5" t="str">
        <f>IFERROR(__xludf.DUMMYFUNCTION("""COMPUTED_VALUE"""),"Yes")</f>
        <v>Yes</v>
      </c>
      <c r="AG345" s="5" t="str">
        <f>IFERROR(__xludf.DUMMYFUNCTION("""COMPUTED_VALUE"""),"Yes")</f>
        <v>Yes</v>
      </c>
      <c r="AH345" s="5" t="str">
        <f>IFERROR(__xludf.DUMMYFUNCTION("""COMPUTED_VALUE"""),"Yes")</f>
        <v>Yes</v>
      </c>
      <c r="AI345" s="5" t="str">
        <f>IFERROR(__xludf.DUMMYFUNCTION("""COMPUTED_VALUE"""),"No")</f>
        <v>No</v>
      </c>
      <c r="AJ345" s="5" t="str">
        <f>IFERROR(__xludf.DUMMYFUNCTION("""COMPUTED_VALUE"""),"No")</f>
        <v>No</v>
      </c>
      <c r="AK345" s="5" t="str">
        <f>IFERROR(__xludf.DUMMYFUNCTION("""COMPUTED_VALUE"""),"No")</f>
        <v>No</v>
      </c>
      <c r="AL345" s="5" t="str">
        <f>IFERROR(__xludf.DUMMYFUNCTION("""COMPUTED_VALUE"""),"No")</f>
        <v>No</v>
      </c>
      <c r="AM345" s="5"/>
      <c r="AN345" s="5"/>
      <c r="AO345" s="5"/>
      <c r="AP345" s="5"/>
      <c r="AQ345" s="5"/>
      <c r="AR345" s="5"/>
      <c r="AS345" s="5"/>
      <c r="AT345" s="5"/>
      <c r="AU345" s="5"/>
      <c r="AV345" s="5"/>
      <c r="AW345" s="5"/>
      <c r="AX345" s="5"/>
      <c r="AY345" s="5"/>
    </row>
    <row r="346">
      <c r="A3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6" s="5">
        <f>IFERROR(__xludf.DUMMYFUNCTION("""COMPUTED_VALUE"""),350.0)</f>
        <v>350</v>
      </c>
      <c r="C346" s="5">
        <f>IFERROR(__xludf.DUMMYFUNCTION("""COMPUTED_VALUE"""),1003.0)</f>
        <v>1003</v>
      </c>
      <c r="D346" s="5" t="str">
        <f>IFERROR(__xludf.DUMMYFUNCTION("""COMPUTED_VALUE"""),"SpecialFruits")</f>
        <v>SpecialFruits</v>
      </c>
      <c r="E346" s="5" t="str">
        <f>IFERROR(__xludf.DUMMYFUNCTION("""COMPUTED_VALUE"""),"Yes")</f>
        <v>Yes</v>
      </c>
      <c r="F346" s="5" t="str">
        <f>IFERROR(__xludf.DUMMYFUNCTION("""COMPUTED_VALUE"""),"Yes")</f>
        <v>Yes</v>
      </c>
      <c r="G346" s="5" t="str">
        <f>IFERROR(__xludf.DUMMYFUNCTION("""COMPUTED_VALUE"""),"Yes")</f>
        <v>Yes</v>
      </c>
      <c r="H346" s="5" t="str">
        <f>IFERROR(__xludf.DUMMYFUNCTION("""COMPUTED_VALUE"""),"Yes")</f>
        <v>Yes</v>
      </c>
      <c r="I346" s="5" t="str">
        <f>IFERROR(__xludf.DUMMYFUNCTION("""COMPUTED_VALUE"""),"Yes")</f>
        <v>Yes</v>
      </c>
      <c r="J346" s="5" t="str">
        <f>IFERROR(__xludf.DUMMYFUNCTION("""COMPUTED_VALUE"""),"Yes")</f>
        <v>Yes</v>
      </c>
      <c r="K346" s="5" t="str">
        <f>IFERROR(__xludf.DUMMYFUNCTION("""COMPUTED_VALUE"""),"Yes")</f>
        <v>Yes</v>
      </c>
      <c r="L346" s="5" t="str">
        <f>IFERROR(__xludf.DUMMYFUNCTION("""COMPUTED_VALUE"""),"Yes")</f>
        <v>Yes</v>
      </c>
      <c r="M346" s="5" t="str">
        <f>IFERROR(__xludf.DUMMYFUNCTION("""COMPUTED_VALUE"""),"Yes")</f>
        <v>Yes</v>
      </c>
      <c r="N346" s="5" t="str">
        <f>IFERROR(__xludf.DUMMYFUNCTION("""COMPUTED_VALUE"""),"Yes")</f>
        <v>Yes</v>
      </c>
      <c r="O346" s="5" t="str">
        <f>IFERROR(__xludf.DUMMYFUNCTION("""COMPUTED_VALUE"""),"Yes")</f>
        <v>Yes</v>
      </c>
      <c r="P346" s="5" t="str">
        <f>IFERROR(__xludf.DUMMYFUNCTION("""COMPUTED_VALUE"""),"Yes")</f>
        <v>Yes</v>
      </c>
      <c r="Q346" s="5" t="str">
        <f>IFERROR(__xludf.DUMMYFUNCTION("""COMPUTED_VALUE"""),"Yes")</f>
        <v>Yes</v>
      </c>
      <c r="R346" s="5" t="str">
        <f>IFERROR(__xludf.DUMMYFUNCTION("""COMPUTED_VALUE"""),"Yes")</f>
        <v>Yes</v>
      </c>
      <c r="S346" s="5" t="str">
        <f>IFERROR(__xludf.DUMMYFUNCTION("""COMPUTED_VALUE"""),"Yes")</f>
        <v>Yes</v>
      </c>
      <c r="T346" s="5" t="str">
        <f>IFERROR(__xludf.DUMMYFUNCTION("""COMPUTED_VALUE"""),"Yes")</f>
        <v>Yes</v>
      </c>
      <c r="U346" s="5" t="str">
        <f>IFERROR(__xludf.DUMMYFUNCTION("""COMPUTED_VALUE"""),"Yes")</f>
        <v>Yes</v>
      </c>
      <c r="V346" s="5" t="str">
        <f>IFERROR(__xludf.DUMMYFUNCTION("""COMPUTED_VALUE"""),"Yes")</f>
        <v>Yes</v>
      </c>
      <c r="W346" s="5" t="str">
        <f>IFERROR(__xludf.DUMMYFUNCTION("""COMPUTED_VALUE"""),"Yes")</f>
        <v>Yes</v>
      </c>
      <c r="X346" s="5" t="str">
        <f>IFERROR(__xludf.DUMMYFUNCTION("""COMPUTED_VALUE"""),"Yes")</f>
        <v>Yes</v>
      </c>
      <c r="Y346" s="5" t="str">
        <f>IFERROR(__xludf.DUMMYFUNCTION("""COMPUTED_VALUE"""),"Yes")</f>
        <v>Yes</v>
      </c>
      <c r="Z346" s="5" t="str">
        <f>IFERROR(__xludf.DUMMYFUNCTION("""COMPUTED_VALUE"""),"Yes")</f>
        <v>Yes</v>
      </c>
      <c r="AA346" s="5" t="str">
        <f>IFERROR(__xludf.DUMMYFUNCTION("""COMPUTED_VALUE"""),"Yes")</f>
        <v>Yes</v>
      </c>
      <c r="AB346" s="5" t="str">
        <f>IFERROR(__xludf.DUMMYFUNCTION("""COMPUTED_VALUE"""),"Yes")</f>
        <v>Yes</v>
      </c>
      <c r="AC346" s="5" t="str">
        <f>IFERROR(__xludf.DUMMYFUNCTION("""COMPUTED_VALUE"""),"Yes")</f>
        <v>Yes</v>
      </c>
      <c r="AD346" s="5" t="str">
        <f>IFERROR(__xludf.DUMMYFUNCTION("""COMPUTED_VALUE"""),"Yes")</f>
        <v>Yes</v>
      </c>
      <c r="AE346" s="5" t="str">
        <f>IFERROR(__xludf.DUMMYFUNCTION("""COMPUTED_VALUE"""),"Yes")</f>
        <v>Yes</v>
      </c>
      <c r="AF346" s="5" t="str">
        <f>IFERROR(__xludf.DUMMYFUNCTION("""COMPUTED_VALUE"""),"Yes")</f>
        <v>Yes</v>
      </c>
      <c r="AG346" s="5" t="str">
        <f>IFERROR(__xludf.DUMMYFUNCTION("""COMPUTED_VALUE"""),"Yes")</f>
        <v>Yes</v>
      </c>
      <c r="AH346" s="5" t="str">
        <f>IFERROR(__xludf.DUMMYFUNCTION("""COMPUTED_VALUE"""),"Yes")</f>
        <v>Yes</v>
      </c>
      <c r="AI346" s="5" t="str">
        <f>IFERROR(__xludf.DUMMYFUNCTION("""COMPUTED_VALUE"""),"No")</f>
        <v>No</v>
      </c>
      <c r="AJ346" s="5" t="str">
        <f>IFERROR(__xludf.DUMMYFUNCTION("""COMPUTED_VALUE"""),"No")</f>
        <v>No</v>
      </c>
      <c r="AK346" s="5" t="str">
        <f>IFERROR(__xludf.DUMMYFUNCTION("""COMPUTED_VALUE"""),"No")</f>
        <v>No</v>
      </c>
      <c r="AL346" s="5" t="str">
        <f>IFERROR(__xludf.DUMMYFUNCTION("""COMPUTED_VALUE"""),"No")</f>
        <v>No</v>
      </c>
      <c r="AM346" s="5"/>
      <c r="AN346" s="5"/>
      <c r="AO346" s="5"/>
      <c r="AP346" s="5"/>
      <c r="AQ346" s="5"/>
      <c r="AR346" s="5"/>
      <c r="AS346" s="5"/>
      <c r="AT346" s="5"/>
      <c r="AU346" s="5"/>
      <c r="AV346" s="5"/>
      <c r="AW346" s="5"/>
      <c r="AX346" s="5"/>
      <c r="AY346" s="5"/>
    </row>
    <row r="347">
      <c r="A3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7" s="5">
        <f>IFERROR(__xludf.DUMMYFUNCTION("""COMPUTED_VALUE"""),351.0)</f>
        <v>351</v>
      </c>
      <c r="C347" s="5">
        <f>IFERROR(__xludf.DUMMYFUNCTION("""COMPUTED_VALUE"""),329.0)</f>
        <v>329</v>
      </c>
      <c r="D347" s="5" t="str">
        <f>IFERROR(__xludf.DUMMYFUNCTION("""COMPUTED_VALUE"""),"TurboStars10")</f>
        <v>TurboStars10</v>
      </c>
      <c r="E347" s="5" t="str">
        <f>IFERROR(__xludf.DUMMYFUNCTION("""COMPUTED_VALUE"""),"Yes")</f>
        <v>Yes</v>
      </c>
      <c r="F347" s="5" t="str">
        <f>IFERROR(__xludf.DUMMYFUNCTION("""COMPUTED_VALUE"""),"Yes")</f>
        <v>Yes</v>
      </c>
      <c r="G347" s="5" t="str">
        <f>IFERROR(__xludf.DUMMYFUNCTION("""COMPUTED_VALUE"""),"Yes")</f>
        <v>Yes</v>
      </c>
      <c r="H347" s="5" t="str">
        <f>IFERROR(__xludf.DUMMYFUNCTION("""COMPUTED_VALUE"""),"Yes")</f>
        <v>Yes</v>
      </c>
      <c r="I347" s="5" t="str">
        <f>IFERROR(__xludf.DUMMYFUNCTION("""COMPUTED_VALUE"""),"Yes")</f>
        <v>Yes</v>
      </c>
      <c r="J347" s="5" t="str">
        <f>IFERROR(__xludf.DUMMYFUNCTION("""COMPUTED_VALUE"""),"Yes")</f>
        <v>Yes</v>
      </c>
      <c r="K347" s="5" t="str">
        <f>IFERROR(__xludf.DUMMYFUNCTION("""COMPUTED_VALUE"""),"Yes")</f>
        <v>Yes</v>
      </c>
      <c r="L347" s="5" t="str">
        <f>IFERROR(__xludf.DUMMYFUNCTION("""COMPUTED_VALUE"""),"Yes")</f>
        <v>Yes</v>
      </c>
      <c r="M347" s="5" t="str">
        <f>IFERROR(__xludf.DUMMYFUNCTION("""COMPUTED_VALUE"""),"Yes")</f>
        <v>Yes</v>
      </c>
      <c r="N347" s="5" t="str">
        <f>IFERROR(__xludf.DUMMYFUNCTION("""COMPUTED_VALUE"""),"Yes")</f>
        <v>Yes</v>
      </c>
      <c r="O347" s="5" t="str">
        <f>IFERROR(__xludf.DUMMYFUNCTION("""COMPUTED_VALUE"""),"Yes")</f>
        <v>Yes</v>
      </c>
      <c r="P347" s="5" t="str">
        <f>IFERROR(__xludf.DUMMYFUNCTION("""COMPUTED_VALUE"""),"Yes")</f>
        <v>Yes</v>
      </c>
      <c r="Q347" s="5" t="str">
        <f>IFERROR(__xludf.DUMMYFUNCTION("""COMPUTED_VALUE"""),"Yes")</f>
        <v>Yes</v>
      </c>
      <c r="R347" s="5" t="str">
        <f>IFERROR(__xludf.DUMMYFUNCTION("""COMPUTED_VALUE"""),"Yes")</f>
        <v>Yes</v>
      </c>
      <c r="S347" s="5" t="str">
        <f>IFERROR(__xludf.DUMMYFUNCTION("""COMPUTED_VALUE"""),"Yes")</f>
        <v>Yes</v>
      </c>
      <c r="T347" s="5" t="str">
        <f>IFERROR(__xludf.DUMMYFUNCTION("""COMPUTED_VALUE"""),"Yes")</f>
        <v>Yes</v>
      </c>
      <c r="U347" s="5" t="str">
        <f>IFERROR(__xludf.DUMMYFUNCTION("""COMPUTED_VALUE"""),"Yes")</f>
        <v>Yes</v>
      </c>
      <c r="V347" s="5" t="str">
        <f>IFERROR(__xludf.DUMMYFUNCTION("""COMPUTED_VALUE"""),"Yes")</f>
        <v>Yes</v>
      </c>
      <c r="W347" s="5" t="str">
        <f>IFERROR(__xludf.DUMMYFUNCTION("""COMPUTED_VALUE"""),"Yes")</f>
        <v>Yes</v>
      </c>
      <c r="X347" s="5" t="str">
        <f>IFERROR(__xludf.DUMMYFUNCTION("""COMPUTED_VALUE"""),"Yes")</f>
        <v>Yes</v>
      </c>
      <c r="Y347" s="5" t="str">
        <f>IFERROR(__xludf.DUMMYFUNCTION("""COMPUTED_VALUE"""),"Yes")</f>
        <v>Yes</v>
      </c>
      <c r="Z347" s="5" t="str">
        <f>IFERROR(__xludf.DUMMYFUNCTION("""COMPUTED_VALUE"""),"No")</f>
        <v>No</v>
      </c>
      <c r="AA347" s="5" t="str">
        <f>IFERROR(__xludf.DUMMYFUNCTION("""COMPUTED_VALUE"""),"Yes")</f>
        <v>Yes</v>
      </c>
      <c r="AB347" s="5" t="str">
        <f>IFERROR(__xludf.DUMMYFUNCTION("""COMPUTED_VALUE"""),"Yes")</f>
        <v>Yes</v>
      </c>
      <c r="AC347" s="5" t="str">
        <f>IFERROR(__xludf.DUMMYFUNCTION("""COMPUTED_VALUE"""),"Yes")</f>
        <v>Yes</v>
      </c>
      <c r="AD347" s="5" t="str">
        <f>IFERROR(__xludf.DUMMYFUNCTION("""COMPUTED_VALUE"""),"Yes")</f>
        <v>Yes</v>
      </c>
      <c r="AE347" s="5" t="str">
        <f>IFERROR(__xludf.DUMMYFUNCTION("""COMPUTED_VALUE"""),"No")</f>
        <v>No</v>
      </c>
      <c r="AF347" s="5" t="str">
        <f>IFERROR(__xludf.DUMMYFUNCTION("""COMPUTED_VALUE"""),"Yes")</f>
        <v>Yes</v>
      </c>
      <c r="AG347" s="5" t="str">
        <f>IFERROR(__xludf.DUMMYFUNCTION("""COMPUTED_VALUE"""),"No")</f>
        <v>No</v>
      </c>
      <c r="AH347" s="5" t="str">
        <f>IFERROR(__xludf.DUMMYFUNCTION("""COMPUTED_VALUE"""),"No")</f>
        <v>No</v>
      </c>
      <c r="AI347" s="5" t="str">
        <f>IFERROR(__xludf.DUMMYFUNCTION("""COMPUTED_VALUE"""),"No")</f>
        <v>No</v>
      </c>
      <c r="AJ347" s="5" t="str">
        <f>IFERROR(__xludf.DUMMYFUNCTION("""COMPUTED_VALUE"""),"No")</f>
        <v>No</v>
      </c>
      <c r="AK347" s="5" t="str">
        <f>IFERROR(__xludf.DUMMYFUNCTION("""COMPUTED_VALUE"""),"No")</f>
        <v>No</v>
      </c>
      <c r="AL347" s="5" t="str">
        <f>IFERROR(__xludf.DUMMYFUNCTION("""COMPUTED_VALUE"""),"No")</f>
        <v>No</v>
      </c>
      <c r="AM347" s="5"/>
      <c r="AN347" s="5"/>
      <c r="AO347" s="5"/>
      <c r="AP347" s="5"/>
      <c r="AQ347" s="5"/>
      <c r="AR347" s="5"/>
      <c r="AS347" s="5"/>
      <c r="AT347" s="5"/>
      <c r="AU347" s="5"/>
      <c r="AV347" s="5"/>
      <c r="AW347" s="5"/>
      <c r="AX347" s="5"/>
      <c r="AY347" s="5"/>
    </row>
    <row r="348">
      <c r="A3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8" s="5">
        <f>IFERROR(__xludf.DUMMYFUNCTION("""COMPUTED_VALUE"""),352.0)</f>
        <v>352</v>
      </c>
      <c r="C348" s="5">
        <f>IFERROR(__xludf.DUMMYFUNCTION("""COMPUTED_VALUE"""),3003.0)</f>
        <v>3003</v>
      </c>
      <c r="D348" s="5" t="str">
        <f>IFERROR(__xludf.DUMMYFUNCTION("""COMPUTED_VALUE"""),"TurboStars40")</f>
        <v>TurboStars40</v>
      </c>
      <c r="E348" s="5" t="str">
        <f>IFERROR(__xludf.DUMMYFUNCTION("""COMPUTED_VALUE"""),"Yes")</f>
        <v>Yes</v>
      </c>
      <c r="F348" s="5" t="str">
        <f>IFERROR(__xludf.DUMMYFUNCTION("""COMPUTED_VALUE"""),"Yes")</f>
        <v>Yes</v>
      </c>
      <c r="G348" s="5" t="str">
        <f>IFERROR(__xludf.DUMMYFUNCTION("""COMPUTED_VALUE"""),"Yes")</f>
        <v>Yes</v>
      </c>
      <c r="H348" s="5" t="str">
        <f>IFERROR(__xludf.DUMMYFUNCTION("""COMPUTED_VALUE"""),"Yes")</f>
        <v>Yes</v>
      </c>
      <c r="I348" s="5" t="str">
        <f>IFERROR(__xludf.DUMMYFUNCTION("""COMPUTED_VALUE"""),"Yes")</f>
        <v>Yes</v>
      </c>
      <c r="J348" s="5" t="str">
        <f>IFERROR(__xludf.DUMMYFUNCTION("""COMPUTED_VALUE"""),"Yes")</f>
        <v>Yes</v>
      </c>
      <c r="K348" s="5" t="str">
        <f>IFERROR(__xludf.DUMMYFUNCTION("""COMPUTED_VALUE"""),"Yes")</f>
        <v>Yes</v>
      </c>
      <c r="L348" s="5" t="str">
        <f>IFERROR(__xludf.DUMMYFUNCTION("""COMPUTED_VALUE"""),"Yes")</f>
        <v>Yes</v>
      </c>
      <c r="M348" s="5" t="str">
        <f>IFERROR(__xludf.DUMMYFUNCTION("""COMPUTED_VALUE"""),"Yes")</f>
        <v>Yes</v>
      </c>
      <c r="N348" s="5" t="str">
        <f>IFERROR(__xludf.DUMMYFUNCTION("""COMPUTED_VALUE"""),"Yes")</f>
        <v>Yes</v>
      </c>
      <c r="O348" s="5" t="str">
        <f>IFERROR(__xludf.DUMMYFUNCTION("""COMPUTED_VALUE"""),"Yes")</f>
        <v>Yes</v>
      </c>
      <c r="P348" s="5" t="str">
        <f>IFERROR(__xludf.DUMMYFUNCTION("""COMPUTED_VALUE"""),"Yes")</f>
        <v>Yes</v>
      </c>
      <c r="Q348" s="5" t="str">
        <f>IFERROR(__xludf.DUMMYFUNCTION("""COMPUTED_VALUE"""),"Yes")</f>
        <v>Yes</v>
      </c>
      <c r="R348" s="5" t="str">
        <f>IFERROR(__xludf.DUMMYFUNCTION("""COMPUTED_VALUE"""),"Yes")</f>
        <v>Yes</v>
      </c>
      <c r="S348" s="5" t="str">
        <f>IFERROR(__xludf.DUMMYFUNCTION("""COMPUTED_VALUE"""),"Yes")</f>
        <v>Yes</v>
      </c>
      <c r="T348" s="5" t="str">
        <f>IFERROR(__xludf.DUMMYFUNCTION("""COMPUTED_VALUE"""),"Yes")</f>
        <v>Yes</v>
      </c>
      <c r="U348" s="5" t="str">
        <f>IFERROR(__xludf.DUMMYFUNCTION("""COMPUTED_VALUE"""),"Yes")</f>
        <v>Yes</v>
      </c>
      <c r="V348" s="5" t="str">
        <f>IFERROR(__xludf.DUMMYFUNCTION("""COMPUTED_VALUE"""),"Yes")</f>
        <v>Yes</v>
      </c>
      <c r="W348" s="5" t="str">
        <f>IFERROR(__xludf.DUMMYFUNCTION("""COMPUTED_VALUE"""),"Yes")</f>
        <v>Yes</v>
      </c>
      <c r="X348" s="5" t="str">
        <f>IFERROR(__xludf.DUMMYFUNCTION("""COMPUTED_VALUE"""),"Yes")</f>
        <v>Yes</v>
      </c>
      <c r="Y348" s="5" t="str">
        <f>IFERROR(__xludf.DUMMYFUNCTION("""COMPUTED_VALUE"""),"Yes")</f>
        <v>Yes</v>
      </c>
      <c r="Z348" s="5" t="str">
        <f>IFERROR(__xludf.DUMMYFUNCTION("""COMPUTED_VALUE"""),"No")</f>
        <v>No</v>
      </c>
      <c r="AA348" s="5" t="str">
        <f>IFERROR(__xludf.DUMMYFUNCTION("""COMPUTED_VALUE"""),"Yes")</f>
        <v>Yes</v>
      </c>
      <c r="AB348" s="5" t="str">
        <f>IFERROR(__xludf.DUMMYFUNCTION("""COMPUTED_VALUE"""),"Yes")</f>
        <v>Yes</v>
      </c>
      <c r="AC348" s="5" t="str">
        <f>IFERROR(__xludf.DUMMYFUNCTION("""COMPUTED_VALUE"""),"Yes")</f>
        <v>Yes</v>
      </c>
      <c r="AD348" s="5" t="str">
        <f>IFERROR(__xludf.DUMMYFUNCTION("""COMPUTED_VALUE"""),"Yes")</f>
        <v>Yes</v>
      </c>
      <c r="AE348" s="5" t="str">
        <f>IFERROR(__xludf.DUMMYFUNCTION("""COMPUTED_VALUE"""),"No")</f>
        <v>No</v>
      </c>
      <c r="AF348" s="5" t="str">
        <f>IFERROR(__xludf.DUMMYFUNCTION("""COMPUTED_VALUE"""),"Yes")</f>
        <v>Yes</v>
      </c>
      <c r="AG348" s="5" t="str">
        <f>IFERROR(__xludf.DUMMYFUNCTION("""COMPUTED_VALUE"""),"No")</f>
        <v>No</v>
      </c>
      <c r="AH348" s="5" t="str">
        <f>IFERROR(__xludf.DUMMYFUNCTION("""COMPUTED_VALUE"""),"No")</f>
        <v>No</v>
      </c>
      <c r="AI348" s="5" t="str">
        <f>IFERROR(__xludf.DUMMYFUNCTION("""COMPUTED_VALUE"""),"No")</f>
        <v>No</v>
      </c>
      <c r="AJ348" s="5" t="str">
        <f>IFERROR(__xludf.DUMMYFUNCTION("""COMPUTED_VALUE"""),"No")</f>
        <v>No</v>
      </c>
      <c r="AK348" s="5" t="str">
        <f>IFERROR(__xludf.DUMMYFUNCTION("""COMPUTED_VALUE"""),"No")</f>
        <v>No</v>
      </c>
      <c r="AL348" s="5" t="str">
        <f>IFERROR(__xludf.DUMMYFUNCTION("""COMPUTED_VALUE"""),"No")</f>
        <v>No</v>
      </c>
      <c r="AM348" s="5"/>
      <c r="AN348" s="5"/>
      <c r="AO348" s="5"/>
      <c r="AP348" s="5"/>
      <c r="AQ348" s="5"/>
      <c r="AR348" s="5"/>
      <c r="AS348" s="5"/>
      <c r="AT348" s="5"/>
      <c r="AU348" s="5"/>
      <c r="AV348" s="5"/>
      <c r="AW348" s="5"/>
      <c r="AX348" s="5"/>
      <c r="AY348" s="5"/>
    </row>
    <row r="349">
      <c r="A3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9" s="5">
        <f>IFERROR(__xludf.DUMMYFUNCTION("""COMPUTED_VALUE"""),353.0)</f>
        <v>353</v>
      </c>
      <c r="C349" s="5">
        <f>IFERROR(__xludf.DUMMYFUNCTION("""COMPUTED_VALUE"""),3004.0)</f>
        <v>3004</v>
      </c>
      <c r="D349" s="5" t="str">
        <f>IFERROR(__xludf.DUMMYFUNCTION("""COMPUTED_VALUE"""),"TurboStars20")</f>
        <v>TurboStars20</v>
      </c>
      <c r="E349" s="5" t="str">
        <f>IFERROR(__xludf.DUMMYFUNCTION("""COMPUTED_VALUE"""),"Yes")</f>
        <v>Yes</v>
      </c>
      <c r="F349" s="5" t="str">
        <f>IFERROR(__xludf.DUMMYFUNCTION("""COMPUTED_VALUE"""),"Yes")</f>
        <v>Yes</v>
      </c>
      <c r="G349" s="5" t="str">
        <f>IFERROR(__xludf.DUMMYFUNCTION("""COMPUTED_VALUE"""),"Yes")</f>
        <v>Yes</v>
      </c>
      <c r="H349" s="5" t="str">
        <f>IFERROR(__xludf.DUMMYFUNCTION("""COMPUTED_VALUE"""),"Yes")</f>
        <v>Yes</v>
      </c>
      <c r="I349" s="5" t="str">
        <f>IFERROR(__xludf.DUMMYFUNCTION("""COMPUTED_VALUE"""),"Yes")</f>
        <v>Yes</v>
      </c>
      <c r="J349" s="5" t="str">
        <f>IFERROR(__xludf.DUMMYFUNCTION("""COMPUTED_VALUE"""),"Yes")</f>
        <v>Yes</v>
      </c>
      <c r="K349" s="5" t="str">
        <f>IFERROR(__xludf.DUMMYFUNCTION("""COMPUTED_VALUE"""),"Yes")</f>
        <v>Yes</v>
      </c>
      <c r="L349" s="5" t="str">
        <f>IFERROR(__xludf.DUMMYFUNCTION("""COMPUTED_VALUE"""),"Yes")</f>
        <v>Yes</v>
      </c>
      <c r="M349" s="5" t="str">
        <f>IFERROR(__xludf.DUMMYFUNCTION("""COMPUTED_VALUE"""),"Yes")</f>
        <v>Yes</v>
      </c>
      <c r="N349" s="5" t="str">
        <f>IFERROR(__xludf.DUMMYFUNCTION("""COMPUTED_VALUE"""),"Yes")</f>
        <v>Yes</v>
      </c>
      <c r="O349" s="5" t="str">
        <f>IFERROR(__xludf.DUMMYFUNCTION("""COMPUTED_VALUE"""),"Yes")</f>
        <v>Yes</v>
      </c>
      <c r="P349" s="5" t="str">
        <f>IFERROR(__xludf.DUMMYFUNCTION("""COMPUTED_VALUE"""),"Yes")</f>
        <v>Yes</v>
      </c>
      <c r="Q349" s="5" t="str">
        <f>IFERROR(__xludf.DUMMYFUNCTION("""COMPUTED_VALUE"""),"Yes")</f>
        <v>Yes</v>
      </c>
      <c r="R349" s="5" t="str">
        <f>IFERROR(__xludf.DUMMYFUNCTION("""COMPUTED_VALUE"""),"Yes")</f>
        <v>Yes</v>
      </c>
      <c r="S349" s="5" t="str">
        <f>IFERROR(__xludf.DUMMYFUNCTION("""COMPUTED_VALUE"""),"Yes")</f>
        <v>Yes</v>
      </c>
      <c r="T349" s="5" t="str">
        <f>IFERROR(__xludf.DUMMYFUNCTION("""COMPUTED_VALUE"""),"Yes")</f>
        <v>Yes</v>
      </c>
      <c r="U349" s="5" t="str">
        <f>IFERROR(__xludf.DUMMYFUNCTION("""COMPUTED_VALUE"""),"Yes")</f>
        <v>Yes</v>
      </c>
      <c r="V349" s="5" t="str">
        <f>IFERROR(__xludf.DUMMYFUNCTION("""COMPUTED_VALUE"""),"Yes")</f>
        <v>Yes</v>
      </c>
      <c r="W349" s="5" t="str">
        <f>IFERROR(__xludf.DUMMYFUNCTION("""COMPUTED_VALUE"""),"Yes")</f>
        <v>Yes</v>
      </c>
      <c r="X349" s="5" t="str">
        <f>IFERROR(__xludf.DUMMYFUNCTION("""COMPUTED_VALUE"""),"Yes")</f>
        <v>Yes</v>
      </c>
      <c r="Y349" s="5" t="str">
        <f>IFERROR(__xludf.DUMMYFUNCTION("""COMPUTED_VALUE"""),"Yes")</f>
        <v>Yes</v>
      </c>
      <c r="Z349" s="5" t="str">
        <f>IFERROR(__xludf.DUMMYFUNCTION("""COMPUTED_VALUE"""),"No")</f>
        <v>No</v>
      </c>
      <c r="AA349" s="5" t="str">
        <f>IFERROR(__xludf.DUMMYFUNCTION("""COMPUTED_VALUE"""),"Yes")</f>
        <v>Yes</v>
      </c>
      <c r="AB349" s="5" t="str">
        <f>IFERROR(__xludf.DUMMYFUNCTION("""COMPUTED_VALUE"""),"Yes")</f>
        <v>Yes</v>
      </c>
      <c r="AC349" s="5" t="str">
        <f>IFERROR(__xludf.DUMMYFUNCTION("""COMPUTED_VALUE"""),"Yes")</f>
        <v>Yes</v>
      </c>
      <c r="AD349" s="5" t="str">
        <f>IFERROR(__xludf.DUMMYFUNCTION("""COMPUTED_VALUE"""),"Yes")</f>
        <v>Yes</v>
      </c>
      <c r="AE349" s="5" t="str">
        <f>IFERROR(__xludf.DUMMYFUNCTION("""COMPUTED_VALUE"""),"No")</f>
        <v>No</v>
      </c>
      <c r="AF349" s="5" t="str">
        <f>IFERROR(__xludf.DUMMYFUNCTION("""COMPUTED_VALUE"""),"Yes")</f>
        <v>Yes</v>
      </c>
      <c r="AG349" s="5" t="str">
        <f>IFERROR(__xludf.DUMMYFUNCTION("""COMPUTED_VALUE"""),"No")</f>
        <v>No</v>
      </c>
      <c r="AH349" s="5" t="str">
        <f>IFERROR(__xludf.DUMMYFUNCTION("""COMPUTED_VALUE"""),"No")</f>
        <v>No</v>
      </c>
      <c r="AI349" s="5" t="str">
        <f>IFERROR(__xludf.DUMMYFUNCTION("""COMPUTED_VALUE"""),"No")</f>
        <v>No</v>
      </c>
      <c r="AJ349" s="5" t="str">
        <f>IFERROR(__xludf.DUMMYFUNCTION("""COMPUTED_VALUE"""),"No")</f>
        <v>No</v>
      </c>
      <c r="AK349" s="5" t="str">
        <f>IFERROR(__xludf.DUMMYFUNCTION("""COMPUTED_VALUE"""),"No")</f>
        <v>No</v>
      </c>
      <c r="AL349" s="5" t="str">
        <f>IFERROR(__xludf.DUMMYFUNCTION("""COMPUTED_VALUE"""),"No")</f>
        <v>No</v>
      </c>
      <c r="AM349" s="5"/>
      <c r="AN349" s="5"/>
      <c r="AO349" s="5"/>
      <c r="AP349" s="5"/>
      <c r="AQ349" s="5"/>
      <c r="AR349" s="5"/>
      <c r="AS349" s="5"/>
      <c r="AT349" s="5"/>
      <c r="AU349" s="5"/>
      <c r="AV349" s="5"/>
      <c r="AW349" s="5"/>
      <c r="AX349" s="5"/>
      <c r="AY349" s="5"/>
    </row>
    <row r="350">
      <c r="A3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0" s="5">
        <f>IFERROR(__xludf.DUMMYFUNCTION("""COMPUTED_VALUE"""),354.0)</f>
        <v>354</v>
      </c>
      <c r="C350" s="5">
        <f>IFERROR(__xludf.DUMMYFUNCTION("""COMPUTED_VALUE"""),332.0)</f>
        <v>332</v>
      </c>
      <c r="D350" s="5" t="str">
        <f>IFERROR(__xludf.DUMMYFUNCTION("""COMPUTED_VALUE"""),"RizkHot40")</f>
        <v>RizkHot40</v>
      </c>
      <c r="E350" s="5" t="str">
        <f>IFERROR(__xludf.DUMMYFUNCTION("""COMPUTED_VALUE"""),"Yes")</f>
        <v>Yes</v>
      </c>
      <c r="F350" s="5" t="str">
        <f>IFERROR(__xludf.DUMMYFUNCTION("""COMPUTED_VALUE"""),"Yes")</f>
        <v>Yes</v>
      </c>
      <c r="G350" s="5" t="str">
        <f>IFERROR(__xludf.DUMMYFUNCTION("""COMPUTED_VALUE"""),"Yes")</f>
        <v>Yes</v>
      </c>
      <c r="H350" s="5" t="str">
        <f>IFERROR(__xludf.DUMMYFUNCTION("""COMPUTED_VALUE"""),"Yes")</f>
        <v>Yes</v>
      </c>
      <c r="I350" s="5" t="str">
        <f>IFERROR(__xludf.DUMMYFUNCTION("""COMPUTED_VALUE"""),"Yes")</f>
        <v>Yes</v>
      </c>
      <c r="J350" s="5" t="str">
        <f>IFERROR(__xludf.DUMMYFUNCTION("""COMPUTED_VALUE"""),"Yes")</f>
        <v>Yes</v>
      </c>
      <c r="K350" s="5" t="str">
        <f>IFERROR(__xludf.DUMMYFUNCTION("""COMPUTED_VALUE"""),"Yes")</f>
        <v>Yes</v>
      </c>
      <c r="L350" s="5" t="str">
        <f>IFERROR(__xludf.DUMMYFUNCTION("""COMPUTED_VALUE"""),"Yes")</f>
        <v>Yes</v>
      </c>
      <c r="M350" s="5" t="str">
        <f>IFERROR(__xludf.DUMMYFUNCTION("""COMPUTED_VALUE"""),"Yes")</f>
        <v>Yes</v>
      </c>
      <c r="N350" s="5" t="str">
        <f>IFERROR(__xludf.DUMMYFUNCTION("""COMPUTED_VALUE"""),"Yes")</f>
        <v>Yes</v>
      </c>
      <c r="O350" s="5" t="str">
        <f>IFERROR(__xludf.DUMMYFUNCTION("""COMPUTED_VALUE"""),"Yes")</f>
        <v>Yes</v>
      </c>
      <c r="P350" s="5" t="str">
        <f>IFERROR(__xludf.DUMMYFUNCTION("""COMPUTED_VALUE"""),"Yes")</f>
        <v>Yes</v>
      </c>
      <c r="Q350" s="5" t="str">
        <f>IFERROR(__xludf.DUMMYFUNCTION("""COMPUTED_VALUE"""),"Yes")</f>
        <v>Yes</v>
      </c>
      <c r="R350" s="5" t="str">
        <f>IFERROR(__xludf.DUMMYFUNCTION("""COMPUTED_VALUE"""),"Yes")</f>
        <v>Yes</v>
      </c>
      <c r="S350" s="5" t="str">
        <f>IFERROR(__xludf.DUMMYFUNCTION("""COMPUTED_VALUE"""),"Yes")</f>
        <v>Yes</v>
      </c>
      <c r="T350" s="5" t="str">
        <f>IFERROR(__xludf.DUMMYFUNCTION("""COMPUTED_VALUE"""),"Yes")</f>
        <v>Yes</v>
      </c>
      <c r="U350" s="5" t="str">
        <f>IFERROR(__xludf.DUMMYFUNCTION("""COMPUTED_VALUE"""),"Yes")</f>
        <v>Yes</v>
      </c>
      <c r="V350" s="5" t="str">
        <f>IFERROR(__xludf.DUMMYFUNCTION("""COMPUTED_VALUE"""),"Yes")</f>
        <v>Yes</v>
      </c>
      <c r="W350" s="5" t="str">
        <f>IFERROR(__xludf.DUMMYFUNCTION("""COMPUTED_VALUE"""),"Yes")</f>
        <v>Yes</v>
      </c>
      <c r="X350" s="5" t="str">
        <f>IFERROR(__xludf.DUMMYFUNCTION("""COMPUTED_VALUE"""),"Yes")</f>
        <v>Yes</v>
      </c>
      <c r="Y350" s="5" t="str">
        <f>IFERROR(__xludf.DUMMYFUNCTION("""COMPUTED_VALUE"""),"Yes")</f>
        <v>Yes</v>
      </c>
      <c r="Z350" s="5" t="str">
        <f>IFERROR(__xludf.DUMMYFUNCTION("""COMPUTED_VALUE"""),"No")</f>
        <v>No</v>
      </c>
      <c r="AA350" s="5" t="str">
        <f>IFERROR(__xludf.DUMMYFUNCTION("""COMPUTED_VALUE"""),"Yes")</f>
        <v>Yes</v>
      </c>
      <c r="AB350" s="5" t="str">
        <f>IFERROR(__xludf.DUMMYFUNCTION("""COMPUTED_VALUE"""),"Yes")</f>
        <v>Yes</v>
      </c>
      <c r="AC350" s="5" t="str">
        <f>IFERROR(__xludf.DUMMYFUNCTION("""COMPUTED_VALUE"""),"Yes")</f>
        <v>Yes</v>
      </c>
      <c r="AD350" s="5" t="str">
        <f>IFERROR(__xludf.DUMMYFUNCTION("""COMPUTED_VALUE"""),"Yes")</f>
        <v>Yes</v>
      </c>
      <c r="AE350" s="5" t="str">
        <f>IFERROR(__xludf.DUMMYFUNCTION("""COMPUTED_VALUE"""),"No")</f>
        <v>No</v>
      </c>
      <c r="AF350" s="5" t="str">
        <f>IFERROR(__xludf.DUMMYFUNCTION("""COMPUTED_VALUE"""),"Yes")</f>
        <v>Yes</v>
      </c>
      <c r="AG350" s="5" t="str">
        <f>IFERROR(__xludf.DUMMYFUNCTION("""COMPUTED_VALUE"""),"No")</f>
        <v>No</v>
      </c>
      <c r="AH350" s="5" t="str">
        <f>IFERROR(__xludf.DUMMYFUNCTION("""COMPUTED_VALUE"""),"No")</f>
        <v>No</v>
      </c>
      <c r="AI350" s="5" t="str">
        <f>IFERROR(__xludf.DUMMYFUNCTION("""COMPUTED_VALUE"""),"No")</f>
        <v>No</v>
      </c>
      <c r="AJ350" s="5" t="str">
        <f>IFERROR(__xludf.DUMMYFUNCTION("""COMPUTED_VALUE"""),"No")</f>
        <v>No</v>
      </c>
      <c r="AK350" s="5" t="str">
        <f>IFERROR(__xludf.DUMMYFUNCTION("""COMPUTED_VALUE"""),"No")</f>
        <v>No</v>
      </c>
      <c r="AL350" s="5" t="str">
        <f>IFERROR(__xludf.DUMMYFUNCTION("""COMPUTED_VALUE"""),"No")</f>
        <v>No</v>
      </c>
      <c r="AM350" s="5"/>
      <c r="AN350" s="5"/>
      <c r="AO350" s="5"/>
      <c r="AP350" s="5"/>
      <c r="AQ350" s="5"/>
      <c r="AR350" s="5"/>
      <c r="AS350" s="5"/>
      <c r="AT350" s="5"/>
      <c r="AU350" s="5"/>
      <c r="AV350" s="5"/>
      <c r="AW350" s="5"/>
      <c r="AX350" s="5"/>
      <c r="AY350" s="5"/>
    </row>
    <row r="351">
      <c r="A3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1" s="5">
        <f>IFERROR(__xludf.DUMMYFUNCTION("""COMPUTED_VALUE"""),355.0)</f>
        <v>355</v>
      </c>
      <c r="C351" s="5">
        <f>IFERROR(__xludf.DUMMYFUNCTION("""COMPUTED_VALUE"""),4001.0)</f>
        <v>4001</v>
      </c>
      <c r="D351" s="5" t="str">
        <f>IFERROR(__xludf.DUMMYFUNCTION("""COMPUTED_VALUE"""),"BetOleHot40")</f>
        <v>BetOleHot40</v>
      </c>
      <c r="E351" s="5" t="str">
        <f>IFERROR(__xludf.DUMMYFUNCTION("""COMPUTED_VALUE"""),"Yes")</f>
        <v>Yes</v>
      </c>
      <c r="F351" s="5" t="str">
        <f>IFERROR(__xludf.DUMMYFUNCTION("""COMPUTED_VALUE"""),"Yes")</f>
        <v>Yes</v>
      </c>
      <c r="G351" s="5" t="str">
        <f>IFERROR(__xludf.DUMMYFUNCTION("""COMPUTED_VALUE"""),"Yes")</f>
        <v>Yes</v>
      </c>
      <c r="H351" s="5" t="str">
        <f>IFERROR(__xludf.DUMMYFUNCTION("""COMPUTED_VALUE"""),"Yes")</f>
        <v>Yes</v>
      </c>
      <c r="I351" s="5" t="str">
        <f>IFERROR(__xludf.DUMMYFUNCTION("""COMPUTED_VALUE"""),"Yes")</f>
        <v>Yes</v>
      </c>
      <c r="J351" s="5" t="str">
        <f>IFERROR(__xludf.DUMMYFUNCTION("""COMPUTED_VALUE"""),"Yes")</f>
        <v>Yes</v>
      </c>
      <c r="K351" s="5" t="str">
        <f>IFERROR(__xludf.DUMMYFUNCTION("""COMPUTED_VALUE"""),"Yes")</f>
        <v>Yes</v>
      </c>
      <c r="L351" s="5" t="str">
        <f>IFERROR(__xludf.DUMMYFUNCTION("""COMPUTED_VALUE"""),"Yes")</f>
        <v>Yes</v>
      </c>
      <c r="M351" s="5" t="str">
        <f>IFERROR(__xludf.DUMMYFUNCTION("""COMPUTED_VALUE"""),"Yes")</f>
        <v>Yes</v>
      </c>
      <c r="N351" s="5" t="str">
        <f>IFERROR(__xludf.DUMMYFUNCTION("""COMPUTED_VALUE"""),"Yes")</f>
        <v>Yes</v>
      </c>
      <c r="O351" s="5" t="str">
        <f>IFERROR(__xludf.DUMMYFUNCTION("""COMPUTED_VALUE"""),"Yes")</f>
        <v>Yes</v>
      </c>
      <c r="P351" s="5" t="str">
        <f>IFERROR(__xludf.DUMMYFUNCTION("""COMPUTED_VALUE"""),"Yes")</f>
        <v>Yes</v>
      </c>
      <c r="Q351" s="5" t="str">
        <f>IFERROR(__xludf.DUMMYFUNCTION("""COMPUTED_VALUE"""),"Yes")</f>
        <v>Yes</v>
      </c>
      <c r="R351" s="5" t="str">
        <f>IFERROR(__xludf.DUMMYFUNCTION("""COMPUTED_VALUE"""),"Yes")</f>
        <v>Yes</v>
      </c>
      <c r="S351" s="5" t="str">
        <f>IFERROR(__xludf.DUMMYFUNCTION("""COMPUTED_VALUE"""),"Yes")</f>
        <v>Yes</v>
      </c>
      <c r="T351" s="5" t="str">
        <f>IFERROR(__xludf.DUMMYFUNCTION("""COMPUTED_VALUE"""),"Yes")</f>
        <v>Yes</v>
      </c>
      <c r="U351" s="5" t="str">
        <f>IFERROR(__xludf.DUMMYFUNCTION("""COMPUTED_VALUE"""),"Yes")</f>
        <v>Yes</v>
      </c>
      <c r="V351" s="5" t="str">
        <f>IFERROR(__xludf.DUMMYFUNCTION("""COMPUTED_VALUE"""),"Yes")</f>
        <v>Yes</v>
      </c>
      <c r="W351" s="5" t="str">
        <f>IFERROR(__xludf.DUMMYFUNCTION("""COMPUTED_VALUE"""),"Yes")</f>
        <v>Yes</v>
      </c>
      <c r="X351" s="5" t="str">
        <f>IFERROR(__xludf.DUMMYFUNCTION("""COMPUTED_VALUE"""),"Yes")</f>
        <v>Yes</v>
      </c>
      <c r="Y351" s="5" t="str">
        <f>IFERROR(__xludf.DUMMYFUNCTION("""COMPUTED_VALUE"""),"Yes")</f>
        <v>Yes</v>
      </c>
      <c r="Z351" s="5" t="str">
        <f>IFERROR(__xludf.DUMMYFUNCTION("""COMPUTED_VALUE"""),"No")</f>
        <v>No</v>
      </c>
      <c r="AA351" s="5" t="str">
        <f>IFERROR(__xludf.DUMMYFUNCTION("""COMPUTED_VALUE"""),"Yes")</f>
        <v>Yes</v>
      </c>
      <c r="AB351" s="5" t="str">
        <f>IFERROR(__xludf.DUMMYFUNCTION("""COMPUTED_VALUE"""),"Yes")</f>
        <v>Yes</v>
      </c>
      <c r="AC351" s="5" t="str">
        <f>IFERROR(__xludf.DUMMYFUNCTION("""COMPUTED_VALUE"""),"Yes")</f>
        <v>Yes</v>
      </c>
      <c r="AD351" s="5" t="str">
        <f>IFERROR(__xludf.DUMMYFUNCTION("""COMPUTED_VALUE"""),"Yes")</f>
        <v>Yes</v>
      </c>
      <c r="AE351" s="5" t="str">
        <f>IFERROR(__xludf.DUMMYFUNCTION("""COMPUTED_VALUE"""),"No")</f>
        <v>No</v>
      </c>
      <c r="AF351" s="5" t="str">
        <f>IFERROR(__xludf.DUMMYFUNCTION("""COMPUTED_VALUE"""),"Yes")</f>
        <v>Yes</v>
      </c>
      <c r="AG351" s="5" t="str">
        <f>IFERROR(__xludf.DUMMYFUNCTION("""COMPUTED_VALUE"""),"No")</f>
        <v>No</v>
      </c>
      <c r="AH351" s="5" t="str">
        <f>IFERROR(__xludf.DUMMYFUNCTION("""COMPUTED_VALUE"""),"No")</f>
        <v>No</v>
      </c>
      <c r="AI351" s="5" t="str">
        <f>IFERROR(__xludf.DUMMYFUNCTION("""COMPUTED_VALUE"""),"No")</f>
        <v>No</v>
      </c>
      <c r="AJ351" s="5" t="str">
        <f>IFERROR(__xludf.DUMMYFUNCTION("""COMPUTED_VALUE"""),"No")</f>
        <v>No</v>
      </c>
      <c r="AK351" s="5" t="str">
        <f>IFERROR(__xludf.DUMMYFUNCTION("""COMPUTED_VALUE"""),"No")</f>
        <v>No</v>
      </c>
      <c r="AL351" s="5" t="str">
        <f>IFERROR(__xludf.DUMMYFUNCTION("""COMPUTED_VALUE"""),"No")</f>
        <v>No</v>
      </c>
      <c r="AM351" s="5"/>
      <c r="AN351" s="5"/>
      <c r="AO351" s="5"/>
      <c r="AP351" s="5"/>
      <c r="AQ351" s="5"/>
      <c r="AR351" s="5"/>
      <c r="AS351" s="5"/>
      <c r="AT351" s="5"/>
      <c r="AU351" s="5"/>
      <c r="AV351" s="5"/>
      <c r="AW351" s="5"/>
      <c r="AX351" s="5"/>
      <c r="AY351" s="5"/>
    </row>
    <row r="352">
      <c r="A3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2" s="5">
        <f>IFERROR(__xludf.DUMMYFUNCTION("""COMPUTED_VALUE"""),356.0)</f>
        <v>356</v>
      </c>
      <c r="C352" s="5">
        <f>IFERROR(__xludf.DUMMYFUNCTION("""COMPUTED_VALUE"""),4005.0)</f>
        <v>4005</v>
      </c>
      <c r="D352" s="5" t="str">
        <f>IFERROR(__xludf.DUMMYFUNCTION("""COMPUTED_VALUE"""),"WildLuckyBetebet")</f>
        <v>WildLuckyBetebet</v>
      </c>
      <c r="E352" s="5" t="str">
        <f>IFERROR(__xludf.DUMMYFUNCTION("""COMPUTED_VALUE"""),"Yes")</f>
        <v>Yes</v>
      </c>
      <c r="F352" s="5" t="str">
        <f>IFERROR(__xludf.DUMMYFUNCTION("""COMPUTED_VALUE"""),"Yes")</f>
        <v>Yes</v>
      </c>
      <c r="G352" s="5" t="str">
        <f>IFERROR(__xludf.DUMMYFUNCTION("""COMPUTED_VALUE"""),"Yes")</f>
        <v>Yes</v>
      </c>
      <c r="H352" s="5" t="str">
        <f>IFERROR(__xludf.DUMMYFUNCTION("""COMPUTED_VALUE"""),"Yes")</f>
        <v>Yes</v>
      </c>
      <c r="I352" s="5" t="str">
        <f>IFERROR(__xludf.DUMMYFUNCTION("""COMPUTED_VALUE"""),"Yes")</f>
        <v>Yes</v>
      </c>
      <c r="J352" s="5" t="str">
        <f>IFERROR(__xludf.DUMMYFUNCTION("""COMPUTED_VALUE"""),"Yes")</f>
        <v>Yes</v>
      </c>
      <c r="K352" s="5" t="str">
        <f>IFERROR(__xludf.DUMMYFUNCTION("""COMPUTED_VALUE"""),"Yes")</f>
        <v>Yes</v>
      </c>
      <c r="L352" s="5" t="str">
        <f>IFERROR(__xludf.DUMMYFUNCTION("""COMPUTED_VALUE"""),"Yes")</f>
        <v>Yes</v>
      </c>
      <c r="M352" s="5" t="str">
        <f>IFERROR(__xludf.DUMMYFUNCTION("""COMPUTED_VALUE"""),"Yes")</f>
        <v>Yes</v>
      </c>
      <c r="N352" s="5" t="str">
        <f>IFERROR(__xludf.DUMMYFUNCTION("""COMPUTED_VALUE"""),"Yes")</f>
        <v>Yes</v>
      </c>
      <c r="O352" s="5" t="str">
        <f>IFERROR(__xludf.DUMMYFUNCTION("""COMPUTED_VALUE"""),"Yes")</f>
        <v>Yes</v>
      </c>
      <c r="P352" s="5" t="str">
        <f>IFERROR(__xludf.DUMMYFUNCTION("""COMPUTED_VALUE"""),"Yes")</f>
        <v>Yes</v>
      </c>
      <c r="Q352" s="5" t="str">
        <f>IFERROR(__xludf.DUMMYFUNCTION("""COMPUTED_VALUE"""),"Yes")</f>
        <v>Yes</v>
      </c>
      <c r="R352" s="5" t="str">
        <f>IFERROR(__xludf.DUMMYFUNCTION("""COMPUTED_VALUE"""),"Yes")</f>
        <v>Yes</v>
      </c>
      <c r="S352" s="5" t="str">
        <f>IFERROR(__xludf.DUMMYFUNCTION("""COMPUTED_VALUE"""),"Yes")</f>
        <v>Yes</v>
      </c>
      <c r="T352" s="5" t="str">
        <f>IFERROR(__xludf.DUMMYFUNCTION("""COMPUTED_VALUE"""),"Yes")</f>
        <v>Yes</v>
      </c>
      <c r="U352" s="5" t="str">
        <f>IFERROR(__xludf.DUMMYFUNCTION("""COMPUTED_VALUE"""),"Yes")</f>
        <v>Yes</v>
      </c>
      <c r="V352" s="5" t="str">
        <f>IFERROR(__xludf.DUMMYFUNCTION("""COMPUTED_VALUE"""),"Yes")</f>
        <v>Yes</v>
      </c>
      <c r="W352" s="5" t="str">
        <f>IFERROR(__xludf.DUMMYFUNCTION("""COMPUTED_VALUE"""),"Yes")</f>
        <v>Yes</v>
      </c>
      <c r="X352" s="5" t="str">
        <f>IFERROR(__xludf.DUMMYFUNCTION("""COMPUTED_VALUE"""),"Yes")</f>
        <v>Yes</v>
      </c>
      <c r="Y352" s="5" t="str">
        <f>IFERROR(__xludf.DUMMYFUNCTION("""COMPUTED_VALUE"""),"Yes")</f>
        <v>Yes</v>
      </c>
      <c r="Z352" s="5" t="str">
        <f>IFERROR(__xludf.DUMMYFUNCTION("""COMPUTED_VALUE"""),"No")</f>
        <v>No</v>
      </c>
      <c r="AA352" s="5" t="str">
        <f>IFERROR(__xludf.DUMMYFUNCTION("""COMPUTED_VALUE"""),"Yes")</f>
        <v>Yes</v>
      </c>
      <c r="AB352" s="5" t="str">
        <f>IFERROR(__xludf.DUMMYFUNCTION("""COMPUTED_VALUE"""),"Yes")</f>
        <v>Yes</v>
      </c>
      <c r="AC352" s="5" t="str">
        <f>IFERROR(__xludf.DUMMYFUNCTION("""COMPUTED_VALUE"""),"Yes")</f>
        <v>Yes</v>
      </c>
      <c r="AD352" s="5" t="str">
        <f>IFERROR(__xludf.DUMMYFUNCTION("""COMPUTED_VALUE"""),"Yes")</f>
        <v>Yes</v>
      </c>
      <c r="AE352" s="5" t="str">
        <f>IFERROR(__xludf.DUMMYFUNCTION("""COMPUTED_VALUE"""),"No")</f>
        <v>No</v>
      </c>
      <c r="AF352" s="5" t="str">
        <f>IFERROR(__xludf.DUMMYFUNCTION("""COMPUTED_VALUE"""),"Yes")</f>
        <v>Yes</v>
      </c>
      <c r="AG352" s="5" t="str">
        <f>IFERROR(__xludf.DUMMYFUNCTION("""COMPUTED_VALUE"""),"No")</f>
        <v>No</v>
      </c>
      <c r="AH352" s="5" t="str">
        <f>IFERROR(__xludf.DUMMYFUNCTION("""COMPUTED_VALUE"""),"No")</f>
        <v>No</v>
      </c>
      <c r="AI352" s="5" t="str">
        <f>IFERROR(__xludf.DUMMYFUNCTION("""COMPUTED_VALUE"""),"No")</f>
        <v>No</v>
      </c>
      <c r="AJ352" s="5" t="str">
        <f>IFERROR(__xludf.DUMMYFUNCTION("""COMPUTED_VALUE"""),"No")</f>
        <v>No</v>
      </c>
      <c r="AK352" s="5" t="str">
        <f>IFERROR(__xludf.DUMMYFUNCTION("""COMPUTED_VALUE"""),"No")</f>
        <v>No</v>
      </c>
      <c r="AL352" s="5" t="str">
        <f>IFERROR(__xludf.DUMMYFUNCTION("""COMPUTED_VALUE"""),"No")</f>
        <v>No</v>
      </c>
      <c r="AM352" s="5"/>
      <c r="AN352" s="5"/>
      <c r="AO352" s="5"/>
      <c r="AP352" s="5"/>
      <c r="AQ352" s="5"/>
      <c r="AR352" s="5"/>
      <c r="AS352" s="5"/>
      <c r="AT352" s="5"/>
      <c r="AU352" s="5"/>
      <c r="AV352" s="5"/>
      <c r="AW352" s="5"/>
      <c r="AX352" s="5"/>
      <c r="AY352" s="5"/>
    </row>
    <row r="353">
      <c r="A3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3" s="5">
        <f>IFERROR(__xludf.DUMMYFUNCTION("""COMPUTED_VALUE"""),357.0)</f>
        <v>357</v>
      </c>
      <c r="C353" s="5">
        <f>IFERROR(__xludf.DUMMYFUNCTION("""COMPUTED_VALUE"""),4006.0)</f>
        <v>4006</v>
      </c>
      <c r="D353" s="5" t="str">
        <f>IFERROR(__xludf.DUMMYFUNCTION("""COMPUTED_VALUE"""),"QuickWinCrown10")</f>
        <v>QuickWinCrown10</v>
      </c>
      <c r="E353" s="5" t="str">
        <f>IFERROR(__xludf.DUMMYFUNCTION("""COMPUTED_VALUE"""),"Yes")</f>
        <v>Yes</v>
      </c>
      <c r="F353" s="5" t="str">
        <f>IFERROR(__xludf.DUMMYFUNCTION("""COMPUTED_VALUE"""),"Yes")</f>
        <v>Yes</v>
      </c>
      <c r="G353" s="5" t="str">
        <f>IFERROR(__xludf.DUMMYFUNCTION("""COMPUTED_VALUE"""),"Yes")</f>
        <v>Yes</v>
      </c>
      <c r="H353" s="5" t="str">
        <f>IFERROR(__xludf.DUMMYFUNCTION("""COMPUTED_VALUE"""),"Yes")</f>
        <v>Yes</v>
      </c>
      <c r="I353" s="5" t="str">
        <f>IFERROR(__xludf.DUMMYFUNCTION("""COMPUTED_VALUE"""),"Yes")</f>
        <v>Yes</v>
      </c>
      <c r="J353" s="5" t="str">
        <f>IFERROR(__xludf.DUMMYFUNCTION("""COMPUTED_VALUE"""),"Yes")</f>
        <v>Yes</v>
      </c>
      <c r="K353" s="5" t="str">
        <f>IFERROR(__xludf.DUMMYFUNCTION("""COMPUTED_VALUE"""),"Yes")</f>
        <v>Yes</v>
      </c>
      <c r="L353" s="5" t="str">
        <f>IFERROR(__xludf.DUMMYFUNCTION("""COMPUTED_VALUE"""),"Yes")</f>
        <v>Yes</v>
      </c>
      <c r="M353" s="5" t="str">
        <f>IFERROR(__xludf.DUMMYFUNCTION("""COMPUTED_VALUE"""),"Yes")</f>
        <v>Yes</v>
      </c>
      <c r="N353" s="5" t="str">
        <f>IFERROR(__xludf.DUMMYFUNCTION("""COMPUTED_VALUE"""),"Yes")</f>
        <v>Yes</v>
      </c>
      <c r="O353" s="5" t="str">
        <f>IFERROR(__xludf.DUMMYFUNCTION("""COMPUTED_VALUE"""),"Yes")</f>
        <v>Yes</v>
      </c>
      <c r="P353" s="5" t="str">
        <f>IFERROR(__xludf.DUMMYFUNCTION("""COMPUTED_VALUE"""),"Yes")</f>
        <v>Yes</v>
      </c>
      <c r="Q353" s="5" t="str">
        <f>IFERROR(__xludf.DUMMYFUNCTION("""COMPUTED_VALUE"""),"Yes")</f>
        <v>Yes</v>
      </c>
      <c r="R353" s="5" t="str">
        <f>IFERROR(__xludf.DUMMYFUNCTION("""COMPUTED_VALUE"""),"Yes")</f>
        <v>Yes</v>
      </c>
      <c r="S353" s="5" t="str">
        <f>IFERROR(__xludf.DUMMYFUNCTION("""COMPUTED_VALUE"""),"Yes")</f>
        <v>Yes</v>
      </c>
      <c r="T353" s="5" t="str">
        <f>IFERROR(__xludf.DUMMYFUNCTION("""COMPUTED_VALUE"""),"Yes")</f>
        <v>Yes</v>
      </c>
      <c r="U353" s="5" t="str">
        <f>IFERROR(__xludf.DUMMYFUNCTION("""COMPUTED_VALUE"""),"Yes")</f>
        <v>Yes</v>
      </c>
      <c r="V353" s="5" t="str">
        <f>IFERROR(__xludf.DUMMYFUNCTION("""COMPUTED_VALUE"""),"Yes")</f>
        <v>Yes</v>
      </c>
      <c r="W353" s="5" t="str">
        <f>IFERROR(__xludf.DUMMYFUNCTION("""COMPUTED_VALUE"""),"Yes")</f>
        <v>Yes</v>
      </c>
      <c r="X353" s="5" t="str">
        <f>IFERROR(__xludf.DUMMYFUNCTION("""COMPUTED_VALUE"""),"Yes")</f>
        <v>Yes</v>
      </c>
      <c r="Y353" s="5" t="str">
        <f>IFERROR(__xludf.DUMMYFUNCTION("""COMPUTED_VALUE"""),"Yes")</f>
        <v>Yes</v>
      </c>
      <c r="Z353" s="5" t="str">
        <f>IFERROR(__xludf.DUMMYFUNCTION("""COMPUTED_VALUE"""),"No")</f>
        <v>No</v>
      </c>
      <c r="AA353" s="5" t="str">
        <f>IFERROR(__xludf.DUMMYFUNCTION("""COMPUTED_VALUE"""),"Yes")</f>
        <v>Yes</v>
      </c>
      <c r="AB353" s="5" t="str">
        <f>IFERROR(__xludf.DUMMYFUNCTION("""COMPUTED_VALUE"""),"Yes")</f>
        <v>Yes</v>
      </c>
      <c r="AC353" s="5" t="str">
        <f>IFERROR(__xludf.DUMMYFUNCTION("""COMPUTED_VALUE"""),"Yes")</f>
        <v>Yes</v>
      </c>
      <c r="AD353" s="5" t="str">
        <f>IFERROR(__xludf.DUMMYFUNCTION("""COMPUTED_VALUE"""),"Yes")</f>
        <v>Yes</v>
      </c>
      <c r="AE353" s="5" t="str">
        <f>IFERROR(__xludf.DUMMYFUNCTION("""COMPUTED_VALUE"""),"No")</f>
        <v>No</v>
      </c>
      <c r="AF353" s="5" t="str">
        <f>IFERROR(__xludf.DUMMYFUNCTION("""COMPUTED_VALUE"""),"Yes")</f>
        <v>Yes</v>
      </c>
      <c r="AG353" s="5" t="str">
        <f>IFERROR(__xludf.DUMMYFUNCTION("""COMPUTED_VALUE"""),"No")</f>
        <v>No</v>
      </c>
      <c r="AH353" s="5" t="str">
        <f>IFERROR(__xludf.DUMMYFUNCTION("""COMPUTED_VALUE"""),"No")</f>
        <v>No</v>
      </c>
      <c r="AI353" s="5" t="str">
        <f>IFERROR(__xludf.DUMMYFUNCTION("""COMPUTED_VALUE"""),"No")</f>
        <v>No</v>
      </c>
      <c r="AJ353" s="5" t="str">
        <f>IFERROR(__xludf.DUMMYFUNCTION("""COMPUTED_VALUE"""),"No")</f>
        <v>No</v>
      </c>
      <c r="AK353" s="5" t="str">
        <f>IFERROR(__xludf.DUMMYFUNCTION("""COMPUTED_VALUE"""),"No")</f>
        <v>No</v>
      </c>
      <c r="AL353" s="5" t="str">
        <f>IFERROR(__xludf.DUMMYFUNCTION("""COMPUTED_VALUE"""),"No")</f>
        <v>No</v>
      </c>
      <c r="AM353" s="5"/>
      <c r="AN353" s="5"/>
      <c r="AO353" s="5"/>
      <c r="AP353" s="5"/>
      <c r="AQ353" s="5"/>
      <c r="AR353" s="5"/>
      <c r="AS353" s="5"/>
      <c r="AT353" s="5"/>
      <c r="AU353" s="5"/>
      <c r="AV353" s="5"/>
      <c r="AW353" s="5"/>
      <c r="AX353" s="5"/>
      <c r="AY353" s="5"/>
    </row>
    <row r="354">
      <c r="A3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4" s="5">
        <f>IFERROR(__xludf.DUMMYFUNCTION("""COMPUTED_VALUE"""),358.0)</f>
        <v>358</v>
      </c>
      <c r="C354" s="5">
        <f>IFERROR(__xludf.DUMMYFUNCTION("""COMPUTED_VALUE"""),4002.0)</f>
        <v>4002</v>
      </c>
      <c r="D354" s="5" t="str">
        <f>IFERROR(__xludf.DUMMYFUNCTION("""COMPUTED_VALUE"""),"LollasSoccerWorld")</f>
        <v>LollasSoccerWorld</v>
      </c>
      <c r="E354" s="5" t="str">
        <f>IFERROR(__xludf.DUMMYFUNCTION("""COMPUTED_VALUE"""),"Yes")</f>
        <v>Yes</v>
      </c>
      <c r="F354" s="5" t="str">
        <f>IFERROR(__xludf.DUMMYFUNCTION("""COMPUTED_VALUE"""),"Yes")</f>
        <v>Yes</v>
      </c>
      <c r="G354" s="5" t="str">
        <f>IFERROR(__xludf.DUMMYFUNCTION("""COMPUTED_VALUE"""),"Yes")</f>
        <v>Yes</v>
      </c>
      <c r="H354" s="5" t="str">
        <f>IFERROR(__xludf.DUMMYFUNCTION("""COMPUTED_VALUE"""),"Yes")</f>
        <v>Yes</v>
      </c>
      <c r="I354" s="5" t="str">
        <f>IFERROR(__xludf.DUMMYFUNCTION("""COMPUTED_VALUE"""),"Yes")</f>
        <v>Yes</v>
      </c>
      <c r="J354" s="5" t="str">
        <f>IFERROR(__xludf.DUMMYFUNCTION("""COMPUTED_VALUE"""),"Yes")</f>
        <v>Yes</v>
      </c>
      <c r="K354" s="5" t="str">
        <f>IFERROR(__xludf.DUMMYFUNCTION("""COMPUTED_VALUE"""),"Yes")</f>
        <v>Yes</v>
      </c>
      <c r="L354" s="5" t="str">
        <f>IFERROR(__xludf.DUMMYFUNCTION("""COMPUTED_VALUE"""),"Yes")</f>
        <v>Yes</v>
      </c>
      <c r="M354" s="5" t="str">
        <f>IFERROR(__xludf.DUMMYFUNCTION("""COMPUTED_VALUE"""),"Yes")</f>
        <v>Yes</v>
      </c>
      <c r="N354" s="5" t="str">
        <f>IFERROR(__xludf.DUMMYFUNCTION("""COMPUTED_VALUE"""),"Yes")</f>
        <v>Yes</v>
      </c>
      <c r="O354" s="5" t="str">
        <f>IFERROR(__xludf.DUMMYFUNCTION("""COMPUTED_VALUE"""),"Yes")</f>
        <v>Yes</v>
      </c>
      <c r="P354" s="5" t="str">
        <f>IFERROR(__xludf.DUMMYFUNCTION("""COMPUTED_VALUE"""),"Yes")</f>
        <v>Yes</v>
      </c>
      <c r="Q354" s="5" t="str">
        <f>IFERROR(__xludf.DUMMYFUNCTION("""COMPUTED_VALUE"""),"Yes")</f>
        <v>Yes</v>
      </c>
      <c r="R354" s="5" t="str">
        <f>IFERROR(__xludf.DUMMYFUNCTION("""COMPUTED_VALUE"""),"Yes")</f>
        <v>Yes</v>
      </c>
      <c r="S354" s="5" t="str">
        <f>IFERROR(__xludf.DUMMYFUNCTION("""COMPUTED_VALUE"""),"Yes")</f>
        <v>Yes</v>
      </c>
      <c r="T354" s="5" t="str">
        <f>IFERROR(__xludf.DUMMYFUNCTION("""COMPUTED_VALUE"""),"Yes")</f>
        <v>Yes</v>
      </c>
      <c r="U354" s="5" t="str">
        <f>IFERROR(__xludf.DUMMYFUNCTION("""COMPUTED_VALUE"""),"Yes")</f>
        <v>Yes</v>
      </c>
      <c r="V354" s="5" t="str">
        <f>IFERROR(__xludf.DUMMYFUNCTION("""COMPUTED_VALUE"""),"Yes")</f>
        <v>Yes</v>
      </c>
      <c r="W354" s="5" t="str">
        <f>IFERROR(__xludf.DUMMYFUNCTION("""COMPUTED_VALUE"""),"Yes")</f>
        <v>Yes</v>
      </c>
      <c r="X354" s="5" t="str">
        <f>IFERROR(__xludf.DUMMYFUNCTION("""COMPUTED_VALUE"""),"Yes")</f>
        <v>Yes</v>
      </c>
      <c r="Y354" s="5" t="str">
        <f>IFERROR(__xludf.DUMMYFUNCTION("""COMPUTED_VALUE"""),"Yes")</f>
        <v>Yes</v>
      </c>
      <c r="Z354" s="5" t="str">
        <f>IFERROR(__xludf.DUMMYFUNCTION("""COMPUTED_VALUE"""),"No")</f>
        <v>No</v>
      </c>
      <c r="AA354" s="5" t="str">
        <f>IFERROR(__xludf.DUMMYFUNCTION("""COMPUTED_VALUE"""),"Yes")</f>
        <v>Yes</v>
      </c>
      <c r="AB354" s="5" t="str">
        <f>IFERROR(__xludf.DUMMYFUNCTION("""COMPUTED_VALUE"""),"Yes")</f>
        <v>Yes</v>
      </c>
      <c r="AC354" s="5" t="str">
        <f>IFERROR(__xludf.DUMMYFUNCTION("""COMPUTED_VALUE"""),"Yes")</f>
        <v>Yes</v>
      </c>
      <c r="AD354" s="5" t="str">
        <f>IFERROR(__xludf.DUMMYFUNCTION("""COMPUTED_VALUE"""),"Yes")</f>
        <v>Yes</v>
      </c>
      <c r="AE354" s="5" t="str">
        <f>IFERROR(__xludf.DUMMYFUNCTION("""COMPUTED_VALUE"""),"No")</f>
        <v>No</v>
      </c>
      <c r="AF354" s="5" t="str">
        <f>IFERROR(__xludf.DUMMYFUNCTION("""COMPUTED_VALUE"""),"Yes")</f>
        <v>Yes</v>
      </c>
      <c r="AG354" s="5" t="str">
        <f>IFERROR(__xludf.DUMMYFUNCTION("""COMPUTED_VALUE"""),"No")</f>
        <v>No</v>
      </c>
      <c r="AH354" s="5" t="str">
        <f>IFERROR(__xludf.DUMMYFUNCTION("""COMPUTED_VALUE"""),"No")</f>
        <v>No</v>
      </c>
      <c r="AI354" s="5" t="str">
        <f>IFERROR(__xludf.DUMMYFUNCTION("""COMPUTED_VALUE"""),"No")</f>
        <v>No</v>
      </c>
      <c r="AJ354" s="5" t="str">
        <f>IFERROR(__xludf.DUMMYFUNCTION("""COMPUTED_VALUE"""),"No")</f>
        <v>No</v>
      </c>
      <c r="AK354" s="5" t="str">
        <f>IFERROR(__xludf.DUMMYFUNCTION("""COMPUTED_VALUE"""),"No")</f>
        <v>No</v>
      </c>
      <c r="AL354" s="5" t="str">
        <f>IFERROR(__xludf.DUMMYFUNCTION("""COMPUTED_VALUE"""),"No")</f>
        <v>No</v>
      </c>
      <c r="AM354" s="5"/>
      <c r="AN354" s="5"/>
      <c r="AO354" s="5"/>
      <c r="AP354" s="5"/>
      <c r="AQ354" s="5"/>
      <c r="AR354" s="5"/>
      <c r="AS354" s="5"/>
      <c r="AT354" s="5"/>
      <c r="AU354" s="5"/>
      <c r="AV354" s="5"/>
      <c r="AW354" s="5"/>
      <c r="AX354" s="5"/>
      <c r="AY354" s="5"/>
    </row>
    <row r="355">
      <c r="A3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5" s="5">
        <f>IFERROR(__xludf.DUMMYFUNCTION("""COMPUTED_VALUE"""),359.0)</f>
        <v>359</v>
      </c>
      <c r="C355" s="5">
        <f>IFERROR(__xludf.DUMMYFUNCTION("""COMPUTED_VALUE"""),4003.0)</f>
        <v>4003</v>
      </c>
      <c r="D355" s="5" t="str">
        <f>IFERROR(__xludf.DUMMYFUNCTION("""COMPUTED_VALUE"""),"SoccersClover")</f>
        <v>SoccersClover</v>
      </c>
      <c r="E355" s="5" t="str">
        <f>IFERROR(__xludf.DUMMYFUNCTION("""COMPUTED_VALUE"""),"Yes")</f>
        <v>Yes</v>
      </c>
      <c r="F355" s="5" t="str">
        <f>IFERROR(__xludf.DUMMYFUNCTION("""COMPUTED_VALUE"""),"Yes")</f>
        <v>Yes</v>
      </c>
      <c r="G355" s="5" t="str">
        <f>IFERROR(__xludf.DUMMYFUNCTION("""COMPUTED_VALUE"""),"Yes")</f>
        <v>Yes</v>
      </c>
      <c r="H355" s="5" t="str">
        <f>IFERROR(__xludf.DUMMYFUNCTION("""COMPUTED_VALUE"""),"Yes")</f>
        <v>Yes</v>
      </c>
      <c r="I355" s="5" t="str">
        <f>IFERROR(__xludf.DUMMYFUNCTION("""COMPUTED_VALUE"""),"Yes")</f>
        <v>Yes</v>
      </c>
      <c r="J355" s="5" t="str">
        <f>IFERROR(__xludf.DUMMYFUNCTION("""COMPUTED_VALUE"""),"Yes")</f>
        <v>Yes</v>
      </c>
      <c r="K355" s="5" t="str">
        <f>IFERROR(__xludf.DUMMYFUNCTION("""COMPUTED_VALUE"""),"Yes")</f>
        <v>Yes</v>
      </c>
      <c r="L355" s="5" t="str">
        <f>IFERROR(__xludf.DUMMYFUNCTION("""COMPUTED_VALUE"""),"Yes")</f>
        <v>Yes</v>
      </c>
      <c r="M355" s="5" t="str">
        <f>IFERROR(__xludf.DUMMYFUNCTION("""COMPUTED_VALUE"""),"Yes")</f>
        <v>Yes</v>
      </c>
      <c r="N355" s="5" t="str">
        <f>IFERROR(__xludf.DUMMYFUNCTION("""COMPUTED_VALUE"""),"Yes")</f>
        <v>Yes</v>
      </c>
      <c r="O355" s="5" t="str">
        <f>IFERROR(__xludf.DUMMYFUNCTION("""COMPUTED_VALUE"""),"Yes")</f>
        <v>Yes</v>
      </c>
      <c r="P355" s="5" t="str">
        <f>IFERROR(__xludf.DUMMYFUNCTION("""COMPUTED_VALUE"""),"Yes")</f>
        <v>Yes</v>
      </c>
      <c r="Q355" s="5" t="str">
        <f>IFERROR(__xludf.DUMMYFUNCTION("""COMPUTED_VALUE"""),"Yes")</f>
        <v>Yes</v>
      </c>
      <c r="R355" s="5" t="str">
        <f>IFERROR(__xludf.DUMMYFUNCTION("""COMPUTED_VALUE"""),"Yes")</f>
        <v>Yes</v>
      </c>
      <c r="S355" s="5" t="str">
        <f>IFERROR(__xludf.DUMMYFUNCTION("""COMPUTED_VALUE"""),"Yes")</f>
        <v>Yes</v>
      </c>
      <c r="T355" s="5" t="str">
        <f>IFERROR(__xludf.DUMMYFUNCTION("""COMPUTED_VALUE"""),"Yes")</f>
        <v>Yes</v>
      </c>
      <c r="U355" s="5" t="str">
        <f>IFERROR(__xludf.DUMMYFUNCTION("""COMPUTED_VALUE"""),"Yes")</f>
        <v>Yes</v>
      </c>
      <c r="V355" s="5" t="str">
        <f>IFERROR(__xludf.DUMMYFUNCTION("""COMPUTED_VALUE"""),"Yes")</f>
        <v>Yes</v>
      </c>
      <c r="W355" s="5" t="str">
        <f>IFERROR(__xludf.DUMMYFUNCTION("""COMPUTED_VALUE"""),"Yes")</f>
        <v>Yes</v>
      </c>
      <c r="X355" s="5" t="str">
        <f>IFERROR(__xludf.DUMMYFUNCTION("""COMPUTED_VALUE"""),"Yes")</f>
        <v>Yes</v>
      </c>
      <c r="Y355" s="5" t="str">
        <f>IFERROR(__xludf.DUMMYFUNCTION("""COMPUTED_VALUE"""),"Yes")</f>
        <v>Yes</v>
      </c>
      <c r="Z355" s="5" t="str">
        <f>IFERROR(__xludf.DUMMYFUNCTION("""COMPUTED_VALUE"""),"No")</f>
        <v>No</v>
      </c>
      <c r="AA355" s="5" t="str">
        <f>IFERROR(__xludf.DUMMYFUNCTION("""COMPUTED_VALUE"""),"Yes")</f>
        <v>Yes</v>
      </c>
      <c r="AB355" s="5" t="str">
        <f>IFERROR(__xludf.DUMMYFUNCTION("""COMPUTED_VALUE"""),"Yes")</f>
        <v>Yes</v>
      </c>
      <c r="AC355" s="5" t="str">
        <f>IFERROR(__xludf.DUMMYFUNCTION("""COMPUTED_VALUE"""),"Yes")</f>
        <v>Yes</v>
      </c>
      <c r="AD355" s="5" t="str">
        <f>IFERROR(__xludf.DUMMYFUNCTION("""COMPUTED_VALUE"""),"Yes")</f>
        <v>Yes</v>
      </c>
      <c r="AE355" s="5" t="str">
        <f>IFERROR(__xludf.DUMMYFUNCTION("""COMPUTED_VALUE"""),"No")</f>
        <v>No</v>
      </c>
      <c r="AF355" s="5" t="str">
        <f>IFERROR(__xludf.DUMMYFUNCTION("""COMPUTED_VALUE"""),"Yes")</f>
        <v>Yes</v>
      </c>
      <c r="AG355" s="5" t="str">
        <f>IFERROR(__xludf.DUMMYFUNCTION("""COMPUTED_VALUE"""),"No")</f>
        <v>No</v>
      </c>
      <c r="AH355" s="5" t="str">
        <f>IFERROR(__xludf.DUMMYFUNCTION("""COMPUTED_VALUE"""),"No")</f>
        <v>No</v>
      </c>
      <c r="AI355" s="5" t="str">
        <f>IFERROR(__xludf.DUMMYFUNCTION("""COMPUTED_VALUE"""),"No")</f>
        <v>No</v>
      </c>
      <c r="AJ355" s="5" t="str">
        <f>IFERROR(__xludf.DUMMYFUNCTION("""COMPUTED_VALUE"""),"No")</f>
        <v>No</v>
      </c>
      <c r="AK355" s="5" t="str">
        <f>IFERROR(__xludf.DUMMYFUNCTION("""COMPUTED_VALUE"""),"No")</f>
        <v>No</v>
      </c>
      <c r="AL355" s="5" t="str">
        <f>IFERROR(__xludf.DUMMYFUNCTION("""COMPUTED_VALUE"""),"No")</f>
        <v>No</v>
      </c>
      <c r="AM355" s="5"/>
      <c r="AN355" s="5"/>
      <c r="AO355" s="5"/>
      <c r="AP355" s="5"/>
      <c r="AQ355" s="5"/>
      <c r="AR355" s="5"/>
      <c r="AS355" s="5"/>
      <c r="AT355" s="5"/>
      <c r="AU355" s="5"/>
      <c r="AV355" s="5"/>
      <c r="AW355" s="5"/>
      <c r="AX355" s="5"/>
      <c r="AY355" s="5"/>
    </row>
    <row r="356">
      <c r="A3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6" s="5">
        <f>IFERROR(__xludf.DUMMYFUNCTION("""COMPUTED_VALUE"""),360.0)</f>
        <v>360</v>
      </c>
      <c r="C356" s="5">
        <f>IFERROR(__xludf.DUMMYFUNCTION("""COMPUTED_VALUE"""),4004.0)</f>
        <v>4004</v>
      </c>
      <c r="D356" s="5" t="str">
        <f>IFERROR(__xludf.DUMMYFUNCTION("""COMPUTED_VALUE"""),"SoccerHot40FreeSpins")</f>
        <v>SoccerHot40FreeSpins</v>
      </c>
      <c r="E356" s="5" t="str">
        <f>IFERROR(__xludf.DUMMYFUNCTION("""COMPUTED_VALUE"""),"Yes")</f>
        <v>Yes</v>
      </c>
      <c r="F356" s="5" t="str">
        <f>IFERROR(__xludf.DUMMYFUNCTION("""COMPUTED_VALUE"""),"Yes")</f>
        <v>Yes</v>
      </c>
      <c r="G356" s="5" t="str">
        <f>IFERROR(__xludf.DUMMYFUNCTION("""COMPUTED_VALUE"""),"Yes")</f>
        <v>Yes</v>
      </c>
      <c r="H356" s="5" t="str">
        <f>IFERROR(__xludf.DUMMYFUNCTION("""COMPUTED_VALUE"""),"Yes")</f>
        <v>Yes</v>
      </c>
      <c r="I356" s="5" t="str">
        <f>IFERROR(__xludf.DUMMYFUNCTION("""COMPUTED_VALUE"""),"Yes")</f>
        <v>Yes</v>
      </c>
      <c r="J356" s="5" t="str">
        <f>IFERROR(__xludf.DUMMYFUNCTION("""COMPUTED_VALUE"""),"Yes")</f>
        <v>Yes</v>
      </c>
      <c r="K356" s="5" t="str">
        <f>IFERROR(__xludf.DUMMYFUNCTION("""COMPUTED_VALUE"""),"Yes")</f>
        <v>Yes</v>
      </c>
      <c r="L356" s="5" t="str">
        <f>IFERROR(__xludf.DUMMYFUNCTION("""COMPUTED_VALUE"""),"Yes")</f>
        <v>Yes</v>
      </c>
      <c r="M356" s="5" t="str">
        <f>IFERROR(__xludf.DUMMYFUNCTION("""COMPUTED_VALUE"""),"Yes")</f>
        <v>Yes</v>
      </c>
      <c r="N356" s="5" t="str">
        <f>IFERROR(__xludf.DUMMYFUNCTION("""COMPUTED_VALUE"""),"Yes")</f>
        <v>Yes</v>
      </c>
      <c r="O356" s="5" t="str">
        <f>IFERROR(__xludf.DUMMYFUNCTION("""COMPUTED_VALUE"""),"Yes")</f>
        <v>Yes</v>
      </c>
      <c r="P356" s="5" t="str">
        <f>IFERROR(__xludf.DUMMYFUNCTION("""COMPUTED_VALUE"""),"Yes")</f>
        <v>Yes</v>
      </c>
      <c r="Q356" s="5" t="str">
        <f>IFERROR(__xludf.DUMMYFUNCTION("""COMPUTED_VALUE"""),"Yes")</f>
        <v>Yes</v>
      </c>
      <c r="R356" s="5" t="str">
        <f>IFERROR(__xludf.DUMMYFUNCTION("""COMPUTED_VALUE"""),"Yes")</f>
        <v>Yes</v>
      </c>
      <c r="S356" s="5" t="str">
        <f>IFERROR(__xludf.DUMMYFUNCTION("""COMPUTED_VALUE"""),"Yes")</f>
        <v>Yes</v>
      </c>
      <c r="T356" s="5" t="str">
        <f>IFERROR(__xludf.DUMMYFUNCTION("""COMPUTED_VALUE"""),"Yes")</f>
        <v>Yes</v>
      </c>
      <c r="U356" s="5" t="str">
        <f>IFERROR(__xludf.DUMMYFUNCTION("""COMPUTED_VALUE"""),"Yes")</f>
        <v>Yes</v>
      </c>
      <c r="V356" s="5" t="str">
        <f>IFERROR(__xludf.DUMMYFUNCTION("""COMPUTED_VALUE"""),"Yes")</f>
        <v>Yes</v>
      </c>
      <c r="W356" s="5" t="str">
        <f>IFERROR(__xludf.DUMMYFUNCTION("""COMPUTED_VALUE"""),"Yes")</f>
        <v>Yes</v>
      </c>
      <c r="X356" s="5" t="str">
        <f>IFERROR(__xludf.DUMMYFUNCTION("""COMPUTED_VALUE"""),"Yes")</f>
        <v>Yes</v>
      </c>
      <c r="Y356" s="5" t="str">
        <f>IFERROR(__xludf.DUMMYFUNCTION("""COMPUTED_VALUE"""),"Yes")</f>
        <v>Yes</v>
      </c>
      <c r="Z356" s="5" t="str">
        <f>IFERROR(__xludf.DUMMYFUNCTION("""COMPUTED_VALUE"""),"No")</f>
        <v>No</v>
      </c>
      <c r="AA356" s="5" t="str">
        <f>IFERROR(__xludf.DUMMYFUNCTION("""COMPUTED_VALUE"""),"Yes")</f>
        <v>Yes</v>
      </c>
      <c r="AB356" s="5" t="str">
        <f>IFERROR(__xludf.DUMMYFUNCTION("""COMPUTED_VALUE"""),"Yes")</f>
        <v>Yes</v>
      </c>
      <c r="AC356" s="5" t="str">
        <f>IFERROR(__xludf.DUMMYFUNCTION("""COMPUTED_VALUE"""),"Yes")</f>
        <v>Yes</v>
      </c>
      <c r="AD356" s="5" t="str">
        <f>IFERROR(__xludf.DUMMYFUNCTION("""COMPUTED_VALUE"""),"Yes")</f>
        <v>Yes</v>
      </c>
      <c r="AE356" s="5" t="str">
        <f>IFERROR(__xludf.DUMMYFUNCTION("""COMPUTED_VALUE"""),"No")</f>
        <v>No</v>
      </c>
      <c r="AF356" s="5" t="str">
        <f>IFERROR(__xludf.DUMMYFUNCTION("""COMPUTED_VALUE"""),"Yes")</f>
        <v>Yes</v>
      </c>
      <c r="AG356" s="5" t="str">
        <f>IFERROR(__xludf.DUMMYFUNCTION("""COMPUTED_VALUE"""),"No")</f>
        <v>No</v>
      </c>
      <c r="AH356" s="5" t="str">
        <f>IFERROR(__xludf.DUMMYFUNCTION("""COMPUTED_VALUE"""),"No")</f>
        <v>No</v>
      </c>
      <c r="AI356" s="5" t="str">
        <f>IFERROR(__xludf.DUMMYFUNCTION("""COMPUTED_VALUE"""),"No")</f>
        <v>No</v>
      </c>
      <c r="AJ356" s="5" t="str">
        <f>IFERROR(__xludf.DUMMYFUNCTION("""COMPUTED_VALUE"""),"No")</f>
        <v>No</v>
      </c>
      <c r="AK356" s="5" t="str">
        <f>IFERROR(__xludf.DUMMYFUNCTION("""COMPUTED_VALUE"""),"No")</f>
        <v>No</v>
      </c>
      <c r="AL356" s="5" t="str">
        <f>IFERROR(__xludf.DUMMYFUNCTION("""COMPUTED_VALUE"""),"No")</f>
        <v>No</v>
      </c>
      <c r="AM356" s="5"/>
      <c r="AN356" s="5"/>
      <c r="AO356" s="5"/>
      <c r="AP356" s="5"/>
      <c r="AQ356" s="5"/>
      <c r="AR356" s="5"/>
      <c r="AS356" s="5"/>
      <c r="AT356" s="5"/>
      <c r="AU356" s="5"/>
      <c r="AV356" s="5"/>
      <c r="AW356" s="5"/>
      <c r="AX356" s="5"/>
      <c r="AY356" s="5"/>
    </row>
    <row r="357">
      <c r="A3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7" s="5">
        <f>IFERROR(__xludf.DUMMYFUNCTION("""COMPUTED_VALUE"""),361.0)</f>
        <v>361</v>
      </c>
      <c r="C357" s="5">
        <f>IFERROR(__xludf.DUMMYFUNCTION("""COMPUTED_VALUE"""),348.0)</f>
        <v>348</v>
      </c>
      <c r="D357" s="5" t="str">
        <f>IFERROR(__xludf.DUMMYFUNCTION("""COMPUTED_VALUE"""),"EpicDice100")</f>
        <v>EpicDice100</v>
      </c>
      <c r="E357" s="5" t="str">
        <f>IFERROR(__xludf.DUMMYFUNCTION("""COMPUTED_VALUE"""),"Yes")</f>
        <v>Yes</v>
      </c>
      <c r="F357" s="5" t="str">
        <f>IFERROR(__xludf.DUMMYFUNCTION("""COMPUTED_VALUE"""),"Yes")</f>
        <v>Yes</v>
      </c>
      <c r="G357" s="5" t="str">
        <f>IFERROR(__xludf.DUMMYFUNCTION("""COMPUTED_VALUE"""),"Yes")</f>
        <v>Yes</v>
      </c>
      <c r="H357" s="5" t="str">
        <f>IFERROR(__xludf.DUMMYFUNCTION("""COMPUTED_VALUE"""),"Yes")</f>
        <v>Yes</v>
      </c>
      <c r="I357" s="5" t="str">
        <f>IFERROR(__xludf.DUMMYFUNCTION("""COMPUTED_VALUE"""),"Yes")</f>
        <v>Yes</v>
      </c>
      <c r="J357" s="5" t="str">
        <f>IFERROR(__xludf.DUMMYFUNCTION("""COMPUTED_VALUE"""),"Yes")</f>
        <v>Yes</v>
      </c>
      <c r="K357" s="5" t="str">
        <f>IFERROR(__xludf.DUMMYFUNCTION("""COMPUTED_VALUE"""),"Yes")</f>
        <v>Yes</v>
      </c>
      <c r="L357" s="5" t="str">
        <f>IFERROR(__xludf.DUMMYFUNCTION("""COMPUTED_VALUE"""),"Yes")</f>
        <v>Yes</v>
      </c>
      <c r="M357" s="5" t="str">
        <f>IFERROR(__xludf.DUMMYFUNCTION("""COMPUTED_VALUE"""),"Yes")</f>
        <v>Yes</v>
      </c>
      <c r="N357" s="5" t="str">
        <f>IFERROR(__xludf.DUMMYFUNCTION("""COMPUTED_VALUE"""),"Yes")</f>
        <v>Yes</v>
      </c>
      <c r="O357" s="5" t="str">
        <f>IFERROR(__xludf.DUMMYFUNCTION("""COMPUTED_VALUE"""),"Yes")</f>
        <v>Yes</v>
      </c>
      <c r="P357" s="5" t="str">
        <f>IFERROR(__xludf.DUMMYFUNCTION("""COMPUTED_VALUE"""),"Yes")</f>
        <v>Yes</v>
      </c>
      <c r="Q357" s="5" t="str">
        <f>IFERROR(__xludf.DUMMYFUNCTION("""COMPUTED_VALUE"""),"Yes")</f>
        <v>Yes</v>
      </c>
      <c r="R357" s="5" t="str">
        <f>IFERROR(__xludf.DUMMYFUNCTION("""COMPUTED_VALUE"""),"Yes")</f>
        <v>Yes</v>
      </c>
      <c r="S357" s="5" t="str">
        <f>IFERROR(__xludf.DUMMYFUNCTION("""COMPUTED_VALUE"""),"Yes")</f>
        <v>Yes</v>
      </c>
      <c r="T357" s="5" t="str">
        <f>IFERROR(__xludf.DUMMYFUNCTION("""COMPUTED_VALUE"""),"Yes")</f>
        <v>Yes</v>
      </c>
      <c r="U357" s="5" t="str">
        <f>IFERROR(__xludf.DUMMYFUNCTION("""COMPUTED_VALUE"""),"Yes")</f>
        <v>Yes</v>
      </c>
      <c r="V357" s="5" t="str">
        <f>IFERROR(__xludf.DUMMYFUNCTION("""COMPUTED_VALUE"""),"Yes")</f>
        <v>Yes</v>
      </c>
      <c r="W357" s="5" t="str">
        <f>IFERROR(__xludf.DUMMYFUNCTION("""COMPUTED_VALUE"""),"Yes")</f>
        <v>Yes</v>
      </c>
      <c r="X357" s="5" t="str">
        <f>IFERROR(__xludf.DUMMYFUNCTION("""COMPUTED_VALUE"""),"Yes")</f>
        <v>Yes</v>
      </c>
      <c r="Y357" s="5" t="str">
        <f>IFERROR(__xludf.DUMMYFUNCTION("""COMPUTED_VALUE"""),"Yes")</f>
        <v>Yes</v>
      </c>
      <c r="Z357" s="5" t="str">
        <f>IFERROR(__xludf.DUMMYFUNCTION("""COMPUTED_VALUE"""),"No")</f>
        <v>No</v>
      </c>
      <c r="AA357" s="5" t="str">
        <f>IFERROR(__xludf.DUMMYFUNCTION("""COMPUTED_VALUE"""),"Yes")</f>
        <v>Yes</v>
      </c>
      <c r="AB357" s="5" t="str">
        <f>IFERROR(__xludf.DUMMYFUNCTION("""COMPUTED_VALUE"""),"Yes")</f>
        <v>Yes</v>
      </c>
      <c r="AC357" s="5" t="str">
        <f>IFERROR(__xludf.DUMMYFUNCTION("""COMPUTED_VALUE"""),"Yes")</f>
        <v>Yes</v>
      </c>
      <c r="AD357" s="5" t="str">
        <f>IFERROR(__xludf.DUMMYFUNCTION("""COMPUTED_VALUE"""),"Yes")</f>
        <v>Yes</v>
      </c>
      <c r="AE357" s="5" t="str">
        <f>IFERROR(__xludf.DUMMYFUNCTION("""COMPUTED_VALUE"""),"No")</f>
        <v>No</v>
      </c>
      <c r="AF357" s="5" t="str">
        <f>IFERROR(__xludf.DUMMYFUNCTION("""COMPUTED_VALUE"""),"Yes")</f>
        <v>Yes</v>
      </c>
      <c r="AG357" s="5" t="str">
        <f>IFERROR(__xludf.DUMMYFUNCTION("""COMPUTED_VALUE"""),"No")</f>
        <v>No</v>
      </c>
      <c r="AH357" s="5" t="str">
        <f>IFERROR(__xludf.DUMMYFUNCTION("""COMPUTED_VALUE"""),"No")</f>
        <v>No</v>
      </c>
      <c r="AI357" s="5" t="str">
        <f>IFERROR(__xludf.DUMMYFUNCTION("""COMPUTED_VALUE"""),"No")</f>
        <v>No</v>
      </c>
      <c r="AJ357" s="5" t="str">
        <f>IFERROR(__xludf.DUMMYFUNCTION("""COMPUTED_VALUE"""),"No")</f>
        <v>No</v>
      </c>
      <c r="AK357" s="5" t="str">
        <f>IFERROR(__xludf.DUMMYFUNCTION("""COMPUTED_VALUE"""),"No")</f>
        <v>No</v>
      </c>
      <c r="AL357" s="5" t="str">
        <f>IFERROR(__xludf.DUMMYFUNCTION("""COMPUTED_VALUE"""),"No")</f>
        <v>No</v>
      </c>
      <c r="AM357" s="5"/>
      <c r="AN357" s="5"/>
      <c r="AO357" s="5"/>
      <c r="AP357" s="5"/>
      <c r="AQ357" s="5"/>
      <c r="AR357" s="5"/>
      <c r="AS357" s="5"/>
      <c r="AT357" s="5"/>
      <c r="AU357" s="5"/>
      <c r="AV357" s="5"/>
      <c r="AW357" s="5"/>
      <c r="AX357" s="5"/>
      <c r="AY357" s="5"/>
    </row>
    <row r="358">
      <c r="A3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8" s="5">
        <f>IFERROR(__xludf.DUMMYFUNCTION("""COMPUTED_VALUE"""),362.0)</f>
        <v>362</v>
      </c>
      <c r="C358" s="5">
        <f>IFERROR(__xludf.DUMMYFUNCTION("""COMPUTED_VALUE"""),345.0)</f>
        <v>345</v>
      </c>
      <c r="D358" s="5" t="str">
        <f>IFERROR(__xludf.DUMMYFUNCTION("""COMPUTED_VALUE"""),"MegaHot20")</f>
        <v>MegaHot20</v>
      </c>
      <c r="E358" s="5" t="str">
        <f>IFERROR(__xludf.DUMMYFUNCTION("""COMPUTED_VALUE"""),"Yes")</f>
        <v>Yes</v>
      </c>
      <c r="F358" s="5" t="str">
        <f>IFERROR(__xludf.DUMMYFUNCTION("""COMPUTED_VALUE"""),"Yes")</f>
        <v>Yes</v>
      </c>
      <c r="G358" s="5" t="str">
        <f>IFERROR(__xludf.DUMMYFUNCTION("""COMPUTED_VALUE"""),"Yes")</f>
        <v>Yes</v>
      </c>
      <c r="H358" s="5" t="str">
        <f>IFERROR(__xludf.DUMMYFUNCTION("""COMPUTED_VALUE"""),"Yes")</f>
        <v>Yes</v>
      </c>
      <c r="I358" s="5" t="str">
        <f>IFERROR(__xludf.DUMMYFUNCTION("""COMPUTED_VALUE"""),"Yes")</f>
        <v>Yes</v>
      </c>
      <c r="J358" s="5" t="str">
        <f>IFERROR(__xludf.DUMMYFUNCTION("""COMPUTED_VALUE"""),"Yes")</f>
        <v>Yes</v>
      </c>
      <c r="K358" s="5" t="str">
        <f>IFERROR(__xludf.DUMMYFUNCTION("""COMPUTED_VALUE"""),"Yes")</f>
        <v>Yes</v>
      </c>
      <c r="L358" s="5" t="str">
        <f>IFERROR(__xludf.DUMMYFUNCTION("""COMPUTED_VALUE"""),"Yes")</f>
        <v>Yes</v>
      </c>
      <c r="M358" s="5" t="str">
        <f>IFERROR(__xludf.DUMMYFUNCTION("""COMPUTED_VALUE"""),"Yes")</f>
        <v>Yes</v>
      </c>
      <c r="N358" s="5" t="str">
        <f>IFERROR(__xludf.DUMMYFUNCTION("""COMPUTED_VALUE"""),"Yes")</f>
        <v>Yes</v>
      </c>
      <c r="O358" s="5" t="str">
        <f>IFERROR(__xludf.DUMMYFUNCTION("""COMPUTED_VALUE"""),"Yes")</f>
        <v>Yes</v>
      </c>
      <c r="P358" s="5" t="str">
        <f>IFERROR(__xludf.DUMMYFUNCTION("""COMPUTED_VALUE"""),"Yes")</f>
        <v>Yes</v>
      </c>
      <c r="Q358" s="5" t="str">
        <f>IFERROR(__xludf.DUMMYFUNCTION("""COMPUTED_VALUE"""),"Yes")</f>
        <v>Yes</v>
      </c>
      <c r="R358" s="5" t="str">
        <f>IFERROR(__xludf.DUMMYFUNCTION("""COMPUTED_VALUE"""),"Yes")</f>
        <v>Yes</v>
      </c>
      <c r="S358" s="5" t="str">
        <f>IFERROR(__xludf.DUMMYFUNCTION("""COMPUTED_VALUE"""),"Yes")</f>
        <v>Yes</v>
      </c>
      <c r="T358" s="5" t="str">
        <f>IFERROR(__xludf.DUMMYFUNCTION("""COMPUTED_VALUE"""),"Yes")</f>
        <v>Yes</v>
      </c>
      <c r="U358" s="5" t="str">
        <f>IFERROR(__xludf.DUMMYFUNCTION("""COMPUTED_VALUE"""),"Yes")</f>
        <v>Yes</v>
      </c>
      <c r="V358" s="5" t="str">
        <f>IFERROR(__xludf.DUMMYFUNCTION("""COMPUTED_VALUE"""),"Yes")</f>
        <v>Yes</v>
      </c>
      <c r="W358" s="5" t="str">
        <f>IFERROR(__xludf.DUMMYFUNCTION("""COMPUTED_VALUE"""),"Yes")</f>
        <v>Yes</v>
      </c>
      <c r="X358" s="5" t="str">
        <f>IFERROR(__xludf.DUMMYFUNCTION("""COMPUTED_VALUE"""),"Yes")</f>
        <v>Yes</v>
      </c>
      <c r="Y358" s="5" t="str">
        <f>IFERROR(__xludf.DUMMYFUNCTION("""COMPUTED_VALUE"""),"Yes")</f>
        <v>Yes</v>
      </c>
      <c r="Z358" s="5" t="str">
        <f>IFERROR(__xludf.DUMMYFUNCTION("""COMPUTED_VALUE"""),"No")</f>
        <v>No</v>
      </c>
      <c r="AA358" s="5" t="str">
        <f>IFERROR(__xludf.DUMMYFUNCTION("""COMPUTED_VALUE"""),"Yes")</f>
        <v>Yes</v>
      </c>
      <c r="AB358" s="5" t="str">
        <f>IFERROR(__xludf.DUMMYFUNCTION("""COMPUTED_VALUE"""),"Yes")</f>
        <v>Yes</v>
      </c>
      <c r="AC358" s="5" t="str">
        <f>IFERROR(__xludf.DUMMYFUNCTION("""COMPUTED_VALUE"""),"Yes")</f>
        <v>Yes</v>
      </c>
      <c r="AD358" s="5" t="str">
        <f>IFERROR(__xludf.DUMMYFUNCTION("""COMPUTED_VALUE"""),"Yes")</f>
        <v>Yes</v>
      </c>
      <c r="AE358" s="5" t="str">
        <f>IFERROR(__xludf.DUMMYFUNCTION("""COMPUTED_VALUE"""),"No")</f>
        <v>No</v>
      </c>
      <c r="AF358" s="5" t="str">
        <f>IFERROR(__xludf.DUMMYFUNCTION("""COMPUTED_VALUE"""),"Yes")</f>
        <v>Yes</v>
      </c>
      <c r="AG358" s="5" t="str">
        <f>IFERROR(__xludf.DUMMYFUNCTION("""COMPUTED_VALUE"""),"No")</f>
        <v>No</v>
      </c>
      <c r="AH358" s="5" t="str">
        <f>IFERROR(__xludf.DUMMYFUNCTION("""COMPUTED_VALUE"""),"No")</f>
        <v>No</v>
      </c>
      <c r="AI358" s="5" t="str">
        <f>IFERROR(__xludf.DUMMYFUNCTION("""COMPUTED_VALUE"""),"No")</f>
        <v>No</v>
      </c>
      <c r="AJ358" s="5" t="str">
        <f>IFERROR(__xludf.DUMMYFUNCTION("""COMPUTED_VALUE"""),"No")</f>
        <v>No</v>
      </c>
      <c r="AK358" s="5" t="str">
        <f>IFERROR(__xludf.DUMMYFUNCTION("""COMPUTED_VALUE"""),"No")</f>
        <v>No</v>
      </c>
      <c r="AL358" s="5" t="str">
        <f>IFERROR(__xludf.DUMMYFUNCTION("""COMPUTED_VALUE"""),"No")</f>
        <v>No</v>
      </c>
      <c r="AM358" s="5"/>
      <c r="AN358" s="5"/>
      <c r="AO358" s="5"/>
      <c r="AP358" s="5"/>
      <c r="AQ358" s="5"/>
      <c r="AR358" s="5"/>
      <c r="AS358" s="5"/>
      <c r="AT358" s="5"/>
      <c r="AU358" s="5"/>
      <c r="AV358" s="5"/>
      <c r="AW358" s="5"/>
      <c r="AX358" s="5"/>
      <c r="AY358" s="5"/>
    </row>
    <row r="359">
      <c r="A3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9" s="5">
        <f>IFERROR(__xludf.DUMMYFUNCTION("""COMPUTED_VALUE"""),363.0)</f>
        <v>363</v>
      </c>
      <c r="C359" s="5">
        <f>IFERROR(__xludf.DUMMYFUNCTION("""COMPUTED_VALUE"""),3001.0)</f>
        <v>3001</v>
      </c>
      <c r="D359" s="5" t="str">
        <f>IFERROR(__xludf.DUMMYFUNCTION("""COMPUTED_VALUE"""),"CloversAndStars")</f>
        <v>CloversAndStars</v>
      </c>
      <c r="E359" s="5" t="str">
        <f>IFERROR(__xludf.DUMMYFUNCTION("""COMPUTED_VALUE"""),"Yes")</f>
        <v>Yes</v>
      </c>
      <c r="F359" s="5" t="str">
        <f>IFERROR(__xludf.DUMMYFUNCTION("""COMPUTED_VALUE"""),"Yes")</f>
        <v>Yes</v>
      </c>
      <c r="G359" s="5" t="str">
        <f>IFERROR(__xludf.DUMMYFUNCTION("""COMPUTED_VALUE"""),"Yes")</f>
        <v>Yes</v>
      </c>
      <c r="H359" s="5" t="str">
        <f>IFERROR(__xludf.DUMMYFUNCTION("""COMPUTED_VALUE"""),"Yes")</f>
        <v>Yes</v>
      </c>
      <c r="I359" s="5" t="str">
        <f>IFERROR(__xludf.DUMMYFUNCTION("""COMPUTED_VALUE"""),"Yes")</f>
        <v>Yes</v>
      </c>
      <c r="J359" s="5" t="str">
        <f>IFERROR(__xludf.DUMMYFUNCTION("""COMPUTED_VALUE"""),"Yes")</f>
        <v>Yes</v>
      </c>
      <c r="K359" s="5" t="str">
        <f>IFERROR(__xludf.DUMMYFUNCTION("""COMPUTED_VALUE"""),"Yes")</f>
        <v>Yes</v>
      </c>
      <c r="L359" s="5" t="str">
        <f>IFERROR(__xludf.DUMMYFUNCTION("""COMPUTED_VALUE"""),"Yes")</f>
        <v>Yes</v>
      </c>
      <c r="M359" s="5" t="str">
        <f>IFERROR(__xludf.DUMMYFUNCTION("""COMPUTED_VALUE"""),"Yes")</f>
        <v>Yes</v>
      </c>
      <c r="N359" s="5" t="str">
        <f>IFERROR(__xludf.DUMMYFUNCTION("""COMPUTED_VALUE"""),"Yes")</f>
        <v>Yes</v>
      </c>
      <c r="O359" s="5" t="str">
        <f>IFERROR(__xludf.DUMMYFUNCTION("""COMPUTED_VALUE"""),"Yes")</f>
        <v>Yes</v>
      </c>
      <c r="P359" s="5" t="str">
        <f>IFERROR(__xludf.DUMMYFUNCTION("""COMPUTED_VALUE"""),"Yes")</f>
        <v>Yes</v>
      </c>
      <c r="Q359" s="5" t="str">
        <f>IFERROR(__xludf.DUMMYFUNCTION("""COMPUTED_VALUE"""),"Yes")</f>
        <v>Yes</v>
      </c>
      <c r="R359" s="5" t="str">
        <f>IFERROR(__xludf.DUMMYFUNCTION("""COMPUTED_VALUE"""),"Yes")</f>
        <v>Yes</v>
      </c>
      <c r="S359" s="5" t="str">
        <f>IFERROR(__xludf.DUMMYFUNCTION("""COMPUTED_VALUE"""),"Yes")</f>
        <v>Yes</v>
      </c>
      <c r="T359" s="5" t="str">
        <f>IFERROR(__xludf.DUMMYFUNCTION("""COMPUTED_VALUE"""),"Yes")</f>
        <v>Yes</v>
      </c>
      <c r="U359" s="5" t="str">
        <f>IFERROR(__xludf.DUMMYFUNCTION("""COMPUTED_VALUE"""),"Yes")</f>
        <v>Yes</v>
      </c>
      <c r="V359" s="5" t="str">
        <f>IFERROR(__xludf.DUMMYFUNCTION("""COMPUTED_VALUE"""),"Yes")</f>
        <v>Yes</v>
      </c>
      <c r="W359" s="5" t="str">
        <f>IFERROR(__xludf.DUMMYFUNCTION("""COMPUTED_VALUE"""),"Yes")</f>
        <v>Yes</v>
      </c>
      <c r="X359" s="5" t="str">
        <f>IFERROR(__xludf.DUMMYFUNCTION("""COMPUTED_VALUE"""),"Yes")</f>
        <v>Yes</v>
      </c>
      <c r="Y359" s="5" t="str">
        <f>IFERROR(__xludf.DUMMYFUNCTION("""COMPUTED_VALUE"""),"Yes")</f>
        <v>Yes</v>
      </c>
      <c r="Z359" s="5" t="str">
        <f>IFERROR(__xludf.DUMMYFUNCTION("""COMPUTED_VALUE"""),"No")</f>
        <v>No</v>
      </c>
      <c r="AA359" s="5" t="str">
        <f>IFERROR(__xludf.DUMMYFUNCTION("""COMPUTED_VALUE"""),"Yes")</f>
        <v>Yes</v>
      </c>
      <c r="AB359" s="5" t="str">
        <f>IFERROR(__xludf.DUMMYFUNCTION("""COMPUTED_VALUE"""),"Yes")</f>
        <v>Yes</v>
      </c>
      <c r="AC359" s="5" t="str">
        <f>IFERROR(__xludf.DUMMYFUNCTION("""COMPUTED_VALUE"""),"Yes")</f>
        <v>Yes</v>
      </c>
      <c r="AD359" s="5" t="str">
        <f>IFERROR(__xludf.DUMMYFUNCTION("""COMPUTED_VALUE"""),"Yes")</f>
        <v>Yes</v>
      </c>
      <c r="AE359" s="5" t="str">
        <f>IFERROR(__xludf.DUMMYFUNCTION("""COMPUTED_VALUE"""),"No")</f>
        <v>No</v>
      </c>
      <c r="AF359" s="5" t="str">
        <f>IFERROR(__xludf.DUMMYFUNCTION("""COMPUTED_VALUE"""),"Yes")</f>
        <v>Yes</v>
      </c>
      <c r="AG359" s="5" t="str">
        <f>IFERROR(__xludf.DUMMYFUNCTION("""COMPUTED_VALUE"""),"No")</f>
        <v>No</v>
      </c>
      <c r="AH359" s="5" t="str">
        <f>IFERROR(__xludf.DUMMYFUNCTION("""COMPUTED_VALUE"""),"No")</f>
        <v>No</v>
      </c>
      <c r="AI359" s="5" t="str">
        <f>IFERROR(__xludf.DUMMYFUNCTION("""COMPUTED_VALUE"""),"No")</f>
        <v>No</v>
      </c>
      <c r="AJ359" s="5" t="str">
        <f>IFERROR(__xludf.DUMMYFUNCTION("""COMPUTED_VALUE"""),"No")</f>
        <v>No</v>
      </c>
      <c r="AK359" s="5" t="str">
        <f>IFERROR(__xludf.DUMMYFUNCTION("""COMPUTED_VALUE"""),"No")</f>
        <v>No</v>
      </c>
      <c r="AL359" s="5" t="str">
        <f>IFERROR(__xludf.DUMMYFUNCTION("""COMPUTED_VALUE"""),"No")</f>
        <v>No</v>
      </c>
      <c r="AM359" s="5"/>
      <c r="AN359" s="5"/>
      <c r="AO359" s="5"/>
      <c r="AP359" s="5"/>
      <c r="AQ359" s="5"/>
      <c r="AR359" s="5"/>
      <c r="AS359" s="5"/>
      <c r="AT359" s="5"/>
      <c r="AU359" s="5"/>
      <c r="AV359" s="5"/>
      <c r="AW359" s="5"/>
      <c r="AX359" s="5"/>
      <c r="AY359" s="5"/>
    </row>
    <row r="360">
      <c r="A3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0" s="5">
        <f>IFERROR(__xludf.DUMMYFUNCTION("""COMPUTED_VALUE"""),364.0)</f>
        <v>364</v>
      </c>
      <c r="C360" s="5">
        <f>IFERROR(__xludf.DUMMYFUNCTION("""COMPUTED_VALUE"""),3002.0)</f>
        <v>3002</v>
      </c>
      <c r="D360" s="5" t="str">
        <f>IFERROR(__xludf.DUMMYFUNCTION("""COMPUTED_VALUE"""),"FortuneParrot")</f>
        <v>FortuneParrot</v>
      </c>
      <c r="E360" s="5" t="str">
        <f>IFERROR(__xludf.DUMMYFUNCTION("""COMPUTED_VALUE"""),"Yes")</f>
        <v>Yes</v>
      </c>
      <c r="F360" s="5" t="str">
        <f>IFERROR(__xludf.DUMMYFUNCTION("""COMPUTED_VALUE"""),"Yes")</f>
        <v>Yes</v>
      </c>
      <c r="G360" s="5" t="str">
        <f>IFERROR(__xludf.DUMMYFUNCTION("""COMPUTED_VALUE"""),"Yes")</f>
        <v>Yes</v>
      </c>
      <c r="H360" s="5" t="str">
        <f>IFERROR(__xludf.DUMMYFUNCTION("""COMPUTED_VALUE"""),"Yes")</f>
        <v>Yes</v>
      </c>
      <c r="I360" s="5" t="str">
        <f>IFERROR(__xludf.DUMMYFUNCTION("""COMPUTED_VALUE"""),"Yes")</f>
        <v>Yes</v>
      </c>
      <c r="J360" s="5" t="str">
        <f>IFERROR(__xludf.DUMMYFUNCTION("""COMPUTED_VALUE"""),"Yes")</f>
        <v>Yes</v>
      </c>
      <c r="K360" s="5" t="str">
        <f>IFERROR(__xludf.DUMMYFUNCTION("""COMPUTED_VALUE"""),"Yes")</f>
        <v>Yes</v>
      </c>
      <c r="L360" s="5" t="str">
        <f>IFERROR(__xludf.DUMMYFUNCTION("""COMPUTED_VALUE"""),"Yes")</f>
        <v>Yes</v>
      </c>
      <c r="M360" s="5" t="str">
        <f>IFERROR(__xludf.DUMMYFUNCTION("""COMPUTED_VALUE"""),"Yes")</f>
        <v>Yes</v>
      </c>
      <c r="N360" s="5" t="str">
        <f>IFERROR(__xludf.DUMMYFUNCTION("""COMPUTED_VALUE"""),"Yes")</f>
        <v>Yes</v>
      </c>
      <c r="O360" s="5" t="str">
        <f>IFERROR(__xludf.DUMMYFUNCTION("""COMPUTED_VALUE"""),"Yes")</f>
        <v>Yes</v>
      </c>
      <c r="P360" s="5" t="str">
        <f>IFERROR(__xludf.DUMMYFUNCTION("""COMPUTED_VALUE"""),"Yes")</f>
        <v>Yes</v>
      </c>
      <c r="Q360" s="5" t="str">
        <f>IFERROR(__xludf.DUMMYFUNCTION("""COMPUTED_VALUE"""),"Yes")</f>
        <v>Yes</v>
      </c>
      <c r="R360" s="5" t="str">
        <f>IFERROR(__xludf.DUMMYFUNCTION("""COMPUTED_VALUE"""),"Yes")</f>
        <v>Yes</v>
      </c>
      <c r="S360" s="5" t="str">
        <f>IFERROR(__xludf.DUMMYFUNCTION("""COMPUTED_VALUE"""),"Yes")</f>
        <v>Yes</v>
      </c>
      <c r="T360" s="5" t="str">
        <f>IFERROR(__xludf.DUMMYFUNCTION("""COMPUTED_VALUE"""),"Yes")</f>
        <v>Yes</v>
      </c>
      <c r="U360" s="5" t="str">
        <f>IFERROR(__xludf.DUMMYFUNCTION("""COMPUTED_VALUE"""),"Yes")</f>
        <v>Yes</v>
      </c>
      <c r="V360" s="5" t="str">
        <f>IFERROR(__xludf.DUMMYFUNCTION("""COMPUTED_VALUE"""),"Yes")</f>
        <v>Yes</v>
      </c>
      <c r="W360" s="5" t="str">
        <f>IFERROR(__xludf.DUMMYFUNCTION("""COMPUTED_VALUE"""),"Yes")</f>
        <v>Yes</v>
      </c>
      <c r="X360" s="5" t="str">
        <f>IFERROR(__xludf.DUMMYFUNCTION("""COMPUTED_VALUE"""),"Yes")</f>
        <v>Yes</v>
      </c>
      <c r="Y360" s="5" t="str">
        <f>IFERROR(__xludf.DUMMYFUNCTION("""COMPUTED_VALUE"""),"Yes")</f>
        <v>Yes</v>
      </c>
      <c r="Z360" s="5" t="str">
        <f>IFERROR(__xludf.DUMMYFUNCTION("""COMPUTED_VALUE"""),"No")</f>
        <v>No</v>
      </c>
      <c r="AA360" s="5" t="str">
        <f>IFERROR(__xludf.DUMMYFUNCTION("""COMPUTED_VALUE"""),"Yes")</f>
        <v>Yes</v>
      </c>
      <c r="AB360" s="5" t="str">
        <f>IFERROR(__xludf.DUMMYFUNCTION("""COMPUTED_VALUE"""),"Yes")</f>
        <v>Yes</v>
      </c>
      <c r="AC360" s="5" t="str">
        <f>IFERROR(__xludf.DUMMYFUNCTION("""COMPUTED_VALUE"""),"Yes")</f>
        <v>Yes</v>
      </c>
      <c r="AD360" s="5" t="str">
        <f>IFERROR(__xludf.DUMMYFUNCTION("""COMPUTED_VALUE"""),"Yes")</f>
        <v>Yes</v>
      </c>
      <c r="AE360" s="5" t="str">
        <f>IFERROR(__xludf.DUMMYFUNCTION("""COMPUTED_VALUE"""),"No")</f>
        <v>No</v>
      </c>
      <c r="AF360" s="5" t="str">
        <f>IFERROR(__xludf.DUMMYFUNCTION("""COMPUTED_VALUE"""),"Yes")</f>
        <v>Yes</v>
      </c>
      <c r="AG360" s="5" t="str">
        <f>IFERROR(__xludf.DUMMYFUNCTION("""COMPUTED_VALUE"""),"No")</f>
        <v>No</v>
      </c>
      <c r="AH360" s="5" t="str">
        <f>IFERROR(__xludf.DUMMYFUNCTION("""COMPUTED_VALUE"""),"No")</f>
        <v>No</v>
      </c>
      <c r="AI360" s="5" t="str">
        <f>IFERROR(__xludf.DUMMYFUNCTION("""COMPUTED_VALUE"""),"No")</f>
        <v>No</v>
      </c>
      <c r="AJ360" s="5" t="str">
        <f>IFERROR(__xludf.DUMMYFUNCTION("""COMPUTED_VALUE"""),"No")</f>
        <v>No</v>
      </c>
      <c r="AK360" s="5" t="str">
        <f>IFERROR(__xludf.DUMMYFUNCTION("""COMPUTED_VALUE"""),"No")</f>
        <v>No</v>
      </c>
      <c r="AL360" s="5" t="str">
        <f>IFERROR(__xludf.DUMMYFUNCTION("""COMPUTED_VALUE"""),"No")</f>
        <v>No</v>
      </c>
      <c r="AM360" s="5"/>
      <c r="AN360" s="5"/>
      <c r="AO360" s="5"/>
      <c r="AP360" s="5"/>
      <c r="AQ360" s="5"/>
      <c r="AR360" s="5"/>
      <c r="AS360" s="5"/>
      <c r="AT360" s="5"/>
      <c r="AU360" s="5"/>
      <c r="AV360" s="5"/>
      <c r="AW360" s="5"/>
      <c r="AX360" s="5"/>
      <c r="AY360" s="5"/>
    </row>
    <row r="361">
      <c r="A3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1" s="5">
        <f>IFERROR(__xludf.DUMMYFUNCTION("""COMPUTED_VALUE"""),365.0)</f>
        <v>365</v>
      </c>
      <c r="C361" s="5">
        <f>IFERROR(__xludf.DUMMYFUNCTION("""COMPUTED_VALUE"""),3006.0)</f>
        <v>3006</v>
      </c>
      <c r="D361" s="5" t="str">
        <f>IFERROR(__xludf.DUMMYFUNCTION("""COMPUTED_VALUE"""),"GoldenCrownMax")</f>
        <v>GoldenCrownMax</v>
      </c>
      <c r="E361" s="5" t="str">
        <f>IFERROR(__xludf.DUMMYFUNCTION("""COMPUTED_VALUE"""),"Yes")</f>
        <v>Yes</v>
      </c>
      <c r="F361" s="5" t="str">
        <f>IFERROR(__xludf.DUMMYFUNCTION("""COMPUTED_VALUE"""),"Yes")</f>
        <v>Yes</v>
      </c>
      <c r="G361" s="5" t="str">
        <f>IFERROR(__xludf.DUMMYFUNCTION("""COMPUTED_VALUE"""),"Yes")</f>
        <v>Yes</v>
      </c>
      <c r="H361" s="5" t="str">
        <f>IFERROR(__xludf.DUMMYFUNCTION("""COMPUTED_VALUE"""),"Yes")</f>
        <v>Yes</v>
      </c>
      <c r="I361" s="5" t="str">
        <f>IFERROR(__xludf.DUMMYFUNCTION("""COMPUTED_VALUE"""),"Yes")</f>
        <v>Yes</v>
      </c>
      <c r="J361" s="5" t="str">
        <f>IFERROR(__xludf.DUMMYFUNCTION("""COMPUTED_VALUE"""),"Yes")</f>
        <v>Yes</v>
      </c>
      <c r="K361" s="5" t="str">
        <f>IFERROR(__xludf.DUMMYFUNCTION("""COMPUTED_VALUE"""),"Yes")</f>
        <v>Yes</v>
      </c>
      <c r="L361" s="5" t="str">
        <f>IFERROR(__xludf.DUMMYFUNCTION("""COMPUTED_VALUE"""),"Yes")</f>
        <v>Yes</v>
      </c>
      <c r="M361" s="5" t="str">
        <f>IFERROR(__xludf.DUMMYFUNCTION("""COMPUTED_VALUE"""),"Yes")</f>
        <v>Yes</v>
      </c>
      <c r="N361" s="5" t="str">
        <f>IFERROR(__xludf.DUMMYFUNCTION("""COMPUTED_VALUE"""),"Yes")</f>
        <v>Yes</v>
      </c>
      <c r="O361" s="5" t="str">
        <f>IFERROR(__xludf.DUMMYFUNCTION("""COMPUTED_VALUE"""),"Yes")</f>
        <v>Yes</v>
      </c>
      <c r="P361" s="5" t="str">
        <f>IFERROR(__xludf.DUMMYFUNCTION("""COMPUTED_VALUE"""),"Yes")</f>
        <v>Yes</v>
      </c>
      <c r="Q361" s="5" t="str">
        <f>IFERROR(__xludf.DUMMYFUNCTION("""COMPUTED_VALUE"""),"Yes")</f>
        <v>Yes</v>
      </c>
      <c r="R361" s="5" t="str">
        <f>IFERROR(__xludf.DUMMYFUNCTION("""COMPUTED_VALUE"""),"Yes")</f>
        <v>Yes</v>
      </c>
      <c r="S361" s="5" t="str">
        <f>IFERROR(__xludf.DUMMYFUNCTION("""COMPUTED_VALUE"""),"Yes")</f>
        <v>Yes</v>
      </c>
      <c r="T361" s="5" t="str">
        <f>IFERROR(__xludf.DUMMYFUNCTION("""COMPUTED_VALUE"""),"Yes")</f>
        <v>Yes</v>
      </c>
      <c r="U361" s="5" t="str">
        <f>IFERROR(__xludf.DUMMYFUNCTION("""COMPUTED_VALUE"""),"Yes")</f>
        <v>Yes</v>
      </c>
      <c r="V361" s="5" t="str">
        <f>IFERROR(__xludf.DUMMYFUNCTION("""COMPUTED_VALUE"""),"Yes")</f>
        <v>Yes</v>
      </c>
      <c r="W361" s="5" t="str">
        <f>IFERROR(__xludf.DUMMYFUNCTION("""COMPUTED_VALUE"""),"Yes")</f>
        <v>Yes</v>
      </c>
      <c r="X361" s="5" t="str">
        <f>IFERROR(__xludf.DUMMYFUNCTION("""COMPUTED_VALUE"""),"Yes")</f>
        <v>Yes</v>
      </c>
      <c r="Y361" s="5" t="str">
        <f>IFERROR(__xludf.DUMMYFUNCTION("""COMPUTED_VALUE"""),"Yes")</f>
        <v>Yes</v>
      </c>
      <c r="Z361" s="5" t="str">
        <f>IFERROR(__xludf.DUMMYFUNCTION("""COMPUTED_VALUE"""),"No")</f>
        <v>No</v>
      </c>
      <c r="AA361" s="5" t="str">
        <f>IFERROR(__xludf.DUMMYFUNCTION("""COMPUTED_VALUE"""),"Yes")</f>
        <v>Yes</v>
      </c>
      <c r="AB361" s="5" t="str">
        <f>IFERROR(__xludf.DUMMYFUNCTION("""COMPUTED_VALUE"""),"Yes")</f>
        <v>Yes</v>
      </c>
      <c r="AC361" s="5" t="str">
        <f>IFERROR(__xludf.DUMMYFUNCTION("""COMPUTED_VALUE"""),"Yes")</f>
        <v>Yes</v>
      </c>
      <c r="AD361" s="5" t="str">
        <f>IFERROR(__xludf.DUMMYFUNCTION("""COMPUTED_VALUE"""),"Yes")</f>
        <v>Yes</v>
      </c>
      <c r="AE361" s="5" t="str">
        <f>IFERROR(__xludf.DUMMYFUNCTION("""COMPUTED_VALUE"""),"No")</f>
        <v>No</v>
      </c>
      <c r="AF361" s="5" t="str">
        <f>IFERROR(__xludf.DUMMYFUNCTION("""COMPUTED_VALUE"""),"Yes")</f>
        <v>Yes</v>
      </c>
      <c r="AG361" s="5" t="str">
        <f>IFERROR(__xludf.DUMMYFUNCTION("""COMPUTED_VALUE"""),"No")</f>
        <v>No</v>
      </c>
      <c r="AH361" s="5" t="str">
        <f>IFERROR(__xludf.DUMMYFUNCTION("""COMPUTED_VALUE"""),"No")</f>
        <v>No</v>
      </c>
      <c r="AI361" s="5" t="str">
        <f>IFERROR(__xludf.DUMMYFUNCTION("""COMPUTED_VALUE"""),"No")</f>
        <v>No</v>
      </c>
      <c r="AJ361" s="5" t="str">
        <f>IFERROR(__xludf.DUMMYFUNCTION("""COMPUTED_VALUE"""),"No")</f>
        <v>No</v>
      </c>
      <c r="AK361" s="5" t="str">
        <f>IFERROR(__xludf.DUMMYFUNCTION("""COMPUTED_VALUE"""),"No")</f>
        <v>No</v>
      </c>
      <c r="AL361" s="5" t="str">
        <f>IFERROR(__xludf.DUMMYFUNCTION("""COMPUTED_VALUE"""),"No")</f>
        <v>No</v>
      </c>
      <c r="AM361" s="5"/>
      <c r="AN361" s="5"/>
      <c r="AO361" s="5"/>
      <c r="AP361" s="5"/>
      <c r="AQ361" s="5"/>
      <c r="AR361" s="5"/>
      <c r="AS361" s="5"/>
      <c r="AT361" s="5"/>
      <c r="AU361" s="5"/>
      <c r="AV361" s="5"/>
      <c r="AW361" s="5"/>
      <c r="AX361" s="5"/>
      <c r="AY361" s="5"/>
    </row>
    <row r="362">
      <c r="A3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62" s="5">
        <f>IFERROR(__xludf.DUMMYFUNCTION("""COMPUTED_VALUE"""),366.0)</f>
        <v>366</v>
      </c>
      <c r="C362" s="5">
        <f>IFERROR(__xludf.DUMMYFUNCTION("""COMPUTED_VALUE"""),340.0)</f>
        <v>340</v>
      </c>
      <c r="D362" s="5" t="str">
        <f>IFERROR(__xludf.DUMMYFUNCTION("""COMPUTED_VALUE"""),"UnicornBuffaloDice")</f>
        <v>UnicornBuffaloDice</v>
      </c>
      <c r="E362" s="5" t="str">
        <f>IFERROR(__xludf.DUMMYFUNCTION("""COMPUTED_VALUE"""),"Yes")</f>
        <v>Yes</v>
      </c>
      <c r="F362" s="5" t="str">
        <f>IFERROR(__xludf.DUMMYFUNCTION("""COMPUTED_VALUE"""),"Yes")</f>
        <v>Yes</v>
      </c>
      <c r="G362" s="5" t="str">
        <f>IFERROR(__xludf.DUMMYFUNCTION("""COMPUTED_VALUE"""),"Yes")</f>
        <v>Yes</v>
      </c>
      <c r="H362" s="5" t="str">
        <f>IFERROR(__xludf.DUMMYFUNCTION("""COMPUTED_VALUE"""),"Yes")</f>
        <v>Yes</v>
      </c>
      <c r="I362" s="5" t="str">
        <f>IFERROR(__xludf.DUMMYFUNCTION("""COMPUTED_VALUE"""),"Yes")</f>
        <v>Yes</v>
      </c>
      <c r="J362" s="5" t="str">
        <f>IFERROR(__xludf.DUMMYFUNCTION("""COMPUTED_VALUE"""),"Yes")</f>
        <v>Yes</v>
      </c>
      <c r="K362" s="5" t="str">
        <f>IFERROR(__xludf.DUMMYFUNCTION("""COMPUTED_VALUE"""),"Yes")</f>
        <v>Yes</v>
      </c>
      <c r="L362" s="5" t="str">
        <f>IFERROR(__xludf.DUMMYFUNCTION("""COMPUTED_VALUE"""),"Yes")</f>
        <v>Yes</v>
      </c>
      <c r="M362" s="5" t="str">
        <f>IFERROR(__xludf.DUMMYFUNCTION("""COMPUTED_VALUE"""),"Yes")</f>
        <v>Yes</v>
      </c>
      <c r="N362" s="5" t="str">
        <f>IFERROR(__xludf.DUMMYFUNCTION("""COMPUTED_VALUE"""),"Yes")</f>
        <v>Yes</v>
      </c>
      <c r="O362" s="5" t="str">
        <f>IFERROR(__xludf.DUMMYFUNCTION("""COMPUTED_VALUE"""),"Yes")</f>
        <v>Yes</v>
      </c>
      <c r="P362" s="5" t="str">
        <f>IFERROR(__xludf.DUMMYFUNCTION("""COMPUTED_VALUE"""),"Yes")</f>
        <v>Yes</v>
      </c>
      <c r="Q362" s="5" t="str">
        <f>IFERROR(__xludf.DUMMYFUNCTION("""COMPUTED_VALUE"""),"Yes")</f>
        <v>Yes</v>
      </c>
      <c r="R362" s="5" t="str">
        <f>IFERROR(__xludf.DUMMYFUNCTION("""COMPUTED_VALUE"""),"Yes")</f>
        <v>Yes</v>
      </c>
      <c r="S362" s="5" t="str">
        <f>IFERROR(__xludf.DUMMYFUNCTION("""COMPUTED_VALUE"""),"Yes")</f>
        <v>Yes</v>
      </c>
      <c r="T362" s="5" t="str">
        <f>IFERROR(__xludf.DUMMYFUNCTION("""COMPUTED_VALUE"""),"Yes")</f>
        <v>Yes</v>
      </c>
      <c r="U362" s="5" t="str">
        <f>IFERROR(__xludf.DUMMYFUNCTION("""COMPUTED_VALUE"""),"Yes")</f>
        <v>Yes</v>
      </c>
      <c r="V362" s="5" t="str">
        <f>IFERROR(__xludf.DUMMYFUNCTION("""COMPUTED_VALUE"""),"Yes")</f>
        <v>Yes</v>
      </c>
      <c r="W362" s="5" t="str">
        <f>IFERROR(__xludf.DUMMYFUNCTION("""COMPUTED_VALUE"""),"Yes")</f>
        <v>Yes</v>
      </c>
      <c r="X362" s="5"/>
      <c r="Y362" s="5" t="str">
        <f>IFERROR(__xludf.DUMMYFUNCTION("""COMPUTED_VALUE"""),"Yes")</f>
        <v>Yes</v>
      </c>
      <c r="Z362" s="5"/>
      <c r="AA362" s="5" t="str">
        <f>IFERROR(__xludf.DUMMYFUNCTION("""COMPUTED_VALUE"""),"Yes")</f>
        <v>Yes</v>
      </c>
      <c r="AB362" s="5" t="str">
        <f>IFERROR(__xludf.DUMMYFUNCTION("""COMPUTED_VALUE"""),"Yes")</f>
        <v>Yes</v>
      </c>
      <c r="AC362" s="5" t="str">
        <f>IFERROR(__xludf.DUMMYFUNCTION("""COMPUTED_VALUE"""),"Yes")</f>
        <v>Yes</v>
      </c>
      <c r="AD362" s="5" t="str">
        <f>IFERROR(__xludf.DUMMYFUNCTION("""COMPUTED_VALUE"""),"Yes")</f>
        <v>Yes</v>
      </c>
      <c r="AE362" s="5"/>
      <c r="AF362" s="5" t="str">
        <f>IFERROR(__xludf.DUMMYFUNCTION("""COMPUTED_VALUE"""),"Yes")</f>
        <v>Yes</v>
      </c>
      <c r="AG362" s="5"/>
      <c r="AH362" s="5"/>
      <c r="AI362" s="5"/>
      <c r="AJ362" s="5"/>
      <c r="AK362" s="5"/>
      <c r="AL362" s="5"/>
      <c r="AM362" s="5"/>
      <c r="AN362" s="5"/>
      <c r="AO362" s="5"/>
      <c r="AP362" s="5"/>
      <c r="AQ362" s="5"/>
      <c r="AR362" s="5"/>
      <c r="AS362" s="5"/>
      <c r="AT362" s="5"/>
      <c r="AU362" s="5"/>
      <c r="AV362" s="5"/>
      <c r="AW362" s="5"/>
      <c r="AX362" s="5"/>
      <c r="AY362" s="5"/>
    </row>
    <row r="363">
      <c r="A36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63" s="5">
        <f>IFERROR(__xludf.DUMMYFUNCTION("""COMPUTED_VALUE"""),367.0)</f>
        <v>367</v>
      </c>
      <c r="C363" s="5">
        <f>IFERROR(__xludf.DUMMYFUNCTION("""COMPUTED_VALUE"""),341.0)</f>
        <v>341</v>
      </c>
      <c r="D363" s="5" t="str">
        <f>IFERROR(__xludf.DUMMYFUNCTION("""COMPUTED_VALUE"""),"Redstone81VegasCrown")</f>
        <v>Redstone81VegasCrown</v>
      </c>
      <c r="E363" s="5" t="str">
        <f>IFERROR(__xludf.DUMMYFUNCTION("""COMPUTED_VALUE"""),"Yes")</f>
        <v>Yes</v>
      </c>
      <c r="F363" s="5" t="str">
        <f>IFERROR(__xludf.DUMMYFUNCTION("""COMPUTED_VALUE"""),"Yes")</f>
        <v>Yes</v>
      </c>
      <c r="G363" s="5" t="str">
        <f>IFERROR(__xludf.DUMMYFUNCTION("""COMPUTED_VALUE"""),"Yes")</f>
        <v>Yes</v>
      </c>
      <c r="H363" s="5" t="str">
        <f>IFERROR(__xludf.DUMMYFUNCTION("""COMPUTED_VALUE"""),"No")</f>
        <v>No</v>
      </c>
      <c r="I363" s="5" t="str">
        <f>IFERROR(__xludf.DUMMYFUNCTION("""COMPUTED_VALUE"""),"No")</f>
        <v>No</v>
      </c>
      <c r="J363" s="5" t="str">
        <f>IFERROR(__xludf.DUMMYFUNCTION("""COMPUTED_VALUE"""),"No")</f>
        <v>No</v>
      </c>
      <c r="K363" s="5" t="str">
        <f>IFERROR(__xludf.DUMMYFUNCTION("""COMPUTED_VALUE"""),"No")</f>
        <v>No</v>
      </c>
      <c r="L363" s="5" t="str">
        <f>IFERROR(__xludf.DUMMYFUNCTION("""COMPUTED_VALUE"""),"No")</f>
        <v>No</v>
      </c>
      <c r="M363" s="5" t="str">
        <f>IFERROR(__xludf.DUMMYFUNCTION("""COMPUTED_VALUE"""),"Yes")</f>
        <v>Yes</v>
      </c>
      <c r="N363" s="5" t="str">
        <f>IFERROR(__xludf.DUMMYFUNCTION("""COMPUTED_VALUE"""),"Yes")</f>
        <v>Yes</v>
      </c>
      <c r="O363" s="5" t="str">
        <f>IFERROR(__xludf.DUMMYFUNCTION("""COMPUTED_VALUE"""),"Yes")</f>
        <v>Yes</v>
      </c>
      <c r="P363" s="5" t="str">
        <f>IFERROR(__xludf.DUMMYFUNCTION("""COMPUTED_VALUE"""),"Yes")</f>
        <v>Yes</v>
      </c>
      <c r="Q363" s="5" t="str">
        <f>IFERROR(__xludf.DUMMYFUNCTION("""COMPUTED_VALUE"""),"Yes")</f>
        <v>Yes</v>
      </c>
      <c r="R363" s="5" t="str">
        <f>IFERROR(__xludf.DUMMYFUNCTION("""COMPUTED_VALUE"""),"No")</f>
        <v>No</v>
      </c>
      <c r="S363" s="5" t="str">
        <f>IFERROR(__xludf.DUMMYFUNCTION("""COMPUTED_VALUE"""),"Yes")</f>
        <v>Yes</v>
      </c>
      <c r="T363" s="5" t="str">
        <f>IFERROR(__xludf.DUMMYFUNCTION("""COMPUTED_VALUE"""),"No")</f>
        <v>No</v>
      </c>
      <c r="U363" s="5" t="str">
        <f>IFERROR(__xludf.DUMMYFUNCTION("""COMPUTED_VALUE"""),"No")</f>
        <v>No</v>
      </c>
      <c r="V363" s="5" t="str">
        <f>IFERROR(__xludf.DUMMYFUNCTION("""COMPUTED_VALUE"""),"No")</f>
        <v>No</v>
      </c>
      <c r="W363" s="5" t="str">
        <f>IFERROR(__xludf.DUMMYFUNCTION("""COMPUTED_VALUE"""),"No")</f>
        <v>No</v>
      </c>
      <c r="X363" s="5"/>
      <c r="Y363" s="5" t="str">
        <f>IFERROR(__xludf.DUMMYFUNCTION("""COMPUTED_VALUE"""),"No")</f>
        <v>No</v>
      </c>
      <c r="Z363" s="5"/>
      <c r="AA363" s="5" t="str">
        <f>IFERROR(__xludf.DUMMYFUNCTION("""COMPUTED_VALUE"""),"No")</f>
        <v>No</v>
      </c>
      <c r="AB363" s="5" t="str">
        <f>IFERROR(__xludf.DUMMYFUNCTION("""COMPUTED_VALUE"""),"No")</f>
        <v>No</v>
      </c>
      <c r="AC363" s="5" t="str">
        <f>IFERROR(__xludf.DUMMYFUNCTION("""COMPUTED_VALUE"""),"No")</f>
        <v>No</v>
      </c>
      <c r="AD363" s="5" t="str">
        <f>IFERROR(__xludf.DUMMYFUNCTION("""COMPUTED_VALUE"""),"No")</f>
        <v>No</v>
      </c>
      <c r="AE363" s="5"/>
      <c r="AF363" s="5" t="str">
        <f>IFERROR(__xludf.DUMMYFUNCTION("""COMPUTED_VALUE"""),"No")</f>
        <v>No</v>
      </c>
      <c r="AG363" s="5"/>
      <c r="AH363" s="5"/>
      <c r="AI363" s="5"/>
      <c r="AJ363" s="5"/>
      <c r="AK363" s="5"/>
      <c r="AL363" s="5"/>
      <c r="AM363" s="5"/>
      <c r="AN363" s="5"/>
      <c r="AO363" s="5"/>
      <c r="AP363" s="5"/>
      <c r="AQ363" s="5"/>
      <c r="AR363" s="5"/>
      <c r="AS363" s="5"/>
      <c r="AT363" s="5"/>
      <c r="AU363" s="5"/>
      <c r="AV363" s="5"/>
      <c r="AW363" s="5"/>
      <c r="AX363" s="5"/>
      <c r="AY363" s="5"/>
    </row>
    <row r="364">
      <c r="A364" s="5"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4" s="5">
        <f>IFERROR(__xludf.DUMMYFUNCTION("""COMPUTED_VALUE"""),368.0)</f>
        <v>368</v>
      </c>
      <c r="C364" s="5">
        <f>IFERROR(__xludf.DUMMYFUNCTION("""COMPUTED_VALUE"""),342.0)</f>
        <v>342</v>
      </c>
      <c r="D364" s="5" t="str">
        <f>IFERROR(__xludf.DUMMYFUNCTION("""COMPUTED_VALUE"""),"UnicornLavaDice")</f>
        <v>UnicornLavaDice</v>
      </c>
      <c r="E364" s="5" t="str">
        <f>IFERROR(__xludf.DUMMYFUNCTION("""COMPUTED_VALUE"""),"Yes")</f>
        <v>Yes</v>
      </c>
      <c r="F364" s="5" t="str">
        <f>IFERROR(__xludf.DUMMYFUNCTION("""COMPUTED_VALUE"""),"Yes")</f>
        <v>Yes</v>
      </c>
      <c r="G364" s="5" t="str">
        <f>IFERROR(__xludf.DUMMYFUNCTION("""COMPUTED_VALUE"""),"No")</f>
        <v>No</v>
      </c>
      <c r="H364" s="5" t="str">
        <f>IFERROR(__xludf.DUMMYFUNCTION("""COMPUTED_VALUE"""),"Yes")</f>
        <v>Yes</v>
      </c>
      <c r="I364" s="5" t="str">
        <f>IFERROR(__xludf.DUMMYFUNCTION("""COMPUTED_VALUE"""),"Yes")</f>
        <v>Yes</v>
      </c>
      <c r="J364" s="5" t="str">
        <f>IFERROR(__xludf.DUMMYFUNCTION("""COMPUTED_VALUE"""),"Yes")</f>
        <v>Yes</v>
      </c>
      <c r="K364" s="5" t="str">
        <f>IFERROR(__xludf.DUMMYFUNCTION("""COMPUTED_VALUE"""),"Yes")</f>
        <v>Yes</v>
      </c>
      <c r="L364" s="5" t="str">
        <f>IFERROR(__xludf.DUMMYFUNCTION("""COMPUTED_VALUE"""),"Yes")</f>
        <v>Yes</v>
      </c>
      <c r="M364" s="5" t="str">
        <f>IFERROR(__xludf.DUMMYFUNCTION("""COMPUTED_VALUE"""),"Yes")</f>
        <v>Yes</v>
      </c>
      <c r="N364" s="5" t="str">
        <f>IFERROR(__xludf.DUMMYFUNCTION("""COMPUTED_VALUE"""),"Yes")</f>
        <v>Yes</v>
      </c>
      <c r="O364" s="5" t="str">
        <f>IFERROR(__xludf.DUMMYFUNCTION("""COMPUTED_VALUE"""),"Yes")</f>
        <v>Yes</v>
      </c>
      <c r="P364" s="5" t="str">
        <f>IFERROR(__xludf.DUMMYFUNCTION("""COMPUTED_VALUE"""),"Yes")</f>
        <v>Yes</v>
      </c>
      <c r="Q364" s="5" t="str">
        <f>IFERROR(__xludf.DUMMYFUNCTION("""COMPUTED_VALUE"""),"Yes")</f>
        <v>Yes</v>
      </c>
      <c r="R364" s="5" t="str">
        <f>IFERROR(__xludf.DUMMYFUNCTION("""COMPUTED_VALUE"""),"No")</f>
        <v>No</v>
      </c>
      <c r="S364" s="5" t="str">
        <f>IFERROR(__xludf.DUMMYFUNCTION("""COMPUTED_VALUE"""),"Yes")</f>
        <v>Yes</v>
      </c>
      <c r="T364" s="5" t="str">
        <f>IFERROR(__xludf.DUMMYFUNCTION("""COMPUTED_VALUE"""),"No")</f>
        <v>No</v>
      </c>
      <c r="U364" s="5" t="str">
        <f>IFERROR(__xludf.DUMMYFUNCTION("""COMPUTED_VALUE"""),"No")</f>
        <v>No</v>
      </c>
      <c r="V364" s="5" t="str">
        <f>IFERROR(__xludf.DUMMYFUNCTION("""COMPUTED_VALUE"""),"No")</f>
        <v>No</v>
      </c>
      <c r="W364" s="5" t="str">
        <f>IFERROR(__xludf.DUMMYFUNCTION("""COMPUTED_VALUE"""),"No")</f>
        <v>No</v>
      </c>
      <c r="X364" s="5" t="str">
        <f>IFERROR(__xludf.DUMMYFUNCTION("""COMPUTED_VALUE"""),"No")</f>
        <v>No</v>
      </c>
      <c r="Y364" s="5" t="str">
        <f>IFERROR(__xludf.DUMMYFUNCTION("""COMPUTED_VALUE"""),"No")</f>
        <v>No</v>
      </c>
      <c r="Z364" s="5" t="str">
        <f>IFERROR(__xludf.DUMMYFUNCTION("""COMPUTED_VALUE"""),"No")</f>
        <v>No</v>
      </c>
      <c r="AA364" s="5" t="str">
        <f>IFERROR(__xludf.DUMMYFUNCTION("""COMPUTED_VALUE"""),"No")</f>
        <v>No</v>
      </c>
      <c r="AB364" s="5" t="str">
        <f>IFERROR(__xludf.DUMMYFUNCTION("""COMPUTED_VALUE"""),"No")</f>
        <v>No</v>
      </c>
      <c r="AC364" s="5" t="str">
        <f>IFERROR(__xludf.DUMMYFUNCTION("""COMPUTED_VALUE"""),"No")</f>
        <v>No</v>
      </c>
      <c r="AD364" s="5" t="str">
        <f>IFERROR(__xludf.DUMMYFUNCTION("""COMPUTED_VALUE"""),"No")</f>
        <v>No</v>
      </c>
      <c r="AE364" s="5" t="str">
        <f>IFERROR(__xludf.DUMMYFUNCTION("""COMPUTED_VALUE"""),"No")</f>
        <v>No</v>
      </c>
      <c r="AF364" s="5" t="str">
        <f>IFERROR(__xludf.DUMMYFUNCTION("""COMPUTED_VALUE"""),"Yes")</f>
        <v>Yes</v>
      </c>
      <c r="AG364" s="5" t="str">
        <f>IFERROR(__xludf.DUMMYFUNCTION("""COMPUTED_VALUE"""),"No")</f>
        <v>No</v>
      </c>
      <c r="AH364" s="5" t="str">
        <f>IFERROR(__xludf.DUMMYFUNCTION("""COMPUTED_VALUE"""),"Yes")</f>
        <v>Yes</v>
      </c>
      <c r="AI364" s="5" t="str">
        <f>IFERROR(__xludf.DUMMYFUNCTION("""COMPUTED_VALUE"""),"No")</f>
        <v>No</v>
      </c>
      <c r="AJ364" s="5" t="str">
        <f>IFERROR(__xludf.DUMMYFUNCTION("""COMPUTED_VALUE"""),"No")</f>
        <v>No</v>
      </c>
      <c r="AK364" s="5" t="str">
        <f>IFERROR(__xludf.DUMMYFUNCTION("""COMPUTED_VALUE"""),"No")</f>
        <v>No</v>
      </c>
      <c r="AL364" s="5" t="str">
        <f>IFERROR(__xludf.DUMMYFUNCTION("""COMPUTED_VALUE"""),"No")</f>
        <v>No</v>
      </c>
      <c r="AM364" s="5"/>
      <c r="AN364" s="5"/>
      <c r="AO364" s="5"/>
      <c r="AP364" s="5"/>
      <c r="AQ364" s="5"/>
      <c r="AR364" s="5"/>
      <c r="AS364" s="5"/>
      <c r="AT364" s="5"/>
      <c r="AU364" s="5"/>
      <c r="AV364" s="5"/>
      <c r="AW364" s="5"/>
      <c r="AX364" s="5"/>
      <c r="AY364" s="5"/>
    </row>
    <row r="365">
      <c r="A36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65" s="5">
        <f>IFERROR(__xludf.DUMMYFUNCTION("""COMPUTED_VALUE"""),369.0)</f>
        <v>369</v>
      </c>
      <c r="C365" s="5">
        <f>IFERROR(__xludf.DUMMYFUNCTION("""COMPUTED_VALUE"""),343.0)</f>
        <v>343</v>
      </c>
      <c r="D365" s="5" t="str">
        <f>IFERROR(__xludf.DUMMYFUNCTION("""COMPUTED_VALUE"""),"RedstoneApollo27Classic")</f>
        <v>RedstoneApollo27Classic</v>
      </c>
      <c r="E365" s="5" t="str">
        <f>IFERROR(__xludf.DUMMYFUNCTION("""COMPUTED_VALUE"""),"Yes")</f>
        <v>Yes</v>
      </c>
      <c r="F365" s="5" t="str">
        <f>IFERROR(__xludf.DUMMYFUNCTION("""COMPUTED_VALUE"""),"Yes")</f>
        <v>Yes</v>
      </c>
      <c r="G365" s="5" t="str">
        <f>IFERROR(__xludf.DUMMYFUNCTION("""COMPUTED_VALUE"""),"Yes")</f>
        <v>Yes</v>
      </c>
      <c r="H365" s="5" t="str">
        <f>IFERROR(__xludf.DUMMYFUNCTION("""COMPUTED_VALUE"""),"No")</f>
        <v>No</v>
      </c>
      <c r="I365" s="5" t="str">
        <f>IFERROR(__xludf.DUMMYFUNCTION("""COMPUTED_VALUE"""),"No")</f>
        <v>No</v>
      </c>
      <c r="J365" s="5" t="str">
        <f>IFERROR(__xludf.DUMMYFUNCTION("""COMPUTED_VALUE"""),"No")</f>
        <v>No</v>
      </c>
      <c r="K365" s="5" t="str">
        <f>IFERROR(__xludf.DUMMYFUNCTION("""COMPUTED_VALUE"""),"No")</f>
        <v>No</v>
      </c>
      <c r="L365" s="5" t="str">
        <f>IFERROR(__xludf.DUMMYFUNCTION("""COMPUTED_VALUE"""),"No")</f>
        <v>No</v>
      </c>
      <c r="M365" s="5" t="str">
        <f>IFERROR(__xludf.DUMMYFUNCTION("""COMPUTED_VALUE"""),"Yes")</f>
        <v>Yes</v>
      </c>
      <c r="N365" s="5" t="str">
        <f>IFERROR(__xludf.DUMMYFUNCTION("""COMPUTED_VALUE"""),"Yes")</f>
        <v>Yes</v>
      </c>
      <c r="O365" s="5" t="str">
        <f>IFERROR(__xludf.DUMMYFUNCTION("""COMPUTED_VALUE"""),"Yes")</f>
        <v>Yes</v>
      </c>
      <c r="P365" s="5" t="str">
        <f>IFERROR(__xludf.DUMMYFUNCTION("""COMPUTED_VALUE"""),"Yes")</f>
        <v>Yes</v>
      </c>
      <c r="Q365" s="5" t="str">
        <f>IFERROR(__xludf.DUMMYFUNCTION("""COMPUTED_VALUE"""),"Yes")</f>
        <v>Yes</v>
      </c>
      <c r="R365" s="5" t="str">
        <f>IFERROR(__xludf.DUMMYFUNCTION("""COMPUTED_VALUE"""),"No")</f>
        <v>No</v>
      </c>
      <c r="S365" s="5" t="str">
        <f>IFERROR(__xludf.DUMMYFUNCTION("""COMPUTED_VALUE"""),"Yes")</f>
        <v>Yes</v>
      </c>
      <c r="T365" s="5" t="str">
        <f>IFERROR(__xludf.DUMMYFUNCTION("""COMPUTED_VALUE"""),"No")</f>
        <v>No</v>
      </c>
      <c r="U365" s="5" t="str">
        <f>IFERROR(__xludf.DUMMYFUNCTION("""COMPUTED_VALUE"""),"No")</f>
        <v>No</v>
      </c>
      <c r="V365" s="5" t="str">
        <f>IFERROR(__xludf.DUMMYFUNCTION("""COMPUTED_VALUE"""),"No")</f>
        <v>No</v>
      </c>
      <c r="W365" s="5" t="str">
        <f>IFERROR(__xludf.DUMMYFUNCTION("""COMPUTED_VALUE"""),"No")</f>
        <v>No</v>
      </c>
      <c r="X365" s="5"/>
      <c r="Y365" s="5"/>
      <c r="Z365" s="5"/>
      <c r="AA365" s="5"/>
      <c r="AB365" s="5"/>
      <c r="AC365" s="5" t="str">
        <f>IFERROR(__xludf.DUMMYFUNCTION("""COMPUTED_VALUE"""),"No")</f>
        <v>No</v>
      </c>
      <c r="AD365" s="5"/>
      <c r="AE365" s="5"/>
      <c r="AF365" s="5"/>
      <c r="AG365" s="5"/>
      <c r="AH365" s="5"/>
      <c r="AI365" s="5"/>
      <c r="AJ365" s="5"/>
      <c r="AK365" s="5"/>
      <c r="AL365" s="5"/>
      <c r="AM365" s="5"/>
      <c r="AN365" s="5"/>
      <c r="AO365" s="5"/>
      <c r="AP365" s="5"/>
      <c r="AQ365" s="5"/>
      <c r="AR365" s="5"/>
      <c r="AS365" s="5"/>
      <c r="AT365" s="5"/>
      <c r="AU365" s="5"/>
      <c r="AV365" s="5"/>
      <c r="AW365" s="5"/>
      <c r="AX365" s="5"/>
      <c r="AY365" s="5"/>
    </row>
    <row r="366">
      <c r="A366" s="5" t="str">
        <f>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6" s="5">
        <f>IFERROR(__xludf.DUMMYFUNCTION("""COMPUTED_VALUE"""),370.0)</f>
        <v>370</v>
      </c>
      <c r="C366" s="5">
        <f>IFERROR(__xludf.DUMMYFUNCTION("""COMPUTED_VALUE"""),346.0)</f>
        <v>346</v>
      </c>
      <c r="D366" s="5" t="str">
        <f>IFERROR(__xludf.DUMMYFUNCTION("""COMPUTED_VALUE"""),"FortuneClover5")</f>
        <v>FortuneClover5</v>
      </c>
      <c r="E366" s="5" t="str">
        <f>IFERROR(__xludf.DUMMYFUNCTION("""COMPUTED_VALUE"""),"Yes")</f>
        <v>Yes</v>
      </c>
      <c r="F366" s="5" t="str">
        <f>IFERROR(__xludf.DUMMYFUNCTION("""COMPUTED_VALUE"""),"Yes")</f>
        <v>Yes</v>
      </c>
      <c r="G366" s="5" t="str">
        <f>IFERROR(__xludf.DUMMYFUNCTION("""COMPUTED_VALUE"""),"No")</f>
        <v>No</v>
      </c>
      <c r="H366" s="5" t="str">
        <f>IFERROR(__xludf.DUMMYFUNCTION("""COMPUTED_VALUE"""),"Yes")</f>
        <v>Yes</v>
      </c>
      <c r="I366" s="5" t="str">
        <f>IFERROR(__xludf.DUMMYFUNCTION("""COMPUTED_VALUE"""),"Yes")</f>
        <v>Yes</v>
      </c>
      <c r="J366" s="5" t="str">
        <f>IFERROR(__xludf.DUMMYFUNCTION("""COMPUTED_VALUE"""),"Yes")</f>
        <v>Yes</v>
      </c>
      <c r="K366" s="5" t="str">
        <f>IFERROR(__xludf.DUMMYFUNCTION("""COMPUTED_VALUE"""),"Yes")</f>
        <v>Yes</v>
      </c>
      <c r="L366" s="5" t="str">
        <f>IFERROR(__xludf.DUMMYFUNCTION("""COMPUTED_VALUE"""),"Yes")</f>
        <v>Yes</v>
      </c>
      <c r="M366" s="5" t="str">
        <f>IFERROR(__xludf.DUMMYFUNCTION("""COMPUTED_VALUE"""),"Yes")</f>
        <v>Yes</v>
      </c>
      <c r="N366" s="5" t="str">
        <f>IFERROR(__xludf.DUMMYFUNCTION("""COMPUTED_VALUE"""),"Yes")</f>
        <v>Yes</v>
      </c>
      <c r="O366" s="5" t="str">
        <f>IFERROR(__xludf.DUMMYFUNCTION("""COMPUTED_VALUE"""),"Yes")</f>
        <v>Yes</v>
      </c>
      <c r="P366" s="5" t="str">
        <f>IFERROR(__xludf.DUMMYFUNCTION("""COMPUTED_VALUE"""),"Yes")</f>
        <v>Yes</v>
      </c>
      <c r="Q366" s="5" t="str">
        <f>IFERROR(__xludf.DUMMYFUNCTION("""COMPUTED_VALUE"""),"Yes")</f>
        <v>Yes</v>
      </c>
      <c r="R366" s="5" t="str">
        <f>IFERROR(__xludf.DUMMYFUNCTION("""COMPUTED_VALUE"""),"No")</f>
        <v>No</v>
      </c>
      <c r="S366" s="5" t="str">
        <f>IFERROR(__xludf.DUMMYFUNCTION("""COMPUTED_VALUE"""),"Yes")</f>
        <v>Yes</v>
      </c>
      <c r="T366" s="5" t="str">
        <f>IFERROR(__xludf.DUMMYFUNCTION("""COMPUTED_VALUE"""),"No")</f>
        <v>No</v>
      </c>
      <c r="U366" s="5" t="str">
        <f>IFERROR(__xludf.DUMMYFUNCTION("""COMPUTED_VALUE"""),"No")</f>
        <v>No</v>
      </c>
      <c r="V366" s="5" t="str">
        <f>IFERROR(__xludf.DUMMYFUNCTION("""COMPUTED_VALUE"""),"No")</f>
        <v>No</v>
      </c>
      <c r="W366" s="5" t="str">
        <f>IFERROR(__xludf.DUMMYFUNCTION("""COMPUTED_VALUE"""),"No")</f>
        <v>No</v>
      </c>
      <c r="X366" s="5" t="str">
        <f>IFERROR(__xludf.DUMMYFUNCTION("""COMPUTED_VALUE"""),"No")</f>
        <v>No</v>
      </c>
      <c r="Y366" s="5" t="str">
        <f>IFERROR(__xludf.DUMMYFUNCTION("""COMPUTED_VALUE"""),"No")</f>
        <v>No</v>
      </c>
      <c r="Z366" s="5" t="str">
        <f>IFERROR(__xludf.DUMMYFUNCTION("""COMPUTED_VALUE"""),"No")</f>
        <v>No</v>
      </c>
      <c r="AA366" s="5" t="str">
        <f>IFERROR(__xludf.DUMMYFUNCTION("""COMPUTED_VALUE"""),"No")</f>
        <v>No</v>
      </c>
      <c r="AB366" s="5" t="str">
        <f>IFERROR(__xludf.DUMMYFUNCTION("""COMPUTED_VALUE"""),"No")</f>
        <v>No</v>
      </c>
      <c r="AC366" s="5" t="str">
        <f>IFERROR(__xludf.DUMMYFUNCTION("""COMPUTED_VALUE"""),"No")</f>
        <v>No</v>
      </c>
      <c r="AD366" s="5" t="str">
        <f>IFERROR(__xludf.DUMMYFUNCTION("""COMPUTED_VALUE"""),"No")</f>
        <v>No</v>
      </c>
      <c r="AE366" s="5" t="str">
        <f>IFERROR(__xludf.DUMMYFUNCTION("""COMPUTED_VALUE"""),"No")</f>
        <v>No</v>
      </c>
      <c r="AF366" s="5" t="str">
        <f>IFERROR(__xludf.DUMMYFUNCTION("""COMPUTED_VALUE"""),"Yes")</f>
        <v>Yes</v>
      </c>
      <c r="AG366" s="5" t="str">
        <f>IFERROR(__xludf.DUMMYFUNCTION("""COMPUTED_VALUE"""),"No")</f>
        <v>No</v>
      </c>
      <c r="AH366" s="5" t="str">
        <f>IFERROR(__xludf.DUMMYFUNCTION("""COMPUTED_VALUE"""),"Yes")</f>
        <v>Yes</v>
      </c>
      <c r="AI366" s="5" t="str">
        <f>IFERROR(__xludf.DUMMYFUNCTION("""COMPUTED_VALUE"""),"No")</f>
        <v>No</v>
      </c>
      <c r="AJ366" s="5" t="str">
        <f>IFERROR(__xludf.DUMMYFUNCTION("""COMPUTED_VALUE"""),"No")</f>
        <v>No</v>
      </c>
      <c r="AK366" s="5" t="str">
        <f>IFERROR(__xludf.DUMMYFUNCTION("""COMPUTED_VALUE"""),"No")</f>
        <v>No</v>
      </c>
      <c r="AL366" s="5" t="str">
        <f>IFERROR(__xludf.DUMMYFUNCTION("""COMPUTED_VALUE"""),"No")</f>
        <v>No</v>
      </c>
      <c r="AM366" s="5"/>
      <c r="AN366" s="5"/>
      <c r="AO366" s="5"/>
      <c r="AP366" s="5"/>
      <c r="AQ366" s="5"/>
      <c r="AR366" s="5"/>
      <c r="AS366" s="5"/>
      <c r="AT366" s="5"/>
      <c r="AU366" s="5"/>
      <c r="AV366" s="5"/>
      <c r="AW366" s="5"/>
      <c r="AX366" s="5"/>
      <c r="AY366" s="5"/>
    </row>
    <row r="367">
      <c r="A367"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7" s="5">
        <f>IFERROR(__xludf.DUMMYFUNCTION("""COMPUTED_VALUE"""),371.0)</f>
        <v>371</v>
      </c>
      <c r="C367" s="5">
        <f>IFERROR(__xludf.DUMMYFUNCTION("""COMPUTED_VALUE"""),347.0)</f>
        <v>347</v>
      </c>
      <c r="D367" s="5" t="str">
        <f>IFERROR(__xludf.DUMMYFUNCTION("""COMPUTED_VALUE"""),"MajesticCrown10")</f>
        <v>MajesticCrown10</v>
      </c>
      <c r="E367" s="5" t="str">
        <f>IFERROR(__xludf.DUMMYFUNCTION("""COMPUTED_VALUE"""),"Yes")</f>
        <v>Yes</v>
      </c>
      <c r="F367" s="5" t="str">
        <f>IFERROR(__xludf.DUMMYFUNCTION("""COMPUTED_VALUE"""),"Yes")</f>
        <v>Yes</v>
      </c>
      <c r="G367" s="5" t="str">
        <f>IFERROR(__xludf.DUMMYFUNCTION("""COMPUTED_VALUE"""),"Yes")</f>
        <v>Yes</v>
      </c>
      <c r="H367" s="5" t="str">
        <f>IFERROR(__xludf.DUMMYFUNCTION("""COMPUTED_VALUE"""),"Yes")</f>
        <v>Yes</v>
      </c>
      <c r="I367" s="5" t="str">
        <f>IFERROR(__xludf.DUMMYFUNCTION("""COMPUTED_VALUE"""),"Yes")</f>
        <v>Yes</v>
      </c>
      <c r="J367" s="5" t="str">
        <f>IFERROR(__xludf.DUMMYFUNCTION("""COMPUTED_VALUE"""),"Yes")</f>
        <v>Yes</v>
      </c>
      <c r="K367" s="5" t="str">
        <f>IFERROR(__xludf.DUMMYFUNCTION("""COMPUTED_VALUE"""),"Yes")</f>
        <v>Yes</v>
      </c>
      <c r="L367" s="5" t="str">
        <f>IFERROR(__xludf.DUMMYFUNCTION("""COMPUTED_VALUE"""),"Yes")</f>
        <v>Yes</v>
      </c>
      <c r="M367" s="5" t="str">
        <f>IFERROR(__xludf.DUMMYFUNCTION("""COMPUTED_VALUE"""),"Yes")</f>
        <v>Yes</v>
      </c>
      <c r="N367" s="5" t="str">
        <f>IFERROR(__xludf.DUMMYFUNCTION("""COMPUTED_VALUE"""),"Yes")</f>
        <v>Yes</v>
      </c>
      <c r="O367" s="5" t="str">
        <f>IFERROR(__xludf.DUMMYFUNCTION("""COMPUTED_VALUE"""),"Yes")</f>
        <v>Yes</v>
      </c>
      <c r="P367" s="5" t="str">
        <f>IFERROR(__xludf.DUMMYFUNCTION("""COMPUTED_VALUE"""),"Yes")</f>
        <v>Yes</v>
      </c>
      <c r="Q367" s="5" t="str">
        <f>IFERROR(__xludf.DUMMYFUNCTION("""COMPUTED_VALUE"""),"Yes")</f>
        <v>Yes</v>
      </c>
      <c r="R367" s="5" t="str">
        <f>IFERROR(__xludf.DUMMYFUNCTION("""COMPUTED_VALUE"""),"Yes")</f>
        <v>Yes</v>
      </c>
      <c r="S367" s="5" t="str">
        <f>IFERROR(__xludf.DUMMYFUNCTION("""COMPUTED_VALUE"""),"Yes")</f>
        <v>Yes</v>
      </c>
      <c r="T367" s="5" t="str">
        <f>IFERROR(__xludf.DUMMYFUNCTION("""COMPUTED_VALUE"""),"No")</f>
        <v>No</v>
      </c>
      <c r="U367" s="5" t="str">
        <f>IFERROR(__xludf.DUMMYFUNCTION("""COMPUTED_VALUE"""),"No")</f>
        <v>No</v>
      </c>
      <c r="V367" s="5" t="str">
        <f>IFERROR(__xludf.DUMMYFUNCTION("""COMPUTED_VALUE"""),"No")</f>
        <v>No</v>
      </c>
      <c r="W367" s="5" t="str">
        <f>IFERROR(__xludf.DUMMYFUNCTION("""COMPUTED_VALUE"""),"No")</f>
        <v>No</v>
      </c>
      <c r="X367" s="5"/>
      <c r="Y367" s="5"/>
      <c r="Z367" s="5"/>
      <c r="AA367" s="5"/>
      <c r="AB367" s="5"/>
      <c r="AC367" s="5" t="str">
        <f>IFERROR(__xludf.DUMMYFUNCTION("""COMPUTED_VALUE"""),"No")</f>
        <v>No</v>
      </c>
      <c r="AD367" s="5"/>
      <c r="AE367" s="5"/>
      <c r="AF367" s="5" t="str">
        <f>IFERROR(__xludf.DUMMYFUNCTION("""COMPUTED_VALUE"""),"Yes")</f>
        <v>Yes</v>
      </c>
      <c r="AG367" s="5"/>
      <c r="AH367" s="5" t="str">
        <f>IFERROR(__xludf.DUMMYFUNCTION("""COMPUTED_VALUE"""),"Yes")</f>
        <v>Yes</v>
      </c>
      <c r="AI367" s="5"/>
      <c r="AJ367" s="5"/>
      <c r="AK367" s="5"/>
      <c r="AL367" s="5"/>
      <c r="AM367" s="5"/>
      <c r="AN367" s="5"/>
      <c r="AO367" s="5"/>
      <c r="AP367" s="5"/>
      <c r="AQ367" s="5"/>
      <c r="AR367" s="5"/>
      <c r="AS367" s="5"/>
      <c r="AT367" s="5"/>
      <c r="AU367" s="5"/>
      <c r="AV367" s="5"/>
      <c r="AW367" s="5"/>
      <c r="AX367" s="5"/>
      <c r="AY367" s="5"/>
    </row>
    <row r="368">
      <c r="A3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68" s="5">
        <f>IFERROR(__xludf.DUMMYFUNCTION("""COMPUTED_VALUE"""),373.0)</f>
        <v>373</v>
      </c>
      <c r="C368" s="5">
        <f>IFERROR(__xludf.DUMMYFUNCTION("""COMPUTED_VALUE"""),350.0)</f>
        <v>350</v>
      </c>
      <c r="D368" s="5" t="str">
        <f>IFERROR(__xludf.DUMMYFUNCTION("""COMPUTED_VALUE"""),"RedstoneDoubleFireClover")</f>
        <v>RedstoneDoubleFireClover</v>
      </c>
      <c r="E368" s="5" t="str">
        <f>IFERROR(__xludf.DUMMYFUNCTION("""COMPUTED_VALUE"""),"Yes")</f>
        <v>Yes</v>
      </c>
      <c r="F368" s="5" t="str">
        <f>IFERROR(__xludf.DUMMYFUNCTION("""COMPUTED_VALUE"""),"Yes")</f>
        <v>Yes</v>
      </c>
      <c r="G368" s="5" t="str">
        <f>IFERROR(__xludf.DUMMYFUNCTION("""COMPUTED_VALUE"""),"Yes")</f>
        <v>Yes</v>
      </c>
      <c r="H368" s="5" t="str">
        <f>IFERROR(__xludf.DUMMYFUNCTION("""COMPUTED_VALUE"""),"Yes")</f>
        <v>Yes</v>
      </c>
      <c r="I368" s="5" t="str">
        <f>IFERROR(__xludf.DUMMYFUNCTION("""COMPUTED_VALUE"""),"Yes")</f>
        <v>Yes</v>
      </c>
      <c r="J368" s="5" t="str">
        <f>IFERROR(__xludf.DUMMYFUNCTION("""COMPUTED_VALUE"""),"Yes")</f>
        <v>Yes</v>
      </c>
      <c r="K368" s="5" t="str">
        <f>IFERROR(__xludf.DUMMYFUNCTION("""COMPUTED_VALUE"""),"Yes")</f>
        <v>Yes</v>
      </c>
      <c r="L368" s="5" t="str">
        <f>IFERROR(__xludf.DUMMYFUNCTION("""COMPUTED_VALUE"""),"Yes")</f>
        <v>Yes</v>
      </c>
      <c r="M368" s="5" t="str">
        <f>IFERROR(__xludf.DUMMYFUNCTION("""COMPUTED_VALUE"""),"Yes")</f>
        <v>Yes</v>
      </c>
      <c r="N368" s="5" t="str">
        <f>IFERROR(__xludf.DUMMYFUNCTION("""COMPUTED_VALUE"""),"Yes")</f>
        <v>Yes</v>
      </c>
      <c r="O368" s="5" t="str">
        <f>IFERROR(__xludf.DUMMYFUNCTION("""COMPUTED_VALUE"""),"Yes")</f>
        <v>Yes</v>
      </c>
      <c r="P368" s="5" t="str">
        <f>IFERROR(__xludf.DUMMYFUNCTION("""COMPUTED_VALUE"""),"Yes")</f>
        <v>Yes</v>
      </c>
      <c r="Q368" s="5" t="str">
        <f>IFERROR(__xludf.DUMMYFUNCTION("""COMPUTED_VALUE"""),"Yes")</f>
        <v>Yes</v>
      </c>
      <c r="R368" s="5" t="str">
        <f>IFERROR(__xludf.DUMMYFUNCTION("""COMPUTED_VALUE"""),"Yes")</f>
        <v>Yes</v>
      </c>
      <c r="S368" s="5" t="str">
        <f>IFERROR(__xludf.DUMMYFUNCTION("""COMPUTED_VALUE"""),"Yes")</f>
        <v>Yes</v>
      </c>
      <c r="T368" s="5" t="str">
        <f>IFERROR(__xludf.DUMMYFUNCTION("""COMPUTED_VALUE"""),"Yes")</f>
        <v>Yes</v>
      </c>
      <c r="U368" s="5" t="str">
        <f>IFERROR(__xludf.DUMMYFUNCTION("""COMPUTED_VALUE"""),"Yes")</f>
        <v>Yes</v>
      </c>
      <c r="V368" s="5" t="str">
        <f>IFERROR(__xludf.DUMMYFUNCTION("""COMPUTED_VALUE"""),"Yes")</f>
        <v>Yes</v>
      </c>
      <c r="W368" s="5" t="str">
        <f>IFERROR(__xludf.DUMMYFUNCTION("""COMPUTED_VALUE"""),"Yes")</f>
        <v>Yes</v>
      </c>
      <c r="X368" s="5"/>
      <c r="Y368" s="5"/>
      <c r="Z368" s="5"/>
      <c r="AA368" s="5"/>
      <c r="AB368" s="5"/>
      <c r="AC368" s="5" t="str">
        <f>IFERROR(__xludf.DUMMYFUNCTION("""COMPUTED_VALUE"""),"Yes")</f>
        <v>Yes</v>
      </c>
      <c r="AD368" s="5"/>
      <c r="AE368" s="5"/>
      <c r="AF368" s="5"/>
      <c r="AG368" s="5"/>
      <c r="AH368" s="5"/>
      <c r="AI368" s="5"/>
      <c r="AJ368" s="5"/>
      <c r="AK368" s="5"/>
      <c r="AL368" s="5"/>
      <c r="AM368" s="5"/>
      <c r="AN368" s="5"/>
      <c r="AO368" s="5"/>
      <c r="AP368" s="5"/>
      <c r="AQ368" s="5"/>
      <c r="AR368" s="5"/>
      <c r="AS368" s="5"/>
      <c r="AT368" s="5"/>
      <c r="AU368" s="5"/>
      <c r="AV368" s="5"/>
      <c r="AW368" s="5"/>
      <c r="AX368" s="5"/>
      <c r="AY368" s="5"/>
    </row>
    <row r="369">
      <c r="A36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9" s="5">
        <f>IFERROR(__xludf.DUMMYFUNCTION("""COMPUTED_VALUE"""),374.0)</f>
        <v>374</v>
      </c>
      <c r="C369" s="5">
        <f>IFERROR(__xludf.DUMMYFUNCTION("""COMPUTED_VALUE"""),351.0)</f>
        <v>351</v>
      </c>
      <c r="D369" s="5" t="str">
        <f>IFERROR(__xludf.DUMMYFUNCTION("""COMPUTED_VALUE"""),"PlayNetFortuneClover40")</f>
        <v>PlayNetFortuneClover40</v>
      </c>
      <c r="E369" s="5" t="str">
        <f>IFERROR(__xludf.DUMMYFUNCTION("""COMPUTED_VALUE"""),"Yes")</f>
        <v>Yes</v>
      </c>
      <c r="F369" s="5" t="str">
        <f>IFERROR(__xludf.DUMMYFUNCTION("""COMPUTED_VALUE"""),"Yes")</f>
        <v>Yes</v>
      </c>
      <c r="G369" s="5" t="str">
        <f>IFERROR(__xludf.DUMMYFUNCTION("""COMPUTED_VALUE"""),"Yes")</f>
        <v>Yes</v>
      </c>
      <c r="H369" s="5" t="str">
        <f>IFERROR(__xludf.DUMMYFUNCTION("""COMPUTED_VALUE"""),"Yes")</f>
        <v>Yes</v>
      </c>
      <c r="I369" s="5" t="str">
        <f>IFERROR(__xludf.DUMMYFUNCTION("""COMPUTED_VALUE"""),"Yes")</f>
        <v>Yes</v>
      </c>
      <c r="J369" s="5" t="str">
        <f>IFERROR(__xludf.DUMMYFUNCTION("""COMPUTED_VALUE"""),"Yes")</f>
        <v>Yes</v>
      </c>
      <c r="K369" s="5" t="str">
        <f>IFERROR(__xludf.DUMMYFUNCTION("""COMPUTED_VALUE"""),"Yes")</f>
        <v>Yes</v>
      </c>
      <c r="L369" s="5" t="str">
        <f>IFERROR(__xludf.DUMMYFUNCTION("""COMPUTED_VALUE"""),"Yes")</f>
        <v>Yes</v>
      </c>
      <c r="M369" s="5" t="str">
        <f>IFERROR(__xludf.DUMMYFUNCTION("""COMPUTED_VALUE"""),"Yes")</f>
        <v>Yes</v>
      </c>
      <c r="N369" s="5" t="str">
        <f>IFERROR(__xludf.DUMMYFUNCTION("""COMPUTED_VALUE"""),"Yes")</f>
        <v>Yes</v>
      </c>
      <c r="O369" s="5" t="str">
        <f>IFERROR(__xludf.DUMMYFUNCTION("""COMPUTED_VALUE"""),"Yes")</f>
        <v>Yes</v>
      </c>
      <c r="P369" s="5" t="str">
        <f>IFERROR(__xludf.DUMMYFUNCTION("""COMPUTED_VALUE"""),"Yes")</f>
        <v>Yes</v>
      </c>
      <c r="Q369" s="5" t="str">
        <f>IFERROR(__xludf.DUMMYFUNCTION("""COMPUTED_VALUE"""),"Yes")</f>
        <v>Yes</v>
      </c>
      <c r="R369" s="5" t="str">
        <f>IFERROR(__xludf.DUMMYFUNCTION("""COMPUTED_VALUE"""),"Yes")</f>
        <v>Yes</v>
      </c>
      <c r="S369" s="5" t="str">
        <f>IFERROR(__xludf.DUMMYFUNCTION("""COMPUTED_VALUE"""),"Yes")</f>
        <v>Yes</v>
      </c>
      <c r="T369" s="5" t="str">
        <f>IFERROR(__xludf.DUMMYFUNCTION("""COMPUTED_VALUE"""),"No")</f>
        <v>No</v>
      </c>
      <c r="U369" s="5" t="str">
        <f>IFERROR(__xludf.DUMMYFUNCTION("""COMPUTED_VALUE"""),"No")</f>
        <v>No</v>
      </c>
      <c r="V369" s="5" t="str">
        <f>IFERROR(__xludf.DUMMYFUNCTION("""COMPUTED_VALUE"""),"No")</f>
        <v>No</v>
      </c>
      <c r="W369" s="5" t="str">
        <f>IFERROR(__xludf.DUMMYFUNCTION("""COMPUTED_VALUE"""),"No")</f>
        <v>No</v>
      </c>
      <c r="X369" s="5" t="str">
        <f>IFERROR(__xludf.DUMMYFUNCTION("""COMPUTED_VALUE"""),"No")</f>
        <v>No</v>
      </c>
      <c r="Y369" s="5" t="str">
        <f>IFERROR(__xludf.DUMMYFUNCTION("""COMPUTED_VALUE"""),"No")</f>
        <v>No</v>
      </c>
      <c r="Z369" s="5" t="str">
        <f>IFERROR(__xludf.DUMMYFUNCTION("""COMPUTED_VALUE"""),"No")</f>
        <v>No</v>
      </c>
      <c r="AA369" s="5" t="str">
        <f>IFERROR(__xludf.DUMMYFUNCTION("""COMPUTED_VALUE"""),"No")</f>
        <v>No</v>
      </c>
      <c r="AB369" s="5" t="str">
        <f>IFERROR(__xludf.DUMMYFUNCTION("""COMPUTED_VALUE"""),"No")</f>
        <v>No</v>
      </c>
      <c r="AC369" s="5" t="str">
        <f>IFERROR(__xludf.DUMMYFUNCTION("""COMPUTED_VALUE"""),"No")</f>
        <v>No</v>
      </c>
      <c r="AD369" s="5" t="str">
        <f>IFERROR(__xludf.DUMMYFUNCTION("""COMPUTED_VALUE"""),"No")</f>
        <v>No</v>
      </c>
      <c r="AE369" s="5" t="str">
        <f>IFERROR(__xludf.DUMMYFUNCTION("""COMPUTED_VALUE"""),"No")</f>
        <v>No</v>
      </c>
      <c r="AF369" s="5" t="str">
        <f>IFERROR(__xludf.DUMMYFUNCTION("""COMPUTED_VALUE"""),"Yes")</f>
        <v>Yes</v>
      </c>
      <c r="AG369" s="5" t="str">
        <f>IFERROR(__xludf.DUMMYFUNCTION("""COMPUTED_VALUE"""),"No")</f>
        <v>No</v>
      </c>
      <c r="AH369" s="5" t="str">
        <f>IFERROR(__xludf.DUMMYFUNCTION("""COMPUTED_VALUE"""),"Yes")</f>
        <v>Yes</v>
      </c>
      <c r="AI369" s="5" t="str">
        <f>IFERROR(__xludf.DUMMYFUNCTION("""COMPUTED_VALUE"""),"No")</f>
        <v>No</v>
      </c>
      <c r="AJ369" s="5" t="str">
        <f>IFERROR(__xludf.DUMMYFUNCTION("""COMPUTED_VALUE"""),"No")</f>
        <v>No</v>
      </c>
      <c r="AK369" s="5" t="str">
        <f>IFERROR(__xludf.DUMMYFUNCTION("""COMPUTED_VALUE"""),"No")</f>
        <v>No</v>
      </c>
      <c r="AL369" s="5" t="str">
        <f>IFERROR(__xludf.DUMMYFUNCTION("""COMPUTED_VALUE"""),"No")</f>
        <v>No</v>
      </c>
      <c r="AM369" s="5"/>
      <c r="AN369" s="5"/>
      <c r="AO369" s="5"/>
      <c r="AP369" s="5"/>
      <c r="AQ369" s="5"/>
      <c r="AR369" s="5"/>
      <c r="AS369" s="5"/>
      <c r="AT369" s="5"/>
      <c r="AU369" s="5"/>
      <c r="AV369" s="5"/>
      <c r="AW369" s="5"/>
      <c r="AX369" s="5"/>
      <c r="AY369" s="5"/>
    </row>
    <row r="370">
      <c r="A37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0" s="5">
        <f>IFERROR(__xludf.DUMMYFUNCTION("""COMPUTED_VALUE"""),375.0)</f>
        <v>375</v>
      </c>
      <c r="C370" s="5">
        <f>IFERROR(__xludf.DUMMYFUNCTION("""COMPUTED_VALUE"""),352.0)</f>
        <v>352</v>
      </c>
      <c r="D370" s="5" t="str">
        <f>IFERROR(__xludf.DUMMYFUNCTION("""COMPUTED_VALUE"""),"PlayNetDiamondHeart5")</f>
        <v>PlayNetDiamondHeart5</v>
      </c>
      <c r="E370" s="5" t="str">
        <f>IFERROR(__xludf.DUMMYFUNCTION("""COMPUTED_VALUE"""),"Yes")</f>
        <v>Yes</v>
      </c>
      <c r="F370" s="5" t="str">
        <f>IFERROR(__xludf.DUMMYFUNCTION("""COMPUTED_VALUE"""),"Yes")</f>
        <v>Yes</v>
      </c>
      <c r="G370" s="5" t="str">
        <f>IFERROR(__xludf.DUMMYFUNCTION("""COMPUTED_VALUE"""),"Yes")</f>
        <v>Yes</v>
      </c>
      <c r="H370" s="5" t="str">
        <f>IFERROR(__xludf.DUMMYFUNCTION("""COMPUTED_VALUE"""),"Yes")</f>
        <v>Yes</v>
      </c>
      <c r="I370" s="5" t="str">
        <f>IFERROR(__xludf.DUMMYFUNCTION("""COMPUTED_VALUE"""),"Yes")</f>
        <v>Yes</v>
      </c>
      <c r="J370" s="5" t="str">
        <f>IFERROR(__xludf.DUMMYFUNCTION("""COMPUTED_VALUE"""),"Yes")</f>
        <v>Yes</v>
      </c>
      <c r="K370" s="5" t="str">
        <f>IFERROR(__xludf.DUMMYFUNCTION("""COMPUTED_VALUE"""),"Yes")</f>
        <v>Yes</v>
      </c>
      <c r="L370" s="5" t="str">
        <f>IFERROR(__xludf.DUMMYFUNCTION("""COMPUTED_VALUE"""),"Yes")</f>
        <v>Yes</v>
      </c>
      <c r="M370" s="5" t="str">
        <f>IFERROR(__xludf.DUMMYFUNCTION("""COMPUTED_VALUE"""),"Yes")</f>
        <v>Yes</v>
      </c>
      <c r="N370" s="5" t="str">
        <f>IFERROR(__xludf.DUMMYFUNCTION("""COMPUTED_VALUE"""),"Yes")</f>
        <v>Yes</v>
      </c>
      <c r="O370" s="5" t="str">
        <f>IFERROR(__xludf.DUMMYFUNCTION("""COMPUTED_VALUE"""),"Yes")</f>
        <v>Yes</v>
      </c>
      <c r="P370" s="5" t="str">
        <f>IFERROR(__xludf.DUMMYFUNCTION("""COMPUTED_VALUE"""),"Yes")</f>
        <v>Yes</v>
      </c>
      <c r="Q370" s="5" t="str">
        <f>IFERROR(__xludf.DUMMYFUNCTION("""COMPUTED_VALUE"""),"Yes")</f>
        <v>Yes</v>
      </c>
      <c r="R370" s="5" t="str">
        <f>IFERROR(__xludf.DUMMYFUNCTION("""COMPUTED_VALUE"""),"Yes")</f>
        <v>Yes</v>
      </c>
      <c r="S370" s="5" t="str">
        <f>IFERROR(__xludf.DUMMYFUNCTION("""COMPUTED_VALUE"""),"Yes")</f>
        <v>Yes</v>
      </c>
      <c r="T370" s="5" t="str">
        <f>IFERROR(__xludf.DUMMYFUNCTION("""COMPUTED_VALUE"""),"No")</f>
        <v>No</v>
      </c>
      <c r="U370" s="5" t="str">
        <f>IFERROR(__xludf.DUMMYFUNCTION("""COMPUTED_VALUE"""),"No")</f>
        <v>No</v>
      </c>
      <c r="V370" s="5" t="str">
        <f>IFERROR(__xludf.DUMMYFUNCTION("""COMPUTED_VALUE"""),"No")</f>
        <v>No</v>
      </c>
      <c r="W370" s="5" t="str">
        <f>IFERROR(__xludf.DUMMYFUNCTION("""COMPUTED_VALUE"""),"No")</f>
        <v>No</v>
      </c>
      <c r="X370" s="5"/>
      <c r="Y370" s="5"/>
      <c r="Z370" s="5"/>
      <c r="AA370" s="5"/>
      <c r="AB370" s="5"/>
      <c r="AC370" s="5" t="str">
        <f>IFERROR(__xludf.DUMMYFUNCTION("""COMPUTED_VALUE"""),"No")</f>
        <v>No</v>
      </c>
      <c r="AD370" s="5"/>
      <c r="AE370" s="5"/>
      <c r="AF370" s="5" t="str">
        <f>IFERROR(__xludf.DUMMYFUNCTION("""COMPUTED_VALUE"""),"Yes")</f>
        <v>Yes</v>
      </c>
      <c r="AG370" s="5"/>
      <c r="AH370" s="5" t="str">
        <f>IFERROR(__xludf.DUMMYFUNCTION("""COMPUTED_VALUE"""),"Yes")</f>
        <v>Yes</v>
      </c>
      <c r="AI370" s="5"/>
      <c r="AJ370" s="5"/>
      <c r="AK370" s="5"/>
      <c r="AL370" s="5"/>
      <c r="AM370" s="5"/>
      <c r="AN370" s="5"/>
      <c r="AO370" s="5"/>
      <c r="AP370" s="5"/>
      <c r="AQ370" s="5"/>
      <c r="AR370" s="5"/>
      <c r="AS370" s="5"/>
      <c r="AT370" s="5"/>
      <c r="AU370" s="5"/>
      <c r="AV370" s="5"/>
      <c r="AW370" s="5"/>
      <c r="AX370" s="5"/>
      <c r="AY370" s="5"/>
    </row>
    <row r="371">
      <c r="A3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1" s="5">
        <f>IFERROR(__xludf.DUMMYFUNCTION("""COMPUTED_VALUE"""),376.0)</f>
        <v>376</v>
      </c>
      <c r="C371" s="5">
        <f>IFERROR(__xludf.DUMMYFUNCTION("""COMPUTED_VALUE"""),354.0)</f>
        <v>354</v>
      </c>
      <c r="D371" s="5" t="str">
        <f>IFERROR(__xludf.DUMMYFUNCTION("""COMPUTED_VALUE"""),"Redstone100CloverFire")</f>
        <v>Redstone100CloverFire</v>
      </c>
      <c r="E371" s="5" t="str">
        <f>IFERROR(__xludf.DUMMYFUNCTION("""COMPUTED_VALUE"""),"Yes")</f>
        <v>Yes</v>
      </c>
      <c r="F371" s="5" t="str">
        <f>IFERROR(__xludf.DUMMYFUNCTION("""COMPUTED_VALUE"""),"Yes")</f>
        <v>Yes</v>
      </c>
      <c r="G371" s="5" t="str">
        <f>IFERROR(__xludf.DUMMYFUNCTION("""COMPUTED_VALUE"""),"Yes")</f>
        <v>Yes</v>
      </c>
      <c r="H371" s="5" t="str">
        <f>IFERROR(__xludf.DUMMYFUNCTION("""COMPUTED_VALUE"""),"Yes")</f>
        <v>Yes</v>
      </c>
      <c r="I371" s="5" t="str">
        <f>IFERROR(__xludf.DUMMYFUNCTION("""COMPUTED_VALUE"""),"Yes")</f>
        <v>Yes</v>
      </c>
      <c r="J371" s="5" t="str">
        <f>IFERROR(__xludf.DUMMYFUNCTION("""COMPUTED_VALUE"""),"Yes")</f>
        <v>Yes</v>
      </c>
      <c r="K371" s="5" t="str">
        <f>IFERROR(__xludf.DUMMYFUNCTION("""COMPUTED_VALUE"""),"Yes")</f>
        <v>Yes</v>
      </c>
      <c r="L371" s="5" t="str">
        <f>IFERROR(__xludf.DUMMYFUNCTION("""COMPUTED_VALUE"""),"Yes")</f>
        <v>Yes</v>
      </c>
      <c r="M371" s="5" t="str">
        <f>IFERROR(__xludf.DUMMYFUNCTION("""COMPUTED_VALUE"""),"Yes")</f>
        <v>Yes</v>
      </c>
      <c r="N371" s="5" t="str">
        <f>IFERROR(__xludf.DUMMYFUNCTION("""COMPUTED_VALUE"""),"Yes")</f>
        <v>Yes</v>
      </c>
      <c r="O371" s="5" t="str">
        <f>IFERROR(__xludf.DUMMYFUNCTION("""COMPUTED_VALUE"""),"Yes")</f>
        <v>Yes</v>
      </c>
      <c r="P371" s="5" t="str">
        <f>IFERROR(__xludf.DUMMYFUNCTION("""COMPUTED_VALUE"""),"Yes")</f>
        <v>Yes</v>
      </c>
      <c r="Q371" s="5" t="str">
        <f>IFERROR(__xludf.DUMMYFUNCTION("""COMPUTED_VALUE"""),"Yes")</f>
        <v>Yes</v>
      </c>
      <c r="R371" s="5" t="str">
        <f>IFERROR(__xludf.DUMMYFUNCTION("""COMPUTED_VALUE"""),"Yes")</f>
        <v>Yes</v>
      </c>
      <c r="S371" s="5" t="str">
        <f>IFERROR(__xludf.DUMMYFUNCTION("""COMPUTED_VALUE"""),"Yes")</f>
        <v>Yes</v>
      </c>
      <c r="T371" s="5" t="str">
        <f>IFERROR(__xludf.DUMMYFUNCTION("""COMPUTED_VALUE"""),"Yes")</f>
        <v>Yes</v>
      </c>
      <c r="U371" s="5" t="str">
        <f>IFERROR(__xludf.DUMMYFUNCTION("""COMPUTED_VALUE"""),"Yes")</f>
        <v>Yes</v>
      </c>
      <c r="V371" s="5" t="str">
        <f>IFERROR(__xludf.DUMMYFUNCTION("""COMPUTED_VALUE"""),"Yes")</f>
        <v>Yes</v>
      </c>
      <c r="W371" s="5" t="str">
        <f>IFERROR(__xludf.DUMMYFUNCTION("""COMPUTED_VALUE"""),"Yes")</f>
        <v>Yes</v>
      </c>
      <c r="X371" s="5"/>
      <c r="Y371" s="5"/>
      <c r="Z371" s="5"/>
      <c r="AA371" s="5"/>
      <c r="AB371" s="5"/>
      <c r="AC371" s="5" t="str">
        <f>IFERROR(__xludf.DUMMYFUNCTION("""COMPUTED_VALUE"""),"Yes")</f>
        <v>Yes</v>
      </c>
      <c r="AD371" s="5"/>
      <c r="AE371" s="5"/>
      <c r="AF371" s="5"/>
      <c r="AG371" s="5"/>
      <c r="AH371" s="5"/>
      <c r="AI371" s="5"/>
      <c r="AJ371" s="5"/>
      <c r="AK371" s="5"/>
      <c r="AL371" s="5"/>
      <c r="AM371" s="5"/>
      <c r="AN371" s="5"/>
      <c r="AO371" s="5"/>
      <c r="AP371" s="5"/>
      <c r="AQ371" s="5"/>
      <c r="AR371" s="5"/>
      <c r="AS371" s="5"/>
      <c r="AT371" s="5"/>
      <c r="AU371" s="5"/>
      <c r="AV371" s="5"/>
      <c r="AW371" s="5"/>
      <c r="AX371" s="5"/>
      <c r="AY371" s="5"/>
    </row>
    <row r="372">
      <c r="A37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2" s="5">
        <f>IFERROR(__xludf.DUMMYFUNCTION("""COMPUTED_VALUE"""),377.0)</f>
        <v>377</v>
      </c>
      <c r="C372" s="5">
        <f>IFERROR(__xludf.DUMMYFUNCTION("""COMPUTED_VALUE"""),355.0)</f>
        <v>355</v>
      </c>
      <c r="D372" s="5" t="str">
        <f>IFERROR(__xludf.DUMMYFUNCTION("""COMPUTED_VALUE"""),"RedstoneVolcanoCrown")</f>
        <v>RedstoneVolcanoCrown</v>
      </c>
      <c r="E372" s="5" t="str">
        <f>IFERROR(__xludf.DUMMYFUNCTION("""COMPUTED_VALUE"""),"Yes")</f>
        <v>Yes</v>
      </c>
      <c r="F372" s="5" t="str">
        <f>IFERROR(__xludf.DUMMYFUNCTION("""COMPUTED_VALUE"""),"Yes")</f>
        <v>Yes</v>
      </c>
      <c r="G372" s="5" t="str">
        <f>IFERROR(__xludf.DUMMYFUNCTION("""COMPUTED_VALUE"""),"No")</f>
        <v>No</v>
      </c>
      <c r="H372" s="5" t="str">
        <f>IFERROR(__xludf.DUMMYFUNCTION("""COMPUTED_VALUE"""),"Yes")</f>
        <v>Yes</v>
      </c>
      <c r="I372" s="5" t="str">
        <f>IFERROR(__xludf.DUMMYFUNCTION("""COMPUTED_VALUE"""),"Yes")</f>
        <v>Yes</v>
      </c>
      <c r="J372" s="5" t="str">
        <f>IFERROR(__xludf.DUMMYFUNCTION("""COMPUTED_VALUE"""),"Yes")</f>
        <v>Yes</v>
      </c>
      <c r="K372" s="5" t="str">
        <f>IFERROR(__xludf.DUMMYFUNCTION("""COMPUTED_VALUE"""),"Yes")</f>
        <v>Yes</v>
      </c>
      <c r="L372" s="5" t="str">
        <f>IFERROR(__xludf.DUMMYFUNCTION("""COMPUTED_VALUE"""),"Yes")</f>
        <v>Yes</v>
      </c>
      <c r="M372" s="5" t="str">
        <f>IFERROR(__xludf.DUMMYFUNCTION("""COMPUTED_VALUE"""),"Yes")</f>
        <v>Yes</v>
      </c>
      <c r="N372" s="5" t="str">
        <f>IFERROR(__xludf.DUMMYFUNCTION("""COMPUTED_VALUE"""),"Yes")</f>
        <v>Yes</v>
      </c>
      <c r="O372" s="5" t="str">
        <f>IFERROR(__xludf.DUMMYFUNCTION("""COMPUTED_VALUE"""),"Yes")</f>
        <v>Yes</v>
      </c>
      <c r="P372" s="5" t="str">
        <f>IFERROR(__xludf.DUMMYFUNCTION("""COMPUTED_VALUE"""),"Yes")</f>
        <v>Yes</v>
      </c>
      <c r="Q372" s="5" t="str">
        <f>IFERROR(__xludf.DUMMYFUNCTION("""COMPUTED_VALUE"""),"Yes")</f>
        <v>Yes</v>
      </c>
      <c r="R372" s="5" t="str">
        <f>IFERROR(__xludf.DUMMYFUNCTION("""COMPUTED_VALUE"""),"Yes")</f>
        <v>Yes</v>
      </c>
      <c r="S372" s="5" t="str">
        <f>IFERROR(__xludf.DUMMYFUNCTION("""COMPUTED_VALUE"""),"Yes")</f>
        <v>Yes</v>
      </c>
      <c r="T372" s="5" t="str">
        <f>IFERROR(__xludf.DUMMYFUNCTION("""COMPUTED_VALUE"""),"No")</f>
        <v>No</v>
      </c>
      <c r="U372" s="5" t="str">
        <f>IFERROR(__xludf.DUMMYFUNCTION("""COMPUTED_VALUE"""),"No")</f>
        <v>No</v>
      </c>
      <c r="V372" s="5" t="str">
        <f>IFERROR(__xludf.DUMMYFUNCTION("""COMPUTED_VALUE"""),"No")</f>
        <v>No</v>
      </c>
      <c r="W372" s="5" t="str">
        <f>IFERROR(__xludf.DUMMYFUNCTION("""COMPUTED_VALUE"""),"No")</f>
        <v>No</v>
      </c>
      <c r="X372" s="5" t="str">
        <f>IFERROR(__xludf.DUMMYFUNCTION("""COMPUTED_VALUE"""),"No")</f>
        <v>No</v>
      </c>
      <c r="Y372" s="5" t="str">
        <f>IFERROR(__xludf.DUMMYFUNCTION("""COMPUTED_VALUE"""),"No")</f>
        <v>No</v>
      </c>
      <c r="Z372" s="5" t="str">
        <f>IFERROR(__xludf.DUMMYFUNCTION("""COMPUTED_VALUE"""),"No")</f>
        <v>No</v>
      </c>
      <c r="AA372" s="5" t="str">
        <f>IFERROR(__xludf.DUMMYFUNCTION("""COMPUTED_VALUE"""),"No")</f>
        <v>No</v>
      </c>
      <c r="AB372" s="5" t="str">
        <f>IFERROR(__xludf.DUMMYFUNCTION("""COMPUTED_VALUE"""),"No")</f>
        <v>No</v>
      </c>
      <c r="AC372" s="5" t="str">
        <f>IFERROR(__xludf.DUMMYFUNCTION("""COMPUTED_VALUE"""),"No")</f>
        <v>No</v>
      </c>
      <c r="AD372" s="5" t="str">
        <f>IFERROR(__xludf.DUMMYFUNCTION("""COMPUTED_VALUE"""),"No")</f>
        <v>No</v>
      </c>
      <c r="AE372" s="5" t="str">
        <f>IFERROR(__xludf.DUMMYFUNCTION("""COMPUTED_VALUE"""),"No")</f>
        <v>No</v>
      </c>
      <c r="AF372" s="5" t="str">
        <f>IFERROR(__xludf.DUMMYFUNCTION("""COMPUTED_VALUE"""),"Yes")</f>
        <v>Yes</v>
      </c>
      <c r="AG372" s="5" t="str">
        <f>IFERROR(__xludf.DUMMYFUNCTION("""COMPUTED_VALUE"""),"No")</f>
        <v>No</v>
      </c>
      <c r="AH372" s="5" t="str">
        <f>IFERROR(__xludf.DUMMYFUNCTION("""COMPUTED_VALUE"""),"Yes")</f>
        <v>Yes</v>
      </c>
      <c r="AI372" s="5" t="str">
        <f>IFERROR(__xludf.DUMMYFUNCTION("""COMPUTED_VALUE"""),"No")</f>
        <v>No</v>
      </c>
      <c r="AJ372" s="5" t="str">
        <f>IFERROR(__xludf.DUMMYFUNCTION("""COMPUTED_VALUE"""),"No")</f>
        <v>No</v>
      </c>
      <c r="AK372" s="5" t="str">
        <f>IFERROR(__xludf.DUMMYFUNCTION("""COMPUTED_VALUE"""),"No")</f>
        <v>No</v>
      </c>
      <c r="AL372" s="5" t="str">
        <f>IFERROR(__xludf.DUMMYFUNCTION("""COMPUTED_VALUE"""),"No")</f>
        <v>No</v>
      </c>
      <c r="AM372" s="5"/>
      <c r="AN372" s="5"/>
      <c r="AO372" s="5"/>
      <c r="AP372" s="5"/>
      <c r="AQ372" s="5"/>
      <c r="AR372" s="5"/>
      <c r="AS372" s="5"/>
      <c r="AT372" s="5"/>
      <c r="AU372" s="5"/>
      <c r="AV372" s="5"/>
      <c r="AW372" s="5"/>
      <c r="AX372" s="5"/>
      <c r="AY372" s="5"/>
    </row>
    <row r="373">
      <c r="A37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3" s="5">
        <f>IFERROR(__xludf.DUMMYFUNCTION("""COMPUTED_VALUE"""),378.0)</f>
        <v>378</v>
      </c>
      <c r="C373" s="5">
        <f>IFERROR(__xludf.DUMMYFUNCTION("""COMPUTED_VALUE"""),356.0)</f>
        <v>356</v>
      </c>
      <c r="D373" s="5" t="str">
        <f>IFERROR(__xludf.DUMMYFUNCTION("""COMPUTED_VALUE"""),"UnicornGoldLineDice")</f>
        <v>UnicornGoldLineDice</v>
      </c>
      <c r="E373" s="5" t="str">
        <f>IFERROR(__xludf.DUMMYFUNCTION("""COMPUTED_VALUE"""),"Yes")</f>
        <v>Yes</v>
      </c>
      <c r="F373" s="5" t="str">
        <f>IFERROR(__xludf.DUMMYFUNCTION("""COMPUTED_VALUE"""),"Yes")</f>
        <v>Yes</v>
      </c>
      <c r="G373" s="5" t="str">
        <f>IFERROR(__xludf.DUMMYFUNCTION("""COMPUTED_VALUE"""),"No")</f>
        <v>No</v>
      </c>
      <c r="H373" s="5" t="str">
        <f>IFERROR(__xludf.DUMMYFUNCTION("""COMPUTED_VALUE"""),"Yes")</f>
        <v>Yes</v>
      </c>
      <c r="I373" s="5" t="str">
        <f>IFERROR(__xludf.DUMMYFUNCTION("""COMPUTED_VALUE"""),"Yes")</f>
        <v>Yes</v>
      </c>
      <c r="J373" s="5" t="str">
        <f>IFERROR(__xludf.DUMMYFUNCTION("""COMPUTED_VALUE"""),"Yes")</f>
        <v>Yes</v>
      </c>
      <c r="K373" s="5" t="str">
        <f>IFERROR(__xludf.DUMMYFUNCTION("""COMPUTED_VALUE"""),"Yes")</f>
        <v>Yes</v>
      </c>
      <c r="L373" s="5" t="str">
        <f>IFERROR(__xludf.DUMMYFUNCTION("""COMPUTED_VALUE"""),"Yes")</f>
        <v>Yes</v>
      </c>
      <c r="M373" s="5" t="str">
        <f>IFERROR(__xludf.DUMMYFUNCTION("""COMPUTED_VALUE"""),"Yes")</f>
        <v>Yes</v>
      </c>
      <c r="N373" s="5" t="str">
        <f>IFERROR(__xludf.DUMMYFUNCTION("""COMPUTED_VALUE"""),"Yes")</f>
        <v>Yes</v>
      </c>
      <c r="O373" s="5" t="str">
        <f>IFERROR(__xludf.DUMMYFUNCTION("""COMPUTED_VALUE"""),"Yes")</f>
        <v>Yes</v>
      </c>
      <c r="P373" s="5" t="str">
        <f>IFERROR(__xludf.DUMMYFUNCTION("""COMPUTED_VALUE"""),"Yes")</f>
        <v>Yes</v>
      </c>
      <c r="Q373" s="5" t="str">
        <f>IFERROR(__xludf.DUMMYFUNCTION("""COMPUTED_VALUE"""),"Yes")</f>
        <v>Yes</v>
      </c>
      <c r="R373" s="5" t="str">
        <f>IFERROR(__xludf.DUMMYFUNCTION("""COMPUTED_VALUE"""),"Yes")</f>
        <v>Yes</v>
      </c>
      <c r="S373" s="5" t="str">
        <f>IFERROR(__xludf.DUMMYFUNCTION("""COMPUTED_VALUE"""),"Yes")</f>
        <v>Yes</v>
      </c>
      <c r="T373" s="5" t="str">
        <f>IFERROR(__xludf.DUMMYFUNCTION("""COMPUTED_VALUE"""),"No")</f>
        <v>No</v>
      </c>
      <c r="U373" s="5" t="str">
        <f>IFERROR(__xludf.DUMMYFUNCTION("""COMPUTED_VALUE"""),"No")</f>
        <v>No</v>
      </c>
      <c r="V373" s="5" t="str">
        <f>IFERROR(__xludf.DUMMYFUNCTION("""COMPUTED_VALUE"""),"No")</f>
        <v>No</v>
      </c>
      <c r="W373" s="5" t="str">
        <f>IFERROR(__xludf.DUMMYFUNCTION("""COMPUTED_VALUE"""),"No")</f>
        <v>No</v>
      </c>
      <c r="X373" s="5" t="str">
        <f>IFERROR(__xludf.DUMMYFUNCTION("""COMPUTED_VALUE"""),"No")</f>
        <v>No</v>
      </c>
      <c r="Y373" s="5" t="str">
        <f>IFERROR(__xludf.DUMMYFUNCTION("""COMPUTED_VALUE"""),"No")</f>
        <v>No</v>
      </c>
      <c r="Z373" s="5" t="str">
        <f>IFERROR(__xludf.DUMMYFUNCTION("""COMPUTED_VALUE"""),"No")</f>
        <v>No</v>
      </c>
      <c r="AA373" s="5" t="str">
        <f>IFERROR(__xludf.DUMMYFUNCTION("""COMPUTED_VALUE"""),"No")</f>
        <v>No</v>
      </c>
      <c r="AB373" s="5" t="str">
        <f>IFERROR(__xludf.DUMMYFUNCTION("""COMPUTED_VALUE"""),"No")</f>
        <v>No</v>
      </c>
      <c r="AC373" s="5" t="str">
        <f>IFERROR(__xludf.DUMMYFUNCTION("""COMPUTED_VALUE"""),"No")</f>
        <v>No</v>
      </c>
      <c r="AD373" s="5" t="str">
        <f>IFERROR(__xludf.DUMMYFUNCTION("""COMPUTED_VALUE"""),"No")</f>
        <v>No</v>
      </c>
      <c r="AE373" s="5" t="str">
        <f>IFERROR(__xludf.DUMMYFUNCTION("""COMPUTED_VALUE"""),"No")</f>
        <v>No</v>
      </c>
      <c r="AF373" s="5" t="str">
        <f>IFERROR(__xludf.DUMMYFUNCTION("""COMPUTED_VALUE"""),"Yes")</f>
        <v>Yes</v>
      </c>
      <c r="AG373" s="5" t="str">
        <f>IFERROR(__xludf.DUMMYFUNCTION("""COMPUTED_VALUE"""),"No")</f>
        <v>No</v>
      </c>
      <c r="AH373" s="5" t="str">
        <f>IFERROR(__xludf.DUMMYFUNCTION("""COMPUTED_VALUE"""),"Yes")</f>
        <v>Yes</v>
      </c>
      <c r="AI373" s="5" t="str">
        <f>IFERROR(__xludf.DUMMYFUNCTION("""COMPUTED_VALUE"""),"No")</f>
        <v>No</v>
      </c>
      <c r="AJ373" s="5" t="str">
        <f>IFERROR(__xludf.DUMMYFUNCTION("""COMPUTED_VALUE"""),"No")</f>
        <v>No</v>
      </c>
      <c r="AK373" s="5" t="str">
        <f>IFERROR(__xludf.DUMMYFUNCTION("""COMPUTED_VALUE"""),"No")</f>
        <v>No</v>
      </c>
      <c r="AL373" s="5" t="str">
        <f>IFERROR(__xludf.DUMMYFUNCTION("""COMPUTED_VALUE"""),"No")</f>
        <v>No</v>
      </c>
      <c r="AM373" s="5"/>
      <c r="AN373" s="5"/>
      <c r="AO373" s="5"/>
      <c r="AP373" s="5"/>
      <c r="AQ373" s="5"/>
      <c r="AR373" s="5"/>
      <c r="AS373" s="5"/>
      <c r="AT373" s="5"/>
      <c r="AU373" s="5"/>
      <c r="AV373" s="5"/>
      <c r="AW373" s="5"/>
      <c r="AX373" s="5"/>
      <c r="AY373" s="5"/>
    </row>
    <row r="374">
      <c r="A3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4" s="5">
        <f>IFERROR(__xludf.DUMMYFUNCTION("""COMPUTED_VALUE"""),379.0)</f>
        <v>379</v>
      </c>
      <c r="C374" s="5">
        <f>IFERROR(__xludf.DUMMYFUNCTION("""COMPUTED_VALUE"""),357.0)</f>
        <v>357</v>
      </c>
      <c r="D374" s="5" t="str">
        <f>IFERROR(__xludf.DUMMYFUNCTION("""COMPUTED_VALUE"""),"UnicornLavaDiamondsChristmas")</f>
        <v>UnicornLavaDiamondsChristmas</v>
      </c>
      <c r="E374" s="5" t="str">
        <f>IFERROR(__xludf.DUMMYFUNCTION("""COMPUTED_VALUE"""),"Yes")</f>
        <v>Yes</v>
      </c>
      <c r="F374" s="5" t="str">
        <f>IFERROR(__xludf.DUMMYFUNCTION("""COMPUTED_VALUE"""),"Yes")</f>
        <v>Yes</v>
      </c>
      <c r="G374" s="5" t="str">
        <f>IFERROR(__xludf.DUMMYFUNCTION("""COMPUTED_VALUE"""),"Yes")</f>
        <v>Yes</v>
      </c>
      <c r="H374" s="5" t="str">
        <f>IFERROR(__xludf.DUMMYFUNCTION("""COMPUTED_VALUE"""),"Yes")</f>
        <v>Yes</v>
      </c>
      <c r="I374" s="5" t="str">
        <f>IFERROR(__xludf.DUMMYFUNCTION("""COMPUTED_VALUE"""),"Yes")</f>
        <v>Yes</v>
      </c>
      <c r="J374" s="5" t="str">
        <f>IFERROR(__xludf.DUMMYFUNCTION("""COMPUTED_VALUE"""),"Yes")</f>
        <v>Yes</v>
      </c>
      <c r="K374" s="5" t="str">
        <f>IFERROR(__xludf.DUMMYFUNCTION("""COMPUTED_VALUE"""),"Yes")</f>
        <v>Yes</v>
      </c>
      <c r="L374" s="5" t="str">
        <f>IFERROR(__xludf.DUMMYFUNCTION("""COMPUTED_VALUE"""),"Yes")</f>
        <v>Yes</v>
      </c>
      <c r="M374" s="5" t="str">
        <f>IFERROR(__xludf.DUMMYFUNCTION("""COMPUTED_VALUE"""),"Yes")</f>
        <v>Yes</v>
      </c>
      <c r="N374" s="5" t="str">
        <f>IFERROR(__xludf.DUMMYFUNCTION("""COMPUTED_VALUE"""),"Yes")</f>
        <v>Yes</v>
      </c>
      <c r="O374" s="5" t="str">
        <f>IFERROR(__xludf.DUMMYFUNCTION("""COMPUTED_VALUE"""),"Yes")</f>
        <v>Yes</v>
      </c>
      <c r="P374" s="5" t="str">
        <f>IFERROR(__xludf.DUMMYFUNCTION("""COMPUTED_VALUE"""),"Yes")</f>
        <v>Yes</v>
      </c>
      <c r="Q374" s="5" t="str">
        <f>IFERROR(__xludf.DUMMYFUNCTION("""COMPUTED_VALUE"""),"Yes")</f>
        <v>Yes</v>
      </c>
      <c r="R374" s="5" t="str">
        <f>IFERROR(__xludf.DUMMYFUNCTION("""COMPUTED_VALUE"""),"Yes")</f>
        <v>Yes</v>
      </c>
      <c r="S374" s="5" t="str">
        <f>IFERROR(__xludf.DUMMYFUNCTION("""COMPUTED_VALUE"""),"Yes")</f>
        <v>Yes</v>
      </c>
      <c r="T374" s="5" t="str">
        <f>IFERROR(__xludf.DUMMYFUNCTION("""COMPUTED_VALUE"""),"Yes")</f>
        <v>Yes</v>
      </c>
      <c r="U374" s="5" t="str">
        <f>IFERROR(__xludf.DUMMYFUNCTION("""COMPUTED_VALUE"""),"Yes")</f>
        <v>Yes</v>
      </c>
      <c r="V374" s="5" t="str">
        <f>IFERROR(__xludf.DUMMYFUNCTION("""COMPUTED_VALUE"""),"Yes")</f>
        <v>Yes</v>
      </c>
      <c r="W374" s="5" t="str">
        <f>IFERROR(__xludf.DUMMYFUNCTION("""COMPUTED_VALUE"""),"Yes")</f>
        <v>Yes</v>
      </c>
      <c r="X374" s="5"/>
      <c r="Y374" s="5"/>
      <c r="Z374" s="5"/>
      <c r="AA374" s="5"/>
      <c r="AB374" s="5"/>
      <c r="AC374" s="5" t="str">
        <f>IFERROR(__xludf.DUMMYFUNCTION("""COMPUTED_VALUE"""),"Yes")</f>
        <v>Yes</v>
      </c>
      <c r="AD374" s="5"/>
      <c r="AE374" s="5"/>
      <c r="AF374" s="5"/>
      <c r="AG374" s="5"/>
      <c r="AH374" s="5"/>
      <c r="AI374" s="5"/>
      <c r="AJ374" s="5"/>
      <c r="AK374" s="5"/>
      <c r="AL374" s="5"/>
      <c r="AM374" s="5"/>
      <c r="AN374" s="5"/>
      <c r="AO374" s="5"/>
      <c r="AP374" s="5"/>
      <c r="AQ374" s="5"/>
      <c r="AR374" s="5"/>
      <c r="AS374" s="5"/>
      <c r="AT374" s="5"/>
      <c r="AU374" s="5"/>
      <c r="AV374" s="5"/>
      <c r="AW374" s="5"/>
      <c r="AX374" s="5"/>
      <c r="AY374" s="5"/>
    </row>
    <row r="375">
      <c r="A37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5" s="5">
        <f>IFERROR(__xludf.DUMMYFUNCTION("""COMPUTED_VALUE"""),380.0)</f>
        <v>380</v>
      </c>
      <c r="C375" s="5">
        <f>IFERROR(__xludf.DUMMYFUNCTION("""COMPUTED_VALUE"""),358.0)</f>
        <v>358</v>
      </c>
      <c r="D375" s="5" t="str">
        <f>IFERROR(__xludf.DUMMYFUNCTION("""COMPUTED_VALUE"""),"UnicornPumpkinHorror")</f>
        <v>UnicornPumpkinHorror</v>
      </c>
      <c r="E375" s="5" t="str">
        <f>IFERROR(__xludf.DUMMYFUNCTION("""COMPUTED_VALUE"""),"Yes")</f>
        <v>Yes</v>
      </c>
      <c r="F375" s="5" t="str">
        <f>IFERROR(__xludf.DUMMYFUNCTION("""COMPUTED_VALUE"""),"Yes")</f>
        <v>Yes</v>
      </c>
      <c r="G375" s="5" t="str">
        <f>IFERROR(__xludf.DUMMYFUNCTION("""COMPUTED_VALUE"""),"Yes")</f>
        <v>Yes</v>
      </c>
      <c r="H375" s="5" t="str">
        <f>IFERROR(__xludf.DUMMYFUNCTION("""COMPUTED_VALUE"""),"No")</f>
        <v>No</v>
      </c>
      <c r="I375" s="5" t="str">
        <f>IFERROR(__xludf.DUMMYFUNCTION("""COMPUTED_VALUE"""),"No")</f>
        <v>No</v>
      </c>
      <c r="J375" s="5" t="str">
        <f>IFERROR(__xludf.DUMMYFUNCTION("""COMPUTED_VALUE"""),"No")</f>
        <v>No</v>
      </c>
      <c r="K375" s="5" t="str">
        <f>IFERROR(__xludf.DUMMYFUNCTION("""COMPUTED_VALUE"""),"No")</f>
        <v>No</v>
      </c>
      <c r="L375" s="5" t="str">
        <f>IFERROR(__xludf.DUMMYFUNCTION("""COMPUTED_VALUE"""),"No")</f>
        <v>No</v>
      </c>
      <c r="M375" s="5" t="str">
        <f>IFERROR(__xludf.DUMMYFUNCTION("""COMPUTED_VALUE"""),"Yes")</f>
        <v>Yes</v>
      </c>
      <c r="N375" s="5" t="str">
        <f>IFERROR(__xludf.DUMMYFUNCTION("""COMPUTED_VALUE"""),"Yes")</f>
        <v>Yes</v>
      </c>
      <c r="O375" s="5" t="str">
        <f>IFERROR(__xludf.DUMMYFUNCTION("""COMPUTED_VALUE"""),"Yes")</f>
        <v>Yes</v>
      </c>
      <c r="P375" s="5" t="str">
        <f>IFERROR(__xludf.DUMMYFUNCTION("""COMPUTED_VALUE"""),"Yes")</f>
        <v>Yes</v>
      </c>
      <c r="Q375" s="5" t="str">
        <f>IFERROR(__xludf.DUMMYFUNCTION("""COMPUTED_VALUE"""),"Yes")</f>
        <v>Yes</v>
      </c>
      <c r="R375" s="5" t="str">
        <f>IFERROR(__xludf.DUMMYFUNCTION("""COMPUTED_VALUE"""),"No")</f>
        <v>No</v>
      </c>
      <c r="S375" s="5" t="str">
        <f>IFERROR(__xludf.DUMMYFUNCTION("""COMPUTED_VALUE"""),"Yes")</f>
        <v>Yes</v>
      </c>
      <c r="T375" s="5" t="str">
        <f>IFERROR(__xludf.DUMMYFUNCTION("""COMPUTED_VALUE"""),"No")</f>
        <v>No</v>
      </c>
      <c r="U375" s="5" t="str">
        <f>IFERROR(__xludf.DUMMYFUNCTION("""COMPUTED_VALUE"""),"No")</f>
        <v>No</v>
      </c>
      <c r="V375" s="5" t="str">
        <f>IFERROR(__xludf.DUMMYFUNCTION("""COMPUTED_VALUE"""),"No")</f>
        <v>No</v>
      </c>
      <c r="W375" s="5" t="str">
        <f>IFERROR(__xludf.DUMMYFUNCTION("""COMPUTED_VALUE"""),"No")</f>
        <v>No</v>
      </c>
      <c r="X375" s="5"/>
      <c r="Y375" s="5"/>
      <c r="Z375" s="5"/>
      <c r="AA375" s="5"/>
      <c r="AB375" s="5"/>
      <c r="AC375" s="5" t="str">
        <f>IFERROR(__xludf.DUMMYFUNCTION("""COMPUTED_VALUE"""),"No")</f>
        <v>No</v>
      </c>
      <c r="AD375" s="5"/>
      <c r="AE375" s="5"/>
      <c r="AF375" s="5"/>
      <c r="AG375" s="5"/>
      <c r="AH375" s="5"/>
      <c r="AI375" s="5"/>
      <c r="AJ375" s="5"/>
      <c r="AK375" s="5"/>
      <c r="AL375" s="5"/>
      <c r="AM375" s="5"/>
      <c r="AN375" s="5"/>
      <c r="AO375" s="5"/>
      <c r="AP375" s="5"/>
      <c r="AQ375" s="5"/>
      <c r="AR375" s="5"/>
      <c r="AS375" s="5"/>
      <c r="AT375" s="5"/>
      <c r="AU375" s="5"/>
      <c r="AV375" s="5"/>
      <c r="AW375" s="5"/>
      <c r="AX375" s="5"/>
      <c r="AY375" s="5"/>
    </row>
    <row r="376">
      <c r="A376"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6" s="5">
        <f>IFERROR(__xludf.DUMMYFUNCTION("""COMPUTED_VALUE"""),381.0)</f>
        <v>381</v>
      </c>
      <c r="C376" s="5">
        <f>IFERROR(__xludf.DUMMYFUNCTION("""COMPUTED_VALUE"""),359.0)</f>
        <v>359</v>
      </c>
      <c r="D376" s="5" t="str">
        <f>IFERROR(__xludf.DUMMYFUNCTION("""COMPUTED_VALUE"""),"PlayNetMajesticCrown20")</f>
        <v>PlayNetMajesticCrown20</v>
      </c>
      <c r="E376" s="5" t="str">
        <f>IFERROR(__xludf.DUMMYFUNCTION("""COMPUTED_VALUE"""),"Yes")</f>
        <v>Yes</v>
      </c>
      <c r="F376" s="5" t="str">
        <f>IFERROR(__xludf.DUMMYFUNCTION("""COMPUTED_VALUE"""),"Yes")</f>
        <v>Yes</v>
      </c>
      <c r="G376" s="5" t="str">
        <f>IFERROR(__xludf.DUMMYFUNCTION("""COMPUTED_VALUE"""),"Yes")</f>
        <v>Yes</v>
      </c>
      <c r="H376" s="5" t="str">
        <f>IFERROR(__xludf.DUMMYFUNCTION("""COMPUTED_VALUE"""),"Yes")</f>
        <v>Yes</v>
      </c>
      <c r="I376" s="5" t="str">
        <f>IFERROR(__xludf.DUMMYFUNCTION("""COMPUTED_VALUE"""),"Yes")</f>
        <v>Yes</v>
      </c>
      <c r="J376" s="5" t="str">
        <f>IFERROR(__xludf.DUMMYFUNCTION("""COMPUTED_VALUE"""),"Yes")</f>
        <v>Yes</v>
      </c>
      <c r="K376" s="5" t="str">
        <f>IFERROR(__xludf.DUMMYFUNCTION("""COMPUTED_VALUE"""),"Yes")</f>
        <v>Yes</v>
      </c>
      <c r="L376" s="5" t="str">
        <f>IFERROR(__xludf.DUMMYFUNCTION("""COMPUTED_VALUE"""),"Yes")</f>
        <v>Yes</v>
      </c>
      <c r="M376" s="5" t="str">
        <f>IFERROR(__xludf.DUMMYFUNCTION("""COMPUTED_VALUE"""),"Yes")</f>
        <v>Yes</v>
      </c>
      <c r="N376" s="5" t="str">
        <f>IFERROR(__xludf.DUMMYFUNCTION("""COMPUTED_VALUE"""),"Yes")</f>
        <v>Yes</v>
      </c>
      <c r="O376" s="5" t="str">
        <f>IFERROR(__xludf.DUMMYFUNCTION("""COMPUTED_VALUE"""),"Yes")</f>
        <v>Yes</v>
      </c>
      <c r="P376" s="5" t="str">
        <f>IFERROR(__xludf.DUMMYFUNCTION("""COMPUTED_VALUE"""),"Yes")</f>
        <v>Yes</v>
      </c>
      <c r="Q376" s="5" t="str">
        <f>IFERROR(__xludf.DUMMYFUNCTION("""COMPUTED_VALUE"""),"Yes")</f>
        <v>Yes</v>
      </c>
      <c r="R376" s="5" t="str">
        <f>IFERROR(__xludf.DUMMYFUNCTION("""COMPUTED_VALUE"""),"Yes")</f>
        <v>Yes</v>
      </c>
      <c r="S376" s="5" t="str">
        <f>IFERROR(__xludf.DUMMYFUNCTION("""COMPUTED_VALUE"""),"Yes")</f>
        <v>Yes</v>
      </c>
      <c r="T376" s="5" t="str">
        <f>IFERROR(__xludf.DUMMYFUNCTION("""COMPUTED_VALUE"""),"No")</f>
        <v>No</v>
      </c>
      <c r="U376" s="5" t="str">
        <f>IFERROR(__xludf.DUMMYFUNCTION("""COMPUTED_VALUE"""),"No")</f>
        <v>No</v>
      </c>
      <c r="V376" s="5" t="str">
        <f>IFERROR(__xludf.DUMMYFUNCTION("""COMPUTED_VALUE"""),"No")</f>
        <v>No</v>
      </c>
      <c r="W376" s="5" t="str">
        <f>IFERROR(__xludf.DUMMYFUNCTION("""COMPUTED_VALUE"""),"No")</f>
        <v>No</v>
      </c>
      <c r="X376" s="5"/>
      <c r="Y376" s="5"/>
      <c r="Z376" s="5"/>
      <c r="AA376" s="5"/>
      <c r="AB376" s="5"/>
      <c r="AC376" s="5" t="str">
        <f>IFERROR(__xludf.DUMMYFUNCTION("""COMPUTED_VALUE"""),"No")</f>
        <v>No</v>
      </c>
      <c r="AD376" s="5"/>
      <c r="AE376" s="5"/>
      <c r="AF376" s="5" t="str">
        <f>IFERROR(__xludf.DUMMYFUNCTION("""COMPUTED_VALUE"""),"Yes")</f>
        <v>Yes</v>
      </c>
      <c r="AG376" s="5"/>
      <c r="AH376" s="5" t="str">
        <f>IFERROR(__xludf.DUMMYFUNCTION("""COMPUTED_VALUE"""),"Yes")</f>
        <v>Yes</v>
      </c>
      <c r="AI376" s="5"/>
      <c r="AJ376" s="5"/>
      <c r="AK376" s="5"/>
      <c r="AL376" s="5"/>
      <c r="AM376" s="5"/>
      <c r="AN376" s="5"/>
      <c r="AO376" s="5"/>
      <c r="AP376" s="5"/>
      <c r="AQ376" s="5"/>
      <c r="AR376" s="5"/>
      <c r="AS376" s="5"/>
      <c r="AT376" s="5"/>
      <c r="AU376" s="5"/>
      <c r="AV376" s="5"/>
      <c r="AW376" s="5"/>
      <c r="AX376" s="5"/>
      <c r="AY376" s="5"/>
    </row>
    <row r="377">
      <c r="A37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7" s="5">
        <f>IFERROR(__xludf.DUMMYFUNCTION("""COMPUTED_VALUE"""),382.0)</f>
        <v>382</v>
      </c>
      <c r="C377" s="5">
        <f>IFERROR(__xludf.DUMMYFUNCTION("""COMPUTED_VALUE"""),360.0)</f>
        <v>360</v>
      </c>
      <c r="D377" s="5" t="str">
        <f>IFERROR(__xludf.DUMMYFUNCTION("""COMPUTED_VALUE"""),"PlayNetDiamondHeart40")</f>
        <v>PlayNetDiamondHeart40</v>
      </c>
      <c r="E377" s="5" t="str">
        <f>IFERROR(__xludf.DUMMYFUNCTION("""COMPUTED_VALUE"""),"Yes")</f>
        <v>Yes</v>
      </c>
      <c r="F377" s="5" t="str">
        <f>IFERROR(__xludf.DUMMYFUNCTION("""COMPUTED_VALUE"""),"Yes")</f>
        <v>Yes</v>
      </c>
      <c r="G377" s="5" t="str">
        <f>IFERROR(__xludf.DUMMYFUNCTION("""COMPUTED_VALUE"""),"Yes")</f>
        <v>Yes</v>
      </c>
      <c r="H377" s="5" t="str">
        <f>IFERROR(__xludf.DUMMYFUNCTION("""COMPUTED_VALUE"""),"No")</f>
        <v>No</v>
      </c>
      <c r="I377" s="5" t="str">
        <f>IFERROR(__xludf.DUMMYFUNCTION("""COMPUTED_VALUE"""),"No")</f>
        <v>No</v>
      </c>
      <c r="J377" s="5" t="str">
        <f>IFERROR(__xludf.DUMMYFUNCTION("""COMPUTED_VALUE"""),"No")</f>
        <v>No</v>
      </c>
      <c r="K377" s="5" t="str">
        <f>IFERROR(__xludf.DUMMYFUNCTION("""COMPUTED_VALUE"""),"No")</f>
        <v>No</v>
      </c>
      <c r="L377" s="5" t="str">
        <f>IFERROR(__xludf.DUMMYFUNCTION("""COMPUTED_VALUE"""),"No")</f>
        <v>No</v>
      </c>
      <c r="M377" s="5" t="str">
        <f>IFERROR(__xludf.DUMMYFUNCTION("""COMPUTED_VALUE"""),"Yes")</f>
        <v>Yes</v>
      </c>
      <c r="N377" s="5" t="str">
        <f>IFERROR(__xludf.DUMMYFUNCTION("""COMPUTED_VALUE"""),"Yes")</f>
        <v>Yes</v>
      </c>
      <c r="O377" s="5" t="str">
        <f>IFERROR(__xludf.DUMMYFUNCTION("""COMPUTED_VALUE"""),"Yes")</f>
        <v>Yes</v>
      </c>
      <c r="P377" s="5" t="str">
        <f>IFERROR(__xludf.DUMMYFUNCTION("""COMPUTED_VALUE"""),"Yes")</f>
        <v>Yes</v>
      </c>
      <c r="Q377" s="5" t="str">
        <f>IFERROR(__xludf.DUMMYFUNCTION("""COMPUTED_VALUE"""),"Yes")</f>
        <v>Yes</v>
      </c>
      <c r="R377" s="5" t="str">
        <f>IFERROR(__xludf.DUMMYFUNCTION("""COMPUTED_VALUE"""),"No")</f>
        <v>No</v>
      </c>
      <c r="S377" s="5" t="str">
        <f>IFERROR(__xludf.DUMMYFUNCTION("""COMPUTED_VALUE"""),"Yes")</f>
        <v>Yes</v>
      </c>
      <c r="T377" s="5" t="str">
        <f>IFERROR(__xludf.DUMMYFUNCTION("""COMPUTED_VALUE"""),"No")</f>
        <v>No</v>
      </c>
      <c r="U377" s="5" t="str">
        <f>IFERROR(__xludf.DUMMYFUNCTION("""COMPUTED_VALUE"""),"No")</f>
        <v>No</v>
      </c>
      <c r="V377" s="5" t="str">
        <f>IFERROR(__xludf.DUMMYFUNCTION("""COMPUTED_VALUE"""),"No")</f>
        <v>No</v>
      </c>
      <c r="W377" s="5" t="str">
        <f>IFERROR(__xludf.DUMMYFUNCTION("""COMPUTED_VALUE"""),"No")</f>
        <v>No</v>
      </c>
      <c r="X377" s="5"/>
      <c r="Y377" s="5"/>
      <c r="Z377" s="5"/>
      <c r="AA377" s="5"/>
      <c r="AB377" s="5"/>
      <c r="AC377" s="5" t="str">
        <f>IFERROR(__xludf.DUMMYFUNCTION("""COMPUTED_VALUE"""),"No")</f>
        <v>No</v>
      </c>
      <c r="AD377" s="5"/>
      <c r="AE377" s="5"/>
      <c r="AF377" s="5"/>
      <c r="AG377" s="5"/>
      <c r="AH377" s="5"/>
      <c r="AI377" s="5"/>
      <c r="AJ377" s="5"/>
      <c r="AK377" s="5"/>
      <c r="AL377" s="5"/>
      <c r="AM377" s="5"/>
      <c r="AN377" s="5"/>
      <c r="AO377" s="5"/>
      <c r="AP377" s="5"/>
      <c r="AQ377" s="5"/>
      <c r="AR377" s="5"/>
      <c r="AS377" s="5"/>
      <c r="AT377" s="5"/>
      <c r="AU377" s="5"/>
      <c r="AV377" s="5"/>
      <c r="AW377" s="5"/>
      <c r="AX377" s="5"/>
      <c r="AY377" s="5"/>
    </row>
    <row r="378">
      <c r="A37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78" s="5">
        <f>IFERROR(__xludf.DUMMYFUNCTION("""COMPUTED_VALUE"""),383.0)</f>
        <v>383</v>
      </c>
      <c r="C378" s="5">
        <f>IFERROR(__xludf.DUMMYFUNCTION("""COMPUTED_VALUE"""),361.0)</f>
        <v>361</v>
      </c>
      <c r="D378" s="5" t="str">
        <f>IFERROR(__xludf.DUMMYFUNCTION("""COMPUTED_VALUE"""),"UnicornHitLine")</f>
        <v>UnicornHitLine</v>
      </c>
      <c r="E378" s="5" t="str">
        <f>IFERROR(__xludf.DUMMYFUNCTION("""COMPUTED_VALUE"""),"Yes")</f>
        <v>Yes</v>
      </c>
      <c r="F378" s="5" t="str">
        <f>IFERROR(__xludf.DUMMYFUNCTION("""COMPUTED_VALUE"""),"Yes")</f>
        <v>Yes</v>
      </c>
      <c r="G378" s="5" t="str">
        <f>IFERROR(__xludf.DUMMYFUNCTION("""COMPUTED_VALUE"""),"Yes")</f>
        <v>Yes</v>
      </c>
      <c r="H378" s="5" t="str">
        <f>IFERROR(__xludf.DUMMYFUNCTION("""COMPUTED_VALUE"""),"No")</f>
        <v>No</v>
      </c>
      <c r="I378" s="5" t="str">
        <f>IFERROR(__xludf.DUMMYFUNCTION("""COMPUTED_VALUE"""),"No")</f>
        <v>No</v>
      </c>
      <c r="J378" s="5" t="str">
        <f>IFERROR(__xludf.DUMMYFUNCTION("""COMPUTED_VALUE"""),"No")</f>
        <v>No</v>
      </c>
      <c r="K378" s="5" t="str">
        <f>IFERROR(__xludf.DUMMYFUNCTION("""COMPUTED_VALUE"""),"No")</f>
        <v>No</v>
      </c>
      <c r="L378" s="5" t="str">
        <f>IFERROR(__xludf.DUMMYFUNCTION("""COMPUTED_VALUE"""),"No")</f>
        <v>No</v>
      </c>
      <c r="M378" s="5" t="str">
        <f>IFERROR(__xludf.DUMMYFUNCTION("""COMPUTED_VALUE"""),"Yes")</f>
        <v>Yes</v>
      </c>
      <c r="N378" s="5" t="str">
        <f>IFERROR(__xludf.DUMMYFUNCTION("""COMPUTED_VALUE"""),"Yes")</f>
        <v>Yes</v>
      </c>
      <c r="O378" s="5" t="str">
        <f>IFERROR(__xludf.DUMMYFUNCTION("""COMPUTED_VALUE"""),"Yes")</f>
        <v>Yes</v>
      </c>
      <c r="P378" s="5" t="str">
        <f>IFERROR(__xludf.DUMMYFUNCTION("""COMPUTED_VALUE"""),"Yes")</f>
        <v>Yes</v>
      </c>
      <c r="Q378" s="5" t="str">
        <f>IFERROR(__xludf.DUMMYFUNCTION("""COMPUTED_VALUE"""),"Yes")</f>
        <v>Yes</v>
      </c>
      <c r="R378" s="5" t="str">
        <f>IFERROR(__xludf.DUMMYFUNCTION("""COMPUTED_VALUE"""),"No")</f>
        <v>No</v>
      </c>
      <c r="S378" s="5" t="str">
        <f>IFERROR(__xludf.DUMMYFUNCTION("""COMPUTED_VALUE"""),"Yes")</f>
        <v>Yes</v>
      </c>
      <c r="T378" s="5" t="str">
        <f>IFERROR(__xludf.DUMMYFUNCTION("""COMPUTED_VALUE"""),"No")</f>
        <v>No</v>
      </c>
      <c r="U378" s="5" t="str">
        <f>IFERROR(__xludf.DUMMYFUNCTION("""COMPUTED_VALUE"""),"No")</f>
        <v>No</v>
      </c>
      <c r="V378" s="5" t="str">
        <f>IFERROR(__xludf.DUMMYFUNCTION("""COMPUTED_VALUE"""),"No")</f>
        <v>No</v>
      </c>
      <c r="W378" s="5" t="str">
        <f>IFERROR(__xludf.DUMMYFUNCTION("""COMPUTED_VALUE"""),"No")</f>
        <v>No</v>
      </c>
      <c r="X378" s="5"/>
      <c r="Y378" s="5"/>
      <c r="Z378" s="5"/>
      <c r="AA378" s="5"/>
      <c r="AB378" s="5"/>
      <c r="AC378" s="5" t="str">
        <f>IFERROR(__xludf.DUMMYFUNCTION("""COMPUTED_VALUE"""),"No")</f>
        <v>No</v>
      </c>
      <c r="AD378" s="5"/>
      <c r="AE378" s="5"/>
      <c r="AF378" s="5"/>
      <c r="AG378" s="5"/>
      <c r="AH378" s="5"/>
      <c r="AI378" s="5"/>
      <c r="AJ378" s="5"/>
      <c r="AK378" s="5"/>
      <c r="AL378" s="5"/>
      <c r="AM378" s="5"/>
      <c r="AN378" s="5"/>
      <c r="AO378" s="5"/>
      <c r="AP378" s="5"/>
      <c r="AQ378" s="5"/>
      <c r="AR378" s="5"/>
      <c r="AS378" s="5"/>
      <c r="AT378" s="5"/>
      <c r="AU378" s="5"/>
      <c r="AV378" s="5"/>
      <c r="AW378" s="5"/>
      <c r="AX378" s="5"/>
      <c r="AY378" s="5"/>
    </row>
    <row r="379">
      <c r="A3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9" s="5">
        <f>IFERROR(__xludf.DUMMYFUNCTION("""COMPUTED_VALUE"""),384.0)</f>
        <v>384</v>
      </c>
      <c r="C379" s="5">
        <f>IFERROR(__xludf.DUMMYFUNCTION("""COMPUTED_VALUE"""),362.0)</f>
        <v>362</v>
      </c>
      <c r="D379" s="5" t="str">
        <f>IFERROR(__xludf.DUMMYFUNCTION("""COMPUTED_VALUE"""),"RedstoneSpookySpins")</f>
        <v>RedstoneSpookySpins</v>
      </c>
      <c r="E379" s="5" t="str">
        <f>IFERROR(__xludf.DUMMYFUNCTION("""COMPUTED_VALUE"""),"Yes")</f>
        <v>Yes</v>
      </c>
      <c r="F379" s="5" t="str">
        <f>IFERROR(__xludf.DUMMYFUNCTION("""COMPUTED_VALUE"""),"Yes")</f>
        <v>Yes</v>
      </c>
      <c r="G379" s="5" t="str">
        <f>IFERROR(__xludf.DUMMYFUNCTION("""COMPUTED_VALUE"""),"Yes")</f>
        <v>Yes</v>
      </c>
      <c r="H379" s="5" t="str">
        <f>IFERROR(__xludf.DUMMYFUNCTION("""COMPUTED_VALUE"""),"Yes")</f>
        <v>Yes</v>
      </c>
      <c r="I379" s="5" t="str">
        <f>IFERROR(__xludf.DUMMYFUNCTION("""COMPUTED_VALUE"""),"Yes")</f>
        <v>Yes</v>
      </c>
      <c r="J379" s="5" t="str">
        <f>IFERROR(__xludf.DUMMYFUNCTION("""COMPUTED_VALUE"""),"Yes")</f>
        <v>Yes</v>
      </c>
      <c r="K379" s="5" t="str">
        <f>IFERROR(__xludf.DUMMYFUNCTION("""COMPUTED_VALUE"""),"Yes")</f>
        <v>Yes</v>
      </c>
      <c r="L379" s="5" t="str">
        <f>IFERROR(__xludf.DUMMYFUNCTION("""COMPUTED_VALUE"""),"Yes")</f>
        <v>Yes</v>
      </c>
      <c r="M379" s="5" t="str">
        <f>IFERROR(__xludf.DUMMYFUNCTION("""COMPUTED_VALUE"""),"Yes")</f>
        <v>Yes</v>
      </c>
      <c r="N379" s="5" t="str">
        <f>IFERROR(__xludf.DUMMYFUNCTION("""COMPUTED_VALUE"""),"Yes")</f>
        <v>Yes</v>
      </c>
      <c r="O379" s="5" t="str">
        <f>IFERROR(__xludf.DUMMYFUNCTION("""COMPUTED_VALUE"""),"Yes")</f>
        <v>Yes</v>
      </c>
      <c r="P379" s="5" t="str">
        <f>IFERROR(__xludf.DUMMYFUNCTION("""COMPUTED_VALUE"""),"Yes")</f>
        <v>Yes</v>
      </c>
      <c r="Q379" s="5" t="str">
        <f>IFERROR(__xludf.DUMMYFUNCTION("""COMPUTED_VALUE"""),"Yes")</f>
        <v>Yes</v>
      </c>
      <c r="R379" s="5" t="str">
        <f>IFERROR(__xludf.DUMMYFUNCTION("""COMPUTED_VALUE"""),"Yes")</f>
        <v>Yes</v>
      </c>
      <c r="S379" s="5" t="str">
        <f>IFERROR(__xludf.DUMMYFUNCTION("""COMPUTED_VALUE"""),"Yes")</f>
        <v>Yes</v>
      </c>
      <c r="T379" s="5" t="str">
        <f>IFERROR(__xludf.DUMMYFUNCTION("""COMPUTED_VALUE"""),"Yes")</f>
        <v>Yes</v>
      </c>
      <c r="U379" s="5" t="str">
        <f>IFERROR(__xludf.DUMMYFUNCTION("""COMPUTED_VALUE"""),"Yes")</f>
        <v>Yes</v>
      </c>
      <c r="V379" s="5" t="str">
        <f>IFERROR(__xludf.DUMMYFUNCTION("""COMPUTED_VALUE"""),"Yes")</f>
        <v>Yes</v>
      </c>
      <c r="W379" s="5" t="str">
        <f>IFERROR(__xludf.DUMMYFUNCTION("""COMPUTED_VALUE"""),"Yes")</f>
        <v>Yes</v>
      </c>
      <c r="X379" s="5"/>
      <c r="Y379" s="5"/>
      <c r="Z379" s="5"/>
      <c r="AA379" s="5"/>
      <c r="AB379" s="5"/>
      <c r="AC379" s="5" t="str">
        <f>IFERROR(__xludf.DUMMYFUNCTION("""COMPUTED_VALUE"""),"Yes")</f>
        <v>Yes</v>
      </c>
      <c r="AD379" s="5"/>
      <c r="AE379" s="5"/>
      <c r="AF379" s="5"/>
      <c r="AG379" s="5"/>
      <c r="AH379" s="5"/>
      <c r="AI379" s="5"/>
      <c r="AJ379" s="5"/>
      <c r="AK379" s="5"/>
      <c r="AL379" s="5"/>
      <c r="AM379" s="5"/>
      <c r="AN379" s="5"/>
      <c r="AO379" s="5"/>
      <c r="AP379" s="5"/>
      <c r="AQ379" s="5"/>
      <c r="AR379" s="5"/>
      <c r="AS379" s="5"/>
      <c r="AT379" s="5"/>
      <c r="AU379" s="5"/>
      <c r="AV379" s="5"/>
      <c r="AW379" s="5"/>
      <c r="AX379" s="5"/>
      <c r="AY379" s="5"/>
    </row>
    <row r="380">
      <c r="A38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0" s="5">
        <f>IFERROR(__xludf.DUMMYFUNCTION("""COMPUTED_VALUE"""),385.0)</f>
        <v>385</v>
      </c>
      <c r="C380" s="5">
        <f>IFERROR(__xludf.DUMMYFUNCTION("""COMPUTED_VALUE"""),363.0)</f>
        <v>363</v>
      </c>
      <c r="D380" s="5" t="str">
        <f>IFERROR(__xludf.DUMMYFUNCTION("""COMPUTED_VALUE"""),"Unicorn20SuperFlames")</f>
        <v>Unicorn20SuperFlames</v>
      </c>
      <c r="E380" s="5" t="str">
        <f>IFERROR(__xludf.DUMMYFUNCTION("""COMPUTED_VALUE"""),"Yes")</f>
        <v>Yes</v>
      </c>
      <c r="F380" s="5" t="str">
        <f>IFERROR(__xludf.DUMMYFUNCTION("""COMPUTED_VALUE"""),"Yes")</f>
        <v>Yes</v>
      </c>
      <c r="G380" s="5" t="str">
        <f>IFERROR(__xludf.DUMMYFUNCTION("""COMPUTED_VALUE"""),"No")</f>
        <v>No</v>
      </c>
      <c r="H380" s="5" t="str">
        <f>IFERROR(__xludf.DUMMYFUNCTION("""COMPUTED_VALUE"""),"Yes")</f>
        <v>Yes</v>
      </c>
      <c r="I380" s="5" t="str">
        <f>IFERROR(__xludf.DUMMYFUNCTION("""COMPUTED_VALUE"""),"Yes")</f>
        <v>Yes</v>
      </c>
      <c r="J380" s="5" t="str">
        <f>IFERROR(__xludf.DUMMYFUNCTION("""COMPUTED_VALUE"""),"Yes")</f>
        <v>Yes</v>
      </c>
      <c r="K380" s="5" t="str">
        <f>IFERROR(__xludf.DUMMYFUNCTION("""COMPUTED_VALUE"""),"Yes")</f>
        <v>Yes</v>
      </c>
      <c r="L380" s="5" t="str">
        <f>IFERROR(__xludf.DUMMYFUNCTION("""COMPUTED_VALUE"""),"Yes")</f>
        <v>Yes</v>
      </c>
      <c r="M380" s="5" t="str">
        <f>IFERROR(__xludf.DUMMYFUNCTION("""COMPUTED_VALUE"""),"Yes")</f>
        <v>Yes</v>
      </c>
      <c r="N380" s="5" t="str">
        <f>IFERROR(__xludf.DUMMYFUNCTION("""COMPUTED_VALUE"""),"Yes")</f>
        <v>Yes</v>
      </c>
      <c r="O380" s="5" t="str">
        <f>IFERROR(__xludf.DUMMYFUNCTION("""COMPUTED_VALUE"""),"Yes")</f>
        <v>Yes</v>
      </c>
      <c r="P380" s="5" t="str">
        <f>IFERROR(__xludf.DUMMYFUNCTION("""COMPUTED_VALUE"""),"Yes")</f>
        <v>Yes</v>
      </c>
      <c r="Q380" s="5" t="str">
        <f>IFERROR(__xludf.DUMMYFUNCTION("""COMPUTED_VALUE"""),"Yes")</f>
        <v>Yes</v>
      </c>
      <c r="R380" s="5" t="str">
        <f>IFERROR(__xludf.DUMMYFUNCTION("""COMPUTED_VALUE"""),"Yes")</f>
        <v>Yes</v>
      </c>
      <c r="S380" s="5" t="str">
        <f>IFERROR(__xludf.DUMMYFUNCTION("""COMPUTED_VALUE"""),"Yes")</f>
        <v>Yes</v>
      </c>
      <c r="T380" s="5" t="str">
        <f>IFERROR(__xludf.DUMMYFUNCTION("""COMPUTED_VALUE"""),"No")</f>
        <v>No</v>
      </c>
      <c r="U380" s="5" t="str">
        <f>IFERROR(__xludf.DUMMYFUNCTION("""COMPUTED_VALUE"""),"No")</f>
        <v>No</v>
      </c>
      <c r="V380" s="5" t="str">
        <f>IFERROR(__xludf.DUMMYFUNCTION("""COMPUTED_VALUE"""),"No")</f>
        <v>No</v>
      </c>
      <c r="W380" s="5" t="str">
        <f>IFERROR(__xludf.DUMMYFUNCTION("""COMPUTED_VALUE"""),"No")</f>
        <v>No</v>
      </c>
      <c r="X380" s="5" t="str">
        <f>IFERROR(__xludf.DUMMYFUNCTION("""COMPUTED_VALUE"""),"No")</f>
        <v>No</v>
      </c>
      <c r="Y380" s="5" t="str">
        <f>IFERROR(__xludf.DUMMYFUNCTION("""COMPUTED_VALUE"""),"No")</f>
        <v>No</v>
      </c>
      <c r="Z380" s="5" t="str">
        <f>IFERROR(__xludf.DUMMYFUNCTION("""COMPUTED_VALUE"""),"No")</f>
        <v>No</v>
      </c>
      <c r="AA380" s="5" t="str">
        <f>IFERROR(__xludf.DUMMYFUNCTION("""COMPUTED_VALUE"""),"No")</f>
        <v>No</v>
      </c>
      <c r="AB380" s="5" t="str">
        <f>IFERROR(__xludf.DUMMYFUNCTION("""COMPUTED_VALUE"""),"No")</f>
        <v>No</v>
      </c>
      <c r="AC380" s="5" t="str">
        <f>IFERROR(__xludf.DUMMYFUNCTION("""COMPUTED_VALUE"""),"No")</f>
        <v>No</v>
      </c>
      <c r="AD380" s="5" t="str">
        <f>IFERROR(__xludf.DUMMYFUNCTION("""COMPUTED_VALUE"""),"No")</f>
        <v>No</v>
      </c>
      <c r="AE380" s="5" t="str">
        <f>IFERROR(__xludf.DUMMYFUNCTION("""COMPUTED_VALUE"""),"No")</f>
        <v>No</v>
      </c>
      <c r="AF380" s="5" t="str">
        <f>IFERROR(__xludf.DUMMYFUNCTION("""COMPUTED_VALUE"""),"Yes")</f>
        <v>Yes</v>
      </c>
      <c r="AG380" s="5" t="str">
        <f>IFERROR(__xludf.DUMMYFUNCTION("""COMPUTED_VALUE"""),"No")</f>
        <v>No</v>
      </c>
      <c r="AH380" s="5" t="str">
        <f>IFERROR(__xludf.DUMMYFUNCTION("""COMPUTED_VALUE"""),"Yes")</f>
        <v>Yes</v>
      </c>
      <c r="AI380" s="5" t="str">
        <f>IFERROR(__xludf.DUMMYFUNCTION("""COMPUTED_VALUE"""),"No")</f>
        <v>No</v>
      </c>
      <c r="AJ380" s="5" t="str">
        <f>IFERROR(__xludf.DUMMYFUNCTION("""COMPUTED_VALUE"""),"No")</f>
        <v>No</v>
      </c>
      <c r="AK380" s="5" t="str">
        <f>IFERROR(__xludf.DUMMYFUNCTION("""COMPUTED_VALUE"""),"No")</f>
        <v>No</v>
      </c>
      <c r="AL380" s="5" t="str">
        <f>IFERROR(__xludf.DUMMYFUNCTION("""COMPUTED_VALUE"""),"No")</f>
        <v>No</v>
      </c>
      <c r="AM380" s="5"/>
      <c r="AN380" s="5"/>
      <c r="AO380" s="5"/>
      <c r="AP380" s="5"/>
      <c r="AQ380" s="5"/>
      <c r="AR380" s="5"/>
      <c r="AS380" s="5"/>
      <c r="AT380" s="5"/>
      <c r="AU380" s="5"/>
      <c r="AV380" s="5"/>
      <c r="AW380" s="5"/>
      <c r="AX380" s="5"/>
      <c r="AY380" s="5"/>
    </row>
    <row r="381">
      <c r="A38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1" s="5">
        <f>IFERROR(__xludf.DUMMYFUNCTION("""COMPUTED_VALUE"""),386.0)</f>
        <v>386</v>
      </c>
      <c r="C381" s="5">
        <f>IFERROR(__xludf.DUMMYFUNCTION("""COMPUTED_VALUE"""),364.0)</f>
        <v>364</v>
      </c>
      <c r="D381" s="5" t="str">
        <f>IFERROR(__xludf.DUMMYFUNCTION("""COMPUTED_VALUE"""),"PlayNet27WildStacks")</f>
        <v>PlayNet27WildStacks</v>
      </c>
      <c r="E381" s="5" t="str">
        <f>IFERROR(__xludf.DUMMYFUNCTION("""COMPUTED_VALUE"""),"Yes")</f>
        <v>Yes</v>
      </c>
      <c r="F381" s="5" t="str">
        <f>IFERROR(__xludf.DUMMYFUNCTION("""COMPUTED_VALUE"""),"Yes")</f>
        <v>Yes</v>
      </c>
      <c r="G381" s="5" t="str">
        <f>IFERROR(__xludf.DUMMYFUNCTION("""COMPUTED_VALUE"""),"Yes")</f>
        <v>Yes</v>
      </c>
      <c r="H381" s="5" t="str">
        <f>IFERROR(__xludf.DUMMYFUNCTION("""COMPUTED_VALUE"""),"Yes")</f>
        <v>Yes</v>
      </c>
      <c r="I381" s="5" t="str">
        <f>IFERROR(__xludf.DUMMYFUNCTION("""COMPUTED_VALUE"""),"Yes")</f>
        <v>Yes</v>
      </c>
      <c r="J381" s="5" t="str">
        <f>IFERROR(__xludf.DUMMYFUNCTION("""COMPUTED_VALUE"""),"Yes")</f>
        <v>Yes</v>
      </c>
      <c r="K381" s="5" t="str">
        <f>IFERROR(__xludf.DUMMYFUNCTION("""COMPUTED_VALUE"""),"Yes")</f>
        <v>Yes</v>
      </c>
      <c r="L381" s="5" t="str">
        <f>IFERROR(__xludf.DUMMYFUNCTION("""COMPUTED_VALUE"""),"Yes")</f>
        <v>Yes</v>
      </c>
      <c r="M381" s="5" t="str">
        <f>IFERROR(__xludf.DUMMYFUNCTION("""COMPUTED_VALUE"""),"Yes")</f>
        <v>Yes</v>
      </c>
      <c r="N381" s="5" t="str">
        <f>IFERROR(__xludf.DUMMYFUNCTION("""COMPUTED_VALUE"""),"Yes")</f>
        <v>Yes</v>
      </c>
      <c r="O381" s="5" t="str">
        <f>IFERROR(__xludf.DUMMYFUNCTION("""COMPUTED_VALUE"""),"Yes")</f>
        <v>Yes</v>
      </c>
      <c r="P381" s="5" t="str">
        <f>IFERROR(__xludf.DUMMYFUNCTION("""COMPUTED_VALUE"""),"Yes")</f>
        <v>Yes</v>
      </c>
      <c r="Q381" s="5" t="str">
        <f>IFERROR(__xludf.DUMMYFUNCTION("""COMPUTED_VALUE"""),"Yes")</f>
        <v>Yes</v>
      </c>
      <c r="R381" s="5" t="str">
        <f>IFERROR(__xludf.DUMMYFUNCTION("""COMPUTED_VALUE"""),"Yes")</f>
        <v>Yes</v>
      </c>
      <c r="S381" s="5" t="str">
        <f>IFERROR(__xludf.DUMMYFUNCTION("""COMPUTED_VALUE"""),"Yes")</f>
        <v>Yes</v>
      </c>
      <c r="T381" s="5" t="str">
        <f>IFERROR(__xludf.DUMMYFUNCTION("""COMPUTED_VALUE"""),"No")</f>
        <v>No</v>
      </c>
      <c r="U381" s="5" t="str">
        <f>IFERROR(__xludf.DUMMYFUNCTION("""COMPUTED_VALUE"""),"No")</f>
        <v>No</v>
      </c>
      <c r="V381" s="5" t="str">
        <f>IFERROR(__xludf.DUMMYFUNCTION("""COMPUTED_VALUE"""),"No")</f>
        <v>No</v>
      </c>
      <c r="W381" s="5" t="str">
        <f>IFERROR(__xludf.DUMMYFUNCTION("""COMPUTED_VALUE"""),"No")</f>
        <v>No</v>
      </c>
      <c r="X381" s="5"/>
      <c r="Y381" s="5"/>
      <c r="Z381" s="5"/>
      <c r="AA381" s="5"/>
      <c r="AB381" s="5"/>
      <c r="AC381" s="5" t="str">
        <f>IFERROR(__xludf.DUMMYFUNCTION("""COMPUTED_VALUE"""),"No")</f>
        <v>No</v>
      </c>
      <c r="AD381" s="5"/>
      <c r="AE381" s="5"/>
      <c r="AF381" s="5" t="str">
        <f>IFERROR(__xludf.DUMMYFUNCTION("""COMPUTED_VALUE"""),"Yes")</f>
        <v>Yes</v>
      </c>
      <c r="AG381" s="5"/>
      <c r="AH381" s="5" t="str">
        <f>IFERROR(__xludf.DUMMYFUNCTION("""COMPUTED_VALUE"""),"Yes")</f>
        <v>Yes</v>
      </c>
      <c r="AI381" s="5"/>
      <c r="AJ381" s="5"/>
      <c r="AK381" s="5"/>
      <c r="AL381" s="5"/>
      <c r="AM381" s="5"/>
      <c r="AN381" s="5"/>
      <c r="AO381" s="5"/>
      <c r="AP381" s="5"/>
      <c r="AQ381" s="5"/>
      <c r="AR381" s="5"/>
      <c r="AS381" s="5"/>
      <c r="AT381" s="5"/>
      <c r="AU381" s="5"/>
      <c r="AV381" s="5"/>
      <c r="AW381" s="5"/>
      <c r="AX381" s="5"/>
      <c r="AY381" s="5"/>
    </row>
    <row r="382">
      <c r="A38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2" s="5">
        <f>IFERROR(__xludf.DUMMYFUNCTION("""COMPUTED_VALUE"""),387.0)</f>
        <v>387</v>
      </c>
      <c r="C382" s="5">
        <f>IFERROR(__xludf.DUMMYFUNCTION("""COMPUTED_VALUE"""),365.0)</f>
        <v>365</v>
      </c>
      <c r="D382" s="5" t="str">
        <f>IFERROR(__xludf.DUMMYFUNCTION("""COMPUTED_VALUE"""),"PlayNetDashingHot5")</f>
        <v>PlayNetDashingHot5</v>
      </c>
      <c r="E382" s="5" t="str">
        <f>IFERROR(__xludf.DUMMYFUNCTION("""COMPUTED_VALUE"""),"Yes")</f>
        <v>Yes</v>
      </c>
      <c r="F382" s="5" t="str">
        <f>IFERROR(__xludf.DUMMYFUNCTION("""COMPUTED_VALUE"""),"Yes")</f>
        <v>Yes</v>
      </c>
      <c r="G382" s="5" t="str">
        <f>IFERROR(__xludf.DUMMYFUNCTION("""COMPUTED_VALUE"""),"Yes")</f>
        <v>Yes</v>
      </c>
      <c r="H382" s="5" t="str">
        <f>IFERROR(__xludf.DUMMYFUNCTION("""COMPUTED_VALUE"""),"No")</f>
        <v>No</v>
      </c>
      <c r="I382" s="5" t="str">
        <f>IFERROR(__xludf.DUMMYFUNCTION("""COMPUTED_VALUE"""),"No")</f>
        <v>No</v>
      </c>
      <c r="J382" s="5" t="str">
        <f>IFERROR(__xludf.DUMMYFUNCTION("""COMPUTED_VALUE"""),"No")</f>
        <v>No</v>
      </c>
      <c r="K382" s="5" t="str">
        <f>IFERROR(__xludf.DUMMYFUNCTION("""COMPUTED_VALUE"""),"No")</f>
        <v>No</v>
      </c>
      <c r="L382" s="5" t="str">
        <f>IFERROR(__xludf.DUMMYFUNCTION("""COMPUTED_VALUE"""),"No")</f>
        <v>No</v>
      </c>
      <c r="M382" s="5" t="str">
        <f>IFERROR(__xludf.DUMMYFUNCTION("""COMPUTED_VALUE"""),"Yes")</f>
        <v>Yes</v>
      </c>
      <c r="N382" s="5" t="str">
        <f>IFERROR(__xludf.DUMMYFUNCTION("""COMPUTED_VALUE"""),"Yes")</f>
        <v>Yes</v>
      </c>
      <c r="O382" s="5" t="str">
        <f>IFERROR(__xludf.DUMMYFUNCTION("""COMPUTED_VALUE"""),"Yes")</f>
        <v>Yes</v>
      </c>
      <c r="P382" s="5" t="str">
        <f>IFERROR(__xludf.DUMMYFUNCTION("""COMPUTED_VALUE"""),"Yes")</f>
        <v>Yes</v>
      </c>
      <c r="Q382" s="5" t="str">
        <f>IFERROR(__xludf.DUMMYFUNCTION("""COMPUTED_VALUE"""),"Yes")</f>
        <v>Yes</v>
      </c>
      <c r="R382" s="5" t="str">
        <f>IFERROR(__xludf.DUMMYFUNCTION("""COMPUTED_VALUE"""),"No")</f>
        <v>No</v>
      </c>
      <c r="S382" s="5" t="str">
        <f>IFERROR(__xludf.DUMMYFUNCTION("""COMPUTED_VALUE"""),"Yes")</f>
        <v>Yes</v>
      </c>
      <c r="T382" s="5" t="str">
        <f>IFERROR(__xludf.DUMMYFUNCTION("""COMPUTED_VALUE"""),"No")</f>
        <v>No</v>
      </c>
      <c r="U382" s="5" t="str">
        <f>IFERROR(__xludf.DUMMYFUNCTION("""COMPUTED_VALUE"""),"No")</f>
        <v>No</v>
      </c>
      <c r="V382" s="5" t="str">
        <f>IFERROR(__xludf.DUMMYFUNCTION("""COMPUTED_VALUE"""),"No")</f>
        <v>No</v>
      </c>
      <c r="W382" s="5" t="str">
        <f>IFERROR(__xludf.DUMMYFUNCTION("""COMPUTED_VALUE"""),"No")</f>
        <v>No</v>
      </c>
      <c r="X382" s="5"/>
      <c r="Y382" s="5"/>
      <c r="Z382" s="5"/>
      <c r="AA382" s="5"/>
      <c r="AB382" s="5"/>
      <c r="AC382" s="5" t="str">
        <f>IFERROR(__xludf.DUMMYFUNCTION("""COMPUTED_VALUE"""),"No")</f>
        <v>No</v>
      </c>
      <c r="AD382" s="5"/>
      <c r="AE382" s="5"/>
      <c r="AF382" s="5"/>
      <c r="AG382" s="5"/>
      <c r="AH382" s="5"/>
      <c r="AI382" s="5"/>
      <c r="AJ382" s="5"/>
      <c r="AK382" s="5"/>
      <c r="AL382" s="5"/>
      <c r="AM382" s="5"/>
      <c r="AN382" s="5"/>
      <c r="AO382" s="5"/>
      <c r="AP382" s="5"/>
      <c r="AQ382" s="5"/>
      <c r="AR382" s="5"/>
      <c r="AS382" s="5"/>
      <c r="AT382" s="5"/>
      <c r="AU382" s="5"/>
      <c r="AV382" s="5"/>
      <c r="AW382" s="5"/>
      <c r="AX382" s="5"/>
      <c r="AY382" s="5"/>
    </row>
    <row r="383">
      <c r="A38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3" s="5">
        <f>IFERROR(__xludf.DUMMYFUNCTION("""COMPUTED_VALUE"""),388.0)</f>
        <v>388</v>
      </c>
      <c r="C383" s="5">
        <f>IFERROR(__xludf.DUMMYFUNCTION("""COMPUTED_VALUE"""),366.0)</f>
        <v>366</v>
      </c>
      <c r="D383" s="5" t="str">
        <f>IFERROR(__xludf.DUMMYFUNCTION("""COMPUTED_VALUE"""),"Unicorn20HotStrikeJackpot")</f>
        <v>Unicorn20HotStrikeJackpot</v>
      </c>
      <c r="E383" s="5" t="str">
        <f>IFERROR(__xludf.DUMMYFUNCTION("""COMPUTED_VALUE"""),"Yes")</f>
        <v>Yes</v>
      </c>
      <c r="F383" s="5" t="str">
        <f>IFERROR(__xludf.DUMMYFUNCTION("""COMPUTED_VALUE"""),"Yes")</f>
        <v>Yes</v>
      </c>
      <c r="G383" s="5" t="str">
        <f>IFERROR(__xludf.DUMMYFUNCTION("""COMPUTED_VALUE"""),"Yes")</f>
        <v>Yes</v>
      </c>
      <c r="H383" s="5" t="str">
        <f>IFERROR(__xludf.DUMMYFUNCTION("""COMPUTED_VALUE"""),"No")</f>
        <v>No</v>
      </c>
      <c r="I383" s="5" t="str">
        <f>IFERROR(__xludf.DUMMYFUNCTION("""COMPUTED_VALUE"""),"No")</f>
        <v>No</v>
      </c>
      <c r="J383" s="5" t="str">
        <f>IFERROR(__xludf.DUMMYFUNCTION("""COMPUTED_VALUE"""),"No")</f>
        <v>No</v>
      </c>
      <c r="K383" s="5" t="str">
        <f>IFERROR(__xludf.DUMMYFUNCTION("""COMPUTED_VALUE"""),"No")</f>
        <v>No</v>
      </c>
      <c r="L383" s="5" t="str">
        <f>IFERROR(__xludf.DUMMYFUNCTION("""COMPUTED_VALUE"""),"No")</f>
        <v>No</v>
      </c>
      <c r="M383" s="5" t="str">
        <f>IFERROR(__xludf.DUMMYFUNCTION("""COMPUTED_VALUE"""),"Yes")</f>
        <v>Yes</v>
      </c>
      <c r="N383" s="5" t="str">
        <f>IFERROR(__xludf.DUMMYFUNCTION("""COMPUTED_VALUE"""),"Yes")</f>
        <v>Yes</v>
      </c>
      <c r="O383" s="5" t="str">
        <f>IFERROR(__xludf.DUMMYFUNCTION("""COMPUTED_VALUE"""),"Yes")</f>
        <v>Yes</v>
      </c>
      <c r="P383" s="5" t="str">
        <f>IFERROR(__xludf.DUMMYFUNCTION("""COMPUTED_VALUE"""),"Yes")</f>
        <v>Yes</v>
      </c>
      <c r="Q383" s="5" t="str">
        <f>IFERROR(__xludf.DUMMYFUNCTION("""COMPUTED_VALUE"""),"Yes")</f>
        <v>Yes</v>
      </c>
      <c r="R383" s="5" t="str">
        <f>IFERROR(__xludf.DUMMYFUNCTION("""COMPUTED_VALUE"""),"No")</f>
        <v>No</v>
      </c>
      <c r="S383" s="5" t="str">
        <f>IFERROR(__xludf.DUMMYFUNCTION("""COMPUTED_VALUE"""),"Yes")</f>
        <v>Yes</v>
      </c>
      <c r="T383" s="5" t="str">
        <f>IFERROR(__xludf.DUMMYFUNCTION("""COMPUTED_VALUE"""),"No")</f>
        <v>No</v>
      </c>
      <c r="U383" s="5" t="str">
        <f>IFERROR(__xludf.DUMMYFUNCTION("""COMPUTED_VALUE"""),"No")</f>
        <v>No</v>
      </c>
      <c r="V383" s="5" t="str">
        <f>IFERROR(__xludf.DUMMYFUNCTION("""COMPUTED_VALUE"""),"No")</f>
        <v>No</v>
      </c>
      <c r="W383" s="5" t="str">
        <f>IFERROR(__xludf.DUMMYFUNCTION("""COMPUTED_VALUE"""),"No")</f>
        <v>No</v>
      </c>
      <c r="X383" s="5"/>
      <c r="Y383" s="5"/>
      <c r="Z383" s="5"/>
      <c r="AA383" s="5" t="str">
        <f>IFERROR(__xludf.DUMMYFUNCTION("""COMPUTED_VALUE"""),"No")</f>
        <v>No</v>
      </c>
      <c r="AB383" s="5"/>
      <c r="AC383" s="5" t="str">
        <f>IFERROR(__xludf.DUMMYFUNCTION("""COMPUTED_VALUE"""),"No")</f>
        <v>No</v>
      </c>
      <c r="AD383" s="5"/>
      <c r="AE383" s="5"/>
      <c r="AF383" s="5"/>
      <c r="AG383" s="5"/>
      <c r="AH383" s="5"/>
      <c r="AI383" s="5"/>
      <c r="AJ383" s="5"/>
      <c r="AK383" s="5"/>
      <c r="AL383" s="5"/>
      <c r="AM383" s="5"/>
      <c r="AN383" s="5"/>
      <c r="AO383" s="5"/>
      <c r="AP383" s="5"/>
      <c r="AQ383" s="5"/>
      <c r="AR383" s="5"/>
      <c r="AS383" s="5"/>
      <c r="AT383" s="5"/>
      <c r="AU383" s="5"/>
      <c r="AV383" s="5"/>
      <c r="AW383" s="5"/>
      <c r="AX383" s="5"/>
      <c r="AY383" s="5"/>
    </row>
    <row r="384">
      <c r="A3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84" s="5">
        <f>IFERROR(__xludf.DUMMYFUNCTION("""COMPUTED_VALUE"""),389.0)</f>
        <v>389</v>
      </c>
      <c r="C384" s="5">
        <f>IFERROR(__xludf.DUMMYFUNCTION("""COMPUTED_VALUE"""),367.0)</f>
        <v>367</v>
      </c>
      <c r="D384" s="5" t="str">
        <f>IFERROR(__xludf.DUMMYFUNCTION("""COMPUTED_VALUE"""),"Redstone5WildFire")</f>
        <v>Redstone5WildFire</v>
      </c>
      <c r="E384" s="5" t="str">
        <f>IFERROR(__xludf.DUMMYFUNCTION("""COMPUTED_VALUE"""),"Yes")</f>
        <v>Yes</v>
      </c>
      <c r="F384" s="5" t="str">
        <f>IFERROR(__xludf.DUMMYFUNCTION("""COMPUTED_VALUE"""),"Yes")</f>
        <v>Yes</v>
      </c>
      <c r="G384" s="5" t="str">
        <f>IFERROR(__xludf.DUMMYFUNCTION("""COMPUTED_VALUE"""),"Yes")</f>
        <v>Yes</v>
      </c>
      <c r="H384" s="5" t="str">
        <f>IFERROR(__xludf.DUMMYFUNCTION("""COMPUTED_VALUE"""),"Yes")</f>
        <v>Yes</v>
      </c>
      <c r="I384" s="5" t="str">
        <f>IFERROR(__xludf.DUMMYFUNCTION("""COMPUTED_VALUE"""),"Yes")</f>
        <v>Yes</v>
      </c>
      <c r="J384" s="5" t="str">
        <f>IFERROR(__xludf.DUMMYFUNCTION("""COMPUTED_VALUE"""),"Yes")</f>
        <v>Yes</v>
      </c>
      <c r="K384" s="5" t="str">
        <f>IFERROR(__xludf.DUMMYFUNCTION("""COMPUTED_VALUE"""),"Yes")</f>
        <v>Yes</v>
      </c>
      <c r="L384" s="5" t="str">
        <f>IFERROR(__xludf.DUMMYFUNCTION("""COMPUTED_VALUE"""),"Yes")</f>
        <v>Yes</v>
      </c>
      <c r="M384" s="5" t="str">
        <f>IFERROR(__xludf.DUMMYFUNCTION("""COMPUTED_VALUE"""),"Yes")</f>
        <v>Yes</v>
      </c>
      <c r="N384" s="5" t="str">
        <f>IFERROR(__xludf.DUMMYFUNCTION("""COMPUTED_VALUE"""),"Yes")</f>
        <v>Yes</v>
      </c>
      <c r="O384" s="5" t="str">
        <f>IFERROR(__xludf.DUMMYFUNCTION("""COMPUTED_VALUE"""),"Yes")</f>
        <v>Yes</v>
      </c>
      <c r="P384" s="5" t="str">
        <f>IFERROR(__xludf.DUMMYFUNCTION("""COMPUTED_VALUE"""),"Yes")</f>
        <v>Yes</v>
      </c>
      <c r="Q384" s="5" t="str">
        <f>IFERROR(__xludf.DUMMYFUNCTION("""COMPUTED_VALUE"""),"Yes")</f>
        <v>Yes</v>
      </c>
      <c r="R384" s="5" t="str">
        <f>IFERROR(__xludf.DUMMYFUNCTION("""COMPUTED_VALUE"""),"Yes")</f>
        <v>Yes</v>
      </c>
      <c r="S384" s="5" t="str">
        <f>IFERROR(__xludf.DUMMYFUNCTION("""COMPUTED_VALUE"""),"Yes")</f>
        <v>Yes</v>
      </c>
      <c r="T384" s="5" t="str">
        <f>IFERROR(__xludf.DUMMYFUNCTION("""COMPUTED_VALUE"""),"Yes")</f>
        <v>Yes</v>
      </c>
      <c r="U384" s="5" t="str">
        <f>IFERROR(__xludf.DUMMYFUNCTION("""COMPUTED_VALUE"""),"Yes")</f>
        <v>Yes</v>
      </c>
      <c r="V384" s="5" t="str">
        <f>IFERROR(__xludf.DUMMYFUNCTION("""COMPUTED_VALUE"""),"Yes")</f>
        <v>Yes</v>
      </c>
      <c r="W384" s="5" t="str">
        <f>IFERROR(__xludf.DUMMYFUNCTION("""COMPUTED_VALUE"""),"Yes")</f>
        <v>Yes</v>
      </c>
      <c r="X384" s="5"/>
      <c r="Y384" s="5"/>
      <c r="Z384" s="5"/>
      <c r="AA384" s="5"/>
      <c r="AB384" s="5"/>
      <c r="AC384" s="5" t="str">
        <f>IFERROR(__xludf.DUMMYFUNCTION("""COMPUTED_VALUE"""),"Yes")</f>
        <v>Yes</v>
      </c>
      <c r="AD384" s="5"/>
      <c r="AE384" s="5"/>
      <c r="AF384" s="5"/>
      <c r="AG384" s="5"/>
      <c r="AH384" s="5"/>
      <c r="AI384" s="5"/>
      <c r="AJ384" s="5"/>
      <c r="AK384" s="5"/>
      <c r="AL384" s="5"/>
      <c r="AM384" s="5"/>
      <c r="AN384" s="5"/>
      <c r="AO384" s="5"/>
      <c r="AP384" s="5"/>
      <c r="AQ384" s="5"/>
      <c r="AR384" s="5"/>
      <c r="AS384" s="5"/>
      <c r="AT384" s="5"/>
      <c r="AU384" s="5"/>
      <c r="AV384" s="5"/>
      <c r="AW384" s="5"/>
      <c r="AX384" s="5"/>
      <c r="AY384" s="5"/>
    </row>
    <row r="385">
      <c r="A38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5" s="5">
        <f>IFERROR(__xludf.DUMMYFUNCTION("""COMPUTED_VALUE"""),390.0)</f>
        <v>390</v>
      </c>
      <c r="C385" s="5">
        <f>IFERROR(__xludf.DUMMYFUNCTION("""COMPUTED_VALUE"""),368.0)</f>
        <v>368</v>
      </c>
      <c r="D385" s="5" t="str">
        <f>IFERROR(__xludf.DUMMYFUNCTION("""COMPUTED_VALUE"""),"PlayNetWildForties")</f>
        <v>PlayNetWildForties</v>
      </c>
      <c r="E385" s="5" t="str">
        <f>IFERROR(__xludf.DUMMYFUNCTION("""COMPUTED_VALUE"""),"Yes")</f>
        <v>Yes</v>
      </c>
      <c r="F385" s="5" t="str">
        <f>IFERROR(__xludf.DUMMYFUNCTION("""COMPUTED_VALUE"""),"Yes")</f>
        <v>Yes</v>
      </c>
      <c r="G385" s="5" t="str">
        <f>IFERROR(__xludf.DUMMYFUNCTION("""COMPUTED_VALUE"""),"No")</f>
        <v>No</v>
      </c>
      <c r="H385" s="5" t="str">
        <f>IFERROR(__xludf.DUMMYFUNCTION("""COMPUTED_VALUE"""),"Yes")</f>
        <v>Yes</v>
      </c>
      <c r="I385" s="5" t="str">
        <f>IFERROR(__xludf.DUMMYFUNCTION("""COMPUTED_VALUE"""),"Yes")</f>
        <v>Yes</v>
      </c>
      <c r="J385" s="5" t="str">
        <f>IFERROR(__xludf.DUMMYFUNCTION("""COMPUTED_VALUE"""),"Yes")</f>
        <v>Yes</v>
      </c>
      <c r="K385" s="5" t="str">
        <f>IFERROR(__xludf.DUMMYFUNCTION("""COMPUTED_VALUE"""),"Yes")</f>
        <v>Yes</v>
      </c>
      <c r="L385" s="5" t="str">
        <f>IFERROR(__xludf.DUMMYFUNCTION("""COMPUTED_VALUE"""),"Yes")</f>
        <v>Yes</v>
      </c>
      <c r="M385" s="5" t="str">
        <f>IFERROR(__xludf.DUMMYFUNCTION("""COMPUTED_VALUE"""),"Yes")</f>
        <v>Yes</v>
      </c>
      <c r="N385" s="5" t="str">
        <f>IFERROR(__xludf.DUMMYFUNCTION("""COMPUTED_VALUE"""),"Yes")</f>
        <v>Yes</v>
      </c>
      <c r="O385" s="5" t="str">
        <f>IFERROR(__xludf.DUMMYFUNCTION("""COMPUTED_VALUE"""),"Yes")</f>
        <v>Yes</v>
      </c>
      <c r="P385" s="5" t="str">
        <f>IFERROR(__xludf.DUMMYFUNCTION("""COMPUTED_VALUE"""),"Yes")</f>
        <v>Yes</v>
      </c>
      <c r="Q385" s="5" t="str">
        <f>IFERROR(__xludf.DUMMYFUNCTION("""COMPUTED_VALUE"""),"Yes")</f>
        <v>Yes</v>
      </c>
      <c r="R385" s="5" t="str">
        <f>IFERROR(__xludf.DUMMYFUNCTION("""COMPUTED_VALUE"""),"Yes")</f>
        <v>Yes</v>
      </c>
      <c r="S385" s="5" t="str">
        <f>IFERROR(__xludf.DUMMYFUNCTION("""COMPUTED_VALUE"""),"Yes")</f>
        <v>Yes</v>
      </c>
      <c r="T385" s="5" t="str">
        <f>IFERROR(__xludf.DUMMYFUNCTION("""COMPUTED_VALUE"""),"No")</f>
        <v>No</v>
      </c>
      <c r="U385" s="5" t="str">
        <f>IFERROR(__xludf.DUMMYFUNCTION("""COMPUTED_VALUE"""),"No")</f>
        <v>No</v>
      </c>
      <c r="V385" s="5" t="str">
        <f>IFERROR(__xludf.DUMMYFUNCTION("""COMPUTED_VALUE"""),"No")</f>
        <v>No</v>
      </c>
      <c r="W385" s="5" t="str">
        <f>IFERROR(__xludf.DUMMYFUNCTION("""COMPUTED_VALUE"""),"No")</f>
        <v>No</v>
      </c>
      <c r="X385" s="5" t="str">
        <f>IFERROR(__xludf.DUMMYFUNCTION("""COMPUTED_VALUE"""),"No")</f>
        <v>No</v>
      </c>
      <c r="Y385" s="5" t="str">
        <f>IFERROR(__xludf.DUMMYFUNCTION("""COMPUTED_VALUE"""),"No")</f>
        <v>No</v>
      </c>
      <c r="Z385" s="5" t="str">
        <f>IFERROR(__xludf.DUMMYFUNCTION("""COMPUTED_VALUE"""),"No")</f>
        <v>No</v>
      </c>
      <c r="AA385" s="5" t="str">
        <f>IFERROR(__xludf.DUMMYFUNCTION("""COMPUTED_VALUE"""),"No")</f>
        <v>No</v>
      </c>
      <c r="AB385" s="5" t="str">
        <f>IFERROR(__xludf.DUMMYFUNCTION("""COMPUTED_VALUE"""),"No")</f>
        <v>No</v>
      </c>
      <c r="AC385" s="5" t="str">
        <f>IFERROR(__xludf.DUMMYFUNCTION("""COMPUTED_VALUE"""),"No")</f>
        <v>No</v>
      </c>
      <c r="AD385" s="5" t="str">
        <f>IFERROR(__xludf.DUMMYFUNCTION("""COMPUTED_VALUE"""),"No")</f>
        <v>No</v>
      </c>
      <c r="AE385" s="5" t="str">
        <f>IFERROR(__xludf.DUMMYFUNCTION("""COMPUTED_VALUE"""),"No")</f>
        <v>No</v>
      </c>
      <c r="AF385" s="5" t="str">
        <f>IFERROR(__xludf.DUMMYFUNCTION("""COMPUTED_VALUE"""),"Yes")</f>
        <v>Yes</v>
      </c>
      <c r="AG385" s="5" t="str">
        <f>IFERROR(__xludf.DUMMYFUNCTION("""COMPUTED_VALUE"""),"No")</f>
        <v>No</v>
      </c>
      <c r="AH385" s="5" t="str">
        <f>IFERROR(__xludf.DUMMYFUNCTION("""COMPUTED_VALUE"""),"Yes")</f>
        <v>Yes</v>
      </c>
      <c r="AI385" s="5" t="str">
        <f>IFERROR(__xludf.DUMMYFUNCTION("""COMPUTED_VALUE"""),"No")</f>
        <v>No</v>
      </c>
      <c r="AJ385" s="5" t="str">
        <f>IFERROR(__xludf.DUMMYFUNCTION("""COMPUTED_VALUE"""),"No")</f>
        <v>No</v>
      </c>
      <c r="AK385" s="5" t="str">
        <f>IFERROR(__xludf.DUMMYFUNCTION("""COMPUTED_VALUE"""),"No")</f>
        <v>No</v>
      </c>
      <c r="AL385" s="5" t="str">
        <f>IFERROR(__xludf.DUMMYFUNCTION("""COMPUTED_VALUE"""),"No")</f>
        <v>No</v>
      </c>
      <c r="AM385" s="5"/>
      <c r="AN385" s="5"/>
      <c r="AO385" s="5"/>
      <c r="AP385" s="5"/>
      <c r="AQ385" s="5"/>
      <c r="AR385" s="5"/>
      <c r="AS385" s="5"/>
      <c r="AT385" s="5"/>
      <c r="AU385" s="5"/>
      <c r="AV385" s="5"/>
      <c r="AW385" s="5"/>
      <c r="AX385" s="5"/>
      <c r="AY385" s="5"/>
    </row>
    <row r="386">
      <c r="A38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6" s="5">
        <f>IFERROR(__xludf.DUMMYFUNCTION("""COMPUTED_VALUE"""),392.0)</f>
        <v>392</v>
      </c>
      <c r="C386" s="5">
        <f>IFERROR(__xludf.DUMMYFUNCTION("""COMPUTED_VALUE"""),370.0)</f>
        <v>370</v>
      </c>
      <c r="D386" s="5" t="str">
        <f>IFERROR(__xludf.DUMMYFUNCTION("""COMPUTED_VALUE"""),"UnicornHitLineDice")</f>
        <v>UnicornHitLineDice</v>
      </c>
      <c r="E386" s="5" t="str">
        <f>IFERROR(__xludf.DUMMYFUNCTION("""COMPUTED_VALUE"""),"Yes")</f>
        <v>Yes</v>
      </c>
      <c r="F386" s="5" t="str">
        <f>IFERROR(__xludf.DUMMYFUNCTION("""COMPUTED_VALUE"""),"Yes")</f>
        <v>Yes</v>
      </c>
      <c r="G386" s="5" t="str">
        <f>IFERROR(__xludf.DUMMYFUNCTION("""COMPUTED_VALUE"""),"Yes")</f>
        <v>Yes</v>
      </c>
      <c r="H386" s="5" t="str">
        <f>IFERROR(__xludf.DUMMYFUNCTION("""COMPUTED_VALUE"""),"No")</f>
        <v>No</v>
      </c>
      <c r="I386" s="5" t="str">
        <f>IFERROR(__xludf.DUMMYFUNCTION("""COMPUTED_VALUE"""),"No")</f>
        <v>No</v>
      </c>
      <c r="J386" s="5" t="str">
        <f>IFERROR(__xludf.DUMMYFUNCTION("""COMPUTED_VALUE"""),"No")</f>
        <v>No</v>
      </c>
      <c r="K386" s="5" t="str">
        <f>IFERROR(__xludf.DUMMYFUNCTION("""COMPUTED_VALUE"""),"No")</f>
        <v>No</v>
      </c>
      <c r="L386" s="5" t="str">
        <f>IFERROR(__xludf.DUMMYFUNCTION("""COMPUTED_VALUE"""),"No")</f>
        <v>No</v>
      </c>
      <c r="M386" s="5" t="str">
        <f>IFERROR(__xludf.DUMMYFUNCTION("""COMPUTED_VALUE"""),"Yes")</f>
        <v>Yes</v>
      </c>
      <c r="N386" s="5" t="str">
        <f>IFERROR(__xludf.DUMMYFUNCTION("""COMPUTED_VALUE"""),"Yes")</f>
        <v>Yes</v>
      </c>
      <c r="O386" s="5" t="str">
        <f>IFERROR(__xludf.DUMMYFUNCTION("""COMPUTED_VALUE"""),"Yes")</f>
        <v>Yes</v>
      </c>
      <c r="P386" s="5" t="str">
        <f>IFERROR(__xludf.DUMMYFUNCTION("""COMPUTED_VALUE"""),"Yes")</f>
        <v>Yes</v>
      </c>
      <c r="Q386" s="5" t="str">
        <f>IFERROR(__xludf.DUMMYFUNCTION("""COMPUTED_VALUE"""),"Yes")</f>
        <v>Yes</v>
      </c>
      <c r="R386" s="5" t="str">
        <f>IFERROR(__xludf.DUMMYFUNCTION("""COMPUTED_VALUE"""),"No")</f>
        <v>No</v>
      </c>
      <c r="S386" s="5" t="str">
        <f>IFERROR(__xludf.DUMMYFUNCTION("""COMPUTED_VALUE"""),"Yes")</f>
        <v>Yes</v>
      </c>
      <c r="T386" s="5" t="str">
        <f>IFERROR(__xludf.DUMMYFUNCTION("""COMPUTED_VALUE"""),"No")</f>
        <v>No</v>
      </c>
      <c r="U386" s="5" t="str">
        <f>IFERROR(__xludf.DUMMYFUNCTION("""COMPUTED_VALUE"""),"No")</f>
        <v>No</v>
      </c>
      <c r="V386" s="5" t="str">
        <f>IFERROR(__xludf.DUMMYFUNCTION("""COMPUTED_VALUE"""),"No")</f>
        <v>No</v>
      </c>
      <c r="W386" s="5" t="str">
        <f>IFERROR(__xludf.DUMMYFUNCTION("""COMPUTED_VALUE"""),"No")</f>
        <v>No</v>
      </c>
      <c r="X386" s="5"/>
      <c r="Y386" s="5"/>
      <c r="Z386" s="5"/>
      <c r="AA386" s="5"/>
      <c r="AB386" s="5"/>
      <c r="AC386" s="5" t="str">
        <f>IFERROR(__xludf.DUMMYFUNCTION("""COMPUTED_VALUE"""),"No")</f>
        <v>No</v>
      </c>
      <c r="AD386" s="5"/>
      <c r="AE386" s="5"/>
      <c r="AF386" s="5"/>
      <c r="AG386" s="5"/>
      <c r="AH386" s="5"/>
      <c r="AI386" s="5"/>
      <c r="AJ386" s="5"/>
      <c r="AK386" s="5"/>
      <c r="AL386" s="5"/>
      <c r="AM386" s="5"/>
      <c r="AN386" s="5"/>
      <c r="AO386" s="5"/>
      <c r="AP386" s="5"/>
      <c r="AQ386" s="5"/>
      <c r="AR386" s="5"/>
      <c r="AS386" s="5"/>
      <c r="AT386" s="5"/>
      <c r="AU386" s="5"/>
      <c r="AV386" s="5"/>
      <c r="AW386" s="5"/>
      <c r="AX386" s="5"/>
      <c r="AY386" s="5"/>
    </row>
    <row r="387">
      <c r="A387"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7" s="5">
        <f>IFERROR(__xludf.DUMMYFUNCTION("""COMPUTED_VALUE"""),393.0)</f>
        <v>393</v>
      </c>
      <c r="C387" s="5">
        <f>IFERROR(__xludf.DUMMYFUNCTION("""COMPUTED_VALUE"""),371.0)</f>
        <v>371</v>
      </c>
      <c r="D387" s="5" t="str">
        <f>IFERROR(__xludf.DUMMYFUNCTION("""COMPUTED_VALUE"""),"PlayNetBookOfAmun")</f>
        <v>PlayNetBookOfAmun</v>
      </c>
      <c r="E387" s="5" t="str">
        <f>IFERROR(__xludf.DUMMYFUNCTION("""COMPUTED_VALUE"""),"Yes")</f>
        <v>Yes</v>
      </c>
      <c r="F387" s="5" t="str">
        <f>IFERROR(__xludf.DUMMYFUNCTION("""COMPUTED_VALUE"""),"Yes")</f>
        <v>Yes</v>
      </c>
      <c r="G387" s="5" t="str">
        <f>IFERROR(__xludf.DUMMYFUNCTION("""COMPUTED_VALUE"""),"Yes")</f>
        <v>Yes</v>
      </c>
      <c r="H387" s="5" t="str">
        <f>IFERROR(__xludf.DUMMYFUNCTION("""COMPUTED_VALUE"""),"Yes")</f>
        <v>Yes</v>
      </c>
      <c r="I387" s="5" t="str">
        <f>IFERROR(__xludf.DUMMYFUNCTION("""COMPUTED_VALUE"""),"Yes")</f>
        <v>Yes</v>
      </c>
      <c r="J387" s="5" t="str">
        <f>IFERROR(__xludf.DUMMYFUNCTION("""COMPUTED_VALUE"""),"Yes")</f>
        <v>Yes</v>
      </c>
      <c r="K387" s="5" t="str">
        <f>IFERROR(__xludf.DUMMYFUNCTION("""COMPUTED_VALUE"""),"Yes")</f>
        <v>Yes</v>
      </c>
      <c r="L387" s="5" t="str">
        <f>IFERROR(__xludf.DUMMYFUNCTION("""COMPUTED_VALUE"""),"Yes")</f>
        <v>Yes</v>
      </c>
      <c r="M387" s="5" t="str">
        <f>IFERROR(__xludf.DUMMYFUNCTION("""COMPUTED_VALUE"""),"Yes")</f>
        <v>Yes</v>
      </c>
      <c r="N387" s="5" t="str">
        <f>IFERROR(__xludf.DUMMYFUNCTION("""COMPUTED_VALUE"""),"Yes")</f>
        <v>Yes</v>
      </c>
      <c r="O387" s="5" t="str">
        <f>IFERROR(__xludf.DUMMYFUNCTION("""COMPUTED_VALUE"""),"Yes")</f>
        <v>Yes</v>
      </c>
      <c r="P387" s="5" t="str">
        <f>IFERROR(__xludf.DUMMYFUNCTION("""COMPUTED_VALUE"""),"Yes")</f>
        <v>Yes</v>
      </c>
      <c r="Q387" s="5" t="str">
        <f>IFERROR(__xludf.DUMMYFUNCTION("""COMPUTED_VALUE"""),"Yes")</f>
        <v>Yes</v>
      </c>
      <c r="R387" s="5" t="str">
        <f>IFERROR(__xludf.DUMMYFUNCTION("""COMPUTED_VALUE"""),"Yes")</f>
        <v>Yes</v>
      </c>
      <c r="S387" s="5" t="str">
        <f>IFERROR(__xludf.DUMMYFUNCTION("""COMPUTED_VALUE"""),"Yes")</f>
        <v>Yes</v>
      </c>
      <c r="T387" s="5" t="str">
        <f>IFERROR(__xludf.DUMMYFUNCTION("""COMPUTED_VALUE"""),"No")</f>
        <v>No</v>
      </c>
      <c r="U387" s="5" t="str">
        <f>IFERROR(__xludf.DUMMYFUNCTION("""COMPUTED_VALUE"""),"No")</f>
        <v>No</v>
      </c>
      <c r="V387" s="5" t="str">
        <f>IFERROR(__xludf.DUMMYFUNCTION("""COMPUTED_VALUE"""),"No")</f>
        <v>No</v>
      </c>
      <c r="W387" s="5" t="str">
        <f>IFERROR(__xludf.DUMMYFUNCTION("""COMPUTED_VALUE"""),"No")</f>
        <v>No</v>
      </c>
      <c r="X387" s="5"/>
      <c r="Y387" s="5"/>
      <c r="Z387" s="5"/>
      <c r="AA387" s="5"/>
      <c r="AB387" s="5"/>
      <c r="AC387" s="5" t="str">
        <f>IFERROR(__xludf.DUMMYFUNCTION("""COMPUTED_VALUE"""),"No")</f>
        <v>No</v>
      </c>
      <c r="AD387" s="5"/>
      <c r="AE387" s="5"/>
      <c r="AF387" s="5" t="str">
        <f>IFERROR(__xludf.DUMMYFUNCTION("""COMPUTED_VALUE"""),"Yes")</f>
        <v>Yes</v>
      </c>
      <c r="AG387" s="5"/>
      <c r="AH387" s="5" t="str">
        <f>IFERROR(__xludf.DUMMYFUNCTION("""COMPUTED_VALUE"""),"Yes")</f>
        <v>Yes</v>
      </c>
      <c r="AI387" s="5"/>
      <c r="AJ387" s="5"/>
      <c r="AK387" s="5"/>
      <c r="AL387" s="5"/>
      <c r="AM387" s="5"/>
      <c r="AN387" s="5"/>
      <c r="AO387" s="5"/>
      <c r="AP387" s="5"/>
      <c r="AQ387" s="5"/>
      <c r="AR387" s="5"/>
      <c r="AS387" s="5"/>
      <c r="AT387" s="5"/>
      <c r="AU387" s="5"/>
      <c r="AV387" s="5"/>
      <c r="AW387" s="5"/>
      <c r="AX387" s="5"/>
      <c r="AY387" s="5"/>
    </row>
    <row r="388">
      <c r="A38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388" s="5">
        <f>IFERROR(__xludf.DUMMYFUNCTION("""COMPUTED_VALUE"""),394.0)</f>
        <v>394</v>
      </c>
      <c r="C388" s="5">
        <f>IFERROR(__xludf.DUMMYFUNCTION("""COMPUTED_VALUE"""),372.0)</f>
        <v>372</v>
      </c>
      <c r="D388" s="5" t="str">
        <f>IFERROR(__xludf.DUMMYFUNCTION("""COMPUTED_VALUE"""),"Redstone81DoubleMagic")</f>
        <v>Redstone81DoubleMagic</v>
      </c>
      <c r="E388" s="5" t="str">
        <f>IFERROR(__xludf.DUMMYFUNCTION("""COMPUTED_VALUE"""),"Yes")</f>
        <v>Yes</v>
      </c>
      <c r="F388" s="5" t="str">
        <f>IFERROR(__xludf.DUMMYFUNCTION("""COMPUTED_VALUE"""),"Yes")</f>
        <v>Yes</v>
      </c>
      <c r="G388" s="5" t="str">
        <f>IFERROR(__xludf.DUMMYFUNCTION("""COMPUTED_VALUE"""),"Yes")</f>
        <v>Yes</v>
      </c>
      <c r="H388" s="5" t="str">
        <f>IFERROR(__xludf.DUMMYFUNCTION("""COMPUTED_VALUE"""),"No")</f>
        <v>No</v>
      </c>
      <c r="I388" s="5" t="str">
        <f>IFERROR(__xludf.DUMMYFUNCTION("""COMPUTED_VALUE"""),"No")</f>
        <v>No</v>
      </c>
      <c r="J388" s="5" t="str">
        <f>IFERROR(__xludf.DUMMYFUNCTION("""COMPUTED_VALUE"""),"No")</f>
        <v>No</v>
      </c>
      <c r="K388" s="5" t="str">
        <f>IFERROR(__xludf.DUMMYFUNCTION("""COMPUTED_VALUE"""),"No")</f>
        <v>No</v>
      </c>
      <c r="L388" s="5" t="str">
        <f>IFERROR(__xludf.DUMMYFUNCTION("""COMPUTED_VALUE"""),"No")</f>
        <v>No</v>
      </c>
      <c r="M388" s="5" t="str">
        <f>IFERROR(__xludf.DUMMYFUNCTION("""COMPUTED_VALUE"""),"Yes")</f>
        <v>Yes</v>
      </c>
      <c r="N388" s="5" t="str">
        <f>IFERROR(__xludf.DUMMYFUNCTION("""COMPUTED_VALUE"""),"Yes")</f>
        <v>Yes</v>
      </c>
      <c r="O388" s="5" t="str">
        <f>IFERROR(__xludf.DUMMYFUNCTION("""COMPUTED_VALUE"""),"Yes")</f>
        <v>Yes</v>
      </c>
      <c r="P388" s="5" t="str">
        <f>IFERROR(__xludf.DUMMYFUNCTION("""COMPUTED_VALUE"""),"Yes")</f>
        <v>Yes</v>
      </c>
      <c r="Q388" s="5" t="str">
        <f>IFERROR(__xludf.DUMMYFUNCTION("""COMPUTED_VALUE"""),"Yes")</f>
        <v>Yes</v>
      </c>
      <c r="R388" s="5" t="str">
        <f>IFERROR(__xludf.DUMMYFUNCTION("""COMPUTED_VALUE"""),"No")</f>
        <v>No</v>
      </c>
      <c r="S388" s="5" t="str">
        <f>IFERROR(__xludf.DUMMYFUNCTION("""COMPUTED_VALUE"""),"Yes")</f>
        <v>Yes</v>
      </c>
      <c r="T388" s="5" t="str">
        <f>IFERROR(__xludf.DUMMYFUNCTION("""COMPUTED_VALUE"""),"No")</f>
        <v>No</v>
      </c>
      <c r="U388" s="5" t="str">
        <f>IFERROR(__xludf.DUMMYFUNCTION("""COMPUTED_VALUE"""),"No")</f>
        <v>No</v>
      </c>
      <c r="V388" s="5" t="str">
        <f>IFERROR(__xludf.DUMMYFUNCTION("""COMPUTED_VALUE"""),"No")</f>
        <v>No</v>
      </c>
      <c r="W388" s="5" t="str">
        <f>IFERROR(__xludf.DUMMYFUNCTION("""COMPUTED_VALUE"""),"No")</f>
        <v>No</v>
      </c>
      <c r="X388" s="5"/>
      <c r="Y388" s="5"/>
      <c r="Z388" s="5"/>
      <c r="AA388" s="5" t="str">
        <f>IFERROR(__xludf.DUMMYFUNCTION("""COMPUTED_VALUE"""),"No")</f>
        <v>No</v>
      </c>
      <c r="AB388" s="5"/>
      <c r="AC388" s="5" t="str">
        <f>IFERROR(__xludf.DUMMYFUNCTION("""COMPUTED_VALUE"""),"No")</f>
        <v>No</v>
      </c>
      <c r="AD388" s="5"/>
      <c r="AE388" s="5"/>
      <c r="AF388" s="5" t="str">
        <f>IFERROR(__xludf.DUMMYFUNCTION("""COMPUTED_VALUE"""),"No")</f>
        <v>No</v>
      </c>
      <c r="AG388" s="5"/>
      <c r="AH388" s="5"/>
      <c r="AI388" s="5"/>
      <c r="AJ388" s="5"/>
      <c r="AK388" s="5"/>
      <c r="AL388" s="5" t="str">
        <f>IFERROR(__xludf.DUMMYFUNCTION("""COMPUTED_VALUE"""),"No")</f>
        <v>No</v>
      </c>
      <c r="AM388" s="5"/>
      <c r="AN388" s="5"/>
      <c r="AO388" s="5"/>
      <c r="AP388" s="5"/>
      <c r="AQ388" s="5"/>
      <c r="AR388" s="5"/>
      <c r="AS388" s="5"/>
      <c r="AT388" s="5"/>
      <c r="AU388" s="5"/>
      <c r="AV388" s="5"/>
      <c r="AW388" s="5"/>
      <c r="AX388" s="5"/>
      <c r="AY388" s="5"/>
    </row>
    <row r="389">
      <c r="A389" s="5" t="str">
        <f>IFERROR(__xludf.DUMMYFUNCTION("""COMPUTED_VALUE"""),"English(""eng""), Serbian(""""srp"",""srb""""), Spanish(""spa""), Portuguese(""por""), Italian(""ita""), Romanian(""rum/ron""), Croatian(""hrv""), French(""fre/fra""), German(""ger/deu""), Dutch(""dut/nld""), Turkish(""tur""), Greek(""gre/ell""), Russian("&amp;"""rus""), Ukrainian(""ukr""), Chinese(""zho/chi"")")</f>
        <v>English("eng"), Serbian(""srp","srb""), Spanish("spa"), Portuguese("por"), Italian("ita"), Romanian("rum/ron"), Croatian("hrv"), French("fre/fra"), German("ger/deu"), Dutch("dut/nld"), Turkish("tur"), Greek("gre/ell"), Russian("rus"), Ukrainian("ukr"), Chinese("zho/chi")</v>
      </c>
      <c r="B389" s="5">
        <f>IFERROR(__xludf.DUMMYFUNCTION("""COMPUTED_VALUE"""),396.0)</f>
        <v>396</v>
      </c>
      <c r="C389" s="5">
        <f>IFERROR(__xludf.DUMMYFUNCTION("""COMPUTED_VALUE"""),374.0)</f>
        <v>374</v>
      </c>
      <c r="D389" s="5" t="str">
        <f>IFERROR(__xludf.DUMMYFUNCTION("""COMPUTED_VALUE"""),"UnicornDynamiteRun")</f>
        <v>UnicornDynamiteRun</v>
      </c>
      <c r="E389" s="5" t="str">
        <f>IFERROR(__xludf.DUMMYFUNCTION("""COMPUTED_VALUE"""),"Yes")</f>
        <v>Yes</v>
      </c>
      <c r="F389" s="5" t="str">
        <f>IFERROR(__xludf.DUMMYFUNCTION("""COMPUTED_VALUE"""),"Yes")</f>
        <v>Yes</v>
      </c>
      <c r="G389" s="5" t="str">
        <f>IFERROR(__xludf.DUMMYFUNCTION("""COMPUTED_VALUE"""),"No")</f>
        <v>No</v>
      </c>
      <c r="H389" s="5" t="str">
        <f>IFERROR(__xludf.DUMMYFUNCTION("""COMPUTED_VALUE"""),"No")</f>
        <v>No</v>
      </c>
      <c r="I389" s="5" t="str">
        <f>IFERROR(__xludf.DUMMYFUNCTION("""COMPUTED_VALUE"""),"Yes")</f>
        <v>Yes</v>
      </c>
      <c r="J389" s="5" t="str">
        <f>IFERROR(__xludf.DUMMYFUNCTION("""COMPUTED_VALUE"""),"Yes")</f>
        <v>Yes</v>
      </c>
      <c r="K389" s="5" t="str">
        <f>IFERROR(__xludf.DUMMYFUNCTION("""COMPUTED_VALUE"""),"Yes")</f>
        <v>Yes</v>
      </c>
      <c r="L389" s="5" t="str">
        <f>IFERROR(__xludf.DUMMYFUNCTION("""COMPUTED_VALUE"""),"Yes")</f>
        <v>Yes</v>
      </c>
      <c r="M389" s="5" t="str">
        <f>IFERROR(__xludf.DUMMYFUNCTION("""COMPUTED_VALUE"""),"Yes")</f>
        <v>Yes</v>
      </c>
      <c r="N389" s="5" t="str">
        <f>IFERROR(__xludf.DUMMYFUNCTION("""COMPUTED_VALUE"""),"Yes")</f>
        <v>Yes</v>
      </c>
      <c r="O389" s="5" t="str">
        <f>IFERROR(__xludf.DUMMYFUNCTION("""COMPUTED_VALUE"""),"Yes")</f>
        <v>Yes</v>
      </c>
      <c r="P389" s="5" t="str">
        <f>IFERROR(__xludf.DUMMYFUNCTION("""COMPUTED_VALUE"""),"Yes")</f>
        <v>Yes</v>
      </c>
      <c r="Q389" s="5" t="str">
        <f>IFERROR(__xludf.DUMMYFUNCTION("""COMPUTED_VALUE"""),"Yes")</f>
        <v>Yes</v>
      </c>
      <c r="R389" s="5" t="str">
        <f>IFERROR(__xludf.DUMMYFUNCTION("""COMPUTED_VALUE"""),"Yes")</f>
        <v>Yes</v>
      </c>
      <c r="S389" s="5" t="str">
        <f>IFERROR(__xludf.DUMMYFUNCTION("""COMPUTED_VALUE"""),"Yes")</f>
        <v>Yes</v>
      </c>
      <c r="T389" s="5" t="str">
        <f>IFERROR(__xludf.DUMMYFUNCTION("""COMPUTED_VALUE"""),"No")</f>
        <v>No</v>
      </c>
      <c r="U389" s="5" t="str">
        <f>IFERROR(__xludf.DUMMYFUNCTION("""COMPUTED_VALUE"""),"No")</f>
        <v>No</v>
      </c>
      <c r="V389" s="5" t="str">
        <f>IFERROR(__xludf.DUMMYFUNCTION("""COMPUTED_VALUE"""),"No")</f>
        <v>No</v>
      </c>
      <c r="W389" s="5" t="str">
        <f>IFERROR(__xludf.DUMMYFUNCTION("""COMPUTED_VALUE"""),"No")</f>
        <v>No</v>
      </c>
      <c r="X389" s="5" t="str">
        <f>IFERROR(__xludf.DUMMYFUNCTION("""COMPUTED_VALUE"""),"No")</f>
        <v>No</v>
      </c>
      <c r="Y389" s="5" t="str">
        <f>IFERROR(__xludf.DUMMYFUNCTION("""COMPUTED_VALUE"""),"No")</f>
        <v>No</v>
      </c>
      <c r="Z389" s="5" t="str">
        <f>IFERROR(__xludf.DUMMYFUNCTION("""COMPUTED_VALUE"""),"No")</f>
        <v>No</v>
      </c>
      <c r="AA389" s="5" t="str">
        <f>IFERROR(__xludf.DUMMYFUNCTION("""COMPUTED_VALUE"""),"No")</f>
        <v>No</v>
      </c>
      <c r="AB389" s="5" t="str">
        <f>IFERROR(__xludf.DUMMYFUNCTION("""COMPUTED_VALUE"""),"No")</f>
        <v>No</v>
      </c>
      <c r="AC389" s="5" t="str">
        <f>IFERROR(__xludf.DUMMYFUNCTION("""COMPUTED_VALUE"""),"No")</f>
        <v>No</v>
      </c>
      <c r="AD389" s="5" t="str">
        <f>IFERROR(__xludf.DUMMYFUNCTION("""COMPUTED_VALUE"""),"No")</f>
        <v>No</v>
      </c>
      <c r="AE389" s="5" t="str">
        <f>IFERROR(__xludf.DUMMYFUNCTION("""COMPUTED_VALUE"""),"No")</f>
        <v>No</v>
      </c>
      <c r="AF389" s="5" t="str">
        <f>IFERROR(__xludf.DUMMYFUNCTION("""COMPUTED_VALUE"""),"Yes")</f>
        <v>Yes</v>
      </c>
      <c r="AG389" s="5" t="str">
        <f>IFERROR(__xludf.DUMMYFUNCTION("""COMPUTED_VALUE"""),"No")</f>
        <v>No</v>
      </c>
      <c r="AH389" s="5" t="str">
        <f>IFERROR(__xludf.DUMMYFUNCTION("""COMPUTED_VALUE"""),"Yes")</f>
        <v>Yes</v>
      </c>
      <c r="AI389" s="5" t="str">
        <f>IFERROR(__xludf.DUMMYFUNCTION("""COMPUTED_VALUE"""),"No")</f>
        <v>No</v>
      </c>
      <c r="AJ389" s="5" t="str">
        <f>IFERROR(__xludf.DUMMYFUNCTION("""COMPUTED_VALUE"""),"No")</f>
        <v>No</v>
      </c>
      <c r="AK389" s="5" t="str">
        <f>IFERROR(__xludf.DUMMYFUNCTION("""COMPUTED_VALUE"""),"No")</f>
        <v>No</v>
      </c>
      <c r="AL389" s="5" t="str">
        <f>IFERROR(__xludf.DUMMYFUNCTION("""COMPUTED_VALUE"""),"No")</f>
        <v>No</v>
      </c>
      <c r="AM389" s="5"/>
      <c r="AN389" s="5"/>
      <c r="AO389" s="5"/>
      <c r="AP389" s="5"/>
      <c r="AQ389" s="5"/>
      <c r="AR389" s="5"/>
      <c r="AS389" s="5"/>
      <c r="AT389" s="5"/>
      <c r="AU389" s="5"/>
      <c r="AV389" s="5"/>
      <c r="AW389" s="5"/>
      <c r="AX389" s="5"/>
      <c r="AY389" s="5"/>
    </row>
    <row r="390">
      <c r="A3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0" s="5">
        <f>IFERROR(__xludf.DUMMYFUNCTION("""COMPUTED_VALUE"""),398.0)</f>
        <v>398</v>
      </c>
      <c r="C390" s="5">
        <f>IFERROR(__xludf.DUMMYFUNCTION("""COMPUTED_VALUE"""),376.0)</f>
        <v>376</v>
      </c>
      <c r="D390" s="5" t="str">
        <f>IFERROR(__xludf.DUMMYFUNCTION("""COMPUTED_VALUE"""),"RedstoneOnlyAnime")</f>
        <v>RedstoneOnlyAnime</v>
      </c>
      <c r="E390" s="5" t="str">
        <f>IFERROR(__xludf.DUMMYFUNCTION("""COMPUTED_VALUE"""),"Yes")</f>
        <v>Yes</v>
      </c>
      <c r="F390" s="5" t="str">
        <f>IFERROR(__xludf.DUMMYFUNCTION("""COMPUTED_VALUE"""),"Yes")</f>
        <v>Yes</v>
      </c>
      <c r="G390" s="5" t="str">
        <f>IFERROR(__xludf.DUMMYFUNCTION("""COMPUTED_VALUE"""),"Yes")</f>
        <v>Yes</v>
      </c>
      <c r="H390" s="5" t="str">
        <f>IFERROR(__xludf.DUMMYFUNCTION("""COMPUTED_VALUE"""),"Yes")</f>
        <v>Yes</v>
      </c>
      <c r="I390" s="5" t="str">
        <f>IFERROR(__xludf.DUMMYFUNCTION("""COMPUTED_VALUE"""),"Yes")</f>
        <v>Yes</v>
      </c>
      <c r="J390" s="5" t="str">
        <f>IFERROR(__xludf.DUMMYFUNCTION("""COMPUTED_VALUE"""),"Yes")</f>
        <v>Yes</v>
      </c>
      <c r="K390" s="5" t="str">
        <f>IFERROR(__xludf.DUMMYFUNCTION("""COMPUTED_VALUE"""),"Yes")</f>
        <v>Yes</v>
      </c>
      <c r="L390" s="5" t="str">
        <f>IFERROR(__xludf.DUMMYFUNCTION("""COMPUTED_VALUE"""),"Yes")</f>
        <v>Yes</v>
      </c>
      <c r="M390" s="5" t="str">
        <f>IFERROR(__xludf.DUMMYFUNCTION("""COMPUTED_VALUE"""),"Yes")</f>
        <v>Yes</v>
      </c>
      <c r="N390" s="5" t="str">
        <f>IFERROR(__xludf.DUMMYFUNCTION("""COMPUTED_VALUE"""),"Yes")</f>
        <v>Yes</v>
      </c>
      <c r="O390" s="5" t="str">
        <f>IFERROR(__xludf.DUMMYFUNCTION("""COMPUTED_VALUE"""),"Yes")</f>
        <v>Yes</v>
      </c>
      <c r="P390" s="5" t="str">
        <f>IFERROR(__xludf.DUMMYFUNCTION("""COMPUTED_VALUE"""),"Yes")</f>
        <v>Yes</v>
      </c>
      <c r="Q390" s="5" t="str">
        <f>IFERROR(__xludf.DUMMYFUNCTION("""COMPUTED_VALUE"""),"Yes")</f>
        <v>Yes</v>
      </c>
      <c r="R390" s="5" t="str">
        <f>IFERROR(__xludf.DUMMYFUNCTION("""COMPUTED_VALUE"""),"Yes")</f>
        <v>Yes</v>
      </c>
      <c r="S390" s="5" t="str">
        <f>IFERROR(__xludf.DUMMYFUNCTION("""COMPUTED_VALUE"""),"Yes")</f>
        <v>Yes</v>
      </c>
      <c r="T390" s="5" t="str">
        <f>IFERROR(__xludf.DUMMYFUNCTION("""COMPUTED_VALUE"""),"Yes")</f>
        <v>Yes</v>
      </c>
      <c r="U390" s="5" t="str">
        <f>IFERROR(__xludf.DUMMYFUNCTION("""COMPUTED_VALUE"""),"Yes")</f>
        <v>Yes</v>
      </c>
      <c r="V390" s="5" t="str">
        <f>IFERROR(__xludf.DUMMYFUNCTION("""COMPUTED_VALUE"""),"Yes")</f>
        <v>Yes</v>
      </c>
      <c r="W390" s="5" t="str">
        <f>IFERROR(__xludf.DUMMYFUNCTION("""COMPUTED_VALUE"""),"Yes")</f>
        <v>Yes</v>
      </c>
      <c r="X390" s="5"/>
      <c r="Y390" s="5"/>
      <c r="Z390" s="5"/>
      <c r="AA390" s="5"/>
      <c r="AB390" s="5"/>
      <c r="AC390" s="5" t="str">
        <f>IFERROR(__xludf.DUMMYFUNCTION("""COMPUTED_VALUE"""),"Yes")</f>
        <v>Yes</v>
      </c>
      <c r="AD390" s="5"/>
      <c r="AE390" s="5"/>
      <c r="AF390" s="5"/>
      <c r="AG390" s="5"/>
      <c r="AH390" s="5"/>
      <c r="AI390" s="5"/>
      <c r="AJ390" s="5"/>
      <c r="AK390" s="5"/>
      <c r="AL390" s="5"/>
      <c r="AM390" s="5"/>
      <c r="AN390" s="5"/>
      <c r="AO390" s="5"/>
      <c r="AP390" s="5"/>
      <c r="AQ390" s="5"/>
      <c r="AR390" s="5"/>
      <c r="AS390" s="5"/>
      <c r="AT390" s="5"/>
      <c r="AU390" s="5"/>
      <c r="AV390" s="5"/>
      <c r="AW390" s="5"/>
      <c r="AX390" s="5"/>
      <c r="AY390" s="5"/>
    </row>
    <row r="391">
      <c r="A39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91" s="5">
        <f>IFERROR(__xludf.DUMMYFUNCTION("""COMPUTED_VALUE"""),399.0)</f>
        <v>399</v>
      </c>
      <c r="C391" s="5">
        <f>IFERROR(__xludf.DUMMYFUNCTION("""COMPUTED_VALUE"""),377.0)</f>
        <v>377</v>
      </c>
      <c r="D391" s="5" t="str">
        <f>IFERROR(__xludf.DUMMYFUNCTION("""COMPUTED_VALUE"""),"Redstone27DoubleFruit")</f>
        <v>Redstone27DoubleFruit</v>
      </c>
      <c r="E391" s="5" t="str">
        <f>IFERROR(__xludf.DUMMYFUNCTION("""COMPUTED_VALUE"""),"Yes")</f>
        <v>Yes</v>
      </c>
      <c r="F391" s="5" t="str">
        <f>IFERROR(__xludf.DUMMYFUNCTION("""COMPUTED_VALUE"""),"Yes")</f>
        <v>Yes</v>
      </c>
      <c r="G391" s="5" t="str">
        <f>IFERROR(__xludf.DUMMYFUNCTION("""COMPUTED_VALUE"""),"No")</f>
        <v>No</v>
      </c>
      <c r="H391" s="5" t="str">
        <f>IFERROR(__xludf.DUMMYFUNCTION("""COMPUTED_VALUE"""),"Yes")</f>
        <v>Yes</v>
      </c>
      <c r="I391" s="5" t="str">
        <f>IFERROR(__xludf.DUMMYFUNCTION("""COMPUTED_VALUE"""),"Yes")</f>
        <v>Yes</v>
      </c>
      <c r="J391" s="5" t="str">
        <f>IFERROR(__xludf.DUMMYFUNCTION("""COMPUTED_VALUE"""),"Yes")</f>
        <v>Yes</v>
      </c>
      <c r="K391" s="5" t="str">
        <f>IFERROR(__xludf.DUMMYFUNCTION("""COMPUTED_VALUE"""),"Yes")</f>
        <v>Yes</v>
      </c>
      <c r="L391" s="5" t="str">
        <f>IFERROR(__xludf.DUMMYFUNCTION("""COMPUTED_VALUE"""),"Yes")</f>
        <v>Yes</v>
      </c>
      <c r="M391" s="5" t="str">
        <f>IFERROR(__xludf.DUMMYFUNCTION("""COMPUTED_VALUE"""),"Yes")</f>
        <v>Yes</v>
      </c>
      <c r="N391" s="5" t="str">
        <f>IFERROR(__xludf.DUMMYFUNCTION("""COMPUTED_VALUE"""),"Yes")</f>
        <v>Yes</v>
      </c>
      <c r="O391" s="5" t="str">
        <f>IFERROR(__xludf.DUMMYFUNCTION("""COMPUTED_VALUE"""),"Yes")</f>
        <v>Yes</v>
      </c>
      <c r="P391" s="5" t="str">
        <f>IFERROR(__xludf.DUMMYFUNCTION("""COMPUTED_VALUE"""),"Yes")</f>
        <v>Yes</v>
      </c>
      <c r="Q391" s="5" t="str">
        <f>IFERROR(__xludf.DUMMYFUNCTION("""COMPUTED_VALUE"""),"Yes")</f>
        <v>Yes</v>
      </c>
      <c r="R391" s="5" t="str">
        <f>IFERROR(__xludf.DUMMYFUNCTION("""COMPUTED_VALUE"""),"Yes")</f>
        <v>Yes</v>
      </c>
      <c r="S391" s="5" t="str">
        <f>IFERROR(__xludf.DUMMYFUNCTION("""COMPUTED_VALUE"""),"Yes")</f>
        <v>Yes</v>
      </c>
      <c r="T391" s="5" t="str">
        <f>IFERROR(__xludf.DUMMYFUNCTION("""COMPUTED_VALUE"""),"No")</f>
        <v>No</v>
      </c>
      <c r="U391" s="5" t="str">
        <f>IFERROR(__xludf.DUMMYFUNCTION("""COMPUTED_VALUE"""),"No")</f>
        <v>No</v>
      </c>
      <c r="V391" s="5" t="str">
        <f>IFERROR(__xludf.DUMMYFUNCTION("""COMPUTED_VALUE"""),"No")</f>
        <v>No</v>
      </c>
      <c r="W391" s="5" t="str">
        <f>IFERROR(__xludf.DUMMYFUNCTION("""COMPUTED_VALUE"""),"No")</f>
        <v>No</v>
      </c>
      <c r="X391" s="5" t="str">
        <f>IFERROR(__xludf.DUMMYFUNCTION("""COMPUTED_VALUE"""),"No")</f>
        <v>No</v>
      </c>
      <c r="Y391" s="5" t="str">
        <f>IFERROR(__xludf.DUMMYFUNCTION("""COMPUTED_VALUE"""),"No")</f>
        <v>No</v>
      </c>
      <c r="Z391" s="5" t="str">
        <f>IFERROR(__xludf.DUMMYFUNCTION("""COMPUTED_VALUE"""),"No")</f>
        <v>No</v>
      </c>
      <c r="AA391" s="5" t="str">
        <f>IFERROR(__xludf.DUMMYFUNCTION("""COMPUTED_VALUE"""),"No")</f>
        <v>No</v>
      </c>
      <c r="AB391" s="5" t="str">
        <f>IFERROR(__xludf.DUMMYFUNCTION("""COMPUTED_VALUE"""),"No")</f>
        <v>No</v>
      </c>
      <c r="AC391" s="5" t="str">
        <f>IFERROR(__xludf.DUMMYFUNCTION("""COMPUTED_VALUE"""),"No")</f>
        <v>No</v>
      </c>
      <c r="AD391" s="5" t="str">
        <f>IFERROR(__xludf.DUMMYFUNCTION("""COMPUTED_VALUE"""),"No")</f>
        <v>No</v>
      </c>
      <c r="AE391" s="5" t="str">
        <f>IFERROR(__xludf.DUMMYFUNCTION("""COMPUTED_VALUE"""),"No")</f>
        <v>No</v>
      </c>
      <c r="AF391" s="5" t="str">
        <f>IFERROR(__xludf.DUMMYFUNCTION("""COMPUTED_VALUE"""),"Yes")</f>
        <v>Yes</v>
      </c>
      <c r="AG391" s="5" t="str">
        <f>IFERROR(__xludf.DUMMYFUNCTION("""COMPUTED_VALUE"""),"No")</f>
        <v>No</v>
      </c>
      <c r="AH391" s="5" t="str">
        <f>IFERROR(__xludf.DUMMYFUNCTION("""COMPUTED_VALUE"""),"Yes")</f>
        <v>Yes</v>
      </c>
      <c r="AI391" s="5" t="str">
        <f>IFERROR(__xludf.DUMMYFUNCTION("""COMPUTED_VALUE"""),"No")</f>
        <v>No</v>
      </c>
      <c r="AJ391" s="5" t="str">
        <f>IFERROR(__xludf.DUMMYFUNCTION("""COMPUTED_VALUE"""),"No")</f>
        <v>No</v>
      </c>
      <c r="AK391" s="5" t="str">
        <f>IFERROR(__xludf.DUMMYFUNCTION("""COMPUTED_VALUE"""),"No")</f>
        <v>No</v>
      </c>
      <c r="AL391" s="5" t="str">
        <f>IFERROR(__xludf.DUMMYFUNCTION("""COMPUTED_VALUE"""),"No")</f>
        <v>No</v>
      </c>
      <c r="AM391" s="5"/>
      <c r="AN391" s="5"/>
      <c r="AO391" s="5"/>
      <c r="AP391" s="5"/>
      <c r="AQ391" s="5"/>
      <c r="AR391" s="5"/>
      <c r="AS391" s="5"/>
      <c r="AT391" s="5"/>
      <c r="AU391" s="5"/>
      <c r="AV391" s="5"/>
      <c r="AW391" s="5"/>
      <c r="AX391" s="5"/>
      <c r="AY391" s="5"/>
    </row>
    <row r="392">
      <c r="A39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92" s="5">
        <f>IFERROR(__xludf.DUMMYFUNCTION("""COMPUTED_VALUE"""),401.0)</f>
        <v>401</v>
      </c>
      <c r="C392" s="5">
        <f>IFERROR(__xludf.DUMMYFUNCTION("""COMPUTED_VALUE"""),379.0)</f>
        <v>379</v>
      </c>
      <c r="D392" s="5" t="str">
        <f>IFERROR(__xludf.DUMMYFUNCTION("""COMPUTED_VALUE"""),"PlayNet27WildStacksXmas")</f>
        <v>PlayNet27WildStacksXmas</v>
      </c>
      <c r="E392" s="5" t="str">
        <f>IFERROR(__xludf.DUMMYFUNCTION("""COMPUTED_VALUE"""),"Yes")</f>
        <v>Yes</v>
      </c>
      <c r="F392" s="5" t="str">
        <f>IFERROR(__xludf.DUMMYFUNCTION("""COMPUTED_VALUE"""),"Yes")</f>
        <v>Yes</v>
      </c>
      <c r="G392" s="5" t="str">
        <f>IFERROR(__xludf.DUMMYFUNCTION("""COMPUTED_VALUE"""),"Yes")</f>
        <v>Yes</v>
      </c>
      <c r="H392" s="5" t="str">
        <f>IFERROR(__xludf.DUMMYFUNCTION("""COMPUTED_VALUE"""),"Yes")</f>
        <v>Yes</v>
      </c>
      <c r="I392" s="5" t="str">
        <f>IFERROR(__xludf.DUMMYFUNCTION("""COMPUTED_VALUE"""),"Yes")</f>
        <v>Yes</v>
      </c>
      <c r="J392" s="5" t="str">
        <f>IFERROR(__xludf.DUMMYFUNCTION("""COMPUTED_VALUE"""),"Yes")</f>
        <v>Yes</v>
      </c>
      <c r="K392" s="5" t="str">
        <f>IFERROR(__xludf.DUMMYFUNCTION("""COMPUTED_VALUE"""),"Yes")</f>
        <v>Yes</v>
      </c>
      <c r="L392" s="5" t="str">
        <f>IFERROR(__xludf.DUMMYFUNCTION("""COMPUTED_VALUE"""),"Yes")</f>
        <v>Yes</v>
      </c>
      <c r="M392" s="5" t="str">
        <f>IFERROR(__xludf.DUMMYFUNCTION("""COMPUTED_VALUE"""),"Yes")</f>
        <v>Yes</v>
      </c>
      <c r="N392" s="5" t="str">
        <f>IFERROR(__xludf.DUMMYFUNCTION("""COMPUTED_VALUE"""),"Yes")</f>
        <v>Yes</v>
      </c>
      <c r="O392" s="5" t="str">
        <f>IFERROR(__xludf.DUMMYFUNCTION("""COMPUTED_VALUE"""),"Yes")</f>
        <v>Yes</v>
      </c>
      <c r="P392" s="5" t="str">
        <f>IFERROR(__xludf.DUMMYFUNCTION("""COMPUTED_VALUE"""),"Yes")</f>
        <v>Yes</v>
      </c>
      <c r="Q392" s="5" t="str">
        <f>IFERROR(__xludf.DUMMYFUNCTION("""COMPUTED_VALUE"""),"Yes")</f>
        <v>Yes</v>
      </c>
      <c r="R392" s="5" t="str">
        <f>IFERROR(__xludf.DUMMYFUNCTION("""COMPUTED_VALUE"""),"Yes")</f>
        <v>Yes</v>
      </c>
      <c r="S392" s="5" t="str">
        <f>IFERROR(__xludf.DUMMYFUNCTION("""COMPUTED_VALUE"""),"Yes")</f>
        <v>Yes</v>
      </c>
      <c r="T392" s="5" t="str">
        <f>IFERROR(__xludf.DUMMYFUNCTION("""COMPUTED_VALUE"""),"No")</f>
        <v>No</v>
      </c>
      <c r="U392" s="5" t="str">
        <f>IFERROR(__xludf.DUMMYFUNCTION("""COMPUTED_VALUE"""),"No")</f>
        <v>No</v>
      </c>
      <c r="V392" s="5" t="str">
        <f>IFERROR(__xludf.DUMMYFUNCTION("""COMPUTED_VALUE"""),"No")</f>
        <v>No</v>
      </c>
      <c r="W392" s="5" t="str">
        <f>IFERROR(__xludf.DUMMYFUNCTION("""COMPUTED_VALUE"""),"No")</f>
        <v>No</v>
      </c>
      <c r="X392" s="5" t="str">
        <f>IFERROR(__xludf.DUMMYFUNCTION("""COMPUTED_VALUE"""),"No")</f>
        <v>No</v>
      </c>
      <c r="Y392" s="5" t="str">
        <f>IFERROR(__xludf.DUMMYFUNCTION("""COMPUTED_VALUE"""),"No")</f>
        <v>No</v>
      </c>
      <c r="Z392" s="5" t="str">
        <f>IFERROR(__xludf.DUMMYFUNCTION("""COMPUTED_VALUE"""),"No")</f>
        <v>No</v>
      </c>
      <c r="AA392" s="5" t="str">
        <f>IFERROR(__xludf.DUMMYFUNCTION("""COMPUTED_VALUE"""),"No")</f>
        <v>No</v>
      </c>
      <c r="AB392" s="5" t="str">
        <f>IFERROR(__xludf.DUMMYFUNCTION("""COMPUTED_VALUE"""),"No")</f>
        <v>No</v>
      </c>
      <c r="AC392" s="5" t="str">
        <f>IFERROR(__xludf.DUMMYFUNCTION("""COMPUTED_VALUE"""),"No")</f>
        <v>No</v>
      </c>
      <c r="AD392" s="5" t="str">
        <f>IFERROR(__xludf.DUMMYFUNCTION("""COMPUTED_VALUE"""),"No")</f>
        <v>No</v>
      </c>
      <c r="AE392" s="5" t="str">
        <f>IFERROR(__xludf.DUMMYFUNCTION("""COMPUTED_VALUE"""),"No")</f>
        <v>No</v>
      </c>
      <c r="AF392" s="5" t="str">
        <f>IFERROR(__xludf.DUMMYFUNCTION("""COMPUTED_VALUE"""),"Yes")</f>
        <v>Yes</v>
      </c>
      <c r="AG392" s="5" t="str">
        <f>IFERROR(__xludf.DUMMYFUNCTION("""COMPUTED_VALUE"""),"No")</f>
        <v>No</v>
      </c>
      <c r="AH392" s="5" t="str">
        <f>IFERROR(__xludf.DUMMYFUNCTION("""COMPUTED_VALUE"""),"Yes")</f>
        <v>Yes</v>
      </c>
      <c r="AI392" s="5" t="str">
        <f>IFERROR(__xludf.DUMMYFUNCTION("""COMPUTED_VALUE"""),"No")</f>
        <v>No</v>
      </c>
      <c r="AJ392" s="5" t="str">
        <f>IFERROR(__xludf.DUMMYFUNCTION("""COMPUTED_VALUE"""),"No")</f>
        <v>No</v>
      </c>
      <c r="AK392" s="5" t="str">
        <f>IFERROR(__xludf.DUMMYFUNCTION("""COMPUTED_VALUE"""),"No")</f>
        <v>No</v>
      </c>
      <c r="AL392" s="5" t="str">
        <f>IFERROR(__xludf.DUMMYFUNCTION("""COMPUTED_VALUE"""),"No")</f>
        <v>No</v>
      </c>
      <c r="AM392" s="5"/>
      <c r="AN392" s="5"/>
      <c r="AO392" s="5"/>
      <c r="AP392" s="5"/>
      <c r="AQ392" s="5"/>
      <c r="AR392" s="5"/>
      <c r="AS392" s="5"/>
      <c r="AT392" s="5"/>
      <c r="AU392" s="5"/>
      <c r="AV392" s="5"/>
      <c r="AW392" s="5"/>
      <c r="AX392" s="5"/>
      <c r="AY392" s="5"/>
    </row>
    <row r="393">
      <c r="A393" s="5" t="str">
        <f>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3" s="5">
        <f>IFERROR(__xludf.DUMMYFUNCTION("""COMPUTED_VALUE"""),402.0)</f>
        <v>402</v>
      </c>
      <c r="C393" s="5">
        <f>IFERROR(__xludf.DUMMYFUNCTION("""COMPUTED_VALUE"""),380.0)</f>
        <v>380</v>
      </c>
      <c r="D393" s="5" t="str">
        <f>IFERROR(__xludf.DUMMYFUNCTION("""COMPUTED_VALUE"""),"PlayNetMajesticCrown20Xmas")</f>
        <v>PlayNetMajesticCrown20Xmas</v>
      </c>
      <c r="E393" s="5" t="str">
        <f>IFERROR(__xludf.DUMMYFUNCTION("""COMPUTED_VALUE"""),"Yes")</f>
        <v>Yes</v>
      </c>
      <c r="F393" s="5" t="str">
        <f>IFERROR(__xludf.DUMMYFUNCTION("""COMPUTED_VALUE"""),"Yes")</f>
        <v>Yes</v>
      </c>
      <c r="G393" s="5" t="str">
        <f>IFERROR(__xludf.DUMMYFUNCTION("""COMPUTED_VALUE"""),"Yes")</f>
        <v>Yes</v>
      </c>
      <c r="H393" s="5" t="str">
        <f>IFERROR(__xludf.DUMMYFUNCTION("""COMPUTED_VALUE"""),"Yes")</f>
        <v>Yes</v>
      </c>
      <c r="I393" s="5" t="str">
        <f>IFERROR(__xludf.DUMMYFUNCTION("""COMPUTED_VALUE"""),"Yes")</f>
        <v>Yes</v>
      </c>
      <c r="J393" s="5" t="str">
        <f>IFERROR(__xludf.DUMMYFUNCTION("""COMPUTED_VALUE"""),"Yes")</f>
        <v>Yes</v>
      </c>
      <c r="K393" s="5" t="str">
        <f>IFERROR(__xludf.DUMMYFUNCTION("""COMPUTED_VALUE"""),"Yes")</f>
        <v>Yes</v>
      </c>
      <c r="L393" s="5" t="str">
        <f>IFERROR(__xludf.DUMMYFUNCTION("""COMPUTED_VALUE"""),"Yes")</f>
        <v>Yes</v>
      </c>
      <c r="M393" s="5" t="str">
        <f>IFERROR(__xludf.DUMMYFUNCTION("""COMPUTED_VALUE"""),"Yes")</f>
        <v>Yes</v>
      </c>
      <c r="N393" s="5" t="str">
        <f>IFERROR(__xludf.DUMMYFUNCTION("""COMPUTED_VALUE"""),"Yes")</f>
        <v>Yes</v>
      </c>
      <c r="O393" s="5" t="str">
        <f>IFERROR(__xludf.DUMMYFUNCTION("""COMPUTED_VALUE"""),"Yes")</f>
        <v>Yes</v>
      </c>
      <c r="P393" s="5" t="str">
        <f>IFERROR(__xludf.DUMMYFUNCTION("""COMPUTED_VALUE"""),"Yes")</f>
        <v>Yes</v>
      </c>
      <c r="Q393" s="5" t="str">
        <f>IFERROR(__xludf.DUMMYFUNCTION("""COMPUTED_VALUE"""),"Yes")</f>
        <v>Yes</v>
      </c>
      <c r="R393" s="5" t="str">
        <f>IFERROR(__xludf.DUMMYFUNCTION("""COMPUTED_VALUE"""),"No")</f>
        <v>No</v>
      </c>
      <c r="S393" s="5" t="str">
        <f>IFERROR(__xludf.DUMMYFUNCTION("""COMPUTED_VALUE"""),"Yes")</f>
        <v>Yes</v>
      </c>
      <c r="T393" s="5" t="str">
        <f>IFERROR(__xludf.DUMMYFUNCTION("""COMPUTED_VALUE"""),"No")</f>
        <v>No</v>
      </c>
      <c r="U393" s="5" t="str">
        <f>IFERROR(__xludf.DUMMYFUNCTION("""COMPUTED_VALUE"""),"No")</f>
        <v>No</v>
      </c>
      <c r="V393" s="5" t="str">
        <f>IFERROR(__xludf.DUMMYFUNCTION("""COMPUTED_VALUE"""),"No")</f>
        <v>No</v>
      </c>
      <c r="W393" s="5" t="str">
        <f>IFERROR(__xludf.DUMMYFUNCTION("""COMPUTED_VALUE"""),"No")</f>
        <v>No</v>
      </c>
      <c r="X393" s="5"/>
      <c r="Y393" s="5"/>
      <c r="Z393" s="5"/>
      <c r="AA393" s="5" t="str">
        <f>IFERROR(__xludf.DUMMYFUNCTION("""COMPUTED_VALUE"""),"No")</f>
        <v>No</v>
      </c>
      <c r="AB393" s="5"/>
      <c r="AC393" s="5" t="str">
        <f>IFERROR(__xludf.DUMMYFUNCTION("""COMPUTED_VALUE"""),"No")</f>
        <v>No</v>
      </c>
      <c r="AD393" s="5"/>
      <c r="AE393" s="5"/>
      <c r="AF393" s="5" t="str">
        <f>IFERROR(__xludf.DUMMYFUNCTION("""COMPUTED_VALUE"""),"Yes")</f>
        <v>Yes</v>
      </c>
      <c r="AG393" s="5"/>
      <c r="AH393" s="5" t="str">
        <f>IFERROR(__xludf.DUMMYFUNCTION("""COMPUTED_VALUE"""),"Yes")</f>
        <v>Yes</v>
      </c>
      <c r="AI393" s="5"/>
      <c r="AJ393" s="5"/>
      <c r="AK393" s="5"/>
      <c r="AL393" s="5" t="str">
        <f>IFERROR(__xludf.DUMMYFUNCTION("""COMPUTED_VALUE"""),"Yes")</f>
        <v>Yes</v>
      </c>
      <c r="AM393" s="5"/>
      <c r="AN393" s="5"/>
      <c r="AO393" s="5"/>
      <c r="AP393" s="5"/>
      <c r="AQ393" s="5"/>
      <c r="AR393" s="5"/>
      <c r="AS393" s="5"/>
      <c r="AT393" s="5"/>
      <c r="AU393" s="5"/>
      <c r="AV393" s="5"/>
      <c r="AW393" s="5"/>
      <c r="AX393" s="5"/>
      <c r="AY393" s="5"/>
    </row>
    <row r="394">
      <c r="A394" s="5" t="str">
        <f>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4" s="5">
        <f>IFERROR(__xludf.DUMMYFUNCTION("""COMPUTED_VALUE"""),403.0)</f>
        <v>403</v>
      </c>
      <c r="C394" s="5">
        <f>IFERROR(__xludf.DUMMYFUNCTION("""COMPUTED_VALUE"""),381.0)</f>
        <v>381</v>
      </c>
      <c r="D394" s="5" t="str">
        <f>IFERROR(__xludf.DUMMYFUNCTION("""COMPUTED_VALUE"""),"PlayNetWildFortiesXmas")</f>
        <v>PlayNetWildFortiesXmas</v>
      </c>
      <c r="E394" s="5" t="str">
        <f>IFERROR(__xludf.DUMMYFUNCTION("""COMPUTED_VALUE"""),"Yes")</f>
        <v>Yes</v>
      </c>
      <c r="F394" s="5" t="str">
        <f>IFERROR(__xludf.DUMMYFUNCTION("""COMPUTED_VALUE"""),"Yes")</f>
        <v>Yes</v>
      </c>
      <c r="G394" s="5" t="str">
        <f>IFERROR(__xludf.DUMMYFUNCTION("""COMPUTED_VALUE"""),"Yes")</f>
        <v>Yes</v>
      </c>
      <c r="H394" s="5" t="str">
        <f>IFERROR(__xludf.DUMMYFUNCTION("""COMPUTED_VALUE"""),"Yes")</f>
        <v>Yes</v>
      </c>
      <c r="I394" s="5" t="str">
        <f>IFERROR(__xludf.DUMMYFUNCTION("""COMPUTED_VALUE"""),"Yes")</f>
        <v>Yes</v>
      </c>
      <c r="J394" s="5" t="str">
        <f>IFERROR(__xludf.DUMMYFUNCTION("""COMPUTED_VALUE"""),"Yes")</f>
        <v>Yes</v>
      </c>
      <c r="K394" s="5" t="str">
        <f>IFERROR(__xludf.DUMMYFUNCTION("""COMPUTED_VALUE"""),"Yes")</f>
        <v>Yes</v>
      </c>
      <c r="L394" s="5" t="str">
        <f>IFERROR(__xludf.DUMMYFUNCTION("""COMPUTED_VALUE"""),"Yes")</f>
        <v>Yes</v>
      </c>
      <c r="M394" s="5" t="str">
        <f>IFERROR(__xludf.DUMMYFUNCTION("""COMPUTED_VALUE"""),"Yes")</f>
        <v>Yes</v>
      </c>
      <c r="N394" s="5" t="str">
        <f>IFERROR(__xludf.DUMMYFUNCTION("""COMPUTED_VALUE"""),"Yes")</f>
        <v>Yes</v>
      </c>
      <c r="O394" s="5" t="str">
        <f>IFERROR(__xludf.DUMMYFUNCTION("""COMPUTED_VALUE"""),"Yes")</f>
        <v>Yes</v>
      </c>
      <c r="P394" s="5" t="str">
        <f>IFERROR(__xludf.DUMMYFUNCTION("""COMPUTED_VALUE"""),"Yes")</f>
        <v>Yes</v>
      </c>
      <c r="Q394" s="5" t="str">
        <f>IFERROR(__xludf.DUMMYFUNCTION("""COMPUTED_VALUE"""),"Yes")</f>
        <v>Yes</v>
      </c>
      <c r="R394" s="5" t="str">
        <f>IFERROR(__xludf.DUMMYFUNCTION("""COMPUTED_VALUE"""),"No")</f>
        <v>No</v>
      </c>
      <c r="S394" s="5" t="str">
        <f>IFERROR(__xludf.DUMMYFUNCTION("""COMPUTED_VALUE"""),"Yes")</f>
        <v>Yes</v>
      </c>
      <c r="T394" s="5" t="str">
        <f>IFERROR(__xludf.DUMMYFUNCTION("""COMPUTED_VALUE"""),"No")</f>
        <v>No</v>
      </c>
      <c r="U394" s="5" t="str">
        <f>IFERROR(__xludf.DUMMYFUNCTION("""COMPUTED_VALUE"""),"No")</f>
        <v>No</v>
      </c>
      <c r="V394" s="5" t="str">
        <f>IFERROR(__xludf.DUMMYFUNCTION("""COMPUTED_VALUE"""),"No")</f>
        <v>No</v>
      </c>
      <c r="W394" s="5" t="str">
        <f>IFERROR(__xludf.DUMMYFUNCTION("""COMPUTED_VALUE"""),"No")</f>
        <v>No</v>
      </c>
      <c r="X394" s="5"/>
      <c r="Y394" s="5"/>
      <c r="Z394" s="5"/>
      <c r="AA394" s="5" t="str">
        <f>IFERROR(__xludf.DUMMYFUNCTION("""COMPUTED_VALUE"""),"No")</f>
        <v>No</v>
      </c>
      <c r="AB394" s="5"/>
      <c r="AC394" s="5" t="str">
        <f>IFERROR(__xludf.DUMMYFUNCTION("""COMPUTED_VALUE"""),"No")</f>
        <v>No</v>
      </c>
      <c r="AD394" s="5"/>
      <c r="AE394" s="5"/>
      <c r="AF394" s="5" t="str">
        <f>IFERROR(__xludf.DUMMYFUNCTION("""COMPUTED_VALUE"""),"Yes")</f>
        <v>Yes</v>
      </c>
      <c r="AG394" s="5"/>
      <c r="AH394" s="5" t="str">
        <f>IFERROR(__xludf.DUMMYFUNCTION("""COMPUTED_VALUE"""),"Yes")</f>
        <v>Yes</v>
      </c>
      <c r="AI394" s="5"/>
      <c r="AJ394" s="5"/>
      <c r="AK394" s="5"/>
      <c r="AL394" s="5" t="str">
        <f>IFERROR(__xludf.DUMMYFUNCTION("""COMPUTED_VALUE"""),"Yes")</f>
        <v>Yes</v>
      </c>
      <c r="AM394" s="5"/>
      <c r="AN394" s="5"/>
      <c r="AO394" s="5"/>
      <c r="AP394" s="5"/>
      <c r="AQ394" s="5"/>
      <c r="AR394" s="5"/>
      <c r="AS394" s="5"/>
      <c r="AT394" s="5"/>
      <c r="AU394" s="5"/>
      <c r="AV394" s="5"/>
      <c r="AW394" s="5"/>
      <c r="AX394" s="5"/>
      <c r="AY394" s="5"/>
    </row>
    <row r="395">
      <c r="A3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5" s="5">
        <f>IFERROR(__xludf.DUMMYFUNCTION("""COMPUTED_VALUE"""),404.0)</f>
        <v>404</v>
      </c>
      <c r="C395" s="5">
        <f>IFERROR(__xludf.DUMMYFUNCTION("""COMPUTED_VALUE"""),382.0)</f>
        <v>382</v>
      </c>
      <c r="D395" s="5" t="str">
        <f>IFERROR(__xludf.DUMMYFUNCTION("""COMPUTED_VALUE"""),"RedstoneJuicyHeat20")</f>
        <v>RedstoneJuicyHeat20</v>
      </c>
      <c r="E395" s="5" t="str">
        <f>IFERROR(__xludf.DUMMYFUNCTION("""COMPUTED_VALUE"""),"Yes")</f>
        <v>Yes</v>
      </c>
      <c r="F395" s="5" t="str">
        <f>IFERROR(__xludf.DUMMYFUNCTION("""COMPUTED_VALUE"""),"Yes")</f>
        <v>Yes</v>
      </c>
      <c r="G395" s="5" t="str">
        <f>IFERROR(__xludf.DUMMYFUNCTION("""COMPUTED_VALUE"""),"Yes")</f>
        <v>Yes</v>
      </c>
      <c r="H395" s="5" t="str">
        <f>IFERROR(__xludf.DUMMYFUNCTION("""COMPUTED_VALUE"""),"Yes")</f>
        <v>Yes</v>
      </c>
      <c r="I395" s="5" t="str">
        <f>IFERROR(__xludf.DUMMYFUNCTION("""COMPUTED_VALUE"""),"Yes")</f>
        <v>Yes</v>
      </c>
      <c r="J395" s="5" t="str">
        <f>IFERROR(__xludf.DUMMYFUNCTION("""COMPUTED_VALUE"""),"Yes")</f>
        <v>Yes</v>
      </c>
      <c r="K395" s="5" t="str">
        <f>IFERROR(__xludf.DUMMYFUNCTION("""COMPUTED_VALUE"""),"Yes")</f>
        <v>Yes</v>
      </c>
      <c r="L395" s="5" t="str">
        <f>IFERROR(__xludf.DUMMYFUNCTION("""COMPUTED_VALUE"""),"Yes")</f>
        <v>Yes</v>
      </c>
      <c r="M395" s="5" t="str">
        <f>IFERROR(__xludf.DUMMYFUNCTION("""COMPUTED_VALUE"""),"Yes")</f>
        <v>Yes</v>
      </c>
      <c r="N395" s="5" t="str">
        <f>IFERROR(__xludf.DUMMYFUNCTION("""COMPUTED_VALUE"""),"Yes")</f>
        <v>Yes</v>
      </c>
      <c r="O395" s="5" t="str">
        <f>IFERROR(__xludf.DUMMYFUNCTION("""COMPUTED_VALUE"""),"Yes")</f>
        <v>Yes</v>
      </c>
      <c r="P395" s="5" t="str">
        <f>IFERROR(__xludf.DUMMYFUNCTION("""COMPUTED_VALUE"""),"Yes")</f>
        <v>Yes</v>
      </c>
      <c r="Q395" s="5" t="str">
        <f>IFERROR(__xludf.DUMMYFUNCTION("""COMPUTED_VALUE"""),"Yes")</f>
        <v>Yes</v>
      </c>
      <c r="R395" s="5" t="str">
        <f>IFERROR(__xludf.DUMMYFUNCTION("""COMPUTED_VALUE"""),"Yes")</f>
        <v>Yes</v>
      </c>
      <c r="S395" s="5" t="str">
        <f>IFERROR(__xludf.DUMMYFUNCTION("""COMPUTED_VALUE"""),"Yes")</f>
        <v>Yes</v>
      </c>
      <c r="T395" s="5" t="str">
        <f>IFERROR(__xludf.DUMMYFUNCTION("""COMPUTED_VALUE"""),"Yes")</f>
        <v>Yes</v>
      </c>
      <c r="U395" s="5" t="str">
        <f>IFERROR(__xludf.DUMMYFUNCTION("""COMPUTED_VALUE"""),"Yes")</f>
        <v>Yes</v>
      </c>
      <c r="V395" s="5" t="str">
        <f>IFERROR(__xludf.DUMMYFUNCTION("""COMPUTED_VALUE"""),"Yes")</f>
        <v>Yes</v>
      </c>
      <c r="W395" s="5" t="str">
        <f>IFERROR(__xludf.DUMMYFUNCTION("""COMPUTED_VALUE"""),"Yes")</f>
        <v>Yes</v>
      </c>
      <c r="X395" s="5"/>
      <c r="Y395" s="5"/>
      <c r="Z395" s="5"/>
      <c r="AA395" s="5"/>
      <c r="AB395" s="5"/>
      <c r="AC395" s="5" t="str">
        <f>IFERROR(__xludf.DUMMYFUNCTION("""COMPUTED_VALUE"""),"Yes")</f>
        <v>Yes</v>
      </c>
      <c r="AD395" s="5"/>
      <c r="AE395" s="5"/>
      <c r="AF395" s="5"/>
      <c r="AG395" s="5"/>
      <c r="AH395" s="5"/>
      <c r="AI395" s="5"/>
      <c r="AJ395" s="5"/>
      <c r="AK395" s="5"/>
      <c r="AL395" s="5"/>
      <c r="AM395" s="5"/>
      <c r="AN395" s="5"/>
      <c r="AO395" s="5"/>
      <c r="AP395" s="5"/>
      <c r="AQ395" s="5"/>
      <c r="AR395" s="5"/>
      <c r="AS395" s="5"/>
      <c r="AT395" s="5"/>
      <c r="AU395" s="5"/>
      <c r="AV395" s="5"/>
      <c r="AW395" s="5"/>
      <c r="AX395" s="5"/>
      <c r="AY395" s="5"/>
    </row>
    <row r="396">
      <c r="A396"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6" s="5">
        <f>IFERROR(__xludf.DUMMYFUNCTION("""COMPUTED_VALUE"""),405.0)</f>
        <v>405</v>
      </c>
      <c r="C396" s="5">
        <f>IFERROR(__xludf.DUMMYFUNCTION("""COMPUTED_VALUE"""),383.0)</f>
        <v>383</v>
      </c>
      <c r="D396" s="5" t="str">
        <f>IFERROR(__xludf.DUMMYFUNCTION("""COMPUTED_VALUE"""),"RedstoneChristmasDelight")</f>
        <v>RedstoneChristmasDelight</v>
      </c>
      <c r="E396" s="5" t="str">
        <f>IFERROR(__xludf.DUMMYFUNCTION("""COMPUTED_VALUE"""),"Yes")</f>
        <v>Yes</v>
      </c>
      <c r="F396" s="5" t="str">
        <f>IFERROR(__xludf.DUMMYFUNCTION("""COMPUTED_VALUE"""),"Yes")</f>
        <v>Yes</v>
      </c>
      <c r="G396" s="5" t="str">
        <f>IFERROR(__xludf.DUMMYFUNCTION("""COMPUTED_VALUE"""),"No")</f>
        <v>No</v>
      </c>
      <c r="H396" s="5" t="str">
        <f>IFERROR(__xludf.DUMMYFUNCTION("""COMPUTED_VALUE"""),"Yes")</f>
        <v>Yes</v>
      </c>
      <c r="I396" s="5" t="str">
        <f>IFERROR(__xludf.DUMMYFUNCTION("""COMPUTED_VALUE"""),"Yes")</f>
        <v>Yes</v>
      </c>
      <c r="J396" s="5" t="str">
        <f>IFERROR(__xludf.DUMMYFUNCTION("""COMPUTED_VALUE"""),"Yes")</f>
        <v>Yes</v>
      </c>
      <c r="K396" s="5" t="str">
        <f>IFERROR(__xludf.DUMMYFUNCTION("""COMPUTED_VALUE"""),"Yes")</f>
        <v>Yes</v>
      </c>
      <c r="L396" s="5" t="str">
        <f>IFERROR(__xludf.DUMMYFUNCTION("""COMPUTED_VALUE"""),"Yes")</f>
        <v>Yes</v>
      </c>
      <c r="M396" s="5" t="str">
        <f>IFERROR(__xludf.DUMMYFUNCTION("""COMPUTED_VALUE"""),"Yes")</f>
        <v>Yes</v>
      </c>
      <c r="N396" s="5" t="str">
        <f>IFERROR(__xludf.DUMMYFUNCTION("""COMPUTED_VALUE"""),"Yes")</f>
        <v>Yes</v>
      </c>
      <c r="O396" s="5" t="str">
        <f>IFERROR(__xludf.DUMMYFUNCTION("""COMPUTED_VALUE"""),"Yes")</f>
        <v>Yes</v>
      </c>
      <c r="P396" s="5" t="str">
        <f>IFERROR(__xludf.DUMMYFUNCTION("""COMPUTED_VALUE"""),"Yes")</f>
        <v>Yes</v>
      </c>
      <c r="Q396" s="5" t="str">
        <f>IFERROR(__xludf.DUMMYFUNCTION("""COMPUTED_VALUE"""),"Yes")</f>
        <v>Yes</v>
      </c>
      <c r="R396" s="5" t="str">
        <f>IFERROR(__xludf.DUMMYFUNCTION("""COMPUTED_VALUE"""),"Yes")</f>
        <v>Yes</v>
      </c>
      <c r="S396" s="5" t="str">
        <f>IFERROR(__xludf.DUMMYFUNCTION("""COMPUTED_VALUE"""),"Yes")</f>
        <v>Yes</v>
      </c>
      <c r="T396" s="5" t="str">
        <f>IFERROR(__xludf.DUMMYFUNCTION("""COMPUTED_VALUE"""),"No")</f>
        <v>No</v>
      </c>
      <c r="U396" s="5" t="str">
        <f>IFERROR(__xludf.DUMMYFUNCTION("""COMPUTED_VALUE"""),"No")</f>
        <v>No</v>
      </c>
      <c r="V396" s="5" t="str">
        <f>IFERROR(__xludf.DUMMYFUNCTION("""COMPUTED_VALUE"""),"No")</f>
        <v>No</v>
      </c>
      <c r="W396" s="5" t="str">
        <f>IFERROR(__xludf.DUMMYFUNCTION("""COMPUTED_VALUE"""),"No")</f>
        <v>No</v>
      </c>
      <c r="X396" s="5" t="str">
        <f>IFERROR(__xludf.DUMMYFUNCTION("""COMPUTED_VALUE"""),"No")</f>
        <v>No</v>
      </c>
      <c r="Y396" s="5" t="str">
        <f>IFERROR(__xludf.DUMMYFUNCTION("""COMPUTED_VALUE"""),"No")</f>
        <v>No</v>
      </c>
      <c r="Z396" s="5" t="str">
        <f>IFERROR(__xludf.DUMMYFUNCTION("""COMPUTED_VALUE"""),"No")</f>
        <v>No</v>
      </c>
      <c r="AA396" s="5" t="str">
        <f>IFERROR(__xludf.DUMMYFUNCTION("""COMPUTED_VALUE"""),"Yes")</f>
        <v>Yes</v>
      </c>
      <c r="AB396" s="5" t="str">
        <f>IFERROR(__xludf.DUMMYFUNCTION("""COMPUTED_VALUE"""),"No")</f>
        <v>No</v>
      </c>
      <c r="AC396" s="5" t="str">
        <f>IFERROR(__xludf.DUMMYFUNCTION("""COMPUTED_VALUE"""),"No")</f>
        <v>No</v>
      </c>
      <c r="AD396" s="5" t="str">
        <f>IFERROR(__xludf.DUMMYFUNCTION("""COMPUTED_VALUE"""),"No")</f>
        <v>No</v>
      </c>
      <c r="AE396" s="5" t="str">
        <f>IFERROR(__xludf.DUMMYFUNCTION("""COMPUTED_VALUE"""),"No")</f>
        <v>No</v>
      </c>
      <c r="AF396" s="5" t="str">
        <f>IFERROR(__xludf.DUMMYFUNCTION("""COMPUTED_VALUE"""),"Yes")</f>
        <v>Yes</v>
      </c>
      <c r="AG396" s="5" t="str">
        <f>IFERROR(__xludf.DUMMYFUNCTION("""COMPUTED_VALUE"""),"No")</f>
        <v>No</v>
      </c>
      <c r="AH396" s="5" t="str">
        <f>IFERROR(__xludf.DUMMYFUNCTION("""COMPUTED_VALUE"""),"Yes")</f>
        <v>Yes</v>
      </c>
      <c r="AI396" s="5" t="str">
        <f>IFERROR(__xludf.DUMMYFUNCTION("""COMPUTED_VALUE"""),"No")</f>
        <v>No</v>
      </c>
      <c r="AJ396" s="5" t="str">
        <f>IFERROR(__xludf.DUMMYFUNCTION("""COMPUTED_VALUE"""),"No")</f>
        <v>No</v>
      </c>
      <c r="AK396" s="5" t="str">
        <f>IFERROR(__xludf.DUMMYFUNCTION("""COMPUTED_VALUE"""),"No")</f>
        <v>No</v>
      </c>
      <c r="AL396" s="5" t="str">
        <f>IFERROR(__xludf.DUMMYFUNCTION("""COMPUTED_VALUE"""),"No")</f>
        <v>No</v>
      </c>
      <c r="AM396" s="5"/>
      <c r="AN396" s="5"/>
      <c r="AO396" s="5"/>
      <c r="AP396" s="5"/>
      <c r="AQ396" s="5"/>
      <c r="AR396" s="5"/>
      <c r="AS396" s="5"/>
      <c r="AT396" s="5"/>
      <c r="AU396" s="5"/>
      <c r="AV396" s="5"/>
      <c r="AW396" s="5"/>
      <c r="AX396" s="5"/>
      <c r="AY396" s="5"/>
    </row>
    <row r="397">
      <c r="A3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7" s="5">
        <f>IFERROR(__xludf.DUMMYFUNCTION("""COMPUTED_VALUE"""),406.0)</f>
        <v>406</v>
      </c>
      <c r="C397" s="5">
        <f>IFERROR(__xludf.DUMMYFUNCTION("""COMPUTED_VALUE"""),384.0)</f>
        <v>384</v>
      </c>
      <c r="D397" s="5" t="str">
        <f>IFERROR(__xludf.DUMMYFUNCTION("""COMPUTED_VALUE"""),"RedstoneFunkyFruits")</f>
        <v>RedstoneFunkyFruits</v>
      </c>
      <c r="E397" s="5" t="str">
        <f>IFERROR(__xludf.DUMMYFUNCTION("""COMPUTED_VALUE"""),"Yes")</f>
        <v>Yes</v>
      </c>
      <c r="F397" s="5" t="str">
        <f>IFERROR(__xludf.DUMMYFUNCTION("""COMPUTED_VALUE"""),"Yes")</f>
        <v>Yes</v>
      </c>
      <c r="G397" s="5" t="str">
        <f>IFERROR(__xludf.DUMMYFUNCTION("""COMPUTED_VALUE"""),"Yes")</f>
        <v>Yes</v>
      </c>
      <c r="H397" s="5" t="str">
        <f>IFERROR(__xludf.DUMMYFUNCTION("""COMPUTED_VALUE"""),"Yes")</f>
        <v>Yes</v>
      </c>
      <c r="I397" s="5" t="str">
        <f>IFERROR(__xludf.DUMMYFUNCTION("""COMPUTED_VALUE"""),"Yes")</f>
        <v>Yes</v>
      </c>
      <c r="J397" s="5" t="str">
        <f>IFERROR(__xludf.DUMMYFUNCTION("""COMPUTED_VALUE"""),"Yes")</f>
        <v>Yes</v>
      </c>
      <c r="K397" s="5" t="str">
        <f>IFERROR(__xludf.DUMMYFUNCTION("""COMPUTED_VALUE"""),"Yes")</f>
        <v>Yes</v>
      </c>
      <c r="L397" s="5" t="str">
        <f>IFERROR(__xludf.DUMMYFUNCTION("""COMPUTED_VALUE"""),"Yes")</f>
        <v>Yes</v>
      </c>
      <c r="M397" s="5" t="str">
        <f>IFERROR(__xludf.DUMMYFUNCTION("""COMPUTED_VALUE"""),"Yes")</f>
        <v>Yes</v>
      </c>
      <c r="N397" s="5" t="str">
        <f>IFERROR(__xludf.DUMMYFUNCTION("""COMPUTED_VALUE"""),"Yes")</f>
        <v>Yes</v>
      </c>
      <c r="O397" s="5" t="str">
        <f>IFERROR(__xludf.DUMMYFUNCTION("""COMPUTED_VALUE"""),"Yes")</f>
        <v>Yes</v>
      </c>
      <c r="P397" s="5" t="str">
        <f>IFERROR(__xludf.DUMMYFUNCTION("""COMPUTED_VALUE"""),"Yes")</f>
        <v>Yes</v>
      </c>
      <c r="Q397" s="5" t="str">
        <f>IFERROR(__xludf.DUMMYFUNCTION("""COMPUTED_VALUE"""),"Yes")</f>
        <v>Yes</v>
      </c>
      <c r="R397" s="5" t="str">
        <f>IFERROR(__xludf.DUMMYFUNCTION("""COMPUTED_VALUE"""),"Yes")</f>
        <v>Yes</v>
      </c>
      <c r="S397" s="5" t="str">
        <f>IFERROR(__xludf.DUMMYFUNCTION("""COMPUTED_VALUE"""),"Yes")</f>
        <v>Yes</v>
      </c>
      <c r="T397" s="5" t="str">
        <f>IFERROR(__xludf.DUMMYFUNCTION("""COMPUTED_VALUE"""),"Yes")</f>
        <v>Yes</v>
      </c>
      <c r="U397" s="5" t="str">
        <f>IFERROR(__xludf.DUMMYFUNCTION("""COMPUTED_VALUE"""),"Yes")</f>
        <v>Yes</v>
      </c>
      <c r="V397" s="5" t="str">
        <f>IFERROR(__xludf.DUMMYFUNCTION("""COMPUTED_VALUE"""),"Yes")</f>
        <v>Yes</v>
      </c>
      <c r="W397" s="5" t="str">
        <f>IFERROR(__xludf.DUMMYFUNCTION("""COMPUTED_VALUE"""),"Yes")</f>
        <v>Yes</v>
      </c>
      <c r="X397" s="5"/>
      <c r="Y397" s="5"/>
      <c r="Z397" s="5"/>
      <c r="AA397" s="5"/>
      <c r="AB397" s="5"/>
      <c r="AC397" s="5" t="str">
        <f>IFERROR(__xludf.DUMMYFUNCTION("""COMPUTED_VALUE"""),"Yes")</f>
        <v>Yes</v>
      </c>
      <c r="AD397" s="5"/>
      <c r="AE397" s="5"/>
      <c r="AF397" s="5"/>
      <c r="AG397" s="5"/>
      <c r="AH397" s="5"/>
      <c r="AI397" s="5"/>
      <c r="AJ397" s="5"/>
      <c r="AK397" s="5"/>
      <c r="AL397" s="5"/>
      <c r="AM397" s="5"/>
      <c r="AN397" s="5"/>
      <c r="AO397" s="5"/>
      <c r="AP397" s="5"/>
      <c r="AQ397" s="5"/>
      <c r="AR397" s="5"/>
      <c r="AS397" s="5"/>
      <c r="AT397" s="5"/>
      <c r="AU397" s="5"/>
      <c r="AV397" s="5"/>
      <c r="AW397" s="5"/>
      <c r="AX397" s="5"/>
      <c r="AY397" s="5"/>
    </row>
    <row r="398">
      <c r="A39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8" s="5">
        <f>IFERROR(__xludf.DUMMYFUNCTION("""COMPUTED_VALUE"""),407.0)</f>
        <v>407</v>
      </c>
      <c r="C398" s="5">
        <f>IFERROR(__xludf.DUMMYFUNCTION("""COMPUTED_VALUE"""),2001.0)</f>
        <v>2001</v>
      </c>
      <c r="D398" s="5" t="str">
        <f>IFERROR(__xludf.DUMMYFUNCTION("""COMPUTED_VALUE"""),"RedstoneDiceDouble")</f>
        <v>RedstoneDiceDouble</v>
      </c>
      <c r="E398" s="5" t="str">
        <f>IFERROR(__xludf.DUMMYFUNCTION("""COMPUTED_VALUE"""),"Yes")</f>
        <v>Yes</v>
      </c>
      <c r="F398" s="5" t="str">
        <f>IFERROR(__xludf.DUMMYFUNCTION("""COMPUTED_VALUE"""),"Yes")</f>
        <v>Yes</v>
      </c>
      <c r="G398" s="5" t="str">
        <f>IFERROR(__xludf.DUMMYFUNCTION("""COMPUTED_VALUE"""),"No")</f>
        <v>No</v>
      </c>
      <c r="H398" s="5" t="str">
        <f>IFERROR(__xludf.DUMMYFUNCTION("""COMPUTED_VALUE"""),"Yes")</f>
        <v>Yes</v>
      </c>
      <c r="I398" s="5" t="str">
        <f>IFERROR(__xludf.DUMMYFUNCTION("""COMPUTED_VALUE"""),"Yes")</f>
        <v>Yes</v>
      </c>
      <c r="J398" s="5" t="str">
        <f>IFERROR(__xludf.DUMMYFUNCTION("""COMPUTED_VALUE"""),"Yes")</f>
        <v>Yes</v>
      </c>
      <c r="K398" s="5" t="str">
        <f>IFERROR(__xludf.DUMMYFUNCTION("""COMPUTED_VALUE"""),"Yes")</f>
        <v>Yes</v>
      </c>
      <c r="L398" s="5" t="str">
        <f>IFERROR(__xludf.DUMMYFUNCTION("""COMPUTED_VALUE"""),"Yes")</f>
        <v>Yes</v>
      </c>
      <c r="M398" s="5" t="str">
        <f>IFERROR(__xludf.DUMMYFUNCTION("""COMPUTED_VALUE"""),"Yes")</f>
        <v>Yes</v>
      </c>
      <c r="N398" s="5" t="str">
        <f>IFERROR(__xludf.DUMMYFUNCTION("""COMPUTED_VALUE"""),"Yes")</f>
        <v>Yes</v>
      </c>
      <c r="O398" s="5" t="str">
        <f>IFERROR(__xludf.DUMMYFUNCTION("""COMPUTED_VALUE"""),"Yes")</f>
        <v>Yes</v>
      </c>
      <c r="P398" s="5" t="str">
        <f>IFERROR(__xludf.DUMMYFUNCTION("""COMPUTED_VALUE"""),"Yes")</f>
        <v>Yes</v>
      </c>
      <c r="Q398" s="5" t="str">
        <f>IFERROR(__xludf.DUMMYFUNCTION("""COMPUTED_VALUE"""),"Yes")</f>
        <v>Yes</v>
      </c>
      <c r="R398" s="5" t="str">
        <f>IFERROR(__xludf.DUMMYFUNCTION("""COMPUTED_VALUE"""),"Yes")</f>
        <v>Yes</v>
      </c>
      <c r="S398" s="5" t="str">
        <f>IFERROR(__xludf.DUMMYFUNCTION("""COMPUTED_VALUE"""),"Yes")</f>
        <v>Yes</v>
      </c>
      <c r="T398" s="5" t="str">
        <f>IFERROR(__xludf.DUMMYFUNCTION("""COMPUTED_VALUE"""),"No")</f>
        <v>No</v>
      </c>
      <c r="U398" s="5" t="str">
        <f>IFERROR(__xludf.DUMMYFUNCTION("""COMPUTED_VALUE"""),"No")</f>
        <v>No</v>
      </c>
      <c r="V398" s="5" t="str">
        <f>IFERROR(__xludf.DUMMYFUNCTION("""COMPUTED_VALUE"""),"No")</f>
        <v>No</v>
      </c>
      <c r="W398" s="5" t="str">
        <f>IFERROR(__xludf.DUMMYFUNCTION("""COMPUTED_VALUE"""),"No")</f>
        <v>No</v>
      </c>
      <c r="X398" s="5" t="str">
        <f>IFERROR(__xludf.DUMMYFUNCTION("""COMPUTED_VALUE"""),"No")</f>
        <v>No</v>
      </c>
      <c r="Y398" s="5" t="str">
        <f>IFERROR(__xludf.DUMMYFUNCTION("""COMPUTED_VALUE"""),"No")</f>
        <v>No</v>
      </c>
      <c r="Z398" s="5" t="str">
        <f>IFERROR(__xludf.DUMMYFUNCTION("""COMPUTED_VALUE"""),"No")</f>
        <v>No</v>
      </c>
      <c r="AA398" s="5" t="str">
        <f>IFERROR(__xludf.DUMMYFUNCTION("""COMPUTED_VALUE"""),"Yes")</f>
        <v>Yes</v>
      </c>
      <c r="AB398" s="5" t="str">
        <f>IFERROR(__xludf.DUMMYFUNCTION("""COMPUTED_VALUE"""),"No")</f>
        <v>No</v>
      </c>
      <c r="AC398" s="5" t="str">
        <f>IFERROR(__xludf.DUMMYFUNCTION("""COMPUTED_VALUE"""),"No")</f>
        <v>No</v>
      </c>
      <c r="AD398" s="5" t="str">
        <f>IFERROR(__xludf.DUMMYFUNCTION("""COMPUTED_VALUE"""),"No")</f>
        <v>No</v>
      </c>
      <c r="AE398" s="5" t="str">
        <f>IFERROR(__xludf.DUMMYFUNCTION("""COMPUTED_VALUE"""),"No")</f>
        <v>No</v>
      </c>
      <c r="AF398" s="5" t="str">
        <f>IFERROR(__xludf.DUMMYFUNCTION("""COMPUTED_VALUE"""),"Yes")</f>
        <v>Yes</v>
      </c>
      <c r="AG398" s="5" t="str">
        <f>IFERROR(__xludf.DUMMYFUNCTION("""COMPUTED_VALUE"""),"No")</f>
        <v>No</v>
      </c>
      <c r="AH398" s="5" t="str">
        <f>IFERROR(__xludf.DUMMYFUNCTION("""COMPUTED_VALUE"""),"Yes")</f>
        <v>Yes</v>
      </c>
      <c r="AI398" s="5" t="str">
        <f>IFERROR(__xludf.DUMMYFUNCTION("""COMPUTED_VALUE"""),"No")</f>
        <v>No</v>
      </c>
      <c r="AJ398" s="5" t="str">
        <f>IFERROR(__xludf.DUMMYFUNCTION("""COMPUTED_VALUE"""),"No")</f>
        <v>No</v>
      </c>
      <c r="AK398" s="5" t="str">
        <f>IFERROR(__xludf.DUMMYFUNCTION("""COMPUTED_VALUE"""),"No")</f>
        <v>No</v>
      </c>
      <c r="AL398" s="5" t="str">
        <f>IFERROR(__xludf.DUMMYFUNCTION("""COMPUTED_VALUE"""),"No")</f>
        <v>No</v>
      </c>
      <c r="AM398" s="5"/>
      <c r="AN398" s="5"/>
      <c r="AO398" s="5"/>
      <c r="AP398" s="5"/>
      <c r="AQ398" s="5"/>
      <c r="AR398" s="5"/>
      <c r="AS398" s="5"/>
      <c r="AT398" s="5"/>
      <c r="AU398" s="5"/>
      <c r="AV398" s="5"/>
      <c r="AW398" s="5"/>
      <c r="AX398" s="5"/>
      <c r="AY398" s="5"/>
    </row>
    <row r="399">
      <c r="A39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9" s="5">
        <f>IFERROR(__xludf.DUMMYFUNCTION("""COMPUTED_VALUE"""),408.0)</f>
        <v>408</v>
      </c>
      <c r="C399" s="5">
        <f>IFERROR(__xludf.DUMMYFUNCTION("""COMPUTED_VALUE"""),2002.0)</f>
        <v>2002</v>
      </c>
      <c r="D399" s="5" t="str">
        <f>IFERROR(__xludf.DUMMYFUNCTION("""COMPUTED_VALUE"""),"RedstoneVolcanoHot")</f>
        <v>RedstoneVolcanoHot</v>
      </c>
      <c r="E399" s="5" t="str">
        <f>IFERROR(__xludf.DUMMYFUNCTION("""COMPUTED_VALUE"""),"Yes")</f>
        <v>Yes</v>
      </c>
      <c r="F399" s="5" t="str">
        <f>IFERROR(__xludf.DUMMYFUNCTION("""COMPUTED_VALUE"""),"Yes")</f>
        <v>Yes</v>
      </c>
      <c r="G399" s="5" t="str">
        <f>IFERROR(__xludf.DUMMYFUNCTION("""COMPUTED_VALUE"""),"No")</f>
        <v>No</v>
      </c>
      <c r="H399" s="5" t="str">
        <f>IFERROR(__xludf.DUMMYFUNCTION("""COMPUTED_VALUE"""),"Yes")</f>
        <v>Yes</v>
      </c>
      <c r="I399" s="5" t="str">
        <f>IFERROR(__xludf.DUMMYFUNCTION("""COMPUTED_VALUE"""),"Yes")</f>
        <v>Yes</v>
      </c>
      <c r="J399" s="5" t="str">
        <f>IFERROR(__xludf.DUMMYFUNCTION("""COMPUTED_VALUE"""),"Yes")</f>
        <v>Yes</v>
      </c>
      <c r="K399" s="5" t="str">
        <f>IFERROR(__xludf.DUMMYFUNCTION("""COMPUTED_VALUE"""),"Yes")</f>
        <v>Yes</v>
      </c>
      <c r="L399" s="5" t="str">
        <f>IFERROR(__xludf.DUMMYFUNCTION("""COMPUTED_VALUE"""),"Yes")</f>
        <v>Yes</v>
      </c>
      <c r="M399" s="5" t="str">
        <f>IFERROR(__xludf.DUMMYFUNCTION("""COMPUTED_VALUE"""),"Yes")</f>
        <v>Yes</v>
      </c>
      <c r="N399" s="5" t="str">
        <f>IFERROR(__xludf.DUMMYFUNCTION("""COMPUTED_VALUE"""),"Yes")</f>
        <v>Yes</v>
      </c>
      <c r="O399" s="5" t="str">
        <f>IFERROR(__xludf.DUMMYFUNCTION("""COMPUTED_VALUE"""),"Yes")</f>
        <v>Yes</v>
      </c>
      <c r="P399" s="5" t="str">
        <f>IFERROR(__xludf.DUMMYFUNCTION("""COMPUTED_VALUE"""),"Yes")</f>
        <v>Yes</v>
      </c>
      <c r="Q399" s="5" t="str">
        <f>IFERROR(__xludf.DUMMYFUNCTION("""COMPUTED_VALUE"""),"Yes")</f>
        <v>Yes</v>
      </c>
      <c r="R399" s="5" t="str">
        <f>IFERROR(__xludf.DUMMYFUNCTION("""COMPUTED_VALUE"""),"Yes")</f>
        <v>Yes</v>
      </c>
      <c r="S399" s="5" t="str">
        <f>IFERROR(__xludf.DUMMYFUNCTION("""COMPUTED_VALUE"""),"Yes")</f>
        <v>Yes</v>
      </c>
      <c r="T399" s="5" t="str">
        <f>IFERROR(__xludf.DUMMYFUNCTION("""COMPUTED_VALUE"""),"No")</f>
        <v>No</v>
      </c>
      <c r="U399" s="5" t="str">
        <f>IFERROR(__xludf.DUMMYFUNCTION("""COMPUTED_VALUE"""),"No")</f>
        <v>No</v>
      </c>
      <c r="V399" s="5" t="str">
        <f>IFERROR(__xludf.DUMMYFUNCTION("""COMPUTED_VALUE"""),"No")</f>
        <v>No</v>
      </c>
      <c r="W399" s="5" t="str">
        <f>IFERROR(__xludf.DUMMYFUNCTION("""COMPUTED_VALUE"""),"No")</f>
        <v>No</v>
      </c>
      <c r="X399" s="5" t="str">
        <f>IFERROR(__xludf.DUMMYFUNCTION("""COMPUTED_VALUE"""),"No")</f>
        <v>No</v>
      </c>
      <c r="Y399" s="5" t="str">
        <f>IFERROR(__xludf.DUMMYFUNCTION("""COMPUTED_VALUE"""),"No")</f>
        <v>No</v>
      </c>
      <c r="Z399" s="5" t="str">
        <f>IFERROR(__xludf.DUMMYFUNCTION("""COMPUTED_VALUE"""),"No")</f>
        <v>No</v>
      </c>
      <c r="AA399" s="5" t="str">
        <f>IFERROR(__xludf.DUMMYFUNCTION("""COMPUTED_VALUE"""),"Yes")</f>
        <v>Yes</v>
      </c>
      <c r="AB399" s="5" t="str">
        <f>IFERROR(__xludf.DUMMYFUNCTION("""COMPUTED_VALUE"""),"No")</f>
        <v>No</v>
      </c>
      <c r="AC399" s="5" t="str">
        <f>IFERROR(__xludf.DUMMYFUNCTION("""COMPUTED_VALUE"""),"No")</f>
        <v>No</v>
      </c>
      <c r="AD399" s="5" t="str">
        <f>IFERROR(__xludf.DUMMYFUNCTION("""COMPUTED_VALUE"""),"No")</f>
        <v>No</v>
      </c>
      <c r="AE399" s="5" t="str">
        <f>IFERROR(__xludf.DUMMYFUNCTION("""COMPUTED_VALUE"""),"No")</f>
        <v>No</v>
      </c>
      <c r="AF399" s="5" t="str">
        <f>IFERROR(__xludf.DUMMYFUNCTION("""COMPUTED_VALUE"""),"Yes")</f>
        <v>Yes</v>
      </c>
      <c r="AG399" s="5" t="str">
        <f>IFERROR(__xludf.DUMMYFUNCTION("""COMPUTED_VALUE"""),"No")</f>
        <v>No</v>
      </c>
      <c r="AH399" s="5" t="str">
        <f>IFERROR(__xludf.DUMMYFUNCTION("""COMPUTED_VALUE"""),"Yes")</f>
        <v>Yes</v>
      </c>
      <c r="AI399" s="5" t="str">
        <f>IFERROR(__xludf.DUMMYFUNCTION("""COMPUTED_VALUE"""),"No")</f>
        <v>No</v>
      </c>
      <c r="AJ399" s="5" t="str">
        <f>IFERROR(__xludf.DUMMYFUNCTION("""COMPUTED_VALUE"""),"No")</f>
        <v>No</v>
      </c>
      <c r="AK399" s="5" t="str">
        <f>IFERROR(__xludf.DUMMYFUNCTION("""COMPUTED_VALUE"""),"No")</f>
        <v>No</v>
      </c>
      <c r="AL399" s="5" t="str">
        <f>IFERROR(__xludf.DUMMYFUNCTION("""COMPUTED_VALUE"""),"No")</f>
        <v>No</v>
      </c>
      <c r="AM399" s="5"/>
      <c r="AN399" s="5"/>
      <c r="AO399" s="5"/>
      <c r="AP399" s="5"/>
      <c r="AQ399" s="5"/>
      <c r="AR399" s="5"/>
      <c r="AS399" s="5"/>
      <c r="AT399" s="5"/>
      <c r="AU399" s="5"/>
      <c r="AV399" s="5"/>
      <c r="AW399" s="5"/>
      <c r="AX399" s="5"/>
      <c r="AY399" s="5"/>
    </row>
    <row r="400">
      <c r="A40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0" s="5">
        <f>IFERROR(__xludf.DUMMYFUNCTION("""COMPUTED_VALUE"""),409.0)</f>
        <v>409</v>
      </c>
      <c r="C400" s="5">
        <f>IFERROR(__xludf.DUMMYFUNCTION("""COMPUTED_VALUE"""),180001.0)</f>
        <v>180001</v>
      </c>
      <c r="D400" s="5" t="str">
        <f>IFERROR(__xludf.DUMMYFUNCTION("""COMPUTED_VALUE"""),"Redstone10CloverFire")</f>
        <v>Redstone10CloverFire</v>
      </c>
      <c r="E400" s="5" t="str">
        <f>IFERROR(__xludf.DUMMYFUNCTION("""COMPUTED_VALUE"""),"Yes")</f>
        <v>Yes</v>
      </c>
      <c r="F400" s="5" t="str">
        <f>IFERROR(__xludf.DUMMYFUNCTION("""COMPUTED_VALUE"""),"Yes")</f>
        <v>Yes</v>
      </c>
      <c r="G400" s="5" t="str">
        <f>IFERROR(__xludf.DUMMYFUNCTION("""COMPUTED_VALUE"""),"No")</f>
        <v>No</v>
      </c>
      <c r="H400" s="5" t="str">
        <f>IFERROR(__xludf.DUMMYFUNCTION("""COMPUTED_VALUE"""),"Yes")</f>
        <v>Yes</v>
      </c>
      <c r="I400" s="5" t="str">
        <f>IFERROR(__xludf.DUMMYFUNCTION("""COMPUTED_VALUE"""),"Yes")</f>
        <v>Yes</v>
      </c>
      <c r="J400" s="5" t="str">
        <f>IFERROR(__xludf.DUMMYFUNCTION("""COMPUTED_VALUE"""),"Yes")</f>
        <v>Yes</v>
      </c>
      <c r="K400" s="5" t="str">
        <f>IFERROR(__xludf.DUMMYFUNCTION("""COMPUTED_VALUE"""),"Yes")</f>
        <v>Yes</v>
      </c>
      <c r="L400" s="5" t="str">
        <f>IFERROR(__xludf.DUMMYFUNCTION("""COMPUTED_VALUE"""),"Yes")</f>
        <v>Yes</v>
      </c>
      <c r="M400" s="5" t="str">
        <f>IFERROR(__xludf.DUMMYFUNCTION("""COMPUTED_VALUE"""),"Yes")</f>
        <v>Yes</v>
      </c>
      <c r="N400" s="5" t="str">
        <f>IFERROR(__xludf.DUMMYFUNCTION("""COMPUTED_VALUE"""),"Yes")</f>
        <v>Yes</v>
      </c>
      <c r="O400" s="5" t="str">
        <f>IFERROR(__xludf.DUMMYFUNCTION("""COMPUTED_VALUE"""),"Yes")</f>
        <v>Yes</v>
      </c>
      <c r="P400" s="5" t="str">
        <f>IFERROR(__xludf.DUMMYFUNCTION("""COMPUTED_VALUE"""),"Yes")</f>
        <v>Yes</v>
      </c>
      <c r="Q400" s="5" t="str">
        <f>IFERROR(__xludf.DUMMYFUNCTION("""COMPUTED_VALUE"""),"Yes")</f>
        <v>Yes</v>
      </c>
      <c r="R400" s="5" t="str">
        <f>IFERROR(__xludf.DUMMYFUNCTION("""COMPUTED_VALUE"""),"Yes")</f>
        <v>Yes</v>
      </c>
      <c r="S400" s="5" t="str">
        <f>IFERROR(__xludf.DUMMYFUNCTION("""COMPUTED_VALUE"""),"Yes")</f>
        <v>Yes</v>
      </c>
      <c r="T400" s="5" t="str">
        <f>IFERROR(__xludf.DUMMYFUNCTION("""COMPUTED_VALUE"""),"No")</f>
        <v>No</v>
      </c>
      <c r="U400" s="5" t="str">
        <f>IFERROR(__xludf.DUMMYFUNCTION("""COMPUTED_VALUE"""),"No")</f>
        <v>No</v>
      </c>
      <c r="V400" s="5" t="str">
        <f>IFERROR(__xludf.DUMMYFUNCTION("""COMPUTED_VALUE"""),"No")</f>
        <v>No</v>
      </c>
      <c r="W400" s="5" t="str">
        <f>IFERROR(__xludf.DUMMYFUNCTION("""COMPUTED_VALUE"""),"No")</f>
        <v>No</v>
      </c>
      <c r="X400" s="5" t="str">
        <f>IFERROR(__xludf.DUMMYFUNCTION("""COMPUTED_VALUE"""),"No")</f>
        <v>No</v>
      </c>
      <c r="Y400" s="5" t="str">
        <f>IFERROR(__xludf.DUMMYFUNCTION("""COMPUTED_VALUE"""),"No")</f>
        <v>No</v>
      </c>
      <c r="Z400" s="5" t="str">
        <f>IFERROR(__xludf.DUMMYFUNCTION("""COMPUTED_VALUE"""),"No")</f>
        <v>No</v>
      </c>
      <c r="AA400" s="5" t="str">
        <f>IFERROR(__xludf.DUMMYFUNCTION("""COMPUTED_VALUE"""),"Yes")</f>
        <v>Yes</v>
      </c>
      <c r="AB400" s="5" t="str">
        <f>IFERROR(__xludf.DUMMYFUNCTION("""COMPUTED_VALUE"""),"No")</f>
        <v>No</v>
      </c>
      <c r="AC400" s="5" t="str">
        <f>IFERROR(__xludf.DUMMYFUNCTION("""COMPUTED_VALUE"""),"No")</f>
        <v>No</v>
      </c>
      <c r="AD400" s="5" t="str">
        <f>IFERROR(__xludf.DUMMYFUNCTION("""COMPUTED_VALUE"""),"No")</f>
        <v>No</v>
      </c>
      <c r="AE400" s="5" t="str">
        <f>IFERROR(__xludf.DUMMYFUNCTION("""COMPUTED_VALUE"""),"No")</f>
        <v>No</v>
      </c>
      <c r="AF400" s="5" t="str">
        <f>IFERROR(__xludf.DUMMYFUNCTION("""COMPUTED_VALUE"""),"Yes")</f>
        <v>Yes</v>
      </c>
      <c r="AG400" s="5" t="str">
        <f>IFERROR(__xludf.DUMMYFUNCTION("""COMPUTED_VALUE"""),"No")</f>
        <v>No</v>
      </c>
      <c r="AH400" s="5" t="str">
        <f>IFERROR(__xludf.DUMMYFUNCTION("""COMPUTED_VALUE"""),"Yes")</f>
        <v>Yes</v>
      </c>
      <c r="AI400" s="5" t="str">
        <f>IFERROR(__xludf.DUMMYFUNCTION("""COMPUTED_VALUE"""),"No")</f>
        <v>No</v>
      </c>
      <c r="AJ400" s="5" t="str">
        <f>IFERROR(__xludf.DUMMYFUNCTION("""COMPUTED_VALUE"""),"No")</f>
        <v>No</v>
      </c>
      <c r="AK400" s="5" t="str">
        <f>IFERROR(__xludf.DUMMYFUNCTION("""COMPUTED_VALUE"""),"No")</f>
        <v>No</v>
      </c>
      <c r="AL400" s="5" t="str">
        <f>IFERROR(__xludf.DUMMYFUNCTION("""COMPUTED_VALUE"""),"No")</f>
        <v>No</v>
      </c>
      <c r="AM400" s="5"/>
      <c r="AN400" s="5"/>
      <c r="AO400" s="5"/>
      <c r="AP400" s="5"/>
      <c r="AQ400" s="5"/>
      <c r="AR400" s="5"/>
      <c r="AS400" s="5"/>
      <c r="AT400" s="5"/>
      <c r="AU400" s="5"/>
      <c r="AV400" s="5"/>
      <c r="AW400" s="5"/>
      <c r="AX400" s="5"/>
      <c r="AY400" s="5"/>
    </row>
    <row r="401">
      <c r="A4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1" s="5">
        <f>IFERROR(__xludf.DUMMYFUNCTION("""COMPUTED_VALUE"""),410.0)</f>
        <v>410</v>
      </c>
      <c r="C401" s="5">
        <f>IFERROR(__xludf.DUMMYFUNCTION("""COMPUTED_VALUE"""),2000001.0)</f>
        <v>2000001</v>
      </c>
      <c r="D401" s="5"/>
      <c r="E401" s="5" t="str">
        <f>IFERROR(__xludf.DUMMYFUNCTION("""COMPUTED_VALUE"""),"Yes")</f>
        <v>Yes</v>
      </c>
      <c r="F401" s="5" t="str">
        <f>IFERROR(__xludf.DUMMYFUNCTION("""COMPUTED_VALUE"""),"Yes")</f>
        <v>Yes</v>
      </c>
      <c r="G401" s="5" t="str">
        <f>IFERROR(__xludf.DUMMYFUNCTION("""COMPUTED_VALUE"""),"Yes")</f>
        <v>Yes</v>
      </c>
      <c r="H401" s="5" t="str">
        <f>IFERROR(__xludf.DUMMYFUNCTION("""COMPUTED_VALUE"""),"Yes")</f>
        <v>Yes</v>
      </c>
      <c r="I401" s="5" t="str">
        <f>IFERROR(__xludf.DUMMYFUNCTION("""COMPUTED_VALUE"""),"Yes")</f>
        <v>Yes</v>
      </c>
      <c r="J401" s="5" t="str">
        <f>IFERROR(__xludf.DUMMYFUNCTION("""COMPUTED_VALUE"""),"Yes")</f>
        <v>Yes</v>
      </c>
      <c r="K401" s="5" t="str">
        <f>IFERROR(__xludf.DUMMYFUNCTION("""COMPUTED_VALUE"""),"Yes")</f>
        <v>Yes</v>
      </c>
      <c r="L401" s="5" t="str">
        <f>IFERROR(__xludf.DUMMYFUNCTION("""COMPUTED_VALUE"""),"Yes")</f>
        <v>Yes</v>
      </c>
      <c r="M401" s="5" t="str">
        <f>IFERROR(__xludf.DUMMYFUNCTION("""COMPUTED_VALUE"""),"Yes")</f>
        <v>Yes</v>
      </c>
      <c r="N401" s="5" t="str">
        <f>IFERROR(__xludf.DUMMYFUNCTION("""COMPUTED_VALUE"""),"Yes")</f>
        <v>Yes</v>
      </c>
      <c r="O401" s="5" t="str">
        <f>IFERROR(__xludf.DUMMYFUNCTION("""COMPUTED_VALUE"""),"Yes")</f>
        <v>Yes</v>
      </c>
      <c r="P401" s="5" t="str">
        <f>IFERROR(__xludf.DUMMYFUNCTION("""COMPUTED_VALUE"""),"Yes")</f>
        <v>Yes</v>
      </c>
      <c r="Q401" s="5" t="str">
        <f>IFERROR(__xludf.DUMMYFUNCTION("""COMPUTED_VALUE"""),"Yes")</f>
        <v>Yes</v>
      </c>
      <c r="R401" s="5" t="str">
        <f>IFERROR(__xludf.DUMMYFUNCTION("""COMPUTED_VALUE"""),"Yes")</f>
        <v>Yes</v>
      </c>
      <c r="S401" s="5" t="str">
        <f>IFERROR(__xludf.DUMMYFUNCTION("""COMPUTED_VALUE"""),"Yes")</f>
        <v>Yes</v>
      </c>
      <c r="T401" s="5" t="str">
        <f>IFERROR(__xludf.DUMMYFUNCTION("""COMPUTED_VALUE"""),"Yes")</f>
        <v>Yes</v>
      </c>
      <c r="U401" s="5" t="str">
        <f>IFERROR(__xludf.DUMMYFUNCTION("""COMPUTED_VALUE"""),"Yes")</f>
        <v>Yes</v>
      </c>
      <c r="V401" s="5" t="str">
        <f>IFERROR(__xludf.DUMMYFUNCTION("""COMPUTED_VALUE"""),"Yes")</f>
        <v>Yes</v>
      </c>
      <c r="W401" s="5" t="str">
        <f>IFERROR(__xludf.DUMMYFUNCTION("""COMPUTED_VALUE"""),"Yes")</f>
        <v>Yes</v>
      </c>
      <c r="X401" s="5"/>
      <c r="Y401" s="5"/>
      <c r="Z401" s="5"/>
      <c r="AA401" s="5"/>
      <c r="AB401" s="5"/>
      <c r="AC401" s="5" t="str">
        <f>IFERROR(__xludf.DUMMYFUNCTION("""COMPUTED_VALUE"""),"Yes")</f>
        <v>Yes</v>
      </c>
      <c r="AD401" s="5"/>
      <c r="AE401" s="5"/>
      <c r="AF401" s="5"/>
      <c r="AG401" s="5"/>
      <c r="AH401" s="5"/>
      <c r="AI401" s="5"/>
      <c r="AJ401" s="5"/>
      <c r="AK401" s="5"/>
      <c r="AL401" s="5"/>
      <c r="AM401" s="5"/>
      <c r="AN401" s="5"/>
      <c r="AO401" s="5"/>
      <c r="AP401" s="5"/>
      <c r="AQ401" s="5"/>
      <c r="AR401" s="5"/>
      <c r="AS401" s="5"/>
      <c r="AT401" s="5"/>
      <c r="AU401" s="5"/>
      <c r="AV401" s="5"/>
      <c r="AW401" s="5"/>
      <c r="AX401" s="5"/>
      <c r="AY401" s="5"/>
    </row>
    <row r="402">
      <c r="A4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2" s="5">
        <f>IFERROR(__xludf.DUMMYFUNCTION("""COMPUTED_VALUE"""),413.0)</f>
        <v>413</v>
      </c>
      <c r="C402" s="5">
        <f>IFERROR(__xludf.DUMMYFUNCTION("""COMPUTED_VALUE"""),3005.0)</f>
        <v>3005</v>
      </c>
      <c r="D402" s="5" t="str">
        <f>IFERROR(__xludf.DUMMYFUNCTION("""COMPUTED_VALUE"""),"CrownsAndStars")</f>
        <v>CrownsAndStars</v>
      </c>
      <c r="E402" s="5" t="str">
        <f>IFERROR(__xludf.DUMMYFUNCTION("""COMPUTED_VALUE"""),"Yes")</f>
        <v>Yes</v>
      </c>
      <c r="F402" s="5" t="str">
        <f>IFERROR(__xludf.DUMMYFUNCTION("""COMPUTED_VALUE"""),"Yes")</f>
        <v>Yes</v>
      </c>
      <c r="G402" s="5" t="str">
        <f>IFERROR(__xludf.DUMMYFUNCTION("""COMPUTED_VALUE"""),"Yes")</f>
        <v>Yes</v>
      </c>
      <c r="H402" s="5" t="str">
        <f>IFERROR(__xludf.DUMMYFUNCTION("""COMPUTED_VALUE"""),"Yes")</f>
        <v>Yes</v>
      </c>
      <c r="I402" s="5" t="str">
        <f>IFERROR(__xludf.DUMMYFUNCTION("""COMPUTED_VALUE"""),"Yes")</f>
        <v>Yes</v>
      </c>
      <c r="J402" s="5" t="str">
        <f>IFERROR(__xludf.DUMMYFUNCTION("""COMPUTED_VALUE"""),"Yes")</f>
        <v>Yes</v>
      </c>
      <c r="K402" s="5" t="str">
        <f>IFERROR(__xludf.DUMMYFUNCTION("""COMPUTED_VALUE"""),"Yes")</f>
        <v>Yes</v>
      </c>
      <c r="L402" s="5" t="str">
        <f>IFERROR(__xludf.DUMMYFUNCTION("""COMPUTED_VALUE"""),"Yes")</f>
        <v>Yes</v>
      </c>
      <c r="M402" s="5" t="str">
        <f>IFERROR(__xludf.DUMMYFUNCTION("""COMPUTED_VALUE"""),"Yes")</f>
        <v>Yes</v>
      </c>
      <c r="N402" s="5" t="str">
        <f>IFERROR(__xludf.DUMMYFUNCTION("""COMPUTED_VALUE"""),"Yes")</f>
        <v>Yes</v>
      </c>
      <c r="O402" s="5" t="str">
        <f>IFERROR(__xludf.DUMMYFUNCTION("""COMPUTED_VALUE"""),"Yes")</f>
        <v>Yes</v>
      </c>
      <c r="P402" s="5" t="str">
        <f>IFERROR(__xludf.DUMMYFUNCTION("""COMPUTED_VALUE"""),"Yes")</f>
        <v>Yes</v>
      </c>
      <c r="Q402" s="5" t="str">
        <f>IFERROR(__xludf.DUMMYFUNCTION("""COMPUTED_VALUE"""),"Yes")</f>
        <v>Yes</v>
      </c>
      <c r="R402" s="5" t="str">
        <f>IFERROR(__xludf.DUMMYFUNCTION("""COMPUTED_VALUE"""),"Yes")</f>
        <v>Yes</v>
      </c>
      <c r="S402" s="5" t="str">
        <f>IFERROR(__xludf.DUMMYFUNCTION("""COMPUTED_VALUE"""),"Yes")</f>
        <v>Yes</v>
      </c>
      <c r="T402" s="5" t="str">
        <f>IFERROR(__xludf.DUMMYFUNCTION("""COMPUTED_VALUE"""),"Yes")</f>
        <v>Yes</v>
      </c>
      <c r="U402" s="5" t="str">
        <f>IFERROR(__xludf.DUMMYFUNCTION("""COMPUTED_VALUE"""),"Yes")</f>
        <v>Yes</v>
      </c>
      <c r="V402" s="5" t="str">
        <f>IFERROR(__xludf.DUMMYFUNCTION("""COMPUTED_VALUE"""),"Yes")</f>
        <v>Yes</v>
      </c>
      <c r="W402" s="5" t="str">
        <f>IFERROR(__xludf.DUMMYFUNCTION("""COMPUTED_VALUE"""),"Yes")</f>
        <v>Yes</v>
      </c>
      <c r="X402" s="5" t="str">
        <f>IFERROR(__xludf.DUMMYFUNCTION("""COMPUTED_VALUE"""),"Yes")</f>
        <v>Yes</v>
      </c>
      <c r="Y402" s="5" t="str">
        <f>IFERROR(__xludf.DUMMYFUNCTION("""COMPUTED_VALUE"""),"Yes")</f>
        <v>Yes</v>
      </c>
      <c r="Z402" s="5" t="str">
        <f>IFERROR(__xludf.DUMMYFUNCTION("""COMPUTED_VALUE"""),"No")</f>
        <v>No</v>
      </c>
      <c r="AA402" s="5" t="str">
        <f>IFERROR(__xludf.DUMMYFUNCTION("""COMPUTED_VALUE"""),"Yes")</f>
        <v>Yes</v>
      </c>
      <c r="AB402" s="5" t="str">
        <f>IFERROR(__xludf.DUMMYFUNCTION("""COMPUTED_VALUE"""),"Yes")</f>
        <v>Yes</v>
      </c>
      <c r="AC402" s="5" t="str">
        <f>IFERROR(__xludf.DUMMYFUNCTION("""COMPUTED_VALUE"""),"Yes")</f>
        <v>Yes</v>
      </c>
      <c r="AD402" s="5" t="str">
        <f>IFERROR(__xludf.DUMMYFUNCTION("""COMPUTED_VALUE"""),"Yes")</f>
        <v>Yes</v>
      </c>
      <c r="AE402" s="5" t="str">
        <f>IFERROR(__xludf.DUMMYFUNCTION("""COMPUTED_VALUE"""),"No")</f>
        <v>No</v>
      </c>
      <c r="AF402" s="5" t="str">
        <f>IFERROR(__xludf.DUMMYFUNCTION("""COMPUTED_VALUE"""),"Yes")</f>
        <v>Yes</v>
      </c>
      <c r="AG402" s="5" t="str">
        <f>IFERROR(__xludf.DUMMYFUNCTION("""COMPUTED_VALUE"""),"No")</f>
        <v>No</v>
      </c>
      <c r="AH402" s="5" t="str">
        <f>IFERROR(__xludf.DUMMYFUNCTION("""COMPUTED_VALUE"""),"No")</f>
        <v>No</v>
      </c>
      <c r="AI402" s="5" t="str">
        <f>IFERROR(__xludf.DUMMYFUNCTION("""COMPUTED_VALUE"""),"No")</f>
        <v>No</v>
      </c>
      <c r="AJ402" s="5" t="str">
        <f>IFERROR(__xludf.DUMMYFUNCTION("""COMPUTED_VALUE"""),"No")</f>
        <v>No</v>
      </c>
      <c r="AK402" s="5" t="str">
        <f>IFERROR(__xludf.DUMMYFUNCTION("""COMPUTED_VALUE"""),"No")</f>
        <v>No</v>
      </c>
      <c r="AL402" s="5" t="str">
        <f>IFERROR(__xludf.DUMMYFUNCTION("""COMPUTED_VALUE"""),"No")</f>
        <v>No</v>
      </c>
      <c r="AM402" s="5"/>
      <c r="AN402" s="5"/>
      <c r="AO402" s="5"/>
      <c r="AP402" s="5"/>
      <c r="AQ402" s="5"/>
      <c r="AR402" s="5"/>
      <c r="AS402" s="5"/>
      <c r="AT402" s="5"/>
      <c r="AU402" s="5"/>
      <c r="AV402" s="5"/>
      <c r="AW402" s="5"/>
      <c r="AX402" s="5"/>
      <c r="AY402" s="5"/>
    </row>
    <row r="403">
      <c r="A403"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3" s="5">
        <f>IFERROR(__xludf.DUMMYFUNCTION("""COMPUTED_VALUE"""),414.0)</f>
        <v>414</v>
      </c>
      <c r="C403" s="5">
        <f>IFERROR(__xludf.DUMMYFUNCTION("""COMPUTED_VALUE"""),390.0)</f>
        <v>390</v>
      </c>
      <c r="D403" s="5" t="str">
        <f>IFERROR(__xludf.DUMMYFUNCTION("""COMPUTED_VALUE"""),"PlayNetFortuneCloverX2")</f>
        <v>PlayNetFortuneCloverX2</v>
      </c>
      <c r="E403" s="5" t="str">
        <f>IFERROR(__xludf.DUMMYFUNCTION("""COMPUTED_VALUE"""),"Yes")</f>
        <v>Yes</v>
      </c>
      <c r="F403" s="5" t="str">
        <f>IFERROR(__xludf.DUMMYFUNCTION("""COMPUTED_VALUE"""),"Yes")</f>
        <v>Yes</v>
      </c>
      <c r="G403" s="5" t="str">
        <f>IFERROR(__xludf.DUMMYFUNCTION("""COMPUTED_VALUE"""),"Yes")</f>
        <v>Yes</v>
      </c>
      <c r="H403" s="5" t="str">
        <f>IFERROR(__xludf.DUMMYFUNCTION("""COMPUTED_VALUE"""),"Yes")</f>
        <v>Yes</v>
      </c>
      <c r="I403" s="5" t="str">
        <f>IFERROR(__xludf.DUMMYFUNCTION("""COMPUTED_VALUE"""),"Yes")</f>
        <v>Yes</v>
      </c>
      <c r="J403" s="5" t="str">
        <f>IFERROR(__xludf.DUMMYFUNCTION("""COMPUTED_VALUE"""),"Yes")</f>
        <v>Yes</v>
      </c>
      <c r="K403" s="5" t="str">
        <f>IFERROR(__xludf.DUMMYFUNCTION("""COMPUTED_VALUE"""),"Yes")</f>
        <v>Yes</v>
      </c>
      <c r="L403" s="5" t="str">
        <f>IFERROR(__xludf.DUMMYFUNCTION("""COMPUTED_VALUE"""),"Yes")</f>
        <v>Yes</v>
      </c>
      <c r="M403" s="5" t="str">
        <f>IFERROR(__xludf.DUMMYFUNCTION("""COMPUTED_VALUE"""),"Yes")</f>
        <v>Yes</v>
      </c>
      <c r="N403" s="5" t="str">
        <f>IFERROR(__xludf.DUMMYFUNCTION("""COMPUTED_VALUE"""),"Yes")</f>
        <v>Yes</v>
      </c>
      <c r="O403" s="5" t="str">
        <f>IFERROR(__xludf.DUMMYFUNCTION("""COMPUTED_VALUE"""),"Yes")</f>
        <v>Yes</v>
      </c>
      <c r="P403" s="5" t="str">
        <f>IFERROR(__xludf.DUMMYFUNCTION("""COMPUTED_VALUE"""),"Yes")</f>
        <v>Yes</v>
      </c>
      <c r="Q403" s="5" t="str">
        <f>IFERROR(__xludf.DUMMYFUNCTION("""COMPUTED_VALUE"""),"Yes")</f>
        <v>Yes</v>
      </c>
      <c r="R403" s="5" t="str">
        <f>IFERROR(__xludf.DUMMYFUNCTION("""COMPUTED_VALUE"""),"Yes")</f>
        <v>Yes</v>
      </c>
      <c r="S403" s="5" t="str">
        <f>IFERROR(__xludf.DUMMYFUNCTION("""COMPUTED_VALUE"""),"Yes")</f>
        <v>Yes</v>
      </c>
      <c r="T403" s="5" t="str">
        <f>IFERROR(__xludf.DUMMYFUNCTION("""COMPUTED_VALUE"""),"No")</f>
        <v>No</v>
      </c>
      <c r="U403" s="5" t="str">
        <f>IFERROR(__xludf.DUMMYFUNCTION("""COMPUTED_VALUE"""),"No")</f>
        <v>No</v>
      </c>
      <c r="V403" s="5" t="str">
        <f>IFERROR(__xludf.DUMMYFUNCTION("""COMPUTED_VALUE"""),"No")</f>
        <v>No</v>
      </c>
      <c r="W403" s="5" t="str">
        <f>IFERROR(__xludf.DUMMYFUNCTION("""COMPUTED_VALUE"""),"No")</f>
        <v>No</v>
      </c>
      <c r="X403" s="5"/>
      <c r="Y403" s="5"/>
      <c r="Z403" s="5"/>
      <c r="AA403" s="5"/>
      <c r="AB403" s="5"/>
      <c r="AC403" s="5" t="str">
        <f>IFERROR(__xludf.DUMMYFUNCTION("""COMPUTED_VALUE"""),"No")</f>
        <v>No</v>
      </c>
      <c r="AD403" s="5"/>
      <c r="AE403" s="5"/>
      <c r="AF403" s="5" t="str">
        <f>IFERROR(__xludf.DUMMYFUNCTION("""COMPUTED_VALUE"""),"Yes")</f>
        <v>Yes</v>
      </c>
      <c r="AG403" s="5"/>
      <c r="AH403" s="5" t="str">
        <f>IFERROR(__xludf.DUMMYFUNCTION("""COMPUTED_VALUE"""),"Yes")</f>
        <v>Yes</v>
      </c>
      <c r="AI403" s="5"/>
      <c r="AJ403" s="5"/>
      <c r="AK403" s="5"/>
      <c r="AL403" s="5"/>
      <c r="AM403" s="5"/>
      <c r="AN403" s="5"/>
      <c r="AO403" s="5"/>
      <c r="AP403" s="5"/>
      <c r="AQ403" s="5"/>
      <c r="AR403" s="5"/>
      <c r="AS403" s="5"/>
      <c r="AT403" s="5"/>
      <c r="AU403" s="5"/>
      <c r="AV403" s="5"/>
      <c r="AW403" s="5"/>
      <c r="AX403" s="5"/>
      <c r="AY403" s="5"/>
    </row>
    <row r="404">
      <c r="A404" s="5" t="str">
        <f>IFERROR(__xludf.DUMMYFUNCTION("""COMPUTED_VALUE"""),"English(""eng""), Serbian(""""srp"",""srb""""), Montenegrian(""mne""), Bulgarian(""bul""), Spanish(""spa""), Portuguese(""por""), Italian(""ita""), Romanian(""rum/ron""), Croatian(""hrv""), French(""fre/fra""), German(""ger/deu""), Dutch(""dut/nld""), Tur"&amp;"kish(""tur""), Greek(""gre/ell""), Russian(""rus""), Social English(""sen""), Ukrainian(""ukr""), Chinese(""zho/chi"")")</f>
        <v>English("eng"), Serbian(""srp","srb""), Montenegrian("mne"), Bulgarian("bul"), Spanish("spa"), Portuguese("por"), Italian("ita"), Romanian("rum/ron"), Croatian("hrv"), French("fre/fra"), German("ger/deu"), Dutch("dut/nld"), Turkish("tur"), Greek("gre/ell"), Russian("rus"), Social English("sen"), Ukrainian("ukr"), Chinese("zho/chi")</v>
      </c>
      <c r="B404" s="5">
        <f>IFERROR(__xludf.DUMMYFUNCTION("""COMPUTED_VALUE"""),415.0)</f>
        <v>415</v>
      </c>
      <c r="C404" s="5">
        <f>IFERROR(__xludf.DUMMYFUNCTION("""COMPUTED_VALUE"""),391.0)</f>
        <v>391</v>
      </c>
      <c r="D404" s="5" t="str">
        <f>IFERROR(__xludf.DUMMYFUNCTION("""COMPUTED_VALUE"""),"PlayNetDiamondHeartX2")</f>
        <v>PlayNetDiamondHeartX2</v>
      </c>
      <c r="E404" s="5" t="str">
        <f>IFERROR(__xludf.DUMMYFUNCTION("""COMPUTED_VALUE"""),"Yes")</f>
        <v>Yes</v>
      </c>
      <c r="F404" s="5" t="str">
        <f>IFERROR(__xludf.DUMMYFUNCTION("""COMPUTED_VALUE"""),"Yes")</f>
        <v>Yes</v>
      </c>
      <c r="G404" s="5" t="str">
        <f>IFERROR(__xludf.DUMMYFUNCTION("""COMPUTED_VALUE"""),"Yes")</f>
        <v>Yes</v>
      </c>
      <c r="H404" s="5" t="str">
        <f>IFERROR(__xludf.DUMMYFUNCTION("""COMPUTED_VALUE"""),"Yes")</f>
        <v>Yes</v>
      </c>
      <c r="I404" s="5" t="str">
        <f>IFERROR(__xludf.DUMMYFUNCTION("""COMPUTED_VALUE"""),"Yes")</f>
        <v>Yes</v>
      </c>
      <c r="J404" s="5" t="str">
        <f>IFERROR(__xludf.DUMMYFUNCTION("""COMPUTED_VALUE"""),"Yes")</f>
        <v>Yes</v>
      </c>
      <c r="K404" s="5" t="str">
        <f>IFERROR(__xludf.DUMMYFUNCTION("""COMPUTED_VALUE"""),"Yes")</f>
        <v>Yes</v>
      </c>
      <c r="L404" s="5" t="str">
        <f>IFERROR(__xludf.DUMMYFUNCTION("""COMPUTED_VALUE"""),"Yes")</f>
        <v>Yes</v>
      </c>
      <c r="M404" s="5" t="str">
        <f>IFERROR(__xludf.DUMMYFUNCTION("""COMPUTED_VALUE"""),"Yes")</f>
        <v>Yes</v>
      </c>
      <c r="N404" s="5" t="str">
        <f>IFERROR(__xludf.DUMMYFUNCTION("""COMPUTED_VALUE"""),"Yes")</f>
        <v>Yes</v>
      </c>
      <c r="O404" s="5" t="str">
        <f>IFERROR(__xludf.DUMMYFUNCTION("""COMPUTED_VALUE"""),"Yes")</f>
        <v>Yes</v>
      </c>
      <c r="P404" s="5" t="str">
        <f>IFERROR(__xludf.DUMMYFUNCTION("""COMPUTED_VALUE"""),"Yes")</f>
        <v>Yes</v>
      </c>
      <c r="Q404" s="5" t="str">
        <f>IFERROR(__xludf.DUMMYFUNCTION("""COMPUTED_VALUE"""),"Yes")</f>
        <v>Yes</v>
      </c>
      <c r="R404" s="5" t="str">
        <f>IFERROR(__xludf.DUMMYFUNCTION("""COMPUTED_VALUE"""),"Yes")</f>
        <v>Yes</v>
      </c>
      <c r="S404" s="5" t="str">
        <f>IFERROR(__xludf.DUMMYFUNCTION("""COMPUTED_VALUE"""),"Yes")</f>
        <v>Yes</v>
      </c>
      <c r="T404" s="5" t="str">
        <f>IFERROR(__xludf.DUMMYFUNCTION("""COMPUTED_VALUE"""),"No")</f>
        <v>No</v>
      </c>
      <c r="U404" s="5" t="str">
        <f>IFERROR(__xludf.DUMMYFUNCTION("""COMPUTED_VALUE"""),"No")</f>
        <v>No</v>
      </c>
      <c r="V404" s="5" t="str">
        <f>IFERROR(__xludf.DUMMYFUNCTION("""COMPUTED_VALUE"""),"No")</f>
        <v>No</v>
      </c>
      <c r="W404" s="5" t="str">
        <f>IFERROR(__xludf.DUMMYFUNCTION("""COMPUTED_VALUE"""),"No")</f>
        <v>No</v>
      </c>
      <c r="X404" s="5" t="str">
        <f>IFERROR(__xludf.DUMMYFUNCTION("""COMPUTED_VALUE"""),"No")</f>
        <v>No</v>
      </c>
      <c r="Y404" s="5" t="str">
        <f>IFERROR(__xludf.DUMMYFUNCTION("""COMPUTED_VALUE"""),"Yes")</f>
        <v>Yes</v>
      </c>
      <c r="Z404" s="5"/>
      <c r="AA404" s="5"/>
      <c r="AB404" s="5" t="str">
        <f>IFERROR(__xludf.DUMMYFUNCTION("""COMPUTED_VALUE"""),"No")</f>
        <v>No</v>
      </c>
      <c r="AC404" s="5" t="str">
        <f>IFERROR(__xludf.DUMMYFUNCTION("""COMPUTED_VALUE"""),"No")</f>
        <v>No</v>
      </c>
      <c r="AD404" s="5"/>
      <c r="AE404" s="5"/>
      <c r="AF404" s="5" t="str">
        <f>IFERROR(__xludf.DUMMYFUNCTION("""COMPUTED_VALUE"""),"Yes")</f>
        <v>Yes</v>
      </c>
      <c r="AG404" s="5"/>
      <c r="AH404" s="5" t="str">
        <f>IFERROR(__xludf.DUMMYFUNCTION("""COMPUTED_VALUE"""),"Yes")</f>
        <v>Yes</v>
      </c>
      <c r="AI404" s="5"/>
      <c r="AJ404" s="5"/>
      <c r="AK404" s="5"/>
      <c r="AL404" s="5"/>
      <c r="AM404" s="5"/>
      <c r="AN404" s="5"/>
      <c r="AO404" s="5"/>
      <c r="AP404" s="5"/>
      <c r="AQ404" s="5"/>
      <c r="AR404" s="5"/>
      <c r="AS404" s="5"/>
      <c r="AT404" s="5"/>
      <c r="AU404" s="5"/>
      <c r="AV404" s="5"/>
      <c r="AW404" s="5"/>
      <c r="AX404" s="5"/>
      <c r="AY404" s="5"/>
    </row>
    <row r="405">
      <c r="A405"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5" s="5">
        <f>IFERROR(__xludf.DUMMYFUNCTION("""COMPUTED_VALUE"""),416.0)</f>
        <v>416</v>
      </c>
      <c r="C405" s="5">
        <f>IFERROR(__xludf.DUMMYFUNCTION("""COMPUTED_VALUE"""),392.0)</f>
        <v>392</v>
      </c>
      <c r="D405" s="5" t="str">
        <f>IFERROR(__xludf.DUMMYFUNCTION("""COMPUTED_VALUE"""),"PlayNetFortuneClover100")</f>
        <v>PlayNetFortuneClover100</v>
      </c>
      <c r="E405" s="5" t="str">
        <f>IFERROR(__xludf.DUMMYFUNCTION("""COMPUTED_VALUE"""),"Yes")</f>
        <v>Yes</v>
      </c>
      <c r="F405" s="5" t="str">
        <f>IFERROR(__xludf.DUMMYFUNCTION("""COMPUTED_VALUE"""),"Yes")</f>
        <v>Yes</v>
      </c>
      <c r="G405" s="5" t="str">
        <f>IFERROR(__xludf.DUMMYFUNCTION("""COMPUTED_VALUE"""),"Yes")</f>
        <v>Yes</v>
      </c>
      <c r="H405" s="5" t="str">
        <f>IFERROR(__xludf.DUMMYFUNCTION("""COMPUTED_VALUE"""),"Yes")</f>
        <v>Yes</v>
      </c>
      <c r="I405" s="5" t="str">
        <f>IFERROR(__xludf.DUMMYFUNCTION("""COMPUTED_VALUE"""),"Yes")</f>
        <v>Yes</v>
      </c>
      <c r="J405" s="5" t="str">
        <f>IFERROR(__xludf.DUMMYFUNCTION("""COMPUTED_VALUE"""),"Yes")</f>
        <v>Yes</v>
      </c>
      <c r="K405" s="5" t="str">
        <f>IFERROR(__xludf.DUMMYFUNCTION("""COMPUTED_VALUE"""),"Yes")</f>
        <v>Yes</v>
      </c>
      <c r="L405" s="5" t="str">
        <f>IFERROR(__xludf.DUMMYFUNCTION("""COMPUTED_VALUE"""),"Yes")</f>
        <v>Yes</v>
      </c>
      <c r="M405" s="5" t="str">
        <f>IFERROR(__xludf.DUMMYFUNCTION("""COMPUTED_VALUE"""),"Yes")</f>
        <v>Yes</v>
      </c>
      <c r="N405" s="5" t="str">
        <f>IFERROR(__xludf.DUMMYFUNCTION("""COMPUTED_VALUE"""),"Yes")</f>
        <v>Yes</v>
      </c>
      <c r="O405" s="5" t="str">
        <f>IFERROR(__xludf.DUMMYFUNCTION("""COMPUTED_VALUE"""),"Yes")</f>
        <v>Yes</v>
      </c>
      <c r="P405" s="5" t="str">
        <f>IFERROR(__xludf.DUMMYFUNCTION("""COMPUTED_VALUE"""),"Yes")</f>
        <v>Yes</v>
      </c>
      <c r="Q405" s="5" t="str">
        <f>IFERROR(__xludf.DUMMYFUNCTION("""COMPUTED_VALUE"""),"Yes")</f>
        <v>Yes</v>
      </c>
      <c r="R405" s="5" t="str">
        <f>IFERROR(__xludf.DUMMYFUNCTION("""COMPUTED_VALUE"""),"Yes")</f>
        <v>Yes</v>
      </c>
      <c r="S405" s="5" t="str">
        <f>IFERROR(__xludf.DUMMYFUNCTION("""COMPUTED_VALUE"""),"Yes")</f>
        <v>Yes</v>
      </c>
      <c r="T405" s="5" t="str">
        <f>IFERROR(__xludf.DUMMYFUNCTION("""COMPUTED_VALUE"""),"No")</f>
        <v>No</v>
      </c>
      <c r="U405" s="5" t="str">
        <f>IFERROR(__xludf.DUMMYFUNCTION("""COMPUTED_VALUE"""),"No")</f>
        <v>No</v>
      </c>
      <c r="V405" s="5" t="str">
        <f>IFERROR(__xludf.DUMMYFUNCTION("""COMPUTED_VALUE"""),"No")</f>
        <v>No</v>
      </c>
      <c r="W405" s="5" t="str">
        <f>IFERROR(__xludf.DUMMYFUNCTION("""COMPUTED_VALUE"""),"No")</f>
        <v>No</v>
      </c>
      <c r="X405" s="5"/>
      <c r="Y405" s="5"/>
      <c r="Z405" s="5"/>
      <c r="AA405" s="5"/>
      <c r="AB405" s="5"/>
      <c r="AC405" s="5" t="str">
        <f>IFERROR(__xludf.DUMMYFUNCTION("""COMPUTED_VALUE"""),"No")</f>
        <v>No</v>
      </c>
      <c r="AD405" s="5"/>
      <c r="AE405" s="5"/>
      <c r="AF405" s="5" t="str">
        <f>IFERROR(__xludf.DUMMYFUNCTION("""COMPUTED_VALUE"""),"Yes")</f>
        <v>Yes</v>
      </c>
      <c r="AG405" s="5"/>
      <c r="AH405" s="5" t="str">
        <f>IFERROR(__xludf.DUMMYFUNCTION("""COMPUTED_VALUE"""),"Yes")</f>
        <v>Yes</v>
      </c>
      <c r="AI405" s="5"/>
      <c r="AJ405" s="5"/>
      <c r="AK405" s="5"/>
      <c r="AL405" s="5"/>
      <c r="AM405" s="5"/>
      <c r="AN405" s="5"/>
      <c r="AO405" s="5"/>
      <c r="AP405" s="5"/>
      <c r="AQ405" s="5"/>
      <c r="AR405" s="5"/>
      <c r="AS405" s="5"/>
      <c r="AT405" s="5"/>
      <c r="AU405" s="5"/>
      <c r="AV405" s="5"/>
      <c r="AW405" s="5"/>
      <c r="AX405" s="5"/>
      <c r="AY405" s="5"/>
    </row>
    <row r="406">
      <c r="A4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6" s="5">
        <f>IFERROR(__xludf.DUMMYFUNCTION("""COMPUTED_VALUE"""),417.0)</f>
        <v>417</v>
      </c>
      <c r="C406" s="5">
        <f>IFERROR(__xludf.DUMMYFUNCTION("""COMPUTED_VALUE"""),180002.0)</f>
        <v>180002</v>
      </c>
      <c r="D406" s="5" t="str">
        <f>IFERROR(__xludf.DUMMYFUNCTION("""COMPUTED_VALUE"""),"RedstoneCosmicSevens")</f>
        <v>RedstoneCosmicSevens</v>
      </c>
      <c r="E406" s="5" t="str">
        <f>IFERROR(__xludf.DUMMYFUNCTION("""COMPUTED_VALUE"""),"Yes")</f>
        <v>Yes</v>
      </c>
      <c r="F406" s="5" t="str">
        <f>IFERROR(__xludf.DUMMYFUNCTION("""COMPUTED_VALUE"""),"Yes")</f>
        <v>Yes</v>
      </c>
      <c r="G406" s="5" t="str">
        <f>IFERROR(__xludf.DUMMYFUNCTION("""COMPUTED_VALUE"""),"Yes")</f>
        <v>Yes</v>
      </c>
      <c r="H406" s="5" t="str">
        <f>IFERROR(__xludf.DUMMYFUNCTION("""COMPUTED_VALUE"""),"Yes")</f>
        <v>Yes</v>
      </c>
      <c r="I406" s="5" t="str">
        <f>IFERROR(__xludf.DUMMYFUNCTION("""COMPUTED_VALUE"""),"Yes")</f>
        <v>Yes</v>
      </c>
      <c r="J406" s="5" t="str">
        <f>IFERROR(__xludf.DUMMYFUNCTION("""COMPUTED_VALUE"""),"Yes")</f>
        <v>Yes</v>
      </c>
      <c r="K406" s="5" t="str">
        <f>IFERROR(__xludf.DUMMYFUNCTION("""COMPUTED_VALUE"""),"Yes")</f>
        <v>Yes</v>
      </c>
      <c r="L406" s="5" t="str">
        <f>IFERROR(__xludf.DUMMYFUNCTION("""COMPUTED_VALUE"""),"Yes")</f>
        <v>Yes</v>
      </c>
      <c r="M406" s="5" t="str">
        <f>IFERROR(__xludf.DUMMYFUNCTION("""COMPUTED_VALUE"""),"Yes")</f>
        <v>Yes</v>
      </c>
      <c r="N406" s="5" t="str">
        <f>IFERROR(__xludf.DUMMYFUNCTION("""COMPUTED_VALUE"""),"Yes")</f>
        <v>Yes</v>
      </c>
      <c r="O406" s="5" t="str">
        <f>IFERROR(__xludf.DUMMYFUNCTION("""COMPUTED_VALUE"""),"Yes")</f>
        <v>Yes</v>
      </c>
      <c r="P406" s="5" t="str">
        <f>IFERROR(__xludf.DUMMYFUNCTION("""COMPUTED_VALUE"""),"Yes")</f>
        <v>Yes</v>
      </c>
      <c r="Q406" s="5" t="str">
        <f>IFERROR(__xludf.DUMMYFUNCTION("""COMPUTED_VALUE"""),"Yes")</f>
        <v>Yes</v>
      </c>
      <c r="R406" s="5" t="str">
        <f>IFERROR(__xludf.DUMMYFUNCTION("""COMPUTED_VALUE"""),"Yes")</f>
        <v>Yes</v>
      </c>
      <c r="S406" s="5" t="str">
        <f>IFERROR(__xludf.DUMMYFUNCTION("""COMPUTED_VALUE"""),"Yes")</f>
        <v>Yes</v>
      </c>
      <c r="T406" s="5" t="str">
        <f>IFERROR(__xludf.DUMMYFUNCTION("""COMPUTED_VALUE"""),"Yes")</f>
        <v>Yes</v>
      </c>
      <c r="U406" s="5" t="str">
        <f>IFERROR(__xludf.DUMMYFUNCTION("""COMPUTED_VALUE"""),"Yes")</f>
        <v>Yes</v>
      </c>
      <c r="V406" s="5" t="str">
        <f>IFERROR(__xludf.DUMMYFUNCTION("""COMPUTED_VALUE"""),"Yes")</f>
        <v>Yes</v>
      </c>
      <c r="W406" s="5" t="str">
        <f>IFERROR(__xludf.DUMMYFUNCTION("""COMPUTED_VALUE"""),"Yes")</f>
        <v>Yes</v>
      </c>
      <c r="X406" s="5"/>
      <c r="Y406" s="5"/>
      <c r="Z406" s="5"/>
      <c r="AA406" s="5"/>
      <c r="AB406" s="5"/>
      <c r="AC406" s="5" t="str">
        <f>IFERROR(__xludf.DUMMYFUNCTION("""COMPUTED_VALUE"""),"Yes")</f>
        <v>Yes</v>
      </c>
      <c r="AD406" s="5"/>
      <c r="AE406" s="5"/>
      <c r="AF406" s="5"/>
      <c r="AG406" s="5"/>
      <c r="AH406" s="5"/>
      <c r="AI406" s="5"/>
      <c r="AJ406" s="5"/>
      <c r="AK406" s="5"/>
      <c r="AL406" s="5"/>
      <c r="AM406" s="5"/>
      <c r="AN406" s="5"/>
      <c r="AO406" s="5"/>
      <c r="AP406" s="5"/>
      <c r="AQ406" s="5"/>
      <c r="AR406" s="5"/>
      <c r="AS406" s="5"/>
      <c r="AT406" s="5"/>
      <c r="AU406" s="5"/>
      <c r="AV406" s="5"/>
      <c r="AW406" s="5"/>
      <c r="AX406" s="5"/>
      <c r="AY406" s="5"/>
    </row>
    <row r="407">
      <c r="A407"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7" s="5">
        <f>IFERROR(__xludf.DUMMYFUNCTION("""COMPUTED_VALUE"""),418.0)</f>
        <v>418</v>
      </c>
      <c r="C407" s="5">
        <f>IFERROR(__xludf.DUMMYFUNCTION("""COMPUTED_VALUE"""),369.0)</f>
        <v>369</v>
      </c>
      <c r="D407" s="5" t="str">
        <f>IFERROR(__xludf.DUMMYFUNCTION("""COMPUTED_VALUE"""),"Unicorn20HotStrikeDiceJackpot")</f>
        <v>Unicorn20HotStrikeDiceJackpot</v>
      </c>
      <c r="E407" s="5" t="str">
        <f>IFERROR(__xludf.DUMMYFUNCTION("""COMPUTED_VALUE"""),"Yes")</f>
        <v>Yes</v>
      </c>
      <c r="F407" s="5" t="str">
        <f>IFERROR(__xludf.DUMMYFUNCTION("""COMPUTED_VALUE"""),"Yes")</f>
        <v>Yes</v>
      </c>
      <c r="G407" s="5" t="str">
        <f>IFERROR(__xludf.DUMMYFUNCTION("""COMPUTED_VALUE"""),"No")</f>
        <v>No</v>
      </c>
      <c r="H407" s="5" t="str">
        <f>IFERROR(__xludf.DUMMYFUNCTION("""COMPUTED_VALUE"""),"Yes")</f>
        <v>Yes</v>
      </c>
      <c r="I407" s="5" t="str">
        <f>IFERROR(__xludf.DUMMYFUNCTION("""COMPUTED_VALUE"""),"Yes")</f>
        <v>Yes</v>
      </c>
      <c r="J407" s="5" t="str">
        <f>IFERROR(__xludf.DUMMYFUNCTION("""COMPUTED_VALUE"""),"Yes")</f>
        <v>Yes</v>
      </c>
      <c r="K407" s="5" t="str">
        <f>IFERROR(__xludf.DUMMYFUNCTION("""COMPUTED_VALUE"""),"Yes")</f>
        <v>Yes</v>
      </c>
      <c r="L407" s="5" t="str">
        <f>IFERROR(__xludf.DUMMYFUNCTION("""COMPUTED_VALUE"""),"Yes")</f>
        <v>Yes</v>
      </c>
      <c r="M407" s="5" t="str">
        <f>IFERROR(__xludf.DUMMYFUNCTION("""COMPUTED_VALUE"""),"Yes")</f>
        <v>Yes</v>
      </c>
      <c r="N407" s="5" t="str">
        <f>IFERROR(__xludf.DUMMYFUNCTION("""COMPUTED_VALUE"""),"Yes")</f>
        <v>Yes</v>
      </c>
      <c r="O407" s="5" t="str">
        <f>IFERROR(__xludf.DUMMYFUNCTION("""COMPUTED_VALUE"""),"Yes")</f>
        <v>Yes</v>
      </c>
      <c r="P407" s="5" t="str">
        <f>IFERROR(__xludf.DUMMYFUNCTION("""COMPUTED_VALUE"""),"Yes")</f>
        <v>Yes</v>
      </c>
      <c r="Q407" s="5" t="str">
        <f>IFERROR(__xludf.DUMMYFUNCTION("""COMPUTED_VALUE"""),"Yes")</f>
        <v>Yes</v>
      </c>
      <c r="R407" s="5" t="str">
        <f>IFERROR(__xludf.DUMMYFUNCTION("""COMPUTED_VALUE"""),"Yes")</f>
        <v>Yes</v>
      </c>
      <c r="S407" s="5" t="str">
        <f>IFERROR(__xludf.DUMMYFUNCTION("""COMPUTED_VALUE"""),"Yes")</f>
        <v>Yes</v>
      </c>
      <c r="T407" s="5" t="str">
        <f>IFERROR(__xludf.DUMMYFUNCTION("""COMPUTED_VALUE"""),"No")</f>
        <v>No</v>
      </c>
      <c r="U407" s="5" t="str">
        <f>IFERROR(__xludf.DUMMYFUNCTION("""COMPUTED_VALUE"""),"No")</f>
        <v>No</v>
      </c>
      <c r="V407" s="5" t="str">
        <f>IFERROR(__xludf.DUMMYFUNCTION("""COMPUTED_VALUE"""),"No")</f>
        <v>No</v>
      </c>
      <c r="W407" s="5" t="str">
        <f>IFERROR(__xludf.DUMMYFUNCTION("""COMPUTED_VALUE"""),"No")</f>
        <v>No</v>
      </c>
      <c r="X407" s="5" t="str">
        <f>IFERROR(__xludf.DUMMYFUNCTION("""COMPUTED_VALUE"""),"No")</f>
        <v>No</v>
      </c>
      <c r="Y407" s="5" t="str">
        <f>IFERROR(__xludf.DUMMYFUNCTION("""COMPUTED_VALUE"""),"No")</f>
        <v>No</v>
      </c>
      <c r="Z407" s="5" t="str">
        <f>IFERROR(__xludf.DUMMYFUNCTION("""COMPUTED_VALUE"""),"No")</f>
        <v>No</v>
      </c>
      <c r="AA407" s="5" t="str">
        <f>IFERROR(__xludf.DUMMYFUNCTION("""COMPUTED_VALUE"""),"Yes")</f>
        <v>Yes</v>
      </c>
      <c r="AB407" s="5" t="str">
        <f>IFERROR(__xludf.DUMMYFUNCTION("""COMPUTED_VALUE"""),"No")</f>
        <v>No</v>
      </c>
      <c r="AC407" s="5" t="str">
        <f>IFERROR(__xludf.DUMMYFUNCTION("""COMPUTED_VALUE"""),"No")</f>
        <v>No</v>
      </c>
      <c r="AD407" s="5" t="str">
        <f>IFERROR(__xludf.DUMMYFUNCTION("""COMPUTED_VALUE"""),"No")</f>
        <v>No</v>
      </c>
      <c r="AE407" s="5" t="str">
        <f>IFERROR(__xludf.DUMMYFUNCTION("""COMPUTED_VALUE"""),"No")</f>
        <v>No</v>
      </c>
      <c r="AF407" s="5" t="str">
        <f>IFERROR(__xludf.DUMMYFUNCTION("""COMPUTED_VALUE"""),"Yes")</f>
        <v>Yes</v>
      </c>
      <c r="AG407" s="5" t="str">
        <f>IFERROR(__xludf.DUMMYFUNCTION("""COMPUTED_VALUE"""),"No")</f>
        <v>No</v>
      </c>
      <c r="AH407" s="5" t="str">
        <f>IFERROR(__xludf.DUMMYFUNCTION("""COMPUTED_VALUE"""),"Yes")</f>
        <v>Yes</v>
      </c>
      <c r="AI407" s="5" t="str">
        <f>IFERROR(__xludf.DUMMYFUNCTION("""COMPUTED_VALUE"""),"No")</f>
        <v>No</v>
      </c>
      <c r="AJ407" s="5" t="str">
        <f>IFERROR(__xludf.DUMMYFUNCTION("""COMPUTED_VALUE"""),"No")</f>
        <v>No</v>
      </c>
      <c r="AK407" s="5" t="str">
        <f>IFERROR(__xludf.DUMMYFUNCTION("""COMPUTED_VALUE"""),"No")</f>
        <v>No</v>
      </c>
      <c r="AL407" s="5" t="str">
        <f>IFERROR(__xludf.DUMMYFUNCTION("""COMPUTED_VALUE"""),"No")</f>
        <v>No</v>
      </c>
      <c r="AM407" s="5"/>
      <c r="AN407" s="5"/>
      <c r="AO407" s="5"/>
      <c r="AP407" s="5"/>
      <c r="AQ407" s="5"/>
      <c r="AR407" s="5"/>
      <c r="AS407" s="5"/>
      <c r="AT407" s="5"/>
      <c r="AU407" s="5"/>
      <c r="AV407" s="5"/>
      <c r="AW407" s="5"/>
      <c r="AX407" s="5"/>
      <c r="AY407" s="5"/>
    </row>
    <row r="408">
      <c r="A4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8" s="5">
        <f>IFERROR(__xludf.DUMMYFUNCTION("""COMPUTED_VALUE"""),419.0)</f>
        <v>419</v>
      </c>
      <c r="C408" s="5">
        <f>IFERROR(__xludf.DUMMYFUNCTION("""COMPUTED_VALUE"""),389.0)</f>
        <v>389</v>
      </c>
      <c r="D408" s="5" t="str">
        <f>IFERROR(__xludf.DUMMYFUNCTION("""COMPUTED_VALUE"""),"UnicornDiceMachine")</f>
        <v>UnicornDiceMachine</v>
      </c>
      <c r="E408" s="5" t="str">
        <f>IFERROR(__xludf.DUMMYFUNCTION("""COMPUTED_VALUE"""),"Yes")</f>
        <v>Yes</v>
      </c>
      <c r="F408" s="5" t="str">
        <f>IFERROR(__xludf.DUMMYFUNCTION("""COMPUTED_VALUE"""),"Yes")</f>
        <v>Yes</v>
      </c>
      <c r="G408" s="5" t="str">
        <f>IFERROR(__xludf.DUMMYFUNCTION("""COMPUTED_VALUE"""),"Yes")</f>
        <v>Yes</v>
      </c>
      <c r="H408" s="5" t="str">
        <f>IFERROR(__xludf.DUMMYFUNCTION("""COMPUTED_VALUE"""),"Yes")</f>
        <v>Yes</v>
      </c>
      <c r="I408" s="5" t="str">
        <f>IFERROR(__xludf.DUMMYFUNCTION("""COMPUTED_VALUE"""),"Yes")</f>
        <v>Yes</v>
      </c>
      <c r="J408" s="5" t="str">
        <f>IFERROR(__xludf.DUMMYFUNCTION("""COMPUTED_VALUE"""),"Yes")</f>
        <v>Yes</v>
      </c>
      <c r="K408" s="5" t="str">
        <f>IFERROR(__xludf.DUMMYFUNCTION("""COMPUTED_VALUE"""),"Yes")</f>
        <v>Yes</v>
      </c>
      <c r="L408" s="5" t="str">
        <f>IFERROR(__xludf.DUMMYFUNCTION("""COMPUTED_VALUE"""),"Yes")</f>
        <v>Yes</v>
      </c>
      <c r="M408" s="5" t="str">
        <f>IFERROR(__xludf.DUMMYFUNCTION("""COMPUTED_VALUE"""),"Yes")</f>
        <v>Yes</v>
      </c>
      <c r="N408" s="5" t="str">
        <f>IFERROR(__xludf.DUMMYFUNCTION("""COMPUTED_VALUE"""),"Yes")</f>
        <v>Yes</v>
      </c>
      <c r="O408" s="5" t="str">
        <f>IFERROR(__xludf.DUMMYFUNCTION("""COMPUTED_VALUE"""),"Yes")</f>
        <v>Yes</v>
      </c>
      <c r="P408" s="5" t="str">
        <f>IFERROR(__xludf.DUMMYFUNCTION("""COMPUTED_VALUE"""),"Yes")</f>
        <v>Yes</v>
      </c>
      <c r="Q408" s="5" t="str">
        <f>IFERROR(__xludf.DUMMYFUNCTION("""COMPUTED_VALUE"""),"Yes")</f>
        <v>Yes</v>
      </c>
      <c r="R408" s="5" t="str">
        <f>IFERROR(__xludf.DUMMYFUNCTION("""COMPUTED_VALUE"""),"Yes")</f>
        <v>Yes</v>
      </c>
      <c r="S408" s="5" t="str">
        <f>IFERROR(__xludf.DUMMYFUNCTION("""COMPUTED_VALUE"""),"Yes")</f>
        <v>Yes</v>
      </c>
      <c r="T408" s="5" t="str">
        <f>IFERROR(__xludf.DUMMYFUNCTION("""COMPUTED_VALUE"""),"Yes")</f>
        <v>Yes</v>
      </c>
      <c r="U408" s="5" t="str">
        <f>IFERROR(__xludf.DUMMYFUNCTION("""COMPUTED_VALUE"""),"Yes")</f>
        <v>Yes</v>
      </c>
      <c r="V408" s="5" t="str">
        <f>IFERROR(__xludf.DUMMYFUNCTION("""COMPUTED_VALUE"""),"Yes")</f>
        <v>Yes</v>
      </c>
      <c r="W408" s="5" t="str">
        <f>IFERROR(__xludf.DUMMYFUNCTION("""COMPUTED_VALUE"""),"Yes")</f>
        <v>Yes</v>
      </c>
      <c r="X408" s="5"/>
      <c r="Y408" s="5"/>
      <c r="Z408" s="5"/>
      <c r="AA408" s="5"/>
      <c r="AB408" s="5"/>
      <c r="AC408" s="5" t="str">
        <f>IFERROR(__xludf.DUMMYFUNCTION("""COMPUTED_VALUE"""),"Yes")</f>
        <v>Yes</v>
      </c>
      <c r="AD408" s="5"/>
      <c r="AE408" s="5"/>
      <c r="AF408" s="5"/>
      <c r="AG408" s="5"/>
      <c r="AH408" s="5"/>
      <c r="AI408" s="5"/>
      <c r="AJ408" s="5"/>
      <c r="AK408" s="5"/>
      <c r="AL408" s="5"/>
      <c r="AM408" s="5"/>
      <c r="AN408" s="5"/>
      <c r="AO408" s="5"/>
      <c r="AP408" s="5"/>
      <c r="AQ408" s="5"/>
      <c r="AR408" s="5"/>
      <c r="AS408" s="5"/>
      <c r="AT408" s="5"/>
      <c r="AU408" s="5"/>
      <c r="AV408" s="5"/>
      <c r="AW408" s="5"/>
      <c r="AX408" s="5"/>
      <c r="AY408" s="5"/>
    </row>
    <row r="409">
      <c r="A40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09" s="5">
        <f>IFERROR(__xludf.DUMMYFUNCTION("""COMPUTED_VALUE"""),421.0)</f>
        <v>421</v>
      </c>
      <c r="C409" s="5">
        <f>IFERROR(__xludf.DUMMYFUNCTION("""COMPUTED_VALUE"""),180004.0)</f>
        <v>180004</v>
      </c>
      <c r="D409" s="5" t="str">
        <f>IFERROR(__xludf.DUMMYFUNCTION("""COMPUTED_VALUE"""),"RedstoneCloverRoyale")</f>
        <v>RedstoneCloverRoyale</v>
      </c>
      <c r="E409" s="5" t="str">
        <f>IFERROR(__xludf.DUMMYFUNCTION("""COMPUTED_VALUE"""),"Yes")</f>
        <v>Yes</v>
      </c>
      <c r="F409" s="5" t="str">
        <f>IFERROR(__xludf.DUMMYFUNCTION("""COMPUTED_VALUE"""),"Yes")</f>
        <v>Yes</v>
      </c>
      <c r="G409" s="5" t="str">
        <f>IFERROR(__xludf.DUMMYFUNCTION("""COMPUTED_VALUE"""),"Yes")</f>
        <v>Yes</v>
      </c>
      <c r="H409" s="5" t="str">
        <f>IFERROR(__xludf.DUMMYFUNCTION("""COMPUTED_VALUE"""),"No")</f>
        <v>No</v>
      </c>
      <c r="I409" s="5" t="str">
        <f>IFERROR(__xludf.DUMMYFUNCTION("""COMPUTED_VALUE"""),"No")</f>
        <v>No</v>
      </c>
      <c r="J409" s="5" t="str">
        <f>IFERROR(__xludf.DUMMYFUNCTION("""COMPUTED_VALUE"""),"No")</f>
        <v>No</v>
      </c>
      <c r="K409" s="5" t="str">
        <f>IFERROR(__xludf.DUMMYFUNCTION("""COMPUTED_VALUE"""),"No")</f>
        <v>No</v>
      </c>
      <c r="L409" s="5" t="str">
        <f>IFERROR(__xludf.DUMMYFUNCTION("""COMPUTED_VALUE"""),"No")</f>
        <v>No</v>
      </c>
      <c r="M409" s="5" t="str">
        <f>IFERROR(__xludf.DUMMYFUNCTION("""COMPUTED_VALUE"""),"Yes")</f>
        <v>Yes</v>
      </c>
      <c r="N409" s="5" t="str">
        <f>IFERROR(__xludf.DUMMYFUNCTION("""COMPUTED_VALUE"""),"Yes")</f>
        <v>Yes</v>
      </c>
      <c r="O409" s="5" t="str">
        <f>IFERROR(__xludf.DUMMYFUNCTION("""COMPUTED_VALUE"""),"Yes")</f>
        <v>Yes</v>
      </c>
      <c r="P409" s="5" t="str">
        <f>IFERROR(__xludf.DUMMYFUNCTION("""COMPUTED_VALUE"""),"Yes")</f>
        <v>Yes</v>
      </c>
      <c r="Q409" s="5" t="str">
        <f>IFERROR(__xludf.DUMMYFUNCTION("""COMPUTED_VALUE"""),"Yes")</f>
        <v>Yes</v>
      </c>
      <c r="R409" s="5" t="str">
        <f>IFERROR(__xludf.DUMMYFUNCTION("""COMPUTED_VALUE"""),"No")</f>
        <v>No</v>
      </c>
      <c r="S409" s="5" t="str">
        <f>IFERROR(__xludf.DUMMYFUNCTION("""COMPUTED_VALUE"""),"Yes")</f>
        <v>Yes</v>
      </c>
      <c r="T409" s="5" t="str">
        <f>IFERROR(__xludf.DUMMYFUNCTION("""COMPUTED_VALUE"""),"No")</f>
        <v>No</v>
      </c>
      <c r="U409" s="5" t="str">
        <f>IFERROR(__xludf.DUMMYFUNCTION("""COMPUTED_VALUE"""),"No")</f>
        <v>No</v>
      </c>
      <c r="V409" s="5" t="str">
        <f>IFERROR(__xludf.DUMMYFUNCTION("""COMPUTED_VALUE"""),"No")</f>
        <v>No</v>
      </c>
      <c r="W409" s="5" t="str">
        <f>IFERROR(__xludf.DUMMYFUNCTION("""COMPUTED_VALUE"""),"No")</f>
        <v>No</v>
      </c>
      <c r="X409" s="5"/>
      <c r="Y409" s="5"/>
      <c r="Z409" s="5"/>
      <c r="AA409" s="5" t="str">
        <f>IFERROR(__xludf.DUMMYFUNCTION("""COMPUTED_VALUE"""),"Yes")</f>
        <v>Yes</v>
      </c>
      <c r="AB409" s="5"/>
      <c r="AC409" s="5" t="str">
        <f>IFERROR(__xludf.DUMMYFUNCTION("""COMPUTED_VALUE"""),"No")</f>
        <v>No</v>
      </c>
      <c r="AD409" s="5"/>
      <c r="AE409" s="5"/>
      <c r="AF409" s="5" t="str">
        <f>IFERROR(__xludf.DUMMYFUNCTION("""COMPUTED_VALUE"""),"Yes")</f>
        <v>Yes</v>
      </c>
      <c r="AG409" s="5"/>
      <c r="AH409" s="5"/>
      <c r="AI409" s="5"/>
      <c r="AJ409" s="5"/>
      <c r="AK409" s="5"/>
      <c r="AL409" s="5" t="str">
        <f>IFERROR(__xludf.DUMMYFUNCTION("""COMPUTED_VALUE"""),"Yes")</f>
        <v>Yes</v>
      </c>
      <c r="AM409" s="5"/>
      <c r="AN409" s="5"/>
      <c r="AO409" s="5"/>
      <c r="AP409" s="5"/>
      <c r="AQ409" s="5"/>
      <c r="AR409" s="5"/>
      <c r="AS409" s="5"/>
      <c r="AT409" s="5"/>
      <c r="AU409" s="5"/>
      <c r="AV409" s="5"/>
      <c r="AW409" s="5"/>
      <c r="AX409" s="5"/>
      <c r="AY409" s="5"/>
    </row>
    <row r="410">
      <c r="A41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0" s="5">
        <f>IFERROR(__xludf.DUMMYFUNCTION("""COMPUTED_VALUE"""),422.0)</f>
        <v>422</v>
      </c>
      <c r="C410" s="5">
        <f>IFERROR(__xludf.DUMMYFUNCTION("""COMPUTED_VALUE"""),378.0)</f>
        <v>378</v>
      </c>
      <c r="D410" s="5" t="str">
        <f>IFERROR(__xludf.DUMMYFUNCTION("""COMPUTED_VALUE"""),"UnicornThunderFruits")</f>
        <v>UnicornThunderFruits</v>
      </c>
      <c r="E410" s="5" t="str">
        <f>IFERROR(__xludf.DUMMYFUNCTION("""COMPUTED_VALUE"""),"Yes")</f>
        <v>Yes</v>
      </c>
      <c r="F410" s="5" t="str">
        <f>IFERROR(__xludf.DUMMYFUNCTION("""COMPUTED_VALUE"""),"Yes")</f>
        <v>Yes</v>
      </c>
      <c r="G410" s="5" t="str">
        <f>IFERROR(__xludf.DUMMYFUNCTION("""COMPUTED_VALUE"""),"No")</f>
        <v>No</v>
      </c>
      <c r="H410" s="5" t="str">
        <f>IFERROR(__xludf.DUMMYFUNCTION("""COMPUTED_VALUE"""),"Yes")</f>
        <v>Yes</v>
      </c>
      <c r="I410" s="5" t="str">
        <f>IFERROR(__xludf.DUMMYFUNCTION("""COMPUTED_VALUE"""),"Yes")</f>
        <v>Yes</v>
      </c>
      <c r="J410" s="5" t="str">
        <f>IFERROR(__xludf.DUMMYFUNCTION("""COMPUTED_VALUE"""),"Yes")</f>
        <v>Yes</v>
      </c>
      <c r="K410" s="5" t="str">
        <f>IFERROR(__xludf.DUMMYFUNCTION("""COMPUTED_VALUE"""),"Yes")</f>
        <v>Yes</v>
      </c>
      <c r="L410" s="5" t="str">
        <f>IFERROR(__xludf.DUMMYFUNCTION("""COMPUTED_VALUE"""),"Yes")</f>
        <v>Yes</v>
      </c>
      <c r="M410" s="5" t="str">
        <f>IFERROR(__xludf.DUMMYFUNCTION("""COMPUTED_VALUE"""),"Yes")</f>
        <v>Yes</v>
      </c>
      <c r="N410" s="5" t="str">
        <f>IFERROR(__xludf.DUMMYFUNCTION("""COMPUTED_VALUE"""),"Yes")</f>
        <v>Yes</v>
      </c>
      <c r="O410" s="5" t="str">
        <f>IFERROR(__xludf.DUMMYFUNCTION("""COMPUTED_VALUE"""),"Yes")</f>
        <v>Yes</v>
      </c>
      <c r="P410" s="5" t="str">
        <f>IFERROR(__xludf.DUMMYFUNCTION("""COMPUTED_VALUE"""),"Yes")</f>
        <v>Yes</v>
      </c>
      <c r="Q410" s="5" t="str">
        <f>IFERROR(__xludf.DUMMYFUNCTION("""COMPUTED_VALUE"""),"Yes")</f>
        <v>Yes</v>
      </c>
      <c r="R410" s="5" t="str">
        <f>IFERROR(__xludf.DUMMYFUNCTION("""COMPUTED_VALUE"""),"Yes")</f>
        <v>Yes</v>
      </c>
      <c r="S410" s="5" t="str">
        <f>IFERROR(__xludf.DUMMYFUNCTION("""COMPUTED_VALUE"""),"Yes")</f>
        <v>Yes</v>
      </c>
      <c r="T410" s="5" t="str">
        <f>IFERROR(__xludf.DUMMYFUNCTION("""COMPUTED_VALUE"""),"No")</f>
        <v>No</v>
      </c>
      <c r="U410" s="5" t="str">
        <f>IFERROR(__xludf.DUMMYFUNCTION("""COMPUTED_VALUE"""),"No")</f>
        <v>No</v>
      </c>
      <c r="V410" s="5" t="str">
        <f>IFERROR(__xludf.DUMMYFUNCTION("""COMPUTED_VALUE"""),"No")</f>
        <v>No</v>
      </c>
      <c r="W410" s="5" t="str">
        <f>IFERROR(__xludf.DUMMYFUNCTION("""COMPUTED_VALUE"""),"No")</f>
        <v>No</v>
      </c>
      <c r="X410" s="5" t="str">
        <f>IFERROR(__xludf.DUMMYFUNCTION("""COMPUTED_VALUE"""),"No")</f>
        <v>No</v>
      </c>
      <c r="Y410" s="5" t="str">
        <f>IFERROR(__xludf.DUMMYFUNCTION("""COMPUTED_VALUE"""),"No")</f>
        <v>No</v>
      </c>
      <c r="Z410" s="5" t="str">
        <f>IFERROR(__xludf.DUMMYFUNCTION("""COMPUTED_VALUE"""),"No")</f>
        <v>No</v>
      </c>
      <c r="AA410" s="5" t="str">
        <f>IFERROR(__xludf.DUMMYFUNCTION("""COMPUTED_VALUE"""),"Yes")</f>
        <v>Yes</v>
      </c>
      <c r="AB410" s="5" t="str">
        <f>IFERROR(__xludf.DUMMYFUNCTION("""COMPUTED_VALUE"""),"No")</f>
        <v>No</v>
      </c>
      <c r="AC410" s="5" t="str">
        <f>IFERROR(__xludf.DUMMYFUNCTION("""COMPUTED_VALUE"""),"No")</f>
        <v>No</v>
      </c>
      <c r="AD410" s="5" t="str">
        <f>IFERROR(__xludf.DUMMYFUNCTION("""COMPUTED_VALUE"""),"No")</f>
        <v>No</v>
      </c>
      <c r="AE410" s="5" t="str">
        <f>IFERROR(__xludf.DUMMYFUNCTION("""COMPUTED_VALUE"""),"No")</f>
        <v>No</v>
      </c>
      <c r="AF410" s="5" t="str">
        <f>IFERROR(__xludf.DUMMYFUNCTION("""COMPUTED_VALUE"""),"Yes")</f>
        <v>Yes</v>
      </c>
      <c r="AG410" s="5" t="str">
        <f>IFERROR(__xludf.DUMMYFUNCTION("""COMPUTED_VALUE"""),"No")</f>
        <v>No</v>
      </c>
      <c r="AH410" s="5" t="str">
        <f>IFERROR(__xludf.DUMMYFUNCTION("""COMPUTED_VALUE"""),"Yes")</f>
        <v>Yes</v>
      </c>
      <c r="AI410" s="5" t="str">
        <f>IFERROR(__xludf.DUMMYFUNCTION("""COMPUTED_VALUE"""),"No")</f>
        <v>No</v>
      </c>
      <c r="AJ410" s="5" t="str">
        <f>IFERROR(__xludf.DUMMYFUNCTION("""COMPUTED_VALUE"""),"No")</f>
        <v>No</v>
      </c>
      <c r="AK410" s="5" t="str">
        <f>IFERROR(__xludf.DUMMYFUNCTION("""COMPUTED_VALUE"""),"No")</f>
        <v>No</v>
      </c>
      <c r="AL410" s="5" t="str">
        <f>IFERROR(__xludf.DUMMYFUNCTION("""COMPUTED_VALUE"""),"No")</f>
        <v>No</v>
      </c>
      <c r="AM410" s="5"/>
      <c r="AN410" s="5"/>
      <c r="AO410" s="5"/>
      <c r="AP410" s="5"/>
      <c r="AQ410" s="5"/>
      <c r="AR410" s="5"/>
      <c r="AS410" s="5"/>
      <c r="AT410" s="5"/>
      <c r="AU410" s="5"/>
      <c r="AV410" s="5"/>
      <c r="AW410" s="5"/>
      <c r="AX410" s="5"/>
      <c r="AY410" s="5"/>
    </row>
    <row r="411">
      <c r="A4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1" s="5">
        <f>IFERROR(__xludf.DUMMYFUNCTION("""COMPUTED_VALUE"""),423.0)</f>
        <v>423</v>
      </c>
      <c r="C411" s="5">
        <f>IFERROR(__xludf.DUMMYFUNCTION("""COMPUTED_VALUE"""),385.0)</f>
        <v>385</v>
      </c>
      <c r="D411" s="5" t="str">
        <f>IFERROR(__xludf.DUMMYFUNCTION("""COMPUTED_VALUE"""),"UnicornEpicMegaCash")</f>
        <v>UnicornEpicMegaCash</v>
      </c>
      <c r="E411" s="5" t="str">
        <f>IFERROR(__xludf.DUMMYFUNCTION("""COMPUTED_VALUE"""),"Yes")</f>
        <v>Yes</v>
      </c>
      <c r="F411" s="5" t="str">
        <f>IFERROR(__xludf.DUMMYFUNCTION("""COMPUTED_VALUE"""),"Yes")</f>
        <v>Yes</v>
      </c>
      <c r="G411" s="5" t="str">
        <f>IFERROR(__xludf.DUMMYFUNCTION("""COMPUTED_VALUE"""),"Yes")</f>
        <v>Yes</v>
      </c>
      <c r="H411" s="5" t="str">
        <f>IFERROR(__xludf.DUMMYFUNCTION("""COMPUTED_VALUE"""),"Yes")</f>
        <v>Yes</v>
      </c>
      <c r="I411" s="5" t="str">
        <f>IFERROR(__xludf.DUMMYFUNCTION("""COMPUTED_VALUE"""),"Yes")</f>
        <v>Yes</v>
      </c>
      <c r="J411" s="5" t="str">
        <f>IFERROR(__xludf.DUMMYFUNCTION("""COMPUTED_VALUE"""),"Yes")</f>
        <v>Yes</v>
      </c>
      <c r="K411" s="5" t="str">
        <f>IFERROR(__xludf.DUMMYFUNCTION("""COMPUTED_VALUE"""),"Yes")</f>
        <v>Yes</v>
      </c>
      <c r="L411" s="5" t="str">
        <f>IFERROR(__xludf.DUMMYFUNCTION("""COMPUTED_VALUE"""),"Yes")</f>
        <v>Yes</v>
      </c>
      <c r="M411" s="5" t="str">
        <f>IFERROR(__xludf.DUMMYFUNCTION("""COMPUTED_VALUE"""),"Yes")</f>
        <v>Yes</v>
      </c>
      <c r="N411" s="5" t="str">
        <f>IFERROR(__xludf.DUMMYFUNCTION("""COMPUTED_VALUE"""),"Yes")</f>
        <v>Yes</v>
      </c>
      <c r="O411" s="5" t="str">
        <f>IFERROR(__xludf.DUMMYFUNCTION("""COMPUTED_VALUE"""),"Yes")</f>
        <v>Yes</v>
      </c>
      <c r="P411" s="5" t="str">
        <f>IFERROR(__xludf.DUMMYFUNCTION("""COMPUTED_VALUE"""),"Yes")</f>
        <v>Yes</v>
      </c>
      <c r="Q411" s="5" t="str">
        <f>IFERROR(__xludf.DUMMYFUNCTION("""COMPUTED_VALUE"""),"Yes")</f>
        <v>Yes</v>
      </c>
      <c r="R411" s="5" t="str">
        <f>IFERROR(__xludf.DUMMYFUNCTION("""COMPUTED_VALUE"""),"Yes")</f>
        <v>Yes</v>
      </c>
      <c r="S411" s="5" t="str">
        <f>IFERROR(__xludf.DUMMYFUNCTION("""COMPUTED_VALUE"""),"Yes")</f>
        <v>Yes</v>
      </c>
      <c r="T411" s="5" t="str">
        <f>IFERROR(__xludf.DUMMYFUNCTION("""COMPUTED_VALUE"""),"Yes")</f>
        <v>Yes</v>
      </c>
      <c r="U411" s="5" t="str">
        <f>IFERROR(__xludf.DUMMYFUNCTION("""COMPUTED_VALUE"""),"Yes")</f>
        <v>Yes</v>
      </c>
      <c r="V411" s="5" t="str">
        <f>IFERROR(__xludf.DUMMYFUNCTION("""COMPUTED_VALUE"""),"Yes")</f>
        <v>Yes</v>
      </c>
      <c r="W411" s="5" t="str">
        <f>IFERROR(__xludf.DUMMYFUNCTION("""COMPUTED_VALUE"""),"Yes")</f>
        <v>Yes</v>
      </c>
      <c r="X411" s="5"/>
      <c r="Y411" s="5"/>
      <c r="Z411" s="5"/>
      <c r="AA411" s="5"/>
      <c r="AB411" s="5"/>
      <c r="AC411" s="5" t="str">
        <f>IFERROR(__xludf.DUMMYFUNCTION("""COMPUTED_VALUE"""),"Yes")</f>
        <v>Yes</v>
      </c>
      <c r="AD411" s="5"/>
      <c r="AE411" s="5"/>
      <c r="AF411" s="5"/>
      <c r="AG411" s="5"/>
      <c r="AH411" s="5"/>
      <c r="AI411" s="5"/>
      <c r="AJ411" s="5"/>
      <c r="AK411" s="5"/>
      <c r="AL411" s="5"/>
      <c r="AM411" s="5"/>
      <c r="AN411" s="5"/>
      <c r="AO411" s="5"/>
      <c r="AP411" s="5"/>
      <c r="AQ411" s="5"/>
      <c r="AR411" s="5"/>
      <c r="AS411" s="5"/>
      <c r="AT411" s="5"/>
      <c r="AU411" s="5"/>
      <c r="AV411" s="5"/>
      <c r="AW411" s="5"/>
      <c r="AX411" s="5"/>
      <c r="AY411" s="5"/>
    </row>
    <row r="412">
      <c r="A41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2" s="5">
        <f>IFERROR(__xludf.DUMMYFUNCTION("""COMPUTED_VALUE"""),424.0)</f>
        <v>424</v>
      </c>
      <c r="C412" s="5">
        <f>IFERROR(__xludf.DUMMYFUNCTION("""COMPUTED_VALUE"""),180005.0)</f>
        <v>180005</v>
      </c>
      <c r="D412" s="5" t="str">
        <f>IFERROR(__xludf.DUMMYFUNCTION("""COMPUTED_VALUE"""),"RedstoneEternalHearts10")</f>
        <v>RedstoneEternalHearts10</v>
      </c>
      <c r="E412" s="5" t="str">
        <f>IFERROR(__xludf.DUMMYFUNCTION("""COMPUTED_VALUE"""),"Yes")</f>
        <v>Yes</v>
      </c>
      <c r="F412" s="5" t="str">
        <f>IFERROR(__xludf.DUMMYFUNCTION("""COMPUTED_VALUE"""),"Yes")</f>
        <v>Yes</v>
      </c>
      <c r="G412" s="5" t="str">
        <f>IFERROR(__xludf.DUMMYFUNCTION("""COMPUTED_VALUE"""),"Yes")</f>
        <v>Yes</v>
      </c>
      <c r="H412" s="5" t="str">
        <f>IFERROR(__xludf.DUMMYFUNCTION("""COMPUTED_VALUE"""),"No")</f>
        <v>No</v>
      </c>
      <c r="I412" s="5" t="str">
        <f>IFERROR(__xludf.DUMMYFUNCTION("""COMPUTED_VALUE"""),"No")</f>
        <v>No</v>
      </c>
      <c r="J412" s="5" t="str">
        <f>IFERROR(__xludf.DUMMYFUNCTION("""COMPUTED_VALUE"""),"No")</f>
        <v>No</v>
      </c>
      <c r="K412" s="5" t="str">
        <f>IFERROR(__xludf.DUMMYFUNCTION("""COMPUTED_VALUE"""),"No")</f>
        <v>No</v>
      </c>
      <c r="L412" s="5" t="str">
        <f>IFERROR(__xludf.DUMMYFUNCTION("""COMPUTED_VALUE"""),"No")</f>
        <v>No</v>
      </c>
      <c r="M412" s="5" t="str">
        <f>IFERROR(__xludf.DUMMYFUNCTION("""COMPUTED_VALUE"""),"Yes")</f>
        <v>Yes</v>
      </c>
      <c r="N412" s="5" t="str">
        <f>IFERROR(__xludf.DUMMYFUNCTION("""COMPUTED_VALUE"""),"Yes")</f>
        <v>Yes</v>
      </c>
      <c r="O412" s="5" t="str">
        <f>IFERROR(__xludf.DUMMYFUNCTION("""COMPUTED_VALUE"""),"Yes")</f>
        <v>Yes</v>
      </c>
      <c r="P412" s="5" t="str">
        <f>IFERROR(__xludf.DUMMYFUNCTION("""COMPUTED_VALUE"""),"Yes")</f>
        <v>Yes</v>
      </c>
      <c r="Q412" s="5" t="str">
        <f>IFERROR(__xludf.DUMMYFUNCTION("""COMPUTED_VALUE"""),"Yes")</f>
        <v>Yes</v>
      </c>
      <c r="R412" s="5" t="str">
        <f>IFERROR(__xludf.DUMMYFUNCTION("""COMPUTED_VALUE"""),"No")</f>
        <v>No</v>
      </c>
      <c r="S412" s="5" t="str">
        <f>IFERROR(__xludf.DUMMYFUNCTION("""COMPUTED_VALUE"""),"Yes")</f>
        <v>Yes</v>
      </c>
      <c r="T412" s="5" t="str">
        <f>IFERROR(__xludf.DUMMYFUNCTION("""COMPUTED_VALUE"""),"No")</f>
        <v>No</v>
      </c>
      <c r="U412" s="5" t="str">
        <f>IFERROR(__xludf.DUMMYFUNCTION("""COMPUTED_VALUE"""),"No")</f>
        <v>No</v>
      </c>
      <c r="V412" s="5" t="str">
        <f>IFERROR(__xludf.DUMMYFUNCTION("""COMPUTED_VALUE"""),"No")</f>
        <v>No</v>
      </c>
      <c r="W412" s="5" t="str">
        <f>IFERROR(__xludf.DUMMYFUNCTION("""COMPUTED_VALUE"""),"No")</f>
        <v>No</v>
      </c>
      <c r="X412" s="5"/>
      <c r="Y412" s="5"/>
      <c r="Z412" s="5"/>
      <c r="AA412" s="5" t="str">
        <f>IFERROR(__xludf.DUMMYFUNCTION("""COMPUTED_VALUE"""),"Yes")</f>
        <v>Yes</v>
      </c>
      <c r="AB412" s="5"/>
      <c r="AC412" s="5" t="str">
        <f>IFERROR(__xludf.DUMMYFUNCTION("""COMPUTED_VALUE"""),"No")</f>
        <v>No</v>
      </c>
      <c r="AD412" s="5"/>
      <c r="AE412" s="5"/>
      <c r="AF412" s="5" t="str">
        <f>IFERROR(__xludf.DUMMYFUNCTION("""COMPUTED_VALUE"""),"Yes")</f>
        <v>Yes</v>
      </c>
      <c r="AG412" s="5"/>
      <c r="AH412" s="5"/>
      <c r="AI412" s="5"/>
      <c r="AJ412" s="5"/>
      <c r="AK412" s="5"/>
      <c r="AL412" s="5" t="str">
        <f>IFERROR(__xludf.DUMMYFUNCTION("""COMPUTED_VALUE"""),"Yes")</f>
        <v>Yes</v>
      </c>
      <c r="AM412" s="5"/>
      <c r="AN412" s="5"/>
      <c r="AO412" s="5"/>
      <c r="AP412" s="5"/>
      <c r="AQ412" s="5"/>
      <c r="AR412" s="5"/>
      <c r="AS412" s="5"/>
      <c r="AT412" s="5"/>
      <c r="AU412" s="5"/>
      <c r="AV412" s="5"/>
      <c r="AW412" s="5"/>
      <c r="AX412" s="5"/>
      <c r="AY412" s="5"/>
    </row>
    <row r="413">
      <c r="A413"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3" s="5">
        <f>IFERROR(__xludf.DUMMYFUNCTION("""COMPUTED_VALUE"""),425.0)</f>
        <v>425</v>
      </c>
      <c r="C413" s="5">
        <f>IFERROR(__xludf.DUMMYFUNCTION("""COMPUTED_VALUE"""),180006.0)</f>
        <v>180006</v>
      </c>
      <c r="D413" s="5" t="str">
        <f>IFERROR(__xludf.DUMMYFUNCTION("""COMPUTED_VALUE"""),"RedstoneStarChaser")</f>
        <v>RedstoneStarChaser</v>
      </c>
      <c r="E413" s="5" t="str">
        <f>IFERROR(__xludf.DUMMYFUNCTION("""COMPUTED_VALUE"""),"Yes")</f>
        <v>Yes</v>
      </c>
      <c r="F413" s="5" t="str">
        <f>IFERROR(__xludf.DUMMYFUNCTION("""COMPUTED_VALUE"""),"Yes")</f>
        <v>Yes</v>
      </c>
      <c r="G413" s="5" t="str">
        <f>IFERROR(__xludf.DUMMYFUNCTION("""COMPUTED_VALUE"""),"No")</f>
        <v>No</v>
      </c>
      <c r="H413" s="5" t="str">
        <f>IFERROR(__xludf.DUMMYFUNCTION("""COMPUTED_VALUE"""),"Yes")</f>
        <v>Yes</v>
      </c>
      <c r="I413" s="5" t="str">
        <f>IFERROR(__xludf.DUMMYFUNCTION("""COMPUTED_VALUE"""),"Yes")</f>
        <v>Yes</v>
      </c>
      <c r="J413" s="5" t="str">
        <f>IFERROR(__xludf.DUMMYFUNCTION("""COMPUTED_VALUE"""),"Yes")</f>
        <v>Yes</v>
      </c>
      <c r="K413" s="5" t="str">
        <f>IFERROR(__xludf.DUMMYFUNCTION("""COMPUTED_VALUE"""),"Yes")</f>
        <v>Yes</v>
      </c>
      <c r="L413" s="5" t="str">
        <f>IFERROR(__xludf.DUMMYFUNCTION("""COMPUTED_VALUE"""),"Yes")</f>
        <v>Yes</v>
      </c>
      <c r="M413" s="5" t="str">
        <f>IFERROR(__xludf.DUMMYFUNCTION("""COMPUTED_VALUE"""),"Yes")</f>
        <v>Yes</v>
      </c>
      <c r="N413" s="5" t="str">
        <f>IFERROR(__xludf.DUMMYFUNCTION("""COMPUTED_VALUE"""),"Yes")</f>
        <v>Yes</v>
      </c>
      <c r="O413" s="5" t="str">
        <f>IFERROR(__xludf.DUMMYFUNCTION("""COMPUTED_VALUE"""),"Yes")</f>
        <v>Yes</v>
      </c>
      <c r="P413" s="5" t="str">
        <f>IFERROR(__xludf.DUMMYFUNCTION("""COMPUTED_VALUE"""),"Yes")</f>
        <v>Yes</v>
      </c>
      <c r="Q413" s="5" t="str">
        <f>IFERROR(__xludf.DUMMYFUNCTION("""COMPUTED_VALUE"""),"Yes")</f>
        <v>Yes</v>
      </c>
      <c r="R413" s="5" t="str">
        <f>IFERROR(__xludf.DUMMYFUNCTION("""COMPUTED_VALUE"""),"Yes")</f>
        <v>Yes</v>
      </c>
      <c r="S413" s="5" t="str">
        <f>IFERROR(__xludf.DUMMYFUNCTION("""COMPUTED_VALUE"""),"Yes")</f>
        <v>Yes</v>
      </c>
      <c r="T413" s="5" t="str">
        <f>IFERROR(__xludf.DUMMYFUNCTION("""COMPUTED_VALUE"""),"No")</f>
        <v>No</v>
      </c>
      <c r="U413" s="5" t="str">
        <f>IFERROR(__xludf.DUMMYFUNCTION("""COMPUTED_VALUE"""),"No")</f>
        <v>No</v>
      </c>
      <c r="V413" s="5" t="str">
        <f>IFERROR(__xludf.DUMMYFUNCTION("""COMPUTED_VALUE"""),"No")</f>
        <v>No</v>
      </c>
      <c r="W413" s="5" t="str">
        <f>IFERROR(__xludf.DUMMYFUNCTION("""COMPUTED_VALUE"""),"No")</f>
        <v>No</v>
      </c>
      <c r="X413" s="5" t="str">
        <f>IFERROR(__xludf.DUMMYFUNCTION("""COMPUTED_VALUE"""),"No")</f>
        <v>No</v>
      </c>
      <c r="Y413" s="5" t="str">
        <f>IFERROR(__xludf.DUMMYFUNCTION("""COMPUTED_VALUE"""),"No")</f>
        <v>No</v>
      </c>
      <c r="Z413" s="5" t="str">
        <f>IFERROR(__xludf.DUMMYFUNCTION("""COMPUTED_VALUE"""),"No")</f>
        <v>No</v>
      </c>
      <c r="AA413" s="5" t="str">
        <f>IFERROR(__xludf.DUMMYFUNCTION("""COMPUTED_VALUE"""),"Yes")</f>
        <v>Yes</v>
      </c>
      <c r="AB413" s="5" t="str">
        <f>IFERROR(__xludf.DUMMYFUNCTION("""COMPUTED_VALUE"""),"No")</f>
        <v>No</v>
      </c>
      <c r="AC413" s="5" t="str">
        <f>IFERROR(__xludf.DUMMYFUNCTION("""COMPUTED_VALUE"""),"No")</f>
        <v>No</v>
      </c>
      <c r="AD413" s="5" t="str">
        <f>IFERROR(__xludf.DUMMYFUNCTION("""COMPUTED_VALUE"""),"No")</f>
        <v>No</v>
      </c>
      <c r="AE413" s="5" t="str">
        <f>IFERROR(__xludf.DUMMYFUNCTION("""COMPUTED_VALUE"""),"No")</f>
        <v>No</v>
      </c>
      <c r="AF413" s="5" t="str">
        <f>IFERROR(__xludf.DUMMYFUNCTION("""COMPUTED_VALUE"""),"Yes")</f>
        <v>Yes</v>
      </c>
      <c r="AG413" s="5" t="str">
        <f>IFERROR(__xludf.DUMMYFUNCTION("""COMPUTED_VALUE"""),"No")</f>
        <v>No</v>
      </c>
      <c r="AH413" s="5" t="str">
        <f>IFERROR(__xludf.DUMMYFUNCTION("""COMPUTED_VALUE"""),"Yes")</f>
        <v>Yes</v>
      </c>
      <c r="AI413" s="5" t="str">
        <f>IFERROR(__xludf.DUMMYFUNCTION("""COMPUTED_VALUE"""),"No")</f>
        <v>No</v>
      </c>
      <c r="AJ413" s="5" t="str">
        <f>IFERROR(__xludf.DUMMYFUNCTION("""COMPUTED_VALUE"""),"No")</f>
        <v>No</v>
      </c>
      <c r="AK413" s="5" t="str">
        <f>IFERROR(__xludf.DUMMYFUNCTION("""COMPUTED_VALUE"""),"No")</f>
        <v>No</v>
      </c>
      <c r="AL413" s="5" t="str">
        <f>IFERROR(__xludf.DUMMYFUNCTION("""COMPUTED_VALUE"""),"No")</f>
        <v>No</v>
      </c>
      <c r="AM413" s="5"/>
      <c r="AN413" s="5"/>
      <c r="AO413" s="5"/>
      <c r="AP413" s="5"/>
      <c r="AQ413" s="5"/>
      <c r="AR413" s="5"/>
      <c r="AS413" s="5"/>
      <c r="AT413" s="5"/>
      <c r="AU413" s="5"/>
      <c r="AV413" s="5"/>
      <c r="AW413" s="5"/>
      <c r="AX413" s="5"/>
      <c r="AY413" s="5"/>
    </row>
    <row r="414">
      <c r="A414"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4" s="5">
        <f>IFERROR(__xludf.DUMMYFUNCTION("""COMPUTED_VALUE"""),426.0)</f>
        <v>426</v>
      </c>
      <c r="C414" s="5">
        <f>IFERROR(__xludf.DUMMYFUNCTION("""COMPUTED_VALUE"""),393.0)</f>
        <v>393</v>
      </c>
      <c r="D414" s="5" t="str">
        <f>IFERROR(__xludf.DUMMYFUNCTION("""COMPUTED_VALUE"""),"UnicornWildHoppers")</f>
        <v>UnicornWildHoppers</v>
      </c>
      <c r="E414" s="5" t="str">
        <f>IFERROR(__xludf.DUMMYFUNCTION("""COMPUTED_VALUE"""),"Yes")</f>
        <v>Yes</v>
      </c>
      <c r="F414" s="5" t="str">
        <f>IFERROR(__xludf.DUMMYFUNCTION("""COMPUTED_VALUE"""),"Yes")</f>
        <v>Yes</v>
      </c>
      <c r="G414" s="5" t="str">
        <f>IFERROR(__xludf.DUMMYFUNCTION("""COMPUTED_VALUE"""),"No")</f>
        <v>No</v>
      </c>
      <c r="H414" s="5" t="str">
        <f>IFERROR(__xludf.DUMMYFUNCTION("""COMPUTED_VALUE"""),"Yes")</f>
        <v>Yes</v>
      </c>
      <c r="I414" s="5" t="str">
        <f>IFERROR(__xludf.DUMMYFUNCTION("""COMPUTED_VALUE"""),"Yes")</f>
        <v>Yes</v>
      </c>
      <c r="J414" s="5" t="str">
        <f>IFERROR(__xludf.DUMMYFUNCTION("""COMPUTED_VALUE"""),"Yes")</f>
        <v>Yes</v>
      </c>
      <c r="K414" s="5" t="str">
        <f>IFERROR(__xludf.DUMMYFUNCTION("""COMPUTED_VALUE"""),"Yes")</f>
        <v>Yes</v>
      </c>
      <c r="L414" s="5" t="str">
        <f>IFERROR(__xludf.DUMMYFUNCTION("""COMPUTED_VALUE"""),"Yes")</f>
        <v>Yes</v>
      </c>
      <c r="M414" s="5" t="str">
        <f>IFERROR(__xludf.DUMMYFUNCTION("""COMPUTED_VALUE"""),"Yes")</f>
        <v>Yes</v>
      </c>
      <c r="N414" s="5" t="str">
        <f>IFERROR(__xludf.DUMMYFUNCTION("""COMPUTED_VALUE"""),"Yes")</f>
        <v>Yes</v>
      </c>
      <c r="O414" s="5" t="str">
        <f>IFERROR(__xludf.DUMMYFUNCTION("""COMPUTED_VALUE"""),"Yes")</f>
        <v>Yes</v>
      </c>
      <c r="P414" s="5" t="str">
        <f>IFERROR(__xludf.DUMMYFUNCTION("""COMPUTED_VALUE"""),"Yes")</f>
        <v>Yes</v>
      </c>
      <c r="Q414" s="5" t="str">
        <f>IFERROR(__xludf.DUMMYFUNCTION("""COMPUTED_VALUE"""),"Yes")</f>
        <v>Yes</v>
      </c>
      <c r="R414" s="5" t="str">
        <f>IFERROR(__xludf.DUMMYFUNCTION("""COMPUTED_VALUE"""),"Yes")</f>
        <v>Yes</v>
      </c>
      <c r="S414" s="5" t="str">
        <f>IFERROR(__xludf.DUMMYFUNCTION("""COMPUTED_VALUE"""),"Yes")</f>
        <v>Yes</v>
      </c>
      <c r="T414" s="5" t="str">
        <f>IFERROR(__xludf.DUMMYFUNCTION("""COMPUTED_VALUE"""),"No")</f>
        <v>No</v>
      </c>
      <c r="U414" s="5" t="str">
        <f>IFERROR(__xludf.DUMMYFUNCTION("""COMPUTED_VALUE"""),"No")</f>
        <v>No</v>
      </c>
      <c r="V414" s="5" t="str">
        <f>IFERROR(__xludf.DUMMYFUNCTION("""COMPUTED_VALUE"""),"No")</f>
        <v>No</v>
      </c>
      <c r="W414" s="5" t="str">
        <f>IFERROR(__xludf.DUMMYFUNCTION("""COMPUTED_VALUE"""),"No")</f>
        <v>No</v>
      </c>
      <c r="X414" s="5" t="str">
        <f>IFERROR(__xludf.DUMMYFUNCTION("""COMPUTED_VALUE"""),"No")</f>
        <v>No</v>
      </c>
      <c r="Y414" s="5" t="str">
        <f>IFERROR(__xludf.DUMMYFUNCTION("""COMPUTED_VALUE"""),"No")</f>
        <v>No</v>
      </c>
      <c r="Z414" s="5" t="str">
        <f>IFERROR(__xludf.DUMMYFUNCTION("""COMPUTED_VALUE"""),"No")</f>
        <v>No</v>
      </c>
      <c r="AA414" s="5" t="str">
        <f>IFERROR(__xludf.DUMMYFUNCTION("""COMPUTED_VALUE"""),"Yes")</f>
        <v>Yes</v>
      </c>
      <c r="AB414" s="5" t="str">
        <f>IFERROR(__xludf.DUMMYFUNCTION("""COMPUTED_VALUE"""),"No")</f>
        <v>No</v>
      </c>
      <c r="AC414" s="5" t="str">
        <f>IFERROR(__xludf.DUMMYFUNCTION("""COMPUTED_VALUE"""),"No")</f>
        <v>No</v>
      </c>
      <c r="AD414" s="5" t="str">
        <f>IFERROR(__xludf.DUMMYFUNCTION("""COMPUTED_VALUE"""),"No")</f>
        <v>No</v>
      </c>
      <c r="AE414" s="5" t="str">
        <f>IFERROR(__xludf.DUMMYFUNCTION("""COMPUTED_VALUE"""),"No")</f>
        <v>No</v>
      </c>
      <c r="AF414" s="5" t="str">
        <f>IFERROR(__xludf.DUMMYFUNCTION("""COMPUTED_VALUE"""),"Yes")</f>
        <v>Yes</v>
      </c>
      <c r="AG414" s="5" t="str">
        <f>IFERROR(__xludf.DUMMYFUNCTION("""COMPUTED_VALUE"""),"No")</f>
        <v>No</v>
      </c>
      <c r="AH414" s="5" t="str">
        <f>IFERROR(__xludf.DUMMYFUNCTION("""COMPUTED_VALUE"""),"Yes")</f>
        <v>Yes</v>
      </c>
      <c r="AI414" s="5" t="str">
        <f>IFERROR(__xludf.DUMMYFUNCTION("""COMPUTED_VALUE"""),"No")</f>
        <v>No</v>
      </c>
      <c r="AJ414" s="5" t="str">
        <f>IFERROR(__xludf.DUMMYFUNCTION("""COMPUTED_VALUE"""),"No")</f>
        <v>No</v>
      </c>
      <c r="AK414" s="5" t="str">
        <f>IFERROR(__xludf.DUMMYFUNCTION("""COMPUTED_VALUE"""),"No")</f>
        <v>No</v>
      </c>
      <c r="AL414" s="5" t="str">
        <f>IFERROR(__xludf.DUMMYFUNCTION("""COMPUTED_VALUE"""),"No")</f>
        <v>No</v>
      </c>
      <c r="AM414" s="5"/>
      <c r="AN414" s="5"/>
      <c r="AO414" s="5"/>
      <c r="AP414" s="5"/>
      <c r="AQ414" s="5"/>
      <c r="AR414" s="5"/>
      <c r="AS414" s="5"/>
      <c r="AT414" s="5"/>
      <c r="AU414" s="5"/>
      <c r="AV414" s="5"/>
      <c r="AW414" s="5"/>
      <c r="AX414" s="5"/>
      <c r="AY414" s="5"/>
    </row>
    <row r="415">
      <c r="A4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5" s="5">
        <f>IFERROR(__xludf.DUMMYFUNCTION("""COMPUTED_VALUE"""),427.0)</f>
        <v>427</v>
      </c>
      <c r="C415" s="5">
        <f>IFERROR(__xludf.DUMMYFUNCTION("""COMPUTED_VALUE"""),394.0)</f>
        <v>394</v>
      </c>
      <c r="D415" s="5" t="str">
        <f>IFERROR(__xludf.DUMMYFUNCTION("""COMPUTED_VALUE"""),"UnicornSimplySevensDiceEaster")</f>
        <v>UnicornSimplySevensDiceEaster</v>
      </c>
      <c r="E415" s="5" t="str">
        <f>IFERROR(__xludf.DUMMYFUNCTION("""COMPUTED_VALUE"""),"Yes")</f>
        <v>Yes</v>
      </c>
      <c r="F415" s="5" t="str">
        <f>IFERROR(__xludf.DUMMYFUNCTION("""COMPUTED_VALUE"""),"Yes")</f>
        <v>Yes</v>
      </c>
      <c r="G415" s="5" t="str">
        <f>IFERROR(__xludf.DUMMYFUNCTION("""COMPUTED_VALUE"""),"Yes")</f>
        <v>Yes</v>
      </c>
      <c r="H415" s="5" t="str">
        <f>IFERROR(__xludf.DUMMYFUNCTION("""COMPUTED_VALUE"""),"Yes")</f>
        <v>Yes</v>
      </c>
      <c r="I415" s="5" t="str">
        <f>IFERROR(__xludf.DUMMYFUNCTION("""COMPUTED_VALUE"""),"Yes")</f>
        <v>Yes</v>
      </c>
      <c r="J415" s="5" t="str">
        <f>IFERROR(__xludf.DUMMYFUNCTION("""COMPUTED_VALUE"""),"Yes")</f>
        <v>Yes</v>
      </c>
      <c r="K415" s="5" t="str">
        <f>IFERROR(__xludf.DUMMYFUNCTION("""COMPUTED_VALUE"""),"Yes")</f>
        <v>Yes</v>
      </c>
      <c r="L415" s="5" t="str">
        <f>IFERROR(__xludf.DUMMYFUNCTION("""COMPUTED_VALUE"""),"Yes")</f>
        <v>Yes</v>
      </c>
      <c r="M415" s="5" t="str">
        <f>IFERROR(__xludf.DUMMYFUNCTION("""COMPUTED_VALUE"""),"Yes")</f>
        <v>Yes</v>
      </c>
      <c r="N415" s="5" t="str">
        <f>IFERROR(__xludf.DUMMYFUNCTION("""COMPUTED_VALUE"""),"Yes")</f>
        <v>Yes</v>
      </c>
      <c r="O415" s="5" t="str">
        <f>IFERROR(__xludf.DUMMYFUNCTION("""COMPUTED_VALUE"""),"Yes")</f>
        <v>Yes</v>
      </c>
      <c r="P415" s="5" t="str">
        <f>IFERROR(__xludf.DUMMYFUNCTION("""COMPUTED_VALUE"""),"Yes")</f>
        <v>Yes</v>
      </c>
      <c r="Q415" s="5" t="str">
        <f>IFERROR(__xludf.DUMMYFUNCTION("""COMPUTED_VALUE"""),"Yes")</f>
        <v>Yes</v>
      </c>
      <c r="R415" s="5" t="str">
        <f>IFERROR(__xludf.DUMMYFUNCTION("""COMPUTED_VALUE"""),"Yes")</f>
        <v>Yes</v>
      </c>
      <c r="S415" s="5" t="str">
        <f>IFERROR(__xludf.DUMMYFUNCTION("""COMPUTED_VALUE"""),"Yes")</f>
        <v>Yes</v>
      </c>
      <c r="T415" s="5" t="str">
        <f>IFERROR(__xludf.DUMMYFUNCTION("""COMPUTED_VALUE"""),"Yes")</f>
        <v>Yes</v>
      </c>
      <c r="U415" s="5" t="str">
        <f>IFERROR(__xludf.DUMMYFUNCTION("""COMPUTED_VALUE"""),"Yes")</f>
        <v>Yes</v>
      </c>
      <c r="V415" s="5" t="str">
        <f>IFERROR(__xludf.DUMMYFUNCTION("""COMPUTED_VALUE"""),"Yes")</f>
        <v>Yes</v>
      </c>
      <c r="W415" s="5" t="str">
        <f>IFERROR(__xludf.DUMMYFUNCTION("""COMPUTED_VALUE"""),"Yes")</f>
        <v>Yes</v>
      </c>
      <c r="X415" s="5"/>
      <c r="Y415" s="5"/>
      <c r="Z415" s="5"/>
      <c r="AA415" s="5"/>
      <c r="AB415" s="5"/>
      <c r="AC415" s="5" t="str">
        <f>IFERROR(__xludf.DUMMYFUNCTION("""COMPUTED_VALUE"""),"Yes")</f>
        <v>Yes</v>
      </c>
      <c r="AD415" s="5"/>
      <c r="AE415" s="5"/>
      <c r="AF415" s="5"/>
      <c r="AG415" s="5"/>
      <c r="AH415" s="5"/>
      <c r="AI415" s="5"/>
      <c r="AJ415" s="5"/>
      <c r="AK415" s="5"/>
      <c r="AL415" s="5"/>
      <c r="AM415" s="5"/>
      <c r="AN415" s="5"/>
      <c r="AO415" s="5"/>
      <c r="AP415" s="5"/>
      <c r="AQ415" s="5"/>
      <c r="AR415" s="5"/>
      <c r="AS415" s="5"/>
      <c r="AT415" s="5"/>
      <c r="AU415" s="5"/>
      <c r="AV415" s="5"/>
      <c r="AW415" s="5"/>
      <c r="AX415" s="5"/>
      <c r="AY415" s="5"/>
    </row>
    <row r="416">
      <c r="A41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6" s="5">
        <f>IFERROR(__xludf.DUMMYFUNCTION("""COMPUTED_VALUE"""),428.0)</f>
        <v>428</v>
      </c>
      <c r="C416" s="5">
        <f>IFERROR(__xludf.DUMMYFUNCTION("""COMPUTED_VALUE"""),180007.0)</f>
        <v>180007</v>
      </c>
      <c r="D416" s="5" t="str">
        <f>IFERROR(__xludf.DUMMYFUNCTION("""COMPUTED_VALUE"""),"RedstoneMultiClover10")</f>
        <v>RedstoneMultiClover10</v>
      </c>
      <c r="E416" s="5" t="str">
        <f>IFERROR(__xludf.DUMMYFUNCTION("""COMPUTED_VALUE"""),"Yes")</f>
        <v>Yes</v>
      </c>
      <c r="F416" s="5" t="str">
        <f>IFERROR(__xludf.DUMMYFUNCTION("""COMPUTED_VALUE"""),"Yes")</f>
        <v>Yes</v>
      </c>
      <c r="G416" s="5" t="str">
        <f>IFERROR(__xludf.DUMMYFUNCTION("""COMPUTED_VALUE"""),"Yes")</f>
        <v>Yes</v>
      </c>
      <c r="H416" s="5" t="str">
        <f>IFERROR(__xludf.DUMMYFUNCTION("""COMPUTED_VALUE"""),"No")</f>
        <v>No</v>
      </c>
      <c r="I416" s="5" t="str">
        <f>IFERROR(__xludf.DUMMYFUNCTION("""COMPUTED_VALUE"""),"No")</f>
        <v>No</v>
      </c>
      <c r="J416" s="5" t="str">
        <f>IFERROR(__xludf.DUMMYFUNCTION("""COMPUTED_VALUE"""),"No")</f>
        <v>No</v>
      </c>
      <c r="K416" s="5" t="str">
        <f>IFERROR(__xludf.DUMMYFUNCTION("""COMPUTED_VALUE"""),"No")</f>
        <v>No</v>
      </c>
      <c r="L416" s="5" t="str">
        <f>IFERROR(__xludf.DUMMYFUNCTION("""COMPUTED_VALUE"""),"No")</f>
        <v>No</v>
      </c>
      <c r="M416" s="5" t="str">
        <f>IFERROR(__xludf.DUMMYFUNCTION("""COMPUTED_VALUE"""),"Yes")</f>
        <v>Yes</v>
      </c>
      <c r="N416" s="5" t="str">
        <f>IFERROR(__xludf.DUMMYFUNCTION("""COMPUTED_VALUE"""),"Yes")</f>
        <v>Yes</v>
      </c>
      <c r="O416" s="5" t="str">
        <f>IFERROR(__xludf.DUMMYFUNCTION("""COMPUTED_VALUE"""),"Yes")</f>
        <v>Yes</v>
      </c>
      <c r="P416" s="5" t="str">
        <f>IFERROR(__xludf.DUMMYFUNCTION("""COMPUTED_VALUE"""),"Yes")</f>
        <v>Yes</v>
      </c>
      <c r="Q416" s="5" t="str">
        <f>IFERROR(__xludf.DUMMYFUNCTION("""COMPUTED_VALUE"""),"Yes")</f>
        <v>Yes</v>
      </c>
      <c r="R416" s="5" t="str">
        <f>IFERROR(__xludf.DUMMYFUNCTION("""COMPUTED_VALUE"""),"No")</f>
        <v>No</v>
      </c>
      <c r="S416" s="5" t="str">
        <f>IFERROR(__xludf.DUMMYFUNCTION("""COMPUTED_VALUE"""),"Yes")</f>
        <v>Yes</v>
      </c>
      <c r="T416" s="5" t="str">
        <f>IFERROR(__xludf.DUMMYFUNCTION("""COMPUTED_VALUE"""),"No")</f>
        <v>No</v>
      </c>
      <c r="U416" s="5" t="str">
        <f>IFERROR(__xludf.DUMMYFUNCTION("""COMPUTED_VALUE"""),"No")</f>
        <v>No</v>
      </c>
      <c r="V416" s="5" t="str">
        <f>IFERROR(__xludf.DUMMYFUNCTION("""COMPUTED_VALUE"""),"No")</f>
        <v>No</v>
      </c>
      <c r="W416" s="5" t="str">
        <f>IFERROR(__xludf.DUMMYFUNCTION("""COMPUTED_VALUE"""),"No")</f>
        <v>No</v>
      </c>
      <c r="X416" s="5"/>
      <c r="Y416" s="5"/>
      <c r="Z416" s="5"/>
      <c r="AA416" s="5" t="str">
        <f>IFERROR(__xludf.DUMMYFUNCTION("""COMPUTED_VALUE"""),"Yes")</f>
        <v>Yes</v>
      </c>
      <c r="AB416" s="5"/>
      <c r="AC416" s="5" t="str">
        <f>IFERROR(__xludf.DUMMYFUNCTION("""COMPUTED_VALUE"""),"No")</f>
        <v>No</v>
      </c>
      <c r="AD416" s="5"/>
      <c r="AE416" s="5"/>
      <c r="AF416" s="5" t="str">
        <f>IFERROR(__xludf.DUMMYFUNCTION("""COMPUTED_VALUE"""),"Yes")</f>
        <v>Yes</v>
      </c>
      <c r="AG416" s="5"/>
      <c r="AH416" s="5"/>
      <c r="AI416" s="5"/>
      <c r="AJ416" s="5"/>
      <c r="AK416" s="5"/>
      <c r="AL416" s="5" t="str">
        <f>IFERROR(__xludf.DUMMYFUNCTION("""COMPUTED_VALUE"""),"Yes")</f>
        <v>Yes</v>
      </c>
      <c r="AM416" s="5"/>
      <c r="AN416" s="5"/>
      <c r="AO416" s="5"/>
      <c r="AP416" s="5"/>
      <c r="AQ416" s="5"/>
      <c r="AR416" s="5"/>
      <c r="AS416" s="5"/>
      <c r="AT416" s="5"/>
      <c r="AU416" s="5"/>
      <c r="AV416" s="5"/>
      <c r="AW416" s="5"/>
      <c r="AX416" s="5"/>
      <c r="AY416" s="5"/>
    </row>
    <row r="417">
      <c r="A417"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7" s="5">
        <f>IFERROR(__xludf.DUMMYFUNCTION("""COMPUTED_VALUE"""),429.0)</f>
        <v>429</v>
      </c>
      <c r="C417" s="5">
        <f>IFERROR(__xludf.DUMMYFUNCTION("""COMPUTED_VALUE"""),180008.0)</f>
        <v>180008</v>
      </c>
      <c r="D417" s="5" t="str">
        <f>IFERROR(__xludf.DUMMYFUNCTION("""COMPUTED_VALUE"""),"RedstoneReelX5")</f>
        <v>RedstoneReelX5</v>
      </c>
      <c r="E417" s="5" t="str">
        <f>IFERROR(__xludf.DUMMYFUNCTION("""COMPUTED_VALUE"""),"Yes")</f>
        <v>Yes</v>
      </c>
      <c r="F417" s="5" t="str">
        <f>IFERROR(__xludf.DUMMYFUNCTION("""COMPUTED_VALUE"""),"Yes")</f>
        <v>Yes</v>
      </c>
      <c r="G417" s="5" t="str">
        <f>IFERROR(__xludf.DUMMYFUNCTION("""COMPUTED_VALUE"""),"No")</f>
        <v>No</v>
      </c>
      <c r="H417" s="5" t="str">
        <f>IFERROR(__xludf.DUMMYFUNCTION("""COMPUTED_VALUE"""),"Yes")</f>
        <v>Yes</v>
      </c>
      <c r="I417" s="5" t="str">
        <f>IFERROR(__xludf.DUMMYFUNCTION("""COMPUTED_VALUE"""),"Yes")</f>
        <v>Yes</v>
      </c>
      <c r="J417" s="5" t="str">
        <f>IFERROR(__xludf.DUMMYFUNCTION("""COMPUTED_VALUE"""),"Yes")</f>
        <v>Yes</v>
      </c>
      <c r="K417" s="5" t="str">
        <f>IFERROR(__xludf.DUMMYFUNCTION("""COMPUTED_VALUE"""),"Yes")</f>
        <v>Yes</v>
      </c>
      <c r="L417" s="5" t="str">
        <f>IFERROR(__xludf.DUMMYFUNCTION("""COMPUTED_VALUE"""),"Yes")</f>
        <v>Yes</v>
      </c>
      <c r="M417" s="5" t="str">
        <f>IFERROR(__xludf.DUMMYFUNCTION("""COMPUTED_VALUE"""),"Yes")</f>
        <v>Yes</v>
      </c>
      <c r="N417" s="5" t="str">
        <f>IFERROR(__xludf.DUMMYFUNCTION("""COMPUTED_VALUE"""),"Yes")</f>
        <v>Yes</v>
      </c>
      <c r="O417" s="5" t="str">
        <f>IFERROR(__xludf.DUMMYFUNCTION("""COMPUTED_VALUE"""),"Yes")</f>
        <v>Yes</v>
      </c>
      <c r="P417" s="5" t="str">
        <f>IFERROR(__xludf.DUMMYFUNCTION("""COMPUTED_VALUE"""),"Yes")</f>
        <v>Yes</v>
      </c>
      <c r="Q417" s="5" t="str">
        <f>IFERROR(__xludf.DUMMYFUNCTION("""COMPUTED_VALUE"""),"Yes")</f>
        <v>Yes</v>
      </c>
      <c r="R417" s="5" t="str">
        <f>IFERROR(__xludf.DUMMYFUNCTION("""COMPUTED_VALUE"""),"Yes")</f>
        <v>Yes</v>
      </c>
      <c r="S417" s="5" t="str">
        <f>IFERROR(__xludf.DUMMYFUNCTION("""COMPUTED_VALUE"""),"Yes")</f>
        <v>Yes</v>
      </c>
      <c r="T417" s="5" t="str">
        <f>IFERROR(__xludf.DUMMYFUNCTION("""COMPUTED_VALUE"""),"No")</f>
        <v>No</v>
      </c>
      <c r="U417" s="5" t="str">
        <f>IFERROR(__xludf.DUMMYFUNCTION("""COMPUTED_VALUE"""),"No")</f>
        <v>No</v>
      </c>
      <c r="V417" s="5" t="str">
        <f>IFERROR(__xludf.DUMMYFUNCTION("""COMPUTED_VALUE"""),"No")</f>
        <v>No</v>
      </c>
      <c r="W417" s="5" t="str">
        <f>IFERROR(__xludf.DUMMYFUNCTION("""COMPUTED_VALUE"""),"No")</f>
        <v>No</v>
      </c>
      <c r="X417" s="5" t="str">
        <f>IFERROR(__xludf.DUMMYFUNCTION("""COMPUTED_VALUE"""),"No")</f>
        <v>No</v>
      </c>
      <c r="Y417" s="5" t="str">
        <f>IFERROR(__xludf.DUMMYFUNCTION("""COMPUTED_VALUE"""),"No")</f>
        <v>No</v>
      </c>
      <c r="Z417" s="5" t="str">
        <f>IFERROR(__xludf.DUMMYFUNCTION("""COMPUTED_VALUE"""),"No")</f>
        <v>No</v>
      </c>
      <c r="AA417" s="5" t="str">
        <f>IFERROR(__xludf.DUMMYFUNCTION("""COMPUTED_VALUE"""),"Yes")</f>
        <v>Yes</v>
      </c>
      <c r="AB417" s="5" t="str">
        <f>IFERROR(__xludf.DUMMYFUNCTION("""COMPUTED_VALUE"""),"No")</f>
        <v>No</v>
      </c>
      <c r="AC417" s="5" t="str">
        <f>IFERROR(__xludf.DUMMYFUNCTION("""COMPUTED_VALUE"""),"No")</f>
        <v>No</v>
      </c>
      <c r="AD417" s="5" t="str">
        <f>IFERROR(__xludf.DUMMYFUNCTION("""COMPUTED_VALUE"""),"No")</f>
        <v>No</v>
      </c>
      <c r="AE417" s="5" t="str">
        <f>IFERROR(__xludf.DUMMYFUNCTION("""COMPUTED_VALUE"""),"No")</f>
        <v>No</v>
      </c>
      <c r="AF417" s="5" t="str">
        <f>IFERROR(__xludf.DUMMYFUNCTION("""COMPUTED_VALUE"""),"Yes")</f>
        <v>Yes</v>
      </c>
      <c r="AG417" s="5" t="str">
        <f>IFERROR(__xludf.DUMMYFUNCTION("""COMPUTED_VALUE"""),"No")</f>
        <v>No</v>
      </c>
      <c r="AH417" s="5" t="str">
        <f>IFERROR(__xludf.DUMMYFUNCTION("""COMPUTED_VALUE"""),"Yes")</f>
        <v>Yes</v>
      </c>
      <c r="AI417" s="5" t="str">
        <f>IFERROR(__xludf.DUMMYFUNCTION("""COMPUTED_VALUE"""),"No")</f>
        <v>No</v>
      </c>
      <c r="AJ417" s="5" t="str">
        <f>IFERROR(__xludf.DUMMYFUNCTION("""COMPUTED_VALUE"""),"No")</f>
        <v>No</v>
      </c>
      <c r="AK417" s="5" t="str">
        <f>IFERROR(__xludf.DUMMYFUNCTION("""COMPUTED_VALUE"""),"No")</f>
        <v>No</v>
      </c>
      <c r="AL417" s="5" t="str">
        <f>IFERROR(__xludf.DUMMYFUNCTION("""COMPUTED_VALUE"""),"No")</f>
        <v>No</v>
      </c>
      <c r="AM417" s="5"/>
      <c r="AN417" s="5"/>
      <c r="AO417" s="5"/>
      <c r="AP417" s="5"/>
      <c r="AQ417" s="5"/>
      <c r="AR417" s="5"/>
      <c r="AS417" s="5"/>
      <c r="AT417" s="5"/>
      <c r="AU417" s="5"/>
      <c r="AV417" s="5"/>
      <c r="AW417" s="5"/>
      <c r="AX417" s="5"/>
      <c r="AY417" s="5"/>
    </row>
    <row r="418">
      <c r="A41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8" s="5">
        <f>IFERROR(__xludf.DUMMYFUNCTION("""COMPUTED_VALUE"""),430.0)</f>
        <v>430</v>
      </c>
      <c r="C418" s="5">
        <f>IFERROR(__xludf.DUMMYFUNCTION("""COMPUTED_VALUE"""),397.0)</f>
        <v>397</v>
      </c>
      <c r="D418" s="5" t="str">
        <f>IFERROR(__xludf.DUMMYFUNCTION("""COMPUTED_VALUE"""),"UnicornFruitIslandGems")</f>
        <v>UnicornFruitIslandGems</v>
      </c>
      <c r="E418" s="5" t="str">
        <f>IFERROR(__xludf.DUMMYFUNCTION("""COMPUTED_VALUE"""),"Yes")</f>
        <v>Yes</v>
      </c>
      <c r="F418" s="5" t="str">
        <f>IFERROR(__xludf.DUMMYFUNCTION("""COMPUTED_VALUE"""),"Yes")</f>
        <v>Yes</v>
      </c>
      <c r="G418" s="5" t="str">
        <f>IFERROR(__xludf.DUMMYFUNCTION("""COMPUTED_VALUE"""),"No")</f>
        <v>No</v>
      </c>
      <c r="H418" s="5" t="str">
        <f>IFERROR(__xludf.DUMMYFUNCTION("""COMPUTED_VALUE"""),"Yes")</f>
        <v>Yes</v>
      </c>
      <c r="I418" s="5" t="str">
        <f>IFERROR(__xludf.DUMMYFUNCTION("""COMPUTED_VALUE"""),"Yes")</f>
        <v>Yes</v>
      </c>
      <c r="J418" s="5" t="str">
        <f>IFERROR(__xludf.DUMMYFUNCTION("""COMPUTED_VALUE"""),"Yes")</f>
        <v>Yes</v>
      </c>
      <c r="K418" s="5" t="str">
        <f>IFERROR(__xludf.DUMMYFUNCTION("""COMPUTED_VALUE"""),"Yes")</f>
        <v>Yes</v>
      </c>
      <c r="L418" s="5" t="str">
        <f>IFERROR(__xludf.DUMMYFUNCTION("""COMPUTED_VALUE"""),"Yes")</f>
        <v>Yes</v>
      </c>
      <c r="M418" s="5" t="str">
        <f>IFERROR(__xludf.DUMMYFUNCTION("""COMPUTED_VALUE"""),"Yes")</f>
        <v>Yes</v>
      </c>
      <c r="N418" s="5" t="str">
        <f>IFERROR(__xludf.DUMMYFUNCTION("""COMPUTED_VALUE"""),"Yes")</f>
        <v>Yes</v>
      </c>
      <c r="O418" s="5" t="str">
        <f>IFERROR(__xludf.DUMMYFUNCTION("""COMPUTED_VALUE"""),"Yes")</f>
        <v>Yes</v>
      </c>
      <c r="P418" s="5" t="str">
        <f>IFERROR(__xludf.DUMMYFUNCTION("""COMPUTED_VALUE"""),"Yes")</f>
        <v>Yes</v>
      </c>
      <c r="Q418" s="5" t="str">
        <f>IFERROR(__xludf.DUMMYFUNCTION("""COMPUTED_VALUE"""),"Yes")</f>
        <v>Yes</v>
      </c>
      <c r="R418" s="5" t="str">
        <f>IFERROR(__xludf.DUMMYFUNCTION("""COMPUTED_VALUE"""),"Yes")</f>
        <v>Yes</v>
      </c>
      <c r="S418" s="5" t="str">
        <f>IFERROR(__xludf.DUMMYFUNCTION("""COMPUTED_VALUE"""),"Yes")</f>
        <v>Yes</v>
      </c>
      <c r="T418" s="5" t="str">
        <f>IFERROR(__xludf.DUMMYFUNCTION("""COMPUTED_VALUE"""),"No")</f>
        <v>No</v>
      </c>
      <c r="U418" s="5" t="str">
        <f>IFERROR(__xludf.DUMMYFUNCTION("""COMPUTED_VALUE"""),"No")</f>
        <v>No</v>
      </c>
      <c r="V418" s="5" t="str">
        <f>IFERROR(__xludf.DUMMYFUNCTION("""COMPUTED_VALUE"""),"No")</f>
        <v>No</v>
      </c>
      <c r="W418" s="5" t="str">
        <f>IFERROR(__xludf.DUMMYFUNCTION("""COMPUTED_VALUE"""),"No")</f>
        <v>No</v>
      </c>
      <c r="X418" s="5" t="str">
        <f>IFERROR(__xludf.DUMMYFUNCTION("""COMPUTED_VALUE"""),"No")</f>
        <v>No</v>
      </c>
      <c r="Y418" s="5" t="str">
        <f>IFERROR(__xludf.DUMMYFUNCTION("""COMPUTED_VALUE"""),"No")</f>
        <v>No</v>
      </c>
      <c r="Z418" s="5" t="str">
        <f>IFERROR(__xludf.DUMMYFUNCTION("""COMPUTED_VALUE"""),"No")</f>
        <v>No</v>
      </c>
      <c r="AA418" s="5" t="str">
        <f>IFERROR(__xludf.DUMMYFUNCTION("""COMPUTED_VALUE"""),"Yes")</f>
        <v>Yes</v>
      </c>
      <c r="AB418" s="5" t="str">
        <f>IFERROR(__xludf.DUMMYFUNCTION("""COMPUTED_VALUE"""),"No")</f>
        <v>No</v>
      </c>
      <c r="AC418" s="5" t="str">
        <f>IFERROR(__xludf.DUMMYFUNCTION("""COMPUTED_VALUE"""),"No")</f>
        <v>No</v>
      </c>
      <c r="AD418" s="5" t="str">
        <f>IFERROR(__xludf.DUMMYFUNCTION("""COMPUTED_VALUE"""),"No")</f>
        <v>No</v>
      </c>
      <c r="AE418" s="5" t="str">
        <f>IFERROR(__xludf.DUMMYFUNCTION("""COMPUTED_VALUE"""),"No")</f>
        <v>No</v>
      </c>
      <c r="AF418" s="5" t="str">
        <f>IFERROR(__xludf.DUMMYFUNCTION("""COMPUTED_VALUE"""),"Yes")</f>
        <v>Yes</v>
      </c>
      <c r="AG418" s="5" t="str">
        <f>IFERROR(__xludf.DUMMYFUNCTION("""COMPUTED_VALUE"""),"No")</f>
        <v>No</v>
      </c>
      <c r="AH418" s="5" t="str">
        <f>IFERROR(__xludf.DUMMYFUNCTION("""COMPUTED_VALUE"""),"Yes")</f>
        <v>Yes</v>
      </c>
      <c r="AI418" s="5" t="str">
        <f>IFERROR(__xludf.DUMMYFUNCTION("""COMPUTED_VALUE"""),"No")</f>
        <v>No</v>
      </c>
      <c r="AJ418" s="5" t="str">
        <f>IFERROR(__xludf.DUMMYFUNCTION("""COMPUTED_VALUE"""),"No")</f>
        <v>No</v>
      </c>
      <c r="AK418" s="5" t="str">
        <f>IFERROR(__xludf.DUMMYFUNCTION("""COMPUTED_VALUE"""),"No")</f>
        <v>No</v>
      </c>
      <c r="AL418" s="5" t="str">
        <f>IFERROR(__xludf.DUMMYFUNCTION("""COMPUTED_VALUE"""),"No")</f>
        <v>No</v>
      </c>
      <c r="AM418" s="5"/>
      <c r="AN418" s="5"/>
      <c r="AO418" s="5"/>
      <c r="AP418" s="5"/>
      <c r="AQ418" s="5"/>
      <c r="AR418" s="5"/>
      <c r="AS418" s="5"/>
      <c r="AT418" s="5"/>
      <c r="AU418" s="5"/>
      <c r="AV418" s="5"/>
      <c r="AW418" s="5"/>
      <c r="AX418" s="5"/>
      <c r="AY418" s="5"/>
    </row>
    <row r="419">
      <c r="A4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9" s="5">
        <f>IFERROR(__xludf.DUMMYFUNCTION("""COMPUTED_VALUE"""),431.0)</f>
        <v>431</v>
      </c>
      <c r="C419" s="5">
        <f>IFERROR(__xludf.DUMMYFUNCTION("""COMPUTED_VALUE"""),398.0)</f>
        <v>398</v>
      </c>
      <c r="D419" s="5" t="str">
        <f>IFERROR(__xludf.DUMMYFUNCTION("""COMPUTED_VALUE"""),"UnicornBunnyDice")</f>
        <v>UnicornBunnyDice</v>
      </c>
      <c r="E419" s="5" t="str">
        <f>IFERROR(__xludf.DUMMYFUNCTION("""COMPUTED_VALUE"""),"Yes")</f>
        <v>Yes</v>
      </c>
      <c r="F419" s="5" t="str">
        <f>IFERROR(__xludf.DUMMYFUNCTION("""COMPUTED_VALUE"""),"Yes")</f>
        <v>Yes</v>
      </c>
      <c r="G419" s="5" t="str">
        <f>IFERROR(__xludf.DUMMYFUNCTION("""COMPUTED_VALUE"""),"Yes")</f>
        <v>Yes</v>
      </c>
      <c r="H419" s="5" t="str">
        <f>IFERROR(__xludf.DUMMYFUNCTION("""COMPUTED_VALUE"""),"Yes")</f>
        <v>Yes</v>
      </c>
      <c r="I419" s="5" t="str">
        <f>IFERROR(__xludf.DUMMYFUNCTION("""COMPUTED_VALUE"""),"Yes")</f>
        <v>Yes</v>
      </c>
      <c r="J419" s="5" t="str">
        <f>IFERROR(__xludf.DUMMYFUNCTION("""COMPUTED_VALUE"""),"Yes")</f>
        <v>Yes</v>
      </c>
      <c r="K419" s="5" t="str">
        <f>IFERROR(__xludf.DUMMYFUNCTION("""COMPUTED_VALUE"""),"Yes")</f>
        <v>Yes</v>
      </c>
      <c r="L419" s="5" t="str">
        <f>IFERROR(__xludf.DUMMYFUNCTION("""COMPUTED_VALUE"""),"Yes")</f>
        <v>Yes</v>
      </c>
      <c r="M419" s="5" t="str">
        <f>IFERROR(__xludf.DUMMYFUNCTION("""COMPUTED_VALUE"""),"Yes")</f>
        <v>Yes</v>
      </c>
      <c r="N419" s="5" t="str">
        <f>IFERROR(__xludf.DUMMYFUNCTION("""COMPUTED_VALUE"""),"Yes")</f>
        <v>Yes</v>
      </c>
      <c r="O419" s="5" t="str">
        <f>IFERROR(__xludf.DUMMYFUNCTION("""COMPUTED_VALUE"""),"Yes")</f>
        <v>Yes</v>
      </c>
      <c r="P419" s="5" t="str">
        <f>IFERROR(__xludf.DUMMYFUNCTION("""COMPUTED_VALUE"""),"Yes")</f>
        <v>Yes</v>
      </c>
      <c r="Q419" s="5" t="str">
        <f>IFERROR(__xludf.DUMMYFUNCTION("""COMPUTED_VALUE"""),"Yes")</f>
        <v>Yes</v>
      </c>
      <c r="R419" s="5" t="str">
        <f>IFERROR(__xludf.DUMMYFUNCTION("""COMPUTED_VALUE"""),"Yes")</f>
        <v>Yes</v>
      </c>
      <c r="S419" s="5" t="str">
        <f>IFERROR(__xludf.DUMMYFUNCTION("""COMPUTED_VALUE"""),"Yes")</f>
        <v>Yes</v>
      </c>
      <c r="T419" s="5" t="str">
        <f>IFERROR(__xludf.DUMMYFUNCTION("""COMPUTED_VALUE"""),"Yes")</f>
        <v>Yes</v>
      </c>
      <c r="U419" s="5" t="str">
        <f>IFERROR(__xludf.DUMMYFUNCTION("""COMPUTED_VALUE"""),"Yes")</f>
        <v>Yes</v>
      </c>
      <c r="V419" s="5" t="str">
        <f>IFERROR(__xludf.DUMMYFUNCTION("""COMPUTED_VALUE"""),"Yes")</f>
        <v>Yes</v>
      </c>
      <c r="W419" s="5" t="str">
        <f>IFERROR(__xludf.DUMMYFUNCTION("""COMPUTED_VALUE"""),"Yes")</f>
        <v>Yes</v>
      </c>
      <c r="X419" s="5"/>
      <c r="Y419" s="5"/>
      <c r="Z419" s="5"/>
      <c r="AA419" s="5"/>
      <c r="AB419" s="5"/>
      <c r="AC419" s="5" t="str">
        <f>IFERROR(__xludf.DUMMYFUNCTION("""COMPUTED_VALUE"""),"Yes")</f>
        <v>Yes</v>
      </c>
      <c r="AD419" s="5"/>
      <c r="AE419" s="5"/>
      <c r="AF419" s="5"/>
      <c r="AG419" s="5"/>
      <c r="AH419" s="5"/>
      <c r="AI419" s="5"/>
      <c r="AJ419" s="5"/>
      <c r="AK419" s="5"/>
      <c r="AL419" s="5"/>
      <c r="AM419" s="5"/>
      <c r="AN419" s="5"/>
      <c r="AO419" s="5"/>
      <c r="AP419" s="5"/>
      <c r="AQ419" s="5"/>
      <c r="AR419" s="5"/>
      <c r="AS419" s="5"/>
      <c r="AT419" s="5"/>
      <c r="AU419" s="5"/>
      <c r="AV419" s="5"/>
      <c r="AW419" s="5"/>
      <c r="AX419" s="5"/>
      <c r="AY419" s="5"/>
    </row>
    <row r="420">
      <c r="A42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0" s="5">
        <f>IFERROR(__xludf.DUMMYFUNCTION("""COMPUTED_VALUE"""),432.0)</f>
        <v>432</v>
      </c>
      <c r="C420" s="5">
        <f>IFERROR(__xludf.DUMMYFUNCTION("""COMPUTED_VALUE"""),180009.0)</f>
        <v>180009</v>
      </c>
      <c r="D420" s="5" t="str">
        <f>IFERROR(__xludf.DUMMYFUNCTION("""COMPUTED_VALUE"""),"RedstoneFarmFiesta")</f>
        <v>RedstoneFarmFiesta</v>
      </c>
      <c r="E420" s="5" t="str">
        <f>IFERROR(__xludf.DUMMYFUNCTION("""COMPUTED_VALUE"""),"Yes")</f>
        <v>Yes</v>
      </c>
      <c r="F420" s="5" t="str">
        <f>IFERROR(__xludf.DUMMYFUNCTION("""COMPUTED_VALUE"""),"Yes")</f>
        <v>Yes</v>
      </c>
      <c r="G420" s="5" t="str">
        <f>IFERROR(__xludf.DUMMYFUNCTION("""COMPUTED_VALUE"""),"Yes")</f>
        <v>Yes</v>
      </c>
      <c r="H420" s="5" t="str">
        <f>IFERROR(__xludf.DUMMYFUNCTION("""COMPUTED_VALUE"""),"No")</f>
        <v>No</v>
      </c>
      <c r="I420" s="5" t="str">
        <f>IFERROR(__xludf.DUMMYFUNCTION("""COMPUTED_VALUE"""),"No")</f>
        <v>No</v>
      </c>
      <c r="J420" s="5" t="str">
        <f>IFERROR(__xludf.DUMMYFUNCTION("""COMPUTED_VALUE"""),"No")</f>
        <v>No</v>
      </c>
      <c r="K420" s="5" t="str">
        <f>IFERROR(__xludf.DUMMYFUNCTION("""COMPUTED_VALUE"""),"No")</f>
        <v>No</v>
      </c>
      <c r="L420" s="5" t="str">
        <f>IFERROR(__xludf.DUMMYFUNCTION("""COMPUTED_VALUE"""),"No")</f>
        <v>No</v>
      </c>
      <c r="M420" s="5" t="str">
        <f>IFERROR(__xludf.DUMMYFUNCTION("""COMPUTED_VALUE"""),"Yes")</f>
        <v>Yes</v>
      </c>
      <c r="N420" s="5" t="str">
        <f>IFERROR(__xludf.DUMMYFUNCTION("""COMPUTED_VALUE"""),"Yes")</f>
        <v>Yes</v>
      </c>
      <c r="O420" s="5" t="str">
        <f>IFERROR(__xludf.DUMMYFUNCTION("""COMPUTED_VALUE"""),"Yes")</f>
        <v>Yes</v>
      </c>
      <c r="P420" s="5" t="str">
        <f>IFERROR(__xludf.DUMMYFUNCTION("""COMPUTED_VALUE"""),"Yes")</f>
        <v>Yes</v>
      </c>
      <c r="Q420" s="5" t="str">
        <f>IFERROR(__xludf.DUMMYFUNCTION("""COMPUTED_VALUE"""),"Yes")</f>
        <v>Yes</v>
      </c>
      <c r="R420" s="5" t="str">
        <f>IFERROR(__xludf.DUMMYFUNCTION("""COMPUTED_VALUE"""),"No")</f>
        <v>No</v>
      </c>
      <c r="S420" s="5" t="str">
        <f>IFERROR(__xludf.DUMMYFUNCTION("""COMPUTED_VALUE"""),"Yes")</f>
        <v>Yes</v>
      </c>
      <c r="T420" s="5" t="str">
        <f>IFERROR(__xludf.DUMMYFUNCTION("""COMPUTED_VALUE"""),"No")</f>
        <v>No</v>
      </c>
      <c r="U420" s="5" t="str">
        <f>IFERROR(__xludf.DUMMYFUNCTION("""COMPUTED_VALUE"""),"No")</f>
        <v>No</v>
      </c>
      <c r="V420" s="5" t="str">
        <f>IFERROR(__xludf.DUMMYFUNCTION("""COMPUTED_VALUE"""),"No")</f>
        <v>No</v>
      </c>
      <c r="W420" s="5" t="str">
        <f>IFERROR(__xludf.DUMMYFUNCTION("""COMPUTED_VALUE"""),"No")</f>
        <v>No</v>
      </c>
      <c r="X420" s="5"/>
      <c r="Y420" s="5"/>
      <c r="Z420" s="5"/>
      <c r="AA420" s="5" t="str">
        <f>IFERROR(__xludf.DUMMYFUNCTION("""COMPUTED_VALUE"""),"Yes")</f>
        <v>Yes</v>
      </c>
      <c r="AB420" s="5"/>
      <c r="AC420" s="5" t="str">
        <f>IFERROR(__xludf.DUMMYFUNCTION("""COMPUTED_VALUE"""),"No")</f>
        <v>No</v>
      </c>
      <c r="AD420" s="5"/>
      <c r="AE420" s="5"/>
      <c r="AF420" s="5" t="str">
        <f>IFERROR(__xludf.DUMMYFUNCTION("""COMPUTED_VALUE"""),"Yes")</f>
        <v>Yes</v>
      </c>
      <c r="AG420" s="5"/>
      <c r="AH420" s="5"/>
      <c r="AI420" s="5"/>
      <c r="AJ420" s="5"/>
      <c r="AK420" s="5"/>
      <c r="AL420" s="5" t="str">
        <f>IFERROR(__xludf.DUMMYFUNCTION("""COMPUTED_VALUE"""),"Yes")</f>
        <v>Yes</v>
      </c>
      <c r="AM420" s="5"/>
      <c r="AN420" s="5"/>
      <c r="AO420" s="5"/>
      <c r="AP420" s="5"/>
      <c r="AQ420" s="5"/>
      <c r="AR420" s="5"/>
      <c r="AS420" s="5"/>
      <c r="AT420" s="5"/>
      <c r="AU420" s="5"/>
      <c r="AV420" s="5"/>
      <c r="AW420" s="5"/>
      <c r="AX420" s="5"/>
      <c r="AY420" s="5"/>
    </row>
    <row r="421">
      <c r="A42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1" s="5">
        <f>IFERROR(__xludf.DUMMYFUNCTION("""COMPUTED_VALUE"""),433.0)</f>
        <v>433</v>
      </c>
      <c r="C421" s="5">
        <f>IFERROR(__xludf.DUMMYFUNCTION("""COMPUTED_VALUE"""),180010.0)</f>
        <v>180010</v>
      </c>
      <c r="D421" s="5" t="str">
        <f>IFERROR(__xludf.DUMMYFUNCTION("""COMPUTED_VALUE"""),"RedstoneSweetRespins")</f>
        <v>RedstoneSweetRespins</v>
      </c>
      <c r="E421" s="5" t="str">
        <f>IFERROR(__xludf.DUMMYFUNCTION("""COMPUTED_VALUE"""),"Yes")</f>
        <v>Yes</v>
      </c>
      <c r="F421" s="5" t="str">
        <f>IFERROR(__xludf.DUMMYFUNCTION("""COMPUTED_VALUE"""),"Yes")</f>
        <v>Yes</v>
      </c>
      <c r="G421" s="5" t="str">
        <f>IFERROR(__xludf.DUMMYFUNCTION("""COMPUTED_VALUE"""),"Yes")</f>
        <v>Yes</v>
      </c>
      <c r="H421" s="5" t="str">
        <f>IFERROR(__xludf.DUMMYFUNCTION("""COMPUTED_VALUE"""),"No")</f>
        <v>No</v>
      </c>
      <c r="I421" s="5" t="str">
        <f>IFERROR(__xludf.DUMMYFUNCTION("""COMPUTED_VALUE"""),"No")</f>
        <v>No</v>
      </c>
      <c r="J421" s="5" t="str">
        <f>IFERROR(__xludf.DUMMYFUNCTION("""COMPUTED_VALUE"""),"No")</f>
        <v>No</v>
      </c>
      <c r="K421" s="5" t="str">
        <f>IFERROR(__xludf.DUMMYFUNCTION("""COMPUTED_VALUE"""),"No")</f>
        <v>No</v>
      </c>
      <c r="L421" s="5" t="str">
        <f>IFERROR(__xludf.DUMMYFUNCTION("""COMPUTED_VALUE"""),"No")</f>
        <v>No</v>
      </c>
      <c r="M421" s="5" t="str">
        <f>IFERROR(__xludf.DUMMYFUNCTION("""COMPUTED_VALUE"""),"Yes")</f>
        <v>Yes</v>
      </c>
      <c r="N421" s="5" t="str">
        <f>IFERROR(__xludf.DUMMYFUNCTION("""COMPUTED_VALUE"""),"Yes")</f>
        <v>Yes</v>
      </c>
      <c r="O421" s="5" t="str">
        <f>IFERROR(__xludf.DUMMYFUNCTION("""COMPUTED_VALUE"""),"Yes")</f>
        <v>Yes</v>
      </c>
      <c r="P421" s="5" t="str">
        <f>IFERROR(__xludf.DUMMYFUNCTION("""COMPUTED_VALUE"""),"Yes")</f>
        <v>Yes</v>
      </c>
      <c r="Q421" s="5" t="str">
        <f>IFERROR(__xludf.DUMMYFUNCTION("""COMPUTED_VALUE"""),"Yes")</f>
        <v>Yes</v>
      </c>
      <c r="R421" s="5" t="str">
        <f>IFERROR(__xludf.DUMMYFUNCTION("""COMPUTED_VALUE"""),"No")</f>
        <v>No</v>
      </c>
      <c r="S421" s="5" t="str">
        <f>IFERROR(__xludf.DUMMYFUNCTION("""COMPUTED_VALUE"""),"Yes")</f>
        <v>Yes</v>
      </c>
      <c r="T421" s="5" t="str">
        <f>IFERROR(__xludf.DUMMYFUNCTION("""COMPUTED_VALUE"""),"No")</f>
        <v>No</v>
      </c>
      <c r="U421" s="5" t="str">
        <f>IFERROR(__xludf.DUMMYFUNCTION("""COMPUTED_VALUE"""),"No")</f>
        <v>No</v>
      </c>
      <c r="V421" s="5" t="str">
        <f>IFERROR(__xludf.DUMMYFUNCTION("""COMPUTED_VALUE"""),"No")</f>
        <v>No</v>
      </c>
      <c r="W421" s="5" t="str">
        <f>IFERROR(__xludf.DUMMYFUNCTION("""COMPUTED_VALUE"""),"No")</f>
        <v>No</v>
      </c>
      <c r="X421" s="5"/>
      <c r="Y421" s="5"/>
      <c r="Z421" s="5"/>
      <c r="AA421" s="5" t="str">
        <f>IFERROR(__xludf.DUMMYFUNCTION("""COMPUTED_VALUE"""),"Yes")</f>
        <v>Yes</v>
      </c>
      <c r="AB421" s="5"/>
      <c r="AC421" s="5" t="str">
        <f>IFERROR(__xludf.DUMMYFUNCTION("""COMPUTED_VALUE"""),"No")</f>
        <v>No</v>
      </c>
      <c r="AD421" s="5"/>
      <c r="AE421" s="5"/>
      <c r="AF421" s="5" t="str">
        <f>IFERROR(__xludf.DUMMYFUNCTION("""COMPUTED_VALUE"""),"Yes")</f>
        <v>Yes</v>
      </c>
      <c r="AG421" s="5"/>
      <c r="AH421" s="5"/>
      <c r="AI421" s="5"/>
      <c r="AJ421" s="5"/>
      <c r="AK421" s="5"/>
      <c r="AL421" s="5" t="str">
        <f>IFERROR(__xludf.DUMMYFUNCTION("""COMPUTED_VALUE"""),"Yes")</f>
        <v>Yes</v>
      </c>
      <c r="AM421" s="5"/>
      <c r="AN421" s="5"/>
      <c r="AO421" s="5"/>
      <c r="AP421" s="5"/>
      <c r="AQ421" s="5"/>
      <c r="AR421" s="5"/>
      <c r="AS421" s="5"/>
      <c r="AT421" s="5"/>
      <c r="AU421" s="5"/>
      <c r="AV421" s="5"/>
      <c r="AW421" s="5"/>
      <c r="AX421" s="5"/>
      <c r="AY421" s="5"/>
    </row>
    <row r="422">
      <c r="A42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2" s="5">
        <f>IFERROR(__xludf.DUMMYFUNCTION("""COMPUTED_VALUE"""),434.0)</f>
        <v>434</v>
      </c>
      <c r="C422" s="5">
        <f>IFERROR(__xludf.DUMMYFUNCTION("""COMPUTED_VALUE"""),999977.0)</f>
        <v>999977</v>
      </c>
      <c r="D422" s="5" t="str">
        <f>IFERROR(__xludf.DUMMYFUNCTION("""COMPUTED_VALUE"""),"TBD-T1")</f>
        <v>TBD-T1</v>
      </c>
      <c r="E422" s="5" t="str">
        <f>IFERROR(__xludf.DUMMYFUNCTION("""COMPUTED_VALUE"""),"Yes")</f>
        <v>Yes</v>
      </c>
      <c r="F422" s="5" t="str">
        <f>IFERROR(__xludf.DUMMYFUNCTION("""COMPUTED_VALUE"""),"Yes")</f>
        <v>Yes</v>
      </c>
      <c r="G422" s="5" t="str">
        <f>IFERROR(__xludf.DUMMYFUNCTION("""COMPUTED_VALUE"""),"No")</f>
        <v>No</v>
      </c>
      <c r="H422" s="5" t="str">
        <f>IFERROR(__xludf.DUMMYFUNCTION("""COMPUTED_VALUE"""),"Yes")</f>
        <v>Yes</v>
      </c>
      <c r="I422" s="5" t="str">
        <f>IFERROR(__xludf.DUMMYFUNCTION("""COMPUTED_VALUE"""),"Yes")</f>
        <v>Yes</v>
      </c>
      <c r="J422" s="5" t="str">
        <f>IFERROR(__xludf.DUMMYFUNCTION("""COMPUTED_VALUE"""),"Yes")</f>
        <v>Yes</v>
      </c>
      <c r="K422" s="5" t="str">
        <f>IFERROR(__xludf.DUMMYFUNCTION("""COMPUTED_VALUE"""),"Yes")</f>
        <v>Yes</v>
      </c>
      <c r="L422" s="5" t="str">
        <f>IFERROR(__xludf.DUMMYFUNCTION("""COMPUTED_VALUE"""),"Yes")</f>
        <v>Yes</v>
      </c>
      <c r="M422" s="5" t="str">
        <f>IFERROR(__xludf.DUMMYFUNCTION("""COMPUTED_VALUE"""),"Yes")</f>
        <v>Yes</v>
      </c>
      <c r="N422" s="5" t="str">
        <f>IFERROR(__xludf.DUMMYFUNCTION("""COMPUTED_VALUE"""),"Yes")</f>
        <v>Yes</v>
      </c>
      <c r="O422" s="5" t="str">
        <f>IFERROR(__xludf.DUMMYFUNCTION("""COMPUTED_VALUE"""),"Yes")</f>
        <v>Yes</v>
      </c>
      <c r="P422" s="5" t="str">
        <f>IFERROR(__xludf.DUMMYFUNCTION("""COMPUTED_VALUE"""),"Yes")</f>
        <v>Yes</v>
      </c>
      <c r="Q422" s="5" t="str">
        <f>IFERROR(__xludf.DUMMYFUNCTION("""COMPUTED_VALUE"""),"Yes")</f>
        <v>Yes</v>
      </c>
      <c r="R422" s="5" t="str">
        <f>IFERROR(__xludf.DUMMYFUNCTION("""COMPUTED_VALUE"""),"Yes")</f>
        <v>Yes</v>
      </c>
      <c r="S422" s="5" t="str">
        <f>IFERROR(__xludf.DUMMYFUNCTION("""COMPUTED_VALUE"""),"Yes")</f>
        <v>Yes</v>
      </c>
      <c r="T422" s="5" t="str">
        <f>IFERROR(__xludf.DUMMYFUNCTION("""COMPUTED_VALUE"""),"No")</f>
        <v>No</v>
      </c>
      <c r="U422" s="5" t="str">
        <f>IFERROR(__xludf.DUMMYFUNCTION("""COMPUTED_VALUE"""),"No")</f>
        <v>No</v>
      </c>
      <c r="V422" s="5" t="str">
        <f>IFERROR(__xludf.DUMMYFUNCTION("""COMPUTED_VALUE"""),"No")</f>
        <v>No</v>
      </c>
      <c r="W422" s="5" t="str">
        <f>IFERROR(__xludf.DUMMYFUNCTION("""COMPUTED_VALUE"""),"No")</f>
        <v>No</v>
      </c>
      <c r="X422" s="5" t="str">
        <f>IFERROR(__xludf.DUMMYFUNCTION("""COMPUTED_VALUE"""),"No")</f>
        <v>No</v>
      </c>
      <c r="Y422" s="5" t="str">
        <f>IFERROR(__xludf.DUMMYFUNCTION("""COMPUTED_VALUE"""),"No")</f>
        <v>No</v>
      </c>
      <c r="Z422" s="5" t="str">
        <f>IFERROR(__xludf.DUMMYFUNCTION("""COMPUTED_VALUE"""),"No")</f>
        <v>No</v>
      </c>
      <c r="AA422" s="5" t="str">
        <f>IFERROR(__xludf.DUMMYFUNCTION("""COMPUTED_VALUE"""),"Yes")</f>
        <v>Yes</v>
      </c>
      <c r="AB422" s="5" t="str">
        <f>IFERROR(__xludf.DUMMYFUNCTION("""COMPUTED_VALUE"""),"No")</f>
        <v>No</v>
      </c>
      <c r="AC422" s="5" t="str">
        <f>IFERROR(__xludf.DUMMYFUNCTION("""COMPUTED_VALUE"""),"No")</f>
        <v>No</v>
      </c>
      <c r="AD422" s="5" t="str">
        <f>IFERROR(__xludf.DUMMYFUNCTION("""COMPUTED_VALUE"""),"No")</f>
        <v>No</v>
      </c>
      <c r="AE422" s="5" t="str">
        <f>IFERROR(__xludf.DUMMYFUNCTION("""COMPUTED_VALUE"""),"No")</f>
        <v>No</v>
      </c>
      <c r="AF422" s="5" t="str">
        <f>IFERROR(__xludf.DUMMYFUNCTION("""COMPUTED_VALUE"""),"Yes")</f>
        <v>Yes</v>
      </c>
      <c r="AG422" s="5" t="str">
        <f>IFERROR(__xludf.DUMMYFUNCTION("""COMPUTED_VALUE"""),"No")</f>
        <v>No</v>
      </c>
      <c r="AH422" s="5" t="str">
        <f>IFERROR(__xludf.DUMMYFUNCTION("""COMPUTED_VALUE"""),"Yes")</f>
        <v>Yes</v>
      </c>
      <c r="AI422" s="5" t="str">
        <f>IFERROR(__xludf.DUMMYFUNCTION("""COMPUTED_VALUE"""),"No")</f>
        <v>No</v>
      </c>
      <c r="AJ422" s="5" t="str">
        <f>IFERROR(__xludf.DUMMYFUNCTION("""COMPUTED_VALUE"""),"No")</f>
        <v>No</v>
      </c>
      <c r="AK422" s="5" t="str">
        <f>IFERROR(__xludf.DUMMYFUNCTION("""COMPUTED_VALUE"""),"No")</f>
        <v>No</v>
      </c>
      <c r="AL422" s="5" t="str">
        <f>IFERROR(__xludf.DUMMYFUNCTION("""COMPUTED_VALUE"""),"No")</f>
        <v>No</v>
      </c>
      <c r="AM422" s="5"/>
      <c r="AN422" s="5"/>
      <c r="AO422" s="5"/>
      <c r="AP422" s="5"/>
      <c r="AQ422" s="5"/>
      <c r="AR422" s="5"/>
      <c r="AS422" s="5"/>
      <c r="AT422" s="5"/>
      <c r="AU422" s="5"/>
      <c r="AV422" s="5"/>
      <c r="AW422" s="5"/>
      <c r="AX422" s="5"/>
      <c r="AY422" s="5"/>
    </row>
    <row r="423">
      <c r="A4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23" s="5">
        <f>IFERROR(__xludf.DUMMYFUNCTION("""COMPUTED_VALUE"""),435.0)</f>
        <v>435</v>
      </c>
      <c r="C423" s="5">
        <f>IFERROR(__xludf.DUMMYFUNCTION("""COMPUTED_VALUE"""),375.0)</f>
        <v>375</v>
      </c>
      <c r="D423" s="5" t="str">
        <f>IFERROR(__xludf.DUMMYFUNCTION("""COMPUTED_VALUE"""),"UnicornSavanaFruits")</f>
        <v>UnicornSavanaFruits</v>
      </c>
      <c r="E423" s="5" t="str">
        <f>IFERROR(__xludf.DUMMYFUNCTION("""COMPUTED_VALUE"""),"Yes")</f>
        <v>Yes</v>
      </c>
      <c r="F423" s="5" t="str">
        <f>IFERROR(__xludf.DUMMYFUNCTION("""COMPUTED_VALUE"""),"Yes")</f>
        <v>Yes</v>
      </c>
      <c r="G423" s="5" t="str">
        <f>IFERROR(__xludf.DUMMYFUNCTION("""COMPUTED_VALUE"""),"Yes")</f>
        <v>Yes</v>
      </c>
      <c r="H423" s="5" t="str">
        <f>IFERROR(__xludf.DUMMYFUNCTION("""COMPUTED_VALUE"""),"Yes")</f>
        <v>Yes</v>
      </c>
      <c r="I423" s="5" t="str">
        <f>IFERROR(__xludf.DUMMYFUNCTION("""COMPUTED_VALUE"""),"Yes")</f>
        <v>Yes</v>
      </c>
      <c r="J423" s="5" t="str">
        <f>IFERROR(__xludf.DUMMYFUNCTION("""COMPUTED_VALUE"""),"Yes")</f>
        <v>Yes</v>
      </c>
      <c r="K423" s="5" t="str">
        <f>IFERROR(__xludf.DUMMYFUNCTION("""COMPUTED_VALUE"""),"Yes")</f>
        <v>Yes</v>
      </c>
      <c r="L423" s="5" t="str">
        <f>IFERROR(__xludf.DUMMYFUNCTION("""COMPUTED_VALUE"""),"Yes")</f>
        <v>Yes</v>
      </c>
      <c r="M423" s="5" t="str">
        <f>IFERROR(__xludf.DUMMYFUNCTION("""COMPUTED_VALUE"""),"Yes")</f>
        <v>Yes</v>
      </c>
      <c r="N423" s="5" t="str">
        <f>IFERROR(__xludf.DUMMYFUNCTION("""COMPUTED_VALUE"""),"Yes")</f>
        <v>Yes</v>
      </c>
      <c r="O423" s="5" t="str">
        <f>IFERROR(__xludf.DUMMYFUNCTION("""COMPUTED_VALUE"""),"Yes")</f>
        <v>Yes</v>
      </c>
      <c r="P423" s="5" t="str">
        <f>IFERROR(__xludf.DUMMYFUNCTION("""COMPUTED_VALUE"""),"Yes")</f>
        <v>Yes</v>
      </c>
      <c r="Q423" s="5" t="str">
        <f>IFERROR(__xludf.DUMMYFUNCTION("""COMPUTED_VALUE"""),"Yes")</f>
        <v>Yes</v>
      </c>
      <c r="R423" s="5" t="str">
        <f>IFERROR(__xludf.DUMMYFUNCTION("""COMPUTED_VALUE"""),"Yes")</f>
        <v>Yes</v>
      </c>
      <c r="S423" s="5" t="str">
        <f>IFERROR(__xludf.DUMMYFUNCTION("""COMPUTED_VALUE"""),"Yes")</f>
        <v>Yes</v>
      </c>
      <c r="T423" s="5" t="str">
        <f>IFERROR(__xludf.DUMMYFUNCTION("""COMPUTED_VALUE"""),"Yes")</f>
        <v>Yes</v>
      </c>
      <c r="U423" s="5" t="str">
        <f>IFERROR(__xludf.DUMMYFUNCTION("""COMPUTED_VALUE"""),"Yes")</f>
        <v>Yes</v>
      </c>
      <c r="V423" s="5" t="str">
        <f>IFERROR(__xludf.DUMMYFUNCTION("""COMPUTED_VALUE"""),"Yes")</f>
        <v>Yes</v>
      </c>
      <c r="W423" s="5" t="str">
        <f>IFERROR(__xludf.DUMMYFUNCTION("""COMPUTED_VALUE"""),"Yes")</f>
        <v>Yes</v>
      </c>
      <c r="X423" s="5"/>
      <c r="Y423" s="5"/>
      <c r="Z423" s="5"/>
      <c r="AA423" s="5"/>
      <c r="AB423" s="5"/>
      <c r="AC423" s="5" t="str">
        <f>IFERROR(__xludf.DUMMYFUNCTION("""COMPUTED_VALUE"""),"Yes")</f>
        <v>Yes</v>
      </c>
      <c r="AD423" s="5"/>
      <c r="AE423" s="5"/>
      <c r="AF423" s="5"/>
      <c r="AG423" s="5"/>
      <c r="AH423" s="5"/>
      <c r="AI423" s="5"/>
      <c r="AJ423" s="5"/>
      <c r="AK423" s="5"/>
      <c r="AL423" s="5"/>
      <c r="AM423" s="5"/>
      <c r="AN423" s="5"/>
      <c r="AO423" s="5"/>
      <c r="AP423" s="5"/>
      <c r="AQ423" s="5"/>
      <c r="AR423" s="5"/>
      <c r="AS423" s="5"/>
      <c r="AT423" s="5"/>
      <c r="AU423" s="5"/>
      <c r="AV423" s="5"/>
      <c r="AW423" s="5"/>
      <c r="AX423" s="5"/>
      <c r="AY423" s="5"/>
    </row>
    <row r="424">
      <c r="A42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4" s="5">
        <f>IFERROR(__xludf.DUMMYFUNCTION("""COMPUTED_VALUE"""),436.0)</f>
        <v>436</v>
      </c>
      <c r="C424" s="5">
        <f>IFERROR(__xludf.DUMMYFUNCTION("""COMPUTED_VALUE"""),180012.0)</f>
        <v>180012</v>
      </c>
      <c r="D424" s="5" t="str">
        <f>IFERROR(__xludf.DUMMYFUNCTION("""COMPUTED_VALUE"""),"RedstoneStickyTiki")</f>
        <v>RedstoneStickyTiki</v>
      </c>
      <c r="E424" s="5" t="str">
        <f>IFERROR(__xludf.DUMMYFUNCTION("""COMPUTED_VALUE"""),"Yes")</f>
        <v>Yes</v>
      </c>
      <c r="F424" s="5" t="str">
        <f>IFERROR(__xludf.DUMMYFUNCTION("""COMPUTED_VALUE"""),"Yes")</f>
        <v>Yes</v>
      </c>
      <c r="G424" s="5" t="str">
        <f>IFERROR(__xludf.DUMMYFUNCTION("""COMPUTED_VALUE"""),"Yes")</f>
        <v>Yes</v>
      </c>
      <c r="H424" s="5" t="str">
        <f>IFERROR(__xludf.DUMMYFUNCTION("""COMPUTED_VALUE"""),"No")</f>
        <v>No</v>
      </c>
      <c r="I424" s="5" t="str">
        <f>IFERROR(__xludf.DUMMYFUNCTION("""COMPUTED_VALUE"""),"No")</f>
        <v>No</v>
      </c>
      <c r="J424" s="5" t="str">
        <f>IFERROR(__xludf.DUMMYFUNCTION("""COMPUTED_VALUE"""),"No")</f>
        <v>No</v>
      </c>
      <c r="K424" s="5" t="str">
        <f>IFERROR(__xludf.DUMMYFUNCTION("""COMPUTED_VALUE"""),"No")</f>
        <v>No</v>
      </c>
      <c r="L424" s="5" t="str">
        <f>IFERROR(__xludf.DUMMYFUNCTION("""COMPUTED_VALUE"""),"No")</f>
        <v>No</v>
      </c>
      <c r="M424" s="5" t="str">
        <f>IFERROR(__xludf.DUMMYFUNCTION("""COMPUTED_VALUE"""),"Yes")</f>
        <v>Yes</v>
      </c>
      <c r="N424" s="5" t="str">
        <f>IFERROR(__xludf.DUMMYFUNCTION("""COMPUTED_VALUE"""),"Yes")</f>
        <v>Yes</v>
      </c>
      <c r="O424" s="5" t="str">
        <f>IFERROR(__xludf.DUMMYFUNCTION("""COMPUTED_VALUE"""),"Yes")</f>
        <v>Yes</v>
      </c>
      <c r="P424" s="5" t="str">
        <f>IFERROR(__xludf.DUMMYFUNCTION("""COMPUTED_VALUE"""),"Yes")</f>
        <v>Yes</v>
      </c>
      <c r="Q424" s="5" t="str">
        <f>IFERROR(__xludf.DUMMYFUNCTION("""COMPUTED_VALUE"""),"Yes")</f>
        <v>Yes</v>
      </c>
      <c r="R424" s="5" t="str">
        <f>IFERROR(__xludf.DUMMYFUNCTION("""COMPUTED_VALUE"""),"No")</f>
        <v>No</v>
      </c>
      <c r="S424" s="5" t="str">
        <f>IFERROR(__xludf.DUMMYFUNCTION("""COMPUTED_VALUE"""),"Yes")</f>
        <v>Yes</v>
      </c>
      <c r="T424" s="5" t="str">
        <f>IFERROR(__xludf.DUMMYFUNCTION("""COMPUTED_VALUE"""),"No")</f>
        <v>No</v>
      </c>
      <c r="U424" s="5" t="str">
        <f>IFERROR(__xludf.DUMMYFUNCTION("""COMPUTED_VALUE"""),"No")</f>
        <v>No</v>
      </c>
      <c r="V424" s="5" t="str">
        <f>IFERROR(__xludf.DUMMYFUNCTION("""COMPUTED_VALUE"""),"No")</f>
        <v>No</v>
      </c>
      <c r="W424" s="5" t="str">
        <f>IFERROR(__xludf.DUMMYFUNCTION("""COMPUTED_VALUE"""),"No")</f>
        <v>No</v>
      </c>
      <c r="X424" s="5"/>
      <c r="Y424" s="5"/>
      <c r="Z424" s="5"/>
      <c r="AA424" s="5" t="str">
        <f>IFERROR(__xludf.DUMMYFUNCTION("""COMPUTED_VALUE"""),"Yes")</f>
        <v>Yes</v>
      </c>
      <c r="AB424" s="5"/>
      <c r="AC424" s="5" t="str">
        <f>IFERROR(__xludf.DUMMYFUNCTION("""COMPUTED_VALUE"""),"No")</f>
        <v>No</v>
      </c>
      <c r="AD424" s="5"/>
      <c r="AE424" s="5"/>
      <c r="AF424" s="5" t="str">
        <f>IFERROR(__xludf.DUMMYFUNCTION("""COMPUTED_VALUE"""),"Yes")</f>
        <v>Yes</v>
      </c>
      <c r="AG424" s="5"/>
      <c r="AH424" s="5"/>
      <c r="AI424" s="5"/>
      <c r="AJ424" s="5"/>
      <c r="AK424" s="5"/>
      <c r="AL424" s="5" t="str">
        <f>IFERROR(__xludf.DUMMYFUNCTION("""COMPUTED_VALUE"""),"Yes")</f>
        <v>Yes</v>
      </c>
      <c r="AM424" s="5"/>
      <c r="AN424" s="5"/>
      <c r="AO424" s="5"/>
      <c r="AP424" s="5"/>
      <c r="AQ424" s="5"/>
      <c r="AR424" s="5"/>
      <c r="AS424" s="5"/>
      <c r="AT424" s="5"/>
      <c r="AU424" s="5"/>
      <c r="AV424" s="5"/>
      <c r="AW424" s="5"/>
      <c r="AX424" s="5"/>
      <c r="AY424" s="5"/>
    </row>
    <row r="425">
      <c r="A425"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5" s="5">
        <f>IFERROR(__xludf.DUMMYFUNCTION("""COMPUTED_VALUE"""),437.0)</f>
        <v>437</v>
      </c>
      <c r="C425" s="5">
        <f>IFERROR(__xludf.DUMMYFUNCTION("""COMPUTED_VALUE"""),180011.0)</f>
        <v>180011</v>
      </c>
      <c r="D425" s="5" t="str">
        <f>IFERROR(__xludf.DUMMYFUNCTION("""COMPUTED_VALUE"""),"RedstoneHotRushTripleStar")</f>
        <v>RedstoneHotRushTripleStar</v>
      </c>
      <c r="E425" s="5" t="str">
        <f>IFERROR(__xludf.DUMMYFUNCTION("""COMPUTED_VALUE"""),"Yes")</f>
        <v>Yes</v>
      </c>
      <c r="F425" s="5" t="str">
        <f>IFERROR(__xludf.DUMMYFUNCTION("""COMPUTED_VALUE"""),"Yes")</f>
        <v>Yes</v>
      </c>
      <c r="G425" s="5" t="str">
        <f>IFERROR(__xludf.DUMMYFUNCTION("""COMPUTED_VALUE"""),"No")</f>
        <v>No</v>
      </c>
      <c r="H425" s="5" t="str">
        <f>IFERROR(__xludf.DUMMYFUNCTION("""COMPUTED_VALUE"""),"Yes")</f>
        <v>Yes</v>
      </c>
      <c r="I425" s="5" t="str">
        <f>IFERROR(__xludf.DUMMYFUNCTION("""COMPUTED_VALUE"""),"Yes")</f>
        <v>Yes</v>
      </c>
      <c r="J425" s="5" t="str">
        <f>IFERROR(__xludf.DUMMYFUNCTION("""COMPUTED_VALUE"""),"Yes")</f>
        <v>Yes</v>
      </c>
      <c r="K425" s="5" t="str">
        <f>IFERROR(__xludf.DUMMYFUNCTION("""COMPUTED_VALUE"""),"Yes")</f>
        <v>Yes</v>
      </c>
      <c r="L425" s="5" t="str">
        <f>IFERROR(__xludf.DUMMYFUNCTION("""COMPUTED_VALUE"""),"Yes")</f>
        <v>Yes</v>
      </c>
      <c r="M425" s="5" t="str">
        <f>IFERROR(__xludf.DUMMYFUNCTION("""COMPUTED_VALUE"""),"Yes")</f>
        <v>Yes</v>
      </c>
      <c r="N425" s="5" t="str">
        <f>IFERROR(__xludf.DUMMYFUNCTION("""COMPUTED_VALUE"""),"Yes")</f>
        <v>Yes</v>
      </c>
      <c r="O425" s="5" t="str">
        <f>IFERROR(__xludf.DUMMYFUNCTION("""COMPUTED_VALUE"""),"Yes")</f>
        <v>Yes</v>
      </c>
      <c r="P425" s="5" t="str">
        <f>IFERROR(__xludf.DUMMYFUNCTION("""COMPUTED_VALUE"""),"Yes")</f>
        <v>Yes</v>
      </c>
      <c r="Q425" s="5" t="str">
        <f>IFERROR(__xludf.DUMMYFUNCTION("""COMPUTED_VALUE"""),"Yes")</f>
        <v>Yes</v>
      </c>
      <c r="R425" s="5" t="str">
        <f>IFERROR(__xludf.DUMMYFUNCTION("""COMPUTED_VALUE"""),"Yes")</f>
        <v>Yes</v>
      </c>
      <c r="S425" s="5" t="str">
        <f>IFERROR(__xludf.DUMMYFUNCTION("""COMPUTED_VALUE"""),"Yes")</f>
        <v>Yes</v>
      </c>
      <c r="T425" s="5" t="str">
        <f>IFERROR(__xludf.DUMMYFUNCTION("""COMPUTED_VALUE"""),"No")</f>
        <v>No</v>
      </c>
      <c r="U425" s="5" t="str">
        <f>IFERROR(__xludf.DUMMYFUNCTION("""COMPUTED_VALUE"""),"No")</f>
        <v>No</v>
      </c>
      <c r="V425" s="5" t="str">
        <f>IFERROR(__xludf.DUMMYFUNCTION("""COMPUTED_VALUE"""),"No")</f>
        <v>No</v>
      </c>
      <c r="W425" s="5" t="str">
        <f>IFERROR(__xludf.DUMMYFUNCTION("""COMPUTED_VALUE"""),"No")</f>
        <v>No</v>
      </c>
      <c r="X425" s="5" t="str">
        <f>IFERROR(__xludf.DUMMYFUNCTION("""COMPUTED_VALUE"""),"No")</f>
        <v>No</v>
      </c>
      <c r="Y425" s="5" t="str">
        <f>IFERROR(__xludf.DUMMYFUNCTION("""COMPUTED_VALUE"""),"No")</f>
        <v>No</v>
      </c>
      <c r="Z425" s="5" t="str">
        <f>IFERROR(__xludf.DUMMYFUNCTION("""COMPUTED_VALUE"""),"No")</f>
        <v>No</v>
      </c>
      <c r="AA425" s="5" t="str">
        <f>IFERROR(__xludf.DUMMYFUNCTION("""COMPUTED_VALUE"""),"Yes")</f>
        <v>Yes</v>
      </c>
      <c r="AB425" s="5" t="str">
        <f>IFERROR(__xludf.DUMMYFUNCTION("""COMPUTED_VALUE"""),"No")</f>
        <v>No</v>
      </c>
      <c r="AC425" s="5" t="str">
        <f>IFERROR(__xludf.DUMMYFUNCTION("""COMPUTED_VALUE"""),"No")</f>
        <v>No</v>
      </c>
      <c r="AD425" s="5" t="str">
        <f>IFERROR(__xludf.DUMMYFUNCTION("""COMPUTED_VALUE"""),"No")</f>
        <v>No</v>
      </c>
      <c r="AE425" s="5" t="str">
        <f>IFERROR(__xludf.DUMMYFUNCTION("""COMPUTED_VALUE"""),"No")</f>
        <v>No</v>
      </c>
      <c r="AF425" s="5" t="str">
        <f>IFERROR(__xludf.DUMMYFUNCTION("""COMPUTED_VALUE"""),"Yes")</f>
        <v>Yes</v>
      </c>
      <c r="AG425" s="5" t="str">
        <f>IFERROR(__xludf.DUMMYFUNCTION("""COMPUTED_VALUE"""),"No")</f>
        <v>No</v>
      </c>
      <c r="AH425" s="5" t="str">
        <f>IFERROR(__xludf.DUMMYFUNCTION("""COMPUTED_VALUE"""),"Yes")</f>
        <v>Yes</v>
      </c>
      <c r="AI425" s="5" t="str">
        <f>IFERROR(__xludf.DUMMYFUNCTION("""COMPUTED_VALUE"""),"No")</f>
        <v>No</v>
      </c>
      <c r="AJ425" s="5" t="str">
        <f>IFERROR(__xludf.DUMMYFUNCTION("""COMPUTED_VALUE"""),"No")</f>
        <v>No</v>
      </c>
      <c r="AK425" s="5" t="str">
        <f>IFERROR(__xludf.DUMMYFUNCTION("""COMPUTED_VALUE"""),"No")</f>
        <v>No</v>
      </c>
      <c r="AL425" s="5" t="str">
        <f>IFERROR(__xludf.DUMMYFUNCTION("""COMPUTED_VALUE"""),"No")</f>
        <v>No</v>
      </c>
      <c r="AM425" s="5"/>
      <c r="AN425" s="5"/>
      <c r="AO425" s="5"/>
      <c r="AP425" s="5"/>
      <c r="AQ425" s="5"/>
      <c r="AR425" s="5"/>
      <c r="AS425" s="5"/>
      <c r="AT425" s="5"/>
      <c r="AU425" s="5"/>
      <c r="AV425" s="5"/>
      <c r="AW425" s="5"/>
      <c r="AX425" s="5"/>
      <c r="AY425" s="5"/>
    </row>
    <row r="426">
      <c r="A4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6" s="5">
        <f>IFERROR(__xludf.DUMMYFUNCTION("""COMPUTED_VALUE"""),439.0)</f>
        <v>439</v>
      </c>
      <c r="C426" s="5">
        <f>IFERROR(__xludf.DUMMYFUNCTION("""COMPUTED_VALUE"""),4011.0)</f>
        <v>4011</v>
      </c>
      <c r="D426" s="5" t="str">
        <f>IFERROR(__xludf.DUMMYFUNCTION("""COMPUTED_VALUE"""),"HeartsAndStars")</f>
        <v>HeartsAndStars</v>
      </c>
      <c r="E426" s="5" t="str">
        <f>IFERROR(__xludf.DUMMYFUNCTION("""COMPUTED_VALUE"""),"Yes")</f>
        <v>Yes</v>
      </c>
      <c r="F426" s="5" t="str">
        <f>IFERROR(__xludf.DUMMYFUNCTION("""COMPUTED_VALUE"""),"Yes")</f>
        <v>Yes</v>
      </c>
      <c r="G426" s="5" t="str">
        <f>IFERROR(__xludf.DUMMYFUNCTION("""COMPUTED_VALUE"""),"Yes")</f>
        <v>Yes</v>
      </c>
      <c r="H426" s="5" t="str">
        <f>IFERROR(__xludf.DUMMYFUNCTION("""COMPUTED_VALUE"""),"Yes")</f>
        <v>Yes</v>
      </c>
      <c r="I426" s="5" t="str">
        <f>IFERROR(__xludf.DUMMYFUNCTION("""COMPUTED_VALUE"""),"Yes")</f>
        <v>Yes</v>
      </c>
      <c r="J426" s="5" t="str">
        <f>IFERROR(__xludf.DUMMYFUNCTION("""COMPUTED_VALUE"""),"Yes")</f>
        <v>Yes</v>
      </c>
      <c r="K426" s="5" t="str">
        <f>IFERROR(__xludf.DUMMYFUNCTION("""COMPUTED_VALUE"""),"Yes")</f>
        <v>Yes</v>
      </c>
      <c r="L426" s="5" t="str">
        <f>IFERROR(__xludf.DUMMYFUNCTION("""COMPUTED_VALUE"""),"Yes")</f>
        <v>Yes</v>
      </c>
      <c r="M426" s="5" t="str">
        <f>IFERROR(__xludf.DUMMYFUNCTION("""COMPUTED_VALUE"""),"Yes")</f>
        <v>Yes</v>
      </c>
      <c r="N426" s="5" t="str">
        <f>IFERROR(__xludf.DUMMYFUNCTION("""COMPUTED_VALUE"""),"Yes")</f>
        <v>Yes</v>
      </c>
      <c r="O426" s="5" t="str">
        <f>IFERROR(__xludf.DUMMYFUNCTION("""COMPUTED_VALUE"""),"Yes")</f>
        <v>Yes</v>
      </c>
      <c r="P426" s="5" t="str">
        <f>IFERROR(__xludf.DUMMYFUNCTION("""COMPUTED_VALUE"""),"Yes")</f>
        <v>Yes</v>
      </c>
      <c r="Q426" s="5" t="str">
        <f>IFERROR(__xludf.DUMMYFUNCTION("""COMPUTED_VALUE"""),"Yes")</f>
        <v>Yes</v>
      </c>
      <c r="R426" s="5" t="str">
        <f>IFERROR(__xludf.DUMMYFUNCTION("""COMPUTED_VALUE"""),"Yes")</f>
        <v>Yes</v>
      </c>
      <c r="S426" s="5" t="str">
        <f>IFERROR(__xludf.DUMMYFUNCTION("""COMPUTED_VALUE"""),"Yes")</f>
        <v>Yes</v>
      </c>
      <c r="T426" s="5" t="str">
        <f>IFERROR(__xludf.DUMMYFUNCTION("""COMPUTED_VALUE"""),"Yes")</f>
        <v>Yes</v>
      </c>
      <c r="U426" s="5" t="str">
        <f>IFERROR(__xludf.DUMMYFUNCTION("""COMPUTED_VALUE"""),"Yes")</f>
        <v>Yes</v>
      </c>
      <c r="V426" s="5" t="str">
        <f>IFERROR(__xludf.DUMMYFUNCTION("""COMPUTED_VALUE"""),"Yes")</f>
        <v>Yes</v>
      </c>
      <c r="W426" s="5" t="str">
        <f>IFERROR(__xludf.DUMMYFUNCTION("""COMPUTED_VALUE"""),"Yes")</f>
        <v>Yes</v>
      </c>
      <c r="X426" s="5" t="str">
        <f>IFERROR(__xludf.DUMMYFUNCTION("""COMPUTED_VALUE"""),"Yes")</f>
        <v>Yes</v>
      </c>
      <c r="Y426" s="5" t="str">
        <f>IFERROR(__xludf.DUMMYFUNCTION("""COMPUTED_VALUE"""),"Yes")</f>
        <v>Yes</v>
      </c>
      <c r="Z426" s="5" t="str">
        <f>IFERROR(__xludf.DUMMYFUNCTION("""COMPUTED_VALUE"""),"No")</f>
        <v>No</v>
      </c>
      <c r="AA426" s="5" t="str">
        <f>IFERROR(__xludf.DUMMYFUNCTION("""COMPUTED_VALUE"""),"Yes")</f>
        <v>Yes</v>
      </c>
      <c r="AB426" s="5" t="str">
        <f>IFERROR(__xludf.DUMMYFUNCTION("""COMPUTED_VALUE"""),"Yes")</f>
        <v>Yes</v>
      </c>
      <c r="AC426" s="5" t="str">
        <f>IFERROR(__xludf.DUMMYFUNCTION("""COMPUTED_VALUE"""),"Yes")</f>
        <v>Yes</v>
      </c>
      <c r="AD426" s="5" t="str">
        <f>IFERROR(__xludf.DUMMYFUNCTION("""COMPUTED_VALUE"""),"Yes")</f>
        <v>Yes</v>
      </c>
      <c r="AE426" s="5" t="str">
        <f>IFERROR(__xludf.DUMMYFUNCTION("""COMPUTED_VALUE"""),"No")</f>
        <v>No</v>
      </c>
      <c r="AF426" s="5" t="str">
        <f>IFERROR(__xludf.DUMMYFUNCTION("""COMPUTED_VALUE"""),"Yes")</f>
        <v>Yes</v>
      </c>
      <c r="AG426" s="5" t="str">
        <f>IFERROR(__xludf.DUMMYFUNCTION("""COMPUTED_VALUE"""),"No")</f>
        <v>No</v>
      </c>
      <c r="AH426" s="5" t="str">
        <f>IFERROR(__xludf.DUMMYFUNCTION("""COMPUTED_VALUE"""),"No")</f>
        <v>No</v>
      </c>
      <c r="AI426" s="5" t="str">
        <f>IFERROR(__xludf.DUMMYFUNCTION("""COMPUTED_VALUE"""),"No")</f>
        <v>No</v>
      </c>
      <c r="AJ426" s="5" t="str">
        <f>IFERROR(__xludf.DUMMYFUNCTION("""COMPUTED_VALUE"""),"No")</f>
        <v>No</v>
      </c>
      <c r="AK426" s="5" t="str">
        <f>IFERROR(__xludf.DUMMYFUNCTION("""COMPUTED_VALUE"""),"No")</f>
        <v>No</v>
      </c>
      <c r="AL426" s="5" t="str">
        <f>IFERROR(__xludf.DUMMYFUNCTION("""COMPUTED_VALUE"""),"No")</f>
        <v>No</v>
      </c>
      <c r="AM426" s="5"/>
      <c r="AN426" s="5"/>
      <c r="AO426" s="5"/>
      <c r="AP426" s="5"/>
      <c r="AQ426" s="5"/>
      <c r="AR426" s="5"/>
      <c r="AS426" s="5"/>
      <c r="AT426" s="5"/>
      <c r="AU426" s="5"/>
      <c r="AV426" s="5"/>
      <c r="AW426" s="5"/>
      <c r="AX426" s="5"/>
      <c r="AY426" s="5"/>
    </row>
    <row r="427">
      <c r="A4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27" s="5">
        <f>IFERROR(__xludf.DUMMYFUNCTION("""COMPUTED_VALUE"""),440.0)</f>
        <v>440</v>
      </c>
      <c r="C427" s="5">
        <f>IFERROR(__xludf.DUMMYFUNCTION("""COMPUTED_VALUE"""),3007.0)</f>
        <v>3007</v>
      </c>
      <c r="D427" s="5" t="str">
        <f>IFERROR(__xludf.DUMMYFUNCTION("""COMPUTED_VALUE"""),"TopHot5")</f>
        <v>TopHot5</v>
      </c>
      <c r="E427" s="5" t="str">
        <f>IFERROR(__xludf.DUMMYFUNCTION("""COMPUTED_VALUE"""),"Yes")</f>
        <v>Yes</v>
      </c>
      <c r="F427" s="5" t="str">
        <f>IFERROR(__xludf.DUMMYFUNCTION("""COMPUTED_VALUE"""),"Yes")</f>
        <v>Yes</v>
      </c>
      <c r="G427" s="5" t="str">
        <f>IFERROR(__xludf.DUMMYFUNCTION("""COMPUTED_VALUE"""),"Yes")</f>
        <v>Yes</v>
      </c>
      <c r="H427" s="5" t="str">
        <f>IFERROR(__xludf.DUMMYFUNCTION("""COMPUTED_VALUE"""),"Yes")</f>
        <v>Yes</v>
      </c>
      <c r="I427" s="5" t="str">
        <f>IFERROR(__xludf.DUMMYFUNCTION("""COMPUTED_VALUE"""),"Yes")</f>
        <v>Yes</v>
      </c>
      <c r="J427" s="5" t="str">
        <f>IFERROR(__xludf.DUMMYFUNCTION("""COMPUTED_VALUE"""),"Yes")</f>
        <v>Yes</v>
      </c>
      <c r="K427" s="5" t="str">
        <f>IFERROR(__xludf.DUMMYFUNCTION("""COMPUTED_VALUE"""),"Yes")</f>
        <v>Yes</v>
      </c>
      <c r="L427" s="5" t="str">
        <f>IFERROR(__xludf.DUMMYFUNCTION("""COMPUTED_VALUE"""),"Yes")</f>
        <v>Yes</v>
      </c>
      <c r="M427" s="5" t="str">
        <f>IFERROR(__xludf.DUMMYFUNCTION("""COMPUTED_VALUE"""),"Yes")</f>
        <v>Yes</v>
      </c>
      <c r="N427" s="5" t="str">
        <f>IFERROR(__xludf.DUMMYFUNCTION("""COMPUTED_VALUE"""),"Yes")</f>
        <v>Yes</v>
      </c>
      <c r="O427" s="5" t="str">
        <f>IFERROR(__xludf.DUMMYFUNCTION("""COMPUTED_VALUE"""),"Yes")</f>
        <v>Yes</v>
      </c>
      <c r="P427" s="5" t="str">
        <f>IFERROR(__xludf.DUMMYFUNCTION("""COMPUTED_VALUE"""),"Yes")</f>
        <v>Yes</v>
      </c>
      <c r="Q427" s="5" t="str">
        <f>IFERROR(__xludf.DUMMYFUNCTION("""COMPUTED_VALUE"""),"Yes")</f>
        <v>Yes</v>
      </c>
      <c r="R427" s="5" t="str">
        <f>IFERROR(__xludf.DUMMYFUNCTION("""COMPUTED_VALUE"""),"Yes")</f>
        <v>Yes</v>
      </c>
      <c r="S427" s="5" t="str">
        <f>IFERROR(__xludf.DUMMYFUNCTION("""COMPUTED_VALUE"""),"Yes")</f>
        <v>Yes</v>
      </c>
      <c r="T427" s="5" t="str">
        <f>IFERROR(__xludf.DUMMYFUNCTION("""COMPUTED_VALUE"""),"Yes")</f>
        <v>Yes</v>
      </c>
      <c r="U427" s="5" t="str">
        <f>IFERROR(__xludf.DUMMYFUNCTION("""COMPUTED_VALUE"""),"Yes")</f>
        <v>Yes</v>
      </c>
      <c r="V427" s="5" t="str">
        <f>IFERROR(__xludf.DUMMYFUNCTION("""COMPUTED_VALUE"""),"Yes")</f>
        <v>Yes</v>
      </c>
      <c r="W427" s="5" t="str">
        <f>IFERROR(__xludf.DUMMYFUNCTION("""COMPUTED_VALUE"""),"Yes")</f>
        <v>Yes</v>
      </c>
      <c r="X427" s="5" t="str">
        <f>IFERROR(__xludf.DUMMYFUNCTION("""COMPUTED_VALUE"""),"Yes")</f>
        <v>Yes</v>
      </c>
      <c r="Y427" s="5" t="str">
        <f>IFERROR(__xludf.DUMMYFUNCTION("""COMPUTED_VALUE"""),"Yes")</f>
        <v>Yes</v>
      </c>
      <c r="Z427" s="5" t="str">
        <f>IFERROR(__xludf.DUMMYFUNCTION("""COMPUTED_VALUE"""),"Yes")</f>
        <v>Yes</v>
      </c>
      <c r="AA427" s="5" t="str">
        <f>IFERROR(__xludf.DUMMYFUNCTION("""COMPUTED_VALUE"""),"Yes")</f>
        <v>Yes</v>
      </c>
      <c r="AB427" s="5" t="str">
        <f>IFERROR(__xludf.DUMMYFUNCTION("""COMPUTED_VALUE"""),"Yes")</f>
        <v>Yes</v>
      </c>
      <c r="AC427" s="5" t="str">
        <f>IFERROR(__xludf.DUMMYFUNCTION("""COMPUTED_VALUE"""),"Yes")</f>
        <v>Yes</v>
      </c>
      <c r="AD427" s="5" t="str">
        <f>IFERROR(__xludf.DUMMYFUNCTION("""COMPUTED_VALUE"""),"Yes")</f>
        <v>Yes</v>
      </c>
      <c r="AE427" s="5" t="str">
        <f>IFERROR(__xludf.DUMMYFUNCTION("""COMPUTED_VALUE"""),"Yes")</f>
        <v>Yes</v>
      </c>
      <c r="AF427" s="5" t="str">
        <f>IFERROR(__xludf.DUMMYFUNCTION("""COMPUTED_VALUE"""),"Yes")</f>
        <v>Yes</v>
      </c>
      <c r="AG427" s="5" t="str">
        <f>IFERROR(__xludf.DUMMYFUNCTION("""COMPUTED_VALUE"""),"Yes")</f>
        <v>Yes</v>
      </c>
      <c r="AH427" s="5" t="str">
        <f>IFERROR(__xludf.DUMMYFUNCTION("""COMPUTED_VALUE"""),"Yes")</f>
        <v>Yes</v>
      </c>
      <c r="AI427" s="5" t="str">
        <f>IFERROR(__xludf.DUMMYFUNCTION("""COMPUTED_VALUE"""),"No")</f>
        <v>No</v>
      </c>
      <c r="AJ427" s="5" t="str">
        <f>IFERROR(__xludf.DUMMYFUNCTION("""COMPUTED_VALUE"""),"No")</f>
        <v>No</v>
      </c>
      <c r="AK427" s="5" t="str">
        <f>IFERROR(__xludf.DUMMYFUNCTION("""COMPUTED_VALUE"""),"No")</f>
        <v>No</v>
      </c>
      <c r="AL427" s="5" t="str">
        <f>IFERROR(__xludf.DUMMYFUNCTION("""COMPUTED_VALUE"""),"No")</f>
        <v>No</v>
      </c>
      <c r="AM427" s="5"/>
      <c r="AN427" s="5"/>
      <c r="AO427" s="5"/>
      <c r="AP427" s="5"/>
      <c r="AQ427" s="5"/>
      <c r="AR427" s="5"/>
      <c r="AS427" s="5"/>
      <c r="AT427" s="5"/>
      <c r="AU427" s="5"/>
      <c r="AV427" s="5"/>
      <c r="AW427" s="5"/>
      <c r="AX427" s="5"/>
      <c r="AY427" s="5"/>
    </row>
    <row r="428">
      <c r="A428" s="5" t="str">
        <f>IFERROR(__xludf.DUMMYFUNCTION("""COMPUTED_VALUE"""),"English(""eng"")")</f>
        <v>English("eng")</v>
      </c>
      <c r="B428" s="5">
        <f>IFERROR(__xludf.DUMMYFUNCTION("""COMPUTED_VALUE"""),441.0)</f>
        <v>441</v>
      </c>
      <c r="C428" s="5">
        <f>IFERROR(__xludf.DUMMYFUNCTION("""COMPUTED_VALUE"""),327.0)</f>
        <v>327</v>
      </c>
      <c r="D428" s="5" t="str">
        <f>IFERROR(__xludf.DUMMYFUNCTION("""COMPUTED_VALUE"""),"UnicornBigSpinSevens")</f>
        <v>UnicornBigSpinSevens</v>
      </c>
      <c r="E428" s="5" t="str">
        <f>IFERROR(__xludf.DUMMYFUNCTION("""COMPUTED_VALUE"""),"Yes")</f>
        <v>Yes</v>
      </c>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row>
    <row r="429">
      <c r="A42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9" s="5">
        <f>IFERROR(__xludf.DUMMYFUNCTION("""COMPUTED_VALUE"""),442.0)</f>
        <v>442</v>
      </c>
      <c r="C429" s="5">
        <f>IFERROR(__xludf.DUMMYFUNCTION("""COMPUTED_VALUE"""),335.0)</f>
        <v>335</v>
      </c>
      <c r="D429" s="5" t="str">
        <f>IFERROR(__xludf.DUMMYFUNCTION("""COMPUTED_VALUE"""),"RedstoneHotRushFruitLines")</f>
        <v>RedstoneHotRushFruitLines</v>
      </c>
      <c r="E429" s="5" t="str">
        <f>IFERROR(__xludf.DUMMYFUNCTION("""COMPUTED_VALUE"""),"Yes")</f>
        <v>Yes</v>
      </c>
      <c r="F429" s="5" t="str">
        <f>IFERROR(__xludf.DUMMYFUNCTION("""COMPUTED_VALUE"""),"Yes")</f>
        <v>Yes</v>
      </c>
      <c r="G429" s="5" t="str">
        <f>IFERROR(__xludf.DUMMYFUNCTION("""COMPUTED_VALUE"""),"Yes")</f>
        <v>Yes</v>
      </c>
      <c r="H429" s="5" t="str">
        <f>IFERROR(__xludf.DUMMYFUNCTION("""COMPUTED_VALUE"""),"No")</f>
        <v>No</v>
      </c>
      <c r="I429" s="5" t="str">
        <f>IFERROR(__xludf.DUMMYFUNCTION("""COMPUTED_VALUE"""),"No")</f>
        <v>No</v>
      </c>
      <c r="J429" s="5" t="str">
        <f>IFERROR(__xludf.DUMMYFUNCTION("""COMPUTED_VALUE"""),"No")</f>
        <v>No</v>
      </c>
      <c r="K429" s="5" t="str">
        <f>IFERROR(__xludf.DUMMYFUNCTION("""COMPUTED_VALUE"""),"No")</f>
        <v>No</v>
      </c>
      <c r="L429" s="5" t="str">
        <f>IFERROR(__xludf.DUMMYFUNCTION("""COMPUTED_VALUE"""),"No")</f>
        <v>No</v>
      </c>
      <c r="M429" s="5" t="str">
        <f>IFERROR(__xludf.DUMMYFUNCTION("""COMPUTED_VALUE"""),"Yes")</f>
        <v>Yes</v>
      </c>
      <c r="N429" s="5" t="str">
        <f>IFERROR(__xludf.DUMMYFUNCTION("""COMPUTED_VALUE"""),"Yes")</f>
        <v>Yes</v>
      </c>
      <c r="O429" s="5" t="str">
        <f>IFERROR(__xludf.DUMMYFUNCTION("""COMPUTED_VALUE"""),"Yes")</f>
        <v>Yes</v>
      </c>
      <c r="P429" s="5" t="str">
        <f>IFERROR(__xludf.DUMMYFUNCTION("""COMPUTED_VALUE"""),"Yes")</f>
        <v>Yes</v>
      </c>
      <c r="Q429" s="5" t="str">
        <f>IFERROR(__xludf.DUMMYFUNCTION("""COMPUTED_VALUE"""),"Yes")</f>
        <v>Yes</v>
      </c>
      <c r="R429" s="5" t="str">
        <f>IFERROR(__xludf.DUMMYFUNCTION("""COMPUTED_VALUE"""),"No")</f>
        <v>No</v>
      </c>
      <c r="S429" s="5" t="str">
        <f>IFERROR(__xludf.DUMMYFUNCTION("""COMPUTED_VALUE"""),"Yes")</f>
        <v>Yes</v>
      </c>
      <c r="T429" s="5" t="str">
        <f>IFERROR(__xludf.DUMMYFUNCTION("""COMPUTED_VALUE"""),"No")</f>
        <v>No</v>
      </c>
      <c r="U429" s="5" t="str">
        <f>IFERROR(__xludf.DUMMYFUNCTION("""COMPUTED_VALUE"""),"No")</f>
        <v>No</v>
      </c>
      <c r="V429" s="5" t="str">
        <f>IFERROR(__xludf.DUMMYFUNCTION("""COMPUTED_VALUE"""),"No")</f>
        <v>No</v>
      </c>
      <c r="W429" s="5" t="str">
        <f>IFERROR(__xludf.DUMMYFUNCTION("""COMPUTED_VALUE"""),"No")</f>
        <v>No</v>
      </c>
      <c r="X429" s="5"/>
      <c r="Y429" s="5"/>
      <c r="Z429" s="5"/>
      <c r="AA429" s="5" t="str">
        <f>IFERROR(__xludf.DUMMYFUNCTION("""COMPUTED_VALUE"""),"Yes")</f>
        <v>Yes</v>
      </c>
      <c r="AB429" s="5"/>
      <c r="AC429" s="5" t="str">
        <f>IFERROR(__xludf.DUMMYFUNCTION("""COMPUTED_VALUE"""),"No")</f>
        <v>No</v>
      </c>
      <c r="AD429" s="5"/>
      <c r="AE429" s="5"/>
      <c r="AF429" s="5" t="str">
        <f>IFERROR(__xludf.DUMMYFUNCTION("""COMPUTED_VALUE"""),"Yes")</f>
        <v>Yes</v>
      </c>
      <c r="AG429" s="5"/>
      <c r="AH429" s="5"/>
      <c r="AI429" s="5"/>
      <c r="AJ429" s="5"/>
      <c r="AK429" s="5"/>
      <c r="AL429" s="5" t="str">
        <f>IFERROR(__xludf.DUMMYFUNCTION("""COMPUTED_VALUE"""),"Yes")</f>
        <v>Yes</v>
      </c>
      <c r="AM429" s="5"/>
      <c r="AN429" s="5"/>
      <c r="AO429" s="5"/>
      <c r="AP429" s="5"/>
      <c r="AQ429" s="5"/>
      <c r="AR429" s="5"/>
      <c r="AS429" s="5"/>
      <c r="AT429" s="5"/>
      <c r="AU429" s="5"/>
      <c r="AV429" s="5"/>
      <c r="AW429" s="5"/>
      <c r="AX429" s="5"/>
      <c r="AY429" s="5"/>
    </row>
    <row r="430">
      <c r="A43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30" s="5">
        <f>IFERROR(__xludf.DUMMYFUNCTION("""COMPUTED_VALUE"""),445.0)</f>
        <v>445</v>
      </c>
      <c r="C430" s="5">
        <f>IFERROR(__xludf.DUMMYFUNCTION("""COMPUTED_VALUE"""),2000002.0)</f>
        <v>2000002</v>
      </c>
      <c r="D430" s="5" t="str">
        <f>IFERROR(__xludf.DUMMYFUNCTION("""COMPUTED_VALUE"""),"HinamisForestOfMagic")</f>
        <v>HinamisForestOfMagic</v>
      </c>
      <c r="E430" s="5" t="str">
        <f>IFERROR(__xludf.DUMMYFUNCTION("""COMPUTED_VALUE"""),"Yes")</f>
        <v>Yes</v>
      </c>
      <c r="F430" s="5" t="str">
        <f>IFERROR(__xludf.DUMMYFUNCTION("""COMPUTED_VALUE"""),"Yes")</f>
        <v>Yes</v>
      </c>
      <c r="G430" s="5" t="str">
        <f>IFERROR(__xludf.DUMMYFUNCTION("""COMPUTED_VALUE"""),"No")</f>
        <v>No</v>
      </c>
      <c r="H430" s="5" t="str">
        <f>IFERROR(__xludf.DUMMYFUNCTION("""COMPUTED_VALUE"""),"Yes")</f>
        <v>Yes</v>
      </c>
      <c r="I430" s="5" t="str">
        <f>IFERROR(__xludf.DUMMYFUNCTION("""COMPUTED_VALUE"""),"Yes")</f>
        <v>Yes</v>
      </c>
      <c r="J430" s="5" t="str">
        <f>IFERROR(__xludf.DUMMYFUNCTION("""COMPUTED_VALUE"""),"Yes")</f>
        <v>Yes</v>
      </c>
      <c r="K430" s="5" t="str">
        <f>IFERROR(__xludf.DUMMYFUNCTION("""COMPUTED_VALUE"""),"Yes")</f>
        <v>Yes</v>
      </c>
      <c r="L430" s="5" t="str">
        <f>IFERROR(__xludf.DUMMYFUNCTION("""COMPUTED_VALUE"""),"Yes")</f>
        <v>Yes</v>
      </c>
      <c r="M430" s="5" t="str">
        <f>IFERROR(__xludf.DUMMYFUNCTION("""COMPUTED_VALUE"""),"Yes")</f>
        <v>Yes</v>
      </c>
      <c r="N430" s="5" t="str">
        <f>IFERROR(__xludf.DUMMYFUNCTION("""COMPUTED_VALUE"""),"Yes")</f>
        <v>Yes</v>
      </c>
      <c r="O430" s="5" t="str">
        <f>IFERROR(__xludf.DUMMYFUNCTION("""COMPUTED_VALUE"""),"Yes")</f>
        <v>Yes</v>
      </c>
      <c r="P430" s="5" t="str">
        <f>IFERROR(__xludf.DUMMYFUNCTION("""COMPUTED_VALUE"""),"Yes")</f>
        <v>Yes</v>
      </c>
      <c r="Q430" s="5" t="str">
        <f>IFERROR(__xludf.DUMMYFUNCTION("""COMPUTED_VALUE"""),"Yes")</f>
        <v>Yes</v>
      </c>
      <c r="R430" s="5" t="str">
        <f>IFERROR(__xludf.DUMMYFUNCTION("""COMPUTED_VALUE"""),"Yes")</f>
        <v>Yes</v>
      </c>
      <c r="S430" s="5" t="str">
        <f>IFERROR(__xludf.DUMMYFUNCTION("""COMPUTED_VALUE"""),"Yes")</f>
        <v>Yes</v>
      </c>
      <c r="T430" s="5" t="str">
        <f>IFERROR(__xludf.DUMMYFUNCTION("""COMPUTED_VALUE"""),"No")</f>
        <v>No</v>
      </c>
      <c r="U430" s="5" t="str">
        <f>IFERROR(__xludf.DUMMYFUNCTION("""COMPUTED_VALUE"""),"No")</f>
        <v>No</v>
      </c>
      <c r="V430" s="5" t="str">
        <f>IFERROR(__xludf.DUMMYFUNCTION("""COMPUTED_VALUE"""),"No")</f>
        <v>No</v>
      </c>
      <c r="W430" s="5" t="str">
        <f>IFERROR(__xludf.DUMMYFUNCTION("""COMPUTED_VALUE"""),"No")</f>
        <v>No</v>
      </c>
      <c r="X430" s="5" t="str">
        <f>IFERROR(__xludf.DUMMYFUNCTION("""COMPUTED_VALUE"""),"No")</f>
        <v>No</v>
      </c>
      <c r="Y430" s="5" t="str">
        <f>IFERROR(__xludf.DUMMYFUNCTION("""COMPUTED_VALUE"""),"No")</f>
        <v>No</v>
      </c>
      <c r="Z430" s="5" t="str">
        <f>IFERROR(__xludf.DUMMYFUNCTION("""COMPUTED_VALUE"""),"No")</f>
        <v>No</v>
      </c>
      <c r="AA430" s="5" t="str">
        <f>IFERROR(__xludf.DUMMYFUNCTION("""COMPUTED_VALUE"""),"No")</f>
        <v>No</v>
      </c>
      <c r="AB430" s="5" t="str">
        <f>IFERROR(__xludf.DUMMYFUNCTION("""COMPUTED_VALUE"""),"No")</f>
        <v>No</v>
      </c>
      <c r="AC430" s="5" t="str">
        <f>IFERROR(__xludf.DUMMYFUNCTION("""COMPUTED_VALUE"""),"No")</f>
        <v>No</v>
      </c>
      <c r="AD430" s="5" t="str">
        <f>IFERROR(__xludf.DUMMYFUNCTION("""COMPUTED_VALUE"""),"No")</f>
        <v>No</v>
      </c>
      <c r="AE430" s="5" t="str">
        <f>IFERROR(__xludf.DUMMYFUNCTION("""COMPUTED_VALUE"""),"No")</f>
        <v>No</v>
      </c>
      <c r="AF430" s="5" t="str">
        <f>IFERROR(__xludf.DUMMYFUNCTION("""COMPUTED_VALUE"""),"Yes")</f>
        <v>Yes</v>
      </c>
      <c r="AG430" s="5" t="str">
        <f>IFERROR(__xludf.DUMMYFUNCTION("""COMPUTED_VALUE"""),"No")</f>
        <v>No</v>
      </c>
      <c r="AH430" s="5" t="str">
        <f>IFERROR(__xludf.DUMMYFUNCTION("""COMPUTED_VALUE"""),"Yes")</f>
        <v>Yes</v>
      </c>
      <c r="AI430" s="5" t="str">
        <f>IFERROR(__xludf.DUMMYFUNCTION("""COMPUTED_VALUE"""),"No")</f>
        <v>No</v>
      </c>
      <c r="AJ430" s="5" t="str">
        <f>IFERROR(__xludf.DUMMYFUNCTION("""COMPUTED_VALUE"""),"No")</f>
        <v>No</v>
      </c>
      <c r="AK430" s="5" t="str">
        <f>IFERROR(__xludf.DUMMYFUNCTION("""COMPUTED_VALUE"""),"No")</f>
        <v>No</v>
      </c>
      <c r="AL430" s="5" t="str">
        <f>IFERROR(__xludf.DUMMYFUNCTION("""COMPUTED_VALUE"""),"No")</f>
        <v>No</v>
      </c>
      <c r="AM430" s="5"/>
      <c r="AN430" s="5"/>
      <c r="AO430" s="5"/>
      <c r="AP430" s="5"/>
      <c r="AQ430" s="5"/>
      <c r="AR430" s="5"/>
      <c r="AS430" s="5"/>
      <c r="AT430" s="5"/>
      <c r="AU430" s="5"/>
      <c r="AV430" s="5"/>
      <c r="AW430" s="5"/>
      <c r="AX430" s="5"/>
      <c r="AY430" s="5"/>
    </row>
    <row r="431">
      <c r="A43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B431" s="5">
        <f>IFERROR(__xludf.DUMMYFUNCTION("""COMPUTED_VALUE"""),447.0)</f>
        <v>447</v>
      </c>
      <c r="C431" s="5">
        <f>IFERROR(__xludf.DUMMYFUNCTION("""COMPUTED_VALUE"""),2000003.0)</f>
        <v>2000003</v>
      </c>
      <c r="D431" s="5" t="str">
        <f>IFERROR(__xludf.DUMMYFUNCTION("""COMPUTED_VALUE"""),"RunningMice")</f>
        <v>RunningMice</v>
      </c>
      <c r="E431" s="5" t="str">
        <f>IFERROR(__xludf.DUMMYFUNCTION("""COMPUTED_VALUE"""),"Yes")</f>
        <v>Yes</v>
      </c>
      <c r="F431" s="5" t="str">
        <f>IFERROR(__xludf.DUMMYFUNCTION("""COMPUTED_VALUE"""),"Yes")</f>
        <v>Yes</v>
      </c>
      <c r="G431" s="5" t="str">
        <f>IFERROR(__xludf.DUMMYFUNCTION("""COMPUTED_VALUE"""),"Yes")</f>
        <v>Yes</v>
      </c>
      <c r="H431" s="5" t="str">
        <f>IFERROR(__xludf.DUMMYFUNCTION("""COMPUTED_VALUE"""),"No")</f>
        <v>No</v>
      </c>
      <c r="I431" s="5" t="str">
        <f>IFERROR(__xludf.DUMMYFUNCTION("""COMPUTED_VALUE"""),"No")</f>
        <v>No</v>
      </c>
      <c r="J431" s="5" t="str">
        <f>IFERROR(__xludf.DUMMYFUNCTION("""COMPUTED_VALUE"""),"No")</f>
        <v>No</v>
      </c>
      <c r="K431" s="5" t="str">
        <f>IFERROR(__xludf.DUMMYFUNCTION("""COMPUTED_VALUE"""),"No")</f>
        <v>No</v>
      </c>
      <c r="L431" s="5" t="str">
        <f>IFERROR(__xludf.DUMMYFUNCTION("""COMPUTED_VALUE"""),"No")</f>
        <v>No</v>
      </c>
      <c r="M431" s="5" t="str">
        <f>IFERROR(__xludf.DUMMYFUNCTION("""COMPUTED_VALUE"""),"Yes")</f>
        <v>Yes</v>
      </c>
      <c r="N431" s="5" t="str">
        <f>IFERROR(__xludf.DUMMYFUNCTION("""COMPUTED_VALUE"""),"Yes")</f>
        <v>Yes</v>
      </c>
      <c r="O431" s="5" t="str">
        <f>IFERROR(__xludf.DUMMYFUNCTION("""COMPUTED_VALUE"""),"Yes")</f>
        <v>Yes</v>
      </c>
      <c r="P431" s="5" t="str">
        <f>IFERROR(__xludf.DUMMYFUNCTION("""COMPUTED_VALUE"""),"Yes")</f>
        <v>Yes</v>
      </c>
      <c r="Q431" s="5" t="str">
        <f>IFERROR(__xludf.DUMMYFUNCTION("""COMPUTED_VALUE"""),"Yes")</f>
        <v>Yes</v>
      </c>
      <c r="R431" s="5" t="str">
        <f>IFERROR(__xludf.DUMMYFUNCTION("""COMPUTED_VALUE"""),"No")</f>
        <v>No</v>
      </c>
      <c r="S431" s="5" t="str">
        <f>IFERROR(__xludf.DUMMYFUNCTION("""COMPUTED_VALUE"""),"Yes")</f>
        <v>Yes</v>
      </c>
      <c r="T431" s="5" t="str">
        <f>IFERROR(__xludf.DUMMYFUNCTION("""COMPUTED_VALUE"""),"No")</f>
        <v>No</v>
      </c>
      <c r="U431" s="5" t="str">
        <f>IFERROR(__xludf.DUMMYFUNCTION("""COMPUTED_VALUE"""),"No")</f>
        <v>No</v>
      </c>
      <c r="V431" s="5" t="str">
        <f>IFERROR(__xludf.DUMMYFUNCTION("""COMPUTED_VALUE"""),"No")</f>
        <v>No</v>
      </c>
      <c r="W431" s="5" t="str">
        <f>IFERROR(__xludf.DUMMYFUNCTION("""COMPUTED_VALUE"""),"No")</f>
        <v>No</v>
      </c>
      <c r="X431" s="5"/>
      <c r="Y431" s="5"/>
      <c r="Z431" s="5"/>
      <c r="AA431" s="5"/>
      <c r="AB431" s="5"/>
      <c r="AC431" s="5" t="str">
        <f>IFERROR(__xludf.DUMMYFUNCTION("""COMPUTED_VALUE"""),"No")</f>
        <v>No</v>
      </c>
      <c r="AD431" s="5"/>
      <c r="AE431" s="5"/>
      <c r="AF431" s="5"/>
      <c r="AG431" s="5"/>
      <c r="AH431" s="5"/>
      <c r="AI431" s="5"/>
      <c r="AJ431" s="5"/>
      <c r="AK431" s="5"/>
      <c r="AL431" s="5"/>
      <c r="AM431" s="5"/>
      <c r="AN431" s="5"/>
      <c r="AO431" s="5"/>
      <c r="AP431" s="5"/>
      <c r="AQ431" s="5"/>
      <c r="AR431" s="5"/>
      <c r="AS431" s="5"/>
      <c r="AT431" s="5"/>
      <c r="AU431" s="5"/>
      <c r="AV431" s="5"/>
      <c r="AW431" s="5"/>
      <c r="AX431" s="5"/>
      <c r="AY431" s="5"/>
    </row>
    <row r="432">
      <c r="A4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32" s="5">
        <f>IFERROR(__xludf.DUMMYFUNCTION("""COMPUTED_VALUE"""),448.0)</f>
        <v>448</v>
      </c>
      <c r="C432" s="5">
        <f>IFERROR(__xludf.DUMMYFUNCTION("""COMPUTED_VALUE"""),1005.0)</f>
        <v>1005</v>
      </c>
      <c r="D432" s="5" t="str">
        <f>IFERROR(__xludf.DUMMYFUNCTION("""COMPUTED_VALUE"""),"Wild5")</f>
        <v>Wild5</v>
      </c>
      <c r="E432" s="5" t="str">
        <f>IFERROR(__xludf.DUMMYFUNCTION("""COMPUTED_VALUE"""),"Yes")</f>
        <v>Yes</v>
      </c>
      <c r="F432" s="5" t="str">
        <f>IFERROR(__xludf.DUMMYFUNCTION("""COMPUTED_VALUE"""),"Yes")</f>
        <v>Yes</v>
      </c>
      <c r="G432" s="5" t="str">
        <f>IFERROR(__xludf.DUMMYFUNCTION("""COMPUTED_VALUE"""),"Yes")</f>
        <v>Yes</v>
      </c>
      <c r="H432" s="5" t="str">
        <f>IFERROR(__xludf.DUMMYFUNCTION("""COMPUTED_VALUE"""),"Yes")</f>
        <v>Yes</v>
      </c>
      <c r="I432" s="5" t="str">
        <f>IFERROR(__xludf.DUMMYFUNCTION("""COMPUTED_VALUE"""),"Yes")</f>
        <v>Yes</v>
      </c>
      <c r="J432" s="5" t="str">
        <f>IFERROR(__xludf.DUMMYFUNCTION("""COMPUTED_VALUE"""),"Yes")</f>
        <v>Yes</v>
      </c>
      <c r="K432" s="5" t="str">
        <f>IFERROR(__xludf.DUMMYFUNCTION("""COMPUTED_VALUE"""),"Yes")</f>
        <v>Yes</v>
      </c>
      <c r="L432" s="5" t="str">
        <f>IFERROR(__xludf.DUMMYFUNCTION("""COMPUTED_VALUE"""),"Yes")</f>
        <v>Yes</v>
      </c>
      <c r="M432" s="5" t="str">
        <f>IFERROR(__xludf.DUMMYFUNCTION("""COMPUTED_VALUE"""),"Yes")</f>
        <v>Yes</v>
      </c>
      <c r="N432" s="5" t="str">
        <f>IFERROR(__xludf.DUMMYFUNCTION("""COMPUTED_VALUE"""),"Yes")</f>
        <v>Yes</v>
      </c>
      <c r="O432" s="5" t="str">
        <f>IFERROR(__xludf.DUMMYFUNCTION("""COMPUTED_VALUE"""),"Yes")</f>
        <v>Yes</v>
      </c>
      <c r="P432" s="5" t="str">
        <f>IFERROR(__xludf.DUMMYFUNCTION("""COMPUTED_VALUE"""),"Yes")</f>
        <v>Yes</v>
      </c>
      <c r="Q432" s="5" t="str">
        <f>IFERROR(__xludf.DUMMYFUNCTION("""COMPUTED_VALUE"""),"Yes")</f>
        <v>Yes</v>
      </c>
      <c r="R432" s="5" t="str">
        <f>IFERROR(__xludf.DUMMYFUNCTION("""COMPUTED_VALUE"""),"Yes")</f>
        <v>Yes</v>
      </c>
      <c r="S432" s="5" t="str">
        <f>IFERROR(__xludf.DUMMYFUNCTION("""COMPUTED_VALUE"""),"Yes")</f>
        <v>Yes</v>
      </c>
      <c r="T432" s="5" t="str">
        <f>IFERROR(__xludf.DUMMYFUNCTION("""COMPUTED_VALUE"""),"Yes")</f>
        <v>Yes</v>
      </c>
      <c r="U432" s="5" t="str">
        <f>IFERROR(__xludf.DUMMYFUNCTION("""COMPUTED_VALUE"""),"Yes")</f>
        <v>Yes</v>
      </c>
      <c r="V432" s="5" t="str">
        <f>IFERROR(__xludf.DUMMYFUNCTION("""COMPUTED_VALUE"""),"Yes")</f>
        <v>Yes</v>
      </c>
      <c r="W432" s="5" t="str">
        <f>IFERROR(__xludf.DUMMYFUNCTION("""COMPUTED_VALUE"""),"Yes")</f>
        <v>Yes</v>
      </c>
      <c r="X432" s="5" t="str">
        <f>IFERROR(__xludf.DUMMYFUNCTION("""COMPUTED_VALUE"""),"Yes")</f>
        <v>Yes</v>
      </c>
      <c r="Y432" s="5" t="str">
        <f>IFERROR(__xludf.DUMMYFUNCTION("""COMPUTED_VALUE"""),"Yes")</f>
        <v>Yes</v>
      </c>
      <c r="Z432" s="5" t="str">
        <f>IFERROR(__xludf.DUMMYFUNCTION("""COMPUTED_VALUE"""),"Yes")</f>
        <v>Yes</v>
      </c>
      <c r="AA432" s="5" t="str">
        <f>IFERROR(__xludf.DUMMYFUNCTION("""COMPUTED_VALUE"""),"Yes")</f>
        <v>Yes</v>
      </c>
      <c r="AB432" s="5" t="str">
        <f>IFERROR(__xludf.DUMMYFUNCTION("""COMPUTED_VALUE"""),"Yes")</f>
        <v>Yes</v>
      </c>
      <c r="AC432" s="5" t="str">
        <f>IFERROR(__xludf.DUMMYFUNCTION("""COMPUTED_VALUE"""),"Yes")</f>
        <v>Yes</v>
      </c>
      <c r="AD432" s="5" t="str">
        <f>IFERROR(__xludf.DUMMYFUNCTION("""COMPUTED_VALUE"""),"Yes")</f>
        <v>Yes</v>
      </c>
      <c r="AE432" s="5" t="str">
        <f>IFERROR(__xludf.DUMMYFUNCTION("""COMPUTED_VALUE"""),"Yes")</f>
        <v>Yes</v>
      </c>
      <c r="AF432" s="5" t="str">
        <f>IFERROR(__xludf.DUMMYFUNCTION("""COMPUTED_VALUE"""),"Yes")</f>
        <v>Yes</v>
      </c>
      <c r="AG432" s="5" t="str">
        <f>IFERROR(__xludf.DUMMYFUNCTION("""COMPUTED_VALUE"""),"Yes")</f>
        <v>Yes</v>
      </c>
      <c r="AH432" s="5" t="str">
        <f>IFERROR(__xludf.DUMMYFUNCTION("""COMPUTED_VALUE"""),"Yes")</f>
        <v>Yes</v>
      </c>
      <c r="AI432" s="5" t="str">
        <f>IFERROR(__xludf.DUMMYFUNCTION("""COMPUTED_VALUE"""),"No")</f>
        <v>No</v>
      </c>
      <c r="AJ432" s="5" t="str">
        <f>IFERROR(__xludf.DUMMYFUNCTION("""COMPUTED_VALUE"""),"No")</f>
        <v>No</v>
      </c>
      <c r="AK432" s="5" t="str">
        <f>IFERROR(__xludf.DUMMYFUNCTION("""COMPUTED_VALUE"""),"No")</f>
        <v>No</v>
      </c>
      <c r="AL432" s="5" t="str">
        <f>IFERROR(__xludf.DUMMYFUNCTION("""COMPUTED_VALUE"""),"No")</f>
        <v>No</v>
      </c>
      <c r="AM432" s="5"/>
      <c r="AN432" s="5"/>
      <c r="AO432" s="5"/>
      <c r="AP432" s="5"/>
      <c r="AQ432" s="5"/>
      <c r="AR432" s="5"/>
      <c r="AS432" s="5"/>
      <c r="AT432" s="5"/>
      <c r="AU432" s="5"/>
      <c r="AV432" s="5"/>
      <c r="AW432" s="5"/>
      <c r="AX432" s="5"/>
      <c r="AY432" s="5"/>
    </row>
    <row r="433">
      <c r="A4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3" s="5">
        <f>IFERROR(__xludf.DUMMYFUNCTION("""COMPUTED_VALUE"""),449.0)</f>
        <v>449</v>
      </c>
      <c r="C433" s="5">
        <f>IFERROR(__xludf.DUMMYFUNCTION("""COMPUTED_VALUE"""),3008.0)</f>
        <v>3008</v>
      </c>
      <c r="D433" s="5" t="str">
        <f>IFERROR(__xludf.DUMMYFUNCTION("""COMPUTED_VALUE"""),"BrilliantHeart")</f>
        <v>BrilliantHeart</v>
      </c>
      <c r="E433" s="5" t="str">
        <f>IFERROR(__xludf.DUMMYFUNCTION("""COMPUTED_VALUE"""),"Yes")</f>
        <v>Yes</v>
      </c>
      <c r="F433" s="5" t="str">
        <f>IFERROR(__xludf.DUMMYFUNCTION("""COMPUTED_VALUE"""),"Yes")</f>
        <v>Yes</v>
      </c>
      <c r="G433" s="5" t="str">
        <f>IFERROR(__xludf.DUMMYFUNCTION("""COMPUTED_VALUE"""),"Yes")</f>
        <v>Yes</v>
      </c>
      <c r="H433" s="5" t="str">
        <f>IFERROR(__xludf.DUMMYFUNCTION("""COMPUTED_VALUE"""),"Yes")</f>
        <v>Yes</v>
      </c>
      <c r="I433" s="5" t="str">
        <f>IFERROR(__xludf.DUMMYFUNCTION("""COMPUTED_VALUE"""),"Yes")</f>
        <v>Yes</v>
      </c>
      <c r="J433" s="5" t="str">
        <f>IFERROR(__xludf.DUMMYFUNCTION("""COMPUTED_VALUE"""),"Yes")</f>
        <v>Yes</v>
      </c>
      <c r="K433" s="5" t="str">
        <f>IFERROR(__xludf.DUMMYFUNCTION("""COMPUTED_VALUE"""),"Yes")</f>
        <v>Yes</v>
      </c>
      <c r="L433" s="5" t="str">
        <f>IFERROR(__xludf.DUMMYFUNCTION("""COMPUTED_VALUE"""),"Yes")</f>
        <v>Yes</v>
      </c>
      <c r="M433" s="5" t="str">
        <f>IFERROR(__xludf.DUMMYFUNCTION("""COMPUTED_VALUE"""),"Yes")</f>
        <v>Yes</v>
      </c>
      <c r="N433" s="5" t="str">
        <f>IFERROR(__xludf.DUMMYFUNCTION("""COMPUTED_VALUE"""),"Yes")</f>
        <v>Yes</v>
      </c>
      <c r="O433" s="5" t="str">
        <f>IFERROR(__xludf.DUMMYFUNCTION("""COMPUTED_VALUE"""),"Yes")</f>
        <v>Yes</v>
      </c>
      <c r="P433" s="5" t="str">
        <f>IFERROR(__xludf.DUMMYFUNCTION("""COMPUTED_VALUE"""),"Yes")</f>
        <v>Yes</v>
      </c>
      <c r="Q433" s="5" t="str">
        <f>IFERROR(__xludf.DUMMYFUNCTION("""COMPUTED_VALUE"""),"Yes")</f>
        <v>Yes</v>
      </c>
      <c r="R433" s="5" t="str">
        <f>IFERROR(__xludf.DUMMYFUNCTION("""COMPUTED_VALUE"""),"Yes")</f>
        <v>Yes</v>
      </c>
      <c r="S433" s="5" t="str">
        <f>IFERROR(__xludf.DUMMYFUNCTION("""COMPUTED_VALUE"""),"Yes")</f>
        <v>Yes</v>
      </c>
      <c r="T433" s="5" t="str">
        <f>IFERROR(__xludf.DUMMYFUNCTION("""COMPUTED_VALUE"""),"Yes")</f>
        <v>Yes</v>
      </c>
      <c r="U433" s="5" t="str">
        <f>IFERROR(__xludf.DUMMYFUNCTION("""COMPUTED_VALUE"""),"Yes")</f>
        <v>Yes</v>
      </c>
      <c r="V433" s="5" t="str">
        <f>IFERROR(__xludf.DUMMYFUNCTION("""COMPUTED_VALUE"""),"Yes")</f>
        <v>Yes</v>
      </c>
      <c r="W433" s="5" t="str">
        <f>IFERROR(__xludf.DUMMYFUNCTION("""COMPUTED_VALUE"""),"Yes")</f>
        <v>Yes</v>
      </c>
      <c r="X433" s="5" t="str">
        <f>IFERROR(__xludf.DUMMYFUNCTION("""COMPUTED_VALUE"""),"Yes")</f>
        <v>Yes</v>
      </c>
      <c r="Y433" s="5" t="str">
        <f>IFERROR(__xludf.DUMMYFUNCTION("""COMPUTED_VALUE"""),"Yes")</f>
        <v>Yes</v>
      </c>
      <c r="Z433" s="5" t="str">
        <f>IFERROR(__xludf.DUMMYFUNCTION("""COMPUTED_VALUE"""),"No")</f>
        <v>No</v>
      </c>
      <c r="AA433" s="5" t="str">
        <f>IFERROR(__xludf.DUMMYFUNCTION("""COMPUTED_VALUE"""),"Yes")</f>
        <v>Yes</v>
      </c>
      <c r="AB433" s="5" t="str">
        <f>IFERROR(__xludf.DUMMYFUNCTION("""COMPUTED_VALUE"""),"Yes")</f>
        <v>Yes</v>
      </c>
      <c r="AC433" s="5" t="str">
        <f>IFERROR(__xludf.DUMMYFUNCTION("""COMPUTED_VALUE"""),"Yes")</f>
        <v>Yes</v>
      </c>
      <c r="AD433" s="5" t="str">
        <f>IFERROR(__xludf.DUMMYFUNCTION("""COMPUTED_VALUE"""),"Yes")</f>
        <v>Yes</v>
      </c>
      <c r="AE433" s="5" t="str">
        <f>IFERROR(__xludf.DUMMYFUNCTION("""COMPUTED_VALUE"""),"No")</f>
        <v>No</v>
      </c>
      <c r="AF433" s="5" t="str">
        <f>IFERROR(__xludf.DUMMYFUNCTION("""COMPUTED_VALUE"""),"Yes")</f>
        <v>Yes</v>
      </c>
      <c r="AG433" s="5" t="str">
        <f>IFERROR(__xludf.DUMMYFUNCTION("""COMPUTED_VALUE"""),"No")</f>
        <v>No</v>
      </c>
      <c r="AH433" s="5" t="str">
        <f>IFERROR(__xludf.DUMMYFUNCTION("""COMPUTED_VALUE"""),"No")</f>
        <v>No</v>
      </c>
      <c r="AI433" s="5" t="str">
        <f>IFERROR(__xludf.DUMMYFUNCTION("""COMPUTED_VALUE"""),"No")</f>
        <v>No</v>
      </c>
      <c r="AJ433" s="5" t="str">
        <f>IFERROR(__xludf.DUMMYFUNCTION("""COMPUTED_VALUE"""),"No")</f>
        <v>No</v>
      </c>
      <c r="AK433" s="5" t="str">
        <f>IFERROR(__xludf.DUMMYFUNCTION("""COMPUTED_VALUE"""),"No")</f>
        <v>No</v>
      </c>
      <c r="AL433" s="5" t="str">
        <f>IFERROR(__xludf.DUMMYFUNCTION("""COMPUTED_VALUE"""),"No")</f>
        <v>No</v>
      </c>
      <c r="AM433" s="5"/>
      <c r="AN433" s="5"/>
      <c r="AO433" s="5"/>
      <c r="AP433" s="5"/>
      <c r="AQ433" s="5"/>
      <c r="AR433" s="5"/>
      <c r="AS433" s="5"/>
      <c r="AT433" s="5"/>
      <c r="AU433" s="5"/>
      <c r="AV433" s="5"/>
      <c r="AW433" s="5"/>
      <c r="AX433" s="5"/>
      <c r="AY433" s="5"/>
    </row>
    <row r="434">
      <c r="A434" s="5" t="str">
        <f>IFERROR(__xludf.DUMMYFUNCTION("""COMPUTED_VALUE"""),"English(""eng""), Serbian(""""srp"",""srb""""), Montenegrian(""mne""), Bulgarian(""bul""), Spanish(""spa""), Portuguese(""por""), Italian(""ita""), Romanian(""rum/ron""), Croatian(""hrv""), French(""fre/fra""), German(""ger/deu""), Dutch(""dut/nld""), Tur"&amp;"kish(""tur""), Russian(""rus""), Ukrainian(""ukr""), Chinese(""zho/chi"")")</f>
        <v>English("eng"), Serbian(""srp","srb""), Montenegrian("mne"), Bulgarian("bul"), Spanish("spa"), Portuguese("por"), Italian("ita"), Romanian("rum/ron"), Croatian("hrv"), French("fre/fra"), German("ger/deu"), Dutch("dut/nld"), Turkish("tur"), Russian("rus"), Ukrainian("ukr"), Chinese("zho/chi")</v>
      </c>
      <c r="B434" s="5">
        <f>IFERROR(__xludf.DUMMYFUNCTION("""COMPUTED_VALUE"""),450.0)</f>
        <v>450</v>
      </c>
      <c r="C434" s="5">
        <f>IFERROR(__xludf.DUMMYFUNCTION("""COMPUTED_VALUE"""),395.0)</f>
        <v>395</v>
      </c>
      <c r="D434" s="5" t="str">
        <f>IFERROR(__xludf.DUMMYFUNCTION("""COMPUTED_VALUE"""),"PlayNetCrownStacks40")</f>
        <v>PlayNetCrownStacks40</v>
      </c>
      <c r="E434" s="5" t="str">
        <f>IFERROR(__xludf.DUMMYFUNCTION("""COMPUTED_VALUE"""),"Yes")</f>
        <v>Yes</v>
      </c>
      <c r="F434" s="5" t="str">
        <f>IFERROR(__xludf.DUMMYFUNCTION("""COMPUTED_VALUE"""),"Yes")</f>
        <v>Yes</v>
      </c>
      <c r="G434" s="5" t="str">
        <f>IFERROR(__xludf.DUMMYFUNCTION("""COMPUTED_VALUE"""),"Yes")</f>
        <v>Yes</v>
      </c>
      <c r="H434" s="5" t="str">
        <f>IFERROR(__xludf.DUMMYFUNCTION("""COMPUTED_VALUE"""),"Yes")</f>
        <v>Yes</v>
      </c>
      <c r="I434" s="5" t="str">
        <f>IFERROR(__xludf.DUMMYFUNCTION("""COMPUTED_VALUE"""),"Yes")</f>
        <v>Yes</v>
      </c>
      <c r="J434" s="5" t="str">
        <f>IFERROR(__xludf.DUMMYFUNCTION("""COMPUTED_VALUE"""),"Yes")</f>
        <v>Yes</v>
      </c>
      <c r="K434" s="5" t="str">
        <f>IFERROR(__xludf.DUMMYFUNCTION("""COMPUTED_VALUE"""),"Yes")</f>
        <v>Yes</v>
      </c>
      <c r="L434" s="5" t="str">
        <f>IFERROR(__xludf.DUMMYFUNCTION("""COMPUTED_VALUE"""),"Yes")</f>
        <v>Yes</v>
      </c>
      <c r="M434" s="5" t="str">
        <f>IFERROR(__xludf.DUMMYFUNCTION("""COMPUTED_VALUE"""),"Yes")</f>
        <v>Yes</v>
      </c>
      <c r="N434" s="5" t="str">
        <f>IFERROR(__xludf.DUMMYFUNCTION("""COMPUTED_VALUE"""),"Yes")</f>
        <v>Yes</v>
      </c>
      <c r="O434" s="5" t="str">
        <f>IFERROR(__xludf.DUMMYFUNCTION("""COMPUTED_VALUE"""),"Yes")</f>
        <v>Yes</v>
      </c>
      <c r="P434" s="5" t="str">
        <f>IFERROR(__xludf.DUMMYFUNCTION("""COMPUTED_VALUE"""),"Yes")</f>
        <v>Yes</v>
      </c>
      <c r="Q434" s="5" t="str">
        <f>IFERROR(__xludf.DUMMYFUNCTION("""COMPUTED_VALUE"""),"Yes")</f>
        <v>Yes</v>
      </c>
      <c r="R434" s="5" t="str">
        <f>IFERROR(__xludf.DUMMYFUNCTION("""COMPUTED_VALUE"""),"No")</f>
        <v>No</v>
      </c>
      <c r="S434" s="5" t="str">
        <f>IFERROR(__xludf.DUMMYFUNCTION("""COMPUTED_VALUE"""),"Yes")</f>
        <v>Yes</v>
      </c>
      <c r="T434" s="5" t="str">
        <f>IFERROR(__xludf.DUMMYFUNCTION("""COMPUTED_VALUE"""),"No")</f>
        <v>No</v>
      </c>
      <c r="U434" s="5" t="str">
        <f>IFERROR(__xludf.DUMMYFUNCTION("""COMPUTED_VALUE"""),"No")</f>
        <v>No</v>
      </c>
      <c r="V434" s="5" t="str">
        <f>IFERROR(__xludf.DUMMYFUNCTION("""COMPUTED_VALUE"""),"No")</f>
        <v>No</v>
      </c>
      <c r="W434" s="5" t="str">
        <f>IFERROR(__xludf.DUMMYFUNCTION("""COMPUTED_VALUE"""),"No")</f>
        <v>No</v>
      </c>
      <c r="X434" s="5"/>
      <c r="Y434" s="5"/>
      <c r="Z434" s="5"/>
      <c r="AA434" s="5" t="str">
        <f>IFERROR(__xludf.DUMMYFUNCTION("""COMPUTED_VALUE"""),"No")</f>
        <v>No</v>
      </c>
      <c r="AB434" s="5"/>
      <c r="AC434" s="5" t="str">
        <f>IFERROR(__xludf.DUMMYFUNCTION("""COMPUTED_VALUE"""),"No")</f>
        <v>No</v>
      </c>
      <c r="AD434" s="5"/>
      <c r="AE434" s="5"/>
      <c r="AF434" s="5" t="str">
        <f>IFERROR(__xludf.DUMMYFUNCTION("""COMPUTED_VALUE"""),"Yes")</f>
        <v>Yes</v>
      </c>
      <c r="AG434" s="5"/>
      <c r="AH434" s="5" t="str">
        <f>IFERROR(__xludf.DUMMYFUNCTION("""COMPUTED_VALUE"""),"Yes")</f>
        <v>Yes</v>
      </c>
      <c r="AI434" s="5"/>
      <c r="AJ434" s="5"/>
      <c r="AK434" s="5"/>
      <c r="AL434" s="5"/>
      <c r="AM434" s="5"/>
      <c r="AN434" s="5"/>
      <c r="AO434" s="5"/>
      <c r="AP434" s="5"/>
      <c r="AQ434" s="5"/>
      <c r="AR434" s="5"/>
      <c r="AS434" s="5"/>
      <c r="AT434" s="5"/>
      <c r="AU434" s="5"/>
      <c r="AV434" s="5"/>
      <c r="AW434" s="5"/>
      <c r="AX434" s="5"/>
      <c r="AY434" s="5"/>
    </row>
    <row r="435">
      <c r="A435" s="5"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B435" s="5">
        <f>IFERROR(__xludf.DUMMYFUNCTION("""COMPUTED_VALUE"""),451.0)</f>
        <v>451</v>
      </c>
      <c r="C435" s="5">
        <f>IFERROR(__xludf.DUMMYFUNCTION("""COMPUTED_VALUE"""),396.0)</f>
        <v>396</v>
      </c>
      <c r="D435" s="5" t="str">
        <f>IFERROR(__xludf.DUMMYFUNCTION("""COMPUTED_VALUE"""),"PlayNetWildSpread40")</f>
        <v>PlayNetWildSpread40</v>
      </c>
      <c r="E435" s="5" t="str">
        <f>IFERROR(__xludf.DUMMYFUNCTION("""COMPUTED_VALUE"""),"Yes")</f>
        <v>Yes</v>
      </c>
      <c r="F435" s="5" t="str">
        <f>IFERROR(__xludf.DUMMYFUNCTION("""COMPUTED_VALUE"""),"Yes")</f>
        <v>Yes</v>
      </c>
      <c r="G435" s="5" t="str">
        <f>IFERROR(__xludf.DUMMYFUNCTION("""COMPUTED_VALUE"""),"Yes")</f>
        <v>Yes</v>
      </c>
      <c r="H435" s="5" t="str">
        <f>IFERROR(__xludf.DUMMYFUNCTION("""COMPUTED_VALUE"""),"Yes")</f>
        <v>Yes</v>
      </c>
      <c r="I435" s="5" t="str">
        <f>IFERROR(__xludf.DUMMYFUNCTION("""COMPUTED_VALUE"""),"Yes")</f>
        <v>Yes</v>
      </c>
      <c r="J435" s="5" t="str">
        <f>IFERROR(__xludf.DUMMYFUNCTION("""COMPUTED_VALUE"""),"Yes")</f>
        <v>Yes</v>
      </c>
      <c r="K435" s="5" t="str">
        <f>IFERROR(__xludf.DUMMYFUNCTION("""COMPUTED_VALUE"""),"Yes")</f>
        <v>Yes</v>
      </c>
      <c r="L435" s="5" t="str">
        <f>IFERROR(__xludf.DUMMYFUNCTION("""COMPUTED_VALUE"""),"Yes")</f>
        <v>Yes</v>
      </c>
      <c r="M435" s="5" t="str">
        <f>IFERROR(__xludf.DUMMYFUNCTION("""COMPUTED_VALUE"""),"Yes")</f>
        <v>Yes</v>
      </c>
      <c r="N435" s="5" t="str">
        <f>IFERROR(__xludf.DUMMYFUNCTION("""COMPUTED_VALUE"""),"Yes")</f>
        <v>Yes</v>
      </c>
      <c r="O435" s="5" t="str">
        <f>IFERROR(__xludf.DUMMYFUNCTION("""COMPUTED_VALUE"""),"Yes")</f>
        <v>Yes</v>
      </c>
      <c r="P435" s="5" t="str">
        <f>IFERROR(__xludf.DUMMYFUNCTION("""COMPUTED_VALUE"""),"Yes")</f>
        <v>Yes</v>
      </c>
      <c r="Q435" s="5" t="str">
        <f>IFERROR(__xludf.DUMMYFUNCTION("""COMPUTED_VALUE"""),"Yes")</f>
        <v>Yes</v>
      </c>
      <c r="R435" s="5" t="str">
        <f>IFERROR(__xludf.DUMMYFUNCTION("""COMPUTED_VALUE"""),"Yes")</f>
        <v>Yes</v>
      </c>
      <c r="S435" s="5" t="str">
        <f>IFERROR(__xludf.DUMMYFUNCTION("""COMPUTED_VALUE"""),"Yes")</f>
        <v>Yes</v>
      </c>
      <c r="T435" s="5" t="str">
        <f>IFERROR(__xludf.DUMMYFUNCTION("""COMPUTED_VALUE"""),"No")</f>
        <v>No</v>
      </c>
      <c r="U435" s="5" t="str">
        <f>IFERROR(__xludf.DUMMYFUNCTION("""COMPUTED_VALUE"""),"No")</f>
        <v>No</v>
      </c>
      <c r="V435" s="5" t="str">
        <f>IFERROR(__xludf.DUMMYFUNCTION("""COMPUTED_VALUE"""),"No")</f>
        <v>No</v>
      </c>
      <c r="W435" s="5" t="str">
        <f>IFERROR(__xludf.DUMMYFUNCTION("""COMPUTED_VALUE"""),"No")</f>
        <v>No</v>
      </c>
      <c r="X435" s="5"/>
      <c r="Y435" s="5" t="str">
        <f>IFERROR(__xludf.DUMMYFUNCTION("""COMPUTED_VALUE"""),"Yes")</f>
        <v>Yes</v>
      </c>
      <c r="Z435" s="5"/>
      <c r="AA435" s="5"/>
      <c r="AB435" s="5"/>
      <c r="AC435" s="5" t="str">
        <f>IFERROR(__xludf.DUMMYFUNCTION("""COMPUTED_VALUE"""),"No")</f>
        <v>No</v>
      </c>
      <c r="AD435" s="5"/>
      <c r="AE435" s="5"/>
      <c r="AF435" s="5" t="str">
        <f>IFERROR(__xludf.DUMMYFUNCTION("""COMPUTED_VALUE"""),"No")</f>
        <v>No</v>
      </c>
      <c r="AG435" s="5"/>
      <c r="AH435" s="5"/>
      <c r="AI435" s="5"/>
      <c r="AJ435" s="5"/>
      <c r="AK435" s="5"/>
      <c r="AL435" s="5"/>
      <c r="AM435" s="5"/>
      <c r="AN435" s="5"/>
      <c r="AO435" s="5"/>
      <c r="AP435" s="5"/>
      <c r="AQ435" s="5"/>
      <c r="AR435" s="5"/>
      <c r="AS435" s="5"/>
      <c r="AT435" s="5"/>
      <c r="AU435" s="5"/>
      <c r="AV435" s="5"/>
      <c r="AW435" s="5"/>
      <c r="AX435" s="5"/>
      <c r="AY435" s="5"/>
    </row>
    <row r="436">
      <c r="A436" s="5"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 Chinese(""zho/chi"")")</f>
        <v>English("eng"), Serbian(""srp","srb""), Montenegrian("mne"), Bulgarian("bul"), Spanish("spa"), Portuguese("por"), Italian("ita"), Romanian("rum/ron"), Croatian("hrv"), French("fre/fra"), German("ger/deu"), Dutch("dut/nld"), Turkish("tur"), Greek("gre/ell"), Russian("rus"), Social English("sen"), Latvian("lav"), Ukrainian("ukr"), Chinese("zho/chi")</v>
      </c>
      <c r="B436" s="5">
        <f>IFERROR(__xludf.DUMMYFUNCTION("""COMPUTED_VALUE"""),452.0)</f>
        <v>452</v>
      </c>
      <c r="C436" s="5">
        <f>IFERROR(__xludf.DUMMYFUNCTION("""COMPUTED_VALUE"""),402.0)</f>
        <v>402</v>
      </c>
      <c r="D436" s="5" t="str">
        <f>IFERROR(__xludf.DUMMYFUNCTION("""COMPUTED_VALUE"""),"PlayNetCrownSpread40")</f>
        <v>PlayNetCrownSpread40</v>
      </c>
      <c r="E436" s="5" t="str">
        <f>IFERROR(__xludf.DUMMYFUNCTION("""COMPUTED_VALUE"""),"Yes")</f>
        <v>Yes</v>
      </c>
      <c r="F436" s="5" t="str">
        <f>IFERROR(__xludf.DUMMYFUNCTION("""COMPUTED_VALUE"""),"Yes")</f>
        <v>Yes</v>
      </c>
      <c r="G436" s="5" t="str">
        <f>IFERROR(__xludf.DUMMYFUNCTION("""COMPUTED_VALUE"""),"Yes")</f>
        <v>Yes</v>
      </c>
      <c r="H436" s="5" t="str">
        <f>IFERROR(__xludf.DUMMYFUNCTION("""COMPUTED_VALUE"""),"Yes")</f>
        <v>Yes</v>
      </c>
      <c r="I436" s="5" t="str">
        <f>IFERROR(__xludf.DUMMYFUNCTION("""COMPUTED_VALUE"""),"Yes")</f>
        <v>Yes</v>
      </c>
      <c r="J436" s="5" t="str">
        <f>IFERROR(__xludf.DUMMYFUNCTION("""COMPUTED_VALUE"""),"Yes")</f>
        <v>Yes</v>
      </c>
      <c r="K436" s="5" t="str">
        <f>IFERROR(__xludf.DUMMYFUNCTION("""COMPUTED_VALUE"""),"Yes")</f>
        <v>Yes</v>
      </c>
      <c r="L436" s="5" t="str">
        <f>IFERROR(__xludf.DUMMYFUNCTION("""COMPUTED_VALUE"""),"Yes")</f>
        <v>Yes</v>
      </c>
      <c r="M436" s="5" t="str">
        <f>IFERROR(__xludf.DUMMYFUNCTION("""COMPUTED_VALUE"""),"Yes")</f>
        <v>Yes</v>
      </c>
      <c r="N436" s="5" t="str">
        <f>IFERROR(__xludf.DUMMYFUNCTION("""COMPUTED_VALUE"""),"Yes")</f>
        <v>Yes</v>
      </c>
      <c r="O436" s="5" t="str">
        <f>IFERROR(__xludf.DUMMYFUNCTION("""COMPUTED_VALUE"""),"Yes")</f>
        <v>Yes</v>
      </c>
      <c r="P436" s="5" t="str">
        <f>IFERROR(__xludf.DUMMYFUNCTION("""COMPUTED_VALUE"""),"Yes")</f>
        <v>Yes</v>
      </c>
      <c r="Q436" s="5" t="str">
        <f>IFERROR(__xludf.DUMMYFUNCTION("""COMPUTED_VALUE"""),"Yes")</f>
        <v>Yes</v>
      </c>
      <c r="R436" s="5" t="str">
        <f>IFERROR(__xludf.DUMMYFUNCTION("""COMPUTED_VALUE"""),"Yes")</f>
        <v>Yes</v>
      </c>
      <c r="S436" s="5" t="str">
        <f>IFERROR(__xludf.DUMMYFUNCTION("""COMPUTED_VALUE"""),"Yes")</f>
        <v>Yes</v>
      </c>
      <c r="T436" s="5" t="str">
        <f>IFERROR(__xludf.DUMMYFUNCTION("""COMPUTED_VALUE"""),"No")</f>
        <v>No</v>
      </c>
      <c r="U436" s="5" t="str">
        <f>IFERROR(__xludf.DUMMYFUNCTION("""COMPUTED_VALUE"""),"No")</f>
        <v>No</v>
      </c>
      <c r="V436" s="5" t="str">
        <f>IFERROR(__xludf.DUMMYFUNCTION("""COMPUTED_VALUE"""),"No")</f>
        <v>No</v>
      </c>
      <c r="W436" s="5" t="str">
        <f>IFERROR(__xludf.DUMMYFUNCTION("""COMPUTED_VALUE"""),"No")</f>
        <v>No</v>
      </c>
      <c r="X436" s="5"/>
      <c r="Y436" s="5" t="str">
        <f>IFERROR(__xludf.DUMMYFUNCTION("""COMPUTED_VALUE"""),"Yes")</f>
        <v>Yes</v>
      </c>
      <c r="Z436" s="5"/>
      <c r="AA436" s="5"/>
      <c r="AB436" s="5"/>
      <c r="AC436" s="5" t="str">
        <f>IFERROR(__xludf.DUMMYFUNCTION("""COMPUTED_VALUE"""),"Yes")</f>
        <v>Yes</v>
      </c>
      <c r="AD436" s="5"/>
      <c r="AE436" s="5"/>
      <c r="AF436" s="5" t="str">
        <f>IFERROR(__xludf.DUMMYFUNCTION("""COMPUTED_VALUE"""),"Yes")</f>
        <v>Yes</v>
      </c>
      <c r="AG436" s="5"/>
      <c r="AH436" s="5" t="str">
        <f>IFERROR(__xludf.DUMMYFUNCTION("""COMPUTED_VALUE"""),"Yes")</f>
        <v>Yes</v>
      </c>
      <c r="AI436" s="5"/>
      <c r="AJ436" s="5"/>
      <c r="AK436" s="5"/>
      <c r="AL436" s="5"/>
      <c r="AM436" s="5"/>
      <c r="AN436" s="5"/>
      <c r="AO436" s="5"/>
      <c r="AP436" s="5"/>
      <c r="AQ436" s="5"/>
      <c r="AR436" s="5"/>
      <c r="AS436" s="5"/>
      <c r="AT436" s="5"/>
      <c r="AU436" s="5"/>
      <c r="AV436" s="5"/>
      <c r="AW436" s="5"/>
      <c r="AX436" s="5"/>
      <c r="AY436" s="5"/>
    </row>
    <row r="437">
      <c r="A4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7" s="5">
        <f>IFERROR(__xludf.DUMMYFUNCTION("""COMPUTED_VALUE"""),453.0)</f>
        <v>453</v>
      </c>
      <c r="C437" s="5">
        <f>IFERROR(__xludf.DUMMYFUNCTION("""COMPUTED_VALUE"""),401.0)</f>
        <v>401</v>
      </c>
      <c r="D437" s="5" t="str">
        <f>IFERROR(__xludf.DUMMYFUNCTION("""COMPUTED_VALUE"""),"UnicornDynamiteRunPlatinum")</f>
        <v>UnicornDynamiteRunPlatinum</v>
      </c>
      <c r="E437" s="5" t="str">
        <f>IFERROR(__xludf.DUMMYFUNCTION("""COMPUTED_VALUE"""),"Yes")</f>
        <v>Yes</v>
      </c>
      <c r="F437" s="5" t="str">
        <f>IFERROR(__xludf.DUMMYFUNCTION("""COMPUTED_VALUE"""),"Yes")</f>
        <v>Yes</v>
      </c>
      <c r="G437" s="5" t="str">
        <f>IFERROR(__xludf.DUMMYFUNCTION("""COMPUTED_VALUE"""),"Yes")</f>
        <v>Yes</v>
      </c>
      <c r="H437" s="5" t="str">
        <f>IFERROR(__xludf.DUMMYFUNCTION("""COMPUTED_VALUE"""),"Yes")</f>
        <v>Yes</v>
      </c>
      <c r="I437" s="5" t="str">
        <f>IFERROR(__xludf.DUMMYFUNCTION("""COMPUTED_VALUE"""),"Yes")</f>
        <v>Yes</v>
      </c>
      <c r="J437" s="5" t="str">
        <f>IFERROR(__xludf.DUMMYFUNCTION("""COMPUTED_VALUE"""),"Yes")</f>
        <v>Yes</v>
      </c>
      <c r="K437" s="5" t="str">
        <f>IFERROR(__xludf.DUMMYFUNCTION("""COMPUTED_VALUE"""),"Yes")</f>
        <v>Yes</v>
      </c>
      <c r="L437" s="5" t="str">
        <f>IFERROR(__xludf.DUMMYFUNCTION("""COMPUTED_VALUE"""),"Yes")</f>
        <v>Yes</v>
      </c>
      <c r="M437" s="5" t="str">
        <f>IFERROR(__xludf.DUMMYFUNCTION("""COMPUTED_VALUE"""),"Yes")</f>
        <v>Yes</v>
      </c>
      <c r="N437" s="5" t="str">
        <f>IFERROR(__xludf.DUMMYFUNCTION("""COMPUTED_VALUE"""),"Yes")</f>
        <v>Yes</v>
      </c>
      <c r="O437" s="5" t="str">
        <f>IFERROR(__xludf.DUMMYFUNCTION("""COMPUTED_VALUE"""),"Yes")</f>
        <v>Yes</v>
      </c>
      <c r="P437" s="5" t="str">
        <f>IFERROR(__xludf.DUMMYFUNCTION("""COMPUTED_VALUE"""),"Yes")</f>
        <v>Yes</v>
      </c>
      <c r="Q437" s="5" t="str">
        <f>IFERROR(__xludf.DUMMYFUNCTION("""COMPUTED_VALUE"""),"Yes")</f>
        <v>Yes</v>
      </c>
      <c r="R437" s="5" t="str">
        <f>IFERROR(__xludf.DUMMYFUNCTION("""COMPUTED_VALUE"""),"Yes")</f>
        <v>Yes</v>
      </c>
      <c r="S437" s="5" t="str">
        <f>IFERROR(__xludf.DUMMYFUNCTION("""COMPUTED_VALUE"""),"Yes")</f>
        <v>Yes</v>
      </c>
      <c r="T437" s="5" t="str">
        <f>IFERROR(__xludf.DUMMYFUNCTION("""COMPUTED_VALUE"""),"Yes")</f>
        <v>Yes</v>
      </c>
      <c r="U437" s="5" t="str">
        <f>IFERROR(__xludf.DUMMYFUNCTION("""COMPUTED_VALUE"""),"Yes")</f>
        <v>Yes</v>
      </c>
      <c r="V437" s="5" t="str">
        <f>IFERROR(__xludf.DUMMYFUNCTION("""COMPUTED_VALUE"""),"Yes")</f>
        <v>Yes</v>
      </c>
      <c r="W437" s="5" t="str">
        <f>IFERROR(__xludf.DUMMYFUNCTION("""COMPUTED_VALUE"""),"Yes")</f>
        <v>Yes</v>
      </c>
      <c r="X437" s="5"/>
      <c r="Y437" s="5"/>
      <c r="Z437" s="5"/>
      <c r="AA437" s="5"/>
      <c r="AB437" s="5"/>
      <c r="AC437" s="5" t="str">
        <f>IFERROR(__xludf.DUMMYFUNCTION("""COMPUTED_VALUE"""),"Yes")</f>
        <v>Yes</v>
      </c>
      <c r="AD437" s="5"/>
      <c r="AE437" s="5"/>
      <c r="AF437" s="5"/>
      <c r="AG437" s="5"/>
      <c r="AH437" s="5"/>
      <c r="AI437" s="5"/>
      <c r="AJ437" s="5"/>
      <c r="AK437" s="5"/>
      <c r="AL437" s="5"/>
      <c r="AM437" s="5"/>
      <c r="AN437" s="5"/>
      <c r="AO437" s="5"/>
      <c r="AP437" s="5"/>
      <c r="AQ437" s="5"/>
      <c r="AR437" s="5"/>
      <c r="AS437" s="5"/>
      <c r="AT437" s="5"/>
      <c r="AU437" s="5"/>
      <c r="AV437" s="5"/>
      <c r="AW437" s="5"/>
      <c r="AX437" s="5"/>
      <c r="AY437" s="5"/>
    </row>
    <row r="438">
      <c r="A4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8" s="5">
        <f>IFERROR(__xludf.DUMMYFUNCTION("""COMPUTED_VALUE"""),457.0)</f>
        <v>457</v>
      </c>
      <c r="C438" s="5">
        <f>IFERROR(__xludf.DUMMYFUNCTION("""COMPUTED_VALUE"""),399.0)</f>
        <v>399</v>
      </c>
      <c r="D438" s="5" t="str">
        <f>IFERROR(__xludf.DUMMYFUNCTION("""COMPUTED_VALUE"""),"UnicornBigHitSevens")</f>
        <v>UnicornBigHitSevens</v>
      </c>
      <c r="E438" s="5" t="str">
        <f>IFERROR(__xludf.DUMMYFUNCTION("""COMPUTED_VALUE"""),"Yes")</f>
        <v>Yes</v>
      </c>
      <c r="F438" s="5" t="str">
        <f>IFERROR(__xludf.DUMMYFUNCTION("""COMPUTED_VALUE"""),"Yes")</f>
        <v>Yes</v>
      </c>
      <c r="G438" s="5" t="str">
        <f>IFERROR(__xludf.DUMMYFUNCTION("""COMPUTED_VALUE"""),"Yes")</f>
        <v>Yes</v>
      </c>
      <c r="H438" s="5" t="str">
        <f>IFERROR(__xludf.DUMMYFUNCTION("""COMPUTED_VALUE"""),"Yes")</f>
        <v>Yes</v>
      </c>
      <c r="I438" s="5" t="str">
        <f>IFERROR(__xludf.DUMMYFUNCTION("""COMPUTED_VALUE"""),"Yes")</f>
        <v>Yes</v>
      </c>
      <c r="J438" s="5" t="str">
        <f>IFERROR(__xludf.DUMMYFUNCTION("""COMPUTED_VALUE"""),"Yes")</f>
        <v>Yes</v>
      </c>
      <c r="K438" s="5" t="str">
        <f>IFERROR(__xludf.DUMMYFUNCTION("""COMPUTED_VALUE"""),"Yes")</f>
        <v>Yes</v>
      </c>
      <c r="L438" s="5" t="str">
        <f>IFERROR(__xludf.DUMMYFUNCTION("""COMPUTED_VALUE"""),"Yes")</f>
        <v>Yes</v>
      </c>
      <c r="M438" s="5" t="str">
        <f>IFERROR(__xludf.DUMMYFUNCTION("""COMPUTED_VALUE"""),"Yes")</f>
        <v>Yes</v>
      </c>
      <c r="N438" s="5" t="str">
        <f>IFERROR(__xludf.DUMMYFUNCTION("""COMPUTED_VALUE"""),"Yes")</f>
        <v>Yes</v>
      </c>
      <c r="O438" s="5" t="str">
        <f>IFERROR(__xludf.DUMMYFUNCTION("""COMPUTED_VALUE"""),"Yes")</f>
        <v>Yes</v>
      </c>
      <c r="P438" s="5" t="str">
        <f>IFERROR(__xludf.DUMMYFUNCTION("""COMPUTED_VALUE"""),"Yes")</f>
        <v>Yes</v>
      </c>
      <c r="Q438" s="5" t="str">
        <f>IFERROR(__xludf.DUMMYFUNCTION("""COMPUTED_VALUE"""),"Yes")</f>
        <v>Yes</v>
      </c>
      <c r="R438" s="5" t="str">
        <f>IFERROR(__xludf.DUMMYFUNCTION("""COMPUTED_VALUE"""),"Yes")</f>
        <v>Yes</v>
      </c>
      <c r="S438" s="5" t="str">
        <f>IFERROR(__xludf.DUMMYFUNCTION("""COMPUTED_VALUE"""),"Yes")</f>
        <v>Yes</v>
      </c>
      <c r="T438" s="5" t="str">
        <f>IFERROR(__xludf.DUMMYFUNCTION("""COMPUTED_VALUE"""),"Yes")</f>
        <v>Yes</v>
      </c>
      <c r="U438" s="5" t="str">
        <f>IFERROR(__xludf.DUMMYFUNCTION("""COMPUTED_VALUE"""),"Yes")</f>
        <v>Yes</v>
      </c>
      <c r="V438" s="5" t="str">
        <f>IFERROR(__xludf.DUMMYFUNCTION("""COMPUTED_VALUE"""),"Yes")</f>
        <v>Yes</v>
      </c>
      <c r="W438" s="5" t="str">
        <f>IFERROR(__xludf.DUMMYFUNCTION("""COMPUTED_VALUE"""),"Yes")</f>
        <v>Yes</v>
      </c>
      <c r="X438" s="5"/>
      <c r="Y438" s="5"/>
      <c r="Z438" s="5"/>
      <c r="AA438" s="5"/>
      <c r="AB438" s="5"/>
      <c r="AC438" s="5" t="str">
        <f>IFERROR(__xludf.DUMMYFUNCTION("""COMPUTED_VALUE"""),"Yes")</f>
        <v>Yes</v>
      </c>
      <c r="AD438" s="5"/>
      <c r="AE438" s="5"/>
      <c r="AF438" s="5"/>
      <c r="AG438" s="5"/>
      <c r="AH438" s="5"/>
      <c r="AI438" s="5"/>
      <c r="AJ438" s="5"/>
      <c r="AK438" s="5"/>
      <c r="AL438" s="5"/>
      <c r="AM438" s="5"/>
      <c r="AN438" s="5"/>
      <c r="AO438" s="5"/>
      <c r="AP438" s="5"/>
      <c r="AQ438" s="5"/>
      <c r="AR438" s="5"/>
      <c r="AS438" s="5"/>
      <c r="AT438" s="5"/>
      <c r="AU438" s="5"/>
      <c r="AV438" s="5"/>
      <c r="AW438" s="5"/>
      <c r="AX438" s="5"/>
      <c r="AY438" s="5"/>
    </row>
    <row r="439">
      <c r="A4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9" s="5">
        <f>IFERROR(__xludf.DUMMYFUNCTION("""COMPUTED_VALUE"""),461.0)</f>
        <v>461</v>
      </c>
      <c r="C439" s="5">
        <f>IFERROR(__xludf.DUMMYFUNCTION("""COMPUTED_VALUE"""),999965.0)</f>
        <v>999965</v>
      </c>
      <c r="D439" s="5" t="str">
        <f>IFERROR(__xludf.DUMMYFUNCTION("""COMPUTED_VALUE"""),"Placeholder 1")</f>
        <v>Placeholder 1</v>
      </c>
      <c r="E439" s="5" t="str">
        <f>IFERROR(__xludf.DUMMYFUNCTION("""COMPUTED_VALUE"""),"Yes")</f>
        <v>Yes</v>
      </c>
      <c r="F439" s="5" t="str">
        <f>IFERROR(__xludf.DUMMYFUNCTION("""COMPUTED_VALUE"""),"Yes")</f>
        <v>Yes</v>
      </c>
      <c r="G439" s="5" t="str">
        <f>IFERROR(__xludf.DUMMYFUNCTION("""COMPUTED_VALUE"""),"Yes")</f>
        <v>Yes</v>
      </c>
      <c r="H439" s="5" t="str">
        <f>IFERROR(__xludf.DUMMYFUNCTION("""COMPUTED_VALUE"""),"Yes")</f>
        <v>Yes</v>
      </c>
      <c r="I439" s="5" t="str">
        <f>IFERROR(__xludf.DUMMYFUNCTION("""COMPUTED_VALUE"""),"Yes")</f>
        <v>Yes</v>
      </c>
      <c r="J439" s="5" t="str">
        <f>IFERROR(__xludf.DUMMYFUNCTION("""COMPUTED_VALUE"""),"Yes")</f>
        <v>Yes</v>
      </c>
      <c r="K439" s="5" t="str">
        <f>IFERROR(__xludf.DUMMYFUNCTION("""COMPUTED_VALUE"""),"Yes")</f>
        <v>Yes</v>
      </c>
      <c r="L439" s="5" t="str">
        <f>IFERROR(__xludf.DUMMYFUNCTION("""COMPUTED_VALUE"""),"Yes")</f>
        <v>Yes</v>
      </c>
      <c r="M439" s="5" t="str">
        <f>IFERROR(__xludf.DUMMYFUNCTION("""COMPUTED_VALUE"""),"Yes")</f>
        <v>Yes</v>
      </c>
      <c r="N439" s="5" t="str">
        <f>IFERROR(__xludf.DUMMYFUNCTION("""COMPUTED_VALUE"""),"Yes")</f>
        <v>Yes</v>
      </c>
      <c r="O439" s="5" t="str">
        <f>IFERROR(__xludf.DUMMYFUNCTION("""COMPUTED_VALUE"""),"Yes")</f>
        <v>Yes</v>
      </c>
      <c r="P439" s="5" t="str">
        <f>IFERROR(__xludf.DUMMYFUNCTION("""COMPUTED_VALUE"""),"Yes")</f>
        <v>Yes</v>
      </c>
      <c r="Q439" s="5" t="str">
        <f>IFERROR(__xludf.DUMMYFUNCTION("""COMPUTED_VALUE"""),"Yes")</f>
        <v>Yes</v>
      </c>
      <c r="R439" s="5" t="str">
        <f>IFERROR(__xludf.DUMMYFUNCTION("""COMPUTED_VALUE"""),"Yes")</f>
        <v>Yes</v>
      </c>
      <c r="S439" s="5" t="str">
        <f>IFERROR(__xludf.DUMMYFUNCTION("""COMPUTED_VALUE"""),"Yes")</f>
        <v>Yes</v>
      </c>
      <c r="T439" s="5" t="str">
        <f>IFERROR(__xludf.DUMMYFUNCTION("""COMPUTED_VALUE"""),"Yes")</f>
        <v>Yes</v>
      </c>
      <c r="U439" s="5" t="str">
        <f>IFERROR(__xludf.DUMMYFUNCTION("""COMPUTED_VALUE"""),"Yes")</f>
        <v>Yes</v>
      </c>
      <c r="V439" s="5" t="str">
        <f>IFERROR(__xludf.DUMMYFUNCTION("""COMPUTED_VALUE"""),"Yes")</f>
        <v>Yes</v>
      </c>
      <c r="W439" s="5" t="str">
        <f>IFERROR(__xludf.DUMMYFUNCTION("""COMPUTED_VALUE"""),"Yes")</f>
        <v>Yes</v>
      </c>
      <c r="X439" s="5"/>
      <c r="Y439" s="5"/>
      <c r="Z439" s="5"/>
      <c r="AA439" s="5"/>
      <c r="AB439" s="5"/>
      <c r="AC439" s="5" t="str">
        <f>IFERROR(__xludf.DUMMYFUNCTION("""COMPUTED_VALUE"""),"Yes")</f>
        <v>Yes</v>
      </c>
      <c r="AD439" s="5"/>
      <c r="AE439" s="5"/>
      <c r="AF439" s="5"/>
      <c r="AG439" s="5"/>
      <c r="AH439" s="5"/>
      <c r="AI439" s="5"/>
      <c r="AJ439" s="5"/>
      <c r="AK439" s="5"/>
      <c r="AL439" s="5"/>
      <c r="AM439" s="5"/>
      <c r="AN439" s="5"/>
      <c r="AO439" s="5"/>
      <c r="AP439" s="5"/>
      <c r="AQ439" s="5"/>
      <c r="AR439" s="5"/>
      <c r="AS439" s="5"/>
      <c r="AT439" s="5"/>
      <c r="AU439" s="5"/>
      <c r="AV439" s="5"/>
      <c r="AW439" s="5"/>
      <c r="AX439" s="5"/>
      <c r="AY439" s="5"/>
    </row>
    <row r="440">
      <c r="A44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0" s="5">
        <f>IFERROR(__xludf.DUMMYFUNCTION("""COMPUTED_VALUE"""),462.0)</f>
        <v>462</v>
      </c>
      <c r="C440" s="5">
        <f>IFERROR(__xludf.DUMMYFUNCTION("""COMPUTED_VALUE"""),999964.0)</f>
        <v>999964</v>
      </c>
      <c r="D440" s="5" t="str">
        <f>IFERROR(__xludf.DUMMYFUNCTION("""COMPUTED_VALUE"""),"Placeholder 2")</f>
        <v>Placeholder 2</v>
      </c>
      <c r="E440" s="5" t="str">
        <f>IFERROR(__xludf.DUMMYFUNCTION("""COMPUTED_VALUE"""),"Yes")</f>
        <v>Yes</v>
      </c>
      <c r="F440" s="5" t="str">
        <f>IFERROR(__xludf.DUMMYFUNCTION("""COMPUTED_VALUE"""),"Yes")</f>
        <v>Yes</v>
      </c>
      <c r="G440" s="5" t="str">
        <f>IFERROR(__xludf.DUMMYFUNCTION("""COMPUTED_VALUE"""),"Yes")</f>
        <v>Yes</v>
      </c>
      <c r="H440" s="5" t="str">
        <f>IFERROR(__xludf.DUMMYFUNCTION("""COMPUTED_VALUE"""),"No")</f>
        <v>No</v>
      </c>
      <c r="I440" s="5" t="str">
        <f>IFERROR(__xludf.DUMMYFUNCTION("""COMPUTED_VALUE"""),"No")</f>
        <v>No</v>
      </c>
      <c r="J440" s="5" t="str">
        <f>IFERROR(__xludf.DUMMYFUNCTION("""COMPUTED_VALUE"""),"No")</f>
        <v>No</v>
      </c>
      <c r="K440" s="5" t="str">
        <f>IFERROR(__xludf.DUMMYFUNCTION("""COMPUTED_VALUE"""),"No")</f>
        <v>No</v>
      </c>
      <c r="L440" s="5" t="str">
        <f>IFERROR(__xludf.DUMMYFUNCTION("""COMPUTED_VALUE"""),"No")</f>
        <v>No</v>
      </c>
      <c r="M440" s="5" t="str">
        <f>IFERROR(__xludf.DUMMYFUNCTION("""COMPUTED_VALUE"""),"Yes")</f>
        <v>Yes</v>
      </c>
      <c r="N440" s="5" t="str">
        <f>IFERROR(__xludf.DUMMYFUNCTION("""COMPUTED_VALUE"""),"Yes")</f>
        <v>Yes</v>
      </c>
      <c r="O440" s="5" t="str">
        <f>IFERROR(__xludf.DUMMYFUNCTION("""COMPUTED_VALUE"""),"Yes")</f>
        <v>Yes</v>
      </c>
      <c r="P440" s="5" t="str">
        <f>IFERROR(__xludf.DUMMYFUNCTION("""COMPUTED_VALUE"""),"Yes")</f>
        <v>Yes</v>
      </c>
      <c r="Q440" s="5" t="str">
        <f>IFERROR(__xludf.DUMMYFUNCTION("""COMPUTED_VALUE"""),"Yes")</f>
        <v>Yes</v>
      </c>
      <c r="R440" s="5" t="str">
        <f>IFERROR(__xludf.DUMMYFUNCTION("""COMPUTED_VALUE"""),"No")</f>
        <v>No</v>
      </c>
      <c r="S440" s="5" t="str">
        <f>IFERROR(__xludf.DUMMYFUNCTION("""COMPUTED_VALUE"""),"Yes")</f>
        <v>Yes</v>
      </c>
      <c r="T440" s="5" t="str">
        <f>IFERROR(__xludf.DUMMYFUNCTION("""COMPUTED_VALUE"""),"No")</f>
        <v>No</v>
      </c>
      <c r="U440" s="5" t="str">
        <f>IFERROR(__xludf.DUMMYFUNCTION("""COMPUTED_VALUE"""),"No")</f>
        <v>No</v>
      </c>
      <c r="V440" s="5" t="str">
        <f>IFERROR(__xludf.DUMMYFUNCTION("""COMPUTED_VALUE"""),"No")</f>
        <v>No</v>
      </c>
      <c r="W440" s="5" t="str">
        <f>IFERROR(__xludf.DUMMYFUNCTION("""COMPUTED_VALUE"""),"No")</f>
        <v>No</v>
      </c>
      <c r="X440" s="5"/>
      <c r="Y440" s="5"/>
      <c r="Z440" s="5"/>
      <c r="AA440" s="5" t="str">
        <f>IFERROR(__xludf.DUMMYFUNCTION("""COMPUTED_VALUE"""),"Yes")</f>
        <v>Yes</v>
      </c>
      <c r="AB440" s="5"/>
      <c r="AC440" s="5" t="str">
        <f>IFERROR(__xludf.DUMMYFUNCTION("""COMPUTED_VALUE"""),"No")</f>
        <v>No</v>
      </c>
      <c r="AD440" s="5"/>
      <c r="AE440" s="5"/>
      <c r="AF440" s="5" t="str">
        <f>IFERROR(__xludf.DUMMYFUNCTION("""COMPUTED_VALUE"""),"Yes")</f>
        <v>Yes</v>
      </c>
      <c r="AG440" s="5"/>
      <c r="AH440" s="5"/>
      <c r="AI440" s="5"/>
      <c r="AJ440" s="5"/>
      <c r="AK440" s="5"/>
      <c r="AL440" s="5" t="str">
        <f>IFERROR(__xludf.DUMMYFUNCTION("""COMPUTED_VALUE"""),"Yes")</f>
        <v>Yes</v>
      </c>
      <c r="AM440" s="5"/>
      <c r="AN440" s="5"/>
      <c r="AO440" s="5"/>
      <c r="AP440" s="5"/>
      <c r="AQ440" s="5"/>
      <c r="AR440" s="5"/>
      <c r="AS440" s="5"/>
      <c r="AT440" s="5"/>
      <c r="AU440" s="5"/>
      <c r="AV440" s="5"/>
      <c r="AW440" s="5"/>
      <c r="AX440" s="5"/>
      <c r="AY440" s="5"/>
    </row>
    <row r="441">
      <c r="A44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1" s="5">
        <f>IFERROR(__xludf.DUMMYFUNCTION("""COMPUTED_VALUE"""),463.0)</f>
        <v>463</v>
      </c>
      <c r="C441" s="5">
        <f>IFERROR(__xludf.DUMMYFUNCTION("""COMPUTED_VALUE"""),999963.0)</f>
        <v>999963</v>
      </c>
      <c r="D441" s="5" t="str">
        <f>IFERROR(__xludf.DUMMYFUNCTION("""COMPUTED_VALUE"""),"Placeholder 3")</f>
        <v>Placeholder 3</v>
      </c>
      <c r="E441" s="5" t="str">
        <f>IFERROR(__xludf.DUMMYFUNCTION("""COMPUTED_VALUE"""),"Yes")</f>
        <v>Yes</v>
      </c>
      <c r="F441" s="5" t="str">
        <f>IFERROR(__xludf.DUMMYFUNCTION("""COMPUTED_VALUE"""),"Yes")</f>
        <v>Yes</v>
      </c>
      <c r="G441" s="5" t="str">
        <f>IFERROR(__xludf.DUMMYFUNCTION("""COMPUTED_VALUE"""),"Yes")</f>
        <v>Yes</v>
      </c>
      <c r="H441" s="5" t="str">
        <f>IFERROR(__xludf.DUMMYFUNCTION("""COMPUTED_VALUE"""),"No")</f>
        <v>No</v>
      </c>
      <c r="I441" s="5" t="str">
        <f>IFERROR(__xludf.DUMMYFUNCTION("""COMPUTED_VALUE"""),"No")</f>
        <v>No</v>
      </c>
      <c r="J441" s="5" t="str">
        <f>IFERROR(__xludf.DUMMYFUNCTION("""COMPUTED_VALUE"""),"No")</f>
        <v>No</v>
      </c>
      <c r="K441" s="5" t="str">
        <f>IFERROR(__xludf.DUMMYFUNCTION("""COMPUTED_VALUE"""),"No")</f>
        <v>No</v>
      </c>
      <c r="L441" s="5" t="str">
        <f>IFERROR(__xludf.DUMMYFUNCTION("""COMPUTED_VALUE"""),"No")</f>
        <v>No</v>
      </c>
      <c r="M441" s="5" t="str">
        <f>IFERROR(__xludf.DUMMYFUNCTION("""COMPUTED_VALUE"""),"Yes")</f>
        <v>Yes</v>
      </c>
      <c r="N441" s="5" t="str">
        <f>IFERROR(__xludf.DUMMYFUNCTION("""COMPUTED_VALUE"""),"Yes")</f>
        <v>Yes</v>
      </c>
      <c r="O441" s="5" t="str">
        <f>IFERROR(__xludf.DUMMYFUNCTION("""COMPUTED_VALUE"""),"Yes")</f>
        <v>Yes</v>
      </c>
      <c r="P441" s="5" t="str">
        <f>IFERROR(__xludf.DUMMYFUNCTION("""COMPUTED_VALUE"""),"Yes")</f>
        <v>Yes</v>
      </c>
      <c r="Q441" s="5" t="str">
        <f>IFERROR(__xludf.DUMMYFUNCTION("""COMPUTED_VALUE"""),"Yes")</f>
        <v>Yes</v>
      </c>
      <c r="R441" s="5" t="str">
        <f>IFERROR(__xludf.DUMMYFUNCTION("""COMPUTED_VALUE"""),"No")</f>
        <v>No</v>
      </c>
      <c r="S441" s="5" t="str">
        <f>IFERROR(__xludf.DUMMYFUNCTION("""COMPUTED_VALUE"""),"Yes")</f>
        <v>Yes</v>
      </c>
      <c r="T441" s="5" t="str">
        <f>IFERROR(__xludf.DUMMYFUNCTION("""COMPUTED_VALUE"""),"No")</f>
        <v>No</v>
      </c>
      <c r="U441" s="5" t="str">
        <f>IFERROR(__xludf.DUMMYFUNCTION("""COMPUTED_VALUE"""),"No")</f>
        <v>No</v>
      </c>
      <c r="V441" s="5" t="str">
        <f>IFERROR(__xludf.DUMMYFUNCTION("""COMPUTED_VALUE"""),"No")</f>
        <v>No</v>
      </c>
      <c r="W441" s="5" t="str">
        <f>IFERROR(__xludf.DUMMYFUNCTION("""COMPUTED_VALUE"""),"No")</f>
        <v>No</v>
      </c>
      <c r="X441" s="5"/>
      <c r="Y441" s="5"/>
      <c r="Z441" s="5"/>
      <c r="AA441" s="5" t="str">
        <f>IFERROR(__xludf.DUMMYFUNCTION("""COMPUTED_VALUE"""),"Yes")</f>
        <v>Yes</v>
      </c>
      <c r="AB441" s="5"/>
      <c r="AC441" s="5" t="str">
        <f>IFERROR(__xludf.DUMMYFUNCTION("""COMPUTED_VALUE"""),"No")</f>
        <v>No</v>
      </c>
      <c r="AD441" s="5"/>
      <c r="AE441" s="5"/>
      <c r="AF441" s="5" t="str">
        <f>IFERROR(__xludf.DUMMYFUNCTION("""COMPUTED_VALUE"""),"Yes")</f>
        <v>Yes</v>
      </c>
      <c r="AG441" s="5"/>
      <c r="AH441" s="5"/>
      <c r="AI441" s="5"/>
      <c r="AJ441" s="5"/>
      <c r="AK441" s="5"/>
      <c r="AL441" s="5" t="str">
        <f>IFERROR(__xludf.DUMMYFUNCTION("""COMPUTED_VALUE"""),"Yes")</f>
        <v>Yes</v>
      </c>
      <c r="AM441" s="5"/>
      <c r="AN441" s="5"/>
      <c r="AO441" s="5"/>
      <c r="AP441" s="5"/>
      <c r="AQ441" s="5"/>
      <c r="AR441" s="5"/>
      <c r="AS441" s="5"/>
      <c r="AT441" s="5"/>
      <c r="AU441" s="5"/>
      <c r="AV441" s="5"/>
      <c r="AW441" s="5"/>
      <c r="AX441" s="5"/>
      <c r="AY441" s="5"/>
    </row>
    <row r="442">
      <c r="A4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42" s="5">
        <f>IFERROR(__xludf.DUMMYFUNCTION("""COMPUTED_VALUE"""),464.0)</f>
        <v>464</v>
      </c>
      <c r="C442" s="5">
        <f>IFERROR(__xludf.DUMMYFUNCTION("""COMPUTED_VALUE"""),999962.0)</f>
        <v>999962</v>
      </c>
      <c r="D442" s="5" t="str">
        <f>IFERROR(__xludf.DUMMYFUNCTION("""COMPUTED_VALUE"""),"Placeholder 4")</f>
        <v>Placeholder 4</v>
      </c>
      <c r="E442" s="5" t="str">
        <f>IFERROR(__xludf.DUMMYFUNCTION("""COMPUTED_VALUE"""),"Yes")</f>
        <v>Yes</v>
      </c>
      <c r="F442" s="5" t="str">
        <f>IFERROR(__xludf.DUMMYFUNCTION("""COMPUTED_VALUE"""),"Yes")</f>
        <v>Yes</v>
      </c>
      <c r="G442" s="5" t="str">
        <f>IFERROR(__xludf.DUMMYFUNCTION("""COMPUTED_VALUE"""),"Yes")</f>
        <v>Yes</v>
      </c>
      <c r="H442" s="5" t="str">
        <f>IFERROR(__xludf.DUMMYFUNCTION("""COMPUTED_VALUE"""),"Yes")</f>
        <v>Yes</v>
      </c>
      <c r="I442" s="5" t="str">
        <f>IFERROR(__xludf.DUMMYFUNCTION("""COMPUTED_VALUE"""),"Yes")</f>
        <v>Yes</v>
      </c>
      <c r="J442" s="5" t="str">
        <f>IFERROR(__xludf.DUMMYFUNCTION("""COMPUTED_VALUE"""),"Yes")</f>
        <v>Yes</v>
      </c>
      <c r="K442" s="5" t="str">
        <f>IFERROR(__xludf.DUMMYFUNCTION("""COMPUTED_VALUE"""),"Yes")</f>
        <v>Yes</v>
      </c>
      <c r="L442" s="5" t="str">
        <f>IFERROR(__xludf.DUMMYFUNCTION("""COMPUTED_VALUE"""),"Yes")</f>
        <v>Yes</v>
      </c>
      <c r="M442" s="5" t="str">
        <f>IFERROR(__xludf.DUMMYFUNCTION("""COMPUTED_VALUE"""),"Yes")</f>
        <v>Yes</v>
      </c>
      <c r="N442" s="5" t="str">
        <f>IFERROR(__xludf.DUMMYFUNCTION("""COMPUTED_VALUE"""),"Yes")</f>
        <v>Yes</v>
      </c>
      <c r="O442" s="5" t="str">
        <f>IFERROR(__xludf.DUMMYFUNCTION("""COMPUTED_VALUE"""),"Yes")</f>
        <v>Yes</v>
      </c>
      <c r="P442" s="5" t="str">
        <f>IFERROR(__xludf.DUMMYFUNCTION("""COMPUTED_VALUE"""),"Yes")</f>
        <v>Yes</v>
      </c>
      <c r="Q442" s="5" t="str">
        <f>IFERROR(__xludf.DUMMYFUNCTION("""COMPUTED_VALUE"""),"Yes")</f>
        <v>Yes</v>
      </c>
      <c r="R442" s="5" t="str">
        <f>IFERROR(__xludf.DUMMYFUNCTION("""COMPUTED_VALUE"""),"Yes")</f>
        <v>Yes</v>
      </c>
      <c r="S442" s="5" t="str">
        <f>IFERROR(__xludf.DUMMYFUNCTION("""COMPUTED_VALUE"""),"Yes")</f>
        <v>Yes</v>
      </c>
      <c r="T442" s="5" t="str">
        <f>IFERROR(__xludf.DUMMYFUNCTION("""COMPUTED_VALUE"""),"Yes")</f>
        <v>Yes</v>
      </c>
      <c r="U442" s="5" t="str">
        <f>IFERROR(__xludf.DUMMYFUNCTION("""COMPUTED_VALUE"""),"Yes")</f>
        <v>Yes</v>
      </c>
      <c r="V442" s="5" t="str">
        <f>IFERROR(__xludf.DUMMYFUNCTION("""COMPUTED_VALUE"""),"Yes")</f>
        <v>Yes</v>
      </c>
      <c r="W442" s="5" t="str">
        <f>IFERROR(__xludf.DUMMYFUNCTION("""COMPUTED_VALUE"""),"Yes")</f>
        <v>Yes</v>
      </c>
      <c r="X442" s="5"/>
      <c r="Y442" s="5"/>
      <c r="Z442" s="5"/>
      <c r="AA442" s="5"/>
      <c r="AB442" s="5"/>
      <c r="AC442" s="5" t="str">
        <f>IFERROR(__xludf.DUMMYFUNCTION("""COMPUTED_VALUE"""),"Yes")</f>
        <v>Yes</v>
      </c>
      <c r="AD442" s="5"/>
      <c r="AE442" s="5"/>
      <c r="AF442" s="5"/>
      <c r="AG442" s="5"/>
      <c r="AH442" s="5"/>
      <c r="AI442" s="5"/>
      <c r="AJ442" s="5"/>
      <c r="AK442" s="5"/>
      <c r="AL442" s="5"/>
      <c r="AM442" s="5"/>
      <c r="AN442" s="5"/>
      <c r="AO442" s="5"/>
      <c r="AP442" s="5"/>
      <c r="AQ442" s="5"/>
      <c r="AR442" s="5"/>
      <c r="AS442" s="5"/>
      <c r="AT442" s="5"/>
      <c r="AU442" s="5"/>
      <c r="AV442" s="5"/>
      <c r="AW442" s="5"/>
      <c r="AX442" s="5"/>
      <c r="AY442" s="5"/>
    </row>
    <row r="443">
      <c r="A44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3" s="5">
        <f>IFERROR(__xludf.DUMMYFUNCTION("""COMPUTED_VALUE"""),466.0)</f>
        <v>466</v>
      </c>
      <c r="C443" s="5">
        <f>IFERROR(__xludf.DUMMYFUNCTION("""COMPUTED_VALUE"""),387.0)</f>
        <v>387</v>
      </c>
      <c r="D443" s="5" t="str">
        <f>IFERROR(__xludf.DUMMYFUNCTION("""COMPUTED_VALUE"""),"UnicornSupremeSevens")</f>
        <v>UnicornSupremeSevens</v>
      </c>
      <c r="E443" s="5" t="str">
        <f>IFERROR(__xludf.DUMMYFUNCTION("""COMPUTED_VALUE"""),"Yes")</f>
        <v>Yes</v>
      </c>
      <c r="F443" s="5" t="str">
        <f>IFERROR(__xludf.DUMMYFUNCTION("""COMPUTED_VALUE"""),"Yes")</f>
        <v>Yes</v>
      </c>
      <c r="G443" s="5" t="str">
        <f>IFERROR(__xludf.DUMMYFUNCTION("""COMPUTED_VALUE"""),"Yes")</f>
        <v>Yes</v>
      </c>
      <c r="H443" s="5" t="str">
        <f>IFERROR(__xludf.DUMMYFUNCTION("""COMPUTED_VALUE"""),"No")</f>
        <v>No</v>
      </c>
      <c r="I443" s="5" t="str">
        <f>IFERROR(__xludf.DUMMYFUNCTION("""COMPUTED_VALUE"""),"No")</f>
        <v>No</v>
      </c>
      <c r="J443" s="5" t="str">
        <f>IFERROR(__xludf.DUMMYFUNCTION("""COMPUTED_VALUE"""),"No")</f>
        <v>No</v>
      </c>
      <c r="K443" s="5" t="str">
        <f>IFERROR(__xludf.DUMMYFUNCTION("""COMPUTED_VALUE"""),"No")</f>
        <v>No</v>
      </c>
      <c r="L443" s="5" t="str">
        <f>IFERROR(__xludf.DUMMYFUNCTION("""COMPUTED_VALUE"""),"No")</f>
        <v>No</v>
      </c>
      <c r="M443" s="5" t="str">
        <f>IFERROR(__xludf.DUMMYFUNCTION("""COMPUTED_VALUE"""),"Yes")</f>
        <v>Yes</v>
      </c>
      <c r="N443" s="5" t="str">
        <f>IFERROR(__xludf.DUMMYFUNCTION("""COMPUTED_VALUE"""),"Yes")</f>
        <v>Yes</v>
      </c>
      <c r="O443" s="5" t="str">
        <f>IFERROR(__xludf.DUMMYFUNCTION("""COMPUTED_VALUE"""),"Yes")</f>
        <v>Yes</v>
      </c>
      <c r="P443" s="5" t="str">
        <f>IFERROR(__xludf.DUMMYFUNCTION("""COMPUTED_VALUE"""),"Yes")</f>
        <v>Yes</v>
      </c>
      <c r="Q443" s="5" t="str">
        <f>IFERROR(__xludf.DUMMYFUNCTION("""COMPUTED_VALUE"""),"Yes")</f>
        <v>Yes</v>
      </c>
      <c r="R443" s="5" t="str">
        <f>IFERROR(__xludf.DUMMYFUNCTION("""COMPUTED_VALUE"""),"No")</f>
        <v>No</v>
      </c>
      <c r="S443" s="5" t="str">
        <f>IFERROR(__xludf.DUMMYFUNCTION("""COMPUTED_VALUE"""),"Yes")</f>
        <v>Yes</v>
      </c>
      <c r="T443" s="5" t="str">
        <f>IFERROR(__xludf.DUMMYFUNCTION("""COMPUTED_VALUE"""),"No")</f>
        <v>No</v>
      </c>
      <c r="U443" s="5" t="str">
        <f>IFERROR(__xludf.DUMMYFUNCTION("""COMPUTED_VALUE"""),"No")</f>
        <v>No</v>
      </c>
      <c r="V443" s="5" t="str">
        <f>IFERROR(__xludf.DUMMYFUNCTION("""COMPUTED_VALUE"""),"No")</f>
        <v>No</v>
      </c>
      <c r="W443" s="5" t="str">
        <f>IFERROR(__xludf.DUMMYFUNCTION("""COMPUTED_VALUE"""),"No")</f>
        <v>No</v>
      </c>
      <c r="X443" s="5"/>
      <c r="Y443" s="5"/>
      <c r="Z443" s="5"/>
      <c r="AA443" s="5" t="str">
        <f>IFERROR(__xludf.DUMMYFUNCTION("""COMPUTED_VALUE"""),"Yes")</f>
        <v>Yes</v>
      </c>
      <c r="AB443" s="5"/>
      <c r="AC443" s="5" t="str">
        <f>IFERROR(__xludf.DUMMYFUNCTION("""COMPUTED_VALUE"""),"No")</f>
        <v>No</v>
      </c>
      <c r="AD443" s="5"/>
      <c r="AE443" s="5"/>
      <c r="AF443" s="5" t="str">
        <f>IFERROR(__xludf.DUMMYFUNCTION("""COMPUTED_VALUE"""),"Yes")</f>
        <v>Yes</v>
      </c>
      <c r="AG443" s="5"/>
      <c r="AH443" s="5"/>
      <c r="AI443" s="5"/>
      <c r="AJ443" s="5"/>
      <c r="AK443" s="5"/>
      <c r="AL443" s="5" t="str">
        <f>IFERROR(__xludf.DUMMYFUNCTION("""COMPUTED_VALUE"""),"Yes")</f>
        <v>Yes</v>
      </c>
      <c r="AM443" s="5"/>
      <c r="AN443" s="5"/>
      <c r="AO443" s="5"/>
      <c r="AP443" s="5"/>
      <c r="AQ443" s="5"/>
      <c r="AR443" s="5"/>
      <c r="AS443" s="5"/>
      <c r="AT443" s="5"/>
      <c r="AU443" s="5"/>
      <c r="AV443" s="5"/>
      <c r="AW443" s="5"/>
      <c r="AX443" s="5"/>
      <c r="AY443" s="5"/>
    </row>
    <row r="444">
      <c r="A444" s="5" t="str">
        <f>IFERROR(__xludf.DUMMYFUNCTION("""COMPUTED_VALUE"""),"English(""eng"")")</f>
        <v>English("eng")</v>
      </c>
      <c r="B444" s="5">
        <f>IFERROR(__xludf.DUMMYFUNCTION("""COMPUTED_VALUE"""),467.0)</f>
        <v>467</v>
      </c>
      <c r="C444" s="5">
        <f>IFERROR(__xludf.DUMMYFUNCTION("""COMPUTED_VALUE"""),388.0)</f>
        <v>388</v>
      </c>
      <c r="D444" s="5" t="str">
        <f>IFERROR(__xludf.DUMMYFUNCTION("""COMPUTED_VALUE"""),"UnicornTripleStackedDiamonds")</f>
        <v>UnicornTripleStackedDiamonds</v>
      </c>
      <c r="E444" s="5" t="str">
        <f>IFERROR(__xludf.DUMMYFUNCTION("""COMPUTED_VALUE"""),"Yes")</f>
        <v>Yes</v>
      </c>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row>
    <row r="445">
      <c r="A44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5" s="5">
        <f>IFERROR(__xludf.DUMMYFUNCTION("""COMPUTED_VALUE"""),468.0)</f>
        <v>468</v>
      </c>
      <c r="C445" s="5">
        <f>IFERROR(__xludf.DUMMYFUNCTION("""COMPUTED_VALUE"""),403.0)</f>
        <v>403</v>
      </c>
      <c r="D445" s="5" t="str">
        <f>IFERROR(__xludf.DUMMYFUNCTION("""COMPUTED_VALUE"""),"UnicornDynamiteBoom")</f>
        <v>UnicornDynamiteBoom</v>
      </c>
      <c r="E445" s="5" t="str">
        <f>IFERROR(__xludf.DUMMYFUNCTION("""COMPUTED_VALUE"""),"Yes")</f>
        <v>Yes</v>
      </c>
      <c r="F445" s="5" t="str">
        <f>IFERROR(__xludf.DUMMYFUNCTION("""COMPUTED_VALUE"""),"Yes")</f>
        <v>Yes</v>
      </c>
      <c r="G445" s="5" t="str">
        <f>IFERROR(__xludf.DUMMYFUNCTION("""COMPUTED_VALUE"""),"Yes")</f>
        <v>Yes</v>
      </c>
      <c r="H445" s="5" t="str">
        <f>IFERROR(__xludf.DUMMYFUNCTION("""COMPUTED_VALUE"""),"No")</f>
        <v>No</v>
      </c>
      <c r="I445" s="5" t="str">
        <f>IFERROR(__xludf.DUMMYFUNCTION("""COMPUTED_VALUE"""),"No")</f>
        <v>No</v>
      </c>
      <c r="J445" s="5" t="str">
        <f>IFERROR(__xludf.DUMMYFUNCTION("""COMPUTED_VALUE"""),"No")</f>
        <v>No</v>
      </c>
      <c r="K445" s="5" t="str">
        <f>IFERROR(__xludf.DUMMYFUNCTION("""COMPUTED_VALUE"""),"No")</f>
        <v>No</v>
      </c>
      <c r="L445" s="5" t="str">
        <f>IFERROR(__xludf.DUMMYFUNCTION("""COMPUTED_VALUE"""),"No")</f>
        <v>No</v>
      </c>
      <c r="M445" s="5" t="str">
        <f>IFERROR(__xludf.DUMMYFUNCTION("""COMPUTED_VALUE"""),"Yes")</f>
        <v>Yes</v>
      </c>
      <c r="N445" s="5" t="str">
        <f>IFERROR(__xludf.DUMMYFUNCTION("""COMPUTED_VALUE"""),"Yes")</f>
        <v>Yes</v>
      </c>
      <c r="O445" s="5" t="str">
        <f>IFERROR(__xludf.DUMMYFUNCTION("""COMPUTED_VALUE"""),"Yes")</f>
        <v>Yes</v>
      </c>
      <c r="P445" s="5" t="str">
        <f>IFERROR(__xludf.DUMMYFUNCTION("""COMPUTED_VALUE"""),"Yes")</f>
        <v>Yes</v>
      </c>
      <c r="Q445" s="5" t="str">
        <f>IFERROR(__xludf.DUMMYFUNCTION("""COMPUTED_VALUE"""),"Yes")</f>
        <v>Yes</v>
      </c>
      <c r="R445" s="5" t="str">
        <f>IFERROR(__xludf.DUMMYFUNCTION("""COMPUTED_VALUE"""),"No")</f>
        <v>No</v>
      </c>
      <c r="S445" s="5" t="str">
        <f>IFERROR(__xludf.DUMMYFUNCTION("""COMPUTED_VALUE"""),"Yes")</f>
        <v>Yes</v>
      </c>
      <c r="T445" s="5" t="str">
        <f>IFERROR(__xludf.DUMMYFUNCTION("""COMPUTED_VALUE"""),"No")</f>
        <v>No</v>
      </c>
      <c r="U445" s="5" t="str">
        <f>IFERROR(__xludf.DUMMYFUNCTION("""COMPUTED_VALUE"""),"No")</f>
        <v>No</v>
      </c>
      <c r="V445" s="5" t="str">
        <f>IFERROR(__xludf.DUMMYFUNCTION("""COMPUTED_VALUE"""),"No")</f>
        <v>No</v>
      </c>
      <c r="W445" s="5" t="str">
        <f>IFERROR(__xludf.DUMMYFUNCTION("""COMPUTED_VALUE"""),"No")</f>
        <v>No</v>
      </c>
      <c r="X445" s="5"/>
      <c r="Y445" s="5"/>
      <c r="Z445" s="5"/>
      <c r="AA445" s="5" t="str">
        <f>IFERROR(__xludf.DUMMYFUNCTION("""COMPUTED_VALUE"""),"Yes")</f>
        <v>Yes</v>
      </c>
      <c r="AB445" s="5"/>
      <c r="AC445" s="5" t="str">
        <f>IFERROR(__xludf.DUMMYFUNCTION("""COMPUTED_VALUE"""),"No")</f>
        <v>No</v>
      </c>
      <c r="AD445" s="5"/>
      <c r="AE445" s="5"/>
      <c r="AF445" s="5" t="str">
        <f>IFERROR(__xludf.DUMMYFUNCTION("""COMPUTED_VALUE"""),"Yes")</f>
        <v>Yes</v>
      </c>
      <c r="AG445" s="5"/>
      <c r="AH445" s="5"/>
      <c r="AI445" s="5"/>
      <c r="AJ445" s="5"/>
      <c r="AK445" s="5"/>
      <c r="AL445" s="5" t="str">
        <f>IFERROR(__xludf.DUMMYFUNCTION("""COMPUTED_VALUE"""),"Yes")</f>
        <v>Yes</v>
      </c>
      <c r="AM445" s="5"/>
      <c r="AN445" s="5"/>
      <c r="AO445" s="5"/>
      <c r="AP445" s="5"/>
      <c r="AQ445" s="5"/>
      <c r="AR445" s="5"/>
      <c r="AS445" s="5"/>
      <c r="AT445" s="5"/>
      <c r="AU445" s="5"/>
      <c r="AV445" s="5"/>
      <c r="AW445" s="5"/>
      <c r="AX445" s="5"/>
      <c r="AY445" s="5"/>
    </row>
    <row r="446">
      <c r="A44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6" s="5">
        <f>IFERROR(__xludf.DUMMYFUNCTION("""COMPUTED_VALUE"""),469.0)</f>
        <v>469</v>
      </c>
      <c r="C446" s="5">
        <f>IFERROR(__xludf.DUMMYFUNCTION("""COMPUTED_VALUE"""),404.0)</f>
        <v>404</v>
      </c>
      <c r="D446" s="5" t="str">
        <f>IFERROR(__xludf.DUMMYFUNCTION("""COMPUTED_VALUE"""),"UnicornFastPay")</f>
        <v>UnicornFastPay</v>
      </c>
      <c r="E446" s="5" t="str">
        <f>IFERROR(__xludf.DUMMYFUNCTION("""COMPUTED_VALUE"""),"Yes")</f>
        <v>Yes</v>
      </c>
      <c r="F446" s="5" t="str">
        <f>IFERROR(__xludf.DUMMYFUNCTION("""COMPUTED_VALUE"""),"Yes")</f>
        <v>Yes</v>
      </c>
      <c r="G446" s="5" t="str">
        <f>IFERROR(__xludf.DUMMYFUNCTION("""COMPUTED_VALUE"""),"Yes")</f>
        <v>Yes</v>
      </c>
      <c r="H446" s="5"/>
      <c r="I446" s="5"/>
      <c r="J446" s="5"/>
      <c r="K446" s="5"/>
      <c r="L446" s="5"/>
      <c r="M446" s="5" t="str">
        <f>IFERROR(__xludf.DUMMYFUNCTION("""COMPUTED_VALUE"""),"Yes")</f>
        <v>Yes</v>
      </c>
      <c r="N446" s="5" t="str">
        <f>IFERROR(__xludf.DUMMYFUNCTION("""COMPUTED_VALUE"""),"Yes")</f>
        <v>Yes</v>
      </c>
      <c r="O446" s="5" t="str">
        <f>IFERROR(__xludf.DUMMYFUNCTION("""COMPUTED_VALUE"""),"Yes")</f>
        <v>Yes</v>
      </c>
      <c r="P446" s="5" t="str">
        <f>IFERROR(__xludf.DUMMYFUNCTION("""COMPUTED_VALUE"""),"Yes")</f>
        <v>Yes</v>
      </c>
      <c r="Q446" s="5" t="str">
        <f>IFERROR(__xludf.DUMMYFUNCTION("""COMPUTED_VALUE"""),"Yes")</f>
        <v>Yes</v>
      </c>
      <c r="R446" s="5"/>
      <c r="S446" s="5" t="str">
        <f>IFERROR(__xludf.DUMMYFUNCTION("""COMPUTED_VALUE"""),"Yes")</f>
        <v>Yes</v>
      </c>
      <c r="T446" s="5"/>
      <c r="U446" s="5"/>
      <c r="V446" s="5"/>
      <c r="W446" s="5"/>
      <c r="X446" s="5"/>
      <c r="Y446" s="5"/>
      <c r="Z446" s="5"/>
      <c r="AA446" s="5" t="str">
        <f>IFERROR(__xludf.DUMMYFUNCTION("""COMPUTED_VALUE"""),"Yes")</f>
        <v>Yes</v>
      </c>
      <c r="AB446" s="5"/>
      <c r="AC446" s="5"/>
      <c r="AD446" s="5"/>
      <c r="AE446" s="5"/>
      <c r="AF446" s="5" t="str">
        <f>IFERROR(__xludf.DUMMYFUNCTION("""COMPUTED_VALUE"""),"Yes")</f>
        <v>Yes</v>
      </c>
      <c r="AG446" s="5"/>
      <c r="AH446" s="5"/>
      <c r="AI446" s="5"/>
      <c r="AJ446" s="5"/>
      <c r="AK446" s="5"/>
      <c r="AL446" s="5" t="str">
        <f>IFERROR(__xludf.DUMMYFUNCTION("""COMPUTED_VALUE"""),"Yes")</f>
        <v>Yes</v>
      </c>
      <c r="AM446" s="5"/>
      <c r="AN446" s="5"/>
      <c r="AO446" s="5"/>
      <c r="AP446" s="5"/>
      <c r="AQ446" s="5"/>
      <c r="AR446" s="5"/>
      <c r="AS446" s="5"/>
      <c r="AT446" s="5"/>
      <c r="AU446" s="5"/>
      <c r="AV446" s="5"/>
      <c r="AW446" s="5"/>
      <c r="AX446" s="5"/>
      <c r="AY446" s="5"/>
    </row>
    <row r="447">
      <c r="A44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7" s="5">
        <f>IFERROR(__xludf.DUMMYFUNCTION("""COMPUTED_VALUE"""),470.0)</f>
        <v>470</v>
      </c>
      <c r="C447" s="5">
        <f>IFERROR(__xludf.DUMMYFUNCTION("""COMPUTED_VALUE"""),406.0)</f>
        <v>406</v>
      </c>
      <c r="D447" s="5" t="str">
        <f>IFERROR(__xludf.DUMMYFUNCTION("""COMPUTED_VALUE"""),"UnicornSuperFireJackpot")</f>
        <v>UnicornSuperFireJackpot</v>
      </c>
      <c r="E447" s="5" t="str">
        <f>IFERROR(__xludf.DUMMYFUNCTION("""COMPUTED_VALUE"""),"Yes")</f>
        <v>Yes</v>
      </c>
      <c r="F447" s="5" t="str">
        <f>IFERROR(__xludf.DUMMYFUNCTION("""COMPUTED_VALUE"""),"Yes")</f>
        <v>Yes</v>
      </c>
      <c r="G447" s="5" t="str">
        <f>IFERROR(__xludf.DUMMYFUNCTION("""COMPUTED_VALUE"""),"Yes")</f>
        <v>Yes</v>
      </c>
      <c r="H447" s="5"/>
      <c r="I447" s="5"/>
      <c r="J447" s="5"/>
      <c r="K447" s="5"/>
      <c r="L447" s="5"/>
      <c r="M447" s="5" t="str">
        <f>IFERROR(__xludf.DUMMYFUNCTION("""COMPUTED_VALUE"""),"Yes")</f>
        <v>Yes</v>
      </c>
      <c r="N447" s="5" t="str">
        <f>IFERROR(__xludf.DUMMYFUNCTION("""COMPUTED_VALUE"""),"Yes")</f>
        <v>Yes</v>
      </c>
      <c r="O447" s="5" t="str">
        <f>IFERROR(__xludf.DUMMYFUNCTION("""COMPUTED_VALUE"""),"Yes")</f>
        <v>Yes</v>
      </c>
      <c r="P447" s="5" t="str">
        <f>IFERROR(__xludf.DUMMYFUNCTION("""COMPUTED_VALUE"""),"Yes")</f>
        <v>Yes</v>
      </c>
      <c r="Q447" s="5" t="str">
        <f>IFERROR(__xludf.DUMMYFUNCTION("""COMPUTED_VALUE"""),"Yes")</f>
        <v>Yes</v>
      </c>
      <c r="R447" s="5"/>
      <c r="S447" s="5" t="str">
        <f>IFERROR(__xludf.DUMMYFUNCTION("""COMPUTED_VALUE"""),"Yes")</f>
        <v>Yes</v>
      </c>
      <c r="T447" s="5"/>
      <c r="U447" s="5"/>
      <c r="V447" s="5"/>
      <c r="W447" s="5"/>
      <c r="X447" s="5"/>
      <c r="Y447" s="5"/>
      <c r="Z447" s="5"/>
      <c r="AA447" s="5" t="str">
        <f>IFERROR(__xludf.DUMMYFUNCTION("""COMPUTED_VALUE"""),"Yes")</f>
        <v>Yes</v>
      </c>
      <c r="AB447" s="5"/>
      <c r="AC447" s="5"/>
      <c r="AD447" s="5"/>
      <c r="AE447" s="5"/>
      <c r="AF447" s="5" t="str">
        <f>IFERROR(__xludf.DUMMYFUNCTION("""COMPUTED_VALUE"""),"Yes")</f>
        <v>Yes</v>
      </c>
      <c r="AG447" s="5"/>
      <c r="AH447" s="5"/>
      <c r="AI447" s="5"/>
      <c r="AJ447" s="5"/>
      <c r="AK447" s="5"/>
      <c r="AL447" s="5" t="str">
        <f>IFERROR(__xludf.DUMMYFUNCTION("""COMPUTED_VALUE"""),"Yes")</f>
        <v>Yes</v>
      </c>
      <c r="AM447" s="5"/>
      <c r="AN447" s="5"/>
      <c r="AO447" s="5"/>
      <c r="AP447" s="5"/>
      <c r="AQ447" s="5"/>
      <c r="AR447" s="5"/>
      <c r="AS447" s="5"/>
      <c r="AT447" s="5"/>
      <c r="AU447" s="5"/>
      <c r="AV447" s="5"/>
      <c r="AW447" s="5"/>
      <c r="AX447" s="5"/>
      <c r="AY447" s="5"/>
    </row>
    <row r="448">
      <c r="A44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8" s="5">
        <f>IFERROR(__xludf.DUMMYFUNCTION("""COMPUTED_VALUE"""),471.0)</f>
        <v>471</v>
      </c>
      <c r="C448" s="5">
        <f>IFERROR(__xludf.DUMMYFUNCTION("""COMPUTED_VALUE"""),411.0)</f>
        <v>411</v>
      </c>
      <c r="D448" s="5" t="str">
        <f>IFERROR(__xludf.DUMMYFUNCTION("""COMPUTED_VALUE"""),"UnicornCoyoteGems")</f>
        <v>UnicornCoyoteGems</v>
      </c>
      <c r="E448" s="5" t="str">
        <f>IFERROR(__xludf.DUMMYFUNCTION("""COMPUTED_VALUE"""),"Yes")</f>
        <v>Yes</v>
      </c>
      <c r="F448" s="5" t="str">
        <f>IFERROR(__xludf.DUMMYFUNCTION("""COMPUTED_VALUE"""),"Yes")</f>
        <v>Yes</v>
      </c>
      <c r="G448" s="5" t="str">
        <f>IFERROR(__xludf.DUMMYFUNCTION("""COMPUTED_VALUE"""),"Yes")</f>
        <v>Yes</v>
      </c>
      <c r="H448" s="5"/>
      <c r="I448" s="5"/>
      <c r="J448" s="5"/>
      <c r="K448" s="5"/>
      <c r="L448" s="5"/>
      <c r="M448" s="5" t="str">
        <f>IFERROR(__xludf.DUMMYFUNCTION("""COMPUTED_VALUE"""),"Yes")</f>
        <v>Yes</v>
      </c>
      <c r="N448" s="5" t="str">
        <f>IFERROR(__xludf.DUMMYFUNCTION("""COMPUTED_VALUE"""),"Yes")</f>
        <v>Yes</v>
      </c>
      <c r="O448" s="5" t="str">
        <f>IFERROR(__xludf.DUMMYFUNCTION("""COMPUTED_VALUE"""),"Yes")</f>
        <v>Yes</v>
      </c>
      <c r="P448" s="5" t="str">
        <f>IFERROR(__xludf.DUMMYFUNCTION("""COMPUTED_VALUE"""),"Yes")</f>
        <v>Yes</v>
      </c>
      <c r="Q448" s="5" t="str">
        <f>IFERROR(__xludf.DUMMYFUNCTION("""COMPUTED_VALUE"""),"Yes")</f>
        <v>Yes</v>
      </c>
      <c r="R448" s="5"/>
      <c r="S448" s="5" t="str">
        <f>IFERROR(__xludf.DUMMYFUNCTION("""COMPUTED_VALUE"""),"Yes")</f>
        <v>Yes</v>
      </c>
      <c r="T448" s="5"/>
      <c r="U448" s="5"/>
      <c r="V448" s="5"/>
      <c r="W448" s="5"/>
      <c r="X448" s="5"/>
      <c r="Y448" s="5"/>
      <c r="Z448" s="5"/>
      <c r="AA448" s="5" t="str">
        <f>IFERROR(__xludf.DUMMYFUNCTION("""COMPUTED_VALUE"""),"Yes")</f>
        <v>Yes</v>
      </c>
      <c r="AB448" s="5"/>
      <c r="AC448" s="5"/>
      <c r="AD448" s="5"/>
      <c r="AE448" s="5"/>
      <c r="AF448" s="5" t="str">
        <f>IFERROR(__xludf.DUMMYFUNCTION("""COMPUTED_VALUE"""),"Yes")</f>
        <v>Yes</v>
      </c>
      <c r="AG448" s="5"/>
      <c r="AH448" s="5"/>
      <c r="AI448" s="5"/>
      <c r="AJ448" s="5"/>
      <c r="AK448" s="5"/>
      <c r="AL448" s="5" t="str">
        <f>IFERROR(__xludf.DUMMYFUNCTION("""COMPUTED_VALUE"""),"Yes")</f>
        <v>Yes</v>
      </c>
      <c r="AM448" s="5"/>
      <c r="AN448" s="5"/>
      <c r="AO448" s="5"/>
      <c r="AP448" s="5"/>
      <c r="AQ448" s="5"/>
      <c r="AR448" s="5"/>
      <c r="AS448" s="5"/>
      <c r="AT448" s="5"/>
      <c r="AU448" s="5"/>
      <c r="AV448" s="5"/>
      <c r="AW448" s="5"/>
      <c r="AX448" s="5"/>
      <c r="AY448" s="5"/>
    </row>
    <row r="449">
      <c r="A44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9" s="5">
        <f>IFERROR(__xludf.DUMMYFUNCTION("""COMPUTED_VALUE"""),472.0)</f>
        <v>472</v>
      </c>
      <c r="C449" s="5">
        <f>IFERROR(__xludf.DUMMYFUNCTION("""COMPUTED_VALUE"""),412.0)</f>
        <v>412</v>
      </c>
      <c r="D449" s="5" t="str">
        <f>IFERROR(__xludf.DUMMYFUNCTION("""COMPUTED_VALUE"""),"UnicornDynamiteRunDice")</f>
        <v>UnicornDynamiteRunDice</v>
      </c>
      <c r="E449" s="5" t="str">
        <f>IFERROR(__xludf.DUMMYFUNCTION("""COMPUTED_VALUE"""),"Yes")</f>
        <v>Yes</v>
      </c>
      <c r="F449" s="5" t="str">
        <f>IFERROR(__xludf.DUMMYFUNCTION("""COMPUTED_VALUE"""),"Yes")</f>
        <v>Yes</v>
      </c>
      <c r="G449" s="5" t="str">
        <f>IFERROR(__xludf.DUMMYFUNCTION("""COMPUTED_VALUE"""),"Yes")</f>
        <v>Yes</v>
      </c>
      <c r="H449" s="5"/>
      <c r="I449" s="5"/>
      <c r="J449" s="5"/>
      <c r="K449" s="5"/>
      <c r="L449" s="5"/>
      <c r="M449" s="5" t="str">
        <f>IFERROR(__xludf.DUMMYFUNCTION("""COMPUTED_VALUE"""),"Yes")</f>
        <v>Yes</v>
      </c>
      <c r="N449" s="5" t="str">
        <f>IFERROR(__xludf.DUMMYFUNCTION("""COMPUTED_VALUE"""),"Yes")</f>
        <v>Yes</v>
      </c>
      <c r="O449" s="5" t="str">
        <f>IFERROR(__xludf.DUMMYFUNCTION("""COMPUTED_VALUE"""),"Yes")</f>
        <v>Yes</v>
      </c>
      <c r="P449" s="5" t="str">
        <f>IFERROR(__xludf.DUMMYFUNCTION("""COMPUTED_VALUE"""),"Yes")</f>
        <v>Yes</v>
      </c>
      <c r="Q449" s="5" t="str">
        <f>IFERROR(__xludf.DUMMYFUNCTION("""COMPUTED_VALUE"""),"Yes")</f>
        <v>Yes</v>
      </c>
      <c r="R449" s="5"/>
      <c r="S449" s="5" t="str">
        <f>IFERROR(__xludf.DUMMYFUNCTION("""COMPUTED_VALUE"""),"Yes")</f>
        <v>Yes</v>
      </c>
      <c r="T449" s="5"/>
      <c r="U449" s="5"/>
      <c r="V449" s="5"/>
      <c r="W449" s="5"/>
      <c r="X449" s="5"/>
      <c r="Y449" s="5"/>
      <c r="Z449" s="5"/>
      <c r="AA449" s="5" t="str">
        <f>IFERROR(__xludf.DUMMYFUNCTION("""COMPUTED_VALUE"""),"Yes")</f>
        <v>Yes</v>
      </c>
      <c r="AB449" s="5"/>
      <c r="AC449" s="5"/>
      <c r="AD449" s="5"/>
      <c r="AE449" s="5"/>
      <c r="AF449" s="5" t="str">
        <f>IFERROR(__xludf.DUMMYFUNCTION("""COMPUTED_VALUE"""),"Yes")</f>
        <v>Yes</v>
      </c>
      <c r="AG449" s="5"/>
      <c r="AH449" s="5"/>
      <c r="AI449" s="5"/>
      <c r="AJ449" s="5"/>
      <c r="AK449" s="5"/>
      <c r="AL449" s="5" t="str">
        <f>IFERROR(__xludf.DUMMYFUNCTION("""COMPUTED_VALUE"""),"Yes")</f>
        <v>Yes</v>
      </c>
      <c r="AM449" s="5"/>
      <c r="AN449" s="5"/>
      <c r="AO449" s="5"/>
      <c r="AP449" s="5"/>
      <c r="AQ449" s="5"/>
      <c r="AR449" s="5"/>
      <c r="AS449" s="5"/>
      <c r="AT449" s="5"/>
      <c r="AU449" s="5"/>
      <c r="AV449" s="5"/>
      <c r="AW449" s="5"/>
      <c r="AX449" s="5"/>
      <c r="AY449" s="5"/>
    </row>
    <row r="450">
      <c r="A45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0" s="5">
        <f>IFERROR(__xludf.DUMMYFUNCTION("""COMPUTED_VALUE"""),473.0)</f>
        <v>473</v>
      </c>
      <c r="C450" s="5">
        <f>IFERROR(__xludf.DUMMYFUNCTION("""COMPUTED_VALUE"""),400.0)</f>
        <v>400</v>
      </c>
      <c r="D450" s="5" t="str">
        <f>IFERROR(__xludf.DUMMYFUNCTION("""COMPUTED_VALUE"""),"UnicornBigSpinDragons")</f>
        <v>UnicornBigSpinDragons</v>
      </c>
      <c r="E450" s="5" t="str">
        <f>IFERROR(__xludf.DUMMYFUNCTION("""COMPUTED_VALUE"""),"Yes")</f>
        <v>Yes</v>
      </c>
      <c r="F450" s="5" t="str">
        <f>IFERROR(__xludf.DUMMYFUNCTION("""COMPUTED_VALUE"""),"Yes")</f>
        <v>Yes</v>
      </c>
      <c r="G450" s="5" t="str">
        <f>IFERROR(__xludf.DUMMYFUNCTION("""COMPUTED_VALUE"""),"Yes")</f>
        <v>Yes</v>
      </c>
      <c r="H450" s="5" t="str">
        <f>IFERROR(__xludf.DUMMYFUNCTION("""COMPUTED_VALUE"""),"No")</f>
        <v>No</v>
      </c>
      <c r="I450" s="5" t="str">
        <f>IFERROR(__xludf.DUMMYFUNCTION("""COMPUTED_VALUE"""),"No")</f>
        <v>No</v>
      </c>
      <c r="J450" s="5" t="str">
        <f>IFERROR(__xludf.DUMMYFUNCTION("""COMPUTED_VALUE"""),"No")</f>
        <v>No</v>
      </c>
      <c r="K450" s="5" t="str">
        <f>IFERROR(__xludf.DUMMYFUNCTION("""COMPUTED_VALUE"""),"No")</f>
        <v>No</v>
      </c>
      <c r="L450" s="5" t="str">
        <f>IFERROR(__xludf.DUMMYFUNCTION("""COMPUTED_VALUE"""),"No")</f>
        <v>No</v>
      </c>
      <c r="M450" s="5" t="str">
        <f>IFERROR(__xludf.DUMMYFUNCTION("""COMPUTED_VALUE"""),"Yes")</f>
        <v>Yes</v>
      </c>
      <c r="N450" s="5" t="str">
        <f>IFERROR(__xludf.DUMMYFUNCTION("""COMPUTED_VALUE"""),"Yes")</f>
        <v>Yes</v>
      </c>
      <c r="O450" s="5" t="str">
        <f>IFERROR(__xludf.DUMMYFUNCTION("""COMPUTED_VALUE"""),"Yes")</f>
        <v>Yes</v>
      </c>
      <c r="P450" s="5" t="str">
        <f>IFERROR(__xludf.DUMMYFUNCTION("""COMPUTED_VALUE"""),"Yes")</f>
        <v>Yes</v>
      </c>
      <c r="Q450" s="5" t="str">
        <f>IFERROR(__xludf.DUMMYFUNCTION("""COMPUTED_VALUE"""),"Yes")</f>
        <v>Yes</v>
      </c>
      <c r="R450" s="5" t="str">
        <f>IFERROR(__xludf.DUMMYFUNCTION("""COMPUTED_VALUE"""),"No")</f>
        <v>No</v>
      </c>
      <c r="S450" s="5" t="str">
        <f>IFERROR(__xludf.DUMMYFUNCTION("""COMPUTED_VALUE"""),"Yes")</f>
        <v>Yes</v>
      </c>
      <c r="T450" s="5" t="str">
        <f>IFERROR(__xludf.DUMMYFUNCTION("""COMPUTED_VALUE"""),"No")</f>
        <v>No</v>
      </c>
      <c r="U450" s="5" t="str">
        <f>IFERROR(__xludf.DUMMYFUNCTION("""COMPUTED_VALUE"""),"No")</f>
        <v>No</v>
      </c>
      <c r="V450" s="5" t="str">
        <f>IFERROR(__xludf.DUMMYFUNCTION("""COMPUTED_VALUE"""),"No")</f>
        <v>No</v>
      </c>
      <c r="W450" s="5" t="str">
        <f>IFERROR(__xludf.DUMMYFUNCTION("""COMPUTED_VALUE"""),"No")</f>
        <v>No</v>
      </c>
      <c r="X450" s="5"/>
      <c r="Y450" s="5"/>
      <c r="Z450" s="5"/>
      <c r="AA450" s="5" t="str">
        <f>IFERROR(__xludf.DUMMYFUNCTION("""COMPUTED_VALUE"""),"Yes")</f>
        <v>Yes</v>
      </c>
      <c r="AB450" s="5"/>
      <c r="AC450" s="5" t="str">
        <f>IFERROR(__xludf.DUMMYFUNCTION("""COMPUTED_VALUE"""),"No")</f>
        <v>No</v>
      </c>
      <c r="AD450" s="5"/>
      <c r="AE450" s="5"/>
      <c r="AF450" s="5" t="str">
        <f>IFERROR(__xludf.DUMMYFUNCTION("""COMPUTED_VALUE"""),"Yes")</f>
        <v>Yes</v>
      </c>
      <c r="AG450" s="5"/>
      <c r="AH450" s="5"/>
      <c r="AI450" s="5"/>
      <c r="AJ450" s="5"/>
      <c r="AK450" s="5"/>
      <c r="AL450" s="5" t="str">
        <f>IFERROR(__xludf.DUMMYFUNCTION("""COMPUTED_VALUE"""),"Yes")</f>
        <v>Yes</v>
      </c>
      <c r="AM450" s="5"/>
      <c r="AN450" s="5"/>
      <c r="AO450" s="5"/>
      <c r="AP450" s="5"/>
      <c r="AQ450" s="5"/>
      <c r="AR450" s="5"/>
      <c r="AS450" s="5"/>
      <c r="AT450" s="5"/>
      <c r="AU450" s="5"/>
      <c r="AV450" s="5"/>
      <c r="AW450" s="5"/>
      <c r="AX450" s="5"/>
      <c r="AY450" s="5"/>
    </row>
    <row r="451">
      <c r="A45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1" s="5">
        <f>IFERROR(__xludf.DUMMYFUNCTION("""COMPUTED_VALUE"""),474.0)</f>
        <v>474</v>
      </c>
      <c r="C451" s="5">
        <f>IFERROR(__xludf.DUMMYFUNCTION("""COMPUTED_VALUE"""),415.0)</f>
        <v>415</v>
      </c>
      <c r="D451" s="5" t="str">
        <f>IFERROR(__xludf.DUMMYFUNCTION("""COMPUTED_VALUE"""),"UnicornSimplySevensGems")</f>
        <v>UnicornSimplySevensGems</v>
      </c>
      <c r="E451" s="5" t="str">
        <f>IFERROR(__xludf.DUMMYFUNCTION("""COMPUTED_VALUE"""),"Yes")</f>
        <v>Yes</v>
      </c>
      <c r="F451" s="5" t="str">
        <f>IFERROR(__xludf.DUMMYFUNCTION("""COMPUTED_VALUE"""),"Yes")</f>
        <v>Yes</v>
      </c>
      <c r="G451" s="5" t="str">
        <f>IFERROR(__xludf.DUMMYFUNCTION("""COMPUTED_VALUE"""),"Yes")</f>
        <v>Yes</v>
      </c>
      <c r="H451" s="5" t="str">
        <f>IFERROR(__xludf.DUMMYFUNCTION("""COMPUTED_VALUE"""),"No")</f>
        <v>No</v>
      </c>
      <c r="I451" s="5" t="str">
        <f>IFERROR(__xludf.DUMMYFUNCTION("""COMPUTED_VALUE"""),"No")</f>
        <v>No</v>
      </c>
      <c r="J451" s="5" t="str">
        <f>IFERROR(__xludf.DUMMYFUNCTION("""COMPUTED_VALUE"""),"No")</f>
        <v>No</v>
      </c>
      <c r="K451" s="5" t="str">
        <f>IFERROR(__xludf.DUMMYFUNCTION("""COMPUTED_VALUE"""),"No")</f>
        <v>No</v>
      </c>
      <c r="L451" s="5" t="str">
        <f>IFERROR(__xludf.DUMMYFUNCTION("""COMPUTED_VALUE"""),"No")</f>
        <v>No</v>
      </c>
      <c r="M451" s="5" t="str">
        <f>IFERROR(__xludf.DUMMYFUNCTION("""COMPUTED_VALUE"""),"Yes")</f>
        <v>Yes</v>
      </c>
      <c r="N451" s="5" t="str">
        <f>IFERROR(__xludf.DUMMYFUNCTION("""COMPUTED_VALUE"""),"Yes")</f>
        <v>Yes</v>
      </c>
      <c r="O451" s="5" t="str">
        <f>IFERROR(__xludf.DUMMYFUNCTION("""COMPUTED_VALUE"""),"Yes")</f>
        <v>Yes</v>
      </c>
      <c r="P451" s="5" t="str">
        <f>IFERROR(__xludf.DUMMYFUNCTION("""COMPUTED_VALUE"""),"Yes")</f>
        <v>Yes</v>
      </c>
      <c r="Q451" s="5" t="str">
        <f>IFERROR(__xludf.DUMMYFUNCTION("""COMPUTED_VALUE"""),"Yes")</f>
        <v>Yes</v>
      </c>
      <c r="R451" s="5" t="str">
        <f>IFERROR(__xludf.DUMMYFUNCTION("""COMPUTED_VALUE"""),"No")</f>
        <v>No</v>
      </c>
      <c r="S451" s="5" t="str">
        <f>IFERROR(__xludf.DUMMYFUNCTION("""COMPUTED_VALUE"""),"Yes")</f>
        <v>Yes</v>
      </c>
      <c r="T451" s="5" t="str">
        <f>IFERROR(__xludf.DUMMYFUNCTION("""COMPUTED_VALUE"""),"No")</f>
        <v>No</v>
      </c>
      <c r="U451" s="5" t="str">
        <f>IFERROR(__xludf.DUMMYFUNCTION("""COMPUTED_VALUE"""),"No")</f>
        <v>No</v>
      </c>
      <c r="V451" s="5" t="str">
        <f>IFERROR(__xludf.DUMMYFUNCTION("""COMPUTED_VALUE"""),"No")</f>
        <v>No</v>
      </c>
      <c r="W451" s="5" t="str">
        <f>IFERROR(__xludf.DUMMYFUNCTION("""COMPUTED_VALUE"""),"No")</f>
        <v>No</v>
      </c>
      <c r="X451" s="5"/>
      <c r="Y451" s="5"/>
      <c r="Z451" s="5"/>
      <c r="AA451" s="5" t="str">
        <f>IFERROR(__xludf.DUMMYFUNCTION("""COMPUTED_VALUE"""),"Yes")</f>
        <v>Yes</v>
      </c>
      <c r="AB451" s="5"/>
      <c r="AC451" s="5" t="str">
        <f>IFERROR(__xludf.DUMMYFUNCTION("""COMPUTED_VALUE"""),"No")</f>
        <v>No</v>
      </c>
      <c r="AD451" s="5"/>
      <c r="AE451" s="5"/>
      <c r="AF451" s="5" t="str">
        <f>IFERROR(__xludf.DUMMYFUNCTION("""COMPUTED_VALUE"""),"Yes")</f>
        <v>Yes</v>
      </c>
      <c r="AG451" s="5"/>
      <c r="AH451" s="5"/>
      <c r="AI451" s="5"/>
      <c r="AJ451" s="5"/>
      <c r="AK451" s="5"/>
      <c r="AL451" s="5" t="str">
        <f>IFERROR(__xludf.DUMMYFUNCTION("""COMPUTED_VALUE"""),"Yes")</f>
        <v>Yes</v>
      </c>
      <c r="AM451" s="5"/>
      <c r="AN451" s="5"/>
      <c r="AO451" s="5"/>
      <c r="AP451" s="5"/>
      <c r="AQ451" s="5"/>
      <c r="AR451" s="5"/>
      <c r="AS451" s="5"/>
      <c r="AT451" s="5"/>
      <c r="AU451" s="5"/>
      <c r="AV451" s="5"/>
      <c r="AW451" s="5"/>
      <c r="AX451" s="5"/>
      <c r="AY451" s="5"/>
    </row>
    <row r="452">
      <c r="A45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2" s="5">
        <f>IFERROR(__xludf.DUMMYFUNCTION("""COMPUTED_VALUE"""),475.0)</f>
        <v>475</v>
      </c>
      <c r="C452" s="5">
        <f>IFERROR(__xludf.DUMMYFUNCTION("""COMPUTED_VALUE"""),407.0)</f>
        <v>407</v>
      </c>
      <c r="D452" s="5" t="str">
        <f>IFERROR(__xludf.DUMMYFUNCTION("""COMPUTED_VALUE"""),"UnicornSuperFireDiceJackpot")</f>
        <v>UnicornSuperFireDiceJackpot</v>
      </c>
      <c r="E452" s="5" t="str">
        <f>IFERROR(__xludf.DUMMYFUNCTION("""COMPUTED_VALUE"""),"Yes")</f>
        <v>Yes</v>
      </c>
      <c r="F452" s="5" t="str">
        <f>IFERROR(__xludf.DUMMYFUNCTION("""COMPUTED_VALUE"""),"Yes")</f>
        <v>Yes</v>
      </c>
      <c r="G452" s="5" t="str">
        <f>IFERROR(__xludf.DUMMYFUNCTION("""COMPUTED_VALUE"""),"Yes")</f>
        <v>Yes</v>
      </c>
      <c r="H452" s="5" t="str">
        <f>IFERROR(__xludf.DUMMYFUNCTION("""COMPUTED_VALUE"""),"No")</f>
        <v>No</v>
      </c>
      <c r="I452" s="5" t="str">
        <f>IFERROR(__xludf.DUMMYFUNCTION("""COMPUTED_VALUE"""),"No")</f>
        <v>No</v>
      </c>
      <c r="J452" s="5" t="str">
        <f>IFERROR(__xludf.DUMMYFUNCTION("""COMPUTED_VALUE"""),"No")</f>
        <v>No</v>
      </c>
      <c r="K452" s="5" t="str">
        <f>IFERROR(__xludf.DUMMYFUNCTION("""COMPUTED_VALUE"""),"No")</f>
        <v>No</v>
      </c>
      <c r="L452" s="5" t="str">
        <f>IFERROR(__xludf.DUMMYFUNCTION("""COMPUTED_VALUE"""),"No")</f>
        <v>No</v>
      </c>
      <c r="M452" s="5" t="str">
        <f>IFERROR(__xludf.DUMMYFUNCTION("""COMPUTED_VALUE"""),"Yes")</f>
        <v>Yes</v>
      </c>
      <c r="N452" s="5" t="str">
        <f>IFERROR(__xludf.DUMMYFUNCTION("""COMPUTED_VALUE"""),"Yes")</f>
        <v>Yes</v>
      </c>
      <c r="O452" s="5" t="str">
        <f>IFERROR(__xludf.DUMMYFUNCTION("""COMPUTED_VALUE"""),"Yes")</f>
        <v>Yes</v>
      </c>
      <c r="P452" s="5" t="str">
        <f>IFERROR(__xludf.DUMMYFUNCTION("""COMPUTED_VALUE"""),"Yes")</f>
        <v>Yes</v>
      </c>
      <c r="Q452" s="5" t="str">
        <f>IFERROR(__xludf.DUMMYFUNCTION("""COMPUTED_VALUE"""),"Yes")</f>
        <v>Yes</v>
      </c>
      <c r="R452" s="5" t="str">
        <f>IFERROR(__xludf.DUMMYFUNCTION("""COMPUTED_VALUE"""),"No")</f>
        <v>No</v>
      </c>
      <c r="S452" s="5" t="str">
        <f>IFERROR(__xludf.DUMMYFUNCTION("""COMPUTED_VALUE"""),"Yes")</f>
        <v>Yes</v>
      </c>
      <c r="T452" s="5" t="str">
        <f>IFERROR(__xludf.DUMMYFUNCTION("""COMPUTED_VALUE"""),"No")</f>
        <v>No</v>
      </c>
      <c r="U452" s="5" t="str">
        <f>IFERROR(__xludf.DUMMYFUNCTION("""COMPUTED_VALUE"""),"No")</f>
        <v>No</v>
      </c>
      <c r="V452" s="5" t="str">
        <f>IFERROR(__xludf.DUMMYFUNCTION("""COMPUTED_VALUE"""),"No")</f>
        <v>No</v>
      </c>
      <c r="W452" s="5" t="str">
        <f>IFERROR(__xludf.DUMMYFUNCTION("""COMPUTED_VALUE"""),"No")</f>
        <v>No</v>
      </c>
      <c r="X452" s="5"/>
      <c r="Y452" s="5"/>
      <c r="Z452" s="5"/>
      <c r="AA452" s="5" t="str">
        <f>IFERROR(__xludf.DUMMYFUNCTION("""COMPUTED_VALUE"""),"Yes")</f>
        <v>Yes</v>
      </c>
      <c r="AB452" s="5"/>
      <c r="AC452" s="5" t="str">
        <f>IFERROR(__xludf.DUMMYFUNCTION("""COMPUTED_VALUE"""),"No")</f>
        <v>No</v>
      </c>
      <c r="AD452" s="5"/>
      <c r="AE452" s="5"/>
      <c r="AF452" s="5" t="str">
        <f>IFERROR(__xludf.DUMMYFUNCTION("""COMPUTED_VALUE"""),"Yes")</f>
        <v>Yes</v>
      </c>
      <c r="AG452" s="5"/>
      <c r="AH452" s="5"/>
      <c r="AI452" s="5"/>
      <c r="AJ452" s="5"/>
      <c r="AK452" s="5"/>
      <c r="AL452" s="5" t="str">
        <f>IFERROR(__xludf.DUMMYFUNCTION("""COMPUTED_VALUE"""),"Yes")</f>
        <v>Yes</v>
      </c>
      <c r="AM452" s="5"/>
      <c r="AN452" s="5"/>
      <c r="AO452" s="5"/>
      <c r="AP452" s="5"/>
      <c r="AQ452" s="5"/>
      <c r="AR452" s="5"/>
      <c r="AS452" s="5"/>
      <c r="AT452" s="5"/>
      <c r="AU452" s="5"/>
      <c r="AV452" s="5"/>
      <c r="AW452" s="5"/>
      <c r="AX452" s="5"/>
      <c r="AY452" s="5"/>
    </row>
    <row r="453">
      <c r="A45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3" s="5">
        <f>IFERROR(__xludf.DUMMYFUNCTION("""COMPUTED_VALUE"""),476.0)</f>
        <v>476</v>
      </c>
      <c r="C453" s="5">
        <f>IFERROR(__xludf.DUMMYFUNCTION("""COMPUTED_VALUE"""),418.0)</f>
        <v>418</v>
      </c>
      <c r="D453" s="5" t="str">
        <f>IFERROR(__xludf.DUMMYFUNCTION("""COMPUTED_VALUE"""),"UnicornMisterDice")</f>
        <v>UnicornMisterDice</v>
      </c>
      <c r="E453" s="5" t="str">
        <f>IFERROR(__xludf.DUMMYFUNCTION("""COMPUTED_VALUE"""),"Yes")</f>
        <v>Yes</v>
      </c>
      <c r="F453" s="5" t="str">
        <f>IFERROR(__xludf.DUMMYFUNCTION("""COMPUTED_VALUE"""),"Yes")</f>
        <v>Yes</v>
      </c>
      <c r="G453" s="5" t="str">
        <f>IFERROR(__xludf.DUMMYFUNCTION("""COMPUTED_VALUE"""),"Yes")</f>
        <v>Yes</v>
      </c>
      <c r="H453" s="5" t="str">
        <f>IFERROR(__xludf.DUMMYFUNCTION("""COMPUTED_VALUE"""),"No")</f>
        <v>No</v>
      </c>
      <c r="I453" s="5" t="str">
        <f>IFERROR(__xludf.DUMMYFUNCTION("""COMPUTED_VALUE"""),"No")</f>
        <v>No</v>
      </c>
      <c r="J453" s="5" t="str">
        <f>IFERROR(__xludf.DUMMYFUNCTION("""COMPUTED_VALUE"""),"No")</f>
        <v>No</v>
      </c>
      <c r="K453" s="5" t="str">
        <f>IFERROR(__xludf.DUMMYFUNCTION("""COMPUTED_VALUE"""),"No")</f>
        <v>No</v>
      </c>
      <c r="L453" s="5" t="str">
        <f>IFERROR(__xludf.DUMMYFUNCTION("""COMPUTED_VALUE"""),"No")</f>
        <v>No</v>
      </c>
      <c r="M453" s="5" t="str">
        <f>IFERROR(__xludf.DUMMYFUNCTION("""COMPUTED_VALUE"""),"Yes")</f>
        <v>Yes</v>
      </c>
      <c r="N453" s="5" t="str">
        <f>IFERROR(__xludf.DUMMYFUNCTION("""COMPUTED_VALUE"""),"Yes")</f>
        <v>Yes</v>
      </c>
      <c r="O453" s="5" t="str">
        <f>IFERROR(__xludf.DUMMYFUNCTION("""COMPUTED_VALUE"""),"Yes")</f>
        <v>Yes</v>
      </c>
      <c r="P453" s="5" t="str">
        <f>IFERROR(__xludf.DUMMYFUNCTION("""COMPUTED_VALUE"""),"Yes")</f>
        <v>Yes</v>
      </c>
      <c r="Q453" s="5" t="str">
        <f>IFERROR(__xludf.DUMMYFUNCTION("""COMPUTED_VALUE"""),"Yes")</f>
        <v>Yes</v>
      </c>
      <c r="R453" s="5" t="str">
        <f>IFERROR(__xludf.DUMMYFUNCTION("""COMPUTED_VALUE"""),"No")</f>
        <v>No</v>
      </c>
      <c r="S453" s="5" t="str">
        <f>IFERROR(__xludf.DUMMYFUNCTION("""COMPUTED_VALUE"""),"Yes")</f>
        <v>Yes</v>
      </c>
      <c r="T453" s="5" t="str">
        <f>IFERROR(__xludf.DUMMYFUNCTION("""COMPUTED_VALUE"""),"No")</f>
        <v>No</v>
      </c>
      <c r="U453" s="5" t="str">
        <f>IFERROR(__xludf.DUMMYFUNCTION("""COMPUTED_VALUE"""),"No")</f>
        <v>No</v>
      </c>
      <c r="V453" s="5" t="str">
        <f>IFERROR(__xludf.DUMMYFUNCTION("""COMPUTED_VALUE"""),"No")</f>
        <v>No</v>
      </c>
      <c r="W453" s="5" t="str">
        <f>IFERROR(__xludf.DUMMYFUNCTION("""COMPUTED_VALUE"""),"No")</f>
        <v>No</v>
      </c>
      <c r="X453" s="5"/>
      <c r="Y453" s="5"/>
      <c r="Z453" s="5"/>
      <c r="AA453" s="5" t="str">
        <f>IFERROR(__xludf.DUMMYFUNCTION("""COMPUTED_VALUE"""),"Yes")</f>
        <v>Yes</v>
      </c>
      <c r="AB453" s="5"/>
      <c r="AC453" s="5" t="str">
        <f>IFERROR(__xludf.DUMMYFUNCTION("""COMPUTED_VALUE"""),"No")</f>
        <v>No</v>
      </c>
      <c r="AD453" s="5"/>
      <c r="AE453" s="5"/>
      <c r="AF453" s="5" t="str">
        <f>IFERROR(__xludf.DUMMYFUNCTION("""COMPUTED_VALUE"""),"Yes")</f>
        <v>Yes</v>
      </c>
      <c r="AG453" s="5"/>
      <c r="AH453" s="5"/>
      <c r="AI453" s="5"/>
      <c r="AJ453" s="5"/>
      <c r="AK453" s="5"/>
      <c r="AL453" s="5" t="str">
        <f>IFERROR(__xludf.DUMMYFUNCTION("""COMPUTED_VALUE"""),"Yes")</f>
        <v>Yes</v>
      </c>
      <c r="AM453" s="5"/>
      <c r="AN453" s="5"/>
      <c r="AO453" s="5"/>
      <c r="AP453" s="5"/>
      <c r="AQ453" s="5"/>
      <c r="AR453" s="5"/>
      <c r="AS453" s="5"/>
      <c r="AT453" s="5"/>
      <c r="AU453" s="5"/>
      <c r="AV453" s="5"/>
      <c r="AW453" s="5"/>
      <c r="AX453" s="5"/>
      <c r="AY453" s="5"/>
    </row>
    <row r="454">
      <c r="A45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4" s="5">
        <f>IFERROR(__xludf.DUMMYFUNCTION("""COMPUTED_VALUE"""),477.0)</f>
        <v>477</v>
      </c>
      <c r="C454" s="5">
        <f>IFERROR(__xludf.DUMMYFUNCTION("""COMPUTED_VALUE"""),414.0)</f>
        <v>414</v>
      </c>
      <c r="D454" s="5" t="str">
        <f>IFERROR(__xludf.DUMMYFUNCTION("""COMPUTED_VALUE"""),"UnicornThreeReelSevens")</f>
        <v>UnicornThreeReelSevens</v>
      </c>
      <c r="E454" s="5" t="str">
        <f>IFERROR(__xludf.DUMMYFUNCTION("""COMPUTED_VALUE"""),"Yes")</f>
        <v>Yes</v>
      </c>
      <c r="F454" s="5" t="str">
        <f>IFERROR(__xludf.DUMMYFUNCTION("""COMPUTED_VALUE"""),"Yes")</f>
        <v>Yes</v>
      </c>
      <c r="G454" s="5" t="str">
        <f>IFERROR(__xludf.DUMMYFUNCTION("""COMPUTED_VALUE"""),"Yes")</f>
        <v>Yes</v>
      </c>
      <c r="H454" s="5" t="str">
        <f>IFERROR(__xludf.DUMMYFUNCTION("""COMPUTED_VALUE"""),"No")</f>
        <v>No</v>
      </c>
      <c r="I454" s="5" t="str">
        <f>IFERROR(__xludf.DUMMYFUNCTION("""COMPUTED_VALUE"""),"No")</f>
        <v>No</v>
      </c>
      <c r="J454" s="5" t="str">
        <f>IFERROR(__xludf.DUMMYFUNCTION("""COMPUTED_VALUE"""),"No")</f>
        <v>No</v>
      </c>
      <c r="K454" s="5" t="str">
        <f>IFERROR(__xludf.DUMMYFUNCTION("""COMPUTED_VALUE"""),"No")</f>
        <v>No</v>
      </c>
      <c r="L454" s="5" t="str">
        <f>IFERROR(__xludf.DUMMYFUNCTION("""COMPUTED_VALUE"""),"No")</f>
        <v>No</v>
      </c>
      <c r="M454" s="5" t="str">
        <f>IFERROR(__xludf.DUMMYFUNCTION("""COMPUTED_VALUE"""),"Yes")</f>
        <v>Yes</v>
      </c>
      <c r="N454" s="5" t="str">
        <f>IFERROR(__xludf.DUMMYFUNCTION("""COMPUTED_VALUE"""),"Yes")</f>
        <v>Yes</v>
      </c>
      <c r="O454" s="5" t="str">
        <f>IFERROR(__xludf.DUMMYFUNCTION("""COMPUTED_VALUE"""),"Yes")</f>
        <v>Yes</v>
      </c>
      <c r="P454" s="5" t="str">
        <f>IFERROR(__xludf.DUMMYFUNCTION("""COMPUTED_VALUE"""),"Yes")</f>
        <v>Yes</v>
      </c>
      <c r="Q454" s="5" t="str">
        <f>IFERROR(__xludf.DUMMYFUNCTION("""COMPUTED_VALUE"""),"Yes")</f>
        <v>Yes</v>
      </c>
      <c r="R454" s="5" t="str">
        <f>IFERROR(__xludf.DUMMYFUNCTION("""COMPUTED_VALUE"""),"No")</f>
        <v>No</v>
      </c>
      <c r="S454" s="5" t="str">
        <f>IFERROR(__xludf.DUMMYFUNCTION("""COMPUTED_VALUE"""),"Yes")</f>
        <v>Yes</v>
      </c>
      <c r="T454" s="5" t="str">
        <f>IFERROR(__xludf.DUMMYFUNCTION("""COMPUTED_VALUE"""),"No")</f>
        <v>No</v>
      </c>
      <c r="U454" s="5" t="str">
        <f>IFERROR(__xludf.DUMMYFUNCTION("""COMPUTED_VALUE"""),"No")</f>
        <v>No</v>
      </c>
      <c r="V454" s="5" t="str">
        <f>IFERROR(__xludf.DUMMYFUNCTION("""COMPUTED_VALUE"""),"No")</f>
        <v>No</v>
      </c>
      <c r="W454" s="5" t="str">
        <f>IFERROR(__xludf.DUMMYFUNCTION("""COMPUTED_VALUE"""),"No")</f>
        <v>No</v>
      </c>
      <c r="X454" s="5"/>
      <c r="Y454" s="5"/>
      <c r="Z454" s="5"/>
      <c r="AA454" s="5" t="str">
        <f>IFERROR(__xludf.DUMMYFUNCTION("""COMPUTED_VALUE"""),"Yes")</f>
        <v>Yes</v>
      </c>
      <c r="AB454" s="5"/>
      <c r="AC454" s="5" t="str">
        <f>IFERROR(__xludf.DUMMYFUNCTION("""COMPUTED_VALUE"""),"No")</f>
        <v>No</v>
      </c>
      <c r="AD454" s="5"/>
      <c r="AE454" s="5"/>
      <c r="AF454" s="5" t="str">
        <f>IFERROR(__xludf.DUMMYFUNCTION("""COMPUTED_VALUE"""),"Yes")</f>
        <v>Yes</v>
      </c>
      <c r="AG454" s="5"/>
      <c r="AH454" s="5"/>
      <c r="AI454" s="5"/>
      <c r="AJ454" s="5"/>
      <c r="AK454" s="5"/>
      <c r="AL454" s="5" t="str">
        <f>IFERROR(__xludf.DUMMYFUNCTION("""COMPUTED_VALUE"""),"Yes")</f>
        <v>Yes</v>
      </c>
      <c r="AM454" s="5"/>
      <c r="AN454" s="5"/>
      <c r="AO454" s="5"/>
      <c r="AP454" s="5"/>
      <c r="AQ454" s="5"/>
      <c r="AR454" s="5"/>
      <c r="AS454" s="5"/>
      <c r="AT454" s="5"/>
      <c r="AU454" s="5"/>
      <c r="AV454" s="5"/>
      <c r="AW454" s="5"/>
      <c r="AX454" s="5"/>
      <c r="AY454" s="5"/>
    </row>
    <row r="455">
      <c r="A4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5" s="5">
        <f>IFERROR(__xludf.DUMMYFUNCTION("""COMPUTED_VALUE"""),478.0)</f>
        <v>478</v>
      </c>
      <c r="C455" s="5">
        <f>IFERROR(__xludf.DUMMYFUNCTION("""COMPUTED_VALUE"""),1006.0)</f>
        <v>1006</v>
      </c>
      <c r="D455" s="5" t="str">
        <f>IFERROR(__xludf.DUMMYFUNCTION("""COMPUTED_VALUE"""),"LuckySheriff")</f>
        <v>LuckySheriff</v>
      </c>
      <c r="E455" s="5" t="str">
        <f>IFERROR(__xludf.DUMMYFUNCTION("""COMPUTED_VALUE"""),"Yes")</f>
        <v>Yes</v>
      </c>
      <c r="F455" s="5" t="str">
        <f>IFERROR(__xludf.DUMMYFUNCTION("""COMPUTED_VALUE"""),"Yes")</f>
        <v>Yes</v>
      </c>
      <c r="G455" s="5" t="str">
        <f>IFERROR(__xludf.DUMMYFUNCTION("""COMPUTED_VALUE"""),"Yes")</f>
        <v>Yes</v>
      </c>
      <c r="H455" s="5" t="str">
        <f>IFERROR(__xludf.DUMMYFUNCTION("""COMPUTED_VALUE"""),"Yes")</f>
        <v>Yes</v>
      </c>
      <c r="I455" s="5" t="str">
        <f>IFERROR(__xludf.DUMMYFUNCTION("""COMPUTED_VALUE"""),"Yes")</f>
        <v>Yes</v>
      </c>
      <c r="J455" s="5" t="str">
        <f>IFERROR(__xludf.DUMMYFUNCTION("""COMPUTED_VALUE"""),"Yes")</f>
        <v>Yes</v>
      </c>
      <c r="K455" s="5" t="str">
        <f>IFERROR(__xludf.DUMMYFUNCTION("""COMPUTED_VALUE"""),"Yes")</f>
        <v>Yes</v>
      </c>
      <c r="L455" s="5" t="str">
        <f>IFERROR(__xludf.DUMMYFUNCTION("""COMPUTED_VALUE"""),"Yes")</f>
        <v>Yes</v>
      </c>
      <c r="M455" s="5" t="str">
        <f>IFERROR(__xludf.DUMMYFUNCTION("""COMPUTED_VALUE"""),"Yes")</f>
        <v>Yes</v>
      </c>
      <c r="N455" s="5" t="str">
        <f>IFERROR(__xludf.DUMMYFUNCTION("""COMPUTED_VALUE"""),"Yes")</f>
        <v>Yes</v>
      </c>
      <c r="O455" s="5" t="str">
        <f>IFERROR(__xludf.DUMMYFUNCTION("""COMPUTED_VALUE"""),"Yes")</f>
        <v>Yes</v>
      </c>
      <c r="P455" s="5" t="str">
        <f>IFERROR(__xludf.DUMMYFUNCTION("""COMPUTED_VALUE"""),"Yes")</f>
        <v>Yes</v>
      </c>
      <c r="Q455" s="5" t="str">
        <f>IFERROR(__xludf.DUMMYFUNCTION("""COMPUTED_VALUE"""),"Yes")</f>
        <v>Yes</v>
      </c>
      <c r="R455" s="5" t="str">
        <f>IFERROR(__xludf.DUMMYFUNCTION("""COMPUTED_VALUE"""),"Yes")</f>
        <v>Yes</v>
      </c>
      <c r="S455" s="5" t="str">
        <f>IFERROR(__xludf.DUMMYFUNCTION("""COMPUTED_VALUE"""),"Yes")</f>
        <v>Yes</v>
      </c>
      <c r="T455" s="5" t="str">
        <f>IFERROR(__xludf.DUMMYFUNCTION("""COMPUTED_VALUE"""),"Yes")</f>
        <v>Yes</v>
      </c>
      <c r="U455" s="5" t="str">
        <f>IFERROR(__xludf.DUMMYFUNCTION("""COMPUTED_VALUE"""),"Yes")</f>
        <v>Yes</v>
      </c>
      <c r="V455" s="5" t="str">
        <f>IFERROR(__xludf.DUMMYFUNCTION("""COMPUTED_VALUE"""),"Yes")</f>
        <v>Yes</v>
      </c>
      <c r="W455" s="5" t="str">
        <f>IFERROR(__xludf.DUMMYFUNCTION("""COMPUTED_VALUE"""),"Yes")</f>
        <v>Yes</v>
      </c>
      <c r="X455" s="5" t="str">
        <f>IFERROR(__xludf.DUMMYFUNCTION("""COMPUTED_VALUE"""),"Yes")</f>
        <v>Yes</v>
      </c>
      <c r="Y455" s="5" t="str">
        <f>IFERROR(__xludf.DUMMYFUNCTION("""COMPUTED_VALUE"""),"Yes")</f>
        <v>Yes</v>
      </c>
      <c r="Z455" s="5" t="str">
        <f>IFERROR(__xludf.DUMMYFUNCTION("""COMPUTED_VALUE"""),"Yes")</f>
        <v>Yes</v>
      </c>
      <c r="AA455" s="5" t="str">
        <f>IFERROR(__xludf.DUMMYFUNCTION("""COMPUTED_VALUE"""),"Yes")</f>
        <v>Yes</v>
      </c>
      <c r="AB455" s="5" t="str">
        <f>IFERROR(__xludf.DUMMYFUNCTION("""COMPUTED_VALUE"""),"Yes")</f>
        <v>Yes</v>
      </c>
      <c r="AC455" s="5" t="str">
        <f>IFERROR(__xludf.DUMMYFUNCTION("""COMPUTED_VALUE"""),"Yes")</f>
        <v>Yes</v>
      </c>
      <c r="AD455" s="5" t="str">
        <f>IFERROR(__xludf.DUMMYFUNCTION("""COMPUTED_VALUE"""),"Yes")</f>
        <v>Yes</v>
      </c>
      <c r="AE455" s="5" t="str">
        <f>IFERROR(__xludf.DUMMYFUNCTION("""COMPUTED_VALUE"""),"Yes")</f>
        <v>Yes</v>
      </c>
      <c r="AF455" s="5" t="str">
        <f>IFERROR(__xludf.DUMMYFUNCTION("""COMPUTED_VALUE"""),"Yes")</f>
        <v>Yes</v>
      </c>
      <c r="AG455" s="5" t="str">
        <f>IFERROR(__xludf.DUMMYFUNCTION("""COMPUTED_VALUE"""),"Yes")</f>
        <v>Yes</v>
      </c>
      <c r="AH455" s="5" t="str">
        <f>IFERROR(__xludf.DUMMYFUNCTION("""COMPUTED_VALUE"""),"Yes")</f>
        <v>Yes</v>
      </c>
      <c r="AI455" s="5" t="str">
        <f>IFERROR(__xludf.DUMMYFUNCTION("""COMPUTED_VALUE"""),"No")</f>
        <v>No</v>
      </c>
      <c r="AJ455" s="5" t="str">
        <f>IFERROR(__xludf.DUMMYFUNCTION("""COMPUTED_VALUE"""),"No")</f>
        <v>No</v>
      </c>
      <c r="AK455" s="5" t="str">
        <f>IFERROR(__xludf.DUMMYFUNCTION("""COMPUTED_VALUE"""),"No")</f>
        <v>No</v>
      </c>
      <c r="AL455" s="5" t="str">
        <f>IFERROR(__xludf.DUMMYFUNCTION("""COMPUTED_VALUE"""),"No")</f>
        <v>No</v>
      </c>
      <c r="AM455" s="5"/>
      <c r="AN455" s="5"/>
      <c r="AO455" s="5"/>
      <c r="AP455" s="5"/>
      <c r="AQ455" s="5"/>
      <c r="AR455" s="5"/>
      <c r="AS455" s="5"/>
      <c r="AT455" s="5"/>
      <c r="AU455" s="5"/>
      <c r="AV455" s="5"/>
      <c r="AW455" s="5"/>
      <c r="AX455" s="5"/>
      <c r="AY455" s="5"/>
    </row>
    <row r="456">
      <c r="A4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6" s="5">
        <f>IFERROR(__xludf.DUMMYFUNCTION("""COMPUTED_VALUE"""),479.0)</f>
        <v>479</v>
      </c>
      <c r="C456" s="5">
        <f>IFERROR(__xludf.DUMMYFUNCTION("""COMPUTED_VALUE"""),1007.0)</f>
        <v>1007</v>
      </c>
      <c r="D456" s="5" t="str">
        <f>IFERROR(__xludf.DUMMYFUNCTION("""COMPUTED_VALUE"""),"CoinSplash")</f>
        <v>CoinSplash</v>
      </c>
      <c r="E456" s="5" t="str">
        <f>IFERROR(__xludf.DUMMYFUNCTION("""COMPUTED_VALUE"""),"Yes")</f>
        <v>Yes</v>
      </c>
      <c r="F456" s="5" t="str">
        <f>IFERROR(__xludf.DUMMYFUNCTION("""COMPUTED_VALUE"""),"Yes")</f>
        <v>Yes</v>
      </c>
      <c r="G456" s="5" t="str">
        <f>IFERROR(__xludf.DUMMYFUNCTION("""COMPUTED_VALUE"""),"Yes")</f>
        <v>Yes</v>
      </c>
      <c r="H456" s="5" t="str">
        <f>IFERROR(__xludf.DUMMYFUNCTION("""COMPUTED_VALUE"""),"Yes")</f>
        <v>Yes</v>
      </c>
      <c r="I456" s="5" t="str">
        <f>IFERROR(__xludf.DUMMYFUNCTION("""COMPUTED_VALUE"""),"Yes")</f>
        <v>Yes</v>
      </c>
      <c r="J456" s="5" t="str">
        <f>IFERROR(__xludf.DUMMYFUNCTION("""COMPUTED_VALUE"""),"Yes")</f>
        <v>Yes</v>
      </c>
      <c r="K456" s="5" t="str">
        <f>IFERROR(__xludf.DUMMYFUNCTION("""COMPUTED_VALUE"""),"Yes")</f>
        <v>Yes</v>
      </c>
      <c r="L456" s="5" t="str">
        <f>IFERROR(__xludf.DUMMYFUNCTION("""COMPUTED_VALUE"""),"Yes")</f>
        <v>Yes</v>
      </c>
      <c r="M456" s="5" t="str">
        <f>IFERROR(__xludf.DUMMYFUNCTION("""COMPUTED_VALUE"""),"Yes")</f>
        <v>Yes</v>
      </c>
      <c r="N456" s="5" t="str">
        <f>IFERROR(__xludf.DUMMYFUNCTION("""COMPUTED_VALUE"""),"Yes")</f>
        <v>Yes</v>
      </c>
      <c r="O456" s="5" t="str">
        <f>IFERROR(__xludf.DUMMYFUNCTION("""COMPUTED_VALUE"""),"Yes")</f>
        <v>Yes</v>
      </c>
      <c r="P456" s="5" t="str">
        <f>IFERROR(__xludf.DUMMYFUNCTION("""COMPUTED_VALUE"""),"Yes")</f>
        <v>Yes</v>
      </c>
      <c r="Q456" s="5" t="str">
        <f>IFERROR(__xludf.DUMMYFUNCTION("""COMPUTED_VALUE"""),"Yes")</f>
        <v>Yes</v>
      </c>
      <c r="R456" s="5" t="str">
        <f>IFERROR(__xludf.DUMMYFUNCTION("""COMPUTED_VALUE"""),"Yes")</f>
        <v>Yes</v>
      </c>
      <c r="S456" s="5" t="str">
        <f>IFERROR(__xludf.DUMMYFUNCTION("""COMPUTED_VALUE"""),"Yes")</f>
        <v>Yes</v>
      </c>
      <c r="T456" s="5" t="str">
        <f>IFERROR(__xludf.DUMMYFUNCTION("""COMPUTED_VALUE"""),"Yes")</f>
        <v>Yes</v>
      </c>
      <c r="U456" s="5" t="str">
        <f>IFERROR(__xludf.DUMMYFUNCTION("""COMPUTED_VALUE"""),"Yes")</f>
        <v>Yes</v>
      </c>
      <c r="V456" s="5" t="str">
        <f>IFERROR(__xludf.DUMMYFUNCTION("""COMPUTED_VALUE"""),"Yes")</f>
        <v>Yes</v>
      </c>
      <c r="W456" s="5" t="str">
        <f>IFERROR(__xludf.DUMMYFUNCTION("""COMPUTED_VALUE"""),"Yes")</f>
        <v>Yes</v>
      </c>
      <c r="X456" s="5" t="str">
        <f>IFERROR(__xludf.DUMMYFUNCTION("""COMPUTED_VALUE"""),"Yes")</f>
        <v>Yes</v>
      </c>
      <c r="Y456" s="5" t="str">
        <f>IFERROR(__xludf.DUMMYFUNCTION("""COMPUTED_VALUE"""),"Yes")</f>
        <v>Yes</v>
      </c>
      <c r="Z456" s="5" t="str">
        <f>IFERROR(__xludf.DUMMYFUNCTION("""COMPUTED_VALUE"""),"Yes")</f>
        <v>Yes</v>
      </c>
      <c r="AA456" s="5" t="str">
        <f>IFERROR(__xludf.DUMMYFUNCTION("""COMPUTED_VALUE"""),"Yes")</f>
        <v>Yes</v>
      </c>
      <c r="AB456" s="5" t="str">
        <f>IFERROR(__xludf.DUMMYFUNCTION("""COMPUTED_VALUE"""),"Yes")</f>
        <v>Yes</v>
      </c>
      <c r="AC456" s="5" t="str">
        <f>IFERROR(__xludf.DUMMYFUNCTION("""COMPUTED_VALUE"""),"Yes")</f>
        <v>Yes</v>
      </c>
      <c r="AD456" s="5" t="str">
        <f>IFERROR(__xludf.DUMMYFUNCTION("""COMPUTED_VALUE"""),"Yes")</f>
        <v>Yes</v>
      </c>
      <c r="AE456" s="5" t="str">
        <f>IFERROR(__xludf.DUMMYFUNCTION("""COMPUTED_VALUE"""),"Yes")</f>
        <v>Yes</v>
      </c>
      <c r="AF456" s="5" t="str">
        <f>IFERROR(__xludf.DUMMYFUNCTION("""COMPUTED_VALUE"""),"Yes")</f>
        <v>Yes</v>
      </c>
      <c r="AG456" s="5" t="str">
        <f>IFERROR(__xludf.DUMMYFUNCTION("""COMPUTED_VALUE"""),"Yes")</f>
        <v>Yes</v>
      </c>
      <c r="AH456" s="5" t="str">
        <f>IFERROR(__xludf.DUMMYFUNCTION("""COMPUTED_VALUE"""),"Yes")</f>
        <v>Yes</v>
      </c>
      <c r="AI456" s="5" t="str">
        <f>IFERROR(__xludf.DUMMYFUNCTION("""COMPUTED_VALUE"""),"No")</f>
        <v>No</v>
      </c>
      <c r="AJ456" s="5" t="str">
        <f>IFERROR(__xludf.DUMMYFUNCTION("""COMPUTED_VALUE"""),"No")</f>
        <v>No</v>
      </c>
      <c r="AK456" s="5" t="str">
        <f>IFERROR(__xludf.DUMMYFUNCTION("""COMPUTED_VALUE"""),"No")</f>
        <v>No</v>
      </c>
      <c r="AL456" s="5" t="str">
        <f>IFERROR(__xludf.DUMMYFUNCTION("""COMPUTED_VALUE"""),"No")</f>
        <v>No</v>
      </c>
      <c r="AM456" s="5"/>
      <c r="AN456" s="5"/>
      <c r="AO456" s="5"/>
      <c r="AP456" s="5"/>
      <c r="AQ456" s="5"/>
      <c r="AR456" s="5"/>
      <c r="AS456" s="5"/>
      <c r="AT456" s="5"/>
      <c r="AU456" s="5"/>
      <c r="AV456" s="5"/>
      <c r="AW456" s="5"/>
      <c r="AX456" s="5"/>
      <c r="AY456" s="5"/>
    </row>
    <row r="457">
      <c r="A45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7" s="5">
        <f>IFERROR(__xludf.DUMMYFUNCTION("""COMPUTED_VALUE"""),480.0)</f>
        <v>480</v>
      </c>
      <c r="C457" s="5">
        <f>IFERROR(__xludf.DUMMYFUNCTION("""COMPUTED_VALUE"""),180013.0)</f>
        <v>180013</v>
      </c>
      <c r="D457" s="5" t="str">
        <f>IFERROR(__xludf.DUMMYFUNCTION("""COMPUTED_VALUE"""),"Redstone10WildHeart")</f>
        <v>Redstone10WildHeart</v>
      </c>
      <c r="E457" s="5" t="str">
        <f>IFERROR(__xludf.DUMMYFUNCTION("""COMPUTED_VALUE"""),"Yes")</f>
        <v>Yes</v>
      </c>
      <c r="F457" s="5" t="str">
        <f>IFERROR(__xludf.DUMMYFUNCTION("""COMPUTED_VALUE"""),"Yes")</f>
        <v>Yes</v>
      </c>
      <c r="G457" s="5" t="str">
        <f>IFERROR(__xludf.DUMMYFUNCTION("""COMPUTED_VALUE"""),"Yes")</f>
        <v>Yes</v>
      </c>
      <c r="H457" s="5" t="str">
        <f>IFERROR(__xludf.DUMMYFUNCTION("""COMPUTED_VALUE"""),"No")</f>
        <v>No</v>
      </c>
      <c r="I457" s="5" t="str">
        <f>IFERROR(__xludf.DUMMYFUNCTION("""COMPUTED_VALUE"""),"No")</f>
        <v>No</v>
      </c>
      <c r="J457" s="5" t="str">
        <f>IFERROR(__xludf.DUMMYFUNCTION("""COMPUTED_VALUE"""),"No")</f>
        <v>No</v>
      </c>
      <c r="K457" s="5" t="str">
        <f>IFERROR(__xludf.DUMMYFUNCTION("""COMPUTED_VALUE"""),"No")</f>
        <v>No</v>
      </c>
      <c r="L457" s="5" t="str">
        <f>IFERROR(__xludf.DUMMYFUNCTION("""COMPUTED_VALUE"""),"No")</f>
        <v>No</v>
      </c>
      <c r="M457" s="5" t="str">
        <f>IFERROR(__xludf.DUMMYFUNCTION("""COMPUTED_VALUE"""),"Yes")</f>
        <v>Yes</v>
      </c>
      <c r="N457" s="5" t="str">
        <f>IFERROR(__xludf.DUMMYFUNCTION("""COMPUTED_VALUE"""),"Yes")</f>
        <v>Yes</v>
      </c>
      <c r="O457" s="5" t="str">
        <f>IFERROR(__xludf.DUMMYFUNCTION("""COMPUTED_VALUE"""),"Yes")</f>
        <v>Yes</v>
      </c>
      <c r="P457" s="5" t="str">
        <f>IFERROR(__xludf.DUMMYFUNCTION("""COMPUTED_VALUE"""),"Yes")</f>
        <v>Yes</v>
      </c>
      <c r="Q457" s="5" t="str">
        <f>IFERROR(__xludf.DUMMYFUNCTION("""COMPUTED_VALUE"""),"Yes")</f>
        <v>Yes</v>
      </c>
      <c r="R457" s="5" t="str">
        <f>IFERROR(__xludf.DUMMYFUNCTION("""COMPUTED_VALUE"""),"No")</f>
        <v>No</v>
      </c>
      <c r="S457" s="5" t="str">
        <f>IFERROR(__xludf.DUMMYFUNCTION("""COMPUTED_VALUE"""),"Yes")</f>
        <v>Yes</v>
      </c>
      <c r="T457" s="5" t="str">
        <f>IFERROR(__xludf.DUMMYFUNCTION("""COMPUTED_VALUE"""),"No")</f>
        <v>No</v>
      </c>
      <c r="U457" s="5" t="str">
        <f>IFERROR(__xludf.DUMMYFUNCTION("""COMPUTED_VALUE"""),"No")</f>
        <v>No</v>
      </c>
      <c r="V457" s="5" t="str">
        <f>IFERROR(__xludf.DUMMYFUNCTION("""COMPUTED_VALUE"""),"No")</f>
        <v>No</v>
      </c>
      <c r="W457" s="5" t="str">
        <f>IFERROR(__xludf.DUMMYFUNCTION("""COMPUTED_VALUE"""),"No")</f>
        <v>No</v>
      </c>
      <c r="X457" s="5"/>
      <c r="Y457" s="5"/>
      <c r="Z457" s="5"/>
      <c r="AA457" s="5" t="str">
        <f>IFERROR(__xludf.DUMMYFUNCTION("""COMPUTED_VALUE"""),"Yes")</f>
        <v>Yes</v>
      </c>
      <c r="AB457" s="5"/>
      <c r="AC457" s="5" t="str">
        <f>IFERROR(__xludf.DUMMYFUNCTION("""COMPUTED_VALUE"""),"No")</f>
        <v>No</v>
      </c>
      <c r="AD457" s="5"/>
      <c r="AE457" s="5"/>
      <c r="AF457" s="5" t="str">
        <f>IFERROR(__xludf.DUMMYFUNCTION("""COMPUTED_VALUE"""),"Yes")</f>
        <v>Yes</v>
      </c>
      <c r="AG457" s="5"/>
      <c r="AH457" s="5"/>
      <c r="AI457" s="5"/>
      <c r="AJ457" s="5"/>
      <c r="AK457" s="5"/>
      <c r="AL457" s="5" t="str">
        <f>IFERROR(__xludf.DUMMYFUNCTION("""COMPUTED_VALUE"""),"Yes")</f>
        <v>Yes</v>
      </c>
      <c r="AM457" s="5"/>
      <c r="AN457" s="5"/>
      <c r="AO457" s="5"/>
      <c r="AP457" s="5"/>
      <c r="AQ457" s="5"/>
      <c r="AR457" s="5"/>
      <c r="AS457" s="5"/>
      <c r="AT457" s="5"/>
      <c r="AU457" s="5"/>
      <c r="AV457" s="5"/>
      <c r="AW457" s="5"/>
      <c r="AX457" s="5"/>
      <c r="AY457" s="5"/>
    </row>
    <row r="458">
      <c r="A458" s="5"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B458" s="5">
        <f>IFERROR(__xludf.DUMMYFUNCTION("""COMPUTED_VALUE"""),481.0)</f>
        <v>481</v>
      </c>
      <c r="C458" s="5">
        <f>IFERROR(__xludf.DUMMYFUNCTION("""COMPUTED_VALUE"""),180014.0)</f>
        <v>180014</v>
      </c>
      <c r="D458" s="5" t="str">
        <f>IFERROR(__xludf.DUMMYFUNCTION("""COMPUTED_VALUE"""),"Redstone40JokerFire")</f>
        <v>Redstone40JokerFire</v>
      </c>
      <c r="E458" s="5" t="str">
        <f>IFERROR(__xludf.DUMMYFUNCTION("""COMPUTED_VALUE"""),"Yes")</f>
        <v>Yes</v>
      </c>
      <c r="F458" s="5" t="str">
        <f>IFERROR(__xludf.DUMMYFUNCTION("""COMPUTED_VALUE"""),"Yes")</f>
        <v>Yes</v>
      </c>
      <c r="G458" s="5" t="str">
        <f>IFERROR(__xludf.DUMMYFUNCTION("""COMPUTED_VALUE"""),"Yes")</f>
        <v>Yes</v>
      </c>
      <c r="H458" s="5" t="str">
        <f>IFERROR(__xludf.DUMMYFUNCTION("""COMPUTED_VALUE"""),"No")</f>
        <v>No</v>
      </c>
      <c r="I458" s="5" t="str">
        <f>IFERROR(__xludf.DUMMYFUNCTION("""COMPUTED_VALUE"""),"No")</f>
        <v>No</v>
      </c>
      <c r="J458" s="5" t="str">
        <f>IFERROR(__xludf.DUMMYFUNCTION("""COMPUTED_VALUE"""),"No")</f>
        <v>No</v>
      </c>
      <c r="K458" s="5" t="str">
        <f>IFERROR(__xludf.DUMMYFUNCTION("""COMPUTED_VALUE"""),"No")</f>
        <v>No</v>
      </c>
      <c r="L458" s="5" t="str">
        <f>IFERROR(__xludf.DUMMYFUNCTION("""COMPUTED_VALUE"""),"No")</f>
        <v>No</v>
      </c>
      <c r="M458" s="5" t="str">
        <f>IFERROR(__xludf.DUMMYFUNCTION("""COMPUTED_VALUE"""),"Yes")</f>
        <v>Yes</v>
      </c>
      <c r="N458" s="5" t="str">
        <f>IFERROR(__xludf.DUMMYFUNCTION("""COMPUTED_VALUE"""),"Yes")</f>
        <v>Yes</v>
      </c>
      <c r="O458" s="5" t="str">
        <f>IFERROR(__xludf.DUMMYFUNCTION("""COMPUTED_VALUE"""),"Yes")</f>
        <v>Yes</v>
      </c>
      <c r="P458" s="5" t="str">
        <f>IFERROR(__xludf.DUMMYFUNCTION("""COMPUTED_VALUE"""),"Yes")</f>
        <v>Yes</v>
      </c>
      <c r="Q458" s="5" t="str">
        <f>IFERROR(__xludf.DUMMYFUNCTION("""COMPUTED_VALUE"""),"Yes")</f>
        <v>Yes</v>
      </c>
      <c r="R458" s="5" t="str">
        <f>IFERROR(__xludf.DUMMYFUNCTION("""COMPUTED_VALUE"""),"No")</f>
        <v>No</v>
      </c>
      <c r="S458" s="5" t="str">
        <f>IFERROR(__xludf.DUMMYFUNCTION("""COMPUTED_VALUE"""),"Yes")</f>
        <v>Yes</v>
      </c>
      <c r="T458" s="5" t="str">
        <f>IFERROR(__xludf.DUMMYFUNCTION("""COMPUTED_VALUE"""),"No")</f>
        <v>No</v>
      </c>
      <c r="U458" s="5" t="str">
        <f>IFERROR(__xludf.DUMMYFUNCTION("""COMPUTED_VALUE"""),"No")</f>
        <v>No</v>
      </c>
      <c r="V458" s="5" t="str">
        <f>IFERROR(__xludf.DUMMYFUNCTION("""COMPUTED_VALUE"""),"No")</f>
        <v>No</v>
      </c>
      <c r="W458" s="5" t="str">
        <f>IFERROR(__xludf.DUMMYFUNCTION("""COMPUTED_VALUE"""),"No")</f>
        <v>No</v>
      </c>
      <c r="X458" s="5"/>
      <c r="Y458" s="5" t="str">
        <f>IFERROR(__xludf.DUMMYFUNCTION("""COMPUTED_VALUE"""),"Yes")</f>
        <v>Yes</v>
      </c>
      <c r="Z458" s="5"/>
      <c r="AA458" s="5" t="str">
        <f>IFERROR(__xludf.DUMMYFUNCTION("""COMPUTED_VALUE"""),"Yes")</f>
        <v>Yes</v>
      </c>
      <c r="AB458" s="5"/>
      <c r="AC458" s="5" t="str">
        <f>IFERROR(__xludf.DUMMYFUNCTION("""COMPUTED_VALUE"""),"No")</f>
        <v>No</v>
      </c>
      <c r="AD458" s="5"/>
      <c r="AE458" s="5"/>
      <c r="AF458" s="5" t="str">
        <f>IFERROR(__xludf.DUMMYFUNCTION("""COMPUTED_VALUE"""),"Yes")</f>
        <v>Yes</v>
      </c>
      <c r="AG458" s="5"/>
      <c r="AH458" s="5"/>
      <c r="AI458" s="5"/>
      <c r="AJ458" s="5"/>
      <c r="AK458" s="5"/>
      <c r="AL458" s="5"/>
      <c r="AM458" s="5"/>
      <c r="AN458" s="5"/>
      <c r="AO458" s="5"/>
      <c r="AP458" s="5"/>
      <c r="AQ458" s="5"/>
      <c r="AR458" s="5"/>
      <c r="AS458" s="5"/>
      <c r="AT458" s="5"/>
      <c r="AU458" s="5"/>
      <c r="AV458" s="5"/>
      <c r="AW458" s="5"/>
      <c r="AX458" s="5"/>
      <c r="AY458" s="5"/>
    </row>
    <row r="459">
      <c r="A45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59" s="5">
        <f>IFERROR(__xludf.DUMMYFUNCTION("""COMPUTED_VALUE"""),482.0)</f>
        <v>482</v>
      </c>
      <c r="C459" s="5">
        <f>IFERROR(__xludf.DUMMYFUNCTION("""COMPUTED_VALUE"""),180015.0)</f>
        <v>180015</v>
      </c>
      <c r="D459" s="5" t="str">
        <f>IFERROR(__xludf.DUMMYFUNCTION("""COMPUTED_VALUE"""),"RedstoneBonusStars")</f>
        <v>RedstoneBonusStars</v>
      </c>
      <c r="E459" s="5" t="str">
        <f>IFERROR(__xludf.DUMMYFUNCTION("""COMPUTED_VALUE"""),"Yes")</f>
        <v>Yes</v>
      </c>
      <c r="F459" s="5" t="str">
        <f>IFERROR(__xludf.DUMMYFUNCTION("""COMPUTED_VALUE"""),"Yes")</f>
        <v>Yes</v>
      </c>
      <c r="G459" s="5" t="str">
        <f>IFERROR(__xludf.DUMMYFUNCTION("""COMPUTED_VALUE"""),"No")</f>
        <v>No</v>
      </c>
      <c r="H459" s="5" t="str">
        <f>IFERROR(__xludf.DUMMYFUNCTION("""COMPUTED_VALUE"""),"Yes")</f>
        <v>Yes</v>
      </c>
      <c r="I459" s="5" t="str">
        <f>IFERROR(__xludf.DUMMYFUNCTION("""COMPUTED_VALUE"""),"Yes")</f>
        <v>Yes</v>
      </c>
      <c r="J459" s="5" t="str">
        <f>IFERROR(__xludf.DUMMYFUNCTION("""COMPUTED_VALUE"""),"Yes")</f>
        <v>Yes</v>
      </c>
      <c r="K459" s="5" t="str">
        <f>IFERROR(__xludf.DUMMYFUNCTION("""COMPUTED_VALUE"""),"Yes")</f>
        <v>Yes</v>
      </c>
      <c r="L459" s="5" t="str">
        <f>IFERROR(__xludf.DUMMYFUNCTION("""COMPUTED_VALUE"""),"Yes")</f>
        <v>Yes</v>
      </c>
      <c r="M459" s="5" t="str">
        <f>IFERROR(__xludf.DUMMYFUNCTION("""COMPUTED_VALUE"""),"Yes")</f>
        <v>Yes</v>
      </c>
      <c r="N459" s="5" t="str">
        <f>IFERROR(__xludf.DUMMYFUNCTION("""COMPUTED_VALUE"""),"Yes")</f>
        <v>Yes</v>
      </c>
      <c r="O459" s="5" t="str">
        <f>IFERROR(__xludf.DUMMYFUNCTION("""COMPUTED_VALUE"""),"Yes")</f>
        <v>Yes</v>
      </c>
      <c r="P459" s="5" t="str">
        <f>IFERROR(__xludf.DUMMYFUNCTION("""COMPUTED_VALUE"""),"Yes")</f>
        <v>Yes</v>
      </c>
      <c r="Q459" s="5" t="str">
        <f>IFERROR(__xludf.DUMMYFUNCTION("""COMPUTED_VALUE"""),"Yes")</f>
        <v>Yes</v>
      </c>
      <c r="R459" s="5" t="str">
        <f>IFERROR(__xludf.DUMMYFUNCTION("""COMPUTED_VALUE"""),"Yes")</f>
        <v>Yes</v>
      </c>
      <c r="S459" s="5" t="str">
        <f>IFERROR(__xludf.DUMMYFUNCTION("""COMPUTED_VALUE"""),"Yes")</f>
        <v>Yes</v>
      </c>
      <c r="T459" s="5" t="str">
        <f>IFERROR(__xludf.DUMMYFUNCTION("""COMPUTED_VALUE"""),"No")</f>
        <v>No</v>
      </c>
      <c r="U459" s="5" t="str">
        <f>IFERROR(__xludf.DUMMYFUNCTION("""COMPUTED_VALUE"""),"No")</f>
        <v>No</v>
      </c>
      <c r="V459" s="5" t="str">
        <f>IFERROR(__xludf.DUMMYFUNCTION("""COMPUTED_VALUE"""),"No")</f>
        <v>No</v>
      </c>
      <c r="W459" s="5" t="str">
        <f>IFERROR(__xludf.DUMMYFUNCTION("""COMPUTED_VALUE"""),"No")</f>
        <v>No</v>
      </c>
      <c r="X459" s="5" t="str">
        <f>IFERROR(__xludf.DUMMYFUNCTION("""COMPUTED_VALUE"""),"No")</f>
        <v>No</v>
      </c>
      <c r="Y459" s="5" t="str">
        <f>IFERROR(__xludf.DUMMYFUNCTION("""COMPUTED_VALUE"""),"No")</f>
        <v>No</v>
      </c>
      <c r="Z459" s="5" t="str">
        <f>IFERROR(__xludf.DUMMYFUNCTION("""COMPUTED_VALUE"""),"No")</f>
        <v>No</v>
      </c>
      <c r="AA459" s="5" t="str">
        <f>IFERROR(__xludf.DUMMYFUNCTION("""COMPUTED_VALUE"""),"Yes")</f>
        <v>Yes</v>
      </c>
      <c r="AB459" s="5" t="str">
        <f>IFERROR(__xludf.DUMMYFUNCTION("""COMPUTED_VALUE"""),"No")</f>
        <v>No</v>
      </c>
      <c r="AC459" s="5" t="str">
        <f>IFERROR(__xludf.DUMMYFUNCTION("""COMPUTED_VALUE"""),"No")</f>
        <v>No</v>
      </c>
      <c r="AD459" s="5" t="str">
        <f>IFERROR(__xludf.DUMMYFUNCTION("""COMPUTED_VALUE"""),"No")</f>
        <v>No</v>
      </c>
      <c r="AE459" s="5" t="str">
        <f>IFERROR(__xludf.DUMMYFUNCTION("""COMPUTED_VALUE"""),"No")</f>
        <v>No</v>
      </c>
      <c r="AF459" s="5" t="str">
        <f>IFERROR(__xludf.DUMMYFUNCTION("""COMPUTED_VALUE"""),"Yes")</f>
        <v>Yes</v>
      </c>
      <c r="AG459" s="5" t="str">
        <f>IFERROR(__xludf.DUMMYFUNCTION("""COMPUTED_VALUE"""),"No")</f>
        <v>No</v>
      </c>
      <c r="AH459" s="5" t="str">
        <f>IFERROR(__xludf.DUMMYFUNCTION("""COMPUTED_VALUE"""),"Yes")</f>
        <v>Yes</v>
      </c>
      <c r="AI459" s="5" t="str">
        <f>IFERROR(__xludf.DUMMYFUNCTION("""COMPUTED_VALUE"""),"No")</f>
        <v>No</v>
      </c>
      <c r="AJ459" s="5" t="str">
        <f>IFERROR(__xludf.DUMMYFUNCTION("""COMPUTED_VALUE"""),"No")</f>
        <v>No</v>
      </c>
      <c r="AK459" s="5" t="str">
        <f>IFERROR(__xludf.DUMMYFUNCTION("""COMPUTED_VALUE"""),"No")</f>
        <v>No</v>
      </c>
      <c r="AL459" s="5" t="str">
        <f>IFERROR(__xludf.DUMMYFUNCTION("""COMPUTED_VALUE"""),"No")</f>
        <v>No</v>
      </c>
      <c r="AM459" s="5"/>
      <c r="AN459" s="5"/>
      <c r="AO459" s="5"/>
      <c r="AP459" s="5"/>
      <c r="AQ459" s="5"/>
      <c r="AR459" s="5"/>
      <c r="AS459" s="5"/>
      <c r="AT459" s="5"/>
      <c r="AU459" s="5"/>
      <c r="AV459" s="5"/>
      <c r="AW459" s="5"/>
      <c r="AX459" s="5"/>
      <c r="AY459" s="5"/>
    </row>
    <row r="460">
      <c r="A46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0" s="5">
        <f>IFERROR(__xludf.DUMMYFUNCTION("""COMPUTED_VALUE"""),483.0)</f>
        <v>483</v>
      </c>
      <c r="C460" s="5">
        <f>IFERROR(__xludf.DUMMYFUNCTION("""COMPUTED_VALUE"""),180017.0)</f>
        <v>180017</v>
      </c>
      <c r="D460" s="5" t="str">
        <f>IFERROR(__xludf.DUMMYFUNCTION("""COMPUTED_VALUE"""),"Redstone5StarFire")</f>
        <v>Redstone5StarFire</v>
      </c>
      <c r="E460" s="5" t="str">
        <f>IFERROR(__xludf.DUMMYFUNCTION("""COMPUTED_VALUE"""),"Yes")</f>
        <v>Yes</v>
      </c>
      <c r="F460" s="5" t="str">
        <f>IFERROR(__xludf.DUMMYFUNCTION("""COMPUTED_VALUE"""),"Yes")</f>
        <v>Yes</v>
      </c>
      <c r="G460" s="5" t="str">
        <f>IFERROR(__xludf.DUMMYFUNCTION("""COMPUTED_VALUE"""),"No")</f>
        <v>No</v>
      </c>
      <c r="H460" s="5" t="str">
        <f>IFERROR(__xludf.DUMMYFUNCTION("""COMPUTED_VALUE"""),"Yes")</f>
        <v>Yes</v>
      </c>
      <c r="I460" s="5" t="str">
        <f>IFERROR(__xludf.DUMMYFUNCTION("""COMPUTED_VALUE"""),"Yes")</f>
        <v>Yes</v>
      </c>
      <c r="J460" s="5" t="str">
        <f>IFERROR(__xludf.DUMMYFUNCTION("""COMPUTED_VALUE"""),"Yes")</f>
        <v>Yes</v>
      </c>
      <c r="K460" s="5" t="str">
        <f>IFERROR(__xludf.DUMMYFUNCTION("""COMPUTED_VALUE"""),"Yes")</f>
        <v>Yes</v>
      </c>
      <c r="L460" s="5" t="str">
        <f>IFERROR(__xludf.DUMMYFUNCTION("""COMPUTED_VALUE"""),"Yes")</f>
        <v>Yes</v>
      </c>
      <c r="M460" s="5" t="str">
        <f>IFERROR(__xludf.DUMMYFUNCTION("""COMPUTED_VALUE"""),"Yes")</f>
        <v>Yes</v>
      </c>
      <c r="N460" s="5" t="str">
        <f>IFERROR(__xludf.DUMMYFUNCTION("""COMPUTED_VALUE"""),"Yes")</f>
        <v>Yes</v>
      </c>
      <c r="O460" s="5" t="str">
        <f>IFERROR(__xludf.DUMMYFUNCTION("""COMPUTED_VALUE"""),"Yes")</f>
        <v>Yes</v>
      </c>
      <c r="P460" s="5" t="str">
        <f>IFERROR(__xludf.DUMMYFUNCTION("""COMPUTED_VALUE"""),"Yes")</f>
        <v>Yes</v>
      </c>
      <c r="Q460" s="5" t="str">
        <f>IFERROR(__xludf.DUMMYFUNCTION("""COMPUTED_VALUE"""),"Yes")</f>
        <v>Yes</v>
      </c>
      <c r="R460" s="5" t="str">
        <f>IFERROR(__xludf.DUMMYFUNCTION("""COMPUTED_VALUE"""),"Yes")</f>
        <v>Yes</v>
      </c>
      <c r="S460" s="5" t="str">
        <f>IFERROR(__xludf.DUMMYFUNCTION("""COMPUTED_VALUE"""),"Yes")</f>
        <v>Yes</v>
      </c>
      <c r="T460" s="5" t="str">
        <f>IFERROR(__xludf.DUMMYFUNCTION("""COMPUTED_VALUE"""),"No")</f>
        <v>No</v>
      </c>
      <c r="U460" s="5" t="str">
        <f>IFERROR(__xludf.DUMMYFUNCTION("""COMPUTED_VALUE"""),"No")</f>
        <v>No</v>
      </c>
      <c r="V460" s="5" t="str">
        <f>IFERROR(__xludf.DUMMYFUNCTION("""COMPUTED_VALUE"""),"No")</f>
        <v>No</v>
      </c>
      <c r="W460" s="5" t="str">
        <f>IFERROR(__xludf.DUMMYFUNCTION("""COMPUTED_VALUE"""),"No")</f>
        <v>No</v>
      </c>
      <c r="X460" s="5" t="str">
        <f>IFERROR(__xludf.DUMMYFUNCTION("""COMPUTED_VALUE"""),"No")</f>
        <v>No</v>
      </c>
      <c r="Y460" s="5" t="str">
        <f>IFERROR(__xludf.DUMMYFUNCTION("""COMPUTED_VALUE"""),"No")</f>
        <v>No</v>
      </c>
      <c r="Z460" s="5" t="str">
        <f>IFERROR(__xludf.DUMMYFUNCTION("""COMPUTED_VALUE"""),"No")</f>
        <v>No</v>
      </c>
      <c r="AA460" s="5" t="str">
        <f>IFERROR(__xludf.DUMMYFUNCTION("""COMPUTED_VALUE"""),"Yes")</f>
        <v>Yes</v>
      </c>
      <c r="AB460" s="5" t="str">
        <f>IFERROR(__xludf.DUMMYFUNCTION("""COMPUTED_VALUE"""),"No")</f>
        <v>No</v>
      </c>
      <c r="AC460" s="5" t="str">
        <f>IFERROR(__xludf.DUMMYFUNCTION("""COMPUTED_VALUE"""),"No")</f>
        <v>No</v>
      </c>
      <c r="AD460" s="5" t="str">
        <f>IFERROR(__xludf.DUMMYFUNCTION("""COMPUTED_VALUE"""),"No")</f>
        <v>No</v>
      </c>
      <c r="AE460" s="5" t="str">
        <f>IFERROR(__xludf.DUMMYFUNCTION("""COMPUTED_VALUE"""),"No")</f>
        <v>No</v>
      </c>
      <c r="AF460" s="5" t="str">
        <f>IFERROR(__xludf.DUMMYFUNCTION("""COMPUTED_VALUE"""),"Yes")</f>
        <v>Yes</v>
      </c>
      <c r="AG460" s="5" t="str">
        <f>IFERROR(__xludf.DUMMYFUNCTION("""COMPUTED_VALUE"""),"No")</f>
        <v>No</v>
      </c>
      <c r="AH460" s="5" t="str">
        <f>IFERROR(__xludf.DUMMYFUNCTION("""COMPUTED_VALUE"""),"Yes")</f>
        <v>Yes</v>
      </c>
      <c r="AI460" s="5" t="str">
        <f>IFERROR(__xludf.DUMMYFUNCTION("""COMPUTED_VALUE"""),"No")</f>
        <v>No</v>
      </c>
      <c r="AJ460" s="5" t="str">
        <f>IFERROR(__xludf.DUMMYFUNCTION("""COMPUTED_VALUE"""),"No")</f>
        <v>No</v>
      </c>
      <c r="AK460" s="5" t="str">
        <f>IFERROR(__xludf.DUMMYFUNCTION("""COMPUTED_VALUE"""),"No")</f>
        <v>No</v>
      </c>
      <c r="AL460" s="5" t="str">
        <f>IFERROR(__xludf.DUMMYFUNCTION("""COMPUTED_VALUE"""),"No")</f>
        <v>No</v>
      </c>
      <c r="AM460" s="5"/>
      <c r="AN460" s="5"/>
      <c r="AO460" s="5"/>
      <c r="AP460" s="5"/>
      <c r="AQ460" s="5"/>
      <c r="AR460" s="5"/>
      <c r="AS460" s="5"/>
      <c r="AT460" s="5"/>
      <c r="AU460" s="5"/>
      <c r="AV460" s="5"/>
      <c r="AW460" s="5"/>
      <c r="AX460" s="5"/>
      <c r="AY460" s="5"/>
    </row>
    <row r="461">
      <c r="A461"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1" s="5">
        <f>IFERROR(__xludf.DUMMYFUNCTION("""COMPUTED_VALUE"""),484.0)</f>
        <v>484</v>
      </c>
      <c r="C461" s="5">
        <f>IFERROR(__xludf.DUMMYFUNCTION("""COMPUTED_VALUE"""),180034.0)</f>
        <v>180034</v>
      </c>
      <c r="D461" s="5" t="str">
        <f>IFERROR(__xludf.DUMMYFUNCTION("""COMPUTED_VALUE"""),"RedstoneCrushBonanza")</f>
        <v>RedstoneCrushBonanza</v>
      </c>
      <c r="E461" s="5" t="str">
        <f>IFERROR(__xludf.DUMMYFUNCTION("""COMPUTED_VALUE"""),"Yes")</f>
        <v>Yes</v>
      </c>
      <c r="F461" s="5" t="str">
        <f>IFERROR(__xludf.DUMMYFUNCTION("""COMPUTED_VALUE"""),"Yes")</f>
        <v>Yes</v>
      </c>
      <c r="G461" s="5" t="str">
        <f>IFERROR(__xludf.DUMMYFUNCTION("""COMPUTED_VALUE"""),"No")</f>
        <v>No</v>
      </c>
      <c r="H461" s="5" t="str">
        <f>IFERROR(__xludf.DUMMYFUNCTION("""COMPUTED_VALUE"""),"Yes")</f>
        <v>Yes</v>
      </c>
      <c r="I461" s="5" t="str">
        <f>IFERROR(__xludf.DUMMYFUNCTION("""COMPUTED_VALUE"""),"Yes")</f>
        <v>Yes</v>
      </c>
      <c r="J461" s="5" t="str">
        <f>IFERROR(__xludf.DUMMYFUNCTION("""COMPUTED_VALUE"""),"Yes")</f>
        <v>Yes</v>
      </c>
      <c r="K461" s="5" t="str">
        <f>IFERROR(__xludf.DUMMYFUNCTION("""COMPUTED_VALUE"""),"Yes")</f>
        <v>Yes</v>
      </c>
      <c r="L461" s="5" t="str">
        <f>IFERROR(__xludf.DUMMYFUNCTION("""COMPUTED_VALUE"""),"Yes")</f>
        <v>Yes</v>
      </c>
      <c r="M461" s="5" t="str">
        <f>IFERROR(__xludf.DUMMYFUNCTION("""COMPUTED_VALUE"""),"Yes")</f>
        <v>Yes</v>
      </c>
      <c r="N461" s="5" t="str">
        <f>IFERROR(__xludf.DUMMYFUNCTION("""COMPUTED_VALUE"""),"Yes")</f>
        <v>Yes</v>
      </c>
      <c r="O461" s="5" t="str">
        <f>IFERROR(__xludf.DUMMYFUNCTION("""COMPUTED_VALUE"""),"Yes")</f>
        <v>Yes</v>
      </c>
      <c r="P461" s="5" t="str">
        <f>IFERROR(__xludf.DUMMYFUNCTION("""COMPUTED_VALUE"""),"Yes")</f>
        <v>Yes</v>
      </c>
      <c r="Q461" s="5" t="str">
        <f>IFERROR(__xludf.DUMMYFUNCTION("""COMPUTED_VALUE"""),"Yes")</f>
        <v>Yes</v>
      </c>
      <c r="R461" s="5" t="str">
        <f>IFERROR(__xludf.DUMMYFUNCTION("""COMPUTED_VALUE"""),"Yes")</f>
        <v>Yes</v>
      </c>
      <c r="S461" s="5" t="str">
        <f>IFERROR(__xludf.DUMMYFUNCTION("""COMPUTED_VALUE"""),"Yes")</f>
        <v>Yes</v>
      </c>
      <c r="T461" s="5" t="str">
        <f>IFERROR(__xludf.DUMMYFUNCTION("""COMPUTED_VALUE"""),"No")</f>
        <v>No</v>
      </c>
      <c r="U461" s="5" t="str">
        <f>IFERROR(__xludf.DUMMYFUNCTION("""COMPUTED_VALUE"""),"No")</f>
        <v>No</v>
      </c>
      <c r="V461" s="5" t="str">
        <f>IFERROR(__xludf.DUMMYFUNCTION("""COMPUTED_VALUE"""),"No")</f>
        <v>No</v>
      </c>
      <c r="W461" s="5" t="str">
        <f>IFERROR(__xludf.DUMMYFUNCTION("""COMPUTED_VALUE"""),"No")</f>
        <v>No</v>
      </c>
      <c r="X461" s="5" t="str">
        <f>IFERROR(__xludf.DUMMYFUNCTION("""COMPUTED_VALUE"""),"No")</f>
        <v>No</v>
      </c>
      <c r="Y461" s="5" t="str">
        <f>IFERROR(__xludf.DUMMYFUNCTION("""COMPUTED_VALUE"""),"No")</f>
        <v>No</v>
      </c>
      <c r="Z461" s="5" t="str">
        <f>IFERROR(__xludf.DUMMYFUNCTION("""COMPUTED_VALUE"""),"No")</f>
        <v>No</v>
      </c>
      <c r="AA461" s="5" t="str">
        <f>IFERROR(__xludf.DUMMYFUNCTION("""COMPUTED_VALUE"""),"Yes")</f>
        <v>Yes</v>
      </c>
      <c r="AB461" s="5" t="str">
        <f>IFERROR(__xludf.DUMMYFUNCTION("""COMPUTED_VALUE"""),"No")</f>
        <v>No</v>
      </c>
      <c r="AC461" s="5" t="str">
        <f>IFERROR(__xludf.DUMMYFUNCTION("""COMPUTED_VALUE"""),"No")</f>
        <v>No</v>
      </c>
      <c r="AD461" s="5" t="str">
        <f>IFERROR(__xludf.DUMMYFUNCTION("""COMPUTED_VALUE"""),"No")</f>
        <v>No</v>
      </c>
      <c r="AE461" s="5" t="str">
        <f>IFERROR(__xludf.DUMMYFUNCTION("""COMPUTED_VALUE"""),"No")</f>
        <v>No</v>
      </c>
      <c r="AF461" s="5" t="str">
        <f>IFERROR(__xludf.DUMMYFUNCTION("""COMPUTED_VALUE"""),"Yes")</f>
        <v>Yes</v>
      </c>
      <c r="AG461" s="5" t="str">
        <f>IFERROR(__xludf.DUMMYFUNCTION("""COMPUTED_VALUE"""),"No")</f>
        <v>No</v>
      </c>
      <c r="AH461" s="5" t="str">
        <f>IFERROR(__xludf.DUMMYFUNCTION("""COMPUTED_VALUE"""),"Yes")</f>
        <v>Yes</v>
      </c>
      <c r="AI461" s="5" t="str">
        <f>IFERROR(__xludf.DUMMYFUNCTION("""COMPUTED_VALUE"""),"No")</f>
        <v>No</v>
      </c>
      <c r="AJ461" s="5" t="str">
        <f>IFERROR(__xludf.DUMMYFUNCTION("""COMPUTED_VALUE"""),"No")</f>
        <v>No</v>
      </c>
      <c r="AK461" s="5" t="str">
        <f>IFERROR(__xludf.DUMMYFUNCTION("""COMPUTED_VALUE"""),"No")</f>
        <v>No</v>
      </c>
      <c r="AL461" s="5" t="str">
        <f>IFERROR(__xludf.DUMMYFUNCTION("""COMPUTED_VALUE"""),"No")</f>
        <v>No</v>
      </c>
      <c r="AM461" s="5"/>
      <c r="AN461" s="5"/>
      <c r="AO461" s="5"/>
      <c r="AP461" s="5"/>
      <c r="AQ461" s="5"/>
      <c r="AR461" s="5"/>
      <c r="AS461" s="5"/>
      <c r="AT461" s="5"/>
      <c r="AU461" s="5"/>
      <c r="AV461" s="5"/>
      <c r="AW461" s="5"/>
      <c r="AX461" s="5"/>
      <c r="AY461" s="5"/>
    </row>
    <row r="462">
      <c r="A4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2" s="5">
        <f>IFERROR(__xludf.DUMMYFUNCTION("""COMPUTED_VALUE"""),485.0)</f>
        <v>485</v>
      </c>
      <c r="C462" s="5">
        <f>IFERROR(__xludf.DUMMYFUNCTION("""COMPUTED_VALUE"""),180031.0)</f>
        <v>180031</v>
      </c>
      <c r="D462" s="5" t="str">
        <f>IFERROR(__xludf.DUMMYFUNCTION("""COMPUTED_VALUE"""),"RedstoneStickyBrilliants")</f>
        <v>RedstoneStickyBrilliants</v>
      </c>
      <c r="E462" s="5" t="str">
        <f>IFERROR(__xludf.DUMMYFUNCTION("""COMPUTED_VALUE"""),"Yes")</f>
        <v>Yes</v>
      </c>
      <c r="F462" s="5" t="str">
        <f>IFERROR(__xludf.DUMMYFUNCTION("""COMPUTED_VALUE"""),"Yes")</f>
        <v>Yes</v>
      </c>
      <c r="G462" s="5" t="str">
        <f>IFERROR(__xludf.DUMMYFUNCTION("""COMPUTED_VALUE"""),"Yes")</f>
        <v>Yes</v>
      </c>
      <c r="H462" s="5" t="str">
        <f>IFERROR(__xludf.DUMMYFUNCTION("""COMPUTED_VALUE"""),"Yes")</f>
        <v>Yes</v>
      </c>
      <c r="I462" s="5" t="str">
        <f>IFERROR(__xludf.DUMMYFUNCTION("""COMPUTED_VALUE"""),"Yes")</f>
        <v>Yes</v>
      </c>
      <c r="J462" s="5" t="str">
        <f>IFERROR(__xludf.DUMMYFUNCTION("""COMPUTED_VALUE"""),"Yes")</f>
        <v>Yes</v>
      </c>
      <c r="K462" s="5" t="str">
        <f>IFERROR(__xludf.DUMMYFUNCTION("""COMPUTED_VALUE"""),"Yes")</f>
        <v>Yes</v>
      </c>
      <c r="L462" s="5" t="str">
        <f>IFERROR(__xludf.DUMMYFUNCTION("""COMPUTED_VALUE"""),"Yes")</f>
        <v>Yes</v>
      </c>
      <c r="M462" s="5" t="str">
        <f>IFERROR(__xludf.DUMMYFUNCTION("""COMPUTED_VALUE"""),"Yes")</f>
        <v>Yes</v>
      </c>
      <c r="N462" s="5" t="str">
        <f>IFERROR(__xludf.DUMMYFUNCTION("""COMPUTED_VALUE"""),"Yes")</f>
        <v>Yes</v>
      </c>
      <c r="O462" s="5" t="str">
        <f>IFERROR(__xludf.DUMMYFUNCTION("""COMPUTED_VALUE"""),"Yes")</f>
        <v>Yes</v>
      </c>
      <c r="P462" s="5" t="str">
        <f>IFERROR(__xludf.DUMMYFUNCTION("""COMPUTED_VALUE"""),"Yes")</f>
        <v>Yes</v>
      </c>
      <c r="Q462" s="5" t="str">
        <f>IFERROR(__xludf.DUMMYFUNCTION("""COMPUTED_VALUE"""),"Yes")</f>
        <v>Yes</v>
      </c>
      <c r="R462" s="5" t="str">
        <f>IFERROR(__xludf.DUMMYFUNCTION("""COMPUTED_VALUE"""),"Yes")</f>
        <v>Yes</v>
      </c>
      <c r="S462" s="5" t="str">
        <f>IFERROR(__xludf.DUMMYFUNCTION("""COMPUTED_VALUE"""),"Yes")</f>
        <v>Yes</v>
      </c>
      <c r="T462" s="5" t="str">
        <f>IFERROR(__xludf.DUMMYFUNCTION("""COMPUTED_VALUE"""),"Yes")</f>
        <v>Yes</v>
      </c>
      <c r="U462" s="5" t="str">
        <f>IFERROR(__xludf.DUMMYFUNCTION("""COMPUTED_VALUE"""),"Yes")</f>
        <v>Yes</v>
      </c>
      <c r="V462" s="5" t="str">
        <f>IFERROR(__xludf.DUMMYFUNCTION("""COMPUTED_VALUE"""),"Yes")</f>
        <v>Yes</v>
      </c>
      <c r="W462" s="5" t="str">
        <f>IFERROR(__xludf.DUMMYFUNCTION("""COMPUTED_VALUE"""),"Yes")</f>
        <v>Yes</v>
      </c>
      <c r="X462" s="5"/>
      <c r="Y462" s="5"/>
      <c r="Z462" s="5"/>
      <c r="AA462" s="5"/>
      <c r="AB462" s="5"/>
      <c r="AC462" s="5" t="str">
        <f>IFERROR(__xludf.DUMMYFUNCTION("""COMPUTED_VALUE"""),"Yes")</f>
        <v>Yes</v>
      </c>
      <c r="AD462" s="5"/>
      <c r="AE462" s="5"/>
      <c r="AF462" s="5"/>
      <c r="AG462" s="5"/>
      <c r="AH462" s="5"/>
      <c r="AI462" s="5"/>
      <c r="AJ462" s="5"/>
      <c r="AK462" s="5"/>
      <c r="AL462" s="5"/>
      <c r="AM462" s="5"/>
      <c r="AN462" s="5"/>
      <c r="AO462" s="5"/>
      <c r="AP462" s="5"/>
      <c r="AQ462" s="5"/>
      <c r="AR462" s="5"/>
      <c r="AS462" s="5"/>
      <c r="AT462" s="5"/>
      <c r="AU462" s="5"/>
      <c r="AV462" s="5"/>
      <c r="AW462" s="5"/>
      <c r="AX462" s="5"/>
      <c r="AY462" s="5"/>
    </row>
    <row r="463">
      <c r="A4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3" s="5">
        <f>IFERROR(__xludf.DUMMYFUNCTION("""COMPUTED_VALUE"""),486.0)</f>
        <v>486</v>
      </c>
      <c r="C463" s="5">
        <f>IFERROR(__xludf.DUMMYFUNCTION("""COMPUTED_VALUE"""),180022.0)</f>
        <v>180022</v>
      </c>
      <c r="D463" s="5" t="str">
        <f>IFERROR(__xludf.DUMMYFUNCTION("""COMPUTED_VALUE"""),"RedstoneBookOfMystic")</f>
        <v>RedstoneBookOfMystic</v>
      </c>
      <c r="E463" s="5" t="str">
        <f>IFERROR(__xludf.DUMMYFUNCTION("""COMPUTED_VALUE"""),"Yes")</f>
        <v>Yes</v>
      </c>
      <c r="F463" s="5" t="str">
        <f>IFERROR(__xludf.DUMMYFUNCTION("""COMPUTED_VALUE"""),"Yes")</f>
        <v>Yes</v>
      </c>
      <c r="G463" s="5" t="str">
        <f>IFERROR(__xludf.DUMMYFUNCTION("""COMPUTED_VALUE"""),"Yes")</f>
        <v>Yes</v>
      </c>
      <c r="H463" s="5" t="str">
        <f>IFERROR(__xludf.DUMMYFUNCTION("""COMPUTED_VALUE"""),"Yes")</f>
        <v>Yes</v>
      </c>
      <c r="I463" s="5" t="str">
        <f>IFERROR(__xludf.DUMMYFUNCTION("""COMPUTED_VALUE"""),"Yes")</f>
        <v>Yes</v>
      </c>
      <c r="J463" s="5" t="str">
        <f>IFERROR(__xludf.DUMMYFUNCTION("""COMPUTED_VALUE"""),"Yes")</f>
        <v>Yes</v>
      </c>
      <c r="K463" s="5" t="str">
        <f>IFERROR(__xludf.DUMMYFUNCTION("""COMPUTED_VALUE"""),"Yes")</f>
        <v>Yes</v>
      </c>
      <c r="L463" s="5" t="str">
        <f>IFERROR(__xludf.DUMMYFUNCTION("""COMPUTED_VALUE"""),"Yes")</f>
        <v>Yes</v>
      </c>
      <c r="M463" s="5" t="str">
        <f>IFERROR(__xludf.DUMMYFUNCTION("""COMPUTED_VALUE"""),"Yes")</f>
        <v>Yes</v>
      </c>
      <c r="N463" s="5" t="str">
        <f>IFERROR(__xludf.DUMMYFUNCTION("""COMPUTED_VALUE"""),"Yes")</f>
        <v>Yes</v>
      </c>
      <c r="O463" s="5" t="str">
        <f>IFERROR(__xludf.DUMMYFUNCTION("""COMPUTED_VALUE"""),"Yes")</f>
        <v>Yes</v>
      </c>
      <c r="P463" s="5" t="str">
        <f>IFERROR(__xludf.DUMMYFUNCTION("""COMPUTED_VALUE"""),"Yes")</f>
        <v>Yes</v>
      </c>
      <c r="Q463" s="5" t="str">
        <f>IFERROR(__xludf.DUMMYFUNCTION("""COMPUTED_VALUE"""),"Yes")</f>
        <v>Yes</v>
      </c>
      <c r="R463" s="5" t="str">
        <f>IFERROR(__xludf.DUMMYFUNCTION("""COMPUTED_VALUE"""),"Yes")</f>
        <v>Yes</v>
      </c>
      <c r="S463" s="5" t="str">
        <f>IFERROR(__xludf.DUMMYFUNCTION("""COMPUTED_VALUE"""),"Yes")</f>
        <v>Yes</v>
      </c>
      <c r="T463" s="5" t="str">
        <f>IFERROR(__xludf.DUMMYFUNCTION("""COMPUTED_VALUE"""),"Yes")</f>
        <v>Yes</v>
      </c>
      <c r="U463" s="5" t="str">
        <f>IFERROR(__xludf.DUMMYFUNCTION("""COMPUTED_VALUE"""),"Yes")</f>
        <v>Yes</v>
      </c>
      <c r="V463" s="5" t="str">
        <f>IFERROR(__xludf.DUMMYFUNCTION("""COMPUTED_VALUE"""),"Yes")</f>
        <v>Yes</v>
      </c>
      <c r="W463" s="5" t="str">
        <f>IFERROR(__xludf.DUMMYFUNCTION("""COMPUTED_VALUE"""),"Yes")</f>
        <v>Yes</v>
      </c>
      <c r="X463" s="5"/>
      <c r="Y463" s="5"/>
      <c r="Z463" s="5"/>
      <c r="AA463" s="5"/>
      <c r="AB463" s="5"/>
      <c r="AC463" s="5" t="str">
        <f>IFERROR(__xludf.DUMMYFUNCTION("""COMPUTED_VALUE"""),"Yes")</f>
        <v>Yes</v>
      </c>
      <c r="AD463" s="5"/>
      <c r="AE463" s="5"/>
      <c r="AF463" s="5"/>
      <c r="AG463" s="5"/>
      <c r="AH463" s="5"/>
      <c r="AI463" s="5"/>
      <c r="AJ463" s="5"/>
      <c r="AK463" s="5"/>
      <c r="AL463" s="5"/>
      <c r="AM463" s="5"/>
      <c r="AN463" s="5"/>
      <c r="AO463" s="5"/>
      <c r="AP463" s="5"/>
      <c r="AQ463" s="5"/>
      <c r="AR463" s="5"/>
      <c r="AS463" s="5"/>
      <c r="AT463" s="5"/>
      <c r="AU463" s="5"/>
      <c r="AV463" s="5"/>
      <c r="AW463" s="5"/>
      <c r="AX463" s="5"/>
      <c r="AY463" s="5"/>
    </row>
    <row r="464">
      <c r="A4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4" s="5">
        <f>IFERROR(__xludf.DUMMYFUNCTION("""COMPUTED_VALUE"""),488.0)</f>
        <v>488</v>
      </c>
      <c r="C464" s="5">
        <f>IFERROR(__xludf.DUMMYFUNCTION("""COMPUTED_VALUE"""),180018.0)</f>
        <v>180018</v>
      </c>
      <c r="D464" s="5" t="str">
        <f>IFERROR(__xludf.DUMMYFUNCTION("""COMPUTED_VALUE"""),"RedstoneCloverDrop")</f>
        <v>RedstoneCloverDrop</v>
      </c>
      <c r="E464" s="5" t="str">
        <f>IFERROR(__xludf.DUMMYFUNCTION("""COMPUTED_VALUE"""),"Yes")</f>
        <v>Yes</v>
      </c>
      <c r="F464" s="5" t="str">
        <f>IFERROR(__xludf.DUMMYFUNCTION("""COMPUTED_VALUE"""),"Yes")</f>
        <v>Yes</v>
      </c>
      <c r="G464" s="5" t="str">
        <f>IFERROR(__xludf.DUMMYFUNCTION("""COMPUTED_VALUE"""),"Yes")</f>
        <v>Yes</v>
      </c>
      <c r="H464" s="5" t="str">
        <f>IFERROR(__xludf.DUMMYFUNCTION("""COMPUTED_VALUE"""),"Yes")</f>
        <v>Yes</v>
      </c>
      <c r="I464" s="5" t="str">
        <f>IFERROR(__xludf.DUMMYFUNCTION("""COMPUTED_VALUE"""),"Yes")</f>
        <v>Yes</v>
      </c>
      <c r="J464" s="5" t="str">
        <f>IFERROR(__xludf.DUMMYFUNCTION("""COMPUTED_VALUE"""),"Yes")</f>
        <v>Yes</v>
      </c>
      <c r="K464" s="5" t="str">
        <f>IFERROR(__xludf.DUMMYFUNCTION("""COMPUTED_VALUE"""),"Yes")</f>
        <v>Yes</v>
      </c>
      <c r="L464" s="5" t="str">
        <f>IFERROR(__xludf.DUMMYFUNCTION("""COMPUTED_VALUE"""),"Yes")</f>
        <v>Yes</v>
      </c>
      <c r="M464" s="5" t="str">
        <f>IFERROR(__xludf.DUMMYFUNCTION("""COMPUTED_VALUE"""),"Yes")</f>
        <v>Yes</v>
      </c>
      <c r="N464" s="5" t="str">
        <f>IFERROR(__xludf.DUMMYFUNCTION("""COMPUTED_VALUE"""),"Yes")</f>
        <v>Yes</v>
      </c>
      <c r="O464" s="5" t="str">
        <f>IFERROR(__xludf.DUMMYFUNCTION("""COMPUTED_VALUE"""),"Yes")</f>
        <v>Yes</v>
      </c>
      <c r="P464" s="5" t="str">
        <f>IFERROR(__xludf.DUMMYFUNCTION("""COMPUTED_VALUE"""),"Yes")</f>
        <v>Yes</v>
      </c>
      <c r="Q464" s="5" t="str">
        <f>IFERROR(__xludf.DUMMYFUNCTION("""COMPUTED_VALUE"""),"Yes")</f>
        <v>Yes</v>
      </c>
      <c r="R464" s="5" t="str">
        <f>IFERROR(__xludf.DUMMYFUNCTION("""COMPUTED_VALUE"""),"Yes")</f>
        <v>Yes</v>
      </c>
      <c r="S464" s="5" t="str">
        <f>IFERROR(__xludf.DUMMYFUNCTION("""COMPUTED_VALUE"""),"Yes")</f>
        <v>Yes</v>
      </c>
      <c r="T464" s="5" t="str">
        <f>IFERROR(__xludf.DUMMYFUNCTION("""COMPUTED_VALUE"""),"Yes")</f>
        <v>Yes</v>
      </c>
      <c r="U464" s="5" t="str">
        <f>IFERROR(__xludf.DUMMYFUNCTION("""COMPUTED_VALUE"""),"Yes")</f>
        <v>Yes</v>
      </c>
      <c r="V464" s="5" t="str">
        <f>IFERROR(__xludf.DUMMYFUNCTION("""COMPUTED_VALUE"""),"Yes")</f>
        <v>Yes</v>
      </c>
      <c r="W464" s="5" t="str">
        <f>IFERROR(__xludf.DUMMYFUNCTION("""COMPUTED_VALUE"""),"Yes")</f>
        <v>Yes</v>
      </c>
      <c r="X464" s="5"/>
      <c r="Y464" s="5"/>
      <c r="Z464" s="5"/>
      <c r="AA464" s="5"/>
      <c r="AB464" s="5"/>
      <c r="AC464" s="5" t="str">
        <f>IFERROR(__xludf.DUMMYFUNCTION("""COMPUTED_VALUE"""),"Yes")</f>
        <v>Yes</v>
      </c>
      <c r="AD464" s="5"/>
      <c r="AE464" s="5"/>
      <c r="AF464" s="5"/>
      <c r="AG464" s="5"/>
      <c r="AH464" s="5"/>
      <c r="AI464" s="5"/>
      <c r="AJ464" s="5"/>
      <c r="AK464" s="5"/>
      <c r="AL464" s="5"/>
      <c r="AM464" s="5"/>
      <c r="AN464" s="5"/>
      <c r="AO464" s="5"/>
      <c r="AP464" s="5"/>
      <c r="AQ464" s="5"/>
      <c r="AR464" s="5"/>
      <c r="AS464" s="5"/>
      <c r="AT464" s="5"/>
      <c r="AU464" s="5"/>
      <c r="AV464" s="5"/>
      <c r="AW464" s="5"/>
      <c r="AX464" s="5"/>
      <c r="AY464" s="5"/>
    </row>
    <row r="465">
      <c r="A465"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65" s="5">
        <f>IFERROR(__xludf.DUMMYFUNCTION("""COMPUTED_VALUE"""),489.0)</f>
        <v>489</v>
      </c>
      <c r="C465" s="5">
        <f>IFERROR(__xludf.DUMMYFUNCTION("""COMPUTED_VALUE"""),405.0)</f>
        <v>405</v>
      </c>
      <c r="D465" s="5" t="str">
        <f>IFERROR(__xludf.DUMMYFUNCTION("""COMPUTED_VALUE"""),"PlayNetCloverSpread40")</f>
        <v>PlayNetCloverSpread40</v>
      </c>
      <c r="E465" s="5" t="str">
        <f>IFERROR(__xludf.DUMMYFUNCTION("""COMPUTED_VALUE"""),"Yes")</f>
        <v>Yes</v>
      </c>
      <c r="F465" s="5" t="str">
        <f>IFERROR(__xludf.DUMMYFUNCTION("""COMPUTED_VALUE"""),"Yes")</f>
        <v>Yes</v>
      </c>
      <c r="G465" s="5" t="str">
        <f>IFERROR(__xludf.DUMMYFUNCTION("""COMPUTED_VALUE"""),"No")</f>
        <v>No</v>
      </c>
      <c r="H465" s="5" t="str">
        <f>IFERROR(__xludf.DUMMYFUNCTION("""COMPUTED_VALUE"""),"Yes")</f>
        <v>Yes</v>
      </c>
      <c r="I465" s="5" t="str">
        <f>IFERROR(__xludf.DUMMYFUNCTION("""COMPUTED_VALUE"""),"Yes")</f>
        <v>Yes</v>
      </c>
      <c r="J465" s="5" t="str">
        <f>IFERROR(__xludf.DUMMYFUNCTION("""COMPUTED_VALUE"""),"Yes")</f>
        <v>Yes</v>
      </c>
      <c r="K465" s="5" t="str">
        <f>IFERROR(__xludf.DUMMYFUNCTION("""COMPUTED_VALUE"""),"Yes")</f>
        <v>Yes</v>
      </c>
      <c r="L465" s="5" t="str">
        <f>IFERROR(__xludf.DUMMYFUNCTION("""COMPUTED_VALUE"""),"Yes")</f>
        <v>Yes</v>
      </c>
      <c r="M465" s="5" t="str">
        <f>IFERROR(__xludf.DUMMYFUNCTION("""COMPUTED_VALUE"""),"Yes")</f>
        <v>Yes</v>
      </c>
      <c r="N465" s="5" t="str">
        <f>IFERROR(__xludf.DUMMYFUNCTION("""COMPUTED_VALUE"""),"Yes")</f>
        <v>Yes</v>
      </c>
      <c r="O465" s="5" t="str">
        <f>IFERROR(__xludf.DUMMYFUNCTION("""COMPUTED_VALUE"""),"Yes")</f>
        <v>Yes</v>
      </c>
      <c r="P465" s="5" t="str">
        <f>IFERROR(__xludf.DUMMYFUNCTION("""COMPUTED_VALUE"""),"Yes")</f>
        <v>Yes</v>
      </c>
      <c r="Q465" s="5" t="str">
        <f>IFERROR(__xludf.DUMMYFUNCTION("""COMPUTED_VALUE"""),"Yes")</f>
        <v>Yes</v>
      </c>
      <c r="R465" s="5" t="str">
        <f>IFERROR(__xludf.DUMMYFUNCTION("""COMPUTED_VALUE"""),"Yes")</f>
        <v>Yes</v>
      </c>
      <c r="S465" s="5" t="str">
        <f>IFERROR(__xludf.DUMMYFUNCTION("""COMPUTED_VALUE"""),"Yes")</f>
        <v>Yes</v>
      </c>
      <c r="T465" s="5" t="str">
        <f>IFERROR(__xludf.DUMMYFUNCTION("""COMPUTED_VALUE"""),"No")</f>
        <v>No</v>
      </c>
      <c r="U465" s="5" t="str">
        <f>IFERROR(__xludf.DUMMYFUNCTION("""COMPUTED_VALUE"""),"No")</f>
        <v>No</v>
      </c>
      <c r="V465" s="5" t="str">
        <f>IFERROR(__xludf.DUMMYFUNCTION("""COMPUTED_VALUE"""),"No")</f>
        <v>No</v>
      </c>
      <c r="W465" s="5" t="str">
        <f>IFERROR(__xludf.DUMMYFUNCTION("""COMPUTED_VALUE"""),"No")</f>
        <v>No</v>
      </c>
      <c r="X465" s="5" t="str">
        <f>IFERROR(__xludf.DUMMYFUNCTION("""COMPUTED_VALUE"""),"No")</f>
        <v>No</v>
      </c>
      <c r="Y465" s="5" t="str">
        <f>IFERROR(__xludf.DUMMYFUNCTION("""COMPUTED_VALUE"""),"No")</f>
        <v>No</v>
      </c>
      <c r="Z465" s="5" t="str">
        <f>IFERROR(__xludf.DUMMYFUNCTION("""COMPUTED_VALUE"""),"No")</f>
        <v>No</v>
      </c>
      <c r="AA465" s="5" t="str">
        <f>IFERROR(__xludf.DUMMYFUNCTION("""COMPUTED_VALUE"""),"No")</f>
        <v>No</v>
      </c>
      <c r="AB465" s="5" t="str">
        <f>IFERROR(__xludf.DUMMYFUNCTION("""COMPUTED_VALUE"""),"No")</f>
        <v>No</v>
      </c>
      <c r="AC465" s="5" t="str">
        <f>IFERROR(__xludf.DUMMYFUNCTION("""COMPUTED_VALUE"""),"No")</f>
        <v>No</v>
      </c>
      <c r="AD465" s="5" t="str">
        <f>IFERROR(__xludf.DUMMYFUNCTION("""COMPUTED_VALUE"""),"No")</f>
        <v>No</v>
      </c>
      <c r="AE465" s="5" t="str">
        <f>IFERROR(__xludf.DUMMYFUNCTION("""COMPUTED_VALUE"""),"No")</f>
        <v>No</v>
      </c>
      <c r="AF465" s="5" t="str">
        <f>IFERROR(__xludf.DUMMYFUNCTION("""COMPUTED_VALUE"""),"Yes")</f>
        <v>Yes</v>
      </c>
      <c r="AG465" s="5" t="str">
        <f>IFERROR(__xludf.DUMMYFUNCTION("""COMPUTED_VALUE"""),"No")</f>
        <v>No</v>
      </c>
      <c r="AH465" s="5" t="str">
        <f>IFERROR(__xludf.DUMMYFUNCTION("""COMPUTED_VALUE"""),"Yes")</f>
        <v>Yes</v>
      </c>
      <c r="AI465" s="5" t="str">
        <f>IFERROR(__xludf.DUMMYFUNCTION("""COMPUTED_VALUE"""),"No")</f>
        <v>No</v>
      </c>
      <c r="AJ465" s="5" t="str">
        <f>IFERROR(__xludf.DUMMYFUNCTION("""COMPUTED_VALUE"""),"No")</f>
        <v>No</v>
      </c>
      <c r="AK465" s="5" t="str">
        <f>IFERROR(__xludf.DUMMYFUNCTION("""COMPUTED_VALUE"""),"No")</f>
        <v>No</v>
      </c>
      <c r="AL465" s="5" t="str">
        <f>IFERROR(__xludf.DUMMYFUNCTION("""COMPUTED_VALUE"""),"No")</f>
        <v>No</v>
      </c>
      <c r="AM465" s="5"/>
      <c r="AN465" s="5"/>
      <c r="AO465" s="5"/>
      <c r="AP465" s="5"/>
      <c r="AQ465" s="5"/>
      <c r="AR465" s="5"/>
      <c r="AS465" s="5"/>
      <c r="AT465" s="5"/>
      <c r="AU465" s="5"/>
      <c r="AV465" s="5"/>
      <c r="AW465" s="5"/>
      <c r="AX465" s="5"/>
      <c r="AY465" s="5"/>
    </row>
    <row r="466">
      <c r="A466"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6" s="5">
        <f>IFERROR(__xludf.DUMMYFUNCTION("""COMPUTED_VALUE"""),490.0)</f>
        <v>490</v>
      </c>
      <c r="C466" s="5">
        <f>IFERROR(__xludf.DUMMYFUNCTION("""COMPUTED_VALUE"""),408.0)</f>
        <v>408</v>
      </c>
      <c r="D466" s="5" t="str">
        <f>IFERROR(__xludf.DUMMYFUNCTION("""COMPUTED_VALUE"""),"PlayNetMajesticCrownX2")</f>
        <v>PlayNetMajesticCrownX2</v>
      </c>
      <c r="E466" s="5" t="str">
        <f>IFERROR(__xludf.DUMMYFUNCTION("""COMPUTED_VALUE"""),"Yes")</f>
        <v>Yes</v>
      </c>
      <c r="F466" s="5" t="str">
        <f>IFERROR(__xludf.DUMMYFUNCTION("""COMPUTED_VALUE"""),"Yes")</f>
        <v>Yes</v>
      </c>
      <c r="G466" s="5" t="str">
        <f>IFERROR(__xludf.DUMMYFUNCTION("""COMPUTED_VALUE"""),"Yes")</f>
        <v>Yes</v>
      </c>
      <c r="H466" s="5" t="str">
        <f>IFERROR(__xludf.DUMMYFUNCTION("""COMPUTED_VALUE"""),"Yes")</f>
        <v>Yes</v>
      </c>
      <c r="I466" s="5" t="str">
        <f>IFERROR(__xludf.DUMMYFUNCTION("""COMPUTED_VALUE"""),"Yes")</f>
        <v>Yes</v>
      </c>
      <c r="J466" s="5" t="str">
        <f>IFERROR(__xludf.DUMMYFUNCTION("""COMPUTED_VALUE"""),"Yes")</f>
        <v>Yes</v>
      </c>
      <c r="K466" s="5" t="str">
        <f>IFERROR(__xludf.DUMMYFUNCTION("""COMPUTED_VALUE"""),"Yes")</f>
        <v>Yes</v>
      </c>
      <c r="L466" s="5" t="str">
        <f>IFERROR(__xludf.DUMMYFUNCTION("""COMPUTED_VALUE"""),"Yes")</f>
        <v>Yes</v>
      </c>
      <c r="M466" s="5" t="str">
        <f>IFERROR(__xludf.DUMMYFUNCTION("""COMPUTED_VALUE"""),"Yes")</f>
        <v>Yes</v>
      </c>
      <c r="N466" s="5" t="str">
        <f>IFERROR(__xludf.DUMMYFUNCTION("""COMPUTED_VALUE"""),"Yes")</f>
        <v>Yes</v>
      </c>
      <c r="O466" s="5" t="str">
        <f>IFERROR(__xludf.DUMMYFUNCTION("""COMPUTED_VALUE"""),"Yes")</f>
        <v>Yes</v>
      </c>
      <c r="P466" s="5" t="str">
        <f>IFERROR(__xludf.DUMMYFUNCTION("""COMPUTED_VALUE"""),"Yes")</f>
        <v>Yes</v>
      </c>
      <c r="Q466" s="5" t="str">
        <f>IFERROR(__xludf.DUMMYFUNCTION("""COMPUTED_VALUE"""),"Yes")</f>
        <v>Yes</v>
      </c>
      <c r="R466" s="5" t="str">
        <f>IFERROR(__xludf.DUMMYFUNCTION("""COMPUTED_VALUE"""),"Yes")</f>
        <v>Yes</v>
      </c>
      <c r="S466" s="5" t="str">
        <f>IFERROR(__xludf.DUMMYFUNCTION("""COMPUTED_VALUE"""),"Yes")</f>
        <v>Yes</v>
      </c>
      <c r="T466" s="5" t="str">
        <f>IFERROR(__xludf.DUMMYFUNCTION("""COMPUTED_VALUE"""),"No")</f>
        <v>No</v>
      </c>
      <c r="U466" s="5" t="str">
        <f>IFERROR(__xludf.DUMMYFUNCTION("""COMPUTED_VALUE"""),"No")</f>
        <v>No</v>
      </c>
      <c r="V466" s="5" t="str">
        <f>IFERROR(__xludf.DUMMYFUNCTION("""COMPUTED_VALUE"""),"No")</f>
        <v>No</v>
      </c>
      <c r="W466" s="5" t="str">
        <f>IFERROR(__xludf.DUMMYFUNCTION("""COMPUTED_VALUE"""),"No")</f>
        <v>No</v>
      </c>
      <c r="X466" s="5"/>
      <c r="Y466" s="5"/>
      <c r="Z466" s="5"/>
      <c r="AA466" s="5"/>
      <c r="AB466" s="5"/>
      <c r="AC466" s="5" t="str">
        <f>IFERROR(__xludf.DUMMYFUNCTION("""COMPUTED_VALUE"""),"No")</f>
        <v>No</v>
      </c>
      <c r="AD466" s="5"/>
      <c r="AE466" s="5"/>
      <c r="AF466" s="5" t="str">
        <f>IFERROR(__xludf.DUMMYFUNCTION("""COMPUTED_VALUE"""),"Yes")</f>
        <v>Yes</v>
      </c>
      <c r="AG466" s="5"/>
      <c r="AH466" s="5" t="str">
        <f>IFERROR(__xludf.DUMMYFUNCTION("""COMPUTED_VALUE"""),"Yes")</f>
        <v>Yes</v>
      </c>
      <c r="AI466" s="5"/>
      <c r="AJ466" s="5"/>
      <c r="AK466" s="5"/>
      <c r="AL466" s="5"/>
      <c r="AM466" s="5"/>
      <c r="AN466" s="5"/>
      <c r="AO466" s="5"/>
      <c r="AP466" s="5"/>
      <c r="AQ466" s="5"/>
      <c r="AR466" s="5"/>
      <c r="AS466" s="5"/>
      <c r="AT466" s="5"/>
      <c r="AU466" s="5"/>
      <c r="AV466" s="5"/>
      <c r="AW466" s="5"/>
      <c r="AX466" s="5"/>
      <c r="AY466" s="5"/>
    </row>
    <row r="467">
      <c r="A467" s="5" t="str">
        <f>IFERROR(__xludf.DUMMYFUNCTION("""COMPUTED_VALUE"""),"English(""eng""), Serbian(""""srp"",""srb""""), Montenegrian(""mne""), Bulgarian(""bul""), Spanish(""spa""), Portuguese(""por""), Italian(""ita""), Romanian(""rum/ron""), Croatian(""hrv""), French(""fre/fra""), German(""ger/deu""), Dutch(""dut/nld""), Tur"&amp;"kish(""tur""), Greek(""gre/ell""), Russian(""rus""), Latvian(""lav""), Ukrainian(""ukr""), Chinese(""zho/chi"")")</f>
        <v>English("eng"), Serbian(""srp","srb""), Montenegrian("mne"), Bulgarian("bul"), Spanish("spa"), Portuguese("por"), Italian("ita"), Romanian("rum/ron"), Croatian("hrv"), French("fre/fra"), German("ger/deu"), Dutch("dut/nld"), Turkish("tur"), Greek("gre/ell"), Russian("rus"), Latvian("lav"), Ukrainian("ukr"), Chinese("zho/chi")</v>
      </c>
      <c r="B467" s="5">
        <f>IFERROR(__xludf.DUMMYFUNCTION("""COMPUTED_VALUE"""),491.0)</f>
        <v>491</v>
      </c>
      <c r="C467" s="5">
        <f>IFERROR(__xludf.DUMMYFUNCTION("""COMPUTED_VALUE"""),409.0)</f>
        <v>409</v>
      </c>
      <c r="D467" s="5" t="str">
        <f>IFERROR(__xludf.DUMMYFUNCTION("""COMPUTED_VALUE"""),"PlayNetBitSlot")</f>
        <v>PlayNetBitSlot</v>
      </c>
      <c r="E467" s="5" t="str">
        <f>IFERROR(__xludf.DUMMYFUNCTION("""COMPUTED_VALUE"""),"Yes")</f>
        <v>Yes</v>
      </c>
      <c r="F467" s="5" t="str">
        <f>IFERROR(__xludf.DUMMYFUNCTION("""COMPUTED_VALUE"""),"Yes")</f>
        <v>Yes</v>
      </c>
      <c r="G467" s="5" t="str">
        <f>IFERROR(__xludf.DUMMYFUNCTION("""COMPUTED_VALUE"""),"Yes")</f>
        <v>Yes</v>
      </c>
      <c r="H467" s="5" t="str">
        <f>IFERROR(__xludf.DUMMYFUNCTION("""COMPUTED_VALUE"""),"Yes")</f>
        <v>Yes</v>
      </c>
      <c r="I467" s="5" t="str">
        <f>IFERROR(__xludf.DUMMYFUNCTION("""COMPUTED_VALUE"""),"Yes")</f>
        <v>Yes</v>
      </c>
      <c r="J467" s="5" t="str">
        <f>IFERROR(__xludf.DUMMYFUNCTION("""COMPUTED_VALUE"""),"Yes")</f>
        <v>Yes</v>
      </c>
      <c r="K467" s="5" t="str">
        <f>IFERROR(__xludf.DUMMYFUNCTION("""COMPUTED_VALUE"""),"Yes")</f>
        <v>Yes</v>
      </c>
      <c r="L467" s="5" t="str">
        <f>IFERROR(__xludf.DUMMYFUNCTION("""COMPUTED_VALUE"""),"Yes")</f>
        <v>Yes</v>
      </c>
      <c r="M467" s="5" t="str">
        <f>IFERROR(__xludf.DUMMYFUNCTION("""COMPUTED_VALUE"""),"Yes")</f>
        <v>Yes</v>
      </c>
      <c r="N467" s="5" t="str">
        <f>IFERROR(__xludf.DUMMYFUNCTION("""COMPUTED_VALUE"""),"Yes")</f>
        <v>Yes</v>
      </c>
      <c r="O467" s="5" t="str">
        <f>IFERROR(__xludf.DUMMYFUNCTION("""COMPUTED_VALUE"""),"Yes")</f>
        <v>Yes</v>
      </c>
      <c r="P467" s="5" t="str">
        <f>IFERROR(__xludf.DUMMYFUNCTION("""COMPUTED_VALUE"""),"Yes")</f>
        <v>Yes</v>
      </c>
      <c r="Q467" s="5" t="str">
        <f>IFERROR(__xludf.DUMMYFUNCTION("""COMPUTED_VALUE"""),"Yes")</f>
        <v>Yes</v>
      </c>
      <c r="R467" s="5" t="str">
        <f>IFERROR(__xludf.DUMMYFUNCTION("""COMPUTED_VALUE"""),"Yes")</f>
        <v>Yes</v>
      </c>
      <c r="S467" s="5" t="str">
        <f>IFERROR(__xludf.DUMMYFUNCTION("""COMPUTED_VALUE"""),"Yes")</f>
        <v>Yes</v>
      </c>
      <c r="T467" s="5" t="str">
        <f>IFERROR(__xludf.DUMMYFUNCTION("""COMPUTED_VALUE"""),"No")</f>
        <v>No</v>
      </c>
      <c r="U467" s="5" t="str">
        <f>IFERROR(__xludf.DUMMYFUNCTION("""COMPUTED_VALUE"""),"No")</f>
        <v>No</v>
      </c>
      <c r="V467" s="5" t="str">
        <f>IFERROR(__xludf.DUMMYFUNCTION("""COMPUTED_VALUE"""),"No")</f>
        <v>No</v>
      </c>
      <c r="W467" s="5" t="str">
        <f>IFERROR(__xludf.DUMMYFUNCTION("""COMPUTED_VALUE"""),"No")</f>
        <v>No</v>
      </c>
      <c r="X467" s="5"/>
      <c r="Y467" s="5"/>
      <c r="Z467" s="5"/>
      <c r="AA467" s="5"/>
      <c r="AB467" s="5"/>
      <c r="AC467" s="5" t="str">
        <f>IFERROR(__xludf.DUMMYFUNCTION("""COMPUTED_VALUE"""),"Yes")</f>
        <v>Yes</v>
      </c>
      <c r="AD467" s="5"/>
      <c r="AE467" s="5"/>
      <c r="AF467" s="5" t="str">
        <f>IFERROR(__xludf.DUMMYFUNCTION("""COMPUTED_VALUE"""),"Yes")</f>
        <v>Yes</v>
      </c>
      <c r="AG467" s="5"/>
      <c r="AH467" s="5" t="str">
        <f>IFERROR(__xludf.DUMMYFUNCTION("""COMPUTED_VALUE"""),"Yes")</f>
        <v>Yes</v>
      </c>
      <c r="AI467" s="5"/>
      <c r="AJ467" s="5"/>
      <c r="AK467" s="5"/>
      <c r="AL467" s="5"/>
      <c r="AM467" s="5"/>
      <c r="AN467" s="5"/>
      <c r="AO467" s="5"/>
      <c r="AP467" s="5"/>
      <c r="AQ467" s="5"/>
      <c r="AR467" s="5"/>
      <c r="AS467" s="5"/>
      <c r="AT467" s="5"/>
      <c r="AU467" s="5"/>
      <c r="AV467" s="5"/>
      <c r="AW467" s="5"/>
      <c r="AX467" s="5"/>
      <c r="AY467" s="5"/>
    </row>
    <row r="468">
      <c r="A468"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8" s="5">
        <f>IFERROR(__xludf.DUMMYFUNCTION("""COMPUTED_VALUE"""),492.0)</f>
        <v>492</v>
      </c>
      <c r="C468" s="5">
        <f>IFERROR(__xludf.DUMMYFUNCTION("""COMPUTED_VALUE"""),413.0)</f>
        <v>413</v>
      </c>
      <c r="D468" s="5" t="str">
        <f>IFERROR(__xludf.DUMMYFUNCTION("""COMPUTED_VALUE"""),"PlayNetFortuneClover10")</f>
        <v>PlayNetFortuneClover10</v>
      </c>
      <c r="E468" s="5" t="str">
        <f>IFERROR(__xludf.DUMMYFUNCTION("""COMPUTED_VALUE"""),"Yes")</f>
        <v>Yes</v>
      </c>
      <c r="F468" s="5" t="str">
        <f>IFERROR(__xludf.DUMMYFUNCTION("""COMPUTED_VALUE"""),"Yes")</f>
        <v>Yes</v>
      </c>
      <c r="G468" s="5" t="str">
        <f>IFERROR(__xludf.DUMMYFUNCTION("""COMPUTED_VALUE"""),"Yes")</f>
        <v>Yes</v>
      </c>
      <c r="H468" s="5" t="str">
        <f>IFERROR(__xludf.DUMMYFUNCTION("""COMPUTED_VALUE"""),"Yes")</f>
        <v>Yes</v>
      </c>
      <c r="I468" s="5" t="str">
        <f>IFERROR(__xludf.DUMMYFUNCTION("""COMPUTED_VALUE"""),"Yes")</f>
        <v>Yes</v>
      </c>
      <c r="J468" s="5" t="str">
        <f>IFERROR(__xludf.DUMMYFUNCTION("""COMPUTED_VALUE"""),"Yes")</f>
        <v>Yes</v>
      </c>
      <c r="K468" s="5" t="str">
        <f>IFERROR(__xludf.DUMMYFUNCTION("""COMPUTED_VALUE"""),"Yes")</f>
        <v>Yes</v>
      </c>
      <c r="L468" s="5" t="str">
        <f>IFERROR(__xludf.DUMMYFUNCTION("""COMPUTED_VALUE"""),"Yes")</f>
        <v>Yes</v>
      </c>
      <c r="M468" s="5" t="str">
        <f>IFERROR(__xludf.DUMMYFUNCTION("""COMPUTED_VALUE"""),"Yes")</f>
        <v>Yes</v>
      </c>
      <c r="N468" s="5" t="str">
        <f>IFERROR(__xludf.DUMMYFUNCTION("""COMPUTED_VALUE"""),"Yes")</f>
        <v>Yes</v>
      </c>
      <c r="O468" s="5" t="str">
        <f>IFERROR(__xludf.DUMMYFUNCTION("""COMPUTED_VALUE"""),"Yes")</f>
        <v>Yes</v>
      </c>
      <c r="P468" s="5" t="str">
        <f>IFERROR(__xludf.DUMMYFUNCTION("""COMPUTED_VALUE"""),"Yes")</f>
        <v>Yes</v>
      </c>
      <c r="Q468" s="5" t="str">
        <f>IFERROR(__xludf.DUMMYFUNCTION("""COMPUTED_VALUE"""),"Yes")</f>
        <v>Yes</v>
      </c>
      <c r="R468" s="5" t="str">
        <f>IFERROR(__xludf.DUMMYFUNCTION("""COMPUTED_VALUE"""),"Yes")</f>
        <v>Yes</v>
      </c>
      <c r="S468" s="5" t="str">
        <f>IFERROR(__xludf.DUMMYFUNCTION("""COMPUTED_VALUE"""),"Yes")</f>
        <v>Yes</v>
      </c>
      <c r="T468" s="5" t="str">
        <f>IFERROR(__xludf.DUMMYFUNCTION("""COMPUTED_VALUE"""),"No")</f>
        <v>No</v>
      </c>
      <c r="U468" s="5" t="str">
        <f>IFERROR(__xludf.DUMMYFUNCTION("""COMPUTED_VALUE"""),"No")</f>
        <v>No</v>
      </c>
      <c r="V468" s="5" t="str">
        <f>IFERROR(__xludf.DUMMYFUNCTION("""COMPUTED_VALUE"""),"No")</f>
        <v>No</v>
      </c>
      <c r="W468" s="5" t="str">
        <f>IFERROR(__xludf.DUMMYFUNCTION("""COMPUTED_VALUE"""),"No")</f>
        <v>No</v>
      </c>
      <c r="X468" s="5" t="str">
        <f>IFERROR(__xludf.DUMMYFUNCTION("""COMPUTED_VALUE"""),"No")</f>
        <v>No</v>
      </c>
      <c r="Y468" s="5" t="str">
        <f>IFERROR(__xludf.DUMMYFUNCTION("""COMPUTED_VALUE"""),"No")</f>
        <v>No</v>
      </c>
      <c r="Z468" s="5" t="str">
        <f>IFERROR(__xludf.DUMMYFUNCTION("""COMPUTED_VALUE"""),"No")</f>
        <v>No</v>
      </c>
      <c r="AA468" s="5" t="str">
        <f>IFERROR(__xludf.DUMMYFUNCTION("""COMPUTED_VALUE"""),"No")</f>
        <v>No</v>
      </c>
      <c r="AB468" s="5" t="str">
        <f>IFERROR(__xludf.DUMMYFUNCTION("""COMPUTED_VALUE"""),"No")</f>
        <v>No</v>
      </c>
      <c r="AC468" s="5" t="str">
        <f>IFERROR(__xludf.DUMMYFUNCTION("""COMPUTED_VALUE"""),"No")</f>
        <v>No</v>
      </c>
      <c r="AD468" s="5" t="str">
        <f>IFERROR(__xludf.DUMMYFUNCTION("""COMPUTED_VALUE"""),"No")</f>
        <v>No</v>
      </c>
      <c r="AE468" s="5" t="str">
        <f>IFERROR(__xludf.DUMMYFUNCTION("""COMPUTED_VALUE"""),"No")</f>
        <v>No</v>
      </c>
      <c r="AF468" s="5" t="str">
        <f>IFERROR(__xludf.DUMMYFUNCTION("""COMPUTED_VALUE"""),"Yes")</f>
        <v>Yes</v>
      </c>
      <c r="AG468" s="5" t="str">
        <f>IFERROR(__xludf.DUMMYFUNCTION("""COMPUTED_VALUE"""),"No")</f>
        <v>No</v>
      </c>
      <c r="AH468" s="5" t="str">
        <f>IFERROR(__xludf.DUMMYFUNCTION("""COMPUTED_VALUE"""),"Yes")</f>
        <v>Yes</v>
      </c>
      <c r="AI468" s="5" t="str">
        <f>IFERROR(__xludf.DUMMYFUNCTION("""COMPUTED_VALUE"""),"No")</f>
        <v>No</v>
      </c>
      <c r="AJ468" s="5" t="str">
        <f>IFERROR(__xludf.DUMMYFUNCTION("""COMPUTED_VALUE"""),"No")</f>
        <v>No</v>
      </c>
      <c r="AK468" s="5" t="str">
        <f>IFERROR(__xludf.DUMMYFUNCTION("""COMPUTED_VALUE"""),"No")</f>
        <v>No</v>
      </c>
      <c r="AL468" s="5" t="str">
        <f>IFERROR(__xludf.DUMMYFUNCTION("""COMPUTED_VALUE"""),"No")</f>
        <v>No</v>
      </c>
      <c r="AM468" s="5"/>
      <c r="AN468" s="5"/>
      <c r="AO468" s="5"/>
      <c r="AP468" s="5"/>
      <c r="AQ468" s="5"/>
      <c r="AR468" s="5"/>
      <c r="AS468" s="5"/>
      <c r="AT468" s="5"/>
      <c r="AU468" s="5"/>
      <c r="AV468" s="5"/>
      <c r="AW468" s="5"/>
      <c r="AX468" s="5"/>
      <c r="AY468" s="5"/>
    </row>
    <row r="469">
      <c r="A46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9" s="5">
        <f>IFERROR(__xludf.DUMMYFUNCTION("""COMPUTED_VALUE"""),493.0)</f>
        <v>493</v>
      </c>
      <c r="C469" s="5">
        <f>IFERROR(__xludf.DUMMYFUNCTION("""COMPUTED_VALUE"""),416.0)</f>
        <v>416</v>
      </c>
      <c r="D469" s="5" t="str">
        <f>IFERROR(__xludf.DUMMYFUNCTION("""COMPUTED_VALUE"""),"PlayNetMajesticCrown100")</f>
        <v>PlayNetMajesticCrown100</v>
      </c>
      <c r="E469" s="5" t="str">
        <f>IFERROR(__xludf.DUMMYFUNCTION("""COMPUTED_VALUE"""),"Yes")</f>
        <v>Yes</v>
      </c>
      <c r="F469" s="5" t="str">
        <f>IFERROR(__xludf.DUMMYFUNCTION("""COMPUTED_VALUE"""),"Yes")</f>
        <v>Yes</v>
      </c>
      <c r="G469" s="5" t="str">
        <f>IFERROR(__xludf.DUMMYFUNCTION("""COMPUTED_VALUE"""),"Yes")</f>
        <v>Yes</v>
      </c>
      <c r="H469" s="5" t="str">
        <f>IFERROR(__xludf.DUMMYFUNCTION("""COMPUTED_VALUE"""),"Yes")</f>
        <v>Yes</v>
      </c>
      <c r="I469" s="5" t="str">
        <f>IFERROR(__xludf.DUMMYFUNCTION("""COMPUTED_VALUE"""),"Yes")</f>
        <v>Yes</v>
      </c>
      <c r="J469" s="5" t="str">
        <f>IFERROR(__xludf.DUMMYFUNCTION("""COMPUTED_VALUE"""),"Yes")</f>
        <v>Yes</v>
      </c>
      <c r="K469" s="5" t="str">
        <f>IFERROR(__xludf.DUMMYFUNCTION("""COMPUTED_VALUE"""),"Yes")</f>
        <v>Yes</v>
      </c>
      <c r="L469" s="5" t="str">
        <f>IFERROR(__xludf.DUMMYFUNCTION("""COMPUTED_VALUE"""),"Yes")</f>
        <v>Yes</v>
      </c>
      <c r="M469" s="5" t="str">
        <f>IFERROR(__xludf.DUMMYFUNCTION("""COMPUTED_VALUE"""),"Yes")</f>
        <v>Yes</v>
      </c>
      <c r="N469" s="5" t="str">
        <f>IFERROR(__xludf.DUMMYFUNCTION("""COMPUTED_VALUE"""),"Yes")</f>
        <v>Yes</v>
      </c>
      <c r="O469" s="5" t="str">
        <f>IFERROR(__xludf.DUMMYFUNCTION("""COMPUTED_VALUE"""),"Yes")</f>
        <v>Yes</v>
      </c>
      <c r="P469" s="5" t="str">
        <f>IFERROR(__xludf.DUMMYFUNCTION("""COMPUTED_VALUE"""),"Yes")</f>
        <v>Yes</v>
      </c>
      <c r="Q469" s="5" t="str">
        <f>IFERROR(__xludf.DUMMYFUNCTION("""COMPUTED_VALUE"""),"Yes")</f>
        <v>Yes</v>
      </c>
      <c r="R469" s="5" t="str">
        <f>IFERROR(__xludf.DUMMYFUNCTION("""COMPUTED_VALUE"""),"Yes")</f>
        <v>Yes</v>
      </c>
      <c r="S469" s="5" t="str">
        <f>IFERROR(__xludf.DUMMYFUNCTION("""COMPUTED_VALUE"""),"Yes")</f>
        <v>Yes</v>
      </c>
      <c r="T469" s="5" t="str">
        <f>IFERROR(__xludf.DUMMYFUNCTION("""COMPUTED_VALUE"""),"No")</f>
        <v>No</v>
      </c>
      <c r="U469" s="5" t="str">
        <f>IFERROR(__xludf.DUMMYFUNCTION("""COMPUTED_VALUE"""),"No")</f>
        <v>No</v>
      </c>
      <c r="V469" s="5" t="str">
        <f>IFERROR(__xludf.DUMMYFUNCTION("""COMPUTED_VALUE"""),"No")</f>
        <v>No</v>
      </c>
      <c r="W469" s="5" t="str">
        <f>IFERROR(__xludf.DUMMYFUNCTION("""COMPUTED_VALUE"""),"No")</f>
        <v>No</v>
      </c>
      <c r="X469" s="5"/>
      <c r="Y469" s="5"/>
      <c r="Z469" s="5"/>
      <c r="AA469" s="5"/>
      <c r="AB469" s="5"/>
      <c r="AC469" s="5" t="str">
        <f>IFERROR(__xludf.DUMMYFUNCTION("""COMPUTED_VALUE"""),"No")</f>
        <v>No</v>
      </c>
      <c r="AD469" s="5"/>
      <c r="AE469" s="5"/>
      <c r="AF469" s="5" t="str">
        <f>IFERROR(__xludf.DUMMYFUNCTION("""COMPUTED_VALUE"""),"Yes")</f>
        <v>Yes</v>
      </c>
      <c r="AG469" s="5"/>
      <c r="AH469" s="5" t="str">
        <f>IFERROR(__xludf.DUMMYFUNCTION("""COMPUTED_VALUE"""),"Yes")</f>
        <v>Yes</v>
      </c>
      <c r="AI469" s="5"/>
      <c r="AJ469" s="5"/>
      <c r="AK469" s="5"/>
      <c r="AL469" s="5"/>
      <c r="AM469" s="5"/>
      <c r="AN469" s="5"/>
      <c r="AO469" s="5"/>
      <c r="AP469" s="5"/>
      <c r="AQ469" s="5"/>
      <c r="AR469" s="5"/>
      <c r="AS469" s="5"/>
      <c r="AT469" s="5"/>
      <c r="AU469" s="5"/>
      <c r="AV469" s="5"/>
      <c r="AW469" s="5"/>
      <c r="AX469" s="5"/>
      <c r="AY469" s="5"/>
    </row>
    <row r="470">
      <c r="A47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70" s="5">
        <f>IFERROR(__xludf.DUMMYFUNCTION("""COMPUTED_VALUE"""),494.0)</f>
        <v>494</v>
      </c>
      <c r="C470" s="5">
        <f>IFERROR(__xludf.DUMMYFUNCTION("""COMPUTED_VALUE"""),417.0)</f>
        <v>417</v>
      </c>
      <c r="D470" s="5" t="str">
        <f>IFERROR(__xludf.DUMMYFUNCTION("""COMPUTED_VALUE"""),"PlayNetFortuneClover20")</f>
        <v>PlayNetFortuneClover20</v>
      </c>
      <c r="E470" s="5" t="str">
        <f>IFERROR(__xludf.DUMMYFUNCTION("""COMPUTED_VALUE"""),"Yes")</f>
        <v>Yes</v>
      </c>
      <c r="F470" s="5" t="str">
        <f>IFERROR(__xludf.DUMMYFUNCTION("""COMPUTED_VALUE"""),"Yes")</f>
        <v>Yes</v>
      </c>
      <c r="G470" s="5" t="str">
        <f>IFERROR(__xludf.DUMMYFUNCTION("""COMPUTED_VALUE"""),"Yes")</f>
        <v>Yes</v>
      </c>
      <c r="H470" s="5" t="str">
        <f>IFERROR(__xludf.DUMMYFUNCTION("""COMPUTED_VALUE"""),"Yes")</f>
        <v>Yes</v>
      </c>
      <c r="I470" s="5" t="str">
        <f>IFERROR(__xludf.DUMMYFUNCTION("""COMPUTED_VALUE"""),"Yes")</f>
        <v>Yes</v>
      </c>
      <c r="J470" s="5" t="str">
        <f>IFERROR(__xludf.DUMMYFUNCTION("""COMPUTED_VALUE"""),"Yes")</f>
        <v>Yes</v>
      </c>
      <c r="K470" s="5" t="str">
        <f>IFERROR(__xludf.DUMMYFUNCTION("""COMPUTED_VALUE"""),"Yes")</f>
        <v>Yes</v>
      </c>
      <c r="L470" s="5" t="str">
        <f>IFERROR(__xludf.DUMMYFUNCTION("""COMPUTED_VALUE"""),"Yes")</f>
        <v>Yes</v>
      </c>
      <c r="M470" s="5" t="str">
        <f>IFERROR(__xludf.DUMMYFUNCTION("""COMPUTED_VALUE"""),"Yes")</f>
        <v>Yes</v>
      </c>
      <c r="N470" s="5" t="str">
        <f>IFERROR(__xludf.DUMMYFUNCTION("""COMPUTED_VALUE"""),"Yes")</f>
        <v>Yes</v>
      </c>
      <c r="O470" s="5" t="str">
        <f>IFERROR(__xludf.DUMMYFUNCTION("""COMPUTED_VALUE"""),"Yes")</f>
        <v>Yes</v>
      </c>
      <c r="P470" s="5" t="str">
        <f>IFERROR(__xludf.DUMMYFUNCTION("""COMPUTED_VALUE"""),"Yes")</f>
        <v>Yes</v>
      </c>
      <c r="Q470" s="5" t="str">
        <f>IFERROR(__xludf.DUMMYFUNCTION("""COMPUTED_VALUE"""),"Yes")</f>
        <v>Yes</v>
      </c>
      <c r="R470" s="5" t="str">
        <f>IFERROR(__xludf.DUMMYFUNCTION("""COMPUTED_VALUE"""),"Yes")</f>
        <v>Yes</v>
      </c>
      <c r="S470" s="5" t="str">
        <f>IFERROR(__xludf.DUMMYFUNCTION("""COMPUTED_VALUE"""),"Yes")</f>
        <v>Yes</v>
      </c>
      <c r="T470" s="5" t="str">
        <f>IFERROR(__xludf.DUMMYFUNCTION("""COMPUTED_VALUE"""),"No")</f>
        <v>No</v>
      </c>
      <c r="U470" s="5" t="str">
        <f>IFERROR(__xludf.DUMMYFUNCTION("""COMPUTED_VALUE"""),"No")</f>
        <v>No</v>
      </c>
      <c r="V470" s="5" t="str">
        <f>IFERROR(__xludf.DUMMYFUNCTION("""COMPUTED_VALUE"""),"No")</f>
        <v>No</v>
      </c>
      <c r="W470" s="5" t="str">
        <f>IFERROR(__xludf.DUMMYFUNCTION("""COMPUTED_VALUE"""),"No")</f>
        <v>No</v>
      </c>
      <c r="X470" s="5"/>
      <c r="Y470" s="5"/>
      <c r="Z470" s="5"/>
      <c r="AA470" s="5"/>
      <c r="AB470" s="5"/>
      <c r="AC470" s="5" t="str">
        <f>IFERROR(__xludf.DUMMYFUNCTION("""COMPUTED_VALUE"""),"No")</f>
        <v>No</v>
      </c>
      <c r="AD470" s="5"/>
      <c r="AE470" s="5"/>
      <c r="AF470" s="5" t="str">
        <f>IFERROR(__xludf.DUMMYFUNCTION("""COMPUTED_VALUE"""),"Yes")</f>
        <v>Yes</v>
      </c>
      <c r="AG470" s="5"/>
      <c r="AH470" s="5" t="str">
        <f>IFERROR(__xludf.DUMMYFUNCTION("""COMPUTED_VALUE"""),"Yes")</f>
        <v>Yes</v>
      </c>
      <c r="AI470" s="5"/>
      <c r="AJ470" s="5"/>
      <c r="AK470" s="5"/>
      <c r="AL470" s="5"/>
      <c r="AM470" s="5"/>
      <c r="AN470" s="5"/>
      <c r="AO470" s="5"/>
      <c r="AP470" s="5"/>
      <c r="AQ470" s="5"/>
      <c r="AR470" s="5"/>
      <c r="AS470" s="5"/>
      <c r="AT470" s="5"/>
      <c r="AU470" s="5"/>
      <c r="AV470" s="5"/>
      <c r="AW470" s="5"/>
      <c r="AX470" s="5"/>
      <c r="AY470" s="5"/>
    </row>
    <row r="471">
      <c r="A4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1" s="5">
        <f>IFERROR(__xludf.DUMMYFUNCTION("""COMPUTED_VALUE"""),495.0)</f>
        <v>495</v>
      </c>
      <c r="C471" s="5">
        <f>IFERROR(__xludf.DUMMYFUNCTION("""COMPUTED_VALUE"""),3000001.0)</f>
        <v>3000001</v>
      </c>
      <c r="D471" s="5" t="str">
        <f>IFERROR(__xludf.DUMMYFUNCTION("""COMPUTED_VALUE"""),"rocket-roll")</f>
        <v>rocket-roll</v>
      </c>
      <c r="E471" s="5" t="str">
        <f>IFERROR(__xludf.DUMMYFUNCTION("""COMPUTED_VALUE"""),"Yes")</f>
        <v>Yes</v>
      </c>
      <c r="F471" s="5" t="str">
        <f>IFERROR(__xludf.DUMMYFUNCTION("""COMPUTED_VALUE"""),"Yes")</f>
        <v>Yes</v>
      </c>
      <c r="G471" s="5" t="str">
        <f>IFERROR(__xludf.DUMMYFUNCTION("""COMPUTED_VALUE"""),"Yes")</f>
        <v>Yes</v>
      </c>
      <c r="H471" s="5" t="str">
        <f>IFERROR(__xludf.DUMMYFUNCTION("""COMPUTED_VALUE"""),"Yes")</f>
        <v>Yes</v>
      </c>
      <c r="I471" s="5" t="str">
        <f>IFERROR(__xludf.DUMMYFUNCTION("""COMPUTED_VALUE"""),"Yes")</f>
        <v>Yes</v>
      </c>
      <c r="J471" s="5" t="str">
        <f>IFERROR(__xludf.DUMMYFUNCTION("""COMPUTED_VALUE"""),"Yes")</f>
        <v>Yes</v>
      </c>
      <c r="K471" s="5" t="str">
        <f>IFERROR(__xludf.DUMMYFUNCTION("""COMPUTED_VALUE"""),"Yes")</f>
        <v>Yes</v>
      </c>
      <c r="L471" s="5" t="str">
        <f>IFERROR(__xludf.DUMMYFUNCTION("""COMPUTED_VALUE"""),"Yes")</f>
        <v>Yes</v>
      </c>
      <c r="M471" s="5" t="str">
        <f>IFERROR(__xludf.DUMMYFUNCTION("""COMPUTED_VALUE"""),"Yes")</f>
        <v>Yes</v>
      </c>
      <c r="N471" s="5" t="str">
        <f>IFERROR(__xludf.DUMMYFUNCTION("""COMPUTED_VALUE"""),"Yes")</f>
        <v>Yes</v>
      </c>
      <c r="O471" s="5" t="str">
        <f>IFERROR(__xludf.DUMMYFUNCTION("""COMPUTED_VALUE"""),"Yes")</f>
        <v>Yes</v>
      </c>
      <c r="P471" s="5" t="str">
        <f>IFERROR(__xludf.DUMMYFUNCTION("""COMPUTED_VALUE"""),"Yes")</f>
        <v>Yes</v>
      </c>
      <c r="Q471" s="5" t="str">
        <f>IFERROR(__xludf.DUMMYFUNCTION("""COMPUTED_VALUE"""),"Yes")</f>
        <v>Yes</v>
      </c>
      <c r="R471" s="5" t="str">
        <f>IFERROR(__xludf.DUMMYFUNCTION("""COMPUTED_VALUE"""),"Yes")</f>
        <v>Yes</v>
      </c>
      <c r="S471" s="5" t="str">
        <f>IFERROR(__xludf.DUMMYFUNCTION("""COMPUTED_VALUE"""),"Yes")</f>
        <v>Yes</v>
      </c>
      <c r="T471" s="5" t="str">
        <f>IFERROR(__xludf.DUMMYFUNCTION("""COMPUTED_VALUE"""),"Yes")</f>
        <v>Yes</v>
      </c>
      <c r="U471" s="5" t="str">
        <f>IFERROR(__xludf.DUMMYFUNCTION("""COMPUTED_VALUE"""),"Yes")</f>
        <v>Yes</v>
      </c>
      <c r="V471" s="5" t="str">
        <f>IFERROR(__xludf.DUMMYFUNCTION("""COMPUTED_VALUE"""),"Yes")</f>
        <v>Yes</v>
      </c>
      <c r="W471" s="5" t="str">
        <f>IFERROR(__xludf.DUMMYFUNCTION("""COMPUTED_VALUE"""),"Yes")</f>
        <v>Yes</v>
      </c>
      <c r="X471" s="5"/>
      <c r="Y471" s="5"/>
      <c r="Z471" s="5"/>
      <c r="AA471" s="5"/>
      <c r="AB471" s="5"/>
      <c r="AC471" s="5" t="str">
        <f>IFERROR(__xludf.DUMMYFUNCTION("""COMPUTED_VALUE"""),"Yes")</f>
        <v>Yes</v>
      </c>
      <c r="AD471" s="5"/>
      <c r="AE471" s="5"/>
      <c r="AF471" s="5"/>
      <c r="AG471" s="5"/>
      <c r="AH471" s="5"/>
      <c r="AI471" s="5"/>
      <c r="AJ471" s="5"/>
      <c r="AK471" s="5"/>
      <c r="AL471" s="5"/>
      <c r="AM471" s="5"/>
      <c r="AN471" s="5"/>
      <c r="AO471" s="5"/>
      <c r="AP471" s="5"/>
      <c r="AQ471" s="5"/>
      <c r="AR471" s="5"/>
      <c r="AS471" s="5"/>
      <c r="AT471" s="5"/>
      <c r="AU471" s="5"/>
      <c r="AV471" s="5"/>
      <c r="AW471" s="5"/>
      <c r="AX471" s="5"/>
      <c r="AY471" s="5"/>
    </row>
    <row r="472">
      <c r="A4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2" s="5">
        <f>IFERROR(__xludf.DUMMYFUNCTION("""COMPUTED_VALUE"""),496.0)</f>
        <v>496</v>
      </c>
      <c r="C472" s="5">
        <f>IFERROR(__xludf.DUMMYFUNCTION("""COMPUTED_VALUE"""),3000002.0)</f>
        <v>3000002</v>
      </c>
      <c r="D472" s="5" t="str">
        <f>IFERROR(__xludf.DUMMYFUNCTION("""COMPUTED_VALUE"""),"cosmic-comet-chase")</f>
        <v>cosmic-comet-chase</v>
      </c>
      <c r="E472" s="5" t="str">
        <f>IFERROR(__xludf.DUMMYFUNCTION("""COMPUTED_VALUE"""),"Yes")</f>
        <v>Yes</v>
      </c>
      <c r="F472" s="5" t="str">
        <f>IFERROR(__xludf.DUMMYFUNCTION("""COMPUTED_VALUE"""),"Yes")</f>
        <v>Yes</v>
      </c>
      <c r="G472" s="5" t="str">
        <f>IFERROR(__xludf.DUMMYFUNCTION("""COMPUTED_VALUE"""),"Yes")</f>
        <v>Yes</v>
      </c>
      <c r="H472" s="5" t="str">
        <f>IFERROR(__xludf.DUMMYFUNCTION("""COMPUTED_VALUE"""),"Yes")</f>
        <v>Yes</v>
      </c>
      <c r="I472" s="5" t="str">
        <f>IFERROR(__xludf.DUMMYFUNCTION("""COMPUTED_VALUE"""),"Yes")</f>
        <v>Yes</v>
      </c>
      <c r="J472" s="5" t="str">
        <f>IFERROR(__xludf.DUMMYFUNCTION("""COMPUTED_VALUE"""),"Yes")</f>
        <v>Yes</v>
      </c>
      <c r="K472" s="5" t="str">
        <f>IFERROR(__xludf.DUMMYFUNCTION("""COMPUTED_VALUE"""),"Yes")</f>
        <v>Yes</v>
      </c>
      <c r="L472" s="5" t="str">
        <f>IFERROR(__xludf.DUMMYFUNCTION("""COMPUTED_VALUE"""),"Yes")</f>
        <v>Yes</v>
      </c>
      <c r="M472" s="5" t="str">
        <f>IFERROR(__xludf.DUMMYFUNCTION("""COMPUTED_VALUE"""),"Yes")</f>
        <v>Yes</v>
      </c>
      <c r="N472" s="5" t="str">
        <f>IFERROR(__xludf.DUMMYFUNCTION("""COMPUTED_VALUE"""),"Yes")</f>
        <v>Yes</v>
      </c>
      <c r="O472" s="5" t="str">
        <f>IFERROR(__xludf.DUMMYFUNCTION("""COMPUTED_VALUE"""),"Yes")</f>
        <v>Yes</v>
      </c>
      <c r="P472" s="5" t="str">
        <f>IFERROR(__xludf.DUMMYFUNCTION("""COMPUTED_VALUE"""),"Yes")</f>
        <v>Yes</v>
      </c>
      <c r="Q472" s="5" t="str">
        <f>IFERROR(__xludf.DUMMYFUNCTION("""COMPUTED_VALUE"""),"Yes")</f>
        <v>Yes</v>
      </c>
      <c r="R472" s="5" t="str">
        <f>IFERROR(__xludf.DUMMYFUNCTION("""COMPUTED_VALUE"""),"Yes")</f>
        <v>Yes</v>
      </c>
      <c r="S472" s="5" t="str">
        <f>IFERROR(__xludf.DUMMYFUNCTION("""COMPUTED_VALUE"""),"Yes")</f>
        <v>Yes</v>
      </c>
      <c r="T472" s="5" t="str">
        <f>IFERROR(__xludf.DUMMYFUNCTION("""COMPUTED_VALUE"""),"Yes")</f>
        <v>Yes</v>
      </c>
      <c r="U472" s="5" t="str">
        <f>IFERROR(__xludf.DUMMYFUNCTION("""COMPUTED_VALUE"""),"Yes")</f>
        <v>Yes</v>
      </c>
      <c r="V472" s="5" t="str">
        <f>IFERROR(__xludf.DUMMYFUNCTION("""COMPUTED_VALUE"""),"Yes")</f>
        <v>Yes</v>
      </c>
      <c r="W472" s="5" t="str">
        <f>IFERROR(__xludf.DUMMYFUNCTION("""COMPUTED_VALUE"""),"Yes")</f>
        <v>Yes</v>
      </c>
      <c r="X472" s="5"/>
      <c r="Y472" s="5"/>
      <c r="Z472" s="5"/>
      <c r="AA472" s="5"/>
      <c r="AB472" s="5"/>
      <c r="AC472" s="5" t="str">
        <f>IFERROR(__xludf.DUMMYFUNCTION("""COMPUTED_VALUE"""),"Yes")</f>
        <v>Yes</v>
      </c>
      <c r="AD472" s="5"/>
      <c r="AE472" s="5"/>
      <c r="AF472" s="5"/>
      <c r="AG472" s="5"/>
      <c r="AH472" s="5"/>
      <c r="AI472" s="5"/>
      <c r="AJ472" s="5"/>
      <c r="AK472" s="5"/>
      <c r="AL472" s="5"/>
      <c r="AM472" s="5"/>
      <c r="AN472" s="5"/>
      <c r="AO472" s="5"/>
      <c r="AP472" s="5"/>
      <c r="AQ472" s="5"/>
      <c r="AR472" s="5"/>
      <c r="AS472" s="5"/>
      <c r="AT472" s="5"/>
      <c r="AU472" s="5"/>
      <c r="AV472" s="5"/>
      <c r="AW472" s="5"/>
      <c r="AX472" s="5"/>
      <c r="AY472" s="5"/>
    </row>
    <row r="473">
      <c r="A4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3" s="5">
        <f>IFERROR(__xludf.DUMMYFUNCTION("""COMPUTED_VALUE"""),499.0)</f>
        <v>499</v>
      </c>
      <c r="C473" s="5">
        <f>IFERROR(__xludf.DUMMYFUNCTION("""COMPUTED_VALUE"""),3000003.0)</f>
        <v>3000003</v>
      </c>
      <c r="D473" s="5" t="str">
        <f>IFERROR(__xludf.DUMMYFUNCTION("""COMPUTED_VALUE"""),"neon-fruits")</f>
        <v>neon-fruits</v>
      </c>
      <c r="E473" s="5" t="str">
        <f>IFERROR(__xludf.DUMMYFUNCTION("""COMPUTED_VALUE"""),"Yes")</f>
        <v>Yes</v>
      </c>
      <c r="F473" s="5" t="str">
        <f>IFERROR(__xludf.DUMMYFUNCTION("""COMPUTED_VALUE"""),"Yes")</f>
        <v>Yes</v>
      </c>
      <c r="G473" s="5" t="str">
        <f>IFERROR(__xludf.DUMMYFUNCTION("""COMPUTED_VALUE"""),"Yes")</f>
        <v>Yes</v>
      </c>
      <c r="H473" s="5" t="str">
        <f>IFERROR(__xludf.DUMMYFUNCTION("""COMPUTED_VALUE"""),"Yes")</f>
        <v>Yes</v>
      </c>
      <c r="I473" s="5" t="str">
        <f>IFERROR(__xludf.DUMMYFUNCTION("""COMPUTED_VALUE"""),"Yes")</f>
        <v>Yes</v>
      </c>
      <c r="J473" s="5" t="str">
        <f>IFERROR(__xludf.DUMMYFUNCTION("""COMPUTED_VALUE"""),"Yes")</f>
        <v>Yes</v>
      </c>
      <c r="K473" s="5" t="str">
        <f>IFERROR(__xludf.DUMMYFUNCTION("""COMPUTED_VALUE"""),"Yes")</f>
        <v>Yes</v>
      </c>
      <c r="L473" s="5" t="str">
        <f>IFERROR(__xludf.DUMMYFUNCTION("""COMPUTED_VALUE"""),"Yes")</f>
        <v>Yes</v>
      </c>
      <c r="M473" s="5" t="str">
        <f>IFERROR(__xludf.DUMMYFUNCTION("""COMPUTED_VALUE"""),"Yes")</f>
        <v>Yes</v>
      </c>
      <c r="N473" s="5" t="str">
        <f>IFERROR(__xludf.DUMMYFUNCTION("""COMPUTED_VALUE"""),"Yes")</f>
        <v>Yes</v>
      </c>
      <c r="O473" s="5" t="str">
        <f>IFERROR(__xludf.DUMMYFUNCTION("""COMPUTED_VALUE"""),"Yes")</f>
        <v>Yes</v>
      </c>
      <c r="P473" s="5" t="str">
        <f>IFERROR(__xludf.DUMMYFUNCTION("""COMPUTED_VALUE"""),"Yes")</f>
        <v>Yes</v>
      </c>
      <c r="Q473" s="5" t="str">
        <f>IFERROR(__xludf.DUMMYFUNCTION("""COMPUTED_VALUE"""),"Yes")</f>
        <v>Yes</v>
      </c>
      <c r="R473" s="5" t="str">
        <f>IFERROR(__xludf.DUMMYFUNCTION("""COMPUTED_VALUE"""),"Yes")</f>
        <v>Yes</v>
      </c>
      <c r="S473" s="5" t="str">
        <f>IFERROR(__xludf.DUMMYFUNCTION("""COMPUTED_VALUE"""),"Yes")</f>
        <v>Yes</v>
      </c>
      <c r="T473" s="5" t="str">
        <f>IFERROR(__xludf.DUMMYFUNCTION("""COMPUTED_VALUE"""),"Yes")</f>
        <v>Yes</v>
      </c>
      <c r="U473" s="5" t="str">
        <f>IFERROR(__xludf.DUMMYFUNCTION("""COMPUTED_VALUE"""),"Yes")</f>
        <v>Yes</v>
      </c>
      <c r="V473" s="5" t="str">
        <f>IFERROR(__xludf.DUMMYFUNCTION("""COMPUTED_VALUE"""),"Yes")</f>
        <v>Yes</v>
      </c>
      <c r="W473" s="5" t="str">
        <f>IFERROR(__xludf.DUMMYFUNCTION("""COMPUTED_VALUE"""),"Yes")</f>
        <v>Yes</v>
      </c>
      <c r="X473" s="5"/>
      <c r="Y473" s="5"/>
      <c r="Z473" s="5"/>
      <c r="AA473" s="5"/>
      <c r="AB473" s="5"/>
      <c r="AC473" s="5" t="str">
        <f>IFERROR(__xludf.DUMMYFUNCTION("""COMPUTED_VALUE"""),"Yes")</f>
        <v>Yes</v>
      </c>
      <c r="AD473" s="5"/>
      <c r="AE473" s="5"/>
      <c r="AF473" s="5"/>
      <c r="AG473" s="5"/>
      <c r="AH473" s="5"/>
      <c r="AI473" s="5"/>
      <c r="AJ473" s="5"/>
      <c r="AK473" s="5"/>
      <c r="AL473" s="5"/>
      <c r="AM473" s="5"/>
      <c r="AN473" s="5"/>
      <c r="AO473" s="5"/>
      <c r="AP473" s="5"/>
      <c r="AQ473" s="5"/>
      <c r="AR473" s="5"/>
      <c r="AS473" s="5"/>
      <c r="AT473" s="5"/>
      <c r="AU473" s="5"/>
      <c r="AV473" s="5"/>
      <c r="AW473" s="5"/>
      <c r="AX473" s="5"/>
      <c r="AY473" s="5"/>
    </row>
    <row r="474">
      <c r="A4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4" s="5">
        <f>IFERROR(__xludf.DUMMYFUNCTION("""COMPUTED_VALUE"""),500.0)</f>
        <v>500</v>
      </c>
      <c r="C474" s="5">
        <f>IFERROR(__xludf.DUMMYFUNCTION("""COMPUTED_VALUE"""),3011.0)</f>
        <v>3011</v>
      </c>
      <c r="D474" s="5" t="str">
        <f>IFERROR(__xludf.DUMMYFUNCTION("""COMPUTED_VALUE"""),"GoldenCrownBooster")</f>
        <v>GoldenCrownBooster</v>
      </c>
      <c r="E474" s="5" t="str">
        <f>IFERROR(__xludf.DUMMYFUNCTION("""COMPUTED_VALUE"""),"Yes")</f>
        <v>Yes</v>
      </c>
      <c r="F474" s="5" t="str">
        <f>IFERROR(__xludf.DUMMYFUNCTION("""COMPUTED_VALUE"""),"Yes")</f>
        <v>Yes</v>
      </c>
      <c r="G474" s="5" t="str">
        <f>IFERROR(__xludf.DUMMYFUNCTION("""COMPUTED_VALUE"""),"Yes")</f>
        <v>Yes</v>
      </c>
      <c r="H474" s="5" t="str">
        <f>IFERROR(__xludf.DUMMYFUNCTION("""COMPUTED_VALUE"""),"Yes")</f>
        <v>Yes</v>
      </c>
      <c r="I474" s="5" t="str">
        <f>IFERROR(__xludf.DUMMYFUNCTION("""COMPUTED_VALUE"""),"Yes")</f>
        <v>Yes</v>
      </c>
      <c r="J474" s="5" t="str">
        <f>IFERROR(__xludf.DUMMYFUNCTION("""COMPUTED_VALUE"""),"Yes")</f>
        <v>Yes</v>
      </c>
      <c r="K474" s="5" t="str">
        <f>IFERROR(__xludf.DUMMYFUNCTION("""COMPUTED_VALUE"""),"Yes")</f>
        <v>Yes</v>
      </c>
      <c r="L474" s="5" t="str">
        <f>IFERROR(__xludf.DUMMYFUNCTION("""COMPUTED_VALUE"""),"Yes")</f>
        <v>Yes</v>
      </c>
      <c r="M474" s="5" t="str">
        <f>IFERROR(__xludf.DUMMYFUNCTION("""COMPUTED_VALUE"""),"Yes")</f>
        <v>Yes</v>
      </c>
      <c r="N474" s="5" t="str">
        <f>IFERROR(__xludf.DUMMYFUNCTION("""COMPUTED_VALUE"""),"Yes")</f>
        <v>Yes</v>
      </c>
      <c r="O474" s="5" t="str">
        <f>IFERROR(__xludf.DUMMYFUNCTION("""COMPUTED_VALUE"""),"Yes")</f>
        <v>Yes</v>
      </c>
      <c r="P474" s="5" t="str">
        <f>IFERROR(__xludf.DUMMYFUNCTION("""COMPUTED_VALUE"""),"Yes")</f>
        <v>Yes</v>
      </c>
      <c r="Q474" s="5" t="str">
        <f>IFERROR(__xludf.DUMMYFUNCTION("""COMPUTED_VALUE"""),"Yes")</f>
        <v>Yes</v>
      </c>
      <c r="R474" s="5" t="str">
        <f>IFERROR(__xludf.DUMMYFUNCTION("""COMPUTED_VALUE"""),"Yes")</f>
        <v>Yes</v>
      </c>
      <c r="S474" s="5" t="str">
        <f>IFERROR(__xludf.DUMMYFUNCTION("""COMPUTED_VALUE"""),"Yes")</f>
        <v>Yes</v>
      </c>
      <c r="T474" s="5" t="str">
        <f>IFERROR(__xludf.DUMMYFUNCTION("""COMPUTED_VALUE"""),"Yes")</f>
        <v>Yes</v>
      </c>
      <c r="U474" s="5" t="str">
        <f>IFERROR(__xludf.DUMMYFUNCTION("""COMPUTED_VALUE"""),"Yes")</f>
        <v>Yes</v>
      </c>
      <c r="V474" s="5" t="str">
        <f>IFERROR(__xludf.DUMMYFUNCTION("""COMPUTED_VALUE"""),"Yes")</f>
        <v>Yes</v>
      </c>
      <c r="W474" s="5" t="str">
        <f>IFERROR(__xludf.DUMMYFUNCTION("""COMPUTED_VALUE"""),"Yes")</f>
        <v>Yes</v>
      </c>
      <c r="X474" s="5" t="str">
        <f>IFERROR(__xludf.DUMMYFUNCTION("""COMPUTED_VALUE"""),"Yes")</f>
        <v>Yes</v>
      </c>
      <c r="Y474" s="5" t="str">
        <f>IFERROR(__xludf.DUMMYFUNCTION("""COMPUTED_VALUE"""),"Yes")</f>
        <v>Yes</v>
      </c>
      <c r="Z474" s="5" t="str">
        <f>IFERROR(__xludf.DUMMYFUNCTION("""COMPUTED_VALUE"""),"No")</f>
        <v>No</v>
      </c>
      <c r="AA474" s="5" t="str">
        <f>IFERROR(__xludf.DUMMYFUNCTION("""COMPUTED_VALUE"""),"Yes")</f>
        <v>Yes</v>
      </c>
      <c r="AB474" s="5" t="str">
        <f>IFERROR(__xludf.DUMMYFUNCTION("""COMPUTED_VALUE"""),"Yes")</f>
        <v>Yes</v>
      </c>
      <c r="AC474" s="5" t="str">
        <f>IFERROR(__xludf.DUMMYFUNCTION("""COMPUTED_VALUE"""),"Yes")</f>
        <v>Yes</v>
      </c>
      <c r="AD474" s="5" t="str">
        <f>IFERROR(__xludf.DUMMYFUNCTION("""COMPUTED_VALUE"""),"Yes")</f>
        <v>Yes</v>
      </c>
      <c r="AE474" s="5" t="str">
        <f>IFERROR(__xludf.DUMMYFUNCTION("""COMPUTED_VALUE"""),"No")</f>
        <v>No</v>
      </c>
      <c r="AF474" s="5" t="str">
        <f>IFERROR(__xludf.DUMMYFUNCTION("""COMPUTED_VALUE"""),"Yes")</f>
        <v>Yes</v>
      </c>
      <c r="AG474" s="5" t="str">
        <f>IFERROR(__xludf.DUMMYFUNCTION("""COMPUTED_VALUE"""),"No")</f>
        <v>No</v>
      </c>
      <c r="AH474" s="5" t="str">
        <f>IFERROR(__xludf.DUMMYFUNCTION("""COMPUTED_VALUE"""),"No")</f>
        <v>No</v>
      </c>
      <c r="AI474" s="5" t="str">
        <f>IFERROR(__xludf.DUMMYFUNCTION("""COMPUTED_VALUE"""),"No")</f>
        <v>No</v>
      </c>
      <c r="AJ474" s="5" t="str">
        <f>IFERROR(__xludf.DUMMYFUNCTION("""COMPUTED_VALUE"""),"No")</f>
        <v>No</v>
      </c>
      <c r="AK474" s="5" t="str">
        <f>IFERROR(__xludf.DUMMYFUNCTION("""COMPUTED_VALUE"""),"No")</f>
        <v>No</v>
      </c>
      <c r="AL474" s="5" t="str">
        <f>IFERROR(__xludf.DUMMYFUNCTION("""COMPUTED_VALUE"""),"No")</f>
        <v>No</v>
      </c>
      <c r="AM474" s="5"/>
      <c r="AN474" s="5"/>
      <c r="AO474" s="5"/>
      <c r="AP474" s="5"/>
      <c r="AQ474" s="5"/>
      <c r="AR474" s="5"/>
      <c r="AS474" s="5"/>
      <c r="AT474" s="5"/>
      <c r="AU474" s="5"/>
      <c r="AV474" s="5"/>
      <c r="AW474" s="5"/>
      <c r="AX474" s="5"/>
      <c r="AY474" s="5"/>
    </row>
    <row r="475">
      <c r="A4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5" s="5">
        <f>IFERROR(__xludf.DUMMYFUNCTION("""COMPUTED_VALUE"""),501.0)</f>
        <v>501</v>
      </c>
      <c r="C475" s="5">
        <f>IFERROR(__xludf.DUMMYFUNCTION("""COMPUTED_VALUE"""),3012.0)</f>
        <v>3012</v>
      </c>
      <c r="D475" s="5" t="str">
        <f>IFERROR(__xludf.DUMMYFUNCTION("""COMPUTED_VALUE"""),"VeryHot5Booster")</f>
        <v>VeryHot5Booster</v>
      </c>
      <c r="E475" s="5" t="str">
        <f>IFERROR(__xludf.DUMMYFUNCTION("""COMPUTED_VALUE"""),"Yes")</f>
        <v>Yes</v>
      </c>
      <c r="F475" s="5" t="str">
        <f>IFERROR(__xludf.DUMMYFUNCTION("""COMPUTED_VALUE"""),"Yes")</f>
        <v>Yes</v>
      </c>
      <c r="G475" s="5" t="str">
        <f>IFERROR(__xludf.DUMMYFUNCTION("""COMPUTED_VALUE"""),"Yes")</f>
        <v>Yes</v>
      </c>
      <c r="H475" s="5" t="str">
        <f>IFERROR(__xludf.DUMMYFUNCTION("""COMPUTED_VALUE"""),"Yes")</f>
        <v>Yes</v>
      </c>
      <c r="I475" s="5" t="str">
        <f>IFERROR(__xludf.DUMMYFUNCTION("""COMPUTED_VALUE"""),"Yes")</f>
        <v>Yes</v>
      </c>
      <c r="J475" s="5" t="str">
        <f>IFERROR(__xludf.DUMMYFUNCTION("""COMPUTED_VALUE"""),"Yes")</f>
        <v>Yes</v>
      </c>
      <c r="K475" s="5" t="str">
        <f>IFERROR(__xludf.DUMMYFUNCTION("""COMPUTED_VALUE"""),"Yes")</f>
        <v>Yes</v>
      </c>
      <c r="L475" s="5" t="str">
        <f>IFERROR(__xludf.DUMMYFUNCTION("""COMPUTED_VALUE"""),"Yes")</f>
        <v>Yes</v>
      </c>
      <c r="M475" s="5" t="str">
        <f>IFERROR(__xludf.DUMMYFUNCTION("""COMPUTED_VALUE"""),"Yes")</f>
        <v>Yes</v>
      </c>
      <c r="N475" s="5" t="str">
        <f>IFERROR(__xludf.DUMMYFUNCTION("""COMPUTED_VALUE"""),"Yes")</f>
        <v>Yes</v>
      </c>
      <c r="O475" s="5" t="str">
        <f>IFERROR(__xludf.DUMMYFUNCTION("""COMPUTED_VALUE"""),"Yes")</f>
        <v>Yes</v>
      </c>
      <c r="P475" s="5" t="str">
        <f>IFERROR(__xludf.DUMMYFUNCTION("""COMPUTED_VALUE"""),"Yes")</f>
        <v>Yes</v>
      </c>
      <c r="Q475" s="5" t="str">
        <f>IFERROR(__xludf.DUMMYFUNCTION("""COMPUTED_VALUE"""),"Yes")</f>
        <v>Yes</v>
      </c>
      <c r="R475" s="5" t="str">
        <f>IFERROR(__xludf.DUMMYFUNCTION("""COMPUTED_VALUE"""),"Yes")</f>
        <v>Yes</v>
      </c>
      <c r="S475" s="5" t="str">
        <f>IFERROR(__xludf.DUMMYFUNCTION("""COMPUTED_VALUE"""),"Yes")</f>
        <v>Yes</v>
      </c>
      <c r="T475" s="5" t="str">
        <f>IFERROR(__xludf.DUMMYFUNCTION("""COMPUTED_VALUE"""),"Yes")</f>
        <v>Yes</v>
      </c>
      <c r="U475" s="5" t="str">
        <f>IFERROR(__xludf.DUMMYFUNCTION("""COMPUTED_VALUE"""),"Yes")</f>
        <v>Yes</v>
      </c>
      <c r="V475" s="5" t="str">
        <f>IFERROR(__xludf.DUMMYFUNCTION("""COMPUTED_VALUE"""),"Yes")</f>
        <v>Yes</v>
      </c>
      <c r="W475" s="5" t="str">
        <f>IFERROR(__xludf.DUMMYFUNCTION("""COMPUTED_VALUE"""),"Yes")</f>
        <v>Yes</v>
      </c>
      <c r="X475" s="5" t="str">
        <f>IFERROR(__xludf.DUMMYFUNCTION("""COMPUTED_VALUE"""),"Yes")</f>
        <v>Yes</v>
      </c>
      <c r="Y475" s="5" t="str">
        <f>IFERROR(__xludf.DUMMYFUNCTION("""COMPUTED_VALUE"""),"Yes")</f>
        <v>Yes</v>
      </c>
      <c r="Z475" s="5" t="str">
        <f>IFERROR(__xludf.DUMMYFUNCTION("""COMPUTED_VALUE"""),"No")</f>
        <v>No</v>
      </c>
      <c r="AA475" s="5" t="str">
        <f>IFERROR(__xludf.DUMMYFUNCTION("""COMPUTED_VALUE"""),"Yes")</f>
        <v>Yes</v>
      </c>
      <c r="AB475" s="5" t="str">
        <f>IFERROR(__xludf.DUMMYFUNCTION("""COMPUTED_VALUE"""),"Yes")</f>
        <v>Yes</v>
      </c>
      <c r="AC475" s="5" t="str">
        <f>IFERROR(__xludf.DUMMYFUNCTION("""COMPUTED_VALUE"""),"Yes")</f>
        <v>Yes</v>
      </c>
      <c r="AD475" s="5" t="str">
        <f>IFERROR(__xludf.DUMMYFUNCTION("""COMPUTED_VALUE"""),"Yes")</f>
        <v>Yes</v>
      </c>
      <c r="AE475" s="5" t="str">
        <f>IFERROR(__xludf.DUMMYFUNCTION("""COMPUTED_VALUE"""),"No")</f>
        <v>No</v>
      </c>
      <c r="AF475" s="5" t="str">
        <f>IFERROR(__xludf.DUMMYFUNCTION("""COMPUTED_VALUE"""),"Yes")</f>
        <v>Yes</v>
      </c>
      <c r="AG475" s="5" t="str">
        <f>IFERROR(__xludf.DUMMYFUNCTION("""COMPUTED_VALUE"""),"No")</f>
        <v>No</v>
      </c>
      <c r="AH475" s="5" t="str">
        <f>IFERROR(__xludf.DUMMYFUNCTION("""COMPUTED_VALUE"""),"No")</f>
        <v>No</v>
      </c>
      <c r="AI475" s="5" t="str">
        <f>IFERROR(__xludf.DUMMYFUNCTION("""COMPUTED_VALUE"""),"No")</f>
        <v>No</v>
      </c>
      <c r="AJ475" s="5" t="str">
        <f>IFERROR(__xludf.DUMMYFUNCTION("""COMPUTED_VALUE"""),"No")</f>
        <v>No</v>
      </c>
      <c r="AK475" s="5" t="str">
        <f>IFERROR(__xludf.DUMMYFUNCTION("""COMPUTED_VALUE"""),"No")</f>
        <v>No</v>
      </c>
      <c r="AL475" s="5" t="str">
        <f>IFERROR(__xludf.DUMMYFUNCTION("""COMPUTED_VALUE"""),"No")</f>
        <v>No</v>
      </c>
      <c r="AM475" s="5"/>
      <c r="AN475" s="5"/>
      <c r="AO475" s="5"/>
      <c r="AP475" s="5"/>
      <c r="AQ475" s="5"/>
      <c r="AR475" s="5"/>
      <c r="AS475" s="5"/>
      <c r="AT475" s="5"/>
      <c r="AU475" s="5"/>
      <c r="AV475" s="5"/>
      <c r="AW475" s="5"/>
      <c r="AX475" s="5"/>
      <c r="AY475" s="5"/>
    </row>
    <row r="476">
      <c r="A4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6" s="5">
        <f>IFERROR(__xludf.DUMMYFUNCTION("""COMPUTED_VALUE"""),502.0)</f>
        <v>502</v>
      </c>
      <c r="C476" s="5">
        <f>IFERROR(__xludf.DUMMYFUNCTION("""COMPUTED_VALUE"""),3016.0)</f>
        <v>3016</v>
      </c>
      <c r="D476" s="5" t="str">
        <f>IFERROR(__xludf.DUMMYFUNCTION("""COMPUTED_VALUE"""),"EpicClover40Booster")</f>
        <v>EpicClover40Booster</v>
      </c>
      <c r="E476" s="5" t="str">
        <f>IFERROR(__xludf.DUMMYFUNCTION("""COMPUTED_VALUE"""),"Yes")</f>
        <v>Yes</v>
      </c>
      <c r="F476" s="5" t="str">
        <f>IFERROR(__xludf.DUMMYFUNCTION("""COMPUTED_VALUE"""),"Yes")</f>
        <v>Yes</v>
      </c>
      <c r="G476" s="5" t="str">
        <f>IFERROR(__xludf.DUMMYFUNCTION("""COMPUTED_VALUE"""),"Yes")</f>
        <v>Yes</v>
      </c>
      <c r="H476" s="5" t="str">
        <f>IFERROR(__xludf.DUMMYFUNCTION("""COMPUTED_VALUE"""),"Yes")</f>
        <v>Yes</v>
      </c>
      <c r="I476" s="5" t="str">
        <f>IFERROR(__xludf.DUMMYFUNCTION("""COMPUTED_VALUE"""),"Yes")</f>
        <v>Yes</v>
      </c>
      <c r="J476" s="5" t="str">
        <f>IFERROR(__xludf.DUMMYFUNCTION("""COMPUTED_VALUE"""),"Yes")</f>
        <v>Yes</v>
      </c>
      <c r="K476" s="5" t="str">
        <f>IFERROR(__xludf.DUMMYFUNCTION("""COMPUTED_VALUE"""),"Yes")</f>
        <v>Yes</v>
      </c>
      <c r="L476" s="5" t="str">
        <f>IFERROR(__xludf.DUMMYFUNCTION("""COMPUTED_VALUE"""),"Yes")</f>
        <v>Yes</v>
      </c>
      <c r="M476" s="5" t="str">
        <f>IFERROR(__xludf.DUMMYFUNCTION("""COMPUTED_VALUE"""),"Yes")</f>
        <v>Yes</v>
      </c>
      <c r="N476" s="5" t="str">
        <f>IFERROR(__xludf.DUMMYFUNCTION("""COMPUTED_VALUE"""),"Yes")</f>
        <v>Yes</v>
      </c>
      <c r="O476" s="5" t="str">
        <f>IFERROR(__xludf.DUMMYFUNCTION("""COMPUTED_VALUE"""),"Yes")</f>
        <v>Yes</v>
      </c>
      <c r="P476" s="5" t="str">
        <f>IFERROR(__xludf.DUMMYFUNCTION("""COMPUTED_VALUE"""),"Yes")</f>
        <v>Yes</v>
      </c>
      <c r="Q476" s="5" t="str">
        <f>IFERROR(__xludf.DUMMYFUNCTION("""COMPUTED_VALUE"""),"Yes")</f>
        <v>Yes</v>
      </c>
      <c r="R476" s="5" t="str">
        <f>IFERROR(__xludf.DUMMYFUNCTION("""COMPUTED_VALUE"""),"Yes")</f>
        <v>Yes</v>
      </c>
      <c r="S476" s="5" t="str">
        <f>IFERROR(__xludf.DUMMYFUNCTION("""COMPUTED_VALUE"""),"Yes")</f>
        <v>Yes</v>
      </c>
      <c r="T476" s="5" t="str">
        <f>IFERROR(__xludf.DUMMYFUNCTION("""COMPUTED_VALUE"""),"Yes")</f>
        <v>Yes</v>
      </c>
      <c r="U476" s="5" t="str">
        <f>IFERROR(__xludf.DUMMYFUNCTION("""COMPUTED_VALUE"""),"Yes")</f>
        <v>Yes</v>
      </c>
      <c r="V476" s="5" t="str">
        <f>IFERROR(__xludf.DUMMYFUNCTION("""COMPUTED_VALUE"""),"Yes")</f>
        <v>Yes</v>
      </c>
      <c r="W476" s="5" t="str">
        <f>IFERROR(__xludf.DUMMYFUNCTION("""COMPUTED_VALUE"""),"Yes")</f>
        <v>Yes</v>
      </c>
      <c r="X476" s="5" t="str">
        <f>IFERROR(__xludf.DUMMYFUNCTION("""COMPUTED_VALUE"""),"Yes")</f>
        <v>Yes</v>
      </c>
      <c r="Y476" s="5" t="str">
        <f>IFERROR(__xludf.DUMMYFUNCTION("""COMPUTED_VALUE"""),"Yes")</f>
        <v>Yes</v>
      </c>
      <c r="Z476" s="5" t="str">
        <f>IFERROR(__xludf.DUMMYFUNCTION("""COMPUTED_VALUE"""),"No")</f>
        <v>No</v>
      </c>
      <c r="AA476" s="5" t="str">
        <f>IFERROR(__xludf.DUMMYFUNCTION("""COMPUTED_VALUE"""),"Yes")</f>
        <v>Yes</v>
      </c>
      <c r="AB476" s="5" t="str">
        <f>IFERROR(__xludf.DUMMYFUNCTION("""COMPUTED_VALUE"""),"Yes")</f>
        <v>Yes</v>
      </c>
      <c r="AC476" s="5" t="str">
        <f>IFERROR(__xludf.DUMMYFUNCTION("""COMPUTED_VALUE"""),"Yes")</f>
        <v>Yes</v>
      </c>
      <c r="AD476" s="5" t="str">
        <f>IFERROR(__xludf.DUMMYFUNCTION("""COMPUTED_VALUE"""),"Yes")</f>
        <v>Yes</v>
      </c>
      <c r="AE476" s="5" t="str">
        <f>IFERROR(__xludf.DUMMYFUNCTION("""COMPUTED_VALUE"""),"No")</f>
        <v>No</v>
      </c>
      <c r="AF476" s="5" t="str">
        <f>IFERROR(__xludf.DUMMYFUNCTION("""COMPUTED_VALUE"""),"Yes")</f>
        <v>Yes</v>
      </c>
      <c r="AG476" s="5" t="str">
        <f>IFERROR(__xludf.DUMMYFUNCTION("""COMPUTED_VALUE"""),"No")</f>
        <v>No</v>
      </c>
      <c r="AH476" s="5" t="str">
        <f>IFERROR(__xludf.DUMMYFUNCTION("""COMPUTED_VALUE"""),"No")</f>
        <v>No</v>
      </c>
      <c r="AI476" s="5" t="str">
        <f>IFERROR(__xludf.DUMMYFUNCTION("""COMPUTED_VALUE"""),"No")</f>
        <v>No</v>
      </c>
      <c r="AJ476" s="5" t="str">
        <f>IFERROR(__xludf.DUMMYFUNCTION("""COMPUTED_VALUE"""),"No")</f>
        <v>No</v>
      </c>
      <c r="AK476" s="5" t="str">
        <f>IFERROR(__xludf.DUMMYFUNCTION("""COMPUTED_VALUE"""),"No")</f>
        <v>No</v>
      </c>
      <c r="AL476" s="5" t="str">
        <f>IFERROR(__xludf.DUMMYFUNCTION("""COMPUTED_VALUE"""),"No")</f>
        <v>No</v>
      </c>
      <c r="AM476" s="5"/>
      <c r="AN476" s="5"/>
      <c r="AO476" s="5"/>
      <c r="AP476" s="5"/>
      <c r="AQ476" s="5"/>
      <c r="AR476" s="5"/>
      <c r="AS476" s="5"/>
      <c r="AT476" s="5"/>
      <c r="AU476" s="5"/>
      <c r="AV476" s="5"/>
      <c r="AW476" s="5"/>
      <c r="AX476" s="5"/>
      <c r="AY476" s="5"/>
    </row>
    <row r="477">
      <c r="A4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77" s="5">
        <f>IFERROR(__xludf.DUMMYFUNCTION("""COMPUTED_VALUE"""),506.0)</f>
        <v>506</v>
      </c>
      <c r="C477" s="5">
        <f>IFERROR(__xludf.DUMMYFUNCTION("""COMPUTED_VALUE"""),180016.0)</f>
        <v>180016</v>
      </c>
      <c r="D477" s="5" t="str">
        <f>IFERROR(__xludf.DUMMYFUNCTION("""COMPUTED_VALUE"""),"RedstoneMultiCrown10")</f>
        <v>RedstoneMultiCrown10</v>
      </c>
      <c r="E477" s="5" t="str">
        <f>IFERROR(__xludf.DUMMYFUNCTION("""COMPUTED_VALUE"""),"Yes")</f>
        <v>Yes</v>
      </c>
      <c r="F477" s="5" t="str">
        <f>IFERROR(__xludf.DUMMYFUNCTION("""COMPUTED_VALUE"""),"Yes")</f>
        <v>Yes</v>
      </c>
      <c r="G477" s="5" t="str">
        <f>IFERROR(__xludf.DUMMYFUNCTION("""COMPUTED_VALUE"""),"Yes")</f>
        <v>Yes</v>
      </c>
      <c r="H477" s="5" t="str">
        <f>IFERROR(__xludf.DUMMYFUNCTION("""COMPUTED_VALUE"""),"Yes")</f>
        <v>Yes</v>
      </c>
      <c r="I477" s="5" t="str">
        <f>IFERROR(__xludf.DUMMYFUNCTION("""COMPUTED_VALUE"""),"Yes")</f>
        <v>Yes</v>
      </c>
      <c r="J477" s="5" t="str">
        <f>IFERROR(__xludf.DUMMYFUNCTION("""COMPUTED_VALUE"""),"Yes")</f>
        <v>Yes</v>
      </c>
      <c r="K477" s="5" t="str">
        <f>IFERROR(__xludf.DUMMYFUNCTION("""COMPUTED_VALUE"""),"Yes")</f>
        <v>Yes</v>
      </c>
      <c r="L477" s="5" t="str">
        <f>IFERROR(__xludf.DUMMYFUNCTION("""COMPUTED_VALUE"""),"Yes")</f>
        <v>Yes</v>
      </c>
      <c r="M477" s="5" t="str">
        <f>IFERROR(__xludf.DUMMYFUNCTION("""COMPUTED_VALUE"""),"Yes")</f>
        <v>Yes</v>
      </c>
      <c r="N477" s="5" t="str">
        <f>IFERROR(__xludf.DUMMYFUNCTION("""COMPUTED_VALUE"""),"Yes")</f>
        <v>Yes</v>
      </c>
      <c r="O477" s="5" t="str">
        <f>IFERROR(__xludf.DUMMYFUNCTION("""COMPUTED_VALUE"""),"Yes")</f>
        <v>Yes</v>
      </c>
      <c r="P477" s="5" t="str">
        <f>IFERROR(__xludf.DUMMYFUNCTION("""COMPUTED_VALUE"""),"Yes")</f>
        <v>Yes</v>
      </c>
      <c r="Q477" s="5" t="str">
        <f>IFERROR(__xludf.DUMMYFUNCTION("""COMPUTED_VALUE"""),"Yes")</f>
        <v>Yes</v>
      </c>
      <c r="R477" s="5" t="str">
        <f>IFERROR(__xludf.DUMMYFUNCTION("""COMPUTED_VALUE"""),"Yes")</f>
        <v>Yes</v>
      </c>
      <c r="S477" s="5" t="str">
        <f>IFERROR(__xludf.DUMMYFUNCTION("""COMPUTED_VALUE"""),"Yes")</f>
        <v>Yes</v>
      </c>
      <c r="T477" s="5" t="str">
        <f>IFERROR(__xludf.DUMMYFUNCTION("""COMPUTED_VALUE"""),"Yes")</f>
        <v>Yes</v>
      </c>
      <c r="U477" s="5" t="str">
        <f>IFERROR(__xludf.DUMMYFUNCTION("""COMPUTED_VALUE"""),"Yes")</f>
        <v>Yes</v>
      </c>
      <c r="V477" s="5" t="str">
        <f>IFERROR(__xludf.DUMMYFUNCTION("""COMPUTED_VALUE"""),"Yes")</f>
        <v>Yes</v>
      </c>
      <c r="W477" s="5" t="str">
        <f>IFERROR(__xludf.DUMMYFUNCTION("""COMPUTED_VALUE"""),"Yes")</f>
        <v>Yes</v>
      </c>
      <c r="X477" s="5"/>
      <c r="Y477" s="5" t="str">
        <f>IFERROR(__xludf.DUMMYFUNCTION("""COMPUTED_VALUE"""),"Yes")</f>
        <v>Yes</v>
      </c>
      <c r="Z477" s="5"/>
      <c r="AA477" s="5"/>
      <c r="AB477" s="5"/>
      <c r="AC477" s="5" t="str">
        <f>IFERROR(__xludf.DUMMYFUNCTION("""COMPUTED_VALUE"""),"Yes")</f>
        <v>Yes</v>
      </c>
      <c r="AD477" s="5"/>
      <c r="AE477" s="5"/>
      <c r="AF477" s="5"/>
      <c r="AG477" s="5"/>
      <c r="AH477" s="5"/>
      <c r="AI477" s="5"/>
      <c r="AJ477" s="5"/>
      <c r="AK477" s="5"/>
      <c r="AL477" s="5"/>
      <c r="AM477" s="5"/>
      <c r="AN477" s="5"/>
      <c r="AO477" s="5"/>
      <c r="AP477" s="5"/>
      <c r="AQ477" s="5"/>
      <c r="AR477" s="5"/>
      <c r="AS477" s="5"/>
      <c r="AT477" s="5"/>
      <c r="AU477" s="5"/>
      <c r="AV477" s="5"/>
      <c r="AW477" s="5"/>
      <c r="AX477" s="5"/>
      <c r="AY477" s="5"/>
    </row>
    <row r="478">
      <c r="A47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78" s="5">
        <f>IFERROR(__xludf.DUMMYFUNCTION("""COMPUTED_VALUE"""),507.0)</f>
        <v>507</v>
      </c>
      <c r="C478" s="5">
        <f>IFERROR(__xludf.DUMMYFUNCTION("""COMPUTED_VALUE"""),4010.0)</f>
        <v>4010</v>
      </c>
      <c r="D478" s="5" t="str">
        <f>IFERROR(__xludf.DUMMYFUNCTION("""COMPUTED_VALUE"""),"BetwoonHot5")</f>
        <v>BetwoonHot5</v>
      </c>
      <c r="E478" s="5" t="str">
        <f>IFERROR(__xludf.DUMMYFUNCTION("""COMPUTED_VALUE"""),"Yes")</f>
        <v>Yes</v>
      </c>
      <c r="F478" s="5" t="str">
        <f>IFERROR(__xludf.DUMMYFUNCTION("""COMPUTED_VALUE"""),"Yes")</f>
        <v>Yes</v>
      </c>
      <c r="G478" s="5" t="str">
        <f>IFERROR(__xludf.DUMMYFUNCTION("""COMPUTED_VALUE"""),"No")</f>
        <v>No</v>
      </c>
      <c r="H478" s="5" t="str">
        <f>IFERROR(__xludf.DUMMYFUNCTION("""COMPUTED_VALUE"""),"Yes")</f>
        <v>Yes</v>
      </c>
      <c r="I478" s="5" t="str">
        <f>IFERROR(__xludf.DUMMYFUNCTION("""COMPUTED_VALUE"""),"Yes")</f>
        <v>Yes</v>
      </c>
      <c r="J478" s="5" t="str">
        <f>IFERROR(__xludf.DUMMYFUNCTION("""COMPUTED_VALUE"""),"Yes")</f>
        <v>Yes</v>
      </c>
      <c r="K478" s="5" t="str">
        <f>IFERROR(__xludf.DUMMYFUNCTION("""COMPUTED_VALUE"""),"Yes")</f>
        <v>Yes</v>
      </c>
      <c r="L478" s="5" t="str">
        <f>IFERROR(__xludf.DUMMYFUNCTION("""COMPUTED_VALUE"""),"Yes")</f>
        <v>Yes</v>
      </c>
      <c r="M478" s="5" t="str">
        <f>IFERROR(__xludf.DUMMYFUNCTION("""COMPUTED_VALUE"""),"Yes")</f>
        <v>Yes</v>
      </c>
      <c r="N478" s="5" t="str">
        <f>IFERROR(__xludf.DUMMYFUNCTION("""COMPUTED_VALUE"""),"Yes")</f>
        <v>Yes</v>
      </c>
      <c r="O478" s="5" t="str">
        <f>IFERROR(__xludf.DUMMYFUNCTION("""COMPUTED_VALUE"""),"Yes")</f>
        <v>Yes</v>
      </c>
      <c r="P478" s="5" t="str">
        <f>IFERROR(__xludf.DUMMYFUNCTION("""COMPUTED_VALUE"""),"Yes")</f>
        <v>Yes</v>
      </c>
      <c r="Q478" s="5" t="str">
        <f>IFERROR(__xludf.DUMMYFUNCTION("""COMPUTED_VALUE"""),"Yes")</f>
        <v>Yes</v>
      </c>
      <c r="R478" s="5" t="str">
        <f>IFERROR(__xludf.DUMMYFUNCTION("""COMPUTED_VALUE"""),"Yes")</f>
        <v>Yes</v>
      </c>
      <c r="S478" s="5" t="str">
        <f>IFERROR(__xludf.DUMMYFUNCTION("""COMPUTED_VALUE"""),"Yes")</f>
        <v>Yes</v>
      </c>
      <c r="T478" s="5" t="str">
        <f>IFERROR(__xludf.DUMMYFUNCTION("""COMPUTED_VALUE"""),"No")</f>
        <v>No</v>
      </c>
      <c r="U478" s="5" t="str">
        <f>IFERROR(__xludf.DUMMYFUNCTION("""COMPUTED_VALUE"""),"No")</f>
        <v>No</v>
      </c>
      <c r="V478" s="5" t="str">
        <f>IFERROR(__xludf.DUMMYFUNCTION("""COMPUTED_VALUE"""),"No")</f>
        <v>No</v>
      </c>
      <c r="W478" s="5" t="str">
        <f>IFERROR(__xludf.DUMMYFUNCTION("""COMPUTED_VALUE"""),"No")</f>
        <v>No</v>
      </c>
      <c r="X478" s="5" t="str">
        <f>IFERROR(__xludf.DUMMYFUNCTION("""COMPUTED_VALUE"""),"No")</f>
        <v>No</v>
      </c>
      <c r="Y478" s="5" t="str">
        <f>IFERROR(__xludf.DUMMYFUNCTION("""COMPUTED_VALUE"""),"No")</f>
        <v>No</v>
      </c>
      <c r="Z478" s="5" t="str">
        <f>IFERROR(__xludf.DUMMYFUNCTION("""COMPUTED_VALUE"""),"No")</f>
        <v>No</v>
      </c>
      <c r="AA478" s="5" t="str">
        <f>IFERROR(__xludf.DUMMYFUNCTION("""COMPUTED_VALUE"""),"Yes")</f>
        <v>Yes</v>
      </c>
      <c r="AB478" s="5" t="str">
        <f>IFERROR(__xludf.DUMMYFUNCTION("""COMPUTED_VALUE"""),"No")</f>
        <v>No</v>
      </c>
      <c r="AC478" s="5" t="str">
        <f>IFERROR(__xludf.DUMMYFUNCTION("""COMPUTED_VALUE"""),"No")</f>
        <v>No</v>
      </c>
      <c r="AD478" s="5" t="str">
        <f>IFERROR(__xludf.DUMMYFUNCTION("""COMPUTED_VALUE"""),"No")</f>
        <v>No</v>
      </c>
      <c r="AE478" s="5" t="str">
        <f>IFERROR(__xludf.DUMMYFUNCTION("""COMPUTED_VALUE"""),"No")</f>
        <v>No</v>
      </c>
      <c r="AF478" s="5" t="str">
        <f>IFERROR(__xludf.DUMMYFUNCTION("""COMPUTED_VALUE"""),"Yes")</f>
        <v>Yes</v>
      </c>
      <c r="AG478" s="5" t="str">
        <f>IFERROR(__xludf.DUMMYFUNCTION("""COMPUTED_VALUE"""),"No")</f>
        <v>No</v>
      </c>
      <c r="AH478" s="5" t="str">
        <f>IFERROR(__xludf.DUMMYFUNCTION("""COMPUTED_VALUE"""),"Yes")</f>
        <v>Yes</v>
      </c>
      <c r="AI478" s="5" t="str">
        <f>IFERROR(__xludf.DUMMYFUNCTION("""COMPUTED_VALUE"""),"No")</f>
        <v>No</v>
      </c>
      <c r="AJ478" s="5" t="str">
        <f>IFERROR(__xludf.DUMMYFUNCTION("""COMPUTED_VALUE"""),"No")</f>
        <v>No</v>
      </c>
      <c r="AK478" s="5" t="str">
        <f>IFERROR(__xludf.DUMMYFUNCTION("""COMPUTED_VALUE"""),"No")</f>
        <v>No</v>
      </c>
      <c r="AL478" s="5" t="str">
        <f>IFERROR(__xludf.DUMMYFUNCTION("""COMPUTED_VALUE"""),"No")</f>
        <v>No</v>
      </c>
      <c r="AM478" s="5"/>
      <c r="AN478" s="5"/>
      <c r="AO478" s="5"/>
      <c r="AP478" s="5"/>
      <c r="AQ478" s="5"/>
      <c r="AR478" s="5"/>
      <c r="AS478" s="5"/>
      <c r="AT478" s="5"/>
      <c r="AU478" s="5"/>
      <c r="AV478" s="5"/>
      <c r="AW478" s="5"/>
      <c r="AX478" s="5"/>
      <c r="AY478" s="5"/>
    </row>
    <row r="479">
      <c r="A4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79" s="5">
        <f>IFERROR(__xludf.DUMMYFUNCTION("""COMPUTED_VALUE"""),508.0)</f>
        <v>508</v>
      </c>
      <c r="C479" s="5">
        <f>IFERROR(__xludf.DUMMYFUNCTION("""COMPUTED_VALUE"""),3009.0)</f>
        <v>3009</v>
      </c>
      <c r="D479" s="5" t="str">
        <f>IFERROR(__xludf.DUMMYFUNCTION("""COMPUTED_VALUE"""),"GoldenCrownExtreme")</f>
        <v>GoldenCrownExtreme</v>
      </c>
      <c r="E479" s="5" t="str">
        <f>IFERROR(__xludf.DUMMYFUNCTION("""COMPUTED_VALUE"""),"Yes")</f>
        <v>Yes</v>
      </c>
      <c r="F479" s="5" t="str">
        <f>IFERROR(__xludf.DUMMYFUNCTION("""COMPUTED_VALUE"""),"Yes")</f>
        <v>Yes</v>
      </c>
      <c r="G479" s="5" t="str">
        <f>IFERROR(__xludf.DUMMYFUNCTION("""COMPUTED_VALUE"""),"Yes")</f>
        <v>Yes</v>
      </c>
      <c r="H479" s="5" t="str">
        <f>IFERROR(__xludf.DUMMYFUNCTION("""COMPUTED_VALUE"""),"Yes")</f>
        <v>Yes</v>
      </c>
      <c r="I479" s="5" t="str">
        <f>IFERROR(__xludf.DUMMYFUNCTION("""COMPUTED_VALUE"""),"Yes")</f>
        <v>Yes</v>
      </c>
      <c r="J479" s="5" t="str">
        <f>IFERROR(__xludf.DUMMYFUNCTION("""COMPUTED_VALUE"""),"Yes")</f>
        <v>Yes</v>
      </c>
      <c r="K479" s="5" t="str">
        <f>IFERROR(__xludf.DUMMYFUNCTION("""COMPUTED_VALUE"""),"Yes")</f>
        <v>Yes</v>
      </c>
      <c r="L479" s="5" t="str">
        <f>IFERROR(__xludf.DUMMYFUNCTION("""COMPUTED_VALUE"""),"Yes")</f>
        <v>Yes</v>
      </c>
      <c r="M479" s="5" t="str">
        <f>IFERROR(__xludf.DUMMYFUNCTION("""COMPUTED_VALUE"""),"Yes")</f>
        <v>Yes</v>
      </c>
      <c r="N479" s="5" t="str">
        <f>IFERROR(__xludf.DUMMYFUNCTION("""COMPUTED_VALUE"""),"Yes")</f>
        <v>Yes</v>
      </c>
      <c r="O479" s="5" t="str">
        <f>IFERROR(__xludf.DUMMYFUNCTION("""COMPUTED_VALUE"""),"Yes")</f>
        <v>Yes</v>
      </c>
      <c r="P479" s="5" t="str">
        <f>IFERROR(__xludf.DUMMYFUNCTION("""COMPUTED_VALUE"""),"Yes")</f>
        <v>Yes</v>
      </c>
      <c r="Q479" s="5" t="str">
        <f>IFERROR(__xludf.DUMMYFUNCTION("""COMPUTED_VALUE"""),"Yes")</f>
        <v>Yes</v>
      </c>
      <c r="R479" s="5" t="str">
        <f>IFERROR(__xludf.DUMMYFUNCTION("""COMPUTED_VALUE"""),"Yes")</f>
        <v>Yes</v>
      </c>
      <c r="S479" s="5" t="str">
        <f>IFERROR(__xludf.DUMMYFUNCTION("""COMPUTED_VALUE"""),"Yes")</f>
        <v>Yes</v>
      </c>
      <c r="T479" s="5" t="str">
        <f>IFERROR(__xludf.DUMMYFUNCTION("""COMPUTED_VALUE"""),"Yes")</f>
        <v>Yes</v>
      </c>
      <c r="U479" s="5" t="str">
        <f>IFERROR(__xludf.DUMMYFUNCTION("""COMPUTED_VALUE"""),"Yes")</f>
        <v>Yes</v>
      </c>
      <c r="V479" s="5" t="str">
        <f>IFERROR(__xludf.DUMMYFUNCTION("""COMPUTED_VALUE"""),"Yes")</f>
        <v>Yes</v>
      </c>
      <c r="W479" s="5" t="str">
        <f>IFERROR(__xludf.DUMMYFUNCTION("""COMPUTED_VALUE"""),"Yes")</f>
        <v>Yes</v>
      </c>
      <c r="X479" s="5" t="str">
        <f>IFERROR(__xludf.DUMMYFUNCTION("""COMPUTED_VALUE"""),"Yes")</f>
        <v>Yes</v>
      </c>
      <c r="Y479" s="5" t="str">
        <f>IFERROR(__xludf.DUMMYFUNCTION("""COMPUTED_VALUE"""),"Yes")</f>
        <v>Yes</v>
      </c>
      <c r="Z479" s="5" t="str">
        <f>IFERROR(__xludf.DUMMYFUNCTION("""COMPUTED_VALUE"""),"Yes")</f>
        <v>Yes</v>
      </c>
      <c r="AA479" s="5" t="str">
        <f>IFERROR(__xludf.DUMMYFUNCTION("""COMPUTED_VALUE"""),"Yes")</f>
        <v>Yes</v>
      </c>
      <c r="AB479" s="5" t="str">
        <f>IFERROR(__xludf.DUMMYFUNCTION("""COMPUTED_VALUE"""),"Yes")</f>
        <v>Yes</v>
      </c>
      <c r="AC479" s="5" t="str">
        <f>IFERROR(__xludf.DUMMYFUNCTION("""COMPUTED_VALUE"""),"Yes")</f>
        <v>Yes</v>
      </c>
      <c r="AD479" s="5" t="str">
        <f>IFERROR(__xludf.DUMMYFUNCTION("""COMPUTED_VALUE"""),"Yes")</f>
        <v>Yes</v>
      </c>
      <c r="AE479" s="5" t="str">
        <f>IFERROR(__xludf.DUMMYFUNCTION("""COMPUTED_VALUE"""),"Yes")</f>
        <v>Yes</v>
      </c>
      <c r="AF479" s="5" t="str">
        <f>IFERROR(__xludf.DUMMYFUNCTION("""COMPUTED_VALUE"""),"Yes")</f>
        <v>Yes</v>
      </c>
      <c r="AG479" s="5" t="str">
        <f>IFERROR(__xludf.DUMMYFUNCTION("""COMPUTED_VALUE"""),"Yes")</f>
        <v>Yes</v>
      </c>
      <c r="AH479" s="5" t="str">
        <f>IFERROR(__xludf.DUMMYFUNCTION("""COMPUTED_VALUE"""),"Yes")</f>
        <v>Yes</v>
      </c>
      <c r="AI479" s="5" t="str">
        <f>IFERROR(__xludf.DUMMYFUNCTION("""COMPUTED_VALUE"""),"No")</f>
        <v>No</v>
      </c>
      <c r="AJ479" s="5" t="str">
        <f>IFERROR(__xludf.DUMMYFUNCTION("""COMPUTED_VALUE"""),"No")</f>
        <v>No</v>
      </c>
      <c r="AK479" s="5" t="str">
        <f>IFERROR(__xludf.DUMMYFUNCTION("""COMPUTED_VALUE"""),"No")</f>
        <v>No</v>
      </c>
      <c r="AL479" s="5" t="str">
        <f>IFERROR(__xludf.DUMMYFUNCTION("""COMPUTED_VALUE"""),"No")</f>
        <v>No</v>
      </c>
      <c r="AM479" s="5"/>
      <c r="AN479" s="5"/>
      <c r="AO479" s="5"/>
      <c r="AP479" s="5"/>
      <c r="AQ479" s="5"/>
      <c r="AR479" s="5"/>
      <c r="AS479" s="5"/>
      <c r="AT479" s="5"/>
      <c r="AU479" s="5"/>
      <c r="AV479" s="5"/>
      <c r="AW479" s="5"/>
      <c r="AX479" s="5"/>
      <c r="AY479" s="5"/>
    </row>
    <row r="480">
      <c r="A48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0" s="5">
        <f>IFERROR(__xludf.DUMMYFUNCTION("""COMPUTED_VALUE"""),509.0)</f>
        <v>509</v>
      </c>
      <c r="C480" s="5">
        <f>IFERROR(__xludf.DUMMYFUNCTION("""COMPUTED_VALUE"""),503.0)</f>
        <v>503</v>
      </c>
      <c r="D480" s="5" t="str">
        <f>IFERROR(__xludf.DUMMYFUNCTION("""COMPUTED_VALUE"""),"PlayNetMajesticCrown5")</f>
        <v>PlayNetMajesticCrown5</v>
      </c>
      <c r="E480" s="5" t="str">
        <f>IFERROR(__xludf.DUMMYFUNCTION("""COMPUTED_VALUE"""),"Yes")</f>
        <v>Yes</v>
      </c>
      <c r="F480" s="5" t="str">
        <f>IFERROR(__xludf.DUMMYFUNCTION("""COMPUTED_VALUE"""),"Yes")</f>
        <v>Yes</v>
      </c>
      <c r="G480" s="5" t="str">
        <f>IFERROR(__xludf.DUMMYFUNCTION("""COMPUTED_VALUE"""),"Yes")</f>
        <v>Yes</v>
      </c>
      <c r="H480" s="5" t="str">
        <f>IFERROR(__xludf.DUMMYFUNCTION("""COMPUTED_VALUE"""),"Yes")</f>
        <v>Yes</v>
      </c>
      <c r="I480" s="5" t="str">
        <f>IFERROR(__xludf.DUMMYFUNCTION("""COMPUTED_VALUE"""),"Yes")</f>
        <v>Yes</v>
      </c>
      <c r="J480" s="5" t="str">
        <f>IFERROR(__xludf.DUMMYFUNCTION("""COMPUTED_VALUE"""),"Yes")</f>
        <v>Yes</v>
      </c>
      <c r="K480" s="5" t="str">
        <f>IFERROR(__xludf.DUMMYFUNCTION("""COMPUTED_VALUE"""),"Yes")</f>
        <v>Yes</v>
      </c>
      <c r="L480" s="5" t="str">
        <f>IFERROR(__xludf.DUMMYFUNCTION("""COMPUTED_VALUE"""),"Yes")</f>
        <v>Yes</v>
      </c>
      <c r="M480" s="5" t="str">
        <f>IFERROR(__xludf.DUMMYFUNCTION("""COMPUTED_VALUE"""),"Yes")</f>
        <v>Yes</v>
      </c>
      <c r="N480" s="5" t="str">
        <f>IFERROR(__xludf.DUMMYFUNCTION("""COMPUTED_VALUE"""),"Yes")</f>
        <v>Yes</v>
      </c>
      <c r="O480" s="5" t="str">
        <f>IFERROR(__xludf.DUMMYFUNCTION("""COMPUTED_VALUE"""),"Yes")</f>
        <v>Yes</v>
      </c>
      <c r="P480" s="5" t="str">
        <f>IFERROR(__xludf.DUMMYFUNCTION("""COMPUTED_VALUE"""),"Yes")</f>
        <v>Yes</v>
      </c>
      <c r="Q480" s="5" t="str">
        <f>IFERROR(__xludf.DUMMYFUNCTION("""COMPUTED_VALUE"""),"Yes")</f>
        <v>Yes</v>
      </c>
      <c r="R480" s="5" t="str">
        <f>IFERROR(__xludf.DUMMYFUNCTION("""COMPUTED_VALUE"""),"Yes")</f>
        <v>Yes</v>
      </c>
      <c r="S480" s="5" t="str">
        <f>IFERROR(__xludf.DUMMYFUNCTION("""COMPUTED_VALUE"""),"Yes")</f>
        <v>Yes</v>
      </c>
      <c r="T480" s="5" t="str">
        <f>IFERROR(__xludf.DUMMYFUNCTION("""COMPUTED_VALUE"""),"No")</f>
        <v>No</v>
      </c>
      <c r="U480" s="5" t="str">
        <f>IFERROR(__xludf.DUMMYFUNCTION("""COMPUTED_VALUE"""),"No")</f>
        <v>No</v>
      </c>
      <c r="V480" s="5" t="str">
        <f>IFERROR(__xludf.DUMMYFUNCTION("""COMPUTED_VALUE"""),"No")</f>
        <v>No</v>
      </c>
      <c r="W480" s="5" t="str">
        <f>IFERROR(__xludf.DUMMYFUNCTION("""COMPUTED_VALUE"""),"No")</f>
        <v>No</v>
      </c>
      <c r="X480" s="5"/>
      <c r="Y480" s="5"/>
      <c r="Z480" s="5"/>
      <c r="AA480" s="5"/>
      <c r="AB480" s="5"/>
      <c r="AC480" s="5" t="str">
        <f>IFERROR(__xludf.DUMMYFUNCTION("""COMPUTED_VALUE"""),"No")</f>
        <v>No</v>
      </c>
      <c r="AD480" s="5"/>
      <c r="AE480" s="5"/>
      <c r="AF480" s="5" t="str">
        <f>IFERROR(__xludf.DUMMYFUNCTION("""COMPUTED_VALUE"""),"Yes")</f>
        <v>Yes</v>
      </c>
      <c r="AG480" s="5"/>
      <c r="AH480" s="5" t="str">
        <f>IFERROR(__xludf.DUMMYFUNCTION("""COMPUTED_VALUE"""),"Yes")</f>
        <v>Yes</v>
      </c>
      <c r="AI480" s="5"/>
      <c r="AJ480" s="5"/>
      <c r="AK480" s="5"/>
      <c r="AL480" s="5"/>
      <c r="AM480" s="5"/>
      <c r="AN480" s="5"/>
      <c r="AO480" s="5"/>
      <c r="AP480" s="5"/>
      <c r="AQ480" s="5"/>
      <c r="AR480" s="5"/>
      <c r="AS480" s="5"/>
      <c r="AT480" s="5"/>
      <c r="AU480" s="5"/>
      <c r="AV480" s="5"/>
      <c r="AW480" s="5"/>
      <c r="AX480" s="5"/>
      <c r="AY480" s="5"/>
    </row>
    <row r="481">
      <c r="A48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1" s="5">
        <f>IFERROR(__xludf.DUMMYFUNCTION("""COMPUTED_VALUE"""),510.0)</f>
        <v>510</v>
      </c>
      <c r="C481" s="5">
        <f>IFERROR(__xludf.DUMMYFUNCTION("""COMPUTED_VALUE"""),504.0)</f>
        <v>504</v>
      </c>
      <c r="D481" s="5" t="str">
        <f>IFERROR(__xludf.DUMMYFUNCTION("""COMPUTED_VALUE"""),"PlayNetRoyalFlame")</f>
        <v>PlayNetRoyalFlame</v>
      </c>
      <c r="E481" s="5" t="str">
        <f>IFERROR(__xludf.DUMMYFUNCTION("""COMPUTED_VALUE"""),"Yes")</f>
        <v>Yes</v>
      </c>
      <c r="F481" s="5" t="str">
        <f>IFERROR(__xludf.DUMMYFUNCTION("""COMPUTED_VALUE"""),"Yes")</f>
        <v>Yes</v>
      </c>
      <c r="G481" s="5" t="str">
        <f>IFERROR(__xludf.DUMMYFUNCTION("""COMPUTED_VALUE"""),"Yes")</f>
        <v>Yes</v>
      </c>
      <c r="H481" s="5" t="str">
        <f>IFERROR(__xludf.DUMMYFUNCTION("""COMPUTED_VALUE"""),"Yes")</f>
        <v>Yes</v>
      </c>
      <c r="I481" s="5" t="str">
        <f>IFERROR(__xludf.DUMMYFUNCTION("""COMPUTED_VALUE"""),"Yes")</f>
        <v>Yes</v>
      </c>
      <c r="J481" s="5" t="str">
        <f>IFERROR(__xludf.DUMMYFUNCTION("""COMPUTED_VALUE"""),"Yes")</f>
        <v>Yes</v>
      </c>
      <c r="K481" s="5" t="str">
        <f>IFERROR(__xludf.DUMMYFUNCTION("""COMPUTED_VALUE"""),"Yes")</f>
        <v>Yes</v>
      </c>
      <c r="L481" s="5" t="str">
        <f>IFERROR(__xludf.DUMMYFUNCTION("""COMPUTED_VALUE"""),"Yes")</f>
        <v>Yes</v>
      </c>
      <c r="M481" s="5" t="str">
        <f>IFERROR(__xludf.DUMMYFUNCTION("""COMPUTED_VALUE"""),"Yes")</f>
        <v>Yes</v>
      </c>
      <c r="N481" s="5" t="str">
        <f>IFERROR(__xludf.DUMMYFUNCTION("""COMPUTED_VALUE"""),"Yes")</f>
        <v>Yes</v>
      </c>
      <c r="O481" s="5" t="str">
        <f>IFERROR(__xludf.DUMMYFUNCTION("""COMPUTED_VALUE"""),"Yes")</f>
        <v>Yes</v>
      </c>
      <c r="P481" s="5" t="str">
        <f>IFERROR(__xludf.DUMMYFUNCTION("""COMPUTED_VALUE"""),"Yes")</f>
        <v>Yes</v>
      </c>
      <c r="Q481" s="5" t="str">
        <f>IFERROR(__xludf.DUMMYFUNCTION("""COMPUTED_VALUE"""),"Yes")</f>
        <v>Yes</v>
      </c>
      <c r="R481" s="5" t="str">
        <f>IFERROR(__xludf.DUMMYFUNCTION("""COMPUTED_VALUE"""),"Yes")</f>
        <v>Yes</v>
      </c>
      <c r="S481" s="5" t="str">
        <f>IFERROR(__xludf.DUMMYFUNCTION("""COMPUTED_VALUE"""),"Yes")</f>
        <v>Yes</v>
      </c>
      <c r="T481" s="5" t="str">
        <f>IFERROR(__xludf.DUMMYFUNCTION("""COMPUTED_VALUE"""),"No")</f>
        <v>No</v>
      </c>
      <c r="U481" s="5" t="str">
        <f>IFERROR(__xludf.DUMMYFUNCTION("""COMPUTED_VALUE"""),"No")</f>
        <v>No</v>
      </c>
      <c r="V481" s="5" t="str">
        <f>IFERROR(__xludf.DUMMYFUNCTION("""COMPUTED_VALUE"""),"No")</f>
        <v>No</v>
      </c>
      <c r="W481" s="5" t="str">
        <f>IFERROR(__xludf.DUMMYFUNCTION("""COMPUTED_VALUE"""),"No")</f>
        <v>No</v>
      </c>
      <c r="X481" s="5"/>
      <c r="Y481" s="5"/>
      <c r="Z481" s="5"/>
      <c r="AA481" s="5"/>
      <c r="AB481" s="5"/>
      <c r="AC481" s="5" t="str">
        <f>IFERROR(__xludf.DUMMYFUNCTION("""COMPUTED_VALUE"""),"No")</f>
        <v>No</v>
      </c>
      <c r="AD481" s="5"/>
      <c r="AE481" s="5"/>
      <c r="AF481" s="5" t="str">
        <f>IFERROR(__xludf.DUMMYFUNCTION("""COMPUTED_VALUE"""),"Yes")</f>
        <v>Yes</v>
      </c>
      <c r="AG481" s="5"/>
      <c r="AH481" s="5" t="str">
        <f>IFERROR(__xludf.DUMMYFUNCTION("""COMPUTED_VALUE"""),"Yes")</f>
        <v>Yes</v>
      </c>
      <c r="AI481" s="5"/>
      <c r="AJ481" s="5"/>
      <c r="AK481" s="5"/>
      <c r="AL481" s="5"/>
      <c r="AM481" s="5"/>
      <c r="AN481" s="5"/>
      <c r="AO481" s="5"/>
      <c r="AP481" s="5"/>
      <c r="AQ481" s="5"/>
      <c r="AR481" s="5"/>
      <c r="AS481" s="5"/>
      <c r="AT481" s="5"/>
      <c r="AU481" s="5"/>
      <c r="AV481" s="5"/>
      <c r="AW481" s="5"/>
      <c r="AX481" s="5"/>
      <c r="AY481" s="5"/>
    </row>
    <row r="482">
      <c r="A48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2" s="5">
        <f>IFERROR(__xludf.DUMMYFUNCTION("""COMPUTED_VALUE"""),511.0)</f>
        <v>511</v>
      </c>
      <c r="C482" s="5">
        <f>IFERROR(__xludf.DUMMYFUNCTION("""COMPUTED_VALUE"""),505.0)</f>
        <v>505</v>
      </c>
      <c r="D482" s="5" t="str">
        <f>IFERROR(__xludf.DUMMYFUNCTION("""COMPUTED_VALUE"""),"PlayNetDiamondHeart100")</f>
        <v>PlayNetDiamondHeart100</v>
      </c>
      <c r="E482" s="5" t="str">
        <f>IFERROR(__xludf.DUMMYFUNCTION("""COMPUTED_VALUE"""),"Yes")</f>
        <v>Yes</v>
      </c>
      <c r="F482" s="5" t="str">
        <f>IFERROR(__xludf.DUMMYFUNCTION("""COMPUTED_VALUE"""),"Yes")</f>
        <v>Yes</v>
      </c>
      <c r="G482" s="5" t="str">
        <f>IFERROR(__xludf.DUMMYFUNCTION("""COMPUTED_VALUE"""),"Yes")</f>
        <v>Yes</v>
      </c>
      <c r="H482" s="5" t="str">
        <f>IFERROR(__xludf.DUMMYFUNCTION("""COMPUTED_VALUE"""),"Yes")</f>
        <v>Yes</v>
      </c>
      <c r="I482" s="5" t="str">
        <f>IFERROR(__xludf.DUMMYFUNCTION("""COMPUTED_VALUE"""),"Yes")</f>
        <v>Yes</v>
      </c>
      <c r="J482" s="5" t="str">
        <f>IFERROR(__xludf.DUMMYFUNCTION("""COMPUTED_VALUE"""),"Yes")</f>
        <v>Yes</v>
      </c>
      <c r="K482" s="5" t="str">
        <f>IFERROR(__xludf.DUMMYFUNCTION("""COMPUTED_VALUE"""),"Yes")</f>
        <v>Yes</v>
      </c>
      <c r="L482" s="5" t="str">
        <f>IFERROR(__xludf.DUMMYFUNCTION("""COMPUTED_VALUE"""),"Yes")</f>
        <v>Yes</v>
      </c>
      <c r="M482" s="5" t="str">
        <f>IFERROR(__xludf.DUMMYFUNCTION("""COMPUTED_VALUE"""),"Yes")</f>
        <v>Yes</v>
      </c>
      <c r="N482" s="5" t="str">
        <f>IFERROR(__xludf.DUMMYFUNCTION("""COMPUTED_VALUE"""),"Yes")</f>
        <v>Yes</v>
      </c>
      <c r="O482" s="5" t="str">
        <f>IFERROR(__xludf.DUMMYFUNCTION("""COMPUTED_VALUE"""),"Yes")</f>
        <v>Yes</v>
      </c>
      <c r="P482" s="5" t="str">
        <f>IFERROR(__xludf.DUMMYFUNCTION("""COMPUTED_VALUE"""),"Yes")</f>
        <v>Yes</v>
      </c>
      <c r="Q482" s="5" t="str">
        <f>IFERROR(__xludf.DUMMYFUNCTION("""COMPUTED_VALUE"""),"Yes")</f>
        <v>Yes</v>
      </c>
      <c r="R482" s="5" t="str">
        <f>IFERROR(__xludf.DUMMYFUNCTION("""COMPUTED_VALUE"""),"Yes")</f>
        <v>Yes</v>
      </c>
      <c r="S482" s="5" t="str">
        <f>IFERROR(__xludf.DUMMYFUNCTION("""COMPUTED_VALUE"""),"Yes")</f>
        <v>Yes</v>
      </c>
      <c r="T482" s="5" t="str">
        <f>IFERROR(__xludf.DUMMYFUNCTION("""COMPUTED_VALUE"""),"No")</f>
        <v>No</v>
      </c>
      <c r="U482" s="5" t="str">
        <f>IFERROR(__xludf.DUMMYFUNCTION("""COMPUTED_VALUE"""),"No")</f>
        <v>No</v>
      </c>
      <c r="V482" s="5" t="str">
        <f>IFERROR(__xludf.DUMMYFUNCTION("""COMPUTED_VALUE"""),"No")</f>
        <v>No</v>
      </c>
      <c r="W482" s="5" t="str">
        <f>IFERROR(__xludf.DUMMYFUNCTION("""COMPUTED_VALUE"""),"No")</f>
        <v>No</v>
      </c>
      <c r="X482" s="5"/>
      <c r="Y482" s="5" t="str">
        <f>IFERROR(__xludf.DUMMYFUNCTION("""COMPUTED_VALUE"""),"No")</f>
        <v>No</v>
      </c>
      <c r="Z482" s="5"/>
      <c r="AA482" s="5" t="str">
        <f>IFERROR(__xludf.DUMMYFUNCTION("""COMPUTED_VALUE"""),"No")</f>
        <v>No</v>
      </c>
      <c r="AB482" s="5" t="str">
        <f>IFERROR(__xludf.DUMMYFUNCTION("""COMPUTED_VALUE"""),"No")</f>
        <v>No</v>
      </c>
      <c r="AC482" s="5" t="str">
        <f>IFERROR(__xludf.DUMMYFUNCTION("""COMPUTED_VALUE"""),"No")</f>
        <v>No</v>
      </c>
      <c r="AD482" s="5" t="str">
        <f>IFERROR(__xludf.DUMMYFUNCTION("""COMPUTED_VALUE"""),"No")</f>
        <v>No</v>
      </c>
      <c r="AE482" s="5"/>
      <c r="AF482" s="5" t="str">
        <f>IFERROR(__xludf.DUMMYFUNCTION("""COMPUTED_VALUE"""),"Yes")</f>
        <v>Yes</v>
      </c>
      <c r="AG482" s="5"/>
      <c r="AH482" s="5" t="str">
        <f>IFERROR(__xludf.DUMMYFUNCTION("""COMPUTED_VALUE"""),"Yes")</f>
        <v>Yes</v>
      </c>
      <c r="AI482" s="5"/>
      <c r="AJ482" s="5"/>
      <c r="AK482" s="5"/>
      <c r="AL482" s="5"/>
      <c r="AM482" s="5"/>
      <c r="AN482" s="5"/>
      <c r="AO482" s="5"/>
      <c r="AP482" s="5"/>
      <c r="AQ482" s="5"/>
      <c r="AR482" s="5"/>
      <c r="AS482" s="5"/>
      <c r="AT482" s="5"/>
      <c r="AU482" s="5"/>
      <c r="AV482" s="5"/>
      <c r="AW482" s="5"/>
      <c r="AX482" s="5"/>
      <c r="AY482" s="5"/>
    </row>
    <row r="483">
      <c r="A483"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3" s="5">
        <f>IFERROR(__xludf.DUMMYFUNCTION("""COMPUTED_VALUE"""),512.0)</f>
        <v>512</v>
      </c>
      <c r="C483" s="5">
        <f>IFERROR(__xludf.DUMMYFUNCTION("""COMPUTED_VALUE"""),506.0)</f>
        <v>506</v>
      </c>
      <c r="D483" s="5" t="str">
        <f>IFERROR(__xludf.DUMMYFUNCTION("""COMPUTED_VALUE"""),"PlayNetGoldenGetsby")</f>
        <v>PlayNetGoldenGetsby</v>
      </c>
      <c r="E483" s="5" t="str">
        <f>IFERROR(__xludf.DUMMYFUNCTION("""COMPUTED_VALUE"""),"Yes")</f>
        <v>Yes</v>
      </c>
      <c r="F483" s="5" t="str">
        <f>IFERROR(__xludf.DUMMYFUNCTION("""COMPUTED_VALUE"""),"Yes")</f>
        <v>Yes</v>
      </c>
      <c r="G483" s="5" t="str">
        <f>IFERROR(__xludf.DUMMYFUNCTION("""COMPUTED_VALUE"""),"Yes")</f>
        <v>Yes</v>
      </c>
      <c r="H483" s="5" t="str">
        <f>IFERROR(__xludf.DUMMYFUNCTION("""COMPUTED_VALUE"""),"Yes")</f>
        <v>Yes</v>
      </c>
      <c r="I483" s="5" t="str">
        <f>IFERROR(__xludf.DUMMYFUNCTION("""COMPUTED_VALUE"""),"Yes")</f>
        <v>Yes</v>
      </c>
      <c r="J483" s="5" t="str">
        <f>IFERROR(__xludf.DUMMYFUNCTION("""COMPUTED_VALUE"""),"Yes")</f>
        <v>Yes</v>
      </c>
      <c r="K483" s="5" t="str">
        <f>IFERROR(__xludf.DUMMYFUNCTION("""COMPUTED_VALUE"""),"Yes")</f>
        <v>Yes</v>
      </c>
      <c r="L483" s="5" t="str">
        <f>IFERROR(__xludf.DUMMYFUNCTION("""COMPUTED_VALUE"""),"Yes")</f>
        <v>Yes</v>
      </c>
      <c r="M483" s="5" t="str">
        <f>IFERROR(__xludf.DUMMYFUNCTION("""COMPUTED_VALUE"""),"Yes")</f>
        <v>Yes</v>
      </c>
      <c r="N483" s="5" t="str">
        <f>IFERROR(__xludf.DUMMYFUNCTION("""COMPUTED_VALUE"""),"Yes")</f>
        <v>Yes</v>
      </c>
      <c r="O483" s="5" t="str">
        <f>IFERROR(__xludf.DUMMYFUNCTION("""COMPUTED_VALUE"""),"Yes")</f>
        <v>Yes</v>
      </c>
      <c r="P483" s="5" t="str">
        <f>IFERROR(__xludf.DUMMYFUNCTION("""COMPUTED_VALUE"""),"Yes")</f>
        <v>Yes</v>
      </c>
      <c r="Q483" s="5" t="str">
        <f>IFERROR(__xludf.DUMMYFUNCTION("""COMPUTED_VALUE"""),"Yes")</f>
        <v>Yes</v>
      </c>
      <c r="R483" s="5" t="str">
        <f>IFERROR(__xludf.DUMMYFUNCTION("""COMPUTED_VALUE"""),"Yes")</f>
        <v>Yes</v>
      </c>
      <c r="S483" s="5" t="str">
        <f>IFERROR(__xludf.DUMMYFUNCTION("""COMPUTED_VALUE"""),"Yes")</f>
        <v>Yes</v>
      </c>
      <c r="T483" s="5" t="str">
        <f>IFERROR(__xludf.DUMMYFUNCTION("""COMPUTED_VALUE"""),"No")</f>
        <v>No</v>
      </c>
      <c r="U483" s="5" t="str">
        <f>IFERROR(__xludf.DUMMYFUNCTION("""COMPUTED_VALUE"""),"No")</f>
        <v>No</v>
      </c>
      <c r="V483" s="5" t="str">
        <f>IFERROR(__xludf.DUMMYFUNCTION("""COMPUTED_VALUE"""),"No")</f>
        <v>No</v>
      </c>
      <c r="W483" s="5" t="str">
        <f>IFERROR(__xludf.DUMMYFUNCTION("""COMPUTED_VALUE"""),"No")</f>
        <v>No</v>
      </c>
      <c r="X483" s="5"/>
      <c r="Y483" s="5" t="str">
        <f>IFERROR(__xludf.DUMMYFUNCTION("""COMPUTED_VALUE"""),"No")</f>
        <v>No</v>
      </c>
      <c r="Z483" s="5"/>
      <c r="AA483" s="5" t="str">
        <f>IFERROR(__xludf.DUMMYFUNCTION("""COMPUTED_VALUE"""),"No")</f>
        <v>No</v>
      </c>
      <c r="AB483" s="5" t="str">
        <f>IFERROR(__xludf.DUMMYFUNCTION("""COMPUTED_VALUE"""),"No")</f>
        <v>No</v>
      </c>
      <c r="AC483" s="5" t="str">
        <f>IFERROR(__xludf.DUMMYFUNCTION("""COMPUTED_VALUE"""),"No")</f>
        <v>No</v>
      </c>
      <c r="AD483" s="5" t="str">
        <f>IFERROR(__xludf.DUMMYFUNCTION("""COMPUTED_VALUE"""),"No")</f>
        <v>No</v>
      </c>
      <c r="AE483" s="5"/>
      <c r="AF483" s="5" t="str">
        <f>IFERROR(__xludf.DUMMYFUNCTION("""COMPUTED_VALUE"""),"Yes")</f>
        <v>Yes</v>
      </c>
      <c r="AG483" s="5"/>
      <c r="AH483" s="5" t="str">
        <f>IFERROR(__xludf.DUMMYFUNCTION("""COMPUTED_VALUE"""),"Yes")</f>
        <v>Yes</v>
      </c>
      <c r="AI483" s="5"/>
      <c r="AJ483" s="5"/>
      <c r="AK483" s="5"/>
      <c r="AL483" s="5"/>
      <c r="AM483" s="5"/>
      <c r="AN483" s="5"/>
      <c r="AO483" s="5"/>
      <c r="AP483" s="5"/>
      <c r="AQ483" s="5"/>
      <c r="AR483" s="5"/>
      <c r="AS483" s="5"/>
      <c r="AT483" s="5"/>
      <c r="AU483" s="5"/>
      <c r="AV483" s="5"/>
      <c r="AW483" s="5"/>
      <c r="AX483" s="5"/>
      <c r="AY483" s="5"/>
    </row>
    <row r="484">
      <c r="A484" s="5" t="str">
        <f>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4" s="5">
        <f>IFERROR(__xludf.DUMMYFUNCTION("""COMPUTED_VALUE"""),513.0)</f>
        <v>513</v>
      </c>
      <c r="C484" s="5">
        <f>IFERROR(__xludf.DUMMYFUNCTION("""COMPUTED_VALUE"""),507.0)</f>
        <v>507</v>
      </c>
      <c r="D484" s="5" t="str">
        <f>IFERROR(__xludf.DUMMYFUNCTION("""COMPUTED_VALUE"""),"PlayNetDashingHot20")</f>
        <v>PlayNetDashingHot20</v>
      </c>
      <c r="E484" s="5" t="str">
        <f>IFERROR(__xludf.DUMMYFUNCTION("""COMPUTED_VALUE"""),"Yes")</f>
        <v>Yes</v>
      </c>
      <c r="F484" s="5" t="str">
        <f>IFERROR(__xludf.DUMMYFUNCTION("""COMPUTED_VALUE"""),"Yes")</f>
        <v>Yes</v>
      </c>
      <c r="G484" s="5" t="str">
        <f>IFERROR(__xludf.DUMMYFUNCTION("""COMPUTED_VALUE"""),"Yes")</f>
        <v>Yes</v>
      </c>
      <c r="H484" s="5" t="str">
        <f>IFERROR(__xludf.DUMMYFUNCTION("""COMPUTED_VALUE"""),"Yes")</f>
        <v>Yes</v>
      </c>
      <c r="I484" s="5" t="str">
        <f>IFERROR(__xludf.DUMMYFUNCTION("""COMPUTED_VALUE"""),"Yes")</f>
        <v>Yes</v>
      </c>
      <c r="J484" s="5" t="str">
        <f>IFERROR(__xludf.DUMMYFUNCTION("""COMPUTED_VALUE"""),"Yes")</f>
        <v>Yes</v>
      </c>
      <c r="K484" s="5" t="str">
        <f>IFERROR(__xludf.DUMMYFUNCTION("""COMPUTED_VALUE"""),"Yes")</f>
        <v>Yes</v>
      </c>
      <c r="L484" s="5" t="str">
        <f>IFERROR(__xludf.DUMMYFUNCTION("""COMPUTED_VALUE"""),"Yes")</f>
        <v>Yes</v>
      </c>
      <c r="M484" s="5" t="str">
        <f>IFERROR(__xludf.DUMMYFUNCTION("""COMPUTED_VALUE"""),"Yes")</f>
        <v>Yes</v>
      </c>
      <c r="N484" s="5" t="str">
        <f>IFERROR(__xludf.DUMMYFUNCTION("""COMPUTED_VALUE"""),"Yes")</f>
        <v>Yes</v>
      </c>
      <c r="O484" s="5" t="str">
        <f>IFERROR(__xludf.DUMMYFUNCTION("""COMPUTED_VALUE"""),"Yes")</f>
        <v>Yes</v>
      </c>
      <c r="P484" s="5" t="str">
        <f>IFERROR(__xludf.DUMMYFUNCTION("""COMPUTED_VALUE"""),"Yes")</f>
        <v>Yes</v>
      </c>
      <c r="Q484" s="5" t="str">
        <f>IFERROR(__xludf.DUMMYFUNCTION("""COMPUTED_VALUE"""),"Yes")</f>
        <v>Yes</v>
      </c>
      <c r="R484" s="5" t="str">
        <f>IFERROR(__xludf.DUMMYFUNCTION("""COMPUTED_VALUE"""),"Yes")</f>
        <v>Yes</v>
      </c>
      <c r="S484" s="5" t="str">
        <f>IFERROR(__xludf.DUMMYFUNCTION("""COMPUTED_VALUE"""),"Yes")</f>
        <v>Yes</v>
      </c>
      <c r="T484" s="5" t="str">
        <f>IFERROR(__xludf.DUMMYFUNCTION("""COMPUTED_VALUE"""),"No")</f>
        <v>No</v>
      </c>
      <c r="U484" s="5" t="str">
        <f>IFERROR(__xludf.DUMMYFUNCTION("""COMPUTED_VALUE"""),"No")</f>
        <v>No</v>
      </c>
      <c r="V484" s="5" t="str">
        <f>IFERROR(__xludf.DUMMYFUNCTION("""COMPUTED_VALUE"""),"No")</f>
        <v>No</v>
      </c>
      <c r="W484" s="5" t="str">
        <f>IFERROR(__xludf.DUMMYFUNCTION("""COMPUTED_VALUE"""),"No")</f>
        <v>No</v>
      </c>
      <c r="X484" s="5"/>
      <c r="Y484" s="5"/>
      <c r="Z484" s="5"/>
      <c r="AA484" s="5"/>
      <c r="AB484" s="5"/>
      <c r="AC484" s="5" t="str">
        <f>IFERROR(__xludf.DUMMYFUNCTION("""COMPUTED_VALUE"""),"No")</f>
        <v>No</v>
      </c>
      <c r="AD484" s="5"/>
      <c r="AE484" s="5"/>
      <c r="AF484" s="5" t="str">
        <f>IFERROR(__xludf.DUMMYFUNCTION("""COMPUTED_VALUE"""),"Yes")</f>
        <v>Yes</v>
      </c>
      <c r="AG484" s="5"/>
      <c r="AH484" s="5" t="str">
        <f>IFERROR(__xludf.DUMMYFUNCTION("""COMPUTED_VALUE"""),"Yes")</f>
        <v>Yes</v>
      </c>
      <c r="AI484" s="5"/>
      <c r="AJ484" s="5"/>
      <c r="AK484" s="5"/>
      <c r="AL484" s="5" t="str">
        <f>IFERROR(__xludf.DUMMYFUNCTION("""COMPUTED_VALUE"""),"Yes")</f>
        <v>Yes</v>
      </c>
      <c r="AM484" s="5"/>
      <c r="AN484" s="5"/>
      <c r="AO484" s="5"/>
      <c r="AP484" s="5"/>
      <c r="AQ484" s="5"/>
      <c r="AR484" s="5"/>
      <c r="AS484" s="5"/>
      <c r="AT484" s="5"/>
      <c r="AU484" s="5"/>
      <c r="AV484" s="5"/>
      <c r="AW484" s="5"/>
      <c r="AX484" s="5"/>
      <c r="AY484" s="5"/>
    </row>
    <row r="485">
      <c r="A485" s="5" t="str">
        <f>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5" s="5">
        <f>IFERROR(__xludf.DUMMYFUNCTION("""COMPUTED_VALUE"""),514.0)</f>
        <v>514</v>
      </c>
      <c r="C485" s="5">
        <f>IFERROR(__xludf.DUMMYFUNCTION("""COMPUTED_VALUE"""),509.0)</f>
        <v>509</v>
      </c>
      <c r="D485" s="5" t="str">
        <f>IFERROR(__xludf.DUMMYFUNCTION("""COMPUTED_VALUE"""),"PlayNetDarkTemptress")</f>
        <v>PlayNetDarkTemptress</v>
      </c>
      <c r="E485" s="5" t="str">
        <f>IFERROR(__xludf.DUMMYFUNCTION("""COMPUTED_VALUE"""),"Yes")</f>
        <v>Yes</v>
      </c>
      <c r="F485" s="5" t="str">
        <f>IFERROR(__xludf.DUMMYFUNCTION("""COMPUTED_VALUE"""),"Yes")</f>
        <v>Yes</v>
      </c>
      <c r="G485" s="5" t="str">
        <f>IFERROR(__xludf.DUMMYFUNCTION("""COMPUTED_VALUE"""),"Yes")</f>
        <v>Yes</v>
      </c>
      <c r="H485" s="5" t="str">
        <f>IFERROR(__xludf.DUMMYFUNCTION("""COMPUTED_VALUE"""),"Yes")</f>
        <v>Yes</v>
      </c>
      <c r="I485" s="5" t="str">
        <f>IFERROR(__xludf.DUMMYFUNCTION("""COMPUTED_VALUE"""),"Yes")</f>
        <v>Yes</v>
      </c>
      <c r="J485" s="5" t="str">
        <f>IFERROR(__xludf.DUMMYFUNCTION("""COMPUTED_VALUE"""),"Yes")</f>
        <v>Yes</v>
      </c>
      <c r="K485" s="5" t="str">
        <f>IFERROR(__xludf.DUMMYFUNCTION("""COMPUTED_VALUE"""),"Yes")</f>
        <v>Yes</v>
      </c>
      <c r="L485" s="5" t="str">
        <f>IFERROR(__xludf.DUMMYFUNCTION("""COMPUTED_VALUE"""),"Yes")</f>
        <v>Yes</v>
      </c>
      <c r="M485" s="5" t="str">
        <f>IFERROR(__xludf.DUMMYFUNCTION("""COMPUTED_VALUE"""),"Yes")</f>
        <v>Yes</v>
      </c>
      <c r="N485" s="5" t="str">
        <f>IFERROR(__xludf.DUMMYFUNCTION("""COMPUTED_VALUE"""),"Yes")</f>
        <v>Yes</v>
      </c>
      <c r="O485" s="5" t="str">
        <f>IFERROR(__xludf.DUMMYFUNCTION("""COMPUTED_VALUE"""),"Yes")</f>
        <v>Yes</v>
      </c>
      <c r="P485" s="5" t="str">
        <f>IFERROR(__xludf.DUMMYFUNCTION("""COMPUTED_VALUE"""),"Yes")</f>
        <v>Yes</v>
      </c>
      <c r="Q485" s="5" t="str">
        <f>IFERROR(__xludf.DUMMYFUNCTION("""COMPUTED_VALUE"""),"Yes")</f>
        <v>Yes</v>
      </c>
      <c r="R485" s="5" t="str">
        <f>IFERROR(__xludf.DUMMYFUNCTION("""COMPUTED_VALUE"""),"Yes")</f>
        <v>Yes</v>
      </c>
      <c r="S485" s="5" t="str">
        <f>IFERROR(__xludf.DUMMYFUNCTION("""COMPUTED_VALUE"""),"Yes")</f>
        <v>Yes</v>
      </c>
      <c r="T485" s="5" t="str">
        <f>IFERROR(__xludf.DUMMYFUNCTION("""COMPUTED_VALUE"""),"No")</f>
        <v>No</v>
      </c>
      <c r="U485" s="5" t="str">
        <f>IFERROR(__xludf.DUMMYFUNCTION("""COMPUTED_VALUE"""),"No")</f>
        <v>No</v>
      </c>
      <c r="V485" s="5" t="str">
        <f>IFERROR(__xludf.DUMMYFUNCTION("""COMPUTED_VALUE"""),"No")</f>
        <v>No</v>
      </c>
      <c r="W485" s="5" t="str">
        <f>IFERROR(__xludf.DUMMYFUNCTION("""COMPUTED_VALUE"""),"No")</f>
        <v>No</v>
      </c>
      <c r="X485" s="5"/>
      <c r="Y485" s="5"/>
      <c r="Z485" s="5"/>
      <c r="AA485" s="5"/>
      <c r="AB485" s="5"/>
      <c r="AC485" s="5" t="str">
        <f>IFERROR(__xludf.DUMMYFUNCTION("""COMPUTED_VALUE"""),"No")</f>
        <v>No</v>
      </c>
      <c r="AD485" s="5"/>
      <c r="AE485" s="5"/>
      <c r="AF485" s="5" t="str">
        <f>IFERROR(__xludf.DUMMYFUNCTION("""COMPUTED_VALUE"""),"Yes")</f>
        <v>Yes</v>
      </c>
      <c r="AG485" s="5"/>
      <c r="AH485" s="5" t="str">
        <f>IFERROR(__xludf.DUMMYFUNCTION("""COMPUTED_VALUE"""),"Yes")</f>
        <v>Yes</v>
      </c>
      <c r="AI485" s="5"/>
      <c r="AJ485" s="5"/>
      <c r="AK485" s="5"/>
      <c r="AL485" s="5" t="str">
        <f>IFERROR(__xludf.DUMMYFUNCTION("""COMPUTED_VALUE"""),"Yes")</f>
        <v>Yes</v>
      </c>
      <c r="AM485" s="5"/>
      <c r="AN485" s="5"/>
      <c r="AO485" s="5"/>
      <c r="AP485" s="5"/>
      <c r="AQ485" s="5"/>
      <c r="AR485" s="5"/>
      <c r="AS485" s="5"/>
      <c r="AT485" s="5"/>
      <c r="AU485" s="5"/>
      <c r="AV485" s="5"/>
      <c r="AW485" s="5"/>
      <c r="AX485" s="5"/>
      <c r="AY485" s="5"/>
    </row>
    <row r="486">
      <c r="A4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6" s="5">
        <f>IFERROR(__xludf.DUMMYFUNCTION("""COMPUTED_VALUE"""),515.0)</f>
        <v>515</v>
      </c>
      <c r="C486" s="5">
        <f>IFERROR(__xludf.DUMMYFUNCTION("""COMPUTED_VALUE"""),2007.0)</f>
        <v>2007</v>
      </c>
      <c r="D486" s="5" t="str">
        <f>IFERROR(__xludf.DUMMYFUNCTION("""COMPUTED_VALUE"""),"WildStickyClover")</f>
        <v>WildStickyClover</v>
      </c>
      <c r="E486" s="5" t="str">
        <f>IFERROR(__xludf.DUMMYFUNCTION("""COMPUTED_VALUE"""),"Yes")</f>
        <v>Yes</v>
      </c>
      <c r="F486" s="5" t="str">
        <f>IFERROR(__xludf.DUMMYFUNCTION("""COMPUTED_VALUE"""),"Yes")</f>
        <v>Yes</v>
      </c>
      <c r="G486" s="5" t="str">
        <f>IFERROR(__xludf.DUMMYFUNCTION("""COMPUTED_VALUE"""),"Yes")</f>
        <v>Yes</v>
      </c>
      <c r="H486" s="5" t="str">
        <f>IFERROR(__xludf.DUMMYFUNCTION("""COMPUTED_VALUE"""),"Yes")</f>
        <v>Yes</v>
      </c>
      <c r="I486" s="5" t="str">
        <f>IFERROR(__xludf.DUMMYFUNCTION("""COMPUTED_VALUE"""),"Yes")</f>
        <v>Yes</v>
      </c>
      <c r="J486" s="5" t="str">
        <f>IFERROR(__xludf.DUMMYFUNCTION("""COMPUTED_VALUE"""),"Yes")</f>
        <v>Yes</v>
      </c>
      <c r="K486" s="5" t="str">
        <f>IFERROR(__xludf.DUMMYFUNCTION("""COMPUTED_VALUE"""),"Yes")</f>
        <v>Yes</v>
      </c>
      <c r="L486" s="5" t="str">
        <f>IFERROR(__xludf.DUMMYFUNCTION("""COMPUTED_VALUE"""),"Yes")</f>
        <v>Yes</v>
      </c>
      <c r="M486" s="5" t="str">
        <f>IFERROR(__xludf.DUMMYFUNCTION("""COMPUTED_VALUE"""),"Yes")</f>
        <v>Yes</v>
      </c>
      <c r="N486" s="5" t="str">
        <f>IFERROR(__xludf.DUMMYFUNCTION("""COMPUTED_VALUE"""),"Yes")</f>
        <v>Yes</v>
      </c>
      <c r="O486" s="5" t="str">
        <f>IFERROR(__xludf.DUMMYFUNCTION("""COMPUTED_VALUE"""),"Yes")</f>
        <v>Yes</v>
      </c>
      <c r="P486" s="5" t="str">
        <f>IFERROR(__xludf.DUMMYFUNCTION("""COMPUTED_VALUE"""),"Yes")</f>
        <v>Yes</v>
      </c>
      <c r="Q486" s="5" t="str">
        <f>IFERROR(__xludf.DUMMYFUNCTION("""COMPUTED_VALUE"""),"Yes")</f>
        <v>Yes</v>
      </c>
      <c r="R486" s="5" t="str">
        <f>IFERROR(__xludf.DUMMYFUNCTION("""COMPUTED_VALUE"""),"Yes")</f>
        <v>Yes</v>
      </c>
      <c r="S486" s="5" t="str">
        <f>IFERROR(__xludf.DUMMYFUNCTION("""COMPUTED_VALUE"""),"Yes")</f>
        <v>Yes</v>
      </c>
      <c r="T486" s="5" t="str">
        <f>IFERROR(__xludf.DUMMYFUNCTION("""COMPUTED_VALUE"""),"Yes")</f>
        <v>Yes</v>
      </c>
      <c r="U486" s="5" t="str">
        <f>IFERROR(__xludf.DUMMYFUNCTION("""COMPUTED_VALUE"""),"Yes")</f>
        <v>Yes</v>
      </c>
      <c r="V486" s="5" t="str">
        <f>IFERROR(__xludf.DUMMYFUNCTION("""COMPUTED_VALUE"""),"Yes")</f>
        <v>Yes</v>
      </c>
      <c r="W486" s="5" t="str">
        <f>IFERROR(__xludf.DUMMYFUNCTION("""COMPUTED_VALUE"""),"Yes")</f>
        <v>Yes</v>
      </c>
      <c r="X486" s="5" t="str">
        <f>IFERROR(__xludf.DUMMYFUNCTION("""COMPUTED_VALUE"""),"Yes")</f>
        <v>Yes</v>
      </c>
      <c r="Y486" s="5" t="str">
        <f>IFERROR(__xludf.DUMMYFUNCTION("""COMPUTED_VALUE"""),"Yes")</f>
        <v>Yes</v>
      </c>
      <c r="Z486" s="5" t="str">
        <f>IFERROR(__xludf.DUMMYFUNCTION("""COMPUTED_VALUE"""),"Yes")</f>
        <v>Yes</v>
      </c>
      <c r="AA486" s="5" t="str">
        <f>IFERROR(__xludf.DUMMYFUNCTION("""COMPUTED_VALUE"""),"Yes")</f>
        <v>Yes</v>
      </c>
      <c r="AB486" s="5" t="str">
        <f>IFERROR(__xludf.DUMMYFUNCTION("""COMPUTED_VALUE"""),"Yes")</f>
        <v>Yes</v>
      </c>
      <c r="AC486" s="5" t="str">
        <f>IFERROR(__xludf.DUMMYFUNCTION("""COMPUTED_VALUE"""),"Yes")</f>
        <v>Yes</v>
      </c>
      <c r="AD486" s="5" t="str">
        <f>IFERROR(__xludf.DUMMYFUNCTION("""COMPUTED_VALUE"""),"Yes")</f>
        <v>Yes</v>
      </c>
      <c r="AE486" s="5" t="str">
        <f>IFERROR(__xludf.DUMMYFUNCTION("""COMPUTED_VALUE"""),"Yes")</f>
        <v>Yes</v>
      </c>
      <c r="AF486" s="5" t="str">
        <f>IFERROR(__xludf.DUMMYFUNCTION("""COMPUTED_VALUE"""),"Yes")</f>
        <v>Yes</v>
      </c>
      <c r="AG486" s="5" t="str">
        <f>IFERROR(__xludf.DUMMYFUNCTION("""COMPUTED_VALUE"""),"Yes")</f>
        <v>Yes</v>
      </c>
      <c r="AH486" s="5" t="str">
        <f>IFERROR(__xludf.DUMMYFUNCTION("""COMPUTED_VALUE"""),"Yes")</f>
        <v>Yes</v>
      </c>
      <c r="AI486" s="5" t="str">
        <f>IFERROR(__xludf.DUMMYFUNCTION("""COMPUTED_VALUE"""),"No")</f>
        <v>No</v>
      </c>
      <c r="AJ486" s="5" t="str">
        <f>IFERROR(__xludf.DUMMYFUNCTION("""COMPUTED_VALUE"""),"No")</f>
        <v>No</v>
      </c>
      <c r="AK486" s="5" t="str">
        <f>IFERROR(__xludf.DUMMYFUNCTION("""COMPUTED_VALUE"""),"No")</f>
        <v>No</v>
      </c>
      <c r="AL486" s="5" t="str">
        <f>IFERROR(__xludf.DUMMYFUNCTION("""COMPUTED_VALUE"""),"No")</f>
        <v>No</v>
      </c>
      <c r="AM486" s="5"/>
      <c r="AN486" s="5"/>
      <c r="AO486" s="5"/>
      <c r="AP486" s="5"/>
      <c r="AQ486" s="5"/>
      <c r="AR486" s="5"/>
      <c r="AS486" s="5"/>
      <c r="AT486" s="5"/>
      <c r="AU486" s="5"/>
      <c r="AV486" s="5"/>
      <c r="AW486" s="5"/>
      <c r="AX486" s="5"/>
      <c r="AY486" s="5"/>
    </row>
    <row r="487">
      <c r="A4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7" s="5">
        <f>IFERROR(__xludf.DUMMYFUNCTION("""COMPUTED_VALUE"""),516.0)</f>
        <v>516</v>
      </c>
      <c r="C487" s="5">
        <f>IFERROR(__xludf.DUMMYFUNCTION("""COMPUTED_VALUE"""),2013.0)</f>
        <v>2013</v>
      </c>
      <c r="D487" s="5" t="str">
        <f>IFERROR(__xludf.DUMMYFUNCTION("""COMPUTED_VALUE"""),"XSpins")</f>
        <v>XSpins</v>
      </c>
      <c r="E487" s="5" t="str">
        <f>IFERROR(__xludf.DUMMYFUNCTION("""COMPUTED_VALUE"""),"Yes")</f>
        <v>Yes</v>
      </c>
      <c r="F487" s="5" t="str">
        <f>IFERROR(__xludf.DUMMYFUNCTION("""COMPUTED_VALUE"""),"Yes")</f>
        <v>Yes</v>
      </c>
      <c r="G487" s="5" t="str">
        <f>IFERROR(__xludf.DUMMYFUNCTION("""COMPUTED_VALUE"""),"Yes")</f>
        <v>Yes</v>
      </c>
      <c r="H487" s="5" t="str">
        <f>IFERROR(__xludf.DUMMYFUNCTION("""COMPUTED_VALUE"""),"Yes")</f>
        <v>Yes</v>
      </c>
      <c r="I487" s="5" t="str">
        <f>IFERROR(__xludf.DUMMYFUNCTION("""COMPUTED_VALUE"""),"Yes")</f>
        <v>Yes</v>
      </c>
      <c r="J487" s="5" t="str">
        <f>IFERROR(__xludf.DUMMYFUNCTION("""COMPUTED_VALUE"""),"Yes")</f>
        <v>Yes</v>
      </c>
      <c r="K487" s="5" t="str">
        <f>IFERROR(__xludf.DUMMYFUNCTION("""COMPUTED_VALUE"""),"Yes")</f>
        <v>Yes</v>
      </c>
      <c r="L487" s="5" t="str">
        <f>IFERROR(__xludf.DUMMYFUNCTION("""COMPUTED_VALUE"""),"Yes")</f>
        <v>Yes</v>
      </c>
      <c r="M487" s="5" t="str">
        <f>IFERROR(__xludf.DUMMYFUNCTION("""COMPUTED_VALUE"""),"Yes")</f>
        <v>Yes</v>
      </c>
      <c r="N487" s="5" t="str">
        <f>IFERROR(__xludf.DUMMYFUNCTION("""COMPUTED_VALUE"""),"Yes")</f>
        <v>Yes</v>
      </c>
      <c r="O487" s="5" t="str">
        <f>IFERROR(__xludf.DUMMYFUNCTION("""COMPUTED_VALUE"""),"Yes")</f>
        <v>Yes</v>
      </c>
      <c r="P487" s="5" t="str">
        <f>IFERROR(__xludf.DUMMYFUNCTION("""COMPUTED_VALUE"""),"Yes")</f>
        <v>Yes</v>
      </c>
      <c r="Q487" s="5" t="str">
        <f>IFERROR(__xludf.DUMMYFUNCTION("""COMPUTED_VALUE"""),"Yes")</f>
        <v>Yes</v>
      </c>
      <c r="R487" s="5" t="str">
        <f>IFERROR(__xludf.DUMMYFUNCTION("""COMPUTED_VALUE"""),"Yes")</f>
        <v>Yes</v>
      </c>
      <c r="S487" s="5" t="str">
        <f>IFERROR(__xludf.DUMMYFUNCTION("""COMPUTED_VALUE"""),"Yes")</f>
        <v>Yes</v>
      </c>
      <c r="T487" s="5" t="str">
        <f>IFERROR(__xludf.DUMMYFUNCTION("""COMPUTED_VALUE"""),"Yes")</f>
        <v>Yes</v>
      </c>
      <c r="U487" s="5" t="str">
        <f>IFERROR(__xludf.DUMMYFUNCTION("""COMPUTED_VALUE"""),"Yes")</f>
        <v>Yes</v>
      </c>
      <c r="V487" s="5" t="str">
        <f>IFERROR(__xludf.DUMMYFUNCTION("""COMPUTED_VALUE"""),"Yes")</f>
        <v>Yes</v>
      </c>
      <c r="W487" s="5" t="str">
        <f>IFERROR(__xludf.DUMMYFUNCTION("""COMPUTED_VALUE"""),"Yes")</f>
        <v>Yes</v>
      </c>
      <c r="X487" s="5" t="str">
        <f>IFERROR(__xludf.DUMMYFUNCTION("""COMPUTED_VALUE"""),"Yes")</f>
        <v>Yes</v>
      </c>
      <c r="Y487" s="5" t="str">
        <f>IFERROR(__xludf.DUMMYFUNCTION("""COMPUTED_VALUE"""),"Yes")</f>
        <v>Yes</v>
      </c>
      <c r="Z487" s="5" t="str">
        <f>IFERROR(__xludf.DUMMYFUNCTION("""COMPUTED_VALUE"""),"Yes")</f>
        <v>Yes</v>
      </c>
      <c r="AA487" s="5" t="str">
        <f>IFERROR(__xludf.DUMMYFUNCTION("""COMPUTED_VALUE"""),"Yes")</f>
        <v>Yes</v>
      </c>
      <c r="AB487" s="5" t="str">
        <f>IFERROR(__xludf.DUMMYFUNCTION("""COMPUTED_VALUE"""),"Yes")</f>
        <v>Yes</v>
      </c>
      <c r="AC487" s="5" t="str">
        <f>IFERROR(__xludf.DUMMYFUNCTION("""COMPUTED_VALUE"""),"Yes")</f>
        <v>Yes</v>
      </c>
      <c r="AD487" s="5" t="str">
        <f>IFERROR(__xludf.DUMMYFUNCTION("""COMPUTED_VALUE"""),"Yes")</f>
        <v>Yes</v>
      </c>
      <c r="AE487" s="5" t="str">
        <f>IFERROR(__xludf.DUMMYFUNCTION("""COMPUTED_VALUE"""),"Yes")</f>
        <v>Yes</v>
      </c>
      <c r="AF487" s="5" t="str">
        <f>IFERROR(__xludf.DUMMYFUNCTION("""COMPUTED_VALUE"""),"Yes")</f>
        <v>Yes</v>
      </c>
      <c r="AG487" s="5" t="str">
        <f>IFERROR(__xludf.DUMMYFUNCTION("""COMPUTED_VALUE"""),"Yes")</f>
        <v>Yes</v>
      </c>
      <c r="AH487" s="5" t="str">
        <f>IFERROR(__xludf.DUMMYFUNCTION("""COMPUTED_VALUE"""),"Yes")</f>
        <v>Yes</v>
      </c>
      <c r="AI487" s="5" t="str">
        <f>IFERROR(__xludf.DUMMYFUNCTION("""COMPUTED_VALUE"""),"No")</f>
        <v>No</v>
      </c>
      <c r="AJ487" s="5" t="str">
        <f>IFERROR(__xludf.DUMMYFUNCTION("""COMPUTED_VALUE"""),"No")</f>
        <v>No</v>
      </c>
      <c r="AK487" s="5" t="str">
        <f>IFERROR(__xludf.DUMMYFUNCTION("""COMPUTED_VALUE"""),"No")</f>
        <v>No</v>
      </c>
      <c r="AL487" s="5" t="str">
        <f>IFERROR(__xludf.DUMMYFUNCTION("""COMPUTED_VALUE"""),"No")</f>
        <v>No</v>
      </c>
      <c r="AM487" s="5"/>
      <c r="AN487" s="5"/>
      <c r="AO487" s="5"/>
      <c r="AP487" s="5"/>
      <c r="AQ487" s="5"/>
      <c r="AR487" s="5"/>
      <c r="AS487" s="5"/>
      <c r="AT487" s="5"/>
      <c r="AU487" s="5"/>
      <c r="AV487" s="5"/>
      <c r="AW487" s="5"/>
      <c r="AX487" s="5"/>
      <c r="AY487" s="5"/>
    </row>
    <row r="488">
      <c r="A4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88" s="5">
        <f>IFERROR(__xludf.DUMMYFUNCTION("""COMPUTED_VALUE"""),517.0)</f>
        <v>517</v>
      </c>
      <c r="C488" s="5">
        <f>IFERROR(__xludf.DUMMYFUNCTION("""COMPUTED_VALUE"""),3019.0)</f>
        <v>3019</v>
      </c>
      <c r="D488" s="5" t="str">
        <f>IFERROR(__xludf.DUMMYFUNCTION("""COMPUTED_VALUE"""),"EpicCrown5Booster")</f>
        <v>EpicCrown5Booster</v>
      </c>
      <c r="E488" s="5" t="str">
        <f>IFERROR(__xludf.DUMMYFUNCTION("""COMPUTED_VALUE"""),"Yes")</f>
        <v>Yes</v>
      </c>
      <c r="F488" s="5" t="str">
        <f>IFERROR(__xludf.DUMMYFUNCTION("""COMPUTED_VALUE"""),"Yes")</f>
        <v>Yes</v>
      </c>
      <c r="G488" s="5" t="str">
        <f>IFERROR(__xludf.DUMMYFUNCTION("""COMPUTED_VALUE"""),"Yes")</f>
        <v>Yes</v>
      </c>
      <c r="H488" s="5" t="str">
        <f>IFERROR(__xludf.DUMMYFUNCTION("""COMPUTED_VALUE"""),"Yes")</f>
        <v>Yes</v>
      </c>
      <c r="I488" s="5" t="str">
        <f>IFERROR(__xludf.DUMMYFUNCTION("""COMPUTED_VALUE"""),"Yes")</f>
        <v>Yes</v>
      </c>
      <c r="J488" s="5" t="str">
        <f>IFERROR(__xludf.DUMMYFUNCTION("""COMPUTED_VALUE"""),"Yes")</f>
        <v>Yes</v>
      </c>
      <c r="K488" s="5" t="str">
        <f>IFERROR(__xludf.DUMMYFUNCTION("""COMPUTED_VALUE"""),"Yes")</f>
        <v>Yes</v>
      </c>
      <c r="L488" s="5" t="str">
        <f>IFERROR(__xludf.DUMMYFUNCTION("""COMPUTED_VALUE"""),"Yes")</f>
        <v>Yes</v>
      </c>
      <c r="M488" s="5" t="str">
        <f>IFERROR(__xludf.DUMMYFUNCTION("""COMPUTED_VALUE"""),"Yes")</f>
        <v>Yes</v>
      </c>
      <c r="N488" s="5" t="str">
        <f>IFERROR(__xludf.DUMMYFUNCTION("""COMPUTED_VALUE"""),"Yes")</f>
        <v>Yes</v>
      </c>
      <c r="O488" s="5" t="str">
        <f>IFERROR(__xludf.DUMMYFUNCTION("""COMPUTED_VALUE"""),"Yes")</f>
        <v>Yes</v>
      </c>
      <c r="P488" s="5" t="str">
        <f>IFERROR(__xludf.DUMMYFUNCTION("""COMPUTED_VALUE"""),"Yes")</f>
        <v>Yes</v>
      </c>
      <c r="Q488" s="5" t="str">
        <f>IFERROR(__xludf.DUMMYFUNCTION("""COMPUTED_VALUE"""),"Yes")</f>
        <v>Yes</v>
      </c>
      <c r="R488" s="5" t="str">
        <f>IFERROR(__xludf.DUMMYFUNCTION("""COMPUTED_VALUE"""),"Yes")</f>
        <v>Yes</v>
      </c>
      <c r="S488" s="5" t="str">
        <f>IFERROR(__xludf.DUMMYFUNCTION("""COMPUTED_VALUE"""),"Yes")</f>
        <v>Yes</v>
      </c>
      <c r="T488" s="5" t="str">
        <f>IFERROR(__xludf.DUMMYFUNCTION("""COMPUTED_VALUE"""),"Yes")</f>
        <v>Yes</v>
      </c>
      <c r="U488" s="5" t="str">
        <f>IFERROR(__xludf.DUMMYFUNCTION("""COMPUTED_VALUE"""),"Yes")</f>
        <v>Yes</v>
      </c>
      <c r="V488" s="5" t="str">
        <f>IFERROR(__xludf.DUMMYFUNCTION("""COMPUTED_VALUE"""),"Yes")</f>
        <v>Yes</v>
      </c>
      <c r="W488" s="5" t="str">
        <f>IFERROR(__xludf.DUMMYFUNCTION("""COMPUTED_VALUE"""),"Yes")</f>
        <v>Yes</v>
      </c>
      <c r="X488" s="5"/>
      <c r="Y488" s="5"/>
      <c r="Z488" s="5"/>
      <c r="AA488" s="5"/>
      <c r="AB488" s="5"/>
      <c r="AC488" s="5" t="str">
        <f>IFERROR(__xludf.DUMMYFUNCTION("""COMPUTED_VALUE"""),"Yes")</f>
        <v>Yes</v>
      </c>
      <c r="AD488" s="5"/>
      <c r="AE488" s="5"/>
      <c r="AF488" s="5"/>
      <c r="AG488" s="5"/>
      <c r="AH488" s="5"/>
      <c r="AI488" s="5"/>
      <c r="AJ488" s="5"/>
      <c r="AK488" s="5"/>
      <c r="AL488" s="5"/>
      <c r="AM488" s="5"/>
      <c r="AN488" s="5"/>
      <c r="AO488" s="5"/>
      <c r="AP488" s="5"/>
      <c r="AQ488" s="5"/>
      <c r="AR488" s="5"/>
      <c r="AS488" s="5"/>
      <c r="AT488" s="5"/>
      <c r="AU488" s="5"/>
      <c r="AV488" s="5"/>
      <c r="AW488" s="5"/>
      <c r="AX488" s="5"/>
      <c r="AY488" s="5"/>
    </row>
    <row r="489">
      <c r="A4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89" s="5">
        <f>IFERROR(__xludf.DUMMYFUNCTION("""COMPUTED_VALUE"""),518.0)</f>
        <v>518</v>
      </c>
      <c r="C489" s="5">
        <f>IFERROR(__xludf.DUMMYFUNCTION("""COMPUTED_VALUE"""),3017.0)</f>
        <v>3017</v>
      </c>
      <c r="D489" s="5" t="str">
        <f>IFERROR(__xludf.DUMMYFUNCTION("""COMPUTED_VALUE"""),"EpicCrown10Booster")</f>
        <v>EpicCrown10Booster</v>
      </c>
      <c r="E489" s="5" t="str">
        <f>IFERROR(__xludf.DUMMYFUNCTION("""COMPUTED_VALUE"""),"Yes")</f>
        <v>Yes</v>
      </c>
      <c r="F489" s="5" t="str">
        <f>IFERROR(__xludf.DUMMYFUNCTION("""COMPUTED_VALUE"""),"Yes")</f>
        <v>Yes</v>
      </c>
      <c r="G489" s="5" t="str">
        <f>IFERROR(__xludf.DUMMYFUNCTION("""COMPUTED_VALUE"""),"Yes")</f>
        <v>Yes</v>
      </c>
      <c r="H489" s="5" t="str">
        <f>IFERROR(__xludf.DUMMYFUNCTION("""COMPUTED_VALUE"""),"Yes")</f>
        <v>Yes</v>
      </c>
      <c r="I489" s="5" t="str">
        <f>IFERROR(__xludf.DUMMYFUNCTION("""COMPUTED_VALUE"""),"Yes")</f>
        <v>Yes</v>
      </c>
      <c r="J489" s="5" t="str">
        <f>IFERROR(__xludf.DUMMYFUNCTION("""COMPUTED_VALUE"""),"Yes")</f>
        <v>Yes</v>
      </c>
      <c r="K489" s="5" t="str">
        <f>IFERROR(__xludf.DUMMYFUNCTION("""COMPUTED_VALUE"""),"Yes")</f>
        <v>Yes</v>
      </c>
      <c r="L489" s="5" t="str">
        <f>IFERROR(__xludf.DUMMYFUNCTION("""COMPUTED_VALUE"""),"Yes")</f>
        <v>Yes</v>
      </c>
      <c r="M489" s="5" t="str">
        <f>IFERROR(__xludf.DUMMYFUNCTION("""COMPUTED_VALUE"""),"Yes")</f>
        <v>Yes</v>
      </c>
      <c r="N489" s="5" t="str">
        <f>IFERROR(__xludf.DUMMYFUNCTION("""COMPUTED_VALUE"""),"Yes")</f>
        <v>Yes</v>
      </c>
      <c r="O489" s="5" t="str">
        <f>IFERROR(__xludf.DUMMYFUNCTION("""COMPUTED_VALUE"""),"Yes")</f>
        <v>Yes</v>
      </c>
      <c r="P489" s="5" t="str">
        <f>IFERROR(__xludf.DUMMYFUNCTION("""COMPUTED_VALUE"""),"Yes")</f>
        <v>Yes</v>
      </c>
      <c r="Q489" s="5" t="str">
        <f>IFERROR(__xludf.DUMMYFUNCTION("""COMPUTED_VALUE"""),"Yes")</f>
        <v>Yes</v>
      </c>
      <c r="R489" s="5" t="str">
        <f>IFERROR(__xludf.DUMMYFUNCTION("""COMPUTED_VALUE"""),"Yes")</f>
        <v>Yes</v>
      </c>
      <c r="S489" s="5" t="str">
        <f>IFERROR(__xludf.DUMMYFUNCTION("""COMPUTED_VALUE"""),"Yes")</f>
        <v>Yes</v>
      </c>
      <c r="T489" s="5" t="str">
        <f>IFERROR(__xludf.DUMMYFUNCTION("""COMPUTED_VALUE"""),"Yes")</f>
        <v>Yes</v>
      </c>
      <c r="U489" s="5" t="str">
        <f>IFERROR(__xludf.DUMMYFUNCTION("""COMPUTED_VALUE"""),"Yes")</f>
        <v>Yes</v>
      </c>
      <c r="V489" s="5" t="str">
        <f>IFERROR(__xludf.DUMMYFUNCTION("""COMPUTED_VALUE"""),"Yes")</f>
        <v>Yes</v>
      </c>
      <c r="W489" s="5" t="str">
        <f>IFERROR(__xludf.DUMMYFUNCTION("""COMPUTED_VALUE"""),"Yes")</f>
        <v>Yes</v>
      </c>
      <c r="X489" s="5"/>
      <c r="Y489" s="5" t="str">
        <f>IFERROR(__xludf.DUMMYFUNCTION("""COMPUTED_VALUE"""),"Yes")</f>
        <v>Yes</v>
      </c>
      <c r="Z489" s="5"/>
      <c r="AA489" s="5"/>
      <c r="AB489" s="5"/>
      <c r="AC489" s="5" t="str">
        <f>IFERROR(__xludf.DUMMYFUNCTION("""COMPUTED_VALUE"""),"Yes")</f>
        <v>Yes</v>
      </c>
      <c r="AD489" s="5"/>
      <c r="AE489" s="5"/>
      <c r="AF489" s="5"/>
      <c r="AG489" s="5"/>
      <c r="AH489" s="5"/>
      <c r="AI489" s="5"/>
      <c r="AJ489" s="5"/>
      <c r="AK489" s="5"/>
      <c r="AL489" s="5"/>
      <c r="AM489" s="5"/>
      <c r="AN489" s="5"/>
      <c r="AO489" s="5"/>
      <c r="AP489" s="5"/>
      <c r="AQ489" s="5"/>
      <c r="AR489" s="5"/>
      <c r="AS489" s="5"/>
      <c r="AT489" s="5"/>
      <c r="AU489" s="5"/>
      <c r="AV489" s="5"/>
      <c r="AW489" s="5"/>
      <c r="AX489" s="5"/>
      <c r="AY489" s="5"/>
    </row>
    <row r="490">
      <c r="A4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490" s="5">
        <f>IFERROR(__xludf.DUMMYFUNCTION("""COMPUTED_VALUE"""),519.0)</f>
        <v>519</v>
      </c>
      <c r="C490" s="5">
        <f>IFERROR(__xludf.DUMMYFUNCTION("""COMPUTED_VALUE"""),180020.0)</f>
        <v>180020</v>
      </c>
      <c r="D490" s="5" t="str">
        <f>IFERROR(__xludf.DUMMYFUNCTION("""COMPUTED_VALUE"""),"Redstone777Expand")</f>
        <v>Redstone777Expand</v>
      </c>
      <c r="E490" s="5" t="str">
        <f>IFERROR(__xludf.DUMMYFUNCTION("""COMPUTED_VALUE"""),"Yes")</f>
        <v>Yes</v>
      </c>
      <c r="F490" s="5" t="str">
        <f>IFERROR(__xludf.DUMMYFUNCTION("""COMPUTED_VALUE"""),"Yes")</f>
        <v>Yes</v>
      </c>
      <c r="G490" s="5" t="str">
        <f>IFERROR(__xludf.DUMMYFUNCTION("""COMPUTED_VALUE"""),"Yes")</f>
        <v>Yes</v>
      </c>
      <c r="H490" s="5" t="str">
        <f>IFERROR(__xludf.DUMMYFUNCTION("""COMPUTED_VALUE"""),"Yes")</f>
        <v>Yes</v>
      </c>
      <c r="I490" s="5" t="str">
        <f>IFERROR(__xludf.DUMMYFUNCTION("""COMPUTED_VALUE"""),"Yes")</f>
        <v>Yes</v>
      </c>
      <c r="J490" s="5" t="str">
        <f>IFERROR(__xludf.DUMMYFUNCTION("""COMPUTED_VALUE"""),"Yes")</f>
        <v>Yes</v>
      </c>
      <c r="K490" s="5" t="str">
        <f>IFERROR(__xludf.DUMMYFUNCTION("""COMPUTED_VALUE"""),"Yes")</f>
        <v>Yes</v>
      </c>
      <c r="L490" s="5" t="str">
        <f>IFERROR(__xludf.DUMMYFUNCTION("""COMPUTED_VALUE"""),"Yes")</f>
        <v>Yes</v>
      </c>
      <c r="M490" s="5" t="str">
        <f>IFERROR(__xludf.DUMMYFUNCTION("""COMPUTED_VALUE"""),"Yes")</f>
        <v>Yes</v>
      </c>
      <c r="N490" s="5" t="str">
        <f>IFERROR(__xludf.DUMMYFUNCTION("""COMPUTED_VALUE"""),"Yes")</f>
        <v>Yes</v>
      </c>
      <c r="O490" s="5" t="str">
        <f>IFERROR(__xludf.DUMMYFUNCTION("""COMPUTED_VALUE"""),"Yes")</f>
        <v>Yes</v>
      </c>
      <c r="P490" s="5" t="str">
        <f>IFERROR(__xludf.DUMMYFUNCTION("""COMPUTED_VALUE"""),"Yes")</f>
        <v>Yes</v>
      </c>
      <c r="Q490" s="5" t="str">
        <f>IFERROR(__xludf.DUMMYFUNCTION("""COMPUTED_VALUE"""),"Yes")</f>
        <v>Yes</v>
      </c>
      <c r="R490" s="5" t="str">
        <f>IFERROR(__xludf.DUMMYFUNCTION("""COMPUTED_VALUE"""),"Yes")</f>
        <v>Yes</v>
      </c>
      <c r="S490" s="5" t="str">
        <f>IFERROR(__xludf.DUMMYFUNCTION("""COMPUTED_VALUE"""),"Yes")</f>
        <v>Yes</v>
      </c>
      <c r="T490" s="5" t="str">
        <f>IFERROR(__xludf.DUMMYFUNCTION("""COMPUTED_VALUE"""),"Yes")</f>
        <v>Yes</v>
      </c>
      <c r="U490" s="5" t="str">
        <f>IFERROR(__xludf.DUMMYFUNCTION("""COMPUTED_VALUE"""),"Yes")</f>
        <v>Yes</v>
      </c>
      <c r="V490" s="5" t="str">
        <f>IFERROR(__xludf.DUMMYFUNCTION("""COMPUTED_VALUE"""),"Yes")</f>
        <v>Yes</v>
      </c>
      <c r="W490" s="5" t="str">
        <f>IFERROR(__xludf.DUMMYFUNCTION("""COMPUTED_VALUE"""),"Yes")</f>
        <v>Yes</v>
      </c>
      <c r="X490" s="5" t="str">
        <f>IFERROR(__xludf.DUMMYFUNCTION("""COMPUTED_VALUE"""),"Yes")</f>
        <v>Yes</v>
      </c>
      <c r="Y490" s="5" t="str">
        <f>IFERROR(__xludf.DUMMYFUNCTION("""COMPUTED_VALUE"""),"Yes")</f>
        <v>Yes</v>
      </c>
      <c r="Z490" s="5" t="str">
        <f>IFERROR(__xludf.DUMMYFUNCTION("""COMPUTED_VALUE"""),"Yes")</f>
        <v>Yes</v>
      </c>
      <c r="AA490" s="5" t="str">
        <f>IFERROR(__xludf.DUMMYFUNCTION("""COMPUTED_VALUE"""),"Yes")</f>
        <v>Yes</v>
      </c>
      <c r="AB490" s="5" t="str">
        <f>IFERROR(__xludf.DUMMYFUNCTION("""COMPUTED_VALUE"""),"Yes")</f>
        <v>Yes</v>
      </c>
      <c r="AC490" s="5" t="str">
        <f>IFERROR(__xludf.DUMMYFUNCTION("""COMPUTED_VALUE"""),"Yes")</f>
        <v>Yes</v>
      </c>
      <c r="AD490" s="5" t="str">
        <f>IFERROR(__xludf.DUMMYFUNCTION("""COMPUTED_VALUE"""),"Yes")</f>
        <v>Yes</v>
      </c>
      <c r="AE490" s="5" t="str">
        <f>IFERROR(__xludf.DUMMYFUNCTION("""COMPUTED_VALUE"""),"Yes")</f>
        <v>Yes</v>
      </c>
      <c r="AF490" s="5" t="str">
        <f>IFERROR(__xludf.DUMMYFUNCTION("""COMPUTED_VALUE"""),"Yes")</f>
        <v>Yes</v>
      </c>
      <c r="AG490" s="5" t="str">
        <f>IFERROR(__xludf.DUMMYFUNCTION("""COMPUTED_VALUE"""),"Yes")</f>
        <v>Yes</v>
      </c>
      <c r="AH490" s="5" t="str">
        <f>IFERROR(__xludf.DUMMYFUNCTION("""COMPUTED_VALUE"""),"Yes")</f>
        <v>Yes</v>
      </c>
      <c r="AI490" s="5" t="str">
        <f>IFERROR(__xludf.DUMMYFUNCTION("""COMPUTED_VALUE"""),"Yes")</f>
        <v>Yes</v>
      </c>
      <c r="AJ490" s="5" t="str">
        <f>IFERROR(__xludf.DUMMYFUNCTION("""COMPUTED_VALUE"""),"Yes")</f>
        <v>Yes</v>
      </c>
      <c r="AK490" s="5" t="str">
        <f>IFERROR(__xludf.DUMMYFUNCTION("""COMPUTED_VALUE"""),"Yes")</f>
        <v>Yes</v>
      </c>
      <c r="AL490" s="5" t="str">
        <f>IFERROR(__xludf.DUMMYFUNCTION("""COMPUTED_VALUE"""),"Yes")</f>
        <v>Yes</v>
      </c>
      <c r="AM490" s="5"/>
      <c r="AN490" s="5"/>
      <c r="AO490" s="5"/>
      <c r="AP490" s="5"/>
      <c r="AQ490" s="5"/>
      <c r="AR490" s="5"/>
      <c r="AS490" s="5"/>
      <c r="AT490" s="5"/>
      <c r="AU490" s="5"/>
      <c r="AV490" s="5"/>
      <c r="AW490" s="5"/>
      <c r="AX490" s="5"/>
      <c r="AY490" s="5"/>
    </row>
    <row r="491">
      <c r="A491" s="5" t="str">
        <f>IFERROR(__xludf.DUMMYFUNCTION("""COMPUTED_VALUE"""),"English(""eng""), Serbian(""""srp"",""srb""""), Bulgarian(""bul""), Spanish(""spa""), Portuguese(""por""), Italian(""ita""), Romanian(""rum/ron""), Croatian(""hrv""), French(""fre/fra""), German(""ger/deu""), Dutch(""dut/nld""), Turkish(""tur""), Greek("""&amp;"gre/ell""), Russian(""rus""), Czech(""cze/ces""), Hungarian(""hun""), Swahili(""swa""), Ukrainian(""ukr""), Chinese(""zho/chi"")")</f>
        <v>English("eng"), Serbian(""srp","srb""), Bulgarian("bul"), Spanish("spa"), Portuguese("por"), Italian("ita"), Romanian("rum/ron"), Croatian("hrv"), French("fre/fra"), German("ger/deu"), Dutch("dut/nld"), Turkish("tur"), Greek("gre/ell"), Russian("rus"), Czech("cze/ces"), Hungarian("hun"), Swahili("swa"), Ukrainian("ukr"), Chinese("zho/chi")</v>
      </c>
      <c r="B491" s="5">
        <f>IFERROR(__xludf.DUMMYFUNCTION("""COMPUTED_VALUE"""),520.0)</f>
        <v>520</v>
      </c>
      <c r="C491" s="5">
        <f>IFERROR(__xludf.DUMMYFUNCTION("""COMPUTED_VALUE"""),180019.0)</f>
        <v>180019</v>
      </c>
      <c r="D491" s="5" t="str">
        <f>IFERROR(__xludf.DUMMYFUNCTION("""COMPUTED_VALUE"""),"RedstoneDoubleWildCrown")</f>
        <v>RedstoneDoubleWildCrown</v>
      </c>
      <c r="E491" s="5" t="str">
        <f>IFERROR(__xludf.DUMMYFUNCTION("""COMPUTED_VALUE"""),"Yes")</f>
        <v>Yes</v>
      </c>
      <c r="F491" s="5" t="str">
        <f>IFERROR(__xludf.DUMMYFUNCTION("""COMPUTED_VALUE"""),"Yes")</f>
        <v>Yes</v>
      </c>
      <c r="G491" s="5" t="str">
        <f>IFERROR(__xludf.DUMMYFUNCTION("""COMPUTED_VALUE"""),"No")</f>
        <v>No</v>
      </c>
      <c r="H491" s="5" t="str">
        <f>IFERROR(__xludf.DUMMYFUNCTION("""COMPUTED_VALUE"""),"Yes")</f>
        <v>Yes</v>
      </c>
      <c r="I491" s="5" t="str">
        <f>IFERROR(__xludf.DUMMYFUNCTION("""COMPUTED_VALUE"""),"Yes")</f>
        <v>Yes</v>
      </c>
      <c r="J491" s="5" t="str">
        <f>IFERROR(__xludf.DUMMYFUNCTION("""COMPUTED_VALUE"""),"Yes")</f>
        <v>Yes</v>
      </c>
      <c r="K491" s="5" t="str">
        <f>IFERROR(__xludf.DUMMYFUNCTION("""COMPUTED_VALUE"""),"Yes")</f>
        <v>Yes</v>
      </c>
      <c r="L491" s="5" t="str">
        <f>IFERROR(__xludf.DUMMYFUNCTION("""COMPUTED_VALUE"""),"Yes")</f>
        <v>Yes</v>
      </c>
      <c r="M491" s="5" t="str">
        <f>IFERROR(__xludf.DUMMYFUNCTION("""COMPUTED_VALUE"""),"Yes")</f>
        <v>Yes</v>
      </c>
      <c r="N491" s="5" t="str">
        <f>IFERROR(__xludf.DUMMYFUNCTION("""COMPUTED_VALUE"""),"Yes")</f>
        <v>Yes</v>
      </c>
      <c r="O491" s="5" t="str">
        <f>IFERROR(__xludf.DUMMYFUNCTION("""COMPUTED_VALUE"""),"Yes")</f>
        <v>Yes</v>
      </c>
      <c r="P491" s="5" t="str">
        <f>IFERROR(__xludf.DUMMYFUNCTION("""COMPUTED_VALUE"""),"Yes")</f>
        <v>Yes</v>
      </c>
      <c r="Q491" s="5" t="str">
        <f>IFERROR(__xludf.DUMMYFUNCTION("""COMPUTED_VALUE"""),"Yes")</f>
        <v>Yes</v>
      </c>
      <c r="R491" s="5" t="str">
        <f>IFERROR(__xludf.DUMMYFUNCTION("""COMPUTED_VALUE"""),"Yes")</f>
        <v>Yes</v>
      </c>
      <c r="S491" s="5" t="str">
        <f>IFERROR(__xludf.DUMMYFUNCTION("""COMPUTED_VALUE"""),"Yes")</f>
        <v>Yes</v>
      </c>
      <c r="T491" s="5" t="str">
        <f>IFERROR(__xludf.DUMMYFUNCTION("""COMPUTED_VALUE"""),"Yes")</f>
        <v>Yes</v>
      </c>
      <c r="U491" s="5" t="str">
        <f>IFERROR(__xludf.DUMMYFUNCTION("""COMPUTED_VALUE"""),"Yes")</f>
        <v>Yes</v>
      </c>
      <c r="V491" s="5" t="str">
        <f>IFERROR(__xludf.DUMMYFUNCTION("""COMPUTED_VALUE"""),"No")</f>
        <v>No</v>
      </c>
      <c r="W491" s="5" t="str">
        <f>IFERROR(__xludf.DUMMYFUNCTION("""COMPUTED_VALUE"""),"No")</f>
        <v>No</v>
      </c>
      <c r="X491" s="5" t="str">
        <f>IFERROR(__xludf.DUMMYFUNCTION("""COMPUTED_VALUE"""),"No")</f>
        <v>No</v>
      </c>
      <c r="Y491" s="5" t="str">
        <f>IFERROR(__xludf.DUMMYFUNCTION("""COMPUTED_VALUE"""),"No")</f>
        <v>No</v>
      </c>
      <c r="Z491" s="5" t="str">
        <f>IFERROR(__xludf.DUMMYFUNCTION("""COMPUTED_VALUE"""),"No")</f>
        <v>No</v>
      </c>
      <c r="AA491" s="5" t="str">
        <f>IFERROR(__xludf.DUMMYFUNCTION("""COMPUTED_VALUE"""),"Yes")</f>
        <v>Yes</v>
      </c>
      <c r="AB491" s="5" t="str">
        <f>IFERROR(__xludf.DUMMYFUNCTION("""COMPUTED_VALUE"""),"No")</f>
        <v>No</v>
      </c>
      <c r="AC491" s="5" t="str">
        <f>IFERROR(__xludf.DUMMYFUNCTION("""COMPUTED_VALUE"""),"No")</f>
        <v>No</v>
      </c>
      <c r="AD491" s="5" t="str">
        <f>IFERROR(__xludf.DUMMYFUNCTION("""COMPUTED_VALUE"""),"No")</f>
        <v>No</v>
      </c>
      <c r="AE491" s="5" t="str">
        <f>IFERROR(__xludf.DUMMYFUNCTION("""COMPUTED_VALUE"""),"No")</f>
        <v>No</v>
      </c>
      <c r="AF491" s="5" t="str">
        <f>IFERROR(__xludf.DUMMYFUNCTION("""COMPUTED_VALUE"""),"Yes")</f>
        <v>Yes</v>
      </c>
      <c r="AG491" s="5" t="str">
        <f>IFERROR(__xludf.DUMMYFUNCTION("""COMPUTED_VALUE"""),"No")</f>
        <v>No</v>
      </c>
      <c r="AH491" s="5" t="str">
        <f>IFERROR(__xludf.DUMMYFUNCTION("""COMPUTED_VALUE"""),"Yes")</f>
        <v>Yes</v>
      </c>
      <c r="AI491" s="5" t="str">
        <f>IFERROR(__xludf.DUMMYFUNCTION("""COMPUTED_VALUE"""),"No")</f>
        <v>No</v>
      </c>
      <c r="AJ491" s="5" t="str">
        <f>IFERROR(__xludf.DUMMYFUNCTION("""COMPUTED_VALUE"""),"No")</f>
        <v>No</v>
      </c>
      <c r="AK491" s="5" t="str">
        <f>IFERROR(__xludf.DUMMYFUNCTION("""COMPUTED_VALUE"""),"No")</f>
        <v>No</v>
      </c>
      <c r="AL491" s="5" t="str">
        <f>IFERROR(__xludf.DUMMYFUNCTION("""COMPUTED_VALUE"""),"No")</f>
        <v>No</v>
      </c>
      <c r="AM491" s="5"/>
      <c r="AN491" s="5"/>
      <c r="AO491" s="5"/>
      <c r="AP491" s="5"/>
      <c r="AQ491" s="5"/>
      <c r="AR491" s="5"/>
      <c r="AS491" s="5"/>
      <c r="AT491" s="5"/>
      <c r="AU491" s="5"/>
      <c r="AV491" s="5"/>
      <c r="AW491" s="5"/>
      <c r="AX491" s="5"/>
      <c r="AY491" s="5"/>
    </row>
    <row r="492">
      <c r="A492" s="5" t="str">
        <f>IFERROR(__xludf.DUMMYFUNCTION("""COMPUTED_VALUE"""),"English(""eng""), Serbian(""""srp"",""srb""""), Bulgarian(""bul""), Spanish(""spa""), Portuguese(""por""), Italian(""ita""), Romanian(""rum/ron""), Croatian(""hrv""), French(""fre/fra""), German(""ger/deu""), Dutch(""dut/nld""), Turkish(""tur""), Greek("""&amp;"gre/ell""), Russian(""rus""), Social English(""sen""), Swahili(""swa""), Ukrainian(""ukr""), Chinese(""zho/chi"")")</f>
        <v>English("eng"), Serbian(""srp","srb""), Bulgarian("bul"), Spanish("spa"), Portuguese("por"), Italian("ita"), Romanian("rum/ron"), Croatian("hrv"), French("fre/fra"), German("ger/deu"), Dutch("dut/nld"), Turkish("tur"), Greek("gre/ell"), Russian("rus"), Social English("sen"), Swahili("swa"), Ukrainian("ukr"), Chinese("zho/chi")</v>
      </c>
      <c r="B492" s="5">
        <f>IFERROR(__xludf.DUMMYFUNCTION("""COMPUTED_VALUE"""),521.0)</f>
        <v>521</v>
      </c>
      <c r="C492" s="5">
        <f>IFERROR(__xludf.DUMMYFUNCTION("""COMPUTED_VALUE"""),180021.0)</f>
        <v>180021</v>
      </c>
      <c r="D492" s="5" t="str">
        <f>IFERROR(__xludf.DUMMYFUNCTION("""COMPUTED_VALUE"""),"RedstoneDoubleWildHeart")</f>
        <v>RedstoneDoubleWildHeart</v>
      </c>
      <c r="E492" s="5" t="str">
        <f>IFERROR(__xludf.DUMMYFUNCTION("""COMPUTED_VALUE"""),"Yes")</f>
        <v>Yes</v>
      </c>
      <c r="F492" s="5" t="str">
        <f>IFERROR(__xludf.DUMMYFUNCTION("""COMPUTED_VALUE"""),"Yes")</f>
        <v>Yes</v>
      </c>
      <c r="G492" s="5" t="str">
        <f>IFERROR(__xludf.DUMMYFUNCTION("""COMPUTED_VALUE"""),"No")</f>
        <v>No</v>
      </c>
      <c r="H492" s="5" t="str">
        <f>IFERROR(__xludf.DUMMYFUNCTION("""COMPUTED_VALUE"""),"Yes")</f>
        <v>Yes</v>
      </c>
      <c r="I492" s="5" t="str">
        <f>IFERROR(__xludf.DUMMYFUNCTION("""COMPUTED_VALUE"""),"Yes")</f>
        <v>Yes</v>
      </c>
      <c r="J492" s="5" t="str">
        <f>IFERROR(__xludf.DUMMYFUNCTION("""COMPUTED_VALUE"""),"Yes")</f>
        <v>Yes</v>
      </c>
      <c r="K492" s="5" t="str">
        <f>IFERROR(__xludf.DUMMYFUNCTION("""COMPUTED_VALUE"""),"Yes")</f>
        <v>Yes</v>
      </c>
      <c r="L492" s="5" t="str">
        <f>IFERROR(__xludf.DUMMYFUNCTION("""COMPUTED_VALUE"""),"Yes")</f>
        <v>Yes</v>
      </c>
      <c r="M492" s="5" t="str">
        <f>IFERROR(__xludf.DUMMYFUNCTION("""COMPUTED_VALUE"""),"Yes")</f>
        <v>Yes</v>
      </c>
      <c r="N492" s="5" t="str">
        <f>IFERROR(__xludf.DUMMYFUNCTION("""COMPUTED_VALUE"""),"Yes")</f>
        <v>Yes</v>
      </c>
      <c r="O492" s="5" t="str">
        <f>IFERROR(__xludf.DUMMYFUNCTION("""COMPUTED_VALUE"""),"Yes")</f>
        <v>Yes</v>
      </c>
      <c r="P492" s="5" t="str">
        <f>IFERROR(__xludf.DUMMYFUNCTION("""COMPUTED_VALUE"""),"Yes")</f>
        <v>Yes</v>
      </c>
      <c r="Q492" s="5" t="str">
        <f>IFERROR(__xludf.DUMMYFUNCTION("""COMPUTED_VALUE"""),"Yes")</f>
        <v>Yes</v>
      </c>
      <c r="R492" s="5" t="str">
        <f>IFERROR(__xludf.DUMMYFUNCTION("""COMPUTED_VALUE"""),"Yes")</f>
        <v>Yes</v>
      </c>
      <c r="S492" s="5" t="str">
        <f>IFERROR(__xludf.DUMMYFUNCTION("""COMPUTED_VALUE"""),"Yes")</f>
        <v>Yes</v>
      </c>
      <c r="T492" s="5" t="str">
        <f>IFERROR(__xludf.DUMMYFUNCTION("""COMPUTED_VALUE"""),"No")</f>
        <v>No</v>
      </c>
      <c r="U492" s="5" t="str">
        <f>IFERROR(__xludf.DUMMYFUNCTION("""COMPUTED_VALUE"""),"No")</f>
        <v>No</v>
      </c>
      <c r="V492" s="5" t="str">
        <f>IFERROR(__xludf.DUMMYFUNCTION("""COMPUTED_VALUE"""),"No")</f>
        <v>No</v>
      </c>
      <c r="W492" s="5" t="str">
        <f>IFERROR(__xludf.DUMMYFUNCTION("""COMPUTED_VALUE"""),"No")</f>
        <v>No</v>
      </c>
      <c r="X492" s="5" t="str">
        <f>IFERROR(__xludf.DUMMYFUNCTION("""COMPUTED_VALUE"""),"No")</f>
        <v>No</v>
      </c>
      <c r="Y492" s="5" t="str">
        <f>IFERROR(__xludf.DUMMYFUNCTION("""COMPUTED_VALUE"""),"Yes")</f>
        <v>Yes</v>
      </c>
      <c r="Z492" s="5" t="str">
        <f>IFERROR(__xludf.DUMMYFUNCTION("""COMPUTED_VALUE"""),"No")</f>
        <v>No</v>
      </c>
      <c r="AA492" s="5" t="str">
        <f>IFERROR(__xludf.DUMMYFUNCTION("""COMPUTED_VALUE"""),"Yes")</f>
        <v>Yes</v>
      </c>
      <c r="AB492" s="5" t="str">
        <f>IFERROR(__xludf.DUMMYFUNCTION("""COMPUTED_VALUE"""),"No")</f>
        <v>No</v>
      </c>
      <c r="AC492" s="5" t="str">
        <f>IFERROR(__xludf.DUMMYFUNCTION("""COMPUTED_VALUE"""),"No")</f>
        <v>No</v>
      </c>
      <c r="AD492" s="5" t="str">
        <f>IFERROR(__xludf.DUMMYFUNCTION("""COMPUTED_VALUE"""),"No")</f>
        <v>No</v>
      </c>
      <c r="AE492" s="5" t="str">
        <f>IFERROR(__xludf.DUMMYFUNCTION("""COMPUTED_VALUE"""),"No")</f>
        <v>No</v>
      </c>
      <c r="AF492" s="5" t="str">
        <f>IFERROR(__xludf.DUMMYFUNCTION("""COMPUTED_VALUE"""),"Yes")</f>
        <v>Yes</v>
      </c>
      <c r="AG492" s="5" t="str">
        <f>IFERROR(__xludf.DUMMYFUNCTION("""COMPUTED_VALUE"""),"No")</f>
        <v>No</v>
      </c>
      <c r="AH492" s="5" t="str">
        <f>IFERROR(__xludf.DUMMYFUNCTION("""COMPUTED_VALUE"""),"Yes")</f>
        <v>Yes</v>
      </c>
      <c r="AI492" s="5" t="str">
        <f>IFERROR(__xludf.DUMMYFUNCTION("""COMPUTED_VALUE"""),"No")</f>
        <v>No</v>
      </c>
      <c r="AJ492" s="5" t="str">
        <f>IFERROR(__xludf.DUMMYFUNCTION("""COMPUTED_VALUE"""),"No")</f>
        <v>No</v>
      </c>
      <c r="AK492" s="5" t="str">
        <f>IFERROR(__xludf.DUMMYFUNCTION("""COMPUTED_VALUE"""),"No")</f>
        <v>No</v>
      </c>
      <c r="AL492" s="5" t="str">
        <f>IFERROR(__xludf.DUMMYFUNCTION("""COMPUTED_VALUE"""),"No")</f>
        <v>No</v>
      </c>
      <c r="AM492" s="5"/>
      <c r="AN492" s="5"/>
      <c r="AO492" s="5"/>
      <c r="AP492" s="5"/>
      <c r="AQ492" s="5"/>
      <c r="AR492" s="5"/>
      <c r="AS492" s="5"/>
      <c r="AT492" s="5"/>
      <c r="AU492" s="5"/>
      <c r="AV492" s="5"/>
      <c r="AW492" s="5"/>
      <c r="AX492" s="5"/>
      <c r="AY492" s="5"/>
    </row>
    <row r="493">
      <c r="A493" s="5"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 Chinese(""zho/chi"")")</f>
        <v>English("eng"), Serbian(""srp","srb""), Bulgarian("bul"), Spanish("spa"), Portuguese("por"), Italian("ita"), Romanian("rum/ron"), Croatian("hrv"), French("fre/fra"), German("ger/deu"), Dutch("dut/nld"), Turkish("tur"), Greek("gre/ell"), Russian("rus"), Czech("cze/ces"), Hungarian("hun"), N. Macedonian("mkd/mac"), Finnish("fin"), Swahili("swa"), Latvian("lav"), Ukrainian("ukr"), Chinese("zho/chi")</v>
      </c>
      <c r="B493" s="5">
        <f>IFERROR(__xludf.DUMMYFUNCTION("""COMPUTED_VALUE"""),522.0)</f>
        <v>522</v>
      </c>
      <c r="C493" s="5">
        <f>IFERROR(__xludf.DUMMYFUNCTION("""COMPUTED_VALUE"""),2000004.0)</f>
        <v>2000004</v>
      </c>
      <c r="D493" s="5" t="str">
        <f>IFERROR(__xludf.DUMMYFUNCTION("""COMPUTED_VALUE"""),"NovaPixelWheelOfJoker")</f>
        <v>NovaPixelWheelOfJoker</v>
      </c>
      <c r="E493" s="5" t="str">
        <f>IFERROR(__xludf.DUMMYFUNCTION("""COMPUTED_VALUE"""),"Yes")</f>
        <v>Yes</v>
      </c>
      <c r="F493" s="5" t="str">
        <f>IFERROR(__xludf.DUMMYFUNCTION("""COMPUTED_VALUE"""),"Yes")</f>
        <v>Yes</v>
      </c>
      <c r="G493" s="5" t="str">
        <f>IFERROR(__xludf.DUMMYFUNCTION("""COMPUTED_VALUE"""),"No")</f>
        <v>No</v>
      </c>
      <c r="H493" s="5" t="str">
        <f>IFERROR(__xludf.DUMMYFUNCTION("""COMPUTED_VALUE"""),"Yes")</f>
        <v>Yes</v>
      </c>
      <c r="I493" s="5" t="str">
        <f>IFERROR(__xludf.DUMMYFUNCTION("""COMPUTED_VALUE"""),"Yes")</f>
        <v>Yes</v>
      </c>
      <c r="J493" s="5" t="str">
        <f>IFERROR(__xludf.DUMMYFUNCTION("""COMPUTED_VALUE"""),"Yes")</f>
        <v>Yes</v>
      </c>
      <c r="K493" s="5" t="str">
        <f>IFERROR(__xludf.DUMMYFUNCTION("""COMPUTED_VALUE"""),"Yes")</f>
        <v>Yes</v>
      </c>
      <c r="L493" s="5" t="str">
        <f>IFERROR(__xludf.DUMMYFUNCTION("""COMPUTED_VALUE"""),"Yes")</f>
        <v>Yes</v>
      </c>
      <c r="M493" s="5" t="str">
        <f>IFERROR(__xludf.DUMMYFUNCTION("""COMPUTED_VALUE"""),"Yes")</f>
        <v>Yes</v>
      </c>
      <c r="N493" s="5" t="str">
        <f>IFERROR(__xludf.DUMMYFUNCTION("""COMPUTED_VALUE"""),"Yes")</f>
        <v>Yes</v>
      </c>
      <c r="O493" s="5" t="str">
        <f>IFERROR(__xludf.DUMMYFUNCTION("""COMPUTED_VALUE"""),"Yes")</f>
        <v>Yes</v>
      </c>
      <c r="P493" s="5" t="str">
        <f>IFERROR(__xludf.DUMMYFUNCTION("""COMPUTED_VALUE"""),"Yes")</f>
        <v>Yes</v>
      </c>
      <c r="Q493" s="5" t="str">
        <f>IFERROR(__xludf.DUMMYFUNCTION("""COMPUTED_VALUE"""),"Yes")</f>
        <v>Yes</v>
      </c>
      <c r="R493" s="5" t="str">
        <f>IFERROR(__xludf.DUMMYFUNCTION("""COMPUTED_VALUE"""),"Yes")</f>
        <v>Yes</v>
      </c>
      <c r="S493" s="5" t="str">
        <f>IFERROR(__xludf.DUMMYFUNCTION("""COMPUTED_VALUE"""),"Yes")</f>
        <v>Yes</v>
      </c>
      <c r="T493" s="5" t="str">
        <f>IFERROR(__xludf.DUMMYFUNCTION("""COMPUTED_VALUE"""),"Yes")</f>
        <v>Yes</v>
      </c>
      <c r="U493" s="5" t="str">
        <f>IFERROR(__xludf.DUMMYFUNCTION("""COMPUTED_VALUE"""),"Yes")</f>
        <v>Yes</v>
      </c>
      <c r="V493" s="5" t="str">
        <f>IFERROR(__xludf.DUMMYFUNCTION("""COMPUTED_VALUE"""),"Yes")</f>
        <v>Yes</v>
      </c>
      <c r="W493" s="5" t="str">
        <f>IFERROR(__xludf.DUMMYFUNCTION("""COMPUTED_VALUE"""),"Yes")</f>
        <v>Yes</v>
      </c>
      <c r="X493" s="5" t="str">
        <f>IFERROR(__xludf.DUMMYFUNCTION("""COMPUTED_VALUE"""),"No")</f>
        <v>No</v>
      </c>
      <c r="Y493" s="5" t="str">
        <f>IFERROR(__xludf.DUMMYFUNCTION("""COMPUTED_VALUE"""),"No")</f>
        <v>No</v>
      </c>
      <c r="Z493" s="5" t="str">
        <f>IFERROR(__xludf.DUMMYFUNCTION("""COMPUTED_VALUE"""),"No")</f>
        <v>No</v>
      </c>
      <c r="AA493" s="5" t="str">
        <f>IFERROR(__xludf.DUMMYFUNCTION("""COMPUTED_VALUE"""),"Yes")</f>
        <v>Yes</v>
      </c>
      <c r="AB493" s="5" t="str">
        <f>IFERROR(__xludf.DUMMYFUNCTION("""COMPUTED_VALUE"""),"No")</f>
        <v>No</v>
      </c>
      <c r="AC493" s="5" t="str">
        <f>IFERROR(__xludf.DUMMYFUNCTION("""COMPUTED_VALUE"""),"Yes")</f>
        <v>Yes</v>
      </c>
      <c r="AD493" s="5" t="str">
        <f>IFERROR(__xludf.DUMMYFUNCTION("""COMPUTED_VALUE"""),"No")</f>
        <v>No</v>
      </c>
      <c r="AE493" s="5" t="str">
        <f>IFERROR(__xludf.DUMMYFUNCTION("""COMPUTED_VALUE"""),"No")</f>
        <v>No</v>
      </c>
      <c r="AF493" s="5" t="str">
        <f>IFERROR(__xludf.DUMMYFUNCTION("""COMPUTED_VALUE"""),"Yes")</f>
        <v>Yes</v>
      </c>
      <c r="AG493" s="5" t="str">
        <f>IFERROR(__xludf.DUMMYFUNCTION("""COMPUTED_VALUE"""),"No")</f>
        <v>No</v>
      </c>
      <c r="AH493" s="5" t="str">
        <f>IFERROR(__xludf.DUMMYFUNCTION("""COMPUTED_VALUE"""),"Yes")</f>
        <v>Yes</v>
      </c>
      <c r="AI493" s="5" t="str">
        <f>IFERROR(__xludf.DUMMYFUNCTION("""COMPUTED_VALUE"""),"No")</f>
        <v>No</v>
      </c>
      <c r="AJ493" s="5" t="str">
        <f>IFERROR(__xludf.DUMMYFUNCTION("""COMPUTED_VALUE"""),"No")</f>
        <v>No</v>
      </c>
      <c r="AK493" s="5" t="str">
        <f>IFERROR(__xludf.DUMMYFUNCTION("""COMPUTED_VALUE"""),"No")</f>
        <v>No</v>
      </c>
      <c r="AL493" s="5" t="str">
        <f>IFERROR(__xludf.DUMMYFUNCTION("""COMPUTED_VALUE"""),"No")</f>
        <v>No</v>
      </c>
      <c r="AM493" s="5"/>
      <c r="AN493" s="5"/>
      <c r="AO493" s="5"/>
      <c r="AP493" s="5"/>
      <c r="AQ493" s="5"/>
      <c r="AR493" s="5"/>
      <c r="AS493" s="5"/>
      <c r="AT493" s="5"/>
      <c r="AU493" s="5"/>
      <c r="AV493" s="5"/>
      <c r="AW493" s="5"/>
      <c r="AX493" s="5"/>
      <c r="AY493" s="5"/>
    </row>
    <row r="494">
      <c r="A4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4" s="5">
        <f>IFERROR(__xludf.DUMMYFUNCTION("""COMPUTED_VALUE"""),523.0)</f>
        <v>523</v>
      </c>
      <c r="C494" s="5">
        <f>IFERROR(__xludf.DUMMYFUNCTION("""COMPUTED_VALUE"""),999988.0)</f>
        <v>999988</v>
      </c>
      <c r="D494" s="5" t="str">
        <f>IFERROR(__xludf.DUMMYFUNCTION("""COMPUTED_VALUE"""),"TBD-F2")</f>
        <v>TBD-F2</v>
      </c>
      <c r="E494" s="5" t="str">
        <f>IFERROR(__xludf.DUMMYFUNCTION("""COMPUTED_VALUE"""),"Yes")</f>
        <v>Yes</v>
      </c>
      <c r="F494" s="5" t="str">
        <f>IFERROR(__xludf.DUMMYFUNCTION("""COMPUTED_VALUE"""),"Yes")</f>
        <v>Yes</v>
      </c>
      <c r="G494" s="5" t="str">
        <f>IFERROR(__xludf.DUMMYFUNCTION("""COMPUTED_VALUE"""),"Yes")</f>
        <v>Yes</v>
      </c>
      <c r="H494" s="5" t="str">
        <f>IFERROR(__xludf.DUMMYFUNCTION("""COMPUTED_VALUE"""),"Yes")</f>
        <v>Yes</v>
      </c>
      <c r="I494" s="5" t="str">
        <f>IFERROR(__xludf.DUMMYFUNCTION("""COMPUTED_VALUE"""),"Yes")</f>
        <v>Yes</v>
      </c>
      <c r="J494" s="5" t="str">
        <f>IFERROR(__xludf.DUMMYFUNCTION("""COMPUTED_VALUE"""),"Yes")</f>
        <v>Yes</v>
      </c>
      <c r="K494" s="5" t="str">
        <f>IFERROR(__xludf.DUMMYFUNCTION("""COMPUTED_VALUE"""),"Yes")</f>
        <v>Yes</v>
      </c>
      <c r="L494" s="5" t="str">
        <f>IFERROR(__xludf.DUMMYFUNCTION("""COMPUTED_VALUE"""),"Yes")</f>
        <v>Yes</v>
      </c>
      <c r="M494" s="5" t="str">
        <f>IFERROR(__xludf.DUMMYFUNCTION("""COMPUTED_VALUE"""),"Yes")</f>
        <v>Yes</v>
      </c>
      <c r="N494" s="5" t="str">
        <f>IFERROR(__xludf.DUMMYFUNCTION("""COMPUTED_VALUE"""),"Yes")</f>
        <v>Yes</v>
      </c>
      <c r="O494" s="5" t="str">
        <f>IFERROR(__xludf.DUMMYFUNCTION("""COMPUTED_VALUE"""),"Yes")</f>
        <v>Yes</v>
      </c>
      <c r="P494" s="5" t="str">
        <f>IFERROR(__xludf.DUMMYFUNCTION("""COMPUTED_VALUE"""),"Yes")</f>
        <v>Yes</v>
      </c>
      <c r="Q494" s="5" t="str">
        <f>IFERROR(__xludf.DUMMYFUNCTION("""COMPUTED_VALUE"""),"Yes")</f>
        <v>Yes</v>
      </c>
      <c r="R494" s="5" t="str">
        <f>IFERROR(__xludf.DUMMYFUNCTION("""COMPUTED_VALUE"""),"Yes")</f>
        <v>Yes</v>
      </c>
      <c r="S494" s="5" t="str">
        <f>IFERROR(__xludf.DUMMYFUNCTION("""COMPUTED_VALUE"""),"Yes")</f>
        <v>Yes</v>
      </c>
      <c r="T494" s="5" t="str">
        <f>IFERROR(__xludf.DUMMYFUNCTION("""COMPUTED_VALUE"""),"Yes")</f>
        <v>Yes</v>
      </c>
      <c r="U494" s="5" t="str">
        <f>IFERROR(__xludf.DUMMYFUNCTION("""COMPUTED_VALUE"""),"Yes")</f>
        <v>Yes</v>
      </c>
      <c r="V494" s="5" t="str">
        <f>IFERROR(__xludf.DUMMYFUNCTION("""COMPUTED_VALUE"""),"Yes")</f>
        <v>Yes</v>
      </c>
      <c r="W494" s="5" t="str">
        <f>IFERROR(__xludf.DUMMYFUNCTION("""COMPUTED_VALUE"""),"Yes")</f>
        <v>Yes</v>
      </c>
      <c r="X494" s="5"/>
      <c r="Y494" s="5"/>
      <c r="Z494" s="5"/>
      <c r="AA494" s="5"/>
      <c r="AB494" s="5"/>
      <c r="AC494" s="5" t="str">
        <f>IFERROR(__xludf.DUMMYFUNCTION("""COMPUTED_VALUE"""),"Yes")</f>
        <v>Yes</v>
      </c>
      <c r="AD494" s="5"/>
      <c r="AE494" s="5"/>
      <c r="AF494" s="5"/>
      <c r="AG494" s="5"/>
      <c r="AH494" s="5"/>
      <c r="AI494" s="5"/>
      <c r="AJ494" s="5"/>
      <c r="AK494" s="5"/>
      <c r="AL494" s="5"/>
      <c r="AM494" s="5"/>
      <c r="AN494" s="5"/>
      <c r="AO494" s="5"/>
      <c r="AP494" s="5"/>
      <c r="AQ494" s="5"/>
      <c r="AR494" s="5"/>
      <c r="AS494" s="5"/>
      <c r="AT494" s="5"/>
      <c r="AU494" s="5"/>
      <c r="AV494" s="5"/>
      <c r="AW494" s="5"/>
      <c r="AX494" s="5"/>
      <c r="AY494" s="5"/>
    </row>
    <row r="495">
      <c r="A4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5" s="5">
        <f>IFERROR(__xludf.DUMMYFUNCTION("""COMPUTED_VALUE"""),524.0)</f>
        <v>524</v>
      </c>
      <c r="C495" s="5">
        <f>IFERROR(__xludf.DUMMYFUNCTION("""COMPUTED_VALUE"""),999985.0)</f>
        <v>999985</v>
      </c>
      <c r="D495" s="5" t="str">
        <f>IFERROR(__xludf.DUMMYFUNCTION("""COMPUTED_VALUE"""),"TBD-F3")</f>
        <v>TBD-F3</v>
      </c>
      <c r="E495" s="5" t="str">
        <f>IFERROR(__xludf.DUMMYFUNCTION("""COMPUTED_VALUE"""),"Yes")</f>
        <v>Yes</v>
      </c>
      <c r="F495" s="5" t="str">
        <f>IFERROR(__xludf.DUMMYFUNCTION("""COMPUTED_VALUE"""),"Yes")</f>
        <v>Yes</v>
      </c>
      <c r="G495" s="5" t="str">
        <f>IFERROR(__xludf.DUMMYFUNCTION("""COMPUTED_VALUE"""),"Yes")</f>
        <v>Yes</v>
      </c>
      <c r="H495" s="5" t="str">
        <f>IFERROR(__xludf.DUMMYFUNCTION("""COMPUTED_VALUE"""),"Yes")</f>
        <v>Yes</v>
      </c>
      <c r="I495" s="5" t="str">
        <f>IFERROR(__xludf.DUMMYFUNCTION("""COMPUTED_VALUE"""),"Yes")</f>
        <v>Yes</v>
      </c>
      <c r="J495" s="5" t="str">
        <f>IFERROR(__xludf.DUMMYFUNCTION("""COMPUTED_VALUE"""),"Yes")</f>
        <v>Yes</v>
      </c>
      <c r="K495" s="5" t="str">
        <f>IFERROR(__xludf.DUMMYFUNCTION("""COMPUTED_VALUE"""),"Yes")</f>
        <v>Yes</v>
      </c>
      <c r="L495" s="5" t="str">
        <f>IFERROR(__xludf.DUMMYFUNCTION("""COMPUTED_VALUE"""),"Yes")</f>
        <v>Yes</v>
      </c>
      <c r="M495" s="5" t="str">
        <f>IFERROR(__xludf.DUMMYFUNCTION("""COMPUTED_VALUE"""),"Yes")</f>
        <v>Yes</v>
      </c>
      <c r="N495" s="5" t="str">
        <f>IFERROR(__xludf.DUMMYFUNCTION("""COMPUTED_VALUE"""),"Yes")</f>
        <v>Yes</v>
      </c>
      <c r="O495" s="5" t="str">
        <f>IFERROR(__xludf.DUMMYFUNCTION("""COMPUTED_VALUE"""),"Yes")</f>
        <v>Yes</v>
      </c>
      <c r="P495" s="5" t="str">
        <f>IFERROR(__xludf.DUMMYFUNCTION("""COMPUTED_VALUE"""),"Yes")</f>
        <v>Yes</v>
      </c>
      <c r="Q495" s="5" t="str">
        <f>IFERROR(__xludf.DUMMYFUNCTION("""COMPUTED_VALUE"""),"Yes")</f>
        <v>Yes</v>
      </c>
      <c r="R495" s="5" t="str">
        <f>IFERROR(__xludf.DUMMYFUNCTION("""COMPUTED_VALUE"""),"Yes")</f>
        <v>Yes</v>
      </c>
      <c r="S495" s="5" t="str">
        <f>IFERROR(__xludf.DUMMYFUNCTION("""COMPUTED_VALUE"""),"Yes")</f>
        <v>Yes</v>
      </c>
      <c r="T495" s="5" t="str">
        <f>IFERROR(__xludf.DUMMYFUNCTION("""COMPUTED_VALUE"""),"Yes")</f>
        <v>Yes</v>
      </c>
      <c r="U495" s="5" t="str">
        <f>IFERROR(__xludf.DUMMYFUNCTION("""COMPUTED_VALUE"""),"Yes")</f>
        <v>Yes</v>
      </c>
      <c r="V495" s="5" t="str">
        <f>IFERROR(__xludf.DUMMYFUNCTION("""COMPUTED_VALUE"""),"Yes")</f>
        <v>Yes</v>
      </c>
      <c r="W495" s="5" t="str">
        <f>IFERROR(__xludf.DUMMYFUNCTION("""COMPUTED_VALUE"""),"Yes")</f>
        <v>Yes</v>
      </c>
      <c r="X495" s="5"/>
      <c r="Y495" s="5"/>
      <c r="Z495" s="5"/>
      <c r="AA495" s="5"/>
      <c r="AB495" s="5"/>
      <c r="AC495" s="5" t="str">
        <f>IFERROR(__xludf.DUMMYFUNCTION("""COMPUTED_VALUE"""),"Yes")</f>
        <v>Yes</v>
      </c>
      <c r="AD495" s="5"/>
      <c r="AE495" s="5"/>
      <c r="AF495" s="5"/>
      <c r="AG495" s="5"/>
      <c r="AH495" s="5"/>
      <c r="AI495" s="5"/>
      <c r="AJ495" s="5"/>
      <c r="AK495" s="5"/>
      <c r="AL495" s="5"/>
      <c r="AM495" s="5"/>
      <c r="AN495" s="5"/>
      <c r="AO495" s="5"/>
      <c r="AP495" s="5"/>
      <c r="AQ495" s="5"/>
      <c r="AR495" s="5"/>
      <c r="AS495" s="5"/>
      <c r="AT495" s="5"/>
      <c r="AU495" s="5"/>
      <c r="AV495" s="5"/>
      <c r="AW495" s="5"/>
      <c r="AX495" s="5"/>
      <c r="AY495" s="5"/>
    </row>
    <row r="496">
      <c r="A4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6" s="5">
        <f>IFERROR(__xludf.DUMMYFUNCTION("""COMPUTED_VALUE"""),525.0)</f>
        <v>525</v>
      </c>
      <c r="C496" s="5">
        <f>IFERROR(__xludf.DUMMYFUNCTION("""COMPUTED_VALUE"""),999982.0)</f>
        <v>999982</v>
      </c>
      <c r="D496" s="5" t="str">
        <f>IFERROR(__xludf.DUMMYFUNCTION("""COMPUTED_VALUE"""),"TBD-F4")</f>
        <v>TBD-F4</v>
      </c>
      <c r="E496" s="5" t="str">
        <f>IFERROR(__xludf.DUMMYFUNCTION("""COMPUTED_VALUE"""),"Yes")</f>
        <v>Yes</v>
      </c>
      <c r="F496" s="5" t="str">
        <f>IFERROR(__xludf.DUMMYFUNCTION("""COMPUTED_VALUE"""),"Yes")</f>
        <v>Yes</v>
      </c>
      <c r="G496" s="5" t="str">
        <f>IFERROR(__xludf.DUMMYFUNCTION("""COMPUTED_VALUE"""),"Yes")</f>
        <v>Yes</v>
      </c>
      <c r="H496" s="5" t="str">
        <f>IFERROR(__xludf.DUMMYFUNCTION("""COMPUTED_VALUE"""),"Yes")</f>
        <v>Yes</v>
      </c>
      <c r="I496" s="5" t="str">
        <f>IFERROR(__xludf.DUMMYFUNCTION("""COMPUTED_VALUE"""),"Yes")</f>
        <v>Yes</v>
      </c>
      <c r="J496" s="5" t="str">
        <f>IFERROR(__xludf.DUMMYFUNCTION("""COMPUTED_VALUE"""),"Yes")</f>
        <v>Yes</v>
      </c>
      <c r="K496" s="5" t="str">
        <f>IFERROR(__xludf.DUMMYFUNCTION("""COMPUTED_VALUE"""),"Yes")</f>
        <v>Yes</v>
      </c>
      <c r="L496" s="5" t="str">
        <f>IFERROR(__xludf.DUMMYFUNCTION("""COMPUTED_VALUE"""),"Yes")</f>
        <v>Yes</v>
      </c>
      <c r="M496" s="5" t="str">
        <f>IFERROR(__xludf.DUMMYFUNCTION("""COMPUTED_VALUE"""),"Yes")</f>
        <v>Yes</v>
      </c>
      <c r="N496" s="5" t="str">
        <f>IFERROR(__xludf.DUMMYFUNCTION("""COMPUTED_VALUE"""),"Yes")</f>
        <v>Yes</v>
      </c>
      <c r="O496" s="5" t="str">
        <f>IFERROR(__xludf.DUMMYFUNCTION("""COMPUTED_VALUE"""),"Yes")</f>
        <v>Yes</v>
      </c>
      <c r="P496" s="5" t="str">
        <f>IFERROR(__xludf.DUMMYFUNCTION("""COMPUTED_VALUE"""),"Yes")</f>
        <v>Yes</v>
      </c>
      <c r="Q496" s="5" t="str">
        <f>IFERROR(__xludf.DUMMYFUNCTION("""COMPUTED_VALUE"""),"Yes")</f>
        <v>Yes</v>
      </c>
      <c r="R496" s="5" t="str">
        <f>IFERROR(__xludf.DUMMYFUNCTION("""COMPUTED_VALUE"""),"Yes")</f>
        <v>Yes</v>
      </c>
      <c r="S496" s="5" t="str">
        <f>IFERROR(__xludf.DUMMYFUNCTION("""COMPUTED_VALUE"""),"Yes")</f>
        <v>Yes</v>
      </c>
      <c r="T496" s="5" t="str">
        <f>IFERROR(__xludf.DUMMYFUNCTION("""COMPUTED_VALUE"""),"Yes")</f>
        <v>Yes</v>
      </c>
      <c r="U496" s="5" t="str">
        <f>IFERROR(__xludf.DUMMYFUNCTION("""COMPUTED_VALUE"""),"Yes")</f>
        <v>Yes</v>
      </c>
      <c r="V496" s="5" t="str">
        <f>IFERROR(__xludf.DUMMYFUNCTION("""COMPUTED_VALUE"""),"Yes")</f>
        <v>Yes</v>
      </c>
      <c r="W496" s="5" t="str">
        <f>IFERROR(__xludf.DUMMYFUNCTION("""COMPUTED_VALUE"""),"Yes")</f>
        <v>Yes</v>
      </c>
      <c r="X496" s="5"/>
      <c r="Y496" s="5"/>
      <c r="Z496" s="5"/>
      <c r="AA496" s="5"/>
      <c r="AB496" s="5"/>
      <c r="AC496" s="5" t="str">
        <f>IFERROR(__xludf.DUMMYFUNCTION("""COMPUTED_VALUE"""),"Yes")</f>
        <v>Yes</v>
      </c>
      <c r="AD496" s="5"/>
      <c r="AE496" s="5"/>
      <c r="AF496" s="5"/>
      <c r="AG496" s="5"/>
      <c r="AH496" s="5"/>
      <c r="AI496" s="5"/>
      <c r="AJ496" s="5"/>
      <c r="AK496" s="5"/>
      <c r="AL496" s="5"/>
      <c r="AM496" s="5"/>
      <c r="AN496" s="5"/>
      <c r="AO496" s="5"/>
      <c r="AP496" s="5"/>
      <c r="AQ496" s="5"/>
      <c r="AR496" s="5"/>
      <c r="AS496" s="5"/>
      <c r="AT496" s="5"/>
      <c r="AU496" s="5"/>
      <c r="AV496" s="5"/>
      <c r="AW496" s="5"/>
      <c r="AX496" s="5"/>
      <c r="AY496" s="5"/>
    </row>
    <row r="497">
      <c r="A4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7" s="5">
        <f>IFERROR(__xludf.DUMMYFUNCTION("""COMPUTED_VALUE"""),526.0)</f>
        <v>526</v>
      </c>
      <c r="C497" s="5">
        <f>IFERROR(__xludf.DUMMYFUNCTION("""COMPUTED_VALUE"""),999981.0)</f>
        <v>999981</v>
      </c>
      <c r="D497" s="5" t="str">
        <f>IFERROR(__xludf.DUMMYFUNCTION("""COMPUTED_VALUE"""),"TBD-F5")</f>
        <v>TBD-F5</v>
      </c>
      <c r="E497" s="5" t="str">
        <f>IFERROR(__xludf.DUMMYFUNCTION("""COMPUTED_VALUE"""),"Yes")</f>
        <v>Yes</v>
      </c>
      <c r="F497" s="5" t="str">
        <f>IFERROR(__xludf.DUMMYFUNCTION("""COMPUTED_VALUE"""),"Yes")</f>
        <v>Yes</v>
      </c>
      <c r="G497" s="5" t="str">
        <f>IFERROR(__xludf.DUMMYFUNCTION("""COMPUTED_VALUE"""),"Yes")</f>
        <v>Yes</v>
      </c>
      <c r="H497" s="5" t="str">
        <f>IFERROR(__xludf.DUMMYFUNCTION("""COMPUTED_VALUE"""),"Yes")</f>
        <v>Yes</v>
      </c>
      <c r="I497" s="5" t="str">
        <f>IFERROR(__xludf.DUMMYFUNCTION("""COMPUTED_VALUE"""),"Yes")</f>
        <v>Yes</v>
      </c>
      <c r="J497" s="5" t="str">
        <f>IFERROR(__xludf.DUMMYFUNCTION("""COMPUTED_VALUE"""),"Yes")</f>
        <v>Yes</v>
      </c>
      <c r="K497" s="5" t="str">
        <f>IFERROR(__xludf.DUMMYFUNCTION("""COMPUTED_VALUE"""),"Yes")</f>
        <v>Yes</v>
      </c>
      <c r="L497" s="5" t="str">
        <f>IFERROR(__xludf.DUMMYFUNCTION("""COMPUTED_VALUE"""),"Yes")</f>
        <v>Yes</v>
      </c>
      <c r="M497" s="5" t="str">
        <f>IFERROR(__xludf.DUMMYFUNCTION("""COMPUTED_VALUE"""),"Yes")</f>
        <v>Yes</v>
      </c>
      <c r="N497" s="5" t="str">
        <f>IFERROR(__xludf.DUMMYFUNCTION("""COMPUTED_VALUE"""),"Yes")</f>
        <v>Yes</v>
      </c>
      <c r="O497" s="5" t="str">
        <f>IFERROR(__xludf.DUMMYFUNCTION("""COMPUTED_VALUE"""),"Yes")</f>
        <v>Yes</v>
      </c>
      <c r="P497" s="5" t="str">
        <f>IFERROR(__xludf.DUMMYFUNCTION("""COMPUTED_VALUE"""),"Yes")</f>
        <v>Yes</v>
      </c>
      <c r="Q497" s="5" t="str">
        <f>IFERROR(__xludf.DUMMYFUNCTION("""COMPUTED_VALUE"""),"Yes")</f>
        <v>Yes</v>
      </c>
      <c r="R497" s="5" t="str">
        <f>IFERROR(__xludf.DUMMYFUNCTION("""COMPUTED_VALUE"""),"Yes")</f>
        <v>Yes</v>
      </c>
      <c r="S497" s="5" t="str">
        <f>IFERROR(__xludf.DUMMYFUNCTION("""COMPUTED_VALUE"""),"Yes")</f>
        <v>Yes</v>
      </c>
      <c r="T497" s="5" t="str">
        <f>IFERROR(__xludf.DUMMYFUNCTION("""COMPUTED_VALUE"""),"Yes")</f>
        <v>Yes</v>
      </c>
      <c r="U497" s="5" t="str">
        <f>IFERROR(__xludf.DUMMYFUNCTION("""COMPUTED_VALUE"""),"Yes")</f>
        <v>Yes</v>
      </c>
      <c r="V497" s="5" t="str">
        <f>IFERROR(__xludf.DUMMYFUNCTION("""COMPUTED_VALUE"""),"Yes")</f>
        <v>Yes</v>
      </c>
      <c r="W497" s="5" t="str">
        <f>IFERROR(__xludf.DUMMYFUNCTION("""COMPUTED_VALUE"""),"Yes")</f>
        <v>Yes</v>
      </c>
      <c r="X497" s="5"/>
      <c r="Y497" s="5"/>
      <c r="Z497" s="5"/>
      <c r="AA497" s="5"/>
      <c r="AB497" s="5"/>
      <c r="AC497" s="5" t="str">
        <f>IFERROR(__xludf.DUMMYFUNCTION("""COMPUTED_VALUE"""),"Yes")</f>
        <v>Yes</v>
      </c>
      <c r="AD497" s="5"/>
      <c r="AE497" s="5"/>
      <c r="AF497" s="5"/>
      <c r="AG497" s="5"/>
      <c r="AH497" s="5"/>
      <c r="AI497" s="5"/>
      <c r="AJ497" s="5"/>
      <c r="AK497" s="5"/>
      <c r="AL497" s="5"/>
      <c r="AM497" s="5"/>
      <c r="AN497" s="5"/>
      <c r="AO497" s="5"/>
      <c r="AP497" s="5"/>
      <c r="AQ497" s="5"/>
      <c r="AR497" s="5"/>
      <c r="AS497" s="5"/>
      <c r="AT497" s="5"/>
      <c r="AU497" s="5"/>
      <c r="AV497" s="5"/>
      <c r="AW497" s="5"/>
      <c r="AX497" s="5"/>
      <c r="AY497" s="5"/>
    </row>
    <row r="498">
      <c r="A4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8" s="5">
        <f>IFERROR(__xludf.DUMMYFUNCTION("""COMPUTED_VALUE"""),527.0)</f>
        <v>527</v>
      </c>
      <c r="C498" s="5">
        <f>IFERROR(__xludf.DUMMYFUNCTION("""COMPUTED_VALUE"""),999980.0)</f>
        <v>999980</v>
      </c>
      <c r="D498" s="5" t="str">
        <f>IFERROR(__xludf.DUMMYFUNCTION("""COMPUTED_VALUE"""),"TBD-F6")</f>
        <v>TBD-F6</v>
      </c>
      <c r="E498" s="5" t="str">
        <f>IFERROR(__xludf.DUMMYFUNCTION("""COMPUTED_VALUE"""),"Yes")</f>
        <v>Yes</v>
      </c>
      <c r="F498" s="5" t="str">
        <f>IFERROR(__xludf.DUMMYFUNCTION("""COMPUTED_VALUE"""),"Yes")</f>
        <v>Yes</v>
      </c>
      <c r="G498" s="5" t="str">
        <f>IFERROR(__xludf.DUMMYFUNCTION("""COMPUTED_VALUE"""),"Yes")</f>
        <v>Yes</v>
      </c>
      <c r="H498" s="5" t="str">
        <f>IFERROR(__xludf.DUMMYFUNCTION("""COMPUTED_VALUE"""),"Yes")</f>
        <v>Yes</v>
      </c>
      <c r="I498" s="5" t="str">
        <f>IFERROR(__xludf.DUMMYFUNCTION("""COMPUTED_VALUE"""),"Yes")</f>
        <v>Yes</v>
      </c>
      <c r="J498" s="5" t="str">
        <f>IFERROR(__xludf.DUMMYFUNCTION("""COMPUTED_VALUE"""),"Yes")</f>
        <v>Yes</v>
      </c>
      <c r="K498" s="5" t="str">
        <f>IFERROR(__xludf.DUMMYFUNCTION("""COMPUTED_VALUE"""),"Yes")</f>
        <v>Yes</v>
      </c>
      <c r="L498" s="5" t="str">
        <f>IFERROR(__xludf.DUMMYFUNCTION("""COMPUTED_VALUE"""),"Yes")</f>
        <v>Yes</v>
      </c>
      <c r="M498" s="5" t="str">
        <f>IFERROR(__xludf.DUMMYFUNCTION("""COMPUTED_VALUE"""),"Yes")</f>
        <v>Yes</v>
      </c>
      <c r="N498" s="5" t="str">
        <f>IFERROR(__xludf.DUMMYFUNCTION("""COMPUTED_VALUE"""),"Yes")</f>
        <v>Yes</v>
      </c>
      <c r="O498" s="5" t="str">
        <f>IFERROR(__xludf.DUMMYFUNCTION("""COMPUTED_VALUE"""),"Yes")</f>
        <v>Yes</v>
      </c>
      <c r="P498" s="5" t="str">
        <f>IFERROR(__xludf.DUMMYFUNCTION("""COMPUTED_VALUE"""),"Yes")</f>
        <v>Yes</v>
      </c>
      <c r="Q498" s="5" t="str">
        <f>IFERROR(__xludf.DUMMYFUNCTION("""COMPUTED_VALUE"""),"Yes")</f>
        <v>Yes</v>
      </c>
      <c r="R498" s="5" t="str">
        <f>IFERROR(__xludf.DUMMYFUNCTION("""COMPUTED_VALUE"""),"Yes")</f>
        <v>Yes</v>
      </c>
      <c r="S498" s="5" t="str">
        <f>IFERROR(__xludf.DUMMYFUNCTION("""COMPUTED_VALUE"""),"Yes")</f>
        <v>Yes</v>
      </c>
      <c r="T498" s="5" t="str">
        <f>IFERROR(__xludf.DUMMYFUNCTION("""COMPUTED_VALUE"""),"Yes")</f>
        <v>Yes</v>
      </c>
      <c r="U498" s="5" t="str">
        <f>IFERROR(__xludf.DUMMYFUNCTION("""COMPUTED_VALUE"""),"Yes")</f>
        <v>Yes</v>
      </c>
      <c r="V498" s="5" t="str">
        <f>IFERROR(__xludf.DUMMYFUNCTION("""COMPUTED_VALUE"""),"Yes")</f>
        <v>Yes</v>
      </c>
      <c r="W498" s="5" t="str">
        <f>IFERROR(__xludf.DUMMYFUNCTION("""COMPUTED_VALUE"""),"Yes")</f>
        <v>Yes</v>
      </c>
      <c r="X498" s="5"/>
      <c r="Y498" s="5"/>
      <c r="Z498" s="5"/>
      <c r="AA498" s="5"/>
      <c r="AB498" s="5"/>
      <c r="AC498" s="5" t="str">
        <f>IFERROR(__xludf.DUMMYFUNCTION("""COMPUTED_VALUE"""),"Yes")</f>
        <v>Yes</v>
      </c>
      <c r="AD498" s="5"/>
      <c r="AE498" s="5"/>
      <c r="AF498" s="5"/>
      <c r="AG498" s="5"/>
      <c r="AH498" s="5"/>
      <c r="AI498" s="5"/>
      <c r="AJ498" s="5"/>
      <c r="AK498" s="5"/>
      <c r="AL498" s="5"/>
      <c r="AM498" s="5"/>
      <c r="AN498" s="5"/>
      <c r="AO498" s="5"/>
      <c r="AP498" s="5"/>
      <c r="AQ498" s="5"/>
      <c r="AR498" s="5"/>
      <c r="AS498" s="5"/>
      <c r="AT498" s="5"/>
      <c r="AU498" s="5"/>
      <c r="AV498" s="5"/>
      <c r="AW498" s="5"/>
      <c r="AX498" s="5"/>
      <c r="AY498" s="5"/>
    </row>
    <row r="499">
      <c r="A4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9" s="5">
        <f>IFERROR(__xludf.DUMMYFUNCTION("""COMPUTED_VALUE"""),528.0)</f>
        <v>528</v>
      </c>
      <c r="C499" s="5">
        <f>IFERROR(__xludf.DUMMYFUNCTION("""COMPUTED_VALUE"""),999979.0)</f>
        <v>999979</v>
      </c>
      <c r="D499" s="5" t="str">
        <f>IFERROR(__xludf.DUMMYFUNCTION("""COMPUTED_VALUE"""),"TBD-F7")</f>
        <v>TBD-F7</v>
      </c>
      <c r="E499" s="5" t="str">
        <f>IFERROR(__xludf.DUMMYFUNCTION("""COMPUTED_VALUE"""),"Yes")</f>
        <v>Yes</v>
      </c>
      <c r="F499" s="5" t="str">
        <f>IFERROR(__xludf.DUMMYFUNCTION("""COMPUTED_VALUE"""),"Yes")</f>
        <v>Yes</v>
      </c>
      <c r="G499" s="5" t="str">
        <f>IFERROR(__xludf.DUMMYFUNCTION("""COMPUTED_VALUE"""),"Yes")</f>
        <v>Yes</v>
      </c>
      <c r="H499" s="5" t="str">
        <f>IFERROR(__xludf.DUMMYFUNCTION("""COMPUTED_VALUE"""),"Yes")</f>
        <v>Yes</v>
      </c>
      <c r="I499" s="5" t="str">
        <f>IFERROR(__xludf.DUMMYFUNCTION("""COMPUTED_VALUE"""),"Yes")</f>
        <v>Yes</v>
      </c>
      <c r="J499" s="5" t="str">
        <f>IFERROR(__xludf.DUMMYFUNCTION("""COMPUTED_VALUE"""),"Yes")</f>
        <v>Yes</v>
      </c>
      <c r="K499" s="5" t="str">
        <f>IFERROR(__xludf.DUMMYFUNCTION("""COMPUTED_VALUE"""),"Yes")</f>
        <v>Yes</v>
      </c>
      <c r="L499" s="5" t="str">
        <f>IFERROR(__xludf.DUMMYFUNCTION("""COMPUTED_VALUE"""),"Yes")</f>
        <v>Yes</v>
      </c>
      <c r="M499" s="5" t="str">
        <f>IFERROR(__xludf.DUMMYFUNCTION("""COMPUTED_VALUE"""),"Yes")</f>
        <v>Yes</v>
      </c>
      <c r="N499" s="5" t="str">
        <f>IFERROR(__xludf.DUMMYFUNCTION("""COMPUTED_VALUE"""),"Yes")</f>
        <v>Yes</v>
      </c>
      <c r="O499" s="5" t="str">
        <f>IFERROR(__xludf.DUMMYFUNCTION("""COMPUTED_VALUE"""),"Yes")</f>
        <v>Yes</v>
      </c>
      <c r="P499" s="5" t="str">
        <f>IFERROR(__xludf.DUMMYFUNCTION("""COMPUTED_VALUE"""),"Yes")</f>
        <v>Yes</v>
      </c>
      <c r="Q499" s="5" t="str">
        <f>IFERROR(__xludf.DUMMYFUNCTION("""COMPUTED_VALUE"""),"Yes")</f>
        <v>Yes</v>
      </c>
      <c r="R499" s="5" t="str">
        <f>IFERROR(__xludf.DUMMYFUNCTION("""COMPUTED_VALUE"""),"Yes")</f>
        <v>Yes</v>
      </c>
      <c r="S499" s="5" t="str">
        <f>IFERROR(__xludf.DUMMYFUNCTION("""COMPUTED_VALUE"""),"Yes")</f>
        <v>Yes</v>
      </c>
      <c r="T499" s="5" t="str">
        <f>IFERROR(__xludf.DUMMYFUNCTION("""COMPUTED_VALUE"""),"Yes")</f>
        <v>Yes</v>
      </c>
      <c r="U499" s="5" t="str">
        <f>IFERROR(__xludf.DUMMYFUNCTION("""COMPUTED_VALUE"""),"Yes")</f>
        <v>Yes</v>
      </c>
      <c r="V499" s="5" t="str">
        <f>IFERROR(__xludf.DUMMYFUNCTION("""COMPUTED_VALUE"""),"Yes")</f>
        <v>Yes</v>
      </c>
      <c r="W499" s="5" t="str">
        <f>IFERROR(__xludf.DUMMYFUNCTION("""COMPUTED_VALUE"""),"Yes")</f>
        <v>Yes</v>
      </c>
      <c r="X499" s="5"/>
      <c r="Y499" s="5"/>
      <c r="Z499" s="5"/>
      <c r="AA499" s="5"/>
      <c r="AB499" s="5"/>
      <c r="AC499" s="5" t="str">
        <f>IFERROR(__xludf.DUMMYFUNCTION("""COMPUTED_VALUE"""),"Yes")</f>
        <v>Yes</v>
      </c>
      <c r="AD499" s="5"/>
      <c r="AE499" s="5"/>
      <c r="AF499" s="5"/>
      <c r="AG499" s="5"/>
      <c r="AH499" s="5"/>
      <c r="AI499" s="5"/>
      <c r="AJ499" s="5"/>
      <c r="AK499" s="5"/>
      <c r="AL499" s="5"/>
      <c r="AM499" s="5"/>
      <c r="AN499" s="5"/>
      <c r="AO499" s="5"/>
      <c r="AP499" s="5"/>
      <c r="AQ499" s="5"/>
      <c r="AR499" s="5"/>
      <c r="AS499" s="5"/>
      <c r="AT499" s="5"/>
      <c r="AU499" s="5"/>
      <c r="AV499" s="5"/>
      <c r="AW499" s="5"/>
      <c r="AX499" s="5"/>
      <c r="AY499" s="5"/>
    </row>
    <row r="500">
      <c r="A500" s="5" t="str">
        <f>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B500" s="5">
        <f>IFERROR(__xludf.DUMMYFUNCTION("""COMPUTED_VALUE"""),529.0)</f>
        <v>529</v>
      </c>
      <c r="C500" s="5">
        <f>IFERROR(__xludf.DUMMYFUNCTION("""COMPUTED_VALUE"""),999978.0)</f>
        <v>999978</v>
      </c>
      <c r="D500" s="5" t="str">
        <f>IFERROR(__xludf.DUMMYFUNCTION("""COMPUTED_VALUE"""),"TBD-F8")</f>
        <v>TBD-F8</v>
      </c>
      <c r="E500" s="5" t="str">
        <f>IFERROR(__xludf.DUMMYFUNCTION("""COMPUTED_VALUE"""),"Yes")</f>
        <v>Yes</v>
      </c>
      <c r="F500" s="5" t="str">
        <f>IFERROR(__xludf.DUMMYFUNCTION("""COMPUTED_VALUE"""),"Yes")</f>
        <v>Yes</v>
      </c>
      <c r="G500" s="5" t="str">
        <f>IFERROR(__xludf.DUMMYFUNCTION("""COMPUTED_VALUE"""),"Yes")</f>
        <v>Yes</v>
      </c>
      <c r="H500" s="5" t="str">
        <f>IFERROR(__xludf.DUMMYFUNCTION("""COMPUTED_VALUE"""),"Yes")</f>
        <v>Yes</v>
      </c>
      <c r="I500" s="5" t="str">
        <f>IFERROR(__xludf.DUMMYFUNCTION("""COMPUTED_VALUE"""),"Yes")</f>
        <v>Yes</v>
      </c>
      <c r="J500" s="5" t="str">
        <f>IFERROR(__xludf.DUMMYFUNCTION("""COMPUTED_VALUE"""),"Yes")</f>
        <v>Yes</v>
      </c>
      <c r="K500" s="5" t="str">
        <f>IFERROR(__xludf.DUMMYFUNCTION("""COMPUTED_VALUE"""),"Yes")</f>
        <v>Yes</v>
      </c>
      <c r="L500" s="5" t="str">
        <f>IFERROR(__xludf.DUMMYFUNCTION("""COMPUTED_VALUE"""),"Yes")</f>
        <v>Yes</v>
      </c>
      <c r="M500" s="5" t="str">
        <f>IFERROR(__xludf.DUMMYFUNCTION("""COMPUTED_VALUE"""),"Yes")</f>
        <v>Yes</v>
      </c>
      <c r="N500" s="5" t="str">
        <f>IFERROR(__xludf.DUMMYFUNCTION("""COMPUTED_VALUE"""),"Yes")</f>
        <v>Yes</v>
      </c>
      <c r="O500" s="5" t="str">
        <f>IFERROR(__xludf.DUMMYFUNCTION("""COMPUTED_VALUE"""),"Yes")</f>
        <v>Yes</v>
      </c>
      <c r="P500" s="5" t="str">
        <f>IFERROR(__xludf.DUMMYFUNCTION("""COMPUTED_VALUE"""),"Yes")</f>
        <v>Yes</v>
      </c>
      <c r="Q500" s="5" t="str">
        <f>IFERROR(__xludf.DUMMYFUNCTION("""COMPUTED_VALUE"""),"Yes")</f>
        <v>Yes</v>
      </c>
      <c r="R500" s="5" t="str">
        <f>IFERROR(__xludf.DUMMYFUNCTION("""COMPUTED_VALUE"""),"Yes")</f>
        <v>Yes</v>
      </c>
      <c r="S500" s="5" t="str">
        <f>IFERROR(__xludf.DUMMYFUNCTION("""COMPUTED_VALUE"""),"Yes")</f>
        <v>Yes</v>
      </c>
      <c r="T500" s="5"/>
      <c r="U500" s="5" t="str">
        <f>IFERROR(__xludf.DUMMYFUNCTION("""COMPUTED_VALUE"""),"Yes")</f>
        <v>Yes</v>
      </c>
      <c r="V500" s="5" t="str">
        <f>IFERROR(__xludf.DUMMYFUNCTION("""COMPUTED_VALUE"""),"Yes")</f>
        <v>Yes</v>
      </c>
      <c r="W500" s="5" t="str">
        <f>IFERROR(__xludf.DUMMYFUNCTION("""COMPUTED_VALUE"""),"Yes")</f>
        <v>Yes</v>
      </c>
      <c r="X500" s="5" t="str">
        <f>IFERROR(__xludf.DUMMYFUNCTION("""COMPUTED_VALUE"""),"Yes")</f>
        <v>Yes</v>
      </c>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row>
    <row r="501">
      <c r="A501" s="5" t="str">
        <f>IFERROR(__xludf.DUMMYFUNCTION("""COMPUTED_VALUE"""),"")</f>
        <v/>
      </c>
      <c r="B501" s="5">
        <f>IFERROR(__xludf.DUMMYFUNCTION("""COMPUTED_VALUE"""),530.0)</f>
        <v>530</v>
      </c>
      <c r="C501" s="5">
        <f>IFERROR(__xludf.DUMMYFUNCTION("""COMPUTED_VALUE"""),999975.0)</f>
        <v>999975</v>
      </c>
      <c r="D501" s="5" t="str">
        <f>IFERROR(__xludf.DUMMYFUNCTION("""COMPUTED_VALUE"""),"TBD-F9")</f>
        <v>TBD-F9</v>
      </c>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row>
    <row r="502">
      <c r="A502" s="5" t="str">
        <f>IFERROR(__xludf.DUMMYFUNCTION("""COMPUTED_VALUE"""),"")</f>
        <v/>
      </c>
      <c r="B502" s="5">
        <f>IFERROR(__xludf.DUMMYFUNCTION("""COMPUTED_VALUE"""),531.0)</f>
        <v>531</v>
      </c>
      <c r="C502" s="5">
        <f>IFERROR(__xludf.DUMMYFUNCTION("""COMPUTED_VALUE"""),999974.0)</f>
        <v>999974</v>
      </c>
      <c r="D502" s="5" t="str">
        <f>IFERROR(__xludf.DUMMYFUNCTION("""COMPUTED_VALUE"""),"TBD-F10")</f>
        <v>TBD-F10</v>
      </c>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row>
    <row r="503">
      <c r="A503" s="5" t="str">
        <f>IFERROR(__xludf.DUMMYFUNCTION("""COMPUTED_VALUE"""),"")</f>
        <v/>
      </c>
      <c r="B503" s="5">
        <f>IFERROR(__xludf.DUMMYFUNCTION("""COMPUTED_VALUE"""),532.0)</f>
        <v>532</v>
      </c>
      <c r="C503" s="5">
        <f>IFERROR(__xludf.DUMMYFUNCTION("""COMPUTED_VALUE"""),999973.0)</f>
        <v>999973</v>
      </c>
      <c r="D503" s="5" t="str">
        <f>IFERROR(__xludf.DUMMYFUNCTION("""COMPUTED_VALUE"""),"TBD-F11")</f>
        <v>TBD-F11</v>
      </c>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row>
    <row r="504">
      <c r="A504" s="5" t="str">
        <f>IFERROR(__xludf.DUMMYFUNCTION("""COMPUTED_VALUE"""),"")</f>
        <v/>
      </c>
      <c r="B504" s="5">
        <f>IFERROR(__xludf.DUMMYFUNCTION("""COMPUTED_VALUE"""),533.0)</f>
        <v>533</v>
      </c>
      <c r="C504" s="5">
        <f>IFERROR(__xludf.DUMMYFUNCTION("""COMPUTED_VALUE"""),999972.0)</f>
        <v>999972</v>
      </c>
      <c r="D504" s="5" t="str">
        <f>IFERROR(__xludf.DUMMYFUNCTION("""COMPUTED_VALUE"""),"TBD-F12")</f>
        <v>TBD-F12</v>
      </c>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row>
    <row r="505">
      <c r="A505" s="5" t="str">
        <f>IFERROR(__xludf.DUMMYFUNCTION("""COMPUTED_VALUE"""),"")</f>
        <v/>
      </c>
      <c r="B505" s="5">
        <f>IFERROR(__xludf.DUMMYFUNCTION("""COMPUTED_VALUE"""),534.0)</f>
        <v>534</v>
      </c>
      <c r="C505" s="5">
        <f>IFERROR(__xludf.DUMMYFUNCTION("""COMPUTED_VALUE"""),999971.0)</f>
        <v>999971</v>
      </c>
      <c r="D505" s="5" t="str">
        <f>IFERROR(__xludf.DUMMYFUNCTION("""COMPUTED_VALUE"""),"TBD-F13")</f>
        <v>TBD-F13</v>
      </c>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row>
    <row r="506">
      <c r="A50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6" s="5">
        <f>IFERROR(__xludf.DUMMYFUNCTION("""COMPUTED_VALUE"""),536.0)</f>
        <v>536</v>
      </c>
      <c r="C506" s="5">
        <f>IFERROR(__xludf.DUMMYFUNCTION("""COMPUTED_VALUE"""),180023.0)</f>
        <v>180023</v>
      </c>
      <c r="D506" s="5" t="str">
        <f>IFERROR(__xludf.DUMMYFUNCTION("""COMPUTED_VALUE"""),"Redstone40WildCrown")</f>
        <v>Redstone40WildCrown</v>
      </c>
      <c r="E506" s="5" t="str">
        <f>IFERROR(__xludf.DUMMYFUNCTION("""COMPUTED_VALUE"""),"Yes")</f>
        <v>Yes</v>
      </c>
      <c r="F506" s="5" t="str">
        <f>IFERROR(__xludf.DUMMYFUNCTION("""COMPUTED_VALUE"""),"Yes")</f>
        <v>Yes</v>
      </c>
      <c r="G506" s="5" t="str">
        <f>IFERROR(__xludf.DUMMYFUNCTION("""COMPUTED_VALUE"""),"Yes")</f>
        <v>Yes</v>
      </c>
      <c r="H506" s="5" t="str">
        <f>IFERROR(__xludf.DUMMYFUNCTION("""COMPUTED_VALUE"""),"Yes")</f>
        <v>Yes</v>
      </c>
      <c r="I506" s="5" t="str">
        <f>IFERROR(__xludf.DUMMYFUNCTION("""COMPUTED_VALUE"""),"Yes")</f>
        <v>Yes</v>
      </c>
      <c r="J506" s="5" t="str">
        <f>IFERROR(__xludf.DUMMYFUNCTION("""COMPUTED_VALUE"""),"Yes")</f>
        <v>Yes</v>
      </c>
      <c r="K506" s="5" t="str">
        <f>IFERROR(__xludf.DUMMYFUNCTION("""COMPUTED_VALUE"""),"Yes")</f>
        <v>Yes</v>
      </c>
      <c r="L506" s="5" t="str">
        <f>IFERROR(__xludf.DUMMYFUNCTION("""COMPUTED_VALUE"""),"Yes")</f>
        <v>Yes</v>
      </c>
      <c r="M506" s="5" t="str">
        <f>IFERROR(__xludf.DUMMYFUNCTION("""COMPUTED_VALUE"""),"Yes")</f>
        <v>Yes</v>
      </c>
      <c r="N506" s="5" t="str">
        <f>IFERROR(__xludf.DUMMYFUNCTION("""COMPUTED_VALUE"""),"Yes")</f>
        <v>Yes</v>
      </c>
      <c r="O506" s="5" t="str">
        <f>IFERROR(__xludf.DUMMYFUNCTION("""COMPUTED_VALUE"""),"Yes")</f>
        <v>Yes</v>
      </c>
      <c r="P506" s="5" t="str">
        <f>IFERROR(__xludf.DUMMYFUNCTION("""COMPUTED_VALUE"""),"Yes")</f>
        <v>Yes</v>
      </c>
      <c r="Q506" s="5" t="str">
        <f>IFERROR(__xludf.DUMMYFUNCTION("""COMPUTED_VALUE"""),"Yes")</f>
        <v>Yes</v>
      </c>
      <c r="R506" s="5" t="str">
        <f>IFERROR(__xludf.DUMMYFUNCTION("""COMPUTED_VALUE"""),"Yes")</f>
        <v>Yes</v>
      </c>
      <c r="S506" s="5" t="str">
        <f>IFERROR(__xludf.DUMMYFUNCTION("""COMPUTED_VALUE"""),"Yes")</f>
        <v>Yes</v>
      </c>
      <c r="T506" s="5" t="str">
        <f>IFERROR(__xludf.DUMMYFUNCTION("""COMPUTED_VALUE"""),"No")</f>
        <v>No</v>
      </c>
      <c r="U506" s="5" t="str">
        <f>IFERROR(__xludf.DUMMYFUNCTION("""COMPUTED_VALUE"""),"No")</f>
        <v>No</v>
      </c>
      <c r="V506" s="5" t="str">
        <f>IFERROR(__xludf.DUMMYFUNCTION("""COMPUTED_VALUE"""),"No")</f>
        <v>No</v>
      </c>
      <c r="W506" s="5" t="str">
        <f>IFERROR(__xludf.DUMMYFUNCTION("""COMPUTED_VALUE"""),"No")</f>
        <v>No</v>
      </c>
      <c r="X506" s="5" t="str">
        <f>IFERROR(__xludf.DUMMYFUNCTION("""COMPUTED_VALUE"""),"No")</f>
        <v>No</v>
      </c>
      <c r="Y506" s="5" t="str">
        <f>IFERROR(__xludf.DUMMYFUNCTION("""COMPUTED_VALUE"""),"No")</f>
        <v>No</v>
      </c>
      <c r="Z506" s="5" t="str">
        <f>IFERROR(__xludf.DUMMYFUNCTION("""COMPUTED_VALUE"""),"No")</f>
        <v>No</v>
      </c>
      <c r="AA506" s="5" t="str">
        <f>IFERROR(__xludf.DUMMYFUNCTION("""COMPUTED_VALUE"""),"Yes")</f>
        <v>Yes</v>
      </c>
      <c r="AB506" s="5" t="str">
        <f>IFERROR(__xludf.DUMMYFUNCTION("""COMPUTED_VALUE"""),"No")</f>
        <v>No</v>
      </c>
      <c r="AC506" s="5" t="str">
        <f>IFERROR(__xludf.DUMMYFUNCTION("""COMPUTED_VALUE"""),"No")</f>
        <v>No</v>
      </c>
      <c r="AD506" s="5" t="str">
        <f>IFERROR(__xludf.DUMMYFUNCTION("""COMPUTED_VALUE"""),"No")</f>
        <v>No</v>
      </c>
      <c r="AE506" s="5" t="str">
        <f>IFERROR(__xludf.DUMMYFUNCTION("""COMPUTED_VALUE"""),"No")</f>
        <v>No</v>
      </c>
      <c r="AF506" s="5" t="str">
        <f>IFERROR(__xludf.DUMMYFUNCTION("""COMPUTED_VALUE"""),"Yes")</f>
        <v>Yes</v>
      </c>
      <c r="AG506" s="5" t="str">
        <f>IFERROR(__xludf.DUMMYFUNCTION("""COMPUTED_VALUE"""),"No")</f>
        <v>No</v>
      </c>
      <c r="AH506" s="5" t="str">
        <f>IFERROR(__xludf.DUMMYFUNCTION("""COMPUTED_VALUE"""),"Yes")</f>
        <v>Yes</v>
      </c>
      <c r="AI506" s="5" t="str">
        <f>IFERROR(__xludf.DUMMYFUNCTION("""COMPUTED_VALUE"""),"No")</f>
        <v>No</v>
      </c>
      <c r="AJ506" s="5" t="str">
        <f>IFERROR(__xludf.DUMMYFUNCTION("""COMPUTED_VALUE"""),"No")</f>
        <v>No</v>
      </c>
      <c r="AK506" s="5" t="str">
        <f>IFERROR(__xludf.DUMMYFUNCTION("""COMPUTED_VALUE"""),"No")</f>
        <v>No</v>
      </c>
      <c r="AL506" s="5" t="str">
        <f>IFERROR(__xludf.DUMMYFUNCTION("""COMPUTED_VALUE"""),"No")</f>
        <v>No</v>
      </c>
      <c r="AM506" s="5"/>
      <c r="AN506" s="5"/>
      <c r="AO506" s="5"/>
      <c r="AP506" s="5"/>
      <c r="AQ506" s="5"/>
      <c r="AR506" s="5"/>
      <c r="AS506" s="5"/>
      <c r="AT506" s="5"/>
      <c r="AU506" s="5"/>
      <c r="AV506" s="5"/>
      <c r="AW506" s="5"/>
      <c r="AX506" s="5"/>
      <c r="AY506" s="5"/>
    </row>
    <row r="507">
      <c r="A507"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7" s="5">
        <f>IFERROR(__xludf.DUMMYFUNCTION("""COMPUTED_VALUE"""),537.0)</f>
        <v>537</v>
      </c>
      <c r="C507" s="5">
        <f>IFERROR(__xludf.DUMMYFUNCTION("""COMPUTED_VALUE"""),180024.0)</f>
        <v>180024</v>
      </c>
      <c r="D507" s="5" t="str">
        <f>IFERROR(__xludf.DUMMYFUNCTION("""COMPUTED_VALUE"""),"RedstoneDoubleCrown5")</f>
        <v>RedstoneDoubleCrown5</v>
      </c>
      <c r="E507" s="5" t="str">
        <f>IFERROR(__xludf.DUMMYFUNCTION("""COMPUTED_VALUE"""),"Yes")</f>
        <v>Yes</v>
      </c>
      <c r="F507" s="5" t="str">
        <f>IFERROR(__xludf.DUMMYFUNCTION("""COMPUTED_VALUE"""),"Yes")</f>
        <v>Yes</v>
      </c>
      <c r="G507" s="5" t="str">
        <f>IFERROR(__xludf.DUMMYFUNCTION("""COMPUTED_VALUE"""),"Yes")</f>
        <v>Yes</v>
      </c>
      <c r="H507" s="5" t="str">
        <f>IFERROR(__xludf.DUMMYFUNCTION("""COMPUTED_VALUE"""),"Yes")</f>
        <v>Yes</v>
      </c>
      <c r="I507" s="5" t="str">
        <f>IFERROR(__xludf.DUMMYFUNCTION("""COMPUTED_VALUE"""),"Yes")</f>
        <v>Yes</v>
      </c>
      <c r="J507" s="5" t="str">
        <f>IFERROR(__xludf.DUMMYFUNCTION("""COMPUTED_VALUE"""),"Yes")</f>
        <v>Yes</v>
      </c>
      <c r="K507" s="5" t="str">
        <f>IFERROR(__xludf.DUMMYFUNCTION("""COMPUTED_VALUE"""),"Yes")</f>
        <v>Yes</v>
      </c>
      <c r="L507" s="5" t="str">
        <f>IFERROR(__xludf.DUMMYFUNCTION("""COMPUTED_VALUE"""),"Yes")</f>
        <v>Yes</v>
      </c>
      <c r="M507" s="5" t="str">
        <f>IFERROR(__xludf.DUMMYFUNCTION("""COMPUTED_VALUE"""),"Yes")</f>
        <v>Yes</v>
      </c>
      <c r="N507" s="5" t="str">
        <f>IFERROR(__xludf.DUMMYFUNCTION("""COMPUTED_VALUE"""),"Yes")</f>
        <v>Yes</v>
      </c>
      <c r="O507" s="5" t="str">
        <f>IFERROR(__xludf.DUMMYFUNCTION("""COMPUTED_VALUE"""),"Yes")</f>
        <v>Yes</v>
      </c>
      <c r="P507" s="5" t="str">
        <f>IFERROR(__xludf.DUMMYFUNCTION("""COMPUTED_VALUE"""),"Yes")</f>
        <v>Yes</v>
      </c>
      <c r="Q507" s="5" t="str">
        <f>IFERROR(__xludf.DUMMYFUNCTION("""COMPUTED_VALUE"""),"Yes")</f>
        <v>Yes</v>
      </c>
      <c r="R507" s="5" t="str">
        <f>IFERROR(__xludf.DUMMYFUNCTION("""COMPUTED_VALUE"""),"Yes")</f>
        <v>Yes</v>
      </c>
      <c r="S507" s="5" t="str">
        <f>IFERROR(__xludf.DUMMYFUNCTION("""COMPUTED_VALUE"""),"Yes")</f>
        <v>Yes</v>
      </c>
      <c r="T507" s="5" t="str">
        <f>IFERROR(__xludf.DUMMYFUNCTION("""COMPUTED_VALUE"""),"No")</f>
        <v>No</v>
      </c>
      <c r="U507" s="5" t="str">
        <f>IFERROR(__xludf.DUMMYFUNCTION("""COMPUTED_VALUE"""),"No")</f>
        <v>No</v>
      </c>
      <c r="V507" s="5" t="str">
        <f>IFERROR(__xludf.DUMMYFUNCTION("""COMPUTED_VALUE"""),"No")</f>
        <v>No</v>
      </c>
      <c r="W507" s="5" t="str">
        <f>IFERROR(__xludf.DUMMYFUNCTION("""COMPUTED_VALUE"""),"No")</f>
        <v>No</v>
      </c>
      <c r="X507" s="5" t="str">
        <f>IFERROR(__xludf.DUMMYFUNCTION("""COMPUTED_VALUE"""),"No")</f>
        <v>No</v>
      </c>
      <c r="Y507" s="5" t="str">
        <f>IFERROR(__xludf.DUMMYFUNCTION("""COMPUTED_VALUE"""),"No")</f>
        <v>No</v>
      </c>
      <c r="Z507" s="5" t="str">
        <f>IFERROR(__xludf.DUMMYFUNCTION("""COMPUTED_VALUE"""),"No")</f>
        <v>No</v>
      </c>
      <c r="AA507" s="5" t="str">
        <f>IFERROR(__xludf.DUMMYFUNCTION("""COMPUTED_VALUE"""),"Yes")</f>
        <v>Yes</v>
      </c>
      <c r="AB507" s="5" t="str">
        <f>IFERROR(__xludf.DUMMYFUNCTION("""COMPUTED_VALUE"""),"No")</f>
        <v>No</v>
      </c>
      <c r="AC507" s="5" t="str">
        <f>IFERROR(__xludf.DUMMYFUNCTION("""COMPUTED_VALUE"""),"No")</f>
        <v>No</v>
      </c>
      <c r="AD507" s="5" t="str">
        <f>IFERROR(__xludf.DUMMYFUNCTION("""COMPUTED_VALUE"""),"No")</f>
        <v>No</v>
      </c>
      <c r="AE507" s="5" t="str">
        <f>IFERROR(__xludf.DUMMYFUNCTION("""COMPUTED_VALUE"""),"No")</f>
        <v>No</v>
      </c>
      <c r="AF507" s="5" t="str">
        <f>IFERROR(__xludf.DUMMYFUNCTION("""COMPUTED_VALUE"""),"Yes")</f>
        <v>Yes</v>
      </c>
      <c r="AG507" s="5" t="str">
        <f>IFERROR(__xludf.DUMMYFUNCTION("""COMPUTED_VALUE"""),"No")</f>
        <v>No</v>
      </c>
      <c r="AH507" s="5" t="str">
        <f>IFERROR(__xludf.DUMMYFUNCTION("""COMPUTED_VALUE"""),"Yes")</f>
        <v>Yes</v>
      </c>
      <c r="AI507" s="5" t="str">
        <f>IFERROR(__xludf.DUMMYFUNCTION("""COMPUTED_VALUE"""),"No")</f>
        <v>No</v>
      </c>
      <c r="AJ507" s="5" t="str">
        <f>IFERROR(__xludf.DUMMYFUNCTION("""COMPUTED_VALUE"""),"No")</f>
        <v>No</v>
      </c>
      <c r="AK507" s="5" t="str">
        <f>IFERROR(__xludf.DUMMYFUNCTION("""COMPUTED_VALUE"""),"No")</f>
        <v>No</v>
      </c>
      <c r="AL507" s="5" t="str">
        <f>IFERROR(__xludf.DUMMYFUNCTION("""COMPUTED_VALUE"""),"No")</f>
        <v>No</v>
      </c>
      <c r="AM507" s="5"/>
      <c r="AN507" s="5"/>
      <c r="AO507" s="5"/>
      <c r="AP507" s="5"/>
      <c r="AQ507" s="5"/>
      <c r="AR507" s="5"/>
      <c r="AS507" s="5"/>
      <c r="AT507" s="5"/>
      <c r="AU507" s="5"/>
      <c r="AV507" s="5"/>
      <c r="AW507" s="5"/>
      <c r="AX507" s="5"/>
      <c r="AY507" s="5"/>
    </row>
    <row r="508">
      <c r="A50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8" s="5">
        <f>IFERROR(__xludf.DUMMYFUNCTION("""COMPUTED_VALUE"""),538.0)</f>
        <v>538</v>
      </c>
      <c r="C508" s="5">
        <f>IFERROR(__xludf.DUMMYFUNCTION("""COMPUTED_VALUE"""),180025.0)</f>
        <v>180025</v>
      </c>
      <c r="D508" s="5" t="str">
        <f>IFERROR(__xludf.DUMMYFUNCTION("""COMPUTED_VALUE"""),"RedstoneHeartRoyale")</f>
        <v>RedstoneHeartRoyale</v>
      </c>
      <c r="E508" s="5" t="str">
        <f>IFERROR(__xludf.DUMMYFUNCTION("""COMPUTED_VALUE"""),"Yes")</f>
        <v>Yes</v>
      </c>
      <c r="F508" s="5" t="str">
        <f>IFERROR(__xludf.DUMMYFUNCTION("""COMPUTED_VALUE"""),"Yes")</f>
        <v>Yes</v>
      </c>
      <c r="G508" s="5" t="str">
        <f>IFERROR(__xludf.DUMMYFUNCTION("""COMPUTED_VALUE"""),"No")</f>
        <v>No</v>
      </c>
      <c r="H508" s="5" t="str">
        <f>IFERROR(__xludf.DUMMYFUNCTION("""COMPUTED_VALUE"""),"Yes")</f>
        <v>Yes</v>
      </c>
      <c r="I508" s="5" t="str">
        <f>IFERROR(__xludf.DUMMYFUNCTION("""COMPUTED_VALUE"""),"Yes")</f>
        <v>Yes</v>
      </c>
      <c r="J508" s="5" t="str">
        <f>IFERROR(__xludf.DUMMYFUNCTION("""COMPUTED_VALUE"""),"Yes")</f>
        <v>Yes</v>
      </c>
      <c r="K508" s="5" t="str">
        <f>IFERROR(__xludf.DUMMYFUNCTION("""COMPUTED_VALUE"""),"Yes")</f>
        <v>Yes</v>
      </c>
      <c r="L508" s="5" t="str">
        <f>IFERROR(__xludf.DUMMYFUNCTION("""COMPUTED_VALUE"""),"Yes")</f>
        <v>Yes</v>
      </c>
      <c r="M508" s="5" t="str">
        <f>IFERROR(__xludf.DUMMYFUNCTION("""COMPUTED_VALUE"""),"Yes")</f>
        <v>Yes</v>
      </c>
      <c r="N508" s="5" t="str">
        <f>IFERROR(__xludf.DUMMYFUNCTION("""COMPUTED_VALUE"""),"Yes")</f>
        <v>Yes</v>
      </c>
      <c r="O508" s="5" t="str">
        <f>IFERROR(__xludf.DUMMYFUNCTION("""COMPUTED_VALUE"""),"Yes")</f>
        <v>Yes</v>
      </c>
      <c r="P508" s="5" t="str">
        <f>IFERROR(__xludf.DUMMYFUNCTION("""COMPUTED_VALUE"""),"Yes")</f>
        <v>Yes</v>
      </c>
      <c r="Q508" s="5" t="str">
        <f>IFERROR(__xludf.DUMMYFUNCTION("""COMPUTED_VALUE"""),"Yes")</f>
        <v>Yes</v>
      </c>
      <c r="R508" s="5" t="str">
        <f>IFERROR(__xludf.DUMMYFUNCTION("""COMPUTED_VALUE"""),"Yes")</f>
        <v>Yes</v>
      </c>
      <c r="S508" s="5" t="str">
        <f>IFERROR(__xludf.DUMMYFUNCTION("""COMPUTED_VALUE"""),"Yes")</f>
        <v>Yes</v>
      </c>
      <c r="T508" s="5" t="str">
        <f>IFERROR(__xludf.DUMMYFUNCTION("""COMPUTED_VALUE"""),"No")</f>
        <v>No</v>
      </c>
      <c r="U508" s="5" t="str">
        <f>IFERROR(__xludf.DUMMYFUNCTION("""COMPUTED_VALUE"""),"No")</f>
        <v>No</v>
      </c>
      <c r="V508" s="5" t="str">
        <f>IFERROR(__xludf.DUMMYFUNCTION("""COMPUTED_VALUE"""),"No")</f>
        <v>No</v>
      </c>
      <c r="W508" s="5" t="str">
        <f>IFERROR(__xludf.DUMMYFUNCTION("""COMPUTED_VALUE"""),"No")</f>
        <v>No</v>
      </c>
      <c r="X508" s="5" t="str">
        <f>IFERROR(__xludf.DUMMYFUNCTION("""COMPUTED_VALUE"""),"No")</f>
        <v>No</v>
      </c>
      <c r="Y508" s="5" t="str">
        <f>IFERROR(__xludf.DUMMYFUNCTION("""COMPUTED_VALUE"""),"No")</f>
        <v>No</v>
      </c>
      <c r="Z508" s="5" t="str">
        <f>IFERROR(__xludf.DUMMYFUNCTION("""COMPUTED_VALUE"""),"No")</f>
        <v>No</v>
      </c>
      <c r="AA508" s="5" t="str">
        <f>IFERROR(__xludf.DUMMYFUNCTION("""COMPUTED_VALUE"""),"Yes")</f>
        <v>Yes</v>
      </c>
      <c r="AB508" s="5" t="str">
        <f>IFERROR(__xludf.DUMMYFUNCTION("""COMPUTED_VALUE"""),"No")</f>
        <v>No</v>
      </c>
      <c r="AC508" s="5" t="str">
        <f>IFERROR(__xludf.DUMMYFUNCTION("""COMPUTED_VALUE"""),"No")</f>
        <v>No</v>
      </c>
      <c r="AD508" s="5" t="str">
        <f>IFERROR(__xludf.DUMMYFUNCTION("""COMPUTED_VALUE"""),"No")</f>
        <v>No</v>
      </c>
      <c r="AE508" s="5" t="str">
        <f>IFERROR(__xludf.DUMMYFUNCTION("""COMPUTED_VALUE"""),"No")</f>
        <v>No</v>
      </c>
      <c r="AF508" s="5" t="str">
        <f>IFERROR(__xludf.DUMMYFUNCTION("""COMPUTED_VALUE"""),"Yes")</f>
        <v>Yes</v>
      </c>
      <c r="AG508" s="5" t="str">
        <f>IFERROR(__xludf.DUMMYFUNCTION("""COMPUTED_VALUE"""),"No")</f>
        <v>No</v>
      </c>
      <c r="AH508" s="5" t="str">
        <f>IFERROR(__xludf.DUMMYFUNCTION("""COMPUTED_VALUE"""),"Yes")</f>
        <v>Yes</v>
      </c>
      <c r="AI508" s="5" t="str">
        <f>IFERROR(__xludf.DUMMYFUNCTION("""COMPUTED_VALUE"""),"No")</f>
        <v>No</v>
      </c>
      <c r="AJ508" s="5" t="str">
        <f>IFERROR(__xludf.DUMMYFUNCTION("""COMPUTED_VALUE"""),"No")</f>
        <v>No</v>
      </c>
      <c r="AK508" s="5" t="str">
        <f>IFERROR(__xludf.DUMMYFUNCTION("""COMPUTED_VALUE"""),"No")</f>
        <v>No</v>
      </c>
      <c r="AL508" s="5" t="str">
        <f>IFERROR(__xludf.DUMMYFUNCTION("""COMPUTED_VALUE"""),"No")</f>
        <v>No</v>
      </c>
      <c r="AM508" s="5"/>
      <c r="AN508" s="5"/>
      <c r="AO508" s="5"/>
      <c r="AP508" s="5"/>
      <c r="AQ508" s="5"/>
      <c r="AR508" s="5"/>
      <c r="AS508" s="5"/>
      <c r="AT508" s="5"/>
      <c r="AU508" s="5"/>
      <c r="AV508" s="5"/>
      <c r="AW508" s="5"/>
      <c r="AX508" s="5"/>
      <c r="AY508" s="5"/>
    </row>
    <row r="509">
      <c r="A50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9" s="5">
        <f>IFERROR(__xludf.DUMMYFUNCTION("""COMPUTED_VALUE"""),539.0)</f>
        <v>539</v>
      </c>
      <c r="C509" s="5">
        <f>IFERROR(__xludf.DUMMYFUNCTION("""COMPUTED_VALUE"""),180026.0)</f>
        <v>180026</v>
      </c>
      <c r="D509" s="5" t="str">
        <f>IFERROR(__xludf.DUMMYFUNCTION("""COMPUTED_VALUE"""),"RedstoneReelX527Ways")</f>
        <v>RedstoneReelX527Ways</v>
      </c>
      <c r="E509" s="5" t="str">
        <f>IFERROR(__xludf.DUMMYFUNCTION("""COMPUTED_VALUE"""),"Yes")</f>
        <v>Yes</v>
      </c>
      <c r="F509" s="5" t="str">
        <f>IFERROR(__xludf.DUMMYFUNCTION("""COMPUTED_VALUE"""),"Yes")</f>
        <v>Yes</v>
      </c>
      <c r="G509" s="5" t="str">
        <f>IFERROR(__xludf.DUMMYFUNCTION("""COMPUTED_VALUE"""),"No")</f>
        <v>No</v>
      </c>
      <c r="H509" s="5" t="str">
        <f>IFERROR(__xludf.DUMMYFUNCTION("""COMPUTED_VALUE"""),"Yes")</f>
        <v>Yes</v>
      </c>
      <c r="I509" s="5" t="str">
        <f>IFERROR(__xludf.DUMMYFUNCTION("""COMPUTED_VALUE"""),"Yes")</f>
        <v>Yes</v>
      </c>
      <c r="J509" s="5" t="str">
        <f>IFERROR(__xludf.DUMMYFUNCTION("""COMPUTED_VALUE"""),"Yes")</f>
        <v>Yes</v>
      </c>
      <c r="K509" s="5" t="str">
        <f>IFERROR(__xludf.DUMMYFUNCTION("""COMPUTED_VALUE"""),"Yes")</f>
        <v>Yes</v>
      </c>
      <c r="L509" s="5" t="str">
        <f>IFERROR(__xludf.DUMMYFUNCTION("""COMPUTED_VALUE"""),"Yes")</f>
        <v>Yes</v>
      </c>
      <c r="M509" s="5" t="str">
        <f>IFERROR(__xludf.DUMMYFUNCTION("""COMPUTED_VALUE"""),"Yes")</f>
        <v>Yes</v>
      </c>
      <c r="N509" s="5" t="str">
        <f>IFERROR(__xludf.DUMMYFUNCTION("""COMPUTED_VALUE"""),"Yes")</f>
        <v>Yes</v>
      </c>
      <c r="O509" s="5" t="str">
        <f>IFERROR(__xludf.DUMMYFUNCTION("""COMPUTED_VALUE"""),"Yes")</f>
        <v>Yes</v>
      </c>
      <c r="P509" s="5" t="str">
        <f>IFERROR(__xludf.DUMMYFUNCTION("""COMPUTED_VALUE"""),"Yes")</f>
        <v>Yes</v>
      </c>
      <c r="Q509" s="5" t="str">
        <f>IFERROR(__xludf.DUMMYFUNCTION("""COMPUTED_VALUE"""),"Yes")</f>
        <v>Yes</v>
      </c>
      <c r="R509" s="5" t="str">
        <f>IFERROR(__xludf.DUMMYFUNCTION("""COMPUTED_VALUE"""),"Yes")</f>
        <v>Yes</v>
      </c>
      <c r="S509" s="5" t="str">
        <f>IFERROR(__xludf.DUMMYFUNCTION("""COMPUTED_VALUE"""),"Yes")</f>
        <v>Yes</v>
      </c>
      <c r="T509" s="5" t="str">
        <f>IFERROR(__xludf.DUMMYFUNCTION("""COMPUTED_VALUE"""),"No")</f>
        <v>No</v>
      </c>
      <c r="U509" s="5" t="str">
        <f>IFERROR(__xludf.DUMMYFUNCTION("""COMPUTED_VALUE"""),"No")</f>
        <v>No</v>
      </c>
      <c r="V509" s="5" t="str">
        <f>IFERROR(__xludf.DUMMYFUNCTION("""COMPUTED_VALUE"""),"No")</f>
        <v>No</v>
      </c>
      <c r="W509" s="5" t="str">
        <f>IFERROR(__xludf.DUMMYFUNCTION("""COMPUTED_VALUE"""),"No")</f>
        <v>No</v>
      </c>
      <c r="X509" s="5" t="str">
        <f>IFERROR(__xludf.DUMMYFUNCTION("""COMPUTED_VALUE"""),"No")</f>
        <v>No</v>
      </c>
      <c r="Y509" s="5" t="str">
        <f>IFERROR(__xludf.DUMMYFUNCTION("""COMPUTED_VALUE"""),"No")</f>
        <v>No</v>
      </c>
      <c r="Z509" s="5" t="str">
        <f>IFERROR(__xludf.DUMMYFUNCTION("""COMPUTED_VALUE"""),"No")</f>
        <v>No</v>
      </c>
      <c r="AA509" s="5" t="str">
        <f>IFERROR(__xludf.DUMMYFUNCTION("""COMPUTED_VALUE"""),"Yes")</f>
        <v>Yes</v>
      </c>
      <c r="AB509" s="5" t="str">
        <f>IFERROR(__xludf.DUMMYFUNCTION("""COMPUTED_VALUE"""),"No")</f>
        <v>No</v>
      </c>
      <c r="AC509" s="5" t="str">
        <f>IFERROR(__xludf.DUMMYFUNCTION("""COMPUTED_VALUE"""),"No")</f>
        <v>No</v>
      </c>
      <c r="AD509" s="5" t="str">
        <f>IFERROR(__xludf.DUMMYFUNCTION("""COMPUTED_VALUE"""),"No")</f>
        <v>No</v>
      </c>
      <c r="AE509" s="5" t="str">
        <f>IFERROR(__xludf.DUMMYFUNCTION("""COMPUTED_VALUE"""),"No")</f>
        <v>No</v>
      </c>
      <c r="AF509" s="5" t="str">
        <f>IFERROR(__xludf.DUMMYFUNCTION("""COMPUTED_VALUE"""),"Yes")</f>
        <v>Yes</v>
      </c>
      <c r="AG509" s="5" t="str">
        <f>IFERROR(__xludf.DUMMYFUNCTION("""COMPUTED_VALUE"""),"No")</f>
        <v>No</v>
      </c>
      <c r="AH509" s="5" t="str">
        <f>IFERROR(__xludf.DUMMYFUNCTION("""COMPUTED_VALUE"""),"Yes")</f>
        <v>Yes</v>
      </c>
      <c r="AI509" s="5" t="str">
        <f>IFERROR(__xludf.DUMMYFUNCTION("""COMPUTED_VALUE"""),"No")</f>
        <v>No</v>
      </c>
      <c r="AJ509" s="5" t="str">
        <f>IFERROR(__xludf.DUMMYFUNCTION("""COMPUTED_VALUE"""),"No")</f>
        <v>No</v>
      </c>
      <c r="AK509" s="5" t="str">
        <f>IFERROR(__xludf.DUMMYFUNCTION("""COMPUTED_VALUE"""),"No")</f>
        <v>No</v>
      </c>
      <c r="AL509" s="5" t="str">
        <f>IFERROR(__xludf.DUMMYFUNCTION("""COMPUTED_VALUE"""),"No")</f>
        <v>No</v>
      </c>
      <c r="AM509" s="5"/>
      <c r="AN509" s="5"/>
      <c r="AO509" s="5"/>
      <c r="AP509" s="5"/>
      <c r="AQ509" s="5"/>
      <c r="AR509" s="5"/>
      <c r="AS509" s="5"/>
      <c r="AT509" s="5"/>
      <c r="AU509" s="5"/>
      <c r="AV509" s="5"/>
      <c r="AW509" s="5"/>
      <c r="AX509" s="5"/>
      <c r="AY509" s="5"/>
    </row>
    <row r="510">
      <c r="A51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0" s="5">
        <f>IFERROR(__xludf.DUMMYFUNCTION("""COMPUTED_VALUE"""),540.0)</f>
        <v>540</v>
      </c>
      <c r="C510" s="5">
        <f>IFERROR(__xludf.DUMMYFUNCTION("""COMPUTED_VALUE"""),180027.0)</f>
        <v>180027</v>
      </c>
      <c r="D510" s="5" t="str">
        <f>IFERROR(__xludf.DUMMYFUNCTION("""COMPUTED_VALUE"""),"RedstoneCrownDrop")</f>
        <v>RedstoneCrownDrop</v>
      </c>
      <c r="E510" s="5" t="str">
        <f>IFERROR(__xludf.DUMMYFUNCTION("""COMPUTED_VALUE"""),"Yes")</f>
        <v>Yes</v>
      </c>
      <c r="F510" s="5" t="str">
        <f>IFERROR(__xludf.DUMMYFUNCTION("""COMPUTED_VALUE"""),"Yes")</f>
        <v>Yes</v>
      </c>
      <c r="G510" s="5" t="str">
        <f>IFERROR(__xludf.DUMMYFUNCTION("""COMPUTED_VALUE"""),"No")</f>
        <v>No</v>
      </c>
      <c r="H510" s="5" t="str">
        <f>IFERROR(__xludf.DUMMYFUNCTION("""COMPUTED_VALUE"""),"Yes")</f>
        <v>Yes</v>
      </c>
      <c r="I510" s="5" t="str">
        <f>IFERROR(__xludf.DUMMYFUNCTION("""COMPUTED_VALUE"""),"Yes")</f>
        <v>Yes</v>
      </c>
      <c r="J510" s="5" t="str">
        <f>IFERROR(__xludf.DUMMYFUNCTION("""COMPUTED_VALUE"""),"Yes")</f>
        <v>Yes</v>
      </c>
      <c r="K510" s="5" t="str">
        <f>IFERROR(__xludf.DUMMYFUNCTION("""COMPUTED_VALUE"""),"Yes")</f>
        <v>Yes</v>
      </c>
      <c r="L510" s="5" t="str">
        <f>IFERROR(__xludf.DUMMYFUNCTION("""COMPUTED_VALUE"""),"Yes")</f>
        <v>Yes</v>
      </c>
      <c r="M510" s="5" t="str">
        <f>IFERROR(__xludf.DUMMYFUNCTION("""COMPUTED_VALUE"""),"Yes")</f>
        <v>Yes</v>
      </c>
      <c r="N510" s="5" t="str">
        <f>IFERROR(__xludf.DUMMYFUNCTION("""COMPUTED_VALUE"""),"Yes")</f>
        <v>Yes</v>
      </c>
      <c r="O510" s="5" t="str">
        <f>IFERROR(__xludf.DUMMYFUNCTION("""COMPUTED_VALUE"""),"Yes")</f>
        <v>Yes</v>
      </c>
      <c r="P510" s="5" t="str">
        <f>IFERROR(__xludf.DUMMYFUNCTION("""COMPUTED_VALUE"""),"Yes")</f>
        <v>Yes</v>
      </c>
      <c r="Q510" s="5" t="str">
        <f>IFERROR(__xludf.DUMMYFUNCTION("""COMPUTED_VALUE"""),"Yes")</f>
        <v>Yes</v>
      </c>
      <c r="R510" s="5" t="str">
        <f>IFERROR(__xludf.DUMMYFUNCTION("""COMPUTED_VALUE"""),"Yes")</f>
        <v>Yes</v>
      </c>
      <c r="S510" s="5" t="str">
        <f>IFERROR(__xludf.DUMMYFUNCTION("""COMPUTED_VALUE"""),"Yes")</f>
        <v>Yes</v>
      </c>
      <c r="T510" s="5" t="str">
        <f>IFERROR(__xludf.DUMMYFUNCTION("""COMPUTED_VALUE"""),"No")</f>
        <v>No</v>
      </c>
      <c r="U510" s="5" t="str">
        <f>IFERROR(__xludf.DUMMYFUNCTION("""COMPUTED_VALUE"""),"No")</f>
        <v>No</v>
      </c>
      <c r="V510" s="5" t="str">
        <f>IFERROR(__xludf.DUMMYFUNCTION("""COMPUTED_VALUE"""),"No")</f>
        <v>No</v>
      </c>
      <c r="W510" s="5" t="str">
        <f>IFERROR(__xludf.DUMMYFUNCTION("""COMPUTED_VALUE"""),"No")</f>
        <v>No</v>
      </c>
      <c r="X510" s="5" t="str">
        <f>IFERROR(__xludf.DUMMYFUNCTION("""COMPUTED_VALUE"""),"No")</f>
        <v>No</v>
      </c>
      <c r="Y510" s="5" t="str">
        <f>IFERROR(__xludf.DUMMYFUNCTION("""COMPUTED_VALUE"""),"No")</f>
        <v>No</v>
      </c>
      <c r="Z510" s="5" t="str">
        <f>IFERROR(__xludf.DUMMYFUNCTION("""COMPUTED_VALUE"""),"No")</f>
        <v>No</v>
      </c>
      <c r="AA510" s="5" t="str">
        <f>IFERROR(__xludf.DUMMYFUNCTION("""COMPUTED_VALUE"""),"Yes")</f>
        <v>Yes</v>
      </c>
      <c r="AB510" s="5" t="str">
        <f>IFERROR(__xludf.DUMMYFUNCTION("""COMPUTED_VALUE"""),"No")</f>
        <v>No</v>
      </c>
      <c r="AC510" s="5" t="str">
        <f>IFERROR(__xludf.DUMMYFUNCTION("""COMPUTED_VALUE"""),"No")</f>
        <v>No</v>
      </c>
      <c r="AD510" s="5" t="str">
        <f>IFERROR(__xludf.DUMMYFUNCTION("""COMPUTED_VALUE"""),"No")</f>
        <v>No</v>
      </c>
      <c r="AE510" s="5" t="str">
        <f>IFERROR(__xludf.DUMMYFUNCTION("""COMPUTED_VALUE"""),"No")</f>
        <v>No</v>
      </c>
      <c r="AF510" s="5" t="str">
        <f>IFERROR(__xludf.DUMMYFUNCTION("""COMPUTED_VALUE"""),"Yes")</f>
        <v>Yes</v>
      </c>
      <c r="AG510" s="5" t="str">
        <f>IFERROR(__xludf.DUMMYFUNCTION("""COMPUTED_VALUE"""),"No")</f>
        <v>No</v>
      </c>
      <c r="AH510" s="5" t="str">
        <f>IFERROR(__xludf.DUMMYFUNCTION("""COMPUTED_VALUE"""),"Yes")</f>
        <v>Yes</v>
      </c>
      <c r="AI510" s="5" t="str">
        <f>IFERROR(__xludf.DUMMYFUNCTION("""COMPUTED_VALUE"""),"No")</f>
        <v>No</v>
      </c>
      <c r="AJ510" s="5" t="str">
        <f>IFERROR(__xludf.DUMMYFUNCTION("""COMPUTED_VALUE"""),"No")</f>
        <v>No</v>
      </c>
      <c r="AK510" s="5" t="str">
        <f>IFERROR(__xludf.DUMMYFUNCTION("""COMPUTED_VALUE"""),"No")</f>
        <v>No</v>
      </c>
      <c r="AL510" s="5" t="str">
        <f>IFERROR(__xludf.DUMMYFUNCTION("""COMPUTED_VALUE"""),"No")</f>
        <v>No</v>
      </c>
      <c r="AM510" s="5"/>
      <c r="AN510" s="5"/>
      <c r="AO510" s="5"/>
      <c r="AP510" s="5"/>
      <c r="AQ510" s="5"/>
      <c r="AR510" s="5"/>
      <c r="AS510" s="5"/>
      <c r="AT510" s="5"/>
      <c r="AU510" s="5"/>
      <c r="AV510" s="5"/>
      <c r="AW510" s="5"/>
      <c r="AX510" s="5"/>
      <c r="AY510" s="5"/>
    </row>
    <row r="511">
      <c r="A511"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1" s="5">
        <f>IFERROR(__xludf.DUMMYFUNCTION("""COMPUTED_VALUE"""),541.0)</f>
        <v>541</v>
      </c>
      <c r="C511" s="5">
        <f>IFERROR(__xludf.DUMMYFUNCTION("""COMPUTED_VALUE"""),180028.0)</f>
        <v>180028</v>
      </c>
      <c r="D511" s="5" t="str">
        <f>IFERROR(__xludf.DUMMYFUNCTION("""COMPUTED_VALUE"""),"Redstone5CloverFire6Reels")</f>
        <v>Redstone5CloverFire6Reels</v>
      </c>
      <c r="E511" s="5" t="str">
        <f>IFERROR(__xludf.DUMMYFUNCTION("""COMPUTED_VALUE"""),"Yes")</f>
        <v>Yes</v>
      </c>
      <c r="F511" s="5" t="str">
        <f>IFERROR(__xludf.DUMMYFUNCTION("""COMPUTED_VALUE"""),"Yes")</f>
        <v>Yes</v>
      </c>
      <c r="G511" s="5" t="str">
        <f>IFERROR(__xludf.DUMMYFUNCTION("""COMPUTED_VALUE"""),"No")</f>
        <v>No</v>
      </c>
      <c r="H511" s="5" t="str">
        <f>IFERROR(__xludf.DUMMYFUNCTION("""COMPUTED_VALUE"""),"Yes")</f>
        <v>Yes</v>
      </c>
      <c r="I511" s="5" t="str">
        <f>IFERROR(__xludf.DUMMYFUNCTION("""COMPUTED_VALUE"""),"Yes")</f>
        <v>Yes</v>
      </c>
      <c r="J511" s="5" t="str">
        <f>IFERROR(__xludf.DUMMYFUNCTION("""COMPUTED_VALUE"""),"Yes")</f>
        <v>Yes</v>
      </c>
      <c r="K511" s="5" t="str">
        <f>IFERROR(__xludf.DUMMYFUNCTION("""COMPUTED_VALUE"""),"Yes")</f>
        <v>Yes</v>
      </c>
      <c r="L511" s="5" t="str">
        <f>IFERROR(__xludf.DUMMYFUNCTION("""COMPUTED_VALUE"""),"Yes")</f>
        <v>Yes</v>
      </c>
      <c r="M511" s="5" t="str">
        <f>IFERROR(__xludf.DUMMYFUNCTION("""COMPUTED_VALUE"""),"Yes")</f>
        <v>Yes</v>
      </c>
      <c r="N511" s="5" t="str">
        <f>IFERROR(__xludf.DUMMYFUNCTION("""COMPUTED_VALUE"""),"Yes")</f>
        <v>Yes</v>
      </c>
      <c r="O511" s="5" t="str">
        <f>IFERROR(__xludf.DUMMYFUNCTION("""COMPUTED_VALUE"""),"Yes")</f>
        <v>Yes</v>
      </c>
      <c r="P511" s="5" t="str">
        <f>IFERROR(__xludf.DUMMYFUNCTION("""COMPUTED_VALUE"""),"Yes")</f>
        <v>Yes</v>
      </c>
      <c r="Q511" s="5" t="str">
        <f>IFERROR(__xludf.DUMMYFUNCTION("""COMPUTED_VALUE"""),"Yes")</f>
        <v>Yes</v>
      </c>
      <c r="R511" s="5" t="str">
        <f>IFERROR(__xludf.DUMMYFUNCTION("""COMPUTED_VALUE"""),"Yes")</f>
        <v>Yes</v>
      </c>
      <c r="S511" s="5" t="str">
        <f>IFERROR(__xludf.DUMMYFUNCTION("""COMPUTED_VALUE"""),"Yes")</f>
        <v>Yes</v>
      </c>
      <c r="T511" s="5" t="str">
        <f>IFERROR(__xludf.DUMMYFUNCTION("""COMPUTED_VALUE"""),"No")</f>
        <v>No</v>
      </c>
      <c r="U511" s="5" t="str">
        <f>IFERROR(__xludf.DUMMYFUNCTION("""COMPUTED_VALUE"""),"No")</f>
        <v>No</v>
      </c>
      <c r="V511" s="5" t="str">
        <f>IFERROR(__xludf.DUMMYFUNCTION("""COMPUTED_VALUE"""),"No")</f>
        <v>No</v>
      </c>
      <c r="W511" s="5" t="str">
        <f>IFERROR(__xludf.DUMMYFUNCTION("""COMPUTED_VALUE"""),"No")</f>
        <v>No</v>
      </c>
      <c r="X511" s="5" t="str">
        <f>IFERROR(__xludf.DUMMYFUNCTION("""COMPUTED_VALUE"""),"No")</f>
        <v>No</v>
      </c>
      <c r="Y511" s="5" t="str">
        <f>IFERROR(__xludf.DUMMYFUNCTION("""COMPUTED_VALUE"""),"No")</f>
        <v>No</v>
      </c>
      <c r="Z511" s="5" t="str">
        <f>IFERROR(__xludf.DUMMYFUNCTION("""COMPUTED_VALUE"""),"No")</f>
        <v>No</v>
      </c>
      <c r="AA511" s="5" t="str">
        <f>IFERROR(__xludf.DUMMYFUNCTION("""COMPUTED_VALUE"""),"Yes")</f>
        <v>Yes</v>
      </c>
      <c r="AB511" s="5" t="str">
        <f>IFERROR(__xludf.DUMMYFUNCTION("""COMPUTED_VALUE"""),"No")</f>
        <v>No</v>
      </c>
      <c r="AC511" s="5" t="str">
        <f>IFERROR(__xludf.DUMMYFUNCTION("""COMPUTED_VALUE"""),"No")</f>
        <v>No</v>
      </c>
      <c r="AD511" s="5" t="str">
        <f>IFERROR(__xludf.DUMMYFUNCTION("""COMPUTED_VALUE"""),"No")</f>
        <v>No</v>
      </c>
      <c r="AE511" s="5" t="str">
        <f>IFERROR(__xludf.DUMMYFUNCTION("""COMPUTED_VALUE"""),"No")</f>
        <v>No</v>
      </c>
      <c r="AF511" s="5" t="str">
        <f>IFERROR(__xludf.DUMMYFUNCTION("""COMPUTED_VALUE"""),"Yes")</f>
        <v>Yes</v>
      </c>
      <c r="AG511" s="5" t="str">
        <f>IFERROR(__xludf.DUMMYFUNCTION("""COMPUTED_VALUE"""),"No")</f>
        <v>No</v>
      </c>
      <c r="AH511" s="5" t="str">
        <f>IFERROR(__xludf.DUMMYFUNCTION("""COMPUTED_VALUE"""),"Yes")</f>
        <v>Yes</v>
      </c>
      <c r="AI511" s="5" t="str">
        <f>IFERROR(__xludf.DUMMYFUNCTION("""COMPUTED_VALUE"""),"No")</f>
        <v>No</v>
      </c>
      <c r="AJ511" s="5" t="str">
        <f>IFERROR(__xludf.DUMMYFUNCTION("""COMPUTED_VALUE"""),"No")</f>
        <v>No</v>
      </c>
      <c r="AK511" s="5" t="str">
        <f>IFERROR(__xludf.DUMMYFUNCTION("""COMPUTED_VALUE"""),"No")</f>
        <v>No</v>
      </c>
      <c r="AL511" s="5" t="str">
        <f>IFERROR(__xludf.DUMMYFUNCTION("""COMPUTED_VALUE"""),"No")</f>
        <v>No</v>
      </c>
      <c r="AM511" s="5"/>
      <c r="AN511" s="5"/>
      <c r="AO511" s="5"/>
      <c r="AP511" s="5"/>
      <c r="AQ511" s="5"/>
      <c r="AR511" s="5"/>
      <c r="AS511" s="5"/>
      <c r="AT511" s="5"/>
      <c r="AU511" s="5"/>
      <c r="AV511" s="5"/>
      <c r="AW511" s="5"/>
      <c r="AX511" s="5"/>
      <c r="AY511" s="5"/>
    </row>
    <row r="512">
      <c r="A51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2" s="5">
        <f>IFERROR(__xludf.DUMMYFUNCTION("""COMPUTED_VALUE"""),542.0)</f>
        <v>542</v>
      </c>
      <c r="C512" s="5">
        <f>IFERROR(__xludf.DUMMYFUNCTION("""COMPUTED_VALUE"""),180029.0)</f>
        <v>180029</v>
      </c>
      <c r="D512" s="5" t="str">
        <f>IFERROR(__xludf.DUMMYFUNCTION("""COMPUTED_VALUE"""),"Redstone10ExtraBank")</f>
        <v>Redstone10ExtraBank</v>
      </c>
      <c r="E512" s="5" t="str">
        <f>IFERROR(__xludf.DUMMYFUNCTION("""COMPUTED_VALUE"""),"Yes")</f>
        <v>Yes</v>
      </c>
      <c r="F512" s="5" t="str">
        <f>IFERROR(__xludf.DUMMYFUNCTION("""COMPUTED_VALUE"""),"Yes")</f>
        <v>Yes</v>
      </c>
      <c r="G512" s="5" t="str">
        <f>IFERROR(__xludf.DUMMYFUNCTION("""COMPUTED_VALUE"""),"No")</f>
        <v>No</v>
      </c>
      <c r="H512" s="5" t="str">
        <f>IFERROR(__xludf.DUMMYFUNCTION("""COMPUTED_VALUE"""),"Yes")</f>
        <v>Yes</v>
      </c>
      <c r="I512" s="5" t="str">
        <f>IFERROR(__xludf.DUMMYFUNCTION("""COMPUTED_VALUE"""),"Yes")</f>
        <v>Yes</v>
      </c>
      <c r="J512" s="5" t="str">
        <f>IFERROR(__xludf.DUMMYFUNCTION("""COMPUTED_VALUE"""),"Yes")</f>
        <v>Yes</v>
      </c>
      <c r="K512" s="5" t="str">
        <f>IFERROR(__xludf.DUMMYFUNCTION("""COMPUTED_VALUE"""),"Yes")</f>
        <v>Yes</v>
      </c>
      <c r="L512" s="5" t="str">
        <f>IFERROR(__xludf.DUMMYFUNCTION("""COMPUTED_VALUE"""),"Yes")</f>
        <v>Yes</v>
      </c>
      <c r="M512" s="5" t="str">
        <f>IFERROR(__xludf.DUMMYFUNCTION("""COMPUTED_VALUE"""),"Yes")</f>
        <v>Yes</v>
      </c>
      <c r="N512" s="5" t="str">
        <f>IFERROR(__xludf.DUMMYFUNCTION("""COMPUTED_VALUE"""),"Yes")</f>
        <v>Yes</v>
      </c>
      <c r="O512" s="5" t="str">
        <f>IFERROR(__xludf.DUMMYFUNCTION("""COMPUTED_VALUE"""),"Yes")</f>
        <v>Yes</v>
      </c>
      <c r="P512" s="5" t="str">
        <f>IFERROR(__xludf.DUMMYFUNCTION("""COMPUTED_VALUE"""),"Yes")</f>
        <v>Yes</v>
      </c>
      <c r="Q512" s="5" t="str">
        <f>IFERROR(__xludf.DUMMYFUNCTION("""COMPUTED_VALUE"""),"Yes")</f>
        <v>Yes</v>
      </c>
      <c r="R512" s="5" t="str">
        <f>IFERROR(__xludf.DUMMYFUNCTION("""COMPUTED_VALUE"""),"Yes")</f>
        <v>Yes</v>
      </c>
      <c r="S512" s="5" t="str">
        <f>IFERROR(__xludf.DUMMYFUNCTION("""COMPUTED_VALUE"""),"Yes")</f>
        <v>Yes</v>
      </c>
      <c r="T512" s="5" t="str">
        <f>IFERROR(__xludf.DUMMYFUNCTION("""COMPUTED_VALUE"""),"No")</f>
        <v>No</v>
      </c>
      <c r="U512" s="5" t="str">
        <f>IFERROR(__xludf.DUMMYFUNCTION("""COMPUTED_VALUE"""),"No")</f>
        <v>No</v>
      </c>
      <c r="V512" s="5" t="str">
        <f>IFERROR(__xludf.DUMMYFUNCTION("""COMPUTED_VALUE"""),"No")</f>
        <v>No</v>
      </c>
      <c r="W512" s="5" t="str">
        <f>IFERROR(__xludf.DUMMYFUNCTION("""COMPUTED_VALUE"""),"No")</f>
        <v>No</v>
      </c>
      <c r="X512" s="5" t="str">
        <f>IFERROR(__xludf.DUMMYFUNCTION("""COMPUTED_VALUE"""),"No")</f>
        <v>No</v>
      </c>
      <c r="Y512" s="5" t="str">
        <f>IFERROR(__xludf.DUMMYFUNCTION("""COMPUTED_VALUE"""),"No")</f>
        <v>No</v>
      </c>
      <c r="Z512" s="5" t="str">
        <f>IFERROR(__xludf.DUMMYFUNCTION("""COMPUTED_VALUE"""),"No")</f>
        <v>No</v>
      </c>
      <c r="AA512" s="5" t="str">
        <f>IFERROR(__xludf.DUMMYFUNCTION("""COMPUTED_VALUE"""),"Yes")</f>
        <v>Yes</v>
      </c>
      <c r="AB512" s="5" t="str">
        <f>IFERROR(__xludf.DUMMYFUNCTION("""COMPUTED_VALUE"""),"No")</f>
        <v>No</v>
      </c>
      <c r="AC512" s="5" t="str">
        <f>IFERROR(__xludf.DUMMYFUNCTION("""COMPUTED_VALUE"""),"No")</f>
        <v>No</v>
      </c>
      <c r="AD512" s="5" t="str">
        <f>IFERROR(__xludf.DUMMYFUNCTION("""COMPUTED_VALUE"""),"No")</f>
        <v>No</v>
      </c>
      <c r="AE512" s="5" t="str">
        <f>IFERROR(__xludf.DUMMYFUNCTION("""COMPUTED_VALUE"""),"No")</f>
        <v>No</v>
      </c>
      <c r="AF512" s="5" t="str">
        <f>IFERROR(__xludf.DUMMYFUNCTION("""COMPUTED_VALUE"""),"Yes")</f>
        <v>Yes</v>
      </c>
      <c r="AG512" s="5" t="str">
        <f>IFERROR(__xludf.DUMMYFUNCTION("""COMPUTED_VALUE"""),"No")</f>
        <v>No</v>
      </c>
      <c r="AH512" s="5" t="str">
        <f>IFERROR(__xludf.DUMMYFUNCTION("""COMPUTED_VALUE"""),"Yes")</f>
        <v>Yes</v>
      </c>
      <c r="AI512" s="5" t="str">
        <f>IFERROR(__xludf.DUMMYFUNCTION("""COMPUTED_VALUE"""),"No")</f>
        <v>No</v>
      </c>
      <c r="AJ512" s="5" t="str">
        <f>IFERROR(__xludf.DUMMYFUNCTION("""COMPUTED_VALUE"""),"No")</f>
        <v>No</v>
      </c>
      <c r="AK512" s="5" t="str">
        <f>IFERROR(__xludf.DUMMYFUNCTION("""COMPUTED_VALUE"""),"No")</f>
        <v>No</v>
      </c>
      <c r="AL512" s="5" t="str">
        <f>IFERROR(__xludf.DUMMYFUNCTION("""COMPUTED_VALUE"""),"No")</f>
        <v>No</v>
      </c>
      <c r="AM512" s="5"/>
      <c r="AN512" s="5"/>
      <c r="AO512" s="5"/>
      <c r="AP512" s="5"/>
      <c r="AQ512" s="5"/>
      <c r="AR512" s="5"/>
      <c r="AS512" s="5"/>
      <c r="AT512" s="5"/>
      <c r="AU512" s="5"/>
      <c r="AV512" s="5"/>
      <c r="AW512" s="5"/>
      <c r="AX512" s="5"/>
      <c r="AY512" s="5"/>
    </row>
    <row r="513">
      <c r="A5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3" s="5">
        <f>IFERROR(__xludf.DUMMYFUNCTION("""COMPUTED_VALUE"""),543.0)</f>
        <v>543</v>
      </c>
      <c r="C513" s="5">
        <f>IFERROR(__xludf.DUMMYFUNCTION("""COMPUTED_VALUE"""),180030.0)</f>
        <v>180030</v>
      </c>
      <c r="D513" s="5" t="str">
        <f>IFERROR(__xludf.DUMMYFUNCTION("""COMPUTED_VALUE"""),"RedstoneSevensHeaven")</f>
        <v>RedstoneSevensHeaven</v>
      </c>
      <c r="E513" s="5" t="str">
        <f>IFERROR(__xludf.DUMMYFUNCTION("""COMPUTED_VALUE"""),"Yes")</f>
        <v>Yes</v>
      </c>
      <c r="F513" s="5" t="str">
        <f>IFERROR(__xludf.DUMMYFUNCTION("""COMPUTED_VALUE"""),"Yes")</f>
        <v>Yes</v>
      </c>
      <c r="G513" s="5" t="str">
        <f>IFERROR(__xludf.DUMMYFUNCTION("""COMPUTED_VALUE"""),"Yes")</f>
        <v>Yes</v>
      </c>
      <c r="H513" s="5" t="str">
        <f>IFERROR(__xludf.DUMMYFUNCTION("""COMPUTED_VALUE"""),"Yes")</f>
        <v>Yes</v>
      </c>
      <c r="I513" s="5" t="str">
        <f>IFERROR(__xludf.DUMMYFUNCTION("""COMPUTED_VALUE"""),"Yes")</f>
        <v>Yes</v>
      </c>
      <c r="J513" s="5" t="str">
        <f>IFERROR(__xludf.DUMMYFUNCTION("""COMPUTED_VALUE"""),"Yes")</f>
        <v>Yes</v>
      </c>
      <c r="K513" s="5" t="str">
        <f>IFERROR(__xludf.DUMMYFUNCTION("""COMPUTED_VALUE"""),"Yes")</f>
        <v>Yes</v>
      </c>
      <c r="L513" s="5" t="str">
        <f>IFERROR(__xludf.DUMMYFUNCTION("""COMPUTED_VALUE"""),"Yes")</f>
        <v>Yes</v>
      </c>
      <c r="M513" s="5" t="str">
        <f>IFERROR(__xludf.DUMMYFUNCTION("""COMPUTED_VALUE"""),"Yes")</f>
        <v>Yes</v>
      </c>
      <c r="N513" s="5" t="str">
        <f>IFERROR(__xludf.DUMMYFUNCTION("""COMPUTED_VALUE"""),"Yes")</f>
        <v>Yes</v>
      </c>
      <c r="O513" s="5" t="str">
        <f>IFERROR(__xludf.DUMMYFUNCTION("""COMPUTED_VALUE"""),"Yes")</f>
        <v>Yes</v>
      </c>
      <c r="P513" s="5" t="str">
        <f>IFERROR(__xludf.DUMMYFUNCTION("""COMPUTED_VALUE"""),"Yes")</f>
        <v>Yes</v>
      </c>
      <c r="Q513" s="5" t="str">
        <f>IFERROR(__xludf.DUMMYFUNCTION("""COMPUTED_VALUE"""),"Yes")</f>
        <v>Yes</v>
      </c>
      <c r="R513" s="5" t="str">
        <f>IFERROR(__xludf.DUMMYFUNCTION("""COMPUTED_VALUE"""),"Yes")</f>
        <v>Yes</v>
      </c>
      <c r="S513" s="5" t="str">
        <f>IFERROR(__xludf.DUMMYFUNCTION("""COMPUTED_VALUE"""),"Yes")</f>
        <v>Yes</v>
      </c>
      <c r="T513" s="5" t="str">
        <f>IFERROR(__xludf.DUMMYFUNCTION("""COMPUTED_VALUE"""),"Yes")</f>
        <v>Yes</v>
      </c>
      <c r="U513" s="5" t="str">
        <f>IFERROR(__xludf.DUMMYFUNCTION("""COMPUTED_VALUE"""),"Yes")</f>
        <v>Yes</v>
      </c>
      <c r="V513" s="5" t="str">
        <f>IFERROR(__xludf.DUMMYFUNCTION("""COMPUTED_VALUE"""),"Yes")</f>
        <v>Yes</v>
      </c>
      <c r="W513" s="5" t="str">
        <f>IFERROR(__xludf.DUMMYFUNCTION("""COMPUTED_VALUE"""),"Yes")</f>
        <v>Yes</v>
      </c>
      <c r="X513" s="5"/>
      <c r="Y513" s="5"/>
      <c r="Z513" s="5"/>
      <c r="AA513" s="5"/>
      <c r="AB513" s="5"/>
      <c r="AC513" s="5" t="str">
        <f>IFERROR(__xludf.DUMMYFUNCTION("""COMPUTED_VALUE"""),"Yes")</f>
        <v>Yes</v>
      </c>
      <c r="AD513" s="5"/>
      <c r="AE513" s="5"/>
      <c r="AF513" s="5"/>
      <c r="AG513" s="5"/>
      <c r="AH513" s="5"/>
      <c r="AI513" s="5"/>
      <c r="AJ513" s="5"/>
      <c r="AK513" s="5"/>
      <c r="AL513" s="5"/>
      <c r="AM513" s="5"/>
      <c r="AN513" s="5"/>
      <c r="AO513" s="5"/>
      <c r="AP513" s="5"/>
      <c r="AQ513" s="5"/>
      <c r="AR513" s="5"/>
      <c r="AS513" s="5"/>
      <c r="AT513" s="5"/>
      <c r="AU513" s="5"/>
      <c r="AV513" s="5"/>
      <c r="AW513" s="5"/>
      <c r="AX513" s="5"/>
      <c r="AY513" s="5"/>
    </row>
    <row r="514">
      <c r="A5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4" s="5">
        <f>IFERROR(__xludf.DUMMYFUNCTION("""COMPUTED_VALUE"""),544.0)</f>
        <v>544</v>
      </c>
      <c r="C514" s="5">
        <f>IFERROR(__xludf.DUMMYFUNCTION("""COMPUTED_VALUE"""),180032.0)</f>
        <v>180032</v>
      </c>
      <c r="D514" s="5" t="str">
        <f>IFERROR(__xludf.DUMMYFUNCTION("""COMPUTED_VALUE"""),"Redstone777ExtraChance")</f>
        <v>Redstone777ExtraChance</v>
      </c>
      <c r="E514" s="5" t="str">
        <f>IFERROR(__xludf.DUMMYFUNCTION("""COMPUTED_VALUE"""),"Yes")</f>
        <v>Yes</v>
      </c>
      <c r="F514" s="5" t="str">
        <f>IFERROR(__xludf.DUMMYFUNCTION("""COMPUTED_VALUE"""),"Yes")</f>
        <v>Yes</v>
      </c>
      <c r="G514" s="5" t="str">
        <f>IFERROR(__xludf.DUMMYFUNCTION("""COMPUTED_VALUE"""),"Yes")</f>
        <v>Yes</v>
      </c>
      <c r="H514" s="5" t="str">
        <f>IFERROR(__xludf.DUMMYFUNCTION("""COMPUTED_VALUE"""),"Yes")</f>
        <v>Yes</v>
      </c>
      <c r="I514" s="5" t="str">
        <f>IFERROR(__xludf.DUMMYFUNCTION("""COMPUTED_VALUE"""),"Yes")</f>
        <v>Yes</v>
      </c>
      <c r="J514" s="5" t="str">
        <f>IFERROR(__xludf.DUMMYFUNCTION("""COMPUTED_VALUE"""),"Yes")</f>
        <v>Yes</v>
      </c>
      <c r="K514" s="5" t="str">
        <f>IFERROR(__xludf.DUMMYFUNCTION("""COMPUTED_VALUE"""),"Yes")</f>
        <v>Yes</v>
      </c>
      <c r="L514" s="5" t="str">
        <f>IFERROR(__xludf.DUMMYFUNCTION("""COMPUTED_VALUE"""),"Yes")</f>
        <v>Yes</v>
      </c>
      <c r="M514" s="5" t="str">
        <f>IFERROR(__xludf.DUMMYFUNCTION("""COMPUTED_VALUE"""),"Yes")</f>
        <v>Yes</v>
      </c>
      <c r="N514" s="5" t="str">
        <f>IFERROR(__xludf.DUMMYFUNCTION("""COMPUTED_VALUE"""),"Yes")</f>
        <v>Yes</v>
      </c>
      <c r="O514" s="5" t="str">
        <f>IFERROR(__xludf.DUMMYFUNCTION("""COMPUTED_VALUE"""),"Yes")</f>
        <v>Yes</v>
      </c>
      <c r="P514" s="5" t="str">
        <f>IFERROR(__xludf.DUMMYFUNCTION("""COMPUTED_VALUE"""),"Yes")</f>
        <v>Yes</v>
      </c>
      <c r="Q514" s="5" t="str">
        <f>IFERROR(__xludf.DUMMYFUNCTION("""COMPUTED_VALUE"""),"Yes")</f>
        <v>Yes</v>
      </c>
      <c r="R514" s="5" t="str">
        <f>IFERROR(__xludf.DUMMYFUNCTION("""COMPUTED_VALUE"""),"Yes")</f>
        <v>Yes</v>
      </c>
      <c r="S514" s="5" t="str">
        <f>IFERROR(__xludf.DUMMYFUNCTION("""COMPUTED_VALUE"""),"Yes")</f>
        <v>Yes</v>
      </c>
      <c r="T514" s="5" t="str">
        <f>IFERROR(__xludf.DUMMYFUNCTION("""COMPUTED_VALUE"""),"Yes")</f>
        <v>Yes</v>
      </c>
      <c r="U514" s="5" t="str">
        <f>IFERROR(__xludf.DUMMYFUNCTION("""COMPUTED_VALUE"""),"Yes")</f>
        <v>Yes</v>
      </c>
      <c r="V514" s="5" t="str">
        <f>IFERROR(__xludf.DUMMYFUNCTION("""COMPUTED_VALUE"""),"Yes")</f>
        <v>Yes</v>
      </c>
      <c r="W514" s="5" t="str">
        <f>IFERROR(__xludf.DUMMYFUNCTION("""COMPUTED_VALUE"""),"Yes")</f>
        <v>Yes</v>
      </c>
      <c r="X514" s="5"/>
      <c r="Y514" s="5"/>
      <c r="Z514" s="5"/>
      <c r="AA514" s="5"/>
      <c r="AB514" s="5"/>
      <c r="AC514" s="5" t="str">
        <f>IFERROR(__xludf.DUMMYFUNCTION("""COMPUTED_VALUE"""),"Yes")</f>
        <v>Yes</v>
      </c>
      <c r="AD514" s="5"/>
      <c r="AE514" s="5"/>
      <c r="AF514" s="5"/>
      <c r="AG514" s="5"/>
      <c r="AH514" s="5"/>
      <c r="AI514" s="5"/>
      <c r="AJ514" s="5"/>
      <c r="AK514" s="5"/>
      <c r="AL514" s="5"/>
      <c r="AM514" s="5"/>
      <c r="AN514" s="5"/>
      <c r="AO514" s="5"/>
      <c r="AP514" s="5"/>
      <c r="AQ514" s="5"/>
      <c r="AR514" s="5"/>
      <c r="AS514" s="5"/>
      <c r="AT514" s="5"/>
      <c r="AU514" s="5"/>
      <c r="AV514" s="5"/>
      <c r="AW514" s="5"/>
      <c r="AX514" s="5"/>
      <c r="AY514" s="5"/>
    </row>
    <row r="515">
      <c r="A5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5" s="5">
        <f>IFERROR(__xludf.DUMMYFUNCTION("""COMPUTED_VALUE"""),546.0)</f>
        <v>546</v>
      </c>
      <c r="C515" s="5">
        <f>IFERROR(__xludf.DUMMYFUNCTION("""COMPUTED_VALUE"""),180035.0)</f>
        <v>180035</v>
      </c>
      <c r="D515" s="5" t="str">
        <f>IFERROR(__xludf.DUMMYFUNCTION("""COMPUTED_VALUE"""),"Redstone81RespinFire")</f>
        <v>Redstone81RespinFire</v>
      </c>
      <c r="E515" s="5" t="str">
        <f>IFERROR(__xludf.DUMMYFUNCTION("""COMPUTED_VALUE"""),"Yes")</f>
        <v>Yes</v>
      </c>
      <c r="F515" s="5" t="str">
        <f>IFERROR(__xludf.DUMMYFUNCTION("""COMPUTED_VALUE"""),"Yes")</f>
        <v>Yes</v>
      </c>
      <c r="G515" s="5" t="str">
        <f>IFERROR(__xludf.DUMMYFUNCTION("""COMPUTED_VALUE"""),"Yes")</f>
        <v>Yes</v>
      </c>
      <c r="H515" s="5" t="str">
        <f>IFERROR(__xludf.DUMMYFUNCTION("""COMPUTED_VALUE"""),"Yes")</f>
        <v>Yes</v>
      </c>
      <c r="I515" s="5" t="str">
        <f>IFERROR(__xludf.DUMMYFUNCTION("""COMPUTED_VALUE"""),"Yes")</f>
        <v>Yes</v>
      </c>
      <c r="J515" s="5" t="str">
        <f>IFERROR(__xludf.DUMMYFUNCTION("""COMPUTED_VALUE"""),"Yes")</f>
        <v>Yes</v>
      </c>
      <c r="K515" s="5" t="str">
        <f>IFERROR(__xludf.DUMMYFUNCTION("""COMPUTED_VALUE"""),"Yes")</f>
        <v>Yes</v>
      </c>
      <c r="L515" s="5" t="str">
        <f>IFERROR(__xludf.DUMMYFUNCTION("""COMPUTED_VALUE"""),"Yes")</f>
        <v>Yes</v>
      </c>
      <c r="M515" s="5" t="str">
        <f>IFERROR(__xludf.DUMMYFUNCTION("""COMPUTED_VALUE"""),"Yes")</f>
        <v>Yes</v>
      </c>
      <c r="N515" s="5" t="str">
        <f>IFERROR(__xludf.DUMMYFUNCTION("""COMPUTED_VALUE"""),"Yes")</f>
        <v>Yes</v>
      </c>
      <c r="O515" s="5" t="str">
        <f>IFERROR(__xludf.DUMMYFUNCTION("""COMPUTED_VALUE"""),"Yes")</f>
        <v>Yes</v>
      </c>
      <c r="P515" s="5" t="str">
        <f>IFERROR(__xludf.DUMMYFUNCTION("""COMPUTED_VALUE"""),"Yes")</f>
        <v>Yes</v>
      </c>
      <c r="Q515" s="5" t="str">
        <f>IFERROR(__xludf.DUMMYFUNCTION("""COMPUTED_VALUE"""),"Yes")</f>
        <v>Yes</v>
      </c>
      <c r="R515" s="5" t="str">
        <f>IFERROR(__xludf.DUMMYFUNCTION("""COMPUTED_VALUE"""),"Yes")</f>
        <v>Yes</v>
      </c>
      <c r="S515" s="5" t="str">
        <f>IFERROR(__xludf.DUMMYFUNCTION("""COMPUTED_VALUE"""),"Yes")</f>
        <v>Yes</v>
      </c>
      <c r="T515" s="5" t="str">
        <f>IFERROR(__xludf.DUMMYFUNCTION("""COMPUTED_VALUE"""),"Yes")</f>
        <v>Yes</v>
      </c>
      <c r="U515" s="5" t="str">
        <f>IFERROR(__xludf.DUMMYFUNCTION("""COMPUTED_VALUE"""),"Yes")</f>
        <v>Yes</v>
      </c>
      <c r="V515" s="5" t="str">
        <f>IFERROR(__xludf.DUMMYFUNCTION("""COMPUTED_VALUE"""),"Yes")</f>
        <v>Yes</v>
      </c>
      <c r="W515" s="5" t="str">
        <f>IFERROR(__xludf.DUMMYFUNCTION("""COMPUTED_VALUE"""),"Yes")</f>
        <v>Yes</v>
      </c>
      <c r="X515" s="5"/>
      <c r="Y515" s="5"/>
      <c r="Z515" s="5"/>
      <c r="AA515" s="5"/>
      <c r="AB515" s="5"/>
      <c r="AC515" s="5" t="str">
        <f>IFERROR(__xludf.DUMMYFUNCTION("""COMPUTED_VALUE"""),"Yes")</f>
        <v>Yes</v>
      </c>
      <c r="AD515" s="5"/>
      <c r="AE515" s="5"/>
      <c r="AF515" s="5"/>
      <c r="AG515" s="5"/>
      <c r="AH515" s="5"/>
      <c r="AI515" s="5"/>
      <c r="AJ515" s="5"/>
      <c r="AK515" s="5"/>
      <c r="AL515" s="5"/>
      <c r="AM515" s="5"/>
      <c r="AN515" s="5"/>
      <c r="AO515" s="5"/>
      <c r="AP515" s="5"/>
      <c r="AQ515" s="5"/>
      <c r="AR515" s="5"/>
      <c r="AS515" s="5"/>
      <c r="AT515" s="5"/>
      <c r="AU515" s="5"/>
      <c r="AV515" s="5"/>
      <c r="AW515" s="5"/>
      <c r="AX515" s="5"/>
      <c r="AY515" s="5"/>
    </row>
    <row r="516">
      <c r="A5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6" s="5">
        <f>IFERROR(__xludf.DUMMYFUNCTION("""COMPUTED_VALUE"""),547.0)</f>
        <v>547</v>
      </c>
      <c r="C516" s="5">
        <f>IFERROR(__xludf.DUMMYFUNCTION("""COMPUTED_VALUE"""),180036.0)</f>
        <v>180036</v>
      </c>
      <c r="D516" s="5" t="str">
        <f>IFERROR(__xludf.DUMMYFUNCTION("""COMPUTED_VALUE"""),"RedstoneHangThatWitch")</f>
        <v>RedstoneHangThatWitch</v>
      </c>
      <c r="E516" s="5" t="str">
        <f>IFERROR(__xludf.DUMMYFUNCTION("""COMPUTED_VALUE"""),"Yes")</f>
        <v>Yes</v>
      </c>
      <c r="F516" s="5" t="str">
        <f>IFERROR(__xludf.DUMMYFUNCTION("""COMPUTED_VALUE"""),"Yes")</f>
        <v>Yes</v>
      </c>
      <c r="G516" s="5" t="str">
        <f>IFERROR(__xludf.DUMMYFUNCTION("""COMPUTED_VALUE"""),"Yes")</f>
        <v>Yes</v>
      </c>
      <c r="H516" s="5" t="str">
        <f>IFERROR(__xludf.DUMMYFUNCTION("""COMPUTED_VALUE"""),"Yes")</f>
        <v>Yes</v>
      </c>
      <c r="I516" s="5" t="str">
        <f>IFERROR(__xludf.DUMMYFUNCTION("""COMPUTED_VALUE"""),"Yes")</f>
        <v>Yes</v>
      </c>
      <c r="J516" s="5" t="str">
        <f>IFERROR(__xludf.DUMMYFUNCTION("""COMPUTED_VALUE"""),"Yes")</f>
        <v>Yes</v>
      </c>
      <c r="K516" s="5" t="str">
        <f>IFERROR(__xludf.DUMMYFUNCTION("""COMPUTED_VALUE"""),"Yes")</f>
        <v>Yes</v>
      </c>
      <c r="L516" s="5" t="str">
        <f>IFERROR(__xludf.DUMMYFUNCTION("""COMPUTED_VALUE"""),"Yes")</f>
        <v>Yes</v>
      </c>
      <c r="M516" s="5" t="str">
        <f>IFERROR(__xludf.DUMMYFUNCTION("""COMPUTED_VALUE"""),"Yes")</f>
        <v>Yes</v>
      </c>
      <c r="N516" s="5" t="str">
        <f>IFERROR(__xludf.DUMMYFUNCTION("""COMPUTED_VALUE"""),"Yes")</f>
        <v>Yes</v>
      </c>
      <c r="O516" s="5" t="str">
        <f>IFERROR(__xludf.DUMMYFUNCTION("""COMPUTED_VALUE"""),"Yes")</f>
        <v>Yes</v>
      </c>
      <c r="P516" s="5" t="str">
        <f>IFERROR(__xludf.DUMMYFUNCTION("""COMPUTED_VALUE"""),"Yes")</f>
        <v>Yes</v>
      </c>
      <c r="Q516" s="5" t="str">
        <f>IFERROR(__xludf.DUMMYFUNCTION("""COMPUTED_VALUE"""),"Yes")</f>
        <v>Yes</v>
      </c>
      <c r="R516" s="5" t="str">
        <f>IFERROR(__xludf.DUMMYFUNCTION("""COMPUTED_VALUE"""),"Yes")</f>
        <v>Yes</v>
      </c>
      <c r="S516" s="5" t="str">
        <f>IFERROR(__xludf.DUMMYFUNCTION("""COMPUTED_VALUE"""),"Yes")</f>
        <v>Yes</v>
      </c>
      <c r="T516" s="5" t="str">
        <f>IFERROR(__xludf.DUMMYFUNCTION("""COMPUTED_VALUE"""),"Yes")</f>
        <v>Yes</v>
      </c>
      <c r="U516" s="5" t="str">
        <f>IFERROR(__xludf.DUMMYFUNCTION("""COMPUTED_VALUE"""),"Yes")</f>
        <v>Yes</v>
      </c>
      <c r="V516" s="5" t="str">
        <f>IFERROR(__xludf.DUMMYFUNCTION("""COMPUTED_VALUE"""),"Yes")</f>
        <v>Yes</v>
      </c>
      <c r="W516" s="5" t="str">
        <f>IFERROR(__xludf.DUMMYFUNCTION("""COMPUTED_VALUE"""),"Yes")</f>
        <v>Yes</v>
      </c>
      <c r="X516" s="5"/>
      <c r="Y516" s="5"/>
      <c r="Z516" s="5"/>
      <c r="AA516" s="5"/>
      <c r="AB516" s="5"/>
      <c r="AC516" s="5" t="str">
        <f>IFERROR(__xludf.DUMMYFUNCTION("""COMPUTED_VALUE"""),"Yes")</f>
        <v>Yes</v>
      </c>
      <c r="AD516" s="5"/>
      <c r="AE516" s="5"/>
      <c r="AF516" s="5"/>
      <c r="AG516" s="5"/>
      <c r="AH516" s="5"/>
      <c r="AI516" s="5"/>
      <c r="AJ516" s="5"/>
      <c r="AK516" s="5"/>
      <c r="AL516" s="5"/>
      <c r="AM516" s="5"/>
      <c r="AN516" s="5"/>
      <c r="AO516" s="5"/>
      <c r="AP516" s="5"/>
      <c r="AQ516" s="5"/>
      <c r="AR516" s="5"/>
      <c r="AS516" s="5"/>
      <c r="AT516" s="5"/>
      <c r="AU516" s="5"/>
      <c r="AV516" s="5"/>
      <c r="AW516" s="5"/>
      <c r="AX516" s="5"/>
      <c r="AY516" s="5"/>
    </row>
    <row r="517">
      <c r="A5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7" s="5">
        <f>IFERROR(__xludf.DUMMYFUNCTION("""COMPUTED_VALUE"""),548.0)</f>
        <v>548</v>
      </c>
      <c r="C517" s="5">
        <f>IFERROR(__xludf.DUMMYFUNCTION("""COMPUTED_VALUE"""),180003.0)</f>
        <v>180003</v>
      </c>
      <c r="D517" s="5" t="str">
        <f>IFERROR(__xludf.DUMMYFUNCTION("""COMPUTED_VALUE"""),"RedstoneDivineStrike")</f>
        <v>RedstoneDivineStrike</v>
      </c>
      <c r="E517" s="5" t="str">
        <f>IFERROR(__xludf.DUMMYFUNCTION("""COMPUTED_VALUE"""),"Yes")</f>
        <v>Yes</v>
      </c>
      <c r="F517" s="5" t="str">
        <f>IFERROR(__xludf.DUMMYFUNCTION("""COMPUTED_VALUE"""),"Yes")</f>
        <v>Yes</v>
      </c>
      <c r="G517" s="5" t="str">
        <f>IFERROR(__xludf.DUMMYFUNCTION("""COMPUTED_VALUE"""),"Yes")</f>
        <v>Yes</v>
      </c>
      <c r="H517" s="5" t="str">
        <f>IFERROR(__xludf.DUMMYFUNCTION("""COMPUTED_VALUE"""),"Yes")</f>
        <v>Yes</v>
      </c>
      <c r="I517" s="5" t="str">
        <f>IFERROR(__xludf.DUMMYFUNCTION("""COMPUTED_VALUE"""),"Yes")</f>
        <v>Yes</v>
      </c>
      <c r="J517" s="5" t="str">
        <f>IFERROR(__xludf.DUMMYFUNCTION("""COMPUTED_VALUE"""),"Yes")</f>
        <v>Yes</v>
      </c>
      <c r="K517" s="5" t="str">
        <f>IFERROR(__xludf.DUMMYFUNCTION("""COMPUTED_VALUE"""),"Yes")</f>
        <v>Yes</v>
      </c>
      <c r="L517" s="5" t="str">
        <f>IFERROR(__xludf.DUMMYFUNCTION("""COMPUTED_VALUE"""),"Yes")</f>
        <v>Yes</v>
      </c>
      <c r="M517" s="5" t="str">
        <f>IFERROR(__xludf.DUMMYFUNCTION("""COMPUTED_VALUE"""),"Yes")</f>
        <v>Yes</v>
      </c>
      <c r="N517" s="5" t="str">
        <f>IFERROR(__xludf.DUMMYFUNCTION("""COMPUTED_VALUE"""),"Yes")</f>
        <v>Yes</v>
      </c>
      <c r="O517" s="5" t="str">
        <f>IFERROR(__xludf.DUMMYFUNCTION("""COMPUTED_VALUE"""),"Yes")</f>
        <v>Yes</v>
      </c>
      <c r="P517" s="5" t="str">
        <f>IFERROR(__xludf.DUMMYFUNCTION("""COMPUTED_VALUE"""),"Yes")</f>
        <v>Yes</v>
      </c>
      <c r="Q517" s="5" t="str">
        <f>IFERROR(__xludf.DUMMYFUNCTION("""COMPUTED_VALUE"""),"Yes")</f>
        <v>Yes</v>
      </c>
      <c r="R517" s="5" t="str">
        <f>IFERROR(__xludf.DUMMYFUNCTION("""COMPUTED_VALUE"""),"Yes")</f>
        <v>Yes</v>
      </c>
      <c r="S517" s="5" t="str">
        <f>IFERROR(__xludf.DUMMYFUNCTION("""COMPUTED_VALUE"""),"Yes")</f>
        <v>Yes</v>
      </c>
      <c r="T517" s="5" t="str">
        <f>IFERROR(__xludf.DUMMYFUNCTION("""COMPUTED_VALUE"""),"Yes")</f>
        <v>Yes</v>
      </c>
      <c r="U517" s="5" t="str">
        <f>IFERROR(__xludf.DUMMYFUNCTION("""COMPUTED_VALUE"""),"Yes")</f>
        <v>Yes</v>
      </c>
      <c r="V517" s="5" t="str">
        <f>IFERROR(__xludf.DUMMYFUNCTION("""COMPUTED_VALUE"""),"Yes")</f>
        <v>Yes</v>
      </c>
      <c r="W517" s="5" t="str">
        <f>IFERROR(__xludf.DUMMYFUNCTION("""COMPUTED_VALUE"""),"Yes")</f>
        <v>Yes</v>
      </c>
      <c r="X517" s="5"/>
      <c r="Y517" s="5"/>
      <c r="Z517" s="5"/>
      <c r="AA517" s="5"/>
      <c r="AB517" s="5"/>
      <c r="AC517" s="5" t="str">
        <f>IFERROR(__xludf.DUMMYFUNCTION("""COMPUTED_VALUE"""),"Yes")</f>
        <v>Yes</v>
      </c>
      <c r="AD517" s="5"/>
      <c r="AE517" s="5"/>
      <c r="AF517" s="5"/>
      <c r="AG517" s="5"/>
      <c r="AH517" s="5"/>
      <c r="AI517" s="5"/>
      <c r="AJ517" s="5"/>
      <c r="AK517" s="5"/>
      <c r="AL517" s="5"/>
      <c r="AM517" s="5"/>
      <c r="AN517" s="5"/>
      <c r="AO517" s="5"/>
      <c r="AP517" s="5"/>
      <c r="AQ517" s="5"/>
      <c r="AR517" s="5"/>
      <c r="AS517" s="5"/>
      <c r="AT517" s="5"/>
      <c r="AU517" s="5"/>
      <c r="AV517" s="5"/>
      <c r="AW517" s="5"/>
      <c r="AX517" s="5"/>
      <c r="AY517" s="5"/>
    </row>
    <row r="518">
      <c r="A5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8" s="5">
        <f>IFERROR(__xludf.DUMMYFUNCTION("""COMPUTED_VALUE"""),549.0)</f>
        <v>549</v>
      </c>
      <c r="C518" s="5">
        <f>IFERROR(__xludf.DUMMYFUNCTION("""COMPUTED_VALUE"""),4007.0)</f>
        <v>4007</v>
      </c>
      <c r="D518" s="5" t="str">
        <f>IFERROR(__xludf.DUMMYFUNCTION("""COMPUTED_VALUE"""),"TotoWildHot40")</f>
        <v>TotoWildHot40</v>
      </c>
      <c r="E518" s="5" t="str">
        <f>IFERROR(__xludf.DUMMYFUNCTION("""COMPUTED_VALUE"""),"Yes")</f>
        <v>Yes</v>
      </c>
      <c r="F518" s="5" t="str">
        <f>IFERROR(__xludf.DUMMYFUNCTION("""COMPUTED_VALUE"""),"Yes")</f>
        <v>Yes</v>
      </c>
      <c r="G518" s="5" t="str">
        <f>IFERROR(__xludf.DUMMYFUNCTION("""COMPUTED_VALUE"""),"Yes")</f>
        <v>Yes</v>
      </c>
      <c r="H518" s="5" t="str">
        <f>IFERROR(__xludf.DUMMYFUNCTION("""COMPUTED_VALUE"""),"Yes")</f>
        <v>Yes</v>
      </c>
      <c r="I518" s="5" t="str">
        <f>IFERROR(__xludf.DUMMYFUNCTION("""COMPUTED_VALUE"""),"Yes")</f>
        <v>Yes</v>
      </c>
      <c r="J518" s="5" t="str">
        <f>IFERROR(__xludf.DUMMYFUNCTION("""COMPUTED_VALUE"""),"Yes")</f>
        <v>Yes</v>
      </c>
      <c r="K518" s="5" t="str">
        <f>IFERROR(__xludf.DUMMYFUNCTION("""COMPUTED_VALUE"""),"Yes")</f>
        <v>Yes</v>
      </c>
      <c r="L518" s="5" t="str">
        <f>IFERROR(__xludf.DUMMYFUNCTION("""COMPUTED_VALUE"""),"Yes")</f>
        <v>Yes</v>
      </c>
      <c r="M518" s="5" t="str">
        <f>IFERROR(__xludf.DUMMYFUNCTION("""COMPUTED_VALUE"""),"Yes")</f>
        <v>Yes</v>
      </c>
      <c r="N518" s="5" t="str">
        <f>IFERROR(__xludf.DUMMYFUNCTION("""COMPUTED_VALUE"""),"Yes")</f>
        <v>Yes</v>
      </c>
      <c r="O518" s="5" t="str">
        <f>IFERROR(__xludf.DUMMYFUNCTION("""COMPUTED_VALUE"""),"Yes")</f>
        <v>Yes</v>
      </c>
      <c r="P518" s="5" t="str">
        <f>IFERROR(__xludf.DUMMYFUNCTION("""COMPUTED_VALUE"""),"Yes")</f>
        <v>Yes</v>
      </c>
      <c r="Q518" s="5" t="str">
        <f>IFERROR(__xludf.DUMMYFUNCTION("""COMPUTED_VALUE"""),"Yes")</f>
        <v>Yes</v>
      </c>
      <c r="R518" s="5" t="str">
        <f>IFERROR(__xludf.DUMMYFUNCTION("""COMPUTED_VALUE"""),"Yes")</f>
        <v>Yes</v>
      </c>
      <c r="S518" s="5" t="str">
        <f>IFERROR(__xludf.DUMMYFUNCTION("""COMPUTED_VALUE"""),"Yes")</f>
        <v>Yes</v>
      </c>
      <c r="T518" s="5" t="str">
        <f>IFERROR(__xludf.DUMMYFUNCTION("""COMPUTED_VALUE"""),"Yes")</f>
        <v>Yes</v>
      </c>
      <c r="U518" s="5" t="str">
        <f>IFERROR(__xludf.DUMMYFUNCTION("""COMPUTED_VALUE"""),"Yes")</f>
        <v>Yes</v>
      </c>
      <c r="V518" s="5" t="str">
        <f>IFERROR(__xludf.DUMMYFUNCTION("""COMPUTED_VALUE"""),"Yes")</f>
        <v>Yes</v>
      </c>
      <c r="W518" s="5" t="str">
        <f>IFERROR(__xludf.DUMMYFUNCTION("""COMPUTED_VALUE"""),"Yes")</f>
        <v>Yes</v>
      </c>
      <c r="X518" s="5" t="str">
        <f>IFERROR(__xludf.DUMMYFUNCTION("""COMPUTED_VALUE"""),"Yes")</f>
        <v>Yes</v>
      </c>
      <c r="Y518" s="5" t="str">
        <f>IFERROR(__xludf.DUMMYFUNCTION("""COMPUTED_VALUE"""),"Yes")</f>
        <v>Yes</v>
      </c>
      <c r="Z518" s="5" t="str">
        <f>IFERROR(__xludf.DUMMYFUNCTION("""COMPUTED_VALUE"""),"No")</f>
        <v>No</v>
      </c>
      <c r="AA518" s="5" t="str">
        <f>IFERROR(__xludf.DUMMYFUNCTION("""COMPUTED_VALUE"""),"Yes")</f>
        <v>Yes</v>
      </c>
      <c r="AB518" s="5" t="str">
        <f>IFERROR(__xludf.DUMMYFUNCTION("""COMPUTED_VALUE"""),"Yes")</f>
        <v>Yes</v>
      </c>
      <c r="AC518" s="5" t="str">
        <f>IFERROR(__xludf.DUMMYFUNCTION("""COMPUTED_VALUE"""),"Yes")</f>
        <v>Yes</v>
      </c>
      <c r="AD518" s="5" t="str">
        <f>IFERROR(__xludf.DUMMYFUNCTION("""COMPUTED_VALUE"""),"Yes")</f>
        <v>Yes</v>
      </c>
      <c r="AE518" s="5" t="str">
        <f>IFERROR(__xludf.DUMMYFUNCTION("""COMPUTED_VALUE"""),"No")</f>
        <v>No</v>
      </c>
      <c r="AF518" s="5" t="str">
        <f>IFERROR(__xludf.DUMMYFUNCTION("""COMPUTED_VALUE"""),"Yes")</f>
        <v>Yes</v>
      </c>
      <c r="AG518" s="5" t="str">
        <f>IFERROR(__xludf.DUMMYFUNCTION("""COMPUTED_VALUE"""),"No")</f>
        <v>No</v>
      </c>
      <c r="AH518" s="5" t="str">
        <f>IFERROR(__xludf.DUMMYFUNCTION("""COMPUTED_VALUE"""),"No")</f>
        <v>No</v>
      </c>
      <c r="AI518" s="5" t="str">
        <f>IFERROR(__xludf.DUMMYFUNCTION("""COMPUTED_VALUE"""),"No")</f>
        <v>No</v>
      </c>
      <c r="AJ518" s="5" t="str">
        <f>IFERROR(__xludf.DUMMYFUNCTION("""COMPUTED_VALUE"""),"No")</f>
        <v>No</v>
      </c>
      <c r="AK518" s="5" t="str">
        <f>IFERROR(__xludf.DUMMYFUNCTION("""COMPUTED_VALUE"""),"No")</f>
        <v>No</v>
      </c>
      <c r="AL518" s="5" t="str">
        <f>IFERROR(__xludf.DUMMYFUNCTION("""COMPUTED_VALUE"""),"No")</f>
        <v>No</v>
      </c>
      <c r="AM518" s="5"/>
      <c r="AN518" s="5"/>
      <c r="AO518" s="5"/>
      <c r="AP518" s="5"/>
      <c r="AQ518" s="5"/>
      <c r="AR518" s="5"/>
      <c r="AS518" s="5"/>
      <c r="AT518" s="5"/>
      <c r="AU518" s="5"/>
      <c r="AV518" s="5"/>
      <c r="AW518" s="5"/>
      <c r="AX518" s="5"/>
      <c r="AY518" s="5"/>
    </row>
    <row r="519">
      <c r="A5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9" s="5">
        <f>IFERROR(__xludf.DUMMYFUNCTION("""COMPUTED_VALUE"""),550.0)</f>
        <v>550</v>
      </c>
      <c r="C519" s="5">
        <f>IFERROR(__xludf.DUMMYFUNCTION("""COMPUTED_VALUE"""),4008.0)</f>
        <v>4008</v>
      </c>
      <c r="D519" s="5" t="str">
        <f>IFERROR(__xludf.DUMMYFUNCTION("""COMPUTED_VALUE"""),"TotoFruityWin40")</f>
        <v>TotoFruityWin40</v>
      </c>
      <c r="E519" s="5" t="str">
        <f>IFERROR(__xludf.DUMMYFUNCTION("""COMPUTED_VALUE"""),"Yes")</f>
        <v>Yes</v>
      </c>
      <c r="F519" s="5" t="str">
        <f>IFERROR(__xludf.DUMMYFUNCTION("""COMPUTED_VALUE"""),"Yes")</f>
        <v>Yes</v>
      </c>
      <c r="G519" s="5" t="str">
        <f>IFERROR(__xludf.DUMMYFUNCTION("""COMPUTED_VALUE"""),"Yes")</f>
        <v>Yes</v>
      </c>
      <c r="H519" s="5" t="str">
        <f>IFERROR(__xludf.DUMMYFUNCTION("""COMPUTED_VALUE"""),"Yes")</f>
        <v>Yes</v>
      </c>
      <c r="I519" s="5" t="str">
        <f>IFERROR(__xludf.DUMMYFUNCTION("""COMPUTED_VALUE"""),"Yes")</f>
        <v>Yes</v>
      </c>
      <c r="J519" s="5" t="str">
        <f>IFERROR(__xludf.DUMMYFUNCTION("""COMPUTED_VALUE"""),"Yes")</f>
        <v>Yes</v>
      </c>
      <c r="K519" s="5" t="str">
        <f>IFERROR(__xludf.DUMMYFUNCTION("""COMPUTED_VALUE"""),"Yes")</f>
        <v>Yes</v>
      </c>
      <c r="L519" s="5" t="str">
        <f>IFERROR(__xludf.DUMMYFUNCTION("""COMPUTED_VALUE"""),"Yes")</f>
        <v>Yes</v>
      </c>
      <c r="M519" s="5" t="str">
        <f>IFERROR(__xludf.DUMMYFUNCTION("""COMPUTED_VALUE"""),"Yes")</f>
        <v>Yes</v>
      </c>
      <c r="N519" s="5" t="str">
        <f>IFERROR(__xludf.DUMMYFUNCTION("""COMPUTED_VALUE"""),"Yes")</f>
        <v>Yes</v>
      </c>
      <c r="O519" s="5" t="str">
        <f>IFERROR(__xludf.DUMMYFUNCTION("""COMPUTED_VALUE"""),"Yes")</f>
        <v>Yes</v>
      </c>
      <c r="P519" s="5" t="str">
        <f>IFERROR(__xludf.DUMMYFUNCTION("""COMPUTED_VALUE"""),"Yes")</f>
        <v>Yes</v>
      </c>
      <c r="Q519" s="5" t="str">
        <f>IFERROR(__xludf.DUMMYFUNCTION("""COMPUTED_VALUE"""),"Yes")</f>
        <v>Yes</v>
      </c>
      <c r="R519" s="5" t="str">
        <f>IFERROR(__xludf.DUMMYFUNCTION("""COMPUTED_VALUE"""),"Yes")</f>
        <v>Yes</v>
      </c>
      <c r="S519" s="5" t="str">
        <f>IFERROR(__xludf.DUMMYFUNCTION("""COMPUTED_VALUE"""),"Yes")</f>
        <v>Yes</v>
      </c>
      <c r="T519" s="5" t="str">
        <f>IFERROR(__xludf.DUMMYFUNCTION("""COMPUTED_VALUE"""),"Yes")</f>
        <v>Yes</v>
      </c>
      <c r="U519" s="5" t="str">
        <f>IFERROR(__xludf.DUMMYFUNCTION("""COMPUTED_VALUE"""),"Yes")</f>
        <v>Yes</v>
      </c>
      <c r="V519" s="5" t="str">
        <f>IFERROR(__xludf.DUMMYFUNCTION("""COMPUTED_VALUE"""),"Yes")</f>
        <v>Yes</v>
      </c>
      <c r="W519" s="5" t="str">
        <f>IFERROR(__xludf.DUMMYFUNCTION("""COMPUTED_VALUE"""),"Yes")</f>
        <v>Yes</v>
      </c>
      <c r="X519" s="5" t="str">
        <f>IFERROR(__xludf.DUMMYFUNCTION("""COMPUTED_VALUE"""),"Yes")</f>
        <v>Yes</v>
      </c>
      <c r="Y519" s="5" t="str">
        <f>IFERROR(__xludf.DUMMYFUNCTION("""COMPUTED_VALUE"""),"Yes")</f>
        <v>Yes</v>
      </c>
      <c r="Z519" s="5" t="str">
        <f>IFERROR(__xludf.DUMMYFUNCTION("""COMPUTED_VALUE"""),"No")</f>
        <v>No</v>
      </c>
      <c r="AA519" s="5" t="str">
        <f>IFERROR(__xludf.DUMMYFUNCTION("""COMPUTED_VALUE"""),"Yes")</f>
        <v>Yes</v>
      </c>
      <c r="AB519" s="5" t="str">
        <f>IFERROR(__xludf.DUMMYFUNCTION("""COMPUTED_VALUE"""),"Yes")</f>
        <v>Yes</v>
      </c>
      <c r="AC519" s="5" t="str">
        <f>IFERROR(__xludf.DUMMYFUNCTION("""COMPUTED_VALUE"""),"Yes")</f>
        <v>Yes</v>
      </c>
      <c r="AD519" s="5" t="str">
        <f>IFERROR(__xludf.DUMMYFUNCTION("""COMPUTED_VALUE"""),"Yes")</f>
        <v>Yes</v>
      </c>
      <c r="AE519" s="5" t="str">
        <f>IFERROR(__xludf.DUMMYFUNCTION("""COMPUTED_VALUE"""),"No")</f>
        <v>No</v>
      </c>
      <c r="AF519" s="5" t="str">
        <f>IFERROR(__xludf.DUMMYFUNCTION("""COMPUTED_VALUE"""),"Yes")</f>
        <v>Yes</v>
      </c>
      <c r="AG519" s="5" t="str">
        <f>IFERROR(__xludf.DUMMYFUNCTION("""COMPUTED_VALUE"""),"No")</f>
        <v>No</v>
      </c>
      <c r="AH519" s="5" t="str">
        <f>IFERROR(__xludf.DUMMYFUNCTION("""COMPUTED_VALUE"""),"No")</f>
        <v>No</v>
      </c>
      <c r="AI519" s="5" t="str">
        <f>IFERROR(__xludf.DUMMYFUNCTION("""COMPUTED_VALUE"""),"No")</f>
        <v>No</v>
      </c>
      <c r="AJ519" s="5" t="str">
        <f>IFERROR(__xludf.DUMMYFUNCTION("""COMPUTED_VALUE"""),"No")</f>
        <v>No</v>
      </c>
      <c r="AK519" s="5" t="str">
        <f>IFERROR(__xludf.DUMMYFUNCTION("""COMPUTED_VALUE"""),"No")</f>
        <v>No</v>
      </c>
      <c r="AL519" s="5" t="str">
        <f>IFERROR(__xludf.DUMMYFUNCTION("""COMPUTED_VALUE"""),"No")</f>
        <v>No</v>
      </c>
      <c r="AM519" s="5"/>
      <c r="AN519" s="5"/>
      <c r="AO519" s="5"/>
      <c r="AP519" s="5"/>
      <c r="AQ519" s="5"/>
      <c r="AR519" s="5"/>
      <c r="AS519" s="5"/>
      <c r="AT519" s="5"/>
      <c r="AU519" s="5"/>
      <c r="AV519" s="5"/>
      <c r="AW519" s="5"/>
      <c r="AX519" s="5"/>
      <c r="AY519" s="5"/>
    </row>
    <row r="520">
      <c r="A5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0" s="5">
        <f>IFERROR(__xludf.DUMMYFUNCTION("""COMPUTED_VALUE"""),551.0)</f>
        <v>551</v>
      </c>
      <c r="C520" s="5">
        <f>IFERROR(__xludf.DUMMYFUNCTION("""COMPUTED_VALUE"""),4009.0)</f>
        <v>4009</v>
      </c>
      <c r="D520" s="5" t="str">
        <f>IFERROR(__xludf.DUMMYFUNCTION("""COMPUTED_VALUE"""),"BetAndreasWild")</f>
        <v>BetAndreasWild</v>
      </c>
      <c r="E520" s="5" t="str">
        <f>IFERROR(__xludf.DUMMYFUNCTION("""COMPUTED_VALUE"""),"Yes")</f>
        <v>Yes</v>
      </c>
      <c r="F520" s="5" t="str">
        <f>IFERROR(__xludf.DUMMYFUNCTION("""COMPUTED_VALUE"""),"Yes")</f>
        <v>Yes</v>
      </c>
      <c r="G520" s="5" t="str">
        <f>IFERROR(__xludf.DUMMYFUNCTION("""COMPUTED_VALUE"""),"Yes")</f>
        <v>Yes</v>
      </c>
      <c r="H520" s="5" t="str">
        <f>IFERROR(__xludf.DUMMYFUNCTION("""COMPUTED_VALUE"""),"Yes")</f>
        <v>Yes</v>
      </c>
      <c r="I520" s="5" t="str">
        <f>IFERROR(__xludf.DUMMYFUNCTION("""COMPUTED_VALUE"""),"Yes")</f>
        <v>Yes</v>
      </c>
      <c r="J520" s="5" t="str">
        <f>IFERROR(__xludf.DUMMYFUNCTION("""COMPUTED_VALUE"""),"Yes")</f>
        <v>Yes</v>
      </c>
      <c r="K520" s="5" t="str">
        <f>IFERROR(__xludf.DUMMYFUNCTION("""COMPUTED_VALUE"""),"Yes")</f>
        <v>Yes</v>
      </c>
      <c r="L520" s="5" t="str">
        <f>IFERROR(__xludf.DUMMYFUNCTION("""COMPUTED_VALUE"""),"Yes")</f>
        <v>Yes</v>
      </c>
      <c r="M520" s="5" t="str">
        <f>IFERROR(__xludf.DUMMYFUNCTION("""COMPUTED_VALUE"""),"Yes")</f>
        <v>Yes</v>
      </c>
      <c r="N520" s="5" t="str">
        <f>IFERROR(__xludf.DUMMYFUNCTION("""COMPUTED_VALUE"""),"Yes")</f>
        <v>Yes</v>
      </c>
      <c r="O520" s="5" t="str">
        <f>IFERROR(__xludf.DUMMYFUNCTION("""COMPUTED_VALUE"""),"Yes")</f>
        <v>Yes</v>
      </c>
      <c r="P520" s="5" t="str">
        <f>IFERROR(__xludf.DUMMYFUNCTION("""COMPUTED_VALUE"""),"Yes")</f>
        <v>Yes</v>
      </c>
      <c r="Q520" s="5" t="str">
        <f>IFERROR(__xludf.DUMMYFUNCTION("""COMPUTED_VALUE"""),"Yes")</f>
        <v>Yes</v>
      </c>
      <c r="R520" s="5" t="str">
        <f>IFERROR(__xludf.DUMMYFUNCTION("""COMPUTED_VALUE"""),"Yes")</f>
        <v>Yes</v>
      </c>
      <c r="S520" s="5" t="str">
        <f>IFERROR(__xludf.DUMMYFUNCTION("""COMPUTED_VALUE"""),"Yes")</f>
        <v>Yes</v>
      </c>
      <c r="T520" s="5" t="str">
        <f>IFERROR(__xludf.DUMMYFUNCTION("""COMPUTED_VALUE"""),"Yes")</f>
        <v>Yes</v>
      </c>
      <c r="U520" s="5" t="str">
        <f>IFERROR(__xludf.DUMMYFUNCTION("""COMPUTED_VALUE"""),"Yes")</f>
        <v>Yes</v>
      </c>
      <c r="V520" s="5" t="str">
        <f>IFERROR(__xludf.DUMMYFUNCTION("""COMPUTED_VALUE"""),"Yes")</f>
        <v>Yes</v>
      </c>
      <c r="W520" s="5" t="str">
        <f>IFERROR(__xludf.DUMMYFUNCTION("""COMPUTED_VALUE"""),"Yes")</f>
        <v>Yes</v>
      </c>
      <c r="X520" s="5" t="str">
        <f>IFERROR(__xludf.DUMMYFUNCTION("""COMPUTED_VALUE"""),"Yes")</f>
        <v>Yes</v>
      </c>
      <c r="Y520" s="5" t="str">
        <f>IFERROR(__xludf.DUMMYFUNCTION("""COMPUTED_VALUE"""),"Yes")</f>
        <v>Yes</v>
      </c>
      <c r="Z520" s="5" t="str">
        <f>IFERROR(__xludf.DUMMYFUNCTION("""COMPUTED_VALUE"""),"Yes")</f>
        <v>Yes</v>
      </c>
      <c r="AA520" s="5" t="str">
        <f>IFERROR(__xludf.DUMMYFUNCTION("""COMPUTED_VALUE"""),"Yes")</f>
        <v>Yes</v>
      </c>
      <c r="AB520" s="5" t="str">
        <f>IFERROR(__xludf.DUMMYFUNCTION("""COMPUTED_VALUE"""),"Yes")</f>
        <v>Yes</v>
      </c>
      <c r="AC520" s="5" t="str">
        <f>IFERROR(__xludf.DUMMYFUNCTION("""COMPUTED_VALUE"""),"Yes")</f>
        <v>Yes</v>
      </c>
      <c r="AD520" s="5" t="str">
        <f>IFERROR(__xludf.DUMMYFUNCTION("""COMPUTED_VALUE"""),"Yes")</f>
        <v>Yes</v>
      </c>
      <c r="AE520" s="5" t="str">
        <f>IFERROR(__xludf.DUMMYFUNCTION("""COMPUTED_VALUE"""),"Yes")</f>
        <v>Yes</v>
      </c>
      <c r="AF520" s="5" t="str">
        <f>IFERROR(__xludf.DUMMYFUNCTION("""COMPUTED_VALUE"""),"Yes")</f>
        <v>Yes</v>
      </c>
      <c r="AG520" s="5" t="str">
        <f>IFERROR(__xludf.DUMMYFUNCTION("""COMPUTED_VALUE"""),"Yes")</f>
        <v>Yes</v>
      </c>
      <c r="AH520" s="5" t="str">
        <f>IFERROR(__xludf.DUMMYFUNCTION("""COMPUTED_VALUE"""),"Yes")</f>
        <v>Yes</v>
      </c>
      <c r="AI520" s="5" t="str">
        <f>IFERROR(__xludf.DUMMYFUNCTION("""COMPUTED_VALUE"""),"No")</f>
        <v>No</v>
      </c>
      <c r="AJ520" s="5" t="str">
        <f>IFERROR(__xludf.DUMMYFUNCTION("""COMPUTED_VALUE"""),"No")</f>
        <v>No</v>
      </c>
      <c r="AK520" s="5" t="str">
        <f>IFERROR(__xludf.DUMMYFUNCTION("""COMPUTED_VALUE"""),"No")</f>
        <v>No</v>
      </c>
      <c r="AL520" s="5" t="str">
        <f>IFERROR(__xludf.DUMMYFUNCTION("""COMPUTED_VALUE"""),"No")</f>
        <v>No</v>
      </c>
      <c r="AM520" s="5"/>
      <c r="AN520" s="5"/>
      <c r="AO520" s="5"/>
      <c r="AP520" s="5"/>
      <c r="AQ520" s="5"/>
      <c r="AR520" s="5"/>
      <c r="AS520" s="5"/>
      <c r="AT520" s="5"/>
      <c r="AU520" s="5"/>
      <c r="AV520" s="5"/>
      <c r="AW520" s="5"/>
      <c r="AX520" s="5"/>
      <c r="AY520" s="5"/>
    </row>
    <row r="521">
      <c r="A5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1" s="5">
        <f>IFERROR(__xludf.DUMMYFUNCTION("""COMPUTED_VALUE"""),552.0)</f>
        <v>552</v>
      </c>
      <c r="C521" s="5">
        <f>IFERROR(__xludf.DUMMYFUNCTION("""COMPUTED_VALUE"""),4013.0)</f>
        <v>4013</v>
      </c>
      <c r="D521" s="5" t="str">
        <f>IFERROR(__xludf.DUMMYFUNCTION("""COMPUTED_VALUE"""),"MaxBetHot40Blow")</f>
        <v>MaxBetHot40Blow</v>
      </c>
      <c r="E521" s="5" t="str">
        <f>IFERROR(__xludf.DUMMYFUNCTION("""COMPUTED_VALUE"""),"Yes")</f>
        <v>Yes</v>
      </c>
      <c r="F521" s="5" t="str">
        <f>IFERROR(__xludf.DUMMYFUNCTION("""COMPUTED_VALUE"""),"Yes")</f>
        <v>Yes</v>
      </c>
      <c r="G521" s="5" t="str">
        <f>IFERROR(__xludf.DUMMYFUNCTION("""COMPUTED_VALUE"""),"Yes")</f>
        <v>Yes</v>
      </c>
      <c r="H521" s="5" t="str">
        <f>IFERROR(__xludf.DUMMYFUNCTION("""COMPUTED_VALUE"""),"Yes")</f>
        <v>Yes</v>
      </c>
      <c r="I521" s="5" t="str">
        <f>IFERROR(__xludf.DUMMYFUNCTION("""COMPUTED_VALUE"""),"Yes")</f>
        <v>Yes</v>
      </c>
      <c r="J521" s="5" t="str">
        <f>IFERROR(__xludf.DUMMYFUNCTION("""COMPUTED_VALUE"""),"Yes")</f>
        <v>Yes</v>
      </c>
      <c r="K521" s="5" t="str">
        <f>IFERROR(__xludf.DUMMYFUNCTION("""COMPUTED_VALUE"""),"Yes")</f>
        <v>Yes</v>
      </c>
      <c r="L521" s="5" t="str">
        <f>IFERROR(__xludf.DUMMYFUNCTION("""COMPUTED_VALUE"""),"Yes")</f>
        <v>Yes</v>
      </c>
      <c r="M521" s="5" t="str">
        <f>IFERROR(__xludf.DUMMYFUNCTION("""COMPUTED_VALUE"""),"Yes")</f>
        <v>Yes</v>
      </c>
      <c r="N521" s="5" t="str">
        <f>IFERROR(__xludf.DUMMYFUNCTION("""COMPUTED_VALUE"""),"Yes")</f>
        <v>Yes</v>
      </c>
      <c r="O521" s="5" t="str">
        <f>IFERROR(__xludf.DUMMYFUNCTION("""COMPUTED_VALUE"""),"Yes")</f>
        <v>Yes</v>
      </c>
      <c r="P521" s="5" t="str">
        <f>IFERROR(__xludf.DUMMYFUNCTION("""COMPUTED_VALUE"""),"Yes")</f>
        <v>Yes</v>
      </c>
      <c r="Q521" s="5" t="str">
        <f>IFERROR(__xludf.DUMMYFUNCTION("""COMPUTED_VALUE"""),"Yes")</f>
        <v>Yes</v>
      </c>
      <c r="R521" s="5" t="str">
        <f>IFERROR(__xludf.DUMMYFUNCTION("""COMPUTED_VALUE"""),"Yes")</f>
        <v>Yes</v>
      </c>
      <c r="S521" s="5" t="str">
        <f>IFERROR(__xludf.DUMMYFUNCTION("""COMPUTED_VALUE"""),"Yes")</f>
        <v>Yes</v>
      </c>
      <c r="T521" s="5" t="str">
        <f>IFERROR(__xludf.DUMMYFUNCTION("""COMPUTED_VALUE"""),"Yes")</f>
        <v>Yes</v>
      </c>
      <c r="U521" s="5" t="str">
        <f>IFERROR(__xludf.DUMMYFUNCTION("""COMPUTED_VALUE"""),"Yes")</f>
        <v>Yes</v>
      </c>
      <c r="V521" s="5" t="str">
        <f>IFERROR(__xludf.DUMMYFUNCTION("""COMPUTED_VALUE"""),"Yes")</f>
        <v>Yes</v>
      </c>
      <c r="W521" s="5" t="str">
        <f>IFERROR(__xludf.DUMMYFUNCTION("""COMPUTED_VALUE"""),"Yes")</f>
        <v>Yes</v>
      </c>
      <c r="X521" s="5" t="str">
        <f>IFERROR(__xludf.DUMMYFUNCTION("""COMPUTED_VALUE"""),"Yes")</f>
        <v>Yes</v>
      </c>
      <c r="Y521" s="5" t="str">
        <f>IFERROR(__xludf.DUMMYFUNCTION("""COMPUTED_VALUE"""),"Yes")</f>
        <v>Yes</v>
      </c>
      <c r="Z521" s="5" t="str">
        <f>IFERROR(__xludf.DUMMYFUNCTION("""COMPUTED_VALUE"""),"No")</f>
        <v>No</v>
      </c>
      <c r="AA521" s="5" t="str">
        <f>IFERROR(__xludf.DUMMYFUNCTION("""COMPUTED_VALUE"""),"Yes")</f>
        <v>Yes</v>
      </c>
      <c r="AB521" s="5" t="str">
        <f>IFERROR(__xludf.DUMMYFUNCTION("""COMPUTED_VALUE"""),"Yes")</f>
        <v>Yes</v>
      </c>
      <c r="AC521" s="5" t="str">
        <f>IFERROR(__xludf.DUMMYFUNCTION("""COMPUTED_VALUE"""),"Yes")</f>
        <v>Yes</v>
      </c>
      <c r="AD521" s="5" t="str">
        <f>IFERROR(__xludf.DUMMYFUNCTION("""COMPUTED_VALUE"""),"Yes")</f>
        <v>Yes</v>
      </c>
      <c r="AE521" s="5" t="str">
        <f>IFERROR(__xludf.DUMMYFUNCTION("""COMPUTED_VALUE"""),"No")</f>
        <v>No</v>
      </c>
      <c r="AF521" s="5" t="str">
        <f>IFERROR(__xludf.DUMMYFUNCTION("""COMPUTED_VALUE"""),"Yes")</f>
        <v>Yes</v>
      </c>
      <c r="AG521" s="5" t="str">
        <f>IFERROR(__xludf.DUMMYFUNCTION("""COMPUTED_VALUE"""),"No")</f>
        <v>No</v>
      </c>
      <c r="AH521" s="5" t="str">
        <f>IFERROR(__xludf.DUMMYFUNCTION("""COMPUTED_VALUE"""),"No")</f>
        <v>No</v>
      </c>
      <c r="AI521" s="5" t="str">
        <f>IFERROR(__xludf.DUMMYFUNCTION("""COMPUTED_VALUE"""),"No")</f>
        <v>No</v>
      </c>
      <c r="AJ521" s="5" t="str">
        <f>IFERROR(__xludf.DUMMYFUNCTION("""COMPUTED_VALUE"""),"No")</f>
        <v>No</v>
      </c>
      <c r="AK521" s="5" t="str">
        <f>IFERROR(__xludf.DUMMYFUNCTION("""COMPUTED_VALUE"""),"No")</f>
        <v>No</v>
      </c>
      <c r="AL521" s="5" t="str">
        <f>IFERROR(__xludf.DUMMYFUNCTION("""COMPUTED_VALUE"""),"No")</f>
        <v>No</v>
      </c>
      <c r="AM521" s="5"/>
      <c r="AN521" s="5"/>
      <c r="AO521" s="5"/>
      <c r="AP521" s="5"/>
      <c r="AQ521" s="5"/>
      <c r="AR521" s="5"/>
      <c r="AS521" s="5"/>
      <c r="AT521" s="5"/>
      <c r="AU521" s="5"/>
      <c r="AV521" s="5"/>
      <c r="AW521" s="5"/>
      <c r="AX521" s="5"/>
      <c r="AY521" s="5"/>
    </row>
    <row r="522">
      <c r="A5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2" s="5">
        <f>IFERROR(__xludf.DUMMYFUNCTION("""COMPUTED_VALUE"""),553.0)</f>
        <v>553</v>
      </c>
      <c r="C522" s="5">
        <f>IFERROR(__xludf.DUMMYFUNCTION("""COMPUTED_VALUE"""),4014.0)</f>
        <v>4014</v>
      </c>
      <c r="D522" s="5" t="str">
        <f>IFERROR(__xludf.DUMMYFUNCTION("""COMPUTED_VALUE"""),"MaxBetClover2")</f>
        <v>MaxBetClover2</v>
      </c>
      <c r="E522" s="5" t="str">
        <f>IFERROR(__xludf.DUMMYFUNCTION("""COMPUTED_VALUE"""),"Yes")</f>
        <v>Yes</v>
      </c>
      <c r="F522" s="5" t="str">
        <f>IFERROR(__xludf.DUMMYFUNCTION("""COMPUTED_VALUE"""),"Yes")</f>
        <v>Yes</v>
      </c>
      <c r="G522" s="5" t="str">
        <f>IFERROR(__xludf.DUMMYFUNCTION("""COMPUTED_VALUE"""),"Yes")</f>
        <v>Yes</v>
      </c>
      <c r="H522" s="5" t="str">
        <f>IFERROR(__xludf.DUMMYFUNCTION("""COMPUTED_VALUE"""),"Yes")</f>
        <v>Yes</v>
      </c>
      <c r="I522" s="5" t="str">
        <f>IFERROR(__xludf.DUMMYFUNCTION("""COMPUTED_VALUE"""),"Yes")</f>
        <v>Yes</v>
      </c>
      <c r="J522" s="5" t="str">
        <f>IFERROR(__xludf.DUMMYFUNCTION("""COMPUTED_VALUE"""),"Yes")</f>
        <v>Yes</v>
      </c>
      <c r="K522" s="5" t="str">
        <f>IFERROR(__xludf.DUMMYFUNCTION("""COMPUTED_VALUE"""),"Yes")</f>
        <v>Yes</v>
      </c>
      <c r="L522" s="5" t="str">
        <f>IFERROR(__xludf.DUMMYFUNCTION("""COMPUTED_VALUE"""),"Yes")</f>
        <v>Yes</v>
      </c>
      <c r="M522" s="5" t="str">
        <f>IFERROR(__xludf.DUMMYFUNCTION("""COMPUTED_VALUE"""),"Yes")</f>
        <v>Yes</v>
      </c>
      <c r="N522" s="5" t="str">
        <f>IFERROR(__xludf.DUMMYFUNCTION("""COMPUTED_VALUE"""),"Yes")</f>
        <v>Yes</v>
      </c>
      <c r="O522" s="5" t="str">
        <f>IFERROR(__xludf.DUMMYFUNCTION("""COMPUTED_VALUE"""),"Yes")</f>
        <v>Yes</v>
      </c>
      <c r="P522" s="5" t="str">
        <f>IFERROR(__xludf.DUMMYFUNCTION("""COMPUTED_VALUE"""),"Yes")</f>
        <v>Yes</v>
      </c>
      <c r="Q522" s="5" t="str">
        <f>IFERROR(__xludf.DUMMYFUNCTION("""COMPUTED_VALUE"""),"Yes")</f>
        <v>Yes</v>
      </c>
      <c r="R522" s="5" t="str">
        <f>IFERROR(__xludf.DUMMYFUNCTION("""COMPUTED_VALUE"""),"Yes")</f>
        <v>Yes</v>
      </c>
      <c r="S522" s="5" t="str">
        <f>IFERROR(__xludf.DUMMYFUNCTION("""COMPUTED_VALUE"""),"Yes")</f>
        <v>Yes</v>
      </c>
      <c r="T522" s="5" t="str">
        <f>IFERROR(__xludf.DUMMYFUNCTION("""COMPUTED_VALUE"""),"Yes")</f>
        <v>Yes</v>
      </c>
      <c r="U522" s="5" t="str">
        <f>IFERROR(__xludf.DUMMYFUNCTION("""COMPUTED_VALUE"""),"Yes")</f>
        <v>Yes</v>
      </c>
      <c r="V522" s="5" t="str">
        <f>IFERROR(__xludf.DUMMYFUNCTION("""COMPUTED_VALUE"""),"Yes")</f>
        <v>Yes</v>
      </c>
      <c r="W522" s="5" t="str">
        <f>IFERROR(__xludf.DUMMYFUNCTION("""COMPUTED_VALUE"""),"Yes")</f>
        <v>Yes</v>
      </c>
      <c r="X522" s="5" t="str">
        <f>IFERROR(__xludf.DUMMYFUNCTION("""COMPUTED_VALUE"""),"Yes")</f>
        <v>Yes</v>
      </c>
      <c r="Y522" s="5" t="str">
        <f>IFERROR(__xludf.DUMMYFUNCTION("""COMPUTED_VALUE"""),"Yes")</f>
        <v>Yes</v>
      </c>
      <c r="Z522" s="5" t="str">
        <f>IFERROR(__xludf.DUMMYFUNCTION("""COMPUTED_VALUE"""),"No")</f>
        <v>No</v>
      </c>
      <c r="AA522" s="5" t="str">
        <f>IFERROR(__xludf.DUMMYFUNCTION("""COMPUTED_VALUE"""),"Yes")</f>
        <v>Yes</v>
      </c>
      <c r="AB522" s="5" t="str">
        <f>IFERROR(__xludf.DUMMYFUNCTION("""COMPUTED_VALUE"""),"Yes")</f>
        <v>Yes</v>
      </c>
      <c r="AC522" s="5" t="str">
        <f>IFERROR(__xludf.DUMMYFUNCTION("""COMPUTED_VALUE"""),"Yes")</f>
        <v>Yes</v>
      </c>
      <c r="AD522" s="5" t="str">
        <f>IFERROR(__xludf.DUMMYFUNCTION("""COMPUTED_VALUE"""),"Yes")</f>
        <v>Yes</v>
      </c>
      <c r="AE522" s="5" t="str">
        <f>IFERROR(__xludf.DUMMYFUNCTION("""COMPUTED_VALUE"""),"No")</f>
        <v>No</v>
      </c>
      <c r="AF522" s="5" t="str">
        <f>IFERROR(__xludf.DUMMYFUNCTION("""COMPUTED_VALUE"""),"Yes")</f>
        <v>Yes</v>
      </c>
      <c r="AG522" s="5" t="str">
        <f>IFERROR(__xludf.DUMMYFUNCTION("""COMPUTED_VALUE"""),"No")</f>
        <v>No</v>
      </c>
      <c r="AH522" s="5" t="str">
        <f>IFERROR(__xludf.DUMMYFUNCTION("""COMPUTED_VALUE"""),"No")</f>
        <v>No</v>
      </c>
      <c r="AI522" s="5" t="str">
        <f>IFERROR(__xludf.DUMMYFUNCTION("""COMPUTED_VALUE"""),"No")</f>
        <v>No</v>
      </c>
      <c r="AJ522" s="5" t="str">
        <f>IFERROR(__xludf.DUMMYFUNCTION("""COMPUTED_VALUE"""),"No")</f>
        <v>No</v>
      </c>
      <c r="AK522" s="5" t="str">
        <f>IFERROR(__xludf.DUMMYFUNCTION("""COMPUTED_VALUE"""),"No")</f>
        <v>No</v>
      </c>
      <c r="AL522" s="5" t="str">
        <f>IFERROR(__xludf.DUMMYFUNCTION("""COMPUTED_VALUE"""),"No")</f>
        <v>No</v>
      </c>
      <c r="AM522" s="5"/>
      <c r="AN522" s="5"/>
      <c r="AO522" s="5"/>
      <c r="AP522" s="5"/>
      <c r="AQ522" s="5"/>
      <c r="AR522" s="5"/>
      <c r="AS522" s="5"/>
      <c r="AT522" s="5"/>
      <c r="AU522" s="5"/>
      <c r="AV522" s="5"/>
      <c r="AW522" s="5"/>
      <c r="AX522" s="5"/>
      <c r="AY522" s="5"/>
    </row>
    <row r="523">
      <c r="A5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3" s="5">
        <f>IFERROR(__xludf.DUMMYFUNCTION("""COMPUTED_VALUE"""),554.0)</f>
        <v>554</v>
      </c>
      <c r="C523" s="5">
        <f>IFERROR(__xludf.DUMMYFUNCTION("""COMPUTED_VALUE"""),4015.0)</f>
        <v>4015</v>
      </c>
      <c r="D523" s="5" t="str">
        <f>IFERROR(__xludf.DUMMYFUNCTION("""COMPUTED_VALUE"""),"MaxBetHot40")</f>
        <v>MaxBetHot40</v>
      </c>
      <c r="E523" s="5" t="str">
        <f>IFERROR(__xludf.DUMMYFUNCTION("""COMPUTED_VALUE"""),"Yes")</f>
        <v>Yes</v>
      </c>
      <c r="F523" s="5" t="str">
        <f>IFERROR(__xludf.DUMMYFUNCTION("""COMPUTED_VALUE"""),"Yes")</f>
        <v>Yes</v>
      </c>
      <c r="G523" s="5" t="str">
        <f>IFERROR(__xludf.DUMMYFUNCTION("""COMPUTED_VALUE"""),"Yes")</f>
        <v>Yes</v>
      </c>
      <c r="H523" s="5" t="str">
        <f>IFERROR(__xludf.DUMMYFUNCTION("""COMPUTED_VALUE"""),"Yes")</f>
        <v>Yes</v>
      </c>
      <c r="I523" s="5" t="str">
        <f>IFERROR(__xludf.DUMMYFUNCTION("""COMPUTED_VALUE"""),"Yes")</f>
        <v>Yes</v>
      </c>
      <c r="J523" s="5" t="str">
        <f>IFERROR(__xludf.DUMMYFUNCTION("""COMPUTED_VALUE"""),"Yes")</f>
        <v>Yes</v>
      </c>
      <c r="K523" s="5" t="str">
        <f>IFERROR(__xludf.DUMMYFUNCTION("""COMPUTED_VALUE"""),"Yes")</f>
        <v>Yes</v>
      </c>
      <c r="L523" s="5" t="str">
        <f>IFERROR(__xludf.DUMMYFUNCTION("""COMPUTED_VALUE"""),"Yes")</f>
        <v>Yes</v>
      </c>
      <c r="M523" s="5" t="str">
        <f>IFERROR(__xludf.DUMMYFUNCTION("""COMPUTED_VALUE"""),"Yes")</f>
        <v>Yes</v>
      </c>
      <c r="N523" s="5" t="str">
        <f>IFERROR(__xludf.DUMMYFUNCTION("""COMPUTED_VALUE"""),"Yes")</f>
        <v>Yes</v>
      </c>
      <c r="O523" s="5" t="str">
        <f>IFERROR(__xludf.DUMMYFUNCTION("""COMPUTED_VALUE"""),"Yes")</f>
        <v>Yes</v>
      </c>
      <c r="P523" s="5" t="str">
        <f>IFERROR(__xludf.DUMMYFUNCTION("""COMPUTED_VALUE"""),"Yes")</f>
        <v>Yes</v>
      </c>
      <c r="Q523" s="5" t="str">
        <f>IFERROR(__xludf.DUMMYFUNCTION("""COMPUTED_VALUE"""),"Yes")</f>
        <v>Yes</v>
      </c>
      <c r="R523" s="5" t="str">
        <f>IFERROR(__xludf.DUMMYFUNCTION("""COMPUTED_VALUE"""),"Yes")</f>
        <v>Yes</v>
      </c>
      <c r="S523" s="5" t="str">
        <f>IFERROR(__xludf.DUMMYFUNCTION("""COMPUTED_VALUE"""),"Yes")</f>
        <v>Yes</v>
      </c>
      <c r="T523" s="5" t="str">
        <f>IFERROR(__xludf.DUMMYFUNCTION("""COMPUTED_VALUE"""),"Yes")</f>
        <v>Yes</v>
      </c>
      <c r="U523" s="5" t="str">
        <f>IFERROR(__xludf.DUMMYFUNCTION("""COMPUTED_VALUE"""),"Yes")</f>
        <v>Yes</v>
      </c>
      <c r="V523" s="5" t="str">
        <f>IFERROR(__xludf.DUMMYFUNCTION("""COMPUTED_VALUE"""),"Yes")</f>
        <v>Yes</v>
      </c>
      <c r="W523" s="5" t="str">
        <f>IFERROR(__xludf.DUMMYFUNCTION("""COMPUTED_VALUE"""),"Yes")</f>
        <v>Yes</v>
      </c>
      <c r="X523" s="5" t="str">
        <f>IFERROR(__xludf.DUMMYFUNCTION("""COMPUTED_VALUE"""),"Yes")</f>
        <v>Yes</v>
      </c>
      <c r="Y523" s="5" t="str">
        <f>IFERROR(__xludf.DUMMYFUNCTION("""COMPUTED_VALUE"""),"Yes")</f>
        <v>Yes</v>
      </c>
      <c r="Z523" s="5" t="str">
        <f>IFERROR(__xludf.DUMMYFUNCTION("""COMPUTED_VALUE"""),"No")</f>
        <v>No</v>
      </c>
      <c r="AA523" s="5" t="str">
        <f>IFERROR(__xludf.DUMMYFUNCTION("""COMPUTED_VALUE"""),"Yes")</f>
        <v>Yes</v>
      </c>
      <c r="AB523" s="5" t="str">
        <f>IFERROR(__xludf.DUMMYFUNCTION("""COMPUTED_VALUE"""),"Yes")</f>
        <v>Yes</v>
      </c>
      <c r="AC523" s="5" t="str">
        <f>IFERROR(__xludf.DUMMYFUNCTION("""COMPUTED_VALUE"""),"Yes")</f>
        <v>Yes</v>
      </c>
      <c r="AD523" s="5" t="str">
        <f>IFERROR(__xludf.DUMMYFUNCTION("""COMPUTED_VALUE"""),"Yes")</f>
        <v>Yes</v>
      </c>
      <c r="AE523" s="5" t="str">
        <f>IFERROR(__xludf.DUMMYFUNCTION("""COMPUTED_VALUE"""),"No")</f>
        <v>No</v>
      </c>
      <c r="AF523" s="5" t="str">
        <f>IFERROR(__xludf.DUMMYFUNCTION("""COMPUTED_VALUE"""),"Yes")</f>
        <v>Yes</v>
      </c>
      <c r="AG523" s="5" t="str">
        <f>IFERROR(__xludf.DUMMYFUNCTION("""COMPUTED_VALUE"""),"No")</f>
        <v>No</v>
      </c>
      <c r="AH523" s="5" t="str">
        <f>IFERROR(__xludf.DUMMYFUNCTION("""COMPUTED_VALUE"""),"No")</f>
        <v>No</v>
      </c>
      <c r="AI523" s="5" t="str">
        <f>IFERROR(__xludf.DUMMYFUNCTION("""COMPUTED_VALUE"""),"No")</f>
        <v>No</v>
      </c>
      <c r="AJ523" s="5" t="str">
        <f>IFERROR(__xludf.DUMMYFUNCTION("""COMPUTED_VALUE"""),"No")</f>
        <v>No</v>
      </c>
      <c r="AK523" s="5" t="str">
        <f>IFERROR(__xludf.DUMMYFUNCTION("""COMPUTED_VALUE"""),"No")</f>
        <v>No</v>
      </c>
      <c r="AL523" s="5" t="str">
        <f>IFERROR(__xludf.DUMMYFUNCTION("""COMPUTED_VALUE"""),"No")</f>
        <v>No</v>
      </c>
      <c r="AM523" s="5"/>
      <c r="AN523" s="5"/>
      <c r="AO523" s="5"/>
      <c r="AP523" s="5"/>
      <c r="AQ523" s="5"/>
      <c r="AR523" s="5"/>
      <c r="AS523" s="5"/>
      <c r="AT523" s="5"/>
      <c r="AU523" s="5"/>
      <c r="AV523" s="5"/>
      <c r="AW523" s="5"/>
      <c r="AX523" s="5"/>
      <c r="AY523" s="5"/>
    </row>
    <row r="524">
      <c r="A5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4" s="5">
        <f>IFERROR(__xludf.DUMMYFUNCTION("""COMPUTED_VALUE"""),555.0)</f>
        <v>555</v>
      </c>
      <c r="C524" s="5">
        <f>IFERROR(__xludf.DUMMYFUNCTION("""COMPUTED_VALUE"""),4012.0)</f>
        <v>4012</v>
      </c>
      <c r="D524" s="5" t="str">
        <f>IFERROR(__xludf.DUMMYFUNCTION("""COMPUTED_VALUE"""),"SenatorHot5")</f>
        <v>SenatorHot5</v>
      </c>
      <c r="E524" s="5" t="str">
        <f>IFERROR(__xludf.DUMMYFUNCTION("""COMPUTED_VALUE"""),"Yes")</f>
        <v>Yes</v>
      </c>
      <c r="F524" s="5" t="str">
        <f>IFERROR(__xludf.DUMMYFUNCTION("""COMPUTED_VALUE"""),"Yes")</f>
        <v>Yes</v>
      </c>
      <c r="G524" s="5" t="str">
        <f>IFERROR(__xludf.DUMMYFUNCTION("""COMPUTED_VALUE"""),"Yes")</f>
        <v>Yes</v>
      </c>
      <c r="H524" s="5" t="str">
        <f>IFERROR(__xludf.DUMMYFUNCTION("""COMPUTED_VALUE"""),"Yes")</f>
        <v>Yes</v>
      </c>
      <c r="I524" s="5" t="str">
        <f>IFERROR(__xludf.DUMMYFUNCTION("""COMPUTED_VALUE"""),"Yes")</f>
        <v>Yes</v>
      </c>
      <c r="J524" s="5" t="str">
        <f>IFERROR(__xludf.DUMMYFUNCTION("""COMPUTED_VALUE"""),"Yes")</f>
        <v>Yes</v>
      </c>
      <c r="K524" s="5" t="str">
        <f>IFERROR(__xludf.DUMMYFUNCTION("""COMPUTED_VALUE"""),"Yes")</f>
        <v>Yes</v>
      </c>
      <c r="L524" s="5" t="str">
        <f>IFERROR(__xludf.DUMMYFUNCTION("""COMPUTED_VALUE"""),"Yes")</f>
        <v>Yes</v>
      </c>
      <c r="M524" s="5" t="str">
        <f>IFERROR(__xludf.DUMMYFUNCTION("""COMPUTED_VALUE"""),"Yes")</f>
        <v>Yes</v>
      </c>
      <c r="N524" s="5" t="str">
        <f>IFERROR(__xludf.DUMMYFUNCTION("""COMPUTED_VALUE"""),"Yes")</f>
        <v>Yes</v>
      </c>
      <c r="O524" s="5" t="str">
        <f>IFERROR(__xludf.DUMMYFUNCTION("""COMPUTED_VALUE"""),"Yes")</f>
        <v>Yes</v>
      </c>
      <c r="P524" s="5" t="str">
        <f>IFERROR(__xludf.DUMMYFUNCTION("""COMPUTED_VALUE"""),"Yes")</f>
        <v>Yes</v>
      </c>
      <c r="Q524" s="5" t="str">
        <f>IFERROR(__xludf.DUMMYFUNCTION("""COMPUTED_VALUE"""),"Yes")</f>
        <v>Yes</v>
      </c>
      <c r="R524" s="5" t="str">
        <f>IFERROR(__xludf.DUMMYFUNCTION("""COMPUTED_VALUE"""),"Yes")</f>
        <v>Yes</v>
      </c>
      <c r="S524" s="5" t="str">
        <f>IFERROR(__xludf.DUMMYFUNCTION("""COMPUTED_VALUE"""),"Yes")</f>
        <v>Yes</v>
      </c>
      <c r="T524" s="5" t="str">
        <f>IFERROR(__xludf.DUMMYFUNCTION("""COMPUTED_VALUE"""),"Yes")</f>
        <v>Yes</v>
      </c>
      <c r="U524" s="5" t="str">
        <f>IFERROR(__xludf.DUMMYFUNCTION("""COMPUTED_VALUE"""),"Yes")</f>
        <v>Yes</v>
      </c>
      <c r="V524" s="5" t="str">
        <f>IFERROR(__xludf.DUMMYFUNCTION("""COMPUTED_VALUE"""),"Yes")</f>
        <v>Yes</v>
      </c>
      <c r="W524" s="5" t="str">
        <f>IFERROR(__xludf.DUMMYFUNCTION("""COMPUTED_VALUE"""),"Yes")</f>
        <v>Yes</v>
      </c>
      <c r="X524" s="5" t="str">
        <f>IFERROR(__xludf.DUMMYFUNCTION("""COMPUTED_VALUE"""),"Yes")</f>
        <v>Yes</v>
      </c>
      <c r="Y524" s="5" t="str">
        <f>IFERROR(__xludf.DUMMYFUNCTION("""COMPUTED_VALUE"""),"Yes")</f>
        <v>Yes</v>
      </c>
      <c r="Z524" s="5" t="str">
        <f>IFERROR(__xludf.DUMMYFUNCTION("""COMPUTED_VALUE"""),"No")</f>
        <v>No</v>
      </c>
      <c r="AA524" s="5" t="str">
        <f>IFERROR(__xludf.DUMMYFUNCTION("""COMPUTED_VALUE"""),"Yes")</f>
        <v>Yes</v>
      </c>
      <c r="AB524" s="5" t="str">
        <f>IFERROR(__xludf.DUMMYFUNCTION("""COMPUTED_VALUE"""),"Yes")</f>
        <v>Yes</v>
      </c>
      <c r="AC524" s="5" t="str">
        <f>IFERROR(__xludf.DUMMYFUNCTION("""COMPUTED_VALUE"""),"Yes")</f>
        <v>Yes</v>
      </c>
      <c r="AD524" s="5" t="str">
        <f>IFERROR(__xludf.DUMMYFUNCTION("""COMPUTED_VALUE"""),"Yes")</f>
        <v>Yes</v>
      </c>
      <c r="AE524" s="5" t="str">
        <f>IFERROR(__xludf.DUMMYFUNCTION("""COMPUTED_VALUE"""),"No")</f>
        <v>No</v>
      </c>
      <c r="AF524" s="5" t="str">
        <f>IFERROR(__xludf.DUMMYFUNCTION("""COMPUTED_VALUE"""),"Yes")</f>
        <v>Yes</v>
      </c>
      <c r="AG524" s="5" t="str">
        <f>IFERROR(__xludf.DUMMYFUNCTION("""COMPUTED_VALUE"""),"No")</f>
        <v>No</v>
      </c>
      <c r="AH524" s="5" t="str">
        <f>IFERROR(__xludf.DUMMYFUNCTION("""COMPUTED_VALUE"""),"No")</f>
        <v>No</v>
      </c>
      <c r="AI524" s="5" t="str">
        <f>IFERROR(__xludf.DUMMYFUNCTION("""COMPUTED_VALUE"""),"No")</f>
        <v>No</v>
      </c>
      <c r="AJ524" s="5" t="str">
        <f>IFERROR(__xludf.DUMMYFUNCTION("""COMPUTED_VALUE"""),"No")</f>
        <v>No</v>
      </c>
      <c r="AK524" s="5" t="str">
        <f>IFERROR(__xludf.DUMMYFUNCTION("""COMPUTED_VALUE"""),"No")</f>
        <v>No</v>
      </c>
      <c r="AL524" s="5" t="str">
        <f>IFERROR(__xludf.DUMMYFUNCTION("""COMPUTED_VALUE"""),"No")</f>
        <v>No</v>
      </c>
      <c r="AM524" s="5"/>
      <c r="AN524" s="5"/>
      <c r="AO524" s="5"/>
      <c r="AP524" s="5"/>
      <c r="AQ524" s="5"/>
      <c r="AR524" s="5"/>
      <c r="AS524" s="5"/>
      <c r="AT524" s="5"/>
      <c r="AU524" s="5"/>
      <c r="AV524" s="5"/>
      <c r="AW524" s="5"/>
      <c r="AX524" s="5"/>
      <c r="AY524" s="5"/>
    </row>
    <row r="525">
      <c r="A5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5" s="5">
        <f>IFERROR(__xludf.DUMMYFUNCTION("""COMPUTED_VALUE"""),556.0)</f>
        <v>556</v>
      </c>
      <c r="C525" s="5">
        <f>IFERROR(__xludf.DUMMYFUNCTION("""COMPUTED_VALUE"""),4016.0)</f>
        <v>4016</v>
      </c>
      <c r="D525" s="5" t="str">
        <f>IFERROR(__xludf.DUMMYFUNCTION("""COMPUTED_VALUE"""),"MostBet27")</f>
        <v>MostBet27</v>
      </c>
      <c r="E525" s="5" t="str">
        <f>IFERROR(__xludf.DUMMYFUNCTION("""COMPUTED_VALUE"""),"Yes")</f>
        <v>Yes</v>
      </c>
      <c r="F525" s="5" t="str">
        <f>IFERROR(__xludf.DUMMYFUNCTION("""COMPUTED_VALUE"""),"Yes")</f>
        <v>Yes</v>
      </c>
      <c r="G525" s="5" t="str">
        <f>IFERROR(__xludf.DUMMYFUNCTION("""COMPUTED_VALUE"""),"Yes")</f>
        <v>Yes</v>
      </c>
      <c r="H525" s="5" t="str">
        <f>IFERROR(__xludf.DUMMYFUNCTION("""COMPUTED_VALUE"""),"Yes")</f>
        <v>Yes</v>
      </c>
      <c r="I525" s="5" t="str">
        <f>IFERROR(__xludf.DUMMYFUNCTION("""COMPUTED_VALUE"""),"Yes")</f>
        <v>Yes</v>
      </c>
      <c r="J525" s="5" t="str">
        <f>IFERROR(__xludf.DUMMYFUNCTION("""COMPUTED_VALUE"""),"Yes")</f>
        <v>Yes</v>
      </c>
      <c r="K525" s="5" t="str">
        <f>IFERROR(__xludf.DUMMYFUNCTION("""COMPUTED_VALUE"""),"Yes")</f>
        <v>Yes</v>
      </c>
      <c r="L525" s="5" t="str">
        <f>IFERROR(__xludf.DUMMYFUNCTION("""COMPUTED_VALUE"""),"Yes")</f>
        <v>Yes</v>
      </c>
      <c r="M525" s="5" t="str">
        <f>IFERROR(__xludf.DUMMYFUNCTION("""COMPUTED_VALUE"""),"Yes")</f>
        <v>Yes</v>
      </c>
      <c r="N525" s="5" t="str">
        <f>IFERROR(__xludf.DUMMYFUNCTION("""COMPUTED_VALUE"""),"Yes")</f>
        <v>Yes</v>
      </c>
      <c r="O525" s="5" t="str">
        <f>IFERROR(__xludf.DUMMYFUNCTION("""COMPUTED_VALUE"""),"Yes")</f>
        <v>Yes</v>
      </c>
      <c r="P525" s="5" t="str">
        <f>IFERROR(__xludf.DUMMYFUNCTION("""COMPUTED_VALUE"""),"Yes")</f>
        <v>Yes</v>
      </c>
      <c r="Q525" s="5" t="str">
        <f>IFERROR(__xludf.DUMMYFUNCTION("""COMPUTED_VALUE"""),"Yes")</f>
        <v>Yes</v>
      </c>
      <c r="R525" s="5" t="str">
        <f>IFERROR(__xludf.DUMMYFUNCTION("""COMPUTED_VALUE"""),"Yes")</f>
        <v>Yes</v>
      </c>
      <c r="S525" s="5" t="str">
        <f>IFERROR(__xludf.DUMMYFUNCTION("""COMPUTED_VALUE"""),"Yes")</f>
        <v>Yes</v>
      </c>
      <c r="T525" s="5" t="str">
        <f>IFERROR(__xludf.DUMMYFUNCTION("""COMPUTED_VALUE"""),"Yes")</f>
        <v>Yes</v>
      </c>
      <c r="U525" s="5" t="str">
        <f>IFERROR(__xludf.DUMMYFUNCTION("""COMPUTED_VALUE"""),"Yes")</f>
        <v>Yes</v>
      </c>
      <c r="V525" s="5" t="str">
        <f>IFERROR(__xludf.DUMMYFUNCTION("""COMPUTED_VALUE"""),"Yes")</f>
        <v>Yes</v>
      </c>
      <c r="W525" s="5" t="str">
        <f>IFERROR(__xludf.DUMMYFUNCTION("""COMPUTED_VALUE"""),"Yes")</f>
        <v>Yes</v>
      </c>
      <c r="X525" s="5" t="str">
        <f>IFERROR(__xludf.DUMMYFUNCTION("""COMPUTED_VALUE"""),"Yes")</f>
        <v>Yes</v>
      </c>
      <c r="Y525" s="5" t="str">
        <f>IFERROR(__xludf.DUMMYFUNCTION("""COMPUTED_VALUE"""),"Yes")</f>
        <v>Yes</v>
      </c>
      <c r="Z525" s="5" t="str">
        <f>IFERROR(__xludf.DUMMYFUNCTION("""COMPUTED_VALUE"""),"Yes")</f>
        <v>Yes</v>
      </c>
      <c r="AA525" s="5" t="str">
        <f>IFERROR(__xludf.DUMMYFUNCTION("""COMPUTED_VALUE"""),"Yes")</f>
        <v>Yes</v>
      </c>
      <c r="AB525" s="5" t="str">
        <f>IFERROR(__xludf.DUMMYFUNCTION("""COMPUTED_VALUE"""),"Yes")</f>
        <v>Yes</v>
      </c>
      <c r="AC525" s="5" t="str">
        <f>IFERROR(__xludf.DUMMYFUNCTION("""COMPUTED_VALUE"""),"Yes")</f>
        <v>Yes</v>
      </c>
      <c r="AD525" s="5" t="str">
        <f>IFERROR(__xludf.DUMMYFUNCTION("""COMPUTED_VALUE"""),"Yes")</f>
        <v>Yes</v>
      </c>
      <c r="AE525" s="5" t="str">
        <f>IFERROR(__xludf.DUMMYFUNCTION("""COMPUTED_VALUE"""),"Yes")</f>
        <v>Yes</v>
      </c>
      <c r="AF525" s="5" t="str">
        <f>IFERROR(__xludf.DUMMYFUNCTION("""COMPUTED_VALUE"""),"Yes")</f>
        <v>Yes</v>
      </c>
      <c r="AG525" s="5" t="str">
        <f>IFERROR(__xludf.DUMMYFUNCTION("""COMPUTED_VALUE"""),"Yes")</f>
        <v>Yes</v>
      </c>
      <c r="AH525" s="5" t="str">
        <f>IFERROR(__xludf.DUMMYFUNCTION("""COMPUTED_VALUE"""),"Yes")</f>
        <v>Yes</v>
      </c>
      <c r="AI525" s="5" t="str">
        <f>IFERROR(__xludf.DUMMYFUNCTION("""COMPUTED_VALUE"""),"No")</f>
        <v>No</v>
      </c>
      <c r="AJ525" s="5" t="str">
        <f>IFERROR(__xludf.DUMMYFUNCTION("""COMPUTED_VALUE"""),"No")</f>
        <v>No</v>
      </c>
      <c r="AK525" s="5" t="str">
        <f>IFERROR(__xludf.DUMMYFUNCTION("""COMPUTED_VALUE"""),"No")</f>
        <v>No</v>
      </c>
      <c r="AL525" s="5" t="str">
        <f>IFERROR(__xludf.DUMMYFUNCTION("""COMPUTED_VALUE"""),"No")</f>
        <v>No</v>
      </c>
      <c r="AM525" s="5"/>
      <c r="AN525" s="5"/>
      <c r="AO525" s="5"/>
      <c r="AP525" s="5"/>
      <c r="AQ525" s="5"/>
      <c r="AR525" s="5"/>
      <c r="AS525" s="5"/>
      <c r="AT525" s="5"/>
      <c r="AU525" s="5"/>
      <c r="AV525" s="5"/>
      <c r="AW525" s="5"/>
      <c r="AX525" s="5"/>
      <c r="AY525" s="5"/>
    </row>
    <row r="526">
      <c r="A5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6" s="5">
        <f>IFERROR(__xludf.DUMMYFUNCTION("""COMPUTED_VALUE"""),557.0)</f>
        <v>557</v>
      </c>
      <c r="C526" s="5">
        <f>IFERROR(__xludf.DUMMYFUNCTION("""COMPUTED_VALUE"""),501.0)</f>
        <v>501</v>
      </c>
      <c r="D526" s="5" t="str">
        <f>IFERROR(__xludf.DUMMYFUNCTION("""COMPUTED_VALUE"""),"UnicornEnchantedGems")</f>
        <v>UnicornEnchantedGems</v>
      </c>
      <c r="E526" s="5" t="str">
        <f>IFERROR(__xludf.DUMMYFUNCTION("""COMPUTED_VALUE"""),"Yes")</f>
        <v>Yes</v>
      </c>
      <c r="F526" s="5" t="str">
        <f>IFERROR(__xludf.DUMMYFUNCTION("""COMPUTED_VALUE"""),"Yes")</f>
        <v>Yes</v>
      </c>
      <c r="G526" s="5" t="str">
        <f>IFERROR(__xludf.DUMMYFUNCTION("""COMPUTED_VALUE"""),"Yes")</f>
        <v>Yes</v>
      </c>
      <c r="H526" s="5" t="str">
        <f>IFERROR(__xludf.DUMMYFUNCTION("""COMPUTED_VALUE"""),"Yes")</f>
        <v>Yes</v>
      </c>
      <c r="I526" s="5" t="str">
        <f>IFERROR(__xludf.DUMMYFUNCTION("""COMPUTED_VALUE"""),"Yes")</f>
        <v>Yes</v>
      </c>
      <c r="J526" s="5" t="str">
        <f>IFERROR(__xludf.DUMMYFUNCTION("""COMPUTED_VALUE"""),"Yes")</f>
        <v>Yes</v>
      </c>
      <c r="K526" s="5" t="str">
        <f>IFERROR(__xludf.DUMMYFUNCTION("""COMPUTED_VALUE"""),"Yes")</f>
        <v>Yes</v>
      </c>
      <c r="L526" s="5" t="str">
        <f>IFERROR(__xludf.DUMMYFUNCTION("""COMPUTED_VALUE"""),"Yes")</f>
        <v>Yes</v>
      </c>
      <c r="M526" s="5" t="str">
        <f>IFERROR(__xludf.DUMMYFUNCTION("""COMPUTED_VALUE"""),"Yes")</f>
        <v>Yes</v>
      </c>
      <c r="N526" s="5" t="str">
        <f>IFERROR(__xludf.DUMMYFUNCTION("""COMPUTED_VALUE"""),"Yes")</f>
        <v>Yes</v>
      </c>
      <c r="O526" s="5" t="str">
        <f>IFERROR(__xludf.DUMMYFUNCTION("""COMPUTED_VALUE"""),"Yes")</f>
        <v>Yes</v>
      </c>
      <c r="P526" s="5" t="str">
        <f>IFERROR(__xludf.DUMMYFUNCTION("""COMPUTED_VALUE"""),"Yes")</f>
        <v>Yes</v>
      </c>
      <c r="Q526" s="5" t="str">
        <f>IFERROR(__xludf.DUMMYFUNCTION("""COMPUTED_VALUE"""),"Yes")</f>
        <v>Yes</v>
      </c>
      <c r="R526" s="5" t="str">
        <f>IFERROR(__xludf.DUMMYFUNCTION("""COMPUTED_VALUE"""),"Yes")</f>
        <v>Yes</v>
      </c>
      <c r="S526" s="5" t="str">
        <f>IFERROR(__xludf.DUMMYFUNCTION("""COMPUTED_VALUE"""),"Yes")</f>
        <v>Yes</v>
      </c>
      <c r="T526" s="5" t="str">
        <f>IFERROR(__xludf.DUMMYFUNCTION("""COMPUTED_VALUE"""),"Yes")</f>
        <v>Yes</v>
      </c>
      <c r="U526" s="5" t="str">
        <f>IFERROR(__xludf.DUMMYFUNCTION("""COMPUTED_VALUE"""),"Yes")</f>
        <v>Yes</v>
      </c>
      <c r="V526" s="5" t="str">
        <f>IFERROR(__xludf.DUMMYFUNCTION("""COMPUTED_VALUE"""),"Yes")</f>
        <v>Yes</v>
      </c>
      <c r="W526" s="5" t="str">
        <f>IFERROR(__xludf.DUMMYFUNCTION("""COMPUTED_VALUE"""),"Yes")</f>
        <v>Yes</v>
      </c>
      <c r="X526" s="5"/>
      <c r="Y526" s="5"/>
      <c r="Z526" s="5"/>
      <c r="AA526" s="5"/>
      <c r="AB526" s="5"/>
      <c r="AC526" s="5" t="str">
        <f>IFERROR(__xludf.DUMMYFUNCTION("""COMPUTED_VALUE"""),"Yes")</f>
        <v>Yes</v>
      </c>
      <c r="AD526" s="5"/>
      <c r="AE526" s="5"/>
      <c r="AF526" s="5"/>
      <c r="AG526" s="5"/>
      <c r="AH526" s="5"/>
      <c r="AI526" s="5"/>
      <c r="AJ526" s="5"/>
      <c r="AK526" s="5"/>
      <c r="AL526" s="5"/>
      <c r="AM526" s="5"/>
      <c r="AN526" s="5"/>
      <c r="AO526" s="5"/>
      <c r="AP526" s="5"/>
      <c r="AQ526" s="5"/>
      <c r="AR526" s="5"/>
      <c r="AS526" s="5"/>
      <c r="AT526" s="5"/>
      <c r="AU526" s="5"/>
      <c r="AV526" s="5"/>
      <c r="AW526" s="5"/>
      <c r="AX526" s="5"/>
      <c r="AY526" s="5"/>
    </row>
    <row r="527">
      <c r="A5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7" s="5">
        <f>IFERROR(__xludf.DUMMYFUNCTION("""COMPUTED_VALUE"""),558.0)</f>
        <v>558</v>
      </c>
      <c r="C527" s="5">
        <f>IFERROR(__xludf.DUMMYFUNCTION("""COMPUTED_VALUE"""),502.0)</f>
        <v>502</v>
      </c>
      <c r="D527" s="5" t="str">
        <f>IFERROR(__xludf.DUMMYFUNCTION("""COMPUTED_VALUE"""),"UnicornSupremeSevensDice")</f>
        <v>UnicornSupremeSevensDice</v>
      </c>
      <c r="E527" s="5" t="str">
        <f>IFERROR(__xludf.DUMMYFUNCTION("""COMPUTED_VALUE"""),"Yes")</f>
        <v>Yes</v>
      </c>
      <c r="F527" s="5" t="str">
        <f>IFERROR(__xludf.DUMMYFUNCTION("""COMPUTED_VALUE"""),"Yes")</f>
        <v>Yes</v>
      </c>
      <c r="G527" s="5" t="str">
        <f>IFERROR(__xludf.DUMMYFUNCTION("""COMPUTED_VALUE"""),"Yes")</f>
        <v>Yes</v>
      </c>
      <c r="H527" s="5" t="str">
        <f>IFERROR(__xludf.DUMMYFUNCTION("""COMPUTED_VALUE"""),"Yes")</f>
        <v>Yes</v>
      </c>
      <c r="I527" s="5" t="str">
        <f>IFERROR(__xludf.DUMMYFUNCTION("""COMPUTED_VALUE"""),"Yes")</f>
        <v>Yes</v>
      </c>
      <c r="J527" s="5" t="str">
        <f>IFERROR(__xludf.DUMMYFUNCTION("""COMPUTED_VALUE"""),"Yes")</f>
        <v>Yes</v>
      </c>
      <c r="K527" s="5" t="str">
        <f>IFERROR(__xludf.DUMMYFUNCTION("""COMPUTED_VALUE"""),"Yes")</f>
        <v>Yes</v>
      </c>
      <c r="L527" s="5" t="str">
        <f>IFERROR(__xludf.DUMMYFUNCTION("""COMPUTED_VALUE"""),"Yes")</f>
        <v>Yes</v>
      </c>
      <c r="M527" s="5" t="str">
        <f>IFERROR(__xludf.DUMMYFUNCTION("""COMPUTED_VALUE"""),"Yes")</f>
        <v>Yes</v>
      </c>
      <c r="N527" s="5" t="str">
        <f>IFERROR(__xludf.DUMMYFUNCTION("""COMPUTED_VALUE"""),"Yes")</f>
        <v>Yes</v>
      </c>
      <c r="O527" s="5" t="str">
        <f>IFERROR(__xludf.DUMMYFUNCTION("""COMPUTED_VALUE"""),"Yes")</f>
        <v>Yes</v>
      </c>
      <c r="P527" s="5" t="str">
        <f>IFERROR(__xludf.DUMMYFUNCTION("""COMPUTED_VALUE"""),"Yes")</f>
        <v>Yes</v>
      </c>
      <c r="Q527" s="5" t="str">
        <f>IFERROR(__xludf.DUMMYFUNCTION("""COMPUTED_VALUE"""),"Yes")</f>
        <v>Yes</v>
      </c>
      <c r="R527" s="5" t="str">
        <f>IFERROR(__xludf.DUMMYFUNCTION("""COMPUTED_VALUE"""),"Yes")</f>
        <v>Yes</v>
      </c>
      <c r="S527" s="5" t="str">
        <f>IFERROR(__xludf.DUMMYFUNCTION("""COMPUTED_VALUE"""),"Yes")</f>
        <v>Yes</v>
      </c>
      <c r="T527" s="5" t="str">
        <f>IFERROR(__xludf.DUMMYFUNCTION("""COMPUTED_VALUE"""),"Yes")</f>
        <v>Yes</v>
      </c>
      <c r="U527" s="5" t="str">
        <f>IFERROR(__xludf.DUMMYFUNCTION("""COMPUTED_VALUE"""),"Yes")</f>
        <v>Yes</v>
      </c>
      <c r="V527" s="5" t="str">
        <f>IFERROR(__xludf.DUMMYFUNCTION("""COMPUTED_VALUE"""),"Yes")</f>
        <v>Yes</v>
      </c>
      <c r="W527" s="5" t="str">
        <f>IFERROR(__xludf.DUMMYFUNCTION("""COMPUTED_VALUE"""),"Yes")</f>
        <v>Yes</v>
      </c>
      <c r="X527" s="5"/>
      <c r="Y527" s="5"/>
      <c r="Z527" s="5"/>
      <c r="AA527" s="5"/>
      <c r="AB527" s="5"/>
      <c r="AC527" s="5" t="str">
        <f>IFERROR(__xludf.DUMMYFUNCTION("""COMPUTED_VALUE"""),"Yes")</f>
        <v>Yes</v>
      </c>
      <c r="AD527" s="5"/>
      <c r="AE527" s="5"/>
      <c r="AF527" s="5"/>
      <c r="AG527" s="5"/>
      <c r="AH527" s="5"/>
      <c r="AI527" s="5"/>
      <c r="AJ527" s="5"/>
      <c r="AK527" s="5"/>
      <c r="AL527" s="5"/>
      <c r="AM527" s="5"/>
      <c r="AN527" s="5"/>
      <c r="AO527" s="5"/>
      <c r="AP527" s="5"/>
      <c r="AQ527" s="5"/>
      <c r="AR527" s="5"/>
      <c r="AS527" s="5"/>
      <c r="AT527" s="5"/>
      <c r="AU527" s="5"/>
      <c r="AV527" s="5"/>
      <c r="AW527" s="5"/>
      <c r="AX527" s="5"/>
      <c r="AY527" s="5"/>
    </row>
    <row r="528">
      <c r="A5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8" s="5">
        <f>IFERROR(__xludf.DUMMYFUNCTION("""COMPUTED_VALUE"""),559.0)</f>
        <v>559</v>
      </c>
      <c r="C528" s="5">
        <f>IFERROR(__xludf.DUMMYFUNCTION("""COMPUTED_VALUE"""),373.0)</f>
        <v>373</v>
      </c>
      <c r="D528" s="5" t="str">
        <f>IFERROR(__xludf.DUMMYFUNCTION("""COMPUTED_VALUE"""),"UnicornReelyWildReels")</f>
        <v>UnicornReelyWildReels</v>
      </c>
      <c r="E528" s="5" t="str">
        <f>IFERROR(__xludf.DUMMYFUNCTION("""COMPUTED_VALUE"""),"Yes")</f>
        <v>Yes</v>
      </c>
      <c r="F528" s="5" t="str">
        <f>IFERROR(__xludf.DUMMYFUNCTION("""COMPUTED_VALUE"""),"Yes")</f>
        <v>Yes</v>
      </c>
      <c r="G528" s="5" t="str">
        <f>IFERROR(__xludf.DUMMYFUNCTION("""COMPUTED_VALUE"""),"Yes")</f>
        <v>Yes</v>
      </c>
      <c r="H528" s="5" t="str">
        <f>IFERROR(__xludf.DUMMYFUNCTION("""COMPUTED_VALUE"""),"Yes")</f>
        <v>Yes</v>
      </c>
      <c r="I528" s="5" t="str">
        <f>IFERROR(__xludf.DUMMYFUNCTION("""COMPUTED_VALUE"""),"Yes")</f>
        <v>Yes</v>
      </c>
      <c r="J528" s="5" t="str">
        <f>IFERROR(__xludf.DUMMYFUNCTION("""COMPUTED_VALUE"""),"Yes")</f>
        <v>Yes</v>
      </c>
      <c r="K528" s="5" t="str">
        <f>IFERROR(__xludf.DUMMYFUNCTION("""COMPUTED_VALUE"""),"Yes")</f>
        <v>Yes</v>
      </c>
      <c r="L528" s="5" t="str">
        <f>IFERROR(__xludf.DUMMYFUNCTION("""COMPUTED_VALUE"""),"Yes")</f>
        <v>Yes</v>
      </c>
      <c r="M528" s="5" t="str">
        <f>IFERROR(__xludf.DUMMYFUNCTION("""COMPUTED_VALUE"""),"Yes")</f>
        <v>Yes</v>
      </c>
      <c r="N528" s="5" t="str">
        <f>IFERROR(__xludf.DUMMYFUNCTION("""COMPUTED_VALUE"""),"Yes")</f>
        <v>Yes</v>
      </c>
      <c r="O528" s="5" t="str">
        <f>IFERROR(__xludf.DUMMYFUNCTION("""COMPUTED_VALUE"""),"Yes")</f>
        <v>Yes</v>
      </c>
      <c r="P528" s="5" t="str">
        <f>IFERROR(__xludf.DUMMYFUNCTION("""COMPUTED_VALUE"""),"Yes")</f>
        <v>Yes</v>
      </c>
      <c r="Q528" s="5" t="str">
        <f>IFERROR(__xludf.DUMMYFUNCTION("""COMPUTED_VALUE"""),"Yes")</f>
        <v>Yes</v>
      </c>
      <c r="R528" s="5" t="str">
        <f>IFERROR(__xludf.DUMMYFUNCTION("""COMPUTED_VALUE"""),"Yes")</f>
        <v>Yes</v>
      </c>
      <c r="S528" s="5" t="str">
        <f>IFERROR(__xludf.DUMMYFUNCTION("""COMPUTED_VALUE"""),"Yes")</f>
        <v>Yes</v>
      </c>
      <c r="T528" s="5" t="str">
        <f>IFERROR(__xludf.DUMMYFUNCTION("""COMPUTED_VALUE"""),"Yes")</f>
        <v>Yes</v>
      </c>
      <c r="U528" s="5" t="str">
        <f>IFERROR(__xludf.DUMMYFUNCTION("""COMPUTED_VALUE"""),"Yes")</f>
        <v>Yes</v>
      </c>
      <c r="V528" s="5" t="str">
        <f>IFERROR(__xludf.DUMMYFUNCTION("""COMPUTED_VALUE"""),"Yes")</f>
        <v>Yes</v>
      </c>
      <c r="W528" s="5" t="str">
        <f>IFERROR(__xludf.DUMMYFUNCTION("""COMPUTED_VALUE"""),"Yes")</f>
        <v>Yes</v>
      </c>
      <c r="X528" s="5"/>
      <c r="Y528" s="5"/>
      <c r="Z528" s="5"/>
      <c r="AA528" s="5"/>
      <c r="AB528" s="5"/>
      <c r="AC528" s="5" t="str">
        <f>IFERROR(__xludf.DUMMYFUNCTION("""COMPUTED_VALUE"""),"Yes")</f>
        <v>Yes</v>
      </c>
      <c r="AD528" s="5"/>
      <c r="AE528" s="5"/>
      <c r="AF528" s="5"/>
      <c r="AG528" s="5"/>
      <c r="AH528" s="5"/>
      <c r="AI528" s="5"/>
      <c r="AJ528" s="5"/>
      <c r="AK528" s="5"/>
      <c r="AL528" s="5"/>
      <c r="AM528" s="5"/>
      <c r="AN528" s="5"/>
      <c r="AO528" s="5"/>
      <c r="AP528" s="5"/>
      <c r="AQ528" s="5"/>
      <c r="AR528" s="5"/>
      <c r="AS528" s="5"/>
      <c r="AT528" s="5"/>
      <c r="AU528" s="5"/>
      <c r="AV528" s="5"/>
      <c r="AW528" s="5"/>
      <c r="AX528" s="5"/>
      <c r="AY528" s="5"/>
    </row>
    <row r="529">
      <c r="A52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29" s="5">
        <f>IFERROR(__xludf.DUMMYFUNCTION("""COMPUTED_VALUE"""),560.0)</f>
        <v>560</v>
      </c>
      <c r="C529" s="5">
        <f>IFERROR(__xludf.DUMMYFUNCTION("""COMPUTED_VALUE"""),422.0)</f>
        <v>422</v>
      </c>
      <c r="D529" s="5" t="str">
        <f>IFERROR(__xludf.DUMMYFUNCTION("""COMPUTED_VALUE"""),"UnicornDynamiteEscape")</f>
        <v>UnicornDynamiteEscape</v>
      </c>
      <c r="E529" s="5" t="str">
        <f>IFERROR(__xludf.DUMMYFUNCTION("""COMPUTED_VALUE"""),"Yes")</f>
        <v>Yes</v>
      </c>
      <c r="F529" s="5" t="str">
        <f>IFERROR(__xludf.DUMMYFUNCTION("""COMPUTED_VALUE"""),"Yes")</f>
        <v>Yes</v>
      </c>
      <c r="G529" s="5" t="str">
        <f>IFERROR(__xludf.DUMMYFUNCTION("""COMPUTED_VALUE"""),"Yes")</f>
        <v>Yes</v>
      </c>
      <c r="H529" s="5" t="str">
        <f>IFERROR(__xludf.DUMMYFUNCTION("""COMPUTED_VALUE"""),"No")</f>
        <v>No</v>
      </c>
      <c r="I529" s="5" t="str">
        <f>IFERROR(__xludf.DUMMYFUNCTION("""COMPUTED_VALUE"""),"No")</f>
        <v>No</v>
      </c>
      <c r="J529" s="5" t="str">
        <f>IFERROR(__xludf.DUMMYFUNCTION("""COMPUTED_VALUE"""),"No")</f>
        <v>No</v>
      </c>
      <c r="K529" s="5" t="str">
        <f>IFERROR(__xludf.DUMMYFUNCTION("""COMPUTED_VALUE"""),"No")</f>
        <v>No</v>
      </c>
      <c r="L529" s="5" t="str">
        <f>IFERROR(__xludf.DUMMYFUNCTION("""COMPUTED_VALUE"""),"No")</f>
        <v>No</v>
      </c>
      <c r="M529" s="5" t="str">
        <f>IFERROR(__xludf.DUMMYFUNCTION("""COMPUTED_VALUE"""),"Yes")</f>
        <v>Yes</v>
      </c>
      <c r="N529" s="5" t="str">
        <f>IFERROR(__xludf.DUMMYFUNCTION("""COMPUTED_VALUE"""),"Yes")</f>
        <v>Yes</v>
      </c>
      <c r="O529" s="5" t="str">
        <f>IFERROR(__xludf.DUMMYFUNCTION("""COMPUTED_VALUE"""),"Yes")</f>
        <v>Yes</v>
      </c>
      <c r="P529" s="5" t="str">
        <f>IFERROR(__xludf.DUMMYFUNCTION("""COMPUTED_VALUE"""),"Yes")</f>
        <v>Yes</v>
      </c>
      <c r="Q529" s="5" t="str">
        <f>IFERROR(__xludf.DUMMYFUNCTION("""COMPUTED_VALUE"""),"Yes")</f>
        <v>Yes</v>
      </c>
      <c r="R529" s="5" t="str">
        <f>IFERROR(__xludf.DUMMYFUNCTION("""COMPUTED_VALUE"""),"No")</f>
        <v>No</v>
      </c>
      <c r="S529" s="5" t="str">
        <f>IFERROR(__xludf.DUMMYFUNCTION("""COMPUTED_VALUE"""),"Yes")</f>
        <v>Yes</v>
      </c>
      <c r="T529" s="5" t="str">
        <f>IFERROR(__xludf.DUMMYFUNCTION("""COMPUTED_VALUE"""),"No")</f>
        <v>No</v>
      </c>
      <c r="U529" s="5" t="str">
        <f>IFERROR(__xludf.DUMMYFUNCTION("""COMPUTED_VALUE"""),"No")</f>
        <v>No</v>
      </c>
      <c r="V529" s="5" t="str">
        <f>IFERROR(__xludf.DUMMYFUNCTION("""COMPUTED_VALUE"""),"No")</f>
        <v>No</v>
      </c>
      <c r="W529" s="5" t="str">
        <f>IFERROR(__xludf.DUMMYFUNCTION("""COMPUTED_VALUE"""),"No")</f>
        <v>No</v>
      </c>
      <c r="X529" s="5"/>
      <c r="Y529" s="5"/>
      <c r="Z529" s="5"/>
      <c r="AA529" s="5" t="str">
        <f>IFERROR(__xludf.DUMMYFUNCTION("""COMPUTED_VALUE"""),"Yes")</f>
        <v>Yes</v>
      </c>
      <c r="AB529" s="5"/>
      <c r="AC529" s="5" t="str">
        <f>IFERROR(__xludf.DUMMYFUNCTION("""COMPUTED_VALUE"""),"No")</f>
        <v>No</v>
      </c>
      <c r="AD529" s="5"/>
      <c r="AE529" s="5"/>
      <c r="AF529" s="5" t="str">
        <f>IFERROR(__xludf.DUMMYFUNCTION("""COMPUTED_VALUE"""),"Yes")</f>
        <v>Yes</v>
      </c>
      <c r="AG529" s="5"/>
      <c r="AH529" s="5"/>
      <c r="AI529" s="5"/>
      <c r="AJ529" s="5"/>
      <c r="AK529" s="5"/>
      <c r="AL529" s="5" t="str">
        <f>IFERROR(__xludf.DUMMYFUNCTION("""COMPUTED_VALUE"""),"Yes")</f>
        <v>Yes</v>
      </c>
      <c r="AM529" s="5"/>
      <c r="AN529" s="5"/>
      <c r="AO529" s="5"/>
      <c r="AP529" s="5"/>
      <c r="AQ529" s="5"/>
      <c r="AR529" s="5"/>
      <c r="AS529" s="5"/>
      <c r="AT529" s="5"/>
      <c r="AU529" s="5"/>
      <c r="AV529" s="5"/>
      <c r="AW529" s="5"/>
      <c r="AX529" s="5"/>
      <c r="AY529" s="5"/>
    </row>
    <row r="530">
      <c r="A53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0" s="5">
        <f>IFERROR(__xludf.DUMMYFUNCTION("""COMPUTED_VALUE"""),561.0)</f>
        <v>561</v>
      </c>
      <c r="C530" s="5">
        <f>IFERROR(__xludf.DUMMYFUNCTION("""COMPUTED_VALUE"""),423.0)</f>
        <v>423</v>
      </c>
      <c r="D530" s="5" t="str">
        <f>IFERROR(__xludf.DUMMYFUNCTION("""COMPUTED_VALUE"""),"UnicornBuffaloSevensJackpot")</f>
        <v>UnicornBuffaloSevensJackpot</v>
      </c>
      <c r="E530" s="5" t="str">
        <f>IFERROR(__xludf.DUMMYFUNCTION("""COMPUTED_VALUE"""),"Yes")</f>
        <v>Yes</v>
      </c>
      <c r="F530" s="5" t="str">
        <f>IFERROR(__xludf.DUMMYFUNCTION("""COMPUTED_VALUE"""),"Yes")</f>
        <v>Yes</v>
      </c>
      <c r="G530" s="5" t="str">
        <f>IFERROR(__xludf.DUMMYFUNCTION("""COMPUTED_VALUE"""),"Yes")</f>
        <v>Yes</v>
      </c>
      <c r="H530" s="5" t="str">
        <f>IFERROR(__xludf.DUMMYFUNCTION("""COMPUTED_VALUE"""),"No")</f>
        <v>No</v>
      </c>
      <c r="I530" s="5" t="str">
        <f>IFERROR(__xludf.DUMMYFUNCTION("""COMPUTED_VALUE"""),"No")</f>
        <v>No</v>
      </c>
      <c r="J530" s="5" t="str">
        <f>IFERROR(__xludf.DUMMYFUNCTION("""COMPUTED_VALUE"""),"No")</f>
        <v>No</v>
      </c>
      <c r="K530" s="5" t="str">
        <f>IFERROR(__xludf.DUMMYFUNCTION("""COMPUTED_VALUE"""),"No")</f>
        <v>No</v>
      </c>
      <c r="L530" s="5" t="str">
        <f>IFERROR(__xludf.DUMMYFUNCTION("""COMPUTED_VALUE"""),"No")</f>
        <v>No</v>
      </c>
      <c r="M530" s="5" t="str">
        <f>IFERROR(__xludf.DUMMYFUNCTION("""COMPUTED_VALUE"""),"Yes")</f>
        <v>Yes</v>
      </c>
      <c r="N530" s="5" t="str">
        <f>IFERROR(__xludf.DUMMYFUNCTION("""COMPUTED_VALUE"""),"Yes")</f>
        <v>Yes</v>
      </c>
      <c r="O530" s="5" t="str">
        <f>IFERROR(__xludf.DUMMYFUNCTION("""COMPUTED_VALUE"""),"Yes")</f>
        <v>Yes</v>
      </c>
      <c r="P530" s="5" t="str">
        <f>IFERROR(__xludf.DUMMYFUNCTION("""COMPUTED_VALUE"""),"Yes")</f>
        <v>Yes</v>
      </c>
      <c r="Q530" s="5" t="str">
        <f>IFERROR(__xludf.DUMMYFUNCTION("""COMPUTED_VALUE"""),"Yes")</f>
        <v>Yes</v>
      </c>
      <c r="R530" s="5" t="str">
        <f>IFERROR(__xludf.DUMMYFUNCTION("""COMPUTED_VALUE"""),"No")</f>
        <v>No</v>
      </c>
      <c r="S530" s="5" t="str">
        <f>IFERROR(__xludf.DUMMYFUNCTION("""COMPUTED_VALUE"""),"Yes")</f>
        <v>Yes</v>
      </c>
      <c r="T530" s="5" t="str">
        <f>IFERROR(__xludf.DUMMYFUNCTION("""COMPUTED_VALUE"""),"No")</f>
        <v>No</v>
      </c>
      <c r="U530" s="5" t="str">
        <f>IFERROR(__xludf.DUMMYFUNCTION("""COMPUTED_VALUE"""),"No")</f>
        <v>No</v>
      </c>
      <c r="V530" s="5" t="str">
        <f>IFERROR(__xludf.DUMMYFUNCTION("""COMPUTED_VALUE"""),"No")</f>
        <v>No</v>
      </c>
      <c r="W530" s="5" t="str">
        <f>IFERROR(__xludf.DUMMYFUNCTION("""COMPUTED_VALUE"""),"No")</f>
        <v>No</v>
      </c>
      <c r="X530" s="5"/>
      <c r="Y530" s="5"/>
      <c r="Z530" s="5"/>
      <c r="AA530" s="5" t="str">
        <f>IFERROR(__xludf.DUMMYFUNCTION("""COMPUTED_VALUE"""),"Yes")</f>
        <v>Yes</v>
      </c>
      <c r="AB530" s="5"/>
      <c r="AC530" s="5" t="str">
        <f>IFERROR(__xludf.DUMMYFUNCTION("""COMPUTED_VALUE"""),"No")</f>
        <v>No</v>
      </c>
      <c r="AD530" s="5"/>
      <c r="AE530" s="5"/>
      <c r="AF530" s="5" t="str">
        <f>IFERROR(__xludf.DUMMYFUNCTION("""COMPUTED_VALUE"""),"Yes")</f>
        <v>Yes</v>
      </c>
      <c r="AG530" s="5"/>
      <c r="AH530" s="5"/>
      <c r="AI530" s="5"/>
      <c r="AJ530" s="5"/>
      <c r="AK530" s="5"/>
      <c r="AL530" s="5" t="str">
        <f>IFERROR(__xludf.DUMMYFUNCTION("""COMPUTED_VALUE"""),"Yes")</f>
        <v>Yes</v>
      </c>
      <c r="AM530" s="5"/>
      <c r="AN530" s="5"/>
      <c r="AO530" s="5"/>
      <c r="AP530" s="5"/>
      <c r="AQ530" s="5"/>
      <c r="AR530" s="5"/>
      <c r="AS530" s="5"/>
      <c r="AT530" s="5"/>
      <c r="AU530" s="5"/>
      <c r="AV530" s="5"/>
      <c r="AW530" s="5"/>
      <c r="AX530" s="5"/>
      <c r="AY530" s="5"/>
    </row>
    <row r="531">
      <c r="A53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1" s="5">
        <f>IFERROR(__xludf.DUMMYFUNCTION("""COMPUTED_VALUE"""),562.0)</f>
        <v>562</v>
      </c>
      <c r="C531" s="5">
        <f>IFERROR(__xludf.DUMMYFUNCTION("""COMPUTED_VALUE"""),425.0)</f>
        <v>425</v>
      </c>
      <c r="D531" s="5" t="str">
        <f>IFERROR(__xludf.DUMMYFUNCTION("""COMPUTED_VALUE"""),"UnicornScatterKaChing")</f>
        <v>UnicornScatterKaChing</v>
      </c>
      <c r="E531" s="5" t="str">
        <f>IFERROR(__xludf.DUMMYFUNCTION("""COMPUTED_VALUE"""),"Yes")</f>
        <v>Yes</v>
      </c>
      <c r="F531" s="5" t="str">
        <f>IFERROR(__xludf.DUMMYFUNCTION("""COMPUTED_VALUE"""),"Yes")</f>
        <v>Yes</v>
      </c>
      <c r="G531" s="5" t="str">
        <f>IFERROR(__xludf.DUMMYFUNCTION("""COMPUTED_VALUE"""),"Yes")</f>
        <v>Yes</v>
      </c>
      <c r="H531" s="5" t="str">
        <f>IFERROR(__xludf.DUMMYFUNCTION("""COMPUTED_VALUE"""),"No")</f>
        <v>No</v>
      </c>
      <c r="I531" s="5" t="str">
        <f>IFERROR(__xludf.DUMMYFUNCTION("""COMPUTED_VALUE"""),"No")</f>
        <v>No</v>
      </c>
      <c r="J531" s="5" t="str">
        <f>IFERROR(__xludf.DUMMYFUNCTION("""COMPUTED_VALUE"""),"No")</f>
        <v>No</v>
      </c>
      <c r="K531" s="5" t="str">
        <f>IFERROR(__xludf.DUMMYFUNCTION("""COMPUTED_VALUE"""),"No")</f>
        <v>No</v>
      </c>
      <c r="L531" s="5" t="str">
        <f>IFERROR(__xludf.DUMMYFUNCTION("""COMPUTED_VALUE"""),"No")</f>
        <v>No</v>
      </c>
      <c r="M531" s="5" t="str">
        <f>IFERROR(__xludf.DUMMYFUNCTION("""COMPUTED_VALUE"""),"Yes")</f>
        <v>Yes</v>
      </c>
      <c r="N531" s="5" t="str">
        <f>IFERROR(__xludf.DUMMYFUNCTION("""COMPUTED_VALUE"""),"Yes")</f>
        <v>Yes</v>
      </c>
      <c r="O531" s="5" t="str">
        <f>IFERROR(__xludf.DUMMYFUNCTION("""COMPUTED_VALUE"""),"Yes")</f>
        <v>Yes</v>
      </c>
      <c r="P531" s="5" t="str">
        <f>IFERROR(__xludf.DUMMYFUNCTION("""COMPUTED_VALUE"""),"Yes")</f>
        <v>Yes</v>
      </c>
      <c r="Q531" s="5" t="str">
        <f>IFERROR(__xludf.DUMMYFUNCTION("""COMPUTED_VALUE"""),"Yes")</f>
        <v>Yes</v>
      </c>
      <c r="R531" s="5" t="str">
        <f>IFERROR(__xludf.DUMMYFUNCTION("""COMPUTED_VALUE"""),"No")</f>
        <v>No</v>
      </c>
      <c r="S531" s="5" t="str">
        <f>IFERROR(__xludf.DUMMYFUNCTION("""COMPUTED_VALUE"""),"Yes")</f>
        <v>Yes</v>
      </c>
      <c r="T531" s="5" t="str">
        <f>IFERROR(__xludf.DUMMYFUNCTION("""COMPUTED_VALUE"""),"No")</f>
        <v>No</v>
      </c>
      <c r="U531" s="5" t="str">
        <f>IFERROR(__xludf.DUMMYFUNCTION("""COMPUTED_VALUE"""),"No")</f>
        <v>No</v>
      </c>
      <c r="V531" s="5" t="str">
        <f>IFERROR(__xludf.DUMMYFUNCTION("""COMPUTED_VALUE"""),"No")</f>
        <v>No</v>
      </c>
      <c r="W531" s="5" t="str">
        <f>IFERROR(__xludf.DUMMYFUNCTION("""COMPUTED_VALUE"""),"No")</f>
        <v>No</v>
      </c>
      <c r="X531" s="5"/>
      <c r="Y531" s="5"/>
      <c r="Z531" s="5"/>
      <c r="AA531" s="5" t="str">
        <f>IFERROR(__xludf.DUMMYFUNCTION("""COMPUTED_VALUE"""),"Yes")</f>
        <v>Yes</v>
      </c>
      <c r="AB531" s="5"/>
      <c r="AC531" s="5" t="str">
        <f>IFERROR(__xludf.DUMMYFUNCTION("""COMPUTED_VALUE"""),"No")</f>
        <v>No</v>
      </c>
      <c r="AD531" s="5"/>
      <c r="AE531" s="5"/>
      <c r="AF531" s="5" t="str">
        <f>IFERROR(__xludf.DUMMYFUNCTION("""COMPUTED_VALUE"""),"Yes")</f>
        <v>Yes</v>
      </c>
      <c r="AG531" s="5"/>
      <c r="AH531" s="5"/>
      <c r="AI531" s="5"/>
      <c r="AJ531" s="5"/>
      <c r="AK531" s="5"/>
      <c r="AL531" s="5" t="str">
        <f>IFERROR(__xludf.DUMMYFUNCTION("""COMPUTED_VALUE"""),"Yes")</f>
        <v>Yes</v>
      </c>
      <c r="AM531" s="5"/>
      <c r="AN531" s="5"/>
      <c r="AO531" s="5"/>
      <c r="AP531" s="5"/>
      <c r="AQ531" s="5"/>
      <c r="AR531" s="5"/>
      <c r="AS531" s="5"/>
      <c r="AT531" s="5"/>
      <c r="AU531" s="5"/>
      <c r="AV531" s="5"/>
      <c r="AW531" s="5"/>
      <c r="AX531" s="5"/>
      <c r="AY531" s="5"/>
    </row>
    <row r="532">
      <c r="A53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2" s="5">
        <f>IFERROR(__xludf.DUMMYFUNCTION("""COMPUTED_VALUE"""),563.0)</f>
        <v>563</v>
      </c>
      <c r="C532" s="5">
        <f>IFERROR(__xludf.DUMMYFUNCTION("""COMPUTED_VALUE"""),426.0)</f>
        <v>426</v>
      </c>
      <c r="D532" s="5" t="str">
        <f>IFERROR(__xludf.DUMMYFUNCTION("""COMPUTED_VALUE"""),"UnicornFruitPlay")</f>
        <v>UnicornFruitPlay</v>
      </c>
      <c r="E532" s="5" t="str">
        <f>IFERROR(__xludf.DUMMYFUNCTION("""COMPUTED_VALUE"""),"Yes")</f>
        <v>Yes</v>
      </c>
      <c r="F532" s="5" t="str">
        <f>IFERROR(__xludf.DUMMYFUNCTION("""COMPUTED_VALUE"""),"Yes")</f>
        <v>Yes</v>
      </c>
      <c r="G532" s="5" t="str">
        <f>IFERROR(__xludf.DUMMYFUNCTION("""COMPUTED_VALUE"""),"Yes")</f>
        <v>Yes</v>
      </c>
      <c r="H532" s="5" t="str">
        <f>IFERROR(__xludf.DUMMYFUNCTION("""COMPUTED_VALUE"""),"No")</f>
        <v>No</v>
      </c>
      <c r="I532" s="5" t="str">
        <f>IFERROR(__xludf.DUMMYFUNCTION("""COMPUTED_VALUE"""),"No")</f>
        <v>No</v>
      </c>
      <c r="J532" s="5" t="str">
        <f>IFERROR(__xludf.DUMMYFUNCTION("""COMPUTED_VALUE"""),"No")</f>
        <v>No</v>
      </c>
      <c r="K532" s="5" t="str">
        <f>IFERROR(__xludf.DUMMYFUNCTION("""COMPUTED_VALUE"""),"No")</f>
        <v>No</v>
      </c>
      <c r="L532" s="5" t="str">
        <f>IFERROR(__xludf.DUMMYFUNCTION("""COMPUTED_VALUE"""),"No")</f>
        <v>No</v>
      </c>
      <c r="M532" s="5" t="str">
        <f>IFERROR(__xludf.DUMMYFUNCTION("""COMPUTED_VALUE"""),"Yes")</f>
        <v>Yes</v>
      </c>
      <c r="N532" s="5" t="str">
        <f>IFERROR(__xludf.DUMMYFUNCTION("""COMPUTED_VALUE"""),"Yes")</f>
        <v>Yes</v>
      </c>
      <c r="O532" s="5" t="str">
        <f>IFERROR(__xludf.DUMMYFUNCTION("""COMPUTED_VALUE"""),"Yes")</f>
        <v>Yes</v>
      </c>
      <c r="P532" s="5" t="str">
        <f>IFERROR(__xludf.DUMMYFUNCTION("""COMPUTED_VALUE"""),"Yes")</f>
        <v>Yes</v>
      </c>
      <c r="Q532" s="5" t="str">
        <f>IFERROR(__xludf.DUMMYFUNCTION("""COMPUTED_VALUE"""),"Yes")</f>
        <v>Yes</v>
      </c>
      <c r="R532" s="5" t="str">
        <f>IFERROR(__xludf.DUMMYFUNCTION("""COMPUTED_VALUE"""),"No")</f>
        <v>No</v>
      </c>
      <c r="S532" s="5" t="str">
        <f>IFERROR(__xludf.DUMMYFUNCTION("""COMPUTED_VALUE"""),"Yes")</f>
        <v>Yes</v>
      </c>
      <c r="T532" s="5" t="str">
        <f>IFERROR(__xludf.DUMMYFUNCTION("""COMPUTED_VALUE"""),"No")</f>
        <v>No</v>
      </c>
      <c r="U532" s="5" t="str">
        <f>IFERROR(__xludf.DUMMYFUNCTION("""COMPUTED_VALUE"""),"No")</f>
        <v>No</v>
      </c>
      <c r="V532" s="5" t="str">
        <f>IFERROR(__xludf.DUMMYFUNCTION("""COMPUTED_VALUE"""),"No")</f>
        <v>No</v>
      </c>
      <c r="W532" s="5" t="str">
        <f>IFERROR(__xludf.DUMMYFUNCTION("""COMPUTED_VALUE"""),"No")</f>
        <v>No</v>
      </c>
      <c r="X532" s="5"/>
      <c r="Y532" s="5"/>
      <c r="Z532" s="5"/>
      <c r="AA532" s="5" t="str">
        <f>IFERROR(__xludf.DUMMYFUNCTION("""COMPUTED_VALUE"""),"Yes")</f>
        <v>Yes</v>
      </c>
      <c r="AB532" s="5"/>
      <c r="AC532" s="5" t="str">
        <f>IFERROR(__xludf.DUMMYFUNCTION("""COMPUTED_VALUE"""),"No")</f>
        <v>No</v>
      </c>
      <c r="AD532" s="5"/>
      <c r="AE532" s="5"/>
      <c r="AF532" s="5" t="str">
        <f>IFERROR(__xludf.DUMMYFUNCTION("""COMPUTED_VALUE"""),"Yes")</f>
        <v>Yes</v>
      </c>
      <c r="AG532" s="5"/>
      <c r="AH532" s="5"/>
      <c r="AI532" s="5"/>
      <c r="AJ532" s="5"/>
      <c r="AK532" s="5"/>
      <c r="AL532" s="5" t="str">
        <f>IFERROR(__xludf.DUMMYFUNCTION("""COMPUTED_VALUE"""),"Yes")</f>
        <v>Yes</v>
      </c>
      <c r="AM532" s="5"/>
      <c r="AN532" s="5"/>
      <c r="AO532" s="5"/>
      <c r="AP532" s="5"/>
      <c r="AQ532" s="5"/>
      <c r="AR532" s="5"/>
      <c r="AS532" s="5"/>
      <c r="AT532" s="5"/>
      <c r="AU532" s="5"/>
      <c r="AV532" s="5"/>
      <c r="AW532" s="5"/>
      <c r="AX532" s="5"/>
      <c r="AY532" s="5"/>
    </row>
    <row r="533">
      <c r="A53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3" s="5">
        <f>IFERROR(__xludf.DUMMYFUNCTION("""COMPUTED_VALUE"""),564.0)</f>
        <v>564</v>
      </c>
      <c r="C533" s="5">
        <f>IFERROR(__xludf.DUMMYFUNCTION("""COMPUTED_VALUE"""),424.0)</f>
        <v>424</v>
      </c>
      <c r="D533" s="5" t="str">
        <f>IFERROR(__xludf.DUMMYFUNCTION("""COMPUTED_VALUE"""),"UnicornFruitIslandJackpot")</f>
        <v>UnicornFruitIslandJackpot</v>
      </c>
      <c r="E533" s="5" t="str">
        <f>IFERROR(__xludf.DUMMYFUNCTION("""COMPUTED_VALUE"""),"Yes")</f>
        <v>Yes</v>
      </c>
      <c r="F533" s="5" t="str">
        <f>IFERROR(__xludf.DUMMYFUNCTION("""COMPUTED_VALUE"""),"Yes")</f>
        <v>Yes</v>
      </c>
      <c r="G533" s="5" t="str">
        <f>IFERROR(__xludf.DUMMYFUNCTION("""COMPUTED_VALUE"""),"Yes")</f>
        <v>Yes</v>
      </c>
      <c r="H533" s="5" t="str">
        <f>IFERROR(__xludf.DUMMYFUNCTION("""COMPUTED_VALUE"""),"No")</f>
        <v>No</v>
      </c>
      <c r="I533" s="5" t="str">
        <f>IFERROR(__xludf.DUMMYFUNCTION("""COMPUTED_VALUE"""),"No")</f>
        <v>No</v>
      </c>
      <c r="J533" s="5" t="str">
        <f>IFERROR(__xludf.DUMMYFUNCTION("""COMPUTED_VALUE"""),"No")</f>
        <v>No</v>
      </c>
      <c r="K533" s="5" t="str">
        <f>IFERROR(__xludf.DUMMYFUNCTION("""COMPUTED_VALUE"""),"No")</f>
        <v>No</v>
      </c>
      <c r="L533" s="5" t="str">
        <f>IFERROR(__xludf.DUMMYFUNCTION("""COMPUTED_VALUE"""),"No")</f>
        <v>No</v>
      </c>
      <c r="M533" s="5" t="str">
        <f>IFERROR(__xludf.DUMMYFUNCTION("""COMPUTED_VALUE"""),"Yes")</f>
        <v>Yes</v>
      </c>
      <c r="N533" s="5" t="str">
        <f>IFERROR(__xludf.DUMMYFUNCTION("""COMPUTED_VALUE"""),"Yes")</f>
        <v>Yes</v>
      </c>
      <c r="O533" s="5" t="str">
        <f>IFERROR(__xludf.DUMMYFUNCTION("""COMPUTED_VALUE"""),"Yes")</f>
        <v>Yes</v>
      </c>
      <c r="P533" s="5" t="str">
        <f>IFERROR(__xludf.DUMMYFUNCTION("""COMPUTED_VALUE"""),"Yes")</f>
        <v>Yes</v>
      </c>
      <c r="Q533" s="5" t="str">
        <f>IFERROR(__xludf.DUMMYFUNCTION("""COMPUTED_VALUE"""),"Yes")</f>
        <v>Yes</v>
      </c>
      <c r="R533" s="5" t="str">
        <f>IFERROR(__xludf.DUMMYFUNCTION("""COMPUTED_VALUE"""),"No")</f>
        <v>No</v>
      </c>
      <c r="S533" s="5" t="str">
        <f>IFERROR(__xludf.DUMMYFUNCTION("""COMPUTED_VALUE"""),"Yes")</f>
        <v>Yes</v>
      </c>
      <c r="T533" s="5" t="str">
        <f>IFERROR(__xludf.DUMMYFUNCTION("""COMPUTED_VALUE"""),"No")</f>
        <v>No</v>
      </c>
      <c r="U533" s="5" t="str">
        <f>IFERROR(__xludf.DUMMYFUNCTION("""COMPUTED_VALUE"""),"No")</f>
        <v>No</v>
      </c>
      <c r="V533" s="5" t="str">
        <f>IFERROR(__xludf.DUMMYFUNCTION("""COMPUTED_VALUE"""),"No")</f>
        <v>No</v>
      </c>
      <c r="W533" s="5" t="str">
        <f>IFERROR(__xludf.DUMMYFUNCTION("""COMPUTED_VALUE"""),"No")</f>
        <v>No</v>
      </c>
      <c r="X533" s="5"/>
      <c r="Y533" s="5"/>
      <c r="Z533" s="5"/>
      <c r="AA533" s="5" t="str">
        <f>IFERROR(__xludf.DUMMYFUNCTION("""COMPUTED_VALUE"""),"Yes")</f>
        <v>Yes</v>
      </c>
      <c r="AB533" s="5"/>
      <c r="AC533" s="5" t="str">
        <f>IFERROR(__xludf.DUMMYFUNCTION("""COMPUTED_VALUE"""),"No")</f>
        <v>No</v>
      </c>
      <c r="AD533" s="5"/>
      <c r="AE533" s="5"/>
      <c r="AF533" s="5" t="str">
        <f>IFERROR(__xludf.DUMMYFUNCTION("""COMPUTED_VALUE"""),"Yes")</f>
        <v>Yes</v>
      </c>
      <c r="AG533" s="5"/>
      <c r="AH533" s="5"/>
      <c r="AI533" s="5"/>
      <c r="AJ533" s="5"/>
      <c r="AK533" s="5"/>
      <c r="AL533" s="5" t="str">
        <f>IFERROR(__xludf.DUMMYFUNCTION("""COMPUTED_VALUE"""),"Yes")</f>
        <v>Yes</v>
      </c>
      <c r="AM533" s="5"/>
      <c r="AN533" s="5"/>
      <c r="AO533" s="5"/>
      <c r="AP533" s="5"/>
      <c r="AQ533" s="5"/>
      <c r="AR533" s="5"/>
      <c r="AS533" s="5"/>
      <c r="AT533" s="5"/>
      <c r="AU533" s="5"/>
      <c r="AV533" s="5"/>
      <c r="AW533" s="5"/>
      <c r="AX533" s="5"/>
      <c r="AY533" s="5"/>
    </row>
    <row r="534">
      <c r="A53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4" s="5">
        <f>IFERROR(__xludf.DUMMYFUNCTION("""COMPUTED_VALUE"""),565.0)</f>
        <v>565</v>
      </c>
      <c r="C534" s="5">
        <f>IFERROR(__xludf.DUMMYFUNCTION("""COMPUTED_VALUE"""),427.0)</f>
        <v>427</v>
      </c>
      <c r="D534" s="5" t="str">
        <f>IFERROR(__xludf.DUMMYFUNCTION("""COMPUTED_VALUE"""),"UnicornCollectCall")</f>
        <v>UnicornCollectCall</v>
      </c>
      <c r="E534" s="5" t="str">
        <f>IFERROR(__xludf.DUMMYFUNCTION("""COMPUTED_VALUE"""),"Yes")</f>
        <v>Yes</v>
      </c>
      <c r="F534" s="5" t="str">
        <f>IFERROR(__xludf.DUMMYFUNCTION("""COMPUTED_VALUE"""),"Yes")</f>
        <v>Yes</v>
      </c>
      <c r="G534" s="5" t="str">
        <f>IFERROR(__xludf.DUMMYFUNCTION("""COMPUTED_VALUE"""),"Yes")</f>
        <v>Yes</v>
      </c>
      <c r="H534" s="5" t="str">
        <f>IFERROR(__xludf.DUMMYFUNCTION("""COMPUTED_VALUE"""),"No")</f>
        <v>No</v>
      </c>
      <c r="I534" s="5" t="str">
        <f>IFERROR(__xludf.DUMMYFUNCTION("""COMPUTED_VALUE"""),"No")</f>
        <v>No</v>
      </c>
      <c r="J534" s="5" t="str">
        <f>IFERROR(__xludf.DUMMYFUNCTION("""COMPUTED_VALUE"""),"No")</f>
        <v>No</v>
      </c>
      <c r="K534" s="5" t="str">
        <f>IFERROR(__xludf.DUMMYFUNCTION("""COMPUTED_VALUE"""),"No")</f>
        <v>No</v>
      </c>
      <c r="L534" s="5" t="str">
        <f>IFERROR(__xludf.DUMMYFUNCTION("""COMPUTED_VALUE"""),"No")</f>
        <v>No</v>
      </c>
      <c r="M534" s="5" t="str">
        <f>IFERROR(__xludf.DUMMYFUNCTION("""COMPUTED_VALUE"""),"Yes")</f>
        <v>Yes</v>
      </c>
      <c r="N534" s="5" t="str">
        <f>IFERROR(__xludf.DUMMYFUNCTION("""COMPUTED_VALUE"""),"Yes")</f>
        <v>Yes</v>
      </c>
      <c r="O534" s="5" t="str">
        <f>IFERROR(__xludf.DUMMYFUNCTION("""COMPUTED_VALUE"""),"Yes")</f>
        <v>Yes</v>
      </c>
      <c r="P534" s="5" t="str">
        <f>IFERROR(__xludf.DUMMYFUNCTION("""COMPUTED_VALUE"""),"Yes")</f>
        <v>Yes</v>
      </c>
      <c r="Q534" s="5" t="str">
        <f>IFERROR(__xludf.DUMMYFUNCTION("""COMPUTED_VALUE"""),"Yes")</f>
        <v>Yes</v>
      </c>
      <c r="R534" s="5" t="str">
        <f>IFERROR(__xludf.DUMMYFUNCTION("""COMPUTED_VALUE"""),"No")</f>
        <v>No</v>
      </c>
      <c r="S534" s="5" t="str">
        <f>IFERROR(__xludf.DUMMYFUNCTION("""COMPUTED_VALUE"""),"Yes")</f>
        <v>Yes</v>
      </c>
      <c r="T534" s="5" t="str">
        <f>IFERROR(__xludf.DUMMYFUNCTION("""COMPUTED_VALUE"""),"No")</f>
        <v>No</v>
      </c>
      <c r="U534" s="5" t="str">
        <f>IFERROR(__xludf.DUMMYFUNCTION("""COMPUTED_VALUE"""),"No")</f>
        <v>No</v>
      </c>
      <c r="V534" s="5" t="str">
        <f>IFERROR(__xludf.DUMMYFUNCTION("""COMPUTED_VALUE"""),"No")</f>
        <v>No</v>
      </c>
      <c r="W534" s="5" t="str">
        <f>IFERROR(__xludf.DUMMYFUNCTION("""COMPUTED_VALUE"""),"No")</f>
        <v>No</v>
      </c>
      <c r="X534" s="5" t="str">
        <f>IFERROR(__xludf.DUMMYFUNCTION("""COMPUTED_VALUE"""),"No")</f>
        <v>No</v>
      </c>
      <c r="Y534" s="5" t="str">
        <f>IFERROR(__xludf.DUMMYFUNCTION("""COMPUTED_VALUE"""),"No")</f>
        <v>No</v>
      </c>
      <c r="Z534" s="5" t="str">
        <f>IFERROR(__xludf.DUMMYFUNCTION("""COMPUTED_VALUE"""),"No")</f>
        <v>No</v>
      </c>
      <c r="AA534" s="5" t="str">
        <f>IFERROR(__xludf.DUMMYFUNCTION("""COMPUTED_VALUE"""),"Yes")</f>
        <v>Yes</v>
      </c>
      <c r="AB534" s="5" t="str">
        <f>IFERROR(__xludf.DUMMYFUNCTION("""COMPUTED_VALUE"""),"No")</f>
        <v>No</v>
      </c>
      <c r="AC534" s="5" t="str">
        <f>IFERROR(__xludf.DUMMYFUNCTION("""COMPUTED_VALUE"""),"No")</f>
        <v>No</v>
      </c>
      <c r="AD534" s="5" t="str">
        <f>IFERROR(__xludf.DUMMYFUNCTION("""COMPUTED_VALUE"""),"No")</f>
        <v>No</v>
      </c>
      <c r="AE534" s="5" t="str">
        <f>IFERROR(__xludf.DUMMYFUNCTION("""COMPUTED_VALUE"""),"No")</f>
        <v>No</v>
      </c>
      <c r="AF534" s="5" t="str">
        <f>IFERROR(__xludf.DUMMYFUNCTION("""COMPUTED_VALUE"""),"Yes")</f>
        <v>Yes</v>
      </c>
      <c r="AG534" s="5" t="str">
        <f>IFERROR(__xludf.DUMMYFUNCTION("""COMPUTED_VALUE"""),"No")</f>
        <v>No</v>
      </c>
      <c r="AH534" s="5" t="str">
        <f>IFERROR(__xludf.DUMMYFUNCTION("""COMPUTED_VALUE"""),"No")</f>
        <v>No</v>
      </c>
      <c r="AI534" s="5" t="str">
        <f>IFERROR(__xludf.DUMMYFUNCTION("""COMPUTED_VALUE"""),"No")</f>
        <v>No</v>
      </c>
      <c r="AJ534" s="5" t="str">
        <f>IFERROR(__xludf.DUMMYFUNCTION("""COMPUTED_VALUE"""),"No")</f>
        <v>No</v>
      </c>
      <c r="AK534" s="5" t="str">
        <f>IFERROR(__xludf.DUMMYFUNCTION("""COMPUTED_VALUE"""),"No")</f>
        <v>No</v>
      </c>
      <c r="AL534" s="5" t="str">
        <f>IFERROR(__xludf.DUMMYFUNCTION("""COMPUTED_VALUE"""),"Yes")</f>
        <v>Yes</v>
      </c>
      <c r="AM534" s="5"/>
      <c r="AN534" s="5"/>
      <c r="AO534" s="5"/>
      <c r="AP534" s="5"/>
      <c r="AQ534" s="5"/>
      <c r="AR534" s="5"/>
      <c r="AS534" s="5"/>
      <c r="AT534" s="5"/>
      <c r="AU534" s="5"/>
      <c r="AV534" s="5"/>
      <c r="AW534" s="5"/>
      <c r="AX534" s="5"/>
      <c r="AY534" s="5"/>
    </row>
    <row r="535">
      <c r="A53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5" s="5">
        <f>IFERROR(__xludf.DUMMYFUNCTION("""COMPUTED_VALUE"""),566.0)</f>
        <v>566</v>
      </c>
      <c r="C535" s="5">
        <f>IFERROR(__xludf.DUMMYFUNCTION("""COMPUTED_VALUE"""),508.0)</f>
        <v>508</v>
      </c>
      <c r="D535" s="5" t="str">
        <f>IFERROR(__xludf.DUMMYFUNCTION("""COMPUTED_VALUE"""),"UnicornCoyoteSevensHalloween")</f>
        <v>UnicornCoyoteSevensHalloween</v>
      </c>
      <c r="E535" s="5" t="str">
        <f>IFERROR(__xludf.DUMMYFUNCTION("""COMPUTED_VALUE"""),"Yes")</f>
        <v>Yes</v>
      </c>
      <c r="F535" s="5" t="str">
        <f>IFERROR(__xludf.DUMMYFUNCTION("""COMPUTED_VALUE"""),"Yes")</f>
        <v>Yes</v>
      </c>
      <c r="G535" s="5" t="str">
        <f>IFERROR(__xludf.DUMMYFUNCTION("""COMPUTED_VALUE"""),"Yes")</f>
        <v>Yes</v>
      </c>
      <c r="H535" s="5" t="str">
        <f>IFERROR(__xludf.DUMMYFUNCTION("""COMPUTED_VALUE"""),"No")</f>
        <v>No</v>
      </c>
      <c r="I535" s="5" t="str">
        <f>IFERROR(__xludf.DUMMYFUNCTION("""COMPUTED_VALUE"""),"No")</f>
        <v>No</v>
      </c>
      <c r="J535" s="5" t="str">
        <f>IFERROR(__xludf.DUMMYFUNCTION("""COMPUTED_VALUE"""),"No")</f>
        <v>No</v>
      </c>
      <c r="K535" s="5" t="str">
        <f>IFERROR(__xludf.DUMMYFUNCTION("""COMPUTED_VALUE"""),"No")</f>
        <v>No</v>
      </c>
      <c r="L535" s="5" t="str">
        <f>IFERROR(__xludf.DUMMYFUNCTION("""COMPUTED_VALUE"""),"No")</f>
        <v>No</v>
      </c>
      <c r="M535" s="5" t="str">
        <f>IFERROR(__xludf.DUMMYFUNCTION("""COMPUTED_VALUE"""),"Yes")</f>
        <v>Yes</v>
      </c>
      <c r="N535" s="5" t="str">
        <f>IFERROR(__xludf.DUMMYFUNCTION("""COMPUTED_VALUE"""),"Yes")</f>
        <v>Yes</v>
      </c>
      <c r="O535" s="5" t="str">
        <f>IFERROR(__xludf.DUMMYFUNCTION("""COMPUTED_VALUE"""),"Yes")</f>
        <v>Yes</v>
      </c>
      <c r="P535" s="5" t="str">
        <f>IFERROR(__xludf.DUMMYFUNCTION("""COMPUTED_VALUE"""),"Yes")</f>
        <v>Yes</v>
      </c>
      <c r="Q535" s="5" t="str">
        <f>IFERROR(__xludf.DUMMYFUNCTION("""COMPUTED_VALUE"""),"Yes")</f>
        <v>Yes</v>
      </c>
      <c r="R535" s="5" t="str">
        <f>IFERROR(__xludf.DUMMYFUNCTION("""COMPUTED_VALUE"""),"No")</f>
        <v>No</v>
      </c>
      <c r="S535" s="5" t="str">
        <f>IFERROR(__xludf.DUMMYFUNCTION("""COMPUTED_VALUE"""),"Yes")</f>
        <v>Yes</v>
      </c>
      <c r="T535" s="5" t="str">
        <f>IFERROR(__xludf.DUMMYFUNCTION("""COMPUTED_VALUE"""),"No")</f>
        <v>No</v>
      </c>
      <c r="U535" s="5" t="str">
        <f>IFERROR(__xludf.DUMMYFUNCTION("""COMPUTED_VALUE"""),"No")</f>
        <v>No</v>
      </c>
      <c r="V535" s="5" t="str">
        <f>IFERROR(__xludf.DUMMYFUNCTION("""COMPUTED_VALUE"""),"No")</f>
        <v>No</v>
      </c>
      <c r="W535" s="5" t="str">
        <f>IFERROR(__xludf.DUMMYFUNCTION("""COMPUTED_VALUE"""),"No")</f>
        <v>No</v>
      </c>
      <c r="X535" s="5"/>
      <c r="Y535" s="5"/>
      <c r="Z535" s="5"/>
      <c r="AA535" s="5" t="str">
        <f>IFERROR(__xludf.DUMMYFUNCTION("""COMPUTED_VALUE"""),"Yes")</f>
        <v>Yes</v>
      </c>
      <c r="AB535" s="5"/>
      <c r="AC535" s="5" t="str">
        <f>IFERROR(__xludf.DUMMYFUNCTION("""COMPUTED_VALUE"""),"No")</f>
        <v>No</v>
      </c>
      <c r="AD535" s="5"/>
      <c r="AE535" s="5"/>
      <c r="AF535" s="5" t="str">
        <f>IFERROR(__xludf.DUMMYFUNCTION("""COMPUTED_VALUE"""),"Yes")</f>
        <v>Yes</v>
      </c>
      <c r="AG535" s="5"/>
      <c r="AH535" s="5"/>
      <c r="AI535" s="5"/>
      <c r="AJ535" s="5"/>
      <c r="AK535" s="5"/>
      <c r="AL535" s="5" t="str">
        <f>IFERROR(__xludf.DUMMYFUNCTION("""COMPUTED_VALUE"""),"Yes")</f>
        <v>Yes</v>
      </c>
      <c r="AM535" s="5"/>
      <c r="AN535" s="5"/>
      <c r="AO535" s="5"/>
      <c r="AP535" s="5"/>
      <c r="AQ535" s="5"/>
      <c r="AR535" s="5"/>
      <c r="AS535" s="5"/>
      <c r="AT535" s="5"/>
      <c r="AU535" s="5"/>
      <c r="AV535" s="5"/>
      <c r="AW535" s="5"/>
      <c r="AX535" s="5"/>
      <c r="AY535" s="5"/>
    </row>
    <row r="536">
      <c r="A53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6" s="5">
        <f>IFERROR(__xludf.DUMMYFUNCTION("""COMPUTED_VALUE"""),567.0)</f>
        <v>567</v>
      </c>
      <c r="C536" s="5">
        <f>IFERROR(__xludf.DUMMYFUNCTION("""COMPUTED_VALUE"""),510.0)</f>
        <v>510</v>
      </c>
      <c r="D536" s="5" t="str">
        <f>IFERROR(__xludf.DUMMYFUNCTION("""COMPUTED_VALUE"""),"UnicornLavaGems")</f>
        <v>UnicornLavaGems</v>
      </c>
      <c r="E536" s="5" t="str">
        <f>IFERROR(__xludf.DUMMYFUNCTION("""COMPUTED_VALUE"""),"Yes")</f>
        <v>Yes</v>
      </c>
      <c r="F536" s="5" t="str">
        <f>IFERROR(__xludf.DUMMYFUNCTION("""COMPUTED_VALUE"""),"Yes")</f>
        <v>Yes</v>
      </c>
      <c r="G536" s="5" t="str">
        <f>IFERROR(__xludf.DUMMYFUNCTION("""COMPUTED_VALUE"""),"Yes")</f>
        <v>Yes</v>
      </c>
      <c r="H536" s="5" t="str">
        <f>IFERROR(__xludf.DUMMYFUNCTION("""COMPUTED_VALUE"""),"No")</f>
        <v>No</v>
      </c>
      <c r="I536" s="5" t="str">
        <f>IFERROR(__xludf.DUMMYFUNCTION("""COMPUTED_VALUE"""),"No")</f>
        <v>No</v>
      </c>
      <c r="J536" s="5" t="str">
        <f>IFERROR(__xludf.DUMMYFUNCTION("""COMPUTED_VALUE"""),"No")</f>
        <v>No</v>
      </c>
      <c r="K536" s="5" t="str">
        <f>IFERROR(__xludf.DUMMYFUNCTION("""COMPUTED_VALUE"""),"No")</f>
        <v>No</v>
      </c>
      <c r="L536" s="5" t="str">
        <f>IFERROR(__xludf.DUMMYFUNCTION("""COMPUTED_VALUE"""),"No")</f>
        <v>No</v>
      </c>
      <c r="M536" s="5" t="str">
        <f>IFERROR(__xludf.DUMMYFUNCTION("""COMPUTED_VALUE"""),"Yes")</f>
        <v>Yes</v>
      </c>
      <c r="N536" s="5" t="str">
        <f>IFERROR(__xludf.DUMMYFUNCTION("""COMPUTED_VALUE"""),"Yes")</f>
        <v>Yes</v>
      </c>
      <c r="O536" s="5" t="str">
        <f>IFERROR(__xludf.DUMMYFUNCTION("""COMPUTED_VALUE"""),"Yes")</f>
        <v>Yes</v>
      </c>
      <c r="P536" s="5" t="str">
        <f>IFERROR(__xludf.DUMMYFUNCTION("""COMPUTED_VALUE"""),"Yes")</f>
        <v>Yes</v>
      </c>
      <c r="Q536" s="5" t="str">
        <f>IFERROR(__xludf.DUMMYFUNCTION("""COMPUTED_VALUE"""),"Yes")</f>
        <v>Yes</v>
      </c>
      <c r="R536" s="5" t="str">
        <f>IFERROR(__xludf.DUMMYFUNCTION("""COMPUTED_VALUE"""),"No")</f>
        <v>No</v>
      </c>
      <c r="S536" s="5" t="str">
        <f>IFERROR(__xludf.DUMMYFUNCTION("""COMPUTED_VALUE"""),"Yes")</f>
        <v>Yes</v>
      </c>
      <c r="T536" s="5" t="str">
        <f>IFERROR(__xludf.DUMMYFUNCTION("""COMPUTED_VALUE"""),"No")</f>
        <v>No</v>
      </c>
      <c r="U536" s="5" t="str">
        <f>IFERROR(__xludf.DUMMYFUNCTION("""COMPUTED_VALUE"""),"No")</f>
        <v>No</v>
      </c>
      <c r="V536" s="5" t="str">
        <f>IFERROR(__xludf.DUMMYFUNCTION("""COMPUTED_VALUE"""),"No")</f>
        <v>No</v>
      </c>
      <c r="W536" s="5" t="str">
        <f>IFERROR(__xludf.DUMMYFUNCTION("""COMPUTED_VALUE"""),"No")</f>
        <v>No</v>
      </c>
      <c r="X536" s="5"/>
      <c r="Y536" s="5"/>
      <c r="Z536" s="5"/>
      <c r="AA536" s="5" t="str">
        <f>IFERROR(__xludf.DUMMYFUNCTION("""COMPUTED_VALUE"""),"Yes")</f>
        <v>Yes</v>
      </c>
      <c r="AB536" s="5"/>
      <c r="AC536" s="5" t="str">
        <f>IFERROR(__xludf.DUMMYFUNCTION("""COMPUTED_VALUE"""),"No")</f>
        <v>No</v>
      </c>
      <c r="AD536" s="5"/>
      <c r="AE536" s="5"/>
      <c r="AF536" s="5" t="str">
        <f>IFERROR(__xludf.DUMMYFUNCTION("""COMPUTED_VALUE"""),"Yes")</f>
        <v>Yes</v>
      </c>
      <c r="AG536" s="5"/>
      <c r="AH536" s="5"/>
      <c r="AI536" s="5"/>
      <c r="AJ536" s="5"/>
      <c r="AK536" s="5"/>
      <c r="AL536" s="5" t="str">
        <f>IFERROR(__xludf.DUMMYFUNCTION("""COMPUTED_VALUE"""),"Yes")</f>
        <v>Yes</v>
      </c>
      <c r="AM536" s="5"/>
      <c r="AN536" s="5"/>
      <c r="AO536" s="5"/>
      <c r="AP536" s="5"/>
      <c r="AQ536" s="5"/>
      <c r="AR536" s="5"/>
      <c r="AS536" s="5"/>
      <c r="AT536" s="5"/>
      <c r="AU536" s="5"/>
      <c r="AV536" s="5"/>
      <c r="AW536" s="5"/>
      <c r="AX536" s="5"/>
      <c r="AY536" s="5"/>
    </row>
    <row r="537">
      <c r="A53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7" s="5">
        <f>IFERROR(__xludf.DUMMYFUNCTION("""COMPUTED_VALUE"""),568.0)</f>
        <v>568</v>
      </c>
      <c r="C537" s="5">
        <f>IFERROR(__xludf.DUMMYFUNCTION("""COMPUTED_VALUE"""),4000000.0)</f>
        <v>4000000</v>
      </c>
      <c r="D537" s="5" t="str">
        <f>IFERROR(__xludf.DUMMYFUNCTION("""COMPUTED_VALUE"""),"UnicornTheKingsHalloween")</f>
        <v>UnicornTheKingsHalloween</v>
      </c>
      <c r="E537" s="5" t="str">
        <f>IFERROR(__xludf.DUMMYFUNCTION("""COMPUTED_VALUE"""),"Yes")</f>
        <v>Yes</v>
      </c>
      <c r="F537" s="5" t="str">
        <f>IFERROR(__xludf.DUMMYFUNCTION("""COMPUTED_VALUE"""),"Yes")</f>
        <v>Yes</v>
      </c>
      <c r="G537" s="5" t="str">
        <f>IFERROR(__xludf.DUMMYFUNCTION("""COMPUTED_VALUE"""),"Yes")</f>
        <v>Yes</v>
      </c>
      <c r="H537" s="5"/>
      <c r="I537" s="5"/>
      <c r="J537" s="5"/>
      <c r="K537" s="5"/>
      <c r="L537" s="5"/>
      <c r="M537" s="5" t="str">
        <f>IFERROR(__xludf.DUMMYFUNCTION("""COMPUTED_VALUE"""),"Yes")</f>
        <v>Yes</v>
      </c>
      <c r="N537" s="5" t="str">
        <f>IFERROR(__xludf.DUMMYFUNCTION("""COMPUTED_VALUE"""),"Yes")</f>
        <v>Yes</v>
      </c>
      <c r="O537" s="5" t="str">
        <f>IFERROR(__xludf.DUMMYFUNCTION("""COMPUTED_VALUE"""),"Yes")</f>
        <v>Yes</v>
      </c>
      <c r="P537" s="5" t="str">
        <f>IFERROR(__xludf.DUMMYFUNCTION("""COMPUTED_VALUE"""),"Yes")</f>
        <v>Yes</v>
      </c>
      <c r="Q537" s="5" t="str">
        <f>IFERROR(__xludf.DUMMYFUNCTION("""COMPUTED_VALUE"""),"Yes")</f>
        <v>Yes</v>
      </c>
      <c r="R537" s="5"/>
      <c r="S537" s="5" t="str">
        <f>IFERROR(__xludf.DUMMYFUNCTION("""COMPUTED_VALUE"""),"Yes")</f>
        <v>Yes</v>
      </c>
      <c r="T537" s="5"/>
      <c r="U537" s="5"/>
      <c r="V537" s="5"/>
      <c r="W537" s="5"/>
      <c r="X537" s="5"/>
      <c r="Y537" s="5"/>
      <c r="Z537" s="5"/>
      <c r="AA537" s="5" t="str">
        <f>IFERROR(__xludf.DUMMYFUNCTION("""COMPUTED_VALUE"""),"Yes")</f>
        <v>Yes</v>
      </c>
      <c r="AB537" s="5"/>
      <c r="AC537" s="5"/>
      <c r="AD537" s="5"/>
      <c r="AE537" s="5"/>
      <c r="AF537" s="5" t="str">
        <f>IFERROR(__xludf.DUMMYFUNCTION("""COMPUTED_VALUE"""),"Yes")</f>
        <v>Yes</v>
      </c>
      <c r="AG537" s="5"/>
      <c r="AH537" s="5"/>
      <c r="AI537" s="5"/>
      <c r="AJ537" s="5"/>
      <c r="AK537" s="5"/>
      <c r="AL537" s="5" t="str">
        <f>IFERROR(__xludf.DUMMYFUNCTION("""COMPUTED_VALUE"""),"Yes")</f>
        <v>Yes</v>
      </c>
      <c r="AM537" s="5"/>
      <c r="AN537" s="5"/>
      <c r="AO537" s="5"/>
      <c r="AP537" s="5"/>
      <c r="AQ537" s="5"/>
      <c r="AR537" s="5"/>
      <c r="AS537" s="5"/>
      <c r="AT537" s="5"/>
      <c r="AU537" s="5"/>
      <c r="AV537" s="5"/>
      <c r="AW537" s="5"/>
      <c r="AX537" s="5"/>
      <c r="AY537" s="5"/>
    </row>
    <row r="538">
      <c r="A5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38" s="5">
        <f>IFERROR(__xludf.DUMMYFUNCTION("""COMPUTED_VALUE"""),571.0)</f>
        <v>571</v>
      </c>
      <c r="C538" s="5">
        <f>IFERROR(__xludf.DUMMYFUNCTION("""COMPUTED_VALUE"""),3010.0)</f>
        <v>3010</v>
      </c>
      <c r="D538" s="5" t="str">
        <f>IFERROR(__xludf.DUMMYFUNCTION("""COMPUTED_VALUE"""),"WildSunflower")</f>
        <v>WildSunflower</v>
      </c>
      <c r="E538" s="5" t="str">
        <f>IFERROR(__xludf.DUMMYFUNCTION("""COMPUTED_VALUE"""),"Yes")</f>
        <v>Yes</v>
      </c>
      <c r="F538" s="5" t="str">
        <f>IFERROR(__xludf.DUMMYFUNCTION("""COMPUTED_VALUE"""),"Yes")</f>
        <v>Yes</v>
      </c>
      <c r="G538" s="5" t="str">
        <f>IFERROR(__xludf.DUMMYFUNCTION("""COMPUTED_VALUE"""),"Yes")</f>
        <v>Yes</v>
      </c>
      <c r="H538" s="5" t="str">
        <f>IFERROR(__xludf.DUMMYFUNCTION("""COMPUTED_VALUE"""),"Yes")</f>
        <v>Yes</v>
      </c>
      <c r="I538" s="5" t="str">
        <f>IFERROR(__xludf.DUMMYFUNCTION("""COMPUTED_VALUE"""),"Yes")</f>
        <v>Yes</v>
      </c>
      <c r="J538" s="5" t="str">
        <f>IFERROR(__xludf.DUMMYFUNCTION("""COMPUTED_VALUE"""),"Yes")</f>
        <v>Yes</v>
      </c>
      <c r="K538" s="5" t="str">
        <f>IFERROR(__xludf.DUMMYFUNCTION("""COMPUTED_VALUE"""),"Yes")</f>
        <v>Yes</v>
      </c>
      <c r="L538" s="5" t="str">
        <f>IFERROR(__xludf.DUMMYFUNCTION("""COMPUTED_VALUE"""),"Yes")</f>
        <v>Yes</v>
      </c>
      <c r="M538" s="5" t="str">
        <f>IFERROR(__xludf.DUMMYFUNCTION("""COMPUTED_VALUE"""),"Yes")</f>
        <v>Yes</v>
      </c>
      <c r="N538" s="5" t="str">
        <f>IFERROR(__xludf.DUMMYFUNCTION("""COMPUTED_VALUE"""),"Yes")</f>
        <v>Yes</v>
      </c>
      <c r="O538" s="5" t="str">
        <f>IFERROR(__xludf.DUMMYFUNCTION("""COMPUTED_VALUE"""),"Yes")</f>
        <v>Yes</v>
      </c>
      <c r="P538" s="5" t="str">
        <f>IFERROR(__xludf.DUMMYFUNCTION("""COMPUTED_VALUE"""),"Yes")</f>
        <v>Yes</v>
      </c>
      <c r="Q538" s="5" t="str">
        <f>IFERROR(__xludf.DUMMYFUNCTION("""COMPUTED_VALUE"""),"Yes")</f>
        <v>Yes</v>
      </c>
      <c r="R538" s="5" t="str">
        <f>IFERROR(__xludf.DUMMYFUNCTION("""COMPUTED_VALUE"""),"Yes")</f>
        <v>Yes</v>
      </c>
      <c r="S538" s="5" t="str">
        <f>IFERROR(__xludf.DUMMYFUNCTION("""COMPUTED_VALUE"""),"Yes")</f>
        <v>Yes</v>
      </c>
      <c r="T538" s="5" t="str">
        <f>IFERROR(__xludf.DUMMYFUNCTION("""COMPUTED_VALUE"""),"Yes")</f>
        <v>Yes</v>
      </c>
      <c r="U538" s="5" t="str">
        <f>IFERROR(__xludf.DUMMYFUNCTION("""COMPUTED_VALUE"""),"Yes")</f>
        <v>Yes</v>
      </c>
      <c r="V538" s="5" t="str">
        <f>IFERROR(__xludf.DUMMYFUNCTION("""COMPUTED_VALUE"""),"Yes")</f>
        <v>Yes</v>
      </c>
      <c r="W538" s="5" t="str">
        <f>IFERROR(__xludf.DUMMYFUNCTION("""COMPUTED_VALUE"""),"Yes")</f>
        <v>Yes</v>
      </c>
      <c r="X538" s="5" t="str">
        <f>IFERROR(__xludf.DUMMYFUNCTION("""COMPUTED_VALUE"""),"Yes")</f>
        <v>Yes</v>
      </c>
      <c r="Y538" s="5" t="str">
        <f>IFERROR(__xludf.DUMMYFUNCTION("""COMPUTED_VALUE"""),"Yes")</f>
        <v>Yes</v>
      </c>
      <c r="Z538" s="5" t="str">
        <f>IFERROR(__xludf.DUMMYFUNCTION("""COMPUTED_VALUE"""),"Yes")</f>
        <v>Yes</v>
      </c>
      <c r="AA538" s="5" t="str">
        <f>IFERROR(__xludf.DUMMYFUNCTION("""COMPUTED_VALUE"""),"Yes")</f>
        <v>Yes</v>
      </c>
      <c r="AB538" s="5" t="str">
        <f>IFERROR(__xludf.DUMMYFUNCTION("""COMPUTED_VALUE"""),"Yes")</f>
        <v>Yes</v>
      </c>
      <c r="AC538" s="5" t="str">
        <f>IFERROR(__xludf.DUMMYFUNCTION("""COMPUTED_VALUE"""),"Yes")</f>
        <v>Yes</v>
      </c>
      <c r="AD538" s="5" t="str">
        <f>IFERROR(__xludf.DUMMYFUNCTION("""COMPUTED_VALUE"""),"Yes")</f>
        <v>Yes</v>
      </c>
      <c r="AE538" s="5" t="str">
        <f>IFERROR(__xludf.DUMMYFUNCTION("""COMPUTED_VALUE"""),"Yes")</f>
        <v>Yes</v>
      </c>
      <c r="AF538" s="5" t="str">
        <f>IFERROR(__xludf.DUMMYFUNCTION("""COMPUTED_VALUE"""),"Yes")</f>
        <v>Yes</v>
      </c>
      <c r="AG538" s="5" t="str">
        <f>IFERROR(__xludf.DUMMYFUNCTION("""COMPUTED_VALUE"""),"Yes")</f>
        <v>Yes</v>
      </c>
      <c r="AH538" s="5" t="str">
        <f>IFERROR(__xludf.DUMMYFUNCTION("""COMPUTED_VALUE"""),"Yes")</f>
        <v>Yes</v>
      </c>
      <c r="AI538" s="5" t="str">
        <f>IFERROR(__xludf.DUMMYFUNCTION("""COMPUTED_VALUE"""),"No")</f>
        <v>No</v>
      </c>
      <c r="AJ538" s="5" t="str">
        <f>IFERROR(__xludf.DUMMYFUNCTION("""COMPUTED_VALUE"""),"No")</f>
        <v>No</v>
      </c>
      <c r="AK538" s="5" t="str">
        <f>IFERROR(__xludf.DUMMYFUNCTION("""COMPUTED_VALUE"""),"No")</f>
        <v>No</v>
      </c>
      <c r="AL538" s="5" t="str">
        <f>IFERROR(__xludf.DUMMYFUNCTION("""COMPUTED_VALUE"""),"No")</f>
        <v>No</v>
      </c>
      <c r="AM538" s="5"/>
      <c r="AN538" s="5"/>
      <c r="AO538" s="5"/>
      <c r="AP538" s="5"/>
      <c r="AQ538" s="5"/>
      <c r="AR538" s="5"/>
      <c r="AS538" s="5"/>
      <c r="AT538" s="5"/>
      <c r="AU538" s="5"/>
      <c r="AV538" s="5"/>
      <c r="AW538" s="5"/>
      <c r="AX538" s="5"/>
      <c r="AY538" s="5"/>
    </row>
    <row r="539">
      <c r="A5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9" s="5">
        <f>IFERROR(__xludf.DUMMYFUNCTION("""COMPUTED_VALUE"""),572.0)</f>
        <v>572</v>
      </c>
      <c r="C539" s="5">
        <f>IFERROR(__xludf.DUMMYFUNCTION("""COMPUTED_VALUE"""),3013.0)</f>
        <v>3013</v>
      </c>
      <c r="D539" s="5" t="str">
        <f>IFERROR(__xludf.DUMMYFUNCTION("""COMPUTED_VALUE"""),"GoldenCrownMaxBooster")</f>
        <v>GoldenCrownMaxBooster</v>
      </c>
      <c r="E539" s="5" t="str">
        <f>IFERROR(__xludf.DUMMYFUNCTION("""COMPUTED_VALUE"""),"Yes")</f>
        <v>Yes</v>
      </c>
      <c r="F539" s="5" t="str">
        <f>IFERROR(__xludf.DUMMYFUNCTION("""COMPUTED_VALUE"""),"Yes")</f>
        <v>Yes</v>
      </c>
      <c r="G539" s="5" t="str">
        <f>IFERROR(__xludf.DUMMYFUNCTION("""COMPUTED_VALUE"""),"Yes")</f>
        <v>Yes</v>
      </c>
      <c r="H539" s="5" t="str">
        <f>IFERROR(__xludf.DUMMYFUNCTION("""COMPUTED_VALUE"""),"Yes")</f>
        <v>Yes</v>
      </c>
      <c r="I539" s="5" t="str">
        <f>IFERROR(__xludf.DUMMYFUNCTION("""COMPUTED_VALUE"""),"Yes")</f>
        <v>Yes</v>
      </c>
      <c r="J539" s="5" t="str">
        <f>IFERROR(__xludf.DUMMYFUNCTION("""COMPUTED_VALUE"""),"Yes")</f>
        <v>Yes</v>
      </c>
      <c r="K539" s="5" t="str">
        <f>IFERROR(__xludf.DUMMYFUNCTION("""COMPUTED_VALUE"""),"Yes")</f>
        <v>Yes</v>
      </c>
      <c r="L539" s="5" t="str">
        <f>IFERROR(__xludf.DUMMYFUNCTION("""COMPUTED_VALUE"""),"Yes")</f>
        <v>Yes</v>
      </c>
      <c r="M539" s="5" t="str">
        <f>IFERROR(__xludf.DUMMYFUNCTION("""COMPUTED_VALUE"""),"Yes")</f>
        <v>Yes</v>
      </c>
      <c r="N539" s="5" t="str">
        <f>IFERROR(__xludf.DUMMYFUNCTION("""COMPUTED_VALUE"""),"Yes")</f>
        <v>Yes</v>
      </c>
      <c r="O539" s="5" t="str">
        <f>IFERROR(__xludf.DUMMYFUNCTION("""COMPUTED_VALUE"""),"Yes")</f>
        <v>Yes</v>
      </c>
      <c r="P539" s="5" t="str">
        <f>IFERROR(__xludf.DUMMYFUNCTION("""COMPUTED_VALUE"""),"Yes")</f>
        <v>Yes</v>
      </c>
      <c r="Q539" s="5" t="str">
        <f>IFERROR(__xludf.DUMMYFUNCTION("""COMPUTED_VALUE"""),"Yes")</f>
        <v>Yes</v>
      </c>
      <c r="R539" s="5" t="str">
        <f>IFERROR(__xludf.DUMMYFUNCTION("""COMPUTED_VALUE"""),"Yes")</f>
        <v>Yes</v>
      </c>
      <c r="S539" s="5" t="str">
        <f>IFERROR(__xludf.DUMMYFUNCTION("""COMPUTED_VALUE"""),"Yes")</f>
        <v>Yes</v>
      </c>
      <c r="T539" s="5" t="str">
        <f>IFERROR(__xludf.DUMMYFUNCTION("""COMPUTED_VALUE"""),"Yes")</f>
        <v>Yes</v>
      </c>
      <c r="U539" s="5" t="str">
        <f>IFERROR(__xludf.DUMMYFUNCTION("""COMPUTED_VALUE"""),"Yes")</f>
        <v>Yes</v>
      </c>
      <c r="V539" s="5" t="str">
        <f>IFERROR(__xludf.DUMMYFUNCTION("""COMPUTED_VALUE"""),"Yes")</f>
        <v>Yes</v>
      </c>
      <c r="W539" s="5" t="str">
        <f>IFERROR(__xludf.DUMMYFUNCTION("""COMPUTED_VALUE"""),"Yes")</f>
        <v>Yes</v>
      </c>
      <c r="X539" s="5" t="str">
        <f>IFERROR(__xludf.DUMMYFUNCTION("""COMPUTED_VALUE"""),"Yes")</f>
        <v>Yes</v>
      </c>
      <c r="Y539" s="5" t="str">
        <f>IFERROR(__xludf.DUMMYFUNCTION("""COMPUTED_VALUE"""),"Yes")</f>
        <v>Yes</v>
      </c>
      <c r="Z539" s="5" t="str">
        <f>IFERROR(__xludf.DUMMYFUNCTION("""COMPUTED_VALUE"""),"No")</f>
        <v>No</v>
      </c>
      <c r="AA539" s="5" t="str">
        <f>IFERROR(__xludf.DUMMYFUNCTION("""COMPUTED_VALUE"""),"Yes")</f>
        <v>Yes</v>
      </c>
      <c r="AB539" s="5" t="str">
        <f>IFERROR(__xludf.DUMMYFUNCTION("""COMPUTED_VALUE"""),"Yes")</f>
        <v>Yes</v>
      </c>
      <c r="AC539" s="5" t="str">
        <f>IFERROR(__xludf.DUMMYFUNCTION("""COMPUTED_VALUE"""),"Yes")</f>
        <v>Yes</v>
      </c>
      <c r="AD539" s="5" t="str">
        <f>IFERROR(__xludf.DUMMYFUNCTION("""COMPUTED_VALUE"""),"Yes")</f>
        <v>Yes</v>
      </c>
      <c r="AE539" s="5" t="str">
        <f>IFERROR(__xludf.DUMMYFUNCTION("""COMPUTED_VALUE"""),"No")</f>
        <v>No</v>
      </c>
      <c r="AF539" s="5" t="str">
        <f>IFERROR(__xludf.DUMMYFUNCTION("""COMPUTED_VALUE"""),"Yes")</f>
        <v>Yes</v>
      </c>
      <c r="AG539" s="5" t="str">
        <f>IFERROR(__xludf.DUMMYFUNCTION("""COMPUTED_VALUE"""),"No")</f>
        <v>No</v>
      </c>
      <c r="AH539" s="5" t="str">
        <f>IFERROR(__xludf.DUMMYFUNCTION("""COMPUTED_VALUE"""),"No")</f>
        <v>No</v>
      </c>
      <c r="AI539" s="5" t="str">
        <f>IFERROR(__xludf.DUMMYFUNCTION("""COMPUTED_VALUE"""),"No")</f>
        <v>No</v>
      </c>
      <c r="AJ539" s="5" t="str">
        <f>IFERROR(__xludf.DUMMYFUNCTION("""COMPUTED_VALUE"""),"No")</f>
        <v>No</v>
      </c>
      <c r="AK539" s="5" t="str">
        <f>IFERROR(__xludf.DUMMYFUNCTION("""COMPUTED_VALUE"""),"No")</f>
        <v>No</v>
      </c>
      <c r="AL539" s="5" t="str">
        <f>IFERROR(__xludf.DUMMYFUNCTION("""COMPUTED_VALUE"""),"No")</f>
        <v>No</v>
      </c>
      <c r="AM539" s="5"/>
      <c r="AN539" s="5"/>
      <c r="AO539" s="5"/>
      <c r="AP539" s="5"/>
      <c r="AQ539" s="5"/>
      <c r="AR539" s="5"/>
      <c r="AS539" s="5"/>
      <c r="AT539" s="5"/>
      <c r="AU539" s="5"/>
      <c r="AV539" s="5"/>
      <c r="AW539" s="5"/>
      <c r="AX539" s="5"/>
      <c r="AY539" s="5"/>
    </row>
    <row r="540">
      <c r="A5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0" s="5">
        <f>IFERROR(__xludf.DUMMYFUNCTION("""COMPUTED_VALUE"""),573.0)</f>
        <v>573</v>
      </c>
      <c r="C540" s="5">
        <f>IFERROR(__xludf.DUMMYFUNCTION("""COMPUTED_VALUE"""),3014.0)</f>
        <v>3014</v>
      </c>
      <c r="D540" s="5" t="str">
        <f>IFERROR(__xludf.DUMMYFUNCTION("""COMPUTED_VALUE"""),"VeryHot40Booster")</f>
        <v>VeryHot40Booster</v>
      </c>
      <c r="E540" s="5" t="str">
        <f>IFERROR(__xludf.DUMMYFUNCTION("""COMPUTED_VALUE"""),"Yes")</f>
        <v>Yes</v>
      </c>
      <c r="F540" s="5" t="str">
        <f>IFERROR(__xludf.DUMMYFUNCTION("""COMPUTED_VALUE"""),"Yes")</f>
        <v>Yes</v>
      </c>
      <c r="G540" s="5" t="str">
        <f>IFERROR(__xludf.DUMMYFUNCTION("""COMPUTED_VALUE"""),"Yes")</f>
        <v>Yes</v>
      </c>
      <c r="H540" s="5" t="str">
        <f>IFERROR(__xludf.DUMMYFUNCTION("""COMPUTED_VALUE"""),"Yes")</f>
        <v>Yes</v>
      </c>
      <c r="I540" s="5" t="str">
        <f>IFERROR(__xludf.DUMMYFUNCTION("""COMPUTED_VALUE"""),"Yes")</f>
        <v>Yes</v>
      </c>
      <c r="J540" s="5" t="str">
        <f>IFERROR(__xludf.DUMMYFUNCTION("""COMPUTED_VALUE"""),"Yes")</f>
        <v>Yes</v>
      </c>
      <c r="K540" s="5" t="str">
        <f>IFERROR(__xludf.DUMMYFUNCTION("""COMPUTED_VALUE"""),"Yes")</f>
        <v>Yes</v>
      </c>
      <c r="L540" s="5" t="str">
        <f>IFERROR(__xludf.DUMMYFUNCTION("""COMPUTED_VALUE"""),"Yes")</f>
        <v>Yes</v>
      </c>
      <c r="M540" s="5" t="str">
        <f>IFERROR(__xludf.DUMMYFUNCTION("""COMPUTED_VALUE"""),"Yes")</f>
        <v>Yes</v>
      </c>
      <c r="N540" s="5" t="str">
        <f>IFERROR(__xludf.DUMMYFUNCTION("""COMPUTED_VALUE"""),"Yes")</f>
        <v>Yes</v>
      </c>
      <c r="O540" s="5" t="str">
        <f>IFERROR(__xludf.DUMMYFUNCTION("""COMPUTED_VALUE"""),"Yes")</f>
        <v>Yes</v>
      </c>
      <c r="P540" s="5" t="str">
        <f>IFERROR(__xludf.DUMMYFUNCTION("""COMPUTED_VALUE"""),"Yes")</f>
        <v>Yes</v>
      </c>
      <c r="Q540" s="5" t="str">
        <f>IFERROR(__xludf.DUMMYFUNCTION("""COMPUTED_VALUE"""),"Yes")</f>
        <v>Yes</v>
      </c>
      <c r="R540" s="5" t="str">
        <f>IFERROR(__xludf.DUMMYFUNCTION("""COMPUTED_VALUE"""),"Yes")</f>
        <v>Yes</v>
      </c>
      <c r="S540" s="5" t="str">
        <f>IFERROR(__xludf.DUMMYFUNCTION("""COMPUTED_VALUE"""),"Yes")</f>
        <v>Yes</v>
      </c>
      <c r="T540" s="5" t="str">
        <f>IFERROR(__xludf.DUMMYFUNCTION("""COMPUTED_VALUE"""),"Yes")</f>
        <v>Yes</v>
      </c>
      <c r="U540" s="5" t="str">
        <f>IFERROR(__xludf.DUMMYFUNCTION("""COMPUTED_VALUE"""),"Yes")</f>
        <v>Yes</v>
      </c>
      <c r="V540" s="5" t="str">
        <f>IFERROR(__xludf.DUMMYFUNCTION("""COMPUTED_VALUE"""),"Yes")</f>
        <v>Yes</v>
      </c>
      <c r="W540" s="5" t="str">
        <f>IFERROR(__xludf.DUMMYFUNCTION("""COMPUTED_VALUE"""),"Yes")</f>
        <v>Yes</v>
      </c>
      <c r="X540" s="5" t="str">
        <f>IFERROR(__xludf.DUMMYFUNCTION("""COMPUTED_VALUE"""),"Yes")</f>
        <v>Yes</v>
      </c>
      <c r="Y540" s="5" t="str">
        <f>IFERROR(__xludf.DUMMYFUNCTION("""COMPUTED_VALUE"""),"Yes")</f>
        <v>Yes</v>
      </c>
      <c r="Z540" s="5" t="str">
        <f>IFERROR(__xludf.DUMMYFUNCTION("""COMPUTED_VALUE"""),"No")</f>
        <v>No</v>
      </c>
      <c r="AA540" s="5" t="str">
        <f>IFERROR(__xludf.DUMMYFUNCTION("""COMPUTED_VALUE"""),"Yes")</f>
        <v>Yes</v>
      </c>
      <c r="AB540" s="5" t="str">
        <f>IFERROR(__xludf.DUMMYFUNCTION("""COMPUTED_VALUE"""),"Yes")</f>
        <v>Yes</v>
      </c>
      <c r="AC540" s="5" t="str">
        <f>IFERROR(__xludf.DUMMYFUNCTION("""COMPUTED_VALUE"""),"Yes")</f>
        <v>Yes</v>
      </c>
      <c r="AD540" s="5" t="str">
        <f>IFERROR(__xludf.DUMMYFUNCTION("""COMPUTED_VALUE"""),"Yes")</f>
        <v>Yes</v>
      </c>
      <c r="AE540" s="5" t="str">
        <f>IFERROR(__xludf.DUMMYFUNCTION("""COMPUTED_VALUE"""),"No")</f>
        <v>No</v>
      </c>
      <c r="AF540" s="5" t="str">
        <f>IFERROR(__xludf.DUMMYFUNCTION("""COMPUTED_VALUE"""),"Yes")</f>
        <v>Yes</v>
      </c>
      <c r="AG540" s="5" t="str">
        <f>IFERROR(__xludf.DUMMYFUNCTION("""COMPUTED_VALUE"""),"No")</f>
        <v>No</v>
      </c>
      <c r="AH540" s="5" t="str">
        <f>IFERROR(__xludf.DUMMYFUNCTION("""COMPUTED_VALUE"""),"No")</f>
        <v>No</v>
      </c>
      <c r="AI540" s="5" t="str">
        <f>IFERROR(__xludf.DUMMYFUNCTION("""COMPUTED_VALUE"""),"No")</f>
        <v>No</v>
      </c>
      <c r="AJ540" s="5" t="str">
        <f>IFERROR(__xludf.DUMMYFUNCTION("""COMPUTED_VALUE"""),"No")</f>
        <v>No</v>
      </c>
      <c r="AK540" s="5" t="str">
        <f>IFERROR(__xludf.DUMMYFUNCTION("""COMPUTED_VALUE"""),"No")</f>
        <v>No</v>
      </c>
      <c r="AL540" s="5" t="str">
        <f>IFERROR(__xludf.DUMMYFUNCTION("""COMPUTED_VALUE"""),"No")</f>
        <v>No</v>
      </c>
      <c r="AM540" s="5"/>
      <c r="AN540" s="5"/>
      <c r="AO540" s="5"/>
      <c r="AP540" s="5"/>
      <c r="AQ540" s="5"/>
      <c r="AR540" s="5"/>
      <c r="AS540" s="5"/>
      <c r="AT540" s="5"/>
      <c r="AU540" s="5"/>
      <c r="AV540" s="5"/>
      <c r="AW540" s="5"/>
      <c r="AX540" s="5"/>
      <c r="AY540" s="5"/>
    </row>
    <row r="541">
      <c r="A5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1" s="5">
        <f>IFERROR(__xludf.DUMMYFUNCTION("""COMPUTED_VALUE"""),574.0)</f>
        <v>574</v>
      </c>
      <c r="C541" s="5">
        <f>IFERROR(__xludf.DUMMYFUNCTION("""COMPUTED_VALUE"""),3015.0)</f>
        <v>3015</v>
      </c>
      <c r="D541" s="5" t="str">
        <f>IFERROR(__xludf.DUMMYFUNCTION("""COMPUTED_VALUE"""),"GoldenCrown40Booster")</f>
        <v>GoldenCrown40Booster</v>
      </c>
      <c r="E541" s="5" t="str">
        <f>IFERROR(__xludf.DUMMYFUNCTION("""COMPUTED_VALUE"""),"Yes")</f>
        <v>Yes</v>
      </c>
      <c r="F541" s="5" t="str">
        <f>IFERROR(__xludf.DUMMYFUNCTION("""COMPUTED_VALUE"""),"Yes")</f>
        <v>Yes</v>
      </c>
      <c r="G541" s="5" t="str">
        <f>IFERROR(__xludf.DUMMYFUNCTION("""COMPUTED_VALUE"""),"Yes")</f>
        <v>Yes</v>
      </c>
      <c r="H541" s="5" t="str">
        <f>IFERROR(__xludf.DUMMYFUNCTION("""COMPUTED_VALUE"""),"Yes")</f>
        <v>Yes</v>
      </c>
      <c r="I541" s="5" t="str">
        <f>IFERROR(__xludf.DUMMYFUNCTION("""COMPUTED_VALUE"""),"Yes")</f>
        <v>Yes</v>
      </c>
      <c r="J541" s="5" t="str">
        <f>IFERROR(__xludf.DUMMYFUNCTION("""COMPUTED_VALUE"""),"Yes")</f>
        <v>Yes</v>
      </c>
      <c r="K541" s="5" t="str">
        <f>IFERROR(__xludf.DUMMYFUNCTION("""COMPUTED_VALUE"""),"Yes")</f>
        <v>Yes</v>
      </c>
      <c r="L541" s="5" t="str">
        <f>IFERROR(__xludf.DUMMYFUNCTION("""COMPUTED_VALUE"""),"Yes")</f>
        <v>Yes</v>
      </c>
      <c r="M541" s="5" t="str">
        <f>IFERROR(__xludf.DUMMYFUNCTION("""COMPUTED_VALUE"""),"Yes")</f>
        <v>Yes</v>
      </c>
      <c r="N541" s="5" t="str">
        <f>IFERROR(__xludf.DUMMYFUNCTION("""COMPUTED_VALUE"""),"Yes")</f>
        <v>Yes</v>
      </c>
      <c r="O541" s="5" t="str">
        <f>IFERROR(__xludf.DUMMYFUNCTION("""COMPUTED_VALUE"""),"Yes")</f>
        <v>Yes</v>
      </c>
      <c r="P541" s="5" t="str">
        <f>IFERROR(__xludf.DUMMYFUNCTION("""COMPUTED_VALUE"""),"Yes")</f>
        <v>Yes</v>
      </c>
      <c r="Q541" s="5" t="str">
        <f>IFERROR(__xludf.DUMMYFUNCTION("""COMPUTED_VALUE"""),"Yes")</f>
        <v>Yes</v>
      </c>
      <c r="R541" s="5" t="str">
        <f>IFERROR(__xludf.DUMMYFUNCTION("""COMPUTED_VALUE"""),"Yes")</f>
        <v>Yes</v>
      </c>
      <c r="S541" s="5" t="str">
        <f>IFERROR(__xludf.DUMMYFUNCTION("""COMPUTED_VALUE"""),"Yes")</f>
        <v>Yes</v>
      </c>
      <c r="T541" s="5" t="str">
        <f>IFERROR(__xludf.DUMMYFUNCTION("""COMPUTED_VALUE"""),"Yes")</f>
        <v>Yes</v>
      </c>
      <c r="U541" s="5" t="str">
        <f>IFERROR(__xludf.DUMMYFUNCTION("""COMPUTED_VALUE"""),"Yes")</f>
        <v>Yes</v>
      </c>
      <c r="V541" s="5" t="str">
        <f>IFERROR(__xludf.DUMMYFUNCTION("""COMPUTED_VALUE"""),"Yes")</f>
        <v>Yes</v>
      </c>
      <c r="W541" s="5" t="str">
        <f>IFERROR(__xludf.DUMMYFUNCTION("""COMPUTED_VALUE"""),"Yes")</f>
        <v>Yes</v>
      </c>
      <c r="X541" s="5" t="str">
        <f>IFERROR(__xludf.DUMMYFUNCTION("""COMPUTED_VALUE"""),"Yes")</f>
        <v>Yes</v>
      </c>
      <c r="Y541" s="5" t="str">
        <f>IFERROR(__xludf.DUMMYFUNCTION("""COMPUTED_VALUE"""),"Yes")</f>
        <v>Yes</v>
      </c>
      <c r="Z541" s="5" t="str">
        <f>IFERROR(__xludf.DUMMYFUNCTION("""COMPUTED_VALUE"""),"No")</f>
        <v>No</v>
      </c>
      <c r="AA541" s="5" t="str">
        <f>IFERROR(__xludf.DUMMYFUNCTION("""COMPUTED_VALUE"""),"Yes")</f>
        <v>Yes</v>
      </c>
      <c r="AB541" s="5" t="str">
        <f>IFERROR(__xludf.DUMMYFUNCTION("""COMPUTED_VALUE"""),"Yes")</f>
        <v>Yes</v>
      </c>
      <c r="AC541" s="5" t="str">
        <f>IFERROR(__xludf.DUMMYFUNCTION("""COMPUTED_VALUE"""),"Yes")</f>
        <v>Yes</v>
      </c>
      <c r="AD541" s="5" t="str">
        <f>IFERROR(__xludf.DUMMYFUNCTION("""COMPUTED_VALUE"""),"Yes")</f>
        <v>Yes</v>
      </c>
      <c r="AE541" s="5" t="str">
        <f>IFERROR(__xludf.DUMMYFUNCTION("""COMPUTED_VALUE"""),"No")</f>
        <v>No</v>
      </c>
      <c r="AF541" s="5" t="str">
        <f>IFERROR(__xludf.DUMMYFUNCTION("""COMPUTED_VALUE"""),"Yes")</f>
        <v>Yes</v>
      </c>
      <c r="AG541" s="5" t="str">
        <f>IFERROR(__xludf.DUMMYFUNCTION("""COMPUTED_VALUE"""),"No")</f>
        <v>No</v>
      </c>
      <c r="AH541" s="5" t="str">
        <f>IFERROR(__xludf.DUMMYFUNCTION("""COMPUTED_VALUE"""),"No")</f>
        <v>No</v>
      </c>
      <c r="AI541" s="5" t="str">
        <f>IFERROR(__xludf.DUMMYFUNCTION("""COMPUTED_VALUE"""),"No")</f>
        <v>No</v>
      </c>
      <c r="AJ541" s="5" t="str">
        <f>IFERROR(__xludf.DUMMYFUNCTION("""COMPUTED_VALUE"""),"No")</f>
        <v>No</v>
      </c>
      <c r="AK541" s="5" t="str">
        <f>IFERROR(__xludf.DUMMYFUNCTION("""COMPUTED_VALUE"""),"No")</f>
        <v>No</v>
      </c>
      <c r="AL541" s="5" t="str">
        <f>IFERROR(__xludf.DUMMYFUNCTION("""COMPUTED_VALUE"""),"No")</f>
        <v>No</v>
      </c>
      <c r="AM541" s="5"/>
      <c r="AN541" s="5"/>
      <c r="AO541" s="5"/>
      <c r="AP541" s="5"/>
      <c r="AQ541" s="5"/>
      <c r="AR541" s="5"/>
      <c r="AS541" s="5"/>
      <c r="AT541" s="5"/>
      <c r="AU541" s="5"/>
      <c r="AV541" s="5"/>
      <c r="AW541" s="5"/>
      <c r="AX541" s="5"/>
      <c r="AY541" s="5"/>
    </row>
    <row r="542">
      <c r="A5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2" s="5">
        <f>IFERROR(__xludf.DUMMYFUNCTION("""COMPUTED_VALUE"""),575.0)</f>
        <v>575</v>
      </c>
      <c r="C542" s="5">
        <f>IFERROR(__xludf.DUMMYFUNCTION("""COMPUTED_VALUE"""),3020.0)</f>
        <v>3020</v>
      </c>
      <c r="D542" s="5" t="str">
        <f>IFERROR(__xludf.DUMMYFUNCTION("""COMPUTED_VALUE"""),"BrilliantHeartBooster")</f>
        <v>BrilliantHeartBooster</v>
      </c>
      <c r="E542" s="5" t="str">
        <f>IFERROR(__xludf.DUMMYFUNCTION("""COMPUTED_VALUE"""),"Yes")</f>
        <v>Yes</v>
      </c>
      <c r="F542" s="5" t="str">
        <f>IFERROR(__xludf.DUMMYFUNCTION("""COMPUTED_VALUE"""),"Yes")</f>
        <v>Yes</v>
      </c>
      <c r="G542" s="5" t="str">
        <f>IFERROR(__xludf.DUMMYFUNCTION("""COMPUTED_VALUE"""),"Yes")</f>
        <v>Yes</v>
      </c>
      <c r="H542" s="5" t="str">
        <f>IFERROR(__xludf.DUMMYFUNCTION("""COMPUTED_VALUE"""),"Yes")</f>
        <v>Yes</v>
      </c>
      <c r="I542" s="5" t="str">
        <f>IFERROR(__xludf.DUMMYFUNCTION("""COMPUTED_VALUE"""),"Yes")</f>
        <v>Yes</v>
      </c>
      <c r="J542" s="5" t="str">
        <f>IFERROR(__xludf.DUMMYFUNCTION("""COMPUTED_VALUE"""),"Yes")</f>
        <v>Yes</v>
      </c>
      <c r="K542" s="5" t="str">
        <f>IFERROR(__xludf.DUMMYFUNCTION("""COMPUTED_VALUE"""),"Yes")</f>
        <v>Yes</v>
      </c>
      <c r="L542" s="5" t="str">
        <f>IFERROR(__xludf.DUMMYFUNCTION("""COMPUTED_VALUE"""),"Yes")</f>
        <v>Yes</v>
      </c>
      <c r="M542" s="5" t="str">
        <f>IFERROR(__xludf.DUMMYFUNCTION("""COMPUTED_VALUE"""),"Yes")</f>
        <v>Yes</v>
      </c>
      <c r="N542" s="5" t="str">
        <f>IFERROR(__xludf.DUMMYFUNCTION("""COMPUTED_VALUE"""),"Yes")</f>
        <v>Yes</v>
      </c>
      <c r="O542" s="5" t="str">
        <f>IFERROR(__xludf.DUMMYFUNCTION("""COMPUTED_VALUE"""),"Yes")</f>
        <v>Yes</v>
      </c>
      <c r="P542" s="5" t="str">
        <f>IFERROR(__xludf.DUMMYFUNCTION("""COMPUTED_VALUE"""),"Yes")</f>
        <v>Yes</v>
      </c>
      <c r="Q542" s="5" t="str">
        <f>IFERROR(__xludf.DUMMYFUNCTION("""COMPUTED_VALUE"""),"Yes")</f>
        <v>Yes</v>
      </c>
      <c r="R542" s="5" t="str">
        <f>IFERROR(__xludf.DUMMYFUNCTION("""COMPUTED_VALUE"""),"Yes")</f>
        <v>Yes</v>
      </c>
      <c r="S542" s="5" t="str">
        <f>IFERROR(__xludf.DUMMYFUNCTION("""COMPUTED_VALUE"""),"Yes")</f>
        <v>Yes</v>
      </c>
      <c r="T542" s="5" t="str">
        <f>IFERROR(__xludf.DUMMYFUNCTION("""COMPUTED_VALUE"""),"Yes")</f>
        <v>Yes</v>
      </c>
      <c r="U542" s="5" t="str">
        <f>IFERROR(__xludf.DUMMYFUNCTION("""COMPUTED_VALUE"""),"Yes")</f>
        <v>Yes</v>
      </c>
      <c r="V542" s="5" t="str">
        <f>IFERROR(__xludf.DUMMYFUNCTION("""COMPUTED_VALUE"""),"Yes")</f>
        <v>Yes</v>
      </c>
      <c r="W542" s="5" t="str">
        <f>IFERROR(__xludf.DUMMYFUNCTION("""COMPUTED_VALUE"""),"Yes")</f>
        <v>Yes</v>
      </c>
      <c r="X542" s="5" t="str">
        <f>IFERROR(__xludf.DUMMYFUNCTION("""COMPUTED_VALUE"""),"Yes")</f>
        <v>Yes</v>
      </c>
      <c r="Y542" s="5" t="str">
        <f>IFERROR(__xludf.DUMMYFUNCTION("""COMPUTED_VALUE"""),"Yes")</f>
        <v>Yes</v>
      </c>
      <c r="Z542" s="5" t="str">
        <f>IFERROR(__xludf.DUMMYFUNCTION("""COMPUTED_VALUE"""),"No")</f>
        <v>No</v>
      </c>
      <c r="AA542" s="5" t="str">
        <f>IFERROR(__xludf.DUMMYFUNCTION("""COMPUTED_VALUE"""),"Yes")</f>
        <v>Yes</v>
      </c>
      <c r="AB542" s="5" t="str">
        <f>IFERROR(__xludf.DUMMYFUNCTION("""COMPUTED_VALUE"""),"Yes")</f>
        <v>Yes</v>
      </c>
      <c r="AC542" s="5" t="str">
        <f>IFERROR(__xludf.DUMMYFUNCTION("""COMPUTED_VALUE"""),"Yes")</f>
        <v>Yes</v>
      </c>
      <c r="AD542" s="5" t="str">
        <f>IFERROR(__xludf.DUMMYFUNCTION("""COMPUTED_VALUE"""),"Yes")</f>
        <v>Yes</v>
      </c>
      <c r="AE542" s="5" t="str">
        <f>IFERROR(__xludf.DUMMYFUNCTION("""COMPUTED_VALUE"""),"No")</f>
        <v>No</v>
      </c>
      <c r="AF542" s="5" t="str">
        <f>IFERROR(__xludf.DUMMYFUNCTION("""COMPUTED_VALUE"""),"Yes")</f>
        <v>Yes</v>
      </c>
      <c r="AG542" s="5" t="str">
        <f>IFERROR(__xludf.DUMMYFUNCTION("""COMPUTED_VALUE"""),"No")</f>
        <v>No</v>
      </c>
      <c r="AH542" s="5" t="str">
        <f>IFERROR(__xludf.DUMMYFUNCTION("""COMPUTED_VALUE"""),"No")</f>
        <v>No</v>
      </c>
      <c r="AI542" s="5" t="str">
        <f>IFERROR(__xludf.DUMMYFUNCTION("""COMPUTED_VALUE"""),"No")</f>
        <v>No</v>
      </c>
      <c r="AJ542" s="5" t="str">
        <f>IFERROR(__xludf.DUMMYFUNCTION("""COMPUTED_VALUE"""),"No")</f>
        <v>No</v>
      </c>
      <c r="AK542" s="5" t="str">
        <f>IFERROR(__xludf.DUMMYFUNCTION("""COMPUTED_VALUE"""),"No")</f>
        <v>No</v>
      </c>
      <c r="AL542" s="5" t="str">
        <f>IFERROR(__xludf.DUMMYFUNCTION("""COMPUTED_VALUE"""),"No")</f>
        <v>No</v>
      </c>
      <c r="AM542" s="5"/>
      <c r="AN542" s="5"/>
      <c r="AO542" s="5"/>
      <c r="AP542" s="5"/>
      <c r="AQ542" s="5"/>
      <c r="AR542" s="5"/>
      <c r="AS542" s="5"/>
      <c r="AT542" s="5"/>
      <c r="AU542" s="5"/>
      <c r="AV542" s="5"/>
      <c r="AW542" s="5"/>
      <c r="AX542" s="5"/>
      <c r="AY542" s="5"/>
    </row>
    <row r="543">
      <c r="A5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3" s="5">
        <f>IFERROR(__xludf.DUMMYFUNCTION("""COMPUTED_VALUE"""),576.0)</f>
        <v>576</v>
      </c>
      <c r="C543" s="5">
        <f>IFERROR(__xludf.DUMMYFUNCTION("""COMPUTED_VALUE"""),3018.0)</f>
        <v>3018</v>
      </c>
      <c r="D543" s="5" t="str">
        <f>IFERROR(__xludf.DUMMYFUNCTION("""COMPUTED_VALUE"""),"EpicClover100Booster")</f>
        <v>EpicClover100Booster</v>
      </c>
      <c r="E543" s="5" t="str">
        <f>IFERROR(__xludf.DUMMYFUNCTION("""COMPUTED_VALUE"""),"Yes")</f>
        <v>Yes</v>
      </c>
      <c r="F543" s="5" t="str">
        <f>IFERROR(__xludf.DUMMYFUNCTION("""COMPUTED_VALUE"""),"Yes")</f>
        <v>Yes</v>
      </c>
      <c r="G543" s="5" t="str">
        <f>IFERROR(__xludf.DUMMYFUNCTION("""COMPUTED_VALUE"""),"Yes")</f>
        <v>Yes</v>
      </c>
      <c r="H543" s="5" t="str">
        <f>IFERROR(__xludf.DUMMYFUNCTION("""COMPUTED_VALUE"""),"Yes")</f>
        <v>Yes</v>
      </c>
      <c r="I543" s="5" t="str">
        <f>IFERROR(__xludf.DUMMYFUNCTION("""COMPUTED_VALUE"""),"Yes")</f>
        <v>Yes</v>
      </c>
      <c r="J543" s="5" t="str">
        <f>IFERROR(__xludf.DUMMYFUNCTION("""COMPUTED_VALUE"""),"Yes")</f>
        <v>Yes</v>
      </c>
      <c r="K543" s="5" t="str">
        <f>IFERROR(__xludf.DUMMYFUNCTION("""COMPUTED_VALUE"""),"Yes")</f>
        <v>Yes</v>
      </c>
      <c r="L543" s="5" t="str">
        <f>IFERROR(__xludf.DUMMYFUNCTION("""COMPUTED_VALUE"""),"Yes")</f>
        <v>Yes</v>
      </c>
      <c r="M543" s="5" t="str">
        <f>IFERROR(__xludf.DUMMYFUNCTION("""COMPUTED_VALUE"""),"Yes")</f>
        <v>Yes</v>
      </c>
      <c r="N543" s="5" t="str">
        <f>IFERROR(__xludf.DUMMYFUNCTION("""COMPUTED_VALUE"""),"Yes")</f>
        <v>Yes</v>
      </c>
      <c r="O543" s="5" t="str">
        <f>IFERROR(__xludf.DUMMYFUNCTION("""COMPUTED_VALUE"""),"Yes")</f>
        <v>Yes</v>
      </c>
      <c r="P543" s="5" t="str">
        <f>IFERROR(__xludf.DUMMYFUNCTION("""COMPUTED_VALUE"""),"Yes")</f>
        <v>Yes</v>
      </c>
      <c r="Q543" s="5" t="str">
        <f>IFERROR(__xludf.DUMMYFUNCTION("""COMPUTED_VALUE"""),"Yes")</f>
        <v>Yes</v>
      </c>
      <c r="R543" s="5" t="str">
        <f>IFERROR(__xludf.DUMMYFUNCTION("""COMPUTED_VALUE"""),"Yes")</f>
        <v>Yes</v>
      </c>
      <c r="S543" s="5" t="str">
        <f>IFERROR(__xludf.DUMMYFUNCTION("""COMPUTED_VALUE"""),"Yes")</f>
        <v>Yes</v>
      </c>
      <c r="T543" s="5" t="str">
        <f>IFERROR(__xludf.DUMMYFUNCTION("""COMPUTED_VALUE"""),"Yes")</f>
        <v>Yes</v>
      </c>
      <c r="U543" s="5" t="str">
        <f>IFERROR(__xludf.DUMMYFUNCTION("""COMPUTED_VALUE"""),"Yes")</f>
        <v>Yes</v>
      </c>
      <c r="V543" s="5" t="str">
        <f>IFERROR(__xludf.DUMMYFUNCTION("""COMPUTED_VALUE"""),"Yes")</f>
        <v>Yes</v>
      </c>
      <c r="W543" s="5" t="str">
        <f>IFERROR(__xludf.DUMMYFUNCTION("""COMPUTED_VALUE"""),"Yes")</f>
        <v>Yes</v>
      </c>
      <c r="X543" s="5" t="str">
        <f>IFERROR(__xludf.DUMMYFUNCTION("""COMPUTED_VALUE"""),"Yes")</f>
        <v>Yes</v>
      </c>
      <c r="Y543" s="5" t="str">
        <f>IFERROR(__xludf.DUMMYFUNCTION("""COMPUTED_VALUE"""),"Yes")</f>
        <v>Yes</v>
      </c>
      <c r="Z543" s="5" t="str">
        <f>IFERROR(__xludf.DUMMYFUNCTION("""COMPUTED_VALUE"""),"No")</f>
        <v>No</v>
      </c>
      <c r="AA543" s="5" t="str">
        <f>IFERROR(__xludf.DUMMYFUNCTION("""COMPUTED_VALUE"""),"Yes")</f>
        <v>Yes</v>
      </c>
      <c r="AB543" s="5" t="str">
        <f>IFERROR(__xludf.DUMMYFUNCTION("""COMPUTED_VALUE"""),"Yes")</f>
        <v>Yes</v>
      </c>
      <c r="AC543" s="5" t="str">
        <f>IFERROR(__xludf.DUMMYFUNCTION("""COMPUTED_VALUE"""),"Yes")</f>
        <v>Yes</v>
      </c>
      <c r="AD543" s="5" t="str">
        <f>IFERROR(__xludf.DUMMYFUNCTION("""COMPUTED_VALUE"""),"Yes")</f>
        <v>Yes</v>
      </c>
      <c r="AE543" s="5" t="str">
        <f>IFERROR(__xludf.DUMMYFUNCTION("""COMPUTED_VALUE"""),"No")</f>
        <v>No</v>
      </c>
      <c r="AF543" s="5" t="str">
        <f>IFERROR(__xludf.DUMMYFUNCTION("""COMPUTED_VALUE"""),"Yes")</f>
        <v>Yes</v>
      </c>
      <c r="AG543" s="5" t="str">
        <f>IFERROR(__xludf.DUMMYFUNCTION("""COMPUTED_VALUE"""),"No")</f>
        <v>No</v>
      </c>
      <c r="AH543" s="5" t="str">
        <f>IFERROR(__xludf.DUMMYFUNCTION("""COMPUTED_VALUE"""),"No")</f>
        <v>No</v>
      </c>
      <c r="AI543" s="5" t="str">
        <f>IFERROR(__xludf.DUMMYFUNCTION("""COMPUTED_VALUE"""),"No")</f>
        <v>No</v>
      </c>
      <c r="AJ543" s="5" t="str">
        <f>IFERROR(__xludf.DUMMYFUNCTION("""COMPUTED_VALUE"""),"No")</f>
        <v>No</v>
      </c>
      <c r="AK543" s="5" t="str">
        <f>IFERROR(__xludf.DUMMYFUNCTION("""COMPUTED_VALUE"""),"No")</f>
        <v>No</v>
      </c>
      <c r="AL543" s="5" t="str">
        <f>IFERROR(__xludf.DUMMYFUNCTION("""COMPUTED_VALUE"""),"No")</f>
        <v>No</v>
      </c>
      <c r="AM543" s="5"/>
      <c r="AN543" s="5"/>
      <c r="AO543" s="5"/>
      <c r="AP543" s="5"/>
      <c r="AQ543" s="5"/>
      <c r="AR543" s="5"/>
      <c r="AS543" s="5"/>
      <c r="AT543" s="5"/>
      <c r="AU543" s="5"/>
      <c r="AV543" s="5"/>
      <c r="AW543" s="5"/>
      <c r="AX543" s="5"/>
      <c r="AY543" s="5"/>
    </row>
    <row r="544">
      <c r="A5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4" s="5">
        <f>IFERROR(__xludf.DUMMYFUNCTION("""COMPUTED_VALUE"""),578.0)</f>
        <v>578</v>
      </c>
      <c r="C544" s="5">
        <f>IFERROR(__xludf.DUMMYFUNCTION("""COMPUTED_VALUE"""),4019.0)</f>
        <v>4019</v>
      </c>
      <c r="D544" s="5" t="str">
        <f>IFERROR(__xludf.DUMMYFUNCTION("""COMPUTED_VALUE"""),"AdmiralBetWildHot40FreeSpins")</f>
        <v>AdmiralBetWildHot40FreeSpins</v>
      </c>
      <c r="E544" s="5" t="str">
        <f>IFERROR(__xludf.DUMMYFUNCTION("""COMPUTED_VALUE"""),"Yes")</f>
        <v>Yes</v>
      </c>
      <c r="F544" s="5" t="str">
        <f>IFERROR(__xludf.DUMMYFUNCTION("""COMPUTED_VALUE"""),"Yes")</f>
        <v>Yes</v>
      </c>
      <c r="G544" s="5" t="str">
        <f>IFERROR(__xludf.DUMMYFUNCTION("""COMPUTED_VALUE"""),"Yes")</f>
        <v>Yes</v>
      </c>
      <c r="H544" s="5" t="str">
        <f>IFERROR(__xludf.DUMMYFUNCTION("""COMPUTED_VALUE"""),"Yes")</f>
        <v>Yes</v>
      </c>
      <c r="I544" s="5" t="str">
        <f>IFERROR(__xludf.DUMMYFUNCTION("""COMPUTED_VALUE"""),"Yes")</f>
        <v>Yes</v>
      </c>
      <c r="J544" s="5" t="str">
        <f>IFERROR(__xludf.DUMMYFUNCTION("""COMPUTED_VALUE"""),"Yes")</f>
        <v>Yes</v>
      </c>
      <c r="K544" s="5" t="str">
        <f>IFERROR(__xludf.DUMMYFUNCTION("""COMPUTED_VALUE"""),"Yes")</f>
        <v>Yes</v>
      </c>
      <c r="L544" s="5" t="str">
        <f>IFERROR(__xludf.DUMMYFUNCTION("""COMPUTED_VALUE"""),"Yes")</f>
        <v>Yes</v>
      </c>
      <c r="M544" s="5" t="str">
        <f>IFERROR(__xludf.DUMMYFUNCTION("""COMPUTED_VALUE"""),"Yes")</f>
        <v>Yes</v>
      </c>
      <c r="N544" s="5" t="str">
        <f>IFERROR(__xludf.DUMMYFUNCTION("""COMPUTED_VALUE"""),"Yes")</f>
        <v>Yes</v>
      </c>
      <c r="O544" s="5" t="str">
        <f>IFERROR(__xludf.DUMMYFUNCTION("""COMPUTED_VALUE"""),"Yes")</f>
        <v>Yes</v>
      </c>
      <c r="P544" s="5" t="str">
        <f>IFERROR(__xludf.DUMMYFUNCTION("""COMPUTED_VALUE"""),"Yes")</f>
        <v>Yes</v>
      </c>
      <c r="Q544" s="5" t="str">
        <f>IFERROR(__xludf.DUMMYFUNCTION("""COMPUTED_VALUE"""),"Yes")</f>
        <v>Yes</v>
      </c>
      <c r="R544" s="5" t="str">
        <f>IFERROR(__xludf.DUMMYFUNCTION("""COMPUTED_VALUE"""),"Yes")</f>
        <v>Yes</v>
      </c>
      <c r="S544" s="5" t="str">
        <f>IFERROR(__xludf.DUMMYFUNCTION("""COMPUTED_VALUE"""),"Yes")</f>
        <v>Yes</v>
      </c>
      <c r="T544" s="5" t="str">
        <f>IFERROR(__xludf.DUMMYFUNCTION("""COMPUTED_VALUE"""),"Yes")</f>
        <v>Yes</v>
      </c>
      <c r="U544" s="5" t="str">
        <f>IFERROR(__xludf.DUMMYFUNCTION("""COMPUTED_VALUE"""),"Yes")</f>
        <v>Yes</v>
      </c>
      <c r="V544" s="5" t="str">
        <f>IFERROR(__xludf.DUMMYFUNCTION("""COMPUTED_VALUE"""),"Yes")</f>
        <v>Yes</v>
      </c>
      <c r="W544" s="5" t="str">
        <f>IFERROR(__xludf.DUMMYFUNCTION("""COMPUTED_VALUE"""),"Yes")</f>
        <v>Yes</v>
      </c>
      <c r="X544" s="5" t="str">
        <f>IFERROR(__xludf.DUMMYFUNCTION("""COMPUTED_VALUE"""),"Yes")</f>
        <v>Yes</v>
      </c>
      <c r="Y544" s="5" t="str">
        <f>IFERROR(__xludf.DUMMYFUNCTION("""COMPUTED_VALUE"""),"Yes")</f>
        <v>Yes</v>
      </c>
      <c r="Z544" s="5" t="str">
        <f>IFERROR(__xludf.DUMMYFUNCTION("""COMPUTED_VALUE"""),"No")</f>
        <v>No</v>
      </c>
      <c r="AA544" s="5" t="str">
        <f>IFERROR(__xludf.DUMMYFUNCTION("""COMPUTED_VALUE"""),"Yes")</f>
        <v>Yes</v>
      </c>
      <c r="AB544" s="5" t="str">
        <f>IFERROR(__xludf.DUMMYFUNCTION("""COMPUTED_VALUE"""),"Yes")</f>
        <v>Yes</v>
      </c>
      <c r="AC544" s="5" t="str">
        <f>IFERROR(__xludf.DUMMYFUNCTION("""COMPUTED_VALUE"""),"Yes")</f>
        <v>Yes</v>
      </c>
      <c r="AD544" s="5" t="str">
        <f>IFERROR(__xludf.DUMMYFUNCTION("""COMPUTED_VALUE"""),"Yes")</f>
        <v>Yes</v>
      </c>
      <c r="AE544" s="5" t="str">
        <f>IFERROR(__xludf.DUMMYFUNCTION("""COMPUTED_VALUE"""),"No")</f>
        <v>No</v>
      </c>
      <c r="AF544" s="5" t="str">
        <f>IFERROR(__xludf.DUMMYFUNCTION("""COMPUTED_VALUE"""),"Yes")</f>
        <v>Yes</v>
      </c>
      <c r="AG544" s="5" t="str">
        <f>IFERROR(__xludf.DUMMYFUNCTION("""COMPUTED_VALUE"""),"No")</f>
        <v>No</v>
      </c>
      <c r="AH544" s="5" t="str">
        <f>IFERROR(__xludf.DUMMYFUNCTION("""COMPUTED_VALUE"""),"No")</f>
        <v>No</v>
      </c>
      <c r="AI544" s="5" t="str">
        <f>IFERROR(__xludf.DUMMYFUNCTION("""COMPUTED_VALUE"""),"No")</f>
        <v>No</v>
      </c>
      <c r="AJ544" s="5" t="str">
        <f>IFERROR(__xludf.DUMMYFUNCTION("""COMPUTED_VALUE"""),"No")</f>
        <v>No</v>
      </c>
      <c r="AK544" s="5" t="str">
        <f>IFERROR(__xludf.DUMMYFUNCTION("""COMPUTED_VALUE"""),"No")</f>
        <v>No</v>
      </c>
      <c r="AL544" s="5" t="str">
        <f>IFERROR(__xludf.DUMMYFUNCTION("""COMPUTED_VALUE"""),"No")</f>
        <v>No</v>
      </c>
      <c r="AM544" s="5"/>
      <c r="AN544" s="5"/>
      <c r="AO544" s="5"/>
      <c r="AP544" s="5"/>
      <c r="AQ544" s="5"/>
      <c r="AR544" s="5"/>
      <c r="AS544" s="5"/>
      <c r="AT544" s="5"/>
      <c r="AU544" s="5"/>
      <c r="AV544" s="5"/>
      <c r="AW544" s="5"/>
      <c r="AX544" s="5"/>
      <c r="AY544" s="5"/>
    </row>
    <row r="545">
      <c r="A5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5" s="5">
        <f>IFERROR(__xludf.DUMMYFUNCTION("""COMPUTED_VALUE"""),579.0)</f>
        <v>579</v>
      </c>
      <c r="C545" s="5">
        <f>IFERROR(__xludf.DUMMYFUNCTION("""COMPUTED_VALUE"""),1008.0)</f>
        <v>1008</v>
      </c>
      <c r="D545" s="5" t="str">
        <f>IFERROR(__xludf.DUMMYFUNCTION("""COMPUTED_VALUE"""),"CoinSplashExtreme")</f>
        <v>CoinSplashExtreme</v>
      </c>
      <c r="E545" s="5" t="str">
        <f>IFERROR(__xludf.DUMMYFUNCTION("""COMPUTED_VALUE"""),"Yes")</f>
        <v>Yes</v>
      </c>
      <c r="F545" s="5" t="str">
        <f>IFERROR(__xludf.DUMMYFUNCTION("""COMPUTED_VALUE"""),"Yes")</f>
        <v>Yes</v>
      </c>
      <c r="G545" s="5" t="str">
        <f>IFERROR(__xludf.DUMMYFUNCTION("""COMPUTED_VALUE"""),"Yes")</f>
        <v>Yes</v>
      </c>
      <c r="H545" s="5" t="str">
        <f>IFERROR(__xludf.DUMMYFUNCTION("""COMPUTED_VALUE"""),"Yes")</f>
        <v>Yes</v>
      </c>
      <c r="I545" s="5" t="str">
        <f>IFERROR(__xludf.DUMMYFUNCTION("""COMPUTED_VALUE"""),"Yes")</f>
        <v>Yes</v>
      </c>
      <c r="J545" s="5" t="str">
        <f>IFERROR(__xludf.DUMMYFUNCTION("""COMPUTED_VALUE"""),"Yes")</f>
        <v>Yes</v>
      </c>
      <c r="K545" s="5" t="str">
        <f>IFERROR(__xludf.DUMMYFUNCTION("""COMPUTED_VALUE"""),"Yes")</f>
        <v>Yes</v>
      </c>
      <c r="L545" s="5" t="str">
        <f>IFERROR(__xludf.DUMMYFUNCTION("""COMPUTED_VALUE"""),"Yes")</f>
        <v>Yes</v>
      </c>
      <c r="M545" s="5" t="str">
        <f>IFERROR(__xludf.DUMMYFUNCTION("""COMPUTED_VALUE"""),"Yes")</f>
        <v>Yes</v>
      </c>
      <c r="N545" s="5" t="str">
        <f>IFERROR(__xludf.DUMMYFUNCTION("""COMPUTED_VALUE"""),"Yes")</f>
        <v>Yes</v>
      </c>
      <c r="O545" s="5" t="str">
        <f>IFERROR(__xludf.DUMMYFUNCTION("""COMPUTED_VALUE"""),"Yes")</f>
        <v>Yes</v>
      </c>
      <c r="P545" s="5" t="str">
        <f>IFERROR(__xludf.DUMMYFUNCTION("""COMPUTED_VALUE"""),"Yes")</f>
        <v>Yes</v>
      </c>
      <c r="Q545" s="5" t="str">
        <f>IFERROR(__xludf.DUMMYFUNCTION("""COMPUTED_VALUE"""),"Yes")</f>
        <v>Yes</v>
      </c>
      <c r="R545" s="5" t="str">
        <f>IFERROR(__xludf.DUMMYFUNCTION("""COMPUTED_VALUE"""),"Yes")</f>
        <v>Yes</v>
      </c>
      <c r="S545" s="5" t="str">
        <f>IFERROR(__xludf.DUMMYFUNCTION("""COMPUTED_VALUE"""),"Yes")</f>
        <v>Yes</v>
      </c>
      <c r="T545" s="5" t="str">
        <f>IFERROR(__xludf.DUMMYFUNCTION("""COMPUTED_VALUE"""),"Yes")</f>
        <v>Yes</v>
      </c>
      <c r="U545" s="5" t="str">
        <f>IFERROR(__xludf.DUMMYFUNCTION("""COMPUTED_VALUE"""),"Yes")</f>
        <v>Yes</v>
      </c>
      <c r="V545" s="5" t="str">
        <f>IFERROR(__xludf.DUMMYFUNCTION("""COMPUTED_VALUE"""),"Yes")</f>
        <v>Yes</v>
      </c>
      <c r="W545" s="5" t="str">
        <f>IFERROR(__xludf.DUMMYFUNCTION("""COMPUTED_VALUE"""),"Yes")</f>
        <v>Yes</v>
      </c>
      <c r="X545" s="5" t="str">
        <f>IFERROR(__xludf.DUMMYFUNCTION("""COMPUTED_VALUE"""),"Yes")</f>
        <v>Yes</v>
      </c>
      <c r="Y545" s="5" t="str">
        <f>IFERROR(__xludf.DUMMYFUNCTION("""COMPUTED_VALUE"""),"Yes")</f>
        <v>Yes</v>
      </c>
      <c r="Z545" s="5" t="str">
        <f>IFERROR(__xludf.DUMMYFUNCTION("""COMPUTED_VALUE"""),"Yes")</f>
        <v>Yes</v>
      </c>
      <c r="AA545" s="5" t="str">
        <f>IFERROR(__xludf.DUMMYFUNCTION("""COMPUTED_VALUE"""),"Yes")</f>
        <v>Yes</v>
      </c>
      <c r="AB545" s="5" t="str">
        <f>IFERROR(__xludf.DUMMYFUNCTION("""COMPUTED_VALUE"""),"Yes")</f>
        <v>Yes</v>
      </c>
      <c r="AC545" s="5" t="str">
        <f>IFERROR(__xludf.DUMMYFUNCTION("""COMPUTED_VALUE"""),"Yes")</f>
        <v>Yes</v>
      </c>
      <c r="AD545" s="5" t="str">
        <f>IFERROR(__xludf.DUMMYFUNCTION("""COMPUTED_VALUE"""),"Yes")</f>
        <v>Yes</v>
      </c>
      <c r="AE545" s="5" t="str">
        <f>IFERROR(__xludf.DUMMYFUNCTION("""COMPUTED_VALUE"""),"Yes")</f>
        <v>Yes</v>
      </c>
      <c r="AF545" s="5" t="str">
        <f>IFERROR(__xludf.DUMMYFUNCTION("""COMPUTED_VALUE"""),"Yes")</f>
        <v>Yes</v>
      </c>
      <c r="AG545" s="5" t="str">
        <f>IFERROR(__xludf.DUMMYFUNCTION("""COMPUTED_VALUE"""),"Yes")</f>
        <v>Yes</v>
      </c>
      <c r="AH545" s="5" t="str">
        <f>IFERROR(__xludf.DUMMYFUNCTION("""COMPUTED_VALUE"""),"Yes")</f>
        <v>Yes</v>
      </c>
      <c r="AI545" s="5" t="str">
        <f>IFERROR(__xludf.DUMMYFUNCTION("""COMPUTED_VALUE"""),"No")</f>
        <v>No</v>
      </c>
      <c r="AJ545" s="5" t="str">
        <f>IFERROR(__xludf.DUMMYFUNCTION("""COMPUTED_VALUE"""),"No")</f>
        <v>No</v>
      </c>
      <c r="AK545" s="5" t="str">
        <f>IFERROR(__xludf.DUMMYFUNCTION("""COMPUTED_VALUE"""),"No")</f>
        <v>No</v>
      </c>
      <c r="AL545" s="5" t="str">
        <f>IFERROR(__xludf.DUMMYFUNCTION("""COMPUTED_VALUE"""),"No")</f>
        <v>No</v>
      </c>
      <c r="AM545" s="5"/>
      <c r="AN545" s="5"/>
      <c r="AO545" s="5"/>
      <c r="AP545" s="5"/>
      <c r="AQ545" s="5"/>
      <c r="AR545" s="5"/>
      <c r="AS545" s="5"/>
      <c r="AT545" s="5"/>
      <c r="AU545" s="5"/>
      <c r="AV545" s="5"/>
      <c r="AW545" s="5"/>
      <c r="AX545" s="5"/>
      <c r="AY545" s="5"/>
    </row>
    <row r="546">
      <c r="A5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6" s="5">
        <f>IFERROR(__xludf.DUMMYFUNCTION("""COMPUTED_VALUE"""),580.0)</f>
        <v>580</v>
      </c>
      <c r="C546" s="5">
        <f>IFERROR(__xludf.DUMMYFUNCTION("""COMPUTED_VALUE"""),2008.0)</f>
        <v>2008</v>
      </c>
      <c r="D546" s="5" t="str">
        <f>IFERROR(__xludf.DUMMYFUNCTION("""COMPUTED_VALUE"""),"HotClock")</f>
        <v>HotClock</v>
      </c>
      <c r="E546" s="5" t="str">
        <f>IFERROR(__xludf.DUMMYFUNCTION("""COMPUTED_VALUE"""),"Yes")</f>
        <v>Yes</v>
      </c>
      <c r="F546" s="5" t="str">
        <f>IFERROR(__xludf.DUMMYFUNCTION("""COMPUTED_VALUE"""),"Yes")</f>
        <v>Yes</v>
      </c>
      <c r="G546" s="5" t="str">
        <f>IFERROR(__xludf.DUMMYFUNCTION("""COMPUTED_VALUE"""),"Yes")</f>
        <v>Yes</v>
      </c>
      <c r="H546" s="5" t="str">
        <f>IFERROR(__xludf.DUMMYFUNCTION("""COMPUTED_VALUE"""),"Yes")</f>
        <v>Yes</v>
      </c>
      <c r="I546" s="5" t="str">
        <f>IFERROR(__xludf.DUMMYFUNCTION("""COMPUTED_VALUE"""),"Yes")</f>
        <v>Yes</v>
      </c>
      <c r="J546" s="5" t="str">
        <f>IFERROR(__xludf.DUMMYFUNCTION("""COMPUTED_VALUE"""),"Yes")</f>
        <v>Yes</v>
      </c>
      <c r="K546" s="5" t="str">
        <f>IFERROR(__xludf.DUMMYFUNCTION("""COMPUTED_VALUE"""),"Yes")</f>
        <v>Yes</v>
      </c>
      <c r="L546" s="5" t="str">
        <f>IFERROR(__xludf.DUMMYFUNCTION("""COMPUTED_VALUE"""),"Yes")</f>
        <v>Yes</v>
      </c>
      <c r="M546" s="5" t="str">
        <f>IFERROR(__xludf.DUMMYFUNCTION("""COMPUTED_VALUE"""),"Yes")</f>
        <v>Yes</v>
      </c>
      <c r="N546" s="5" t="str">
        <f>IFERROR(__xludf.DUMMYFUNCTION("""COMPUTED_VALUE"""),"Yes")</f>
        <v>Yes</v>
      </c>
      <c r="O546" s="5" t="str">
        <f>IFERROR(__xludf.DUMMYFUNCTION("""COMPUTED_VALUE"""),"Yes")</f>
        <v>Yes</v>
      </c>
      <c r="P546" s="5" t="str">
        <f>IFERROR(__xludf.DUMMYFUNCTION("""COMPUTED_VALUE"""),"Yes")</f>
        <v>Yes</v>
      </c>
      <c r="Q546" s="5" t="str">
        <f>IFERROR(__xludf.DUMMYFUNCTION("""COMPUTED_VALUE"""),"Yes")</f>
        <v>Yes</v>
      </c>
      <c r="R546" s="5" t="str">
        <f>IFERROR(__xludf.DUMMYFUNCTION("""COMPUTED_VALUE"""),"Yes")</f>
        <v>Yes</v>
      </c>
      <c r="S546" s="5" t="str">
        <f>IFERROR(__xludf.DUMMYFUNCTION("""COMPUTED_VALUE"""),"Yes")</f>
        <v>Yes</v>
      </c>
      <c r="T546" s="5" t="str">
        <f>IFERROR(__xludf.DUMMYFUNCTION("""COMPUTED_VALUE"""),"Yes")</f>
        <v>Yes</v>
      </c>
      <c r="U546" s="5" t="str">
        <f>IFERROR(__xludf.DUMMYFUNCTION("""COMPUTED_VALUE"""),"Yes")</f>
        <v>Yes</v>
      </c>
      <c r="V546" s="5" t="str">
        <f>IFERROR(__xludf.DUMMYFUNCTION("""COMPUTED_VALUE"""),"Yes")</f>
        <v>Yes</v>
      </c>
      <c r="W546" s="5" t="str">
        <f>IFERROR(__xludf.DUMMYFUNCTION("""COMPUTED_VALUE"""),"Yes")</f>
        <v>Yes</v>
      </c>
      <c r="X546" s="5" t="str">
        <f>IFERROR(__xludf.DUMMYFUNCTION("""COMPUTED_VALUE"""),"Yes")</f>
        <v>Yes</v>
      </c>
      <c r="Y546" s="5" t="str">
        <f>IFERROR(__xludf.DUMMYFUNCTION("""COMPUTED_VALUE"""),"Yes")</f>
        <v>Yes</v>
      </c>
      <c r="Z546" s="5" t="str">
        <f>IFERROR(__xludf.DUMMYFUNCTION("""COMPUTED_VALUE"""),"Yes")</f>
        <v>Yes</v>
      </c>
      <c r="AA546" s="5" t="str">
        <f>IFERROR(__xludf.DUMMYFUNCTION("""COMPUTED_VALUE"""),"Yes")</f>
        <v>Yes</v>
      </c>
      <c r="AB546" s="5" t="str">
        <f>IFERROR(__xludf.DUMMYFUNCTION("""COMPUTED_VALUE"""),"Yes")</f>
        <v>Yes</v>
      </c>
      <c r="AC546" s="5" t="str">
        <f>IFERROR(__xludf.DUMMYFUNCTION("""COMPUTED_VALUE"""),"Yes")</f>
        <v>Yes</v>
      </c>
      <c r="AD546" s="5" t="str">
        <f>IFERROR(__xludf.DUMMYFUNCTION("""COMPUTED_VALUE"""),"Yes")</f>
        <v>Yes</v>
      </c>
      <c r="AE546" s="5" t="str">
        <f>IFERROR(__xludf.DUMMYFUNCTION("""COMPUTED_VALUE"""),"Yes")</f>
        <v>Yes</v>
      </c>
      <c r="AF546" s="5" t="str">
        <f>IFERROR(__xludf.DUMMYFUNCTION("""COMPUTED_VALUE"""),"Yes")</f>
        <v>Yes</v>
      </c>
      <c r="AG546" s="5" t="str">
        <f>IFERROR(__xludf.DUMMYFUNCTION("""COMPUTED_VALUE"""),"Yes")</f>
        <v>Yes</v>
      </c>
      <c r="AH546" s="5" t="str">
        <f>IFERROR(__xludf.DUMMYFUNCTION("""COMPUTED_VALUE"""),"Yes")</f>
        <v>Yes</v>
      </c>
      <c r="AI546" s="5" t="str">
        <f>IFERROR(__xludf.DUMMYFUNCTION("""COMPUTED_VALUE"""),"No")</f>
        <v>No</v>
      </c>
      <c r="AJ546" s="5" t="str">
        <f>IFERROR(__xludf.DUMMYFUNCTION("""COMPUTED_VALUE"""),"No")</f>
        <v>No</v>
      </c>
      <c r="AK546" s="5" t="str">
        <f>IFERROR(__xludf.DUMMYFUNCTION("""COMPUTED_VALUE"""),"No")</f>
        <v>No</v>
      </c>
      <c r="AL546" s="5" t="str">
        <f>IFERROR(__xludf.DUMMYFUNCTION("""COMPUTED_VALUE"""),"No")</f>
        <v>No</v>
      </c>
      <c r="AM546" s="5"/>
      <c r="AN546" s="5"/>
      <c r="AO546" s="5"/>
      <c r="AP546" s="5"/>
      <c r="AQ546" s="5"/>
      <c r="AR546" s="5"/>
      <c r="AS546" s="5"/>
      <c r="AT546" s="5"/>
      <c r="AU546" s="5"/>
      <c r="AV546" s="5"/>
      <c r="AW546" s="5"/>
      <c r="AX546" s="5"/>
      <c r="AY546" s="5"/>
    </row>
    <row r="547">
      <c r="A5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B547" s="5">
        <f>IFERROR(__xludf.DUMMYFUNCTION("""COMPUTED_VALUE"""),581.0)</f>
        <v>581</v>
      </c>
      <c r="C547" s="5">
        <f>IFERROR(__xludf.DUMMYFUNCTION("""COMPUTED_VALUE"""),180038.0)</f>
        <v>180038</v>
      </c>
      <c r="D547" s="5" t="str">
        <f>IFERROR(__xludf.DUMMYFUNCTION("""COMPUTED_VALUE"""),"Redstone10WildCrownHalloween")</f>
        <v>Redstone10WildCrownHalloween</v>
      </c>
      <c r="E547" s="5" t="str">
        <f>IFERROR(__xludf.DUMMYFUNCTION("""COMPUTED_VALUE"""),"Yes")</f>
        <v>Yes</v>
      </c>
      <c r="F547" s="5" t="str">
        <f>IFERROR(__xludf.DUMMYFUNCTION("""COMPUTED_VALUE"""),"Yes")</f>
        <v>Yes</v>
      </c>
      <c r="G547" s="5" t="str">
        <f>IFERROR(__xludf.DUMMYFUNCTION("""COMPUTED_VALUE"""),"Yes")</f>
        <v>Yes</v>
      </c>
      <c r="H547" s="5" t="str">
        <f>IFERROR(__xludf.DUMMYFUNCTION("""COMPUTED_VALUE"""),"Yes")</f>
        <v>Yes</v>
      </c>
      <c r="I547" s="5" t="str">
        <f>IFERROR(__xludf.DUMMYFUNCTION("""COMPUTED_VALUE"""),"Yes")</f>
        <v>Yes</v>
      </c>
      <c r="J547" s="5" t="str">
        <f>IFERROR(__xludf.DUMMYFUNCTION("""COMPUTED_VALUE"""),"Yes")</f>
        <v>Yes</v>
      </c>
      <c r="K547" s="5" t="str">
        <f>IFERROR(__xludf.DUMMYFUNCTION("""COMPUTED_VALUE"""),"Yes")</f>
        <v>Yes</v>
      </c>
      <c r="L547" s="5" t="str">
        <f>IFERROR(__xludf.DUMMYFUNCTION("""COMPUTED_VALUE"""),"Yes")</f>
        <v>Yes</v>
      </c>
      <c r="M547" s="5" t="str">
        <f>IFERROR(__xludf.DUMMYFUNCTION("""COMPUTED_VALUE"""),"Yes")</f>
        <v>Yes</v>
      </c>
      <c r="N547" s="5" t="str">
        <f>IFERROR(__xludf.DUMMYFUNCTION("""COMPUTED_VALUE"""),"Yes")</f>
        <v>Yes</v>
      </c>
      <c r="O547" s="5" t="str">
        <f>IFERROR(__xludf.DUMMYFUNCTION("""COMPUTED_VALUE"""),"Yes")</f>
        <v>Yes</v>
      </c>
      <c r="P547" s="5" t="str">
        <f>IFERROR(__xludf.DUMMYFUNCTION("""COMPUTED_VALUE"""),"Yes")</f>
        <v>Yes</v>
      </c>
      <c r="Q547" s="5" t="str">
        <f>IFERROR(__xludf.DUMMYFUNCTION("""COMPUTED_VALUE"""),"Yes")</f>
        <v>Yes</v>
      </c>
      <c r="R547" s="5" t="str">
        <f>IFERROR(__xludf.DUMMYFUNCTION("""COMPUTED_VALUE"""),"Yes")</f>
        <v>Yes</v>
      </c>
      <c r="S547" s="5" t="str">
        <f>IFERROR(__xludf.DUMMYFUNCTION("""COMPUTED_VALUE"""),"Yes")</f>
        <v>Yes</v>
      </c>
      <c r="T547" s="5" t="str">
        <f>IFERROR(__xludf.DUMMYFUNCTION("""COMPUTED_VALUE"""),"Yes")</f>
        <v>Yes</v>
      </c>
      <c r="U547" s="5" t="str">
        <f>IFERROR(__xludf.DUMMYFUNCTION("""COMPUTED_VALUE"""),"Yes")</f>
        <v>Yes</v>
      </c>
      <c r="V547" s="5" t="str">
        <f>IFERROR(__xludf.DUMMYFUNCTION("""COMPUTED_VALUE"""),"Yes")</f>
        <v>Yes</v>
      </c>
      <c r="W547" s="5" t="str">
        <f>IFERROR(__xludf.DUMMYFUNCTION("""COMPUTED_VALUE"""),"Yes")</f>
        <v>Yes</v>
      </c>
      <c r="X547" s="5"/>
      <c r="Y547" s="5"/>
      <c r="Z547" s="5"/>
      <c r="AA547" s="5"/>
      <c r="AB547" s="5"/>
      <c r="AC547" s="5" t="str">
        <f>IFERROR(__xludf.DUMMYFUNCTION("""COMPUTED_VALUE"""),"Yes")</f>
        <v>Yes</v>
      </c>
      <c r="AD547" s="5"/>
      <c r="AE547" s="5"/>
      <c r="AF547" s="5" t="str">
        <f>IFERROR(__xludf.DUMMYFUNCTION("""COMPUTED_VALUE"""),"Yes")</f>
        <v>Yes</v>
      </c>
      <c r="AG547" s="5"/>
      <c r="AH547" s="5"/>
      <c r="AI547" s="5"/>
      <c r="AJ547" s="5"/>
      <c r="AK547" s="5"/>
      <c r="AL547" s="5"/>
      <c r="AM547" s="5"/>
      <c r="AN547" s="5"/>
      <c r="AO547" s="5"/>
      <c r="AP547" s="5"/>
      <c r="AQ547" s="5"/>
      <c r="AR547" s="5"/>
      <c r="AS547" s="5"/>
      <c r="AT547" s="5"/>
      <c r="AU547" s="5"/>
      <c r="AV547" s="5"/>
      <c r="AW547" s="5"/>
      <c r="AX547" s="5"/>
      <c r="AY547" s="5"/>
    </row>
    <row r="548">
      <c r="A5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B548" s="5">
        <f>IFERROR(__xludf.DUMMYFUNCTION("""COMPUTED_VALUE"""),582.0)</f>
        <v>582</v>
      </c>
      <c r="C548" s="5">
        <f>IFERROR(__xludf.DUMMYFUNCTION("""COMPUTED_VALUE"""),180037.0)</f>
        <v>180037</v>
      </c>
      <c r="D548" s="5" t="str">
        <f>IFERROR(__xludf.DUMMYFUNCTION("""COMPUTED_VALUE"""),"Redstone5CloverFireHalloween")</f>
        <v>Redstone5CloverFireHalloween</v>
      </c>
      <c r="E548" s="5" t="str">
        <f>IFERROR(__xludf.DUMMYFUNCTION("""COMPUTED_VALUE"""),"Yes")</f>
        <v>Yes</v>
      </c>
      <c r="F548" s="5" t="str">
        <f>IFERROR(__xludf.DUMMYFUNCTION("""COMPUTED_VALUE"""),"Yes")</f>
        <v>Yes</v>
      </c>
      <c r="G548" s="5" t="str">
        <f>IFERROR(__xludf.DUMMYFUNCTION("""COMPUTED_VALUE"""),"Yes")</f>
        <v>Yes</v>
      </c>
      <c r="H548" s="5" t="str">
        <f>IFERROR(__xludf.DUMMYFUNCTION("""COMPUTED_VALUE"""),"Yes")</f>
        <v>Yes</v>
      </c>
      <c r="I548" s="5" t="str">
        <f>IFERROR(__xludf.DUMMYFUNCTION("""COMPUTED_VALUE"""),"Yes")</f>
        <v>Yes</v>
      </c>
      <c r="J548" s="5" t="str">
        <f>IFERROR(__xludf.DUMMYFUNCTION("""COMPUTED_VALUE"""),"Yes")</f>
        <v>Yes</v>
      </c>
      <c r="K548" s="5" t="str">
        <f>IFERROR(__xludf.DUMMYFUNCTION("""COMPUTED_VALUE"""),"Yes")</f>
        <v>Yes</v>
      </c>
      <c r="L548" s="5" t="str">
        <f>IFERROR(__xludf.DUMMYFUNCTION("""COMPUTED_VALUE"""),"Yes")</f>
        <v>Yes</v>
      </c>
      <c r="M548" s="5" t="str">
        <f>IFERROR(__xludf.DUMMYFUNCTION("""COMPUTED_VALUE"""),"Yes")</f>
        <v>Yes</v>
      </c>
      <c r="N548" s="5" t="str">
        <f>IFERROR(__xludf.DUMMYFUNCTION("""COMPUTED_VALUE"""),"Yes")</f>
        <v>Yes</v>
      </c>
      <c r="O548" s="5" t="str">
        <f>IFERROR(__xludf.DUMMYFUNCTION("""COMPUTED_VALUE"""),"Yes")</f>
        <v>Yes</v>
      </c>
      <c r="P548" s="5" t="str">
        <f>IFERROR(__xludf.DUMMYFUNCTION("""COMPUTED_VALUE"""),"Yes")</f>
        <v>Yes</v>
      </c>
      <c r="Q548" s="5" t="str">
        <f>IFERROR(__xludf.DUMMYFUNCTION("""COMPUTED_VALUE"""),"Yes")</f>
        <v>Yes</v>
      </c>
      <c r="R548" s="5" t="str">
        <f>IFERROR(__xludf.DUMMYFUNCTION("""COMPUTED_VALUE"""),"Yes")</f>
        <v>Yes</v>
      </c>
      <c r="S548" s="5" t="str">
        <f>IFERROR(__xludf.DUMMYFUNCTION("""COMPUTED_VALUE"""),"Yes")</f>
        <v>Yes</v>
      </c>
      <c r="T548" s="5" t="str">
        <f>IFERROR(__xludf.DUMMYFUNCTION("""COMPUTED_VALUE"""),"Yes")</f>
        <v>Yes</v>
      </c>
      <c r="U548" s="5" t="str">
        <f>IFERROR(__xludf.DUMMYFUNCTION("""COMPUTED_VALUE"""),"Yes")</f>
        <v>Yes</v>
      </c>
      <c r="V548" s="5" t="str">
        <f>IFERROR(__xludf.DUMMYFUNCTION("""COMPUTED_VALUE"""),"Yes")</f>
        <v>Yes</v>
      </c>
      <c r="W548" s="5" t="str">
        <f>IFERROR(__xludf.DUMMYFUNCTION("""COMPUTED_VALUE"""),"Yes")</f>
        <v>Yes</v>
      </c>
      <c r="X548" s="5" t="str">
        <f>IFERROR(__xludf.DUMMYFUNCTION("""COMPUTED_VALUE"""),"Yes")</f>
        <v>Yes</v>
      </c>
      <c r="Y548" s="5" t="str">
        <f>IFERROR(__xludf.DUMMYFUNCTION("""COMPUTED_VALUE"""),"Yes")</f>
        <v>Yes</v>
      </c>
      <c r="Z548" s="5"/>
      <c r="AA548" s="5"/>
      <c r="AB548" s="5"/>
      <c r="AC548" s="5" t="str">
        <f>IFERROR(__xludf.DUMMYFUNCTION("""COMPUTED_VALUE"""),"Yes")</f>
        <v>Yes</v>
      </c>
      <c r="AD548" s="5"/>
      <c r="AE548" s="5"/>
      <c r="AF548" s="5" t="str">
        <f>IFERROR(__xludf.DUMMYFUNCTION("""COMPUTED_VALUE"""),"Yes")</f>
        <v>Yes</v>
      </c>
      <c r="AG548" s="5"/>
      <c r="AH548" s="5"/>
      <c r="AI548" s="5"/>
      <c r="AJ548" s="5"/>
      <c r="AK548" s="5"/>
      <c r="AL548" s="5"/>
      <c r="AM548" s="5"/>
      <c r="AN548" s="5"/>
      <c r="AO548" s="5"/>
      <c r="AP548" s="5"/>
      <c r="AQ548" s="5"/>
      <c r="AR548" s="5"/>
      <c r="AS548" s="5"/>
      <c r="AT548" s="5"/>
      <c r="AU548" s="5"/>
      <c r="AV548" s="5"/>
      <c r="AW548" s="5"/>
      <c r="AX548" s="5"/>
      <c r="AY548" s="5"/>
    </row>
    <row r="549">
      <c r="A5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9" s="5">
        <f>IFERROR(__xludf.DUMMYFUNCTION("""COMPUTED_VALUE"""),583.0)</f>
        <v>583</v>
      </c>
      <c r="C549" s="5">
        <f>IFERROR(__xludf.DUMMYFUNCTION("""COMPUTED_VALUE"""),5001.0)</f>
        <v>5001</v>
      </c>
      <c r="D549" s="5" t="str">
        <f>IFERROR(__xludf.DUMMYFUNCTION("""COMPUTED_VALUE"""),"FruitLock7")</f>
        <v>FruitLock7</v>
      </c>
      <c r="E549" s="5" t="str">
        <f>IFERROR(__xludf.DUMMYFUNCTION("""COMPUTED_VALUE"""),"Yes")</f>
        <v>Yes</v>
      </c>
      <c r="F549" s="5" t="str">
        <f>IFERROR(__xludf.DUMMYFUNCTION("""COMPUTED_VALUE"""),"Yes")</f>
        <v>Yes</v>
      </c>
      <c r="G549" s="5" t="str">
        <f>IFERROR(__xludf.DUMMYFUNCTION("""COMPUTED_VALUE"""),"Yes")</f>
        <v>Yes</v>
      </c>
      <c r="H549" s="5" t="str">
        <f>IFERROR(__xludf.DUMMYFUNCTION("""COMPUTED_VALUE"""),"Yes")</f>
        <v>Yes</v>
      </c>
      <c r="I549" s="5" t="str">
        <f>IFERROR(__xludf.DUMMYFUNCTION("""COMPUTED_VALUE"""),"Yes")</f>
        <v>Yes</v>
      </c>
      <c r="J549" s="5" t="str">
        <f>IFERROR(__xludf.DUMMYFUNCTION("""COMPUTED_VALUE"""),"Yes")</f>
        <v>Yes</v>
      </c>
      <c r="K549" s="5" t="str">
        <f>IFERROR(__xludf.DUMMYFUNCTION("""COMPUTED_VALUE"""),"Yes")</f>
        <v>Yes</v>
      </c>
      <c r="L549" s="5" t="str">
        <f>IFERROR(__xludf.DUMMYFUNCTION("""COMPUTED_VALUE"""),"Yes")</f>
        <v>Yes</v>
      </c>
      <c r="M549" s="5" t="str">
        <f>IFERROR(__xludf.DUMMYFUNCTION("""COMPUTED_VALUE"""),"Yes")</f>
        <v>Yes</v>
      </c>
      <c r="N549" s="5" t="str">
        <f>IFERROR(__xludf.DUMMYFUNCTION("""COMPUTED_VALUE"""),"Yes")</f>
        <v>Yes</v>
      </c>
      <c r="O549" s="5" t="str">
        <f>IFERROR(__xludf.DUMMYFUNCTION("""COMPUTED_VALUE"""),"Yes")</f>
        <v>Yes</v>
      </c>
      <c r="P549" s="5" t="str">
        <f>IFERROR(__xludf.DUMMYFUNCTION("""COMPUTED_VALUE"""),"Yes")</f>
        <v>Yes</v>
      </c>
      <c r="Q549" s="5" t="str">
        <f>IFERROR(__xludf.DUMMYFUNCTION("""COMPUTED_VALUE"""),"Yes")</f>
        <v>Yes</v>
      </c>
      <c r="R549" s="5" t="str">
        <f>IFERROR(__xludf.DUMMYFUNCTION("""COMPUTED_VALUE"""),"Yes")</f>
        <v>Yes</v>
      </c>
      <c r="S549" s="5" t="str">
        <f>IFERROR(__xludf.DUMMYFUNCTION("""COMPUTED_VALUE"""),"Yes")</f>
        <v>Yes</v>
      </c>
      <c r="T549" s="5" t="str">
        <f>IFERROR(__xludf.DUMMYFUNCTION("""COMPUTED_VALUE"""),"Yes")</f>
        <v>Yes</v>
      </c>
      <c r="U549" s="5" t="str">
        <f>IFERROR(__xludf.DUMMYFUNCTION("""COMPUTED_VALUE"""),"Yes")</f>
        <v>Yes</v>
      </c>
      <c r="V549" s="5" t="str">
        <f>IFERROR(__xludf.DUMMYFUNCTION("""COMPUTED_VALUE"""),"Yes")</f>
        <v>Yes</v>
      </c>
      <c r="W549" s="5" t="str">
        <f>IFERROR(__xludf.DUMMYFUNCTION("""COMPUTED_VALUE"""),"Yes")</f>
        <v>Yes</v>
      </c>
      <c r="X549" s="5" t="str">
        <f>IFERROR(__xludf.DUMMYFUNCTION("""COMPUTED_VALUE"""),"Yes")</f>
        <v>Yes</v>
      </c>
      <c r="Y549" s="5" t="str">
        <f>IFERROR(__xludf.DUMMYFUNCTION("""COMPUTED_VALUE"""),"Yes")</f>
        <v>Yes</v>
      </c>
      <c r="Z549" s="5" t="str">
        <f>IFERROR(__xludf.DUMMYFUNCTION("""COMPUTED_VALUE"""),"Yes")</f>
        <v>Yes</v>
      </c>
      <c r="AA549" s="5" t="str">
        <f>IFERROR(__xludf.DUMMYFUNCTION("""COMPUTED_VALUE"""),"Yes")</f>
        <v>Yes</v>
      </c>
      <c r="AB549" s="5" t="str">
        <f>IFERROR(__xludf.DUMMYFUNCTION("""COMPUTED_VALUE"""),"Yes")</f>
        <v>Yes</v>
      </c>
      <c r="AC549" s="5" t="str">
        <f>IFERROR(__xludf.DUMMYFUNCTION("""COMPUTED_VALUE"""),"Yes")</f>
        <v>Yes</v>
      </c>
      <c r="AD549" s="5" t="str">
        <f>IFERROR(__xludf.DUMMYFUNCTION("""COMPUTED_VALUE"""),"Yes")</f>
        <v>Yes</v>
      </c>
      <c r="AE549" s="5" t="str">
        <f>IFERROR(__xludf.DUMMYFUNCTION("""COMPUTED_VALUE"""),"Yes")</f>
        <v>Yes</v>
      </c>
      <c r="AF549" s="5" t="str">
        <f>IFERROR(__xludf.DUMMYFUNCTION("""COMPUTED_VALUE"""),"Yes")</f>
        <v>Yes</v>
      </c>
      <c r="AG549" s="5" t="str">
        <f>IFERROR(__xludf.DUMMYFUNCTION("""COMPUTED_VALUE"""),"Yes")</f>
        <v>Yes</v>
      </c>
      <c r="AH549" s="5" t="str">
        <f>IFERROR(__xludf.DUMMYFUNCTION("""COMPUTED_VALUE"""),"Yes")</f>
        <v>Yes</v>
      </c>
      <c r="AI549" s="5" t="str">
        <f>IFERROR(__xludf.DUMMYFUNCTION("""COMPUTED_VALUE"""),"No")</f>
        <v>No</v>
      </c>
      <c r="AJ549" s="5" t="str">
        <f>IFERROR(__xludf.DUMMYFUNCTION("""COMPUTED_VALUE"""),"No")</f>
        <v>No</v>
      </c>
      <c r="AK549" s="5" t="str">
        <f>IFERROR(__xludf.DUMMYFUNCTION("""COMPUTED_VALUE"""),"No")</f>
        <v>No</v>
      </c>
      <c r="AL549" s="5" t="str">
        <f>IFERROR(__xludf.DUMMYFUNCTION("""COMPUTED_VALUE"""),"No")</f>
        <v>No</v>
      </c>
      <c r="AM549" s="5"/>
      <c r="AN549" s="5"/>
      <c r="AO549" s="5"/>
      <c r="AP549" s="5"/>
      <c r="AQ549" s="5"/>
      <c r="AR549" s="5"/>
      <c r="AS549" s="5"/>
      <c r="AT549" s="5"/>
      <c r="AU549" s="5"/>
      <c r="AV549" s="5"/>
      <c r="AW549" s="5"/>
      <c r="AX549" s="5"/>
      <c r="AY549" s="5"/>
    </row>
    <row r="550">
      <c r="A5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0" s="5">
        <f>IFERROR(__xludf.DUMMYFUNCTION("""COMPUTED_VALUE"""),584.0)</f>
        <v>584</v>
      </c>
      <c r="C550" s="5">
        <f>IFERROR(__xludf.DUMMYFUNCTION("""COMPUTED_VALUE"""),4023.0)</f>
        <v>4023</v>
      </c>
      <c r="D550" s="5" t="str">
        <f>IFERROR(__xludf.DUMMYFUNCTION("""COMPUTED_VALUE"""),"GoldenCrownHalloween")</f>
        <v>GoldenCrownHalloween</v>
      </c>
      <c r="E550" s="5" t="str">
        <f>IFERROR(__xludf.DUMMYFUNCTION("""COMPUTED_VALUE"""),"Yes")</f>
        <v>Yes</v>
      </c>
      <c r="F550" s="5" t="str">
        <f>IFERROR(__xludf.DUMMYFUNCTION("""COMPUTED_VALUE"""),"Yes")</f>
        <v>Yes</v>
      </c>
      <c r="G550" s="5" t="str">
        <f>IFERROR(__xludf.DUMMYFUNCTION("""COMPUTED_VALUE"""),"Yes")</f>
        <v>Yes</v>
      </c>
      <c r="H550" s="5" t="str">
        <f>IFERROR(__xludf.DUMMYFUNCTION("""COMPUTED_VALUE"""),"Yes")</f>
        <v>Yes</v>
      </c>
      <c r="I550" s="5" t="str">
        <f>IFERROR(__xludf.DUMMYFUNCTION("""COMPUTED_VALUE"""),"Yes")</f>
        <v>Yes</v>
      </c>
      <c r="J550" s="5" t="str">
        <f>IFERROR(__xludf.DUMMYFUNCTION("""COMPUTED_VALUE"""),"Yes")</f>
        <v>Yes</v>
      </c>
      <c r="K550" s="5" t="str">
        <f>IFERROR(__xludf.DUMMYFUNCTION("""COMPUTED_VALUE"""),"Yes")</f>
        <v>Yes</v>
      </c>
      <c r="L550" s="5" t="str">
        <f>IFERROR(__xludf.DUMMYFUNCTION("""COMPUTED_VALUE"""),"Yes")</f>
        <v>Yes</v>
      </c>
      <c r="M550" s="5" t="str">
        <f>IFERROR(__xludf.DUMMYFUNCTION("""COMPUTED_VALUE"""),"Yes")</f>
        <v>Yes</v>
      </c>
      <c r="N550" s="5" t="str">
        <f>IFERROR(__xludf.DUMMYFUNCTION("""COMPUTED_VALUE"""),"Yes")</f>
        <v>Yes</v>
      </c>
      <c r="O550" s="5" t="str">
        <f>IFERROR(__xludf.DUMMYFUNCTION("""COMPUTED_VALUE"""),"Yes")</f>
        <v>Yes</v>
      </c>
      <c r="P550" s="5" t="str">
        <f>IFERROR(__xludf.DUMMYFUNCTION("""COMPUTED_VALUE"""),"Yes")</f>
        <v>Yes</v>
      </c>
      <c r="Q550" s="5" t="str">
        <f>IFERROR(__xludf.DUMMYFUNCTION("""COMPUTED_VALUE"""),"Yes")</f>
        <v>Yes</v>
      </c>
      <c r="R550" s="5" t="str">
        <f>IFERROR(__xludf.DUMMYFUNCTION("""COMPUTED_VALUE"""),"Yes")</f>
        <v>Yes</v>
      </c>
      <c r="S550" s="5" t="str">
        <f>IFERROR(__xludf.DUMMYFUNCTION("""COMPUTED_VALUE"""),"Yes")</f>
        <v>Yes</v>
      </c>
      <c r="T550" s="5" t="str">
        <f>IFERROR(__xludf.DUMMYFUNCTION("""COMPUTED_VALUE"""),"Yes")</f>
        <v>Yes</v>
      </c>
      <c r="U550" s="5" t="str">
        <f>IFERROR(__xludf.DUMMYFUNCTION("""COMPUTED_VALUE"""),"Yes")</f>
        <v>Yes</v>
      </c>
      <c r="V550" s="5" t="str">
        <f>IFERROR(__xludf.DUMMYFUNCTION("""COMPUTED_VALUE"""),"Yes")</f>
        <v>Yes</v>
      </c>
      <c r="W550" s="5" t="str">
        <f>IFERROR(__xludf.DUMMYFUNCTION("""COMPUTED_VALUE"""),"Yes")</f>
        <v>Yes</v>
      </c>
      <c r="X550" s="5" t="str">
        <f>IFERROR(__xludf.DUMMYFUNCTION("""COMPUTED_VALUE"""),"Yes")</f>
        <v>Yes</v>
      </c>
      <c r="Y550" s="5" t="str">
        <f>IFERROR(__xludf.DUMMYFUNCTION("""COMPUTED_VALUE"""),"Yes")</f>
        <v>Yes</v>
      </c>
      <c r="Z550" s="5" t="str">
        <f>IFERROR(__xludf.DUMMYFUNCTION("""COMPUTED_VALUE"""),"No")</f>
        <v>No</v>
      </c>
      <c r="AA550" s="5" t="str">
        <f>IFERROR(__xludf.DUMMYFUNCTION("""COMPUTED_VALUE"""),"Yes")</f>
        <v>Yes</v>
      </c>
      <c r="AB550" s="5" t="str">
        <f>IFERROR(__xludf.DUMMYFUNCTION("""COMPUTED_VALUE"""),"Yes")</f>
        <v>Yes</v>
      </c>
      <c r="AC550" s="5" t="str">
        <f>IFERROR(__xludf.DUMMYFUNCTION("""COMPUTED_VALUE"""),"Yes")</f>
        <v>Yes</v>
      </c>
      <c r="AD550" s="5" t="str">
        <f>IFERROR(__xludf.DUMMYFUNCTION("""COMPUTED_VALUE"""),"Yes")</f>
        <v>Yes</v>
      </c>
      <c r="AE550" s="5" t="str">
        <f>IFERROR(__xludf.DUMMYFUNCTION("""COMPUTED_VALUE"""),"No")</f>
        <v>No</v>
      </c>
      <c r="AF550" s="5" t="str">
        <f>IFERROR(__xludf.DUMMYFUNCTION("""COMPUTED_VALUE"""),"Yes")</f>
        <v>Yes</v>
      </c>
      <c r="AG550" s="5" t="str">
        <f>IFERROR(__xludf.DUMMYFUNCTION("""COMPUTED_VALUE"""),"No")</f>
        <v>No</v>
      </c>
      <c r="AH550" s="5" t="str">
        <f>IFERROR(__xludf.DUMMYFUNCTION("""COMPUTED_VALUE"""),"No")</f>
        <v>No</v>
      </c>
      <c r="AI550" s="5" t="str">
        <f>IFERROR(__xludf.DUMMYFUNCTION("""COMPUTED_VALUE"""),"No")</f>
        <v>No</v>
      </c>
      <c r="AJ550" s="5" t="str">
        <f>IFERROR(__xludf.DUMMYFUNCTION("""COMPUTED_VALUE"""),"No")</f>
        <v>No</v>
      </c>
      <c r="AK550" s="5" t="str">
        <f>IFERROR(__xludf.DUMMYFUNCTION("""COMPUTED_VALUE"""),"No")</f>
        <v>No</v>
      </c>
      <c r="AL550" s="5" t="str">
        <f>IFERROR(__xludf.DUMMYFUNCTION("""COMPUTED_VALUE"""),"No")</f>
        <v>No</v>
      </c>
      <c r="AM550" s="5"/>
      <c r="AN550" s="5"/>
      <c r="AO550" s="5"/>
      <c r="AP550" s="5"/>
      <c r="AQ550" s="5"/>
      <c r="AR550" s="5"/>
      <c r="AS550" s="5"/>
      <c r="AT550" s="5"/>
      <c r="AU550" s="5"/>
      <c r="AV550" s="5"/>
      <c r="AW550" s="5"/>
      <c r="AX550" s="5"/>
      <c r="AY550" s="5"/>
    </row>
    <row r="551">
      <c r="A5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51" s="5">
        <f>IFERROR(__xludf.DUMMYFUNCTION("""COMPUTED_VALUE"""),585.0)</f>
        <v>585</v>
      </c>
      <c r="C551" s="5">
        <f>IFERROR(__xludf.DUMMYFUNCTION("""COMPUTED_VALUE"""),4024.0)</f>
        <v>4024</v>
      </c>
      <c r="D551" s="5" t="str">
        <f>IFERROR(__xludf.DUMMYFUNCTION("""COMPUTED_VALUE"""),"Wild27Halloween")</f>
        <v>Wild27Halloween</v>
      </c>
      <c r="E551" s="5" t="str">
        <f>IFERROR(__xludf.DUMMYFUNCTION("""COMPUTED_VALUE"""),"Yes")</f>
        <v>Yes</v>
      </c>
      <c r="F551" s="5" t="str">
        <f>IFERROR(__xludf.DUMMYFUNCTION("""COMPUTED_VALUE"""),"Yes")</f>
        <v>Yes</v>
      </c>
      <c r="G551" s="5" t="str">
        <f>IFERROR(__xludf.DUMMYFUNCTION("""COMPUTED_VALUE"""),"Yes")</f>
        <v>Yes</v>
      </c>
      <c r="H551" s="5" t="str">
        <f>IFERROR(__xludf.DUMMYFUNCTION("""COMPUTED_VALUE"""),"Yes")</f>
        <v>Yes</v>
      </c>
      <c r="I551" s="5" t="str">
        <f>IFERROR(__xludf.DUMMYFUNCTION("""COMPUTED_VALUE"""),"Yes")</f>
        <v>Yes</v>
      </c>
      <c r="J551" s="5" t="str">
        <f>IFERROR(__xludf.DUMMYFUNCTION("""COMPUTED_VALUE"""),"Yes")</f>
        <v>Yes</v>
      </c>
      <c r="K551" s="5" t="str">
        <f>IFERROR(__xludf.DUMMYFUNCTION("""COMPUTED_VALUE"""),"Yes")</f>
        <v>Yes</v>
      </c>
      <c r="L551" s="5" t="str">
        <f>IFERROR(__xludf.DUMMYFUNCTION("""COMPUTED_VALUE"""),"Yes")</f>
        <v>Yes</v>
      </c>
      <c r="M551" s="5" t="str">
        <f>IFERROR(__xludf.DUMMYFUNCTION("""COMPUTED_VALUE"""),"Yes")</f>
        <v>Yes</v>
      </c>
      <c r="N551" s="5" t="str">
        <f>IFERROR(__xludf.DUMMYFUNCTION("""COMPUTED_VALUE"""),"Yes")</f>
        <v>Yes</v>
      </c>
      <c r="O551" s="5" t="str">
        <f>IFERROR(__xludf.DUMMYFUNCTION("""COMPUTED_VALUE"""),"Yes")</f>
        <v>Yes</v>
      </c>
      <c r="P551" s="5" t="str">
        <f>IFERROR(__xludf.DUMMYFUNCTION("""COMPUTED_VALUE"""),"Yes")</f>
        <v>Yes</v>
      </c>
      <c r="Q551" s="5" t="str">
        <f>IFERROR(__xludf.DUMMYFUNCTION("""COMPUTED_VALUE"""),"Yes")</f>
        <v>Yes</v>
      </c>
      <c r="R551" s="5" t="str">
        <f>IFERROR(__xludf.DUMMYFUNCTION("""COMPUTED_VALUE"""),"Yes")</f>
        <v>Yes</v>
      </c>
      <c r="S551" s="5" t="str">
        <f>IFERROR(__xludf.DUMMYFUNCTION("""COMPUTED_VALUE"""),"Yes")</f>
        <v>Yes</v>
      </c>
      <c r="T551" s="5" t="str">
        <f>IFERROR(__xludf.DUMMYFUNCTION("""COMPUTED_VALUE"""),"Yes")</f>
        <v>Yes</v>
      </c>
      <c r="U551" s="5" t="str">
        <f>IFERROR(__xludf.DUMMYFUNCTION("""COMPUTED_VALUE"""),"Yes")</f>
        <v>Yes</v>
      </c>
      <c r="V551" s="5" t="str">
        <f>IFERROR(__xludf.DUMMYFUNCTION("""COMPUTED_VALUE"""),"Yes")</f>
        <v>Yes</v>
      </c>
      <c r="W551" s="5" t="str">
        <f>IFERROR(__xludf.DUMMYFUNCTION("""COMPUTED_VALUE"""),"Yes")</f>
        <v>Yes</v>
      </c>
      <c r="X551" s="5" t="str">
        <f>IFERROR(__xludf.DUMMYFUNCTION("""COMPUTED_VALUE"""),"Yes")</f>
        <v>Yes</v>
      </c>
      <c r="Y551" s="5" t="str">
        <f>IFERROR(__xludf.DUMMYFUNCTION("""COMPUTED_VALUE"""),"Yes")</f>
        <v>Yes</v>
      </c>
      <c r="Z551" s="5" t="str">
        <f>IFERROR(__xludf.DUMMYFUNCTION("""COMPUTED_VALUE"""),"Yes")</f>
        <v>Yes</v>
      </c>
      <c r="AA551" s="5" t="str">
        <f>IFERROR(__xludf.DUMMYFUNCTION("""COMPUTED_VALUE"""),"Yes")</f>
        <v>Yes</v>
      </c>
      <c r="AB551" s="5" t="str">
        <f>IFERROR(__xludf.DUMMYFUNCTION("""COMPUTED_VALUE"""),"Yes")</f>
        <v>Yes</v>
      </c>
      <c r="AC551" s="5" t="str">
        <f>IFERROR(__xludf.DUMMYFUNCTION("""COMPUTED_VALUE"""),"Yes")</f>
        <v>Yes</v>
      </c>
      <c r="AD551" s="5" t="str">
        <f>IFERROR(__xludf.DUMMYFUNCTION("""COMPUTED_VALUE"""),"Yes")</f>
        <v>Yes</v>
      </c>
      <c r="AE551" s="5" t="str">
        <f>IFERROR(__xludf.DUMMYFUNCTION("""COMPUTED_VALUE"""),"Yes")</f>
        <v>Yes</v>
      </c>
      <c r="AF551" s="5" t="str">
        <f>IFERROR(__xludf.DUMMYFUNCTION("""COMPUTED_VALUE"""),"Yes")</f>
        <v>Yes</v>
      </c>
      <c r="AG551" s="5" t="str">
        <f>IFERROR(__xludf.DUMMYFUNCTION("""COMPUTED_VALUE"""),"Yes")</f>
        <v>Yes</v>
      </c>
      <c r="AH551" s="5" t="str">
        <f>IFERROR(__xludf.DUMMYFUNCTION("""COMPUTED_VALUE"""),"Yes")</f>
        <v>Yes</v>
      </c>
      <c r="AI551" s="5" t="str">
        <f>IFERROR(__xludf.DUMMYFUNCTION("""COMPUTED_VALUE"""),"No")</f>
        <v>No</v>
      </c>
      <c r="AJ551" s="5" t="str">
        <f>IFERROR(__xludf.DUMMYFUNCTION("""COMPUTED_VALUE"""),"No")</f>
        <v>No</v>
      </c>
      <c r="AK551" s="5" t="str">
        <f>IFERROR(__xludf.DUMMYFUNCTION("""COMPUTED_VALUE"""),"No")</f>
        <v>No</v>
      </c>
      <c r="AL551" s="5" t="str">
        <f>IFERROR(__xludf.DUMMYFUNCTION("""COMPUTED_VALUE"""),"No")</f>
        <v>No</v>
      </c>
      <c r="AM551" s="5"/>
      <c r="AN551" s="5"/>
      <c r="AO551" s="5"/>
      <c r="AP551" s="5"/>
      <c r="AQ551" s="5"/>
      <c r="AR551" s="5"/>
      <c r="AS551" s="5"/>
      <c r="AT551" s="5"/>
      <c r="AU551" s="5"/>
      <c r="AV551" s="5"/>
      <c r="AW551" s="5"/>
      <c r="AX551" s="5"/>
      <c r="AY551" s="5"/>
    </row>
    <row r="552">
      <c r="A5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2" s="5">
        <f>IFERROR(__xludf.DUMMYFUNCTION("""COMPUTED_VALUE"""),586.0)</f>
        <v>586</v>
      </c>
      <c r="C552" s="5">
        <f>IFERROR(__xludf.DUMMYFUNCTION("""COMPUTED_VALUE"""),4021.0)</f>
        <v>4021</v>
      </c>
      <c r="D552" s="5" t="str">
        <f>IFERROR(__xludf.DUMMYFUNCTION("""COMPUTED_VALUE"""),"WildWins40")</f>
        <v>WildWins40</v>
      </c>
      <c r="E552" s="5" t="str">
        <f>IFERROR(__xludf.DUMMYFUNCTION("""COMPUTED_VALUE"""),"Yes")</f>
        <v>Yes</v>
      </c>
      <c r="F552" s="5" t="str">
        <f>IFERROR(__xludf.DUMMYFUNCTION("""COMPUTED_VALUE"""),"Yes")</f>
        <v>Yes</v>
      </c>
      <c r="G552" s="5" t="str">
        <f>IFERROR(__xludf.DUMMYFUNCTION("""COMPUTED_VALUE"""),"Yes")</f>
        <v>Yes</v>
      </c>
      <c r="H552" s="5" t="str">
        <f>IFERROR(__xludf.DUMMYFUNCTION("""COMPUTED_VALUE"""),"Yes")</f>
        <v>Yes</v>
      </c>
      <c r="I552" s="5" t="str">
        <f>IFERROR(__xludf.DUMMYFUNCTION("""COMPUTED_VALUE"""),"Yes")</f>
        <v>Yes</v>
      </c>
      <c r="J552" s="5" t="str">
        <f>IFERROR(__xludf.DUMMYFUNCTION("""COMPUTED_VALUE"""),"Yes")</f>
        <v>Yes</v>
      </c>
      <c r="K552" s="5" t="str">
        <f>IFERROR(__xludf.DUMMYFUNCTION("""COMPUTED_VALUE"""),"Yes")</f>
        <v>Yes</v>
      </c>
      <c r="L552" s="5" t="str">
        <f>IFERROR(__xludf.DUMMYFUNCTION("""COMPUTED_VALUE"""),"Yes")</f>
        <v>Yes</v>
      </c>
      <c r="M552" s="5" t="str">
        <f>IFERROR(__xludf.DUMMYFUNCTION("""COMPUTED_VALUE"""),"Yes")</f>
        <v>Yes</v>
      </c>
      <c r="N552" s="5" t="str">
        <f>IFERROR(__xludf.DUMMYFUNCTION("""COMPUTED_VALUE"""),"Yes")</f>
        <v>Yes</v>
      </c>
      <c r="O552" s="5" t="str">
        <f>IFERROR(__xludf.DUMMYFUNCTION("""COMPUTED_VALUE"""),"Yes")</f>
        <v>Yes</v>
      </c>
      <c r="P552" s="5" t="str">
        <f>IFERROR(__xludf.DUMMYFUNCTION("""COMPUTED_VALUE"""),"Yes")</f>
        <v>Yes</v>
      </c>
      <c r="Q552" s="5" t="str">
        <f>IFERROR(__xludf.DUMMYFUNCTION("""COMPUTED_VALUE"""),"Yes")</f>
        <v>Yes</v>
      </c>
      <c r="R552" s="5" t="str">
        <f>IFERROR(__xludf.DUMMYFUNCTION("""COMPUTED_VALUE"""),"Yes")</f>
        <v>Yes</v>
      </c>
      <c r="S552" s="5" t="str">
        <f>IFERROR(__xludf.DUMMYFUNCTION("""COMPUTED_VALUE"""),"Yes")</f>
        <v>Yes</v>
      </c>
      <c r="T552" s="5" t="str">
        <f>IFERROR(__xludf.DUMMYFUNCTION("""COMPUTED_VALUE"""),"Yes")</f>
        <v>Yes</v>
      </c>
      <c r="U552" s="5" t="str">
        <f>IFERROR(__xludf.DUMMYFUNCTION("""COMPUTED_VALUE"""),"Yes")</f>
        <v>Yes</v>
      </c>
      <c r="V552" s="5" t="str">
        <f>IFERROR(__xludf.DUMMYFUNCTION("""COMPUTED_VALUE"""),"Yes")</f>
        <v>Yes</v>
      </c>
      <c r="W552" s="5" t="str">
        <f>IFERROR(__xludf.DUMMYFUNCTION("""COMPUTED_VALUE"""),"Yes")</f>
        <v>Yes</v>
      </c>
      <c r="X552" s="5" t="str">
        <f>IFERROR(__xludf.DUMMYFUNCTION("""COMPUTED_VALUE"""),"Yes")</f>
        <v>Yes</v>
      </c>
      <c r="Y552" s="5" t="str">
        <f>IFERROR(__xludf.DUMMYFUNCTION("""COMPUTED_VALUE"""),"Yes")</f>
        <v>Yes</v>
      </c>
      <c r="Z552" s="5" t="str">
        <f>IFERROR(__xludf.DUMMYFUNCTION("""COMPUTED_VALUE"""),"No")</f>
        <v>No</v>
      </c>
      <c r="AA552" s="5" t="str">
        <f>IFERROR(__xludf.DUMMYFUNCTION("""COMPUTED_VALUE"""),"Yes")</f>
        <v>Yes</v>
      </c>
      <c r="AB552" s="5" t="str">
        <f>IFERROR(__xludf.DUMMYFUNCTION("""COMPUTED_VALUE"""),"Yes")</f>
        <v>Yes</v>
      </c>
      <c r="AC552" s="5" t="str">
        <f>IFERROR(__xludf.DUMMYFUNCTION("""COMPUTED_VALUE"""),"Yes")</f>
        <v>Yes</v>
      </c>
      <c r="AD552" s="5" t="str">
        <f>IFERROR(__xludf.DUMMYFUNCTION("""COMPUTED_VALUE"""),"Yes")</f>
        <v>Yes</v>
      </c>
      <c r="AE552" s="5" t="str">
        <f>IFERROR(__xludf.DUMMYFUNCTION("""COMPUTED_VALUE"""),"No")</f>
        <v>No</v>
      </c>
      <c r="AF552" s="5" t="str">
        <f>IFERROR(__xludf.DUMMYFUNCTION("""COMPUTED_VALUE"""),"Yes")</f>
        <v>Yes</v>
      </c>
      <c r="AG552" s="5" t="str">
        <f>IFERROR(__xludf.DUMMYFUNCTION("""COMPUTED_VALUE"""),"No")</f>
        <v>No</v>
      </c>
      <c r="AH552" s="5" t="str">
        <f>IFERROR(__xludf.DUMMYFUNCTION("""COMPUTED_VALUE"""),"No")</f>
        <v>No</v>
      </c>
      <c r="AI552" s="5" t="str">
        <f>IFERROR(__xludf.DUMMYFUNCTION("""COMPUTED_VALUE"""),"No")</f>
        <v>No</v>
      </c>
      <c r="AJ552" s="5" t="str">
        <f>IFERROR(__xludf.DUMMYFUNCTION("""COMPUTED_VALUE"""),"No")</f>
        <v>No</v>
      </c>
      <c r="AK552" s="5" t="str">
        <f>IFERROR(__xludf.DUMMYFUNCTION("""COMPUTED_VALUE"""),"No")</f>
        <v>No</v>
      </c>
      <c r="AL552" s="5" t="str">
        <f>IFERROR(__xludf.DUMMYFUNCTION("""COMPUTED_VALUE"""),"No")</f>
        <v>No</v>
      </c>
      <c r="AM552" s="5"/>
      <c r="AN552" s="5"/>
      <c r="AO552" s="5"/>
      <c r="AP552" s="5"/>
      <c r="AQ552" s="5"/>
      <c r="AR552" s="5"/>
      <c r="AS552" s="5"/>
      <c r="AT552" s="5"/>
      <c r="AU552" s="5"/>
      <c r="AV552" s="5"/>
      <c r="AW552" s="5"/>
      <c r="AX552" s="5"/>
      <c r="AY552" s="5"/>
    </row>
    <row r="553">
      <c r="A5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53" s="5">
        <f>IFERROR(__xludf.DUMMYFUNCTION("""COMPUTED_VALUE"""),587.0)</f>
        <v>587</v>
      </c>
      <c r="C553" s="5">
        <f>IFERROR(__xludf.DUMMYFUNCTION("""COMPUTED_VALUE"""),3000005.0)</f>
        <v>3000005</v>
      </c>
      <c r="D553" s="5" t="str">
        <f>IFERROR(__xludf.DUMMYFUNCTION("""COMPUTED_VALUE"""),"sugar-luck")</f>
        <v>sugar-luck</v>
      </c>
      <c r="E553" s="5" t="str">
        <f>IFERROR(__xludf.DUMMYFUNCTION("""COMPUTED_VALUE"""),"Yes")</f>
        <v>Yes</v>
      </c>
      <c r="F553" s="5" t="str">
        <f>IFERROR(__xludf.DUMMYFUNCTION("""COMPUTED_VALUE"""),"Yes")</f>
        <v>Yes</v>
      </c>
      <c r="G553" s="5" t="str">
        <f>IFERROR(__xludf.DUMMYFUNCTION("""COMPUTED_VALUE"""),"Yes")</f>
        <v>Yes</v>
      </c>
      <c r="H553" s="5" t="str">
        <f>IFERROR(__xludf.DUMMYFUNCTION("""COMPUTED_VALUE"""),"Yes")</f>
        <v>Yes</v>
      </c>
      <c r="I553" s="5" t="str">
        <f>IFERROR(__xludf.DUMMYFUNCTION("""COMPUTED_VALUE"""),"Yes")</f>
        <v>Yes</v>
      </c>
      <c r="J553" s="5" t="str">
        <f>IFERROR(__xludf.DUMMYFUNCTION("""COMPUTED_VALUE"""),"Yes")</f>
        <v>Yes</v>
      </c>
      <c r="K553" s="5" t="str">
        <f>IFERROR(__xludf.DUMMYFUNCTION("""COMPUTED_VALUE"""),"Yes")</f>
        <v>Yes</v>
      </c>
      <c r="L553" s="5" t="str">
        <f>IFERROR(__xludf.DUMMYFUNCTION("""COMPUTED_VALUE"""),"Yes")</f>
        <v>Yes</v>
      </c>
      <c r="M553" s="5" t="str">
        <f>IFERROR(__xludf.DUMMYFUNCTION("""COMPUTED_VALUE"""),"Yes")</f>
        <v>Yes</v>
      </c>
      <c r="N553" s="5" t="str">
        <f>IFERROR(__xludf.DUMMYFUNCTION("""COMPUTED_VALUE"""),"Yes")</f>
        <v>Yes</v>
      </c>
      <c r="O553" s="5" t="str">
        <f>IFERROR(__xludf.DUMMYFUNCTION("""COMPUTED_VALUE"""),"Yes")</f>
        <v>Yes</v>
      </c>
      <c r="P553" s="5" t="str">
        <f>IFERROR(__xludf.DUMMYFUNCTION("""COMPUTED_VALUE"""),"Yes")</f>
        <v>Yes</v>
      </c>
      <c r="Q553" s="5" t="str">
        <f>IFERROR(__xludf.DUMMYFUNCTION("""COMPUTED_VALUE"""),"Yes")</f>
        <v>Yes</v>
      </c>
      <c r="R553" s="5" t="str">
        <f>IFERROR(__xludf.DUMMYFUNCTION("""COMPUTED_VALUE"""),"Yes")</f>
        <v>Yes</v>
      </c>
      <c r="S553" s="5" t="str">
        <f>IFERROR(__xludf.DUMMYFUNCTION("""COMPUTED_VALUE"""),"Yes")</f>
        <v>Yes</v>
      </c>
      <c r="T553" s="5" t="str">
        <f>IFERROR(__xludf.DUMMYFUNCTION("""COMPUTED_VALUE"""),"Yes")</f>
        <v>Yes</v>
      </c>
      <c r="U553" s="5" t="str">
        <f>IFERROR(__xludf.DUMMYFUNCTION("""COMPUTED_VALUE"""),"Yes")</f>
        <v>Yes</v>
      </c>
      <c r="V553" s="5" t="str">
        <f>IFERROR(__xludf.DUMMYFUNCTION("""COMPUTED_VALUE"""),"Yes")</f>
        <v>Yes</v>
      </c>
      <c r="W553" s="5" t="str">
        <f>IFERROR(__xludf.DUMMYFUNCTION("""COMPUTED_VALUE"""),"Yes")</f>
        <v>Yes</v>
      </c>
      <c r="X553" s="5" t="str">
        <f>IFERROR(__xludf.DUMMYFUNCTION("""COMPUTED_VALUE"""),"Yes")</f>
        <v>Yes</v>
      </c>
      <c r="Y553" s="5" t="str">
        <f>IFERROR(__xludf.DUMMYFUNCTION("""COMPUTED_VALUE"""),"Yes")</f>
        <v>Yes</v>
      </c>
      <c r="Z553" s="5" t="str">
        <f>IFERROR(__xludf.DUMMYFUNCTION("""COMPUTED_VALUE"""),"Yes")</f>
        <v>Yes</v>
      </c>
      <c r="AA553" s="5" t="str">
        <f>IFERROR(__xludf.DUMMYFUNCTION("""COMPUTED_VALUE"""),"Yes")</f>
        <v>Yes</v>
      </c>
      <c r="AB553" s="5" t="str">
        <f>IFERROR(__xludf.DUMMYFUNCTION("""COMPUTED_VALUE"""),"Yes")</f>
        <v>Yes</v>
      </c>
      <c r="AC553" s="5" t="str">
        <f>IFERROR(__xludf.DUMMYFUNCTION("""COMPUTED_VALUE"""),"Yes")</f>
        <v>Yes</v>
      </c>
      <c r="AD553" s="5" t="str">
        <f>IFERROR(__xludf.DUMMYFUNCTION("""COMPUTED_VALUE"""),"Yes")</f>
        <v>Yes</v>
      </c>
      <c r="AE553" s="5" t="str">
        <f>IFERROR(__xludf.DUMMYFUNCTION("""COMPUTED_VALUE"""),"Yes")</f>
        <v>Yes</v>
      </c>
      <c r="AF553" s="5" t="str">
        <f>IFERROR(__xludf.DUMMYFUNCTION("""COMPUTED_VALUE"""),"Yes")</f>
        <v>Yes</v>
      </c>
      <c r="AG553" s="5" t="str">
        <f>IFERROR(__xludf.DUMMYFUNCTION("""COMPUTED_VALUE"""),"Yes")</f>
        <v>Yes</v>
      </c>
      <c r="AH553" s="5" t="str">
        <f>IFERROR(__xludf.DUMMYFUNCTION("""COMPUTED_VALUE"""),"Yes")</f>
        <v>Yes</v>
      </c>
      <c r="AI553" s="5" t="str">
        <f>IFERROR(__xludf.DUMMYFUNCTION("""COMPUTED_VALUE"""),"Yes")</f>
        <v>Yes</v>
      </c>
      <c r="AJ553" s="5" t="str">
        <f>IFERROR(__xludf.DUMMYFUNCTION("""COMPUTED_VALUE"""),"Yes")</f>
        <v>Yes</v>
      </c>
      <c r="AK553" s="5" t="str">
        <f>IFERROR(__xludf.DUMMYFUNCTION("""COMPUTED_VALUE"""),"Yes")</f>
        <v>Yes</v>
      </c>
      <c r="AL553" s="5"/>
      <c r="AM553" s="5"/>
      <c r="AN553" s="5"/>
      <c r="AO553" s="5"/>
      <c r="AP553" s="5"/>
      <c r="AQ553" s="5"/>
      <c r="AR553" s="5"/>
      <c r="AS553" s="5"/>
      <c r="AT553" s="5"/>
      <c r="AU553" s="5"/>
      <c r="AV553" s="5"/>
      <c r="AW553" s="5"/>
      <c r="AX553" s="5"/>
      <c r="AY553" s="5"/>
    </row>
    <row r="554">
      <c r="A554" s="5" t="str">
        <f>IFERROR(__xludf.DUMMYFUNCTION("""COMPUTED_VALUE"""),"")</f>
        <v/>
      </c>
      <c r="B554" s="5">
        <f>IFERROR(__xludf.DUMMYFUNCTION("""COMPUTED_VALUE"""),588.0)</f>
        <v>588</v>
      </c>
      <c r="C554" s="5">
        <f>IFERROR(__xludf.DUMMYFUNCTION("""COMPUTED_VALUE"""),3000006.0)</f>
        <v>3000006</v>
      </c>
      <c r="D554" s="5" t="str">
        <f>IFERROR(__xludf.DUMMYFUNCTION("""COMPUTED_VALUE"""),"fruity-luck")</f>
        <v>fruity-luck</v>
      </c>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row>
    <row r="555">
      <c r="A5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5" s="5">
        <f>IFERROR(__xludf.DUMMYFUNCTION("""COMPUTED_VALUE"""),589.0)</f>
        <v>589</v>
      </c>
      <c r="C555" s="5">
        <f>IFERROR(__xludf.DUMMYFUNCTION("""COMPUTED_VALUE"""),4020.0)</f>
        <v>4020</v>
      </c>
      <c r="D555" s="5" t="str">
        <f>IFERROR(__xludf.DUMMYFUNCTION("""COMPUTED_VALUE"""),"BongoBongoHot40")</f>
        <v>BongoBongoHot40</v>
      </c>
      <c r="E555" s="5" t="str">
        <f>IFERROR(__xludf.DUMMYFUNCTION("""COMPUTED_VALUE"""),"Yes")</f>
        <v>Yes</v>
      </c>
      <c r="F555" s="5" t="str">
        <f>IFERROR(__xludf.DUMMYFUNCTION("""COMPUTED_VALUE"""),"Yes")</f>
        <v>Yes</v>
      </c>
      <c r="G555" s="5" t="str">
        <f>IFERROR(__xludf.DUMMYFUNCTION("""COMPUTED_VALUE"""),"Yes")</f>
        <v>Yes</v>
      </c>
      <c r="H555" s="5" t="str">
        <f>IFERROR(__xludf.DUMMYFUNCTION("""COMPUTED_VALUE"""),"Yes")</f>
        <v>Yes</v>
      </c>
      <c r="I555" s="5" t="str">
        <f>IFERROR(__xludf.DUMMYFUNCTION("""COMPUTED_VALUE"""),"Yes")</f>
        <v>Yes</v>
      </c>
      <c r="J555" s="5" t="str">
        <f>IFERROR(__xludf.DUMMYFUNCTION("""COMPUTED_VALUE"""),"Yes")</f>
        <v>Yes</v>
      </c>
      <c r="K555" s="5" t="str">
        <f>IFERROR(__xludf.DUMMYFUNCTION("""COMPUTED_VALUE"""),"Yes")</f>
        <v>Yes</v>
      </c>
      <c r="L555" s="5" t="str">
        <f>IFERROR(__xludf.DUMMYFUNCTION("""COMPUTED_VALUE"""),"Yes")</f>
        <v>Yes</v>
      </c>
      <c r="M555" s="5" t="str">
        <f>IFERROR(__xludf.DUMMYFUNCTION("""COMPUTED_VALUE"""),"Yes")</f>
        <v>Yes</v>
      </c>
      <c r="N555" s="5" t="str">
        <f>IFERROR(__xludf.DUMMYFUNCTION("""COMPUTED_VALUE"""),"Yes")</f>
        <v>Yes</v>
      </c>
      <c r="O555" s="5" t="str">
        <f>IFERROR(__xludf.DUMMYFUNCTION("""COMPUTED_VALUE"""),"Yes")</f>
        <v>Yes</v>
      </c>
      <c r="P555" s="5" t="str">
        <f>IFERROR(__xludf.DUMMYFUNCTION("""COMPUTED_VALUE"""),"Yes")</f>
        <v>Yes</v>
      </c>
      <c r="Q555" s="5" t="str">
        <f>IFERROR(__xludf.DUMMYFUNCTION("""COMPUTED_VALUE"""),"Yes")</f>
        <v>Yes</v>
      </c>
      <c r="R555" s="5" t="str">
        <f>IFERROR(__xludf.DUMMYFUNCTION("""COMPUTED_VALUE"""),"Yes")</f>
        <v>Yes</v>
      </c>
      <c r="S555" s="5" t="str">
        <f>IFERROR(__xludf.DUMMYFUNCTION("""COMPUTED_VALUE"""),"Yes")</f>
        <v>Yes</v>
      </c>
      <c r="T555" s="5" t="str">
        <f>IFERROR(__xludf.DUMMYFUNCTION("""COMPUTED_VALUE"""),"Yes")</f>
        <v>Yes</v>
      </c>
      <c r="U555" s="5" t="str">
        <f>IFERROR(__xludf.DUMMYFUNCTION("""COMPUTED_VALUE"""),"Yes")</f>
        <v>Yes</v>
      </c>
      <c r="V555" s="5" t="str">
        <f>IFERROR(__xludf.DUMMYFUNCTION("""COMPUTED_VALUE"""),"Yes")</f>
        <v>Yes</v>
      </c>
      <c r="W555" s="5" t="str">
        <f>IFERROR(__xludf.DUMMYFUNCTION("""COMPUTED_VALUE"""),"Yes")</f>
        <v>Yes</v>
      </c>
      <c r="X555" s="5" t="str">
        <f>IFERROR(__xludf.DUMMYFUNCTION("""COMPUTED_VALUE"""),"Yes")</f>
        <v>Yes</v>
      </c>
      <c r="Y555" s="5" t="str">
        <f>IFERROR(__xludf.DUMMYFUNCTION("""COMPUTED_VALUE"""),"Yes")</f>
        <v>Yes</v>
      </c>
      <c r="Z555" s="5" t="str">
        <f>IFERROR(__xludf.DUMMYFUNCTION("""COMPUTED_VALUE"""),"No")</f>
        <v>No</v>
      </c>
      <c r="AA555" s="5" t="str">
        <f>IFERROR(__xludf.DUMMYFUNCTION("""COMPUTED_VALUE"""),"Yes")</f>
        <v>Yes</v>
      </c>
      <c r="AB555" s="5" t="str">
        <f>IFERROR(__xludf.DUMMYFUNCTION("""COMPUTED_VALUE"""),"Yes")</f>
        <v>Yes</v>
      </c>
      <c r="AC555" s="5" t="str">
        <f>IFERROR(__xludf.DUMMYFUNCTION("""COMPUTED_VALUE"""),"Yes")</f>
        <v>Yes</v>
      </c>
      <c r="AD555" s="5" t="str">
        <f>IFERROR(__xludf.DUMMYFUNCTION("""COMPUTED_VALUE"""),"Yes")</f>
        <v>Yes</v>
      </c>
      <c r="AE555" s="5" t="str">
        <f>IFERROR(__xludf.DUMMYFUNCTION("""COMPUTED_VALUE"""),"No")</f>
        <v>No</v>
      </c>
      <c r="AF555" s="5" t="str">
        <f>IFERROR(__xludf.DUMMYFUNCTION("""COMPUTED_VALUE"""),"Yes")</f>
        <v>Yes</v>
      </c>
      <c r="AG555" s="5" t="str">
        <f>IFERROR(__xludf.DUMMYFUNCTION("""COMPUTED_VALUE"""),"No")</f>
        <v>No</v>
      </c>
      <c r="AH555" s="5" t="str">
        <f>IFERROR(__xludf.DUMMYFUNCTION("""COMPUTED_VALUE"""),"No")</f>
        <v>No</v>
      </c>
      <c r="AI555" s="5" t="str">
        <f>IFERROR(__xludf.DUMMYFUNCTION("""COMPUTED_VALUE"""),"No")</f>
        <v>No</v>
      </c>
      <c r="AJ555" s="5" t="str">
        <f>IFERROR(__xludf.DUMMYFUNCTION("""COMPUTED_VALUE"""),"No")</f>
        <v>No</v>
      </c>
      <c r="AK555" s="5" t="str">
        <f>IFERROR(__xludf.DUMMYFUNCTION("""COMPUTED_VALUE"""),"No")</f>
        <v>No</v>
      </c>
      <c r="AL555" s="5" t="str">
        <f>IFERROR(__xludf.DUMMYFUNCTION("""COMPUTED_VALUE"""),"No")</f>
        <v>No</v>
      </c>
      <c r="AM555" s="5"/>
      <c r="AN555" s="5"/>
      <c r="AO555" s="5"/>
      <c r="AP555" s="5"/>
      <c r="AQ555" s="5"/>
      <c r="AR555" s="5"/>
      <c r="AS555" s="5"/>
      <c r="AT555" s="5"/>
      <c r="AU555" s="5"/>
      <c r="AV555" s="5"/>
      <c r="AW555" s="5"/>
      <c r="AX555" s="5"/>
      <c r="AY555" s="5"/>
    </row>
    <row r="556">
      <c r="A5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6" s="5">
        <f>IFERROR(__xludf.DUMMYFUNCTION("""COMPUTED_VALUE"""),590.0)</f>
        <v>590</v>
      </c>
      <c r="C556" s="5">
        <f>IFERROR(__xludf.DUMMYFUNCTION("""COMPUTED_VALUE"""),4018.0)</f>
        <v>4018</v>
      </c>
      <c r="D556" s="5" t="str">
        <f>IFERROR(__xludf.DUMMYFUNCTION("""COMPUTED_VALUE"""),"BetArabiaFreeSpins")</f>
        <v>BetArabiaFreeSpins</v>
      </c>
      <c r="E556" s="5" t="str">
        <f>IFERROR(__xludf.DUMMYFUNCTION("""COMPUTED_VALUE"""),"Yes")</f>
        <v>Yes</v>
      </c>
      <c r="F556" s="5" t="str">
        <f>IFERROR(__xludf.DUMMYFUNCTION("""COMPUTED_VALUE"""),"Yes")</f>
        <v>Yes</v>
      </c>
      <c r="G556" s="5" t="str">
        <f>IFERROR(__xludf.DUMMYFUNCTION("""COMPUTED_VALUE"""),"Yes")</f>
        <v>Yes</v>
      </c>
      <c r="H556" s="5" t="str">
        <f>IFERROR(__xludf.DUMMYFUNCTION("""COMPUTED_VALUE"""),"Yes")</f>
        <v>Yes</v>
      </c>
      <c r="I556" s="5" t="str">
        <f>IFERROR(__xludf.DUMMYFUNCTION("""COMPUTED_VALUE"""),"Yes")</f>
        <v>Yes</v>
      </c>
      <c r="J556" s="5" t="str">
        <f>IFERROR(__xludf.DUMMYFUNCTION("""COMPUTED_VALUE"""),"Yes")</f>
        <v>Yes</v>
      </c>
      <c r="K556" s="5" t="str">
        <f>IFERROR(__xludf.DUMMYFUNCTION("""COMPUTED_VALUE"""),"Yes")</f>
        <v>Yes</v>
      </c>
      <c r="L556" s="5" t="str">
        <f>IFERROR(__xludf.DUMMYFUNCTION("""COMPUTED_VALUE"""),"Yes")</f>
        <v>Yes</v>
      </c>
      <c r="M556" s="5" t="str">
        <f>IFERROR(__xludf.DUMMYFUNCTION("""COMPUTED_VALUE"""),"Yes")</f>
        <v>Yes</v>
      </c>
      <c r="N556" s="5" t="str">
        <f>IFERROR(__xludf.DUMMYFUNCTION("""COMPUTED_VALUE"""),"Yes")</f>
        <v>Yes</v>
      </c>
      <c r="O556" s="5" t="str">
        <f>IFERROR(__xludf.DUMMYFUNCTION("""COMPUTED_VALUE"""),"Yes")</f>
        <v>Yes</v>
      </c>
      <c r="P556" s="5" t="str">
        <f>IFERROR(__xludf.DUMMYFUNCTION("""COMPUTED_VALUE"""),"Yes")</f>
        <v>Yes</v>
      </c>
      <c r="Q556" s="5" t="str">
        <f>IFERROR(__xludf.DUMMYFUNCTION("""COMPUTED_VALUE"""),"Yes")</f>
        <v>Yes</v>
      </c>
      <c r="R556" s="5" t="str">
        <f>IFERROR(__xludf.DUMMYFUNCTION("""COMPUTED_VALUE"""),"Yes")</f>
        <v>Yes</v>
      </c>
      <c r="S556" s="5" t="str">
        <f>IFERROR(__xludf.DUMMYFUNCTION("""COMPUTED_VALUE"""),"Yes")</f>
        <v>Yes</v>
      </c>
      <c r="T556" s="5" t="str">
        <f>IFERROR(__xludf.DUMMYFUNCTION("""COMPUTED_VALUE"""),"Yes")</f>
        <v>Yes</v>
      </c>
      <c r="U556" s="5" t="str">
        <f>IFERROR(__xludf.DUMMYFUNCTION("""COMPUTED_VALUE"""),"Yes")</f>
        <v>Yes</v>
      </c>
      <c r="V556" s="5" t="str">
        <f>IFERROR(__xludf.DUMMYFUNCTION("""COMPUTED_VALUE"""),"Yes")</f>
        <v>Yes</v>
      </c>
      <c r="W556" s="5" t="str">
        <f>IFERROR(__xludf.DUMMYFUNCTION("""COMPUTED_VALUE"""),"Yes")</f>
        <v>Yes</v>
      </c>
      <c r="X556" s="5" t="str">
        <f>IFERROR(__xludf.DUMMYFUNCTION("""COMPUTED_VALUE"""),"Yes")</f>
        <v>Yes</v>
      </c>
      <c r="Y556" s="5" t="str">
        <f>IFERROR(__xludf.DUMMYFUNCTION("""COMPUTED_VALUE"""),"Yes")</f>
        <v>Yes</v>
      </c>
      <c r="Z556" s="5" t="str">
        <f>IFERROR(__xludf.DUMMYFUNCTION("""COMPUTED_VALUE"""),"No")</f>
        <v>No</v>
      </c>
      <c r="AA556" s="5" t="str">
        <f>IFERROR(__xludf.DUMMYFUNCTION("""COMPUTED_VALUE"""),"Yes")</f>
        <v>Yes</v>
      </c>
      <c r="AB556" s="5" t="str">
        <f>IFERROR(__xludf.DUMMYFUNCTION("""COMPUTED_VALUE"""),"Yes")</f>
        <v>Yes</v>
      </c>
      <c r="AC556" s="5" t="str">
        <f>IFERROR(__xludf.DUMMYFUNCTION("""COMPUTED_VALUE"""),"Yes")</f>
        <v>Yes</v>
      </c>
      <c r="AD556" s="5" t="str">
        <f>IFERROR(__xludf.DUMMYFUNCTION("""COMPUTED_VALUE"""),"Yes")</f>
        <v>Yes</v>
      </c>
      <c r="AE556" s="5" t="str">
        <f>IFERROR(__xludf.DUMMYFUNCTION("""COMPUTED_VALUE"""),"No")</f>
        <v>No</v>
      </c>
      <c r="AF556" s="5" t="str">
        <f>IFERROR(__xludf.DUMMYFUNCTION("""COMPUTED_VALUE"""),"Yes")</f>
        <v>Yes</v>
      </c>
      <c r="AG556" s="5" t="str">
        <f>IFERROR(__xludf.DUMMYFUNCTION("""COMPUTED_VALUE"""),"No")</f>
        <v>No</v>
      </c>
      <c r="AH556" s="5" t="str">
        <f>IFERROR(__xludf.DUMMYFUNCTION("""COMPUTED_VALUE"""),"No")</f>
        <v>No</v>
      </c>
      <c r="AI556" s="5" t="str">
        <f>IFERROR(__xludf.DUMMYFUNCTION("""COMPUTED_VALUE"""),"No")</f>
        <v>No</v>
      </c>
      <c r="AJ556" s="5" t="str">
        <f>IFERROR(__xludf.DUMMYFUNCTION("""COMPUTED_VALUE"""),"No")</f>
        <v>No</v>
      </c>
      <c r="AK556" s="5" t="str">
        <f>IFERROR(__xludf.DUMMYFUNCTION("""COMPUTED_VALUE"""),"No")</f>
        <v>No</v>
      </c>
      <c r="AL556" s="5" t="str">
        <f>IFERROR(__xludf.DUMMYFUNCTION("""COMPUTED_VALUE"""),"No")</f>
        <v>No</v>
      </c>
      <c r="AM556" s="5"/>
      <c r="AN556" s="5"/>
      <c r="AO556" s="5"/>
      <c r="AP556" s="5"/>
      <c r="AQ556" s="5"/>
      <c r="AR556" s="5"/>
      <c r="AS556" s="5"/>
      <c r="AT556" s="5"/>
      <c r="AU556" s="5"/>
      <c r="AV556" s="5"/>
      <c r="AW556" s="5"/>
      <c r="AX556" s="5"/>
      <c r="AY556" s="5"/>
    </row>
    <row r="557">
      <c r="A557" s="5" t="str">
        <f>IFERROR(__xludf.DUMMYFUNCTION("""COMPUTED_VALUE"""),"English(""eng"")")</f>
        <v>English("eng")</v>
      </c>
      <c r="B557" s="5">
        <f>IFERROR(__xludf.DUMMYFUNCTION("""COMPUTED_VALUE"""),591.0)</f>
        <v>591</v>
      </c>
      <c r="C557" s="5">
        <f>IFERROR(__xludf.DUMMYFUNCTION("""COMPUTED_VALUE"""),3000000.0)</f>
        <v>3000000</v>
      </c>
      <c r="D557" s="5" t="str">
        <f>IFERROR(__xludf.DUMMYFUNCTION("""COMPUTED_VALUE"""),"UnicornSuperHighRunner")</f>
        <v>UnicornSuperHighRunner</v>
      </c>
      <c r="E557" s="5" t="str">
        <f>IFERROR(__xludf.DUMMYFUNCTION("""COMPUTED_VALUE"""),"Yes")</f>
        <v>Yes</v>
      </c>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row>
    <row r="558">
      <c r="A558" s="5" t="str">
        <f>IFERROR(__xludf.DUMMYFUNCTION("""COMPUTED_VALUE"""),"English(""eng""), Serbian(""""srp"",""srb""""), Bulgarian(""bul""), Spanish(""spa""), Portuguese(""por""), Italian(""ita""), Romanian(""rum/ron""), Croatian(""hrv""), French(""fre/fra""), German(""ger/deu""), Dutch(""dut/nld""), Turkish(""tur""), Greek("""&amp;"gre/ell""), Ukrainian(""ukr""), Chinese(""zho/chi"")")</f>
        <v>English("eng"), Serbian(""srp","srb""), Bulgarian("bul"), Spanish("spa"), Portuguese("por"), Italian("ita"), Romanian("rum/ron"), Croatian("hrv"), French("fre/fra"), German("ger/deu"), Dutch("dut/nld"), Turkish("tur"), Greek("gre/ell"), Ukrainian("ukr"), Chinese("zho/chi")</v>
      </c>
      <c r="B558" s="5">
        <f>IFERROR(__xludf.DUMMYFUNCTION("""COMPUTED_VALUE"""),592.0)</f>
        <v>592</v>
      </c>
      <c r="C558" s="5">
        <f>IFERROR(__xludf.DUMMYFUNCTION("""COMPUTED_VALUE"""),511.0)</f>
        <v>511</v>
      </c>
      <c r="D558" s="5" t="str">
        <f>IFERROR(__xludf.DUMMYFUNCTION("""COMPUTED_VALUE"""),"PlayNetBrewmastersBank")</f>
        <v>PlayNetBrewmastersBank</v>
      </c>
      <c r="E558" s="5" t="str">
        <f>IFERROR(__xludf.DUMMYFUNCTION("""COMPUTED_VALUE"""),"Yes")</f>
        <v>Yes</v>
      </c>
      <c r="F558" s="5" t="str">
        <f>IFERROR(__xludf.DUMMYFUNCTION("""COMPUTED_VALUE"""),"Yes")</f>
        <v>Yes</v>
      </c>
      <c r="G558" s="5"/>
      <c r="H558" s="5" t="str">
        <f>IFERROR(__xludf.DUMMYFUNCTION("""COMPUTED_VALUE"""),"Yes")</f>
        <v>Yes</v>
      </c>
      <c r="I558" s="5" t="str">
        <f>IFERROR(__xludf.DUMMYFUNCTION("""COMPUTED_VALUE"""),"Yes")</f>
        <v>Yes</v>
      </c>
      <c r="J558" s="5" t="str">
        <f>IFERROR(__xludf.DUMMYFUNCTION("""COMPUTED_VALUE"""),"Yes")</f>
        <v>Yes</v>
      </c>
      <c r="K558" s="5" t="str">
        <f>IFERROR(__xludf.DUMMYFUNCTION("""COMPUTED_VALUE"""),"Yes")</f>
        <v>Yes</v>
      </c>
      <c r="L558" s="5" t="str">
        <f>IFERROR(__xludf.DUMMYFUNCTION("""COMPUTED_VALUE"""),"Yes")</f>
        <v>Yes</v>
      </c>
      <c r="M558" s="5" t="str">
        <f>IFERROR(__xludf.DUMMYFUNCTION("""COMPUTED_VALUE"""),"Yes")</f>
        <v>Yes</v>
      </c>
      <c r="N558" s="5" t="str">
        <f>IFERROR(__xludf.DUMMYFUNCTION("""COMPUTED_VALUE"""),"Yes")</f>
        <v>Yes</v>
      </c>
      <c r="O558" s="5" t="str">
        <f>IFERROR(__xludf.DUMMYFUNCTION("""COMPUTED_VALUE"""),"Yes")</f>
        <v>Yes</v>
      </c>
      <c r="P558" s="5" t="str">
        <f>IFERROR(__xludf.DUMMYFUNCTION("""COMPUTED_VALUE"""),"Yes")</f>
        <v>Yes</v>
      </c>
      <c r="Q558" s="5" t="str">
        <f>IFERROR(__xludf.DUMMYFUNCTION("""COMPUTED_VALUE"""),"Yes")</f>
        <v>Yes</v>
      </c>
      <c r="R558" s="5" t="str">
        <f>IFERROR(__xludf.DUMMYFUNCTION("""COMPUTED_VALUE"""),"Yes")</f>
        <v>Yes</v>
      </c>
      <c r="S558" s="5"/>
      <c r="T558" s="5"/>
      <c r="U558" s="5"/>
      <c r="V558" s="5"/>
      <c r="W558" s="5"/>
      <c r="X558" s="5"/>
      <c r="Y558" s="5"/>
      <c r="Z558" s="5"/>
      <c r="AA558" s="5"/>
      <c r="AB558" s="5"/>
      <c r="AC558" s="5"/>
      <c r="AD558" s="5"/>
      <c r="AE558" s="5"/>
      <c r="AF558" s="5" t="str">
        <f>IFERROR(__xludf.DUMMYFUNCTION("""COMPUTED_VALUE"""),"Yes")</f>
        <v>Yes</v>
      </c>
      <c r="AG558" s="5"/>
      <c r="AH558" s="5" t="str">
        <f>IFERROR(__xludf.DUMMYFUNCTION("""COMPUTED_VALUE"""),"Yes")</f>
        <v>Yes</v>
      </c>
      <c r="AI558" s="5"/>
      <c r="AJ558" s="5"/>
      <c r="AK558" s="5"/>
      <c r="AL558" s="5"/>
      <c r="AM558" s="5"/>
      <c r="AN558" s="5"/>
      <c r="AO558" s="5"/>
      <c r="AP558" s="5"/>
      <c r="AQ558" s="5"/>
      <c r="AR558" s="5"/>
      <c r="AS558" s="5"/>
      <c r="AT558" s="5"/>
      <c r="AU558" s="5"/>
      <c r="AV558" s="5"/>
      <c r="AW558" s="5"/>
      <c r="AX558" s="5"/>
      <c r="AY558" s="5"/>
    </row>
    <row r="559">
      <c r="A559" s="5" t="str">
        <f>IFERROR(__xludf.DUMMYFUNCTION("""COMPUTED_VALUE"""),"Social English(""sen"")")</f>
        <v>Social English("sen")</v>
      </c>
      <c r="B559" s="5">
        <f>IFERROR(__xludf.DUMMYFUNCTION("""COMPUTED_VALUE"""),593.0)</f>
        <v>593</v>
      </c>
      <c r="C559" s="5">
        <f>IFERROR(__xludf.DUMMYFUNCTION("""COMPUTED_VALUE"""),512.0)</f>
        <v>512</v>
      </c>
      <c r="D559" s="5" t="str">
        <f>IFERROR(__xludf.DUMMYFUNCTION("""COMPUTED_VALUE"""),"UnicornBigSpinDice")</f>
        <v>UnicornBigSpinDice</v>
      </c>
      <c r="E559" s="5"/>
      <c r="F559" s="5"/>
      <c r="G559" s="5"/>
      <c r="H559" s="5"/>
      <c r="I559" s="5"/>
      <c r="J559" s="5"/>
      <c r="K559" s="5"/>
      <c r="L559" s="5"/>
      <c r="M559" s="5"/>
      <c r="N559" s="5"/>
      <c r="O559" s="5"/>
      <c r="P559" s="5"/>
      <c r="Q559" s="5"/>
      <c r="R559" s="5"/>
      <c r="S559" s="5"/>
      <c r="T559" s="5"/>
      <c r="U559" s="5"/>
      <c r="V559" s="5"/>
      <c r="W559" s="5"/>
      <c r="X559" s="5"/>
      <c r="Y559" s="5" t="str">
        <f>IFERROR(__xludf.DUMMYFUNCTION("""COMPUTED_VALUE"""),"Yes")</f>
        <v>Yes</v>
      </c>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row>
    <row r="560">
      <c r="A56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0" s="5">
        <f>IFERROR(__xludf.DUMMYFUNCTION("""COMPUTED_VALUE"""),594.0)</f>
        <v>594</v>
      </c>
      <c r="C560" s="5">
        <f>IFERROR(__xludf.DUMMYFUNCTION("""COMPUTED_VALUE"""),513.0)</f>
        <v>513</v>
      </c>
      <c r="D560" s="5" t="str">
        <f>IFERROR(__xludf.DUMMYFUNCTION("""COMPUTED_VALUE"""),"UnicornFruitIslandDice")</f>
        <v>UnicornFruitIslandDice</v>
      </c>
      <c r="E560" s="5" t="str">
        <f>IFERROR(__xludf.DUMMYFUNCTION("""COMPUTED_VALUE"""),"Yes")</f>
        <v>Yes</v>
      </c>
      <c r="F560" s="5" t="str">
        <f>IFERROR(__xludf.DUMMYFUNCTION("""COMPUTED_VALUE"""),"Yes")</f>
        <v>Yes</v>
      </c>
      <c r="G560" s="5" t="str">
        <f>IFERROR(__xludf.DUMMYFUNCTION("""COMPUTED_VALUE"""),"Yes")</f>
        <v>Yes</v>
      </c>
      <c r="H560" s="5"/>
      <c r="I560" s="5"/>
      <c r="J560" s="5"/>
      <c r="K560" s="5"/>
      <c r="L560" s="5"/>
      <c r="M560" s="5" t="str">
        <f>IFERROR(__xludf.DUMMYFUNCTION("""COMPUTED_VALUE"""),"Yes")</f>
        <v>Yes</v>
      </c>
      <c r="N560" s="5" t="str">
        <f>IFERROR(__xludf.DUMMYFUNCTION("""COMPUTED_VALUE"""),"Yes")</f>
        <v>Yes</v>
      </c>
      <c r="O560" s="5" t="str">
        <f>IFERROR(__xludf.DUMMYFUNCTION("""COMPUTED_VALUE"""),"Yes")</f>
        <v>Yes</v>
      </c>
      <c r="P560" s="5" t="str">
        <f>IFERROR(__xludf.DUMMYFUNCTION("""COMPUTED_VALUE"""),"Yes")</f>
        <v>Yes</v>
      </c>
      <c r="Q560" s="5" t="str">
        <f>IFERROR(__xludf.DUMMYFUNCTION("""COMPUTED_VALUE"""),"Yes")</f>
        <v>Yes</v>
      </c>
      <c r="R560" s="5"/>
      <c r="S560" s="5" t="str">
        <f>IFERROR(__xludf.DUMMYFUNCTION("""COMPUTED_VALUE"""),"Yes")</f>
        <v>Yes</v>
      </c>
      <c r="T560" s="5"/>
      <c r="U560" s="5"/>
      <c r="V560" s="5"/>
      <c r="W560" s="5"/>
      <c r="X560" s="5"/>
      <c r="Y560" s="5"/>
      <c r="Z560" s="5"/>
      <c r="AA560" s="5" t="str">
        <f>IFERROR(__xludf.DUMMYFUNCTION("""COMPUTED_VALUE"""),"Yes")</f>
        <v>Yes</v>
      </c>
      <c r="AB560" s="5"/>
      <c r="AC560" s="5"/>
      <c r="AD560" s="5"/>
      <c r="AE560" s="5"/>
      <c r="AF560" s="5" t="str">
        <f>IFERROR(__xludf.DUMMYFUNCTION("""COMPUTED_VALUE"""),"Yes")</f>
        <v>Yes</v>
      </c>
      <c r="AG560" s="5"/>
      <c r="AH560" s="5"/>
      <c r="AI560" s="5"/>
      <c r="AJ560" s="5"/>
      <c r="AK560" s="5"/>
      <c r="AL560" s="5" t="str">
        <f>IFERROR(__xludf.DUMMYFUNCTION("""COMPUTED_VALUE"""),"Yes")</f>
        <v>Yes</v>
      </c>
      <c r="AM560" s="5"/>
      <c r="AN560" s="5"/>
      <c r="AO560" s="5"/>
      <c r="AP560" s="5"/>
      <c r="AQ560" s="5"/>
      <c r="AR560" s="5"/>
      <c r="AS560" s="5"/>
      <c r="AT560" s="5"/>
      <c r="AU560" s="5"/>
      <c r="AV560" s="5"/>
      <c r="AW560" s="5"/>
      <c r="AX560" s="5"/>
      <c r="AY560" s="5"/>
    </row>
    <row r="561">
      <c r="A561" s="5" t="str">
        <f>IFERROR(__xludf.DUMMYFUNCTION("""COMPUTED_VALUE"""),"English(""eng"")")</f>
        <v>English("eng")</v>
      </c>
      <c r="B561" s="5">
        <f>IFERROR(__xludf.DUMMYFUNCTION("""COMPUTED_VALUE"""),595.0)</f>
        <v>595</v>
      </c>
      <c r="C561" s="5">
        <f>IFERROR(__xludf.DUMMYFUNCTION("""COMPUTED_VALUE"""),515.0)</f>
        <v>515</v>
      </c>
      <c r="D561" s="5" t="str">
        <f>IFERROR(__xludf.DUMMYFUNCTION("""COMPUTED_VALUE"""),"UnicornStormDice")</f>
        <v>UnicornStormDice</v>
      </c>
      <c r="E561" s="5" t="str">
        <f>IFERROR(__xludf.DUMMYFUNCTION("""COMPUTED_VALUE"""),"Yes")</f>
        <v>Yes</v>
      </c>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row>
    <row r="562">
      <c r="A56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2" s="5">
        <f>IFERROR(__xludf.DUMMYFUNCTION("""COMPUTED_VALUE"""),596.0)</f>
        <v>596</v>
      </c>
      <c r="C562" s="5">
        <f>IFERROR(__xludf.DUMMYFUNCTION("""COMPUTED_VALUE"""),519.0)</f>
        <v>519</v>
      </c>
      <c r="D562" s="5" t="str">
        <f>IFERROR(__xludf.DUMMYFUNCTION("""COMPUTED_VALUE"""),"UnicornSantasRudolf")</f>
        <v>UnicornSantasRudolf</v>
      </c>
      <c r="E562" s="5" t="str">
        <f>IFERROR(__xludf.DUMMYFUNCTION("""COMPUTED_VALUE"""),"Yes")</f>
        <v>Yes</v>
      </c>
      <c r="F562" s="5" t="str">
        <f>IFERROR(__xludf.DUMMYFUNCTION("""COMPUTED_VALUE"""),"Yes")</f>
        <v>Yes</v>
      </c>
      <c r="G562" s="5" t="str">
        <f>IFERROR(__xludf.DUMMYFUNCTION("""COMPUTED_VALUE"""),"Yes")</f>
        <v>Yes</v>
      </c>
      <c r="H562" s="5"/>
      <c r="I562" s="5"/>
      <c r="J562" s="5"/>
      <c r="K562" s="5"/>
      <c r="L562" s="5"/>
      <c r="M562" s="5" t="str">
        <f>IFERROR(__xludf.DUMMYFUNCTION("""COMPUTED_VALUE"""),"Yes")</f>
        <v>Yes</v>
      </c>
      <c r="N562" s="5" t="str">
        <f>IFERROR(__xludf.DUMMYFUNCTION("""COMPUTED_VALUE"""),"Yes")</f>
        <v>Yes</v>
      </c>
      <c r="O562" s="5" t="str">
        <f>IFERROR(__xludf.DUMMYFUNCTION("""COMPUTED_VALUE"""),"Yes")</f>
        <v>Yes</v>
      </c>
      <c r="P562" s="5" t="str">
        <f>IFERROR(__xludf.DUMMYFUNCTION("""COMPUTED_VALUE"""),"Yes")</f>
        <v>Yes</v>
      </c>
      <c r="Q562" s="5" t="str">
        <f>IFERROR(__xludf.DUMMYFUNCTION("""COMPUTED_VALUE"""),"Yes")</f>
        <v>Yes</v>
      </c>
      <c r="R562" s="5"/>
      <c r="S562" s="5" t="str">
        <f>IFERROR(__xludf.DUMMYFUNCTION("""COMPUTED_VALUE"""),"Yes")</f>
        <v>Yes</v>
      </c>
      <c r="T562" s="5"/>
      <c r="U562" s="5"/>
      <c r="V562" s="5"/>
      <c r="W562" s="5"/>
      <c r="X562" s="5"/>
      <c r="Y562" s="5"/>
      <c r="Z562" s="5"/>
      <c r="AA562" s="5" t="str">
        <f>IFERROR(__xludf.DUMMYFUNCTION("""COMPUTED_VALUE"""),"Yes")</f>
        <v>Yes</v>
      </c>
      <c r="AB562" s="5"/>
      <c r="AC562" s="5"/>
      <c r="AD562" s="5"/>
      <c r="AE562" s="5"/>
      <c r="AF562" s="5" t="str">
        <f>IFERROR(__xludf.DUMMYFUNCTION("""COMPUTED_VALUE"""),"Yes")</f>
        <v>Yes</v>
      </c>
      <c r="AG562" s="5"/>
      <c r="AH562" s="5"/>
      <c r="AI562" s="5"/>
      <c r="AJ562" s="5"/>
      <c r="AK562" s="5"/>
      <c r="AL562" s="5" t="str">
        <f>IFERROR(__xludf.DUMMYFUNCTION("""COMPUTED_VALUE"""),"Yes")</f>
        <v>Yes</v>
      </c>
      <c r="AM562" s="5"/>
      <c r="AN562" s="5"/>
      <c r="AO562" s="5"/>
      <c r="AP562" s="5"/>
      <c r="AQ562" s="5"/>
      <c r="AR562" s="5"/>
      <c r="AS562" s="5"/>
      <c r="AT562" s="5"/>
      <c r="AU562" s="5"/>
      <c r="AV562" s="5"/>
      <c r="AW562" s="5"/>
      <c r="AX562" s="5"/>
      <c r="AY562" s="5"/>
    </row>
    <row r="563">
      <c r="A56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3" s="5">
        <f>IFERROR(__xludf.DUMMYFUNCTION("""COMPUTED_VALUE"""),598.0)</f>
        <v>598</v>
      </c>
      <c r="C563" s="5">
        <f>IFERROR(__xludf.DUMMYFUNCTION("""COMPUTED_VALUE"""),520.0)</f>
        <v>520</v>
      </c>
      <c r="D563" s="5" t="str">
        <f>IFERROR(__xludf.DUMMYFUNCTION("""COMPUTED_VALUE"""),"UnicornGoldLineGems")</f>
        <v>UnicornGoldLineGems</v>
      </c>
      <c r="E563" s="5" t="str">
        <f>IFERROR(__xludf.DUMMYFUNCTION("""COMPUTED_VALUE"""),"Yes")</f>
        <v>Yes</v>
      </c>
      <c r="F563" s="5" t="str">
        <f>IFERROR(__xludf.DUMMYFUNCTION("""COMPUTED_VALUE"""),"Yes")</f>
        <v>Yes</v>
      </c>
      <c r="G563" s="5" t="str">
        <f>IFERROR(__xludf.DUMMYFUNCTION("""COMPUTED_VALUE"""),"Yes")</f>
        <v>Yes</v>
      </c>
      <c r="H563" s="5"/>
      <c r="I563" s="5"/>
      <c r="J563" s="5"/>
      <c r="K563" s="5"/>
      <c r="L563" s="5"/>
      <c r="M563" s="5" t="str">
        <f>IFERROR(__xludf.DUMMYFUNCTION("""COMPUTED_VALUE"""),"Yes")</f>
        <v>Yes</v>
      </c>
      <c r="N563" s="5" t="str">
        <f>IFERROR(__xludf.DUMMYFUNCTION("""COMPUTED_VALUE"""),"Yes")</f>
        <v>Yes</v>
      </c>
      <c r="O563" s="5" t="str">
        <f>IFERROR(__xludf.DUMMYFUNCTION("""COMPUTED_VALUE"""),"Yes")</f>
        <v>Yes</v>
      </c>
      <c r="P563" s="5" t="str">
        <f>IFERROR(__xludf.DUMMYFUNCTION("""COMPUTED_VALUE"""),"Yes")</f>
        <v>Yes</v>
      </c>
      <c r="Q563" s="5" t="str">
        <f>IFERROR(__xludf.DUMMYFUNCTION("""COMPUTED_VALUE"""),"Yes")</f>
        <v>Yes</v>
      </c>
      <c r="R563" s="5"/>
      <c r="S563" s="5" t="str">
        <f>IFERROR(__xludf.DUMMYFUNCTION("""COMPUTED_VALUE"""),"Yes")</f>
        <v>Yes</v>
      </c>
      <c r="T563" s="5"/>
      <c r="U563" s="5"/>
      <c r="V563" s="5"/>
      <c r="W563" s="5"/>
      <c r="X563" s="5"/>
      <c r="Y563" s="5"/>
      <c r="Z563" s="5"/>
      <c r="AA563" s="5" t="str">
        <f>IFERROR(__xludf.DUMMYFUNCTION("""COMPUTED_VALUE"""),"Yes")</f>
        <v>Yes</v>
      </c>
      <c r="AB563" s="5"/>
      <c r="AC563" s="5"/>
      <c r="AD563" s="5"/>
      <c r="AE563" s="5"/>
      <c r="AF563" s="5" t="str">
        <f>IFERROR(__xludf.DUMMYFUNCTION("""COMPUTED_VALUE"""),"Yes")</f>
        <v>Yes</v>
      </c>
      <c r="AG563" s="5"/>
      <c r="AH563" s="5"/>
      <c r="AI563" s="5"/>
      <c r="AJ563" s="5"/>
      <c r="AK563" s="5"/>
      <c r="AL563" s="5" t="str">
        <f>IFERROR(__xludf.DUMMYFUNCTION("""COMPUTED_VALUE"""),"Yes")</f>
        <v>Yes</v>
      </c>
      <c r="AM563" s="5"/>
      <c r="AN563" s="5"/>
      <c r="AO563" s="5"/>
      <c r="AP563" s="5"/>
      <c r="AQ563" s="5"/>
      <c r="AR563" s="5"/>
      <c r="AS563" s="5"/>
      <c r="AT563" s="5"/>
      <c r="AU563" s="5"/>
      <c r="AV563" s="5"/>
      <c r="AW563" s="5"/>
      <c r="AX563" s="5"/>
      <c r="AY563" s="5"/>
    </row>
    <row r="564">
      <c r="A56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4" s="5">
        <f>IFERROR(__xludf.DUMMYFUNCTION("""COMPUTED_VALUE"""),599.0)</f>
        <v>599</v>
      </c>
      <c r="C564" s="5">
        <f>IFERROR(__xludf.DUMMYFUNCTION("""COMPUTED_VALUE"""),521.0)</f>
        <v>521</v>
      </c>
      <c r="D564" s="5" t="str">
        <f>IFERROR(__xludf.DUMMYFUNCTION("""COMPUTED_VALUE"""),"UnicornChristmasPresents2025")</f>
        <v>UnicornChristmasPresents2025</v>
      </c>
      <c r="E564" s="5" t="str">
        <f>IFERROR(__xludf.DUMMYFUNCTION("""COMPUTED_VALUE"""),"Yes")</f>
        <v>Yes</v>
      </c>
      <c r="F564" s="5" t="str">
        <f>IFERROR(__xludf.DUMMYFUNCTION("""COMPUTED_VALUE"""),"Yes")</f>
        <v>Yes</v>
      </c>
      <c r="G564" s="5" t="str">
        <f>IFERROR(__xludf.DUMMYFUNCTION("""COMPUTED_VALUE"""),"Yes")</f>
        <v>Yes</v>
      </c>
      <c r="H564" s="5" t="str">
        <f>IFERROR(__xludf.DUMMYFUNCTION("""COMPUTED_VALUE"""),"No")</f>
        <v>No</v>
      </c>
      <c r="I564" s="5" t="str">
        <f>IFERROR(__xludf.DUMMYFUNCTION("""COMPUTED_VALUE"""),"No")</f>
        <v>No</v>
      </c>
      <c r="J564" s="5" t="str">
        <f>IFERROR(__xludf.DUMMYFUNCTION("""COMPUTED_VALUE"""),"No")</f>
        <v>No</v>
      </c>
      <c r="K564" s="5" t="str">
        <f>IFERROR(__xludf.DUMMYFUNCTION("""COMPUTED_VALUE"""),"No")</f>
        <v>No</v>
      </c>
      <c r="L564" s="5" t="str">
        <f>IFERROR(__xludf.DUMMYFUNCTION("""COMPUTED_VALUE"""),"No")</f>
        <v>No</v>
      </c>
      <c r="M564" s="5" t="str">
        <f>IFERROR(__xludf.DUMMYFUNCTION("""COMPUTED_VALUE"""),"Yes")</f>
        <v>Yes</v>
      </c>
      <c r="N564" s="5" t="str">
        <f>IFERROR(__xludf.DUMMYFUNCTION("""COMPUTED_VALUE"""),"Yes")</f>
        <v>Yes</v>
      </c>
      <c r="O564" s="5" t="str">
        <f>IFERROR(__xludf.DUMMYFUNCTION("""COMPUTED_VALUE"""),"Yes")</f>
        <v>Yes</v>
      </c>
      <c r="P564" s="5" t="str">
        <f>IFERROR(__xludf.DUMMYFUNCTION("""COMPUTED_VALUE"""),"Yes")</f>
        <v>Yes</v>
      </c>
      <c r="Q564" s="5" t="str">
        <f>IFERROR(__xludf.DUMMYFUNCTION("""COMPUTED_VALUE"""),"Yes")</f>
        <v>Yes</v>
      </c>
      <c r="R564" s="5" t="str">
        <f>IFERROR(__xludf.DUMMYFUNCTION("""COMPUTED_VALUE"""),"No")</f>
        <v>No</v>
      </c>
      <c r="S564" s="5" t="str">
        <f>IFERROR(__xludf.DUMMYFUNCTION("""COMPUTED_VALUE"""),"Yes")</f>
        <v>Yes</v>
      </c>
      <c r="T564" s="5" t="str">
        <f>IFERROR(__xludf.DUMMYFUNCTION("""COMPUTED_VALUE"""),"No")</f>
        <v>No</v>
      </c>
      <c r="U564" s="5" t="str">
        <f>IFERROR(__xludf.DUMMYFUNCTION("""COMPUTED_VALUE"""),"No")</f>
        <v>No</v>
      </c>
      <c r="V564" s="5" t="str">
        <f>IFERROR(__xludf.DUMMYFUNCTION("""COMPUTED_VALUE"""),"No")</f>
        <v>No</v>
      </c>
      <c r="W564" s="5" t="str">
        <f>IFERROR(__xludf.DUMMYFUNCTION("""COMPUTED_VALUE"""),"No")</f>
        <v>No</v>
      </c>
      <c r="X564" s="5" t="str">
        <f>IFERROR(__xludf.DUMMYFUNCTION("""COMPUTED_VALUE"""),"No")</f>
        <v>No</v>
      </c>
      <c r="Y564" s="5" t="str">
        <f>IFERROR(__xludf.DUMMYFUNCTION("""COMPUTED_VALUE"""),"No")</f>
        <v>No</v>
      </c>
      <c r="Z564" s="5" t="str">
        <f>IFERROR(__xludf.DUMMYFUNCTION("""COMPUTED_VALUE"""),"No")</f>
        <v>No</v>
      </c>
      <c r="AA564" s="5" t="str">
        <f>IFERROR(__xludf.DUMMYFUNCTION("""COMPUTED_VALUE"""),"Yes")</f>
        <v>Yes</v>
      </c>
      <c r="AB564" s="5" t="str">
        <f>IFERROR(__xludf.DUMMYFUNCTION("""COMPUTED_VALUE"""),"No")</f>
        <v>No</v>
      </c>
      <c r="AC564" s="5" t="str">
        <f>IFERROR(__xludf.DUMMYFUNCTION("""COMPUTED_VALUE"""),"No")</f>
        <v>No</v>
      </c>
      <c r="AD564" s="5" t="str">
        <f>IFERROR(__xludf.DUMMYFUNCTION("""COMPUTED_VALUE"""),"No")</f>
        <v>No</v>
      </c>
      <c r="AE564" s="5" t="str">
        <f>IFERROR(__xludf.DUMMYFUNCTION("""COMPUTED_VALUE"""),"No")</f>
        <v>No</v>
      </c>
      <c r="AF564" s="5" t="str">
        <f>IFERROR(__xludf.DUMMYFUNCTION("""COMPUTED_VALUE"""),"Yes")</f>
        <v>Yes</v>
      </c>
      <c r="AG564" s="5" t="str">
        <f>IFERROR(__xludf.DUMMYFUNCTION("""COMPUTED_VALUE"""),"No")</f>
        <v>No</v>
      </c>
      <c r="AH564" s="5" t="str">
        <f>IFERROR(__xludf.DUMMYFUNCTION("""COMPUTED_VALUE"""),"No")</f>
        <v>No</v>
      </c>
      <c r="AI564" s="5" t="str">
        <f>IFERROR(__xludf.DUMMYFUNCTION("""COMPUTED_VALUE"""),"No")</f>
        <v>No</v>
      </c>
      <c r="AJ564" s="5" t="str">
        <f>IFERROR(__xludf.DUMMYFUNCTION("""COMPUTED_VALUE"""),"No")</f>
        <v>No</v>
      </c>
      <c r="AK564" s="5" t="str">
        <f>IFERROR(__xludf.DUMMYFUNCTION("""COMPUTED_VALUE"""),"No")</f>
        <v>No</v>
      </c>
      <c r="AL564" s="5" t="str">
        <f>IFERROR(__xludf.DUMMYFUNCTION("""COMPUTED_VALUE"""),"Yes")</f>
        <v>Yes</v>
      </c>
      <c r="AM564" s="5"/>
      <c r="AN564" s="5"/>
      <c r="AO564" s="5"/>
      <c r="AP564" s="5"/>
      <c r="AQ564" s="5"/>
      <c r="AR564" s="5"/>
      <c r="AS564" s="5"/>
      <c r="AT564" s="5"/>
      <c r="AU564" s="5"/>
      <c r="AV564" s="5"/>
      <c r="AW564" s="5"/>
      <c r="AX564" s="5"/>
      <c r="AY564" s="5"/>
    </row>
    <row r="565">
      <c r="A565"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5" s="5">
        <f>IFERROR(__xludf.DUMMYFUNCTION("""COMPUTED_VALUE"""),600.0)</f>
        <v>600</v>
      </c>
      <c r="C565" s="5">
        <f>IFERROR(__xludf.DUMMYFUNCTION("""COMPUTED_VALUE"""),522.0)</f>
        <v>522</v>
      </c>
      <c r="D565" s="5" t="str">
        <f>IFERROR(__xludf.DUMMYFUNCTION("""COMPUTED_VALUE"""),"UnicornMoneyStandardPlatinum")</f>
        <v>UnicornMoneyStandardPlatinum</v>
      </c>
      <c r="E565" s="5" t="str">
        <f>IFERROR(__xludf.DUMMYFUNCTION("""COMPUTED_VALUE"""),"Yes")</f>
        <v>Yes</v>
      </c>
      <c r="F565" s="5" t="str">
        <f>IFERROR(__xludf.DUMMYFUNCTION("""COMPUTED_VALUE"""),"Yes")</f>
        <v>Yes</v>
      </c>
      <c r="G565" s="5" t="str">
        <f>IFERROR(__xludf.DUMMYFUNCTION("""COMPUTED_VALUE"""),"Yes")</f>
        <v>Yes</v>
      </c>
      <c r="H565" s="5"/>
      <c r="I565" s="5" t="str">
        <f>IFERROR(__xludf.DUMMYFUNCTION("""COMPUTED_VALUE"""),"Yes")</f>
        <v>Yes</v>
      </c>
      <c r="J565" s="5"/>
      <c r="K565" s="5"/>
      <c r="L565" s="5"/>
      <c r="M565" s="5" t="str">
        <f>IFERROR(__xludf.DUMMYFUNCTION("""COMPUTED_VALUE"""),"Yes")</f>
        <v>Yes</v>
      </c>
      <c r="N565" s="5" t="str">
        <f>IFERROR(__xludf.DUMMYFUNCTION("""COMPUTED_VALUE"""),"Yes")</f>
        <v>Yes</v>
      </c>
      <c r="O565" s="5" t="str">
        <f>IFERROR(__xludf.DUMMYFUNCTION("""COMPUTED_VALUE"""),"Yes")</f>
        <v>Yes</v>
      </c>
      <c r="P565" s="5" t="str">
        <f>IFERROR(__xludf.DUMMYFUNCTION("""COMPUTED_VALUE"""),"Yes")</f>
        <v>Yes</v>
      </c>
      <c r="Q565" s="5" t="str">
        <f>IFERROR(__xludf.DUMMYFUNCTION("""COMPUTED_VALUE"""),"Yes")</f>
        <v>Yes</v>
      </c>
      <c r="R565" s="5"/>
      <c r="S565" s="5" t="str">
        <f>IFERROR(__xludf.DUMMYFUNCTION("""COMPUTED_VALUE"""),"Yes")</f>
        <v>Yes</v>
      </c>
      <c r="T565" s="5"/>
      <c r="U565" s="5"/>
      <c r="V565" s="5"/>
      <c r="W565" s="5"/>
      <c r="X565" s="5"/>
      <c r="Y565" s="5"/>
      <c r="Z565" s="5"/>
      <c r="AA565" s="5" t="str">
        <f>IFERROR(__xludf.DUMMYFUNCTION("""COMPUTED_VALUE"""),"Yes")</f>
        <v>Yes</v>
      </c>
      <c r="AB565" s="5"/>
      <c r="AC565" s="5"/>
      <c r="AD565" s="5"/>
      <c r="AE565" s="5"/>
      <c r="AF565" s="5" t="str">
        <f>IFERROR(__xludf.DUMMYFUNCTION("""COMPUTED_VALUE"""),"Yes")</f>
        <v>Yes</v>
      </c>
      <c r="AG565" s="5"/>
      <c r="AH565" s="5"/>
      <c r="AI565" s="5"/>
      <c r="AJ565" s="5"/>
      <c r="AK565" s="5"/>
      <c r="AL565" s="5" t="str">
        <f>IFERROR(__xludf.DUMMYFUNCTION("""COMPUTED_VALUE"""),"Yes")</f>
        <v>Yes</v>
      </c>
      <c r="AM565" s="5"/>
      <c r="AN565" s="5"/>
      <c r="AO565" s="5"/>
      <c r="AP565" s="5"/>
      <c r="AQ565" s="5"/>
      <c r="AR565" s="5"/>
      <c r="AS565" s="5"/>
      <c r="AT565" s="5"/>
      <c r="AU565" s="5"/>
      <c r="AV565" s="5"/>
      <c r="AW565" s="5"/>
      <c r="AX565" s="5"/>
      <c r="AY565" s="5"/>
    </row>
    <row r="566">
      <c r="A566"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6" s="5">
        <f>IFERROR(__xludf.DUMMYFUNCTION("""COMPUTED_VALUE"""),601.0)</f>
        <v>601</v>
      </c>
      <c r="C566" s="5">
        <f>IFERROR(__xludf.DUMMYFUNCTION("""COMPUTED_VALUE"""),429.0)</f>
        <v>429</v>
      </c>
      <c r="D566" s="5" t="str">
        <f>IFERROR(__xludf.DUMMYFUNCTION("""COMPUTED_VALUE"""),"UnicornFruitMultipliers")</f>
        <v>UnicornFruitMultipliers</v>
      </c>
      <c r="E566" s="5" t="str">
        <f>IFERROR(__xludf.DUMMYFUNCTION("""COMPUTED_VALUE"""),"Yes")</f>
        <v>Yes</v>
      </c>
      <c r="F566" s="5" t="str">
        <f>IFERROR(__xludf.DUMMYFUNCTION("""COMPUTED_VALUE"""),"Yes")</f>
        <v>Yes</v>
      </c>
      <c r="G566" s="5" t="str">
        <f>IFERROR(__xludf.DUMMYFUNCTION("""COMPUTED_VALUE"""),"Yes")</f>
        <v>Yes</v>
      </c>
      <c r="H566" s="5"/>
      <c r="I566" s="5" t="str">
        <f>IFERROR(__xludf.DUMMYFUNCTION("""COMPUTED_VALUE"""),"Yes")</f>
        <v>Yes</v>
      </c>
      <c r="J566" s="5"/>
      <c r="K566" s="5"/>
      <c r="L566" s="5"/>
      <c r="M566" s="5" t="str">
        <f>IFERROR(__xludf.DUMMYFUNCTION("""COMPUTED_VALUE"""),"Yes")</f>
        <v>Yes</v>
      </c>
      <c r="N566" s="5" t="str">
        <f>IFERROR(__xludf.DUMMYFUNCTION("""COMPUTED_VALUE"""),"Yes")</f>
        <v>Yes</v>
      </c>
      <c r="O566" s="5" t="str">
        <f>IFERROR(__xludf.DUMMYFUNCTION("""COMPUTED_VALUE"""),"Yes")</f>
        <v>Yes</v>
      </c>
      <c r="P566" s="5" t="str">
        <f>IFERROR(__xludf.DUMMYFUNCTION("""COMPUTED_VALUE"""),"Yes")</f>
        <v>Yes</v>
      </c>
      <c r="Q566" s="5" t="str">
        <f>IFERROR(__xludf.DUMMYFUNCTION("""COMPUTED_VALUE"""),"Yes")</f>
        <v>Yes</v>
      </c>
      <c r="R566" s="5"/>
      <c r="S566" s="5" t="str">
        <f>IFERROR(__xludf.DUMMYFUNCTION("""COMPUTED_VALUE"""),"Yes")</f>
        <v>Yes</v>
      </c>
      <c r="T566" s="5"/>
      <c r="U566" s="5"/>
      <c r="V566" s="5"/>
      <c r="W566" s="5"/>
      <c r="X566" s="5"/>
      <c r="Y566" s="5"/>
      <c r="Z566" s="5"/>
      <c r="AA566" s="5" t="str">
        <f>IFERROR(__xludf.DUMMYFUNCTION("""COMPUTED_VALUE"""),"Yes")</f>
        <v>Yes</v>
      </c>
      <c r="AB566" s="5"/>
      <c r="AC566" s="5"/>
      <c r="AD566" s="5"/>
      <c r="AE566" s="5"/>
      <c r="AF566" s="5" t="str">
        <f>IFERROR(__xludf.DUMMYFUNCTION("""COMPUTED_VALUE"""),"Yes")</f>
        <v>Yes</v>
      </c>
      <c r="AG566" s="5"/>
      <c r="AH566" s="5"/>
      <c r="AI566" s="5"/>
      <c r="AJ566" s="5"/>
      <c r="AK566" s="5"/>
      <c r="AL566" s="5" t="str">
        <f>IFERROR(__xludf.DUMMYFUNCTION("""COMPUTED_VALUE"""),"Yes")</f>
        <v>Yes</v>
      </c>
      <c r="AM566" s="5"/>
      <c r="AN566" s="5"/>
      <c r="AO566" s="5"/>
      <c r="AP566" s="5"/>
      <c r="AQ566" s="5"/>
      <c r="AR566" s="5"/>
      <c r="AS566" s="5"/>
      <c r="AT566" s="5"/>
      <c r="AU566" s="5"/>
      <c r="AV566" s="5"/>
      <c r="AW566" s="5"/>
      <c r="AX566" s="5"/>
      <c r="AY566" s="5"/>
    </row>
    <row r="567">
      <c r="A567"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7" s="5">
        <f>IFERROR(__xludf.DUMMYFUNCTION("""COMPUTED_VALUE"""),602.0)</f>
        <v>602</v>
      </c>
      <c r="C567" s="5">
        <f>IFERROR(__xludf.DUMMYFUNCTION("""COMPUTED_VALUE"""),428.0)</f>
        <v>428</v>
      </c>
      <c r="D567" s="5" t="str">
        <f>IFERROR(__xludf.DUMMYFUNCTION("""COMPUTED_VALUE"""),"UnicornSevensPay")</f>
        <v>UnicornSevensPay</v>
      </c>
      <c r="E567" s="5" t="str">
        <f>IFERROR(__xludf.DUMMYFUNCTION("""COMPUTED_VALUE"""),"Yes")</f>
        <v>Yes</v>
      </c>
      <c r="F567" s="5" t="str">
        <f>IFERROR(__xludf.DUMMYFUNCTION("""COMPUTED_VALUE"""),"Yes")</f>
        <v>Yes</v>
      </c>
      <c r="G567" s="5" t="str">
        <f>IFERROR(__xludf.DUMMYFUNCTION("""COMPUTED_VALUE"""),"Yes")</f>
        <v>Yes</v>
      </c>
      <c r="H567" s="5"/>
      <c r="I567" s="5" t="str">
        <f>IFERROR(__xludf.DUMMYFUNCTION("""COMPUTED_VALUE"""),"Yes")</f>
        <v>Yes</v>
      </c>
      <c r="J567" s="5"/>
      <c r="K567" s="5"/>
      <c r="L567" s="5"/>
      <c r="M567" s="5" t="str">
        <f>IFERROR(__xludf.DUMMYFUNCTION("""COMPUTED_VALUE"""),"Yes")</f>
        <v>Yes</v>
      </c>
      <c r="N567" s="5" t="str">
        <f>IFERROR(__xludf.DUMMYFUNCTION("""COMPUTED_VALUE"""),"Yes")</f>
        <v>Yes</v>
      </c>
      <c r="O567" s="5" t="str">
        <f>IFERROR(__xludf.DUMMYFUNCTION("""COMPUTED_VALUE"""),"Yes")</f>
        <v>Yes</v>
      </c>
      <c r="P567" s="5" t="str">
        <f>IFERROR(__xludf.DUMMYFUNCTION("""COMPUTED_VALUE"""),"Yes")</f>
        <v>Yes</v>
      </c>
      <c r="Q567" s="5" t="str">
        <f>IFERROR(__xludf.DUMMYFUNCTION("""COMPUTED_VALUE"""),"Yes")</f>
        <v>Yes</v>
      </c>
      <c r="R567" s="5"/>
      <c r="S567" s="5" t="str">
        <f>IFERROR(__xludf.DUMMYFUNCTION("""COMPUTED_VALUE"""),"Yes")</f>
        <v>Yes</v>
      </c>
      <c r="T567" s="5"/>
      <c r="U567" s="5"/>
      <c r="V567" s="5"/>
      <c r="W567" s="5"/>
      <c r="X567" s="5"/>
      <c r="Y567" s="5"/>
      <c r="Z567" s="5"/>
      <c r="AA567" s="5" t="str">
        <f>IFERROR(__xludf.DUMMYFUNCTION("""COMPUTED_VALUE"""),"Yes")</f>
        <v>Yes</v>
      </c>
      <c r="AB567" s="5"/>
      <c r="AC567" s="5"/>
      <c r="AD567" s="5"/>
      <c r="AE567" s="5"/>
      <c r="AF567" s="5" t="str">
        <f>IFERROR(__xludf.DUMMYFUNCTION("""COMPUTED_VALUE"""),"Yes")</f>
        <v>Yes</v>
      </c>
      <c r="AG567" s="5"/>
      <c r="AH567" s="5"/>
      <c r="AI567" s="5"/>
      <c r="AJ567" s="5"/>
      <c r="AK567" s="5"/>
      <c r="AL567" s="5" t="str">
        <f>IFERROR(__xludf.DUMMYFUNCTION("""COMPUTED_VALUE"""),"Yes")</f>
        <v>Yes</v>
      </c>
      <c r="AM567" s="5"/>
      <c r="AN567" s="5"/>
      <c r="AO567" s="5"/>
      <c r="AP567" s="5"/>
      <c r="AQ567" s="5"/>
      <c r="AR567" s="5"/>
      <c r="AS567" s="5"/>
      <c r="AT567" s="5"/>
      <c r="AU567" s="5"/>
      <c r="AV567" s="5"/>
      <c r="AW567" s="5"/>
      <c r="AX567" s="5"/>
      <c r="AY567" s="5"/>
    </row>
    <row r="568">
      <c r="A568" s="5"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B568" s="5">
        <f>IFERROR(__xludf.DUMMYFUNCTION("""COMPUTED_VALUE"""),603.0)</f>
        <v>603</v>
      </c>
      <c r="C568" s="5">
        <f>IFERROR(__xludf.DUMMYFUNCTION("""COMPUTED_VALUE"""),514.0)</f>
        <v>514</v>
      </c>
      <c r="D568" s="5" t="str">
        <f>IFERROR(__xludf.DUMMYFUNCTION("""COMPUTED_VALUE"""),"PlayNetMajesticCrown40")</f>
        <v>PlayNetMajesticCrown40</v>
      </c>
      <c r="E568" s="5" t="str">
        <f>IFERROR(__xludf.DUMMYFUNCTION("""COMPUTED_VALUE"""),"Yes")</f>
        <v>Yes</v>
      </c>
      <c r="F568" s="5" t="str">
        <f>IFERROR(__xludf.DUMMYFUNCTION("""COMPUTED_VALUE"""),"Yes")</f>
        <v>Yes</v>
      </c>
      <c r="G568" s="5" t="str">
        <f>IFERROR(__xludf.DUMMYFUNCTION("""COMPUTED_VALUE"""),"Yes")</f>
        <v>Yes</v>
      </c>
      <c r="H568" s="5" t="str">
        <f>IFERROR(__xludf.DUMMYFUNCTION("""COMPUTED_VALUE"""),"Yes")</f>
        <v>Yes</v>
      </c>
      <c r="I568" s="5" t="str">
        <f>IFERROR(__xludf.DUMMYFUNCTION("""COMPUTED_VALUE"""),"Yes")</f>
        <v>Yes</v>
      </c>
      <c r="J568" s="5" t="str">
        <f>IFERROR(__xludf.DUMMYFUNCTION("""COMPUTED_VALUE"""),"Yes")</f>
        <v>Yes</v>
      </c>
      <c r="K568" s="5" t="str">
        <f>IFERROR(__xludf.DUMMYFUNCTION("""COMPUTED_VALUE"""),"Yes")</f>
        <v>Yes</v>
      </c>
      <c r="L568" s="5" t="str">
        <f>IFERROR(__xludf.DUMMYFUNCTION("""COMPUTED_VALUE"""),"Yes")</f>
        <v>Yes</v>
      </c>
      <c r="M568" s="5" t="str">
        <f>IFERROR(__xludf.DUMMYFUNCTION("""COMPUTED_VALUE"""),"Yes")</f>
        <v>Yes</v>
      </c>
      <c r="N568" s="5" t="str">
        <f>IFERROR(__xludf.DUMMYFUNCTION("""COMPUTED_VALUE"""),"Yes")</f>
        <v>Yes</v>
      </c>
      <c r="O568" s="5" t="str">
        <f>IFERROR(__xludf.DUMMYFUNCTION("""COMPUTED_VALUE"""),"Yes")</f>
        <v>Yes</v>
      </c>
      <c r="P568" s="5" t="str">
        <f>IFERROR(__xludf.DUMMYFUNCTION("""COMPUTED_VALUE"""),"Yes")</f>
        <v>Yes</v>
      </c>
      <c r="Q568" s="5" t="str">
        <f>IFERROR(__xludf.DUMMYFUNCTION("""COMPUTED_VALUE"""),"Yes")</f>
        <v>Yes</v>
      </c>
      <c r="R568" s="5" t="str">
        <f>IFERROR(__xludf.DUMMYFUNCTION("""COMPUTED_VALUE"""),"Yes")</f>
        <v>Yes</v>
      </c>
      <c r="S568" s="5" t="str">
        <f>IFERROR(__xludf.DUMMYFUNCTION("""COMPUTED_VALUE"""),"Yes")</f>
        <v>Yes</v>
      </c>
      <c r="T568" s="5"/>
      <c r="U568" s="5"/>
      <c r="V568" s="5"/>
      <c r="W568" s="5"/>
      <c r="X568" s="5"/>
      <c r="Y568" s="5"/>
      <c r="Z568" s="5"/>
      <c r="AA568" s="5" t="str">
        <f>IFERROR(__xludf.DUMMYFUNCTION("""COMPUTED_VALUE"""),"Yes")</f>
        <v>Yes</v>
      </c>
      <c r="AB568" s="5"/>
      <c r="AC568" s="5"/>
      <c r="AD568" s="5"/>
      <c r="AE568" s="5"/>
      <c r="AF568" s="5" t="str">
        <f>IFERROR(__xludf.DUMMYFUNCTION("""COMPUTED_VALUE"""),"Yes")</f>
        <v>Yes</v>
      </c>
      <c r="AG568" s="5"/>
      <c r="AH568" s="5"/>
      <c r="AI568" s="5"/>
      <c r="AJ568" s="5"/>
      <c r="AK568" s="5"/>
      <c r="AL568" s="5" t="str">
        <f>IFERROR(__xludf.DUMMYFUNCTION("""COMPUTED_VALUE"""),"Yes")</f>
        <v>Yes</v>
      </c>
      <c r="AM568" s="5"/>
      <c r="AN568" s="5"/>
      <c r="AO568" s="5"/>
      <c r="AP568" s="5"/>
      <c r="AQ568" s="5"/>
      <c r="AR568" s="5"/>
      <c r="AS568" s="5"/>
      <c r="AT568" s="5"/>
      <c r="AU568" s="5"/>
      <c r="AV568" s="5"/>
      <c r="AW568" s="5"/>
      <c r="AX568" s="5"/>
      <c r="AY568" s="5"/>
    </row>
    <row r="569">
      <c r="A569" s="5" t="str">
        <f>IFERROR(__xludf.DUMMYFUNCTION("""COMPUTED_VALUE"""),"English(""eng""), Serbian(""""srp"",""srb""""), Bulgarian(""bul""), Spanish(""spa""), Portuguese(""por""), Italian(""ita""), Romanian(""rum/ron""), Croatian(""hrv""), French(""fre/fra""), German(""ger/deu""), Dutch(""dut/nld""), Turkish(""tur""), Greek("""&amp;"gre/ell""), Russian(""rus""), Swahili(""swa""), Ukrainian(""ukr""), Chinese(""zho/chi""), Bosnian("""")")</f>
        <v>English("eng"), Serbian(""srp","srb""), Bulgarian("bul"), Spanish("spa"), Portuguese("por"), Italian("ita"), Romanian("rum/ron"), Croatian("hrv"), French("fre/fra"), German("ger/deu"), Dutch("dut/nld"), Turkish("tur"), Greek("gre/ell"), Russian("rus"), Swahili("swa"), Ukrainian("ukr"), Chinese("zho/chi"), Bosnian("")</v>
      </c>
      <c r="B569" s="5">
        <f>IFERROR(__xludf.DUMMYFUNCTION("""COMPUTED_VALUE"""),604.0)</f>
        <v>604</v>
      </c>
      <c r="C569" s="5">
        <f>IFERROR(__xludf.DUMMYFUNCTION("""COMPUTED_VALUE"""),518.0)</f>
        <v>518</v>
      </c>
      <c r="D569" s="5" t="str">
        <f>IFERROR(__xludf.DUMMYFUNCTION("""COMPUTED_VALUE"""),"PlayNetNeptunesJewels")</f>
        <v>PlayNetNeptunesJewels</v>
      </c>
      <c r="E569" s="5" t="str">
        <f>IFERROR(__xludf.DUMMYFUNCTION("""COMPUTED_VALUE"""),"Yes")</f>
        <v>Yes</v>
      </c>
      <c r="F569" s="5" t="str">
        <f>IFERROR(__xludf.DUMMYFUNCTION("""COMPUTED_VALUE"""),"Yes")</f>
        <v>Yes</v>
      </c>
      <c r="G569" s="5" t="str">
        <f>IFERROR(__xludf.DUMMYFUNCTION("""COMPUTED_VALUE"""),"No")</f>
        <v>No</v>
      </c>
      <c r="H569" s="5" t="str">
        <f>IFERROR(__xludf.DUMMYFUNCTION("""COMPUTED_VALUE"""),"Yes")</f>
        <v>Yes</v>
      </c>
      <c r="I569" s="5" t="str">
        <f>IFERROR(__xludf.DUMMYFUNCTION("""COMPUTED_VALUE"""),"Yes")</f>
        <v>Yes</v>
      </c>
      <c r="J569" s="5" t="str">
        <f>IFERROR(__xludf.DUMMYFUNCTION("""COMPUTED_VALUE"""),"Yes")</f>
        <v>Yes</v>
      </c>
      <c r="K569" s="5" t="str">
        <f>IFERROR(__xludf.DUMMYFUNCTION("""COMPUTED_VALUE"""),"Yes")</f>
        <v>Yes</v>
      </c>
      <c r="L569" s="5" t="str">
        <f>IFERROR(__xludf.DUMMYFUNCTION("""COMPUTED_VALUE"""),"Yes")</f>
        <v>Yes</v>
      </c>
      <c r="M569" s="5" t="str">
        <f>IFERROR(__xludf.DUMMYFUNCTION("""COMPUTED_VALUE"""),"Yes")</f>
        <v>Yes</v>
      </c>
      <c r="N569" s="5" t="str">
        <f>IFERROR(__xludf.DUMMYFUNCTION("""COMPUTED_VALUE"""),"Yes")</f>
        <v>Yes</v>
      </c>
      <c r="O569" s="5" t="str">
        <f>IFERROR(__xludf.DUMMYFUNCTION("""COMPUTED_VALUE"""),"Yes")</f>
        <v>Yes</v>
      </c>
      <c r="P569" s="5" t="str">
        <f>IFERROR(__xludf.DUMMYFUNCTION("""COMPUTED_VALUE"""),"Yes")</f>
        <v>Yes</v>
      </c>
      <c r="Q569" s="5" t="str">
        <f>IFERROR(__xludf.DUMMYFUNCTION("""COMPUTED_VALUE"""),"Yes")</f>
        <v>Yes</v>
      </c>
      <c r="R569" s="5" t="str">
        <f>IFERROR(__xludf.DUMMYFUNCTION("""COMPUTED_VALUE"""),"Yes")</f>
        <v>Yes</v>
      </c>
      <c r="S569" s="5" t="str">
        <f>IFERROR(__xludf.DUMMYFUNCTION("""COMPUTED_VALUE"""),"Yes")</f>
        <v>Yes</v>
      </c>
      <c r="T569" s="5"/>
      <c r="U569" s="5"/>
      <c r="V569" s="5"/>
      <c r="W569" s="5"/>
      <c r="X569" s="5"/>
      <c r="Y569" s="5"/>
      <c r="Z569" s="5"/>
      <c r="AA569" s="5" t="str">
        <f>IFERROR(__xludf.DUMMYFUNCTION("""COMPUTED_VALUE"""),"Yes")</f>
        <v>Yes</v>
      </c>
      <c r="AB569" s="5"/>
      <c r="AC569" s="5"/>
      <c r="AD569" s="5"/>
      <c r="AE569" s="5"/>
      <c r="AF569" s="5" t="str">
        <f>IFERROR(__xludf.DUMMYFUNCTION("""COMPUTED_VALUE"""),"Yes")</f>
        <v>Yes</v>
      </c>
      <c r="AG569" s="5"/>
      <c r="AH569" s="5" t="str">
        <f>IFERROR(__xludf.DUMMYFUNCTION("""COMPUTED_VALUE"""),"Yes")</f>
        <v>Yes</v>
      </c>
      <c r="AI569" s="5"/>
      <c r="AJ569" s="5"/>
      <c r="AK569" s="5"/>
      <c r="AL569" s="5" t="str">
        <f>IFERROR(__xludf.DUMMYFUNCTION("""COMPUTED_VALUE"""),"Yes")</f>
        <v>Yes</v>
      </c>
      <c r="AM569" s="5"/>
      <c r="AN569" s="5"/>
      <c r="AO569" s="5"/>
      <c r="AP569" s="5"/>
      <c r="AQ569" s="5"/>
      <c r="AR569" s="5"/>
      <c r="AS569" s="5"/>
      <c r="AT569" s="5"/>
      <c r="AU569" s="5"/>
      <c r="AV569" s="5"/>
      <c r="AW569" s="5"/>
      <c r="AX569" s="5"/>
      <c r="AY569" s="5"/>
    </row>
    <row r="570">
      <c r="A570" s="5" t="str">
        <f>IFERROR(__xludf.DUMMYFUNCTION("""COMPUTED_VALUE"""),"English(""eng""), Serbian(""""srp"",""srb""""), Bulgarian(""bul""), Spanish(""spa""), Portuguese(""por""), Italian(""ita""), Romanian(""rum/ron""), Croatian(""hrv""), French(""fre/fra""), German(""ger/deu""), Dutch(""dut/nld""), Turkish(""tur""), Greek("""&amp;"gre/ell""), Russian(""rus""), Ukrainian(""ukr""), Chinese(""zho/chi""), Bosnian("""")")</f>
        <v>English("eng"), Serbian(""srp","srb""), Bulgarian("bul"), Spanish("spa"), Portuguese("por"), Italian("ita"), Romanian("rum/ron"), Croatian("hrv"), French("fre/fra"), German("ger/deu"), Dutch("dut/nld"), Turkish("tur"), Greek("gre/ell"), Russian("rus"), Ukrainian("ukr"), Chinese("zho/chi"), Bosnian("")</v>
      </c>
      <c r="B570" s="5">
        <f>IFERROR(__xludf.DUMMYFUNCTION("""COMPUTED_VALUE"""),605.0)</f>
        <v>605</v>
      </c>
      <c r="C570" s="5">
        <f>IFERROR(__xludf.DUMMYFUNCTION("""COMPUTED_VALUE"""),516.0)</f>
        <v>516</v>
      </c>
      <c r="D570" s="5" t="str">
        <f>IFERROR(__xludf.DUMMYFUNCTION("""COMPUTED_VALUE"""),"PlayNet81MagicStars")</f>
        <v>PlayNet81MagicStars</v>
      </c>
      <c r="E570" s="5" t="str">
        <f>IFERROR(__xludf.DUMMYFUNCTION("""COMPUTED_VALUE"""),"Yes")</f>
        <v>Yes</v>
      </c>
      <c r="F570" s="5" t="str">
        <f>IFERROR(__xludf.DUMMYFUNCTION("""COMPUTED_VALUE"""),"Yes")</f>
        <v>Yes</v>
      </c>
      <c r="G570" s="5" t="str">
        <f>IFERROR(__xludf.DUMMYFUNCTION("""COMPUTED_VALUE"""),"No")</f>
        <v>No</v>
      </c>
      <c r="H570" s="5" t="str">
        <f>IFERROR(__xludf.DUMMYFUNCTION("""COMPUTED_VALUE"""),"Yes")</f>
        <v>Yes</v>
      </c>
      <c r="I570" s="5" t="str">
        <f>IFERROR(__xludf.DUMMYFUNCTION("""COMPUTED_VALUE"""),"Yes")</f>
        <v>Yes</v>
      </c>
      <c r="J570" s="5" t="str">
        <f>IFERROR(__xludf.DUMMYFUNCTION("""COMPUTED_VALUE"""),"Yes")</f>
        <v>Yes</v>
      </c>
      <c r="K570" s="5" t="str">
        <f>IFERROR(__xludf.DUMMYFUNCTION("""COMPUTED_VALUE"""),"Yes")</f>
        <v>Yes</v>
      </c>
      <c r="L570" s="5" t="str">
        <f>IFERROR(__xludf.DUMMYFUNCTION("""COMPUTED_VALUE"""),"Yes")</f>
        <v>Yes</v>
      </c>
      <c r="M570" s="5" t="str">
        <f>IFERROR(__xludf.DUMMYFUNCTION("""COMPUTED_VALUE"""),"Yes")</f>
        <v>Yes</v>
      </c>
      <c r="N570" s="5" t="str">
        <f>IFERROR(__xludf.DUMMYFUNCTION("""COMPUTED_VALUE"""),"Yes")</f>
        <v>Yes</v>
      </c>
      <c r="O570" s="5" t="str">
        <f>IFERROR(__xludf.DUMMYFUNCTION("""COMPUTED_VALUE"""),"Yes")</f>
        <v>Yes</v>
      </c>
      <c r="P570" s="5" t="str">
        <f>IFERROR(__xludf.DUMMYFUNCTION("""COMPUTED_VALUE"""),"Yes")</f>
        <v>Yes</v>
      </c>
      <c r="Q570" s="5" t="str">
        <f>IFERROR(__xludf.DUMMYFUNCTION("""COMPUTED_VALUE"""),"Yes")</f>
        <v>Yes</v>
      </c>
      <c r="R570" s="5" t="str">
        <f>IFERROR(__xludf.DUMMYFUNCTION("""COMPUTED_VALUE"""),"Yes")</f>
        <v>Yes</v>
      </c>
      <c r="S570" s="5" t="str">
        <f>IFERROR(__xludf.DUMMYFUNCTION("""COMPUTED_VALUE"""),"Yes")</f>
        <v>Yes</v>
      </c>
      <c r="T570" s="5"/>
      <c r="U570" s="5"/>
      <c r="V570" s="5"/>
      <c r="W570" s="5"/>
      <c r="X570" s="5"/>
      <c r="Y570" s="5"/>
      <c r="Z570" s="5"/>
      <c r="AA570" s="5" t="str">
        <f>IFERROR(__xludf.DUMMYFUNCTION("""COMPUTED_VALUE"""),"No")</f>
        <v>No</v>
      </c>
      <c r="AB570" s="5"/>
      <c r="AC570" s="5"/>
      <c r="AD570" s="5"/>
      <c r="AE570" s="5"/>
      <c r="AF570" s="5" t="str">
        <f>IFERROR(__xludf.DUMMYFUNCTION("""COMPUTED_VALUE"""),"Yes")</f>
        <v>Yes</v>
      </c>
      <c r="AG570" s="5"/>
      <c r="AH570" s="5" t="str">
        <f>IFERROR(__xludf.DUMMYFUNCTION("""COMPUTED_VALUE"""),"Yes")</f>
        <v>Yes</v>
      </c>
      <c r="AI570" s="5"/>
      <c r="AJ570" s="5"/>
      <c r="AK570" s="5"/>
      <c r="AL570" s="5" t="str">
        <f>IFERROR(__xludf.DUMMYFUNCTION("""COMPUTED_VALUE"""),"Yes")</f>
        <v>Yes</v>
      </c>
      <c r="AM570" s="5"/>
      <c r="AN570" s="5"/>
      <c r="AO570" s="5"/>
      <c r="AP570" s="5"/>
      <c r="AQ570" s="5"/>
      <c r="AR570" s="5"/>
      <c r="AS570" s="5"/>
      <c r="AT570" s="5"/>
      <c r="AU570" s="5"/>
      <c r="AV570" s="5"/>
      <c r="AW570" s="5"/>
      <c r="AX570" s="5"/>
      <c r="AY570" s="5"/>
    </row>
    <row r="571">
      <c r="A571" s="5"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 Chinese(""zho/chi"")")</f>
        <v>English("eng"), Serbian(""srp","srb""), Montenegrian("mne"), Bulgarian("bul"), Spanish("spa"), Portuguese("por"), Italian("ita"), Romanian("rum/ron"), Croatian("hrv"), French("fre/fra"), German("ger/deu"), Dutch("dut/nld"), Turkish("tur"), Greek("gre/ell"), Russian("rus"), Czech("cze/ces"), Hungarian("hun"), Swahili("swa"), Ukrainian("ukr"), Chinese("zho/chi")</v>
      </c>
      <c r="B571" s="5">
        <f>IFERROR(__xludf.DUMMYFUNCTION("""COMPUTED_VALUE"""),606.0)</f>
        <v>606</v>
      </c>
      <c r="C571" s="5">
        <f>IFERROR(__xludf.DUMMYFUNCTION("""COMPUTED_VALUE"""),180039.0)</f>
        <v>180039</v>
      </c>
      <c r="D571" s="5" t="str">
        <f>IFERROR(__xludf.DUMMYFUNCTION("""COMPUTED_VALUE"""),"Redstone40CloverField")</f>
        <v>Redstone40CloverField</v>
      </c>
      <c r="E571" s="5" t="str">
        <f>IFERROR(__xludf.DUMMYFUNCTION("""COMPUTED_VALUE"""),"Yes")</f>
        <v>Yes</v>
      </c>
      <c r="F571" s="5" t="str">
        <f>IFERROR(__xludf.DUMMYFUNCTION("""COMPUTED_VALUE"""),"Yes")</f>
        <v>Yes</v>
      </c>
      <c r="G571" s="5" t="str">
        <f>IFERROR(__xludf.DUMMYFUNCTION("""COMPUTED_VALUE"""),"Yes")</f>
        <v>Yes</v>
      </c>
      <c r="H571" s="5" t="str">
        <f>IFERROR(__xludf.DUMMYFUNCTION("""COMPUTED_VALUE"""),"Yes")</f>
        <v>Yes</v>
      </c>
      <c r="I571" s="5" t="str">
        <f>IFERROR(__xludf.DUMMYFUNCTION("""COMPUTED_VALUE"""),"Yes")</f>
        <v>Yes</v>
      </c>
      <c r="J571" s="5" t="str">
        <f>IFERROR(__xludf.DUMMYFUNCTION("""COMPUTED_VALUE"""),"Yes")</f>
        <v>Yes</v>
      </c>
      <c r="K571" s="5" t="str">
        <f>IFERROR(__xludf.DUMMYFUNCTION("""COMPUTED_VALUE"""),"Yes")</f>
        <v>Yes</v>
      </c>
      <c r="L571" s="5" t="str">
        <f>IFERROR(__xludf.DUMMYFUNCTION("""COMPUTED_VALUE"""),"Yes")</f>
        <v>Yes</v>
      </c>
      <c r="M571" s="5" t="str">
        <f>IFERROR(__xludf.DUMMYFUNCTION("""COMPUTED_VALUE"""),"Yes")</f>
        <v>Yes</v>
      </c>
      <c r="N571" s="5" t="str">
        <f>IFERROR(__xludf.DUMMYFUNCTION("""COMPUTED_VALUE"""),"Yes")</f>
        <v>Yes</v>
      </c>
      <c r="O571" s="5" t="str">
        <f>IFERROR(__xludf.DUMMYFUNCTION("""COMPUTED_VALUE"""),"Yes")</f>
        <v>Yes</v>
      </c>
      <c r="P571" s="5" t="str">
        <f>IFERROR(__xludf.DUMMYFUNCTION("""COMPUTED_VALUE"""),"Yes")</f>
        <v>Yes</v>
      </c>
      <c r="Q571" s="5" t="str">
        <f>IFERROR(__xludf.DUMMYFUNCTION("""COMPUTED_VALUE"""),"Yes")</f>
        <v>Yes</v>
      </c>
      <c r="R571" s="5" t="str">
        <f>IFERROR(__xludf.DUMMYFUNCTION("""COMPUTED_VALUE"""),"Yes")</f>
        <v>Yes</v>
      </c>
      <c r="S571" s="5" t="str">
        <f>IFERROR(__xludf.DUMMYFUNCTION("""COMPUTED_VALUE"""),"Yes")</f>
        <v>Yes</v>
      </c>
      <c r="T571" s="5" t="str">
        <f>IFERROR(__xludf.DUMMYFUNCTION("""COMPUTED_VALUE"""),"Yes")</f>
        <v>Yes</v>
      </c>
      <c r="U571" s="5" t="str">
        <f>IFERROR(__xludf.DUMMYFUNCTION("""COMPUTED_VALUE"""),"Yes")</f>
        <v>Yes</v>
      </c>
      <c r="V571" s="5" t="str">
        <f>IFERROR(__xludf.DUMMYFUNCTION("""COMPUTED_VALUE"""),"No")</f>
        <v>No</v>
      </c>
      <c r="W571" s="5" t="str">
        <f>IFERROR(__xludf.DUMMYFUNCTION("""COMPUTED_VALUE"""),"No")</f>
        <v>No</v>
      </c>
      <c r="X571" s="5" t="str">
        <f>IFERROR(__xludf.DUMMYFUNCTION("""COMPUTED_VALUE"""),"No")</f>
        <v>No</v>
      </c>
      <c r="Y571" s="5" t="str">
        <f>IFERROR(__xludf.DUMMYFUNCTION("""COMPUTED_VALUE"""),"No")</f>
        <v>No</v>
      </c>
      <c r="Z571" s="5" t="str">
        <f>IFERROR(__xludf.DUMMYFUNCTION("""COMPUTED_VALUE"""),"No")</f>
        <v>No</v>
      </c>
      <c r="AA571" s="5" t="str">
        <f>IFERROR(__xludf.DUMMYFUNCTION("""COMPUTED_VALUE"""),"Yes")</f>
        <v>Yes</v>
      </c>
      <c r="AB571" s="5" t="str">
        <f>IFERROR(__xludf.DUMMYFUNCTION("""COMPUTED_VALUE"""),"No")</f>
        <v>No</v>
      </c>
      <c r="AC571" s="5" t="str">
        <f>IFERROR(__xludf.DUMMYFUNCTION("""COMPUTED_VALUE"""),"No")</f>
        <v>No</v>
      </c>
      <c r="AD571" s="5" t="str">
        <f>IFERROR(__xludf.DUMMYFUNCTION("""COMPUTED_VALUE"""),"No")</f>
        <v>No</v>
      </c>
      <c r="AE571" s="5" t="str">
        <f>IFERROR(__xludf.DUMMYFUNCTION("""COMPUTED_VALUE"""),"No")</f>
        <v>No</v>
      </c>
      <c r="AF571" s="5" t="str">
        <f>IFERROR(__xludf.DUMMYFUNCTION("""COMPUTED_VALUE"""),"Yes")</f>
        <v>Yes</v>
      </c>
      <c r="AG571" s="5" t="str">
        <f>IFERROR(__xludf.DUMMYFUNCTION("""COMPUTED_VALUE"""),"No")</f>
        <v>No</v>
      </c>
      <c r="AH571" s="5" t="str">
        <f>IFERROR(__xludf.DUMMYFUNCTION("""COMPUTED_VALUE"""),"Yes")</f>
        <v>Yes</v>
      </c>
      <c r="AI571" s="5" t="str">
        <f>IFERROR(__xludf.DUMMYFUNCTION("""COMPUTED_VALUE"""),"No")</f>
        <v>No</v>
      </c>
      <c r="AJ571" s="5" t="str">
        <f>IFERROR(__xludf.DUMMYFUNCTION("""COMPUTED_VALUE"""),"No")</f>
        <v>No</v>
      </c>
      <c r="AK571" s="5" t="str">
        <f>IFERROR(__xludf.DUMMYFUNCTION("""COMPUTED_VALUE"""),"No")</f>
        <v>No</v>
      </c>
      <c r="AL571" s="5" t="str">
        <f>IFERROR(__xludf.DUMMYFUNCTION("""COMPUTED_VALUE"""),"No")</f>
        <v>No</v>
      </c>
      <c r="AM571" s="5"/>
      <c r="AN571" s="5"/>
      <c r="AO571" s="5"/>
      <c r="AP571" s="5"/>
      <c r="AQ571" s="5"/>
      <c r="AR571" s="5"/>
      <c r="AS571" s="5"/>
      <c r="AT571" s="5"/>
      <c r="AU571" s="5"/>
      <c r="AV571" s="5"/>
      <c r="AW571" s="5"/>
      <c r="AX571" s="5"/>
      <c r="AY571" s="5"/>
    </row>
    <row r="572">
      <c r="A57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2" s="5">
        <f>IFERROR(__xludf.DUMMYFUNCTION("""COMPUTED_VALUE"""),607.0)</f>
        <v>607</v>
      </c>
      <c r="C572" s="5">
        <f>IFERROR(__xludf.DUMMYFUNCTION("""COMPUTED_VALUE"""),517.0)</f>
        <v>517</v>
      </c>
      <c r="D572" s="5" t="str">
        <f>IFERROR(__xludf.DUMMYFUNCTION("""COMPUTED_VALUE"""),"PlayNetElfAndRoll")</f>
        <v>PlayNetElfAndRoll</v>
      </c>
      <c r="E572" s="5" t="str">
        <f>IFERROR(__xludf.DUMMYFUNCTION("""COMPUTED_VALUE"""),"Yes")</f>
        <v>Yes</v>
      </c>
      <c r="F572" s="5" t="str">
        <f>IFERROR(__xludf.DUMMYFUNCTION("""COMPUTED_VALUE"""),"Yes")</f>
        <v>Yes</v>
      </c>
      <c r="G572" s="5" t="str">
        <f>IFERROR(__xludf.DUMMYFUNCTION("""COMPUTED_VALUE"""),"No")</f>
        <v>No</v>
      </c>
      <c r="H572" s="5" t="str">
        <f>IFERROR(__xludf.DUMMYFUNCTION("""COMPUTED_VALUE"""),"Yes")</f>
        <v>Yes</v>
      </c>
      <c r="I572" s="5" t="str">
        <f>IFERROR(__xludf.DUMMYFUNCTION("""COMPUTED_VALUE"""),"Yes")</f>
        <v>Yes</v>
      </c>
      <c r="J572" s="5" t="str">
        <f>IFERROR(__xludf.DUMMYFUNCTION("""COMPUTED_VALUE"""),"Yes")</f>
        <v>Yes</v>
      </c>
      <c r="K572" s="5" t="str">
        <f>IFERROR(__xludf.DUMMYFUNCTION("""COMPUTED_VALUE"""),"Yes")</f>
        <v>Yes</v>
      </c>
      <c r="L572" s="5" t="str">
        <f>IFERROR(__xludf.DUMMYFUNCTION("""COMPUTED_VALUE"""),"Yes")</f>
        <v>Yes</v>
      </c>
      <c r="M572" s="5" t="str">
        <f>IFERROR(__xludf.DUMMYFUNCTION("""COMPUTED_VALUE"""),"Yes")</f>
        <v>Yes</v>
      </c>
      <c r="N572" s="5" t="str">
        <f>IFERROR(__xludf.DUMMYFUNCTION("""COMPUTED_VALUE"""),"Yes")</f>
        <v>Yes</v>
      </c>
      <c r="O572" s="5" t="str">
        <f>IFERROR(__xludf.DUMMYFUNCTION("""COMPUTED_VALUE"""),"Yes")</f>
        <v>Yes</v>
      </c>
      <c r="P572" s="5" t="str">
        <f>IFERROR(__xludf.DUMMYFUNCTION("""COMPUTED_VALUE"""),"Yes")</f>
        <v>Yes</v>
      </c>
      <c r="Q572" s="5" t="str">
        <f>IFERROR(__xludf.DUMMYFUNCTION("""COMPUTED_VALUE"""),"Yes")</f>
        <v>Yes</v>
      </c>
      <c r="R572" s="5" t="str">
        <f>IFERROR(__xludf.DUMMYFUNCTION("""COMPUTED_VALUE"""),"Yes")</f>
        <v>Yes</v>
      </c>
      <c r="S572" s="5" t="str">
        <f>IFERROR(__xludf.DUMMYFUNCTION("""COMPUTED_VALUE"""),"Yes")</f>
        <v>Yes</v>
      </c>
      <c r="T572" s="5" t="str">
        <f>IFERROR(__xludf.DUMMYFUNCTION("""COMPUTED_VALUE"""),"No")</f>
        <v>No</v>
      </c>
      <c r="U572" s="5" t="str">
        <f>IFERROR(__xludf.DUMMYFUNCTION("""COMPUTED_VALUE"""),"No")</f>
        <v>No</v>
      </c>
      <c r="V572" s="5" t="str">
        <f>IFERROR(__xludf.DUMMYFUNCTION("""COMPUTED_VALUE"""),"No")</f>
        <v>No</v>
      </c>
      <c r="W572" s="5" t="str">
        <f>IFERROR(__xludf.DUMMYFUNCTION("""COMPUTED_VALUE"""),"No")</f>
        <v>No</v>
      </c>
      <c r="X572" s="5" t="str">
        <f>IFERROR(__xludf.DUMMYFUNCTION("""COMPUTED_VALUE"""),"No")</f>
        <v>No</v>
      </c>
      <c r="Y572" s="5" t="str">
        <f>IFERROR(__xludf.DUMMYFUNCTION("""COMPUTED_VALUE"""),"No")</f>
        <v>No</v>
      </c>
      <c r="Z572" s="5" t="str">
        <f>IFERROR(__xludf.DUMMYFUNCTION("""COMPUTED_VALUE"""),"No")</f>
        <v>No</v>
      </c>
      <c r="AA572" s="5" t="str">
        <f>IFERROR(__xludf.DUMMYFUNCTION("""COMPUTED_VALUE"""),"No")</f>
        <v>No</v>
      </c>
      <c r="AB572" s="5" t="str">
        <f>IFERROR(__xludf.DUMMYFUNCTION("""COMPUTED_VALUE"""),"No")</f>
        <v>No</v>
      </c>
      <c r="AC572" s="5" t="str">
        <f>IFERROR(__xludf.DUMMYFUNCTION("""COMPUTED_VALUE"""),"No")</f>
        <v>No</v>
      </c>
      <c r="AD572" s="5" t="str">
        <f>IFERROR(__xludf.DUMMYFUNCTION("""COMPUTED_VALUE"""),"No")</f>
        <v>No</v>
      </c>
      <c r="AE572" s="5" t="str">
        <f>IFERROR(__xludf.DUMMYFUNCTION("""COMPUTED_VALUE"""),"No")</f>
        <v>No</v>
      </c>
      <c r="AF572" s="5" t="str">
        <f>IFERROR(__xludf.DUMMYFUNCTION("""COMPUTED_VALUE"""),"Yes")</f>
        <v>Yes</v>
      </c>
      <c r="AG572" s="5" t="str">
        <f>IFERROR(__xludf.DUMMYFUNCTION("""COMPUTED_VALUE"""),"No")</f>
        <v>No</v>
      </c>
      <c r="AH572" s="5" t="str">
        <f>IFERROR(__xludf.DUMMYFUNCTION("""COMPUTED_VALUE"""),"Yes")</f>
        <v>Yes</v>
      </c>
      <c r="AI572" s="5" t="str">
        <f>IFERROR(__xludf.DUMMYFUNCTION("""COMPUTED_VALUE"""),"No")</f>
        <v>No</v>
      </c>
      <c r="AJ572" s="5" t="str">
        <f>IFERROR(__xludf.DUMMYFUNCTION("""COMPUTED_VALUE"""),"No")</f>
        <v>No</v>
      </c>
      <c r="AK572" s="5" t="str">
        <f>IFERROR(__xludf.DUMMYFUNCTION("""COMPUTED_VALUE"""),"No")</f>
        <v>No</v>
      </c>
      <c r="AL572" s="5" t="str">
        <f>IFERROR(__xludf.DUMMYFUNCTION("""COMPUTED_VALUE"""),"No")</f>
        <v>No</v>
      </c>
      <c r="AM572" s="5"/>
      <c r="AN572" s="5"/>
      <c r="AO572" s="5"/>
      <c r="AP572" s="5"/>
      <c r="AQ572" s="5"/>
      <c r="AR572" s="5"/>
      <c r="AS572" s="5"/>
      <c r="AT572" s="5"/>
      <c r="AU572" s="5"/>
      <c r="AV572" s="5"/>
      <c r="AW572" s="5"/>
      <c r="AX572" s="5"/>
      <c r="AY572" s="5"/>
    </row>
    <row r="573">
      <c r="A573"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3" s="5">
        <f>IFERROR(__xludf.DUMMYFUNCTION("""COMPUTED_VALUE"""),608.0)</f>
        <v>608</v>
      </c>
      <c r="C573" s="5">
        <f>IFERROR(__xludf.DUMMYFUNCTION("""COMPUTED_VALUE"""),180040.0)</f>
        <v>180040</v>
      </c>
      <c r="D573" s="5" t="str">
        <f>IFERROR(__xludf.DUMMYFUNCTION("""COMPUTED_VALUE"""),"RedstoneMultiHeart5")</f>
        <v>RedstoneMultiHeart5</v>
      </c>
      <c r="E573" s="5" t="str">
        <f>IFERROR(__xludf.DUMMYFUNCTION("""COMPUTED_VALUE"""),"Yes")</f>
        <v>Yes</v>
      </c>
      <c r="F573" s="5" t="str">
        <f>IFERROR(__xludf.DUMMYFUNCTION("""COMPUTED_VALUE"""),"Yes")</f>
        <v>Yes</v>
      </c>
      <c r="G573" s="5" t="str">
        <f>IFERROR(__xludf.DUMMYFUNCTION("""COMPUTED_VALUE"""),"Yes")</f>
        <v>Yes</v>
      </c>
      <c r="H573" s="5" t="str">
        <f>IFERROR(__xludf.DUMMYFUNCTION("""COMPUTED_VALUE"""),"Yes")</f>
        <v>Yes</v>
      </c>
      <c r="I573" s="5" t="str">
        <f>IFERROR(__xludf.DUMMYFUNCTION("""COMPUTED_VALUE"""),"Yes")</f>
        <v>Yes</v>
      </c>
      <c r="J573" s="5" t="str">
        <f>IFERROR(__xludf.DUMMYFUNCTION("""COMPUTED_VALUE"""),"Yes")</f>
        <v>Yes</v>
      </c>
      <c r="K573" s="5" t="str">
        <f>IFERROR(__xludf.DUMMYFUNCTION("""COMPUTED_VALUE"""),"Yes")</f>
        <v>Yes</v>
      </c>
      <c r="L573" s="5" t="str">
        <f>IFERROR(__xludf.DUMMYFUNCTION("""COMPUTED_VALUE"""),"Yes")</f>
        <v>Yes</v>
      </c>
      <c r="M573" s="5" t="str">
        <f>IFERROR(__xludf.DUMMYFUNCTION("""COMPUTED_VALUE"""),"Yes")</f>
        <v>Yes</v>
      </c>
      <c r="N573" s="5" t="str">
        <f>IFERROR(__xludf.DUMMYFUNCTION("""COMPUTED_VALUE"""),"Yes")</f>
        <v>Yes</v>
      </c>
      <c r="O573" s="5" t="str">
        <f>IFERROR(__xludf.DUMMYFUNCTION("""COMPUTED_VALUE"""),"Yes")</f>
        <v>Yes</v>
      </c>
      <c r="P573" s="5" t="str">
        <f>IFERROR(__xludf.DUMMYFUNCTION("""COMPUTED_VALUE"""),"Yes")</f>
        <v>Yes</v>
      </c>
      <c r="Q573" s="5" t="str">
        <f>IFERROR(__xludf.DUMMYFUNCTION("""COMPUTED_VALUE"""),"Yes")</f>
        <v>Yes</v>
      </c>
      <c r="R573" s="5" t="str">
        <f>IFERROR(__xludf.DUMMYFUNCTION("""COMPUTED_VALUE"""),"Yes")</f>
        <v>Yes</v>
      </c>
      <c r="S573" s="5" t="str">
        <f>IFERROR(__xludf.DUMMYFUNCTION("""COMPUTED_VALUE"""),"Yes")</f>
        <v>Yes</v>
      </c>
      <c r="T573" s="5" t="str">
        <f>IFERROR(__xludf.DUMMYFUNCTION("""COMPUTED_VALUE"""),"No")</f>
        <v>No</v>
      </c>
      <c r="U573" s="5" t="str">
        <f>IFERROR(__xludf.DUMMYFUNCTION("""COMPUTED_VALUE"""),"No")</f>
        <v>No</v>
      </c>
      <c r="V573" s="5" t="str">
        <f>IFERROR(__xludf.DUMMYFUNCTION("""COMPUTED_VALUE"""),"No")</f>
        <v>No</v>
      </c>
      <c r="W573" s="5" t="str">
        <f>IFERROR(__xludf.DUMMYFUNCTION("""COMPUTED_VALUE"""),"No")</f>
        <v>No</v>
      </c>
      <c r="X573" s="5" t="str">
        <f>IFERROR(__xludf.DUMMYFUNCTION("""COMPUTED_VALUE"""),"No")</f>
        <v>No</v>
      </c>
      <c r="Y573" s="5" t="str">
        <f>IFERROR(__xludf.DUMMYFUNCTION("""COMPUTED_VALUE"""),"No")</f>
        <v>No</v>
      </c>
      <c r="Z573" s="5" t="str">
        <f>IFERROR(__xludf.DUMMYFUNCTION("""COMPUTED_VALUE"""),"No")</f>
        <v>No</v>
      </c>
      <c r="AA573" s="5" t="str">
        <f>IFERROR(__xludf.DUMMYFUNCTION("""COMPUTED_VALUE"""),"Yes")</f>
        <v>Yes</v>
      </c>
      <c r="AB573" s="5" t="str">
        <f>IFERROR(__xludf.DUMMYFUNCTION("""COMPUTED_VALUE"""),"No")</f>
        <v>No</v>
      </c>
      <c r="AC573" s="5" t="str">
        <f>IFERROR(__xludf.DUMMYFUNCTION("""COMPUTED_VALUE"""),"No")</f>
        <v>No</v>
      </c>
      <c r="AD573" s="5" t="str">
        <f>IFERROR(__xludf.DUMMYFUNCTION("""COMPUTED_VALUE"""),"No")</f>
        <v>No</v>
      </c>
      <c r="AE573" s="5" t="str">
        <f>IFERROR(__xludf.DUMMYFUNCTION("""COMPUTED_VALUE"""),"No")</f>
        <v>No</v>
      </c>
      <c r="AF573" s="5" t="str">
        <f>IFERROR(__xludf.DUMMYFUNCTION("""COMPUTED_VALUE"""),"Yes")</f>
        <v>Yes</v>
      </c>
      <c r="AG573" s="5" t="str">
        <f>IFERROR(__xludf.DUMMYFUNCTION("""COMPUTED_VALUE"""),"No")</f>
        <v>No</v>
      </c>
      <c r="AH573" s="5" t="str">
        <f>IFERROR(__xludf.DUMMYFUNCTION("""COMPUTED_VALUE"""),"Yes")</f>
        <v>Yes</v>
      </c>
      <c r="AI573" s="5" t="str">
        <f>IFERROR(__xludf.DUMMYFUNCTION("""COMPUTED_VALUE"""),"No")</f>
        <v>No</v>
      </c>
      <c r="AJ573" s="5" t="str">
        <f>IFERROR(__xludf.DUMMYFUNCTION("""COMPUTED_VALUE"""),"No")</f>
        <v>No</v>
      </c>
      <c r="AK573" s="5" t="str">
        <f>IFERROR(__xludf.DUMMYFUNCTION("""COMPUTED_VALUE"""),"No")</f>
        <v>No</v>
      </c>
      <c r="AL573" s="5" t="str">
        <f>IFERROR(__xludf.DUMMYFUNCTION("""COMPUTED_VALUE"""),"No")</f>
        <v>No</v>
      </c>
      <c r="AM573" s="5"/>
      <c r="AN573" s="5"/>
      <c r="AO573" s="5"/>
      <c r="AP573" s="5"/>
      <c r="AQ573" s="5"/>
      <c r="AR573" s="5"/>
      <c r="AS573" s="5"/>
      <c r="AT573" s="5"/>
      <c r="AU573" s="5"/>
      <c r="AV573" s="5"/>
      <c r="AW573" s="5"/>
      <c r="AX573" s="5"/>
      <c r="AY573" s="5"/>
    </row>
    <row r="574">
      <c r="A574"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4" s="5">
        <f>IFERROR(__xludf.DUMMYFUNCTION("""COMPUTED_VALUE"""),609.0)</f>
        <v>609</v>
      </c>
      <c r="C574" s="5">
        <f>IFERROR(__xludf.DUMMYFUNCTION("""COMPUTED_VALUE"""),180041.0)</f>
        <v>180041</v>
      </c>
      <c r="D574" s="5" t="str">
        <f>IFERROR(__xludf.DUMMYFUNCTION("""COMPUTED_VALUE"""),"Redstone20WildHeart")</f>
        <v>Redstone20WildHeart</v>
      </c>
      <c r="E574" s="5" t="str">
        <f>IFERROR(__xludf.DUMMYFUNCTION("""COMPUTED_VALUE"""),"Yes")</f>
        <v>Yes</v>
      </c>
      <c r="F574" s="5" t="str">
        <f>IFERROR(__xludf.DUMMYFUNCTION("""COMPUTED_VALUE"""),"Yes")</f>
        <v>Yes</v>
      </c>
      <c r="G574" s="5" t="str">
        <f>IFERROR(__xludf.DUMMYFUNCTION("""COMPUTED_VALUE"""),"No")</f>
        <v>No</v>
      </c>
      <c r="H574" s="5" t="str">
        <f>IFERROR(__xludf.DUMMYFUNCTION("""COMPUTED_VALUE"""),"Yes")</f>
        <v>Yes</v>
      </c>
      <c r="I574" s="5" t="str">
        <f>IFERROR(__xludf.DUMMYFUNCTION("""COMPUTED_VALUE"""),"Yes")</f>
        <v>Yes</v>
      </c>
      <c r="J574" s="5" t="str">
        <f>IFERROR(__xludf.DUMMYFUNCTION("""COMPUTED_VALUE"""),"Yes")</f>
        <v>Yes</v>
      </c>
      <c r="K574" s="5" t="str">
        <f>IFERROR(__xludf.DUMMYFUNCTION("""COMPUTED_VALUE"""),"Yes")</f>
        <v>Yes</v>
      </c>
      <c r="L574" s="5" t="str">
        <f>IFERROR(__xludf.DUMMYFUNCTION("""COMPUTED_VALUE"""),"Yes")</f>
        <v>Yes</v>
      </c>
      <c r="M574" s="5" t="str">
        <f>IFERROR(__xludf.DUMMYFUNCTION("""COMPUTED_VALUE"""),"Yes")</f>
        <v>Yes</v>
      </c>
      <c r="N574" s="5" t="str">
        <f>IFERROR(__xludf.DUMMYFUNCTION("""COMPUTED_VALUE"""),"Yes")</f>
        <v>Yes</v>
      </c>
      <c r="O574" s="5" t="str">
        <f>IFERROR(__xludf.DUMMYFUNCTION("""COMPUTED_VALUE"""),"Yes")</f>
        <v>Yes</v>
      </c>
      <c r="P574" s="5" t="str">
        <f>IFERROR(__xludf.DUMMYFUNCTION("""COMPUTED_VALUE"""),"Yes")</f>
        <v>Yes</v>
      </c>
      <c r="Q574" s="5" t="str">
        <f>IFERROR(__xludf.DUMMYFUNCTION("""COMPUTED_VALUE"""),"Yes")</f>
        <v>Yes</v>
      </c>
      <c r="R574" s="5" t="str">
        <f>IFERROR(__xludf.DUMMYFUNCTION("""COMPUTED_VALUE"""),"Yes")</f>
        <v>Yes</v>
      </c>
      <c r="S574" s="5" t="str">
        <f>IFERROR(__xludf.DUMMYFUNCTION("""COMPUTED_VALUE"""),"Yes")</f>
        <v>Yes</v>
      </c>
      <c r="T574" s="5" t="str">
        <f>IFERROR(__xludf.DUMMYFUNCTION("""COMPUTED_VALUE"""),"No")</f>
        <v>No</v>
      </c>
      <c r="U574" s="5" t="str">
        <f>IFERROR(__xludf.DUMMYFUNCTION("""COMPUTED_VALUE"""),"No")</f>
        <v>No</v>
      </c>
      <c r="V574" s="5" t="str">
        <f>IFERROR(__xludf.DUMMYFUNCTION("""COMPUTED_VALUE"""),"No")</f>
        <v>No</v>
      </c>
      <c r="W574" s="5" t="str">
        <f>IFERROR(__xludf.DUMMYFUNCTION("""COMPUTED_VALUE"""),"No")</f>
        <v>No</v>
      </c>
      <c r="X574" s="5" t="str">
        <f>IFERROR(__xludf.DUMMYFUNCTION("""COMPUTED_VALUE"""),"No")</f>
        <v>No</v>
      </c>
      <c r="Y574" s="5" t="str">
        <f>IFERROR(__xludf.DUMMYFUNCTION("""COMPUTED_VALUE"""),"No")</f>
        <v>No</v>
      </c>
      <c r="Z574" s="5" t="str">
        <f>IFERROR(__xludf.DUMMYFUNCTION("""COMPUTED_VALUE"""),"No")</f>
        <v>No</v>
      </c>
      <c r="AA574" s="5" t="str">
        <f>IFERROR(__xludf.DUMMYFUNCTION("""COMPUTED_VALUE"""),"Yes")</f>
        <v>Yes</v>
      </c>
      <c r="AB574" s="5" t="str">
        <f>IFERROR(__xludf.DUMMYFUNCTION("""COMPUTED_VALUE"""),"No")</f>
        <v>No</v>
      </c>
      <c r="AC574" s="5" t="str">
        <f>IFERROR(__xludf.DUMMYFUNCTION("""COMPUTED_VALUE"""),"No")</f>
        <v>No</v>
      </c>
      <c r="AD574" s="5" t="str">
        <f>IFERROR(__xludf.DUMMYFUNCTION("""COMPUTED_VALUE"""),"No")</f>
        <v>No</v>
      </c>
      <c r="AE574" s="5" t="str">
        <f>IFERROR(__xludf.DUMMYFUNCTION("""COMPUTED_VALUE"""),"No")</f>
        <v>No</v>
      </c>
      <c r="AF574" s="5" t="str">
        <f>IFERROR(__xludf.DUMMYFUNCTION("""COMPUTED_VALUE"""),"Yes")</f>
        <v>Yes</v>
      </c>
      <c r="AG574" s="5" t="str">
        <f>IFERROR(__xludf.DUMMYFUNCTION("""COMPUTED_VALUE"""),"No")</f>
        <v>No</v>
      </c>
      <c r="AH574" s="5" t="str">
        <f>IFERROR(__xludf.DUMMYFUNCTION("""COMPUTED_VALUE"""),"Yes")</f>
        <v>Yes</v>
      </c>
      <c r="AI574" s="5" t="str">
        <f>IFERROR(__xludf.DUMMYFUNCTION("""COMPUTED_VALUE"""),"No")</f>
        <v>No</v>
      </c>
      <c r="AJ574" s="5" t="str">
        <f>IFERROR(__xludf.DUMMYFUNCTION("""COMPUTED_VALUE"""),"No")</f>
        <v>No</v>
      </c>
      <c r="AK574" s="5" t="str">
        <f>IFERROR(__xludf.DUMMYFUNCTION("""COMPUTED_VALUE"""),"No")</f>
        <v>No</v>
      </c>
      <c r="AL574" s="5" t="str">
        <f>IFERROR(__xludf.DUMMYFUNCTION("""COMPUTED_VALUE"""),"No")</f>
        <v>No</v>
      </c>
      <c r="AM574" s="5"/>
      <c r="AN574" s="5"/>
      <c r="AO574" s="5"/>
      <c r="AP574" s="5"/>
      <c r="AQ574" s="5"/>
      <c r="AR574" s="5"/>
      <c r="AS574" s="5"/>
      <c r="AT574" s="5"/>
      <c r="AU574" s="5"/>
      <c r="AV574" s="5"/>
      <c r="AW574" s="5"/>
      <c r="AX574" s="5"/>
      <c r="AY574" s="5"/>
    </row>
    <row r="575">
      <c r="A575" s="5" t="str">
        <f>IFERROR(__xludf.DUMMYFUNCTION("""COMPUTED_VALUE"""),"")</f>
        <v/>
      </c>
      <c r="B575" s="5">
        <f>IFERROR(__xludf.DUMMYFUNCTION("""COMPUTED_VALUE"""),609.0)</f>
        <v>609</v>
      </c>
      <c r="C575" s="5">
        <f>IFERROR(__xludf.DUMMYFUNCTION("""COMPUTED_VALUE"""),523.0)</f>
        <v>523</v>
      </c>
      <c r="D575" s="5" t="str">
        <f>IFERROR(__xludf.DUMMYFUNCTION("""COMPUTED_VALUE"""),"PlayNetFortuneCloverX2Xmas")</f>
        <v>PlayNetFortuneCloverX2Xmas</v>
      </c>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row>
    <row r="576">
      <c r="A576"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6" s="5">
        <f>IFERROR(__xludf.DUMMYFUNCTION("""COMPUTED_VALUE"""),610.0)</f>
        <v>610</v>
      </c>
      <c r="C576" s="5">
        <f>IFERROR(__xludf.DUMMYFUNCTION("""COMPUTED_VALUE"""),180042.0)</f>
        <v>180042</v>
      </c>
      <c r="D576" s="5" t="str">
        <f>IFERROR(__xludf.DUMMYFUNCTION("""COMPUTED_VALUE"""),"RedstoneChilliHot40")</f>
        <v>RedstoneChilliHot40</v>
      </c>
      <c r="E576" s="5" t="str">
        <f>IFERROR(__xludf.DUMMYFUNCTION("""COMPUTED_VALUE"""),"Yes")</f>
        <v>Yes</v>
      </c>
      <c r="F576" s="5" t="str">
        <f>IFERROR(__xludf.DUMMYFUNCTION("""COMPUTED_VALUE"""),"Yes")</f>
        <v>Yes</v>
      </c>
      <c r="G576" s="5" t="str">
        <f>IFERROR(__xludf.DUMMYFUNCTION("""COMPUTED_VALUE"""),"No")</f>
        <v>No</v>
      </c>
      <c r="H576" s="5" t="str">
        <f>IFERROR(__xludf.DUMMYFUNCTION("""COMPUTED_VALUE"""),"Yes")</f>
        <v>Yes</v>
      </c>
      <c r="I576" s="5" t="str">
        <f>IFERROR(__xludf.DUMMYFUNCTION("""COMPUTED_VALUE"""),"Yes")</f>
        <v>Yes</v>
      </c>
      <c r="J576" s="5" t="str">
        <f>IFERROR(__xludf.DUMMYFUNCTION("""COMPUTED_VALUE"""),"Yes")</f>
        <v>Yes</v>
      </c>
      <c r="K576" s="5" t="str">
        <f>IFERROR(__xludf.DUMMYFUNCTION("""COMPUTED_VALUE"""),"Yes")</f>
        <v>Yes</v>
      </c>
      <c r="L576" s="5" t="str">
        <f>IFERROR(__xludf.DUMMYFUNCTION("""COMPUTED_VALUE"""),"Yes")</f>
        <v>Yes</v>
      </c>
      <c r="M576" s="5" t="str">
        <f>IFERROR(__xludf.DUMMYFUNCTION("""COMPUTED_VALUE"""),"Yes")</f>
        <v>Yes</v>
      </c>
      <c r="N576" s="5" t="str">
        <f>IFERROR(__xludf.DUMMYFUNCTION("""COMPUTED_VALUE"""),"Yes")</f>
        <v>Yes</v>
      </c>
      <c r="O576" s="5" t="str">
        <f>IFERROR(__xludf.DUMMYFUNCTION("""COMPUTED_VALUE"""),"Yes")</f>
        <v>Yes</v>
      </c>
      <c r="P576" s="5" t="str">
        <f>IFERROR(__xludf.DUMMYFUNCTION("""COMPUTED_VALUE"""),"Yes")</f>
        <v>Yes</v>
      </c>
      <c r="Q576" s="5" t="str">
        <f>IFERROR(__xludf.DUMMYFUNCTION("""COMPUTED_VALUE"""),"Yes")</f>
        <v>Yes</v>
      </c>
      <c r="R576" s="5" t="str">
        <f>IFERROR(__xludf.DUMMYFUNCTION("""COMPUTED_VALUE"""),"Yes")</f>
        <v>Yes</v>
      </c>
      <c r="S576" s="5" t="str">
        <f>IFERROR(__xludf.DUMMYFUNCTION("""COMPUTED_VALUE"""),"Yes")</f>
        <v>Yes</v>
      </c>
      <c r="T576" s="5" t="str">
        <f>IFERROR(__xludf.DUMMYFUNCTION("""COMPUTED_VALUE"""),"No")</f>
        <v>No</v>
      </c>
      <c r="U576" s="5" t="str">
        <f>IFERROR(__xludf.DUMMYFUNCTION("""COMPUTED_VALUE"""),"No")</f>
        <v>No</v>
      </c>
      <c r="V576" s="5" t="str">
        <f>IFERROR(__xludf.DUMMYFUNCTION("""COMPUTED_VALUE"""),"No")</f>
        <v>No</v>
      </c>
      <c r="W576" s="5" t="str">
        <f>IFERROR(__xludf.DUMMYFUNCTION("""COMPUTED_VALUE"""),"No")</f>
        <v>No</v>
      </c>
      <c r="X576" s="5" t="str">
        <f>IFERROR(__xludf.DUMMYFUNCTION("""COMPUTED_VALUE"""),"No")</f>
        <v>No</v>
      </c>
      <c r="Y576" s="5" t="str">
        <f>IFERROR(__xludf.DUMMYFUNCTION("""COMPUTED_VALUE"""),"No")</f>
        <v>No</v>
      </c>
      <c r="Z576" s="5" t="str">
        <f>IFERROR(__xludf.DUMMYFUNCTION("""COMPUTED_VALUE"""),"No")</f>
        <v>No</v>
      </c>
      <c r="AA576" s="5" t="str">
        <f>IFERROR(__xludf.DUMMYFUNCTION("""COMPUTED_VALUE"""),"Yes")</f>
        <v>Yes</v>
      </c>
      <c r="AB576" s="5" t="str">
        <f>IFERROR(__xludf.DUMMYFUNCTION("""COMPUTED_VALUE"""),"No")</f>
        <v>No</v>
      </c>
      <c r="AC576" s="5" t="str">
        <f>IFERROR(__xludf.DUMMYFUNCTION("""COMPUTED_VALUE"""),"No")</f>
        <v>No</v>
      </c>
      <c r="AD576" s="5" t="str">
        <f>IFERROR(__xludf.DUMMYFUNCTION("""COMPUTED_VALUE"""),"No")</f>
        <v>No</v>
      </c>
      <c r="AE576" s="5" t="str">
        <f>IFERROR(__xludf.DUMMYFUNCTION("""COMPUTED_VALUE"""),"No")</f>
        <v>No</v>
      </c>
      <c r="AF576" s="5" t="str">
        <f>IFERROR(__xludf.DUMMYFUNCTION("""COMPUTED_VALUE"""),"Yes")</f>
        <v>Yes</v>
      </c>
      <c r="AG576" s="5" t="str">
        <f>IFERROR(__xludf.DUMMYFUNCTION("""COMPUTED_VALUE"""),"No")</f>
        <v>No</v>
      </c>
      <c r="AH576" s="5" t="str">
        <f>IFERROR(__xludf.DUMMYFUNCTION("""COMPUTED_VALUE"""),"Yes")</f>
        <v>Yes</v>
      </c>
      <c r="AI576" s="5" t="str">
        <f>IFERROR(__xludf.DUMMYFUNCTION("""COMPUTED_VALUE"""),"No")</f>
        <v>No</v>
      </c>
      <c r="AJ576" s="5" t="str">
        <f>IFERROR(__xludf.DUMMYFUNCTION("""COMPUTED_VALUE"""),"No")</f>
        <v>No</v>
      </c>
      <c r="AK576" s="5" t="str">
        <f>IFERROR(__xludf.DUMMYFUNCTION("""COMPUTED_VALUE"""),"No")</f>
        <v>No</v>
      </c>
      <c r="AL576" s="5" t="str">
        <f>IFERROR(__xludf.DUMMYFUNCTION("""COMPUTED_VALUE"""),"No")</f>
        <v>No</v>
      </c>
      <c r="AM576" s="5"/>
      <c r="AN576" s="5"/>
      <c r="AO576" s="5"/>
      <c r="AP576" s="5"/>
      <c r="AQ576" s="5"/>
      <c r="AR576" s="5"/>
      <c r="AS576" s="5"/>
      <c r="AT576" s="5"/>
      <c r="AU576" s="5"/>
      <c r="AV576" s="5"/>
      <c r="AW576" s="5"/>
      <c r="AX576" s="5"/>
      <c r="AY576" s="5"/>
    </row>
    <row r="577">
      <c r="A57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7" s="5">
        <f>IFERROR(__xludf.DUMMYFUNCTION("""COMPUTED_VALUE"""),611.0)</f>
        <v>611</v>
      </c>
      <c r="C577" s="5">
        <f>IFERROR(__xludf.DUMMYFUNCTION("""COMPUTED_VALUE"""),524.0)</f>
        <v>524</v>
      </c>
      <c r="D577" s="5" t="str">
        <f>IFERROR(__xludf.DUMMYFUNCTION("""COMPUTED_VALUE""")," PlayNetGearsOfFortune")</f>
        <v> PlayNetGearsOfFortune</v>
      </c>
      <c r="E577" s="5" t="str">
        <f>IFERROR(__xludf.DUMMYFUNCTION("""COMPUTED_VALUE"""),"Yes")</f>
        <v>Yes</v>
      </c>
      <c r="F577" s="5" t="str">
        <f>IFERROR(__xludf.DUMMYFUNCTION("""COMPUTED_VALUE"""),"Yes")</f>
        <v>Yes</v>
      </c>
      <c r="G577" s="5" t="str">
        <f>IFERROR(__xludf.DUMMYFUNCTION("""COMPUTED_VALUE"""),"No")</f>
        <v>No</v>
      </c>
      <c r="H577" s="5" t="str">
        <f>IFERROR(__xludf.DUMMYFUNCTION("""COMPUTED_VALUE"""),"Yes")</f>
        <v>Yes</v>
      </c>
      <c r="I577" s="5" t="str">
        <f>IFERROR(__xludf.DUMMYFUNCTION("""COMPUTED_VALUE"""),"Yes")</f>
        <v>Yes</v>
      </c>
      <c r="J577" s="5" t="str">
        <f>IFERROR(__xludf.DUMMYFUNCTION("""COMPUTED_VALUE"""),"Yes")</f>
        <v>Yes</v>
      </c>
      <c r="K577" s="5" t="str">
        <f>IFERROR(__xludf.DUMMYFUNCTION("""COMPUTED_VALUE"""),"Yes")</f>
        <v>Yes</v>
      </c>
      <c r="L577" s="5" t="str">
        <f>IFERROR(__xludf.DUMMYFUNCTION("""COMPUTED_VALUE"""),"Yes")</f>
        <v>Yes</v>
      </c>
      <c r="M577" s="5" t="str">
        <f>IFERROR(__xludf.DUMMYFUNCTION("""COMPUTED_VALUE"""),"Yes")</f>
        <v>Yes</v>
      </c>
      <c r="N577" s="5" t="str">
        <f>IFERROR(__xludf.DUMMYFUNCTION("""COMPUTED_VALUE"""),"Yes")</f>
        <v>Yes</v>
      </c>
      <c r="O577" s="5" t="str">
        <f>IFERROR(__xludf.DUMMYFUNCTION("""COMPUTED_VALUE"""),"Yes")</f>
        <v>Yes</v>
      </c>
      <c r="P577" s="5" t="str">
        <f>IFERROR(__xludf.DUMMYFUNCTION("""COMPUTED_VALUE"""),"Yes")</f>
        <v>Yes</v>
      </c>
      <c r="Q577" s="5" t="str">
        <f>IFERROR(__xludf.DUMMYFUNCTION("""COMPUTED_VALUE"""),"Yes")</f>
        <v>Yes</v>
      </c>
      <c r="R577" s="5" t="str">
        <f>IFERROR(__xludf.DUMMYFUNCTION("""COMPUTED_VALUE"""),"Yes")</f>
        <v>Yes</v>
      </c>
      <c r="S577" s="5" t="str">
        <f>IFERROR(__xludf.DUMMYFUNCTION("""COMPUTED_VALUE"""),"Yes")</f>
        <v>Yes</v>
      </c>
      <c r="T577" s="5" t="str">
        <f>IFERROR(__xludf.DUMMYFUNCTION("""COMPUTED_VALUE"""),"No")</f>
        <v>No</v>
      </c>
      <c r="U577" s="5" t="str">
        <f>IFERROR(__xludf.DUMMYFUNCTION("""COMPUTED_VALUE"""),"No")</f>
        <v>No</v>
      </c>
      <c r="V577" s="5" t="str">
        <f>IFERROR(__xludf.DUMMYFUNCTION("""COMPUTED_VALUE"""),"No")</f>
        <v>No</v>
      </c>
      <c r="W577" s="5" t="str">
        <f>IFERROR(__xludf.DUMMYFUNCTION("""COMPUTED_VALUE"""),"No")</f>
        <v>No</v>
      </c>
      <c r="X577" s="5" t="str">
        <f>IFERROR(__xludf.DUMMYFUNCTION("""COMPUTED_VALUE"""),"No")</f>
        <v>No</v>
      </c>
      <c r="Y577" s="5" t="str">
        <f>IFERROR(__xludf.DUMMYFUNCTION("""COMPUTED_VALUE"""),"No")</f>
        <v>No</v>
      </c>
      <c r="Z577" s="5" t="str">
        <f>IFERROR(__xludf.DUMMYFUNCTION("""COMPUTED_VALUE"""),"No")</f>
        <v>No</v>
      </c>
      <c r="AA577" s="5" t="str">
        <f>IFERROR(__xludf.DUMMYFUNCTION("""COMPUTED_VALUE"""),"No")</f>
        <v>No</v>
      </c>
      <c r="AB577" s="5" t="str">
        <f>IFERROR(__xludf.DUMMYFUNCTION("""COMPUTED_VALUE"""),"No")</f>
        <v>No</v>
      </c>
      <c r="AC577" s="5" t="str">
        <f>IFERROR(__xludf.DUMMYFUNCTION("""COMPUTED_VALUE"""),"No")</f>
        <v>No</v>
      </c>
      <c r="AD577" s="5" t="str">
        <f>IFERROR(__xludf.DUMMYFUNCTION("""COMPUTED_VALUE"""),"No")</f>
        <v>No</v>
      </c>
      <c r="AE577" s="5" t="str">
        <f>IFERROR(__xludf.DUMMYFUNCTION("""COMPUTED_VALUE"""),"No")</f>
        <v>No</v>
      </c>
      <c r="AF577" s="5" t="str">
        <f>IFERROR(__xludf.DUMMYFUNCTION("""COMPUTED_VALUE"""),"Yes")</f>
        <v>Yes</v>
      </c>
      <c r="AG577" s="5" t="str">
        <f>IFERROR(__xludf.DUMMYFUNCTION("""COMPUTED_VALUE"""),"No")</f>
        <v>No</v>
      </c>
      <c r="AH577" s="5" t="str">
        <f>IFERROR(__xludf.DUMMYFUNCTION("""COMPUTED_VALUE"""),"Yes")</f>
        <v>Yes</v>
      </c>
      <c r="AI577" s="5" t="str">
        <f>IFERROR(__xludf.DUMMYFUNCTION("""COMPUTED_VALUE"""),"No")</f>
        <v>No</v>
      </c>
      <c r="AJ577" s="5" t="str">
        <f>IFERROR(__xludf.DUMMYFUNCTION("""COMPUTED_VALUE"""),"No")</f>
        <v>No</v>
      </c>
      <c r="AK577" s="5" t="str">
        <f>IFERROR(__xludf.DUMMYFUNCTION("""COMPUTED_VALUE"""),"No")</f>
        <v>No</v>
      </c>
      <c r="AL577" s="5" t="str">
        <f>IFERROR(__xludf.DUMMYFUNCTION("""COMPUTED_VALUE"""),"No")</f>
        <v>No</v>
      </c>
      <c r="AM577" s="5"/>
      <c r="AN577" s="5"/>
      <c r="AO577" s="5"/>
      <c r="AP577" s="5"/>
      <c r="AQ577" s="5"/>
      <c r="AR577" s="5"/>
      <c r="AS577" s="5"/>
      <c r="AT577" s="5"/>
      <c r="AU577" s="5"/>
      <c r="AV577" s="5"/>
      <c r="AW577" s="5"/>
      <c r="AX577" s="5"/>
      <c r="AY577" s="5"/>
    </row>
    <row r="578">
      <c r="A578"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8" s="5">
        <f>IFERROR(__xludf.DUMMYFUNCTION("""COMPUTED_VALUE"""),612.0)</f>
        <v>612</v>
      </c>
      <c r="C578" s="5">
        <f>IFERROR(__xludf.DUMMYFUNCTION("""COMPUTED_VALUE"""),180043.0)</f>
        <v>180043</v>
      </c>
      <c r="D578" s="5" t="str">
        <f>IFERROR(__xludf.DUMMYFUNCTION("""COMPUTED_VALUE"""),"RedstoneInfernoHot20")</f>
        <v>RedstoneInfernoHot20</v>
      </c>
      <c r="E578" s="5" t="str">
        <f>IFERROR(__xludf.DUMMYFUNCTION("""COMPUTED_VALUE"""),"Yes")</f>
        <v>Yes</v>
      </c>
      <c r="F578" s="5" t="str">
        <f>IFERROR(__xludf.DUMMYFUNCTION("""COMPUTED_VALUE"""),"Yes")</f>
        <v>Yes</v>
      </c>
      <c r="G578" s="5" t="str">
        <f>IFERROR(__xludf.DUMMYFUNCTION("""COMPUTED_VALUE"""),"Yes")</f>
        <v>Yes</v>
      </c>
      <c r="H578" s="5" t="str">
        <f>IFERROR(__xludf.DUMMYFUNCTION("""COMPUTED_VALUE"""),"Yes")</f>
        <v>Yes</v>
      </c>
      <c r="I578" s="5" t="str">
        <f>IFERROR(__xludf.DUMMYFUNCTION("""COMPUTED_VALUE"""),"Yes")</f>
        <v>Yes</v>
      </c>
      <c r="J578" s="5" t="str">
        <f>IFERROR(__xludf.DUMMYFUNCTION("""COMPUTED_VALUE"""),"Yes")</f>
        <v>Yes</v>
      </c>
      <c r="K578" s="5" t="str">
        <f>IFERROR(__xludf.DUMMYFUNCTION("""COMPUTED_VALUE"""),"Yes")</f>
        <v>Yes</v>
      </c>
      <c r="L578" s="5" t="str">
        <f>IFERROR(__xludf.DUMMYFUNCTION("""COMPUTED_VALUE"""),"Yes")</f>
        <v>Yes</v>
      </c>
      <c r="M578" s="5" t="str">
        <f>IFERROR(__xludf.DUMMYFUNCTION("""COMPUTED_VALUE"""),"Yes")</f>
        <v>Yes</v>
      </c>
      <c r="N578" s="5" t="str">
        <f>IFERROR(__xludf.DUMMYFUNCTION("""COMPUTED_VALUE"""),"Yes")</f>
        <v>Yes</v>
      </c>
      <c r="O578" s="5" t="str">
        <f>IFERROR(__xludf.DUMMYFUNCTION("""COMPUTED_VALUE"""),"Yes")</f>
        <v>Yes</v>
      </c>
      <c r="P578" s="5" t="str">
        <f>IFERROR(__xludf.DUMMYFUNCTION("""COMPUTED_VALUE"""),"Yes")</f>
        <v>Yes</v>
      </c>
      <c r="Q578" s="5" t="str">
        <f>IFERROR(__xludf.DUMMYFUNCTION("""COMPUTED_VALUE"""),"Yes")</f>
        <v>Yes</v>
      </c>
      <c r="R578" s="5" t="str">
        <f>IFERROR(__xludf.DUMMYFUNCTION("""COMPUTED_VALUE"""),"Yes")</f>
        <v>Yes</v>
      </c>
      <c r="S578" s="5" t="str">
        <f>IFERROR(__xludf.DUMMYFUNCTION("""COMPUTED_VALUE"""),"Yes")</f>
        <v>Yes</v>
      </c>
      <c r="T578" s="5" t="str">
        <f>IFERROR(__xludf.DUMMYFUNCTION("""COMPUTED_VALUE"""),"No")</f>
        <v>No</v>
      </c>
      <c r="U578" s="5" t="str">
        <f>IFERROR(__xludf.DUMMYFUNCTION("""COMPUTED_VALUE"""),"No")</f>
        <v>No</v>
      </c>
      <c r="V578" s="5" t="str">
        <f>IFERROR(__xludf.DUMMYFUNCTION("""COMPUTED_VALUE"""),"No")</f>
        <v>No</v>
      </c>
      <c r="W578" s="5" t="str">
        <f>IFERROR(__xludf.DUMMYFUNCTION("""COMPUTED_VALUE"""),"No")</f>
        <v>No</v>
      </c>
      <c r="X578" s="5" t="str">
        <f>IFERROR(__xludf.DUMMYFUNCTION("""COMPUTED_VALUE"""),"No")</f>
        <v>No</v>
      </c>
      <c r="Y578" s="5" t="str">
        <f>IFERROR(__xludf.DUMMYFUNCTION("""COMPUTED_VALUE"""),"No")</f>
        <v>No</v>
      </c>
      <c r="Z578" s="5" t="str">
        <f>IFERROR(__xludf.DUMMYFUNCTION("""COMPUTED_VALUE"""),"No")</f>
        <v>No</v>
      </c>
      <c r="AA578" s="5" t="str">
        <f>IFERROR(__xludf.DUMMYFUNCTION("""COMPUTED_VALUE"""),"Yes")</f>
        <v>Yes</v>
      </c>
      <c r="AB578" s="5" t="str">
        <f>IFERROR(__xludf.DUMMYFUNCTION("""COMPUTED_VALUE"""),"No")</f>
        <v>No</v>
      </c>
      <c r="AC578" s="5" t="str">
        <f>IFERROR(__xludf.DUMMYFUNCTION("""COMPUTED_VALUE"""),"No")</f>
        <v>No</v>
      </c>
      <c r="AD578" s="5" t="str">
        <f>IFERROR(__xludf.DUMMYFUNCTION("""COMPUTED_VALUE"""),"No")</f>
        <v>No</v>
      </c>
      <c r="AE578" s="5" t="str">
        <f>IFERROR(__xludf.DUMMYFUNCTION("""COMPUTED_VALUE"""),"No")</f>
        <v>No</v>
      </c>
      <c r="AF578" s="5" t="str">
        <f>IFERROR(__xludf.DUMMYFUNCTION("""COMPUTED_VALUE"""),"Yes")</f>
        <v>Yes</v>
      </c>
      <c r="AG578" s="5" t="str">
        <f>IFERROR(__xludf.DUMMYFUNCTION("""COMPUTED_VALUE"""),"No")</f>
        <v>No</v>
      </c>
      <c r="AH578" s="5" t="str">
        <f>IFERROR(__xludf.DUMMYFUNCTION("""COMPUTED_VALUE"""),"Yes")</f>
        <v>Yes</v>
      </c>
      <c r="AI578" s="5" t="str">
        <f>IFERROR(__xludf.DUMMYFUNCTION("""COMPUTED_VALUE"""),"No")</f>
        <v>No</v>
      </c>
      <c r="AJ578" s="5" t="str">
        <f>IFERROR(__xludf.DUMMYFUNCTION("""COMPUTED_VALUE"""),"No")</f>
        <v>No</v>
      </c>
      <c r="AK578" s="5" t="str">
        <f>IFERROR(__xludf.DUMMYFUNCTION("""COMPUTED_VALUE"""),"No")</f>
        <v>No</v>
      </c>
      <c r="AL578" s="5" t="str">
        <f>IFERROR(__xludf.DUMMYFUNCTION("""COMPUTED_VALUE"""),"No")</f>
        <v>No</v>
      </c>
      <c r="AM578" s="5"/>
      <c r="AN578" s="5"/>
      <c r="AO578" s="5"/>
      <c r="AP578" s="5"/>
      <c r="AQ578" s="5"/>
      <c r="AR578" s="5"/>
      <c r="AS578" s="5"/>
      <c r="AT578" s="5"/>
      <c r="AU578" s="5"/>
      <c r="AV578" s="5"/>
      <c r="AW578" s="5"/>
      <c r="AX578" s="5"/>
      <c r="AY578" s="5"/>
    </row>
    <row r="579">
      <c r="A57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9" s="5">
        <f>IFERROR(__xludf.DUMMYFUNCTION("""COMPUTED_VALUE"""),613.0)</f>
        <v>613</v>
      </c>
      <c r="C579" s="5">
        <f>IFERROR(__xludf.DUMMYFUNCTION("""COMPUTED_VALUE"""),180044.0)</f>
        <v>180044</v>
      </c>
      <c r="D579" s="5" t="str">
        <f>IFERROR(__xludf.DUMMYFUNCTION("""COMPUTED_VALUE"""),"RedstoneCrownBlast40")</f>
        <v>RedstoneCrownBlast40</v>
      </c>
      <c r="E579" s="5" t="str">
        <f>IFERROR(__xludf.DUMMYFUNCTION("""COMPUTED_VALUE"""),"Yes")</f>
        <v>Yes</v>
      </c>
      <c r="F579" s="5" t="str">
        <f>IFERROR(__xludf.DUMMYFUNCTION("""COMPUTED_VALUE"""),"Yes")</f>
        <v>Yes</v>
      </c>
      <c r="G579" s="5" t="str">
        <f>IFERROR(__xludf.DUMMYFUNCTION("""COMPUTED_VALUE"""),"No")</f>
        <v>No</v>
      </c>
      <c r="H579" s="5" t="str">
        <f>IFERROR(__xludf.DUMMYFUNCTION("""COMPUTED_VALUE"""),"Yes")</f>
        <v>Yes</v>
      </c>
      <c r="I579" s="5" t="str">
        <f>IFERROR(__xludf.DUMMYFUNCTION("""COMPUTED_VALUE"""),"Yes")</f>
        <v>Yes</v>
      </c>
      <c r="J579" s="5" t="str">
        <f>IFERROR(__xludf.DUMMYFUNCTION("""COMPUTED_VALUE"""),"Yes")</f>
        <v>Yes</v>
      </c>
      <c r="K579" s="5" t="str">
        <f>IFERROR(__xludf.DUMMYFUNCTION("""COMPUTED_VALUE"""),"Yes")</f>
        <v>Yes</v>
      </c>
      <c r="L579" s="5" t="str">
        <f>IFERROR(__xludf.DUMMYFUNCTION("""COMPUTED_VALUE"""),"Yes")</f>
        <v>Yes</v>
      </c>
      <c r="M579" s="5" t="str">
        <f>IFERROR(__xludf.DUMMYFUNCTION("""COMPUTED_VALUE"""),"Yes")</f>
        <v>Yes</v>
      </c>
      <c r="N579" s="5" t="str">
        <f>IFERROR(__xludf.DUMMYFUNCTION("""COMPUTED_VALUE"""),"Yes")</f>
        <v>Yes</v>
      </c>
      <c r="O579" s="5" t="str">
        <f>IFERROR(__xludf.DUMMYFUNCTION("""COMPUTED_VALUE"""),"Yes")</f>
        <v>Yes</v>
      </c>
      <c r="P579" s="5" t="str">
        <f>IFERROR(__xludf.DUMMYFUNCTION("""COMPUTED_VALUE"""),"Yes")</f>
        <v>Yes</v>
      </c>
      <c r="Q579" s="5" t="str">
        <f>IFERROR(__xludf.DUMMYFUNCTION("""COMPUTED_VALUE"""),"Yes")</f>
        <v>Yes</v>
      </c>
      <c r="R579" s="5" t="str">
        <f>IFERROR(__xludf.DUMMYFUNCTION("""COMPUTED_VALUE"""),"Yes")</f>
        <v>Yes</v>
      </c>
      <c r="S579" s="5" t="str">
        <f>IFERROR(__xludf.DUMMYFUNCTION("""COMPUTED_VALUE"""),"Yes")</f>
        <v>Yes</v>
      </c>
      <c r="T579" s="5" t="str">
        <f>IFERROR(__xludf.DUMMYFUNCTION("""COMPUTED_VALUE"""),"No")</f>
        <v>No</v>
      </c>
      <c r="U579" s="5" t="str">
        <f>IFERROR(__xludf.DUMMYFUNCTION("""COMPUTED_VALUE"""),"No")</f>
        <v>No</v>
      </c>
      <c r="V579" s="5" t="str">
        <f>IFERROR(__xludf.DUMMYFUNCTION("""COMPUTED_VALUE"""),"No")</f>
        <v>No</v>
      </c>
      <c r="W579" s="5" t="str">
        <f>IFERROR(__xludf.DUMMYFUNCTION("""COMPUTED_VALUE"""),"No")</f>
        <v>No</v>
      </c>
      <c r="X579" s="5" t="str">
        <f>IFERROR(__xludf.DUMMYFUNCTION("""COMPUTED_VALUE"""),"No")</f>
        <v>No</v>
      </c>
      <c r="Y579" s="5" t="str">
        <f>IFERROR(__xludf.DUMMYFUNCTION("""COMPUTED_VALUE"""),"No")</f>
        <v>No</v>
      </c>
      <c r="Z579" s="5" t="str">
        <f>IFERROR(__xludf.DUMMYFUNCTION("""COMPUTED_VALUE"""),"No")</f>
        <v>No</v>
      </c>
      <c r="AA579" s="5" t="str">
        <f>IFERROR(__xludf.DUMMYFUNCTION("""COMPUTED_VALUE"""),"Yes")</f>
        <v>Yes</v>
      </c>
      <c r="AB579" s="5" t="str">
        <f>IFERROR(__xludf.DUMMYFUNCTION("""COMPUTED_VALUE"""),"No")</f>
        <v>No</v>
      </c>
      <c r="AC579" s="5" t="str">
        <f>IFERROR(__xludf.DUMMYFUNCTION("""COMPUTED_VALUE"""),"No")</f>
        <v>No</v>
      </c>
      <c r="AD579" s="5" t="str">
        <f>IFERROR(__xludf.DUMMYFUNCTION("""COMPUTED_VALUE"""),"No")</f>
        <v>No</v>
      </c>
      <c r="AE579" s="5" t="str">
        <f>IFERROR(__xludf.DUMMYFUNCTION("""COMPUTED_VALUE"""),"No")</f>
        <v>No</v>
      </c>
      <c r="AF579" s="5" t="str">
        <f>IFERROR(__xludf.DUMMYFUNCTION("""COMPUTED_VALUE"""),"Yes")</f>
        <v>Yes</v>
      </c>
      <c r="AG579" s="5" t="str">
        <f>IFERROR(__xludf.DUMMYFUNCTION("""COMPUTED_VALUE"""),"No")</f>
        <v>No</v>
      </c>
      <c r="AH579" s="5" t="str">
        <f>IFERROR(__xludf.DUMMYFUNCTION("""COMPUTED_VALUE"""),"Yes")</f>
        <v>Yes</v>
      </c>
      <c r="AI579" s="5" t="str">
        <f>IFERROR(__xludf.DUMMYFUNCTION("""COMPUTED_VALUE"""),"No")</f>
        <v>No</v>
      </c>
      <c r="AJ579" s="5" t="str">
        <f>IFERROR(__xludf.DUMMYFUNCTION("""COMPUTED_VALUE"""),"No")</f>
        <v>No</v>
      </c>
      <c r="AK579" s="5" t="str">
        <f>IFERROR(__xludf.DUMMYFUNCTION("""COMPUTED_VALUE"""),"No")</f>
        <v>No</v>
      </c>
      <c r="AL579" s="5" t="str">
        <f>IFERROR(__xludf.DUMMYFUNCTION("""COMPUTED_VALUE"""),"No")</f>
        <v>No</v>
      </c>
      <c r="AM579" s="5"/>
      <c r="AN579" s="5"/>
      <c r="AO579" s="5"/>
      <c r="AP579" s="5"/>
      <c r="AQ579" s="5"/>
      <c r="AR579" s="5"/>
      <c r="AS579" s="5"/>
      <c r="AT579" s="5"/>
      <c r="AU579" s="5"/>
      <c r="AV579" s="5"/>
      <c r="AW579" s="5"/>
      <c r="AX579" s="5"/>
      <c r="AY579" s="5"/>
    </row>
    <row r="580">
      <c r="A580" s="5" t="str">
        <f>IFERROR(__xludf.DUMMYFUNCTION("""COMPUTED_VALUE"""),"")</f>
        <v/>
      </c>
      <c r="B580" s="5">
        <f>IFERROR(__xludf.DUMMYFUNCTION("""COMPUTED_VALUE"""),614.0)</f>
        <v>614</v>
      </c>
      <c r="C580" s="5">
        <f>IFERROR(__xludf.DUMMYFUNCTION("""COMPUTED_VALUE"""),180045.0)</f>
        <v>180045</v>
      </c>
      <c r="D580" s="5" t="str">
        <f>IFERROR(__xludf.DUMMYFUNCTION("""COMPUTED_VALUE"""),"RedstoneCrownRoyale")</f>
        <v>RedstoneCrownRoyale</v>
      </c>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row>
    <row r="581">
      <c r="A581" s="5" t="str">
        <f>IFERROR(__xludf.DUMMYFUNCTION("""COMPUTED_VALUE"""),"")</f>
        <v/>
      </c>
      <c r="B581" s="5">
        <f>IFERROR(__xludf.DUMMYFUNCTION("""COMPUTED_VALUE"""),614.0)</f>
        <v>614</v>
      </c>
      <c r="C581" s="5">
        <f>IFERROR(__xludf.DUMMYFUNCTION("""COMPUTED_VALUE"""),180051.0)</f>
        <v>180051</v>
      </c>
      <c r="D581" s="5" t="str">
        <f>IFERROR(__xludf.DUMMYFUNCTION("""COMPUTED_VALUE"""),"RedstoneDoubleCloverFireChristmas")</f>
        <v>RedstoneDoubleCloverFireChristmas</v>
      </c>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row>
    <row r="582">
      <c r="A58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2" s="5">
        <f>IFERROR(__xludf.DUMMYFUNCTION("""COMPUTED_VALUE"""),615.0)</f>
        <v>615</v>
      </c>
      <c r="C582" s="5">
        <f>IFERROR(__xludf.DUMMYFUNCTION("""COMPUTED_VALUE"""),180046.0)</f>
        <v>180046</v>
      </c>
      <c r="D582" s="5" t="str">
        <f>IFERROR(__xludf.DUMMYFUNCTION("""COMPUTED_VALUE"""),"RedstoneChilliDouble40")</f>
        <v>RedstoneChilliDouble40</v>
      </c>
      <c r="E582" s="5" t="str">
        <f>IFERROR(__xludf.DUMMYFUNCTION("""COMPUTED_VALUE"""),"Yes")</f>
        <v>Yes</v>
      </c>
      <c r="F582" s="5" t="str">
        <f>IFERROR(__xludf.DUMMYFUNCTION("""COMPUTED_VALUE"""),"Yes")</f>
        <v>Yes</v>
      </c>
      <c r="G582" s="5" t="str">
        <f>IFERROR(__xludf.DUMMYFUNCTION("""COMPUTED_VALUE"""),"No")</f>
        <v>No</v>
      </c>
      <c r="H582" s="5" t="str">
        <f>IFERROR(__xludf.DUMMYFUNCTION("""COMPUTED_VALUE"""),"Yes")</f>
        <v>Yes</v>
      </c>
      <c r="I582" s="5" t="str">
        <f>IFERROR(__xludf.DUMMYFUNCTION("""COMPUTED_VALUE"""),"Yes")</f>
        <v>Yes</v>
      </c>
      <c r="J582" s="5" t="str">
        <f>IFERROR(__xludf.DUMMYFUNCTION("""COMPUTED_VALUE"""),"Yes")</f>
        <v>Yes</v>
      </c>
      <c r="K582" s="5" t="str">
        <f>IFERROR(__xludf.DUMMYFUNCTION("""COMPUTED_VALUE"""),"Yes")</f>
        <v>Yes</v>
      </c>
      <c r="L582" s="5" t="str">
        <f>IFERROR(__xludf.DUMMYFUNCTION("""COMPUTED_VALUE"""),"Yes")</f>
        <v>Yes</v>
      </c>
      <c r="M582" s="5" t="str">
        <f>IFERROR(__xludf.DUMMYFUNCTION("""COMPUTED_VALUE"""),"Yes")</f>
        <v>Yes</v>
      </c>
      <c r="N582" s="5" t="str">
        <f>IFERROR(__xludf.DUMMYFUNCTION("""COMPUTED_VALUE"""),"Yes")</f>
        <v>Yes</v>
      </c>
      <c r="O582" s="5" t="str">
        <f>IFERROR(__xludf.DUMMYFUNCTION("""COMPUTED_VALUE"""),"Yes")</f>
        <v>Yes</v>
      </c>
      <c r="P582" s="5" t="str">
        <f>IFERROR(__xludf.DUMMYFUNCTION("""COMPUTED_VALUE"""),"Yes")</f>
        <v>Yes</v>
      </c>
      <c r="Q582" s="5" t="str">
        <f>IFERROR(__xludf.DUMMYFUNCTION("""COMPUTED_VALUE"""),"Yes")</f>
        <v>Yes</v>
      </c>
      <c r="R582" s="5" t="str">
        <f>IFERROR(__xludf.DUMMYFUNCTION("""COMPUTED_VALUE"""),"Yes")</f>
        <v>Yes</v>
      </c>
      <c r="S582" s="5" t="str">
        <f>IFERROR(__xludf.DUMMYFUNCTION("""COMPUTED_VALUE"""),"Yes")</f>
        <v>Yes</v>
      </c>
      <c r="T582" s="5" t="str">
        <f>IFERROR(__xludf.DUMMYFUNCTION("""COMPUTED_VALUE"""),"No")</f>
        <v>No</v>
      </c>
      <c r="U582" s="5" t="str">
        <f>IFERROR(__xludf.DUMMYFUNCTION("""COMPUTED_VALUE"""),"No")</f>
        <v>No</v>
      </c>
      <c r="V582" s="5" t="str">
        <f>IFERROR(__xludf.DUMMYFUNCTION("""COMPUTED_VALUE"""),"No")</f>
        <v>No</v>
      </c>
      <c r="W582" s="5" t="str">
        <f>IFERROR(__xludf.DUMMYFUNCTION("""COMPUTED_VALUE"""),"No")</f>
        <v>No</v>
      </c>
      <c r="X582" s="5" t="str">
        <f>IFERROR(__xludf.DUMMYFUNCTION("""COMPUTED_VALUE"""),"No")</f>
        <v>No</v>
      </c>
      <c r="Y582" s="5" t="str">
        <f>IFERROR(__xludf.DUMMYFUNCTION("""COMPUTED_VALUE"""),"No")</f>
        <v>No</v>
      </c>
      <c r="Z582" s="5" t="str">
        <f>IFERROR(__xludf.DUMMYFUNCTION("""COMPUTED_VALUE"""),"No")</f>
        <v>No</v>
      </c>
      <c r="AA582" s="5" t="str">
        <f>IFERROR(__xludf.DUMMYFUNCTION("""COMPUTED_VALUE"""),"Yes")</f>
        <v>Yes</v>
      </c>
      <c r="AB582" s="5" t="str">
        <f>IFERROR(__xludf.DUMMYFUNCTION("""COMPUTED_VALUE"""),"No")</f>
        <v>No</v>
      </c>
      <c r="AC582" s="5" t="str">
        <f>IFERROR(__xludf.DUMMYFUNCTION("""COMPUTED_VALUE"""),"No")</f>
        <v>No</v>
      </c>
      <c r="AD582" s="5" t="str">
        <f>IFERROR(__xludf.DUMMYFUNCTION("""COMPUTED_VALUE"""),"No")</f>
        <v>No</v>
      </c>
      <c r="AE582" s="5" t="str">
        <f>IFERROR(__xludf.DUMMYFUNCTION("""COMPUTED_VALUE"""),"No")</f>
        <v>No</v>
      </c>
      <c r="AF582" s="5" t="str">
        <f>IFERROR(__xludf.DUMMYFUNCTION("""COMPUTED_VALUE"""),"Yes")</f>
        <v>Yes</v>
      </c>
      <c r="AG582" s="5" t="str">
        <f>IFERROR(__xludf.DUMMYFUNCTION("""COMPUTED_VALUE"""),"No")</f>
        <v>No</v>
      </c>
      <c r="AH582" s="5" t="str">
        <f>IFERROR(__xludf.DUMMYFUNCTION("""COMPUTED_VALUE"""),"Yes")</f>
        <v>Yes</v>
      </c>
      <c r="AI582" s="5" t="str">
        <f>IFERROR(__xludf.DUMMYFUNCTION("""COMPUTED_VALUE"""),"No")</f>
        <v>No</v>
      </c>
      <c r="AJ582" s="5" t="str">
        <f>IFERROR(__xludf.DUMMYFUNCTION("""COMPUTED_VALUE"""),"No")</f>
        <v>No</v>
      </c>
      <c r="AK582" s="5" t="str">
        <f>IFERROR(__xludf.DUMMYFUNCTION("""COMPUTED_VALUE"""),"No")</f>
        <v>No</v>
      </c>
      <c r="AL582" s="5" t="str">
        <f>IFERROR(__xludf.DUMMYFUNCTION("""COMPUTED_VALUE"""),"No")</f>
        <v>No</v>
      </c>
      <c r="AM582" s="5"/>
      <c r="AN582" s="5"/>
      <c r="AO582" s="5"/>
      <c r="AP582" s="5"/>
      <c r="AQ582" s="5"/>
      <c r="AR582" s="5"/>
      <c r="AS582" s="5"/>
      <c r="AT582" s="5"/>
      <c r="AU582" s="5"/>
      <c r="AV582" s="5"/>
      <c r="AW582" s="5"/>
      <c r="AX582" s="5"/>
      <c r="AY582" s="5"/>
    </row>
    <row r="583">
      <c r="A58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83" s="5">
        <f>IFERROR(__xludf.DUMMYFUNCTION("""COMPUTED_VALUE"""),616.0)</f>
        <v>616</v>
      </c>
      <c r="C583" s="5">
        <f>IFERROR(__xludf.DUMMYFUNCTION("""COMPUTED_VALUE"""),180050.0)</f>
        <v>180050</v>
      </c>
      <c r="D583" s="5" t="str">
        <f>IFERROR(__xludf.DUMMYFUNCTION("""COMPUTED_VALUE"""),"Redstone20CoinCollector")</f>
        <v>Redstone20CoinCollector</v>
      </c>
      <c r="E583" s="5" t="str">
        <f>IFERROR(__xludf.DUMMYFUNCTION("""COMPUTED_VALUE"""),"Yes")</f>
        <v>Yes</v>
      </c>
      <c r="F583" s="5" t="str">
        <f>IFERROR(__xludf.DUMMYFUNCTION("""COMPUTED_VALUE"""),"Yes")</f>
        <v>Yes</v>
      </c>
      <c r="G583" s="5" t="str">
        <f>IFERROR(__xludf.DUMMYFUNCTION("""COMPUTED_VALUE"""),"No")</f>
        <v>No</v>
      </c>
      <c r="H583" s="5" t="str">
        <f>IFERROR(__xludf.DUMMYFUNCTION("""COMPUTED_VALUE"""),"Yes")</f>
        <v>Yes</v>
      </c>
      <c r="I583" s="5" t="str">
        <f>IFERROR(__xludf.DUMMYFUNCTION("""COMPUTED_VALUE"""),"Yes")</f>
        <v>Yes</v>
      </c>
      <c r="J583" s="5" t="str">
        <f>IFERROR(__xludf.DUMMYFUNCTION("""COMPUTED_VALUE"""),"Yes")</f>
        <v>Yes</v>
      </c>
      <c r="K583" s="5" t="str">
        <f>IFERROR(__xludf.DUMMYFUNCTION("""COMPUTED_VALUE"""),"Yes")</f>
        <v>Yes</v>
      </c>
      <c r="L583" s="5" t="str">
        <f>IFERROR(__xludf.DUMMYFUNCTION("""COMPUTED_VALUE"""),"Yes")</f>
        <v>Yes</v>
      </c>
      <c r="M583" s="5" t="str">
        <f>IFERROR(__xludf.DUMMYFUNCTION("""COMPUTED_VALUE"""),"Yes")</f>
        <v>Yes</v>
      </c>
      <c r="N583" s="5" t="str">
        <f>IFERROR(__xludf.DUMMYFUNCTION("""COMPUTED_VALUE"""),"Yes")</f>
        <v>Yes</v>
      </c>
      <c r="O583" s="5" t="str">
        <f>IFERROR(__xludf.DUMMYFUNCTION("""COMPUTED_VALUE"""),"Yes")</f>
        <v>Yes</v>
      </c>
      <c r="P583" s="5" t="str">
        <f>IFERROR(__xludf.DUMMYFUNCTION("""COMPUTED_VALUE"""),"Yes")</f>
        <v>Yes</v>
      </c>
      <c r="Q583" s="5" t="str">
        <f>IFERROR(__xludf.DUMMYFUNCTION("""COMPUTED_VALUE"""),"Yes")</f>
        <v>Yes</v>
      </c>
      <c r="R583" s="5" t="str">
        <f>IFERROR(__xludf.DUMMYFUNCTION("""COMPUTED_VALUE"""),"Yes")</f>
        <v>Yes</v>
      </c>
      <c r="S583" s="5" t="str">
        <f>IFERROR(__xludf.DUMMYFUNCTION("""COMPUTED_VALUE"""),"Yes")</f>
        <v>Yes</v>
      </c>
      <c r="T583" s="5" t="str">
        <f>IFERROR(__xludf.DUMMYFUNCTION("""COMPUTED_VALUE"""),"No")</f>
        <v>No</v>
      </c>
      <c r="U583" s="5" t="str">
        <f>IFERROR(__xludf.DUMMYFUNCTION("""COMPUTED_VALUE"""),"No")</f>
        <v>No</v>
      </c>
      <c r="V583" s="5" t="str">
        <f>IFERROR(__xludf.DUMMYFUNCTION("""COMPUTED_VALUE"""),"No")</f>
        <v>No</v>
      </c>
      <c r="W583" s="5" t="str">
        <f>IFERROR(__xludf.DUMMYFUNCTION("""COMPUTED_VALUE"""),"No")</f>
        <v>No</v>
      </c>
      <c r="X583" s="5" t="str">
        <f>IFERROR(__xludf.DUMMYFUNCTION("""COMPUTED_VALUE"""),"No")</f>
        <v>No</v>
      </c>
      <c r="Y583" s="5" t="str">
        <f>IFERROR(__xludf.DUMMYFUNCTION("""COMPUTED_VALUE"""),"No")</f>
        <v>No</v>
      </c>
      <c r="Z583" s="5" t="str">
        <f>IFERROR(__xludf.DUMMYFUNCTION("""COMPUTED_VALUE"""),"No")</f>
        <v>No</v>
      </c>
      <c r="AA583" s="5" t="str">
        <f>IFERROR(__xludf.DUMMYFUNCTION("""COMPUTED_VALUE"""),"No")</f>
        <v>No</v>
      </c>
      <c r="AB583" s="5" t="str">
        <f>IFERROR(__xludf.DUMMYFUNCTION("""COMPUTED_VALUE"""),"No")</f>
        <v>No</v>
      </c>
      <c r="AC583" s="5" t="str">
        <f>IFERROR(__xludf.DUMMYFUNCTION("""COMPUTED_VALUE"""),"No")</f>
        <v>No</v>
      </c>
      <c r="AD583" s="5" t="str">
        <f>IFERROR(__xludf.DUMMYFUNCTION("""COMPUTED_VALUE"""),"No")</f>
        <v>No</v>
      </c>
      <c r="AE583" s="5" t="str">
        <f>IFERROR(__xludf.DUMMYFUNCTION("""COMPUTED_VALUE"""),"No")</f>
        <v>No</v>
      </c>
      <c r="AF583" s="5" t="str">
        <f>IFERROR(__xludf.DUMMYFUNCTION("""COMPUTED_VALUE"""),"Yes")</f>
        <v>Yes</v>
      </c>
      <c r="AG583" s="5" t="str">
        <f>IFERROR(__xludf.DUMMYFUNCTION("""COMPUTED_VALUE"""),"No")</f>
        <v>No</v>
      </c>
      <c r="AH583" s="5" t="str">
        <f>IFERROR(__xludf.DUMMYFUNCTION("""COMPUTED_VALUE"""),"Yes")</f>
        <v>Yes</v>
      </c>
      <c r="AI583" s="5" t="str">
        <f>IFERROR(__xludf.DUMMYFUNCTION("""COMPUTED_VALUE"""),"No")</f>
        <v>No</v>
      </c>
      <c r="AJ583" s="5" t="str">
        <f>IFERROR(__xludf.DUMMYFUNCTION("""COMPUTED_VALUE"""),"No")</f>
        <v>No</v>
      </c>
      <c r="AK583" s="5" t="str">
        <f>IFERROR(__xludf.DUMMYFUNCTION("""COMPUTED_VALUE"""),"No")</f>
        <v>No</v>
      </c>
      <c r="AL583" s="5" t="str">
        <f>IFERROR(__xludf.DUMMYFUNCTION("""COMPUTED_VALUE"""),"No")</f>
        <v>No</v>
      </c>
      <c r="AM583" s="5"/>
      <c r="AN583" s="5"/>
      <c r="AO583" s="5"/>
      <c r="AP583" s="5"/>
      <c r="AQ583" s="5"/>
      <c r="AR583" s="5"/>
      <c r="AS583" s="5"/>
      <c r="AT583" s="5"/>
      <c r="AU583" s="5"/>
      <c r="AV583" s="5"/>
      <c r="AW583" s="5"/>
      <c r="AX583" s="5"/>
      <c r="AY583" s="5"/>
    </row>
    <row r="584">
      <c r="A584" s="5" t="str">
        <f>IFERROR(__xludf.DUMMYFUNCTION("""COMPUTED_VALUE"""),"")</f>
        <v/>
      </c>
      <c r="B584" s="5">
        <f>IFERROR(__xludf.DUMMYFUNCTION("""COMPUTED_VALUE"""),617.0)</f>
        <v>617</v>
      </c>
      <c r="C584" s="5">
        <f>IFERROR(__xludf.DUMMYFUNCTION("""COMPUTED_VALUE"""),180049.0)</f>
        <v>180049</v>
      </c>
      <c r="D584" s="5" t="str">
        <f>IFERROR(__xludf.DUMMYFUNCTION("""COMPUTED_VALUE"""),"Redstone5BombFire")</f>
        <v>Redstone5BombFire</v>
      </c>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row>
    <row r="585">
      <c r="A585"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5" s="5">
        <f>IFERROR(__xludf.DUMMYFUNCTION("""COMPUTED_VALUE"""),618.0)</f>
        <v>618</v>
      </c>
      <c r="C585" s="5">
        <f>IFERROR(__xludf.DUMMYFUNCTION("""COMPUTED_VALUE"""),180047.0)</f>
        <v>180047</v>
      </c>
      <c r="D585" s="5" t="str">
        <f>IFERROR(__xludf.DUMMYFUNCTION("""COMPUTED_VALUE"""),"RedstoneRespinGems")</f>
        <v>RedstoneRespinGems</v>
      </c>
      <c r="E585" s="5" t="str">
        <f>IFERROR(__xludf.DUMMYFUNCTION("""COMPUTED_VALUE"""),"Yes")</f>
        <v>Yes</v>
      </c>
      <c r="F585" s="5" t="str">
        <f>IFERROR(__xludf.DUMMYFUNCTION("""COMPUTED_VALUE"""),"Yes")</f>
        <v>Yes</v>
      </c>
      <c r="G585" s="5" t="str">
        <f>IFERROR(__xludf.DUMMYFUNCTION("""COMPUTED_VALUE"""),"No")</f>
        <v>No</v>
      </c>
      <c r="H585" s="5" t="str">
        <f>IFERROR(__xludf.DUMMYFUNCTION("""COMPUTED_VALUE"""),"Yes")</f>
        <v>Yes</v>
      </c>
      <c r="I585" s="5" t="str">
        <f>IFERROR(__xludf.DUMMYFUNCTION("""COMPUTED_VALUE"""),"Yes")</f>
        <v>Yes</v>
      </c>
      <c r="J585" s="5" t="str">
        <f>IFERROR(__xludf.DUMMYFUNCTION("""COMPUTED_VALUE"""),"Yes")</f>
        <v>Yes</v>
      </c>
      <c r="K585" s="5" t="str">
        <f>IFERROR(__xludf.DUMMYFUNCTION("""COMPUTED_VALUE"""),"Yes")</f>
        <v>Yes</v>
      </c>
      <c r="L585" s="5" t="str">
        <f>IFERROR(__xludf.DUMMYFUNCTION("""COMPUTED_VALUE"""),"Yes")</f>
        <v>Yes</v>
      </c>
      <c r="M585" s="5" t="str">
        <f>IFERROR(__xludf.DUMMYFUNCTION("""COMPUTED_VALUE"""),"Yes")</f>
        <v>Yes</v>
      </c>
      <c r="N585" s="5" t="str">
        <f>IFERROR(__xludf.DUMMYFUNCTION("""COMPUTED_VALUE"""),"Yes")</f>
        <v>Yes</v>
      </c>
      <c r="O585" s="5" t="str">
        <f>IFERROR(__xludf.DUMMYFUNCTION("""COMPUTED_VALUE"""),"Yes")</f>
        <v>Yes</v>
      </c>
      <c r="P585" s="5" t="str">
        <f>IFERROR(__xludf.DUMMYFUNCTION("""COMPUTED_VALUE"""),"Yes")</f>
        <v>Yes</v>
      </c>
      <c r="Q585" s="5" t="str">
        <f>IFERROR(__xludf.DUMMYFUNCTION("""COMPUTED_VALUE"""),"Yes")</f>
        <v>Yes</v>
      </c>
      <c r="R585" s="5" t="str">
        <f>IFERROR(__xludf.DUMMYFUNCTION("""COMPUTED_VALUE"""),"Yes")</f>
        <v>Yes</v>
      </c>
      <c r="S585" s="5" t="str">
        <f>IFERROR(__xludf.DUMMYFUNCTION("""COMPUTED_VALUE"""),"Yes")</f>
        <v>Yes</v>
      </c>
      <c r="T585" s="5" t="str">
        <f>IFERROR(__xludf.DUMMYFUNCTION("""COMPUTED_VALUE"""),"No")</f>
        <v>No</v>
      </c>
      <c r="U585" s="5" t="str">
        <f>IFERROR(__xludf.DUMMYFUNCTION("""COMPUTED_VALUE"""),"No")</f>
        <v>No</v>
      </c>
      <c r="V585" s="5" t="str">
        <f>IFERROR(__xludf.DUMMYFUNCTION("""COMPUTED_VALUE"""),"No")</f>
        <v>No</v>
      </c>
      <c r="W585" s="5" t="str">
        <f>IFERROR(__xludf.DUMMYFUNCTION("""COMPUTED_VALUE"""),"No")</f>
        <v>No</v>
      </c>
      <c r="X585" s="5" t="str">
        <f>IFERROR(__xludf.DUMMYFUNCTION("""COMPUTED_VALUE"""),"No")</f>
        <v>No</v>
      </c>
      <c r="Y585" s="5" t="str">
        <f>IFERROR(__xludf.DUMMYFUNCTION("""COMPUTED_VALUE"""),"No")</f>
        <v>No</v>
      </c>
      <c r="Z585" s="5" t="str">
        <f>IFERROR(__xludf.DUMMYFUNCTION("""COMPUTED_VALUE"""),"No")</f>
        <v>No</v>
      </c>
      <c r="AA585" s="5" t="str">
        <f>IFERROR(__xludf.DUMMYFUNCTION("""COMPUTED_VALUE"""),"Yes")</f>
        <v>Yes</v>
      </c>
      <c r="AB585" s="5" t="str">
        <f>IFERROR(__xludf.DUMMYFUNCTION("""COMPUTED_VALUE"""),"No")</f>
        <v>No</v>
      </c>
      <c r="AC585" s="5" t="str">
        <f>IFERROR(__xludf.DUMMYFUNCTION("""COMPUTED_VALUE"""),"No")</f>
        <v>No</v>
      </c>
      <c r="AD585" s="5" t="str">
        <f>IFERROR(__xludf.DUMMYFUNCTION("""COMPUTED_VALUE"""),"No")</f>
        <v>No</v>
      </c>
      <c r="AE585" s="5" t="str">
        <f>IFERROR(__xludf.DUMMYFUNCTION("""COMPUTED_VALUE"""),"No")</f>
        <v>No</v>
      </c>
      <c r="AF585" s="5" t="str">
        <f>IFERROR(__xludf.DUMMYFUNCTION("""COMPUTED_VALUE"""),"Yes")</f>
        <v>Yes</v>
      </c>
      <c r="AG585" s="5" t="str">
        <f>IFERROR(__xludf.DUMMYFUNCTION("""COMPUTED_VALUE"""),"No")</f>
        <v>No</v>
      </c>
      <c r="AH585" s="5" t="str">
        <f>IFERROR(__xludf.DUMMYFUNCTION("""COMPUTED_VALUE"""),"Yes")</f>
        <v>Yes</v>
      </c>
      <c r="AI585" s="5" t="str">
        <f>IFERROR(__xludf.DUMMYFUNCTION("""COMPUTED_VALUE"""),"No")</f>
        <v>No</v>
      </c>
      <c r="AJ585" s="5" t="str">
        <f>IFERROR(__xludf.DUMMYFUNCTION("""COMPUTED_VALUE"""),"No")</f>
        <v>No</v>
      </c>
      <c r="AK585" s="5" t="str">
        <f>IFERROR(__xludf.DUMMYFUNCTION("""COMPUTED_VALUE"""),"No")</f>
        <v>No</v>
      </c>
      <c r="AL585" s="5" t="str">
        <f>IFERROR(__xludf.DUMMYFUNCTION("""COMPUTED_VALUE"""),"No")</f>
        <v>No</v>
      </c>
      <c r="AM585" s="5"/>
      <c r="AN585" s="5"/>
      <c r="AO585" s="5"/>
      <c r="AP585" s="5"/>
      <c r="AQ585" s="5"/>
      <c r="AR585" s="5"/>
      <c r="AS585" s="5"/>
      <c r="AT585" s="5"/>
      <c r="AU585" s="5"/>
      <c r="AV585" s="5"/>
      <c r="AW585" s="5"/>
      <c r="AX585" s="5"/>
      <c r="AY585" s="5"/>
    </row>
    <row r="586">
      <c r="A58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86" s="5">
        <f>IFERROR(__xludf.DUMMYFUNCTION("""COMPUTED_VALUE"""),619.0)</f>
        <v>619</v>
      </c>
      <c r="C586" s="5">
        <f>IFERROR(__xludf.DUMMYFUNCTION("""COMPUTED_VALUE"""),180048.0)</f>
        <v>180048</v>
      </c>
      <c r="D586" s="5" t="str">
        <f>IFERROR(__xludf.DUMMYFUNCTION("""COMPUTED_VALUE"""),"Redstone9ofaKind")</f>
        <v>Redstone9ofaKind</v>
      </c>
      <c r="E586" s="5" t="str">
        <f>IFERROR(__xludf.DUMMYFUNCTION("""COMPUTED_VALUE"""),"Yes")</f>
        <v>Yes</v>
      </c>
      <c r="F586" s="5" t="str">
        <f>IFERROR(__xludf.DUMMYFUNCTION("""COMPUTED_VALUE"""),"Yes")</f>
        <v>Yes</v>
      </c>
      <c r="G586" s="5" t="str">
        <f>IFERROR(__xludf.DUMMYFUNCTION("""COMPUTED_VALUE"""),"Yes")</f>
        <v>Yes</v>
      </c>
      <c r="H586" s="5" t="str">
        <f>IFERROR(__xludf.DUMMYFUNCTION("""COMPUTED_VALUE"""),"Yes")</f>
        <v>Yes</v>
      </c>
      <c r="I586" s="5" t="str">
        <f>IFERROR(__xludf.DUMMYFUNCTION("""COMPUTED_VALUE"""),"Yes")</f>
        <v>Yes</v>
      </c>
      <c r="J586" s="5" t="str">
        <f>IFERROR(__xludf.DUMMYFUNCTION("""COMPUTED_VALUE"""),"Yes")</f>
        <v>Yes</v>
      </c>
      <c r="K586" s="5" t="str">
        <f>IFERROR(__xludf.DUMMYFUNCTION("""COMPUTED_VALUE"""),"Yes")</f>
        <v>Yes</v>
      </c>
      <c r="L586" s="5" t="str">
        <f>IFERROR(__xludf.DUMMYFUNCTION("""COMPUTED_VALUE"""),"Yes")</f>
        <v>Yes</v>
      </c>
      <c r="M586" s="5" t="str">
        <f>IFERROR(__xludf.DUMMYFUNCTION("""COMPUTED_VALUE"""),"Yes")</f>
        <v>Yes</v>
      </c>
      <c r="N586" s="5" t="str">
        <f>IFERROR(__xludf.DUMMYFUNCTION("""COMPUTED_VALUE"""),"Yes")</f>
        <v>Yes</v>
      </c>
      <c r="O586" s="5" t="str">
        <f>IFERROR(__xludf.DUMMYFUNCTION("""COMPUTED_VALUE"""),"Yes")</f>
        <v>Yes</v>
      </c>
      <c r="P586" s="5" t="str">
        <f>IFERROR(__xludf.DUMMYFUNCTION("""COMPUTED_VALUE"""),"Yes")</f>
        <v>Yes</v>
      </c>
      <c r="Q586" s="5" t="str">
        <f>IFERROR(__xludf.DUMMYFUNCTION("""COMPUTED_VALUE"""),"Yes")</f>
        <v>Yes</v>
      </c>
      <c r="R586" s="5" t="str">
        <f>IFERROR(__xludf.DUMMYFUNCTION("""COMPUTED_VALUE"""),"Yes")</f>
        <v>Yes</v>
      </c>
      <c r="S586" s="5" t="str">
        <f>IFERROR(__xludf.DUMMYFUNCTION("""COMPUTED_VALUE"""),"Yes")</f>
        <v>Yes</v>
      </c>
      <c r="T586" s="5" t="str">
        <f>IFERROR(__xludf.DUMMYFUNCTION("""COMPUTED_VALUE"""),"No")</f>
        <v>No</v>
      </c>
      <c r="U586" s="5" t="str">
        <f>IFERROR(__xludf.DUMMYFUNCTION("""COMPUTED_VALUE"""),"No")</f>
        <v>No</v>
      </c>
      <c r="V586" s="5" t="str">
        <f>IFERROR(__xludf.DUMMYFUNCTION("""COMPUTED_VALUE"""),"No")</f>
        <v>No</v>
      </c>
      <c r="W586" s="5" t="str">
        <f>IFERROR(__xludf.DUMMYFUNCTION("""COMPUTED_VALUE"""),"No")</f>
        <v>No</v>
      </c>
      <c r="X586" s="5" t="str">
        <f>IFERROR(__xludf.DUMMYFUNCTION("""COMPUTED_VALUE"""),"No")</f>
        <v>No</v>
      </c>
      <c r="Y586" s="5" t="str">
        <f>IFERROR(__xludf.DUMMYFUNCTION("""COMPUTED_VALUE"""),"No")</f>
        <v>No</v>
      </c>
      <c r="Z586" s="5" t="str">
        <f>IFERROR(__xludf.DUMMYFUNCTION("""COMPUTED_VALUE"""),"No")</f>
        <v>No</v>
      </c>
      <c r="AA586" s="5" t="str">
        <f>IFERROR(__xludf.DUMMYFUNCTION("""COMPUTED_VALUE"""),"Yes")</f>
        <v>Yes</v>
      </c>
      <c r="AB586" s="5" t="str">
        <f>IFERROR(__xludf.DUMMYFUNCTION("""COMPUTED_VALUE"""),"No")</f>
        <v>No</v>
      </c>
      <c r="AC586" s="5" t="str">
        <f>IFERROR(__xludf.DUMMYFUNCTION("""COMPUTED_VALUE"""),"No")</f>
        <v>No</v>
      </c>
      <c r="AD586" s="5" t="str">
        <f>IFERROR(__xludf.DUMMYFUNCTION("""COMPUTED_VALUE"""),"No")</f>
        <v>No</v>
      </c>
      <c r="AE586" s="5" t="str">
        <f>IFERROR(__xludf.DUMMYFUNCTION("""COMPUTED_VALUE"""),"No")</f>
        <v>No</v>
      </c>
      <c r="AF586" s="5" t="str">
        <f>IFERROR(__xludf.DUMMYFUNCTION("""COMPUTED_VALUE"""),"Yes")</f>
        <v>Yes</v>
      </c>
      <c r="AG586" s="5" t="str">
        <f>IFERROR(__xludf.DUMMYFUNCTION("""COMPUTED_VALUE"""),"No")</f>
        <v>No</v>
      </c>
      <c r="AH586" s="5" t="str">
        <f>IFERROR(__xludf.DUMMYFUNCTION("""COMPUTED_VALUE"""),"Yes")</f>
        <v>Yes</v>
      </c>
      <c r="AI586" s="5" t="str">
        <f>IFERROR(__xludf.DUMMYFUNCTION("""COMPUTED_VALUE"""),"No")</f>
        <v>No</v>
      </c>
      <c r="AJ586" s="5" t="str">
        <f>IFERROR(__xludf.DUMMYFUNCTION("""COMPUTED_VALUE"""),"No")</f>
        <v>No</v>
      </c>
      <c r="AK586" s="5" t="str">
        <f>IFERROR(__xludf.DUMMYFUNCTION("""COMPUTED_VALUE"""),"No")</f>
        <v>No</v>
      </c>
      <c r="AL586" s="5" t="str">
        <f>IFERROR(__xludf.DUMMYFUNCTION("""COMPUTED_VALUE"""),"No")</f>
        <v>No</v>
      </c>
      <c r="AM586" s="5"/>
      <c r="AN586" s="5"/>
      <c r="AO586" s="5"/>
      <c r="AP586" s="5"/>
      <c r="AQ586" s="5"/>
      <c r="AR586" s="5"/>
      <c r="AS586" s="5"/>
      <c r="AT586" s="5"/>
      <c r="AU586" s="5"/>
      <c r="AV586" s="5"/>
      <c r="AW586" s="5"/>
      <c r="AX586" s="5"/>
      <c r="AY586" s="5"/>
    </row>
    <row r="587">
      <c r="A5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7" s="5">
        <f>IFERROR(__xludf.DUMMYFUNCTION("""COMPUTED_VALUE"""),620.0)</f>
        <v>620</v>
      </c>
      <c r="C587" s="5">
        <f>IFERROR(__xludf.DUMMYFUNCTION("""COMPUTED_VALUE"""),3023.0)</f>
        <v>3023</v>
      </c>
      <c r="D587" s="5" t="str">
        <f>IFERROR(__xludf.DUMMYFUNCTION("""COMPUTED_VALUE"""),"WildJokerHotBooster")</f>
        <v>WildJokerHotBooster</v>
      </c>
      <c r="E587" s="5" t="str">
        <f>IFERROR(__xludf.DUMMYFUNCTION("""COMPUTED_VALUE"""),"Yes")</f>
        <v>Yes</v>
      </c>
      <c r="F587" s="5" t="str">
        <f>IFERROR(__xludf.DUMMYFUNCTION("""COMPUTED_VALUE"""),"Yes")</f>
        <v>Yes</v>
      </c>
      <c r="G587" s="5" t="str">
        <f>IFERROR(__xludf.DUMMYFUNCTION("""COMPUTED_VALUE"""),"Yes")</f>
        <v>Yes</v>
      </c>
      <c r="H587" s="5" t="str">
        <f>IFERROR(__xludf.DUMMYFUNCTION("""COMPUTED_VALUE"""),"Yes")</f>
        <v>Yes</v>
      </c>
      <c r="I587" s="5" t="str">
        <f>IFERROR(__xludf.DUMMYFUNCTION("""COMPUTED_VALUE"""),"Yes")</f>
        <v>Yes</v>
      </c>
      <c r="J587" s="5" t="str">
        <f>IFERROR(__xludf.DUMMYFUNCTION("""COMPUTED_VALUE"""),"Yes")</f>
        <v>Yes</v>
      </c>
      <c r="K587" s="5" t="str">
        <f>IFERROR(__xludf.DUMMYFUNCTION("""COMPUTED_VALUE"""),"Yes")</f>
        <v>Yes</v>
      </c>
      <c r="L587" s="5" t="str">
        <f>IFERROR(__xludf.DUMMYFUNCTION("""COMPUTED_VALUE"""),"Yes")</f>
        <v>Yes</v>
      </c>
      <c r="M587" s="5" t="str">
        <f>IFERROR(__xludf.DUMMYFUNCTION("""COMPUTED_VALUE"""),"Yes")</f>
        <v>Yes</v>
      </c>
      <c r="N587" s="5" t="str">
        <f>IFERROR(__xludf.DUMMYFUNCTION("""COMPUTED_VALUE"""),"Yes")</f>
        <v>Yes</v>
      </c>
      <c r="O587" s="5" t="str">
        <f>IFERROR(__xludf.DUMMYFUNCTION("""COMPUTED_VALUE"""),"Yes")</f>
        <v>Yes</v>
      </c>
      <c r="P587" s="5" t="str">
        <f>IFERROR(__xludf.DUMMYFUNCTION("""COMPUTED_VALUE"""),"Yes")</f>
        <v>Yes</v>
      </c>
      <c r="Q587" s="5" t="str">
        <f>IFERROR(__xludf.DUMMYFUNCTION("""COMPUTED_VALUE"""),"Yes")</f>
        <v>Yes</v>
      </c>
      <c r="R587" s="5" t="str">
        <f>IFERROR(__xludf.DUMMYFUNCTION("""COMPUTED_VALUE"""),"Yes")</f>
        <v>Yes</v>
      </c>
      <c r="S587" s="5" t="str">
        <f>IFERROR(__xludf.DUMMYFUNCTION("""COMPUTED_VALUE"""),"Yes")</f>
        <v>Yes</v>
      </c>
      <c r="T587" s="5" t="str">
        <f>IFERROR(__xludf.DUMMYFUNCTION("""COMPUTED_VALUE"""),"Yes")</f>
        <v>Yes</v>
      </c>
      <c r="U587" s="5" t="str">
        <f>IFERROR(__xludf.DUMMYFUNCTION("""COMPUTED_VALUE"""),"Yes")</f>
        <v>Yes</v>
      </c>
      <c r="V587" s="5" t="str">
        <f>IFERROR(__xludf.DUMMYFUNCTION("""COMPUTED_VALUE"""),"Yes")</f>
        <v>Yes</v>
      </c>
      <c r="W587" s="5" t="str">
        <f>IFERROR(__xludf.DUMMYFUNCTION("""COMPUTED_VALUE"""),"Yes")</f>
        <v>Yes</v>
      </c>
      <c r="X587" s="5" t="str">
        <f>IFERROR(__xludf.DUMMYFUNCTION("""COMPUTED_VALUE"""),"Yes")</f>
        <v>Yes</v>
      </c>
      <c r="Y587" s="5" t="str">
        <f>IFERROR(__xludf.DUMMYFUNCTION("""COMPUTED_VALUE"""),"Yes")</f>
        <v>Yes</v>
      </c>
      <c r="Z587" s="5" t="str">
        <f>IFERROR(__xludf.DUMMYFUNCTION("""COMPUTED_VALUE"""),"No")</f>
        <v>No</v>
      </c>
      <c r="AA587" s="5" t="str">
        <f>IFERROR(__xludf.DUMMYFUNCTION("""COMPUTED_VALUE"""),"Yes")</f>
        <v>Yes</v>
      </c>
      <c r="AB587" s="5" t="str">
        <f>IFERROR(__xludf.DUMMYFUNCTION("""COMPUTED_VALUE"""),"Yes")</f>
        <v>Yes</v>
      </c>
      <c r="AC587" s="5" t="str">
        <f>IFERROR(__xludf.DUMMYFUNCTION("""COMPUTED_VALUE"""),"Yes")</f>
        <v>Yes</v>
      </c>
      <c r="AD587" s="5" t="str">
        <f>IFERROR(__xludf.DUMMYFUNCTION("""COMPUTED_VALUE"""),"Yes")</f>
        <v>Yes</v>
      </c>
      <c r="AE587" s="5" t="str">
        <f>IFERROR(__xludf.DUMMYFUNCTION("""COMPUTED_VALUE"""),"No")</f>
        <v>No</v>
      </c>
      <c r="AF587" s="5" t="str">
        <f>IFERROR(__xludf.DUMMYFUNCTION("""COMPUTED_VALUE"""),"Yes")</f>
        <v>Yes</v>
      </c>
      <c r="AG587" s="5" t="str">
        <f>IFERROR(__xludf.DUMMYFUNCTION("""COMPUTED_VALUE"""),"No")</f>
        <v>No</v>
      </c>
      <c r="AH587" s="5" t="str">
        <f>IFERROR(__xludf.DUMMYFUNCTION("""COMPUTED_VALUE"""),"No")</f>
        <v>No</v>
      </c>
      <c r="AI587" s="5" t="str">
        <f>IFERROR(__xludf.DUMMYFUNCTION("""COMPUTED_VALUE"""),"No")</f>
        <v>No</v>
      </c>
      <c r="AJ587" s="5" t="str">
        <f>IFERROR(__xludf.DUMMYFUNCTION("""COMPUTED_VALUE"""),"No")</f>
        <v>No</v>
      </c>
      <c r="AK587" s="5" t="str">
        <f>IFERROR(__xludf.DUMMYFUNCTION("""COMPUTED_VALUE"""),"No")</f>
        <v>No</v>
      </c>
      <c r="AL587" s="5" t="str">
        <f>IFERROR(__xludf.DUMMYFUNCTION("""COMPUTED_VALUE"""),"No")</f>
        <v>No</v>
      </c>
      <c r="AM587" s="5"/>
      <c r="AN587" s="5"/>
      <c r="AO587" s="5"/>
      <c r="AP587" s="5"/>
      <c r="AQ587" s="5"/>
      <c r="AR587" s="5"/>
      <c r="AS587" s="5"/>
      <c r="AT587" s="5"/>
      <c r="AU587" s="5"/>
      <c r="AV587" s="5"/>
      <c r="AW587" s="5"/>
      <c r="AX587" s="5"/>
      <c r="AY587" s="5"/>
    </row>
    <row r="588">
      <c r="A5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8" s="5">
        <f>IFERROR(__xludf.DUMMYFUNCTION("""COMPUTED_VALUE"""),621.0)</f>
        <v>621</v>
      </c>
      <c r="C588" s="5">
        <f>IFERROR(__xludf.DUMMYFUNCTION("""COMPUTED_VALUE"""),3024.0)</f>
        <v>3024</v>
      </c>
      <c r="D588" s="5" t="str">
        <f>IFERROR(__xludf.DUMMYFUNCTION("""COMPUTED_VALUE"""),"Money5Booster")</f>
        <v>Money5Booster</v>
      </c>
      <c r="E588" s="5" t="str">
        <f>IFERROR(__xludf.DUMMYFUNCTION("""COMPUTED_VALUE"""),"Yes")</f>
        <v>Yes</v>
      </c>
      <c r="F588" s="5" t="str">
        <f>IFERROR(__xludf.DUMMYFUNCTION("""COMPUTED_VALUE"""),"Yes")</f>
        <v>Yes</v>
      </c>
      <c r="G588" s="5" t="str">
        <f>IFERROR(__xludf.DUMMYFUNCTION("""COMPUTED_VALUE"""),"Yes")</f>
        <v>Yes</v>
      </c>
      <c r="H588" s="5" t="str">
        <f>IFERROR(__xludf.DUMMYFUNCTION("""COMPUTED_VALUE"""),"Yes")</f>
        <v>Yes</v>
      </c>
      <c r="I588" s="5" t="str">
        <f>IFERROR(__xludf.DUMMYFUNCTION("""COMPUTED_VALUE"""),"Yes")</f>
        <v>Yes</v>
      </c>
      <c r="J588" s="5" t="str">
        <f>IFERROR(__xludf.DUMMYFUNCTION("""COMPUTED_VALUE"""),"Yes")</f>
        <v>Yes</v>
      </c>
      <c r="K588" s="5" t="str">
        <f>IFERROR(__xludf.DUMMYFUNCTION("""COMPUTED_VALUE"""),"Yes")</f>
        <v>Yes</v>
      </c>
      <c r="L588" s="5" t="str">
        <f>IFERROR(__xludf.DUMMYFUNCTION("""COMPUTED_VALUE"""),"Yes")</f>
        <v>Yes</v>
      </c>
      <c r="M588" s="5" t="str">
        <f>IFERROR(__xludf.DUMMYFUNCTION("""COMPUTED_VALUE"""),"Yes")</f>
        <v>Yes</v>
      </c>
      <c r="N588" s="5" t="str">
        <f>IFERROR(__xludf.DUMMYFUNCTION("""COMPUTED_VALUE"""),"Yes")</f>
        <v>Yes</v>
      </c>
      <c r="O588" s="5" t="str">
        <f>IFERROR(__xludf.DUMMYFUNCTION("""COMPUTED_VALUE"""),"Yes")</f>
        <v>Yes</v>
      </c>
      <c r="P588" s="5" t="str">
        <f>IFERROR(__xludf.DUMMYFUNCTION("""COMPUTED_VALUE"""),"Yes")</f>
        <v>Yes</v>
      </c>
      <c r="Q588" s="5" t="str">
        <f>IFERROR(__xludf.DUMMYFUNCTION("""COMPUTED_VALUE"""),"Yes")</f>
        <v>Yes</v>
      </c>
      <c r="R588" s="5" t="str">
        <f>IFERROR(__xludf.DUMMYFUNCTION("""COMPUTED_VALUE"""),"Yes")</f>
        <v>Yes</v>
      </c>
      <c r="S588" s="5" t="str">
        <f>IFERROR(__xludf.DUMMYFUNCTION("""COMPUTED_VALUE"""),"Yes")</f>
        <v>Yes</v>
      </c>
      <c r="T588" s="5" t="str">
        <f>IFERROR(__xludf.DUMMYFUNCTION("""COMPUTED_VALUE"""),"Yes")</f>
        <v>Yes</v>
      </c>
      <c r="U588" s="5" t="str">
        <f>IFERROR(__xludf.DUMMYFUNCTION("""COMPUTED_VALUE"""),"Yes")</f>
        <v>Yes</v>
      </c>
      <c r="V588" s="5" t="str">
        <f>IFERROR(__xludf.DUMMYFUNCTION("""COMPUTED_VALUE"""),"Yes")</f>
        <v>Yes</v>
      </c>
      <c r="W588" s="5" t="str">
        <f>IFERROR(__xludf.DUMMYFUNCTION("""COMPUTED_VALUE"""),"Yes")</f>
        <v>Yes</v>
      </c>
      <c r="X588" s="5" t="str">
        <f>IFERROR(__xludf.DUMMYFUNCTION("""COMPUTED_VALUE"""),"Yes")</f>
        <v>Yes</v>
      </c>
      <c r="Y588" s="5" t="str">
        <f>IFERROR(__xludf.DUMMYFUNCTION("""COMPUTED_VALUE"""),"Yes")</f>
        <v>Yes</v>
      </c>
      <c r="Z588" s="5" t="str">
        <f>IFERROR(__xludf.DUMMYFUNCTION("""COMPUTED_VALUE"""),"No")</f>
        <v>No</v>
      </c>
      <c r="AA588" s="5" t="str">
        <f>IFERROR(__xludf.DUMMYFUNCTION("""COMPUTED_VALUE"""),"Yes")</f>
        <v>Yes</v>
      </c>
      <c r="AB588" s="5" t="str">
        <f>IFERROR(__xludf.DUMMYFUNCTION("""COMPUTED_VALUE"""),"Yes")</f>
        <v>Yes</v>
      </c>
      <c r="AC588" s="5" t="str">
        <f>IFERROR(__xludf.DUMMYFUNCTION("""COMPUTED_VALUE"""),"Yes")</f>
        <v>Yes</v>
      </c>
      <c r="AD588" s="5" t="str">
        <f>IFERROR(__xludf.DUMMYFUNCTION("""COMPUTED_VALUE"""),"Yes")</f>
        <v>Yes</v>
      </c>
      <c r="AE588" s="5" t="str">
        <f>IFERROR(__xludf.DUMMYFUNCTION("""COMPUTED_VALUE"""),"No")</f>
        <v>No</v>
      </c>
      <c r="AF588" s="5" t="str">
        <f>IFERROR(__xludf.DUMMYFUNCTION("""COMPUTED_VALUE"""),"Yes")</f>
        <v>Yes</v>
      </c>
      <c r="AG588" s="5" t="str">
        <f>IFERROR(__xludf.DUMMYFUNCTION("""COMPUTED_VALUE"""),"No")</f>
        <v>No</v>
      </c>
      <c r="AH588" s="5" t="str">
        <f>IFERROR(__xludf.DUMMYFUNCTION("""COMPUTED_VALUE"""),"No")</f>
        <v>No</v>
      </c>
      <c r="AI588" s="5" t="str">
        <f>IFERROR(__xludf.DUMMYFUNCTION("""COMPUTED_VALUE"""),"No")</f>
        <v>No</v>
      </c>
      <c r="AJ588" s="5" t="str">
        <f>IFERROR(__xludf.DUMMYFUNCTION("""COMPUTED_VALUE"""),"No")</f>
        <v>No</v>
      </c>
      <c r="AK588" s="5" t="str">
        <f>IFERROR(__xludf.DUMMYFUNCTION("""COMPUTED_VALUE"""),"No")</f>
        <v>No</v>
      </c>
      <c r="AL588" s="5" t="str">
        <f>IFERROR(__xludf.DUMMYFUNCTION("""COMPUTED_VALUE"""),"No")</f>
        <v>No</v>
      </c>
      <c r="AM588" s="5"/>
      <c r="AN588" s="5"/>
      <c r="AO588" s="5"/>
      <c r="AP588" s="5"/>
      <c r="AQ588" s="5"/>
      <c r="AR588" s="5"/>
      <c r="AS588" s="5"/>
      <c r="AT588" s="5"/>
      <c r="AU588" s="5"/>
      <c r="AV588" s="5"/>
      <c r="AW588" s="5"/>
      <c r="AX588" s="5"/>
      <c r="AY588" s="5"/>
    </row>
    <row r="589">
      <c r="A5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9" s="5">
        <f>IFERROR(__xludf.DUMMYFUNCTION("""COMPUTED_VALUE"""),622.0)</f>
        <v>622</v>
      </c>
      <c r="C589" s="5">
        <f>IFERROR(__xludf.DUMMYFUNCTION("""COMPUTED_VALUE"""),3026.0)</f>
        <v>3026</v>
      </c>
      <c r="D589" s="5" t="str">
        <f>IFERROR(__xludf.DUMMYFUNCTION("""COMPUTED_VALUE"""),"GoldenCrownChristmasBooster")</f>
        <v>GoldenCrownChristmasBooster</v>
      </c>
      <c r="E589" s="5" t="str">
        <f>IFERROR(__xludf.DUMMYFUNCTION("""COMPUTED_VALUE"""),"Yes")</f>
        <v>Yes</v>
      </c>
      <c r="F589" s="5" t="str">
        <f>IFERROR(__xludf.DUMMYFUNCTION("""COMPUTED_VALUE"""),"Yes")</f>
        <v>Yes</v>
      </c>
      <c r="G589" s="5" t="str">
        <f>IFERROR(__xludf.DUMMYFUNCTION("""COMPUTED_VALUE"""),"Yes")</f>
        <v>Yes</v>
      </c>
      <c r="H589" s="5" t="str">
        <f>IFERROR(__xludf.DUMMYFUNCTION("""COMPUTED_VALUE"""),"Yes")</f>
        <v>Yes</v>
      </c>
      <c r="I589" s="5" t="str">
        <f>IFERROR(__xludf.DUMMYFUNCTION("""COMPUTED_VALUE"""),"Yes")</f>
        <v>Yes</v>
      </c>
      <c r="J589" s="5" t="str">
        <f>IFERROR(__xludf.DUMMYFUNCTION("""COMPUTED_VALUE"""),"Yes")</f>
        <v>Yes</v>
      </c>
      <c r="K589" s="5" t="str">
        <f>IFERROR(__xludf.DUMMYFUNCTION("""COMPUTED_VALUE"""),"Yes")</f>
        <v>Yes</v>
      </c>
      <c r="L589" s="5" t="str">
        <f>IFERROR(__xludf.DUMMYFUNCTION("""COMPUTED_VALUE"""),"Yes")</f>
        <v>Yes</v>
      </c>
      <c r="M589" s="5" t="str">
        <f>IFERROR(__xludf.DUMMYFUNCTION("""COMPUTED_VALUE"""),"Yes")</f>
        <v>Yes</v>
      </c>
      <c r="N589" s="5" t="str">
        <f>IFERROR(__xludf.DUMMYFUNCTION("""COMPUTED_VALUE"""),"Yes")</f>
        <v>Yes</v>
      </c>
      <c r="O589" s="5" t="str">
        <f>IFERROR(__xludf.DUMMYFUNCTION("""COMPUTED_VALUE"""),"Yes")</f>
        <v>Yes</v>
      </c>
      <c r="P589" s="5" t="str">
        <f>IFERROR(__xludf.DUMMYFUNCTION("""COMPUTED_VALUE"""),"Yes")</f>
        <v>Yes</v>
      </c>
      <c r="Q589" s="5" t="str">
        <f>IFERROR(__xludf.DUMMYFUNCTION("""COMPUTED_VALUE"""),"Yes")</f>
        <v>Yes</v>
      </c>
      <c r="R589" s="5" t="str">
        <f>IFERROR(__xludf.DUMMYFUNCTION("""COMPUTED_VALUE"""),"Yes")</f>
        <v>Yes</v>
      </c>
      <c r="S589" s="5" t="str">
        <f>IFERROR(__xludf.DUMMYFUNCTION("""COMPUTED_VALUE"""),"Yes")</f>
        <v>Yes</v>
      </c>
      <c r="T589" s="5" t="str">
        <f>IFERROR(__xludf.DUMMYFUNCTION("""COMPUTED_VALUE"""),"Yes")</f>
        <v>Yes</v>
      </c>
      <c r="U589" s="5" t="str">
        <f>IFERROR(__xludf.DUMMYFUNCTION("""COMPUTED_VALUE"""),"Yes")</f>
        <v>Yes</v>
      </c>
      <c r="V589" s="5" t="str">
        <f>IFERROR(__xludf.DUMMYFUNCTION("""COMPUTED_VALUE"""),"Yes")</f>
        <v>Yes</v>
      </c>
      <c r="W589" s="5" t="str">
        <f>IFERROR(__xludf.DUMMYFUNCTION("""COMPUTED_VALUE"""),"Yes")</f>
        <v>Yes</v>
      </c>
      <c r="X589" s="5" t="str">
        <f>IFERROR(__xludf.DUMMYFUNCTION("""COMPUTED_VALUE"""),"Yes")</f>
        <v>Yes</v>
      </c>
      <c r="Y589" s="5" t="str">
        <f>IFERROR(__xludf.DUMMYFUNCTION("""COMPUTED_VALUE"""),"Yes")</f>
        <v>Yes</v>
      </c>
      <c r="Z589" s="5" t="str">
        <f>IFERROR(__xludf.DUMMYFUNCTION("""COMPUTED_VALUE"""),"No")</f>
        <v>No</v>
      </c>
      <c r="AA589" s="5" t="str">
        <f>IFERROR(__xludf.DUMMYFUNCTION("""COMPUTED_VALUE"""),"Yes")</f>
        <v>Yes</v>
      </c>
      <c r="AB589" s="5" t="str">
        <f>IFERROR(__xludf.DUMMYFUNCTION("""COMPUTED_VALUE"""),"Yes")</f>
        <v>Yes</v>
      </c>
      <c r="AC589" s="5" t="str">
        <f>IFERROR(__xludf.DUMMYFUNCTION("""COMPUTED_VALUE"""),"Yes")</f>
        <v>Yes</v>
      </c>
      <c r="AD589" s="5" t="str">
        <f>IFERROR(__xludf.DUMMYFUNCTION("""COMPUTED_VALUE"""),"Yes")</f>
        <v>Yes</v>
      </c>
      <c r="AE589" s="5" t="str">
        <f>IFERROR(__xludf.DUMMYFUNCTION("""COMPUTED_VALUE"""),"No")</f>
        <v>No</v>
      </c>
      <c r="AF589" s="5" t="str">
        <f>IFERROR(__xludf.DUMMYFUNCTION("""COMPUTED_VALUE"""),"Yes")</f>
        <v>Yes</v>
      </c>
      <c r="AG589" s="5" t="str">
        <f>IFERROR(__xludf.DUMMYFUNCTION("""COMPUTED_VALUE"""),"No")</f>
        <v>No</v>
      </c>
      <c r="AH589" s="5" t="str">
        <f>IFERROR(__xludf.DUMMYFUNCTION("""COMPUTED_VALUE"""),"No")</f>
        <v>No</v>
      </c>
      <c r="AI589" s="5" t="str">
        <f>IFERROR(__xludf.DUMMYFUNCTION("""COMPUTED_VALUE"""),"No")</f>
        <v>No</v>
      </c>
      <c r="AJ589" s="5" t="str">
        <f>IFERROR(__xludf.DUMMYFUNCTION("""COMPUTED_VALUE"""),"No")</f>
        <v>No</v>
      </c>
      <c r="AK589" s="5" t="str">
        <f>IFERROR(__xludf.DUMMYFUNCTION("""COMPUTED_VALUE"""),"No")</f>
        <v>No</v>
      </c>
      <c r="AL589" s="5" t="str">
        <f>IFERROR(__xludf.DUMMYFUNCTION("""COMPUTED_VALUE"""),"No")</f>
        <v>No</v>
      </c>
      <c r="AM589" s="5"/>
      <c r="AN589" s="5"/>
      <c r="AO589" s="5"/>
      <c r="AP589" s="5"/>
      <c r="AQ589" s="5"/>
      <c r="AR589" s="5"/>
      <c r="AS589" s="5"/>
      <c r="AT589" s="5"/>
      <c r="AU589" s="5"/>
      <c r="AV589" s="5"/>
      <c r="AW589" s="5"/>
      <c r="AX589" s="5"/>
      <c r="AY589" s="5"/>
    </row>
    <row r="590">
      <c r="A5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0" s="5">
        <f>IFERROR(__xludf.DUMMYFUNCTION("""COMPUTED_VALUE"""),623.0)</f>
        <v>623</v>
      </c>
      <c r="C590" s="5">
        <f>IFERROR(__xludf.DUMMYFUNCTION("""COMPUTED_VALUE"""),3021.0)</f>
        <v>3021</v>
      </c>
      <c r="D590" s="5" t="str">
        <f>IFERROR(__xludf.DUMMYFUNCTION("""COMPUTED_VALUE"""),"BellasWorld")</f>
        <v>BellasWorld</v>
      </c>
      <c r="E590" s="5" t="str">
        <f>IFERROR(__xludf.DUMMYFUNCTION("""COMPUTED_VALUE"""),"Yes")</f>
        <v>Yes</v>
      </c>
      <c r="F590" s="5" t="str">
        <f>IFERROR(__xludf.DUMMYFUNCTION("""COMPUTED_VALUE"""),"Yes")</f>
        <v>Yes</v>
      </c>
      <c r="G590" s="5" t="str">
        <f>IFERROR(__xludf.DUMMYFUNCTION("""COMPUTED_VALUE"""),"Yes")</f>
        <v>Yes</v>
      </c>
      <c r="H590" s="5" t="str">
        <f>IFERROR(__xludf.DUMMYFUNCTION("""COMPUTED_VALUE"""),"Yes")</f>
        <v>Yes</v>
      </c>
      <c r="I590" s="5" t="str">
        <f>IFERROR(__xludf.DUMMYFUNCTION("""COMPUTED_VALUE"""),"Yes")</f>
        <v>Yes</v>
      </c>
      <c r="J590" s="5" t="str">
        <f>IFERROR(__xludf.DUMMYFUNCTION("""COMPUTED_VALUE"""),"Yes")</f>
        <v>Yes</v>
      </c>
      <c r="K590" s="5" t="str">
        <f>IFERROR(__xludf.DUMMYFUNCTION("""COMPUTED_VALUE"""),"Yes")</f>
        <v>Yes</v>
      </c>
      <c r="L590" s="5" t="str">
        <f>IFERROR(__xludf.DUMMYFUNCTION("""COMPUTED_VALUE"""),"Yes")</f>
        <v>Yes</v>
      </c>
      <c r="M590" s="5" t="str">
        <f>IFERROR(__xludf.DUMMYFUNCTION("""COMPUTED_VALUE"""),"Yes")</f>
        <v>Yes</v>
      </c>
      <c r="N590" s="5" t="str">
        <f>IFERROR(__xludf.DUMMYFUNCTION("""COMPUTED_VALUE"""),"Yes")</f>
        <v>Yes</v>
      </c>
      <c r="O590" s="5" t="str">
        <f>IFERROR(__xludf.DUMMYFUNCTION("""COMPUTED_VALUE"""),"Yes")</f>
        <v>Yes</v>
      </c>
      <c r="P590" s="5" t="str">
        <f>IFERROR(__xludf.DUMMYFUNCTION("""COMPUTED_VALUE"""),"Yes")</f>
        <v>Yes</v>
      </c>
      <c r="Q590" s="5" t="str">
        <f>IFERROR(__xludf.DUMMYFUNCTION("""COMPUTED_VALUE"""),"Yes")</f>
        <v>Yes</v>
      </c>
      <c r="R590" s="5" t="str">
        <f>IFERROR(__xludf.DUMMYFUNCTION("""COMPUTED_VALUE"""),"Yes")</f>
        <v>Yes</v>
      </c>
      <c r="S590" s="5" t="str">
        <f>IFERROR(__xludf.DUMMYFUNCTION("""COMPUTED_VALUE"""),"Yes")</f>
        <v>Yes</v>
      </c>
      <c r="T590" s="5" t="str">
        <f>IFERROR(__xludf.DUMMYFUNCTION("""COMPUTED_VALUE"""),"Yes")</f>
        <v>Yes</v>
      </c>
      <c r="U590" s="5" t="str">
        <f>IFERROR(__xludf.DUMMYFUNCTION("""COMPUTED_VALUE"""),"Yes")</f>
        <v>Yes</v>
      </c>
      <c r="V590" s="5" t="str">
        <f>IFERROR(__xludf.DUMMYFUNCTION("""COMPUTED_VALUE"""),"Yes")</f>
        <v>Yes</v>
      </c>
      <c r="W590" s="5" t="str">
        <f>IFERROR(__xludf.DUMMYFUNCTION("""COMPUTED_VALUE"""),"Yes")</f>
        <v>Yes</v>
      </c>
      <c r="X590" s="5" t="str">
        <f>IFERROR(__xludf.DUMMYFUNCTION("""COMPUTED_VALUE"""),"Yes")</f>
        <v>Yes</v>
      </c>
      <c r="Y590" s="5" t="str">
        <f>IFERROR(__xludf.DUMMYFUNCTION("""COMPUTED_VALUE"""),"Yes")</f>
        <v>Yes</v>
      </c>
      <c r="Z590" s="5" t="str">
        <f>IFERROR(__xludf.DUMMYFUNCTION("""COMPUTED_VALUE"""),"Yes")</f>
        <v>Yes</v>
      </c>
      <c r="AA590" s="5" t="str">
        <f>IFERROR(__xludf.DUMMYFUNCTION("""COMPUTED_VALUE"""),"Yes")</f>
        <v>Yes</v>
      </c>
      <c r="AB590" s="5" t="str">
        <f>IFERROR(__xludf.DUMMYFUNCTION("""COMPUTED_VALUE"""),"Yes")</f>
        <v>Yes</v>
      </c>
      <c r="AC590" s="5" t="str">
        <f>IFERROR(__xludf.DUMMYFUNCTION("""COMPUTED_VALUE"""),"Yes")</f>
        <v>Yes</v>
      </c>
      <c r="AD590" s="5" t="str">
        <f>IFERROR(__xludf.DUMMYFUNCTION("""COMPUTED_VALUE"""),"Yes")</f>
        <v>Yes</v>
      </c>
      <c r="AE590" s="5" t="str">
        <f>IFERROR(__xludf.DUMMYFUNCTION("""COMPUTED_VALUE"""),"Yes")</f>
        <v>Yes</v>
      </c>
      <c r="AF590" s="5" t="str">
        <f>IFERROR(__xludf.DUMMYFUNCTION("""COMPUTED_VALUE"""),"Yes")</f>
        <v>Yes</v>
      </c>
      <c r="AG590" s="5" t="str">
        <f>IFERROR(__xludf.DUMMYFUNCTION("""COMPUTED_VALUE"""),"Yes")</f>
        <v>Yes</v>
      </c>
      <c r="AH590" s="5" t="str">
        <f>IFERROR(__xludf.DUMMYFUNCTION("""COMPUTED_VALUE"""),"Yes")</f>
        <v>Yes</v>
      </c>
      <c r="AI590" s="5" t="str">
        <f>IFERROR(__xludf.DUMMYFUNCTION("""COMPUTED_VALUE"""),"Yes")</f>
        <v>Yes</v>
      </c>
      <c r="AJ590" s="5" t="str">
        <f>IFERROR(__xludf.DUMMYFUNCTION("""COMPUTED_VALUE"""),"Yes")</f>
        <v>Yes</v>
      </c>
      <c r="AK590" s="5" t="str">
        <f>IFERROR(__xludf.DUMMYFUNCTION("""COMPUTED_VALUE"""),"Yes")</f>
        <v>Yes</v>
      </c>
      <c r="AL590" s="5" t="str">
        <f>IFERROR(__xludf.DUMMYFUNCTION("""COMPUTED_VALUE"""),"No")</f>
        <v>No</v>
      </c>
      <c r="AM590" s="5"/>
      <c r="AN590" s="5"/>
      <c r="AO590" s="5"/>
      <c r="AP590" s="5"/>
      <c r="AQ590" s="5"/>
      <c r="AR590" s="5"/>
      <c r="AS590" s="5"/>
      <c r="AT590" s="5"/>
      <c r="AU590" s="5"/>
      <c r="AV590" s="5"/>
      <c r="AW590" s="5"/>
      <c r="AX590" s="5"/>
      <c r="AY590" s="5"/>
    </row>
    <row r="591">
      <c r="A5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1" s="5">
        <f>IFERROR(__xludf.DUMMYFUNCTION("""COMPUTED_VALUE"""),625.0)</f>
        <v>625</v>
      </c>
      <c r="C591" s="5">
        <f>IFERROR(__xludf.DUMMYFUNCTION("""COMPUTED_VALUE"""),1010.0)</f>
        <v>1010</v>
      </c>
      <c r="D591" s="5" t="str">
        <f>IFERROR(__xludf.DUMMYFUNCTION("""COMPUTED_VALUE"""),"Wild27Extreme")</f>
        <v>Wild27Extreme</v>
      </c>
      <c r="E591" s="5" t="str">
        <f>IFERROR(__xludf.DUMMYFUNCTION("""COMPUTED_VALUE"""),"Yes")</f>
        <v>Yes</v>
      </c>
      <c r="F591" s="5" t="str">
        <f>IFERROR(__xludf.DUMMYFUNCTION("""COMPUTED_VALUE"""),"Yes")</f>
        <v>Yes</v>
      </c>
      <c r="G591" s="5" t="str">
        <f>IFERROR(__xludf.DUMMYFUNCTION("""COMPUTED_VALUE"""),"Yes")</f>
        <v>Yes</v>
      </c>
      <c r="H591" s="5" t="str">
        <f>IFERROR(__xludf.DUMMYFUNCTION("""COMPUTED_VALUE"""),"Yes")</f>
        <v>Yes</v>
      </c>
      <c r="I591" s="5" t="str">
        <f>IFERROR(__xludf.DUMMYFUNCTION("""COMPUTED_VALUE"""),"Yes")</f>
        <v>Yes</v>
      </c>
      <c r="J591" s="5" t="str">
        <f>IFERROR(__xludf.DUMMYFUNCTION("""COMPUTED_VALUE"""),"Yes")</f>
        <v>Yes</v>
      </c>
      <c r="K591" s="5" t="str">
        <f>IFERROR(__xludf.DUMMYFUNCTION("""COMPUTED_VALUE"""),"Yes")</f>
        <v>Yes</v>
      </c>
      <c r="L591" s="5" t="str">
        <f>IFERROR(__xludf.DUMMYFUNCTION("""COMPUTED_VALUE"""),"Yes")</f>
        <v>Yes</v>
      </c>
      <c r="M591" s="5" t="str">
        <f>IFERROR(__xludf.DUMMYFUNCTION("""COMPUTED_VALUE"""),"Yes")</f>
        <v>Yes</v>
      </c>
      <c r="N591" s="5" t="str">
        <f>IFERROR(__xludf.DUMMYFUNCTION("""COMPUTED_VALUE"""),"Yes")</f>
        <v>Yes</v>
      </c>
      <c r="O591" s="5" t="str">
        <f>IFERROR(__xludf.DUMMYFUNCTION("""COMPUTED_VALUE"""),"Yes")</f>
        <v>Yes</v>
      </c>
      <c r="P591" s="5" t="str">
        <f>IFERROR(__xludf.DUMMYFUNCTION("""COMPUTED_VALUE"""),"Yes")</f>
        <v>Yes</v>
      </c>
      <c r="Q591" s="5" t="str">
        <f>IFERROR(__xludf.DUMMYFUNCTION("""COMPUTED_VALUE"""),"Yes")</f>
        <v>Yes</v>
      </c>
      <c r="R591" s="5" t="str">
        <f>IFERROR(__xludf.DUMMYFUNCTION("""COMPUTED_VALUE"""),"Yes")</f>
        <v>Yes</v>
      </c>
      <c r="S591" s="5" t="str">
        <f>IFERROR(__xludf.DUMMYFUNCTION("""COMPUTED_VALUE"""),"Yes")</f>
        <v>Yes</v>
      </c>
      <c r="T591" s="5" t="str">
        <f>IFERROR(__xludf.DUMMYFUNCTION("""COMPUTED_VALUE"""),"Yes")</f>
        <v>Yes</v>
      </c>
      <c r="U591" s="5" t="str">
        <f>IFERROR(__xludf.DUMMYFUNCTION("""COMPUTED_VALUE"""),"Yes")</f>
        <v>Yes</v>
      </c>
      <c r="V591" s="5" t="str">
        <f>IFERROR(__xludf.DUMMYFUNCTION("""COMPUTED_VALUE"""),"Yes")</f>
        <v>Yes</v>
      </c>
      <c r="W591" s="5" t="str">
        <f>IFERROR(__xludf.DUMMYFUNCTION("""COMPUTED_VALUE"""),"Yes")</f>
        <v>Yes</v>
      </c>
      <c r="X591" s="5" t="str">
        <f>IFERROR(__xludf.DUMMYFUNCTION("""COMPUTED_VALUE"""),"Yes")</f>
        <v>Yes</v>
      </c>
      <c r="Y591" s="5" t="str">
        <f>IFERROR(__xludf.DUMMYFUNCTION("""COMPUTED_VALUE"""),"Yes")</f>
        <v>Yes</v>
      </c>
      <c r="Z591" s="5" t="str">
        <f>IFERROR(__xludf.DUMMYFUNCTION("""COMPUTED_VALUE"""),"Yes")</f>
        <v>Yes</v>
      </c>
      <c r="AA591" s="5" t="str">
        <f>IFERROR(__xludf.DUMMYFUNCTION("""COMPUTED_VALUE"""),"Yes")</f>
        <v>Yes</v>
      </c>
      <c r="AB591" s="5" t="str">
        <f>IFERROR(__xludf.DUMMYFUNCTION("""COMPUTED_VALUE"""),"Yes")</f>
        <v>Yes</v>
      </c>
      <c r="AC591" s="5" t="str">
        <f>IFERROR(__xludf.DUMMYFUNCTION("""COMPUTED_VALUE"""),"Yes")</f>
        <v>Yes</v>
      </c>
      <c r="AD591" s="5" t="str">
        <f>IFERROR(__xludf.DUMMYFUNCTION("""COMPUTED_VALUE"""),"Yes")</f>
        <v>Yes</v>
      </c>
      <c r="AE591" s="5" t="str">
        <f>IFERROR(__xludf.DUMMYFUNCTION("""COMPUTED_VALUE"""),"Yes")</f>
        <v>Yes</v>
      </c>
      <c r="AF591" s="5" t="str">
        <f>IFERROR(__xludf.DUMMYFUNCTION("""COMPUTED_VALUE"""),"Yes")</f>
        <v>Yes</v>
      </c>
      <c r="AG591" s="5" t="str">
        <f>IFERROR(__xludf.DUMMYFUNCTION("""COMPUTED_VALUE"""),"Yes")</f>
        <v>Yes</v>
      </c>
      <c r="AH591" s="5" t="str">
        <f>IFERROR(__xludf.DUMMYFUNCTION("""COMPUTED_VALUE"""),"Yes")</f>
        <v>Yes</v>
      </c>
      <c r="AI591" s="5" t="str">
        <f>IFERROR(__xludf.DUMMYFUNCTION("""COMPUTED_VALUE"""),"Yes")</f>
        <v>Yes</v>
      </c>
      <c r="AJ591" s="5" t="str">
        <f>IFERROR(__xludf.DUMMYFUNCTION("""COMPUTED_VALUE"""),"Yes")</f>
        <v>Yes</v>
      </c>
      <c r="AK591" s="5" t="str">
        <f>IFERROR(__xludf.DUMMYFUNCTION("""COMPUTED_VALUE"""),"Yes")</f>
        <v>Yes</v>
      </c>
      <c r="AL591" s="5" t="str">
        <f>IFERROR(__xludf.DUMMYFUNCTION("""COMPUTED_VALUE"""),"No")</f>
        <v>No</v>
      </c>
      <c r="AM591" s="5"/>
      <c r="AN591" s="5"/>
      <c r="AO591" s="5"/>
      <c r="AP591" s="5"/>
      <c r="AQ591" s="5"/>
      <c r="AR591" s="5"/>
      <c r="AS591" s="5"/>
      <c r="AT591" s="5"/>
      <c r="AU591" s="5"/>
      <c r="AV591" s="5"/>
      <c r="AW591" s="5"/>
      <c r="AX591" s="5"/>
      <c r="AY591" s="5"/>
    </row>
    <row r="592">
      <c r="A5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2" s="5">
        <f>IFERROR(__xludf.DUMMYFUNCTION("""COMPUTED_VALUE"""),626.0)</f>
        <v>626</v>
      </c>
      <c r="C592" s="5">
        <f>IFERROR(__xludf.DUMMYFUNCTION("""COMPUTED_VALUE"""),1009.0)</f>
        <v>1009</v>
      </c>
      <c r="D592" s="5" t="str">
        <f>IFERROR(__xludf.DUMMYFUNCTION("""COMPUTED_VALUE"""),"MacacoDaFortuna")</f>
        <v>MacacoDaFortuna</v>
      </c>
      <c r="E592" s="5" t="str">
        <f>IFERROR(__xludf.DUMMYFUNCTION("""COMPUTED_VALUE"""),"Yes")</f>
        <v>Yes</v>
      </c>
      <c r="F592" s="5" t="str">
        <f>IFERROR(__xludf.DUMMYFUNCTION("""COMPUTED_VALUE"""),"Yes")</f>
        <v>Yes</v>
      </c>
      <c r="G592" s="5" t="str">
        <f>IFERROR(__xludf.DUMMYFUNCTION("""COMPUTED_VALUE"""),"Yes")</f>
        <v>Yes</v>
      </c>
      <c r="H592" s="5" t="str">
        <f>IFERROR(__xludf.DUMMYFUNCTION("""COMPUTED_VALUE"""),"Yes")</f>
        <v>Yes</v>
      </c>
      <c r="I592" s="5" t="str">
        <f>IFERROR(__xludf.DUMMYFUNCTION("""COMPUTED_VALUE"""),"Yes")</f>
        <v>Yes</v>
      </c>
      <c r="J592" s="5" t="str">
        <f>IFERROR(__xludf.DUMMYFUNCTION("""COMPUTED_VALUE"""),"Yes")</f>
        <v>Yes</v>
      </c>
      <c r="K592" s="5" t="str">
        <f>IFERROR(__xludf.DUMMYFUNCTION("""COMPUTED_VALUE"""),"Yes")</f>
        <v>Yes</v>
      </c>
      <c r="L592" s="5" t="str">
        <f>IFERROR(__xludf.DUMMYFUNCTION("""COMPUTED_VALUE"""),"Yes")</f>
        <v>Yes</v>
      </c>
      <c r="M592" s="5" t="str">
        <f>IFERROR(__xludf.DUMMYFUNCTION("""COMPUTED_VALUE"""),"Yes")</f>
        <v>Yes</v>
      </c>
      <c r="N592" s="5" t="str">
        <f>IFERROR(__xludf.DUMMYFUNCTION("""COMPUTED_VALUE"""),"Yes")</f>
        <v>Yes</v>
      </c>
      <c r="O592" s="5" t="str">
        <f>IFERROR(__xludf.DUMMYFUNCTION("""COMPUTED_VALUE"""),"Yes")</f>
        <v>Yes</v>
      </c>
      <c r="P592" s="5" t="str">
        <f>IFERROR(__xludf.DUMMYFUNCTION("""COMPUTED_VALUE"""),"Yes")</f>
        <v>Yes</v>
      </c>
      <c r="Q592" s="5" t="str">
        <f>IFERROR(__xludf.DUMMYFUNCTION("""COMPUTED_VALUE"""),"Yes")</f>
        <v>Yes</v>
      </c>
      <c r="R592" s="5" t="str">
        <f>IFERROR(__xludf.DUMMYFUNCTION("""COMPUTED_VALUE"""),"Yes")</f>
        <v>Yes</v>
      </c>
      <c r="S592" s="5" t="str">
        <f>IFERROR(__xludf.DUMMYFUNCTION("""COMPUTED_VALUE"""),"Yes")</f>
        <v>Yes</v>
      </c>
      <c r="T592" s="5" t="str">
        <f>IFERROR(__xludf.DUMMYFUNCTION("""COMPUTED_VALUE"""),"Yes")</f>
        <v>Yes</v>
      </c>
      <c r="U592" s="5" t="str">
        <f>IFERROR(__xludf.DUMMYFUNCTION("""COMPUTED_VALUE"""),"Yes")</f>
        <v>Yes</v>
      </c>
      <c r="V592" s="5" t="str">
        <f>IFERROR(__xludf.DUMMYFUNCTION("""COMPUTED_VALUE"""),"Yes")</f>
        <v>Yes</v>
      </c>
      <c r="W592" s="5" t="str">
        <f>IFERROR(__xludf.DUMMYFUNCTION("""COMPUTED_VALUE"""),"Yes")</f>
        <v>Yes</v>
      </c>
      <c r="X592" s="5" t="str">
        <f>IFERROR(__xludf.DUMMYFUNCTION("""COMPUTED_VALUE"""),"Yes")</f>
        <v>Yes</v>
      </c>
      <c r="Y592" s="5" t="str">
        <f>IFERROR(__xludf.DUMMYFUNCTION("""COMPUTED_VALUE"""),"Yes")</f>
        <v>Yes</v>
      </c>
      <c r="Z592" s="5" t="str">
        <f>IFERROR(__xludf.DUMMYFUNCTION("""COMPUTED_VALUE"""),"Yes")</f>
        <v>Yes</v>
      </c>
      <c r="AA592" s="5" t="str">
        <f>IFERROR(__xludf.DUMMYFUNCTION("""COMPUTED_VALUE"""),"Yes")</f>
        <v>Yes</v>
      </c>
      <c r="AB592" s="5" t="str">
        <f>IFERROR(__xludf.DUMMYFUNCTION("""COMPUTED_VALUE"""),"Yes")</f>
        <v>Yes</v>
      </c>
      <c r="AC592" s="5" t="str">
        <f>IFERROR(__xludf.DUMMYFUNCTION("""COMPUTED_VALUE"""),"Yes")</f>
        <v>Yes</v>
      </c>
      <c r="AD592" s="5" t="str">
        <f>IFERROR(__xludf.DUMMYFUNCTION("""COMPUTED_VALUE"""),"Yes")</f>
        <v>Yes</v>
      </c>
      <c r="AE592" s="5" t="str">
        <f>IFERROR(__xludf.DUMMYFUNCTION("""COMPUTED_VALUE"""),"Yes")</f>
        <v>Yes</v>
      </c>
      <c r="AF592" s="5" t="str">
        <f>IFERROR(__xludf.DUMMYFUNCTION("""COMPUTED_VALUE"""),"Yes")</f>
        <v>Yes</v>
      </c>
      <c r="AG592" s="5" t="str">
        <f>IFERROR(__xludf.DUMMYFUNCTION("""COMPUTED_VALUE"""),"Yes")</f>
        <v>Yes</v>
      </c>
      <c r="AH592" s="5" t="str">
        <f>IFERROR(__xludf.DUMMYFUNCTION("""COMPUTED_VALUE"""),"Yes")</f>
        <v>Yes</v>
      </c>
      <c r="AI592" s="5" t="str">
        <f>IFERROR(__xludf.DUMMYFUNCTION("""COMPUTED_VALUE"""),"Yes")</f>
        <v>Yes</v>
      </c>
      <c r="AJ592" s="5" t="str">
        <f>IFERROR(__xludf.DUMMYFUNCTION("""COMPUTED_VALUE"""),"Yes")</f>
        <v>Yes</v>
      </c>
      <c r="AK592" s="5" t="str">
        <f>IFERROR(__xludf.DUMMYFUNCTION("""COMPUTED_VALUE"""),"Yes")</f>
        <v>Yes</v>
      </c>
      <c r="AL592" s="5" t="str">
        <f>IFERROR(__xludf.DUMMYFUNCTION("""COMPUTED_VALUE"""),"No")</f>
        <v>No</v>
      </c>
      <c r="AM592" s="5"/>
      <c r="AN592" s="5"/>
      <c r="AO592" s="5"/>
      <c r="AP592" s="5"/>
      <c r="AQ592" s="5"/>
      <c r="AR592" s="5"/>
      <c r="AS592" s="5"/>
      <c r="AT592" s="5"/>
      <c r="AU592" s="5"/>
      <c r="AV592" s="5"/>
      <c r="AW592" s="5"/>
      <c r="AX592" s="5"/>
      <c r="AY592" s="5"/>
    </row>
    <row r="593">
      <c r="A5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3" s="5">
        <f>IFERROR(__xludf.DUMMYFUNCTION("""COMPUTED_VALUE"""),627.0)</f>
        <v>627</v>
      </c>
      <c r="C593" s="5">
        <f>IFERROR(__xludf.DUMMYFUNCTION("""COMPUTED_VALUE"""),4022.0)</f>
        <v>4022</v>
      </c>
      <c r="D593" s="5" t="str">
        <f>IFERROR(__xludf.DUMMYFUNCTION("""COMPUTED_VALUE"""),"GigaHot40FreeSpins")</f>
        <v>GigaHot40FreeSpins</v>
      </c>
      <c r="E593" s="5" t="str">
        <f>IFERROR(__xludf.DUMMYFUNCTION("""COMPUTED_VALUE"""),"Yes")</f>
        <v>Yes</v>
      </c>
      <c r="F593" s="5" t="str">
        <f>IFERROR(__xludf.DUMMYFUNCTION("""COMPUTED_VALUE"""),"Yes")</f>
        <v>Yes</v>
      </c>
      <c r="G593" s="5" t="str">
        <f>IFERROR(__xludf.DUMMYFUNCTION("""COMPUTED_VALUE"""),"Yes")</f>
        <v>Yes</v>
      </c>
      <c r="H593" s="5" t="str">
        <f>IFERROR(__xludf.DUMMYFUNCTION("""COMPUTED_VALUE"""),"Yes")</f>
        <v>Yes</v>
      </c>
      <c r="I593" s="5" t="str">
        <f>IFERROR(__xludf.DUMMYFUNCTION("""COMPUTED_VALUE"""),"Yes")</f>
        <v>Yes</v>
      </c>
      <c r="J593" s="5" t="str">
        <f>IFERROR(__xludf.DUMMYFUNCTION("""COMPUTED_VALUE"""),"Yes")</f>
        <v>Yes</v>
      </c>
      <c r="K593" s="5" t="str">
        <f>IFERROR(__xludf.DUMMYFUNCTION("""COMPUTED_VALUE"""),"Yes")</f>
        <v>Yes</v>
      </c>
      <c r="L593" s="5" t="str">
        <f>IFERROR(__xludf.DUMMYFUNCTION("""COMPUTED_VALUE"""),"Yes")</f>
        <v>Yes</v>
      </c>
      <c r="M593" s="5" t="str">
        <f>IFERROR(__xludf.DUMMYFUNCTION("""COMPUTED_VALUE"""),"Yes")</f>
        <v>Yes</v>
      </c>
      <c r="N593" s="5" t="str">
        <f>IFERROR(__xludf.DUMMYFUNCTION("""COMPUTED_VALUE"""),"Yes")</f>
        <v>Yes</v>
      </c>
      <c r="O593" s="5" t="str">
        <f>IFERROR(__xludf.DUMMYFUNCTION("""COMPUTED_VALUE"""),"Yes")</f>
        <v>Yes</v>
      </c>
      <c r="P593" s="5" t="str">
        <f>IFERROR(__xludf.DUMMYFUNCTION("""COMPUTED_VALUE"""),"Yes")</f>
        <v>Yes</v>
      </c>
      <c r="Q593" s="5" t="str">
        <f>IFERROR(__xludf.DUMMYFUNCTION("""COMPUTED_VALUE"""),"Yes")</f>
        <v>Yes</v>
      </c>
      <c r="R593" s="5" t="str">
        <f>IFERROR(__xludf.DUMMYFUNCTION("""COMPUTED_VALUE"""),"Yes")</f>
        <v>Yes</v>
      </c>
      <c r="S593" s="5" t="str">
        <f>IFERROR(__xludf.DUMMYFUNCTION("""COMPUTED_VALUE"""),"Yes")</f>
        <v>Yes</v>
      </c>
      <c r="T593" s="5" t="str">
        <f>IFERROR(__xludf.DUMMYFUNCTION("""COMPUTED_VALUE"""),"Yes")</f>
        <v>Yes</v>
      </c>
      <c r="U593" s="5" t="str">
        <f>IFERROR(__xludf.DUMMYFUNCTION("""COMPUTED_VALUE"""),"Yes")</f>
        <v>Yes</v>
      </c>
      <c r="V593" s="5" t="str">
        <f>IFERROR(__xludf.DUMMYFUNCTION("""COMPUTED_VALUE"""),"Yes")</f>
        <v>Yes</v>
      </c>
      <c r="W593" s="5" t="str">
        <f>IFERROR(__xludf.DUMMYFUNCTION("""COMPUTED_VALUE"""),"Yes")</f>
        <v>Yes</v>
      </c>
      <c r="X593" s="5" t="str">
        <f>IFERROR(__xludf.DUMMYFUNCTION("""COMPUTED_VALUE"""),"Yes")</f>
        <v>Yes</v>
      </c>
      <c r="Y593" s="5" t="str">
        <f>IFERROR(__xludf.DUMMYFUNCTION("""COMPUTED_VALUE"""),"Yes")</f>
        <v>Yes</v>
      </c>
      <c r="Z593" s="5" t="str">
        <f>IFERROR(__xludf.DUMMYFUNCTION("""COMPUTED_VALUE"""),"No")</f>
        <v>No</v>
      </c>
      <c r="AA593" s="5" t="str">
        <f>IFERROR(__xludf.DUMMYFUNCTION("""COMPUTED_VALUE"""),"Yes")</f>
        <v>Yes</v>
      </c>
      <c r="AB593" s="5" t="str">
        <f>IFERROR(__xludf.DUMMYFUNCTION("""COMPUTED_VALUE"""),"Yes")</f>
        <v>Yes</v>
      </c>
      <c r="AC593" s="5" t="str">
        <f>IFERROR(__xludf.DUMMYFUNCTION("""COMPUTED_VALUE"""),"Yes")</f>
        <v>Yes</v>
      </c>
      <c r="AD593" s="5" t="str">
        <f>IFERROR(__xludf.DUMMYFUNCTION("""COMPUTED_VALUE"""),"Yes")</f>
        <v>Yes</v>
      </c>
      <c r="AE593" s="5" t="str">
        <f>IFERROR(__xludf.DUMMYFUNCTION("""COMPUTED_VALUE"""),"No")</f>
        <v>No</v>
      </c>
      <c r="AF593" s="5" t="str">
        <f>IFERROR(__xludf.DUMMYFUNCTION("""COMPUTED_VALUE"""),"Yes")</f>
        <v>Yes</v>
      </c>
      <c r="AG593" s="5" t="str">
        <f>IFERROR(__xludf.DUMMYFUNCTION("""COMPUTED_VALUE"""),"No")</f>
        <v>No</v>
      </c>
      <c r="AH593" s="5" t="str">
        <f>IFERROR(__xludf.DUMMYFUNCTION("""COMPUTED_VALUE"""),"No")</f>
        <v>No</v>
      </c>
      <c r="AI593" s="5" t="str">
        <f>IFERROR(__xludf.DUMMYFUNCTION("""COMPUTED_VALUE"""),"No")</f>
        <v>No</v>
      </c>
      <c r="AJ593" s="5" t="str">
        <f>IFERROR(__xludf.DUMMYFUNCTION("""COMPUTED_VALUE"""),"No")</f>
        <v>No</v>
      </c>
      <c r="AK593" s="5" t="str">
        <f>IFERROR(__xludf.DUMMYFUNCTION("""COMPUTED_VALUE"""),"No")</f>
        <v>No</v>
      </c>
      <c r="AL593" s="5" t="str">
        <f>IFERROR(__xludf.DUMMYFUNCTION("""COMPUTED_VALUE"""),"No")</f>
        <v>No</v>
      </c>
      <c r="AM593" s="5"/>
      <c r="AN593" s="5"/>
      <c r="AO593" s="5"/>
      <c r="AP593" s="5"/>
      <c r="AQ593" s="5"/>
      <c r="AR593" s="5"/>
      <c r="AS593" s="5"/>
      <c r="AT593" s="5"/>
      <c r="AU593" s="5"/>
      <c r="AV593" s="5"/>
      <c r="AW593" s="5"/>
      <c r="AX593" s="5"/>
      <c r="AY593" s="5"/>
    </row>
    <row r="594">
      <c r="A59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94" s="5">
        <f>IFERROR(__xludf.DUMMYFUNCTION("""COMPUTED_VALUE"""),628.0)</f>
        <v>628</v>
      </c>
      <c r="C594" s="5">
        <f>IFERROR(__xludf.DUMMYFUNCTION("""COMPUTED_VALUE"""),-1.0)</f>
        <v>-1</v>
      </c>
      <c r="D594" s="5" t="str">
        <f>IFERROR(__xludf.DUMMYFUNCTION("""COMPUTED_VALUE"""),"TBD")</f>
        <v>TBD</v>
      </c>
      <c r="E594" s="5" t="str">
        <f>IFERROR(__xludf.DUMMYFUNCTION("""COMPUTED_VALUE"""),"Yes")</f>
        <v>Yes</v>
      </c>
      <c r="F594" s="5" t="str">
        <f>IFERROR(__xludf.DUMMYFUNCTION("""COMPUTED_VALUE"""),"Yes")</f>
        <v>Yes</v>
      </c>
      <c r="G594" s="5" t="str">
        <f>IFERROR(__xludf.DUMMYFUNCTION("""COMPUTED_VALUE"""),"Yes")</f>
        <v>Yes</v>
      </c>
      <c r="H594" s="5"/>
      <c r="I594" s="5"/>
      <c r="J594" s="5"/>
      <c r="K594" s="5"/>
      <c r="L594" s="5"/>
      <c r="M594" s="5" t="str">
        <f>IFERROR(__xludf.DUMMYFUNCTION("""COMPUTED_VALUE"""),"Yes")</f>
        <v>Yes</v>
      </c>
      <c r="N594" s="5" t="str">
        <f>IFERROR(__xludf.DUMMYFUNCTION("""COMPUTED_VALUE"""),"Yes")</f>
        <v>Yes</v>
      </c>
      <c r="O594" s="5" t="str">
        <f>IFERROR(__xludf.DUMMYFUNCTION("""COMPUTED_VALUE"""),"Yes")</f>
        <v>Yes</v>
      </c>
      <c r="P594" s="5" t="str">
        <f>IFERROR(__xludf.DUMMYFUNCTION("""COMPUTED_VALUE"""),"Yes")</f>
        <v>Yes</v>
      </c>
      <c r="Q594" s="5" t="str">
        <f>IFERROR(__xludf.DUMMYFUNCTION("""COMPUTED_VALUE"""),"Yes")</f>
        <v>Yes</v>
      </c>
      <c r="R594" s="5"/>
      <c r="S594" s="5" t="str">
        <f>IFERROR(__xludf.DUMMYFUNCTION("""COMPUTED_VALUE"""),"Yes")</f>
        <v>Yes</v>
      </c>
      <c r="T594" s="5"/>
      <c r="U594" s="5"/>
      <c r="V594" s="5"/>
      <c r="W594" s="5"/>
      <c r="X594" s="5"/>
      <c r="Y594" s="5"/>
      <c r="Z594" s="5"/>
      <c r="AA594" s="5" t="str">
        <f>IFERROR(__xludf.DUMMYFUNCTION("""COMPUTED_VALUE"""),"Yes")</f>
        <v>Yes</v>
      </c>
      <c r="AB594" s="5"/>
      <c r="AC594" s="5"/>
      <c r="AD594" s="5"/>
      <c r="AE594" s="5"/>
      <c r="AF594" s="5" t="str">
        <f>IFERROR(__xludf.DUMMYFUNCTION("""COMPUTED_VALUE"""),"Yes")</f>
        <v>Yes</v>
      </c>
      <c r="AG594" s="5"/>
      <c r="AH594" s="5"/>
      <c r="AI594" s="5"/>
      <c r="AJ594" s="5"/>
      <c r="AK594" s="5"/>
      <c r="AL594" s="5" t="str">
        <f>IFERROR(__xludf.DUMMYFUNCTION("""COMPUTED_VALUE"""),"Yes")</f>
        <v>Yes</v>
      </c>
      <c r="AM594" s="5"/>
      <c r="AN594" s="5"/>
      <c r="AO594" s="5"/>
      <c r="AP594" s="5"/>
      <c r="AQ594" s="5"/>
      <c r="AR594" s="5"/>
      <c r="AS594" s="5"/>
      <c r="AT594" s="5"/>
      <c r="AU594" s="5"/>
      <c r="AV594" s="5"/>
      <c r="AW594" s="5"/>
      <c r="AX594" s="5"/>
      <c r="AY594" s="5"/>
    </row>
    <row r="595">
      <c r="A5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5" s="5">
        <f>IFERROR(__xludf.DUMMYFUNCTION("""COMPUTED_VALUE"""),629.0)</f>
        <v>629</v>
      </c>
      <c r="C595" s="5">
        <f>IFERROR(__xludf.DUMMYFUNCTION("""COMPUTED_VALUE"""),3025.0)</f>
        <v>3025</v>
      </c>
      <c r="D595" s="5" t="str">
        <f>IFERROR(__xludf.DUMMYFUNCTION("""COMPUTED_VALUE"""),"VeryHot5ChristmasBooster")</f>
        <v>VeryHot5ChristmasBooster</v>
      </c>
      <c r="E595" s="5" t="str">
        <f>IFERROR(__xludf.DUMMYFUNCTION("""COMPUTED_VALUE"""),"Yes")</f>
        <v>Yes</v>
      </c>
      <c r="F595" s="5" t="str">
        <f>IFERROR(__xludf.DUMMYFUNCTION("""COMPUTED_VALUE"""),"Yes")</f>
        <v>Yes</v>
      </c>
      <c r="G595" s="5" t="str">
        <f>IFERROR(__xludf.DUMMYFUNCTION("""COMPUTED_VALUE"""),"Yes")</f>
        <v>Yes</v>
      </c>
      <c r="H595" s="5" t="str">
        <f>IFERROR(__xludf.DUMMYFUNCTION("""COMPUTED_VALUE"""),"Yes")</f>
        <v>Yes</v>
      </c>
      <c r="I595" s="5" t="str">
        <f>IFERROR(__xludf.DUMMYFUNCTION("""COMPUTED_VALUE"""),"Yes")</f>
        <v>Yes</v>
      </c>
      <c r="J595" s="5" t="str">
        <f>IFERROR(__xludf.DUMMYFUNCTION("""COMPUTED_VALUE"""),"Yes")</f>
        <v>Yes</v>
      </c>
      <c r="K595" s="5" t="str">
        <f>IFERROR(__xludf.DUMMYFUNCTION("""COMPUTED_VALUE"""),"Yes")</f>
        <v>Yes</v>
      </c>
      <c r="L595" s="5" t="str">
        <f>IFERROR(__xludf.DUMMYFUNCTION("""COMPUTED_VALUE"""),"Yes")</f>
        <v>Yes</v>
      </c>
      <c r="M595" s="5" t="str">
        <f>IFERROR(__xludf.DUMMYFUNCTION("""COMPUTED_VALUE"""),"Yes")</f>
        <v>Yes</v>
      </c>
      <c r="N595" s="5" t="str">
        <f>IFERROR(__xludf.DUMMYFUNCTION("""COMPUTED_VALUE"""),"Yes")</f>
        <v>Yes</v>
      </c>
      <c r="O595" s="5" t="str">
        <f>IFERROR(__xludf.DUMMYFUNCTION("""COMPUTED_VALUE"""),"Yes")</f>
        <v>Yes</v>
      </c>
      <c r="P595" s="5" t="str">
        <f>IFERROR(__xludf.DUMMYFUNCTION("""COMPUTED_VALUE"""),"Yes")</f>
        <v>Yes</v>
      </c>
      <c r="Q595" s="5" t="str">
        <f>IFERROR(__xludf.DUMMYFUNCTION("""COMPUTED_VALUE"""),"Yes")</f>
        <v>Yes</v>
      </c>
      <c r="R595" s="5" t="str">
        <f>IFERROR(__xludf.DUMMYFUNCTION("""COMPUTED_VALUE"""),"Yes")</f>
        <v>Yes</v>
      </c>
      <c r="S595" s="5" t="str">
        <f>IFERROR(__xludf.DUMMYFUNCTION("""COMPUTED_VALUE"""),"Yes")</f>
        <v>Yes</v>
      </c>
      <c r="T595" s="5" t="str">
        <f>IFERROR(__xludf.DUMMYFUNCTION("""COMPUTED_VALUE"""),"Yes")</f>
        <v>Yes</v>
      </c>
      <c r="U595" s="5" t="str">
        <f>IFERROR(__xludf.DUMMYFUNCTION("""COMPUTED_VALUE"""),"Yes")</f>
        <v>Yes</v>
      </c>
      <c r="V595" s="5" t="str">
        <f>IFERROR(__xludf.DUMMYFUNCTION("""COMPUTED_VALUE"""),"Yes")</f>
        <v>Yes</v>
      </c>
      <c r="W595" s="5" t="str">
        <f>IFERROR(__xludf.DUMMYFUNCTION("""COMPUTED_VALUE"""),"Yes")</f>
        <v>Yes</v>
      </c>
      <c r="X595" s="5" t="str">
        <f>IFERROR(__xludf.DUMMYFUNCTION("""COMPUTED_VALUE"""),"Yes")</f>
        <v>Yes</v>
      </c>
      <c r="Y595" s="5" t="str">
        <f>IFERROR(__xludf.DUMMYFUNCTION("""COMPUTED_VALUE"""),"Yes")</f>
        <v>Yes</v>
      </c>
      <c r="Z595" s="5" t="str">
        <f>IFERROR(__xludf.DUMMYFUNCTION("""COMPUTED_VALUE"""),"No")</f>
        <v>No</v>
      </c>
      <c r="AA595" s="5" t="str">
        <f>IFERROR(__xludf.DUMMYFUNCTION("""COMPUTED_VALUE"""),"Yes")</f>
        <v>Yes</v>
      </c>
      <c r="AB595" s="5" t="str">
        <f>IFERROR(__xludf.DUMMYFUNCTION("""COMPUTED_VALUE"""),"Yes")</f>
        <v>Yes</v>
      </c>
      <c r="AC595" s="5" t="str">
        <f>IFERROR(__xludf.DUMMYFUNCTION("""COMPUTED_VALUE"""),"Yes")</f>
        <v>Yes</v>
      </c>
      <c r="AD595" s="5" t="str">
        <f>IFERROR(__xludf.DUMMYFUNCTION("""COMPUTED_VALUE"""),"Yes")</f>
        <v>Yes</v>
      </c>
      <c r="AE595" s="5" t="str">
        <f>IFERROR(__xludf.DUMMYFUNCTION("""COMPUTED_VALUE"""),"No")</f>
        <v>No</v>
      </c>
      <c r="AF595" s="5" t="str">
        <f>IFERROR(__xludf.DUMMYFUNCTION("""COMPUTED_VALUE"""),"Yes")</f>
        <v>Yes</v>
      </c>
      <c r="AG595" s="5" t="str">
        <f>IFERROR(__xludf.DUMMYFUNCTION("""COMPUTED_VALUE"""),"No")</f>
        <v>No</v>
      </c>
      <c r="AH595" s="5" t="str">
        <f>IFERROR(__xludf.DUMMYFUNCTION("""COMPUTED_VALUE"""),"No")</f>
        <v>No</v>
      </c>
      <c r="AI595" s="5" t="str">
        <f>IFERROR(__xludf.DUMMYFUNCTION("""COMPUTED_VALUE"""),"No")</f>
        <v>No</v>
      </c>
      <c r="AJ595" s="5" t="str">
        <f>IFERROR(__xludf.DUMMYFUNCTION("""COMPUTED_VALUE"""),"No")</f>
        <v>No</v>
      </c>
      <c r="AK595" s="5" t="str">
        <f>IFERROR(__xludf.DUMMYFUNCTION("""COMPUTED_VALUE"""),"No")</f>
        <v>No</v>
      </c>
      <c r="AL595" s="5" t="str">
        <f>IFERROR(__xludf.DUMMYFUNCTION("""COMPUTED_VALUE"""),"No")</f>
        <v>No</v>
      </c>
      <c r="AM595" s="5"/>
      <c r="AN595" s="5"/>
      <c r="AO595" s="5"/>
      <c r="AP595" s="5"/>
      <c r="AQ595" s="5"/>
      <c r="AR595" s="5"/>
      <c r="AS595" s="5"/>
      <c r="AT595" s="5"/>
      <c r="AU595" s="5"/>
      <c r="AV595" s="5"/>
      <c r="AW595" s="5"/>
      <c r="AX595" s="5"/>
      <c r="AY595" s="5"/>
    </row>
    <row r="596">
      <c r="A596" s="5" t="str">
        <f>IFERROR(__xludf.DUMMYFUNCTION("""COMPUTED_VALUE"""),"Social English(""sen"")")</f>
        <v>Social English("sen")</v>
      </c>
      <c r="B596" s="5">
        <f>IFERROR(__xludf.DUMMYFUNCTION("""COMPUTED_VALUE"""),630.0)</f>
        <v>630</v>
      </c>
      <c r="C596" s="5">
        <f>IFERROR(__xludf.DUMMYFUNCTION("""COMPUTED_VALUE"""),-1.0)</f>
        <v>-1</v>
      </c>
      <c r="D596" s="5" t="str">
        <f>IFERROR(__xludf.DUMMYFUNCTION("""COMPUTED_VALUE"""),"TBD")</f>
        <v>TBD</v>
      </c>
      <c r="E596" s="5"/>
      <c r="F596" s="5"/>
      <c r="G596" s="5"/>
      <c r="H596" s="5"/>
      <c r="I596" s="5"/>
      <c r="J596" s="5"/>
      <c r="K596" s="5"/>
      <c r="L596" s="5"/>
      <c r="M596" s="5"/>
      <c r="N596" s="5"/>
      <c r="O596" s="5"/>
      <c r="P596" s="5"/>
      <c r="Q596" s="5"/>
      <c r="R596" s="5"/>
      <c r="S596" s="5"/>
      <c r="T596" s="5"/>
      <c r="U596" s="5"/>
      <c r="V596" s="5"/>
      <c r="W596" s="5"/>
      <c r="X596" s="5"/>
      <c r="Y596" s="5" t="str">
        <f>IFERROR(__xludf.DUMMYFUNCTION("""COMPUTED_VALUE"""),"Yes")</f>
        <v>Yes</v>
      </c>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row>
    <row r="597">
      <c r="A5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7" s="5">
        <f>IFERROR(__xludf.DUMMYFUNCTION("""COMPUTED_VALUE"""),631.0)</f>
        <v>631</v>
      </c>
      <c r="C597" s="5">
        <f>IFERROR(__xludf.DUMMYFUNCTION("""COMPUTED_VALUE"""),3022.0)</f>
        <v>3022</v>
      </c>
      <c r="D597" s="5" t="str">
        <f>IFERROR(__xludf.DUMMYFUNCTION("""COMPUTED_VALUE"""),"TaxiRush")</f>
        <v>TaxiRush</v>
      </c>
      <c r="E597" s="5" t="str">
        <f>IFERROR(__xludf.DUMMYFUNCTION("""COMPUTED_VALUE"""),"Yes")</f>
        <v>Yes</v>
      </c>
      <c r="F597" s="5" t="str">
        <f>IFERROR(__xludf.DUMMYFUNCTION("""COMPUTED_VALUE"""),"Yes")</f>
        <v>Yes</v>
      </c>
      <c r="G597" s="5" t="str">
        <f>IFERROR(__xludf.DUMMYFUNCTION("""COMPUTED_VALUE"""),"Yes")</f>
        <v>Yes</v>
      </c>
      <c r="H597" s="5" t="str">
        <f>IFERROR(__xludf.DUMMYFUNCTION("""COMPUTED_VALUE"""),"Yes")</f>
        <v>Yes</v>
      </c>
      <c r="I597" s="5" t="str">
        <f>IFERROR(__xludf.DUMMYFUNCTION("""COMPUTED_VALUE"""),"Yes")</f>
        <v>Yes</v>
      </c>
      <c r="J597" s="5" t="str">
        <f>IFERROR(__xludf.DUMMYFUNCTION("""COMPUTED_VALUE"""),"Yes")</f>
        <v>Yes</v>
      </c>
      <c r="K597" s="5" t="str">
        <f>IFERROR(__xludf.DUMMYFUNCTION("""COMPUTED_VALUE"""),"Yes")</f>
        <v>Yes</v>
      </c>
      <c r="L597" s="5" t="str">
        <f>IFERROR(__xludf.DUMMYFUNCTION("""COMPUTED_VALUE"""),"Yes")</f>
        <v>Yes</v>
      </c>
      <c r="M597" s="5" t="str">
        <f>IFERROR(__xludf.DUMMYFUNCTION("""COMPUTED_VALUE"""),"Yes")</f>
        <v>Yes</v>
      </c>
      <c r="N597" s="5" t="str">
        <f>IFERROR(__xludf.DUMMYFUNCTION("""COMPUTED_VALUE"""),"Yes")</f>
        <v>Yes</v>
      </c>
      <c r="O597" s="5" t="str">
        <f>IFERROR(__xludf.DUMMYFUNCTION("""COMPUTED_VALUE"""),"Yes")</f>
        <v>Yes</v>
      </c>
      <c r="P597" s="5" t="str">
        <f>IFERROR(__xludf.DUMMYFUNCTION("""COMPUTED_VALUE"""),"Yes")</f>
        <v>Yes</v>
      </c>
      <c r="Q597" s="5" t="str">
        <f>IFERROR(__xludf.DUMMYFUNCTION("""COMPUTED_VALUE"""),"Yes")</f>
        <v>Yes</v>
      </c>
      <c r="R597" s="5" t="str">
        <f>IFERROR(__xludf.DUMMYFUNCTION("""COMPUTED_VALUE"""),"Yes")</f>
        <v>Yes</v>
      </c>
      <c r="S597" s="5" t="str">
        <f>IFERROR(__xludf.DUMMYFUNCTION("""COMPUTED_VALUE"""),"Yes")</f>
        <v>Yes</v>
      </c>
      <c r="T597" s="5" t="str">
        <f>IFERROR(__xludf.DUMMYFUNCTION("""COMPUTED_VALUE"""),"Yes")</f>
        <v>Yes</v>
      </c>
      <c r="U597" s="5" t="str">
        <f>IFERROR(__xludf.DUMMYFUNCTION("""COMPUTED_VALUE"""),"Yes")</f>
        <v>Yes</v>
      </c>
      <c r="V597" s="5" t="str">
        <f>IFERROR(__xludf.DUMMYFUNCTION("""COMPUTED_VALUE"""),"Yes")</f>
        <v>Yes</v>
      </c>
      <c r="W597" s="5" t="str">
        <f>IFERROR(__xludf.DUMMYFUNCTION("""COMPUTED_VALUE"""),"Yes")</f>
        <v>Yes</v>
      </c>
      <c r="X597" s="5" t="str">
        <f>IFERROR(__xludf.DUMMYFUNCTION("""COMPUTED_VALUE"""),"Yes")</f>
        <v>Yes</v>
      </c>
      <c r="Y597" s="5" t="str">
        <f>IFERROR(__xludf.DUMMYFUNCTION("""COMPUTED_VALUE"""),"Yes")</f>
        <v>Yes</v>
      </c>
      <c r="Z597" s="5" t="str">
        <f>IFERROR(__xludf.DUMMYFUNCTION("""COMPUTED_VALUE"""),"Yes")</f>
        <v>Yes</v>
      </c>
      <c r="AA597" s="5" t="str">
        <f>IFERROR(__xludf.DUMMYFUNCTION("""COMPUTED_VALUE"""),"Yes")</f>
        <v>Yes</v>
      </c>
      <c r="AB597" s="5" t="str">
        <f>IFERROR(__xludf.DUMMYFUNCTION("""COMPUTED_VALUE"""),"Yes")</f>
        <v>Yes</v>
      </c>
      <c r="AC597" s="5" t="str">
        <f>IFERROR(__xludf.DUMMYFUNCTION("""COMPUTED_VALUE"""),"Yes")</f>
        <v>Yes</v>
      </c>
      <c r="AD597" s="5" t="str">
        <f>IFERROR(__xludf.DUMMYFUNCTION("""COMPUTED_VALUE"""),"Yes")</f>
        <v>Yes</v>
      </c>
      <c r="AE597" s="5" t="str">
        <f>IFERROR(__xludf.DUMMYFUNCTION("""COMPUTED_VALUE"""),"Yes")</f>
        <v>Yes</v>
      </c>
      <c r="AF597" s="5" t="str">
        <f>IFERROR(__xludf.DUMMYFUNCTION("""COMPUTED_VALUE"""),"Yes")</f>
        <v>Yes</v>
      </c>
      <c r="AG597" s="5" t="str">
        <f>IFERROR(__xludf.DUMMYFUNCTION("""COMPUTED_VALUE"""),"Yes")</f>
        <v>Yes</v>
      </c>
      <c r="AH597" s="5" t="str">
        <f>IFERROR(__xludf.DUMMYFUNCTION("""COMPUTED_VALUE"""),"Yes")</f>
        <v>Yes</v>
      </c>
      <c r="AI597" s="5" t="str">
        <f>IFERROR(__xludf.DUMMYFUNCTION("""COMPUTED_VALUE"""),"Yes")</f>
        <v>Yes</v>
      </c>
      <c r="AJ597" s="5" t="str">
        <f>IFERROR(__xludf.DUMMYFUNCTION("""COMPUTED_VALUE"""),"Yes")</f>
        <v>Yes</v>
      </c>
      <c r="AK597" s="5" t="str">
        <f>IFERROR(__xludf.DUMMYFUNCTION("""COMPUTED_VALUE"""),"Yes")</f>
        <v>Yes</v>
      </c>
      <c r="AL597" s="5" t="str">
        <f>IFERROR(__xludf.DUMMYFUNCTION("""COMPUTED_VALUE"""),"No")</f>
        <v>No</v>
      </c>
      <c r="AM597" s="5"/>
      <c r="AN597" s="5"/>
      <c r="AO597" s="5"/>
      <c r="AP597" s="5"/>
      <c r="AQ597" s="5"/>
      <c r="AR597" s="5"/>
      <c r="AS597" s="5"/>
      <c r="AT597" s="5"/>
      <c r="AU597" s="5"/>
      <c r="AV597" s="5"/>
      <c r="AW597" s="5"/>
      <c r="AX597" s="5"/>
      <c r="AY597" s="5"/>
    </row>
    <row r="598">
      <c r="A5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8" s="5">
        <f>IFERROR(__xludf.DUMMYFUNCTION("""COMPUTED_VALUE"""),632.0)</f>
        <v>632</v>
      </c>
      <c r="C598" s="5">
        <f>IFERROR(__xludf.DUMMYFUNCTION("""COMPUTED_VALUE"""),2009.0)</f>
        <v>2009</v>
      </c>
      <c r="D598" s="5" t="str">
        <f>IFERROR(__xludf.DUMMYFUNCTION("""COMPUTED_VALUE"""),"WildHot40HoldAndWin")</f>
        <v>WildHot40HoldAndWin</v>
      </c>
      <c r="E598" s="5" t="str">
        <f>IFERROR(__xludf.DUMMYFUNCTION("""COMPUTED_VALUE"""),"Yes")</f>
        <v>Yes</v>
      </c>
      <c r="F598" s="5" t="str">
        <f>IFERROR(__xludf.DUMMYFUNCTION("""COMPUTED_VALUE"""),"Yes")</f>
        <v>Yes</v>
      </c>
      <c r="G598" s="5" t="str">
        <f>IFERROR(__xludf.DUMMYFUNCTION("""COMPUTED_VALUE"""),"Yes")</f>
        <v>Yes</v>
      </c>
      <c r="H598" s="5" t="str">
        <f>IFERROR(__xludf.DUMMYFUNCTION("""COMPUTED_VALUE"""),"Yes")</f>
        <v>Yes</v>
      </c>
      <c r="I598" s="5" t="str">
        <f>IFERROR(__xludf.DUMMYFUNCTION("""COMPUTED_VALUE"""),"Yes")</f>
        <v>Yes</v>
      </c>
      <c r="J598" s="5" t="str">
        <f>IFERROR(__xludf.DUMMYFUNCTION("""COMPUTED_VALUE"""),"Yes")</f>
        <v>Yes</v>
      </c>
      <c r="K598" s="5" t="str">
        <f>IFERROR(__xludf.DUMMYFUNCTION("""COMPUTED_VALUE"""),"Yes")</f>
        <v>Yes</v>
      </c>
      <c r="L598" s="5" t="str">
        <f>IFERROR(__xludf.DUMMYFUNCTION("""COMPUTED_VALUE"""),"Yes")</f>
        <v>Yes</v>
      </c>
      <c r="M598" s="5" t="str">
        <f>IFERROR(__xludf.DUMMYFUNCTION("""COMPUTED_VALUE"""),"Yes")</f>
        <v>Yes</v>
      </c>
      <c r="N598" s="5" t="str">
        <f>IFERROR(__xludf.DUMMYFUNCTION("""COMPUTED_VALUE"""),"Yes")</f>
        <v>Yes</v>
      </c>
      <c r="O598" s="5" t="str">
        <f>IFERROR(__xludf.DUMMYFUNCTION("""COMPUTED_VALUE"""),"Yes")</f>
        <v>Yes</v>
      </c>
      <c r="P598" s="5" t="str">
        <f>IFERROR(__xludf.DUMMYFUNCTION("""COMPUTED_VALUE"""),"Yes")</f>
        <v>Yes</v>
      </c>
      <c r="Q598" s="5" t="str">
        <f>IFERROR(__xludf.DUMMYFUNCTION("""COMPUTED_VALUE"""),"Yes")</f>
        <v>Yes</v>
      </c>
      <c r="R598" s="5" t="str">
        <f>IFERROR(__xludf.DUMMYFUNCTION("""COMPUTED_VALUE"""),"Yes")</f>
        <v>Yes</v>
      </c>
      <c r="S598" s="5" t="str">
        <f>IFERROR(__xludf.DUMMYFUNCTION("""COMPUTED_VALUE"""),"Yes")</f>
        <v>Yes</v>
      </c>
      <c r="T598" s="5" t="str">
        <f>IFERROR(__xludf.DUMMYFUNCTION("""COMPUTED_VALUE"""),"Yes")</f>
        <v>Yes</v>
      </c>
      <c r="U598" s="5" t="str">
        <f>IFERROR(__xludf.DUMMYFUNCTION("""COMPUTED_VALUE"""),"Yes")</f>
        <v>Yes</v>
      </c>
      <c r="V598" s="5" t="str">
        <f>IFERROR(__xludf.DUMMYFUNCTION("""COMPUTED_VALUE"""),"Yes")</f>
        <v>Yes</v>
      </c>
      <c r="W598" s="5" t="str">
        <f>IFERROR(__xludf.DUMMYFUNCTION("""COMPUTED_VALUE"""),"Yes")</f>
        <v>Yes</v>
      </c>
      <c r="X598" s="5" t="str">
        <f>IFERROR(__xludf.DUMMYFUNCTION("""COMPUTED_VALUE"""),"Yes")</f>
        <v>Yes</v>
      </c>
      <c r="Y598" s="5" t="str">
        <f>IFERROR(__xludf.DUMMYFUNCTION("""COMPUTED_VALUE"""),"Yes")</f>
        <v>Yes</v>
      </c>
      <c r="Z598" s="5" t="str">
        <f>IFERROR(__xludf.DUMMYFUNCTION("""COMPUTED_VALUE"""),"Yes")</f>
        <v>Yes</v>
      </c>
      <c r="AA598" s="5" t="str">
        <f>IFERROR(__xludf.DUMMYFUNCTION("""COMPUTED_VALUE"""),"Yes")</f>
        <v>Yes</v>
      </c>
      <c r="AB598" s="5" t="str">
        <f>IFERROR(__xludf.DUMMYFUNCTION("""COMPUTED_VALUE"""),"Yes")</f>
        <v>Yes</v>
      </c>
      <c r="AC598" s="5" t="str">
        <f>IFERROR(__xludf.DUMMYFUNCTION("""COMPUTED_VALUE"""),"Yes")</f>
        <v>Yes</v>
      </c>
      <c r="AD598" s="5" t="str">
        <f>IFERROR(__xludf.DUMMYFUNCTION("""COMPUTED_VALUE"""),"Yes")</f>
        <v>Yes</v>
      </c>
      <c r="AE598" s="5" t="str">
        <f>IFERROR(__xludf.DUMMYFUNCTION("""COMPUTED_VALUE"""),"Yes")</f>
        <v>Yes</v>
      </c>
      <c r="AF598" s="5" t="str">
        <f>IFERROR(__xludf.DUMMYFUNCTION("""COMPUTED_VALUE"""),"Yes")</f>
        <v>Yes</v>
      </c>
      <c r="AG598" s="5" t="str">
        <f>IFERROR(__xludf.DUMMYFUNCTION("""COMPUTED_VALUE"""),"Yes")</f>
        <v>Yes</v>
      </c>
      <c r="AH598" s="5" t="str">
        <f>IFERROR(__xludf.DUMMYFUNCTION("""COMPUTED_VALUE"""),"Yes")</f>
        <v>Yes</v>
      </c>
      <c r="AI598" s="5" t="str">
        <f>IFERROR(__xludf.DUMMYFUNCTION("""COMPUTED_VALUE"""),"Yes")</f>
        <v>Yes</v>
      </c>
      <c r="AJ598" s="5" t="str">
        <f>IFERROR(__xludf.DUMMYFUNCTION("""COMPUTED_VALUE"""),"Yes")</f>
        <v>Yes</v>
      </c>
      <c r="AK598" s="5" t="str">
        <f>IFERROR(__xludf.DUMMYFUNCTION("""COMPUTED_VALUE"""),"Yes")</f>
        <v>Yes</v>
      </c>
      <c r="AL598" s="5" t="str">
        <f>IFERROR(__xludf.DUMMYFUNCTION("""COMPUTED_VALUE"""),"No")</f>
        <v>No</v>
      </c>
      <c r="AM598" s="5"/>
      <c r="AN598" s="5"/>
      <c r="AO598" s="5"/>
      <c r="AP598" s="5"/>
      <c r="AQ598" s="5"/>
      <c r="AR598" s="5"/>
      <c r="AS598" s="5"/>
      <c r="AT598" s="5"/>
      <c r="AU598" s="5"/>
      <c r="AV598" s="5"/>
      <c r="AW598" s="5"/>
      <c r="AX598" s="5"/>
      <c r="AY598" s="5"/>
    </row>
    <row r="599">
      <c r="A599" s="5" t="str">
        <f>IFERROR(__xludf.DUMMYFUNCTION("""COMPUTED_VALUE"""),"")</f>
        <v/>
      </c>
      <c r="B599" s="5">
        <f>IFERROR(__xludf.DUMMYFUNCTION("""COMPUTED_VALUE"""),633.0)</f>
        <v>633</v>
      </c>
      <c r="C599" s="5">
        <f>IFERROR(__xludf.DUMMYFUNCTION("""COMPUTED_VALUE"""),-1.0)</f>
        <v>-1</v>
      </c>
      <c r="D599" s="5" t="str">
        <f>IFERROR(__xludf.DUMMYFUNCTION("""COMPUTED_VALUE"""),"TBD")</f>
        <v>TBD</v>
      </c>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row>
    <row r="600">
      <c r="A6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0" s="5">
        <f>IFERROR(__xludf.DUMMYFUNCTION("""COMPUTED_VALUE"""),635.0)</f>
        <v>635</v>
      </c>
      <c r="C600" s="5">
        <f>IFERROR(__xludf.DUMMYFUNCTION("""COMPUTED_VALUE"""),3027.0)</f>
        <v>3027</v>
      </c>
      <c r="D600" s="5" t="str">
        <f>IFERROR(__xludf.DUMMYFUNCTION("""COMPUTED_VALUE"""),"WildHot40BlowBooster")</f>
        <v>WildHot40BlowBooster</v>
      </c>
      <c r="E600" s="5" t="str">
        <f>IFERROR(__xludf.DUMMYFUNCTION("""COMPUTED_VALUE"""),"Yes")</f>
        <v>Yes</v>
      </c>
      <c r="F600" s="5" t="str">
        <f>IFERROR(__xludf.DUMMYFUNCTION("""COMPUTED_VALUE"""),"Yes")</f>
        <v>Yes</v>
      </c>
      <c r="G600" s="5" t="str">
        <f>IFERROR(__xludf.DUMMYFUNCTION("""COMPUTED_VALUE"""),"Yes")</f>
        <v>Yes</v>
      </c>
      <c r="H600" s="5" t="str">
        <f>IFERROR(__xludf.DUMMYFUNCTION("""COMPUTED_VALUE"""),"Yes")</f>
        <v>Yes</v>
      </c>
      <c r="I600" s="5" t="str">
        <f>IFERROR(__xludf.DUMMYFUNCTION("""COMPUTED_VALUE"""),"Yes")</f>
        <v>Yes</v>
      </c>
      <c r="J600" s="5" t="str">
        <f>IFERROR(__xludf.DUMMYFUNCTION("""COMPUTED_VALUE"""),"Yes")</f>
        <v>Yes</v>
      </c>
      <c r="K600" s="5" t="str">
        <f>IFERROR(__xludf.DUMMYFUNCTION("""COMPUTED_VALUE"""),"Yes")</f>
        <v>Yes</v>
      </c>
      <c r="L600" s="5" t="str">
        <f>IFERROR(__xludf.DUMMYFUNCTION("""COMPUTED_VALUE"""),"Yes")</f>
        <v>Yes</v>
      </c>
      <c r="M600" s="5" t="str">
        <f>IFERROR(__xludf.DUMMYFUNCTION("""COMPUTED_VALUE"""),"Yes")</f>
        <v>Yes</v>
      </c>
      <c r="N600" s="5" t="str">
        <f>IFERROR(__xludf.DUMMYFUNCTION("""COMPUTED_VALUE"""),"Yes")</f>
        <v>Yes</v>
      </c>
      <c r="O600" s="5" t="str">
        <f>IFERROR(__xludf.DUMMYFUNCTION("""COMPUTED_VALUE"""),"Yes")</f>
        <v>Yes</v>
      </c>
      <c r="P600" s="5" t="str">
        <f>IFERROR(__xludf.DUMMYFUNCTION("""COMPUTED_VALUE"""),"Yes")</f>
        <v>Yes</v>
      </c>
      <c r="Q600" s="5" t="str">
        <f>IFERROR(__xludf.DUMMYFUNCTION("""COMPUTED_VALUE"""),"Yes")</f>
        <v>Yes</v>
      </c>
      <c r="R600" s="5" t="str">
        <f>IFERROR(__xludf.DUMMYFUNCTION("""COMPUTED_VALUE"""),"Yes")</f>
        <v>Yes</v>
      </c>
      <c r="S600" s="5" t="str">
        <f>IFERROR(__xludf.DUMMYFUNCTION("""COMPUTED_VALUE"""),"Yes")</f>
        <v>Yes</v>
      </c>
      <c r="T600" s="5" t="str">
        <f>IFERROR(__xludf.DUMMYFUNCTION("""COMPUTED_VALUE"""),"Yes")</f>
        <v>Yes</v>
      </c>
      <c r="U600" s="5" t="str">
        <f>IFERROR(__xludf.DUMMYFUNCTION("""COMPUTED_VALUE"""),"Yes")</f>
        <v>Yes</v>
      </c>
      <c r="V600" s="5" t="str">
        <f>IFERROR(__xludf.DUMMYFUNCTION("""COMPUTED_VALUE"""),"Yes")</f>
        <v>Yes</v>
      </c>
      <c r="W600" s="5" t="str">
        <f>IFERROR(__xludf.DUMMYFUNCTION("""COMPUTED_VALUE"""),"Yes")</f>
        <v>Yes</v>
      </c>
      <c r="X600" s="5" t="str">
        <f>IFERROR(__xludf.DUMMYFUNCTION("""COMPUTED_VALUE"""),"Yes")</f>
        <v>Yes</v>
      </c>
      <c r="Y600" s="5" t="str">
        <f>IFERROR(__xludf.DUMMYFUNCTION("""COMPUTED_VALUE"""),"Yes")</f>
        <v>Yes</v>
      </c>
      <c r="Z600" s="5" t="str">
        <f>IFERROR(__xludf.DUMMYFUNCTION("""COMPUTED_VALUE"""),"No")</f>
        <v>No</v>
      </c>
      <c r="AA600" s="5" t="str">
        <f>IFERROR(__xludf.DUMMYFUNCTION("""COMPUTED_VALUE"""),"Yes")</f>
        <v>Yes</v>
      </c>
      <c r="AB600" s="5" t="str">
        <f>IFERROR(__xludf.DUMMYFUNCTION("""COMPUTED_VALUE"""),"Yes")</f>
        <v>Yes</v>
      </c>
      <c r="AC600" s="5" t="str">
        <f>IFERROR(__xludf.DUMMYFUNCTION("""COMPUTED_VALUE"""),"Yes")</f>
        <v>Yes</v>
      </c>
      <c r="AD600" s="5" t="str">
        <f>IFERROR(__xludf.DUMMYFUNCTION("""COMPUTED_VALUE"""),"Yes")</f>
        <v>Yes</v>
      </c>
      <c r="AE600" s="5" t="str">
        <f>IFERROR(__xludf.DUMMYFUNCTION("""COMPUTED_VALUE"""),"No")</f>
        <v>No</v>
      </c>
      <c r="AF600" s="5" t="str">
        <f>IFERROR(__xludf.DUMMYFUNCTION("""COMPUTED_VALUE"""),"Yes")</f>
        <v>Yes</v>
      </c>
      <c r="AG600" s="5" t="str">
        <f>IFERROR(__xludf.DUMMYFUNCTION("""COMPUTED_VALUE"""),"No")</f>
        <v>No</v>
      </c>
      <c r="AH600" s="5" t="str">
        <f>IFERROR(__xludf.DUMMYFUNCTION("""COMPUTED_VALUE"""),"No")</f>
        <v>No</v>
      </c>
      <c r="AI600" s="5" t="str">
        <f>IFERROR(__xludf.DUMMYFUNCTION("""COMPUTED_VALUE"""),"No")</f>
        <v>No</v>
      </c>
      <c r="AJ600" s="5" t="str">
        <f>IFERROR(__xludf.DUMMYFUNCTION("""COMPUTED_VALUE"""),"No")</f>
        <v>No</v>
      </c>
      <c r="AK600" s="5" t="str">
        <f>IFERROR(__xludf.DUMMYFUNCTION("""COMPUTED_VALUE"""),"No")</f>
        <v>No</v>
      </c>
      <c r="AL600" s="5" t="str">
        <f>IFERROR(__xludf.DUMMYFUNCTION("""COMPUTED_VALUE"""),"No")</f>
        <v>No</v>
      </c>
      <c r="AM600" s="5"/>
      <c r="AN600" s="5"/>
      <c r="AO600" s="5"/>
      <c r="AP600" s="5"/>
      <c r="AQ600" s="5"/>
      <c r="AR600" s="5"/>
      <c r="AS600" s="5"/>
      <c r="AT600" s="5"/>
      <c r="AU600" s="5"/>
      <c r="AV600" s="5"/>
      <c r="AW600" s="5"/>
      <c r="AX600" s="5"/>
      <c r="AY600" s="5"/>
    </row>
    <row r="601">
      <c r="A6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Slovak(""sl"&amp;"k""),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Slovak("slk"), Ukrainian("ukr"), Bosnian("")</v>
      </c>
      <c r="B601" s="5">
        <f>IFERROR(__xludf.DUMMYFUNCTION("""COMPUTED_VALUE"""),636.0)</f>
        <v>636</v>
      </c>
      <c r="C601" s="5">
        <f>IFERROR(__xludf.DUMMYFUNCTION("""COMPUTED_VALUE"""),9999999.0)</f>
        <v>9999999</v>
      </c>
      <c r="D601" s="5" t="str">
        <f>IFERROR(__xludf.DUMMYFUNCTION("""COMPUTED_VALUE"""),"bluff-and-bite")</f>
        <v>bluff-and-bite</v>
      </c>
      <c r="E601" s="5" t="str">
        <f>IFERROR(__xludf.DUMMYFUNCTION("""COMPUTED_VALUE"""),"Yes")</f>
        <v>Yes</v>
      </c>
      <c r="F601" s="5" t="str">
        <f>IFERROR(__xludf.DUMMYFUNCTION("""COMPUTED_VALUE"""),"Yes")</f>
        <v>Yes</v>
      </c>
      <c r="G601" s="5" t="str">
        <f>IFERROR(__xludf.DUMMYFUNCTION("""COMPUTED_VALUE"""),"Yes")</f>
        <v>Yes</v>
      </c>
      <c r="H601" s="5" t="str">
        <f>IFERROR(__xludf.DUMMYFUNCTION("""COMPUTED_VALUE"""),"Yes")</f>
        <v>Yes</v>
      </c>
      <c r="I601" s="5" t="str">
        <f>IFERROR(__xludf.DUMMYFUNCTION("""COMPUTED_VALUE"""),"Yes")</f>
        <v>Yes</v>
      </c>
      <c r="J601" s="5" t="str">
        <f>IFERROR(__xludf.DUMMYFUNCTION("""COMPUTED_VALUE"""),"Yes")</f>
        <v>Yes</v>
      </c>
      <c r="K601" s="5" t="str">
        <f>IFERROR(__xludf.DUMMYFUNCTION("""COMPUTED_VALUE"""),"Yes")</f>
        <v>Yes</v>
      </c>
      <c r="L601" s="5" t="str">
        <f>IFERROR(__xludf.DUMMYFUNCTION("""COMPUTED_VALUE"""),"Yes")</f>
        <v>Yes</v>
      </c>
      <c r="M601" s="5" t="str">
        <f>IFERROR(__xludf.DUMMYFUNCTION("""COMPUTED_VALUE"""),"Yes")</f>
        <v>Yes</v>
      </c>
      <c r="N601" s="5" t="str">
        <f>IFERROR(__xludf.DUMMYFUNCTION("""COMPUTED_VALUE"""),"Yes")</f>
        <v>Yes</v>
      </c>
      <c r="O601" s="5" t="str">
        <f>IFERROR(__xludf.DUMMYFUNCTION("""COMPUTED_VALUE"""),"Yes")</f>
        <v>Yes</v>
      </c>
      <c r="P601" s="5" t="str">
        <f>IFERROR(__xludf.DUMMYFUNCTION("""COMPUTED_VALUE"""),"Yes")</f>
        <v>Yes</v>
      </c>
      <c r="Q601" s="5" t="str">
        <f>IFERROR(__xludf.DUMMYFUNCTION("""COMPUTED_VALUE"""),"Yes")</f>
        <v>Yes</v>
      </c>
      <c r="R601" s="5" t="str">
        <f>IFERROR(__xludf.DUMMYFUNCTION("""COMPUTED_VALUE"""),"Yes")</f>
        <v>Yes</v>
      </c>
      <c r="S601" s="5" t="str">
        <f>IFERROR(__xludf.DUMMYFUNCTION("""COMPUTED_VALUE"""),"Yes")</f>
        <v>Yes</v>
      </c>
      <c r="T601" s="5" t="str">
        <f>IFERROR(__xludf.DUMMYFUNCTION("""COMPUTED_VALUE"""),"Yes")</f>
        <v>Yes</v>
      </c>
      <c r="U601" s="5" t="str">
        <f>IFERROR(__xludf.DUMMYFUNCTION("""COMPUTED_VALUE"""),"Yes")</f>
        <v>Yes</v>
      </c>
      <c r="V601" s="5" t="str">
        <f>IFERROR(__xludf.DUMMYFUNCTION("""COMPUTED_VALUE"""),"Yes")</f>
        <v>Yes</v>
      </c>
      <c r="W601" s="5" t="str">
        <f>IFERROR(__xludf.DUMMYFUNCTION("""COMPUTED_VALUE"""),"Yes")</f>
        <v>Yes</v>
      </c>
      <c r="X601" s="5" t="str">
        <f>IFERROR(__xludf.DUMMYFUNCTION("""COMPUTED_VALUE"""),"Yes")</f>
        <v>Yes</v>
      </c>
      <c r="Y601" s="5" t="str">
        <f>IFERROR(__xludf.DUMMYFUNCTION("""COMPUTED_VALUE"""),"Yes")</f>
        <v>Yes</v>
      </c>
      <c r="Z601" s="5" t="str">
        <f>IFERROR(__xludf.DUMMYFUNCTION("""COMPUTED_VALUE"""),"No")</f>
        <v>No</v>
      </c>
      <c r="AA601" s="5" t="str">
        <f>IFERROR(__xludf.DUMMYFUNCTION("""COMPUTED_VALUE"""),"Yes")</f>
        <v>Yes</v>
      </c>
      <c r="AB601" s="5" t="str">
        <f>IFERROR(__xludf.DUMMYFUNCTION("""COMPUTED_VALUE"""),"No")</f>
        <v>No</v>
      </c>
      <c r="AC601" s="5" t="str">
        <f>IFERROR(__xludf.DUMMYFUNCTION("""COMPUTED_VALUE"""),"Yes")</f>
        <v>Yes</v>
      </c>
      <c r="AD601" s="5" t="str">
        <f>IFERROR(__xludf.DUMMYFUNCTION("""COMPUTED_VALUE"""),"Yes")</f>
        <v>Yes</v>
      </c>
      <c r="AE601" s="5" t="str">
        <f>IFERROR(__xludf.DUMMYFUNCTION("""COMPUTED_VALUE"""),"Yes")</f>
        <v>Yes</v>
      </c>
      <c r="AF601" s="5" t="str">
        <f>IFERROR(__xludf.DUMMYFUNCTION("""COMPUTED_VALUE"""),"Yes")</f>
        <v>Yes</v>
      </c>
      <c r="AG601" s="5" t="str">
        <f>IFERROR(__xludf.DUMMYFUNCTION("""COMPUTED_VALUE"""),"No")</f>
        <v>No</v>
      </c>
      <c r="AH601" s="5" t="str">
        <f>IFERROR(__xludf.DUMMYFUNCTION("""COMPUTED_VALUE"""),"No")</f>
        <v>No</v>
      </c>
      <c r="AI601" s="5" t="str">
        <f>IFERROR(__xludf.DUMMYFUNCTION("""COMPUTED_VALUE"""),"No")</f>
        <v>No</v>
      </c>
      <c r="AJ601" s="5" t="str">
        <f>IFERROR(__xludf.DUMMYFUNCTION("""COMPUTED_VALUE"""),"No")</f>
        <v>No</v>
      </c>
      <c r="AK601" s="5" t="str">
        <f>IFERROR(__xludf.DUMMYFUNCTION("""COMPUTED_VALUE"""),"No")</f>
        <v>No</v>
      </c>
      <c r="AL601" s="5" t="str">
        <f>IFERROR(__xludf.DUMMYFUNCTION("""COMPUTED_VALUE"""),"Yes")</f>
        <v>Yes</v>
      </c>
      <c r="AM601" s="5"/>
      <c r="AN601" s="5"/>
      <c r="AO601" s="5"/>
      <c r="AP601" s="5"/>
      <c r="AQ601" s="5"/>
      <c r="AR601" s="5"/>
      <c r="AS601" s="5"/>
      <c r="AT601" s="5"/>
      <c r="AU601" s="5"/>
      <c r="AV601" s="5"/>
      <c r="AW601" s="5"/>
      <c r="AX601" s="5"/>
      <c r="AY601" s="5"/>
    </row>
    <row r="602">
      <c r="A602" s="5" t="str">
        <f>IFERROR(__xludf.DUMMYFUNCTION("""COMPUTED_VALUE"""),"")</f>
        <v/>
      </c>
      <c r="B602" s="5">
        <f>IFERROR(__xludf.DUMMYFUNCTION("""COMPUTED_VALUE"""),637.0)</f>
        <v>637</v>
      </c>
      <c r="C602" s="5">
        <f>IFERROR(__xludf.DUMMYFUNCTION("""COMPUTED_VALUE"""),999998.0)</f>
        <v>999998</v>
      </c>
      <c r="D602" s="5" t="str">
        <f>IFERROR(__xludf.DUMMYFUNCTION("""COMPUTED_VALUE"""),"royal-crown-delight")</f>
        <v>royal-crown-delight</v>
      </c>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row>
    <row r="603">
      <c r="A6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03" s="5">
        <f>IFERROR(__xludf.DUMMYFUNCTION("""COMPUTED_VALUE"""),638.0)</f>
        <v>638</v>
      </c>
      <c r="C603" s="5">
        <f>IFERROR(__xludf.DUMMYFUNCTION("""COMPUTED_VALUE"""),4026.0)</f>
        <v>4026</v>
      </c>
      <c r="D603" s="5" t="str">
        <f>IFERROR(__xludf.DUMMYFUNCTION("""COMPUTED_VALUE"""),"AdmiralBetBonusCrown")</f>
        <v>AdmiralBetBonusCrown</v>
      </c>
      <c r="E603" s="5" t="str">
        <f>IFERROR(__xludf.DUMMYFUNCTION("""COMPUTED_VALUE"""),"Yes")</f>
        <v>Yes</v>
      </c>
      <c r="F603" s="5" t="str">
        <f>IFERROR(__xludf.DUMMYFUNCTION("""COMPUTED_VALUE"""),"Yes")</f>
        <v>Yes</v>
      </c>
      <c r="G603" s="5" t="str">
        <f>IFERROR(__xludf.DUMMYFUNCTION("""COMPUTED_VALUE"""),"Yes")</f>
        <v>Yes</v>
      </c>
      <c r="H603" s="5" t="str">
        <f>IFERROR(__xludf.DUMMYFUNCTION("""COMPUTED_VALUE"""),"Yes")</f>
        <v>Yes</v>
      </c>
      <c r="I603" s="5" t="str">
        <f>IFERROR(__xludf.DUMMYFUNCTION("""COMPUTED_VALUE"""),"Yes")</f>
        <v>Yes</v>
      </c>
      <c r="J603" s="5" t="str">
        <f>IFERROR(__xludf.DUMMYFUNCTION("""COMPUTED_VALUE"""),"Yes")</f>
        <v>Yes</v>
      </c>
      <c r="K603" s="5" t="str">
        <f>IFERROR(__xludf.DUMMYFUNCTION("""COMPUTED_VALUE"""),"Yes")</f>
        <v>Yes</v>
      </c>
      <c r="L603" s="5" t="str">
        <f>IFERROR(__xludf.DUMMYFUNCTION("""COMPUTED_VALUE"""),"Yes")</f>
        <v>Yes</v>
      </c>
      <c r="M603" s="5" t="str">
        <f>IFERROR(__xludf.DUMMYFUNCTION("""COMPUTED_VALUE"""),"Yes")</f>
        <v>Yes</v>
      </c>
      <c r="N603" s="5" t="str">
        <f>IFERROR(__xludf.DUMMYFUNCTION("""COMPUTED_VALUE"""),"Yes")</f>
        <v>Yes</v>
      </c>
      <c r="O603" s="5" t="str">
        <f>IFERROR(__xludf.DUMMYFUNCTION("""COMPUTED_VALUE"""),"Yes")</f>
        <v>Yes</v>
      </c>
      <c r="P603" s="5" t="str">
        <f>IFERROR(__xludf.DUMMYFUNCTION("""COMPUTED_VALUE"""),"Yes")</f>
        <v>Yes</v>
      </c>
      <c r="Q603" s="5" t="str">
        <f>IFERROR(__xludf.DUMMYFUNCTION("""COMPUTED_VALUE"""),"Yes")</f>
        <v>Yes</v>
      </c>
      <c r="R603" s="5" t="str">
        <f>IFERROR(__xludf.DUMMYFUNCTION("""COMPUTED_VALUE"""),"Yes")</f>
        <v>Yes</v>
      </c>
      <c r="S603" s="5" t="str">
        <f>IFERROR(__xludf.DUMMYFUNCTION("""COMPUTED_VALUE"""),"Yes")</f>
        <v>Yes</v>
      </c>
      <c r="T603" s="5" t="str">
        <f>IFERROR(__xludf.DUMMYFUNCTION("""COMPUTED_VALUE"""),"Yes")</f>
        <v>Yes</v>
      </c>
      <c r="U603" s="5" t="str">
        <f>IFERROR(__xludf.DUMMYFUNCTION("""COMPUTED_VALUE"""),"Yes")</f>
        <v>Yes</v>
      </c>
      <c r="V603" s="5" t="str">
        <f>IFERROR(__xludf.DUMMYFUNCTION("""COMPUTED_VALUE"""),"Yes")</f>
        <v>Yes</v>
      </c>
      <c r="W603" s="5" t="str">
        <f>IFERROR(__xludf.DUMMYFUNCTION("""COMPUTED_VALUE"""),"Yes")</f>
        <v>Yes</v>
      </c>
      <c r="X603" s="5" t="str">
        <f>IFERROR(__xludf.DUMMYFUNCTION("""COMPUTED_VALUE"""),"Yes")</f>
        <v>Yes</v>
      </c>
      <c r="Y603" s="5" t="str">
        <f>IFERROR(__xludf.DUMMYFUNCTION("""COMPUTED_VALUE"""),"Yes")</f>
        <v>Yes</v>
      </c>
      <c r="Z603" s="5" t="str">
        <f>IFERROR(__xludf.DUMMYFUNCTION("""COMPUTED_VALUE"""),"Yes")</f>
        <v>Yes</v>
      </c>
      <c r="AA603" s="5" t="str">
        <f>IFERROR(__xludf.DUMMYFUNCTION("""COMPUTED_VALUE"""),"Yes")</f>
        <v>Yes</v>
      </c>
      <c r="AB603" s="5" t="str">
        <f>IFERROR(__xludf.DUMMYFUNCTION("""COMPUTED_VALUE"""),"Yes")</f>
        <v>Yes</v>
      </c>
      <c r="AC603" s="5" t="str">
        <f>IFERROR(__xludf.DUMMYFUNCTION("""COMPUTED_VALUE"""),"Yes")</f>
        <v>Yes</v>
      </c>
      <c r="AD603" s="5" t="str">
        <f>IFERROR(__xludf.DUMMYFUNCTION("""COMPUTED_VALUE"""),"Yes")</f>
        <v>Yes</v>
      </c>
      <c r="AE603" s="5" t="str">
        <f>IFERROR(__xludf.DUMMYFUNCTION("""COMPUTED_VALUE"""),"Yes")</f>
        <v>Yes</v>
      </c>
      <c r="AF603" s="5" t="str">
        <f>IFERROR(__xludf.DUMMYFUNCTION("""COMPUTED_VALUE"""),"Yes")</f>
        <v>Yes</v>
      </c>
      <c r="AG603" s="5" t="str">
        <f>IFERROR(__xludf.DUMMYFUNCTION("""COMPUTED_VALUE"""),"Yes")</f>
        <v>Yes</v>
      </c>
      <c r="AH603" s="5" t="str">
        <f>IFERROR(__xludf.DUMMYFUNCTION("""COMPUTED_VALUE"""),"Yes")</f>
        <v>Yes</v>
      </c>
      <c r="AI603" s="5" t="str">
        <f>IFERROR(__xludf.DUMMYFUNCTION("""COMPUTED_VALUE"""),"Yes")</f>
        <v>Yes</v>
      </c>
      <c r="AJ603" s="5" t="str">
        <f>IFERROR(__xludf.DUMMYFUNCTION("""COMPUTED_VALUE"""),"Yes")</f>
        <v>Yes</v>
      </c>
      <c r="AK603" s="5" t="str">
        <f>IFERROR(__xludf.DUMMYFUNCTION("""COMPUTED_VALUE"""),"Yes")</f>
        <v>Yes</v>
      </c>
      <c r="AL603" s="5" t="str">
        <f>IFERROR(__xludf.DUMMYFUNCTION("""COMPUTED_VALUE"""),"No")</f>
        <v>No</v>
      </c>
      <c r="AM603" s="5"/>
      <c r="AN603" s="5"/>
      <c r="AO603" s="5"/>
      <c r="AP603" s="5"/>
      <c r="AQ603" s="5"/>
      <c r="AR603" s="5"/>
      <c r="AS603" s="5"/>
      <c r="AT603" s="5"/>
      <c r="AU603" s="5"/>
      <c r="AV603" s="5"/>
      <c r="AW603" s="5"/>
      <c r="AX603" s="5"/>
      <c r="AY603" s="5"/>
    </row>
    <row r="604">
      <c r="A6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4" s="5">
        <f>IFERROR(__xludf.DUMMYFUNCTION("""COMPUTED_VALUE"""),639.0)</f>
        <v>639</v>
      </c>
      <c r="C604" s="5">
        <f>IFERROR(__xludf.DUMMYFUNCTION("""COMPUTED_VALUE"""),4025.0)</f>
        <v>4025</v>
      </c>
      <c r="D604" s="5" t="str">
        <f>IFERROR(__xludf.DUMMYFUNCTION("""COMPUTED_VALUE"""),"CratosHot40")</f>
        <v>CratosHot40</v>
      </c>
      <c r="E604" s="5" t="str">
        <f>IFERROR(__xludf.DUMMYFUNCTION("""COMPUTED_VALUE"""),"Yes")</f>
        <v>Yes</v>
      </c>
      <c r="F604" s="5" t="str">
        <f>IFERROR(__xludf.DUMMYFUNCTION("""COMPUTED_VALUE"""),"Yes")</f>
        <v>Yes</v>
      </c>
      <c r="G604" s="5" t="str">
        <f>IFERROR(__xludf.DUMMYFUNCTION("""COMPUTED_VALUE"""),"Yes")</f>
        <v>Yes</v>
      </c>
      <c r="H604" s="5" t="str">
        <f>IFERROR(__xludf.DUMMYFUNCTION("""COMPUTED_VALUE"""),"Yes")</f>
        <v>Yes</v>
      </c>
      <c r="I604" s="5" t="str">
        <f>IFERROR(__xludf.DUMMYFUNCTION("""COMPUTED_VALUE"""),"Yes")</f>
        <v>Yes</v>
      </c>
      <c r="J604" s="5" t="str">
        <f>IFERROR(__xludf.DUMMYFUNCTION("""COMPUTED_VALUE"""),"Yes")</f>
        <v>Yes</v>
      </c>
      <c r="K604" s="5" t="str">
        <f>IFERROR(__xludf.DUMMYFUNCTION("""COMPUTED_VALUE"""),"Yes")</f>
        <v>Yes</v>
      </c>
      <c r="L604" s="5" t="str">
        <f>IFERROR(__xludf.DUMMYFUNCTION("""COMPUTED_VALUE"""),"Yes")</f>
        <v>Yes</v>
      </c>
      <c r="M604" s="5" t="str">
        <f>IFERROR(__xludf.DUMMYFUNCTION("""COMPUTED_VALUE"""),"Yes")</f>
        <v>Yes</v>
      </c>
      <c r="N604" s="5" t="str">
        <f>IFERROR(__xludf.DUMMYFUNCTION("""COMPUTED_VALUE"""),"Yes")</f>
        <v>Yes</v>
      </c>
      <c r="O604" s="5" t="str">
        <f>IFERROR(__xludf.DUMMYFUNCTION("""COMPUTED_VALUE"""),"Yes")</f>
        <v>Yes</v>
      </c>
      <c r="P604" s="5" t="str">
        <f>IFERROR(__xludf.DUMMYFUNCTION("""COMPUTED_VALUE"""),"Yes")</f>
        <v>Yes</v>
      </c>
      <c r="Q604" s="5" t="str">
        <f>IFERROR(__xludf.DUMMYFUNCTION("""COMPUTED_VALUE"""),"Yes")</f>
        <v>Yes</v>
      </c>
      <c r="R604" s="5" t="str">
        <f>IFERROR(__xludf.DUMMYFUNCTION("""COMPUTED_VALUE"""),"Yes")</f>
        <v>Yes</v>
      </c>
      <c r="S604" s="5" t="str">
        <f>IFERROR(__xludf.DUMMYFUNCTION("""COMPUTED_VALUE"""),"Yes")</f>
        <v>Yes</v>
      </c>
      <c r="T604" s="5" t="str">
        <f>IFERROR(__xludf.DUMMYFUNCTION("""COMPUTED_VALUE"""),"Yes")</f>
        <v>Yes</v>
      </c>
      <c r="U604" s="5" t="str">
        <f>IFERROR(__xludf.DUMMYFUNCTION("""COMPUTED_VALUE"""),"Yes")</f>
        <v>Yes</v>
      </c>
      <c r="V604" s="5" t="str">
        <f>IFERROR(__xludf.DUMMYFUNCTION("""COMPUTED_VALUE"""),"Yes")</f>
        <v>Yes</v>
      </c>
      <c r="W604" s="5" t="str">
        <f>IFERROR(__xludf.DUMMYFUNCTION("""COMPUTED_VALUE"""),"Yes")</f>
        <v>Yes</v>
      </c>
      <c r="X604" s="5" t="str">
        <f>IFERROR(__xludf.DUMMYFUNCTION("""COMPUTED_VALUE"""),"Yes")</f>
        <v>Yes</v>
      </c>
      <c r="Y604" s="5" t="str">
        <f>IFERROR(__xludf.DUMMYFUNCTION("""COMPUTED_VALUE"""),"Yes")</f>
        <v>Yes</v>
      </c>
      <c r="Z604" s="5" t="str">
        <f>IFERROR(__xludf.DUMMYFUNCTION("""COMPUTED_VALUE"""),"No")</f>
        <v>No</v>
      </c>
      <c r="AA604" s="5" t="str">
        <f>IFERROR(__xludf.DUMMYFUNCTION("""COMPUTED_VALUE"""),"Yes")</f>
        <v>Yes</v>
      </c>
      <c r="AB604" s="5" t="str">
        <f>IFERROR(__xludf.DUMMYFUNCTION("""COMPUTED_VALUE"""),"Yes")</f>
        <v>Yes</v>
      </c>
      <c r="AC604" s="5" t="str">
        <f>IFERROR(__xludf.DUMMYFUNCTION("""COMPUTED_VALUE"""),"Yes")</f>
        <v>Yes</v>
      </c>
      <c r="AD604" s="5" t="str">
        <f>IFERROR(__xludf.DUMMYFUNCTION("""COMPUTED_VALUE"""),"Yes")</f>
        <v>Yes</v>
      </c>
      <c r="AE604" s="5" t="str">
        <f>IFERROR(__xludf.DUMMYFUNCTION("""COMPUTED_VALUE"""),"No")</f>
        <v>No</v>
      </c>
      <c r="AF604" s="5" t="str">
        <f>IFERROR(__xludf.DUMMYFUNCTION("""COMPUTED_VALUE"""),"Yes")</f>
        <v>Yes</v>
      </c>
      <c r="AG604" s="5" t="str">
        <f>IFERROR(__xludf.DUMMYFUNCTION("""COMPUTED_VALUE"""),"No")</f>
        <v>No</v>
      </c>
      <c r="AH604" s="5" t="str">
        <f>IFERROR(__xludf.DUMMYFUNCTION("""COMPUTED_VALUE"""),"No")</f>
        <v>No</v>
      </c>
      <c r="AI604" s="5" t="str">
        <f>IFERROR(__xludf.DUMMYFUNCTION("""COMPUTED_VALUE"""),"No")</f>
        <v>No</v>
      </c>
      <c r="AJ604" s="5" t="str">
        <f>IFERROR(__xludf.DUMMYFUNCTION("""COMPUTED_VALUE"""),"No")</f>
        <v>No</v>
      </c>
      <c r="AK604" s="5" t="str">
        <f>IFERROR(__xludf.DUMMYFUNCTION("""COMPUTED_VALUE"""),"No")</f>
        <v>No</v>
      </c>
      <c r="AL604" s="5" t="str">
        <f>IFERROR(__xludf.DUMMYFUNCTION("""COMPUTED_VALUE"""),"No")</f>
        <v>No</v>
      </c>
      <c r="AM604" s="5"/>
      <c r="AN604" s="5"/>
      <c r="AO604" s="5"/>
      <c r="AP604" s="5"/>
      <c r="AQ604" s="5"/>
      <c r="AR604" s="5"/>
      <c r="AS604" s="5"/>
      <c r="AT604" s="5"/>
      <c r="AU604" s="5"/>
      <c r="AV604" s="5"/>
      <c r="AW604" s="5"/>
      <c r="AX604" s="5"/>
      <c r="AY604" s="5"/>
    </row>
    <row r="605">
      <c r="A605" s="5" t="str">
        <f>IFERROR(__xludf.DUMMYFUNCTION("""COMPUTED_VALUE"""),"")</f>
        <v/>
      </c>
      <c r="B605" s="5">
        <f>IFERROR(__xludf.DUMMYFUNCTION("""COMPUTED_VALUE"""),640.0)</f>
        <v>640</v>
      </c>
      <c r="C605" s="5">
        <f>IFERROR(__xludf.DUMMYFUNCTION("""COMPUTED_VALUE"""),999997.0)</f>
        <v>999997</v>
      </c>
      <c r="D605" s="5" t="str">
        <f>IFERROR(__xludf.DUMMYFUNCTION("""COMPUTED_VALUE"""),"planet-dice-escape")</f>
        <v>planet-dice-escape</v>
      </c>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row>
    <row r="606">
      <c r="A606" s="5" t="str">
        <f>IFERROR(__xludf.DUMMYFUNCTION("""COMPUTED_VALUE"""),"")</f>
        <v/>
      </c>
      <c r="B606" s="5">
        <f>IFERROR(__xludf.DUMMYFUNCTION("""COMPUTED_VALUE"""),641.0)</f>
        <v>641</v>
      </c>
      <c r="C606" s="5">
        <f>IFERROR(__xludf.DUMMYFUNCTION("""COMPUTED_VALUE"""),999996.0)</f>
        <v>999996</v>
      </c>
      <c r="D606" s="5" t="str">
        <f>IFERROR(__xludf.DUMMYFUNCTION("""COMPUTED_VALUE"""),"wild-tiki-mayhem")</f>
        <v>wild-tiki-mayhem</v>
      </c>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row>
    <row r="607">
      <c r="A6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7" s="5">
        <f>IFERROR(__xludf.DUMMYFUNCTION("""COMPUTED_VALUE"""),642.0)</f>
        <v>642</v>
      </c>
      <c r="C607" s="5">
        <f>IFERROR(__xludf.DUMMYFUNCTION("""COMPUTED_VALUE"""),4028.0)</f>
        <v>4028</v>
      </c>
      <c r="D607" s="5" t="str">
        <f>IFERROR(__xludf.DUMMYFUNCTION("""COMPUTED_VALUE"""),"WildHot223")</f>
        <v>WildHot223</v>
      </c>
      <c r="E607" s="5" t="str">
        <f>IFERROR(__xludf.DUMMYFUNCTION("""COMPUTED_VALUE"""),"Yes")</f>
        <v>Yes</v>
      </c>
      <c r="F607" s="5" t="str">
        <f>IFERROR(__xludf.DUMMYFUNCTION("""COMPUTED_VALUE"""),"Yes")</f>
        <v>Yes</v>
      </c>
      <c r="G607" s="5" t="str">
        <f>IFERROR(__xludf.DUMMYFUNCTION("""COMPUTED_VALUE"""),"Yes")</f>
        <v>Yes</v>
      </c>
      <c r="H607" s="5" t="str">
        <f>IFERROR(__xludf.DUMMYFUNCTION("""COMPUTED_VALUE"""),"Yes")</f>
        <v>Yes</v>
      </c>
      <c r="I607" s="5" t="str">
        <f>IFERROR(__xludf.DUMMYFUNCTION("""COMPUTED_VALUE"""),"Yes")</f>
        <v>Yes</v>
      </c>
      <c r="J607" s="5" t="str">
        <f>IFERROR(__xludf.DUMMYFUNCTION("""COMPUTED_VALUE"""),"Yes")</f>
        <v>Yes</v>
      </c>
      <c r="K607" s="5" t="str">
        <f>IFERROR(__xludf.DUMMYFUNCTION("""COMPUTED_VALUE"""),"Yes")</f>
        <v>Yes</v>
      </c>
      <c r="L607" s="5" t="str">
        <f>IFERROR(__xludf.DUMMYFUNCTION("""COMPUTED_VALUE"""),"Yes")</f>
        <v>Yes</v>
      </c>
      <c r="M607" s="5" t="str">
        <f>IFERROR(__xludf.DUMMYFUNCTION("""COMPUTED_VALUE"""),"Yes")</f>
        <v>Yes</v>
      </c>
      <c r="N607" s="5" t="str">
        <f>IFERROR(__xludf.DUMMYFUNCTION("""COMPUTED_VALUE"""),"Yes")</f>
        <v>Yes</v>
      </c>
      <c r="O607" s="5" t="str">
        <f>IFERROR(__xludf.DUMMYFUNCTION("""COMPUTED_VALUE"""),"Yes")</f>
        <v>Yes</v>
      </c>
      <c r="P607" s="5" t="str">
        <f>IFERROR(__xludf.DUMMYFUNCTION("""COMPUTED_VALUE"""),"Yes")</f>
        <v>Yes</v>
      </c>
      <c r="Q607" s="5" t="str">
        <f>IFERROR(__xludf.DUMMYFUNCTION("""COMPUTED_VALUE"""),"Yes")</f>
        <v>Yes</v>
      </c>
      <c r="R607" s="5" t="str">
        <f>IFERROR(__xludf.DUMMYFUNCTION("""COMPUTED_VALUE"""),"Yes")</f>
        <v>Yes</v>
      </c>
      <c r="S607" s="5" t="str">
        <f>IFERROR(__xludf.DUMMYFUNCTION("""COMPUTED_VALUE"""),"Yes")</f>
        <v>Yes</v>
      </c>
      <c r="T607" s="5" t="str">
        <f>IFERROR(__xludf.DUMMYFUNCTION("""COMPUTED_VALUE"""),"Yes")</f>
        <v>Yes</v>
      </c>
      <c r="U607" s="5" t="str">
        <f>IFERROR(__xludf.DUMMYFUNCTION("""COMPUTED_VALUE"""),"Yes")</f>
        <v>Yes</v>
      </c>
      <c r="V607" s="5" t="str">
        <f>IFERROR(__xludf.DUMMYFUNCTION("""COMPUTED_VALUE"""),"Yes")</f>
        <v>Yes</v>
      </c>
      <c r="W607" s="5" t="str">
        <f>IFERROR(__xludf.DUMMYFUNCTION("""COMPUTED_VALUE"""),"Yes")</f>
        <v>Yes</v>
      </c>
      <c r="X607" s="5" t="str">
        <f>IFERROR(__xludf.DUMMYFUNCTION("""COMPUTED_VALUE"""),"Yes")</f>
        <v>Yes</v>
      </c>
      <c r="Y607" s="5" t="str">
        <f>IFERROR(__xludf.DUMMYFUNCTION("""COMPUTED_VALUE"""),"Yes")</f>
        <v>Yes</v>
      </c>
      <c r="Z607" s="5" t="str">
        <f>IFERROR(__xludf.DUMMYFUNCTION("""COMPUTED_VALUE"""),"No")</f>
        <v>No</v>
      </c>
      <c r="AA607" s="5" t="str">
        <f>IFERROR(__xludf.DUMMYFUNCTION("""COMPUTED_VALUE"""),"Yes")</f>
        <v>Yes</v>
      </c>
      <c r="AB607" s="5" t="str">
        <f>IFERROR(__xludf.DUMMYFUNCTION("""COMPUTED_VALUE"""),"Yes")</f>
        <v>Yes</v>
      </c>
      <c r="AC607" s="5" t="str">
        <f>IFERROR(__xludf.DUMMYFUNCTION("""COMPUTED_VALUE"""),"Yes")</f>
        <v>Yes</v>
      </c>
      <c r="AD607" s="5" t="str">
        <f>IFERROR(__xludf.DUMMYFUNCTION("""COMPUTED_VALUE"""),"Yes")</f>
        <v>Yes</v>
      </c>
      <c r="AE607" s="5" t="str">
        <f>IFERROR(__xludf.DUMMYFUNCTION("""COMPUTED_VALUE"""),"No")</f>
        <v>No</v>
      </c>
      <c r="AF607" s="5" t="str">
        <f>IFERROR(__xludf.DUMMYFUNCTION("""COMPUTED_VALUE"""),"Yes")</f>
        <v>Yes</v>
      </c>
      <c r="AG607" s="5" t="str">
        <f>IFERROR(__xludf.DUMMYFUNCTION("""COMPUTED_VALUE"""),"No")</f>
        <v>No</v>
      </c>
      <c r="AH607" s="5" t="str">
        <f>IFERROR(__xludf.DUMMYFUNCTION("""COMPUTED_VALUE"""),"No")</f>
        <v>No</v>
      </c>
      <c r="AI607" s="5" t="str">
        <f>IFERROR(__xludf.DUMMYFUNCTION("""COMPUTED_VALUE"""),"No")</f>
        <v>No</v>
      </c>
      <c r="AJ607" s="5" t="str">
        <f>IFERROR(__xludf.DUMMYFUNCTION("""COMPUTED_VALUE"""),"No")</f>
        <v>No</v>
      </c>
      <c r="AK607" s="5" t="str">
        <f>IFERROR(__xludf.DUMMYFUNCTION("""COMPUTED_VALUE"""),"No")</f>
        <v>No</v>
      </c>
      <c r="AL607" s="5" t="str">
        <f>IFERROR(__xludf.DUMMYFUNCTION("""COMPUTED_VALUE"""),"No")</f>
        <v>No</v>
      </c>
      <c r="AM607" s="5"/>
      <c r="AN607" s="5"/>
      <c r="AO607" s="5"/>
      <c r="AP607" s="5"/>
      <c r="AQ607" s="5"/>
      <c r="AR607" s="5"/>
      <c r="AS607" s="5"/>
      <c r="AT607" s="5"/>
      <c r="AU607" s="5"/>
      <c r="AV607" s="5"/>
      <c r="AW607" s="5"/>
      <c r="AX607" s="5"/>
      <c r="AY607" s="5"/>
    </row>
    <row r="608">
      <c r="A608"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08" s="5">
        <f>IFERROR(__xludf.DUMMYFUNCTION("""COMPUTED_VALUE"""),643.0)</f>
        <v>643</v>
      </c>
      <c r="C608" s="5">
        <f>IFERROR(__xludf.DUMMYFUNCTION("""COMPUTED_VALUE"""),180052.0)</f>
        <v>180052</v>
      </c>
      <c r="D608" s="5" t="str">
        <f>IFERROR(__xludf.DUMMYFUNCTION("""COMPUTED_VALUE"""),"Redstone5WildDiamond")</f>
        <v>Redstone5WildDiamond</v>
      </c>
      <c r="E608" s="5" t="str">
        <f>IFERROR(__xludf.DUMMYFUNCTION("""COMPUTED_VALUE"""),"Yes")</f>
        <v>Yes</v>
      </c>
      <c r="F608" s="5" t="str">
        <f>IFERROR(__xludf.DUMMYFUNCTION("""COMPUTED_VALUE"""),"Yes")</f>
        <v>Yes</v>
      </c>
      <c r="G608" s="5" t="str">
        <f>IFERROR(__xludf.DUMMYFUNCTION("""COMPUTED_VALUE"""),"Yes")</f>
        <v>Yes</v>
      </c>
      <c r="H608" s="5" t="str">
        <f>IFERROR(__xludf.DUMMYFUNCTION("""COMPUTED_VALUE"""),"Yes")</f>
        <v>Yes</v>
      </c>
      <c r="I608" s="5" t="str">
        <f>IFERROR(__xludf.DUMMYFUNCTION("""COMPUTED_VALUE"""),"Yes")</f>
        <v>Yes</v>
      </c>
      <c r="J608" s="5" t="str">
        <f>IFERROR(__xludf.DUMMYFUNCTION("""COMPUTED_VALUE"""),"Yes")</f>
        <v>Yes</v>
      </c>
      <c r="K608" s="5" t="str">
        <f>IFERROR(__xludf.DUMMYFUNCTION("""COMPUTED_VALUE"""),"Yes")</f>
        <v>Yes</v>
      </c>
      <c r="L608" s="5" t="str">
        <f>IFERROR(__xludf.DUMMYFUNCTION("""COMPUTED_VALUE"""),"Yes")</f>
        <v>Yes</v>
      </c>
      <c r="M608" s="5" t="str">
        <f>IFERROR(__xludf.DUMMYFUNCTION("""COMPUTED_VALUE"""),"Yes")</f>
        <v>Yes</v>
      </c>
      <c r="N608" s="5" t="str">
        <f>IFERROR(__xludf.DUMMYFUNCTION("""COMPUTED_VALUE"""),"Yes")</f>
        <v>Yes</v>
      </c>
      <c r="O608" s="5" t="str">
        <f>IFERROR(__xludf.DUMMYFUNCTION("""COMPUTED_VALUE"""),"Yes")</f>
        <v>Yes</v>
      </c>
      <c r="P608" s="5" t="str">
        <f>IFERROR(__xludf.DUMMYFUNCTION("""COMPUTED_VALUE"""),"Yes")</f>
        <v>Yes</v>
      </c>
      <c r="Q608" s="5" t="str">
        <f>IFERROR(__xludf.DUMMYFUNCTION("""COMPUTED_VALUE"""),"Yes")</f>
        <v>Yes</v>
      </c>
      <c r="R608" s="5" t="str">
        <f>IFERROR(__xludf.DUMMYFUNCTION("""COMPUTED_VALUE"""),"Yes")</f>
        <v>Yes</v>
      </c>
      <c r="S608" s="5" t="str">
        <f>IFERROR(__xludf.DUMMYFUNCTION("""COMPUTED_VALUE"""),"Yes")</f>
        <v>Yes</v>
      </c>
      <c r="T608" s="5" t="str">
        <f>IFERROR(__xludf.DUMMYFUNCTION("""COMPUTED_VALUE"""),"No")</f>
        <v>No</v>
      </c>
      <c r="U608" s="5" t="str">
        <f>IFERROR(__xludf.DUMMYFUNCTION("""COMPUTED_VALUE"""),"No")</f>
        <v>No</v>
      </c>
      <c r="V608" s="5" t="str">
        <f>IFERROR(__xludf.DUMMYFUNCTION("""COMPUTED_VALUE"""),"No")</f>
        <v>No</v>
      </c>
      <c r="W608" s="5" t="str">
        <f>IFERROR(__xludf.DUMMYFUNCTION("""COMPUTED_VALUE"""),"No")</f>
        <v>No</v>
      </c>
      <c r="X608" s="5" t="str">
        <f>IFERROR(__xludf.DUMMYFUNCTION("""COMPUTED_VALUE"""),"No")</f>
        <v>No</v>
      </c>
      <c r="Y608" s="5" t="str">
        <f>IFERROR(__xludf.DUMMYFUNCTION("""COMPUTED_VALUE"""),"No")</f>
        <v>No</v>
      </c>
      <c r="Z608" s="5" t="str">
        <f>IFERROR(__xludf.DUMMYFUNCTION("""COMPUTED_VALUE"""),"No")</f>
        <v>No</v>
      </c>
      <c r="AA608" s="5" t="str">
        <f>IFERROR(__xludf.DUMMYFUNCTION("""COMPUTED_VALUE"""),"Yes")</f>
        <v>Yes</v>
      </c>
      <c r="AB608" s="5" t="str">
        <f>IFERROR(__xludf.DUMMYFUNCTION("""COMPUTED_VALUE"""),"No")</f>
        <v>No</v>
      </c>
      <c r="AC608" s="5" t="str">
        <f>IFERROR(__xludf.DUMMYFUNCTION("""COMPUTED_VALUE"""),"No")</f>
        <v>No</v>
      </c>
      <c r="AD608" s="5" t="str">
        <f>IFERROR(__xludf.DUMMYFUNCTION("""COMPUTED_VALUE"""),"No")</f>
        <v>No</v>
      </c>
      <c r="AE608" s="5" t="str">
        <f>IFERROR(__xludf.DUMMYFUNCTION("""COMPUTED_VALUE"""),"No")</f>
        <v>No</v>
      </c>
      <c r="AF608" s="5" t="str">
        <f>IFERROR(__xludf.DUMMYFUNCTION("""COMPUTED_VALUE"""),"Yes")</f>
        <v>Yes</v>
      </c>
      <c r="AG608" s="5" t="str">
        <f>IFERROR(__xludf.DUMMYFUNCTION("""COMPUTED_VALUE"""),"No")</f>
        <v>No</v>
      </c>
      <c r="AH608" s="5" t="str">
        <f>IFERROR(__xludf.DUMMYFUNCTION("""COMPUTED_VALUE"""),"Yes")</f>
        <v>Yes</v>
      </c>
      <c r="AI608" s="5" t="str">
        <f>IFERROR(__xludf.DUMMYFUNCTION("""COMPUTED_VALUE"""),"No")</f>
        <v>No</v>
      </c>
      <c r="AJ608" s="5" t="str">
        <f>IFERROR(__xludf.DUMMYFUNCTION("""COMPUTED_VALUE"""),"No")</f>
        <v>No</v>
      </c>
      <c r="AK608" s="5" t="str">
        <f>IFERROR(__xludf.DUMMYFUNCTION("""COMPUTED_VALUE"""),"No")</f>
        <v>No</v>
      </c>
      <c r="AL608" s="5" t="str">
        <f>IFERROR(__xludf.DUMMYFUNCTION("""COMPUTED_VALUE"""),"No")</f>
        <v>No</v>
      </c>
      <c r="AM608" s="5"/>
      <c r="AN608" s="5"/>
      <c r="AO608" s="5"/>
      <c r="AP608" s="5"/>
      <c r="AQ608" s="5"/>
      <c r="AR608" s="5"/>
      <c r="AS608" s="5"/>
      <c r="AT608" s="5"/>
      <c r="AU608" s="5"/>
      <c r="AV608" s="5"/>
      <c r="AW608" s="5"/>
      <c r="AX608" s="5"/>
      <c r="AY608" s="5"/>
    </row>
    <row r="609">
      <c r="A60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609" s="5">
        <f>IFERROR(__xludf.DUMMYFUNCTION("""COMPUTED_VALUE"""),644.0)</f>
        <v>644</v>
      </c>
      <c r="C609" s="5">
        <f>IFERROR(__xludf.DUMMYFUNCTION("""COMPUTED_VALUE"""),999999.0)</f>
        <v>999999</v>
      </c>
      <c r="D609" s="5" t="str">
        <f>IFERROR(__xludf.DUMMYFUNCTION("""COMPUTED_VALUE"""),"christmas-sugar-luck")</f>
        <v>christmas-sugar-luck</v>
      </c>
      <c r="E609" s="5" t="str">
        <f>IFERROR(__xludf.DUMMYFUNCTION("""COMPUTED_VALUE"""),"Yes")</f>
        <v>Yes</v>
      </c>
      <c r="F609" s="5" t="str">
        <f>IFERROR(__xludf.DUMMYFUNCTION("""COMPUTED_VALUE"""),"Yes")</f>
        <v>Yes</v>
      </c>
      <c r="G609" s="5" t="str">
        <f>IFERROR(__xludf.DUMMYFUNCTION("""COMPUTED_VALUE"""),"No")</f>
        <v>No</v>
      </c>
      <c r="H609" s="5" t="str">
        <f>IFERROR(__xludf.DUMMYFUNCTION("""COMPUTED_VALUE"""),"Yes")</f>
        <v>Yes</v>
      </c>
      <c r="I609" s="5" t="str">
        <f>IFERROR(__xludf.DUMMYFUNCTION("""COMPUTED_VALUE"""),"Yes")</f>
        <v>Yes</v>
      </c>
      <c r="J609" s="5" t="str">
        <f>IFERROR(__xludf.DUMMYFUNCTION("""COMPUTED_VALUE"""),"Yes")</f>
        <v>Yes</v>
      </c>
      <c r="K609" s="5" t="str">
        <f>IFERROR(__xludf.DUMMYFUNCTION("""COMPUTED_VALUE"""),"Yes")</f>
        <v>Yes</v>
      </c>
      <c r="L609" s="5" t="str">
        <f>IFERROR(__xludf.DUMMYFUNCTION("""COMPUTED_VALUE"""),"Yes")</f>
        <v>Yes</v>
      </c>
      <c r="M609" s="5" t="str">
        <f>IFERROR(__xludf.DUMMYFUNCTION("""COMPUTED_VALUE"""),"Yes")</f>
        <v>Yes</v>
      </c>
      <c r="N609" s="5" t="str">
        <f>IFERROR(__xludf.DUMMYFUNCTION("""COMPUTED_VALUE"""),"Yes")</f>
        <v>Yes</v>
      </c>
      <c r="O609" s="5" t="str">
        <f>IFERROR(__xludf.DUMMYFUNCTION("""COMPUTED_VALUE"""),"Yes")</f>
        <v>Yes</v>
      </c>
      <c r="P609" s="5" t="str">
        <f>IFERROR(__xludf.DUMMYFUNCTION("""COMPUTED_VALUE"""),"Yes")</f>
        <v>Yes</v>
      </c>
      <c r="Q609" s="5" t="str">
        <f>IFERROR(__xludf.DUMMYFUNCTION("""COMPUTED_VALUE"""),"Yes")</f>
        <v>Yes</v>
      </c>
      <c r="R609" s="5" t="str">
        <f>IFERROR(__xludf.DUMMYFUNCTION("""COMPUTED_VALUE"""),"Yes")</f>
        <v>Yes</v>
      </c>
      <c r="S609" s="5" t="str">
        <f>IFERROR(__xludf.DUMMYFUNCTION("""COMPUTED_VALUE"""),"Yes")</f>
        <v>Yes</v>
      </c>
      <c r="T609" s="5" t="str">
        <f>IFERROR(__xludf.DUMMYFUNCTION("""COMPUTED_VALUE"""),"No")</f>
        <v>No</v>
      </c>
      <c r="U609" s="5" t="str">
        <f>IFERROR(__xludf.DUMMYFUNCTION("""COMPUTED_VALUE"""),"No")</f>
        <v>No</v>
      </c>
      <c r="V609" s="5" t="str">
        <f>IFERROR(__xludf.DUMMYFUNCTION("""COMPUTED_VALUE"""),"No")</f>
        <v>No</v>
      </c>
      <c r="W609" s="5" t="str">
        <f>IFERROR(__xludf.DUMMYFUNCTION("""COMPUTED_VALUE"""),"No")</f>
        <v>No</v>
      </c>
      <c r="X609" s="5" t="str">
        <f>IFERROR(__xludf.DUMMYFUNCTION("""COMPUTED_VALUE"""),"No")</f>
        <v>No</v>
      </c>
      <c r="Y609" s="5" t="str">
        <f>IFERROR(__xludf.DUMMYFUNCTION("""COMPUTED_VALUE"""),"No")</f>
        <v>No</v>
      </c>
      <c r="Z609" s="5" t="str">
        <f>IFERROR(__xludf.DUMMYFUNCTION("""COMPUTED_VALUE"""),"No")</f>
        <v>No</v>
      </c>
      <c r="AA609" s="5" t="str">
        <f>IFERROR(__xludf.DUMMYFUNCTION("""COMPUTED_VALUE"""),"No")</f>
        <v>No</v>
      </c>
      <c r="AB609" s="5" t="str">
        <f>IFERROR(__xludf.DUMMYFUNCTION("""COMPUTED_VALUE"""),"No")</f>
        <v>No</v>
      </c>
      <c r="AC609" s="5" t="str">
        <f>IFERROR(__xludf.DUMMYFUNCTION("""COMPUTED_VALUE"""),"No")</f>
        <v>No</v>
      </c>
      <c r="AD609" s="5" t="str">
        <f>IFERROR(__xludf.DUMMYFUNCTION("""COMPUTED_VALUE"""),"No")</f>
        <v>No</v>
      </c>
      <c r="AE609" s="5" t="str">
        <f>IFERROR(__xludf.DUMMYFUNCTION("""COMPUTED_VALUE"""),"No")</f>
        <v>No</v>
      </c>
      <c r="AF609" s="5" t="str">
        <f>IFERROR(__xludf.DUMMYFUNCTION("""COMPUTED_VALUE"""),"Yes")</f>
        <v>Yes</v>
      </c>
      <c r="AG609" s="5" t="str">
        <f>IFERROR(__xludf.DUMMYFUNCTION("""COMPUTED_VALUE"""),"No")</f>
        <v>No</v>
      </c>
      <c r="AH609" s="5" t="str">
        <f>IFERROR(__xludf.DUMMYFUNCTION("""COMPUTED_VALUE"""),"Yes")</f>
        <v>Yes</v>
      </c>
      <c r="AI609" s="5" t="str">
        <f>IFERROR(__xludf.DUMMYFUNCTION("""COMPUTED_VALUE"""),"No")</f>
        <v>No</v>
      </c>
      <c r="AJ609" s="5" t="str">
        <f>IFERROR(__xludf.DUMMYFUNCTION("""COMPUTED_VALUE"""),"No")</f>
        <v>No</v>
      </c>
      <c r="AK609" s="5" t="str">
        <f>IFERROR(__xludf.DUMMYFUNCTION("""COMPUTED_VALUE"""),"No")</f>
        <v>No</v>
      </c>
      <c r="AL609" s="5" t="str">
        <f>IFERROR(__xludf.DUMMYFUNCTION("""COMPUTED_VALUE"""),"No")</f>
        <v>No</v>
      </c>
      <c r="AM609" s="5"/>
      <c r="AN609" s="5"/>
      <c r="AO609" s="5"/>
      <c r="AP609" s="5"/>
      <c r="AQ609" s="5"/>
      <c r="AR609" s="5"/>
      <c r="AS609" s="5"/>
      <c r="AT609" s="5"/>
      <c r="AU609" s="5"/>
      <c r="AV609" s="5"/>
      <c r="AW609" s="5"/>
      <c r="AX609" s="5"/>
      <c r="AY609" s="5"/>
    </row>
    <row r="610">
      <c r="A6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0" s="5">
        <f>IFERROR(__xludf.DUMMYFUNCTION("""COMPUTED_VALUE"""),645.0)</f>
        <v>645</v>
      </c>
      <c r="C610" s="5">
        <f>IFERROR(__xludf.DUMMYFUNCTION("""COMPUTED_VALUE"""),4027.0)</f>
        <v>4027</v>
      </c>
      <c r="D610" s="5" t="str">
        <f>IFERROR(__xludf.DUMMYFUNCTION("""COMPUTED_VALUE"""),"KonfamBall")</f>
        <v>KonfamBall</v>
      </c>
      <c r="E610" s="5" t="str">
        <f>IFERROR(__xludf.DUMMYFUNCTION("""COMPUTED_VALUE"""),"Yes")</f>
        <v>Yes</v>
      </c>
      <c r="F610" s="5" t="str">
        <f>IFERROR(__xludf.DUMMYFUNCTION("""COMPUTED_VALUE"""),"Yes")</f>
        <v>Yes</v>
      </c>
      <c r="G610" s="5" t="str">
        <f>IFERROR(__xludf.DUMMYFUNCTION("""COMPUTED_VALUE"""),"Yes")</f>
        <v>Yes</v>
      </c>
      <c r="H610" s="5" t="str">
        <f>IFERROR(__xludf.DUMMYFUNCTION("""COMPUTED_VALUE"""),"Yes")</f>
        <v>Yes</v>
      </c>
      <c r="I610" s="5" t="str">
        <f>IFERROR(__xludf.DUMMYFUNCTION("""COMPUTED_VALUE"""),"Yes")</f>
        <v>Yes</v>
      </c>
      <c r="J610" s="5" t="str">
        <f>IFERROR(__xludf.DUMMYFUNCTION("""COMPUTED_VALUE"""),"Yes")</f>
        <v>Yes</v>
      </c>
      <c r="K610" s="5" t="str">
        <f>IFERROR(__xludf.DUMMYFUNCTION("""COMPUTED_VALUE"""),"Yes")</f>
        <v>Yes</v>
      </c>
      <c r="L610" s="5" t="str">
        <f>IFERROR(__xludf.DUMMYFUNCTION("""COMPUTED_VALUE"""),"Yes")</f>
        <v>Yes</v>
      </c>
      <c r="M610" s="5" t="str">
        <f>IFERROR(__xludf.DUMMYFUNCTION("""COMPUTED_VALUE"""),"Yes")</f>
        <v>Yes</v>
      </c>
      <c r="N610" s="5" t="str">
        <f>IFERROR(__xludf.DUMMYFUNCTION("""COMPUTED_VALUE"""),"Yes")</f>
        <v>Yes</v>
      </c>
      <c r="O610" s="5" t="str">
        <f>IFERROR(__xludf.DUMMYFUNCTION("""COMPUTED_VALUE"""),"Yes")</f>
        <v>Yes</v>
      </c>
      <c r="P610" s="5" t="str">
        <f>IFERROR(__xludf.DUMMYFUNCTION("""COMPUTED_VALUE"""),"Yes")</f>
        <v>Yes</v>
      </c>
      <c r="Q610" s="5" t="str">
        <f>IFERROR(__xludf.DUMMYFUNCTION("""COMPUTED_VALUE"""),"Yes")</f>
        <v>Yes</v>
      </c>
      <c r="R610" s="5" t="str">
        <f>IFERROR(__xludf.DUMMYFUNCTION("""COMPUTED_VALUE"""),"Yes")</f>
        <v>Yes</v>
      </c>
      <c r="S610" s="5" t="str">
        <f>IFERROR(__xludf.DUMMYFUNCTION("""COMPUTED_VALUE"""),"Yes")</f>
        <v>Yes</v>
      </c>
      <c r="T610" s="5" t="str">
        <f>IFERROR(__xludf.DUMMYFUNCTION("""COMPUTED_VALUE"""),"Yes")</f>
        <v>Yes</v>
      </c>
      <c r="U610" s="5" t="str">
        <f>IFERROR(__xludf.DUMMYFUNCTION("""COMPUTED_VALUE"""),"Yes")</f>
        <v>Yes</v>
      </c>
      <c r="V610" s="5" t="str">
        <f>IFERROR(__xludf.DUMMYFUNCTION("""COMPUTED_VALUE"""),"Yes")</f>
        <v>Yes</v>
      </c>
      <c r="W610" s="5" t="str">
        <f>IFERROR(__xludf.DUMMYFUNCTION("""COMPUTED_VALUE"""),"Yes")</f>
        <v>Yes</v>
      </c>
      <c r="X610" s="5" t="str">
        <f>IFERROR(__xludf.DUMMYFUNCTION("""COMPUTED_VALUE"""),"Yes")</f>
        <v>Yes</v>
      </c>
      <c r="Y610" s="5" t="str">
        <f>IFERROR(__xludf.DUMMYFUNCTION("""COMPUTED_VALUE"""),"Yes")</f>
        <v>Yes</v>
      </c>
      <c r="Z610" s="5" t="str">
        <f>IFERROR(__xludf.DUMMYFUNCTION("""COMPUTED_VALUE"""),"No")</f>
        <v>No</v>
      </c>
      <c r="AA610" s="5" t="str">
        <f>IFERROR(__xludf.DUMMYFUNCTION("""COMPUTED_VALUE"""),"Yes")</f>
        <v>Yes</v>
      </c>
      <c r="AB610" s="5" t="str">
        <f>IFERROR(__xludf.DUMMYFUNCTION("""COMPUTED_VALUE"""),"Yes")</f>
        <v>Yes</v>
      </c>
      <c r="AC610" s="5" t="str">
        <f>IFERROR(__xludf.DUMMYFUNCTION("""COMPUTED_VALUE"""),"Yes")</f>
        <v>Yes</v>
      </c>
      <c r="AD610" s="5" t="str">
        <f>IFERROR(__xludf.DUMMYFUNCTION("""COMPUTED_VALUE"""),"Yes")</f>
        <v>Yes</v>
      </c>
      <c r="AE610" s="5" t="str">
        <f>IFERROR(__xludf.DUMMYFUNCTION("""COMPUTED_VALUE"""),"No")</f>
        <v>No</v>
      </c>
      <c r="AF610" s="5" t="str">
        <f>IFERROR(__xludf.DUMMYFUNCTION("""COMPUTED_VALUE"""),"Yes")</f>
        <v>Yes</v>
      </c>
      <c r="AG610" s="5" t="str">
        <f>IFERROR(__xludf.DUMMYFUNCTION("""COMPUTED_VALUE"""),"No")</f>
        <v>No</v>
      </c>
      <c r="AH610" s="5" t="str">
        <f>IFERROR(__xludf.DUMMYFUNCTION("""COMPUTED_VALUE"""),"No")</f>
        <v>No</v>
      </c>
      <c r="AI610" s="5" t="str">
        <f>IFERROR(__xludf.DUMMYFUNCTION("""COMPUTED_VALUE"""),"No")</f>
        <v>No</v>
      </c>
      <c r="AJ610" s="5" t="str">
        <f>IFERROR(__xludf.DUMMYFUNCTION("""COMPUTED_VALUE"""),"No")</f>
        <v>No</v>
      </c>
      <c r="AK610" s="5" t="str">
        <f>IFERROR(__xludf.DUMMYFUNCTION("""COMPUTED_VALUE"""),"No")</f>
        <v>No</v>
      </c>
      <c r="AL610" s="5" t="str">
        <f>IFERROR(__xludf.DUMMYFUNCTION("""COMPUTED_VALUE"""),"No")</f>
        <v>No</v>
      </c>
      <c r="AM610" s="5"/>
      <c r="AN610" s="5"/>
      <c r="AO610" s="5"/>
      <c r="AP610" s="5"/>
      <c r="AQ610" s="5"/>
      <c r="AR610" s="5"/>
      <c r="AS610" s="5"/>
      <c r="AT610" s="5"/>
      <c r="AU610" s="5"/>
      <c r="AV610" s="5"/>
      <c r="AW610" s="5"/>
      <c r="AX610" s="5"/>
      <c r="AY610" s="5"/>
    </row>
    <row r="611">
      <c r="A611" s="5" t="str">
        <f>IFERROR(__xludf.DUMMYFUNCTION("""COMPUTED_VALUE"""),"English(""eng"")")</f>
        <v>English("eng")</v>
      </c>
      <c r="B611" s="5">
        <f>IFERROR(__xludf.DUMMYFUNCTION("""COMPUTED_VALUE"""),646.0)</f>
        <v>646</v>
      </c>
      <c r="C611" s="5">
        <f>IFERROR(__xludf.DUMMYFUNCTION("""COMPUTED_VALUE"""),526.0)</f>
        <v>526</v>
      </c>
      <c r="D611" s="5" t="str">
        <f>IFERROR(__xludf.DUMMYFUNCTION("""COMPUTED_VALUE"""),"UnicornDynamiteBoomDice")</f>
        <v>UnicornDynamiteBoomDice</v>
      </c>
      <c r="E611" s="5" t="str">
        <f>IFERROR(__xludf.DUMMYFUNCTION("""COMPUTED_VALUE"""),"Yes")</f>
        <v>Yes</v>
      </c>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row>
    <row r="612">
      <c r="A612" s="5" t="str">
        <f>IFERROR(__xludf.DUMMYFUNCTION("""COMPUTED_VALUE"""),"English(""eng"")")</f>
        <v>English("eng")</v>
      </c>
      <c r="B612" s="5">
        <f>IFERROR(__xludf.DUMMYFUNCTION("""COMPUTED_VALUE"""),647.0)</f>
        <v>647</v>
      </c>
      <c r="C612" s="5">
        <f>IFERROR(__xludf.DUMMYFUNCTION("""COMPUTED_VALUE"""),527.0)</f>
        <v>527</v>
      </c>
      <c r="D612" s="5" t="str">
        <f>IFERROR(__xludf.DUMMYFUNCTION("""COMPUTED_VALUE"""),"UnicornBuffaloDiceJackpot")</f>
        <v>UnicornBuffaloDiceJackpot</v>
      </c>
      <c r="E612" s="5" t="str">
        <f>IFERROR(__xludf.DUMMYFUNCTION("""COMPUTED_VALUE"""),"Yes")</f>
        <v>Yes</v>
      </c>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row>
    <row r="613">
      <c r="A613" s="5" t="str">
        <f>IFERROR(__xludf.DUMMYFUNCTION("""COMPUTED_VALUE"""),"English(""eng"")")</f>
        <v>English("eng")</v>
      </c>
      <c r="B613" s="5">
        <f>IFERROR(__xludf.DUMMYFUNCTION("""COMPUTED_VALUE"""),648.0)</f>
        <v>648</v>
      </c>
      <c r="C613" s="5">
        <f>IFERROR(__xludf.DUMMYFUNCTION("""COMPUTED_VALUE"""),525.0)</f>
        <v>525</v>
      </c>
      <c r="D613" s="5" t="str">
        <f>IFERROR(__xludf.DUMMYFUNCTION("""COMPUTED_VALUE"""),"UnicornTripleStackedDiamondJackpot")</f>
        <v>UnicornTripleStackedDiamondJackpot</v>
      </c>
      <c r="E613" s="5" t="str">
        <f>IFERROR(__xludf.DUMMYFUNCTION("""COMPUTED_VALUE"""),"Yes")</f>
        <v>Yes</v>
      </c>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row>
    <row r="614">
      <c r="A6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14" s="5">
        <f>IFERROR(__xludf.DUMMYFUNCTION("""COMPUTED_VALUE"""),649.0)</f>
        <v>649</v>
      </c>
      <c r="C614" s="5">
        <f>IFERROR(__xludf.DUMMYFUNCTION("""COMPUTED_VALUE"""),4029.0)</f>
        <v>4029</v>
      </c>
      <c r="D614" s="5" t="str">
        <f>IFERROR(__xludf.DUMMYFUNCTION("""COMPUTED_VALUE"""),"SuperTripleDouble")</f>
        <v>SuperTripleDouble</v>
      </c>
      <c r="E614" s="5" t="str">
        <f>IFERROR(__xludf.DUMMYFUNCTION("""COMPUTED_VALUE"""),"Yes")</f>
        <v>Yes</v>
      </c>
      <c r="F614" s="5" t="str">
        <f>IFERROR(__xludf.DUMMYFUNCTION("""COMPUTED_VALUE"""),"Yes")</f>
        <v>Yes</v>
      </c>
      <c r="G614" s="5" t="str">
        <f>IFERROR(__xludf.DUMMYFUNCTION("""COMPUTED_VALUE"""),"Yes")</f>
        <v>Yes</v>
      </c>
      <c r="H614" s="5" t="str">
        <f>IFERROR(__xludf.DUMMYFUNCTION("""COMPUTED_VALUE"""),"Yes")</f>
        <v>Yes</v>
      </c>
      <c r="I614" s="5" t="str">
        <f>IFERROR(__xludf.DUMMYFUNCTION("""COMPUTED_VALUE"""),"Yes")</f>
        <v>Yes</v>
      </c>
      <c r="J614" s="5" t="str">
        <f>IFERROR(__xludf.DUMMYFUNCTION("""COMPUTED_VALUE"""),"Yes")</f>
        <v>Yes</v>
      </c>
      <c r="K614" s="5" t="str">
        <f>IFERROR(__xludf.DUMMYFUNCTION("""COMPUTED_VALUE"""),"Yes")</f>
        <v>Yes</v>
      </c>
      <c r="L614" s="5" t="str">
        <f>IFERROR(__xludf.DUMMYFUNCTION("""COMPUTED_VALUE"""),"Yes")</f>
        <v>Yes</v>
      </c>
      <c r="M614" s="5" t="str">
        <f>IFERROR(__xludf.DUMMYFUNCTION("""COMPUTED_VALUE"""),"Yes")</f>
        <v>Yes</v>
      </c>
      <c r="N614" s="5" t="str">
        <f>IFERROR(__xludf.DUMMYFUNCTION("""COMPUTED_VALUE"""),"Yes")</f>
        <v>Yes</v>
      </c>
      <c r="O614" s="5" t="str">
        <f>IFERROR(__xludf.DUMMYFUNCTION("""COMPUTED_VALUE"""),"Yes")</f>
        <v>Yes</v>
      </c>
      <c r="P614" s="5" t="str">
        <f>IFERROR(__xludf.DUMMYFUNCTION("""COMPUTED_VALUE"""),"Yes")</f>
        <v>Yes</v>
      </c>
      <c r="Q614" s="5" t="str">
        <f>IFERROR(__xludf.DUMMYFUNCTION("""COMPUTED_VALUE"""),"Yes")</f>
        <v>Yes</v>
      </c>
      <c r="R614" s="5" t="str">
        <f>IFERROR(__xludf.DUMMYFUNCTION("""COMPUTED_VALUE"""),"Yes")</f>
        <v>Yes</v>
      </c>
      <c r="S614" s="5" t="str">
        <f>IFERROR(__xludf.DUMMYFUNCTION("""COMPUTED_VALUE"""),"Yes")</f>
        <v>Yes</v>
      </c>
      <c r="T614" s="5" t="str">
        <f>IFERROR(__xludf.DUMMYFUNCTION("""COMPUTED_VALUE"""),"Yes")</f>
        <v>Yes</v>
      </c>
      <c r="U614" s="5" t="str">
        <f>IFERROR(__xludf.DUMMYFUNCTION("""COMPUTED_VALUE"""),"Yes")</f>
        <v>Yes</v>
      </c>
      <c r="V614" s="5" t="str">
        <f>IFERROR(__xludf.DUMMYFUNCTION("""COMPUTED_VALUE"""),"Yes")</f>
        <v>Yes</v>
      </c>
      <c r="W614" s="5" t="str">
        <f>IFERROR(__xludf.DUMMYFUNCTION("""COMPUTED_VALUE"""),"Yes")</f>
        <v>Yes</v>
      </c>
      <c r="X614" s="5" t="str">
        <f>IFERROR(__xludf.DUMMYFUNCTION("""COMPUTED_VALUE"""),"Yes")</f>
        <v>Yes</v>
      </c>
      <c r="Y614" s="5" t="str">
        <f>IFERROR(__xludf.DUMMYFUNCTION("""COMPUTED_VALUE"""),"Yes")</f>
        <v>Yes</v>
      </c>
      <c r="Z614" s="5" t="str">
        <f>IFERROR(__xludf.DUMMYFUNCTION("""COMPUTED_VALUE"""),"Yes")</f>
        <v>Yes</v>
      </c>
      <c r="AA614" s="5" t="str">
        <f>IFERROR(__xludf.DUMMYFUNCTION("""COMPUTED_VALUE"""),"Yes")</f>
        <v>Yes</v>
      </c>
      <c r="AB614" s="5" t="str">
        <f>IFERROR(__xludf.DUMMYFUNCTION("""COMPUTED_VALUE"""),"Yes")</f>
        <v>Yes</v>
      </c>
      <c r="AC614" s="5" t="str">
        <f>IFERROR(__xludf.DUMMYFUNCTION("""COMPUTED_VALUE"""),"Yes")</f>
        <v>Yes</v>
      </c>
      <c r="AD614" s="5" t="str">
        <f>IFERROR(__xludf.DUMMYFUNCTION("""COMPUTED_VALUE"""),"Yes")</f>
        <v>Yes</v>
      </c>
      <c r="AE614" s="5" t="str">
        <f>IFERROR(__xludf.DUMMYFUNCTION("""COMPUTED_VALUE"""),"Yes")</f>
        <v>Yes</v>
      </c>
      <c r="AF614" s="5" t="str">
        <f>IFERROR(__xludf.DUMMYFUNCTION("""COMPUTED_VALUE"""),"Yes")</f>
        <v>Yes</v>
      </c>
      <c r="AG614" s="5" t="str">
        <f>IFERROR(__xludf.DUMMYFUNCTION("""COMPUTED_VALUE"""),"Yes")</f>
        <v>Yes</v>
      </c>
      <c r="AH614" s="5" t="str">
        <f>IFERROR(__xludf.DUMMYFUNCTION("""COMPUTED_VALUE"""),"Yes")</f>
        <v>Yes</v>
      </c>
      <c r="AI614" s="5" t="str">
        <f>IFERROR(__xludf.DUMMYFUNCTION("""COMPUTED_VALUE"""),"No")</f>
        <v>No</v>
      </c>
      <c r="AJ614" s="5" t="str">
        <f>IFERROR(__xludf.DUMMYFUNCTION("""COMPUTED_VALUE"""),"No")</f>
        <v>No</v>
      </c>
      <c r="AK614" s="5" t="str">
        <f>IFERROR(__xludf.DUMMYFUNCTION("""COMPUTED_VALUE"""),"No")</f>
        <v>No</v>
      </c>
      <c r="AL614" s="5" t="str">
        <f>IFERROR(__xludf.DUMMYFUNCTION("""COMPUTED_VALUE"""),"No")</f>
        <v>No</v>
      </c>
      <c r="AM614" s="5"/>
      <c r="AN614" s="5"/>
      <c r="AO614" s="5"/>
      <c r="AP614" s="5"/>
      <c r="AQ614" s="5"/>
      <c r="AR614" s="5"/>
      <c r="AS614" s="5"/>
      <c r="AT614" s="5"/>
      <c r="AU614" s="5"/>
      <c r="AV614" s="5"/>
      <c r="AW614" s="5"/>
      <c r="AX614" s="5"/>
      <c r="AY614" s="5"/>
    </row>
    <row r="615">
      <c r="A61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15" s="5">
        <f>IFERROR(__xludf.DUMMYFUNCTION("""COMPUTED_VALUE"""),650.0)</f>
        <v>650</v>
      </c>
      <c r="C615" s="5">
        <f>IFERROR(__xludf.DUMMYFUNCTION("""COMPUTED_VALUE"""),180053.0)</f>
        <v>180053</v>
      </c>
      <c r="D615" s="5" t="str">
        <f>IFERROR(__xludf.DUMMYFUNCTION("""COMPUTED_VALUE"""),"RedstoneInfernoHot40")</f>
        <v>RedstoneInfernoHot40</v>
      </c>
      <c r="E615" s="5" t="str">
        <f>IFERROR(__xludf.DUMMYFUNCTION("""COMPUTED_VALUE"""),"Yes")</f>
        <v>Yes</v>
      </c>
      <c r="F615" s="5" t="str">
        <f>IFERROR(__xludf.DUMMYFUNCTION("""COMPUTED_VALUE"""),"Yes")</f>
        <v>Yes</v>
      </c>
      <c r="G615" s="5" t="str">
        <f>IFERROR(__xludf.DUMMYFUNCTION("""COMPUTED_VALUE"""),"Yes")</f>
        <v>Yes</v>
      </c>
      <c r="H615" s="5" t="str">
        <f>IFERROR(__xludf.DUMMYFUNCTION("""COMPUTED_VALUE"""),"Yes")</f>
        <v>Yes</v>
      </c>
      <c r="I615" s="5" t="str">
        <f>IFERROR(__xludf.DUMMYFUNCTION("""COMPUTED_VALUE"""),"Yes")</f>
        <v>Yes</v>
      </c>
      <c r="J615" s="5" t="str">
        <f>IFERROR(__xludf.DUMMYFUNCTION("""COMPUTED_VALUE"""),"Yes")</f>
        <v>Yes</v>
      </c>
      <c r="K615" s="5" t="str">
        <f>IFERROR(__xludf.DUMMYFUNCTION("""COMPUTED_VALUE"""),"Yes")</f>
        <v>Yes</v>
      </c>
      <c r="L615" s="5" t="str">
        <f>IFERROR(__xludf.DUMMYFUNCTION("""COMPUTED_VALUE"""),"Yes")</f>
        <v>Yes</v>
      </c>
      <c r="M615" s="5" t="str">
        <f>IFERROR(__xludf.DUMMYFUNCTION("""COMPUTED_VALUE"""),"Yes")</f>
        <v>Yes</v>
      </c>
      <c r="N615" s="5" t="str">
        <f>IFERROR(__xludf.DUMMYFUNCTION("""COMPUTED_VALUE"""),"Yes")</f>
        <v>Yes</v>
      </c>
      <c r="O615" s="5" t="str">
        <f>IFERROR(__xludf.DUMMYFUNCTION("""COMPUTED_VALUE"""),"Yes")</f>
        <v>Yes</v>
      </c>
      <c r="P615" s="5" t="str">
        <f>IFERROR(__xludf.DUMMYFUNCTION("""COMPUTED_VALUE"""),"Yes")</f>
        <v>Yes</v>
      </c>
      <c r="Q615" s="5" t="str">
        <f>IFERROR(__xludf.DUMMYFUNCTION("""COMPUTED_VALUE"""),"Yes")</f>
        <v>Yes</v>
      </c>
      <c r="R615" s="5" t="str">
        <f>IFERROR(__xludf.DUMMYFUNCTION("""COMPUTED_VALUE"""),"Yes")</f>
        <v>Yes</v>
      </c>
      <c r="S615" s="5" t="str">
        <f>IFERROR(__xludf.DUMMYFUNCTION("""COMPUTED_VALUE"""),"Yes")</f>
        <v>Yes</v>
      </c>
      <c r="T615" s="5" t="str">
        <f>IFERROR(__xludf.DUMMYFUNCTION("""COMPUTED_VALUE"""),"No")</f>
        <v>No</v>
      </c>
      <c r="U615" s="5" t="str">
        <f>IFERROR(__xludf.DUMMYFUNCTION("""COMPUTED_VALUE"""),"No")</f>
        <v>No</v>
      </c>
      <c r="V615" s="5" t="str">
        <f>IFERROR(__xludf.DUMMYFUNCTION("""COMPUTED_VALUE"""),"No")</f>
        <v>No</v>
      </c>
      <c r="W615" s="5" t="str">
        <f>IFERROR(__xludf.DUMMYFUNCTION("""COMPUTED_VALUE"""),"No")</f>
        <v>No</v>
      </c>
      <c r="X615" s="5" t="str">
        <f>IFERROR(__xludf.DUMMYFUNCTION("""COMPUTED_VALUE"""),"No")</f>
        <v>No</v>
      </c>
      <c r="Y615" s="5" t="str">
        <f>IFERROR(__xludf.DUMMYFUNCTION("""COMPUTED_VALUE"""),"No")</f>
        <v>No</v>
      </c>
      <c r="Z615" s="5" t="str">
        <f>IFERROR(__xludf.DUMMYFUNCTION("""COMPUTED_VALUE"""),"No")</f>
        <v>No</v>
      </c>
      <c r="AA615" s="5" t="str">
        <f>IFERROR(__xludf.DUMMYFUNCTION("""COMPUTED_VALUE"""),"Yes")</f>
        <v>Yes</v>
      </c>
      <c r="AB615" s="5" t="str">
        <f>IFERROR(__xludf.DUMMYFUNCTION("""COMPUTED_VALUE"""),"No")</f>
        <v>No</v>
      </c>
      <c r="AC615" s="5" t="str">
        <f>IFERROR(__xludf.DUMMYFUNCTION("""COMPUTED_VALUE"""),"No")</f>
        <v>No</v>
      </c>
      <c r="AD615" s="5" t="str">
        <f>IFERROR(__xludf.DUMMYFUNCTION("""COMPUTED_VALUE"""),"No")</f>
        <v>No</v>
      </c>
      <c r="AE615" s="5" t="str">
        <f>IFERROR(__xludf.DUMMYFUNCTION("""COMPUTED_VALUE"""),"No")</f>
        <v>No</v>
      </c>
      <c r="AF615" s="5" t="str">
        <f>IFERROR(__xludf.DUMMYFUNCTION("""COMPUTED_VALUE"""),"Yes")</f>
        <v>Yes</v>
      </c>
      <c r="AG615" s="5" t="str">
        <f>IFERROR(__xludf.DUMMYFUNCTION("""COMPUTED_VALUE"""),"No")</f>
        <v>No</v>
      </c>
      <c r="AH615" s="5" t="str">
        <f>IFERROR(__xludf.DUMMYFUNCTION("""COMPUTED_VALUE"""),"Yes")</f>
        <v>Yes</v>
      </c>
      <c r="AI615" s="5" t="str">
        <f>IFERROR(__xludf.DUMMYFUNCTION("""COMPUTED_VALUE"""),"No")</f>
        <v>No</v>
      </c>
      <c r="AJ615" s="5" t="str">
        <f>IFERROR(__xludf.DUMMYFUNCTION("""COMPUTED_VALUE"""),"No")</f>
        <v>No</v>
      </c>
      <c r="AK615" s="5" t="str">
        <f>IFERROR(__xludf.DUMMYFUNCTION("""COMPUTED_VALUE"""),"No")</f>
        <v>No</v>
      </c>
      <c r="AL615" s="5" t="str">
        <f>IFERROR(__xludf.DUMMYFUNCTION("""COMPUTED_VALUE"""),"No")</f>
        <v>No</v>
      </c>
      <c r="AM615" s="5"/>
      <c r="AN615" s="5"/>
      <c r="AO615" s="5"/>
      <c r="AP615" s="5"/>
      <c r="AQ615" s="5"/>
      <c r="AR615" s="5"/>
      <c r="AS615" s="5"/>
      <c r="AT615" s="5"/>
      <c r="AU615" s="5"/>
      <c r="AV615" s="5"/>
      <c r="AW615" s="5"/>
      <c r="AX615" s="5"/>
      <c r="AY615" s="5"/>
    </row>
    <row r="616">
      <c r="A616"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6" s="5">
        <f>IFERROR(__xludf.DUMMYFUNCTION("""COMPUTED_VALUE"""),651.0)</f>
        <v>651</v>
      </c>
      <c r="C616" s="5">
        <f>IFERROR(__xludf.DUMMYFUNCTION("""COMPUTED_VALUE"""),180054.0)</f>
        <v>180054</v>
      </c>
      <c r="D616" s="5" t="str">
        <f>IFERROR(__xludf.DUMMYFUNCTION("""COMPUTED_VALUE"""),"RedstoneRollingHearts10")</f>
        <v>RedstoneRollingHearts10</v>
      </c>
      <c r="E616" s="5" t="str">
        <f>IFERROR(__xludf.DUMMYFUNCTION("""COMPUTED_VALUE"""),"Yes")</f>
        <v>Yes</v>
      </c>
      <c r="F616" s="5" t="str">
        <f>IFERROR(__xludf.DUMMYFUNCTION("""COMPUTED_VALUE"""),"Yes")</f>
        <v>Yes</v>
      </c>
      <c r="G616" s="5" t="str">
        <f>IFERROR(__xludf.DUMMYFUNCTION("""COMPUTED_VALUE"""),"Yes")</f>
        <v>Yes</v>
      </c>
      <c r="H616" s="5"/>
      <c r="I616" s="5" t="str">
        <f>IFERROR(__xludf.DUMMYFUNCTION("""COMPUTED_VALUE"""),"Yes")</f>
        <v>Yes</v>
      </c>
      <c r="J616" s="5"/>
      <c r="K616" s="5"/>
      <c r="L616" s="5"/>
      <c r="M616" s="5" t="str">
        <f>IFERROR(__xludf.DUMMYFUNCTION("""COMPUTED_VALUE"""),"Yes")</f>
        <v>Yes</v>
      </c>
      <c r="N616" s="5" t="str">
        <f>IFERROR(__xludf.DUMMYFUNCTION("""COMPUTED_VALUE"""),"Yes")</f>
        <v>Yes</v>
      </c>
      <c r="O616" s="5" t="str">
        <f>IFERROR(__xludf.DUMMYFUNCTION("""COMPUTED_VALUE"""),"Yes")</f>
        <v>Yes</v>
      </c>
      <c r="P616" s="5" t="str">
        <f>IFERROR(__xludf.DUMMYFUNCTION("""COMPUTED_VALUE"""),"Yes")</f>
        <v>Yes</v>
      </c>
      <c r="Q616" s="5" t="str">
        <f>IFERROR(__xludf.DUMMYFUNCTION("""COMPUTED_VALUE"""),"Yes")</f>
        <v>Yes</v>
      </c>
      <c r="R616" s="5"/>
      <c r="S616" s="5" t="str">
        <f>IFERROR(__xludf.DUMMYFUNCTION("""COMPUTED_VALUE"""),"Yes")</f>
        <v>Yes</v>
      </c>
      <c r="T616" s="5"/>
      <c r="U616" s="5"/>
      <c r="V616" s="5"/>
      <c r="W616" s="5"/>
      <c r="X616" s="5"/>
      <c r="Y616" s="5"/>
      <c r="Z616" s="5"/>
      <c r="AA616" s="5" t="str">
        <f>IFERROR(__xludf.DUMMYFUNCTION("""COMPUTED_VALUE"""),"Yes")</f>
        <v>Yes</v>
      </c>
      <c r="AB616" s="5"/>
      <c r="AC616" s="5"/>
      <c r="AD616" s="5"/>
      <c r="AE616" s="5"/>
      <c r="AF616" s="5" t="str">
        <f>IFERROR(__xludf.DUMMYFUNCTION("""COMPUTED_VALUE"""),"Yes")</f>
        <v>Yes</v>
      </c>
      <c r="AG616" s="5"/>
      <c r="AH616" s="5"/>
      <c r="AI616" s="5"/>
      <c r="AJ616" s="5"/>
      <c r="AK616" s="5"/>
      <c r="AL616" s="5" t="str">
        <f>IFERROR(__xludf.DUMMYFUNCTION("""COMPUTED_VALUE"""),"Yes")</f>
        <v>Yes</v>
      </c>
      <c r="AM616" s="5"/>
      <c r="AN616" s="5"/>
      <c r="AO616" s="5"/>
      <c r="AP616" s="5"/>
      <c r="AQ616" s="5"/>
      <c r="AR616" s="5"/>
      <c r="AS616" s="5"/>
      <c r="AT616" s="5"/>
      <c r="AU616" s="5"/>
      <c r="AV616" s="5"/>
      <c r="AW616" s="5"/>
      <c r="AX616" s="5"/>
      <c r="AY616" s="5"/>
    </row>
    <row r="617">
      <c r="A617"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7" s="5">
        <f>IFERROR(__xludf.DUMMYFUNCTION("""COMPUTED_VALUE"""),652.0)</f>
        <v>652</v>
      </c>
      <c r="C617" s="5">
        <f>IFERROR(__xludf.DUMMYFUNCTION("""COMPUTED_VALUE"""),180056.0)</f>
        <v>180056</v>
      </c>
      <c r="D617" s="5" t="str">
        <f>IFERROR(__xludf.DUMMYFUNCTION("""COMPUTED_VALUE"""),"RedstoneCupidsWildHearts")</f>
        <v>RedstoneCupidsWildHearts</v>
      </c>
      <c r="E617" s="5" t="str">
        <f>IFERROR(__xludf.DUMMYFUNCTION("""COMPUTED_VALUE"""),"Yes")</f>
        <v>Yes</v>
      </c>
      <c r="F617" s="5" t="str">
        <f>IFERROR(__xludf.DUMMYFUNCTION("""COMPUTED_VALUE"""),"Yes")</f>
        <v>Yes</v>
      </c>
      <c r="G617" s="5" t="str">
        <f>IFERROR(__xludf.DUMMYFUNCTION("""COMPUTED_VALUE"""),"Yes")</f>
        <v>Yes</v>
      </c>
      <c r="H617" s="5" t="str">
        <f>IFERROR(__xludf.DUMMYFUNCTION("""COMPUTED_VALUE"""),"No")</f>
        <v>No</v>
      </c>
      <c r="I617" s="5" t="str">
        <f>IFERROR(__xludf.DUMMYFUNCTION("""COMPUTED_VALUE"""),"Yes")</f>
        <v>Yes</v>
      </c>
      <c r="J617" s="5" t="str">
        <f>IFERROR(__xludf.DUMMYFUNCTION("""COMPUTED_VALUE"""),"No")</f>
        <v>No</v>
      </c>
      <c r="K617" s="5" t="str">
        <f>IFERROR(__xludf.DUMMYFUNCTION("""COMPUTED_VALUE"""),"No")</f>
        <v>No</v>
      </c>
      <c r="L617" s="5" t="str">
        <f>IFERROR(__xludf.DUMMYFUNCTION("""COMPUTED_VALUE"""),"No")</f>
        <v>No</v>
      </c>
      <c r="M617" s="5" t="str">
        <f>IFERROR(__xludf.DUMMYFUNCTION("""COMPUTED_VALUE"""),"Yes")</f>
        <v>Yes</v>
      </c>
      <c r="N617" s="5" t="str">
        <f>IFERROR(__xludf.DUMMYFUNCTION("""COMPUTED_VALUE"""),"Yes")</f>
        <v>Yes</v>
      </c>
      <c r="O617" s="5" t="str">
        <f>IFERROR(__xludf.DUMMYFUNCTION("""COMPUTED_VALUE"""),"Yes")</f>
        <v>Yes</v>
      </c>
      <c r="P617" s="5" t="str">
        <f>IFERROR(__xludf.DUMMYFUNCTION("""COMPUTED_VALUE"""),"Yes")</f>
        <v>Yes</v>
      </c>
      <c r="Q617" s="5" t="str">
        <f>IFERROR(__xludf.DUMMYFUNCTION("""COMPUTED_VALUE"""),"Yes")</f>
        <v>Yes</v>
      </c>
      <c r="R617" s="5" t="str">
        <f>IFERROR(__xludf.DUMMYFUNCTION("""COMPUTED_VALUE"""),"No")</f>
        <v>No</v>
      </c>
      <c r="S617" s="5" t="str">
        <f>IFERROR(__xludf.DUMMYFUNCTION("""COMPUTED_VALUE"""),"Yes")</f>
        <v>Yes</v>
      </c>
      <c r="T617" s="5" t="str">
        <f>IFERROR(__xludf.DUMMYFUNCTION("""COMPUTED_VALUE"""),"No")</f>
        <v>No</v>
      </c>
      <c r="U617" s="5" t="str">
        <f>IFERROR(__xludf.DUMMYFUNCTION("""COMPUTED_VALUE"""),"No")</f>
        <v>No</v>
      </c>
      <c r="V617" s="5" t="str">
        <f>IFERROR(__xludf.DUMMYFUNCTION("""COMPUTED_VALUE"""),"No")</f>
        <v>No</v>
      </c>
      <c r="W617" s="5" t="str">
        <f>IFERROR(__xludf.DUMMYFUNCTION("""COMPUTED_VALUE"""),"No")</f>
        <v>No</v>
      </c>
      <c r="X617" s="5" t="str">
        <f>IFERROR(__xludf.DUMMYFUNCTION("""COMPUTED_VALUE"""),"No")</f>
        <v>No</v>
      </c>
      <c r="Y617" s="5" t="str">
        <f>IFERROR(__xludf.DUMMYFUNCTION("""COMPUTED_VALUE"""),"No")</f>
        <v>No</v>
      </c>
      <c r="Z617" s="5" t="str">
        <f>IFERROR(__xludf.DUMMYFUNCTION("""COMPUTED_VALUE"""),"No")</f>
        <v>No</v>
      </c>
      <c r="AA617" s="5" t="str">
        <f>IFERROR(__xludf.DUMMYFUNCTION("""COMPUTED_VALUE"""),"Yes")</f>
        <v>Yes</v>
      </c>
      <c r="AB617" s="5" t="str">
        <f>IFERROR(__xludf.DUMMYFUNCTION("""COMPUTED_VALUE"""),"No")</f>
        <v>No</v>
      </c>
      <c r="AC617" s="5" t="str">
        <f>IFERROR(__xludf.DUMMYFUNCTION("""COMPUTED_VALUE"""),"No")</f>
        <v>No</v>
      </c>
      <c r="AD617" s="5" t="str">
        <f>IFERROR(__xludf.DUMMYFUNCTION("""COMPUTED_VALUE"""),"No")</f>
        <v>No</v>
      </c>
      <c r="AE617" s="5" t="str">
        <f>IFERROR(__xludf.DUMMYFUNCTION("""COMPUTED_VALUE"""),"No")</f>
        <v>No</v>
      </c>
      <c r="AF617" s="5" t="str">
        <f>IFERROR(__xludf.DUMMYFUNCTION("""COMPUTED_VALUE"""),"Yes")</f>
        <v>Yes</v>
      </c>
      <c r="AG617" s="5" t="str">
        <f>IFERROR(__xludf.DUMMYFUNCTION("""COMPUTED_VALUE"""),"No")</f>
        <v>No</v>
      </c>
      <c r="AH617" s="5" t="str">
        <f>IFERROR(__xludf.DUMMYFUNCTION("""COMPUTED_VALUE"""),"No")</f>
        <v>No</v>
      </c>
      <c r="AI617" s="5" t="str">
        <f>IFERROR(__xludf.DUMMYFUNCTION("""COMPUTED_VALUE"""),"No")</f>
        <v>No</v>
      </c>
      <c r="AJ617" s="5" t="str">
        <f>IFERROR(__xludf.DUMMYFUNCTION("""COMPUTED_VALUE"""),"No")</f>
        <v>No</v>
      </c>
      <c r="AK617" s="5" t="str">
        <f>IFERROR(__xludf.DUMMYFUNCTION("""COMPUTED_VALUE"""),"No")</f>
        <v>No</v>
      </c>
      <c r="AL617" s="5" t="str">
        <f>IFERROR(__xludf.DUMMYFUNCTION("""COMPUTED_VALUE"""),"Yes")</f>
        <v>Yes</v>
      </c>
      <c r="AM617" s="5"/>
      <c r="AN617" s="5"/>
      <c r="AO617" s="5"/>
      <c r="AP617" s="5"/>
      <c r="AQ617" s="5"/>
      <c r="AR617" s="5"/>
      <c r="AS617" s="5"/>
      <c r="AT617" s="5"/>
      <c r="AU617" s="5"/>
      <c r="AV617" s="5"/>
      <c r="AW617" s="5"/>
      <c r="AX617" s="5"/>
      <c r="AY617" s="5"/>
    </row>
    <row r="618">
      <c r="A61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18" s="5">
        <f>IFERROR(__xludf.DUMMYFUNCTION("""COMPUTED_VALUE"""),653.0)</f>
        <v>653</v>
      </c>
      <c r="C618" s="5">
        <f>IFERROR(__xludf.DUMMYFUNCTION("""COMPUTED_VALUE"""),180055.0)</f>
        <v>180055</v>
      </c>
      <c r="D618" s="5" t="str">
        <f>IFERROR(__xludf.DUMMYFUNCTION("""COMPUTED_VALUE"""),"RedstoneDoubleWildDiamond")</f>
        <v>RedstoneDoubleWildDiamond</v>
      </c>
      <c r="E618" s="5" t="str">
        <f>IFERROR(__xludf.DUMMYFUNCTION("""COMPUTED_VALUE"""),"Yes")</f>
        <v>Yes</v>
      </c>
      <c r="F618" s="5" t="str">
        <f>IFERROR(__xludf.DUMMYFUNCTION("""COMPUTED_VALUE"""),"Yes")</f>
        <v>Yes</v>
      </c>
      <c r="G618" s="5" t="str">
        <f>IFERROR(__xludf.DUMMYFUNCTION("""COMPUTED_VALUE"""),"No")</f>
        <v>No</v>
      </c>
      <c r="H618" s="5" t="str">
        <f>IFERROR(__xludf.DUMMYFUNCTION("""COMPUTED_VALUE"""),"Yes")</f>
        <v>Yes</v>
      </c>
      <c r="I618" s="5" t="str">
        <f>IFERROR(__xludf.DUMMYFUNCTION("""COMPUTED_VALUE"""),"Yes")</f>
        <v>Yes</v>
      </c>
      <c r="J618" s="5" t="str">
        <f>IFERROR(__xludf.DUMMYFUNCTION("""COMPUTED_VALUE"""),"Yes")</f>
        <v>Yes</v>
      </c>
      <c r="K618" s="5" t="str">
        <f>IFERROR(__xludf.DUMMYFUNCTION("""COMPUTED_VALUE"""),"Yes")</f>
        <v>Yes</v>
      </c>
      <c r="L618" s="5" t="str">
        <f>IFERROR(__xludf.DUMMYFUNCTION("""COMPUTED_VALUE"""),"Yes")</f>
        <v>Yes</v>
      </c>
      <c r="M618" s="5" t="str">
        <f>IFERROR(__xludf.DUMMYFUNCTION("""COMPUTED_VALUE"""),"Yes")</f>
        <v>Yes</v>
      </c>
      <c r="N618" s="5" t="str">
        <f>IFERROR(__xludf.DUMMYFUNCTION("""COMPUTED_VALUE"""),"Yes")</f>
        <v>Yes</v>
      </c>
      <c r="O618" s="5" t="str">
        <f>IFERROR(__xludf.DUMMYFUNCTION("""COMPUTED_VALUE"""),"Yes")</f>
        <v>Yes</v>
      </c>
      <c r="P618" s="5" t="str">
        <f>IFERROR(__xludf.DUMMYFUNCTION("""COMPUTED_VALUE"""),"Yes")</f>
        <v>Yes</v>
      </c>
      <c r="Q618" s="5" t="str">
        <f>IFERROR(__xludf.DUMMYFUNCTION("""COMPUTED_VALUE"""),"Yes")</f>
        <v>Yes</v>
      </c>
      <c r="R618" s="5" t="str">
        <f>IFERROR(__xludf.DUMMYFUNCTION("""COMPUTED_VALUE"""),"Yes")</f>
        <v>Yes</v>
      </c>
      <c r="S618" s="5" t="str">
        <f>IFERROR(__xludf.DUMMYFUNCTION("""COMPUTED_VALUE"""),"Yes")</f>
        <v>Yes</v>
      </c>
      <c r="T618" s="5" t="str">
        <f>IFERROR(__xludf.DUMMYFUNCTION("""COMPUTED_VALUE"""),"No")</f>
        <v>No</v>
      </c>
      <c r="U618" s="5" t="str">
        <f>IFERROR(__xludf.DUMMYFUNCTION("""COMPUTED_VALUE"""),"No")</f>
        <v>No</v>
      </c>
      <c r="V618" s="5" t="str">
        <f>IFERROR(__xludf.DUMMYFUNCTION("""COMPUTED_VALUE"""),"No")</f>
        <v>No</v>
      </c>
      <c r="W618" s="5" t="str">
        <f>IFERROR(__xludf.DUMMYFUNCTION("""COMPUTED_VALUE"""),"No")</f>
        <v>No</v>
      </c>
      <c r="X618" s="5" t="str">
        <f>IFERROR(__xludf.DUMMYFUNCTION("""COMPUTED_VALUE"""),"No")</f>
        <v>No</v>
      </c>
      <c r="Y618" s="5" t="str">
        <f>IFERROR(__xludf.DUMMYFUNCTION("""COMPUTED_VALUE"""),"No")</f>
        <v>No</v>
      </c>
      <c r="Z618" s="5" t="str">
        <f>IFERROR(__xludf.DUMMYFUNCTION("""COMPUTED_VALUE"""),"No")</f>
        <v>No</v>
      </c>
      <c r="AA618" s="5" t="str">
        <f>IFERROR(__xludf.DUMMYFUNCTION("""COMPUTED_VALUE"""),"Yes")</f>
        <v>Yes</v>
      </c>
      <c r="AB618" s="5" t="str">
        <f>IFERROR(__xludf.DUMMYFUNCTION("""COMPUTED_VALUE"""),"No")</f>
        <v>No</v>
      </c>
      <c r="AC618" s="5" t="str">
        <f>IFERROR(__xludf.DUMMYFUNCTION("""COMPUTED_VALUE"""),"No")</f>
        <v>No</v>
      </c>
      <c r="AD618" s="5" t="str">
        <f>IFERROR(__xludf.DUMMYFUNCTION("""COMPUTED_VALUE"""),"No")</f>
        <v>No</v>
      </c>
      <c r="AE618" s="5" t="str">
        <f>IFERROR(__xludf.DUMMYFUNCTION("""COMPUTED_VALUE"""),"No")</f>
        <v>No</v>
      </c>
      <c r="AF618" s="5" t="str">
        <f>IFERROR(__xludf.DUMMYFUNCTION("""COMPUTED_VALUE"""),"Yes")</f>
        <v>Yes</v>
      </c>
      <c r="AG618" s="5" t="str">
        <f>IFERROR(__xludf.DUMMYFUNCTION("""COMPUTED_VALUE"""),"No")</f>
        <v>No</v>
      </c>
      <c r="AH618" s="5" t="str">
        <f>IFERROR(__xludf.DUMMYFUNCTION("""COMPUTED_VALUE"""),"Yes")</f>
        <v>Yes</v>
      </c>
      <c r="AI618" s="5" t="str">
        <f>IFERROR(__xludf.DUMMYFUNCTION("""COMPUTED_VALUE"""),"No")</f>
        <v>No</v>
      </c>
      <c r="AJ618" s="5" t="str">
        <f>IFERROR(__xludf.DUMMYFUNCTION("""COMPUTED_VALUE"""),"No")</f>
        <v>No</v>
      </c>
      <c r="AK618" s="5" t="str">
        <f>IFERROR(__xludf.DUMMYFUNCTION("""COMPUTED_VALUE"""),"No")</f>
        <v>No</v>
      </c>
      <c r="AL618" s="5" t="str">
        <f>IFERROR(__xludf.DUMMYFUNCTION("""COMPUTED_VALUE"""),"No")</f>
        <v>No</v>
      </c>
      <c r="AM618" s="5"/>
      <c r="AN618" s="5"/>
      <c r="AO618" s="5"/>
      <c r="AP618" s="5"/>
      <c r="AQ618" s="5"/>
      <c r="AR618" s="5"/>
      <c r="AS618" s="5"/>
      <c r="AT618" s="5"/>
      <c r="AU618" s="5"/>
      <c r="AV618" s="5"/>
      <c r="AW618" s="5"/>
      <c r="AX618" s="5"/>
      <c r="AY618" s="5"/>
    </row>
    <row r="619">
      <c r="A61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19" s="5">
        <f>IFERROR(__xludf.DUMMYFUNCTION("""COMPUTED_VALUE"""),654.0)</f>
        <v>654</v>
      </c>
      <c r="C619" s="5">
        <f>IFERROR(__xludf.DUMMYFUNCTION("""COMPUTED_VALUE"""),528.0)</f>
        <v>528</v>
      </c>
      <c r="D619" s="5" t="str">
        <f>IFERROR(__xludf.DUMMYFUNCTION("""COMPUTED_VALUE"""),"PlayNetDiamondHeart10")</f>
        <v>PlayNetDiamondHeart10</v>
      </c>
      <c r="E619" s="5" t="str">
        <f>IFERROR(__xludf.DUMMYFUNCTION("""COMPUTED_VALUE"""),"Yes")</f>
        <v>Yes</v>
      </c>
      <c r="F619" s="5" t="str">
        <f>IFERROR(__xludf.DUMMYFUNCTION("""COMPUTED_VALUE"""),"Yes")</f>
        <v>Yes</v>
      </c>
      <c r="G619" s="5" t="str">
        <f>IFERROR(__xludf.DUMMYFUNCTION("""COMPUTED_VALUE"""),"Yes")</f>
        <v>Yes</v>
      </c>
      <c r="H619" s="5" t="str">
        <f>IFERROR(__xludf.DUMMYFUNCTION("""COMPUTED_VALUE"""),"Yes")</f>
        <v>Yes</v>
      </c>
      <c r="I619" s="5" t="str">
        <f>IFERROR(__xludf.DUMMYFUNCTION("""COMPUTED_VALUE"""),"Yes")</f>
        <v>Yes</v>
      </c>
      <c r="J619" s="5" t="str">
        <f>IFERROR(__xludf.DUMMYFUNCTION("""COMPUTED_VALUE"""),"Yes")</f>
        <v>Yes</v>
      </c>
      <c r="K619" s="5" t="str">
        <f>IFERROR(__xludf.DUMMYFUNCTION("""COMPUTED_VALUE"""),"Yes")</f>
        <v>Yes</v>
      </c>
      <c r="L619" s="5" t="str">
        <f>IFERROR(__xludf.DUMMYFUNCTION("""COMPUTED_VALUE"""),"Yes")</f>
        <v>Yes</v>
      </c>
      <c r="M619" s="5" t="str">
        <f>IFERROR(__xludf.DUMMYFUNCTION("""COMPUTED_VALUE"""),"Yes")</f>
        <v>Yes</v>
      </c>
      <c r="N619" s="5" t="str">
        <f>IFERROR(__xludf.DUMMYFUNCTION("""COMPUTED_VALUE"""),"Yes")</f>
        <v>Yes</v>
      </c>
      <c r="O619" s="5" t="str">
        <f>IFERROR(__xludf.DUMMYFUNCTION("""COMPUTED_VALUE"""),"Yes")</f>
        <v>Yes</v>
      </c>
      <c r="P619" s="5" t="str">
        <f>IFERROR(__xludf.DUMMYFUNCTION("""COMPUTED_VALUE"""),"Yes")</f>
        <v>Yes</v>
      </c>
      <c r="Q619" s="5" t="str">
        <f>IFERROR(__xludf.DUMMYFUNCTION("""COMPUTED_VALUE"""),"Yes")</f>
        <v>Yes</v>
      </c>
      <c r="R619" s="5" t="str">
        <f>IFERROR(__xludf.DUMMYFUNCTION("""COMPUTED_VALUE"""),"Yes")</f>
        <v>Yes</v>
      </c>
      <c r="S619" s="5" t="str">
        <f>IFERROR(__xludf.DUMMYFUNCTION("""COMPUTED_VALUE"""),"Yes")</f>
        <v>Yes</v>
      </c>
      <c r="T619" s="5" t="str">
        <f>IFERROR(__xludf.DUMMYFUNCTION("""COMPUTED_VALUE"""),"No")</f>
        <v>No</v>
      </c>
      <c r="U619" s="5" t="str">
        <f>IFERROR(__xludf.DUMMYFUNCTION("""COMPUTED_VALUE"""),"No")</f>
        <v>No</v>
      </c>
      <c r="V619" s="5" t="str">
        <f>IFERROR(__xludf.DUMMYFUNCTION("""COMPUTED_VALUE"""),"No")</f>
        <v>No</v>
      </c>
      <c r="W619" s="5" t="str">
        <f>IFERROR(__xludf.DUMMYFUNCTION("""COMPUTED_VALUE"""),"No")</f>
        <v>No</v>
      </c>
      <c r="X619" s="5" t="str">
        <f>IFERROR(__xludf.DUMMYFUNCTION("""COMPUTED_VALUE"""),"No")</f>
        <v>No</v>
      </c>
      <c r="Y619" s="5" t="str">
        <f>IFERROR(__xludf.DUMMYFUNCTION("""COMPUTED_VALUE"""),"No")</f>
        <v>No</v>
      </c>
      <c r="Z619" s="5" t="str">
        <f>IFERROR(__xludf.DUMMYFUNCTION("""COMPUTED_VALUE"""),"No")</f>
        <v>No</v>
      </c>
      <c r="AA619" s="5" t="str">
        <f>IFERROR(__xludf.DUMMYFUNCTION("""COMPUTED_VALUE"""),"No")</f>
        <v>No</v>
      </c>
      <c r="AB619" s="5" t="str">
        <f>IFERROR(__xludf.DUMMYFUNCTION("""COMPUTED_VALUE"""),"No")</f>
        <v>No</v>
      </c>
      <c r="AC619" s="5" t="str">
        <f>IFERROR(__xludf.DUMMYFUNCTION("""COMPUTED_VALUE"""),"No")</f>
        <v>No</v>
      </c>
      <c r="AD619" s="5" t="str">
        <f>IFERROR(__xludf.DUMMYFUNCTION("""COMPUTED_VALUE"""),"No")</f>
        <v>No</v>
      </c>
      <c r="AE619" s="5" t="str">
        <f>IFERROR(__xludf.DUMMYFUNCTION("""COMPUTED_VALUE"""),"No")</f>
        <v>No</v>
      </c>
      <c r="AF619" s="5" t="str">
        <f>IFERROR(__xludf.DUMMYFUNCTION("""COMPUTED_VALUE"""),"Yes")</f>
        <v>Yes</v>
      </c>
      <c r="AG619" s="5" t="str">
        <f>IFERROR(__xludf.DUMMYFUNCTION("""COMPUTED_VALUE"""),"No")</f>
        <v>No</v>
      </c>
      <c r="AH619" s="5" t="str">
        <f>IFERROR(__xludf.DUMMYFUNCTION("""COMPUTED_VALUE"""),"Yes")</f>
        <v>Yes</v>
      </c>
      <c r="AI619" s="5" t="str">
        <f>IFERROR(__xludf.DUMMYFUNCTION("""COMPUTED_VALUE"""),"No")</f>
        <v>No</v>
      </c>
      <c r="AJ619" s="5" t="str">
        <f>IFERROR(__xludf.DUMMYFUNCTION("""COMPUTED_VALUE"""),"No")</f>
        <v>No</v>
      </c>
      <c r="AK619" s="5" t="str">
        <f>IFERROR(__xludf.DUMMYFUNCTION("""COMPUTED_VALUE"""),"No")</f>
        <v>No</v>
      </c>
      <c r="AL619" s="5" t="str">
        <f>IFERROR(__xludf.DUMMYFUNCTION("""COMPUTED_VALUE"""),"No")</f>
        <v>No</v>
      </c>
      <c r="AM619" s="5"/>
      <c r="AN619" s="5"/>
      <c r="AO619" s="5"/>
      <c r="AP619" s="5"/>
      <c r="AQ619" s="5"/>
      <c r="AR619" s="5"/>
      <c r="AS619" s="5"/>
      <c r="AT619" s="5"/>
      <c r="AU619" s="5"/>
      <c r="AV619" s="5"/>
      <c r="AW619" s="5"/>
      <c r="AX619" s="5"/>
      <c r="AY619" s="5"/>
    </row>
    <row r="620">
      <c r="A62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0" s="5">
        <f>IFERROR(__xludf.DUMMYFUNCTION("""COMPUTED_VALUE"""),655.0)</f>
        <v>655</v>
      </c>
      <c r="C620" s="5">
        <f>IFERROR(__xludf.DUMMYFUNCTION("""COMPUTED_VALUE"""),529.0)</f>
        <v>529</v>
      </c>
      <c r="D620" s="5" t="str">
        <f>IFERROR(__xludf.DUMMYFUNCTION("""COMPUTED_VALUE"""),"PlayNetLeprechaunsFortuneClover")</f>
        <v>PlayNetLeprechaunsFortuneClover</v>
      </c>
      <c r="E620" s="5" t="str">
        <f>IFERROR(__xludf.DUMMYFUNCTION("""COMPUTED_VALUE"""),"Yes")</f>
        <v>Yes</v>
      </c>
      <c r="F620" s="5" t="str">
        <f>IFERROR(__xludf.DUMMYFUNCTION("""COMPUTED_VALUE"""),"Yes")</f>
        <v>Yes</v>
      </c>
      <c r="G620" s="5" t="str">
        <f>IFERROR(__xludf.DUMMYFUNCTION("""COMPUTED_VALUE"""),"Yes")</f>
        <v>Yes</v>
      </c>
      <c r="H620" s="5" t="str">
        <f>IFERROR(__xludf.DUMMYFUNCTION("""COMPUTED_VALUE"""),"Yes")</f>
        <v>Yes</v>
      </c>
      <c r="I620" s="5" t="str">
        <f>IFERROR(__xludf.DUMMYFUNCTION("""COMPUTED_VALUE"""),"Yes")</f>
        <v>Yes</v>
      </c>
      <c r="J620" s="5" t="str">
        <f>IFERROR(__xludf.DUMMYFUNCTION("""COMPUTED_VALUE"""),"Yes")</f>
        <v>Yes</v>
      </c>
      <c r="K620" s="5" t="str">
        <f>IFERROR(__xludf.DUMMYFUNCTION("""COMPUTED_VALUE"""),"Yes")</f>
        <v>Yes</v>
      </c>
      <c r="L620" s="5" t="str">
        <f>IFERROR(__xludf.DUMMYFUNCTION("""COMPUTED_VALUE"""),"Yes")</f>
        <v>Yes</v>
      </c>
      <c r="M620" s="5" t="str">
        <f>IFERROR(__xludf.DUMMYFUNCTION("""COMPUTED_VALUE"""),"Yes")</f>
        <v>Yes</v>
      </c>
      <c r="N620" s="5" t="str">
        <f>IFERROR(__xludf.DUMMYFUNCTION("""COMPUTED_VALUE"""),"Yes")</f>
        <v>Yes</v>
      </c>
      <c r="O620" s="5" t="str">
        <f>IFERROR(__xludf.DUMMYFUNCTION("""COMPUTED_VALUE"""),"Yes")</f>
        <v>Yes</v>
      </c>
      <c r="P620" s="5" t="str">
        <f>IFERROR(__xludf.DUMMYFUNCTION("""COMPUTED_VALUE"""),"Yes")</f>
        <v>Yes</v>
      </c>
      <c r="Q620" s="5" t="str">
        <f>IFERROR(__xludf.DUMMYFUNCTION("""COMPUTED_VALUE"""),"Yes")</f>
        <v>Yes</v>
      </c>
      <c r="R620" s="5" t="str">
        <f>IFERROR(__xludf.DUMMYFUNCTION("""COMPUTED_VALUE"""),"Yes")</f>
        <v>Yes</v>
      </c>
      <c r="S620" s="5" t="str">
        <f>IFERROR(__xludf.DUMMYFUNCTION("""COMPUTED_VALUE"""),"Yes")</f>
        <v>Yes</v>
      </c>
      <c r="T620" s="5" t="str">
        <f>IFERROR(__xludf.DUMMYFUNCTION("""COMPUTED_VALUE"""),"No")</f>
        <v>No</v>
      </c>
      <c r="U620" s="5" t="str">
        <f>IFERROR(__xludf.DUMMYFUNCTION("""COMPUTED_VALUE"""),"No")</f>
        <v>No</v>
      </c>
      <c r="V620" s="5" t="str">
        <f>IFERROR(__xludf.DUMMYFUNCTION("""COMPUTED_VALUE"""),"No")</f>
        <v>No</v>
      </c>
      <c r="W620" s="5" t="str">
        <f>IFERROR(__xludf.DUMMYFUNCTION("""COMPUTED_VALUE"""),"No")</f>
        <v>No</v>
      </c>
      <c r="X620" s="5" t="str">
        <f>IFERROR(__xludf.DUMMYFUNCTION("""COMPUTED_VALUE"""),"No")</f>
        <v>No</v>
      </c>
      <c r="Y620" s="5" t="str">
        <f>IFERROR(__xludf.DUMMYFUNCTION("""COMPUTED_VALUE"""),"No")</f>
        <v>No</v>
      </c>
      <c r="Z620" s="5" t="str">
        <f>IFERROR(__xludf.DUMMYFUNCTION("""COMPUTED_VALUE"""),"No")</f>
        <v>No</v>
      </c>
      <c r="AA620" s="5" t="str">
        <f>IFERROR(__xludf.DUMMYFUNCTION("""COMPUTED_VALUE"""),"No")</f>
        <v>No</v>
      </c>
      <c r="AB620" s="5" t="str">
        <f>IFERROR(__xludf.DUMMYFUNCTION("""COMPUTED_VALUE"""),"No")</f>
        <v>No</v>
      </c>
      <c r="AC620" s="5" t="str">
        <f>IFERROR(__xludf.DUMMYFUNCTION("""COMPUTED_VALUE"""),"No")</f>
        <v>No</v>
      </c>
      <c r="AD620" s="5" t="str">
        <f>IFERROR(__xludf.DUMMYFUNCTION("""COMPUTED_VALUE"""),"No")</f>
        <v>No</v>
      </c>
      <c r="AE620" s="5" t="str">
        <f>IFERROR(__xludf.DUMMYFUNCTION("""COMPUTED_VALUE"""),"No")</f>
        <v>No</v>
      </c>
      <c r="AF620" s="5" t="str">
        <f>IFERROR(__xludf.DUMMYFUNCTION("""COMPUTED_VALUE"""),"Yes")</f>
        <v>Yes</v>
      </c>
      <c r="AG620" s="5" t="str">
        <f>IFERROR(__xludf.DUMMYFUNCTION("""COMPUTED_VALUE"""),"No")</f>
        <v>No</v>
      </c>
      <c r="AH620" s="5" t="str">
        <f>IFERROR(__xludf.DUMMYFUNCTION("""COMPUTED_VALUE"""),"Yes")</f>
        <v>Yes</v>
      </c>
      <c r="AI620" s="5" t="str">
        <f>IFERROR(__xludf.DUMMYFUNCTION("""COMPUTED_VALUE"""),"No")</f>
        <v>No</v>
      </c>
      <c r="AJ620" s="5" t="str">
        <f>IFERROR(__xludf.DUMMYFUNCTION("""COMPUTED_VALUE"""),"No")</f>
        <v>No</v>
      </c>
      <c r="AK620" s="5" t="str">
        <f>IFERROR(__xludf.DUMMYFUNCTION("""COMPUTED_VALUE"""),"No")</f>
        <v>No</v>
      </c>
      <c r="AL620" s="5" t="str">
        <f>IFERROR(__xludf.DUMMYFUNCTION("""COMPUTED_VALUE"""),"No")</f>
        <v>No</v>
      </c>
      <c r="AM620" s="5"/>
      <c r="AN620" s="5"/>
      <c r="AO620" s="5"/>
      <c r="AP620" s="5"/>
      <c r="AQ620" s="5"/>
      <c r="AR620" s="5"/>
      <c r="AS620" s="5"/>
      <c r="AT620" s="5"/>
      <c r="AU620" s="5"/>
      <c r="AV620" s="5"/>
      <c r="AW620" s="5"/>
      <c r="AX620" s="5"/>
      <c r="AY620" s="5"/>
    </row>
    <row r="621">
      <c r="A62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1" s="5">
        <f>IFERROR(__xludf.DUMMYFUNCTION("""COMPUTED_VALUE"""),656.0)</f>
        <v>656</v>
      </c>
      <c r="C621" s="5">
        <f>IFERROR(__xludf.DUMMYFUNCTION("""COMPUTED_VALUE"""),530.0)</f>
        <v>530</v>
      </c>
      <c r="D621" s="5" t="str">
        <f>IFERROR(__xludf.DUMMYFUNCTION("""COMPUTED_VALUE"""),"PlayNetEmpressOfFlame")</f>
        <v>PlayNetEmpressOfFlame</v>
      </c>
      <c r="E621" s="5" t="str">
        <f>IFERROR(__xludf.DUMMYFUNCTION("""COMPUTED_VALUE"""),"Yes")</f>
        <v>Yes</v>
      </c>
      <c r="F621" s="5" t="str">
        <f>IFERROR(__xludf.DUMMYFUNCTION("""COMPUTED_VALUE"""),"Yes")</f>
        <v>Yes</v>
      </c>
      <c r="G621" s="5" t="str">
        <f>IFERROR(__xludf.DUMMYFUNCTION("""COMPUTED_VALUE"""),"Yes")</f>
        <v>Yes</v>
      </c>
      <c r="H621" s="5" t="str">
        <f>IFERROR(__xludf.DUMMYFUNCTION("""COMPUTED_VALUE"""),"Yes")</f>
        <v>Yes</v>
      </c>
      <c r="I621" s="5" t="str">
        <f>IFERROR(__xludf.DUMMYFUNCTION("""COMPUTED_VALUE"""),"Yes")</f>
        <v>Yes</v>
      </c>
      <c r="J621" s="5" t="str">
        <f>IFERROR(__xludf.DUMMYFUNCTION("""COMPUTED_VALUE"""),"Yes")</f>
        <v>Yes</v>
      </c>
      <c r="K621" s="5" t="str">
        <f>IFERROR(__xludf.DUMMYFUNCTION("""COMPUTED_VALUE"""),"Yes")</f>
        <v>Yes</v>
      </c>
      <c r="L621" s="5" t="str">
        <f>IFERROR(__xludf.DUMMYFUNCTION("""COMPUTED_VALUE"""),"Yes")</f>
        <v>Yes</v>
      </c>
      <c r="M621" s="5" t="str">
        <f>IFERROR(__xludf.DUMMYFUNCTION("""COMPUTED_VALUE"""),"Yes")</f>
        <v>Yes</v>
      </c>
      <c r="N621" s="5" t="str">
        <f>IFERROR(__xludf.DUMMYFUNCTION("""COMPUTED_VALUE"""),"Yes")</f>
        <v>Yes</v>
      </c>
      <c r="O621" s="5" t="str">
        <f>IFERROR(__xludf.DUMMYFUNCTION("""COMPUTED_VALUE"""),"Yes")</f>
        <v>Yes</v>
      </c>
      <c r="P621" s="5" t="str">
        <f>IFERROR(__xludf.DUMMYFUNCTION("""COMPUTED_VALUE"""),"Yes")</f>
        <v>Yes</v>
      </c>
      <c r="Q621" s="5" t="str">
        <f>IFERROR(__xludf.DUMMYFUNCTION("""COMPUTED_VALUE"""),"Yes")</f>
        <v>Yes</v>
      </c>
      <c r="R621" s="5" t="str">
        <f>IFERROR(__xludf.DUMMYFUNCTION("""COMPUTED_VALUE"""),"Yes")</f>
        <v>Yes</v>
      </c>
      <c r="S621" s="5" t="str">
        <f>IFERROR(__xludf.DUMMYFUNCTION("""COMPUTED_VALUE"""),"Yes")</f>
        <v>Yes</v>
      </c>
      <c r="T621" s="5" t="str">
        <f>IFERROR(__xludf.DUMMYFUNCTION("""COMPUTED_VALUE"""),"No")</f>
        <v>No</v>
      </c>
      <c r="U621" s="5" t="str">
        <f>IFERROR(__xludf.DUMMYFUNCTION("""COMPUTED_VALUE"""),"No")</f>
        <v>No</v>
      </c>
      <c r="V621" s="5" t="str">
        <f>IFERROR(__xludf.DUMMYFUNCTION("""COMPUTED_VALUE"""),"No")</f>
        <v>No</v>
      </c>
      <c r="W621" s="5" t="str">
        <f>IFERROR(__xludf.DUMMYFUNCTION("""COMPUTED_VALUE"""),"No")</f>
        <v>No</v>
      </c>
      <c r="X621" s="5" t="str">
        <f>IFERROR(__xludf.DUMMYFUNCTION("""COMPUTED_VALUE"""),"No")</f>
        <v>No</v>
      </c>
      <c r="Y621" s="5" t="str">
        <f>IFERROR(__xludf.DUMMYFUNCTION("""COMPUTED_VALUE"""),"No")</f>
        <v>No</v>
      </c>
      <c r="Z621" s="5" t="str">
        <f>IFERROR(__xludf.DUMMYFUNCTION("""COMPUTED_VALUE"""),"No")</f>
        <v>No</v>
      </c>
      <c r="AA621" s="5" t="str">
        <f>IFERROR(__xludf.DUMMYFUNCTION("""COMPUTED_VALUE"""),"No")</f>
        <v>No</v>
      </c>
      <c r="AB621" s="5" t="str">
        <f>IFERROR(__xludf.DUMMYFUNCTION("""COMPUTED_VALUE"""),"No")</f>
        <v>No</v>
      </c>
      <c r="AC621" s="5" t="str">
        <f>IFERROR(__xludf.DUMMYFUNCTION("""COMPUTED_VALUE"""),"No")</f>
        <v>No</v>
      </c>
      <c r="AD621" s="5" t="str">
        <f>IFERROR(__xludf.DUMMYFUNCTION("""COMPUTED_VALUE"""),"No")</f>
        <v>No</v>
      </c>
      <c r="AE621" s="5" t="str">
        <f>IFERROR(__xludf.DUMMYFUNCTION("""COMPUTED_VALUE"""),"No")</f>
        <v>No</v>
      </c>
      <c r="AF621" s="5" t="str">
        <f>IFERROR(__xludf.DUMMYFUNCTION("""COMPUTED_VALUE"""),"Yes")</f>
        <v>Yes</v>
      </c>
      <c r="AG621" s="5" t="str">
        <f>IFERROR(__xludf.DUMMYFUNCTION("""COMPUTED_VALUE"""),"No")</f>
        <v>No</v>
      </c>
      <c r="AH621" s="5" t="str">
        <f>IFERROR(__xludf.DUMMYFUNCTION("""COMPUTED_VALUE"""),"Yes")</f>
        <v>Yes</v>
      </c>
      <c r="AI621" s="5" t="str">
        <f>IFERROR(__xludf.DUMMYFUNCTION("""COMPUTED_VALUE"""),"No")</f>
        <v>No</v>
      </c>
      <c r="AJ621" s="5" t="str">
        <f>IFERROR(__xludf.DUMMYFUNCTION("""COMPUTED_VALUE"""),"No")</f>
        <v>No</v>
      </c>
      <c r="AK621" s="5" t="str">
        <f>IFERROR(__xludf.DUMMYFUNCTION("""COMPUTED_VALUE"""),"No")</f>
        <v>No</v>
      </c>
      <c r="AL621" s="5" t="str">
        <f>IFERROR(__xludf.DUMMYFUNCTION("""COMPUTED_VALUE"""),"No")</f>
        <v>No</v>
      </c>
      <c r="AM621" s="5"/>
      <c r="AN621" s="5"/>
      <c r="AO621" s="5"/>
      <c r="AP621" s="5"/>
      <c r="AQ621" s="5"/>
      <c r="AR621" s="5"/>
      <c r="AS621" s="5"/>
      <c r="AT621" s="5"/>
      <c r="AU621" s="5"/>
      <c r="AV621" s="5"/>
      <c r="AW621" s="5"/>
      <c r="AX621" s="5"/>
      <c r="AY621" s="5"/>
    </row>
    <row r="622">
      <c r="A622" s="5" t="str">
        <f>IFERROR(__xludf.DUMMYFUNCTION("""COMPUTED_VALUE"""),"English(""eng"")")</f>
        <v>English("eng")</v>
      </c>
      <c r="B622" s="5">
        <f>IFERROR(__xludf.DUMMYFUNCTION("""COMPUTED_VALUE"""),657.0)</f>
        <v>657</v>
      </c>
      <c r="C622" s="5">
        <f>IFERROR(__xludf.DUMMYFUNCTION("""COMPUTED_VALUE"""),4000001.0)</f>
        <v>4000001</v>
      </c>
      <c r="D622" s="5" t="str">
        <f>IFERROR(__xludf.DUMMYFUNCTION("""COMPUTED_VALUE"""),"UnicornThreeReelFruitBoost")</f>
        <v>UnicornThreeReelFruitBoost</v>
      </c>
      <c r="E622" s="5" t="str">
        <f>IFERROR(__xludf.DUMMYFUNCTION("""COMPUTED_VALUE"""),"Yes")</f>
        <v>Yes</v>
      </c>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row>
    <row r="623">
      <c r="A6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3" s="5">
        <f>IFERROR(__xludf.DUMMYFUNCTION("""COMPUTED_VALUE"""),658.0)</f>
        <v>658</v>
      </c>
      <c r="C623" s="5">
        <f>IFERROR(__xludf.DUMMYFUNCTION("""COMPUTED_VALUE"""),2012.0)</f>
        <v>2012</v>
      </c>
      <c r="D623" s="5" t="str">
        <f>IFERROR(__xludf.DUMMYFUNCTION("""COMPUTED_VALUE"""),"StarHeat40")</f>
        <v>StarHeat40</v>
      </c>
      <c r="E623" s="5" t="str">
        <f>IFERROR(__xludf.DUMMYFUNCTION("""COMPUTED_VALUE"""),"Yes")</f>
        <v>Yes</v>
      </c>
      <c r="F623" s="5" t="str">
        <f>IFERROR(__xludf.DUMMYFUNCTION("""COMPUTED_VALUE"""),"Yes")</f>
        <v>Yes</v>
      </c>
      <c r="G623" s="5" t="str">
        <f>IFERROR(__xludf.DUMMYFUNCTION("""COMPUTED_VALUE"""),"Yes")</f>
        <v>Yes</v>
      </c>
      <c r="H623" s="5" t="str">
        <f>IFERROR(__xludf.DUMMYFUNCTION("""COMPUTED_VALUE"""),"Yes")</f>
        <v>Yes</v>
      </c>
      <c r="I623" s="5" t="str">
        <f>IFERROR(__xludf.DUMMYFUNCTION("""COMPUTED_VALUE"""),"Yes")</f>
        <v>Yes</v>
      </c>
      <c r="J623" s="5" t="str">
        <f>IFERROR(__xludf.DUMMYFUNCTION("""COMPUTED_VALUE"""),"Yes")</f>
        <v>Yes</v>
      </c>
      <c r="K623" s="5" t="str">
        <f>IFERROR(__xludf.DUMMYFUNCTION("""COMPUTED_VALUE"""),"Yes")</f>
        <v>Yes</v>
      </c>
      <c r="L623" s="5" t="str">
        <f>IFERROR(__xludf.DUMMYFUNCTION("""COMPUTED_VALUE"""),"Yes")</f>
        <v>Yes</v>
      </c>
      <c r="M623" s="5" t="str">
        <f>IFERROR(__xludf.DUMMYFUNCTION("""COMPUTED_VALUE"""),"Yes")</f>
        <v>Yes</v>
      </c>
      <c r="N623" s="5" t="str">
        <f>IFERROR(__xludf.DUMMYFUNCTION("""COMPUTED_VALUE"""),"Yes")</f>
        <v>Yes</v>
      </c>
      <c r="O623" s="5" t="str">
        <f>IFERROR(__xludf.DUMMYFUNCTION("""COMPUTED_VALUE"""),"Yes")</f>
        <v>Yes</v>
      </c>
      <c r="P623" s="5" t="str">
        <f>IFERROR(__xludf.DUMMYFUNCTION("""COMPUTED_VALUE"""),"Yes")</f>
        <v>Yes</v>
      </c>
      <c r="Q623" s="5" t="str">
        <f>IFERROR(__xludf.DUMMYFUNCTION("""COMPUTED_VALUE"""),"Yes")</f>
        <v>Yes</v>
      </c>
      <c r="R623" s="5" t="str">
        <f>IFERROR(__xludf.DUMMYFUNCTION("""COMPUTED_VALUE"""),"Yes")</f>
        <v>Yes</v>
      </c>
      <c r="S623" s="5" t="str">
        <f>IFERROR(__xludf.DUMMYFUNCTION("""COMPUTED_VALUE"""),"Yes")</f>
        <v>Yes</v>
      </c>
      <c r="T623" s="5" t="str">
        <f>IFERROR(__xludf.DUMMYFUNCTION("""COMPUTED_VALUE"""),"Yes")</f>
        <v>Yes</v>
      </c>
      <c r="U623" s="5" t="str">
        <f>IFERROR(__xludf.DUMMYFUNCTION("""COMPUTED_VALUE"""),"Yes")</f>
        <v>Yes</v>
      </c>
      <c r="V623" s="5" t="str">
        <f>IFERROR(__xludf.DUMMYFUNCTION("""COMPUTED_VALUE"""),"Yes")</f>
        <v>Yes</v>
      </c>
      <c r="W623" s="5" t="str">
        <f>IFERROR(__xludf.DUMMYFUNCTION("""COMPUTED_VALUE"""),"Yes")</f>
        <v>Yes</v>
      </c>
      <c r="X623" s="5" t="str">
        <f>IFERROR(__xludf.DUMMYFUNCTION("""COMPUTED_VALUE"""),"Yes")</f>
        <v>Yes</v>
      </c>
      <c r="Y623" s="5" t="str">
        <f>IFERROR(__xludf.DUMMYFUNCTION("""COMPUTED_VALUE"""),"Yes")</f>
        <v>Yes</v>
      </c>
      <c r="Z623" s="5" t="str">
        <f>IFERROR(__xludf.DUMMYFUNCTION("""COMPUTED_VALUE"""),"Yes")</f>
        <v>Yes</v>
      </c>
      <c r="AA623" s="5" t="str">
        <f>IFERROR(__xludf.DUMMYFUNCTION("""COMPUTED_VALUE"""),"Yes")</f>
        <v>Yes</v>
      </c>
      <c r="AB623" s="5" t="str">
        <f>IFERROR(__xludf.DUMMYFUNCTION("""COMPUTED_VALUE"""),"Yes")</f>
        <v>Yes</v>
      </c>
      <c r="AC623" s="5" t="str">
        <f>IFERROR(__xludf.DUMMYFUNCTION("""COMPUTED_VALUE"""),"Yes")</f>
        <v>Yes</v>
      </c>
      <c r="AD623" s="5" t="str">
        <f>IFERROR(__xludf.DUMMYFUNCTION("""COMPUTED_VALUE"""),"Yes")</f>
        <v>Yes</v>
      </c>
      <c r="AE623" s="5" t="str">
        <f>IFERROR(__xludf.DUMMYFUNCTION("""COMPUTED_VALUE"""),"Yes")</f>
        <v>Yes</v>
      </c>
      <c r="AF623" s="5" t="str">
        <f>IFERROR(__xludf.DUMMYFUNCTION("""COMPUTED_VALUE"""),"Yes")</f>
        <v>Yes</v>
      </c>
      <c r="AG623" s="5" t="str">
        <f>IFERROR(__xludf.DUMMYFUNCTION("""COMPUTED_VALUE"""),"Yes")</f>
        <v>Yes</v>
      </c>
      <c r="AH623" s="5" t="str">
        <f>IFERROR(__xludf.DUMMYFUNCTION("""COMPUTED_VALUE"""),"Yes")</f>
        <v>Yes</v>
      </c>
      <c r="AI623" s="5" t="str">
        <f>IFERROR(__xludf.DUMMYFUNCTION("""COMPUTED_VALUE"""),"No")</f>
        <v>No</v>
      </c>
      <c r="AJ623" s="5" t="str">
        <f>IFERROR(__xludf.DUMMYFUNCTION("""COMPUTED_VALUE"""),"No")</f>
        <v>No</v>
      </c>
      <c r="AK623" s="5" t="str">
        <f>IFERROR(__xludf.DUMMYFUNCTION("""COMPUTED_VALUE"""),"No")</f>
        <v>No</v>
      </c>
      <c r="AL623" s="5" t="str">
        <f>IFERROR(__xludf.DUMMYFUNCTION("""COMPUTED_VALUE"""),"No")</f>
        <v>No</v>
      </c>
      <c r="AM623" s="5"/>
      <c r="AN623" s="5"/>
      <c r="AO623" s="5"/>
      <c r="AP623" s="5"/>
      <c r="AQ623" s="5"/>
      <c r="AR623" s="5"/>
      <c r="AS623" s="5"/>
      <c r="AT623" s="5"/>
      <c r="AU623" s="5"/>
      <c r="AV623" s="5"/>
      <c r="AW623" s="5"/>
      <c r="AX623" s="5"/>
      <c r="AY623" s="5"/>
    </row>
    <row r="624">
      <c r="A6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4" s="5">
        <f>IFERROR(__xludf.DUMMYFUNCTION("""COMPUTED_VALUE"""),659.0)</f>
        <v>659</v>
      </c>
      <c r="C624" s="5">
        <f>IFERROR(__xludf.DUMMYFUNCTION("""COMPUTED_VALUE"""),2017.0)</f>
        <v>2017</v>
      </c>
      <c r="D624" s="5" t="str">
        <f>IFERROR(__xludf.DUMMYFUNCTION("""COMPUTED_VALUE"""),"Retro27")</f>
        <v>Retro27</v>
      </c>
      <c r="E624" s="5" t="str">
        <f>IFERROR(__xludf.DUMMYFUNCTION("""COMPUTED_VALUE"""),"Yes")</f>
        <v>Yes</v>
      </c>
      <c r="F624" s="5" t="str">
        <f>IFERROR(__xludf.DUMMYFUNCTION("""COMPUTED_VALUE"""),"Yes")</f>
        <v>Yes</v>
      </c>
      <c r="G624" s="5" t="str">
        <f>IFERROR(__xludf.DUMMYFUNCTION("""COMPUTED_VALUE"""),"Yes")</f>
        <v>Yes</v>
      </c>
      <c r="H624" s="5" t="str">
        <f>IFERROR(__xludf.DUMMYFUNCTION("""COMPUTED_VALUE"""),"Yes")</f>
        <v>Yes</v>
      </c>
      <c r="I624" s="5" t="str">
        <f>IFERROR(__xludf.DUMMYFUNCTION("""COMPUTED_VALUE"""),"Yes")</f>
        <v>Yes</v>
      </c>
      <c r="J624" s="5" t="str">
        <f>IFERROR(__xludf.DUMMYFUNCTION("""COMPUTED_VALUE"""),"Yes")</f>
        <v>Yes</v>
      </c>
      <c r="K624" s="5" t="str">
        <f>IFERROR(__xludf.DUMMYFUNCTION("""COMPUTED_VALUE"""),"Yes")</f>
        <v>Yes</v>
      </c>
      <c r="L624" s="5" t="str">
        <f>IFERROR(__xludf.DUMMYFUNCTION("""COMPUTED_VALUE"""),"Yes")</f>
        <v>Yes</v>
      </c>
      <c r="M624" s="5" t="str">
        <f>IFERROR(__xludf.DUMMYFUNCTION("""COMPUTED_VALUE"""),"Yes")</f>
        <v>Yes</v>
      </c>
      <c r="N624" s="5" t="str">
        <f>IFERROR(__xludf.DUMMYFUNCTION("""COMPUTED_VALUE"""),"Yes")</f>
        <v>Yes</v>
      </c>
      <c r="O624" s="5" t="str">
        <f>IFERROR(__xludf.DUMMYFUNCTION("""COMPUTED_VALUE"""),"Yes")</f>
        <v>Yes</v>
      </c>
      <c r="P624" s="5" t="str">
        <f>IFERROR(__xludf.DUMMYFUNCTION("""COMPUTED_VALUE"""),"Yes")</f>
        <v>Yes</v>
      </c>
      <c r="Q624" s="5" t="str">
        <f>IFERROR(__xludf.DUMMYFUNCTION("""COMPUTED_VALUE"""),"Yes")</f>
        <v>Yes</v>
      </c>
      <c r="R624" s="5" t="str">
        <f>IFERROR(__xludf.DUMMYFUNCTION("""COMPUTED_VALUE"""),"Yes")</f>
        <v>Yes</v>
      </c>
      <c r="S624" s="5" t="str">
        <f>IFERROR(__xludf.DUMMYFUNCTION("""COMPUTED_VALUE"""),"Yes")</f>
        <v>Yes</v>
      </c>
      <c r="T624" s="5" t="str">
        <f>IFERROR(__xludf.DUMMYFUNCTION("""COMPUTED_VALUE"""),"Yes")</f>
        <v>Yes</v>
      </c>
      <c r="U624" s="5" t="str">
        <f>IFERROR(__xludf.DUMMYFUNCTION("""COMPUTED_VALUE"""),"Yes")</f>
        <v>Yes</v>
      </c>
      <c r="V624" s="5" t="str">
        <f>IFERROR(__xludf.DUMMYFUNCTION("""COMPUTED_VALUE"""),"Yes")</f>
        <v>Yes</v>
      </c>
      <c r="W624" s="5" t="str">
        <f>IFERROR(__xludf.DUMMYFUNCTION("""COMPUTED_VALUE"""),"Yes")</f>
        <v>Yes</v>
      </c>
      <c r="X624" s="5" t="str">
        <f>IFERROR(__xludf.DUMMYFUNCTION("""COMPUTED_VALUE"""),"Yes")</f>
        <v>Yes</v>
      </c>
      <c r="Y624" s="5" t="str">
        <f>IFERROR(__xludf.DUMMYFUNCTION("""COMPUTED_VALUE"""),"Yes")</f>
        <v>Yes</v>
      </c>
      <c r="Z624" s="5" t="str">
        <f>IFERROR(__xludf.DUMMYFUNCTION("""COMPUTED_VALUE"""),"Yes")</f>
        <v>Yes</v>
      </c>
      <c r="AA624" s="5" t="str">
        <f>IFERROR(__xludf.DUMMYFUNCTION("""COMPUTED_VALUE"""),"Yes")</f>
        <v>Yes</v>
      </c>
      <c r="AB624" s="5" t="str">
        <f>IFERROR(__xludf.DUMMYFUNCTION("""COMPUTED_VALUE"""),"Yes")</f>
        <v>Yes</v>
      </c>
      <c r="AC624" s="5" t="str">
        <f>IFERROR(__xludf.DUMMYFUNCTION("""COMPUTED_VALUE"""),"Yes")</f>
        <v>Yes</v>
      </c>
      <c r="AD624" s="5" t="str">
        <f>IFERROR(__xludf.DUMMYFUNCTION("""COMPUTED_VALUE"""),"Yes")</f>
        <v>Yes</v>
      </c>
      <c r="AE624" s="5" t="str">
        <f>IFERROR(__xludf.DUMMYFUNCTION("""COMPUTED_VALUE"""),"Yes")</f>
        <v>Yes</v>
      </c>
      <c r="AF624" s="5" t="str">
        <f>IFERROR(__xludf.DUMMYFUNCTION("""COMPUTED_VALUE"""),"Yes")</f>
        <v>Yes</v>
      </c>
      <c r="AG624" s="5" t="str">
        <f>IFERROR(__xludf.DUMMYFUNCTION("""COMPUTED_VALUE"""),"Yes")</f>
        <v>Yes</v>
      </c>
      <c r="AH624" s="5" t="str">
        <f>IFERROR(__xludf.DUMMYFUNCTION("""COMPUTED_VALUE"""),"Yes")</f>
        <v>Yes</v>
      </c>
      <c r="AI624" s="5" t="str">
        <f>IFERROR(__xludf.DUMMYFUNCTION("""COMPUTED_VALUE"""),"Yes")</f>
        <v>Yes</v>
      </c>
      <c r="AJ624" s="5" t="str">
        <f>IFERROR(__xludf.DUMMYFUNCTION("""COMPUTED_VALUE"""),"Yes")</f>
        <v>Yes</v>
      </c>
      <c r="AK624" s="5" t="str">
        <f>IFERROR(__xludf.DUMMYFUNCTION("""COMPUTED_VALUE"""),"Yes")</f>
        <v>Yes</v>
      </c>
      <c r="AL624" s="5" t="str">
        <f>IFERROR(__xludf.DUMMYFUNCTION("""COMPUTED_VALUE"""),"No")</f>
        <v>No</v>
      </c>
      <c r="AM624" s="5"/>
      <c r="AN624" s="5"/>
      <c r="AO624" s="5"/>
      <c r="AP624" s="5"/>
      <c r="AQ624" s="5"/>
      <c r="AR624" s="5"/>
      <c r="AS624" s="5"/>
      <c r="AT624" s="5"/>
      <c r="AU624" s="5"/>
      <c r="AV624" s="5"/>
      <c r="AW624" s="5"/>
      <c r="AX624" s="5"/>
      <c r="AY624" s="5"/>
    </row>
    <row r="625">
      <c r="A6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5" s="5">
        <f>IFERROR(__xludf.DUMMYFUNCTION("""COMPUTED_VALUE"""),660.0)</f>
        <v>660</v>
      </c>
      <c r="C625" s="5">
        <f>IFERROR(__xludf.DUMMYFUNCTION("""COMPUTED_VALUE"""),2010.0)</f>
        <v>2010</v>
      </c>
      <c r="D625" s="5" t="str">
        <f>IFERROR(__xludf.DUMMYFUNCTION("""COMPUTED_VALUE"""),"Wild27Dice")</f>
        <v>Wild27Dice</v>
      </c>
      <c r="E625" s="5" t="str">
        <f>IFERROR(__xludf.DUMMYFUNCTION("""COMPUTED_VALUE"""),"Yes")</f>
        <v>Yes</v>
      </c>
      <c r="F625" s="5" t="str">
        <f>IFERROR(__xludf.DUMMYFUNCTION("""COMPUTED_VALUE"""),"Yes")</f>
        <v>Yes</v>
      </c>
      <c r="G625" s="5" t="str">
        <f>IFERROR(__xludf.DUMMYFUNCTION("""COMPUTED_VALUE"""),"Yes")</f>
        <v>Yes</v>
      </c>
      <c r="H625" s="5" t="str">
        <f>IFERROR(__xludf.DUMMYFUNCTION("""COMPUTED_VALUE"""),"Yes")</f>
        <v>Yes</v>
      </c>
      <c r="I625" s="5" t="str">
        <f>IFERROR(__xludf.DUMMYFUNCTION("""COMPUTED_VALUE"""),"Yes")</f>
        <v>Yes</v>
      </c>
      <c r="J625" s="5" t="str">
        <f>IFERROR(__xludf.DUMMYFUNCTION("""COMPUTED_VALUE"""),"Yes")</f>
        <v>Yes</v>
      </c>
      <c r="K625" s="5" t="str">
        <f>IFERROR(__xludf.DUMMYFUNCTION("""COMPUTED_VALUE"""),"Yes")</f>
        <v>Yes</v>
      </c>
      <c r="L625" s="5" t="str">
        <f>IFERROR(__xludf.DUMMYFUNCTION("""COMPUTED_VALUE"""),"Yes")</f>
        <v>Yes</v>
      </c>
      <c r="M625" s="5" t="str">
        <f>IFERROR(__xludf.DUMMYFUNCTION("""COMPUTED_VALUE"""),"Yes")</f>
        <v>Yes</v>
      </c>
      <c r="N625" s="5" t="str">
        <f>IFERROR(__xludf.DUMMYFUNCTION("""COMPUTED_VALUE"""),"Yes")</f>
        <v>Yes</v>
      </c>
      <c r="O625" s="5" t="str">
        <f>IFERROR(__xludf.DUMMYFUNCTION("""COMPUTED_VALUE"""),"Yes")</f>
        <v>Yes</v>
      </c>
      <c r="P625" s="5" t="str">
        <f>IFERROR(__xludf.DUMMYFUNCTION("""COMPUTED_VALUE"""),"Yes")</f>
        <v>Yes</v>
      </c>
      <c r="Q625" s="5" t="str">
        <f>IFERROR(__xludf.DUMMYFUNCTION("""COMPUTED_VALUE"""),"Yes")</f>
        <v>Yes</v>
      </c>
      <c r="R625" s="5" t="str">
        <f>IFERROR(__xludf.DUMMYFUNCTION("""COMPUTED_VALUE"""),"Yes")</f>
        <v>Yes</v>
      </c>
      <c r="S625" s="5" t="str">
        <f>IFERROR(__xludf.DUMMYFUNCTION("""COMPUTED_VALUE"""),"Yes")</f>
        <v>Yes</v>
      </c>
      <c r="T625" s="5" t="str">
        <f>IFERROR(__xludf.DUMMYFUNCTION("""COMPUTED_VALUE"""),"Yes")</f>
        <v>Yes</v>
      </c>
      <c r="U625" s="5" t="str">
        <f>IFERROR(__xludf.DUMMYFUNCTION("""COMPUTED_VALUE"""),"Yes")</f>
        <v>Yes</v>
      </c>
      <c r="V625" s="5" t="str">
        <f>IFERROR(__xludf.DUMMYFUNCTION("""COMPUTED_VALUE"""),"Yes")</f>
        <v>Yes</v>
      </c>
      <c r="W625" s="5" t="str">
        <f>IFERROR(__xludf.DUMMYFUNCTION("""COMPUTED_VALUE"""),"Yes")</f>
        <v>Yes</v>
      </c>
      <c r="X625" s="5" t="str">
        <f>IFERROR(__xludf.DUMMYFUNCTION("""COMPUTED_VALUE"""),"Yes")</f>
        <v>Yes</v>
      </c>
      <c r="Y625" s="5" t="str">
        <f>IFERROR(__xludf.DUMMYFUNCTION("""COMPUTED_VALUE"""),"Yes")</f>
        <v>Yes</v>
      </c>
      <c r="Z625" s="5" t="str">
        <f>IFERROR(__xludf.DUMMYFUNCTION("""COMPUTED_VALUE"""),"Yes")</f>
        <v>Yes</v>
      </c>
      <c r="AA625" s="5" t="str">
        <f>IFERROR(__xludf.DUMMYFUNCTION("""COMPUTED_VALUE"""),"Yes")</f>
        <v>Yes</v>
      </c>
      <c r="AB625" s="5" t="str">
        <f>IFERROR(__xludf.DUMMYFUNCTION("""COMPUTED_VALUE"""),"Yes")</f>
        <v>Yes</v>
      </c>
      <c r="AC625" s="5" t="str">
        <f>IFERROR(__xludf.DUMMYFUNCTION("""COMPUTED_VALUE"""),"Yes")</f>
        <v>Yes</v>
      </c>
      <c r="AD625" s="5" t="str">
        <f>IFERROR(__xludf.DUMMYFUNCTION("""COMPUTED_VALUE"""),"Yes")</f>
        <v>Yes</v>
      </c>
      <c r="AE625" s="5" t="str">
        <f>IFERROR(__xludf.DUMMYFUNCTION("""COMPUTED_VALUE"""),"Yes")</f>
        <v>Yes</v>
      </c>
      <c r="AF625" s="5" t="str">
        <f>IFERROR(__xludf.DUMMYFUNCTION("""COMPUTED_VALUE"""),"Yes")</f>
        <v>Yes</v>
      </c>
      <c r="AG625" s="5" t="str">
        <f>IFERROR(__xludf.DUMMYFUNCTION("""COMPUTED_VALUE"""),"Yes")</f>
        <v>Yes</v>
      </c>
      <c r="AH625" s="5" t="str">
        <f>IFERROR(__xludf.DUMMYFUNCTION("""COMPUTED_VALUE"""),"Yes")</f>
        <v>Yes</v>
      </c>
      <c r="AI625" s="5" t="str">
        <f>IFERROR(__xludf.DUMMYFUNCTION("""COMPUTED_VALUE"""),"Yes")</f>
        <v>Yes</v>
      </c>
      <c r="AJ625" s="5" t="str">
        <f>IFERROR(__xludf.DUMMYFUNCTION("""COMPUTED_VALUE"""),"Yes")</f>
        <v>Yes</v>
      </c>
      <c r="AK625" s="5" t="str">
        <f>IFERROR(__xludf.DUMMYFUNCTION("""COMPUTED_VALUE"""),"Yes")</f>
        <v>Yes</v>
      </c>
      <c r="AL625" s="5" t="str">
        <f>IFERROR(__xludf.DUMMYFUNCTION("""COMPUTED_VALUE"""),"No")</f>
        <v>No</v>
      </c>
      <c r="AM625" s="5"/>
      <c r="AN625" s="5"/>
      <c r="AO625" s="5"/>
      <c r="AP625" s="5"/>
      <c r="AQ625" s="5"/>
      <c r="AR625" s="5"/>
      <c r="AS625" s="5"/>
      <c r="AT625" s="5"/>
      <c r="AU625" s="5"/>
      <c r="AV625" s="5"/>
      <c r="AW625" s="5"/>
      <c r="AX625" s="5"/>
      <c r="AY625" s="5"/>
    </row>
    <row r="626">
      <c r="A6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6" s="5">
        <f>IFERROR(__xludf.DUMMYFUNCTION("""COMPUTED_VALUE"""),661.0)</f>
        <v>661</v>
      </c>
      <c r="C626" s="5">
        <f>IFERROR(__xludf.DUMMYFUNCTION("""COMPUTED_VALUE"""),2011.0)</f>
        <v>2011</v>
      </c>
      <c r="D626" s="5" t="str">
        <f>IFERROR(__xludf.DUMMYFUNCTION("""COMPUTED_VALUE"""),"CoinSplashDice")</f>
        <v>CoinSplashDice</v>
      </c>
      <c r="E626" s="5" t="str">
        <f>IFERROR(__xludf.DUMMYFUNCTION("""COMPUTED_VALUE"""),"Yes")</f>
        <v>Yes</v>
      </c>
      <c r="F626" s="5" t="str">
        <f>IFERROR(__xludf.DUMMYFUNCTION("""COMPUTED_VALUE"""),"Yes")</f>
        <v>Yes</v>
      </c>
      <c r="G626" s="5" t="str">
        <f>IFERROR(__xludf.DUMMYFUNCTION("""COMPUTED_VALUE"""),"Yes")</f>
        <v>Yes</v>
      </c>
      <c r="H626" s="5" t="str">
        <f>IFERROR(__xludf.DUMMYFUNCTION("""COMPUTED_VALUE"""),"Yes")</f>
        <v>Yes</v>
      </c>
      <c r="I626" s="5" t="str">
        <f>IFERROR(__xludf.DUMMYFUNCTION("""COMPUTED_VALUE"""),"Yes")</f>
        <v>Yes</v>
      </c>
      <c r="J626" s="5" t="str">
        <f>IFERROR(__xludf.DUMMYFUNCTION("""COMPUTED_VALUE"""),"Yes")</f>
        <v>Yes</v>
      </c>
      <c r="K626" s="5" t="str">
        <f>IFERROR(__xludf.DUMMYFUNCTION("""COMPUTED_VALUE"""),"Yes")</f>
        <v>Yes</v>
      </c>
      <c r="L626" s="5" t="str">
        <f>IFERROR(__xludf.DUMMYFUNCTION("""COMPUTED_VALUE"""),"Yes")</f>
        <v>Yes</v>
      </c>
      <c r="M626" s="5" t="str">
        <f>IFERROR(__xludf.DUMMYFUNCTION("""COMPUTED_VALUE"""),"Yes")</f>
        <v>Yes</v>
      </c>
      <c r="N626" s="5" t="str">
        <f>IFERROR(__xludf.DUMMYFUNCTION("""COMPUTED_VALUE"""),"Yes")</f>
        <v>Yes</v>
      </c>
      <c r="O626" s="5" t="str">
        <f>IFERROR(__xludf.DUMMYFUNCTION("""COMPUTED_VALUE"""),"Yes")</f>
        <v>Yes</v>
      </c>
      <c r="P626" s="5" t="str">
        <f>IFERROR(__xludf.DUMMYFUNCTION("""COMPUTED_VALUE"""),"Yes")</f>
        <v>Yes</v>
      </c>
      <c r="Q626" s="5" t="str">
        <f>IFERROR(__xludf.DUMMYFUNCTION("""COMPUTED_VALUE"""),"Yes")</f>
        <v>Yes</v>
      </c>
      <c r="R626" s="5" t="str">
        <f>IFERROR(__xludf.DUMMYFUNCTION("""COMPUTED_VALUE"""),"Yes")</f>
        <v>Yes</v>
      </c>
      <c r="S626" s="5" t="str">
        <f>IFERROR(__xludf.DUMMYFUNCTION("""COMPUTED_VALUE"""),"Yes")</f>
        <v>Yes</v>
      </c>
      <c r="T626" s="5" t="str">
        <f>IFERROR(__xludf.DUMMYFUNCTION("""COMPUTED_VALUE"""),"Yes")</f>
        <v>Yes</v>
      </c>
      <c r="U626" s="5" t="str">
        <f>IFERROR(__xludf.DUMMYFUNCTION("""COMPUTED_VALUE"""),"Yes")</f>
        <v>Yes</v>
      </c>
      <c r="V626" s="5" t="str">
        <f>IFERROR(__xludf.DUMMYFUNCTION("""COMPUTED_VALUE"""),"Yes")</f>
        <v>Yes</v>
      </c>
      <c r="W626" s="5" t="str">
        <f>IFERROR(__xludf.DUMMYFUNCTION("""COMPUTED_VALUE"""),"Yes")</f>
        <v>Yes</v>
      </c>
      <c r="X626" s="5" t="str">
        <f>IFERROR(__xludf.DUMMYFUNCTION("""COMPUTED_VALUE"""),"Yes")</f>
        <v>Yes</v>
      </c>
      <c r="Y626" s="5" t="str">
        <f>IFERROR(__xludf.DUMMYFUNCTION("""COMPUTED_VALUE"""),"Yes")</f>
        <v>Yes</v>
      </c>
      <c r="Z626" s="5" t="str">
        <f>IFERROR(__xludf.DUMMYFUNCTION("""COMPUTED_VALUE"""),"Yes")</f>
        <v>Yes</v>
      </c>
      <c r="AA626" s="5" t="str">
        <f>IFERROR(__xludf.DUMMYFUNCTION("""COMPUTED_VALUE"""),"Yes")</f>
        <v>Yes</v>
      </c>
      <c r="AB626" s="5" t="str">
        <f>IFERROR(__xludf.DUMMYFUNCTION("""COMPUTED_VALUE"""),"Yes")</f>
        <v>Yes</v>
      </c>
      <c r="AC626" s="5" t="str">
        <f>IFERROR(__xludf.DUMMYFUNCTION("""COMPUTED_VALUE"""),"Yes")</f>
        <v>Yes</v>
      </c>
      <c r="AD626" s="5" t="str">
        <f>IFERROR(__xludf.DUMMYFUNCTION("""COMPUTED_VALUE"""),"Yes")</f>
        <v>Yes</v>
      </c>
      <c r="AE626" s="5" t="str">
        <f>IFERROR(__xludf.DUMMYFUNCTION("""COMPUTED_VALUE"""),"Yes")</f>
        <v>Yes</v>
      </c>
      <c r="AF626" s="5" t="str">
        <f>IFERROR(__xludf.DUMMYFUNCTION("""COMPUTED_VALUE"""),"Yes")</f>
        <v>Yes</v>
      </c>
      <c r="AG626" s="5" t="str">
        <f>IFERROR(__xludf.DUMMYFUNCTION("""COMPUTED_VALUE"""),"Yes")</f>
        <v>Yes</v>
      </c>
      <c r="AH626" s="5" t="str">
        <f>IFERROR(__xludf.DUMMYFUNCTION("""COMPUTED_VALUE"""),"Yes")</f>
        <v>Yes</v>
      </c>
      <c r="AI626" s="5" t="str">
        <f>IFERROR(__xludf.DUMMYFUNCTION("""COMPUTED_VALUE"""),"No")</f>
        <v>No</v>
      </c>
      <c r="AJ626" s="5" t="str">
        <f>IFERROR(__xludf.DUMMYFUNCTION("""COMPUTED_VALUE"""),"No")</f>
        <v>No</v>
      </c>
      <c r="AK626" s="5" t="str">
        <f>IFERROR(__xludf.DUMMYFUNCTION("""COMPUTED_VALUE"""),"No")</f>
        <v>No</v>
      </c>
      <c r="AL626" s="5" t="str">
        <f>IFERROR(__xludf.DUMMYFUNCTION("""COMPUTED_VALUE"""),"No")</f>
        <v>No</v>
      </c>
      <c r="AM626" s="5"/>
      <c r="AN626" s="5"/>
      <c r="AO626" s="5"/>
      <c r="AP626" s="5"/>
      <c r="AQ626" s="5"/>
      <c r="AR626" s="5"/>
      <c r="AS626" s="5"/>
      <c r="AT626" s="5"/>
      <c r="AU626" s="5"/>
      <c r="AV626" s="5"/>
      <c r="AW626" s="5"/>
      <c r="AX626" s="5"/>
      <c r="AY626" s="5"/>
    </row>
    <row r="627">
      <c r="A6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7" s="5">
        <f>IFERROR(__xludf.DUMMYFUNCTION("""COMPUTED_VALUE"""),662.0)</f>
        <v>662</v>
      </c>
      <c r="C627" s="5">
        <f>IFERROR(__xludf.DUMMYFUNCTION("""COMPUTED_VALUE"""),4031.0)</f>
        <v>4031</v>
      </c>
      <c r="D627" s="5" t="str">
        <f>IFERROR(__xludf.DUMMYFUNCTION("""COMPUTED_VALUE"""),"FruitsAndStars1X")</f>
        <v>FruitsAndStars1X</v>
      </c>
      <c r="E627" s="5" t="str">
        <f>IFERROR(__xludf.DUMMYFUNCTION("""COMPUTED_VALUE"""),"Yes")</f>
        <v>Yes</v>
      </c>
      <c r="F627" s="5" t="str">
        <f>IFERROR(__xludf.DUMMYFUNCTION("""COMPUTED_VALUE"""),"Yes")</f>
        <v>Yes</v>
      </c>
      <c r="G627" s="5" t="str">
        <f>IFERROR(__xludf.DUMMYFUNCTION("""COMPUTED_VALUE"""),"Yes")</f>
        <v>Yes</v>
      </c>
      <c r="H627" s="5" t="str">
        <f>IFERROR(__xludf.DUMMYFUNCTION("""COMPUTED_VALUE"""),"Yes")</f>
        <v>Yes</v>
      </c>
      <c r="I627" s="5" t="str">
        <f>IFERROR(__xludf.DUMMYFUNCTION("""COMPUTED_VALUE"""),"Yes")</f>
        <v>Yes</v>
      </c>
      <c r="J627" s="5" t="str">
        <f>IFERROR(__xludf.DUMMYFUNCTION("""COMPUTED_VALUE"""),"Yes")</f>
        <v>Yes</v>
      </c>
      <c r="K627" s="5" t="str">
        <f>IFERROR(__xludf.DUMMYFUNCTION("""COMPUTED_VALUE"""),"Yes")</f>
        <v>Yes</v>
      </c>
      <c r="L627" s="5" t="str">
        <f>IFERROR(__xludf.DUMMYFUNCTION("""COMPUTED_VALUE"""),"Yes")</f>
        <v>Yes</v>
      </c>
      <c r="M627" s="5" t="str">
        <f>IFERROR(__xludf.DUMMYFUNCTION("""COMPUTED_VALUE"""),"Yes")</f>
        <v>Yes</v>
      </c>
      <c r="N627" s="5" t="str">
        <f>IFERROR(__xludf.DUMMYFUNCTION("""COMPUTED_VALUE"""),"Yes")</f>
        <v>Yes</v>
      </c>
      <c r="O627" s="5" t="str">
        <f>IFERROR(__xludf.DUMMYFUNCTION("""COMPUTED_VALUE"""),"Yes")</f>
        <v>Yes</v>
      </c>
      <c r="P627" s="5" t="str">
        <f>IFERROR(__xludf.DUMMYFUNCTION("""COMPUTED_VALUE"""),"Yes")</f>
        <v>Yes</v>
      </c>
      <c r="Q627" s="5" t="str">
        <f>IFERROR(__xludf.DUMMYFUNCTION("""COMPUTED_VALUE"""),"Yes")</f>
        <v>Yes</v>
      </c>
      <c r="R627" s="5" t="str">
        <f>IFERROR(__xludf.DUMMYFUNCTION("""COMPUTED_VALUE"""),"Yes")</f>
        <v>Yes</v>
      </c>
      <c r="S627" s="5" t="str">
        <f>IFERROR(__xludf.DUMMYFUNCTION("""COMPUTED_VALUE"""),"Yes")</f>
        <v>Yes</v>
      </c>
      <c r="T627" s="5" t="str">
        <f>IFERROR(__xludf.DUMMYFUNCTION("""COMPUTED_VALUE"""),"Yes")</f>
        <v>Yes</v>
      </c>
      <c r="U627" s="5" t="str">
        <f>IFERROR(__xludf.DUMMYFUNCTION("""COMPUTED_VALUE"""),"Yes")</f>
        <v>Yes</v>
      </c>
      <c r="V627" s="5" t="str">
        <f>IFERROR(__xludf.DUMMYFUNCTION("""COMPUTED_VALUE"""),"Yes")</f>
        <v>Yes</v>
      </c>
      <c r="W627" s="5" t="str">
        <f>IFERROR(__xludf.DUMMYFUNCTION("""COMPUTED_VALUE"""),"Yes")</f>
        <v>Yes</v>
      </c>
      <c r="X627" s="5" t="str">
        <f>IFERROR(__xludf.DUMMYFUNCTION("""COMPUTED_VALUE"""),"Yes")</f>
        <v>Yes</v>
      </c>
      <c r="Y627" s="5" t="str">
        <f>IFERROR(__xludf.DUMMYFUNCTION("""COMPUTED_VALUE"""),"Yes")</f>
        <v>Yes</v>
      </c>
      <c r="Z627" s="5" t="str">
        <f>IFERROR(__xludf.DUMMYFUNCTION("""COMPUTED_VALUE"""),"No")</f>
        <v>No</v>
      </c>
      <c r="AA627" s="5" t="str">
        <f>IFERROR(__xludf.DUMMYFUNCTION("""COMPUTED_VALUE"""),"Yes")</f>
        <v>Yes</v>
      </c>
      <c r="AB627" s="5" t="str">
        <f>IFERROR(__xludf.DUMMYFUNCTION("""COMPUTED_VALUE"""),"Yes")</f>
        <v>Yes</v>
      </c>
      <c r="AC627" s="5" t="str">
        <f>IFERROR(__xludf.DUMMYFUNCTION("""COMPUTED_VALUE"""),"Yes")</f>
        <v>Yes</v>
      </c>
      <c r="AD627" s="5" t="str">
        <f>IFERROR(__xludf.DUMMYFUNCTION("""COMPUTED_VALUE"""),"Yes")</f>
        <v>Yes</v>
      </c>
      <c r="AE627" s="5" t="str">
        <f>IFERROR(__xludf.DUMMYFUNCTION("""COMPUTED_VALUE"""),"No")</f>
        <v>No</v>
      </c>
      <c r="AF627" s="5" t="str">
        <f>IFERROR(__xludf.DUMMYFUNCTION("""COMPUTED_VALUE"""),"Yes")</f>
        <v>Yes</v>
      </c>
      <c r="AG627" s="5" t="str">
        <f>IFERROR(__xludf.DUMMYFUNCTION("""COMPUTED_VALUE"""),"No")</f>
        <v>No</v>
      </c>
      <c r="AH627" s="5" t="str">
        <f>IFERROR(__xludf.DUMMYFUNCTION("""COMPUTED_VALUE"""),"No")</f>
        <v>No</v>
      </c>
      <c r="AI627" s="5" t="str">
        <f>IFERROR(__xludf.DUMMYFUNCTION("""COMPUTED_VALUE"""),"No")</f>
        <v>No</v>
      </c>
      <c r="AJ627" s="5" t="str">
        <f>IFERROR(__xludf.DUMMYFUNCTION("""COMPUTED_VALUE"""),"No")</f>
        <v>No</v>
      </c>
      <c r="AK627" s="5" t="str">
        <f>IFERROR(__xludf.DUMMYFUNCTION("""COMPUTED_VALUE"""),"No")</f>
        <v>No</v>
      </c>
      <c r="AL627" s="5" t="str">
        <f>IFERROR(__xludf.DUMMYFUNCTION("""COMPUTED_VALUE"""),"No")</f>
        <v>No</v>
      </c>
      <c r="AM627" s="5"/>
      <c r="AN627" s="5"/>
      <c r="AO627" s="5"/>
      <c r="AP627" s="5"/>
      <c r="AQ627" s="5"/>
      <c r="AR627" s="5"/>
      <c r="AS627" s="5"/>
      <c r="AT627" s="5"/>
      <c r="AU627" s="5"/>
      <c r="AV627" s="5"/>
      <c r="AW627" s="5"/>
      <c r="AX627" s="5"/>
      <c r="AY627" s="5"/>
    </row>
    <row r="628">
      <c r="A6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8" s="5">
        <f>IFERROR(__xludf.DUMMYFUNCTION("""COMPUTED_VALUE"""),663.0)</f>
        <v>663</v>
      </c>
      <c r="C628" s="5">
        <f>IFERROR(__xludf.DUMMYFUNCTION("""COMPUTED_VALUE"""),4030.0)</f>
        <v>4030</v>
      </c>
      <c r="D628" s="5" t="str">
        <f>IFERROR(__xludf.DUMMYFUNCTION("""COMPUTED_VALUE"""),"KKPartizanSlot")</f>
        <v>KKPartizanSlot</v>
      </c>
      <c r="E628" s="5" t="str">
        <f>IFERROR(__xludf.DUMMYFUNCTION("""COMPUTED_VALUE"""),"Yes")</f>
        <v>Yes</v>
      </c>
      <c r="F628" s="5" t="str">
        <f>IFERROR(__xludf.DUMMYFUNCTION("""COMPUTED_VALUE"""),"Yes")</f>
        <v>Yes</v>
      </c>
      <c r="G628" s="5" t="str">
        <f>IFERROR(__xludf.DUMMYFUNCTION("""COMPUTED_VALUE"""),"Yes")</f>
        <v>Yes</v>
      </c>
      <c r="H628" s="5" t="str">
        <f>IFERROR(__xludf.DUMMYFUNCTION("""COMPUTED_VALUE"""),"Yes")</f>
        <v>Yes</v>
      </c>
      <c r="I628" s="5" t="str">
        <f>IFERROR(__xludf.DUMMYFUNCTION("""COMPUTED_VALUE"""),"Yes")</f>
        <v>Yes</v>
      </c>
      <c r="J628" s="5" t="str">
        <f>IFERROR(__xludf.DUMMYFUNCTION("""COMPUTED_VALUE"""),"Yes")</f>
        <v>Yes</v>
      </c>
      <c r="K628" s="5" t="str">
        <f>IFERROR(__xludf.DUMMYFUNCTION("""COMPUTED_VALUE"""),"Yes")</f>
        <v>Yes</v>
      </c>
      <c r="L628" s="5" t="str">
        <f>IFERROR(__xludf.DUMMYFUNCTION("""COMPUTED_VALUE"""),"Yes")</f>
        <v>Yes</v>
      </c>
      <c r="M628" s="5" t="str">
        <f>IFERROR(__xludf.DUMMYFUNCTION("""COMPUTED_VALUE"""),"Yes")</f>
        <v>Yes</v>
      </c>
      <c r="N628" s="5" t="str">
        <f>IFERROR(__xludf.DUMMYFUNCTION("""COMPUTED_VALUE"""),"Yes")</f>
        <v>Yes</v>
      </c>
      <c r="O628" s="5" t="str">
        <f>IFERROR(__xludf.DUMMYFUNCTION("""COMPUTED_VALUE"""),"Yes")</f>
        <v>Yes</v>
      </c>
      <c r="P628" s="5" t="str">
        <f>IFERROR(__xludf.DUMMYFUNCTION("""COMPUTED_VALUE"""),"Yes")</f>
        <v>Yes</v>
      </c>
      <c r="Q628" s="5" t="str">
        <f>IFERROR(__xludf.DUMMYFUNCTION("""COMPUTED_VALUE"""),"Yes")</f>
        <v>Yes</v>
      </c>
      <c r="R628" s="5" t="str">
        <f>IFERROR(__xludf.DUMMYFUNCTION("""COMPUTED_VALUE"""),"Yes")</f>
        <v>Yes</v>
      </c>
      <c r="S628" s="5" t="str">
        <f>IFERROR(__xludf.DUMMYFUNCTION("""COMPUTED_VALUE"""),"Yes")</f>
        <v>Yes</v>
      </c>
      <c r="T628" s="5" t="str">
        <f>IFERROR(__xludf.DUMMYFUNCTION("""COMPUTED_VALUE"""),"Yes")</f>
        <v>Yes</v>
      </c>
      <c r="U628" s="5" t="str">
        <f>IFERROR(__xludf.DUMMYFUNCTION("""COMPUTED_VALUE"""),"Yes")</f>
        <v>Yes</v>
      </c>
      <c r="V628" s="5" t="str">
        <f>IFERROR(__xludf.DUMMYFUNCTION("""COMPUTED_VALUE"""),"Yes")</f>
        <v>Yes</v>
      </c>
      <c r="W628" s="5" t="str">
        <f>IFERROR(__xludf.DUMMYFUNCTION("""COMPUTED_VALUE"""),"Yes")</f>
        <v>Yes</v>
      </c>
      <c r="X628" s="5" t="str">
        <f>IFERROR(__xludf.DUMMYFUNCTION("""COMPUTED_VALUE"""),"Yes")</f>
        <v>Yes</v>
      </c>
      <c r="Y628" s="5" t="str">
        <f>IFERROR(__xludf.DUMMYFUNCTION("""COMPUTED_VALUE"""),"Yes")</f>
        <v>Yes</v>
      </c>
      <c r="Z628" s="5" t="str">
        <f>IFERROR(__xludf.DUMMYFUNCTION("""COMPUTED_VALUE"""),"No")</f>
        <v>No</v>
      </c>
      <c r="AA628" s="5" t="str">
        <f>IFERROR(__xludf.DUMMYFUNCTION("""COMPUTED_VALUE"""),"Yes")</f>
        <v>Yes</v>
      </c>
      <c r="AB628" s="5" t="str">
        <f>IFERROR(__xludf.DUMMYFUNCTION("""COMPUTED_VALUE"""),"Yes")</f>
        <v>Yes</v>
      </c>
      <c r="AC628" s="5" t="str">
        <f>IFERROR(__xludf.DUMMYFUNCTION("""COMPUTED_VALUE"""),"Yes")</f>
        <v>Yes</v>
      </c>
      <c r="AD628" s="5" t="str">
        <f>IFERROR(__xludf.DUMMYFUNCTION("""COMPUTED_VALUE"""),"Yes")</f>
        <v>Yes</v>
      </c>
      <c r="AE628" s="5" t="str">
        <f>IFERROR(__xludf.DUMMYFUNCTION("""COMPUTED_VALUE"""),"No")</f>
        <v>No</v>
      </c>
      <c r="AF628" s="5" t="str">
        <f>IFERROR(__xludf.DUMMYFUNCTION("""COMPUTED_VALUE"""),"Yes")</f>
        <v>Yes</v>
      </c>
      <c r="AG628" s="5" t="str">
        <f>IFERROR(__xludf.DUMMYFUNCTION("""COMPUTED_VALUE"""),"No")</f>
        <v>No</v>
      </c>
      <c r="AH628" s="5" t="str">
        <f>IFERROR(__xludf.DUMMYFUNCTION("""COMPUTED_VALUE"""),"No")</f>
        <v>No</v>
      </c>
      <c r="AI628" s="5" t="str">
        <f>IFERROR(__xludf.DUMMYFUNCTION("""COMPUTED_VALUE"""),"No")</f>
        <v>No</v>
      </c>
      <c r="AJ628" s="5" t="str">
        <f>IFERROR(__xludf.DUMMYFUNCTION("""COMPUTED_VALUE"""),"No")</f>
        <v>No</v>
      </c>
      <c r="AK628" s="5" t="str">
        <f>IFERROR(__xludf.DUMMYFUNCTION("""COMPUTED_VALUE"""),"No")</f>
        <v>No</v>
      </c>
      <c r="AL628" s="5" t="str">
        <f>IFERROR(__xludf.DUMMYFUNCTION("""COMPUTED_VALUE"""),"No")</f>
        <v>No</v>
      </c>
      <c r="AM628" s="5"/>
      <c r="AN628" s="5"/>
      <c r="AO628" s="5"/>
      <c r="AP628" s="5"/>
      <c r="AQ628" s="5"/>
      <c r="AR628" s="5"/>
      <c r="AS628" s="5"/>
      <c r="AT628" s="5"/>
      <c r="AU628" s="5"/>
      <c r="AV628" s="5"/>
      <c r="AW628" s="5"/>
      <c r="AX628" s="5"/>
      <c r="AY628" s="5"/>
    </row>
    <row r="629">
      <c r="A6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9" s="5">
        <f>IFERROR(__xludf.DUMMYFUNCTION("""COMPUTED_VALUE"""),664.0)</f>
        <v>664</v>
      </c>
      <c r="C629" s="5">
        <f>IFERROR(__xludf.DUMMYFUNCTION("""COMPUTED_VALUE"""),4032.0)</f>
        <v>4032</v>
      </c>
      <c r="D629" s="5" t="str">
        <f>IFERROR(__xludf.DUMMYFUNCTION("""COMPUTED_VALUE"""),"SBbetHot5Extreme")</f>
        <v>SBbetHot5Extreme</v>
      </c>
      <c r="E629" s="5" t="str">
        <f>IFERROR(__xludf.DUMMYFUNCTION("""COMPUTED_VALUE"""),"Yes")</f>
        <v>Yes</v>
      </c>
      <c r="F629" s="5" t="str">
        <f>IFERROR(__xludf.DUMMYFUNCTION("""COMPUTED_VALUE"""),"Yes")</f>
        <v>Yes</v>
      </c>
      <c r="G629" s="5" t="str">
        <f>IFERROR(__xludf.DUMMYFUNCTION("""COMPUTED_VALUE"""),"Yes")</f>
        <v>Yes</v>
      </c>
      <c r="H629" s="5" t="str">
        <f>IFERROR(__xludf.DUMMYFUNCTION("""COMPUTED_VALUE"""),"Yes")</f>
        <v>Yes</v>
      </c>
      <c r="I629" s="5" t="str">
        <f>IFERROR(__xludf.DUMMYFUNCTION("""COMPUTED_VALUE"""),"Yes")</f>
        <v>Yes</v>
      </c>
      <c r="J629" s="5" t="str">
        <f>IFERROR(__xludf.DUMMYFUNCTION("""COMPUTED_VALUE"""),"Yes")</f>
        <v>Yes</v>
      </c>
      <c r="K629" s="5" t="str">
        <f>IFERROR(__xludf.DUMMYFUNCTION("""COMPUTED_VALUE"""),"Yes")</f>
        <v>Yes</v>
      </c>
      <c r="L629" s="5" t="str">
        <f>IFERROR(__xludf.DUMMYFUNCTION("""COMPUTED_VALUE"""),"Yes")</f>
        <v>Yes</v>
      </c>
      <c r="M629" s="5" t="str">
        <f>IFERROR(__xludf.DUMMYFUNCTION("""COMPUTED_VALUE"""),"Yes")</f>
        <v>Yes</v>
      </c>
      <c r="N629" s="5" t="str">
        <f>IFERROR(__xludf.DUMMYFUNCTION("""COMPUTED_VALUE"""),"Yes")</f>
        <v>Yes</v>
      </c>
      <c r="O629" s="5" t="str">
        <f>IFERROR(__xludf.DUMMYFUNCTION("""COMPUTED_VALUE"""),"Yes")</f>
        <v>Yes</v>
      </c>
      <c r="P629" s="5" t="str">
        <f>IFERROR(__xludf.DUMMYFUNCTION("""COMPUTED_VALUE"""),"Yes")</f>
        <v>Yes</v>
      </c>
      <c r="Q629" s="5" t="str">
        <f>IFERROR(__xludf.DUMMYFUNCTION("""COMPUTED_VALUE"""),"Yes")</f>
        <v>Yes</v>
      </c>
      <c r="R629" s="5" t="str">
        <f>IFERROR(__xludf.DUMMYFUNCTION("""COMPUTED_VALUE"""),"Yes")</f>
        <v>Yes</v>
      </c>
      <c r="S629" s="5" t="str">
        <f>IFERROR(__xludf.DUMMYFUNCTION("""COMPUTED_VALUE"""),"Yes")</f>
        <v>Yes</v>
      </c>
      <c r="T629" s="5" t="str">
        <f>IFERROR(__xludf.DUMMYFUNCTION("""COMPUTED_VALUE"""),"Yes")</f>
        <v>Yes</v>
      </c>
      <c r="U629" s="5" t="str">
        <f>IFERROR(__xludf.DUMMYFUNCTION("""COMPUTED_VALUE"""),"Yes")</f>
        <v>Yes</v>
      </c>
      <c r="V629" s="5" t="str">
        <f>IFERROR(__xludf.DUMMYFUNCTION("""COMPUTED_VALUE"""),"Yes")</f>
        <v>Yes</v>
      </c>
      <c r="W629" s="5" t="str">
        <f>IFERROR(__xludf.DUMMYFUNCTION("""COMPUTED_VALUE"""),"Yes")</f>
        <v>Yes</v>
      </c>
      <c r="X629" s="5" t="str">
        <f>IFERROR(__xludf.DUMMYFUNCTION("""COMPUTED_VALUE"""),"Yes")</f>
        <v>Yes</v>
      </c>
      <c r="Y629" s="5" t="str">
        <f>IFERROR(__xludf.DUMMYFUNCTION("""COMPUTED_VALUE"""),"Yes")</f>
        <v>Yes</v>
      </c>
      <c r="Z629" s="5" t="str">
        <f>IFERROR(__xludf.DUMMYFUNCTION("""COMPUTED_VALUE"""),"Yes")</f>
        <v>Yes</v>
      </c>
      <c r="AA629" s="5" t="str">
        <f>IFERROR(__xludf.DUMMYFUNCTION("""COMPUTED_VALUE"""),"Yes")</f>
        <v>Yes</v>
      </c>
      <c r="AB629" s="5" t="str">
        <f>IFERROR(__xludf.DUMMYFUNCTION("""COMPUTED_VALUE"""),"Yes")</f>
        <v>Yes</v>
      </c>
      <c r="AC629" s="5" t="str">
        <f>IFERROR(__xludf.DUMMYFUNCTION("""COMPUTED_VALUE"""),"Yes")</f>
        <v>Yes</v>
      </c>
      <c r="AD629" s="5" t="str">
        <f>IFERROR(__xludf.DUMMYFUNCTION("""COMPUTED_VALUE"""),"Yes")</f>
        <v>Yes</v>
      </c>
      <c r="AE629" s="5" t="str">
        <f>IFERROR(__xludf.DUMMYFUNCTION("""COMPUTED_VALUE"""),"Yes")</f>
        <v>Yes</v>
      </c>
      <c r="AF629" s="5" t="str">
        <f>IFERROR(__xludf.DUMMYFUNCTION("""COMPUTED_VALUE"""),"Yes")</f>
        <v>Yes</v>
      </c>
      <c r="AG629" s="5" t="str">
        <f>IFERROR(__xludf.DUMMYFUNCTION("""COMPUTED_VALUE"""),"Yes")</f>
        <v>Yes</v>
      </c>
      <c r="AH629" s="5" t="str">
        <f>IFERROR(__xludf.DUMMYFUNCTION("""COMPUTED_VALUE"""),"Yes")</f>
        <v>Yes</v>
      </c>
      <c r="AI629" s="5" t="str">
        <f>IFERROR(__xludf.DUMMYFUNCTION("""COMPUTED_VALUE"""),"No")</f>
        <v>No</v>
      </c>
      <c r="AJ629" s="5" t="str">
        <f>IFERROR(__xludf.DUMMYFUNCTION("""COMPUTED_VALUE"""),"No")</f>
        <v>No</v>
      </c>
      <c r="AK629" s="5" t="str">
        <f>IFERROR(__xludf.DUMMYFUNCTION("""COMPUTED_VALUE"""),"No")</f>
        <v>No</v>
      </c>
      <c r="AL629" s="5" t="str">
        <f>IFERROR(__xludf.DUMMYFUNCTION("""COMPUTED_VALUE"""),"No")</f>
        <v>No</v>
      </c>
      <c r="AM629" s="5"/>
      <c r="AN629" s="5"/>
      <c r="AO629" s="5"/>
      <c r="AP629" s="5"/>
      <c r="AQ629" s="5"/>
      <c r="AR629" s="5"/>
      <c r="AS629" s="5"/>
      <c r="AT629" s="5"/>
      <c r="AU629" s="5"/>
      <c r="AV629" s="5"/>
      <c r="AW629" s="5"/>
      <c r="AX629" s="5"/>
      <c r="AY629" s="5"/>
    </row>
    <row r="630">
      <c r="A6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0" s="5">
        <f>IFERROR(__xludf.DUMMYFUNCTION("""COMPUTED_VALUE"""),665.0)</f>
        <v>665</v>
      </c>
      <c r="C630" s="5">
        <f>IFERROR(__xludf.DUMMYFUNCTION("""COMPUTED_VALUE"""),3032.0)</f>
        <v>3032</v>
      </c>
      <c r="D630" s="5" t="str">
        <f>IFERROR(__xludf.DUMMYFUNCTION("""COMPUTED_VALUE"""),"WildHot40Deluxe")</f>
        <v>WildHot40Deluxe</v>
      </c>
      <c r="E630" s="5" t="str">
        <f>IFERROR(__xludf.DUMMYFUNCTION("""COMPUTED_VALUE"""),"Yes")</f>
        <v>Yes</v>
      </c>
      <c r="F630" s="5" t="str">
        <f>IFERROR(__xludf.DUMMYFUNCTION("""COMPUTED_VALUE"""),"Yes")</f>
        <v>Yes</v>
      </c>
      <c r="G630" s="5" t="str">
        <f>IFERROR(__xludf.DUMMYFUNCTION("""COMPUTED_VALUE"""),"Yes")</f>
        <v>Yes</v>
      </c>
      <c r="H630" s="5" t="str">
        <f>IFERROR(__xludf.DUMMYFUNCTION("""COMPUTED_VALUE"""),"Yes")</f>
        <v>Yes</v>
      </c>
      <c r="I630" s="5" t="str">
        <f>IFERROR(__xludf.DUMMYFUNCTION("""COMPUTED_VALUE"""),"Yes")</f>
        <v>Yes</v>
      </c>
      <c r="J630" s="5" t="str">
        <f>IFERROR(__xludf.DUMMYFUNCTION("""COMPUTED_VALUE"""),"Yes")</f>
        <v>Yes</v>
      </c>
      <c r="K630" s="5" t="str">
        <f>IFERROR(__xludf.DUMMYFUNCTION("""COMPUTED_VALUE"""),"Yes")</f>
        <v>Yes</v>
      </c>
      <c r="L630" s="5" t="str">
        <f>IFERROR(__xludf.DUMMYFUNCTION("""COMPUTED_VALUE"""),"Yes")</f>
        <v>Yes</v>
      </c>
      <c r="M630" s="5" t="str">
        <f>IFERROR(__xludf.DUMMYFUNCTION("""COMPUTED_VALUE"""),"Yes")</f>
        <v>Yes</v>
      </c>
      <c r="N630" s="5" t="str">
        <f>IFERROR(__xludf.DUMMYFUNCTION("""COMPUTED_VALUE"""),"Yes")</f>
        <v>Yes</v>
      </c>
      <c r="O630" s="5" t="str">
        <f>IFERROR(__xludf.DUMMYFUNCTION("""COMPUTED_VALUE"""),"Yes")</f>
        <v>Yes</v>
      </c>
      <c r="P630" s="5" t="str">
        <f>IFERROR(__xludf.DUMMYFUNCTION("""COMPUTED_VALUE"""),"Yes")</f>
        <v>Yes</v>
      </c>
      <c r="Q630" s="5" t="str">
        <f>IFERROR(__xludf.DUMMYFUNCTION("""COMPUTED_VALUE"""),"Yes")</f>
        <v>Yes</v>
      </c>
      <c r="R630" s="5" t="str">
        <f>IFERROR(__xludf.DUMMYFUNCTION("""COMPUTED_VALUE"""),"Yes")</f>
        <v>Yes</v>
      </c>
      <c r="S630" s="5" t="str">
        <f>IFERROR(__xludf.DUMMYFUNCTION("""COMPUTED_VALUE"""),"Yes")</f>
        <v>Yes</v>
      </c>
      <c r="T630" s="5" t="str">
        <f>IFERROR(__xludf.DUMMYFUNCTION("""COMPUTED_VALUE"""),"Yes")</f>
        <v>Yes</v>
      </c>
      <c r="U630" s="5" t="str">
        <f>IFERROR(__xludf.DUMMYFUNCTION("""COMPUTED_VALUE"""),"Yes")</f>
        <v>Yes</v>
      </c>
      <c r="V630" s="5" t="str">
        <f>IFERROR(__xludf.DUMMYFUNCTION("""COMPUTED_VALUE"""),"Yes")</f>
        <v>Yes</v>
      </c>
      <c r="W630" s="5" t="str">
        <f>IFERROR(__xludf.DUMMYFUNCTION("""COMPUTED_VALUE"""),"Yes")</f>
        <v>Yes</v>
      </c>
      <c r="X630" s="5" t="str">
        <f>IFERROR(__xludf.DUMMYFUNCTION("""COMPUTED_VALUE"""),"Yes")</f>
        <v>Yes</v>
      </c>
      <c r="Y630" s="5" t="str">
        <f>IFERROR(__xludf.DUMMYFUNCTION("""COMPUTED_VALUE"""),"Yes")</f>
        <v>Yes</v>
      </c>
      <c r="Z630" s="5" t="str">
        <f>IFERROR(__xludf.DUMMYFUNCTION("""COMPUTED_VALUE"""),"Yes")</f>
        <v>Yes</v>
      </c>
      <c r="AA630" s="5" t="str">
        <f>IFERROR(__xludf.DUMMYFUNCTION("""COMPUTED_VALUE"""),"Yes")</f>
        <v>Yes</v>
      </c>
      <c r="AB630" s="5" t="str">
        <f>IFERROR(__xludf.DUMMYFUNCTION("""COMPUTED_VALUE"""),"Yes")</f>
        <v>Yes</v>
      </c>
      <c r="AC630" s="5" t="str">
        <f>IFERROR(__xludf.DUMMYFUNCTION("""COMPUTED_VALUE"""),"Yes")</f>
        <v>Yes</v>
      </c>
      <c r="AD630" s="5" t="str">
        <f>IFERROR(__xludf.DUMMYFUNCTION("""COMPUTED_VALUE"""),"Yes")</f>
        <v>Yes</v>
      </c>
      <c r="AE630" s="5" t="str">
        <f>IFERROR(__xludf.DUMMYFUNCTION("""COMPUTED_VALUE"""),"Yes")</f>
        <v>Yes</v>
      </c>
      <c r="AF630" s="5" t="str">
        <f>IFERROR(__xludf.DUMMYFUNCTION("""COMPUTED_VALUE"""),"Yes")</f>
        <v>Yes</v>
      </c>
      <c r="AG630" s="5" t="str">
        <f>IFERROR(__xludf.DUMMYFUNCTION("""COMPUTED_VALUE"""),"Yes")</f>
        <v>Yes</v>
      </c>
      <c r="AH630" s="5" t="str">
        <f>IFERROR(__xludf.DUMMYFUNCTION("""COMPUTED_VALUE"""),"Yes")</f>
        <v>Yes</v>
      </c>
      <c r="AI630" s="5" t="str">
        <f>IFERROR(__xludf.DUMMYFUNCTION("""COMPUTED_VALUE"""),"No")</f>
        <v>No</v>
      </c>
      <c r="AJ630" s="5" t="str">
        <f>IFERROR(__xludf.DUMMYFUNCTION("""COMPUTED_VALUE"""),"No")</f>
        <v>No</v>
      </c>
      <c r="AK630" s="5" t="str">
        <f>IFERROR(__xludf.DUMMYFUNCTION("""COMPUTED_VALUE"""),"No")</f>
        <v>No</v>
      </c>
      <c r="AL630" s="5" t="str">
        <f>IFERROR(__xludf.DUMMYFUNCTION("""COMPUTED_VALUE"""),"No")</f>
        <v>No</v>
      </c>
      <c r="AM630" s="5"/>
      <c r="AN630" s="5"/>
      <c r="AO630" s="5"/>
      <c r="AP630" s="5"/>
      <c r="AQ630" s="5"/>
      <c r="AR630" s="5"/>
      <c r="AS630" s="5"/>
      <c r="AT630" s="5"/>
      <c r="AU630" s="5"/>
      <c r="AV630" s="5"/>
      <c r="AW630" s="5"/>
      <c r="AX630" s="5"/>
      <c r="AY630" s="5"/>
    </row>
    <row r="631">
      <c r="A6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1" s="5">
        <f>IFERROR(__xludf.DUMMYFUNCTION("""COMPUTED_VALUE"""),666.0)</f>
        <v>666</v>
      </c>
      <c r="C631" s="5">
        <f>IFERROR(__xludf.DUMMYFUNCTION("""COMPUTED_VALUE"""),2019.0)</f>
        <v>2019</v>
      </c>
      <c r="D631" s="5" t="str">
        <f>IFERROR(__xludf.DUMMYFUNCTION("""COMPUTED_VALUE"""),"BonusEpicCrownDice")</f>
        <v>BonusEpicCrownDice</v>
      </c>
      <c r="E631" s="5" t="str">
        <f>IFERROR(__xludf.DUMMYFUNCTION("""COMPUTED_VALUE"""),"Yes")</f>
        <v>Yes</v>
      </c>
      <c r="F631" s="5" t="str">
        <f>IFERROR(__xludf.DUMMYFUNCTION("""COMPUTED_VALUE"""),"Yes")</f>
        <v>Yes</v>
      </c>
      <c r="G631" s="5" t="str">
        <f>IFERROR(__xludf.DUMMYFUNCTION("""COMPUTED_VALUE"""),"Yes")</f>
        <v>Yes</v>
      </c>
      <c r="H631" s="5" t="str">
        <f>IFERROR(__xludf.DUMMYFUNCTION("""COMPUTED_VALUE"""),"Yes")</f>
        <v>Yes</v>
      </c>
      <c r="I631" s="5" t="str">
        <f>IFERROR(__xludf.DUMMYFUNCTION("""COMPUTED_VALUE"""),"Yes")</f>
        <v>Yes</v>
      </c>
      <c r="J631" s="5" t="str">
        <f>IFERROR(__xludf.DUMMYFUNCTION("""COMPUTED_VALUE"""),"Yes")</f>
        <v>Yes</v>
      </c>
      <c r="K631" s="5" t="str">
        <f>IFERROR(__xludf.DUMMYFUNCTION("""COMPUTED_VALUE"""),"Yes")</f>
        <v>Yes</v>
      </c>
      <c r="L631" s="5" t="str">
        <f>IFERROR(__xludf.DUMMYFUNCTION("""COMPUTED_VALUE"""),"Yes")</f>
        <v>Yes</v>
      </c>
      <c r="M631" s="5" t="str">
        <f>IFERROR(__xludf.DUMMYFUNCTION("""COMPUTED_VALUE"""),"Yes")</f>
        <v>Yes</v>
      </c>
      <c r="N631" s="5" t="str">
        <f>IFERROR(__xludf.DUMMYFUNCTION("""COMPUTED_VALUE"""),"Yes")</f>
        <v>Yes</v>
      </c>
      <c r="O631" s="5" t="str">
        <f>IFERROR(__xludf.DUMMYFUNCTION("""COMPUTED_VALUE"""),"Yes")</f>
        <v>Yes</v>
      </c>
      <c r="P631" s="5" t="str">
        <f>IFERROR(__xludf.DUMMYFUNCTION("""COMPUTED_VALUE"""),"Yes")</f>
        <v>Yes</v>
      </c>
      <c r="Q631" s="5" t="str">
        <f>IFERROR(__xludf.DUMMYFUNCTION("""COMPUTED_VALUE"""),"Yes")</f>
        <v>Yes</v>
      </c>
      <c r="R631" s="5" t="str">
        <f>IFERROR(__xludf.DUMMYFUNCTION("""COMPUTED_VALUE"""),"Yes")</f>
        <v>Yes</v>
      </c>
      <c r="S631" s="5" t="str">
        <f>IFERROR(__xludf.DUMMYFUNCTION("""COMPUTED_VALUE"""),"Yes")</f>
        <v>Yes</v>
      </c>
      <c r="T631" s="5" t="str">
        <f>IFERROR(__xludf.DUMMYFUNCTION("""COMPUTED_VALUE"""),"Yes")</f>
        <v>Yes</v>
      </c>
      <c r="U631" s="5" t="str">
        <f>IFERROR(__xludf.DUMMYFUNCTION("""COMPUTED_VALUE"""),"Yes")</f>
        <v>Yes</v>
      </c>
      <c r="V631" s="5" t="str">
        <f>IFERROR(__xludf.DUMMYFUNCTION("""COMPUTED_VALUE"""),"Yes")</f>
        <v>Yes</v>
      </c>
      <c r="W631" s="5" t="str">
        <f>IFERROR(__xludf.DUMMYFUNCTION("""COMPUTED_VALUE"""),"Yes")</f>
        <v>Yes</v>
      </c>
      <c r="X631" s="5" t="str">
        <f>IFERROR(__xludf.DUMMYFUNCTION("""COMPUTED_VALUE"""),"Yes")</f>
        <v>Yes</v>
      </c>
      <c r="Y631" s="5" t="str">
        <f>IFERROR(__xludf.DUMMYFUNCTION("""COMPUTED_VALUE"""),"Yes")</f>
        <v>Yes</v>
      </c>
      <c r="Z631" s="5" t="str">
        <f>IFERROR(__xludf.DUMMYFUNCTION("""COMPUTED_VALUE"""),"Yes")</f>
        <v>Yes</v>
      </c>
      <c r="AA631" s="5" t="str">
        <f>IFERROR(__xludf.DUMMYFUNCTION("""COMPUTED_VALUE"""),"Yes")</f>
        <v>Yes</v>
      </c>
      <c r="AB631" s="5" t="str">
        <f>IFERROR(__xludf.DUMMYFUNCTION("""COMPUTED_VALUE"""),"Yes")</f>
        <v>Yes</v>
      </c>
      <c r="AC631" s="5" t="str">
        <f>IFERROR(__xludf.DUMMYFUNCTION("""COMPUTED_VALUE"""),"Yes")</f>
        <v>Yes</v>
      </c>
      <c r="AD631" s="5" t="str">
        <f>IFERROR(__xludf.DUMMYFUNCTION("""COMPUTED_VALUE"""),"Yes")</f>
        <v>Yes</v>
      </c>
      <c r="AE631" s="5" t="str">
        <f>IFERROR(__xludf.DUMMYFUNCTION("""COMPUTED_VALUE"""),"Yes")</f>
        <v>Yes</v>
      </c>
      <c r="AF631" s="5" t="str">
        <f>IFERROR(__xludf.DUMMYFUNCTION("""COMPUTED_VALUE"""),"Yes")</f>
        <v>Yes</v>
      </c>
      <c r="AG631" s="5" t="str">
        <f>IFERROR(__xludf.DUMMYFUNCTION("""COMPUTED_VALUE"""),"Yes")</f>
        <v>Yes</v>
      </c>
      <c r="AH631" s="5" t="str">
        <f>IFERROR(__xludf.DUMMYFUNCTION("""COMPUTED_VALUE"""),"Yes")</f>
        <v>Yes</v>
      </c>
      <c r="AI631" s="5" t="str">
        <f>IFERROR(__xludf.DUMMYFUNCTION("""COMPUTED_VALUE"""),"No")</f>
        <v>No</v>
      </c>
      <c r="AJ631" s="5" t="str">
        <f>IFERROR(__xludf.DUMMYFUNCTION("""COMPUTED_VALUE"""),"No")</f>
        <v>No</v>
      </c>
      <c r="AK631" s="5" t="str">
        <f>IFERROR(__xludf.DUMMYFUNCTION("""COMPUTED_VALUE"""),"No")</f>
        <v>No</v>
      </c>
      <c r="AL631" s="5" t="str">
        <f>IFERROR(__xludf.DUMMYFUNCTION("""COMPUTED_VALUE"""),"No")</f>
        <v>No</v>
      </c>
      <c r="AM631" s="5"/>
      <c r="AN631" s="5"/>
      <c r="AO631" s="5"/>
      <c r="AP631" s="5"/>
      <c r="AQ631" s="5"/>
      <c r="AR631" s="5"/>
      <c r="AS631" s="5"/>
      <c r="AT631" s="5"/>
      <c r="AU631" s="5"/>
      <c r="AV631" s="5"/>
      <c r="AW631" s="5"/>
      <c r="AX631" s="5"/>
      <c r="AY631" s="5"/>
    </row>
    <row r="632">
      <c r="A6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2" s="5">
        <f>IFERROR(__xludf.DUMMYFUNCTION("""COMPUTED_VALUE"""),667.0)</f>
        <v>667</v>
      </c>
      <c r="C632" s="5">
        <f>IFERROR(__xludf.DUMMYFUNCTION("""COMPUTED_VALUE"""),2018.0)</f>
        <v>2018</v>
      </c>
      <c r="D632" s="5" t="str">
        <f>IFERROR(__xludf.DUMMYFUNCTION("""COMPUTED_VALUE"""),"GoldenCrownHoldAndWin")</f>
        <v>GoldenCrownHoldAndWin</v>
      </c>
      <c r="E632" s="5" t="str">
        <f>IFERROR(__xludf.DUMMYFUNCTION("""COMPUTED_VALUE"""),"Yes")</f>
        <v>Yes</v>
      </c>
      <c r="F632" s="5" t="str">
        <f>IFERROR(__xludf.DUMMYFUNCTION("""COMPUTED_VALUE"""),"Yes")</f>
        <v>Yes</v>
      </c>
      <c r="G632" s="5" t="str">
        <f>IFERROR(__xludf.DUMMYFUNCTION("""COMPUTED_VALUE"""),"Yes")</f>
        <v>Yes</v>
      </c>
      <c r="H632" s="5" t="str">
        <f>IFERROR(__xludf.DUMMYFUNCTION("""COMPUTED_VALUE"""),"Yes")</f>
        <v>Yes</v>
      </c>
      <c r="I632" s="5" t="str">
        <f>IFERROR(__xludf.DUMMYFUNCTION("""COMPUTED_VALUE"""),"Yes")</f>
        <v>Yes</v>
      </c>
      <c r="J632" s="5" t="str">
        <f>IFERROR(__xludf.DUMMYFUNCTION("""COMPUTED_VALUE"""),"Yes")</f>
        <v>Yes</v>
      </c>
      <c r="K632" s="5" t="str">
        <f>IFERROR(__xludf.DUMMYFUNCTION("""COMPUTED_VALUE"""),"Yes")</f>
        <v>Yes</v>
      </c>
      <c r="L632" s="5" t="str">
        <f>IFERROR(__xludf.DUMMYFUNCTION("""COMPUTED_VALUE"""),"Yes")</f>
        <v>Yes</v>
      </c>
      <c r="M632" s="5" t="str">
        <f>IFERROR(__xludf.DUMMYFUNCTION("""COMPUTED_VALUE"""),"Yes")</f>
        <v>Yes</v>
      </c>
      <c r="N632" s="5" t="str">
        <f>IFERROR(__xludf.DUMMYFUNCTION("""COMPUTED_VALUE"""),"Yes")</f>
        <v>Yes</v>
      </c>
      <c r="O632" s="5" t="str">
        <f>IFERROR(__xludf.DUMMYFUNCTION("""COMPUTED_VALUE"""),"Yes")</f>
        <v>Yes</v>
      </c>
      <c r="P632" s="5" t="str">
        <f>IFERROR(__xludf.DUMMYFUNCTION("""COMPUTED_VALUE"""),"Yes")</f>
        <v>Yes</v>
      </c>
      <c r="Q632" s="5" t="str">
        <f>IFERROR(__xludf.DUMMYFUNCTION("""COMPUTED_VALUE"""),"Yes")</f>
        <v>Yes</v>
      </c>
      <c r="R632" s="5" t="str">
        <f>IFERROR(__xludf.DUMMYFUNCTION("""COMPUTED_VALUE"""),"Yes")</f>
        <v>Yes</v>
      </c>
      <c r="S632" s="5" t="str">
        <f>IFERROR(__xludf.DUMMYFUNCTION("""COMPUTED_VALUE"""),"Yes")</f>
        <v>Yes</v>
      </c>
      <c r="T632" s="5" t="str">
        <f>IFERROR(__xludf.DUMMYFUNCTION("""COMPUTED_VALUE"""),"Yes")</f>
        <v>Yes</v>
      </c>
      <c r="U632" s="5" t="str">
        <f>IFERROR(__xludf.DUMMYFUNCTION("""COMPUTED_VALUE"""),"Yes")</f>
        <v>Yes</v>
      </c>
      <c r="V632" s="5" t="str">
        <f>IFERROR(__xludf.DUMMYFUNCTION("""COMPUTED_VALUE"""),"Yes")</f>
        <v>Yes</v>
      </c>
      <c r="W632" s="5" t="str">
        <f>IFERROR(__xludf.DUMMYFUNCTION("""COMPUTED_VALUE"""),"Yes")</f>
        <v>Yes</v>
      </c>
      <c r="X632" s="5" t="str">
        <f>IFERROR(__xludf.DUMMYFUNCTION("""COMPUTED_VALUE"""),"Yes")</f>
        <v>Yes</v>
      </c>
      <c r="Y632" s="5" t="str">
        <f>IFERROR(__xludf.DUMMYFUNCTION("""COMPUTED_VALUE"""),"Yes")</f>
        <v>Yes</v>
      </c>
      <c r="Z632" s="5" t="str">
        <f>IFERROR(__xludf.DUMMYFUNCTION("""COMPUTED_VALUE"""),"Yes")</f>
        <v>Yes</v>
      </c>
      <c r="AA632" s="5" t="str">
        <f>IFERROR(__xludf.DUMMYFUNCTION("""COMPUTED_VALUE"""),"Yes")</f>
        <v>Yes</v>
      </c>
      <c r="AB632" s="5" t="str">
        <f>IFERROR(__xludf.DUMMYFUNCTION("""COMPUTED_VALUE"""),"Yes")</f>
        <v>Yes</v>
      </c>
      <c r="AC632" s="5" t="str">
        <f>IFERROR(__xludf.DUMMYFUNCTION("""COMPUTED_VALUE"""),"Yes")</f>
        <v>Yes</v>
      </c>
      <c r="AD632" s="5" t="str">
        <f>IFERROR(__xludf.DUMMYFUNCTION("""COMPUTED_VALUE"""),"Yes")</f>
        <v>Yes</v>
      </c>
      <c r="AE632" s="5" t="str">
        <f>IFERROR(__xludf.DUMMYFUNCTION("""COMPUTED_VALUE"""),"Yes")</f>
        <v>Yes</v>
      </c>
      <c r="AF632" s="5" t="str">
        <f>IFERROR(__xludf.DUMMYFUNCTION("""COMPUTED_VALUE"""),"Yes")</f>
        <v>Yes</v>
      </c>
      <c r="AG632" s="5" t="str">
        <f>IFERROR(__xludf.DUMMYFUNCTION("""COMPUTED_VALUE"""),"Yes")</f>
        <v>Yes</v>
      </c>
      <c r="AH632" s="5" t="str">
        <f>IFERROR(__xludf.DUMMYFUNCTION("""COMPUTED_VALUE"""),"Yes")</f>
        <v>Yes</v>
      </c>
      <c r="AI632" s="5" t="str">
        <f>IFERROR(__xludf.DUMMYFUNCTION("""COMPUTED_VALUE"""),"No")</f>
        <v>No</v>
      </c>
      <c r="AJ632" s="5" t="str">
        <f>IFERROR(__xludf.DUMMYFUNCTION("""COMPUTED_VALUE"""),"No")</f>
        <v>No</v>
      </c>
      <c r="AK632" s="5" t="str">
        <f>IFERROR(__xludf.DUMMYFUNCTION("""COMPUTED_VALUE"""),"No")</f>
        <v>No</v>
      </c>
      <c r="AL632" s="5" t="str">
        <f>IFERROR(__xludf.DUMMYFUNCTION("""COMPUTED_VALUE"""),"No")</f>
        <v>No</v>
      </c>
      <c r="AM632" s="5"/>
      <c r="AN632" s="5"/>
      <c r="AO632" s="5"/>
      <c r="AP632" s="5"/>
      <c r="AQ632" s="5"/>
      <c r="AR632" s="5"/>
      <c r="AS632" s="5"/>
      <c r="AT632" s="5"/>
      <c r="AU632" s="5"/>
      <c r="AV632" s="5"/>
      <c r="AW632" s="5"/>
      <c r="AX632" s="5"/>
      <c r="AY632" s="5"/>
    </row>
    <row r="633">
      <c r="A633"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3" s="5">
        <f>IFERROR(__xludf.DUMMYFUNCTION("""COMPUTED_VALUE"""),668.0)</f>
        <v>668</v>
      </c>
      <c r="C633" s="5">
        <f>IFERROR(__xludf.DUMMYFUNCTION("""COMPUTED_VALUE"""),180060.0)</f>
        <v>180060</v>
      </c>
      <c r="D633" s="5" t="str">
        <f>IFERROR(__xludf.DUMMYFUNCTION("""COMPUTED_VALUE"""),"RedstoneRespinFortune")</f>
        <v>RedstoneRespinFortune</v>
      </c>
      <c r="E633" s="5" t="str">
        <f>IFERROR(__xludf.DUMMYFUNCTION("""COMPUTED_VALUE"""),"Yes")</f>
        <v>Yes</v>
      </c>
      <c r="F633" s="5" t="str">
        <f>IFERROR(__xludf.DUMMYFUNCTION("""COMPUTED_VALUE"""),"Yes")</f>
        <v>Yes</v>
      </c>
      <c r="G633" s="5" t="str">
        <f>IFERROR(__xludf.DUMMYFUNCTION("""COMPUTED_VALUE"""),"Yes")</f>
        <v>Yes</v>
      </c>
      <c r="H633" s="5" t="str">
        <f>IFERROR(__xludf.DUMMYFUNCTION("""COMPUTED_VALUE"""),"Yes")</f>
        <v>Yes</v>
      </c>
      <c r="I633" s="5" t="str">
        <f>IFERROR(__xludf.DUMMYFUNCTION("""COMPUTED_VALUE"""),"Yes")</f>
        <v>Yes</v>
      </c>
      <c r="J633" s="5" t="str">
        <f>IFERROR(__xludf.DUMMYFUNCTION("""COMPUTED_VALUE"""),"Yes")</f>
        <v>Yes</v>
      </c>
      <c r="K633" s="5" t="str">
        <f>IFERROR(__xludf.DUMMYFUNCTION("""COMPUTED_VALUE"""),"Yes")</f>
        <v>Yes</v>
      </c>
      <c r="L633" s="5" t="str">
        <f>IFERROR(__xludf.DUMMYFUNCTION("""COMPUTED_VALUE"""),"Yes")</f>
        <v>Yes</v>
      </c>
      <c r="M633" s="5" t="str">
        <f>IFERROR(__xludf.DUMMYFUNCTION("""COMPUTED_VALUE"""),"Yes")</f>
        <v>Yes</v>
      </c>
      <c r="N633" s="5" t="str">
        <f>IFERROR(__xludf.DUMMYFUNCTION("""COMPUTED_VALUE"""),"Yes")</f>
        <v>Yes</v>
      </c>
      <c r="O633" s="5" t="str">
        <f>IFERROR(__xludf.DUMMYFUNCTION("""COMPUTED_VALUE"""),"Yes")</f>
        <v>Yes</v>
      </c>
      <c r="P633" s="5" t="str">
        <f>IFERROR(__xludf.DUMMYFUNCTION("""COMPUTED_VALUE"""),"Yes")</f>
        <v>Yes</v>
      </c>
      <c r="Q633" s="5" t="str">
        <f>IFERROR(__xludf.DUMMYFUNCTION("""COMPUTED_VALUE"""),"Yes")</f>
        <v>Yes</v>
      </c>
      <c r="R633" s="5" t="str">
        <f>IFERROR(__xludf.DUMMYFUNCTION("""COMPUTED_VALUE"""),"Yes")</f>
        <v>Yes</v>
      </c>
      <c r="S633" s="5" t="str">
        <f>IFERROR(__xludf.DUMMYFUNCTION("""COMPUTED_VALUE"""),"Yes")</f>
        <v>Yes</v>
      </c>
      <c r="T633" s="5" t="str">
        <f>IFERROR(__xludf.DUMMYFUNCTION("""COMPUTED_VALUE"""),"No")</f>
        <v>No</v>
      </c>
      <c r="U633" s="5" t="str">
        <f>IFERROR(__xludf.DUMMYFUNCTION("""COMPUTED_VALUE"""),"No")</f>
        <v>No</v>
      </c>
      <c r="V633" s="5" t="str">
        <f>IFERROR(__xludf.DUMMYFUNCTION("""COMPUTED_VALUE"""),"No")</f>
        <v>No</v>
      </c>
      <c r="W633" s="5" t="str">
        <f>IFERROR(__xludf.DUMMYFUNCTION("""COMPUTED_VALUE"""),"No")</f>
        <v>No</v>
      </c>
      <c r="X633" s="5" t="str">
        <f>IFERROR(__xludf.DUMMYFUNCTION("""COMPUTED_VALUE"""),"No")</f>
        <v>No</v>
      </c>
      <c r="Y633" s="5" t="str">
        <f>IFERROR(__xludf.DUMMYFUNCTION("""COMPUTED_VALUE"""),"No")</f>
        <v>No</v>
      </c>
      <c r="Z633" s="5" t="str">
        <f>IFERROR(__xludf.DUMMYFUNCTION("""COMPUTED_VALUE"""),"No")</f>
        <v>No</v>
      </c>
      <c r="AA633" s="5" t="str">
        <f>IFERROR(__xludf.DUMMYFUNCTION("""COMPUTED_VALUE"""),"Yes")</f>
        <v>Yes</v>
      </c>
      <c r="AB633" s="5" t="str">
        <f>IFERROR(__xludf.DUMMYFUNCTION("""COMPUTED_VALUE"""),"No")</f>
        <v>No</v>
      </c>
      <c r="AC633" s="5" t="str">
        <f>IFERROR(__xludf.DUMMYFUNCTION("""COMPUTED_VALUE"""),"No")</f>
        <v>No</v>
      </c>
      <c r="AD633" s="5" t="str">
        <f>IFERROR(__xludf.DUMMYFUNCTION("""COMPUTED_VALUE"""),"No")</f>
        <v>No</v>
      </c>
      <c r="AE633" s="5" t="str">
        <f>IFERROR(__xludf.DUMMYFUNCTION("""COMPUTED_VALUE"""),"No")</f>
        <v>No</v>
      </c>
      <c r="AF633" s="5" t="str">
        <f>IFERROR(__xludf.DUMMYFUNCTION("""COMPUTED_VALUE"""),"Yes")</f>
        <v>Yes</v>
      </c>
      <c r="AG633" s="5" t="str">
        <f>IFERROR(__xludf.DUMMYFUNCTION("""COMPUTED_VALUE"""),"No")</f>
        <v>No</v>
      </c>
      <c r="AH633" s="5" t="str">
        <f>IFERROR(__xludf.DUMMYFUNCTION("""COMPUTED_VALUE"""),"Yes")</f>
        <v>Yes</v>
      </c>
      <c r="AI633" s="5" t="str">
        <f>IFERROR(__xludf.DUMMYFUNCTION("""COMPUTED_VALUE"""),"No")</f>
        <v>No</v>
      </c>
      <c r="AJ633" s="5" t="str">
        <f>IFERROR(__xludf.DUMMYFUNCTION("""COMPUTED_VALUE"""),"No")</f>
        <v>No</v>
      </c>
      <c r="AK633" s="5" t="str">
        <f>IFERROR(__xludf.DUMMYFUNCTION("""COMPUTED_VALUE"""),"No")</f>
        <v>No</v>
      </c>
      <c r="AL633" s="5" t="str">
        <f>IFERROR(__xludf.DUMMYFUNCTION("""COMPUTED_VALUE"""),"No")</f>
        <v>No</v>
      </c>
      <c r="AM633" s="5"/>
      <c r="AN633" s="5"/>
      <c r="AO633" s="5"/>
      <c r="AP633" s="5"/>
      <c r="AQ633" s="5"/>
      <c r="AR633" s="5"/>
      <c r="AS633" s="5"/>
      <c r="AT633" s="5"/>
      <c r="AU633" s="5"/>
      <c r="AV633" s="5"/>
      <c r="AW633" s="5"/>
      <c r="AX633" s="5"/>
      <c r="AY633" s="5"/>
    </row>
    <row r="634">
      <c r="A634"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4" s="5">
        <f>IFERROR(__xludf.DUMMYFUNCTION("""COMPUTED_VALUE"""),669.0)</f>
        <v>669</v>
      </c>
      <c r="C634" s="5">
        <f>IFERROR(__xludf.DUMMYFUNCTION("""COMPUTED_VALUE"""),180059.0)</f>
        <v>180059</v>
      </c>
      <c r="D634" s="5" t="str">
        <f>IFERROR(__xludf.DUMMYFUNCTION("""COMPUTED_VALUE"""),"RedstoneMultiClover5")</f>
        <v>RedstoneMultiClover5</v>
      </c>
      <c r="E634" s="5" t="str">
        <f>IFERROR(__xludf.DUMMYFUNCTION("""COMPUTED_VALUE"""),"Yes")</f>
        <v>Yes</v>
      </c>
      <c r="F634" s="5" t="str">
        <f>IFERROR(__xludf.DUMMYFUNCTION("""COMPUTED_VALUE"""),"Yes")</f>
        <v>Yes</v>
      </c>
      <c r="G634" s="5" t="str">
        <f>IFERROR(__xludf.DUMMYFUNCTION("""COMPUTED_VALUE"""),"No")</f>
        <v>No</v>
      </c>
      <c r="H634" s="5" t="str">
        <f>IFERROR(__xludf.DUMMYFUNCTION("""COMPUTED_VALUE"""),"Yes")</f>
        <v>Yes</v>
      </c>
      <c r="I634" s="5" t="str">
        <f>IFERROR(__xludf.DUMMYFUNCTION("""COMPUTED_VALUE"""),"Yes")</f>
        <v>Yes</v>
      </c>
      <c r="J634" s="5" t="str">
        <f>IFERROR(__xludf.DUMMYFUNCTION("""COMPUTED_VALUE"""),"Yes")</f>
        <v>Yes</v>
      </c>
      <c r="K634" s="5" t="str">
        <f>IFERROR(__xludf.DUMMYFUNCTION("""COMPUTED_VALUE"""),"Yes")</f>
        <v>Yes</v>
      </c>
      <c r="L634" s="5" t="str">
        <f>IFERROR(__xludf.DUMMYFUNCTION("""COMPUTED_VALUE"""),"Yes")</f>
        <v>Yes</v>
      </c>
      <c r="M634" s="5" t="str">
        <f>IFERROR(__xludf.DUMMYFUNCTION("""COMPUTED_VALUE"""),"Yes")</f>
        <v>Yes</v>
      </c>
      <c r="N634" s="5" t="str">
        <f>IFERROR(__xludf.DUMMYFUNCTION("""COMPUTED_VALUE"""),"Yes")</f>
        <v>Yes</v>
      </c>
      <c r="O634" s="5" t="str">
        <f>IFERROR(__xludf.DUMMYFUNCTION("""COMPUTED_VALUE"""),"Yes")</f>
        <v>Yes</v>
      </c>
      <c r="P634" s="5" t="str">
        <f>IFERROR(__xludf.DUMMYFUNCTION("""COMPUTED_VALUE"""),"Yes")</f>
        <v>Yes</v>
      </c>
      <c r="Q634" s="5" t="str">
        <f>IFERROR(__xludf.DUMMYFUNCTION("""COMPUTED_VALUE"""),"Yes")</f>
        <v>Yes</v>
      </c>
      <c r="R634" s="5" t="str">
        <f>IFERROR(__xludf.DUMMYFUNCTION("""COMPUTED_VALUE"""),"Yes")</f>
        <v>Yes</v>
      </c>
      <c r="S634" s="5" t="str">
        <f>IFERROR(__xludf.DUMMYFUNCTION("""COMPUTED_VALUE"""),"Yes")</f>
        <v>Yes</v>
      </c>
      <c r="T634" s="5" t="str">
        <f>IFERROR(__xludf.DUMMYFUNCTION("""COMPUTED_VALUE"""),"No")</f>
        <v>No</v>
      </c>
      <c r="U634" s="5" t="str">
        <f>IFERROR(__xludf.DUMMYFUNCTION("""COMPUTED_VALUE"""),"No")</f>
        <v>No</v>
      </c>
      <c r="V634" s="5" t="str">
        <f>IFERROR(__xludf.DUMMYFUNCTION("""COMPUTED_VALUE"""),"No")</f>
        <v>No</v>
      </c>
      <c r="W634" s="5" t="str">
        <f>IFERROR(__xludf.DUMMYFUNCTION("""COMPUTED_VALUE"""),"No")</f>
        <v>No</v>
      </c>
      <c r="X634" s="5" t="str">
        <f>IFERROR(__xludf.DUMMYFUNCTION("""COMPUTED_VALUE"""),"No")</f>
        <v>No</v>
      </c>
      <c r="Y634" s="5" t="str">
        <f>IFERROR(__xludf.DUMMYFUNCTION("""COMPUTED_VALUE"""),"No")</f>
        <v>No</v>
      </c>
      <c r="Z634" s="5" t="str">
        <f>IFERROR(__xludf.DUMMYFUNCTION("""COMPUTED_VALUE"""),"No")</f>
        <v>No</v>
      </c>
      <c r="AA634" s="5" t="str">
        <f>IFERROR(__xludf.DUMMYFUNCTION("""COMPUTED_VALUE"""),"Yes")</f>
        <v>Yes</v>
      </c>
      <c r="AB634" s="5" t="str">
        <f>IFERROR(__xludf.DUMMYFUNCTION("""COMPUTED_VALUE"""),"No")</f>
        <v>No</v>
      </c>
      <c r="AC634" s="5" t="str">
        <f>IFERROR(__xludf.DUMMYFUNCTION("""COMPUTED_VALUE"""),"No")</f>
        <v>No</v>
      </c>
      <c r="AD634" s="5" t="str">
        <f>IFERROR(__xludf.DUMMYFUNCTION("""COMPUTED_VALUE"""),"No")</f>
        <v>No</v>
      </c>
      <c r="AE634" s="5" t="str">
        <f>IFERROR(__xludf.DUMMYFUNCTION("""COMPUTED_VALUE"""),"No")</f>
        <v>No</v>
      </c>
      <c r="AF634" s="5" t="str">
        <f>IFERROR(__xludf.DUMMYFUNCTION("""COMPUTED_VALUE"""),"Yes")</f>
        <v>Yes</v>
      </c>
      <c r="AG634" s="5" t="str">
        <f>IFERROR(__xludf.DUMMYFUNCTION("""COMPUTED_VALUE"""),"No")</f>
        <v>No</v>
      </c>
      <c r="AH634" s="5" t="str">
        <f>IFERROR(__xludf.DUMMYFUNCTION("""COMPUTED_VALUE"""),"Yes")</f>
        <v>Yes</v>
      </c>
      <c r="AI634" s="5" t="str">
        <f>IFERROR(__xludf.DUMMYFUNCTION("""COMPUTED_VALUE"""),"No")</f>
        <v>No</v>
      </c>
      <c r="AJ634" s="5" t="str">
        <f>IFERROR(__xludf.DUMMYFUNCTION("""COMPUTED_VALUE"""),"No")</f>
        <v>No</v>
      </c>
      <c r="AK634" s="5" t="str">
        <f>IFERROR(__xludf.DUMMYFUNCTION("""COMPUTED_VALUE"""),"No")</f>
        <v>No</v>
      </c>
      <c r="AL634" s="5" t="str">
        <f>IFERROR(__xludf.DUMMYFUNCTION("""COMPUTED_VALUE"""),"No")</f>
        <v>No</v>
      </c>
      <c r="AM634" s="5"/>
      <c r="AN634" s="5"/>
      <c r="AO634" s="5"/>
      <c r="AP634" s="5"/>
      <c r="AQ634" s="5"/>
      <c r="AR634" s="5"/>
      <c r="AS634" s="5"/>
      <c r="AT634" s="5"/>
      <c r="AU634" s="5"/>
      <c r="AV634" s="5"/>
      <c r="AW634" s="5"/>
      <c r="AX634" s="5"/>
      <c r="AY634" s="5"/>
    </row>
    <row r="635">
      <c r="A63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5" s="5">
        <f>IFERROR(__xludf.DUMMYFUNCTION("""COMPUTED_VALUE"""),670.0)</f>
        <v>670</v>
      </c>
      <c r="C635" s="5">
        <f>IFERROR(__xludf.DUMMYFUNCTION("""COMPUTED_VALUE"""),180061.0)</f>
        <v>180061</v>
      </c>
      <c r="D635" s="5" t="str">
        <f>IFERROR(__xludf.DUMMYFUNCTION("""COMPUTED_VALUE"""),"RedstoneJokerX5")</f>
        <v>RedstoneJokerX5</v>
      </c>
      <c r="E635" s="5" t="str">
        <f>IFERROR(__xludf.DUMMYFUNCTION("""COMPUTED_VALUE"""),"Yes")</f>
        <v>Yes</v>
      </c>
      <c r="F635" s="5" t="str">
        <f>IFERROR(__xludf.DUMMYFUNCTION("""COMPUTED_VALUE"""),"Yes")</f>
        <v>Yes</v>
      </c>
      <c r="G635" s="5" t="str">
        <f>IFERROR(__xludf.DUMMYFUNCTION("""COMPUTED_VALUE"""),"Yes")</f>
        <v>Yes</v>
      </c>
      <c r="H635" s="5" t="str">
        <f>IFERROR(__xludf.DUMMYFUNCTION("""COMPUTED_VALUE"""),"Yes")</f>
        <v>Yes</v>
      </c>
      <c r="I635" s="5" t="str">
        <f>IFERROR(__xludf.DUMMYFUNCTION("""COMPUTED_VALUE"""),"Yes")</f>
        <v>Yes</v>
      </c>
      <c r="J635" s="5" t="str">
        <f>IFERROR(__xludf.DUMMYFUNCTION("""COMPUTED_VALUE"""),"Yes")</f>
        <v>Yes</v>
      </c>
      <c r="K635" s="5" t="str">
        <f>IFERROR(__xludf.DUMMYFUNCTION("""COMPUTED_VALUE"""),"Yes")</f>
        <v>Yes</v>
      </c>
      <c r="L635" s="5" t="str">
        <f>IFERROR(__xludf.DUMMYFUNCTION("""COMPUTED_VALUE"""),"Yes")</f>
        <v>Yes</v>
      </c>
      <c r="M635" s="5" t="str">
        <f>IFERROR(__xludf.DUMMYFUNCTION("""COMPUTED_VALUE"""),"Yes")</f>
        <v>Yes</v>
      </c>
      <c r="N635" s="5" t="str">
        <f>IFERROR(__xludf.DUMMYFUNCTION("""COMPUTED_VALUE"""),"Yes")</f>
        <v>Yes</v>
      </c>
      <c r="O635" s="5" t="str">
        <f>IFERROR(__xludf.DUMMYFUNCTION("""COMPUTED_VALUE"""),"Yes")</f>
        <v>Yes</v>
      </c>
      <c r="P635" s="5" t="str">
        <f>IFERROR(__xludf.DUMMYFUNCTION("""COMPUTED_VALUE"""),"Yes")</f>
        <v>Yes</v>
      </c>
      <c r="Q635" s="5" t="str">
        <f>IFERROR(__xludf.DUMMYFUNCTION("""COMPUTED_VALUE"""),"Yes")</f>
        <v>Yes</v>
      </c>
      <c r="R635" s="5" t="str">
        <f>IFERROR(__xludf.DUMMYFUNCTION("""COMPUTED_VALUE"""),"Yes")</f>
        <v>Yes</v>
      </c>
      <c r="S635" s="5" t="str">
        <f>IFERROR(__xludf.DUMMYFUNCTION("""COMPUTED_VALUE"""),"Yes")</f>
        <v>Yes</v>
      </c>
      <c r="T635" s="5" t="str">
        <f>IFERROR(__xludf.DUMMYFUNCTION("""COMPUTED_VALUE"""),"No")</f>
        <v>No</v>
      </c>
      <c r="U635" s="5" t="str">
        <f>IFERROR(__xludf.DUMMYFUNCTION("""COMPUTED_VALUE"""),"No")</f>
        <v>No</v>
      </c>
      <c r="V635" s="5" t="str">
        <f>IFERROR(__xludf.DUMMYFUNCTION("""COMPUTED_VALUE"""),"No")</f>
        <v>No</v>
      </c>
      <c r="W635" s="5" t="str">
        <f>IFERROR(__xludf.DUMMYFUNCTION("""COMPUTED_VALUE"""),"No")</f>
        <v>No</v>
      </c>
      <c r="X635" s="5" t="str">
        <f>IFERROR(__xludf.DUMMYFUNCTION("""COMPUTED_VALUE"""),"No")</f>
        <v>No</v>
      </c>
      <c r="Y635" s="5" t="str">
        <f>IFERROR(__xludf.DUMMYFUNCTION("""COMPUTED_VALUE"""),"No")</f>
        <v>No</v>
      </c>
      <c r="Z635" s="5" t="str">
        <f>IFERROR(__xludf.DUMMYFUNCTION("""COMPUTED_VALUE"""),"No")</f>
        <v>No</v>
      </c>
      <c r="AA635" s="5" t="str">
        <f>IFERROR(__xludf.DUMMYFUNCTION("""COMPUTED_VALUE"""),"Yes")</f>
        <v>Yes</v>
      </c>
      <c r="AB635" s="5" t="str">
        <f>IFERROR(__xludf.DUMMYFUNCTION("""COMPUTED_VALUE"""),"No")</f>
        <v>No</v>
      </c>
      <c r="AC635" s="5" t="str">
        <f>IFERROR(__xludf.DUMMYFUNCTION("""COMPUTED_VALUE"""),"No")</f>
        <v>No</v>
      </c>
      <c r="AD635" s="5" t="str">
        <f>IFERROR(__xludf.DUMMYFUNCTION("""COMPUTED_VALUE"""),"No")</f>
        <v>No</v>
      </c>
      <c r="AE635" s="5" t="str">
        <f>IFERROR(__xludf.DUMMYFUNCTION("""COMPUTED_VALUE"""),"No")</f>
        <v>No</v>
      </c>
      <c r="AF635" s="5" t="str">
        <f>IFERROR(__xludf.DUMMYFUNCTION("""COMPUTED_VALUE"""),"Yes")</f>
        <v>Yes</v>
      </c>
      <c r="AG635" s="5" t="str">
        <f>IFERROR(__xludf.DUMMYFUNCTION("""COMPUTED_VALUE"""),"No")</f>
        <v>No</v>
      </c>
      <c r="AH635" s="5" t="str">
        <f>IFERROR(__xludf.DUMMYFUNCTION("""COMPUTED_VALUE"""),"Yes")</f>
        <v>Yes</v>
      </c>
      <c r="AI635" s="5" t="str">
        <f>IFERROR(__xludf.DUMMYFUNCTION("""COMPUTED_VALUE"""),"No")</f>
        <v>No</v>
      </c>
      <c r="AJ635" s="5" t="str">
        <f>IFERROR(__xludf.DUMMYFUNCTION("""COMPUTED_VALUE"""),"No")</f>
        <v>No</v>
      </c>
      <c r="AK635" s="5" t="str">
        <f>IFERROR(__xludf.DUMMYFUNCTION("""COMPUTED_VALUE"""),"No")</f>
        <v>No</v>
      </c>
      <c r="AL635" s="5" t="str">
        <f>IFERROR(__xludf.DUMMYFUNCTION("""COMPUTED_VALUE"""),"No")</f>
        <v>No</v>
      </c>
      <c r="AM635" s="5"/>
      <c r="AN635" s="5"/>
      <c r="AO635" s="5"/>
      <c r="AP635" s="5"/>
      <c r="AQ635" s="5"/>
      <c r="AR635" s="5"/>
      <c r="AS635" s="5"/>
      <c r="AT635" s="5"/>
      <c r="AU635" s="5"/>
      <c r="AV635" s="5"/>
      <c r="AW635" s="5"/>
      <c r="AX635" s="5"/>
      <c r="AY635" s="5"/>
    </row>
    <row r="636">
      <c r="A636"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6" s="5">
        <f>IFERROR(__xludf.DUMMYFUNCTION("""COMPUTED_VALUE"""),671.0)</f>
        <v>671</v>
      </c>
      <c r="C636" s="5">
        <f>IFERROR(__xludf.DUMMYFUNCTION("""COMPUTED_VALUE"""),180062.0)</f>
        <v>180062</v>
      </c>
      <c r="D636" s="5" t="str">
        <f>IFERROR(__xludf.DUMMYFUNCTION("""COMPUTED_VALUE"""),"RedstoneCloverRush5")</f>
        <v>RedstoneCloverRush5</v>
      </c>
      <c r="E636" s="5" t="str">
        <f>IFERROR(__xludf.DUMMYFUNCTION("""COMPUTED_VALUE"""),"Yes")</f>
        <v>Yes</v>
      </c>
      <c r="F636" s="5" t="str">
        <f>IFERROR(__xludf.DUMMYFUNCTION("""COMPUTED_VALUE"""),"Yes")</f>
        <v>Yes</v>
      </c>
      <c r="G636" s="5" t="str">
        <f>IFERROR(__xludf.DUMMYFUNCTION("""COMPUTED_VALUE"""),"No")</f>
        <v>No</v>
      </c>
      <c r="H636" s="5" t="str">
        <f>IFERROR(__xludf.DUMMYFUNCTION("""COMPUTED_VALUE"""),"Yes")</f>
        <v>Yes</v>
      </c>
      <c r="I636" s="5" t="str">
        <f>IFERROR(__xludf.DUMMYFUNCTION("""COMPUTED_VALUE"""),"Yes")</f>
        <v>Yes</v>
      </c>
      <c r="J636" s="5" t="str">
        <f>IFERROR(__xludf.DUMMYFUNCTION("""COMPUTED_VALUE"""),"Yes")</f>
        <v>Yes</v>
      </c>
      <c r="K636" s="5" t="str">
        <f>IFERROR(__xludf.DUMMYFUNCTION("""COMPUTED_VALUE"""),"Yes")</f>
        <v>Yes</v>
      </c>
      <c r="L636" s="5" t="str">
        <f>IFERROR(__xludf.DUMMYFUNCTION("""COMPUTED_VALUE"""),"Yes")</f>
        <v>Yes</v>
      </c>
      <c r="M636" s="5" t="str">
        <f>IFERROR(__xludf.DUMMYFUNCTION("""COMPUTED_VALUE"""),"Yes")</f>
        <v>Yes</v>
      </c>
      <c r="N636" s="5" t="str">
        <f>IFERROR(__xludf.DUMMYFUNCTION("""COMPUTED_VALUE"""),"Yes")</f>
        <v>Yes</v>
      </c>
      <c r="O636" s="5" t="str">
        <f>IFERROR(__xludf.DUMMYFUNCTION("""COMPUTED_VALUE"""),"Yes")</f>
        <v>Yes</v>
      </c>
      <c r="P636" s="5" t="str">
        <f>IFERROR(__xludf.DUMMYFUNCTION("""COMPUTED_VALUE"""),"Yes")</f>
        <v>Yes</v>
      </c>
      <c r="Q636" s="5" t="str">
        <f>IFERROR(__xludf.DUMMYFUNCTION("""COMPUTED_VALUE"""),"Yes")</f>
        <v>Yes</v>
      </c>
      <c r="R636" s="5" t="str">
        <f>IFERROR(__xludf.DUMMYFUNCTION("""COMPUTED_VALUE"""),"Yes")</f>
        <v>Yes</v>
      </c>
      <c r="S636" s="5" t="str">
        <f>IFERROR(__xludf.DUMMYFUNCTION("""COMPUTED_VALUE"""),"Yes")</f>
        <v>Yes</v>
      </c>
      <c r="T636" s="5" t="str">
        <f>IFERROR(__xludf.DUMMYFUNCTION("""COMPUTED_VALUE"""),"No")</f>
        <v>No</v>
      </c>
      <c r="U636" s="5" t="str">
        <f>IFERROR(__xludf.DUMMYFUNCTION("""COMPUTED_VALUE"""),"No")</f>
        <v>No</v>
      </c>
      <c r="V636" s="5" t="str">
        <f>IFERROR(__xludf.DUMMYFUNCTION("""COMPUTED_VALUE"""),"No")</f>
        <v>No</v>
      </c>
      <c r="W636" s="5" t="str">
        <f>IFERROR(__xludf.DUMMYFUNCTION("""COMPUTED_VALUE"""),"No")</f>
        <v>No</v>
      </c>
      <c r="X636" s="5" t="str">
        <f>IFERROR(__xludf.DUMMYFUNCTION("""COMPUTED_VALUE"""),"No")</f>
        <v>No</v>
      </c>
      <c r="Y636" s="5" t="str">
        <f>IFERROR(__xludf.DUMMYFUNCTION("""COMPUTED_VALUE"""),"No")</f>
        <v>No</v>
      </c>
      <c r="Z636" s="5" t="str">
        <f>IFERROR(__xludf.DUMMYFUNCTION("""COMPUTED_VALUE"""),"No")</f>
        <v>No</v>
      </c>
      <c r="AA636" s="5" t="str">
        <f>IFERROR(__xludf.DUMMYFUNCTION("""COMPUTED_VALUE"""),"Yes")</f>
        <v>Yes</v>
      </c>
      <c r="AB636" s="5" t="str">
        <f>IFERROR(__xludf.DUMMYFUNCTION("""COMPUTED_VALUE"""),"No")</f>
        <v>No</v>
      </c>
      <c r="AC636" s="5" t="str">
        <f>IFERROR(__xludf.DUMMYFUNCTION("""COMPUTED_VALUE"""),"No")</f>
        <v>No</v>
      </c>
      <c r="AD636" s="5" t="str">
        <f>IFERROR(__xludf.DUMMYFUNCTION("""COMPUTED_VALUE"""),"No")</f>
        <v>No</v>
      </c>
      <c r="AE636" s="5" t="str">
        <f>IFERROR(__xludf.DUMMYFUNCTION("""COMPUTED_VALUE"""),"No")</f>
        <v>No</v>
      </c>
      <c r="AF636" s="5" t="str">
        <f>IFERROR(__xludf.DUMMYFUNCTION("""COMPUTED_VALUE"""),"Yes")</f>
        <v>Yes</v>
      </c>
      <c r="AG636" s="5" t="str">
        <f>IFERROR(__xludf.DUMMYFUNCTION("""COMPUTED_VALUE"""),"No")</f>
        <v>No</v>
      </c>
      <c r="AH636" s="5" t="str">
        <f>IFERROR(__xludf.DUMMYFUNCTION("""COMPUTED_VALUE"""),"Yes")</f>
        <v>Yes</v>
      </c>
      <c r="AI636" s="5" t="str">
        <f>IFERROR(__xludf.DUMMYFUNCTION("""COMPUTED_VALUE"""),"No")</f>
        <v>No</v>
      </c>
      <c r="AJ636" s="5" t="str">
        <f>IFERROR(__xludf.DUMMYFUNCTION("""COMPUTED_VALUE"""),"No")</f>
        <v>No</v>
      </c>
      <c r="AK636" s="5" t="str">
        <f>IFERROR(__xludf.DUMMYFUNCTION("""COMPUTED_VALUE"""),"No")</f>
        <v>No</v>
      </c>
      <c r="AL636" s="5" t="str">
        <f>IFERROR(__xludf.DUMMYFUNCTION("""COMPUTED_VALUE"""),"No")</f>
        <v>No</v>
      </c>
      <c r="AM636" s="5"/>
      <c r="AN636" s="5"/>
      <c r="AO636" s="5"/>
      <c r="AP636" s="5"/>
      <c r="AQ636" s="5"/>
      <c r="AR636" s="5"/>
      <c r="AS636" s="5"/>
      <c r="AT636" s="5"/>
      <c r="AU636" s="5"/>
      <c r="AV636" s="5"/>
      <c r="AW636" s="5"/>
      <c r="AX636" s="5"/>
      <c r="AY636" s="5"/>
    </row>
    <row r="637">
      <c r="A637"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7" s="5">
        <f>IFERROR(__xludf.DUMMYFUNCTION("""COMPUTED_VALUE"""),672.0)</f>
        <v>672</v>
      </c>
      <c r="C637" s="5">
        <f>IFERROR(__xludf.DUMMYFUNCTION("""COMPUTED_VALUE"""),180057.0)</f>
        <v>180057</v>
      </c>
      <c r="D637" s="5" t="str">
        <f>IFERROR(__xludf.DUMMYFUNCTION("""COMPUTED_VALUE"""),"Redstone5BellFire")</f>
        <v>Redstone5BellFire</v>
      </c>
      <c r="E637" s="5" t="str">
        <f>IFERROR(__xludf.DUMMYFUNCTION("""COMPUTED_VALUE"""),"Yes")</f>
        <v>Yes</v>
      </c>
      <c r="F637" s="5" t="str">
        <f>IFERROR(__xludf.DUMMYFUNCTION("""COMPUTED_VALUE"""),"Yes")</f>
        <v>Yes</v>
      </c>
      <c r="G637" s="5" t="str">
        <f>IFERROR(__xludf.DUMMYFUNCTION("""COMPUTED_VALUE"""),"No")</f>
        <v>No</v>
      </c>
      <c r="H637" s="5" t="str">
        <f>IFERROR(__xludf.DUMMYFUNCTION("""COMPUTED_VALUE"""),"Yes")</f>
        <v>Yes</v>
      </c>
      <c r="I637" s="5" t="str">
        <f>IFERROR(__xludf.DUMMYFUNCTION("""COMPUTED_VALUE"""),"Yes")</f>
        <v>Yes</v>
      </c>
      <c r="J637" s="5" t="str">
        <f>IFERROR(__xludf.DUMMYFUNCTION("""COMPUTED_VALUE"""),"Yes")</f>
        <v>Yes</v>
      </c>
      <c r="K637" s="5" t="str">
        <f>IFERROR(__xludf.DUMMYFUNCTION("""COMPUTED_VALUE"""),"Yes")</f>
        <v>Yes</v>
      </c>
      <c r="L637" s="5" t="str">
        <f>IFERROR(__xludf.DUMMYFUNCTION("""COMPUTED_VALUE"""),"Yes")</f>
        <v>Yes</v>
      </c>
      <c r="M637" s="5" t="str">
        <f>IFERROR(__xludf.DUMMYFUNCTION("""COMPUTED_VALUE"""),"Yes")</f>
        <v>Yes</v>
      </c>
      <c r="N637" s="5" t="str">
        <f>IFERROR(__xludf.DUMMYFUNCTION("""COMPUTED_VALUE"""),"Yes")</f>
        <v>Yes</v>
      </c>
      <c r="O637" s="5" t="str">
        <f>IFERROR(__xludf.DUMMYFUNCTION("""COMPUTED_VALUE"""),"Yes")</f>
        <v>Yes</v>
      </c>
      <c r="P637" s="5" t="str">
        <f>IFERROR(__xludf.DUMMYFUNCTION("""COMPUTED_VALUE"""),"Yes")</f>
        <v>Yes</v>
      </c>
      <c r="Q637" s="5" t="str">
        <f>IFERROR(__xludf.DUMMYFUNCTION("""COMPUTED_VALUE"""),"Yes")</f>
        <v>Yes</v>
      </c>
      <c r="R637" s="5" t="str">
        <f>IFERROR(__xludf.DUMMYFUNCTION("""COMPUTED_VALUE"""),"Yes")</f>
        <v>Yes</v>
      </c>
      <c r="S637" s="5" t="str">
        <f>IFERROR(__xludf.DUMMYFUNCTION("""COMPUTED_VALUE"""),"Yes")</f>
        <v>Yes</v>
      </c>
      <c r="T637" s="5" t="str">
        <f>IFERROR(__xludf.DUMMYFUNCTION("""COMPUTED_VALUE"""),"No")</f>
        <v>No</v>
      </c>
      <c r="U637" s="5" t="str">
        <f>IFERROR(__xludf.DUMMYFUNCTION("""COMPUTED_VALUE"""),"No")</f>
        <v>No</v>
      </c>
      <c r="V637" s="5" t="str">
        <f>IFERROR(__xludf.DUMMYFUNCTION("""COMPUTED_VALUE"""),"No")</f>
        <v>No</v>
      </c>
      <c r="W637" s="5" t="str">
        <f>IFERROR(__xludf.DUMMYFUNCTION("""COMPUTED_VALUE"""),"No")</f>
        <v>No</v>
      </c>
      <c r="X637" s="5" t="str">
        <f>IFERROR(__xludf.DUMMYFUNCTION("""COMPUTED_VALUE"""),"No")</f>
        <v>No</v>
      </c>
      <c r="Y637" s="5" t="str">
        <f>IFERROR(__xludf.DUMMYFUNCTION("""COMPUTED_VALUE"""),"No")</f>
        <v>No</v>
      </c>
      <c r="Z637" s="5" t="str">
        <f>IFERROR(__xludf.DUMMYFUNCTION("""COMPUTED_VALUE"""),"No")</f>
        <v>No</v>
      </c>
      <c r="AA637" s="5" t="str">
        <f>IFERROR(__xludf.DUMMYFUNCTION("""COMPUTED_VALUE"""),"Yes")</f>
        <v>Yes</v>
      </c>
      <c r="AB637" s="5" t="str">
        <f>IFERROR(__xludf.DUMMYFUNCTION("""COMPUTED_VALUE"""),"No")</f>
        <v>No</v>
      </c>
      <c r="AC637" s="5" t="str">
        <f>IFERROR(__xludf.DUMMYFUNCTION("""COMPUTED_VALUE"""),"No")</f>
        <v>No</v>
      </c>
      <c r="AD637" s="5" t="str">
        <f>IFERROR(__xludf.DUMMYFUNCTION("""COMPUTED_VALUE"""),"No")</f>
        <v>No</v>
      </c>
      <c r="AE637" s="5" t="str">
        <f>IFERROR(__xludf.DUMMYFUNCTION("""COMPUTED_VALUE"""),"No")</f>
        <v>No</v>
      </c>
      <c r="AF637" s="5" t="str">
        <f>IFERROR(__xludf.DUMMYFUNCTION("""COMPUTED_VALUE"""),"Yes")</f>
        <v>Yes</v>
      </c>
      <c r="AG637" s="5" t="str">
        <f>IFERROR(__xludf.DUMMYFUNCTION("""COMPUTED_VALUE"""),"No")</f>
        <v>No</v>
      </c>
      <c r="AH637" s="5" t="str">
        <f>IFERROR(__xludf.DUMMYFUNCTION("""COMPUTED_VALUE"""),"Yes")</f>
        <v>Yes</v>
      </c>
      <c r="AI637" s="5" t="str">
        <f>IFERROR(__xludf.DUMMYFUNCTION("""COMPUTED_VALUE"""),"No")</f>
        <v>No</v>
      </c>
      <c r="AJ637" s="5" t="str">
        <f>IFERROR(__xludf.DUMMYFUNCTION("""COMPUTED_VALUE"""),"No")</f>
        <v>No</v>
      </c>
      <c r="AK637" s="5" t="str">
        <f>IFERROR(__xludf.DUMMYFUNCTION("""COMPUTED_VALUE"""),"No")</f>
        <v>No</v>
      </c>
      <c r="AL637" s="5" t="str">
        <f>IFERROR(__xludf.DUMMYFUNCTION("""COMPUTED_VALUE"""),"No")</f>
        <v>No</v>
      </c>
      <c r="AM637" s="5"/>
      <c r="AN637" s="5"/>
      <c r="AO637" s="5"/>
      <c r="AP637" s="5"/>
      <c r="AQ637" s="5"/>
      <c r="AR637" s="5"/>
      <c r="AS637" s="5"/>
      <c r="AT637" s="5"/>
      <c r="AU637" s="5"/>
      <c r="AV637" s="5"/>
      <c r="AW637" s="5"/>
      <c r="AX637" s="5"/>
      <c r="AY637" s="5"/>
    </row>
    <row r="638">
      <c r="A63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8" s="5">
        <f>IFERROR(__xludf.DUMMYFUNCTION("""COMPUTED_VALUE"""),673.0)</f>
        <v>673</v>
      </c>
      <c r="C638" s="5">
        <f>IFERROR(__xludf.DUMMYFUNCTION("""COMPUTED_VALUE"""),180063.0)</f>
        <v>180063</v>
      </c>
      <c r="D638" s="5" t="str">
        <f>IFERROR(__xludf.DUMMYFUNCTION("""COMPUTED_VALUE"""),"RedstoneDiceDrop10")</f>
        <v>RedstoneDiceDrop10</v>
      </c>
      <c r="E638" s="5" t="str">
        <f>IFERROR(__xludf.DUMMYFUNCTION("""COMPUTED_VALUE"""),"Yes")</f>
        <v>Yes</v>
      </c>
      <c r="F638" s="5" t="str">
        <f>IFERROR(__xludf.DUMMYFUNCTION("""COMPUTED_VALUE"""),"Yes")</f>
        <v>Yes</v>
      </c>
      <c r="G638" s="5" t="str">
        <f>IFERROR(__xludf.DUMMYFUNCTION("""COMPUTED_VALUE"""),"No")</f>
        <v>No</v>
      </c>
      <c r="H638" s="5" t="str">
        <f>IFERROR(__xludf.DUMMYFUNCTION("""COMPUTED_VALUE"""),"Yes")</f>
        <v>Yes</v>
      </c>
      <c r="I638" s="5" t="str">
        <f>IFERROR(__xludf.DUMMYFUNCTION("""COMPUTED_VALUE"""),"Yes")</f>
        <v>Yes</v>
      </c>
      <c r="J638" s="5" t="str">
        <f>IFERROR(__xludf.DUMMYFUNCTION("""COMPUTED_VALUE"""),"Yes")</f>
        <v>Yes</v>
      </c>
      <c r="K638" s="5" t="str">
        <f>IFERROR(__xludf.DUMMYFUNCTION("""COMPUTED_VALUE"""),"Yes")</f>
        <v>Yes</v>
      </c>
      <c r="L638" s="5" t="str">
        <f>IFERROR(__xludf.DUMMYFUNCTION("""COMPUTED_VALUE"""),"Yes")</f>
        <v>Yes</v>
      </c>
      <c r="M638" s="5" t="str">
        <f>IFERROR(__xludf.DUMMYFUNCTION("""COMPUTED_VALUE"""),"Yes")</f>
        <v>Yes</v>
      </c>
      <c r="N638" s="5" t="str">
        <f>IFERROR(__xludf.DUMMYFUNCTION("""COMPUTED_VALUE"""),"Yes")</f>
        <v>Yes</v>
      </c>
      <c r="O638" s="5" t="str">
        <f>IFERROR(__xludf.DUMMYFUNCTION("""COMPUTED_VALUE"""),"Yes")</f>
        <v>Yes</v>
      </c>
      <c r="P638" s="5" t="str">
        <f>IFERROR(__xludf.DUMMYFUNCTION("""COMPUTED_VALUE"""),"Yes")</f>
        <v>Yes</v>
      </c>
      <c r="Q638" s="5" t="str">
        <f>IFERROR(__xludf.DUMMYFUNCTION("""COMPUTED_VALUE"""),"Yes")</f>
        <v>Yes</v>
      </c>
      <c r="R638" s="5" t="str">
        <f>IFERROR(__xludf.DUMMYFUNCTION("""COMPUTED_VALUE"""),"Yes")</f>
        <v>Yes</v>
      </c>
      <c r="S638" s="5" t="str">
        <f>IFERROR(__xludf.DUMMYFUNCTION("""COMPUTED_VALUE"""),"Yes")</f>
        <v>Yes</v>
      </c>
      <c r="T638" s="5" t="str">
        <f>IFERROR(__xludf.DUMMYFUNCTION("""COMPUTED_VALUE"""),"No")</f>
        <v>No</v>
      </c>
      <c r="U638" s="5" t="str">
        <f>IFERROR(__xludf.DUMMYFUNCTION("""COMPUTED_VALUE"""),"No")</f>
        <v>No</v>
      </c>
      <c r="V638" s="5" t="str">
        <f>IFERROR(__xludf.DUMMYFUNCTION("""COMPUTED_VALUE"""),"No")</f>
        <v>No</v>
      </c>
      <c r="W638" s="5" t="str">
        <f>IFERROR(__xludf.DUMMYFUNCTION("""COMPUTED_VALUE"""),"No")</f>
        <v>No</v>
      </c>
      <c r="X638" s="5" t="str">
        <f>IFERROR(__xludf.DUMMYFUNCTION("""COMPUTED_VALUE"""),"No")</f>
        <v>No</v>
      </c>
      <c r="Y638" s="5" t="str">
        <f>IFERROR(__xludf.DUMMYFUNCTION("""COMPUTED_VALUE"""),"No")</f>
        <v>No</v>
      </c>
      <c r="Z638" s="5" t="str">
        <f>IFERROR(__xludf.DUMMYFUNCTION("""COMPUTED_VALUE"""),"No")</f>
        <v>No</v>
      </c>
      <c r="AA638" s="5" t="str">
        <f>IFERROR(__xludf.DUMMYFUNCTION("""COMPUTED_VALUE"""),"Yes")</f>
        <v>Yes</v>
      </c>
      <c r="AB638" s="5" t="str">
        <f>IFERROR(__xludf.DUMMYFUNCTION("""COMPUTED_VALUE"""),"No")</f>
        <v>No</v>
      </c>
      <c r="AC638" s="5" t="str">
        <f>IFERROR(__xludf.DUMMYFUNCTION("""COMPUTED_VALUE"""),"No")</f>
        <v>No</v>
      </c>
      <c r="AD638" s="5" t="str">
        <f>IFERROR(__xludf.DUMMYFUNCTION("""COMPUTED_VALUE"""),"No")</f>
        <v>No</v>
      </c>
      <c r="AE638" s="5" t="str">
        <f>IFERROR(__xludf.DUMMYFUNCTION("""COMPUTED_VALUE"""),"No")</f>
        <v>No</v>
      </c>
      <c r="AF638" s="5" t="str">
        <f>IFERROR(__xludf.DUMMYFUNCTION("""COMPUTED_VALUE"""),"Yes")</f>
        <v>Yes</v>
      </c>
      <c r="AG638" s="5" t="str">
        <f>IFERROR(__xludf.DUMMYFUNCTION("""COMPUTED_VALUE"""),"No")</f>
        <v>No</v>
      </c>
      <c r="AH638" s="5" t="str">
        <f>IFERROR(__xludf.DUMMYFUNCTION("""COMPUTED_VALUE"""),"Yes")</f>
        <v>Yes</v>
      </c>
      <c r="AI638" s="5" t="str">
        <f>IFERROR(__xludf.DUMMYFUNCTION("""COMPUTED_VALUE"""),"No")</f>
        <v>No</v>
      </c>
      <c r="AJ638" s="5" t="str">
        <f>IFERROR(__xludf.DUMMYFUNCTION("""COMPUTED_VALUE"""),"No")</f>
        <v>No</v>
      </c>
      <c r="AK638" s="5" t="str">
        <f>IFERROR(__xludf.DUMMYFUNCTION("""COMPUTED_VALUE"""),"No")</f>
        <v>No</v>
      </c>
      <c r="AL638" s="5" t="str">
        <f>IFERROR(__xludf.DUMMYFUNCTION("""COMPUTED_VALUE"""),"No")</f>
        <v>No</v>
      </c>
      <c r="AM638" s="5"/>
      <c r="AN638" s="5"/>
      <c r="AO638" s="5"/>
      <c r="AP638" s="5"/>
      <c r="AQ638" s="5"/>
      <c r="AR638" s="5"/>
      <c r="AS638" s="5"/>
      <c r="AT638" s="5"/>
      <c r="AU638" s="5"/>
      <c r="AV638" s="5"/>
      <c r="AW638" s="5"/>
      <c r="AX638" s="5"/>
      <c r="AY638" s="5"/>
    </row>
    <row r="639">
      <c r="A63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9" s="5">
        <f>IFERROR(__xludf.DUMMYFUNCTION("""COMPUTED_VALUE"""),674.0)</f>
        <v>674</v>
      </c>
      <c r="C639" s="5">
        <f>IFERROR(__xludf.DUMMYFUNCTION("""COMPUTED_VALUE"""),180064.0)</f>
        <v>180064</v>
      </c>
      <c r="D639" s="5" t="str">
        <f>IFERROR(__xludf.DUMMYFUNCTION("""COMPUTED_VALUE"""),"RedstoneLunarCoins")</f>
        <v>RedstoneLunarCoins</v>
      </c>
      <c r="E639" s="5" t="str">
        <f>IFERROR(__xludf.DUMMYFUNCTION("""COMPUTED_VALUE"""),"Yes")</f>
        <v>Yes</v>
      </c>
      <c r="F639" s="5" t="str">
        <f>IFERROR(__xludf.DUMMYFUNCTION("""COMPUTED_VALUE"""),"Yes")</f>
        <v>Yes</v>
      </c>
      <c r="G639" s="5" t="str">
        <f>IFERROR(__xludf.DUMMYFUNCTION("""COMPUTED_VALUE"""),"No")</f>
        <v>No</v>
      </c>
      <c r="H639" s="5" t="str">
        <f>IFERROR(__xludf.DUMMYFUNCTION("""COMPUTED_VALUE"""),"Yes")</f>
        <v>Yes</v>
      </c>
      <c r="I639" s="5" t="str">
        <f>IFERROR(__xludf.DUMMYFUNCTION("""COMPUTED_VALUE"""),"Yes")</f>
        <v>Yes</v>
      </c>
      <c r="J639" s="5" t="str">
        <f>IFERROR(__xludf.DUMMYFUNCTION("""COMPUTED_VALUE"""),"Yes")</f>
        <v>Yes</v>
      </c>
      <c r="K639" s="5" t="str">
        <f>IFERROR(__xludf.DUMMYFUNCTION("""COMPUTED_VALUE"""),"Yes")</f>
        <v>Yes</v>
      </c>
      <c r="L639" s="5" t="str">
        <f>IFERROR(__xludf.DUMMYFUNCTION("""COMPUTED_VALUE"""),"Yes")</f>
        <v>Yes</v>
      </c>
      <c r="M639" s="5" t="str">
        <f>IFERROR(__xludf.DUMMYFUNCTION("""COMPUTED_VALUE"""),"Yes")</f>
        <v>Yes</v>
      </c>
      <c r="N639" s="5" t="str">
        <f>IFERROR(__xludf.DUMMYFUNCTION("""COMPUTED_VALUE"""),"Yes")</f>
        <v>Yes</v>
      </c>
      <c r="O639" s="5" t="str">
        <f>IFERROR(__xludf.DUMMYFUNCTION("""COMPUTED_VALUE"""),"Yes")</f>
        <v>Yes</v>
      </c>
      <c r="P639" s="5" t="str">
        <f>IFERROR(__xludf.DUMMYFUNCTION("""COMPUTED_VALUE"""),"Yes")</f>
        <v>Yes</v>
      </c>
      <c r="Q639" s="5" t="str">
        <f>IFERROR(__xludf.DUMMYFUNCTION("""COMPUTED_VALUE"""),"Yes")</f>
        <v>Yes</v>
      </c>
      <c r="R639" s="5" t="str">
        <f>IFERROR(__xludf.DUMMYFUNCTION("""COMPUTED_VALUE"""),"Yes")</f>
        <v>Yes</v>
      </c>
      <c r="S639" s="5" t="str">
        <f>IFERROR(__xludf.DUMMYFUNCTION("""COMPUTED_VALUE"""),"Yes")</f>
        <v>Yes</v>
      </c>
      <c r="T639" s="5" t="str">
        <f>IFERROR(__xludf.DUMMYFUNCTION("""COMPUTED_VALUE"""),"No")</f>
        <v>No</v>
      </c>
      <c r="U639" s="5" t="str">
        <f>IFERROR(__xludf.DUMMYFUNCTION("""COMPUTED_VALUE"""),"No")</f>
        <v>No</v>
      </c>
      <c r="V639" s="5" t="str">
        <f>IFERROR(__xludf.DUMMYFUNCTION("""COMPUTED_VALUE"""),"No")</f>
        <v>No</v>
      </c>
      <c r="W639" s="5" t="str">
        <f>IFERROR(__xludf.DUMMYFUNCTION("""COMPUTED_VALUE"""),"No")</f>
        <v>No</v>
      </c>
      <c r="X639" s="5" t="str">
        <f>IFERROR(__xludf.DUMMYFUNCTION("""COMPUTED_VALUE"""),"No")</f>
        <v>No</v>
      </c>
      <c r="Y639" s="5" t="str">
        <f>IFERROR(__xludf.DUMMYFUNCTION("""COMPUTED_VALUE"""),"No")</f>
        <v>No</v>
      </c>
      <c r="Z639" s="5" t="str">
        <f>IFERROR(__xludf.DUMMYFUNCTION("""COMPUTED_VALUE"""),"No")</f>
        <v>No</v>
      </c>
      <c r="AA639" s="5" t="str">
        <f>IFERROR(__xludf.DUMMYFUNCTION("""COMPUTED_VALUE"""),"Yes")</f>
        <v>Yes</v>
      </c>
      <c r="AB639" s="5" t="str">
        <f>IFERROR(__xludf.DUMMYFUNCTION("""COMPUTED_VALUE"""),"No")</f>
        <v>No</v>
      </c>
      <c r="AC639" s="5" t="str">
        <f>IFERROR(__xludf.DUMMYFUNCTION("""COMPUTED_VALUE"""),"No")</f>
        <v>No</v>
      </c>
      <c r="AD639" s="5" t="str">
        <f>IFERROR(__xludf.DUMMYFUNCTION("""COMPUTED_VALUE"""),"No")</f>
        <v>No</v>
      </c>
      <c r="AE639" s="5" t="str">
        <f>IFERROR(__xludf.DUMMYFUNCTION("""COMPUTED_VALUE"""),"No")</f>
        <v>No</v>
      </c>
      <c r="AF639" s="5" t="str">
        <f>IFERROR(__xludf.DUMMYFUNCTION("""COMPUTED_VALUE"""),"Yes")</f>
        <v>Yes</v>
      </c>
      <c r="AG639" s="5" t="str">
        <f>IFERROR(__xludf.DUMMYFUNCTION("""COMPUTED_VALUE"""),"No")</f>
        <v>No</v>
      </c>
      <c r="AH639" s="5" t="str">
        <f>IFERROR(__xludf.DUMMYFUNCTION("""COMPUTED_VALUE"""),"Yes")</f>
        <v>Yes</v>
      </c>
      <c r="AI639" s="5" t="str">
        <f>IFERROR(__xludf.DUMMYFUNCTION("""COMPUTED_VALUE"""),"No")</f>
        <v>No</v>
      </c>
      <c r="AJ639" s="5" t="str">
        <f>IFERROR(__xludf.DUMMYFUNCTION("""COMPUTED_VALUE"""),"No")</f>
        <v>No</v>
      </c>
      <c r="AK639" s="5" t="str">
        <f>IFERROR(__xludf.DUMMYFUNCTION("""COMPUTED_VALUE"""),"No")</f>
        <v>No</v>
      </c>
      <c r="AL639" s="5" t="str">
        <f>IFERROR(__xludf.DUMMYFUNCTION("""COMPUTED_VALUE"""),"No")</f>
        <v>No</v>
      </c>
      <c r="AM639" s="5"/>
      <c r="AN639" s="5"/>
      <c r="AO639" s="5"/>
      <c r="AP639" s="5"/>
      <c r="AQ639" s="5"/>
      <c r="AR639" s="5"/>
      <c r="AS639" s="5"/>
      <c r="AT639" s="5"/>
      <c r="AU639" s="5"/>
      <c r="AV639" s="5"/>
      <c r="AW639" s="5"/>
      <c r="AX639" s="5"/>
      <c r="AY639" s="5"/>
    </row>
    <row r="640">
      <c r="A64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40" s="5">
        <f>IFERROR(__xludf.DUMMYFUNCTION("""COMPUTED_VALUE"""),675.0)</f>
        <v>675</v>
      </c>
      <c r="C640" s="5">
        <f>IFERROR(__xludf.DUMMYFUNCTION("""COMPUTED_VALUE"""),180058.0)</f>
        <v>180058</v>
      </c>
      <c r="D640" s="5" t="str">
        <f>IFERROR(__xludf.DUMMYFUNCTION("""COMPUTED_VALUE"""),"Redstone5CloverFireBlast")</f>
        <v>Redstone5CloverFireBlast</v>
      </c>
      <c r="E640" s="5" t="str">
        <f>IFERROR(__xludf.DUMMYFUNCTION("""COMPUTED_VALUE"""),"Yes")</f>
        <v>Yes</v>
      </c>
      <c r="F640" s="5" t="str">
        <f>IFERROR(__xludf.DUMMYFUNCTION("""COMPUTED_VALUE"""),"Yes")</f>
        <v>Yes</v>
      </c>
      <c r="G640" s="5" t="str">
        <f>IFERROR(__xludf.DUMMYFUNCTION("""COMPUTED_VALUE"""),"No")</f>
        <v>No</v>
      </c>
      <c r="H640" s="5" t="str">
        <f>IFERROR(__xludf.DUMMYFUNCTION("""COMPUTED_VALUE"""),"Yes")</f>
        <v>Yes</v>
      </c>
      <c r="I640" s="5" t="str">
        <f>IFERROR(__xludf.DUMMYFUNCTION("""COMPUTED_VALUE"""),"Yes")</f>
        <v>Yes</v>
      </c>
      <c r="J640" s="5" t="str">
        <f>IFERROR(__xludf.DUMMYFUNCTION("""COMPUTED_VALUE"""),"Yes")</f>
        <v>Yes</v>
      </c>
      <c r="K640" s="5" t="str">
        <f>IFERROR(__xludf.DUMMYFUNCTION("""COMPUTED_VALUE"""),"Yes")</f>
        <v>Yes</v>
      </c>
      <c r="L640" s="5" t="str">
        <f>IFERROR(__xludf.DUMMYFUNCTION("""COMPUTED_VALUE"""),"Yes")</f>
        <v>Yes</v>
      </c>
      <c r="M640" s="5" t="str">
        <f>IFERROR(__xludf.DUMMYFUNCTION("""COMPUTED_VALUE"""),"Yes")</f>
        <v>Yes</v>
      </c>
      <c r="N640" s="5" t="str">
        <f>IFERROR(__xludf.DUMMYFUNCTION("""COMPUTED_VALUE"""),"Yes")</f>
        <v>Yes</v>
      </c>
      <c r="O640" s="5" t="str">
        <f>IFERROR(__xludf.DUMMYFUNCTION("""COMPUTED_VALUE"""),"Yes")</f>
        <v>Yes</v>
      </c>
      <c r="P640" s="5" t="str">
        <f>IFERROR(__xludf.DUMMYFUNCTION("""COMPUTED_VALUE"""),"Yes")</f>
        <v>Yes</v>
      </c>
      <c r="Q640" s="5" t="str">
        <f>IFERROR(__xludf.DUMMYFUNCTION("""COMPUTED_VALUE"""),"Yes")</f>
        <v>Yes</v>
      </c>
      <c r="R640" s="5" t="str">
        <f>IFERROR(__xludf.DUMMYFUNCTION("""COMPUTED_VALUE"""),"Yes")</f>
        <v>Yes</v>
      </c>
      <c r="S640" s="5" t="str">
        <f>IFERROR(__xludf.DUMMYFUNCTION("""COMPUTED_VALUE"""),"Yes")</f>
        <v>Yes</v>
      </c>
      <c r="T640" s="5" t="str">
        <f>IFERROR(__xludf.DUMMYFUNCTION("""COMPUTED_VALUE"""),"No")</f>
        <v>No</v>
      </c>
      <c r="U640" s="5" t="str">
        <f>IFERROR(__xludf.DUMMYFUNCTION("""COMPUTED_VALUE"""),"No")</f>
        <v>No</v>
      </c>
      <c r="V640" s="5" t="str">
        <f>IFERROR(__xludf.DUMMYFUNCTION("""COMPUTED_VALUE"""),"No")</f>
        <v>No</v>
      </c>
      <c r="W640" s="5" t="str">
        <f>IFERROR(__xludf.DUMMYFUNCTION("""COMPUTED_VALUE"""),"No")</f>
        <v>No</v>
      </c>
      <c r="X640" s="5" t="str">
        <f>IFERROR(__xludf.DUMMYFUNCTION("""COMPUTED_VALUE"""),"No")</f>
        <v>No</v>
      </c>
      <c r="Y640" s="5" t="str">
        <f>IFERROR(__xludf.DUMMYFUNCTION("""COMPUTED_VALUE"""),"No")</f>
        <v>No</v>
      </c>
      <c r="Z640" s="5" t="str">
        <f>IFERROR(__xludf.DUMMYFUNCTION("""COMPUTED_VALUE"""),"No")</f>
        <v>No</v>
      </c>
      <c r="AA640" s="5" t="str">
        <f>IFERROR(__xludf.DUMMYFUNCTION("""COMPUTED_VALUE"""),"Yes")</f>
        <v>Yes</v>
      </c>
      <c r="AB640" s="5" t="str">
        <f>IFERROR(__xludf.DUMMYFUNCTION("""COMPUTED_VALUE"""),"No")</f>
        <v>No</v>
      </c>
      <c r="AC640" s="5" t="str">
        <f>IFERROR(__xludf.DUMMYFUNCTION("""COMPUTED_VALUE"""),"No")</f>
        <v>No</v>
      </c>
      <c r="AD640" s="5" t="str">
        <f>IFERROR(__xludf.DUMMYFUNCTION("""COMPUTED_VALUE"""),"No")</f>
        <v>No</v>
      </c>
      <c r="AE640" s="5" t="str">
        <f>IFERROR(__xludf.DUMMYFUNCTION("""COMPUTED_VALUE"""),"No")</f>
        <v>No</v>
      </c>
      <c r="AF640" s="5" t="str">
        <f>IFERROR(__xludf.DUMMYFUNCTION("""COMPUTED_VALUE"""),"Yes")</f>
        <v>Yes</v>
      </c>
      <c r="AG640" s="5" t="str">
        <f>IFERROR(__xludf.DUMMYFUNCTION("""COMPUTED_VALUE"""),"No")</f>
        <v>No</v>
      </c>
      <c r="AH640" s="5" t="str">
        <f>IFERROR(__xludf.DUMMYFUNCTION("""COMPUTED_VALUE"""),"Yes")</f>
        <v>Yes</v>
      </c>
      <c r="AI640" s="5" t="str">
        <f>IFERROR(__xludf.DUMMYFUNCTION("""COMPUTED_VALUE"""),"No")</f>
        <v>No</v>
      </c>
      <c r="AJ640" s="5" t="str">
        <f>IFERROR(__xludf.DUMMYFUNCTION("""COMPUTED_VALUE"""),"No")</f>
        <v>No</v>
      </c>
      <c r="AK640" s="5" t="str">
        <f>IFERROR(__xludf.DUMMYFUNCTION("""COMPUTED_VALUE"""),"No")</f>
        <v>No</v>
      </c>
      <c r="AL640" s="5" t="str">
        <f>IFERROR(__xludf.DUMMYFUNCTION("""COMPUTED_VALUE"""),"No")</f>
        <v>No</v>
      </c>
      <c r="AM640" s="5"/>
      <c r="AN640" s="5"/>
      <c r="AO640" s="5"/>
      <c r="AP640" s="5"/>
      <c r="AQ640" s="5"/>
      <c r="AR640" s="5"/>
      <c r="AS640" s="5"/>
      <c r="AT640" s="5"/>
      <c r="AU640" s="5"/>
      <c r="AV640" s="5"/>
      <c r="AW640" s="5"/>
      <c r="AX640" s="5"/>
      <c r="AY640" s="5"/>
    </row>
    <row r="641">
      <c r="A641"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41" s="5">
        <f>IFERROR(__xludf.DUMMYFUNCTION("""COMPUTED_VALUE"""),676.0)</f>
        <v>676</v>
      </c>
      <c r="C641" s="5">
        <f>IFERROR(__xludf.DUMMYFUNCTION("""COMPUTED_VALUE"""),531.0)</f>
        <v>531</v>
      </c>
      <c r="D641" s="5" t="str">
        <f>IFERROR(__xludf.DUMMYFUNCTION("""COMPUTED_VALUE"""),"PlayNetMajesticCrownEaster")</f>
        <v>PlayNetMajesticCrownEaster</v>
      </c>
      <c r="E641" s="5" t="str">
        <f>IFERROR(__xludf.DUMMYFUNCTION("""COMPUTED_VALUE"""),"Yes")</f>
        <v>Yes</v>
      </c>
      <c r="F641" s="5" t="str">
        <f>IFERROR(__xludf.DUMMYFUNCTION("""COMPUTED_VALUE"""),"Yes")</f>
        <v>Yes</v>
      </c>
      <c r="G641" s="5" t="str">
        <f>IFERROR(__xludf.DUMMYFUNCTION("""COMPUTED_VALUE"""),"Yes")</f>
        <v>Yes</v>
      </c>
      <c r="H641" s="5" t="str">
        <f>IFERROR(__xludf.DUMMYFUNCTION("""COMPUTED_VALUE"""),"Yes")</f>
        <v>Yes</v>
      </c>
      <c r="I641" s="5" t="str">
        <f>IFERROR(__xludf.DUMMYFUNCTION("""COMPUTED_VALUE"""),"Yes")</f>
        <v>Yes</v>
      </c>
      <c r="J641" s="5" t="str">
        <f>IFERROR(__xludf.DUMMYFUNCTION("""COMPUTED_VALUE"""),"Yes")</f>
        <v>Yes</v>
      </c>
      <c r="K641" s="5" t="str">
        <f>IFERROR(__xludf.DUMMYFUNCTION("""COMPUTED_VALUE"""),"Yes")</f>
        <v>Yes</v>
      </c>
      <c r="L641" s="5" t="str">
        <f>IFERROR(__xludf.DUMMYFUNCTION("""COMPUTED_VALUE"""),"Yes")</f>
        <v>Yes</v>
      </c>
      <c r="M641" s="5" t="str">
        <f>IFERROR(__xludf.DUMMYFUNCTION("""COMPUTED_VALUE"""),"Yes")</f>
        <v>Yes</v>
      </c>
      <c r="N641" s="5" t="str">
        <f>IFERROR(__xludf.DUMMYFUNCTION("""COMPUTED_VALUE"""),"Yes")</f>
        <v>Yes</v>
      </c>
      <c r="O641" s="5" t="str">
        <f>IFERROR(__xludf.DUMMYFUNCTION("""COMPUTED_VALUE"""),"Yes")</f>
        <v>Yes</v>
      </c>
      <c r="P641" s="5" t="str">
        <f>IFERROR(__xludf.DUMMYFUNCTION("""COMPUTED_VALUE"""),"Yes")</f>
        <v>Yes</v>
      </c>
      <c r="Q641" s="5" t="str">
        <f>IFERROR(__xludf.DUMMYFUNCTION("""COMPUTED_VALUE"""),"Yes")</f>
        <v>Yes</v>
      </c>
      <c r="R641" s="5" t="str">
        <f>IFERROR(__xludf.DUMMYFUNCTION("""COMPUTED_VALUE"""),"Yes")</f>
        <v>Yes</v>
      </c>
      <c r="S641" s="5" t="str">
        <f>IFERROR(__xludf.DUMMYFUNCTION("""COMPUTED_VALUE"""),"Yes")</f>
        <v>Yes</v>
      </c>
      <c r="T641" s="5" t="str">
        <f>IFERROR(__xludf.DUMMYFUNCTION("""COMPUTED_VALUE"""),"No")</f>
        <v>No</v>
      </c>
      <c r="U641" s="5" t="str">
        <f>IFERROR(__xludf.DUMMYFUNCTION("""COMPUTED_VALUE"""),"No")</f>
        <v>No</v>
      </c>
      <c r="V641" s="5" t="str">
        <f>IFERROR(__xludf.DUMMYFUNCTION("""COMPUTED_VALUE"""),"No")</f>
        <v>No</v>
      </c>
      <c r="W641" s="5" t="str">
        <f>IFERROR(__xludf.DUMMYFUNCTION("""COMPUTED_VALUE"""),"No")</f>
        <v>No</v>
      </c>
      <c r="X641" s="5" t="str">
        <f>IFERROR(__xludf.DUMMYFUNCTION("""COMPUTED_VALUE"""),"No")</f>
        <v>No</v>
      </c>
      <c r="Y641" s="5" t="str">
        <f>IFERROR(__xludf.DUMMYFUNCTION("""COMPUTED_VALUE"""),"No")</f>
        <v>No</v>
      </c>
      <c r="Z641" s="5" t="str">
        <f>IFERROR(__xludf.DUMMYFUNCTION("""COMPUTED_VALUE"""),"No")</f>
        <v>No</v>
      </c>
      <c r="AA641" s="5" t="str">
        <f>IFERROR(__xludf.DUMMYFUNCTION("""COMPUTED_VALUE"""),"Yes")</f>
        <v>Yes</v>
      </c>
      <c r="AB641" s="5" t="str">
        <f>IFERROR(__xludf.DUMMYFUNCTION("""COMPUTED_VALUE"""),"No")</f>
        <v>No</v>
      </c>
      <c r="AC641" s="5" t="str">
        <f>IFERROR(__xludf.DUMMYFUNCTION("""COMPUTED_VALUE"""),"No")</f>
        <v>No</v>
      </c>
      <c r="AD641" s="5" t="str">
        <f>IFERROR(__xludf.DUMMYFUNCTION("""COMPUTED_VALUE"""),"No")</f>
        <v>No</v>
      </c>
      <c r="AE641" s="5" t="str">
        <f>IFERROR(__xludf.DUMMYFUNCTION("""COMPUTED_VALUE"""),"No")</f>
        <v>No</v>
      </c>
      <c r="AF641" s="5" t="str">
        <f>IFERROR(__xludf.DUMMYFUNCTION("""COMPUTED_VALUE"""),"Yes")</f>
        <v>Yes</v>
      </c>
      <c r="AG641" s="5" t="str">
        <f>IFERROR(__xludf.DUMMYFUNCTION("""COMPUTED_VALUE"""),"No")</f>
        <v>No</v>
      </c>
      <c r="AH641" s="5" t="str">
        <f>IFERROR(__xludf.DUMMYFUNCTION("""COMPUTED_VALUE"""),"Yes")</f>
        <v>Yes</v>
      </c>
      <c r="AI641" s="5" t="str">
        <f>IFERROR(__xludf.DUMMYFUNCTION("""COMPUTED_VALUE"""),"No")</f>
        <v>No</v>
      </c>
      <c r="AJ641" s="5" t="str">
        <f>IFERROR(__xludf.DUMMYFUNCTION("""COMPUTED_VALUE"""),"No")</f>
        <v>No</v>
      </c>
      <c r="AK641" s="5" t="str">
        <f>IFERROR(__xludf.DUMMYFUNCTION("""COMPUTED_VALUE"""),"No")</f>
        <v>No</v>
      </c>
      <c r="AL641" s="5" t="str">
        <f>IFERROR(__xludf.DUMMYFUNCTION("""COMPUTED_VALUE"""),"No")</f>
        <v>No</v>
      </c>
      <c r="AM641" s="5"/>
      <c r="AN641" s="5"/>
      <c r="AO641" s="5"/>
      <c r="AP641" s="5"/>
      <c r="AQ641" s="5"/>
      <c r="AR641" s="5"/>
      <c r="AS641" s="5"/>
      <c r="AT641" s="5"/>
      <c r="AU641" s="5"/>
      <c r="AV641" s="5"/>
      <c r="AW641" s="5"/>
      <c r="AX641" s="5"/>
      <c r="AY641" s="5"/>
    </row>
    <row r="642">
      <c r="A64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42" s="5">
        <f>IFERROR(__xludf.DUMMYFUNCTION("""COMPUTED_VALUE"""),677.0)</f>
        <v>677</v>
      </c>
      <c r="C642" s="5">
        <f>IFERROR(__xludf.DUMMYFUNCTION("""COMPUTED_VALUE"""),532.0)</f>
        <v>532</v>
      </c>
      <c r="D642" s="5" t="str">
        <f>IFERROR(__xludf.DUMMYFUNCTION("""COMPUTED_VALUE"""),"PlayNetTropicTwist")</f>
        <v>PlayNetTropicTwist</v>
      </c>
      <c r="E642" s="5" t="str">
        <f>IFERROR(__xludf.DUMMYFUNCTION("""COMPUTED_VALUE"""),"Yes")</f>
        <v>Yes</v>
      </c>
      <c r="F642" s="5" t="str">
        <f>IFERROR(__xludf.DUMMYFUNCTION("""COMPUTED_VALUE"""),"Yes")</f>
        <v>Yes</v>
      </c>
      <c r="G642" s="5" t="str">
        <f>IFERROR(__xludf.DUMMYFUNCTION("""COMPUTED_VALUE"""),"Yes")</f>
        <v>Yes</v>
      </c>
      <c r="H642" s="5" t="str">
        <f>IFERROR(__xludf.DUMMYFUNCTION("""COMPUTED_VALUE"""),"Yes")</f>
        <v>Yes</v>
      </c>
      <c r="I642" s="5" t="str">
        <f>IFERROR(__xludf.DUMMYFUNCTION("""COMPUTED_VALUE"""),"Yes")</f>
        <v>Yes</v>
      </c>
      <c r="J642" s="5" t="str">
        <f>IFERROR(__xludf.DUMMYFUNCTION("""COMPUTED_VALUE"""),"Yes")</f>
        <v>Yes</v>
      </c>
      <c r="K642" s="5" t="str">
        <f>IFERROR(__xludf.DUMMYFUNCTION("""COMPUTED_VALUE"""),"Yes")</f>
        <v>Yes</v>
      </c>
      <c r="L642" s="5" t="str">
        <f>IFERROR(__xludf.DUMMYFUNCTION("""COMPUTED_VALUE"""),"Yes")</f>
        <v>Yes</v>
      </c>
      <c r="M642" s="5" t="str">
        <f>IFERROR(__xludf.DUMMYFUNCTION("""COMPUTED_VALUE"""),"Yes")</f>
        <v>Yes</v>
      </c>
      <c r="N642" s="5" t="str">
        <f>IFERROR(__xludf.DUMMYFUNCTION("""COMPUTED_VALUE"""),"Yes")</f>
        <v>Yes</v>
      </c>
      <c r="O642" s="5" t="str">
        <f>IFERROR(__xludf.DUMMYFUNCTION("""COMPUTED_VALUE"""),"Yes")</f>
        <v>Yes</v>
      </c>
      <c r="P642" s="5" t="str">
        <f>IFERROR(__xludf.DUMMYFUNCTION("""COMPUTED_VALUE"""),"Yes")</f>
        <v>Yes</v>
      </c>
      <c r="Q642" s="5" t="str">
        <f>IFERROR(__xludf.DUMMYFUNCTION("""COMPUTED_VALUE"""),"Yes")</f>
        <v>Yes</v>
      </c>
      <c r="R642" s="5" t="str">
        <f>IFERROR(__xludf.DUMMYFUNCTION("""COMPUTED_VALUE"""),"Yes")</f>
        <v>Yes</v>
      </c>
      <c r="S642" s="5" t="str">
        <f>IFERROR(__xludf.DUMMYFUNCTION("""COMPUTED_VALUE"""),"Yes")</f>
        <v>Yes</v>
      </c>
      <c r="T642" s="5"/>
      <c r="U642" s="5"/>
      <c r="V642" s="5"/>
      <c r="W642" s="5"/>
      <c r="X642" s="5"/>
      <c r="Y642" s="5"/>
      <c r="Z642" s="5"/>
      <c r="AA642" s="5"/>
      <c r="AB642" s="5"/>
      <c r="AC642" s="5"/>
      <c r="AD642" s="5"/>
      <c r="AE642" s="5"/>
      <c r="AF642" s="5" t="str">
        <f>IFERROR(__xludf.DUMMYFUNCTION("""COMPUTED_VALUE"""),"Yes")</f>
        <v>Yes</v>
      </c>
      <c r="AG642" s="5"/>
      <c r="AH642" s="5" t="str">
        <f>IFERROR(__xludf.DUMMYFUNCTION("""COMPUTED_VALUE"""),"Yes")</f>
        <v>Yes</v>
      </c>
      <c r="AI642" s="5"/>
      <c r="AJ642" s="5"/>
      <c r="AK642" s="5"/>
      <c r="AL642" s="5"/>
      <c r="AM642" s="5"/>
      <c r="AN642" s="5"/>
      <c r="AO642" s="5"/>
      <c r="AP642" s="5"/>
      <c r="AQ642" s="5"/>
      <c r="AR642" s="5"/>
      <c r="AS642" s="5"/>
      <c r="AT642" s="5"/>
      <c r="AU642" s="5"/>
      <c r="AV642" s="5"/>
      <c r="AW642" s="5"/>
      <c r="AX642" s="5"/>
      <c r="AY642" s="5"/>
    </row>
    <row r="643">
      <c r="A643" s="5" t="str">
        <f>IFERROR(__xludf.DUMMYFUNCTION("""COMPUTED_VALUE"""),"English(""eng""), Serbian(""""srp"",""srb""""), Bulgarian(""bul""), Spanish(""spa""), Portuguese(""por""), Romanian(""rum/ron""), Croatian(""hrv""), French(""fre/fra""), German(""ger/deu""), Dutch(""dut/nld""), Turkish(""tur""), Greek(""gre/ell""), Russia"&amp;"n(""rus""), Swahili(""swa""), Ukrainian(""ukr""), Chinese(""zho/chi"")")</f>
        <v>English("eng"), Serbian(""srp","srb""), Bulgarian("bul"), Spanish("spa"), Portuguese("por"), Romanian("rum/ron"), Croatian("hrv"), French("fre/fra"), German("ger/deu"), Dutch("dut/nld"), Turkish("tur"), Greek("gre/ell"), Russian("rus"), Swahili("swa"), Ukrainian("ukr"), Chinese("zho/chi")</v>
      </c>
      <c r="B643" s="5">
        <f>IFERROR(__xludf.DUMMYFUNCTION("""COMPUTED_VALUE"""),678.0)</f>
        <v>678</v>
      </c>
      <c r="C643" s="5">
        <f>IFERROR(__xludf.DUMMYFUNCTION("""COMPUTED_VALUE"""),4000002.0)</f>
        <v>4000002</v>
      </c>
      <c r="D643" s="5" t="str">
        <f>IFERROR(__xludf.DUMMYFUNCTION("""COMPUTED_VALUE"""),"UnicornSuperDiceRunner")</f>
        <v>UnicornSuperDiceRunner</v>
      </c>
      <c r="E643" s="5" t="str">
        <f>IFERROR(__xludf.DUMMYFUNCTION("""COMPUTED_VALUE"""),"Yes")</f>
        <v>Yes</v>
      </c>
      <c r="F643" s="5" t="str">
        <f>IFERROR(__xludf.DUMMYFUNCTION("""COMPUTED_VALUE"""),"Yes")</f>
        <v>Yes</v>
      </c>
      <c r="G643" s="5" t="str">
        <f>IFERROR(__xludf.DUMMYFUNCTION("""COMPUTED_VALUE"""),"No")</f>
        <v>No</v>
      </c>
      <c r="H643" s="5" t="str">
        <f>IFERROR(__xludf.DUMMYFUNCTION("""COMPUTED_VALUE"""),"Yes")</f>
        <v>Yes</v>
      </c>
      <c r="I643" s="5" t="str">
        <f>IFERROR(__xludf.DUMMYFUNCTION("""COMPUTED_VALUE"""),"Yes")</f>
        <v>Yes</v>
      </c>
      <c r="J643" s="5" t="str">
        <f>IFERROR(__xludf.DUMMYFUNCTION("""COMPUTED_VALUE"""),"Yes")</f>
        <v>Yes</v>
      </c>
      <c r="K643" s="5"/>
      <c r="L643" s="5" t="str">
        <f>IFERROR(__xludf.DUMMYFUNCTION("""COMPUTED_VALUE"""),"Yes")</f>
        <v>Yes</v>
      </c>
      <c r="M643" s="5" t="str">
        <f>IFERROR(__xludf.DUMMYFUNCTION("""COMPUTED_VALUE"""),"Yes")</f>
        <v>Yes</v>
      </c>
      <c r="N643" s="5" t="str">
        <f>IFERROR(__xludf.DUMMYFUNCTION("""COMPUTED_VALUE"""),"Yes")</f>
        <v>Yes</v>
      </c>
      <c r="O643" s="5" t="str">
        <f>IFERROR(__xludf.DUMMYFUNCTION("""COMPUTED_VALUE"""),"Yes")</f>
        <v>Yes</v>
      </c>
      <c r="P643" s="5" t="str">
        <f>IFERROR(__xludf.DUMMYFUNCTION("""COMPUTED_VALUE"""),"Yes")</f>
        <v>Yes</v>
      </c>
      <c r="Q643" s="5" t="str">
        <f>IFERROR(__xludf.DUMMYFUNCTION("""COMPUTED_VALUE"""),"Yes")</f>
        <v>Yes</v>
      </c>
      <c r="R643" s="5" t="str">
        <f>IFERROR(__xludf.DUMMYFUNCTION("""COMPUTED_VALUE"""),"Yes")</f>
        <v>Yes</v>
      </c>
      <c r="S643" s="5" t="str">
        <f>IFERROR(__xludf.DUMMYFUNCTION("""COMPUTED_VALUE"""),"Yes")</f>
        <v>Yes</v>
      </c>
      <c r="T643" s="5" t="str">
        <f>IFERROR(__xludf.DUMMYFUNCTION("""COMPUTED_VALUE"""),"No")</f>
        <v>No</v>
      </c>
      <c r="U643" s="5" t="str">
        <f>IFERROR(__xludf.DUMMYFUNCTION("""COMPUTED_VALUE"""),"No")</f>
        <v>No</v>
      </c>
      <c r="V643" s="5" t="str">
        <f>IFERROR(__xludf.DUMMYFUNCTION("""COMPUTED_VALUE"""),"No")</f>
        <v>No</v>
      </c>
      <c r="W643" s="5" t="str">
        <f>IFERROR(__xludf.DUMMYFUNCTION("""COMPUTED_VALUE"""),"No")</f>
        <v>No</v>
      </c>
      <c r="X643" s="5" t="str">
        <f>IFERROR(__xludf.DUMMYFUNCTION("""COMPUTED_VALUE"""),"No")</f>
        <v>No</v>
      </c>
      <c r="Y643" s="5" t="str">
        <f>IFERROR(__xludf.DUMMYFUNCTION("""COMPUTED_VALUE"""),"No")</f>
        <v>No</v>
      </c>
      <c r="Z643" s="5" t="str">
        <f>IFERROR(__xludf.DUMMYFUNCTION("""COMPUTED_VALUE"""),"No")</f>
        <v>No</v>
      </c>
      <c r="AA643" s="5" t="str">
        <f>IFERROR(__xludf.DUMMYFUNCTION("""COMPUTED_VALUE"""),"Yes")</f>
        <v>Yes</v>
      </c>
      <c r="AB643" s="5" t="str">
        <f>IFERROR(__xludf.DUMMYFUNCTION("""COMPUTED_VALUE"""),"No")</f>
        <v>No</v>
      </c>
      <c r="AC643" s="5" t="str">
        <f>IFERROR(__xludf.DUMMYFUNCTION("""COMPUTED_VALUE"""),"No")</f>
        <v>No</v>
      </c>
      <c r="AD643" s="5" t="str">
        <f>IFERROR(__xludf.DUMMYFUNCTION("""COMPUTED_VALUE"""),"No")</f>
        <v>No</v>
      </c>
      <c r="AE643" s="5" t="str">
        <f>IFERROR(__xludf.DUMMYFUNCTION("""COMPUTED_VALUE"""),"No")</f>
        <v>No</v>
      </c>
      <c r="AF643" s="5" t="str">
        <f>IFERROR(__xludf.DUMMYFUNCTION("""COMPUTED_VALUE"""),"Yes")</f>
        <v>Yes</v>
      </c>
      <c r="AG643" s="5" t="str">
        <f>IFERROR(__xludf.DUMMYFUNCTION("""COMPUTED_VALUE"""),"No")</f>
        <v>No</v>
      </c>
      <c r="AH643" s="5" t="str">
        <f>IFERROR(__xludf.DUMMYFUNCTION("""COMPUTED_VALUE"""),"Yes")</f>
        <v>Yes</v>
      </c>
      <c r="AI643" s="5" t="str">
        <f>IFERROR(__xludf.DUMMYFUNCTION("""COMPUTED_VALUE"""),"No")</f>
        <v>No</v>
      </c>
      <c r="AJ643" s="5" t="str">
        <f>IFERROR(__xludf.DUMMYFUNCTION("""COMPUTED_VALUE"""),"No")</f>
        <v>No</v>
      </c>
      <c r="AK643" s="5" t="str">
        <f>IFERROR(__xludf.DUMMYFUNCTION("""COMPUTED_VALUE"""),"No")</f>
        <v>No</v>
      </c>
      <c r="AL643" s="5" t="str">
        <f>IFERROR(__xludf.DUMMYFUNCTION("""COMPUTED_VALUE"""),"No")</f>
        <v>No</v>
      </c>
      <c r="AM643" s="5"/>
      <c r="AN643" s="5"/>
      <c r="AO643" s="5"/>
      <c r="AP643" s="5"/>
      <c r="AQ643" s="5"/>
      <c r="AR643" s="5"/>
      <c r="AS643" s="5"/>
      <c r="AT643" s="5"/>
      <c r="AU643" s="5"/>
      <c r="AV643" s="5"/>
      <c r="AW643" s="5"/>
      <c r="AX643" s="5"/>
      <c r="AY643" s="5"/>
    </row>
    <row r="644">
      <c r="A644" s="5" t="str">
        <f>IFERROR(__xludf.DUMMYFUNCTION("""COMPUTED_VALUE"""),"")</f>
        <v/>
      </c>
      <c r="B644" s="5">
        <f>IFERROR(__xludf.DUMMYFUNCTION("""COMPUTED_VALUE"""),679.0)</f>
        <v>679</v>
      </c>
      <c r="C644" s="5">
        <f>IFERROR(__xludf.DUMMYFUNCTION("""COMPUTED_VALUE"""),4000003.0)</f>
        <v>4000003</v>
      </c>
      <c r="D644" s="5" t="str">
        <f>IFERROR(__xludf.DUMMYFUNCTION("""COMPUTED_VALUE"""),"UnicornLuckyGinger")</f>
        <v>UnicornLuckyGinger</v>
      </c>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row>
    <row r="645">
      <c r="A64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B645" s="5">
        <f>IFERROR(__xludf.DUMMYFUNCTION("""COMPUTED_VALUE"""),680.0)</f>
        <v>680</v>
      </c>
      <c r="C645" s="5">
        <f>IFERROR(__xludf.DUMMYFUNCTION("""COMPUTED_VALUE"""),4000004.0)</f>
        <v>4000004</v>
      </c>
      <c r="D645" s="5" t="str">
        <f>IFERROR(__xludf.DUMMYFUNCTION("""COMPUTED_VALUE"""),"UnicornLionsSevensExtreme")</f>
        <v>UnicornLionsSevensExtreme</v>
      </c>
      <c r="E645" s="5" t="str">
        <f>IFERROR(__xludf.DUMMYFUNCTION("""COMPUTED_VALUE"""),"Yes")</f>
        <v>Yes</v>
      </c>
      <c r="F645" s="5" t="str">
        <f>IFERROR(__xludf.DUMMYFUNCTION("""COMPUTED_VALUE"""),"Yes")</f>
        <v>Yes</v>
      </c>
      <c r="G645" s="5" t="str">
        <f>IFERROR(__xludf.DUMMYFUNCTION("""COMPUTED_VALUE"""),"No")</f>
        <v>No</v>
      </c>
      <c r="H645" s="5" t="str">
        <f>IFERROR(__xludf.DUMMYFUNCTION("""COMPUTED_VALUE"""),"Yes")</f>
        <v>Yes</v>
      </c>
      <c r="I645" s="5" t="str">
        <f>IFERROR(__xludf.DUMMYFUNCTION("""COMPUTED_VALUE"""),"Yes")</f>
        <v>Yes</v>
      </c>
      <c r="J645" s="5" t="str">
        <f>IFERROR(__xludf.DUMMYFUNCTION("""COMPUTED_VALUE"""),"Yes")</f>
        <v>Yes</v>
      </c>
      <c r="K645" s="5" t="str">
        <f>IFERROR(__xludf.DUMMYFUNCTION("""COMPUTED_VALUE"""),"Yes")</f>
        <v>Yes</v>
      </c>
      <c r="L645" s="5" t="str">
        <f>IFERROR(__xludf.DUMMYFUNCTION("""COMPUTED_VALUE"""),"Yes")</f>
        <v>Yes</v>
      </c>
      <c r="M645" s="5" t="str">
        <f>IFERROR(__xludf.DUMMYFUNCTION("""COMPUTED_VALUE"""),"Yes")</f>
        <v>Yes</v>
      </c>
      <c r="N645" s="5" t="str">
        <f>IFERROR(__xludf.DUMMYFUNCTION("""COMPUTED_VALUE"""),"Yes")</f>
        <v>Yes</v>
      </c>
      <c r="O645" s="5" t="str">
        <f>IFERROR(__xludf.DUMMYFUNCTION("""COMPUTED_VALUE"""),"Yes")</f>
        <v>Yes</v>
      </c>
      <c r="P645" s="5" t="str">
        <f>IFERROR(__xludf.DUMMYFUNCTION("""COMPUTED_VALUE"""),"Yes")</f>
        <v>Yes</v>
      </c>
      <c r="Q645" s="5" t="str">
        <f>IFERROR(__xludf.DUMMYFUNCTION("""COMPUTED_VALUE"""),"Yes")</f>
        <v>Yes</v>
      </c>
      <c r="R645" s="5" t="str">
        <f>IFERROR(__xludf.DUMMYFUNCTION("""COMPUTED_VALUE"""),"Yes")</f>
        <v>Yes</v>
      </c>
      <c r="S645" s="5" t="str">
        <f>IFERROR(__xludf.DUMMYFUNCTION("""COMPUTED_VALUE"""),"Yes")</f>
        <v>Yes</v>
      </c>
      <c r="T645" s="5" t="str">
        <f>IFERROR(__xludf.DUMMYFUNCTION("""COMPUTED_VALUE"""),"No")</f>
        <v>No</v>
      </c>
      <c r="U645" s="5" t="str">
        <f>IFERROR(__xludf.DUMMYFUNCTION("""COMPUTED_VALUE"""),"No")</f>
        <v>No</v>
      </c>
      <c r="V645" s="5" t="str">
        <f>IFERROR(__xludf.DUMMYFUNCTION("""COMPUTED_VALUE"""),"No")</f>
        <v>No</v>
      </c>
      <c r="W645" s="5" t="str">
        <f>IFERROR(__xludf.DUMMYFUNCTION("""COMPUTED_VALUE"""),"No")</f>
        <v>No</v>
      </c>
      <c r="X645" s="5" t="str">
        <f>IFERROR(__xludf.DUMMYFUNCTION("""COMPUTED_VALUE"""),"No")</f>
        <v>No</v>
      </c>
      <c r="Y645" s="5"/>
      <c r="Z645" s="5" t="str">
        <f>IFERROR(__xludf.DUMMYFUNCTION("""COMPUTED_VALUE"""),"No")</f>
        <v>No</v>
      </c>
      <c r="AA645" s="5" t="str">
        <f>IFERROR(__xludf.DUMMYFUNCTION("""COMPUTED_VALUE"""),"No")</f>
        <v>No</v>
      </c>
      <c r="AB645" s="5"/>
      <c r="AC645" s="5"/>
      <c r="AD645" s="5"/>
      <c r="AE645" s="5"/>
      <c r="AF645" s="5" t="str">
        <f>IFERROR(__xludf.DUMMYFUNCTION("""COMPUTED_VALUE"""),"Yes")</f>
        <v>Yes</v>
      </c>
      <c r="AG645" s="5"/>
      <c r="AH645" s="5"/>
      <c r="AI645" s="5"/>
      <c r="AJ645" s="5"/>
      <c r="AK645" s="5"/>
      <c r="AL645" s="5"/>
      <c r="AM645" s="5"/>
      <c r="AN645" s="5"/>
      <c r="AO645" s="5"/>
      <c r="AP645" s="5"/>
      <c r="AQ645" s="5"/>
      <c r="AR645" s="5"/>
      <c r="AS645" s="5"/>
      <c r="AT645" s="5"/>
      <c r="AU645" s="5"/>
      <c r="AV645" s="5"/>
      <c r="AW645" s="5"/>
      <c r="AX645" s="5"/>
      <c r="AY645" s="5"/>
    </row>
    <row r="646">
      <c r="A646" s="5" t="str">
        <f>IFERROR(__xludf.DUMMYFUNCTION("""COMPUTED_VALUE"""),"English(""eng"")")</f>
        <v>English("eng")</v>
      </c>
      <c r="B646" s="5">
        <f>IFERROR(__xludf.DUMMYFUNCTION("""COMPUTED_VALUE"""),681.0)</f>
        <v>681</v>
      </c>
      <c r="C646" s="5">
        <f>IFERROR(__xludf.DUMMYFUNCTION("""COMPUTED_VALUE"""),4000006.0)</f>
        <v>4000006</v>
      </c>
      <c r="D646" s="5" t="str">
        <f>IFERROR(__xludf.DUMMYFUNCTION("""COMPUTED_VALUE"""),"UnicornCoyoteSevensJackpot")</f>
        <v>UnicornCoyoteSevensJackpot</v>
      </c>
      <c r="E646" s="5" t="str">
        <f>IFERROR(__xludf.DUMMYFUNCTION("""COMPUTED_VALUE"""),"Yes")</f>
        <v>Yes</v>
      </c>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row>
    <row r="647">
      <c r="A647" s="5" t="str">
        <f>IFERROR(__xludf.DUMMYFUNCTION("""COMPUTED_VALUE"""),"English(""eng"")")</f>
        <v>English("eng")</v>
      </c>
      <c r="B647" s="5">
        <f>IFERROR(__xludf.DUMMYFUNCTION("""COMPUTED_VALUE"""),682.0)</f>
        <v>682</v>
      </c>
      <c r="C647" s="5">
        <f>IFERROR(__xludf.DUMMYFUNCTION("""COMPUTED_VALUE"""),4000005.0)</f>
        <v>4000005</v>
      </c>
      <c r="D647" s="5" t="str">
        <f>IFERROR(__xludf.DUMMYFUNCTION("""COMPUTED_VALUE"""),"UnicornDragonGems")</f>
        <v>UnicornDragonGems</v>
      </c>
      <c r="E647" s="5" t="str">
        <f>IFERROR(__xludf.DUMMYFUNCTION("""COMPUTED_VALUE"""),"Yes")</f>
        <v>Yes</v>
      </c>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row>
    <row r="648">
      <c r="A648" s="5" t="str">
        <f>IFERROR(__xludf.DUMMYFUNCTION("""COMPUTED_VALUE"""),"English(""eng"")")</f>
        <v>English("eng")</v>
      </c>
      <c r="B648" s="5">
        <f>IFERROR(__xludf.DUMMYFUNCTION("""COMPUTED_VALUE"""),683.0)</f>
        <v>683</v>
      </c>
      <c r="C648" s="5">
        <f>IFERROR(__xludf.DUMMYFUNCTION("""COMPUTED_VALUE"""),4000009.0)</f>
        <v>4000009</v>
      </c>
      <c r="D648" s="5" t="str">
        <f>IFERROR(__xludf.DUMMYFUNCTION("""COMPUTED_VALUE"""),"UnicornByeBouse")</f>
        <v>UnicornByeBouse</v>
      </c>
      <c r="E648" s="5" t="str">
        <f>IFERROR(__xludf.DUMMYFUNCTION("""COMPUTED_VALUE"""),"Yes")</f>
        <v>Yes</v>
      </c>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row>
    <row r="649">
      <c r="A649" s="5" t="str">
        <f>IFERROR(__xludf.DUMMYFUNCTION("""COMPUTED_VALUE"""),"English(""eng"")")</f>
        <v>English("eng")</v>
      </c>
      <c r="B649" s="5">
        <f>IFERROR(__xludf.DUMMYFUNCTION("""COMPUTED_VALUE"""),684.0)</f>
        <v>684</v>
      </c>
      <c r="C649" s="5">
        <f>IFERROR(__xludf.DUMMYFUNCTION("""COMPUTED_VALUE"""),4000007.0)</f>
        <v>4000007</v>
      </c>
      <c r="D649" s="5" t="str">
        <f>IFERROR(__xludf.DUMMYFUNCTION("""COMPUTED_VALUE"""),"UnicornTripleRoyalWilds")</f>
        <v>UnicornTripleRoyalWilds</v>
      </c>
      <c r="E649" s="5" t="str">
        <f>IFERROR(__xludf.DUMMYFUNCTION("""COMPUTED_VALUE"""),"Yes")</f>
        <v>Yes</v>
      </c>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row>
    <row r="650">
      <c r="A6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0" s="5">
        <f>IFERROR(__xludf.DUMMYFUNCTION("""COMPUTED_VALUE"""),685.0)</f>
        <v>685</v>
      </c>
      <c r="C650" s="5">
        <f>IFERROR(__xludf.DUMMYFUNCTION("""COMPUTED_VALUE"""),1011.0)</f>
        <v>1011</v>
      </c>
      <c r="D650" s="5" t="str">
        <f>IFERROR(__xludf.DUMMYFUNCTION("""COMPUTED_VALUE"""),"GoldenDiamonds5Extreme")</f>
        <v>GoldenDiamonds5Extreme</v>
      </c>
      <c r="E650" s="5" t="str">
        <f>IFERROR(__xludf.DUMMYFUNCTION("""COMPUTED_VALUE"""),"Yes")</f>
        <v>Yes</v>
      </c>
      <c r="F650" s="5" t="str">
        <f>IFERROR(__xludf.DUMMYFUNCTION("""COMPUTED_VALUE"""),"Yes")</f>
        <v>Yes</v>
      </c>
      <c r="G650" s="5" t="str">
        <f>IFERROR(__xludf.DUMMYFUNCTION("""COMPUTED_VALUE"""),"Yes")</f>
        <v>Yes</v>
      </c>
      <c r="H650" s="5" t="str">
        <f>IFERROR(__xludf.DUMMYFUNCTION("""COMPUTED_VALUE"""),"Yes")</f>
        <v>Yes</v>
      </c>
      <c r="I650" s="5" t="str">
        <f>IFERROR(__xludf.DUMMYFUNCTION("""COMPUTED_VALUE"""),"Yes")</f>
        <v>Yes</v>
      </c>
      <c r="J650" s="5" t="str">
        <f>IFERROR(__xludf.DUMMYFUNCTION("""COMPUTED_VALUE"""),"Yes")</f>
        <v>Yes</v>
      </c>
      <c r="K650" s="5" t="str">
        <f>IFERROR(__xludf.DUMMYFUNCTION("""COMPUTED_VALUE"""),"Yes")</f>
        <v>Yes</v>
      </c>
      <c r="L650" s="5" t="str">
        <f>IFERROR(__xludf.DUMMYFUNCTION("""COMPUTED_VALUE"""),"Yes")</f>
        <v>Yes</v>
      </c>
      <c r="M650" s="5" t="str">
        <f>IFERROR(__xludf.DUMMYFUNCTION("""COMPUTED_VALUE"""),"Yes")</f>
        <v>Yes</v>
      </c>
      <c r="N650" s="5" t="str">
        <f>IFERROR(__xludf.DUMMYFUNCTION("""COMPUTED_VALUE"""),"Yes")</f>
        <v>Yes</v>
      </c>
      <c r="O650" s="5" t="str">
        <f>IFERROR(__xludf.DUMMYFUNCTION("""COMPUTED_VALUE"""),"Yes")</f>
        <v>Yes</v>
      </c>
      <c r="P650" s="5" t="str">
        <f>IFERROR(__xludf.DUMMYFUNCTION("""COMPUTED_VALUE"""),"Yes")</f>
        <v>Yes</v>
      </c>
      <c r="Q650" s="5" t="str">
        <f>IFERROR(__xludf.DUMMYFUNCTION("""COMPUTED_VALUE"""),"Yes")</f>
        <v>Yes</v>
      </c>
      <c r="R650" s="5" t="str">
        <f>IFERROR(__xludf.DUMMYFUNCTION("""COMPUTED_VALUE"""),"Yes")</f>
        <v>Yes</v>
      </c>
      <c r="S650" s="5" t="str">
        <f>IFERROR(__xludf.DUMMYFUNCTION("""COMPUTED_VALUE"""),"Yes")</f>
        <v>Yes</v>
      </c>
      <c r="T650" s="5" t="str">
        <f>IFERROR(__xludf.DUMMYFUNCTION("""COMPUTED_VALUE"""),"Yes")</f>
        <v>Yes</v>
      </c>
      <c r="U650" s="5" t="str">
        <f>IFERROR(__xludf.DUMMYFUNCTION("""COMPUTED_VALUE"""),"Yes")</f>
        <v>Yes</v>
      </c>
      <c r="V650" s="5" t="str">
        <f>IFERROR(__xludf.DUMMYFUNCTION("""COMPUTED_VALUE"""),"Yes")</f>
        <v>Yes</v>
      </c>
      <c r="W650" s="5" t="str">
        <f>IFERROR(__xludf.DUMMYFUNCTION("""COMPUTED_VALUE"""),"Yes")</f>
        <v>Yes</v>
      </c>
      <c r="X650" s="5" t="str">
        <f>IFERROR(__xludf.DUMMYFUNCTION("""COMPUTED_VALUE"""),"Yes")</f>
        <v>Yes</v>
      </c>
      <c r="Y650" s="5" t="str">
        <f>IFERROR(__xludf.DUMMYFUNCTION("""COMPUTED_VALUE"""),"Yes")</f>
        <v>Yes</v>
      </c>
      <c r="Z650" s="5" t="str">
        <f>IFERROR(__xludf.DUMMYFUNCTION("""COMPUTED_VALUE"""),"Yes")</f>
        <v>Yes</v>
      </c>
      <c r="AA650" s="5" t="str">
        <f>IFERROR(__xludf.DUMMYFUNCTION("""COMPUTED_VALUE"""),"Yes")</f>
        <v>Yes</v>
      </c>
      <c r="AB650" s="5" t="str">
        <f>IFERROR(__xludf.DUMMYFUNCTION("""COMPUTED_VALUE"""),"Yes")</f>
        <v>Yes</v>
      </c>
      <c r="AC650" s="5" t="str">
        <f>IFERROR(__xludf.DUMMYFUNCTION("""COMPUTED_VALUE"""),"Yes")</f>
        <v>Yes</v>
      </c>
      <c r="AD650" s="5" t="str">
        <f>IFERROR(__xludf.DUMMYFUNCTION("""COMPUTED_VALUE"""),"Yes")</f>
        <v>Yes</v>
      </c>
      <c r="AE650" s="5" t="str">
        <f>IFERROR(__xludf.DUMMYFUNCTION("""COMPUTED_VALUE"""),"Yes")</f>
        <v>Yes</v>
      </c>
      <c r="AF650" s="5" t="str">
        <f>IFERROR(__xludf.DUMMYFUNCTION("""COMPUTED_VALUE"""),"Yes")</f>
        <v>Yes</v>
      </c>
      <c r="AG650" s="5" t="str">
        <f>IFERROR(__xludf.DUMMYFUNCTION("""COMPUTED_VALUE"""),"Yes")</f>
        <v>Yes</v>
      </c>
      <c r="AH650" s="5" t="str">
        <f>IFERROR(__xludf.DUMMYFUNCTION("""COMPUTED_VALUE"""),"Yes")</f>
        <v>Yes</v>
      </c>
      <c r="AI650" s="5" t="str">
        <f>IFERROR(__xludf.DUMMYFUNCTION("""COMPUTED_VALUE"""),"Yes")</f>
        <v>Yes</v>
      </c>
      <c r="AJ650" s="5" t="str">
        <f>IFERROR(__xludf.DUMMYFUNCTION("""COMPUTED_VALUE"""),"Yes")</f>
        <v>Yes</v>
      </c>
      <c r="AK650" s="5" t="str">
        <f>IFERROR(__xludf.DUMMYFUNCTION("""COMPUTED_VALUE"""),"Yes")</f>
        <v>Yes</v>
      </c>
      <c r="AL650" s="5" t="str">
        <f>IFERROR(__xludf.DUMMYFUNCTION("""COMPUTED_VALUE"""),"No")</f>
        <v>No</v>
      </c>
      <c r="AM650" s="5"/>
      <c r="AN650" s="5"/>
      <c r="AO650" s="5"/>
      <c r="AP650" s="5"/>
      <c r="AQ650" s="5"/>
      <c r="AR650" s="5"/>
      <c r="AS650" s="5"/>
      <c r="AT650" s="5"/>
      <c r="AU650" s="5"/>
      <c r="AV650" s="5"/>
      <c r="AW650" s="5"/>
      <c r="AX650" s="5"/>
      <c r="AY650" s="5"/>
    </row>
    <row r="651">
      <c r="A6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651" s="5">
        <f>IFERROR(__xludf.DUMMYFUNCTION("""COMPUTED_VALUE"""),686.0)</f>
        <v>686</v>
      </c>
      <c r="C651" s="5">
        <f>IFERROR(__xludf.DUMMYFUNCTION("""COMPUTED_VALUE"""),1012.0)</f>
        <v>1012</v>
      </c>
      <c r="D651" s="5" t="str">
        <f>IFERROR(__xludf.DUMMYFUNCTION("""COMPUTED_VALUE"""),"GoldenDiamonds10Extreme")</f>
        <v>GoldenDiamonds10Extreme</v>
      </c>
      <c r="E651" s="5" t="str">
        <f>IFERROR(__xludf.DUMMYFUNCTION("""COMPUTED_VALUE"""),"Yes")</f>
        <v>Yes</v>
      </c>
      <c r="F651" s="5" t="str">
        <f>IFERROR(__xludf.DUMMYFUNCTION("""COMPUTED_VALUE"""),"Yes")</f>
        <v>Yes</v>
      </c>
      <c r="G651" s="5" t="str">
        <f>IFERROR(__xludf.DUMMYFUNCTION("""COMPUTED_VALUE"""),"Yes")</f>
        <v>Yes</v>
      </c>
      <c r="H651" s="5" t="str">
        <f>IFERROR(__xludf.DUMMYFUNCTION("""COMPUTED_VALUE"""),"Yes")</f>
        <v>Yes</v>
      </c>
      <c r="I651" s="5" t="str">
        <f>IFERROR(__xludf.DUMMYFUNCTION("""COMPUTED_VALUE"""),"Yes")</f>
        <v>Yes</v>
      </c>
      <c r="J651" s="5" t="str">
        <f>IFERROR(__xludf.DUMMYFUNCTION("""COMPUTED_VALUE"""),"Yes")</f>
        <v>Yes</v>
      </c>
      <c r="K651" s="5" t="str">
        <f>IFERROR(__xludf.DUMMYFUNCTION("""COMPUTED_VALUE"""),"Yes")</f>
        <v>Yes</v>
      </c>
      <c r="L651" s="5" t="str">
        <f>IFERROR(__xludf.DUMMYFUNCTION("""COMPUTED_VALUE"""),"Yes")</f>
        <v>Yes</v>
      </c>
      <c r="M651" s="5" t="str">
        <f>IFERROR(__xludf.DUMMYFUNCTION("""COMPUTED_VALUE"""),"Yes")</f>
        <v>Yes</v>
      </c>
      <c r="N651" s="5" t="str">
        <f>IFERROR(__xludf.DUMMYFUNCTION("""COMPUTED_VALUE"""),"Yes")</f>
        <v>Yes</v>
      </c>
      <c r="O651" s="5" t="str">
        <f>IFERROR(__xludf.DUMMYFUNCTION("""COMPUTED_VALUE"""),"Yes")</f>
        <v>Yes</v>
      </c>
      <c r="P651" s="5" t="str">
        <f>IFERROR(__xludf.DUMMYFUNCTION("""COMPUTED_VALUE"""),"Yes")</f>
        <v>Yes</v>
      </c>
      <c r="Q651" s="5" t="str">
        <f>IFERROR(__xludf.DUMMYFUNCTION("""COMPUTED_VALUE"""),"Yes")</f>
        <v>Yes</v>
      </c>
      <c r="R651" s="5" t="str">
        <f>IFERROR(__xludf.DUMMYFUNCTION("""COMPUTED_VALUE"""),"Yes")</f>
        <v>Yes</v>
      </c>
      <c r="S651" s="5" t="str">
        <f>IFERROR(__xludf.DUMMYFUNCTION("""COMPUTED_VALUE"""),"Yes")</f>
        <v>Yes</v>
      </c>
      <c r="T651" s="5" t="str">
        <f>IFERROR(__xludf.DUMMYFUNCTION("""COMPUTED_VALUE"""),"Yes")</f>
        <v>Yes</v>
      </c>
      <c r="U651" s="5" t="str">
        <f>IFERROR(__xludf.DUMMYFUNCTION("""COMPUTED_VALUE"""),"Yes")</f>
        <v>Yes</v>
      </c>
      <c r="V651" s="5" t="str">
        <f>IFERROR(__xludf.DUMMYFUNCTION("""COMPUTED_VALUE"""),"Yes")</f>
        <v>Yes</v>
      </c>
      <c r="W651" s="5" t="str">
        <f>IFERROR(__xludf.DUMMYFUNCTION("""COMPUTED_VALUE"""),"Yes")</f>
        <v>Yes</v>
      </c>
      <c r="X651" s="5" t="str">
        <f>IFERROR(__xludf.DUMMYFUNCTION("""COMPUTED_VALUE"""),"Yes")</f>
        <v>Yes</v>
      </c>
      <c r="Y651" s="5" t="str">
        <f>IFERROR(__xludf.DUMMYFUNCTION("""COMPUTED_VALUE"""),"Yes")</f>
        <v>Yes</v>
      </c>
      <c r="Z651" s="5" t="str">
        <f>IFERROR(__xludf.DUMMYFUNCTION("""COMPUTED_VALUE"""),"Yes")</f>
        <v>Yes</v>
      </c>
      <c r="AA651" s="5" t="str">
        <f>IFERROR(__xludf.DUMMYFUNCTION("""COMPUTED_VALUE"""),"Yes")</f>
        <v>Yes</v>
      </c>
      <c r="AB651" s="5" t="str">
        <f>IFERROR(__xludf.DUMMYFUNCTION("""COMPUTED_VALUE"""),"Yes")</f>
        <v>Yes</v>
      </c>
      <c r="AC651" s="5" t="str">
        <f>IFERROR(__xludf.DUMMYFUNCTION("""COMPUTED_VALUE"""),"Yes")</f>
        <v>Yes</v>
      </c>
      <c r="AD651" s="5" t="str">
        <f>IFERROR(__xludf.DUMMYFUNCTION("""COMPUTED_VALUE"""),"Yes")</f>
        <v>Yes</v>
      </c>
      <c r="AE651" s="5" t="str">
        <f>IFERROR(__xludf.DUMMYFUNCTION("""COMPUTED_VALUE"""),"Yes")</f>
        <v>Yes</v>
      </c>
      <c r="AF651" s="5" t="str">
        <f>IFERROR(__xludf.DUMMYFUNCTION("""COMPUTED_VALUE"""),"Yes")</f>
        <v>Yes</v>
      </c>
      <c r="AG651" s="5" t="str">
        <f>IFERROR(__xludf.DUMMYFUNCTION("""COMPUTED_VALUE"""),"Yes")</f>
        <v>Yes</v>
      </c>
      <c r="AH651" s="5" t="str">
        <f>IFERROR(__xludf.DUMMYFUNCTION("""COMPUTED_VALUE"""),"No")</f>
        <v>No</v>
      </c>
      <c r="AI651" s="5" t="str">
        <f>IFERROR(__xludf.DUMMYFUNCTION("""COMPUTED_VALUE"""),"No")</f>
        <v>No</v>
      </c>
      <c r="AJ651" s="5" t="str">
        <f>IFERROR(__xludf.DUMMYFUNCTION("""COMPUTED_VALUE"""),"No")</f>
        <v>No</v>
      </c>
      <c r="AK651" s="5" t="str">
        <f>IFERROR(__xludf.DUMMYFUNCTION("""COMPUTED_VALUE"""),"No")</f>
        <v>No</v>
      </c>
      <c r="AL651" s="5" t="str">
        <f>IFERROR(__xludf.DUMMYFUNCTION("""COMPUTED_VALUE"""),"No")</f>
        <v>No</v>
      </c>
      <c r="AM651" s="5"/>
      <c r="AN651" s="5"/>
      <c r="AO651" s="5"/>
      <c r="AP651" s="5"/>
      <c r="AQ651" s="5"/>
      <c r="AR651" s="5"/>
      <c r="AS651" s="5"/>
      <c r="AT651" s="5"/>
      <c r="AU651" s="5"/>
      <c r="AV651" s="5"/>
      <c r="AW651" s="5"/>
      <c r="AX651" s="5"/>
      <c r="AY651" s="5"/>
    </row>
    <row r="652">
      <c r="A6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2" s="5">
        <f>IFERROR(__xludf.DUMMYFUNCTION("""COMPUTED_VALUE"""),687.0)</f>
        <v>687</v>
      </c>
      <c r="C652" s="5">
        <f>IFERROR(__xludf.DUMMYFUNCTION("""COMPUTED_VALUE"""),1013.0)</f>
        <v>1013</v>
      </c>
      <c r="D652" s="5" t="str">
        <f>IFERROR(__xludf.DUMMYFUNCTION("""COMPUTED_VALUE"""),"GoldenDiamonds20Extreme")</f>
        <v>GoldenDiamonds20Extreme</v>
      </c>
      <c r="E652" s="5" t="str">
        <f>IFERROR(__xludf.DUMMYFUNCTION("""COMPUTED_VALUE"""),"Yes")</f>
        <v>Yes</v>
      </c>
      <c r="F652" s="5" t="str">
        <f>IFERROR(__xludf.DUMMYFUNCTION("""COMPUTED_VALUE"""),"Yes")</f>
        <v>Yes</v>
      </c>
      <c r="G652" s="5" t="str">
        <f>IFERROR(__xludf.DUMMYFUNCTION("""COMPUTED_VALUE"""),"Yes")</f>
        <v>Yes</v>
      </c>
      <c r="H652" s="5" t="str">
        <f>IFERROR(__xludf.DUMMYFUNCTION("""COMPUTED_VALUE"""),"Yes")</f>
        <v>Yes</v>
      </c>
      <c r="I652" s="5" t="str">
        <f>IFERROR(__xludf.DUMMYFUNCTION("""COMPUTED_VALUE"""),"Yes")</f>
        <v>Yes</v>
      </c>
      <c r="J652" s="5" t="str">
        <f>IFERROR(__xludf.DUMMYFUNCTION("""COMPUTED_VALUE"""),"Yes")</f>
        <v>Yes</v>
      </c>
      <c r="K652" s="5" t="str">
        <f>IFERROR(__xludf.DUMMYFUNCTION("""COMPUTED_VALUE"""),"Yes")</f>
        <v>Yes</v>
      </c>
      <c r="L652" s="5" t="str">
        <f>IFERROR(__xludf.DUMMYFUNCTION("""COMPUTED_VALUE"""),"Yes")</f>
        <v>Yes</v>
      </c>
      <c r="M652" s="5" t="str">
        <f>IFERROR(__xludf.DUMMYFUNCTION("""COMPUTED_VALUE"""),"Yes")</f>
        <v>Yes</v>
      </c>
      <c r="N652" s="5" t="str">
        <f>IFERROR(__xludf.DUMMYFUNCTION("""COMPUTED_VALUE"""),"Yes")</f>
        <v>Yes</v>
      </c>
      <c r="O652" s="5" t="str">
        <f>IFERROR(__xludf.DUMMYFUNCTION("""COMPUTED_VALUE"""),"Yes")</f>
        <v>Yes</v>
      </c>
      <c r="P652" s="5" t="str">
        <f>IFERROR(__xludf.DUMMYFUNCTION("""COMPUTED_VALUE"""),"Yes")</f>
        <v>Yes</v>
      </c>
      <c r="Q652" s="5" t="str">
        <f>IFERROR(__xludf.DUMMYFUNCTION("""COMPUTED_VALUE"""),"Yes")</f>
        <v>Yes</v>
      </c>
      <c r="R652" s="5" t="str">
        <f>IFERROR(__xludf.DUMMYFUNCTION("""COMPUTED_VALUE"""),"Yes")</f>
        <v>Yes</v>
      </c>
      <c r="S652" s="5" t="str">
        <f>IFERROR(__xludf.DUMMYFUNCTION("""COMPUTED_VALUE"""),"Yes")</f>
        <v>Yes</v>
      </c>
      <c r="T652" s="5" t="str">
        <f>IFERROR(__xludf.DUMMYFUNCTION("""COMPUTED_VALUE"""),"Yes")</f>
        <v>Yes</v>
      </c>
      <c r="U652" s="5" t="str">
        <f>IFERROR(__xludf.DUMMYFUNCTION("""COMPUTED_VALUE"""),"Yes")</f>
        <v>Yes</v>
      </c>
      <c r="V652" s="5" t="str">
        <f>IFERROR(__xludf.DUMMYFUNCTION("""COMPUTED_VALUE"""),"Yes")</f>
        <v>Yes</v>
      </c>
      <c r="W652" s="5" t="str">
        <f>IFERROR(__xludf.DUMMYFUNCTION("""COMPUTED_VALUE"""),"Yes")</f>
        <v>Yes</v>
      </c>
      <c r="X652" s="5" t="str">
        <f>IFERROR(__xludf.DUMMYFUNCTION("""COMPUTED_VALUE"""),"Yes")</f>
        <v>Yes</v>
      </c>
      <c r="Y652" s="5" t="str">
        <f>IFERROR(__xludf.DUMMYFUNCTION("""COMPUTED_VALUE"""),"Yes")</f>
        <v>Yes</v>
      </c>
      <c r="Z652" s="5" t="str">
        <f>IFERROR(__xludf.DUMMYFUNCTION("""COMPUTED_VALUE"""),"Yes")</f>
        <v>Yes</v>
      </c>
      <c r="AA652" s="5" t="str">
        <f>IFERROR(__xludf.DUMMYFUNCTION("""COMPUTED_VALUE"""),"Yes")</f>
        <v>Yes</v>
      </c>
      <c r="AB652" s="5" t="str">
        <f>IFERROR(__xludf.DUMMYFUNCTION("""COMPUTED_VALUE"""),"Yes")</f>
        <v>Yes</v>
      </c>
      <c r="AC652" s="5" t="str">
        <f>IFERROR(__xludf.DUMMYFUNCTION("""COMPUTED_VALUE"""),"Yes")</f>
        <v>Yes</v>
      </c>
      <c r="AD652" s="5" t="str">
        <f>IFERROR(__xludf.DUMMYFUNCTION("""COMPUTED_VALUE"""),"Yes")</f>
        <v>Yes</v>
      </c>
      <c r="AE652" s="5" t="str">
        <f>IFERROR(__xludf.DUMMYFUNCTION("""COMPUTED_VALUE"""),"Yes")</f>
        <v>Yes</v>
      </c>
      <c r="AF652" s="5" t="str">
        <f>IFERROR(__xludf.DUMMYFUNCTION("""COMPUTED_VALUE"""),"Yes")</f>
        <v>Yes</v>
      </c>
      <c r="AG652" s="5" t="str">
        <f>IFERROR(__xludf.DUMMYFUNCTION("""COMPUTED_VALUE"""),"Yes")</f>
        <v>Yes</v>
      </c>
      <c r="AH652" s="5" t="str">
        <f>IFERROR(__xludf.DUMMYFUNCTION("""COMPUTED_VALUE"""),"Yes")</f>
        <v>Yes</v>
      </c>
      <c r="AI652" s="5" t="str">
        <f>IFERROR(__xludf.DUMMYFUNCTION("""COMPUTED_VALUE"""),"Yes")</f>
        <v>Yes</v>
      </c>
      <c r="AJ652" s="5" t="str">
        <f>IFERROR(__xludf.DUMMYFUNCTION("""COMPUTED_VALUE"""),"Yes")</f>
        <v>Yes</v>
      </c>
      <c r="AK652" s="5" t="str">
        <f>IFERROR(__xludf.DUMMYFUNCTION("""COMPUTED_VALUE"""),"Yes")</f>
        <v>Yes</v>
      </c>
      <c r="AL652" s="5" t="str">
        <f>IFERROR(__xludf.DUMMYFUNCTION("""COMPUTED_VALUE"""),"No")</f>
        <v>No</v>
      </c>
      <c r="AM652" s="5"/>
      <c r="AN652" s="5"/>
      <c r="AO652" s="5"/>
      <c r="AP652" s="5"/>
      <c r="AQ652" s="5"/>
      <c r="AR652" s="5"/>
      <c r="AS652" s="5"/>
      <c r="AT652" s="5"/>
      <c r="AU652" s="5"/>
      <c r="AV652" s="5"/>
      <c r="AW652" s="5"/>
      <c r="AX652" s="5"/>
      <c r="AY652" s="5"/>
    </row>
    <row r="653">
      <c r="A6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3" s="5">
        <f>IFERROR(__xludf.DUMMYFUNCTION("""COMPUTED_VALUE"""),688.0)</f>
        <v>688</v>
      </c>
      <c r="C653" s="5">
        <f>IFERROR(__xludf.DUMMYFUNCTION("""COMPUTED_VALUE"""),1014.0)</f>
        <v>1014</v>
      </c>
      <c r="D653" s="5" t="str">
        <f>IFERROR(__xludf.DUMMYFUNCTION("""COMPUTED_VALUE"""),"GoldenDiamonds40Extreme")</f>
        <v>GoldenDiamonds40Extreme</v>
      </c>
      <c r="E653" s="5" t="str">
        <f>IFERROR(__xludf.DUMMYFUNCTION("""COMPUTED_VALUE"""),"Yes")</f>
        <v>Yes</v>
      </c>
      <c r="F653" s="5" t="str">
        <f>IFERROR(__xludf.DUMMYFUNCTION("""COMPUTED_VALUE"""),"Yes")</f>
        <v>Yes</v>
      </c>
      <c r="G653" s="5" t="str">
        <f>IFERROR(__xludf.DUMMYFUNCTION("""COMPUTED_VALUE"""),"Yes")</f>
        <v>Yes</v>
      </c>
      <c r="H653" s="5" t="str">
        <f>IFERROR(__xludf.DUMMYFUNCTION("""COMPUTED_VALUE"""),"Yes")</f>
        <v>Yes</v>
      </c>
      <c r="I653" s="5" t="str">
        <f>IFERROR(__xludf.DUMMYFUNCTION("""COMPUTED_VALUE"""),"Yes")</f>
        <v>Yes</v>
      </c>
      <c r="J653" s="5" t="str">
        <f>IFERROR(__xludf.DUMMYFUNCTION("""COMPUTED_VALUE"""),"Yes")</f>
        <v>Yes</v>
      </c>
      <c r="K653" s="5" t="str">
        <f>IFERROR(__xludf.DUMMYFUNCTION("""COMPUTED_VALUE"""),"Yes")</f>
        <v>Yes</v>
      </c>
      <c r="L653" s="5" t="str">
        <f>IFERROR(__xludf.DUMMYFUNCTION("""COMPUTED_VALUE"""),"Yes")</f>
        <v>Yes</v>
      </c>
      <c r="M653" s="5" t="str">
        <f>IFERROR(__xludf.DUMMYFUNCTION("""COMPUTED_VALUE"""),"Yes")</f>
        <v>Yes</v>
      </c>
      <c r="N653" s="5" t="str">
        <f>IFERROR(__xludf.DUMMYFUNCTION("""COMPUTED_VALUE"""),"Yes")</f>
        <v>Yes</v>
      </c>
      <c r="O653" s="5" t="str">
        <f>IFERROR(__xludf.DUMMYFUNCTION("""COMPUTED_VALUE"""),"Yes")</f>
        <v>Yes</v>
      </c>
      <c r="P653" s="5" t="str">
        <f>IFERROR(__xludf.DUMMYFUNCTION("""COMPUTED_VALUE"""),"Yes")</f>
        <v>Yes</v>
      </c>
      <c r="Q653" s="5" t="str">
        <f>IFERROR(__xludf.DUMMYFUNCTION("""COMPUTED_VALUE"""),"Yes")</f>
        <v>Yes</v>
      </c>
      <c r="R653" s="5" t="str">
        <f>IFERROR(__xludf.DUMMYFUNCTION("""COMPUTED_VALUE"""),"Yes")</f>
        <v>Yes</v>
      </c>
      <c r="S653" s="5" t="str">
        <f>IFERROR(__xludf.DUMMYFUNCTION("""COMPUTED_VALUE"""),"Yes")</f>
        <v>Yes</v>
      </c>
      <c r="T653" s="5" t="str">
        <f>IFERROR(__xludf.DUMMYFUNCTION("""COMPUTED_VALUE"""),"Yes")</f>
        <v>Yes</v>
      </c>
      <c r="U653" s="5" t="str">
        <f>IFERROR(__xludf.DUMMYFUNCTION("""COMPUTED_VALUE"""),"Yes")</f>
        <v>Yes</v>
      </c>
      <c r="V653" s="5" t="str">
        <f>IFERROR(__xludf.DUMMYFUNCTION("""COMPUTED_VALUE"""),"Yes")</f>
        <v>Yes</v>
      </c>
      <c r="W653" s="5" t="str">
        <f>IFERROR(__xludf.DUMMYFUNCTION("""COMPUTED_VALUE"""),"Yes")</f>
        <v>Yes</v>
      </c>
      <c r="X653" s="5" t="str">
        <f>IFERROR(__xludf.DUMMYFUNCTION("""COMPUTED_VALUE"""),"Yes")</f>
        <v>Yes</v>
      </c>
      <c r="Y653" s="5" t="str">
        <f>IFERROR(__xludf.DUMMYFUNCTION("""COMPUTED_VALUE"""),"Yes")</f>
        <v>Yes</v>
      </c>
      <c r="Z653" s="5" t="str">
        <f>IFERROR(__xludf.DUMMYFUNCTION("""COMPUTED_VALUE"""),"Yes")</f>
        <v>Yes</v>
      </c>
      <c r="AA653" s="5" t="str">
        <f>IFERROR(__xludf.DUMMYFUNCTION("""COMPUTED_VALUE"""),"Yes")</f>
        <v>Yes</v>
      </c>
      <c r="AB653" s="5" t="str">
        <f>IFERROR(__xludf.DUMMYFUNCTION("""COMPUTED_VALUE"""),"Yes")</f>
        <v>Yes</v>
      </c>
      <c r="AC653" s="5" t="str">
        <f>IFERROR(__xludf.DUMMYFUNCTION("""COMPUTED_VALUE"""),"Yes")</f>
        <v>Yes</v>
      </c>
      <c r="AD653" s="5" t="str">
        <f>IFERROR(__xludf.DUMMYFUNCTION("""COMPUTED_VALUE"""),"Yes")</f>
        <v>Yes</v>
      </c>
      <c r="AE653" s="5" t="str">
        <f>IFERROR(__xludf.DUMMYFUNCTION("""COMPUTED_VALUE"""),"Yes")</f>
        <v>Yes</v>
      </c>
      <c r="AF653" s="5" t="str">
        <f>IFERROR(__xludf.DUMMYFUNCTION("""COMPUTED_VALUE"""),"Yes")</f>
        <v>Yes</v>
      </c>
      <c r="AG653" s="5" t="str">
        <f>IFERROR(__xludf.DUMMYFUNCTION("""COMPUTED_VALUE"""),"Yes")</f>
        <v>Yes</v>
      </c>
      <c r="AH653" s="5" t="str">
        <f>IFERROR(__xludf.DUMMYFUNCTION("""COMPUTED_VALUE"""),"Yes")</f>
        <v>Yes</v>
      </c>
      <c r="AI653" s="5" t="str">
        <f>IFERROR(__xludf.DUMMYFUNCTION("""COMPUTED_VALUE"""),"Yes")</f>
        <v>Yes</v>
      </c>
      <c r="AJ653" s="5" t="str">
        <f>IFERROR(__xludf.DUMMYFUNCTION("""COMPUTED_VALUE"""),"Yes")</f>
        <v>Yes</v>
      </c>
      <c r="AK653" s="5" t="str">
        <f>IFERROR(__xludf.DUMMYFUNCTION("""COMPUTED_VALUE"""),"Yes")</f>
        <v>Yes</v>
      </c>
      <c r="AL653" s="5" t="str">
        <f>IFERROR(__xludf.DUMMYFUNCTION("""COMPUTED_VALUE"""),"No")</f>
        <v>No</v>
      </c>
      <c r="AM653" s="5"/>
      <c r="AN653" s="5"/>
      <c r="AO653" s="5"/>
      <c r="AP653" s="5"/>
      <c r="AQ653" s="5"/>
      <c r="AR653" s="5"/>
      <c r="AS653" s="5"/>
      <c r="AT653" s="5"/>
      <c r="AU653" s="5"/>
      <c r="AV653" s="5"/>
      <c r="AW653" s="5"/>
      <c r="AX653" s="5"/>
      <c r="AY653" s="5"/>
    </row>
    <row r="654">
      <c r="A6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4" s="5">
        <f>IFERROR(__xludf.DUMMYFUNCTION("""COMPUTED_VALUE"""),689.0)</f>
        <v>689</v>
      </c>
      <c r="C654" s="5">
        <f>IFERROR(__xludf.DUMMYFUNCTION("""COMPUTED_VALUE"""),1016.0)</f>
        <v>1016</v>
      </c>
      <c r="D654" s="5" t="str">
        <f>IFERROR(__xludf.DUMMYFUNCTION("""COMPUTED_VALUE"""),"VeryHot5ExtremeBooster")</f>
        <v>VeryHot5ExtremeBooster</v>
      </c>
      <c r="E654" s="5" t="str">
        <f>IFERROR(__xludf.DUMMYFUNCTION("""COMPUTED_VALUE"""),"Yes")</f>
        <v>Yes</v>
      </c>
      <c r="F654" s="5" t="str">
        <f>IFERROR(__xludf.DUMMYFUNCTION("""COMPUTED_VALUE"""),"Yes")</f>
        <v>Yes</v>
      </c>
      <c r="G654" s="5" t="str">
        <f>IFERROR(__xludf.DUMMYFUNCTION("""COMPUTED_VALUE"""),"Yes")</f>
        <v>Yes</v>
      </c>
      <c r="H654" s="5" t="str">
        <f>IFERROR(__xludf.DUMMYFUNCTION("""COMPUTED_VALUE"""),"Yes")</f>
        <v>Yes</v>
      </c>
      <c r="I654" s="5" t="str">
        <f>IFERROR(__xludf.DUMMYFUNCTION("""COMPUTED_VALUE"""),"Yes")</f>
        <v>Yes</v>
      </c>
      <c r="J654" s="5" t="str">
        <f>IFERROR(__xludf.DUMMYFUNCTION("""COMPUTED_VALUE"""),"Yes")</f>
        <v>Yes</v>
      </c>
      <c r="K654" s="5" t="str">
        <f>IFERROR(__xludf.DUMMYFUNCTION("""COMPUTED_VALUE"""),"Yes")</f>
        <v>Yes</v>
      </c>
      <c r="L654" s="5" t="str">
        <f>IFERROR(__xludf.DUMMYFUNCTION("""COMPUTED_VALUE"""),"Yes")</f>
        <v>Yes</v>
      </c>
      <c r="M654" s="5" t="str">
        <f>IFERROR(__xludf.DUMMYFUNCTION("""COMPUTED_VALUE"""),"Yes")</f>
        <v>Yes</v>
      </c>
      <c r="N654" s="5" t="str">
        <f>IFERROR(__xludf.DUMMYFUNCTION("""COMPUTED_VALUE"""),"Yes")</f>
        <v>Yes</v>
      </c>
      <c r="O654" s="5" t="str">
        <f>IFERROR(__xludf.DUMMYFUNCTION("""COMPUTED_VALUE"""),"Yes")</f>
        <v>Yes</v>
      </c>
      <c r="P654" s="5" t="str">
        <f>IFERROR(__xludf.DUMMYFUNCTION("""COMPUTED_VALUE"""),"Yes")</f>
        <v>Yes</v>
      </c>
      <c r="Q654" s="5" t="str">
        <f>IFERROR(__xludf.DUMMYFUNCTION("""COMPUTED_VALUE"""),"Yes")</f>
        <v>Yes</v>
      </c>
      <c r="R654" s="5" t="str">
        <f>IFERROR(__xludf.DUMMYFUNCTION("""COMPUTED_VALUE"""),"Yes")</f>
        <v>Yes</v>
      </c>
      <c r="S654" s="5" t="str">
        <f>IFERROR(__xludf.DUMMYFUNCTION("""COMPUTED_VALUE"""),"Yes")</f>
        <v>Yes</v>
      </c>
      <c r="T654" s="5" t="str">
        <f>IFERROR(__xludf.DUMMYFUNCTION("""COMPUTED_VALUE"""),"Yes")</f>
        <v>Yes</v>
      </c>
      <c r="U654" s="5" t="str">
        <f>IFERROR(__xludf.DUMMYFUNCTION("""COMPUTED_VALUE"""),"Yes")</f>
        <v>Yes</v>
      </c>
      <c r="V654" s="5" t="str">
        <f>IFERROR(__xludf.DUMMYFUNCTION("""COMPUTED_VALUE"""),"Yes")</f>
        <v>Yes</v>
      </c>
      <c r="W654" s="5" t="str">
        <f>IFERROR(__xludf.DUMMYFUNCTION("""COMPUTED_VALUE"""),"Yes")</f>
        <v>Yes</v>
      </c>
      <c r="X654" s="5" t="str">
        <f>IFERROR(__xludf.DUMMYFUNCTION("""COMPUTED_VALUE"""),"Yes")</f>
        <v>Yes</v>
      </c>
      <c r="Y654" s="5" t="str">
        <f>IFERROR(__xludf.DUMMYFUNCTION("""COMPUTED_VALUE"""),"Yes")</f>
        <v>Yes</v>
      </c>
      <c r="Z654" s="5" t="str">
        <f>IFERROR(__xludf.DUMMYFUNCTION("""COMPUTED_VALUE"""),"Yes")</f>
        <v>Yes</v>
      </c>
      <c r="AA654" s="5" t="str">
        <f>IFERROR(__xludf.DUMMYFUNCTION("""COMPUTED_VALUE"""),"Yes")</f>
        <v>Yes</v>
      </c>
      <c r="AB654" s="5" t="str">
        <f>IFERROR(__xludf.DUMMYFUNCTION("""COMPUTED_VALUE"""),"Yes")</f>
        <v>Yes</v>
      </c>
      <c r="AC654" s="5" t="str">
        <f>IFERROR(__xludf.DUMMYFUNCTION("""COMPUTED_VALUE"""),"Yes")</f>
        <v>Yes</v>
      </c>
      <c r="AD654" s="5" t="str">
        <f>IFERROR(__xludf.DUMMYFUNCTION("""COMPUTED_VALUE"""),"Yes")</f>
        <v>Yes</v>
      </c>
      <c r="AE654" s="5" t="str">
        <f>IFERROR(__xludf.DUMMYFUNCTION("""COMPUTED_VALUE"""),"Yes")</f>
        <v>Yes</v>
      </c>
      <c r="AF654" s="5" t="str">
        <f>IFERROR(__xludf.DUMMYFUNCTION("""COMPUTED_VALUE"""),"Yes")</f>
        <v>Yes</v>
      </c>
      <c r="AG654" s="5" t="str">
        <f>IFERROR(__xludf.DUMMYFUNCTION("""COMPUTED_VALUE"""),"Yes")</f>
        <v>Yes</v>
      </c>
      <c r="AH654" s="5" t="str">
        <f>IFERROR(__xludf.DUMMYFUNCTION("""COMPUTED_VALUE"""),"Yes")</f>
        <v>Yes</v>
      </c>
      <c r="AI654" s="5" t="str">
        <f>IFERROR(__xludf.DUMMYFUNCTION("""COMPUTED_VALUE"""),"No")</f>
        <v>No</v>
      </c>
      <c r="AJ654" s="5" t="str">
        <f>IFERROR(__xludf.DUMMYFUNCTION("""COMPUTED_VALUE"""),"No")</f>
        <v>No</v>
      </c>
      <c r="AK654" s="5" t="str">
        <f>IFERROR(__xludf.DUMMYFUNCTION("""COMPUTED_VALUE"""),"No")</f>
        <v>No</v>
      </c>
      <c r="AL654" s="5" t="str">
        <f>IFERROR(__xludf.DUMMYFUNCTION("""COMPUTED_VALUE"""),"No")</f>
        <v>No</v>
      </c>
      <c r="AM654" s="5"/>
      <c r="AN654" s="5"/>
      <c r="AO654" s="5"/>
      <c r="AP654" s="5"/>
      <c r="AQ654" s="5"/>
      <c r="AR654" s="5"/>
      <c r="AS654" s="5"/>
      <c r="AT654" s="5"/>
      <c r="AU654" s="5"/>
      <c r="AV654" s="5"/>
      <c r="AW654" s="5"/>
      <c r="AX654" s="5"/>
      <c r="AY654" s="5"/>
    </row>
    <row r="655">
      <c r="A6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5" s="5">
        <f>IFERROR(__xludf.DUMMYFUNCTION("""COMPUTED_VALUE"""),690.0)</f>
        <v>690</v>
      </c>
      <c r="C655" s="5">
        <f>IFERROR(__xludf.DUMMYFUNCTION("""COMPUTED_VALUE"""),1018.0)</f>
        <v>1018</v>
      </c>
      <c r="D655" s="5" t="str">
        <f>IFERROR(__xludf.DUMMYFUNCTION("""COMPUTED_VALUE"""),"LockedHearts10")</f>
        <v>LockedHearts10</v>
      </c>
      <c r="E655" s="5" t="str">
        <f>IFERROR(__xludf.DUMMYFUNCTION("""COMPUTED_VALUE"""),"Yes")</f>
        <v>Yes</v>
      </c>
      <c r="F655" s="5" t="str">
        <f>IFERROR(__xludf.DUMMYFUNCTION("""COMPUTED_VALUE"""),"Yes")</f>
        <v>Yes</v>
      </c>
      <c r="G655" s="5" t="str">
        <f>IFERROR(__xludf.DUMMYFUNCTION("""COMPUTED_VALUE"""),"Yes")</f>
        <v>Yes</v>
      </c>
      <c r="H655" s="5" t="str">
        <f>IFERROR(__xludf.DUMMYFUNCTION("""COMPUTED_VALUE"""),"Yes")</f>
        <v>Yes</v>
      </c>
      <c r="I655" s="5" t="str">
        <f>IFERROR(__xludf.DUMMYFUNCTION("""COMPUTED_VALUE"""),"Yes")</f>
        <v>Yes</v>
      </c>
      <c r="J655" s="5" t="str">
        <f>IFERROR(__xludf.DUMMYFUNCTION("""COMPUTED_VALUE"""),"Yes")</f>
        <v>Yes</v>
      </c>
      <c r="K655" s="5" t="str">
        <f>IFERROR(__xludf.DUMMYFUNCTION("""COMPUTED_VALUE"""),"Yes")</f>
        <v>Yes</v>
      </c>
      <c r="L655" s="5" t="str">
        <f>IFERROR(__xludf.DUMMYFUNCTION("""COMPUTED_VALUE"""),"Yes")</f>
        <v>Yes</v>
      </c>
      <c r="M655" s="5" t="str">
        <f>IFERROR(__xludf.DUMMYFUNCTION("""COMPUTED_VALUE"""),"Yes")</f>
        <v>Yes</v>
      </c>
      <c r="N655" s="5" t="str">
        <f>IFERROR(__xludf.DUMMYFUNCTION("""COMPUTED_VALUE"""),"Yes")</f>
        <v>Yes</v>
      </c>
      <c r="O655" s="5" t="str">
        <f>IFERROR(__xludf.DUMMYFUNCTION("""COMPUTED_VALUE"""),"Yes")</f>
        <v>Yes</v>
      </c>
      <c r="P655" s="5" t="str">
        <f>IFERROR(__xludf.DUMMYFUNCTION("""COMPUTED_VALUE"""),"Yes")</f>
        <v>Yes</v>
      </c>
      <c r="Q655" s="5" t="str">
        <f>IFERROR(__xludf.DUMMYFUNCTION("""COMPUTED_VALUE"""),"Yes")</f>
        <v>Yes</v>
      </c>
      <c r="R655" s="5" t="str">
        <f>IFERROR(__xludf.DUMMYFUNCTION("""COMPUTED_VALUE"""),"Yes")</f>
        <v>Yes</v>
      </c>
      <c r="S655" s="5" t="str">
        <f>IFERROR(__xludf.DUMMYFUNCTION("""COMPUTED_VALUE"""),"Yes")</f>
        <v>Yes</v>
      </c>
      <c r="T655" s="5" t="str">
        <f>IFERROR(__xludf.DUMMYFUNCTION("""COMPUTED_VALUE"""),"Yes")</f>
        <v>Yes</v>
      </c>
      <c r="U655" s="5" t="str">
        <f>IFERROR(__xludf.DUMMYFUNCTION("""COMPUTED_VALUE"""),"Yes")</f>
        <v>Yes</v>
      </c>
      <c r="V655" s="5" t="str">
        <f>IFERROR(__xludf.DUMMYFUNCTION("""COMPUTED_VALUE"""),"Yes")</f>
        <v>Yes</v>
      </c>
      <c r="W655" s="5" t="str">
        <f>IFERROR(__xludf.DUMMYFUNCTION("""COMPUTED_VALUE"""),"Yes")</f>
        <v>Yes</v>
      </c>
      <c r="X655" s="5" t="str">
        <f>IFERROR(__xludf.DUMMYFUNCTION("""COMPUTED_VALUE"""),"Yes")</f>
        <v>Yes</v>
      </c>
      <c r="Y655" s="5" t="str">
        <f>IFERROR(__xludf.DUMMYFUNCTION("""COMPUTED_VALUE"""),"Yes")</f>
        <v>Yes</v>
      </c>
      <c r="Z655" s="5" t="str">
        <f>IFERROR(__xludf.DUMMYFUNCTION("""COMPUTED_VALUE"""),"Yes")</f>
        <v>Yes</v>
      </c>
      <c r="AA655" s="5" t="str">
        <f>IFERROR(__xludf.DUMMYFUNCTION("""COMPUTED_VALUE"""),"Yes")</f>
        <v>Yes</v>
      </c>
      <c r="AB655" s="5" t="str">
        <f>IFERROR(__xludf.DUMMYFUNCTION("""COMPUTED_VALUE"""),"Yes")</f>
        <v>Yes</v>
      </c>
      <c r="AC655" s="5" t="str">
        <f>IFERROR(__xludf.DUMMYFUNCTION("""COMPUTED_VALUE"""),"Yes")</f>
        <v>Yes</v>
      </c>
      <c r="AD655" s="5" t="str">
        <f>IFERROR(__xludf.DUMMYFUNCTION("""COMPUTED_VALUE"""),"Yes")</f>
        <v>Yes</v>
      </c>
      <c r="AE655" s="5" t="str">
        <f>IFERROR(__xludf.DUMMYFUNCTION("""COMPUTED_VALUE"""),"Yes")</f>
        <v>Yes</v>
      </c>
      <c r="AF655" s="5" t="str">
        <f>IFERROR(__xludf.DUMMYFUNCTION("""COMPUTED_VALUE"""),"Yes")</f>
        <v>Yes</v>
      </c>
      <c r="AG655" s="5" t="str">
        <f>IFERROR(__xludf.DUMMYFUNCTION("""COMPUTED_VALUE"""),"Yes")</f>
        <v>Yes</v>
      </c>
      <c r="AH655" s="5" t="str">
        <f>IFERROR(__xludf.DUMMYFUNCTION("""COMPUTED_VALUE"""),"Yes")</f>
        <v>Yes</v>
      </c>
      <c r="AI655" s="5" t="str">
        <f>IFERROR(__xludf.DUMMYFUNCTION("""COMPUTED_VALUE"""),"Yes")</f>
        <v>Yes</v>
      </c>
      <c r="AJ655" s="5" t="str">
        <f>IFERROR(__xludf.DUMMYFUNCTION("""COMPUTED_VALUE"""),"Yes")</f>
        <v>Yes</v>
      </c>
      <c r="AK655" s="5" t="str">
        <f>IFERROR(__xludf.DUMMYFUNCTION("""COMPUTED_VALUE"""),"Yes")</f>
        <v>Yes</v>
      </c>
      <c r="AL655" s="5" t="str">
        <f>IFERROR(__xludf.DUMMYFUNCTION("""COMPUTED_VALUE"""),"No")</f>
        <v>No</v>
      </c>
      <c r="AM655" s="5"/>
      <c r="AN655" s="5"/>
      <c r="AO655" s="5"/>
      <c r="AP655" s="5"/>
      <c r="AQ655" s="5"/>
      <c r="AR655" s="5"/>
      <c r="AS655" s="5"/>
      <c r="AT655" s="5"/>
      <c r="AU655" s="5"/>
      <c r="AV655" s="5"/>
      <c r="AW655" s="5"/>
      <c r="AX655" s="5"/>
      <c r="AY655" s="5"/>
    </row>
    <row r="656">
      <c r="A6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6" s="5">
        <f>IFERROR(__xludf.DUMMYFUNCTION("""COMPUTED_VALUE"""),691.0)</f>
        <v>691</v>
      </c>
      <c r="C656" s="5">
        <f>IFERROR(__xludf.DUMMYFUNCTION("""COMPUTED_VALUE"""),1017.0)</f>
        <v>1017</v>
      </c>
      <c r="D656" s="5" t="str">
        <f>IFERROR(__xludf.DUMMYFUNCTION("""COMPUTED_VALUE"""),"LockedHearts5")</f>
        <v>LockedHearts5</v>
      </c>
      <c r="E656" s="5" t="str">
        <f>IFERROR(__xludf.DUMMYFUNCTION("""COMPUTED_VALUE"""),"Yes")</f>
        <v>Yes</v>
      </c>
      <c r="F656" s="5" t="str">
        <f>IFERROR(__xludf.DUMMYFUNCTION("""COMPUTED_VALUE"""),"Yes")</f>
        <v>Yes</v>
      </c>
      <c r="G656" s="5" t="str">
        <f>IFERROR(__xludf.DUMMYFUNCTION("""COMPUTED_VALUE"""),"Yes")</f>
        <v>Yes</v>
      </c>
      <c r="H656" s="5" t="str">
        <f>IFERROR(__xludf.DUMMYFUNCTION("""COMPUTED_VALUE"""),"Yes")</f>
        <v>Yes</v>
      </c>
      <c r="I656" s="5" t="str">
        <f>IFERROR(__xludf.DUMMYFUNCTION("""COMPUTED_VALUE"""),"Yes")</f>
        <v>Yes</v>
      </c>
      <c r="J656" s="5" t="str">
        <f>IFERROR(__xludf.DUMMYFUNCTION("""COMPUTED_VALUE"""),"Yes")</f>
        <v>Yes</v>
      </c>
      <c r="K656" s="5" t="str">
        <f>IFERROR(__xludf.DUMMYFUNCTION("""COMPUTED_VALUE"""),"Yes")</f>
        <v>Yes</v>
      </c>
      <c r="L656" s="5" t="str">
        <f>IFERROR(__xludf.DUMMYFUNCTION("""COMPUTED_VALUE"""),"Yes")</f>
        <v>Yes</v>
      </c>
      <c r="M656" s="5" t="str">
        <f>IFERROR(__xludf.DUMMYFUNCTION("""COMPUTED_VALUE"""),"Yes")</f>
        <v>Yes</v>
      </c>
      <c r="N656" s="5" t="str">
        <f>IFERROR(__xludf.DUMMYFUNCTION("""COMPUTED_VALUE"""),"Yes")</f>
        <v>Yes</v>
      </c>
      <c r="O656" s="5" t="str">
        <f>IFERROR(__xludf.DUMMYFUNCTION("""COMPUTED_VALUE"""),"Yes")</f>
        <v>Yes</v>
      </c>
      <c r="P656" s="5" t="str">
        <f>IFERROR(__xludf.DUMMYFUNCTION("""COMPUTED_VALUE"""),"Yes")</f>
        <v>Yes</v>
      </c>
      <c r="Q656" s="5" t="str">
        <f>IFERROR(__xludf.DUMMYFUNCTION("""COMPUTED_VALUE"""),"Yes")</f>
        <v>Yes</v>
      </c>
      <c r="R656" s="5" t="str">
        <f>IFERROR(__xludf.DUMMYFUNCTION("""COMPUTED_VALUE"""),"Yes")</f>
        <v>Yes</v>
      </c>
      <c r="S656" s="5" t="str">
        <f>IFERROR(__xludf.DUMMYFUNCTION("""COMPUTED_VALUE"""),"Yes")</f>
        <v>Yes</v>
      </c>
      <c r="T656" s="5" t="str">
        <f>IFERROR(__xludf.DUMMYFUNCTION("""COMPUTED_VALUE"""),"Yes")</f>
        <v>Yes</v>
      </c>
      <c r="U656" s="5" t="str">
        <f>IFERROR(__xludf.DUMMYFUNCTION("""COMPUTED_VALUE"""),"Yes")</f>
        <v>Yes</v>
      </c>
      <c r="V656" s="5" t="str">
        <f>IFERROR(__xludf.DUMMYFUNCTION("""COMPUTED_VALUE"""),"Yes")</f>
        <v>Yes</v>
      </c>
      <c r="W656" s="5" t="str">
        <f>IFERROR(__xludf.DUMMYFUNCTION("""COMPUTED_VALUE"""),"Yes")</f>
        <v>Yes</v>
      </c>
      <c r="X656" s="5" t="str">
        <f>IFERROR(__xludf.DUMMYFUNCTION("""COMPUTED_VALUE"""),"Yes")</f>
        <v>Yes</v>
      </c>
      <c r="Y656" s="5" t="str">
        <f>IFERROR(__xludf.DUMMYFUNCTION("""COMPUTED_VALUE"""),"Yes")</f>
        <v>Yes</v>
      </c>
      <c r="Z656" s="5" t="str">
        <f>IFERROR(__xludf.DUMMYFUNCTION("""COMPUTED_VALUE"""),"Yes")</f>
        <v>Yes</v>
      </c>
      <c r="AA656" s="5" t="str">
        <f>IFERROR(__xludf.DUMMYFUNCTION("""COMPUTED_VALUE"""),"Yes")</f>
        <v>Yes</v>
      </c>
      <c r="AB656" s="5" t="str">
        <f>IFERROR(__xludf.DUMMYFUNCTION("""COMPUTED_VALUE"""),"Yes")</f>
        <v>Yes</v>
      </c>
      <c r="AC656" s="5" t="str">
        <f>IFERROR(__xludf.DUMMYFUNCTION("""COMPUTED_VALUE"""),"Yes")</f>
        <v>Yes</v>
      </c>
      <c r="AD656" s="5" t="str">
        <f>IFERROR(__xludf.DUMMYFUNCTION("""COMPUTED_VALUE"""),"Yes")</f>
        <v>Yes</v>
      </c>
      <c r="AE656" s="5" t="str">
        <f>IFERROR(__xludf.DUMMYFUNCTION("""COMPUTED_VALUE"""),"Yes")</f>
        <v>Yes</v>
      </c>
      <c r="AF656" s="5" t="str">
        <f>IFERROR(__xludf.DUMMYFUNCTION("""COMPUTED_VALUE"""),"Yes")</f>
        <v>Yes</v>
      </c>
      <c r="AG656" s="5" t="str">
        <f>IFERROR(__xludf.DUMMYFUNCTION("""COMPUTED_VALUE"""),"Yes")</f>
        <v>Yes</v>
      </c>
      <c r="AH656" s="5" t="str">
        <f>IFERROR(__xludf.DUMMYFUNCTION("""COMPUTED_VALUE"""),"Yes")</f>
        <v>Yes</v>
      </c>
      <c r="AI656" s="5" t="str">
        <f>IFERROR(__xludf.DUMMYFUNCTION("""COMPUTED_VALUE"""),"Yes")</f>
        <v>Yes</v>
      </c>
      <c r="AJ656" s="5" t="str">
        <f>IFERROR(__xludf.DUMMYFUNCTION("""COMPUTED_VALUE"""),"Yes")</f>
        <v>Yes</v>
      </c>
      <c r="AK656" s="5" t="str">
        <f>IFERROR(__xludf.DUMMYFUNCTION("""COMPUTED_VALUE"""),"Yes")</f>
        <v>Yes</v>
      </c>
      <c r="AL656" s="5" t="str">
        <f>IFERROR(__xludf.DUMMYFUNCTION("""COMPUTED_VALUE"""),"No")</f>
        <v>No</v>
      </c>
      <c r="AM656" s="5"/>
      <c r="AN656" s="5"/>
      <c r="AO656" s="5"/>
      <c r="AP656" s="5"/>
      <c r="AQ656" s="5"/>
      <c r="AR656" s="5"/>
      <c r="AS656" s="5"/>
      <c r="AT656" s="5"/>
      <c r="AU656" s="5"/>
      <c r="AV656" s="5"/>
      <c r="AW656" s="5"/>
      <c r="AX656" s="5"/>
      <c r="AY656" s="5"/>
    </row>
    <row r="657">
      <c r="A6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7" s="5">
        <f>IFERROR(__xludf.DUMMYFUNCTION("""COMPUTED_VALUE"""),692.0)</f>
        <v>692</v>
      </c>
      <c r="C657" s="5">
        <f>IFERROR(__xludf.DUMMYFUNCTION("""COMPUTED_VALUE"""),1019.0)</f>
        <v>1019</v>
      </c>
      <c r="D657" s="5" t="str">
        <f>IFERROR(__xludf.DUMMYFUNCTION("""COMPUTED_VALUE"""),"LockedHearts20")</f>
        <v>LockedHearts20</v>
      </c>
      <c r="E657" s="5" t="str">
        <f>IFERROR(__xludf.DUMMYFUNCTION("""COMPUTED_VALUE"""),"Yes")</f>
        <v>Yes</v>
      </c>
      <c r="F657" s="5" t="str">
        <f>IFERROR(__xludf.DUMMYFUNCTION("""COMPUTED_VALUE"""),"Yes")</f>
        <v>Yes</v>
      </c>
      <c r="G657" s="5" t="str">
        <f>IFERROR(__xludf.DUMMYFUNCTION("""COMPUTED_VALUE"""),"Yes")</f>
        <v>Yes</v>
      </c>
      <c r="H657" s="5" t="str">
        <f>IFERROR(__xludf.DUMMYFUNCTION("""COMPUTED_VALUE"""),"Yes")</f>
        <v>Yes</v>
      </c>
      <c r="I657" s="5" t="str">
        <f>IFERROR(__xludf.DUMMYFUNCTION("""COMPUTED_VALUE"""),"Yes")</f>
        <v>Yes</v>
      </c>
      <c r="J657" s="5" t="str">
        <f>IFERROR(__xludf.DUMMYFUNCTION("""COMPUTED_VALUE"""),"Yes")</f>
        <v>Yes</v>
      </c>
      <c r="K657" s="5" t="str">
        <f>IFERROR(__xludf.DUMMYFUNCTION("""COMPUTED_VALUE"""),"Yes")</f>
        <v>Yes</v>
      </c>
      <c r="L657" s="5" t="str">
        <f>IFERROR(__xludf.DUMMYFUNCTION("""COMPUTED_VALUE"""),"Yes")</f>
        <v>Yes</v>
      </c>
      <c r="M657" s="5" t="str">
        <f>IFERROR(__xludf.DUMMYFUNCTION("""COMPUTED_VALUE"""),"Yes")</f>
        <v>Yes</v>
      </c>
      <c r="N657" s="5" t="str">
        <f>IFERROR(__xludf.DUMMYFUNCTION("""COMPUTED_VALUE"""),"Yes")</f>
        <v>Yes</v>
      </c>
      <c r="O657" s="5" t="str">
        <f>IFERROR(__xludf.DUMMYFUNCTION("""COMPUTED_VALUE"""),"Yes")</f>
        <v>Yes</v>
      </c>
      <c r="P657" s="5" t="str">
        <f>IFERROR(__xludf.DUMMYFUNCTION("""COMPUTED_VALUE"""),"Yes")</f>
        <v>Yes</v>
      </c>
      <c r="Q657" s="5" t="str">
        <f>IFERROR(__xludf.DUMMYFUNCTION("""COMPUTED_VALUE"""),"Yes")</f>
        <v>Yes</v>
      </c>
      <c r="R657" s="5" t="str">
        <f>IFERROR(__xludf.DUMMYFUNCTION("""COMPUTED_VALUE"""),"Yes")</f>
        <v>Yes</v>
      </c>
      <c r="S657" s="5" t="str">
        <f>IFERROR(__xludf.DUMMYFUNCTION("""COMPUTED_VALUE"""),"Yes")</f>
        <v>Yes</v>
      </c>
      <c r="T657" s="5" t="str">
        <f>IFERROR(__xludf.DUMMYFUNCTION("""COMPUTED_VALUE"""),"Yes")</f>
        <v>Yes</v>
      </c>
      <c r="U657" s="5" t="str">
        <f>IFERROR(__xludf.DUMMYFUNCTION("""COMPUTED_VALUE"""),"Yes")</f>
        <v>Yes</v>
      </c>
      <c r="V657" s="5" t="str">
        <f>IFERROR(__xludf.DUMMYFUNCTION("""COMPUTED_VALUE"""),"Yes")</f>
        <v>Yes</v>
      </c>
      <c r="W657" s="5" t="str">
        <f>IFERROR(__xludf.DUMMYFUNCTION("""COMPUTED_VALUE"""),"Yes")</f>
        <v>Yes</v>
      </c>
      <c r="X657" s="5" t="str">
        <f>IFERROR(__xludf.DUMMYFUNCTION("""COMPUTED_VALUE"""),"Yes")</f>
        <v>Yes</v>
      </c>
      <c r="Y657" s="5" t="str">
        <f>IFERROR(__xludf.DUMMYFUNCTION("""COMPUTED_VALUE"""),"Yes")</f>
        <v>Yes</v>
      </c>
      <c r="Z657" s="5" t="str">
        <f>IFERROR(__xludf.DUMMYFUNCTION("""COMPUTED_VALUE"""),"Yes")</f>
        <v>Yes</v>
      </c>
      <c r="AA657" s="5" t="str">
        <f>IFERROR(__xludf.DUMMYFUNCTION("""COMPUTED_VALUE"""),"Yes")</f>
        <v>Yes</v>
      </c>
      <c r="AB657" s="5" t="str">
        <f>IFERROR(__xludf.DUMMYFUNCTION("""COMPUTED_VALUE"""),"Yes")</f>
        <v>Yes</v>
      </c>
      <c r="AC657" s="5" t="str">
        <f>IFERROR(__xludf.DUMMYFUNCTION("""COMPUTED_VALUE"""),"Yes")</f>
        <v>Yes</v>
      </c>
      <c r="AD657" s="5" t="str">
        <f>IFERROR(__xludf.DUMMYFUNCTION("""COMPUTED_VALUE"""),"Yes")</f>
        <v>Yes</v>
      </c>
      <c r="AE657" s="5" t="str">
        <f>IFERROR(__xludf.DUMMYFUNCTION("""COMPUTED_VALUE"""),"Yes")</f>
        <v>Yes</v>
      </c>
      <c r="AF657" s="5" t="str">
        <f>IFERROR(__xludf.DUMMYFUNCTION("""COMPUTED_VALUE"""),"Yes")</f>
        <v>Yes</v>
      </c>
      <c r="AG657" s="5" t="str">
        <f>IFERROR(__xludf.DUMMYFUNCTION("""COMPUTED_VALUE"""),"Yes")</f>
        <v>Yes</v>
      </c>
      <c r="AH657" s="5" t="str">
        <f>IFERROR(__xludf.DUMMYFUNCTION("""COMPUTED_VALUE"""),"Yes")</f>
        <v>Yes</v>
      </c>
      <c r="AI657" s="5" t="str">
        <f>IFERROR(__xludf.DUMMYFUNCTION("""COMPUTED_VALUE"""),"Yes")</f>
        <v>Yes</v>
      </c>
      <c r="AJ657" s="5" t="str">
        <f>IFERROR(__xludf.DUMMYFUNCTION("""COMPUTED_VALUE"""),"Yes")</f>
        <v>Yes</v>
      </c>
      <c r="AK657" s="5" t="str">
        <f>IFERROR(__xludf.DUMMYFUNCTION("""COMPUTED_VALUE"""),"Yes")</f>
        <v>Yes</v>
      </c>
      <c r="AL657" s="5" t="str">
        <f>IFERROR(__xludf.DUMMYFUNCTION("""COMPUTED_VALUE"""),"No")</f>
        <v>No</v>
      </c>
      <c r="AM657" s="5"/>
      <c r="AN657" s="5"/>
      <c r="AO657" s="5"/>
      <c r="AP657" s="5"/>
      <c r="AQ657" s="5"/>
      <c r="AR657" s="5"/>
      <c r="AS657" s="5"/>
      <c r="AT657" s="5"/>
      <c r="AU657" s="5"/>
      <c r="AV657" s="5"/>
      <c r="AW657" s="5"/>
      <c r="AX657" s="5"/>
      <c r="AY657" s="5"/>
    </row>
    <row r="658">
      <c r="A6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8" s="5">
        <f>IFERROR(__xludf.DUMMYFUNCTION("""COMPUTED_VALUE"""),693.0)</f>
        <v>693</v>
      </c>
      <c r="C658" s="5">
        <f>IFERROR(__xludf.DUMMYFUNCTION("""COMPUTED_VALUE"""),1020.0)</f>
        <v>1020</v>
      </c>
      <c r="D658" s="5" t="str">
        <f>IFERROR(__xludf.DUMMYFUNCTION("""COMPUTED_VALUE"""),"LockedHearts40")</f>
        <v>LockedHearts40</v>
      </c>
      <c r="E658" s="5" t="str">
        <f>IFERROR(__xludf.DUMMYFUNCTION("""COMPUTED_VALUE"""),"Yes")</f>
        <v>Yes</v>
      </c>
      <c r="F658" s="5" t="str">
        <f>IFERROR(__xludf.DUMMYFUNCTION("""COMPUTED_VALUE"""),"Yes")</f>
        <v>Yes</v>
      </c>
      <c r="G658" s="5" t="str">
        <f>IFERROR(__xludf.DUMMYFUNCTION("""COMPUTED_VALUE"""),"Yes")</f>
        <v>Yes</v>
      </c>
      <c r="H658" s="5" t="str">
        <f>IFERROR(__xludf.DUMMYFUNCTION("""COMPUTED_VALUE"""),"Yes")</f>
        <v>Yes</v>
      </c>
      <c r="I658" s="5" t="str">
        <f>IFERROR(__xludf.DUMMYFUNCTION("""COMPUTED_VALUE"""),"Yes")</f>
        <v>Yes</v>
      </c>
      <c r="J658" s="5" t="str">
        <f>IFERROR(__xludf.DUMMYFUNCTION("""COMPUTED_VALUE"""),"Yes")</f>
        <v>Yes</v>
      </c>
      <c r="K658" s="5" t="str">
        <f>IFERROR(__xludf.DUMMYFUNCTION("""COMPUTED_VALUE"""),"Yes")</f>
        <v>Yes</v>
      </c>
      <c r="L658" s="5" t="str">
        <f>IFERROR(__xludf.DUMMYFUNCTION("""COMPUTED_VALUE"""),"Yes")</f>
        <v>Yes</v>
      </c>
      <c r="M658" s="5" t="str">
        <f>IFERROR(__xludf.DUMMYFUNCTION("""COMPUTED_VALUE"""),"Yes")</f>
        <v>Yes</v>
      </c>
      <c r="N658" s="5" t="str">
        <f>IFERROR(__xludf.DUMMYFUNCTION("""COMPUTED_VALUE"""),"Yes")</f>
        <v>Yes</v>
      </c>
      <c r="O658" s="5" t="str">
        <f>IFERROR(__xludf.DUMMYFUNCTION("""COMPUTED_VALUE"""),"Yes")</f>
        <v>Yes</v>
      </c>
      <c r="P658" s="5" t="str">
        <f>IFERROR(__xludf.DUMMYFUNCTION("""COMPUTED_VALUE"""),"Yes")</f>
        <v>Yes</v>
      </c>
      <c r="Q658" s="5" t="str">
        <f>IFERROR(__xludf.DUMMYFUNCTION("""COMPUTED_VALUE"""),"Yes")</f>
        <v>Yes</v>
      </c>
      <c r="R658" s="5" t="str">
        <f>IFERROR(__xludf.DUMMYFUNCTION("""COMPUTED_VALUE"""),"Yes")</f>
        <v>Yes</v>
      </c>
      <c r="S658" s="5" t="str">
        <f>IFERROR(__xludf.DUMMYFUNCTION("""COMPUTED_VALUE"""),"Yes")</f>
        <v>Yes</v>
      </c>
      <c r="T658" s="5" t="str">
        <f>IFERROR(__xludf.DUMMYFUNCTION("""COMPUTED_VALUE"""),"Yes")</f>
        <v>Yes</v>
      </c>
      <c r="U658" s="5" t="str">
        <f>IFERROR(__xludf.DUMMYFUNCTION("""COMPUTED_VALUE"""),"Yes")</f>
        <v>Yes</v>
      </c>
      <c r="V658" s="5" t="str">
        <f>IFERROR(__xludf.DUMMYFUNCTION("""COMPUTED_VALUE"""),"Yes")</f>
        <v>Yes</v>
      </c>
      <c r="W658" s="5" t="str">
        <f>IFERROR(__xludf.DUMMYFUNCTION("""COMPUTED_VALUE"""),"Yes")</f>
        <v>Yes</v>
      </c>
      <c r="X658" s="5" t="str">
        <f>IFERROR(__xludf.DUMMYFUNCTION("""COMPUTED_VALUE"""),"Yes")</f>
        <v>Yes</v>
      </c>
      <c r="Y658" s="5" t="str">
        <f>IFERROR(__xludf.DUMMYFUNCTION("""COMPUTED_VALUE"""),"Yes")</f>
        <v>Yes</v>
      </c>
      <c r="Z658" s="5" t="str">
        <f>IFERROR(__xludf.DUMMYFUNCTION("""COMPUTED_VALUE"""),"Yes")</f>
        <v>Yes</v>
      </c>
      <c r="AA658" s="5" t="str">
        <f>IFERROR(__xludf.DUMMYFUNCTION("""COMPUTED_VALUE"""),"Yes")</f>
        <v>Yes</v>
      </c>
      <c r="AB658" s="5" t="str">
        <f>IFERROR(__xludf.DUMMYFUNCTION("""COMPUTED_VALUE"""),"Yes")</f>
        <v>Yes</v>
      </c>
      <c r="AC658" s="5" t="str">
        <f>IFERROR(__xludf.DUMMYFUNCTION("""COMPUTED_VALUE"""),"Yes")</f>
        <v>Yes</v>
      </c>
      <c r="AD658" s="5" t="str">
        <f>IFERROR(__xludf.DUMMYFUNCTION("""COMPUTED_VALUE"""),"Yes")</f>
        <v>Yes</v>
      </c>
      <c r="AE658" s="5" t="str">
        <f>IFERROR(__xludf.DUMMYFUNCTION("""COMPUTED_VALUE"""),"Yes")</f>
        <v>Yes</v>
      </c>
      <c r="AF658" s="5" t="str">
        <f>IFERROR(__xludf.DUMMYFUNCTION("""COMPUTED_VALUE"""),"Yes")</f>
        <v>Yes</v>
      </c>
      <c r="AG658" s="5" t="str">
        <f>IFERROR(__xludf.DUMMYFUNCTION("""COMPUTED_VALUE"""),"Yes")</f>
        <v>Yes</v>
      </c>
      <c r="AH658" s="5" t="str">
        <f>IFERROR(__xludf.DUMMYFUNCTION("""COMPUTED_VALUE"""),"Yes")</f>
        <v>Yes</v>
      </c>
      <c r="AI658" s="5" t="str">
        <f>IFERROR(__xludf.DUMMYFUNCTION("""COMPUTED_VALUE"""),"Yes")</f>
        <v>Yes</v>
      </c>
      <c r="AJ658" s="5" t="str">
        <f>IFERROR(__xludf.DUMMYFUNCTION("""COMPUTED_VALUE"""),"Yes")</f>
        <v>Yes</v>
      </c>
      <c r="AK658" s="5" t="str">
        <f>IFERROR(__xludf.DUMMYFUNCTION("""COMPUTED_VALUE"""),"Yes")</f>
        <v>Yes</v>
      </c>
      <c r="AL658" s="5" t="str">
        <f>IFERROR(__xludf.DUMMYFUNCTION("""COMPUTED_VALUE"""),"No")</f>
        <v>No</v>
      </c>
      <c r="AM658" s="5"/>
      <c r="AN658" s="5"/>
      <c r="AO658" s="5"/>
      <c r="AP658" s="5"/>
      <c r="AQ658" s="5"/>
      <c r="AR658" s="5"/>
      <c r="AS658" s="5"/>
      <c r="AT658" s="5"/>
      <c r="AU658" s="5"/>
      <c r="AV658" s="5"/>
      <c r="AW658" s="5"/>
      <c r="AX658" s="5"/>
      <c r="AY658" s="5"/>
    </row>
    <row r="659">
      <c r="A6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9" s="5">
        <f>IFERROR(__xludf.DUMMYFUNCTION("""COMPUTED_VALUE"""),694.0)</f>
        <v>694</v>
      </c>
      <c r="C659" s="5">
        <f>IFERROR(__xludf.DUMMYFUNCTION("""COMPUTED_VALUE"""),1015.0)</f>
        <v>1015</v>
      </c>
      <c r="D659" s="5" t="str">
        <f>IFERROR(__xludf.DUMMYFUNCTION("""COMPUTED_VALUE"""),"WinningClover5HoldAndWin")</f>
        <v>WinningClover5HoldAndWin</v>
      </c>
      <c r="E659" s="5" t="str">
        <f>IFERROR(__xludf.DUMMYFUNCTION("""COMPUTED_VALUE"""),"Yes")</f>
        <v>Yes</v>
      </c>
      <c r="F659" s="5" t="str">
        <f>IFERROR(__xludf.DUMMYFUNCTION("""COMPUTED_VALUE"""),"Yes")</f>
        <v>Yes</v>
      </c>
      <c r="G659" s="5" t="str">
        <f>IFERROR(__xludf.DUMMYFUNCTION("""COMPUTED_VALUE"""),"Yes")</f>
        <v>Yes</v>
      </c>
      <c r="H659" s="5" t="str">
        <f>IFERROR(__xludf.DUMMYFUNCTION("""COMPUTED_VALUE"""),"Yes")</f>
        <v>Yes</v>
      </c>
      <c r="I659" s="5" t="str">
        <f>IFERROR(__xludf.DUMMYFUNCTION("""COMPUTED_VALUE"""),"Yes")</f>
        <v>Yes</v>
      </c>
      <c r="J659" s="5" t="str">
        <f>IFERROR(__xludf.DUMMYFUNCTION("""COMPUTED_VALUE"""),"Yes")</f>
        <v>Yes</v>
      </c>
      <c r="K659" s="5" t="str">
        <f>IFERROR(__xludf.DUMMYFUNCTION("""COMPUTED_VALUE"""),"Yes")</f>
        <v>Yes</v>
      </c>
      <c r="L659" s="5" t="str">
        <f>IFERROR(__xludf.DUMMYFUNCTION("""COMPUTED_VALUE"""),"Yes")</f>
        <v>Yes</v>
      </c>
      <c r="M659" s="5" t="str">
        <f>IFERROR(__xludf.DUMMYFUNCTION("""COMPUTED_VALUE"""),"Yes")</f>
        <v>Yes</v>
      </c>
      <c r="N659" s="5" t="str">
        <f>IFERROR(__xludf.DUMMYFUNCTION("""COMPUTED_VALUE"""),"Yes")</f>
        <v>Yes</v>
      </c>
      <c r="O659" s="5" t="str">
        <f>IFERROR(__xludf.DUMMYFUNCTION("""COMPUTED_VALUE"""),"Yes")</f>
        <v>Yes</v>
      </c>
      <c r="P659" s="5" t="str">
        <f>IFERROR(__xludf.DUMMYFUNCTION("""COMPUTED_VALUE"""),"Yes")</f>
        <v>Yes</v>
      </c>
      <c r="Q659" s="5" t="str">
        <f>IFERROR(__xludf.DUMMYFUNCTION("""COMPUTED_VALUE"""),"Yes")</f>
        <v>Yes</v>
      </c>
      <c r="R659" s="5" t="str">
        <f>IFERROR(__xludf.DUMMYFUNCTION("""COMPUTED_VALUE"""),"Yes")</f>
        <v>Yes</v>
      </c>
      <c r="S659" s="5" t="str">
        <f>IFERROR(__xludf.DUMMYFUNCTION("""COMPUTED_VALUE"""),"Yes")</f>
        <v>Yes</v>
      </c>
      <c r="T659" s="5" t="str">
        <f>IFERROR(__xludf.DUMMYFUNCTION("""COMPUTED_VALUE"""),"Yes")</f>
        <v>Yes</v>
      </c>
      <c r="U659" s="5" t="str">
        <f>IFERROR(__xludf.DUMMYFUNCTION("""COMPUTED_VALUE"""),"Yes")</f>
        <v>Yes</v>
      </c>
      <c r="V659" s="5" t="str">
        <f>IFERROR(__xludf.DUMMYFUNCTION("""COMPUTED_VALUE"""),"Yes")</f>
        <v>Yes</v>
      </c>
      <c r="W659" s="5" t="str">
        <f>IFERROR(__xludf.DUMMYFUNCTION("""COMPUTED_VALUE"""),"Yes")</f>
        <v>Yes</v>
      </c>
      <c r="X659" s="5" t="str">
        <f>IFERROR(__xludf.DUMMYFUNCTION("""COMPUTED_VALUE"""),"Yes")</f>
        <v>Yes</v>
      </c>
      <c r="Y659" s="5" t="str">
        <f>IFERROR(__xludf.DUMMYFUNCTION("""COMPUTED_VALUE"""),"Yes")</f>
        <v>Yes</v>
      </c>
      <c r="Z659" s="5" t="str">
        <f>IFERROR(__xludf.DUMMYFUNCTION("""COMPUTED_VALUE"""),"Yes")</f>
        <v>Yes</v>
      </c>
      <c r="AA659" s="5" t="str">
        <f>IFERROR(__xludf.DUMMYFUNCTION("""COMPUTED_VALUE"""),"Yes")</f>
        <v>Yes</v>
      </c>
      <c r="AB659" s="5" t="str">
        <f>IFERROR(__xludf.DUMMYFUNCTION("""COMPUTED_VALUE"""),"Yes")</f>
        <v>Yes</v>
      </c>
      <c r="AC659" s="5" t="str">
        <f>IFERROR(__xludf.DUMMYFUNCTION("""COMPUTED_VALUE"""),"Yes")</f>
        <v>Yes</v>
      </c>
      <c r="AD659" s="5" t="str">
        <f>IFERROR(__xludf.DUMMYFUNCTION("""COMPUTED_VALUE"""),"Yes")</f>
        <v>Yes</v>
      </c>
      <c r="AE659" s="5" t="str">
        <f>IFERROR(__xludf.DUMMYFUNCTION("""COMPUTED_VALUE"""),"Yes")</f>
        <v>Yes</v>
      </c>
      <c r="AF659" s="5" t="str">
        <f>IFERROR(__xludf.DUMMYFUNCTION("""COMPUTED_VALUE"""),"Yes")</f>
        <v>Yes</v>
      </c>
      <c r="AG659" s="5" t="str">
        <f>IFERROR(__xludf.DUMMYFUNCTION("""COMPUTED_VALUE"""),"Yes")</f>
        <v>Yes</v>
      </c>
      <c r="AH659" s="5" t="str">
        <f>IFERROR(__xludf.DUMMYFUNCTION("""COMPUTED_VALUE"""),"Yes")</f>
        <v>Yes</v>
      </c>
      <c r="AI659" s="5" t="str">
        <f>IFERROR(__xludf.DUMMYFUNCTION("""COMPUTED_VALUE"""),"No")</f>
        <v>No</v>
      </c>
      <c r="AJ659" s="5" t="str">
        <f>IFERROR(__xludf.DUMMYFUNCTION("""COMPUTED_VALUE"""),"No")</f>
        <v>No</v>
      </c>
      <c r="AK659" s="5" t="str">
        <f>IFERROR(__xludf.DUMMYFUNCTION("""COMPUTED_VALUE"""),"No")</f>
        <v>No</v>
      </c>
      <c r="AL659" s="5" t="str">
        <f>IFERROR(__xludf.DUMMYFUNCTION("""COMPUTED_VALUE"""),"No")</f>
        <v>No</v>
      </c>
      <c r="AM659" s="5"/>
      <c r="AN659" s="5"/>
      <c r="AO659" s="5"/>
      <c r="AP659" s="5"/>
      <c r="AQ659" s="5"/>
      <c r="AR659" s="5"/>
      <c r="AS659" s="5"/>
      <c r="AT659" s="5"/>
      <c r="AU659" s="5"/>
      <c r="AV659" s="5"/>
      <c r="AW659" s="5"/>
      <c r="AX659" s="5"/>
      <c r="AY659" s="5"/>
    </row>
    <row r="660">
      <c r="A6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0" s="5">
        <f>IFERROR(__xludf.DUMMYFUNCTION("""COMPUTED_VALUE"""),695.0)</f>
        <v>695</v>
      </c>
      <c r="C660" s="5">
        <f>IFERROR(__xludf.DUMMYFUNCTION("""COMPUTED_VALUE"""),9.9999999E7)</f>
        <v>99999999</v>
      </c>
      <c r="D660" s="5" t="str">
        <f>IFERROR(__xludf.DUMMYFUNCTION("""COMPUTED_VALUE"""),"royal-jewels-fortune")</f>
        <v>royal-jewels-fortune</v>
      </c>
      <c r="E660" s="5" t="str">
        <f>IFERROR(__xludf.DUMMYFUNCTION("""COMPUTED_VALUE"""),"Yes")</f>
        <v>Yes</v>
      </c>
      <c r="F660" s="5" t="str">
        <f>IFERROR(__xludf.DUMMYFUNCTION("""COMPUTED_VALUE"""),"Yes")</f>
        <v>Yes</v>
      </c>
      <c r="G660" s="5" t="str">
        <f>IFERROR(__xludf.DUMMYFUNCTION("""COMPUTED_VALUE"""),"Yes")</f>
        <v>Yes</v>
      </c>
      <c r="H660" s="5" t="str">
        <f>IFERROR(__xludf.DUMMYFUNCTION("""COMPUTED_VALUE"""),"Yes")</f>
        <v>Yes</v>
      </c>
      <c r="I660" s="5" t="str">
        <f>IFERROR(__xludf.DUMMYFUNCTION("""COMPUTED_VALUE"""),"Yes")</f>
        <v>Yes</v>
      </c>
      <c r="J660" s="5" t="str">
        <f>IFERROR(__xludf.DUMMYFUNCTION("""COMPUTED_VALUE"""),"Yes")</f>
        <v>Yes</v>
      </c>
      <c r="K660" s="5" t="str">
        <f>IFERROR(__xludf.DUMMYFUNCTION("""COMPUTED_VALUE"""),"Yes")</f>
        <v>Yes</v>
      </c>
      <c r="L660" s="5" t="str">
        <f>IFERROR(__xludf.DUMMYFUNCTION("""COMPUTED_VALUE"""),"Yes")</f>
        <v>Yes</v>
      </c>
      <c r="M660" s="5" t="str">
        <f>IFERROR(__xludf.DUMMYFUNCTION("""COMPUTED_VALUE"""),"Yes")</f>
        <v>Yes</v>
      </c>
      <c r="N660" s="5" t="str">
        <f>IFERROR(__xludf.DUMMYFUNCTION("""COMPUTED_VALUE"""),"Yes")</f>
        <v>Yes</v>
      </c>
      <c r="O660" s="5" t="str">
        <f>IFERROR(__xludf.DUMMYFUNCTION("""COMPUTED_VALUE"""),"Yes")</f>
        <v>Yes</v>
      </c>
      <c r="P660" s="5" t="str">
        <f>IFERROR(__xludf.DUMMYFUNCTION("""COMPUTED_VALUE"""),"Yes")</f>
        <v>Yes</v>
      </c>
      <c r="Q660" s="5" t="str">
        <f>IFERROR(__xludf.DUMMYFUNCTION("""COMPUTED_VALUE"""),"Yes")</f>
        <v>Yes</v>
      </c>
      <c r="R660" s="5" t="str">
        <f>IFERROR(__xludf.DUMMYFUNCTION("""COMPUTED_VALUE"""),"Yes")</f>
        <v>Yes</v>
      </c>
      <c r="S660" s="5" t="str">
        <f>IFERROR(__xludf.DUMMYFUNCTION("""COMPUTED_VALUE"""),"Yes")</f>
        <v>Yes</v>
      </c>
      <c r="T660" s="5" t="str">
        <f>IFERROR(__xludf.DUMMYFUNCTION("""COMPUTED_VALUE"""),"Yes")</f>
        <v>Yes</v>
      </c>
      <c r="U660" s="5" t="str">
        <f>IFERROR(__xludf.DUMMYFUNCTION("""COMPUTED_VALUE"""),"Yes")</f>
        <v>Yes</v>
      </c>
      <c r="V660" s="5" t="str">
        <f>IFERROR(__xludf.DUMMYFUNCTION("""COMPUTED_VALUE"""),"Yes")</f>
        <v>Yes</v>
      </c>
      <c r="W660" s="5" t="str">
        <f>IFERROR(__xludf.DUMMYFUNCTION("""COMPUTED_VALUE"""),"Yes")</f>
        <v>Yes</v>
      </c>
      <c r="X660" s="5" t="str">
        <f>IFERROR(__xludf.DUMMYFUNCTION("""COMPUTED_VALUE"""),"Yes")</f>
        <v>Yes</v>
      </c>
      <c r="Y660" s="5" t="str">
        <f>IFERROR(__xludf.DUMMYFUNCTION("""COMPUTED_VALUE"""),"Yes")</f>
        <v>Yes</v>
      </c>
      <c r="Z660" s="5" t="str">
        <f>IFERROR(__xludf.DUMMYFUNCTION("""COMPUTED_VALUE"""),"Yes")</f>
        <v>Yes</v>
      </c>
      <c r="AA660" s="5" t="str">
        <f>IFERROR(__xludf.DUMMYFUNCTION("""COMPUTED_VALUE"""),"Yes")</f>
        <v>Yes</v>
      </c>
      <c r="AB660" s="5" t="str">
        <f>IFERROR(__xludf.DUMMYFUNCTION("""COMPUTED_VALUE"""),"Yes")</f>
        <v>Yes</v>
      </c>
      <c r="AC660" s="5" t="str">
        <f>IFERROR(__xludf.DUMMYFUNCTION("""COMPUTED_VALUE"""),"Yes")</f>
        <v>Yes</v>
      </c>
      <c r="AD660" s="5" t="str">
        <f>IFERROR(__xludf.DUMMYFUNCTION("""COMPUTED_VALUE"""),"Yes")</f>
        <v>Yes</v>
      </c>
      <c r="AE660" s="5" t="str">
        <f>IFERROR(__xludf.DUMMYFUNCTION("""COMPUTED_VALUE"""),"Yes")</f>
        <v>Yes</v>
      </c>
      <c r="AF660" s="5" t="str">
        <f>IFERROR(__xludf.DUMMYFUNCTION("""COMPUTED_VALUE"""),"Yes")</f>
        <v>Yes</v>
      </c>
      <c r="AG660" s="5" t="str">
        <f>IFERROR(__xludf.DUMMYFUNCTION("""COMPUTED_VALUE"""),"Yes")</f>
        <v>Yes</v>
      </c>
      <c r="AH660" s="5" t="str">
        <f>IFERROR(__xludf.DUMMYFUNCTION("""COMPUTED_VALUE"""),"Yes")</f>
        <v>Yes</v>
      </c>
      <c r="AI660" s="5" t="str">
        <f>IFERROR(__xludf.DUMMYFUNCTION("""COMPUTED_VALUE"""),"Yes")</f>
        <v>Yes</v>
      </c>
      <c r="AJ660" s="5" t="str">
        <f>IFERROR(__xludf.DUMMYFUNCTION("""COMPUTED_VALUE"""),"Yes")</f>
        <v>Yes</v>
      </c>
      <c r="AK660" s="5" t="str">
        <f>IFERROR(__xludf.DUMMYFUNCTION("""COMPUTED_VALUE"""),"Yes")</f>
        <v>Yes</v>
      </c>
      <c r="AL660" s="5"/>
      <c r="AM660" s="5"/>
      <c r="AN660" s="5"/>
      <c r="AO660" s="5"/>
      <c r="AP660" s="5"/>
      <c r="AQ660" s="5"/>
      <c r="AR660" s="5"/>
      <c r="AS660" s="5"/>
      <c r="AT660" s="5"/>
      <c r="AU660" s="5"/>
      <c r="AV660" s="5"/>
      <c r="AW660" s="5"/>
      <c r="AX660" s="5"/>
      <c r="AY660" s="5"/>
    </row>
    <row r="661">
      <c r="A6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1" s="5">
        <f>IFERROR(__xludf.DUMMYFUNCTION("""COMPUTED_VALUE"""),696.0)</f>
        <v>696</v>
      </c>
      <c r="C661" s="5">
        <f>IFERROR(__xludf.DUMMYFUNCTION("""COMPUTED_VALUE"""),3028.0)</f>
        <v>3028</v>
      </c>
      <c r="D661" s="5" t="str">
        <f>IFERROR(__xludf.DUMMYFUNCTION("""COMPUTED_VALUE"""),"CloversAndDiamonds5")</f>
        <v>CloversAndDiamonds5</v>
      </c>
      <c r="E661" s="5" t="str">
        <f>IFERROR(__xludf.DUMMYFUNCTION("""COMPUTED_VALUE"""),"Yes")</f>
        <v>Yes</v>
      </c>
      <c r="F661" s="5" t="str">
        <f>IFERROR(__xludf.DUMMYFUNCTION("""COMPUTED_VALUE"""),"Yes")</f>
        <v>Yes</v>
      </c>
      <c r="G661" s="5" t="str">
        <f>IFERROR(__xludf.DUMMYFUNCTION("""COMPUTED_VALUE"""),"Yes")</f>
        <v>Yes</v>
      </c>
      <c r="H661" s="5" t="str">
        <f>IFERROR(__xludf.DUMMYFUNCTION("""COMPUTED_VALUE"""),"Yes")</f>
        <v>Yes</v>
      </c>
      <c r="I661" s="5" t="str">
        <f>IFERROR(__xludf.DUMMYFUNCTION("""COMPUTED_VALUE"""),"Yes")</f>
        <v>Yes</v>
      </c>
      <c r="J661" s="5" t="str">
        <f>IFERROR(__xludf.DUMMYFUNCTION("""COMPUTED_VALUE"""),"Yes")</f>
        <v>Yes</v>
      </c>
      <c r="K661" s="5" t="str">
        <f>IFERROR(__xludf.DUMMYFUNCTION("""COMPUTED_VALUE"""),"Yes")</f>
        <v>Yes</v>
      </c>
      <c r="L661" s="5" t="str">
        <f>IFERROR(__xludf.DUMMYFUNCTION("""COMPUTED_VALUE"""),"Yes")</f>
        <v>Yes</v>
      </c>
      <c r="M661" s="5" t="str">
        <f>IFERROR(__xludf.DUMMYFUNCTION("""COMPUTED_VALUE"""),"Yes")</f>
        <v>Yes</v>
      </c>
      <c r="N661" s="5" t="str">
        <f>IFERROR(__xludf.DUMMYFUNCTION("""COMPUTED_VALUE"""),"Yes")</f>
        <v>Yes</v>
      </c>
      <c r="O661" s="5" t="str">
        <f>IFERROR(__xludf.DUMMYFUNCTION("""COMPUTED_VALUE"""),"Yes")</f>
        <v>Yes</v>
      </c>
      <c r="P661" s="5" t="str">
        <f>IFERROR(__xludf.DUMMYFUNCTION("""COMPUTED_VALUE"""),"Yes")</f>
        <v>Yes</v>
      </c>
      <c r="Q661" s="5" t="str">
        <f>IFERROR(__xludf.DUMMYFUNCTION("""COMPUTED_VALUE"""),"Yes")</f>
        <v>Yes</v>
      </c>
      <c r="R661" s="5" t="str">
        <f>IFERROR(__xludf.DUMMYFUNCTION("""COMPUTED_VALUE"""),"Yes")</f>
        <v>Yes</v>
      </c>
      <c r="S661" s="5" t="str">
        <f>IFERROR(__xludf.DUMMYFUNCTION("""COMPUTED_VALUE"""),"Yes")</f>
        <v>Yes</v>
      </c>
      <c r="T661" s="5" t="str">
        <f>IFERROR(__xludf.DUMMYFUNCTION("""COMPUTED_VALUE"""),"Yes")</f>
        <v>Yes</v>
      </c>
      <c r="U661" s="5" t="str">
        <f>IFERROR(__xludf.DUMMYFUNCTION("""COMPUTED_VALUE"""),"Yes")</f>
        <v>Yes</v>
      </c>
      <c r="V661" s="5" t="str">
        <f>IFERROR(__xludf.DUMMYFUNCTION("""COMPUTED_VALUE"""),"Yes")</f>
        <v>Yes</v>
      </c>
      <c r="W661" s="5" t="str">
        <f>IFERROR(__xludf.DUMMYFUNCTION("""COMPUTED_VALUE"""),"Yes")</f>
        <v>Yes</v>
      </c>
      <c r="X661" s="5" t="str">
        <f>IFERROR(__xludf.DUMMYFUNCTION("""COMPUTED_VALUE"""),"Yes")</f>
        <v>Yes</v>
      </c>
      <c r="Y661" s="5" t="str">
        <f>IFERROR(__xludf.DUMMYFUNCTION("""COMPUTED_VALUE"""),"Yes")</f>
        <v>Yes</v>
      </c>
      <c r="Z661" s="5" t="str">
        <f>IFERROR(__xludf.DUMMYFUNCTION("""COMPUTED_VALUE"""),"Yes")</f>
        <v>Yes</v>
      </c>
      <c r="AA661" s="5" t="str">
        <f>IFERROR(__xludf.DUMMYFUNCTION("""COMPUTED_VALUE"""),"Yes")</f>
        <v>Yes</v>
      </c>
      <c r="AB661" s="5" t="str">
        <f>IFERROR(__xludf.DUMMYFUNCTION("""COMPUTED_VALUE"""),"Yes")</f>
        <v>Yes</v>
      </c>
      <c r="AC661" s="5" t="str">
        <f>IFERROR(__xludf.DUMMYFUNCTION("""COMPUTED_VALUE"""),"Yes")</f>
        <v>Yes</v>
      </c>
      <c r="AD661" s="5" t="str">
        <f>IFERROR(__xludf.DUMMYFUNCTION("""COMPUTED_VALUE"""),"Yes")</f>
        <v>Yes</v>
      </c>
      <c r="AE661" s="5" t="str">
        <f>IFERROR(__xludf.DUMMYFUNCTION("""COMPUTED_VALUE"""),"Yes")</f>
        <v>Yes</v>
      </c>
      <c r="AF661" s="5" t="str">
        <f>IFERROR(__xludf.DUMMYFUNCTION("""COMPUTED_VALUE"""),"Yes")</f>
        <v>Yes</v>
      </c>
      <c r="AG661" s="5" t="str">
        <f>IFERROR(__xludf.DUMMYFUNCTION("""COMPUTED_VALUE"""),"Yes")</f>
        <v>Yes</v>
      </c>
      <c r="AH661" s="5" t="str">
        <f>IFERROR(__xludf.DUMMYFUNCTION("""COMPUTED_VALUE"""),"Yes")</f>
        <v>Yes</v>
      </c>
      <c r="AI661" s="5" t="str">
        <f>IFERROR(__xludf.DUMMYFUNCTION("""COMPUTED_VALUE"""),"Yes")</f>
        <v>Yes</v>
      </c>
      <c r="AJ661" s="5" t="str">
        <f>IFERROR(__xludf.DUMMYFUNCTION("""COMPUTED_VALUE"""),"Yes")</f>
        <v>Yes</v>
      </c>
      <c r="AK661" s="5" t="str">
        <f>IFERROR(__xludf.DUMMYFUNCTION("""COMPUTED_VALUE"""),"Yes")</f>
        <v>Yes</v>
      </c>
      <c r="AL661" s="5" t="str">
        <f>IFERROR(__xludf.DUMMYFUNCTION("""COMPUTED_VALUE"""),"No")</f>
        <v>No</v>
      </c>
      <c r="AM661" s="5"/>
      <c r="AN661" s="5"/>
      <c r="AO661" s="5"/>
      <c r="AP661" s="5"/>
      <c r="AQ661" s="5"/>
      <c r="AR661" s="5"/>
      <c r="AS661" s="5"/>
      <c r="AT661" s="5"/>
      <c r="AU661" s="5"/>
      <c r="AV661" s="5"/>
      <c r="AW661" s="5"/>
      <c r="AX661" s="5"/>
      <c r="AY661" s="5"/>
    </row>
    <row r="662">
      <c r="A662" s="5"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B662" s="5">
        <f>IFERROR(__xludf.DUMMYFUNCTION("""COMPUTED_VALUE"""),697.0)</f>
        <v>697</v>
      </c>
      <c r="C662" s="5">
        <f>IFERROR(__xludf.DUMMYFUNCTION("""COMPUTED_VALUE"""),4000008.0)</f>
        <v>4000008</v>
      </c>
      <c r="D662" s="5" t="str">
        <f>IFERROR(__xludf.DUMMYFUNCTION("""COMPUTED_VALUE"""),"UnicornThreeReelTripleFruit")</f>
        <v>UnicornThreeReelTripleFruit</v>
      </c>
      <c r="E662" s="5" t="str">
        <f>IFERROR(__xludf.DUMMYFUNCTION("""COMPUTED_VALUE"""),"Yes")</f>
        <v>Yes</v>
      </c>
      <c r="F662" s="5" t="str">
        <f>IFERROR(__xludf.DUMMYFUNCTION("""COMPUTED_VALUE"""),"Yes")</f>
        <v>Yes</v>
      </c>
      <c r="G662" s="5" t="str">
        <f>IFERROR(__xludf.DUMMYFUNCTION("""COMPUTED_VALUE"""),"Yes")</f>
        <v>Yes</v>
      </c>
      <c r="H662" s="5" t="str">
        <f>IFERROR(__xludf.DUMMYFUNCTION("""COMPUTED_VALUE"""),"No")</f>
        <v>No</v>
      </c>
      <c r="I662" s="5" t="str">
        <f>IFERROR(__xludf.DUMMYFUNCTION("""COMPUTED_VALUE"""),"Yes")</f>
        <v>Yes</v>
      </c>
      <c r="J662" s="5" t="str">
        <f>IFERROR(__xludf.DUMMYFUNCTION("""COMPUTED_VALUE"""),"No")</f>
        <v>No</v>
      </c>
      <c r="K662" s="5" t="str">
        <f>IFERROR(__xludf.DUMMYFUNCTION("""COMPUTED_VALUE"""),"No")</f>
        <v>No</v>
      </c>
      <c r="L662" s="5" t="str">
        <f>IFERROR(__xludf.DUMMYFUNCTION("""COMPUTED_VALUE"""),"No")</f>
        <v>No</v>
      </c>
      <c r="M662" s="5" t="str">
        <f>IFERROR(__xludf.DUMMYFUNCTION("""COMPUTED_VALUE"""),"Yes")</f>
        <v>Yes</v>
      </c>
      <c r="N662" s="5" t="str">
        <f>IFERROR(__xludf.DUMMYFUNCTION("""COMPUTED_VALUE"""),"Yes")</f>
        <v>Yes</v>
      </c>
      <c r="O662" s="5" t="str">
        <f>IFERROR(__xludf.DUMMYFUNCTION("""COMPUTED_VALUE"""),"Yes")</f>
        <v>Yes</v>
      </c>
      <c r="P662" s="5" t="str">
        <f>IFERROR(__xludf.DUMMYFUNCTION("""COMPUTED_VALUE"""),"Yes")</f>
        <v>Yes</v>
      </c>
      <c r="Q662" s="5" t="str">
        <f>IFERROR(__xludf.DUMMYFUNCTION("""COMPUTED_VALUE"""),"Yes")</f>
        <v>Yes</v>
      </c>
      <c r="R662" s="5" t="str">
        <f>IFERROR(__xludf.DUMMYFUNCTION("""COMPUTED_VALUE"""),"No")</f>
        <v>No</v>
      </c>
      <c r="S662" s="5" t="str">
        <f>IFERROR(__xludf.DUMMYFUNCTION("""COMPUTED_VALUE"""),"Yes")</f>
        <v>Yes</v>
      </c>
      <c r="T662" s="5" t="str">
        <f>IFERROR(__xludf.DUMMYFUNCTION("""COMPUTED_VALUE"""),"No")</f>
        <v>No</v>
      </c>
      <c r="U662" s="5"/>
      <c r="V662" s="5"/>
      <c r="W662" s="5"/>
      <c r="X662" s="5" t="str">
        <f>IFERROR(__xludf.DUMMYFUNCTION("""COMPUTED_VALUE"""),"No")</f>
        <v>No</v>
      </c>
      <c r="Y662" s="5" t="str">
        <f>IFERROR(__xludf.DUMMYFUNCTION("""COMPUTED_VALUE"""),"Yes")</f>
        <v>Yes</v>
      </c>
      <c r="Z662" s="5"/>
      <c r="AA662" s="5" t="str">
        <f>IFERROR(__xludf.DUMMYFUNCTION("""COMPUTED_VALUE"""),"Yes")</f>
        <v>Yes</v>
      </c>
      <c r="AB662" s="5"/>
      <c r="AC662" s="5"/>
      <c r="AD662" s="5"/>
      <c r="AE662" s="5"/>
      <c r="AF662" s="5" t="str">
        <f>IFERROR(__xludf.DUMMYFUNCTION("""COMPUTED_VALUE"""),"Yes")</f>
        <v>Yes</v>
      </c>
      <c r="AG662" s="5"/>
      <c r="AH662" s="5"/>
      <c r="AI662" s="5"/>
      <c r="AJ662" s="5"/>
      <c r="AK662" s="5"/>
      <c r="AL662" s="5" t="str">
        <f>IFERROR(__xludf.DUMMYFUNCTION("""COMPUTED_VALUE"""),"Yes")</f>
        <v>Yes</v>
      </c>
      <c r="AM662" s="5"/>
      <c r="AN662" s="5"/>
      <c r="AO662" s="5"/>
      <c r="AP662" s="5"/>
      <c r="AQ662" s="5"/>
      <c r="AR662" s="5"/>
      <c r="AS662" s="5"/>
      <c r="AT662" s="5"/>
      <c r="AU662" s="5"/>
      <c r="AV662" s="5"/>
      <c r="AW662" s="5"/>
      <c r="AX662" s="5"/>
      <c r="AY662" s="5"/>
    </row>
    <row r="663">
      <c r="A6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3" s="5">
        <f>IFERROR(__xludf.DUMMYFUNCTION("""COMPUTED_VALUE"""),698.0)</f>
        <v>698</v>
      </c>
      <c r="C663" s="5">
        <f>IFERROR(__xludf.DUMMYFUNCTION("""COMPUTED_VALUE"""),3034.0)</f>
        <v>3034</v>
      </c>
      <c r="D663" s="5" t="str">
        <f>IFERROR(__xludf.DUMMYFUNCTION("""COMPUTED_VALUE"""),"EpicDice100Booster")</f>
        <v>EpicDice100Booster</v>
      </c>
      <c r="E663" s="5" t="str">
        <f>IFERROR(__xludf.DUMMYFUNCTION("""COMPUTED_VALUE"""),"Yes")</f>
        <v>Yes</v>
      </c>
      <c r="F663" s="5" t="str">
        <f>IFERROR(__xludf.DUMMYFUNCTION("""COMPUTED_VALUE"""),"Yes")</f>
        <v>Yes</v>
      </c>
      <c r="G663" s="5" t="str">
        <f>IFERROR(__xludf.DUMMYFUNCTION("""COMPUTED_VALUE"""),"Yes")</f>
        <v>Yes</v>
      </c>
      <c r="H663" s="5" t="str">
        <f>IFERROR(__xludf.DUMMYFUNCTION("""COMPUTED_VALUE"""),"Yes")</f>
        <v>Yes</v>
      </c>
      <c r="I663" s="5" t="str">
        <f>IFERROR(__xludf.DUMMYFUNCTION("""COMPUTED_VALUE"""),"Yes")</f>
        <v>Yes</v>
      </c>
      <c r="J663" s="5" t="str">
        <f>IFERROR(__xludf.DUMMYFUNCTION("""COMPUTED_VALUE"""),"Yes")</f>
        <v>Yes</v>
      </c>
      <c r="K663" s="5" t="str">
        <f>IFERROR(__xludf.DUMMYFUNCTION("""COMPUTED_VALUE"""),"Yes")</f>
        <v>Yes</v>
      </c>
      <c r="L663" s="5" t="str">
        <f>IFERROR(__xludf.DUMMYFUNCTION("""COMPUTED_VALUE"""),"Yes")</f>
        <v>Yes</v>
      </c>
      <c r="M663" s="5" t="str">
        <f>IFERROR(__xludf.DUMMYFUNCTION("""COMPUTED_VALUE"""),"Yes")</f>
        <v>Yes</v>
      </c>
      <c r="N663" s="5" t="str">
        <f>IFERROR(__xludf.DUMMYFUNCTION("""COMPUTED_VALUE"""),"Yes")</f>
        <v>Yes</v>
      </c>
      <c r="O663" s="5" t="str">
        <f>IFERROR(__xludf.DUMMYFUNCTION("""COMPUTED_VALUE"""),"Yes")</f>
        <v>Yes</v>
      </c>
      <c r="P663" s="5" t="str">
        <f>IFERROR(__xludf.DUMMYFUNCTION("""COMPUTED_VALUE"""),"Yes")</f>
        <v>Yes</v>
      </c>
      <c r="Q663" s="5" t="str">
        <f>IFERROR(__xludf.DUMMYFUNCTION("""COMPUTED_VALUE"""),"Yes")</f>
        <v>Yes</v>
      </c>
      <c r="R663" s="5" t="str">
        <f>IFERROR(__xludf.DUMMYFUNCTION("""COMPUTED_VALUE"""),"Yes")</f>
        <v>Yes</v>
      </c>
      <c r="S663" s="5" t="str">
        <f>IFERROR(__xludf.DUMMYFUNCTION("""COMPUTED_VALUE"""),"Yes")</f>
        <v>Yes</v>
      </c>
      <c r="T663" s="5" t="str">
        <f>IFERROR(__xludf.DUMMYFUNCTION("""COMPUTED_VALUE"""),"Yes")</f>
        <v>Yes</v>
      </c>
      <c r="U663" s="5" t="str">
        <f>IFERROR(__xludf.DUMMYFUNCTION("""COMPUTED_VALUE"""),"Yes")</f>
        <v>Yes</v>
      </c>
      <c r="V663" s="5" t="str">
        <f>IFERROR(__xludf.DUMMYFUNCTION("""COMPUTED_VALUE"""),"Yes")</f>
        <v>Yes</v>
      </c>
      <c r="W663" s="5" t="str">
        <f>IFERROR(__xludf.DUMMYFUNCTION("""COMPUTED_VALUE"""),"Yes")</f>
        <v>Yes</v>
      </c>
      <c r="X663" s="5" t="str">
        <f>IFERROR(__xludf.DUMMYFUNCTION("""COMPUTED_VALUE"""),"Yes")</f>
        <v>Yes</v>
      </c>
      <c r="Y663" s="5" t="str">
        <f>IFERROR(__xludf.DUMMYFUNCTION("""COMPUTED_VALUE"""),"Yes")</f>
        <v>Yes</v>
      </c>
      <c r="Z663" s="5" t="str">
        <f>IFERROR(__xludf.DUMMYFUNCTION("""COMPUTED_VALUE"""),"No")</f>
        <v>No</v>
      </c>
      <c r="AA663" s="5" t="str">
        <f>IFERROR(__xludf.DUMMYFUNCTION("""COMPUTED_VALUE"""),"Yes")</f>
        <v>Yes</v>
      </c>
      <c r="AB663" s="5" t="str">
        <f>IFERROR(__xludf.DUMMYFUNCTION("""COMPUTED_VALUE"""),"Yes")</f>
        <v>Yes</v>
      </c>
      <c r="AC663" s="5" t="str">
        <f>IFERROR(__xludf.DUMMYFUNCTION("""COMPUTED_VALUE"""),"Yes")</f>
        <v>Yes</v>
      </c>
      <c r="AD663" s="5" t="str">
        <f>IFERROR(__xludf.DUMMYFUNCTION("""COMPUTED_VALUE"""),"Yes")</f>
        <v>Yes</v>
      </c>
      <c r="AE663" s="5" t="str">
        <f>IFERROR(__xludf.DUMMYFUNCTION("""COMPUTED_VALUE"""),"No")</f>
        <v>No</v>
      </c>
      <c r="AF663" s="5" t="str">
        <f>IFERROR(__xludf.DUMMYFUNCTION("""COMPUTED_VALUE"""),"Yes")</f>
        <v>Yes</v>
      </c>
      <c r="AG663" s="5" t="str">
        <f>IFERROR(__xludf.DUMMYFUNCTION("""COMPUTED_VALUE"""),"No")</f>
        <v>No</v>
      </c>
      <c r="AH663" s="5" t="str">
        <f>IFERROR(__xludf.DUMMYFUNCTION("""COMPUTED_VALUE"""),"No")</f>
        <v>No</v>
      </c>
      <c r="AI663" s="5" t="str">
        <f>IFERROR(__xludf.DUMMYFUNCTION("""COMPUTED_VALUE"""),"No")</f>
        <v>No</v>
      </c>
      <c r="AJ663" s="5" t="str">
        <f>IFERROR(__xludf.DUMMYFUNCTION("""COMPUTED_VALUE"""),"No")</f>
        <v>No</v>
      </c>
      <c r="AK663" s="5" t="str">
        <f>IFERROR(__xludf.DUMMYFUNCTION("""COMPUTED_VALUE"""),"No")</f>
        <v>No</v>
      </c>
      <c r="AL663" s="5" t="str">
        <f>IFERROR(__xludf.DUMMYFUNCTION("""COMPUTED_VALUE"""),"No")</f>
        <v>No</v>
      </c>
      <c r="AM663" s="5"/>
      <c r="AN663" s="5"/>
      <c r="AO663" s="5"/>
      <c r="AP663" s="5"/>
      <c r="AQ663" s="5"/>
      <c r="AR663" s="5"/>
      <c r="AS663" s="5"/>
      <c r="AT663" s="5"/>
      <c r="AU663" s="5"/>
      <c r="AV663" s="5"/>
      <c r="AW663" s="5"/>
      <c r="AX663" s="5"/>
      <c r="AY663" s="5"/>
    </row>
    <row r="664">
      <c r="A6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4" s="5">
        <f>IFERROR(__xludf.DUMMYFUNCTION("""COMPUTED_VALUE"""),699.0)</f>
        <v>699</v>
      </c>
      <c r="C664" s="5">
        <f>IFERROR(__xludf.DUMMYFUNCTION("""COMPUTED_VALUE"""),3033.0)</f>
        <v>3033</v>
      </c>
      <c r="D664" s="5" t="str">
        <f>IFERROR(__xludf.DUMMYFUNCTION("""COMPUTED_VALUE"""),"VeryHot40DiceBooster")</f>
        <v>VeryHot40DiceBooster</v>
      </c>
      <c r="E664" s="5" t="str">
        <f>IFERROR(__xludf.DUMMYFUNCTION("""COMPUTED_VALUE"""),"Yes")</f>
        <v>Yes</v>
      </c>
      <c r="F664" s="5" t="str">
        <f>IFERROR(__xludf.DUMMYFUNCTION("""COMPUTED_VALUE"""),"Yes")</f>
        <v>Yes</v>
      </c>
      <c r="G664" s="5" t="str">
        <f>IFERROR(__xludf.DUMMYFUNCTION("""COMPUTED_VALUE"""),"Yes")</f>
        <v>Yes</v>
      </c>
      <c r="H664" s="5" t="str">
        <f>IFERROR(__xludf.DUMMYFUNCTION("""COMPUTED_VALUE"""),"Yes")</f>
        <v>Yes</v>
      </c>
      <c r="I664" s="5" t="str">
        <f>IFERROR(__xludf.DUMMYFUNCTION("""COMPUTED_VALUE"""),"Yes")</f>
        <v>Yes</v>
      </c>
      <c r="J664" s="5" t="str">
        <f>IFERROR(__xludf.DUMMYFUNCTION("""COMPUTED_VALUE"""),"Yes")</f>
        <v>Yes</v>
      </c>
      <c r="K664" s="5" t="str">
        <f>IFERROR(__xludf.DUMMYFUNCTION("""COMPUTED_VALUE"""),"Yes")</f>
        <v>Yes</v>
      </c>
      <c r="L664" s="5" t="str">
        <f>IFERROR(__xludf.DUMMYFUNCTION("""COMPUTED_VALUE"""),"Yes")</f>
        <v>Yes</v>
      </c>
      <c r="M664" s="5" t="str">
        <f>IFERROR(__xludf.DUMMYFUNCTION("""COMPUTED_VALUE"""),"Yes")</f>
        <v>Yes</v>
      </c>
      <c r="N664" s="5" t="str">
        <f>IFERROR(__xludf.DUMMYFUNCTION("""COMPUTED_VALUE"""),"Yes")</f>
        <v>Yes</v>
      </c>
      <c r="O664" s="5" t="str">
        <f>IFERROR(__xludf.DUMMYFUNCTION("""COMPUTED_VALUE"""),"Yes")</f>
        <v>Yes</v>
      </c>
      <c r="P664" s="5" t="str">
        <f>IFERROR(__xludf.DUMMYFUNCTION("""COMPUTED_VALUE"""),"Yes")</f>
        <v>Yes</v>
      </c>
      <c r="Q664" s="5" t="str">
        <f>IFERROR(__xludf.DUMMYFUNCTION("""COMPUTED_VALUE"""),"Yes")</f>
        <v>Yes</v>
      </c>
      <c r="R664" s="5" t="str">
        <f>IFERROR(__xludf.DUMMYFUNCTION("""COMPUTED_VALUE"""),"Yes")</f>
        <v>Yes</v>
      </c>
      <c r="S664" s="5" t="str">
        <f>IFERROR(__xludf.DUMMYFUNCTION("""COMPUTED_VALUE"""),"Yes")</f>
        <v>Yes</v>
      </c>
      <c r="T664" s="5" t="str">
        <f>IFERROR(__xludf.DUMMYFUNCTION("""COMPUTED_VALUE"""),"Yes")</f>
        <v>Yes</v>
      </c>
      <c r="U664" s="5" t="str">
        <f>IFERROR(__xludf.DUMMYFUNCTION("""COMPUTED_VALUE"""),"Yes")</f>
        <v>Yes</v>
      </c>
      <c r="V664" s="5" t="str">
        <f>IFERROR(__xludf.DUMMYFUNCTION("""COMPUTED_VALUE"""),"Yes")</f>
        <v>Yes</v>
      </c>
      <c r="W664" s="5" t="str">
        <f>IFERROR(__xludf.DUMMYFUNCTION("""COMPUTED_VALUE"""),"Yes")</f>
        <v>Yes</v>
      </c>
      <c r="X664" s="5" t="str">
        <f>IFERROR(__xludf.DUMMYFUNCTION("""COMPUTED_VALUE"""),"Yes")</f>
        <v>Yes</v>
      </c>
      <c r="Y664" s="5" t="str">
        <f>IFERROR(__xludf.DUMMYFUNCTION("""COMPUTED_VALUE"""),"Yes")</f>
        <v>Yes</v>
      </c>
      <c r="Z664" s="5" t="str">
        <f>IFERROR(__xludf.DUMMYFUNCTION("""COMPUTED_VALUE"""),"No")</f>
        <v>No</v>
      </c>
      <c r="AA664" s="5" t="str">
        <f>IFERROR(__xludf.DUMMYFUNCTION("""COMPUTED_VALUE"""),"Yes")</f>
        <v>Yes</v>
      </c>
      <c r="AB664" s="5" t="str">
        <f>IFERROR(__xludf.DUMMYFUNCTION("""COMPUTED_VALUE"""),"Yes")</f>
        <v>Yes</v>
      </c>
      <c r="AC664" s="5" t="str">
        <f>IFERROR(__xludf.DUMMYFUNCTION("""COMPUTED_VALUE"""),"Yes")</f>
        <v>Yes</v>
      </c>
      <c r="AD664" s="5" t="str">
        <f>IFERROR(__xludf.DUMMYFUNCTION("""COMPUTED_VALUE"""),"Yes")</f>
        <v>Yes</v>
      </c>
      <c r="AE664" s="5" t="str">
        <f>IFERROR(__xludf.DUMMYFUNCTION("""COMPUTED_VALUE"""),"No")</f>
        <v>No</v>
      </c>
      <c r="AF664" s="5" t="str">
        <f>IFERROR(__xludf.DUMMYFUNCTION("""COMPUTED_VALUE"""),"Yes")</f>
        <v>Yes</v>
      </c>
      <c r="AG664" s="5" t="str">
        <f>IFERROR(__xludf.DUMMYFUNCTION("""COMPUTED_VALUE"""),"No")</f>
        <v>No</v>
      </c>
      <c r="AH664" s="5" t="str">
        <f>IFERROR(__xludf.DUMMYFUNCTION("""COMPUTED_VALUE"""),"No")</f>
        <v>No</v>
      </c>
      <c r="AI664" s="5" t="str">
        <f>IFERROR(__xludf.DUMMYFUNCTION("""COMPUTED_VALUE"""),"No")</f>
        <v>No</v>
      </c>
      <c r="AJ664" s="5" t="str">
        <f>IFERROR(__xludf.DUMMYFUNCTION("""COMPUTED_VALUE"""),"No")</f>
        <v>No</v>
      </c>
      <c r="AK664" s="5" t="str">
        <f>IFERROR(__xludf.DUMMYFUNCTION("""COMPUTED_VALUE"""),"No")</f>
        <v>No</v>
      </c>
      <c r="AL664" s="5" t="str">
        <f>IFERROR(__xludf.DUMMYFUNCTION("""COMPUTED_VALUE"""),"No")</f>
        <v>No</v>
      </c>
      <c r="AM664" s="5"/>
      <c r="AN664" s="5"/>
      <c r="AO664" s="5"/>
      <c r="AP664" s="5"/>
      <c r="AQ664" s="5"/>
      <c r="AR664" s="5"/>
      <c r="AS664" s="5"/>
      <c r="AT664" s="5"/>
      <c r="AU664" s="5"/>
      <c r="AV664" s="5"/>
      <c r="AW664" s="5"/>
      <c r="AX664" s="5"/>
      <c r="AY664" s="5"/>
    </row>
    <row r="665">
      <c r="A6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5" s="5">
        <f>IFERROR(__xludf.DUMMYFUNCTION("""COMPUTED_VALUE"""),700.0)</f>
        <v>700</v>
      </c>
      <c r="C665" s="5">
        <f>IFERROR(__xludf.DUMMYFUNCTION("""COMPUTED_VALUE"""),4017.0)</f>
        <v>4017</v>
      </c>
      <c r="D665" s="5" t="str">
        <f>IFERROR(__xludf.DUMMYFUNCTION("""COMPUTED_VALUE"""),"PasinoCrown")</f>
        <v>PasinoCrown</v>
      </c>
      <c r="E665" s="5" t="str">
        <f>IFERROR(__xludf.DUMMYFUNCTION("""COMPUTED_VALUE"""),"Yes")</f>
        <v>Yes</v>
      </c>
      <c r="F665" s="5" t="str">
        <f>IFERROR(__xludf.DUMMYFUNCTION("""COMPUTED_VALUE"""),"Yes")</f>
        <v>Yes</v>
      </c>
      <c r="G665" s="5" t="str">
        <f>IFERROR(__xludf.DUMMYFUNCTION("""COMPUTED_VALUE"""),"Yes")</f>
        <v>Yes</v>
      </c>
      <c r="H665" s="5" t="str">
        <f>IFERROR(__xludf.DUMMYFUNCTION("""COMPUTED_VALUE"""),"Yes")</f>
        <v>Yes</v>
      </c>
      <c r="I665" s="5" t="str">
        <f>IFERROR(__xludf.DUMMYFUNCTION("""COMPUTED_VALUE"""),"Yes")</f>
        <v>Yes</v>
      </c>
      <c r="J665" s="5" t="str">
        <f>IFERROR(__xludf.DUMMYFUNCTION("""COMPUTED_VALUE"""),"Yes")</f>
        <v>Yes</v>
      </c>
      <c r="K665" s="5" t="str">
        <f>IFERROR(__xludf.DUMMYFUNCTION("""COMPUTED_VALUE"""),"Yes")</f>
        <v>Yes</v>
      </c>
      <c r="L665" s="5" t="str">
        <f>IFERROR(__xludf.DUMMYFUNCTION("""COMPUTED_VALUE"""),"Yes")</f>
        <v>Yes</v>
      </c>
      <c r="M665" s="5" t="str">
        <f>IFERROR(__xludf.DUMMYFUNCTION("""COMPUTED_VALUE"""),"Yes")</f>
        <v>Yes</v>
      </c>
      <c r="N665" s="5" t="str">
        <f>IFERROR(__xludf.DUMMYFUNCTION("""COMPUTED_VALUE"""),"Yes")</f>
        <v>Yes</v>
      </c>
      <c r="O665" s="5" t="str">
        <f>IFERROR(__xludf.DUMMYFUNCTION("""COMPUTED_VALUE"""),"Yes")</f>
        <v>Yes</v>
      </c>
      <c r="P665" s="5" t="str">
        <f>IFERROR(__xludf.DUMMYFUNCTION("""COMPUTED_VALUE"""),"Yes")</f>
        <v>Yes</v>
      </c>
      <c r="Q665" s="5" t="str">
        <f>IFERROR(__xludf.DUMMYFUNCTION("""COMPUTED_VALUE"""),"Yes")</f>
        <v>Yes</v>
      </c>
      <c r="R665" s="5" t="str">
        <f>IFERROR(__xludf.DUMMYFUNCTION("""COMPUTED_VALUE"""),"Yes")</f>
        <v>Yes</v>
      </c>
      <c r="S665" s="5" t="str">
        <f>IFERROR(__xludf.DUMMYFUNCTION("""COMPUTED_VALUE"""),"Yes")</f>
        <v>Yes</v>
      </c>
      <c r="T665" s="5" t="str">
        <f>IFERROR(__xludf.DUMMYFUNCTION("""COMPUTED_VALUE"""),"Yes")</f>
        <v>Yes</v>
      </c>
      <c r="U665" s="5" t="str">
        <f>IFERROR(__xludf.DUMMYFUNCTION("""COMPUTED_VALUE"""),"Yes")</f>
        <v>Yes</v>
      </c>
      <c r="V665" s="5" t="str">
        <f>IFERROR(__xludf.DUMMYFUNCTION("""COMPUTED_VALUE"""),"Yes")</f>
        <v>Yes</v>
      </c>
      <c r="W665" s="5" t="str">
        <f>IFERROR(__xludf.DUMMYFUNCTION("""COMPUTED_VALUE"""),"Yes")</f>
        <v>Yes</v>
      </c>
      <c r="X665" s="5" t="str">
        <f>IFERROR(__xludf.DUMMYFUNCTION("""COMPUTED_VALUE"""),"Yes")</f>
        <v>Yes</v>
      </c>
      <c r="Y665" s="5" t="str">
        <f>IFERROR(__xludf.DUMMYFUNCTION("""COMPUTED_VALUE"""),"Yes")</f>
        <v>Yes</v>
      </c>
      <c r="Z665" s="5" t="str">
        <f>IFERROR(__xludf.DUMMYFUNCTION("""COMPUTED_VALUE"""),"No")</f>
        <v>No</v>
      </c>
      <c r="AA665" s="5" t="str">
        <f>IFERROR(__xludf.DUMMYFUNCTION("""COMPUTED_VALUE"""),"Yes")</f>
        <v>Yes</v>
      </c>
      <c r="AB665" s="5" t="str">
        <f>IFERROR(__xludf.DUMMYFUNCTION("""COMPUTED_VALUE"""),"Yes")</f>
        <v>Yes</v>
      </c>
      <c r="AC665" s="5" t="str">
        <f>IFERROR(__xludf.DUMMYFUNCTION("""COMPUTED_VALUE"""),"Yes")</f>
        <v>Yes</v>
      </c>
      <c r="AD665" s="5" t="str">
        <f>IFERROR(__xludf.DUMMYFUNCTION("""COMPUTED_VALUE"""),"Yes")</f>
        <v>Yes</v>
      </c>
      <c r="AE665" s="5" t="str">
        <f>IFERROR(__xludf.DUMMYFUNCTION("""COMPUTED_VALUE"""),"No")</f>
        <v>No</v>
      </c>
      <c r="AF665" s="5" t="str">
        <f>IFERROR(__xludf.DUMMYFUNCTION("""COMPUTED_VALUE"""),"Yes")</f>
        <v>Yes</v>
      </c>
      <c r="AG665" s="5" t="str">
        <f>IFERROR(__xludf.DUMMYFUNCTION("""COMPUTED_VALUE"""),"No")</f>
        <v>No</v>
      </c>
      <c r="AH665" s="5" t="str">
        <f>IFERROR(__xludf.DUMMYFUNCTION("""COMPUTED_VALUE"""),"No")</f>
        <v>No</v>
      </c>
      <c r="AI665" s="5" t="str">
        <f>IFERROR(__xludf.DUMMYFUNCTION("""COMPUTED_VALUE"""),"No")</f>
        <v>No</v>
      </c>
      <c r="AJ665" s="5" t="str">
        <f>IFERROR(__xludf.DUMMYFUNCTION("""COMPUTED_VALUE"""),"No")</f>
        <v>No</v>
      </c>
      <c r="AK665" s="5" t="str">
        <f>IFERROR(__xludf.DUMMYFUNCTION("""COMPUTED_VALUE"""),"No")</f>
        <v>No</v>
      </c>
      <c r="AL665" s="5" t="str">
        <f>IFERROR(__xludf.DUMMYFUNCTION("""COMPUTED_VALUE"""),"No")</f>
        <v>No</v>
      </c>
      <c r="AM665" s="5"/>
      <c r="AN665" s="5"/>
      <c r="AO665" s="5"/>
      <c r="AP665" s="5"/>
      <c r="AQ665" s="5"/>
      <c r="AR665" s="5"/>
      <c r="AS665" s="5"/>
      <c r="AT665" s="5"/>
      <c r="AU665" s="5"/>
      <c r="AV665" s="5"/>
      <c r="AW665" s="5"/>
      <c r="AX665" s="5"/>
      <c r="AY665" s="5"/>
    </row>
    <row r="666">
      <c r="A6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6" s="5">
        <f>IFERROR(__xludf.DUMMYFUNCTION("""COMPUTED_VALUE"""),701.0)</f>
        <v>701</v>
      </c>
      <c r="C666" s="5">
        <f>IFERROR(__xludf.DUMMYFUNCTION("""COMPUTED_VALUE"""),4033.0)</f>
        <v>4033</v>
      </c>
      <c r="D666" s="5" t="str">
        <f>IFERROR(__xludf.DUMMYFUNCTION("""COMPUTED_VALUE"""),"GoldenCrownExtremeDice")</f>
        <v>GoldenCrownExtremeDice</v>
      </c>
      <c r="E666" s="5" t="str">
        <f>IFERROR(__xludf.DUMMYFUNCTION("""COMPUTED_VALUE"""),"Yes")</f>
        <v>Yes</v>
      </c>
      <c r="F666" s="5" t="str">
        <f>IFERROR(__xludf.DUMMYFUNCTION("""COMPUTED_VALUE"""),"Yes")</f>
        <v>Yes</v>
      </c>
      <c r="G666" s="5" t="str">
        <f>IFERROR(__xludf.DUMMYFUNCTION("""COMPUTED_VALUE"""),"Yes")</f>
        <v>Yes</v>
      </c>
      <c r="H666" s="5" t="str">
        <f>IFERROR(__xludf.DUMMYFUNCTION("""COMPUTED_VALUE"""),"Yes")</f>
        <v>Yes</v>
      </c>
      <c r="I666" s="5" t="str">
        <f>IFERROR(__xludf.DUMMYFUNCTION("""COMPUTED_VALUE"""),"Yes")</f>
        <v>Yes</v>
      </c>
      <c r="J666" s="5" t="str">
        <f>IFERROR(__xludf.DUMMYFUNCTION("""COMPUTED_VALUE"""),"Yes")</f>
        <v>Yes</v>
      </c>
      <c r="K666" s="5" t="str">
        <f>IFERROR(__xludf.DUMMYFUNCTION("""COMPUTED_VALUE"""),"Yes")</f>
        <v>Yes</v>
      </c>
      <c r="L666" s="5" t="str">
        <f>IFERROR(__xludf.DUMMYFUNCTION("""COMPUTED_VALUE"""),"Yes")</f>
        <v>Yes</v>
      </c>
      <c r="M666" s="5" t="str">
        <f>IFERROR(__xludf.DUMMYFUNCTION("""COMPUTED_VALUE"""),"Yes")</f>
        <v>Yes</v>
      </c>
      <c r="N666" s="5" t="str">
        <f>IFERROR(__xludf.DUMMYFUNCTION("""COMPUTED_VALUE"""),"Yes")</f>
        <v>Yes</v>
      </c>
      <c r="O666" s="5" t="str">
        <f>IFERROR(__xludf.DUMMYFUNCTION("""COMPUTED_VALUE"""),"Yes")</f>
        <v>Yes</v>
      </c>
      <c r="P666" s="5" t="str">
        <f>IFERROR(__xludf.DUMMYFUNCTION("""COMPUTED_VALUE"""),"Yes")</f>
        <v>Yes</v>
      </c>
      <c r="Q666" s="5" t="str">
        <f>IFERROR(__xludf.DUMMYFUNCTION("""COMPUTED_VALUE"""),"Yes")</f>
        <v>Yes</v>
      </c>
      <c r="R666" s="5" t="str">
        <f>IFERROR(__xludf.DUMMYFUNCTION("""COMPUTED_VALUE"""),"Yes")</f>
        <v>Yes</v>
      </c>
      <c r="S666" s="5" t="str">
        <f>IFERROR(__xludf.DUMMYFUNCTION("""COMPUTED_VALUE"""),"Yes")</f>
        <v>Yes</v>
      </c>
      <c r="T666" s="5" t="str">
        <f>IFERROR(__xludf.DUMMYFUNCTION("""COMPUTED_VALUE"""),"Yes")</f>
        <v>Yes</v>
      </c>
      <c r="U666" s="5" t="str">
        <f>IFERROR(__xludf.DUMMYFUNCTION("""COMPUTED_VALUE"""),"Yes")</f>
        <v>Yes</v>
      </c>
      <c r="V666" s="5" t="str">
        <f>IFERROR(__xludf.DUMMYFUNCTION("""COMPUTED_VALUE"""),"Yes")</f>
        <v>Yes</v>
      </c>
      <c r="W666" s="5" t="str">
        <f>IFERROR(__xludf.DUMMYFUNCTION("""COMPUTED_VALUE"""),"Yes")</f>
        <v>Yes</v>
      </c>
      <c r="X666" s="5" t="str">
        <f>IFERROR(__xludf.DUMMYFUNCTION("""COMPUTED_VALUE"""),"Yes")</f>
        <v>Yes</v>
      </c>
      <c r="Y666" s="5" t="str">
        <f>IFERROR(__xludf.DUMMYFUNCTION("""COMPUTED_VALUE"""),"Yes")</f>
        <v>Yes</v>
      </c>
      <c r="Z666" s="5" t="str">
        <f>IFERROR(__xludf.DUMMYFUNCTION("""COMPUTED_VALUE"""),"Yes")</f>
        <v>Yes</v>
      </c>
      <c r="AA666" s="5" t="str">
        <f>IFERROR(__xludf.DUMMYFUNCTION("""COMPUTED_VALUE"""),"Yes")</f>
        <v>Yes</v>
      </c>
      <c r="AB666" s="5" t="str">
        <f>IFERROR(__xludf.DUMMYFUNCTION("""COMPUTED_VALUE"""),"Yes")</f>
        <v>Yes</v>
      </c>
      <c r="AC666" s="5" t="str">
        <f>IFERROR(__xludf.DUMMYFUNCTION("""COMPUTED_VALUE"""),"Yes")</f>
        <v>Yes</v>
      </c>
      <c r="AD666" s="5" t="str">
        <f>IFERROR(__xludf.DUMMYFUNCTION("""COMPUTED_VALUE"""),"Yes")</f>
        <v>Yes</v>
      </c>
      <c r="AE666" s="5" t="str">
        <f>IFERROR(__xludf.DUMMYFUNCTION("""COMPUTED_VALUE"""),"Yes")</f>
        <v>Yes</v>
      </c>
      <c r="AF666" s="5" t="str">
        <f>IFERROR(__xludf.DUMMYFUNCTION("""COMPUTED_VALUE"""),"Yes")</f>
        <v>Yes</v>
      </c>
      <c r="AG666" s="5" t="str">
        <f>IFERROR(__xludf.DUMMYFUNCTION("""COMPUTED_VALUE"""),"Yes")</f>
        <v>Yes</v>
      </c>
      <c r="AH666" s="5" t="str">
        <f>IFERROR(__xludf.DUMMYFUNCTION("""COMPUTED_VALUE"""),"Yes")</f>
        <v>Yes</v>
      </c>
      <c r="AI666" s="5" t="str">
        <f>IFERROR(__xludf.DUMMYFUNCTION("""COMPUTED_VALUE"""),"Yes")</f>
        <v>Yes</v>
      </c>
      <c r="AJ666" s="5" t="str">
        <f>IFERROR(__xludf.DUMMYFUNCTION("""COMPUTED_VALUE"""),"Yes")</f>
        <v>Yes</v>
      </c>
      <c r="AK666" s="5" t="str">
        <f>IFERROR(__xludf.DUMMYFUNCTION("""COMPUTED_VALUE"""),"Yes")</f>
        <v>Yes</v>
      </c>
      <c r="AL666" s="5" t="str">
        <f>IFERROR(__xludf.DUMMYFUNCTION("""COMPUTED_VALUE"""),"No")</f>
        <v>No</v>
      </c>
      <c r="AM666" s="5"/>
      <c r="AN666" s="5"/>
      <c r="AO666" s="5"/>
      <c r="AP666" s="5"/>
      <c r="AQ666" s="5"/>
      <c r="AR666" s="5"/>
      <c r="AS666" s="5"/>
      <c r="AT666" s="5"/>
      <c r="AU666" s="5"/>
      <c r="AV666" s="5"/>
      <c r="AW666" s="5"/>
      <c r="AX666" s="5"/>
      <c r="AY666" s="5"/>
    </row>
    <row r="667">
      <c r="A6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7" s="5">
        <f>IFERROR(__xludf.DUMMYFUNCTION("""COMPUTED_VALUE"""),702.0)</f>
        <v>702</v>
      </c>
      <c r="C667" s="5">
        <f>IFERROR(__xludf.DUMMYFUNCTION("""COMPUTED_VALUE"""),4034.0)</f>
        <v>4034</v>
      </c>
      <c r="D667" s="5" t="str">
        <f>IFERROR(__xludf.DUMMYFUNCTION("""COMPUTED_VALUE"""),"WinningClover5ExtremeBooster")</f>
        <v>WinningClover5ExtremeBooster</v>
      </c>
      <c r="E667" s="5" t="str">
        <f>IFERROR(__xludf.DUMMYFUNCTION("""COMPUTED_VALUE"""),"Yes")</f>
        <v>Yes</v>
      </c>
      <c r="F667" s="5" t="str">
        <f>IFERROR(__xludf.DUMMYFUNCTION("""COMPUTED_VALUE"""),"Yes")</f>
        <v>Yes</v>
      </c>
      <c r="G667" s="5" t="str">
        <f>IFERROR(__xludf.DUMMYFUNCTION("""COMPUTED_VALUE"""),"Yes")</f>
        <v>Yes</v>
      </c>
      <c r="H667" s="5" t="str">
        <f>IFERROR(__xludf.DUMMYFUNCTION("""COMPUTED_VALUE"""),"Yes")</f>
        <v>Yes</v>
      </c>
      <c r="I667" s="5" t="str">
        <f>IFERROR(__xludf.DUMMYFUNCTION("""COMPUTED_VALUE"""),"Yes")</f>
        <v>Yes</v>
      </c>
      <c r="J667" s="5" t="str">
        <f>IFERROR(__xludf.DUMMYFUNCTION("""COMPUTED_VALUE"""),"Yes")</f>
        <v>Yes</v>
      </c>
      <c r="K667" s="5" t="str">
        <f>IFERROR(__xludf.DUMMYFUNCTION("""COMPUTED_VALUE"""),"Yes")</f>
        <v>Yes</v>
      </c>
      <c r="L667" s="5" t="str">
        <f>IFERROR(__xludf.DUMMYFUNCTION("""COMPUTED_VALUE"""),"Yes")</f>
        <v>Yes</v>
      </c>
      <c r="M667" s="5" t="str">
        <f>IFERROR(__xludf.DUMMYFUNCTION("""COMPUTED_VALUE"""),"Yes")</f>
        <v>Yes</v>
      </c>
      <c r="N667" s="5" t="str">
        <f>IFERROR(__xludf.DUMMYFUNCTION("""COMPUTED_VALUE"""),"Yes")</f>
        <v>Yes</v>
      </c>
      <c r="O667" s="5" t="str">
        <f>IFERROR(__xludf.DUMMYFUNCTION("""COMPUTED_VALUE"""),"Yes")</f>
        <v>Yes</v>
      </c>
      <c r="P667" s="5" t="str">
        <f>IFERROR(__xludf.DUMMYFUNCTION("""COMPUTED_VALUE"""),"Yes")</f>
        <v>Yes</v>
      </c>
      <c r="Q667" s="5" t="str">
        <f>IFERROR(__xludf.DUMMYFUNCTION("""COMPUTED_VALUE"""),"Yes")</f>
        <v>Yes</v>
      </c>
      <c r="R667" s="5" t="str">
        <f>IFERROR(__xludf.DUMMYFUNCTION("""COMPUTED_VALUE"""),"Yes")</f>
        <v>Yes</v>
      </c>
      <c r="S667" s="5" t="str">
        <f>IFERROR(__xludf.DUMMYFUNCTION("""COMPUTED_VALUE"""),"Yes")</f>
        <v>Yes</v>
      </c>
      <c r="T667" s="5" t="str">
        <f>IFERROR(__xludf.DUMMYFUNCTION("""COMPUTED_VALUE"""),"Yes")</f>
        <v>Yes</v>
      </c>
      <c r="U667" s="5" t="str">
        <f>IFERROR(__xludf.DUMMYFUNCTION("""COMPUTED_VALUE"""),"Yes")</f>
        <v>Yes</v>
      </c>
      <c r="V667" s="5" t="str">
        <f>IFERROR(__xludf.DUMMYFUNCTION("""COMPUTED_VALUE"""),"Yes")</f>
        <v>Yes</v>
      </c>
      <c r="W667" s="5" t="str">
        <f>IFERROR(__xludf.DUMMYFUNCTION("""COMPUTED_VALUE"""),"Yes")</f>
        <v>Yes</v>
      </c>
      <c r="X667" s="5" t="str">
        <f>IFERROR(__xludf.DUMMYFUNCTION("""COMPUTED_VALUE"""),"Yes")</f>
        <v>Yes</v>
      </c>
      <c r="Y667" s="5" t="str">
        <f>IFERROR(__xludf.DUMMYFUNCTION("""COMPUTED_VALUE"""),"Yes")</f>
        <v>Yes</v>
      </c>
      <c r="Z667" s="5" t="str">
        <f>IFERROR(__xludf.DUMMYFUNCTION("""COMPUTED_VALUE"""),"Yes")</f>
        <v>Yes</v>
      </c>
      <c r="AA667" s="5" t="str">
        <f>IFERROR(__xludf.DUMMYFUNCTION("""COMPUTED_VALUE"""),"Yes")</f>
        <v>Yes</v>
      </c>
      <c r="AB667" s="5" t="str">
        <f>IFERROR(__xludf.DUMMYFUNCTION("""COMPUTED_VALUE"""),"Yes")</f>
        <v>Yes</v>
      </c>
      <c r="AC667" s="5" t="str">
        <f>IFERROR(__xludf.DUMMYFUNCTION("""COMPUTED_VALUE"""),"Yes")</f>
        <v>Yes</v>
      </c>
      <c r="AD667" s="5" t="str">
        <f>IFERROR(__xludf.DUMMYFUNCTION("""COMPUTED_VALUE"""),"Yes")</f>
        <v>Yes</v>
      </c>
      <c r="AE667" s="5" t="str">
        <f>IFERROR(__xludf.DUMMYFUNCTION("""COMPUTED_VALUE"""),"Yes")</f>
        <v>Yes</v>
      </c>
      <c r="AF667" s="5" t="str">
        <f>IFERROR(__xludf.DUMMYFUNCTION("""COMPUTED_VALUE"""),"Yes")</f>
        <v>Yes</v>
      </c>
      <c r="AG667" s="5" t="str">
        <f>IFERROR(__xludf.DUMMYFUNCTION("""COMPUTED_VALUE"""),"Yes")</f>
        <v>Yes</v>
      </c>
      <c r="AH667" s="5" t="str">
        <f>IFERROR(__xludf.DUMMYFUNCTION("""COMPUTED_VALUE"""),"Yes")</f>
        <v>Yes</v>
      </c>
      <c r="AI667" s="5" t="str">
        <f>IFERROR(__xludf.DUMMYFUNCTION("""COMPUTED_VALUE"""),"Yes")</f>
        <v>Yes</v>
      </c>
      <c r="AJ667" s="5" t="str">
        <f>IFERROR(__xludf.DUMMYFUNCTION("""COMPUTED_VALUE"""),"Yes")</f>
        <v>Yes</v>
      </c>
      <c r="AK667" s="5" t="str">
        <f>IFERROR(__xludf.DUMMYFUNCTION("""COMPUTED_VALUE"""),"Yes")</f>
        <v>Yes</v>
      </c>
      <c r="AL667" s="5" t="str">
        <f>IFERROR(__xludf.DUMMYFUNCTION("""COMPUTED_VALUE"""),"No")</f>
        <v>No</v>
      </c>
      <c r="AM667" s="5"/>
      <c r="AN667" s="5"/>
      <c r="AO667" s="5"/>
      <c r="AP667" s="5"/>
      <c r="AQ667" s="5"/>
      <c r="AR667" s="5"/>
      <c r="AS667" s="5"/>
      <c r="AT667" s="5"/>
      <c r="AU667" s="5"/>
      <c r="AV667" s="5"/>
      <c r="AW667" s="5"/>
      <c r="AX667" s="5"/>
      <c r="AY667" s="5"/>
    </row>
    <row r="668">
      <c r="A6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8" s="5">
        <f>IFERROR(__xludf.DUMMYFUNCTION("""COMPUTED_VALUE"""),703.0)</f>
        <v>703</v>
      </c>
      <c r="C668" s="5">
        <f>IFERROR(__xludf.DUMMYFUNCTION("""COMPUTED_VALUE"""),4035.0)</f>
        <v>4035</v>
      </c>
      <c r="D668" s="5" t="str">
        <f>IFERROR(__xludf.DUMMYFUNCTION("""COMPUTED_VALUE"""),"VeryHot40ExtremeBooster")</f>
        <v>VeryHot40ExtremeBooster</v>
      </c>
      <c r="E668" s="5" t="str">
        <f>IFERROR(__xludf.DUMMYFUNCTION("""COMPUTED_VALUE"""),"Yes")</f>
        <v>Yes</v>
      </c>
      <c r="F668" s="5" t="str">
        <f>IFERROR(__xludf.DUMMYFUNCTION("""COMPUTED_VALUE"""),"Yes")</f>
        <v>Yes</v>
      </c>
      <c r="G668" s="5" t="str">
        <f>IFERROR(__xludf.DUMMYFUNCTION("""COMPUTED_VALUE"""),"Yes")</f>
        <v>Yes</v>
      </c>
      <c r="H668" s="5" t="str">
        <f>IFERROR(__xludf.DUMMYFUNCTION("""COMPUTED_VALUE"""),"Yes")</f>
        <v>Yes</v>
      </c>
      <c r="I668" s="5" t="str">
        <f>IFERROR(__xludf.DUMMYFUNCTION("""COMPUTED_VALUE"""),"Yes")</f>
        <v>Yes</v>
      </c>
      <c r="J668" s="5" t="str">
        <f>IFERROR(__xludf.DUMMYFUNCTION("""COMPUTED_VALUE"""),"Yes")</f>
        <v>Yes</v>
      </c>
      <c r="K668" s="5" t="str">
        <f>IFERROR(__xludf.DUMMYFUNCTION("""COMPUTED_VALUE"""),"Yes")</f>
        <v>Yes</v>
      </c>
      <c r="L668" s="5" t="str">
        <f>IFERROR(__xludf.DUMMYFUNCTION("""COMPUTED_VALUE"""),"Yes")</f>
        <v>Yes</v>
      </c>
      <c r="M668" s="5" t="str">
        <f>IFERROR(__xludf.DUMMYFUNCTION("""COMPUTED_VALUE"""),"Yes")</f>
        <v>Yes</v>
      </c>
      <c r="N668" s="5" t="str">
        <f>IFERROR(__xludf.DUMMYFUNCTION("""COMPUTED_VALUE"""),"Yes")</f>
        <v>Yes</v>
      </c>
      <c r="O668" s="5" t="str">
        <f>IFERROR(__xludf.DUMMYFUNCTION("""COMPUTED_VALUE"""),"Yes")</f>
        <v>Yes</v>
      </c>
      <c r="P668" s="5" t="str">
        <f>IFERROR(__xludf.DUMMYFUNCTION("""COMPUTED_VALUE"""),"Yes")</f>
        <v>Yes</v>
      </c>
      <c r="Q668" s="5" t="str">
        <f>IFERROR(__xludf.DUMMYFUNCTION("""COMPUTED_VALUE"""),"Yes")</f>
        <v>Yes</v>
      </c>
      <c r="R668" s="5" t="str">
        <f>IFERROR(__xludf.DUMMYFUNCTION("""COMPUTED_VALUE"""),"Yes")</f>
        <v>Yes</v>
      </c>
      <c r="S668" s="5" t="str">
        <f>IFERROR(__xludf.DUMMYFUNCTION("""COMPUTED_VALUE"""),"Yes")</f>
        <v>Yes</v>
      </c>
      <c r="T668" s="5" t="str">
        <f>IFERROR(__xludf.DUMMYFUNCTION("""COMPUTED_VALUE"""),"Yes")</f>
        <v>Yes</v>
      </c>
      <c r="U668" s="5" t="str">
        <f>IFERROR(__xludf.DUMMYFUNCTION("""COMPUTED_VALUE"""),"Yes")</f>
        <v>Yes</v>
      </c>
      <c r="V668" s="5" t="str">
        <f>IFERROR(__xludf.DUMMYFUNCTION("""COMPUTED_VALUE"""),"Yes")</f>
        <v>Yes</v>
      </c>
      <c r="W668" s="5" t="str">
        <f>IFERROR(__xludf.DUMMYFUNCTION("""COMPUTED_VALUE"""),"Yes")</f>
        <v>Yes</v>
      </c>
      <c r="X668" s="5" t="str">
        <f>IFERROR(__xludf.DUMMYFUNCTION("""COMPUTED_VALUE"""),"Yes")</f>
        <v>Yes</v>
      </c>
      <c r="Y668" s="5" t="str">
        <f>IFERROR(__xludf.DUMMYFUNCTION("""COMPUTED_VALUE"""),"Yes")</f>
        <v>Yes</v>
      </c>
      <c r="Z668" s="5" t="str">
        <f>IFERROR(__xludf.DUMMYFUNCTION("""COMPUTED_VALUE"""),"Yes")</f>
        <v>Yes</v>
      </c>
      <c r="AA668" s="5" t="str">
        <f>IFERROR(__xludf.DUMMYFUNCTION("""COMPUTED_VALUE"""),"Yes")</f>
        <v>Yes</v>
      </c>
      <c r="AB668" s="5" t="str">
        <f>IFERROR(__xludf.DUMMYFUNCTION("""COMPUTED_VALUE"""),"Yes")</f>
        <v>Yes</v>
      </c>
      <c r="AC668" s="5" t="str">
        <f>IFERROR(__xludf.DUMMYFUNCTION("""COMPUTED_VALUE"""),"Yes")</f>
        <v>Yes</v>
      </c>
      <c r="AD668" s="5" t="str">
        <f>IFERROR(__xludf.DUMMYFUNCTION("""COMPUTED_VALUE"""),"Yes")</f>
        <v>Yes</v>
      </c>
      <c r="AE668" s="5" t="str">
        <f>IFERROR(__xludf.DUMMYFUNCTION("""COMPUTED_VALUE"""),"Yes")</f>
        <v>Yes</v>
      </c>
      <c r="AF668" s="5" t="str">
        <f>IFERROR(__xludf.DUMMYFUNCTION("""COMPUTED_VALUE"""),"Yes")</f>
        <v>Yes</v>
      </c>
      <c r="AG668" s="5" t="str">
        <f>IFERROR(__xludf.DUMMYFUNCTION("""COMPUTED_VALUE"""),"Yes")</f>
        <v>Yes</v>
      </c>
      <c r="AH668" s="5" t="str">
        <f>IFERROR(__xludf.DUMMYFUNCTION("""COMPUTED_VALUE"""),"Yes")</f>
        <v>Yes</v>
      </c>
      <c r="AI668" s="5" t="str">
        <f>IFERROR(__xludf.DUMMYFUNCTION("""COMPUTED_VALUE"""),"No")</f>
        <v>No</v>
      </c>
      <c r="AJ668" s="5" t="str">
        <f>IFERROR(__xludf.DUMMYFUNCTION("""COMPUTED_VALUE"""),"No")</f>
        <v>No</v>
      </c>
      <c r="AK668" s="5" t="str">
        <f>IFERROR(__xludf.DUMMYFUNCTION("""COMPUTED_VALUE"""),"No")</f>
        <v>No</v>
      </c>
      <c r="AL668" s="5" t="str">
        <f>IFERROR(__xludf.DUMMYFUNCTION("""COMPUTED_VALUE"""),"No")</f>
        <v>No</v>
      </c>
      <c r="AM668" s="5"/>
      <c r="AN668" s="5"/>
      <c r="AO668" s="5"/>
      <c r="AP668" s="5"/>
      <c r="AQ668" s="5"/>
      <c r="AR668" s="5"/>
      <c r="AS668" s="5"/>
      <c r="AT668" s="5"/>
      <c r="AU668" s="5"/>
      <c r="AV668" s="5"/>
      <c r="AW668" s="5"/>
      <c r="AX668" s="5"/>
      <c r="AY668" s="5"/>
    </row>
    <row r="669">
      <c r="A6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9" s="5">
        <f>IFERROR(__xludf.DUMMYFUNCTION("""COMPUTED_VALUE"""),704.0)</f>
        <v>704</v>
      </c>
      <c r="C669" s="5">
        <f>IFERROR(__xludf.DUMMYFUNCTION("""COMPUTED_VALUE"""),1022.0)</f>
        <v>1022</v>
      </c>
      <c r="D669" s="5" t="str">
        <f>IFERROR(__xludf.DUMMYFUNCTION("""COMPUTED_VALUE"""),"WinningClover5Booster")</f>
        <v>WinningClover5Booster</v>
      </c>
      <c r="E669" s="5" t="str">
        <f>IFERROR(__xludf.DUMMYFUNCTION("""COMPUTED_VALUE"""),"Yes")</f>
        <v>Yes</v>
      </c>
      <c r="F669" s="5" t="str">
        <f>IFERROR(__xludf.DUMMYFUNCTION("""COMPUTED_VALUE"""),"Yes")</f>
        <v>Yes</v>
      </c>
      <c r="G669" s="5" t="str">
        <f>IFERROR(__xludf.DUMMYFUNCTION("""COMPUTED_VALUE"""),"Yes")</f>
        <v>Yes</v>
      </c>
      <c r="H669" s="5" t="str">
        <f>IFERROR(__xludf.DUMMYFUNCTION("""COMPUTED_VALUE"""),"Yes")</f>
        <v>Yes</v>
      </c>
      <c r="I669" s="5" t="str">
        <f>IFERROR(__xludf.DUMMYFUNCTION("""COMPUTED_VALUE"""),"Yes")</f>
        <v>Yes</v>
      </c>
      <c r="J669" s="5" t="str">
        <f>IFERROR(__xludf.DUMMYFUNCTION("""COMPUTED_VALUE"""),"Yes")</f>
        <v>Yes</v>
      </c>
      <c r="K669" s="5" t="str">
        <f>IFERROR(__xludf.DUMMYFUNCTION("""COMPUTED_VALUE"""),"Yes")</f>
        <v>Yes</v>
      </c>
      <c r="L669" s="5" t="str">
        <f>IFERROR(__xludf.DUMMYFUNCTION("""COMPUTED_VALUE"""),"Yes")</f>
        <v>Yes</v>
      </c>
      <c r="M669" s="5" t="str">
        <f>IFERROR(__xludf.DUMMYFUNCTION("""COMPUTED_VALUE"""),"Yes")</f>
        <v>Yes</v>
      </c>
      <c r="N669" s="5" t="str">
        <f>IFERROR(__xludf.DUMMYFUNCTION("""COMPUTED_VALUE"""),"Yes")</f>
        <v>Yes</v>
      </c>
      <c r="O669" s="5" t="str">
        <f>IFERROR(__xludf.DUMMYFUNCTION("""COMPUTED_VALUE"""),"Yes")</f>
        <v>Yes</v>
      </c>
      <c r="P669" s="5" t="str">
        <f>IFERROR(__xludf.DUMMYFUNCTION("""COMPUTED_VALUE"""),"Yes")</f>
        <v>Yes</v>
      </c>
      <c r="Q669" s="5" t="str">
        <f>IFERROR(__xludf.DUMMYFUNCTION("""COMPUTED_VALUE"""),"Yes")</f>
        <v>Yes</v>
      </c>
      <c r="R669" s="5" t="str">
        <f>IFERROR(__xludf.DUMMYFUNCTION("""COMPUTED_VALUE"""),"Yes")</f>
        <v>Yes</v>
      </c>
      <c r="S669" s="5" t="str">
        <f>IFERROR(__xludf.DUMMYFUNCTION("""COMPUTED_VALUE"""),"Yes")</f>
        <v>Yes</v>
      </c>
      <c r="T669" s="5" t="str">
        <f>IFERROR(__xludf.DUMMYFUNCTION("""COMPUTED_VALUE"""),"Yes")</f>
        <v>Yes</v>
      </c>
      <c r="U669" s="5" t="str">
        <f>IFERROR(__xludf.DUMMYFUNCTION("""COMPUTED_VALUE"""),"Yes")</f>
        <v>Yes</v>
      </c>
      <c r="V669" s="5" t="str">
        <f>IFERROR(__xludf.DUMMYFUNCTION("""COMPUTED_VALUE"""),"Yes")</f>
        <v>Yes</v>
      </c>
      <c r="W669" s="5" t="str">
        <f>IFERROR(__xludf.DUMMYFUNCTION("""COMPUTED_VALUE"""),"Yes")</f>
        <v>Yes</v>
      </c>
      <c r="X669" s="5" t="str">
        <f>IFERROR(__xludf.DUMMYFUNCTION("""COMPUTED_VALUE"""),"Yes")</f>
        <v>Yes</v>
      </c>
      <c r="Y669" s="5" t="str">
        <f>IFERROR(__xludf.DUMMYFUNCTION("""COMPUTED_VALUE"""),"Yes")</f>
        <v>Yes</v>
      </c>
      <c r="Z669" s="5" t="str">
        <f>IFERROR(__xludf.DUMMYFUNCTION("""COMPUTED_VALUE"""),"Yes")</f>
        <v>Yes</v>
      </c>
      <c r="AA669" s="5" t="str">
        <f>IFERROR(__xludf.DUMMYFUNCTION("""COMPUTED_VALUE"""),"Yes")</f>
        <v>Yes</v>
      </c>
      <c r="AB669" s="5" t="str">
        <f>IFERROR(__xludf.DUMMYFUNCTION("""COMPUTED_VALUE"""),"Yes")</f>
        <v>Yes</v>
      </c>
      <c r="AC669" s="5" t="str">
        <f>IFERROR(__xludf.DUMMYFUNCTION("""COMPUTED_VALUE"""),"Yes")</f>
        <v>Yes</v>
      </c>
      <c r="AD669" s="5" t="str">
        <f>IFERROR(__xludf.DUMMYFUNCTION("""COMPUTED_VALUE"""),"Yes")</f>
        <v>Yes</v>
      </c>
      <c r="AE669" s="5" t="str">
        <f>IFERROR(__xludf.DUMMYFUNCTION("""COMPUTED_VALUE"""),"Yes")</f>
        <v>Yes</v>
      </c>
      <c r="AF669" s="5" t="str">
        <f>IFERROR(__xludf.DUMMYFUNCTION("""COMPUTED_VALUE"""),"Yes")</f>
        <v>Yes</v>
      </c>
      <c r="AG669" s="5" t="str">
        <f>IFERROR(__xludf.DUMMYFUNCTION("""COMPUTED_VALUE"""),"Yes")</f>
        <v>Yes</v>
      </c>
      <c r="AH669" s="5" t="str">
        <f>IFERROR(__xludf.DUMMYFUNCTION("""COMPUTED_VALUE"""),"Yes")</f>
        <v>Yes</v>
      </c>
      <c r="AI669" s="5" t="str">
        <f>IFERROR(__xludf.DUMMYFUNCTION("""COMPUTED_VALUE"""),"No")</f>
        <v>No</v>
      </c>
      <c r="AJ669" s="5" t="str">
        <f>IFERROR(__xludf.DUMMYFUNCTION("""COMPUTED_VALUE"""),"No")</f>
        <v>No</v>
      </c>
      <c r="AK669" s="5" t="str">
        <f>IFERROR(__xludf.DUMMYFUNCTION("""COMPUTED_VALUE"""),"No")</f>
        <v>No</v>
      </c>
      <c r="AL669" s="5" t="str">
        <f>IFERROR(__xludf.DUMMYFUNCTION("""COMPUTED_VALUE"""),"No")</f>
        <v>No</v>
      </c>
      <c r="AM669" s="5"/>
      <c r="AN669" s="5"/>
      <c r="AO669" s="5"/>
      <c r="AP669" s="5"/>
      <c r="AQ669" s="5"/>
      <c r="AR669" s="5"/>
      <c r="AS669" s="5"/>
      <c r="AT669" s="5"/>
      <c r="AU669" s="5"/>
      <c r="AV669" s="5"/>
      <c r="AW669" s="5"/>
      <c r="AX669" s="5"/>
      <c r="AY669" s="5"/>
    </row>
    <row r="670">
      <c r="A6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0" s="5">
        <f>IFERROR(__xludf.DUMMYFUNCTION("""COMPUTED_VALUE"""),705.0)</f>
        <v>705</v>
      </c>
      <c r="C670" s="5">
        <f>IFERROR(__xludf.DUMMYFUNCTION("""COMPUTED_VALUE"""),1021.0)</f>
        <v>1021</v>
      </c>
      <c r="D670" s="5" t="str">
        <f>IFERROR(__xludf.DUMMYFUNCTION("""COMPUTED_VALUE"""),"FortuneOfWuKong")</f>
        <v>FortuneOfWuKong</v>
      </c>
      <c r="E670" s="5" t="str">
        <f>IFERROR(__xludf.DUMMYFUNCTION("""COMPUTED_VALUE"""),"Yes")</f>
        <v>Yes</v>
      </c>
      <c r="F670" s="5" t="str">
        <f>IFERROR(__xludf.DUMMYFUNCTION("""COMPUTED_VALUE"""),"Yes")</f>
        <v>Yes</v>
      </c>
      <c r="G670" s="5" t="str">
        <f>IFERROR(__xludf.DUMMYFUNCTION("""COMPUTED_VALUE"""),"Yes")</f>
        <v>Yes</v>
      </c>
      <c r="H670" s="5" t="str">
        <f>IFERROR(__xludf.DUMMYFUNCTION("""COMPUTED_VALUE"""),"Yes")</f>
        <v>Yes</v>
      </c>
      <c r="I670" s="5" t="str">
        <f>IFERROR(__xludf.DUMMYFUNCTION("""COMPUTED_VALUE"""),"Yes")</f>
        <v>Yes</v>
      </c>
      <c r="J670" s="5" t="str">
        <f>IFERROR(__xludf.DUMMYFUNCTION("""COMPUTED_VALUE"""),"Yes")</f>
        <v>Yes</v>
      </c>
      <c r="K670" s="5" t="str">
        <f>IFERROR(__xludf.DUMMYFUNCTION("""COMPUTED_VALUE"""),"Yes")</f>
        <v>Yes</v>
      </c>
      <c r="L670" s="5" t="str">
        <f>IFERROR(__xludf.DUMMYFUNCTION("""COMPUTED_VALUE"""),"Yes")</f>
        <v>Yes</v>
      </c>
      <c r="M670" s="5" t="str">
        <f>IFERROR(__xludf.DUMMYFUNCTION("""COMPUTED_VALUE"""),"Yes")</f>
        <v>Yes</v>
      </c>
      <c r="N670" s="5" t="str">
        <f>IFERROR(__xludf.DUMMYFUNCTION("""COMPUTED_VALUE"""),"Yes")</f>
        <v>Yes</v>
      </c>
      <c r="O670" s="5" t="str">
        <f>IFERROR(__xludf.DUMMYFUNCTION("""COMPUTED_VALUE"""),"Yes")</f>
        <v>Yes</v>
      </c>
      <c r="P670" s="5" t="str">
        <f>IFERROR(__xludf.DUMMYFUNCTION("""COMPUTED_VALUE"""),"Yes")</f>
        <v>Yes</v>
      </c>
      <c r="Q670" s="5" t="str">
        <f>IFERROR(__xludf.DUMMYFUNCTION("""COMPUTED_VALUE"""),"Yes")</f>
        <v>Yes</v>
      </c>
      <c r="R670" s="5" t="str">
        <f>IFERROR(__xludf.DUMMYFUNCTION("""COMPUTED_VALUE"""),"Yes")</f>
        <v>Yes</v>
      </c>
      <c r="S670" s="5" t="str">
        <f>IFERROR(__xludf.DUMMYFUNCTION("""COMPUTED_VALUE"""),"Yes")</f>
        <v>Yes</v>
      </c>
      <c r="T670" s="5" t="str">
        <f>IFERROR(__xludf.DUMMYFUNCTION("""COMPUTED_VALUE"""),"Yes")</f>
        <v>Yes</v>
      </c>
      <c r="U670" s="5" t="str">
        <f>IFERROR(__xludf.DUMMYFUNCTION("""COMPUTED_VALUE"""),"Yes")</f>
        <v>Yes</v>
      </c>
      <c r="V670" s="5" t="str">
        <f>IFERROR(__xludf.DUMMYFUNCTION("""COMPUTED_VALUE"""),"Yes")</f>
        <v>Yes</v>
      </c>
      <c r="W670" s="5" t="str">
        <f>IFERROR(__xludf.DUMMYFUNCTION("""COMPUTED_VALUE"""),"Yes")</f>
        <v>Yes</v>
      </c>
      <c r="X670" s="5" t="str">
        <f>IFERROR(__xludf.DUMMYFUNCTION("""COMPUTED_VALUE"""),"Yes")</f>
        <v>Yes</v>
      </c>
      <c r="Y670" s="5" t="str">
        <f>IFERROR(__xludf.DUMMYFUNCTION("""COMPUTED_VALUE"""),"Yes")</f>
        <v>Yes</v>
      </c>
      <c r="Z670" s="5" t="str">
        <f>IFERROR(__xludf.DUMMYFUNCTION("""COMPUTED_VALUE"""),"Yes")</f>
        <v>Yes</v>
      </c>
      <c r="AA670" s="5" t="str">
        <f>IFERROR(__xludf.DUMMYFUNCTION("""COMPUTED_VALUE"""),"Yes")</f>
        <v>Yes</v>
      </c>
      <c r="AB670" s="5" t="str">
        <f>IFERROR(__xludf.DUMMYFUNCTION("""COMPUTED_VALUE"""),"Yes")</f>
        <v>Yes</v>
      </c>
      <c r="AC670" s="5" t="str">
        <f>IFERROR(__xludf.DUMMYFUNCTION("""COMPUTED_VALUE"""),"Yes")</f>
        <v>Yes</v>
      </c>
      <c r="AD670" s="5" t="str">
        <f>IFERROR(__xludf.DUMMYFUNCTION("""COMPUTED_VALUE"""),"Yes")</f>
        <v>Yes</v>
      </c>
      <c r="AE670" s="5" t="str">
        <f>IFERROR(__xludf.DUMMYFUNCTION("""COMPUTED_VALUE"""),"Yes")</f>
        <v>Yes</v>
      </c>
      <c r="AF670" s="5" t="str">
        <f>IFERROR(__xludf.DUMMYFUNCTION("""COMPUTED_VALUE"""),"Yes")</f>
        <v>Yes</v>
      </c>
      <c r="AG670" s="5" t="str">
        <f>IFERROR(__xludf.DUMMYFUNCTION("""COMPUTED_VALUE"""),"Yes")</f>
        <v>Yes</v>
      </c>
      <c r="AH670" s="5" t="str">
        <f>IFERROR(__xludf.DUMMYFUNCTION("""COMPUTED_VALUE"""),"Yes")</f>
        <v>Yes</v>
      </c>
      <c r="AI670" s="5" t="str">
        <f>IFERROR(__xludf.DUMMYFUNCTION("""COMPUTED_VALUE"""),"Yes")</f>
        <v>Yes</v>
      </c>
      <c r="AJ670" s="5" t="str">
        <f>IFERROR(__xludf.DUMMYFUNCTION("""COMPUTED_VALUE"""),"Yes")</f>
        <v>Yes</v>
      </c>
      <c r="AK670" s="5" t="str">
        <f>IFERROR(__xludf.DUMMYFUNCTION("""COMPUTED_VALUE"""),"Yes")</f>
        <v>Yes</v>
      </c>
      <c r="AL670" s="5" t="str">
        <f>IFERROR(__xludf.DUMMYFUNCTION("""COMPUTED_VALUE"""),"No")</f>
        <v>No</v>
      </c>
      <c r="AM670" s="5"/>
      <c r="AN670" s="5"/>
      <c r="AO670" s="5"/>
      <c r="AP670" s="5"/>
      <c r="AQ670" s="5"/>
      <c r="AR670" s="5"/>
      <c r="AS670" s="5"/>
      <c r="AT670" s="5"/>
      <c r="AU670" s="5"/>
      <c r="AV670" s="5"/>
      <c r="AW670" s="5"/>
      <c r="AX670" s="5"/>
      <c r="AY670" s="5"/>
    </row>
    <row r="671">
      <c r="A6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1" s="5">
        <f>IFERROR(__xludf.DUMMYFUNCTION("""COMPUTED_VALUE"""),706.0)</f>
        <v>706</v>
      </c>
      <c r="C671" s="5">
        <f>IFERROR(__xludf.DUMMYFUNCTION("""COMPUTED_VALUE"""),3029.0)</f>
        <v>3029</v>
      </c>
      <c r="D671" s="5" t="str">
        <f>IFERROR(__xludf.DUMMYFUNCTION("""COMPUTED_VALUE"""),"CloversAndDiamonds10")</f>
        <v>CloversAndDiamonds10</v>
      </c>
      <c r="E671" s="5" t="str">
        <f>IFERROR(__xludf.DUMMYFUNCTION("""COMPUTED_VALUE"""),"Yes")</f>
        <v>Yes</v>
      </c>
      <c r="F671" s="5" t="str">
        <f>IFERROR(__xludf.DUMMYFUNCTION("""COMPUTED_VALUE"""),"Yes")</f>
        <v>Yes</v>
      </c>
      <c r="G671" s="5" t="str">
        <f>IFERROR(__xludf.DUMMYFUNCTION("""COMPUTED_VALUE"""),"Yes")</f>
        <v>Yes</v>
      </c>
      <c r="H671" s="5" t="str">
        <f>IFERROR(__xludf.DUMMYFUNCTION("""COMPUTED_VALUE"""),"Yes")</f>
        <v>Yes</v>
      </c>
      <c r="I671" s="5" t="str">
        <f>IFERROR(__xludf.DUMMYFUNCTION("""COMPUTED_VALUE"""),"Yes")</f>
        <v>Yes</v>
      </c>
      <c r="J671" s="5" t="str">
        <f>IFERROR(__xludf.DUMMYFUNCTION("""COMPUTED_VALUE"""),"Yes")</f>
        <v>Yes</v>
      </c>
      <c r="K671" s="5" t="str">
        <f>IFERROR(__xludf.DUMMYFUNCTION("""COMPUTED_VALUE"""),"Yes")</f>
        <v>Yes</v>
      </c>
      <c r="L671" s="5" t="str">
        <f>IFERROR(__xludf.DUMMYFUNCTION("""COMPUTED_VALUE"""),"Yes")</f>
        <v>Yes</v>
      </c>
      <c r="M671" s="5" t="str">
        <f>IFERROR(__xludf.DUMMYFUNCTION("""COMPUTED_VALUE"""),"Yes")</f>
        <v>Yes</v>
      </c>
      <c r="N671" s="5" t="str">
        <f>IFERROR(__xludf.DUMMYFUNCTION("""COMPUTED_VALUE"""),"Yes")</f>
        <v>Yes</v>
      </c>
      <c r="O671" s="5" t="str">
        <f>IFERROR(__xludf.DUMMYFUNCTION("""COMPUTED_VALUE"""),"Yes")</f>
        <v>Yes</v>
      </c>
      <c r="P671" s="5" t="str">
        <f>IFERROR(__xludf.DUMMYFUNCTION("""COMPUTED_VALUE"""),"Yes")</f>
        <v>Yes</v>
      </c>
      <c r="Q671" s="5" t="str">
        <f>IFERROR(__xludf.DUMMYFUNCTION("""COMPUTED_VALUE"""),"Yes")</f>
        <v>Yes</v>
      </c>
      <c r="R671" s="5" t="str">
        <f>IFERROR(__xludf.DUMMYFUNCTION("""COMPUTED_VALUE"""),"Yes")</f>
        <v>Yes</v>
      </c>
      <c r="S671" s="5" t="str">
        <f>IFERROR(__xludf.DUMMYFUNCTION("""COMPUTED_VALUE"""),"Yes")</f>
        <v>Yes</v>
      </c>
      <c r="T671" s="5" t="str">
        <f>IFERROR(__xludf.DUMMYFUNCTION("""COMPUTED_VALUE"""),"Yes")</f>
        <v>Yes</v>
      </c>
      <c r="U671" s="5" t="str">
        <f>IFERROR(__xludf.DUMMYFUNCTION("""COMPUTED_VALUE"""),"Yes")</f>
        <v>Yes</v>
      </c>
      <c r="V671" s="5" t="str">
        <f>IFERROR(__xludf.DUMMYFUNCTION("""COMPUTED_VALUE"""),"Yes")</f>
        <v>Yes</v>
      </c>
      <c r="W671" s="5" t="str">
        <f>IFERROR(__xludf.DUMMYFUNCTION("""COMPUTED_VALUE"""),"Yes")</f>
        <v>Yes</v>
      </c>
      <c r="X671" s="5" t="str">
        <f>IFERROR(__xludf.DUMMYFUNCTION("""COMPUTED_VALUE"""),"Yes")</f>
        <v>Yes</v>
      </c>
      <c r="Y671" s="5" t="str">
        <f>IFERROR(__xludf.DUMMYFUNCTION("""COMPUTED_VALUE"""),"Yes")</f>
        <v>Yes</v>
      </c>
      <c r="Z671" s="5" t="str">
        <f>IFERROR(__xludf.DUMMYFUNCTION("""COMPUTED_VALUE"""),"Yes")</f>
        <v>Yes</v>
      </c>
      <c r="AA671" s="5" t="str">
        <f>IFERROR(__xludf.DUMMYFUNCTION("""COMPUTED_VALUE"""),"Yes")</f>
        <v>Yes</v>
      </c>
      <c r="AB671" s="5" t="str">
        <f>IFERROR(__xludf.DUMMYFUNCTION("""COMPUTED_VALUE"""),"Yes")</f>
        <v>Yes</v>
      </c>
      <c r="AC671" s="5" t="str">
        <f>IFERROR(__xludf.DUMMYFUNCTION("""COMPUTED_VALUE"""),"Yes")</f>
        <v>Yes</v>
      </c>
      <c r="AD671" s="5" t="str">
        <f>IFERROR(__xludf.DUMMYFUNCTION("""COMPUTED_VALUE"""),"Yes")</f>
        <v>Yes</v>
      </c>
      <c r="AE671" s="5" t="str">
        <f>IFERROR(__xludf.DUMMYFUNCTION("""COMPUTED_VALUE"""),"Yes")</f>
        <v>Yes</v>
      </c>
      <c r="AF671" s="5" t="str">
        <f>IFERROR(__xludf.DUMMYFUNCTION("""COMPUTED_VALUE"""),"Yes")</f>
        <v>Yes</v>
      </c>
      <c r="AG671" s="5" t="str">
        <f>IFERROR(__xludf.DUMMYFUNCTION("""COMPUTED_VALUE"""),"Yes")</f>
        <v>Yes</v>
      </c>
      <c r="AH671" s="5" t="str">
        <f>IFERROR(__xludf.DUMMYFUNCTION("""COMPUTED_VALUE"""),"Yes")</f>
        <v>Yes</v>
      </c>
      <c r="AI671" s="5" t="str">
        <f>IFERROR(__xludf.DUMMYFUNCTION("""COMPUTED_VALUE"""),"Yes")</f>
        <v>Yes</v>
      </c>
      <c r="AJ671" s="5" t="str">
        <f>IFERROR(__xludf.DUMMYFUNCTION("""COMPUTED_VALUE"""),"Yes")</f>
        <v>Yes</v>
      </c>
      <c r="AK671" s="5" t="str">
        <f>IFERROR(__xludf.DUMMYFUNCTION("""COMPUTED_VALUE"""),"Yes")</f>
        <v>Yes</v>
      </c>
      <c r="AL671" s="5" t="str">
        <f>IFERROR(__xludf.DUMMYFUNCTION("""COMPUTED_VALUE"""),"No")</f>
        <v>No</v>
      </c>
      <c r="AM671" s="5"/>
      <c r="AN671" s="5"/>
      <c r="AO671" s="5"/>
      <c r="AP671" s="5"/>
      <c r="AQ671" s="5"/>
      <c r="AR671" s="5"/>
      <c r="AS671" s="5"/>
      <c r="AT671" s="5"/>
      <c r="AU671" s="5"/>
      <c r="AV671" s="5"/>
      <c r="AW671" s="5"/>
      <c r="AX671" s="5"/>
      <c r="AY671" s="5"/>
    </row>
    <row r="672">
      <c r="A6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2" s="5">
        <f>IFERROR(__xludf.DUMMYFUNCTION("""COMPUTED_VALUE"""),707.0)</f>
        <v>707</v>
      </c>
      <c r="C672" s="5">
        <f>IFERROR(__xludf.DUMMYFUNCTION("""COMPUTED_VALUE"""),3030.0)</f>
        <v>3030</v>
      </c>
      <c r="D672" s="5" t="str">
        <f>IFERROR(__xludf.DUMMYFUNCTION("""COMPUTED_VALUE"""),"CloversAndDiamonds20")</f>
        <v>CloversAndDiamonds20</v>
      </c>
      <c r="E672" s="5" t="str">
        <f>IFERROR(__xludf.DUMMYFUNCTION("""COMPUTED_VALUE"""),"Yes")</f>
        <v>Yes</v>
      </c>
      <c r="F672" s="5" t="str">
        <f>IFERROR(__xludf.DUMMYFUNCTION("""COMPUTED_VALUE"""),"Yes")</f>
        <v>Yes</v>
      </c>
      <c r="G672" s="5" t="str">
        <f>IFERROR(__xludf.DUMMYFUNCTION("""COMPUTED_VALUE"""),"Yes")</f>
        <v>Yes</v>
      </c>
      <c r="H672" s="5" t="str">
        <f>IFERROR(__xludf.DUMMYFUNCTION("""COMPUTED_VALUE"""),"Yes")</f>
        <v>Yes</v>
      </c>
      <c r="I672" s="5" t="str">
        <f>IFERROR(__xludf.DUMMYFUNCTION("""COMPUTED_VALUE"""),"Yes")</f>
        <v>Yes</v>
      </c>
      <c r="J672" s="5" t="str">
        <f>IFERROR(__xludf.DUMMYFUNCTION("""COMPUTED_VALUE"""),"Yes")</f>
        <v>Yes</v>
      </c>
      <c r="K672" s="5" t="str">
        <f>IFERROR(__xludf.DUMMYFUNCTION("""COMPUTED_VALUE"""),"Yes")</f>
        <v>Yes</v>
      </c>
      <c r="L672" s="5" t="str">
        <f>IFERROR(__xludf.DUMMYFUNCTION("""COMPUTED_VALUE"""),"Yes")</f>
        <v>Yes</v>
      </c>
      <c r="M672" s="5" t="str">
        <f>IFERROR(__xludf.DUMMYFUNCTION("""COMPUTED_VALUE"""),"Yes")</f>
        <v>Yes</v>
      </c>
      <c r="N672" s="5" t="str">
        <f>IFERROR(__xludf.DUMMYFUNCTION("""COMPUTED_VALUE"""),"Yes")</f>
        <v>Yes</v>
      </c>
      <c r="O672" s="5" t="str">
        <f>IFERROR(__xludf.DUMMYFUNCTION("""COMPUTED_VALUE"""),"Yes")</f>
        <v>Yes</v>
      </c>
      <c r="P672" s="5" t="str">
        <f>IFERROR(__xludf.DUMMYFUNCTION("""COMPUTED_VALUE"""),"Yes")</f>
        <v>Yes</v>
      </c>
      <c r="Q672" s="5" t="str">
        <f>IFERROR(__xludf.DUMMYFUNCTION("""COMPUTED_VALUE"""),"Yes")</f>
        <v>Yes</v>
      </c>
      <c r="R672" s="5" t="str">
        <f>IFERROR(__xludf.DUMMYFUNCTION("""COMPUTED_VALUE"""),"Yes")</f>
        <v>Yes</v>
      </c>
      <c r="S672" s="5" t="str">
        <f>IFERROR(__xludf.DUMMYFUNCTION("""COMPUTED_VALUE"""),"Yes")</f>
        <v>Yes</v>
      </c>
      <c r="T672" s="5" t="str">
        <f>IFERROR(__xludf.DUMMYFUNCTION("""COMPUTED_VALUE"""),"Yes")</f>
        <v>Yes</v>
      </c>
      <c r="U672" s="5" t="str">
        <f>IFERROR(__xludf.DUMMYFUNCTION("""COMPUTED_VALUE"""),"Yes")</f>
        <v>Yes</v>
      </c>
      <c r="V672" s="5" t="str">
        <f>IFERROR(__xludf.DUMMYFUNCTION("""COMPUTED_VALUE"""),"Yes")</f>
        <v>Yes</v>
      </c>
      <c r="W672" s="5" t="str">
        <f>IFERROR(__xludf.DUMMYFUNCTION("""COMPUTED_VALUE"""),"Yes")</f>
        <v>Yes</v>
      </c>
      <c r="X672" s="5" t="str">
        <f>IFERROR(__xludf.DUMMYFUNCTION("""COMPUTED_VALUE"""),"Yes")</f>
        <v>Yes</v>
      </c>
      <c r="Y672" s="5" t="str">
        <f>IFERROR(__xludf.DUMMYFUNCTION("""COMPUTED_VALUE"""),"Yes")</f>
        <v>Yes</v>
      </c>
      <c r="Z672" s="5" t="str">
        <f>IFERROR(__xludf.DUMMYFUNCTION("""COMPUTED_VALUE"""),"Yes")</f>
        <v>Yes</v>
      </c>
      <c r="AA672" s="5" t="str">
        <f>IFERROR(__xludf.DUMMYFUNCTION("""COMPUTED_VALUE"""),"Yes")</f>
        <v>Yes</v>
      </c>
      <c r="AB672" s="5" t="str">
        <f>IFERROR(__xludf.DUMMYFUNCTION("""COMPUTED_VALUE"""),"Yes")</f>
        <v>Yes</v>
      </c>
      <c r="AC672" s="5" t="str">
        <f>IFERROR(__xludf.DUMMYFUNCTION("""COMPUTED_VALUE"""),"Yes")</f>
        <v>Yes</v>
      </c>
      <c r="AD672" s="5" t="str">
        <f>IFERROR(__xludf.DUMMYFUNCTION("""COMPUTED_VALUE"""),"Yes")</f>
        <v>Yes</v>
      </c>
      <c r="AE672" s="5" t="str">
        <f>IFERROR(__xludf.DUMMYFUNCTION("""COMPUTED_VALUE"""),"Yes")</f>
        <v>Yes</v>
      </c>
      <c r="AF672" s="5" t="str">
        <f>IFERROR(__xludf.DUMMYFUNCTION("""COMPUTED_VALUE"""),"Yes")</f>
        <v>Yes</v>
      </c>
      <c r="AG672" s="5" t="str">
        <f>IFERROR(__xludf.DUMMYFUNCTION("""COMPUTED_VALUE"""),"Yes")</f>
        <v>Yes</v>
      </c>
      <c r="AH672" s="5" t="str">
        <f>IFERROR(__xludf.DUMMYFUNCTION("""COMPUTED_VALUE"""),"Yes")</f>
        <v>Yes</v>
      </c>
      <c r="AI672" s="5" t="str">
        <f>IFERROR(__xludf.DUMMYFUNCTION("""COMPUTED_VALUE"""),"No")</f>
        <v>No</v>
      </c>
      <c r="AJ672" s="5" t="str">
        <f>IFERROR(__xludf.DUMMYFUNCTION("""COMPUTED_VALUE"""),"No")</f>
        <v>No</v>
      </c>
      <c r="AK672" s="5" t="str">
        <f>IFERROR(__xludf.DUMMYFUNCTION("""COMPUTED_VALUE"""),"No")</f>
        <v>No</v>
      </c>
      <c r="AL672" s="5" t="str">
        <f>IFERROR(__xludf.DUMMYFUNCTION("""COMPUTED_VALUE"""),"No")</f>
        <v>No</v>
      </c>
      <c r="AM672" s="5"/>
      <c r="AN672" s="5"/>
      <c r="AO672" s="5"/>
      <c r="AP672" s="5"/>
      <c r="AQ672" s="5"/>
      <c r="AR672" s="5"/>
      <c r="AS672" s="5"/>
      <c r="AT672" s="5"/>
      <c r="AU672" s="5"/>
      <c r="AV672" s="5"/>
      <c r="AW672" s="5"/>
      <c r="AX672" s="5"/>
      <c r="AY672" s="5"/>
    </row>
    <row r="673">
      <c r="A6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3" s="5">
        <f>IFERROR(__xludf.DUMMYFUNCTION("""COMPUTED_VALUE"""),708.0)</f>
        <v>708</v>
      </c>
      <c r="C673" s="5">
        <f>IFERROR(__xludf.DUMMYFUNCTION("""COMPUTED_VALUE"""),3031.0)</f>
        <v>3031</v>
      </c>
      <c r="D673" s="5" t="str">
        <f>IFERROR(__xludf.DUMMYFUNCTION("""COMPUTED_VALUE"""),"CloversAndDiamonds40")</f>
        <v>CloversAndDiamonds40</v>
      </c>
      <c r="E673" s="5" t="str">
        <f>IFERROR(__xludf.DUMMYFUNCTION("""COMPUTED_VALUE"""),"Yes")</f>
        <v>Yes</v>
      </c>
      <c r="F673" s="5" t="str">
        <f>IFERROR(__xludf.DUMMYFUNCTION("""COMPUTED_VALUE"""),"Yes")</f>
        <v>Yes</v>
      </c>
      <c r="G673" s="5" t="str">
        <f>IFERROR(__xludf.DUMMYFUNCTION("""COMPUTED_VALUE"""),"Yes")</f>
        <v>Yes</v>
      </c>
      <c r="H673" s="5" t="str">
        <f>IFERROR(__xludf.DUMMYFUNCTION("""COMPUTED_VALUE"""),"Yes")</f>
        <v>Yes</v>
      </c>
      <c r="I673" s="5" t="str">
        <f>IFERROR(__xludf.DUMMYFUNCTION("""COMPUTED_VALUE"""),"Yes")</f>
        <v>Yes</v>
      </c>
      <c r="J673" s="5" t="str">
        <f>IFERROR(__xludf.DUMMYFUNCTION("""COMPUTED_VALUE"""),"Yes")</f>
        <v>Yes</v>
      </c>
      <c r="K673" s="5" t="str">
        <f>IFERROR(__xludf.DUMMYFUNCTION("""COMPUTED_VALUE"""),"Yes")</f>
        <v>Yes</v>
      </c>
      <c r="L673" s="5" t="str">
        <f>IFERROR(__xludf.DUMMYFUNCTION("""COMPUTED_VALUE"""),"Yes")</f>
        <v>Yes</v>
      </c>
      <c r="M673" s="5" t="str">
        <f>IFERROR(__xludf.DUMMYFUNCTION("""COMPUTED_VALUE"""),"Yes")</f>
        <v>Yes</v>
      </c>
      <c r="N673" s="5" t="str">
        <f>IFERROR(__xludf.DUMMYFUNCTION("""COMPUTED_VALUE"""),"Yes")</f>
        <v>Yes</v>
      </c>
      <c r="O673" s="5" t="str">
        <f>IFERROR(__xludf.DUMMYFUNCTION("""COMPUTED_VALUE"""),"Yes")</f>
        <v>Yes</v>
      </c>
      <c r="P673" s="5" t="str">
        <f>IFERROR(__xludf.DUMMYFUNCTION("""COMPUTED_VALUE"""),"Yes")</f>
        <v>Yes</v>
      </c>
      <c r="Q673" s="5" t="str">
        <f>IFERROR(__xludf.DUMMYFUNCTION("""COMPUTED_VALUE"""),"Yes")</f>
        <v>Yes</v>
      </c>
      <c r="R673" s="5" t="str">
        <f>IFERROR(__xludf.DUMMYFUNCTION("""COMPUTED_VALUE"""),"Yes")</f>
        <v>Yes</v>
      </c>
      <c r="S673" s="5" t="str">
        <f>IFERROR(__xludf.DUMMYFUNCTION("""COMPUTED_VALUE"""),"Yes")</f>
        <v>Yes</v>
      </c>
      <c r="T673" s="5" t="str">
        <f>IFERROR(__xludf.DUMMYFUNCTION("""COMPUTED_VALUE"""),"Yes")</f>
        <v>Yes</v>
      </c>
      <c r="U673" s="5" t="str">
        <f>IFERROR(__xludf.DUMMYFUNCTION("""COMPUTED_VALUE"""),"Yes")</f>
        <v>Yes</v>
      </c>
      <c r="V673" s="5" t="str">
        <f>IFERROR(__xludf.DUMMYFUNCTION("""COMPUTED_VALUE"""),"Yes")</f>
        <v>Yes</v>
      </c>
      <c r="W673" s="5" t="str">
        <f>IFERROR(__xludf.DUMMYFUNCTION("""COMPUTED_VALUE"""),"Yes")</f>
        <v>Yes</v>
      </c>
      <c r="X673" s="5" t="str">
        <f>IFERROR(__xludf.DUMMYFUNCTION("""COMPUTED_VALUE"""),"Yes")</f>
        <v>Yes</v>
      </c>
      <c r="Y673" s="5" t="str">
        <f>IFERROR(__xludf.DUMMYFUNCTION("""COMPUTED_VALUE"""),"Yes")</f>
        <v>Yes</v>
      </c>
      <c r="Z673" s="5" t="str">
        <f>IFERROR(__xludf.DUMMYFUNCTION("""COMPUTED_VALUE"""),"Yes")</f>
        <v>Yes</v>
      </c>
      <c r="AA673" s="5" t="str">
        <f>IFERROR(__xludf.DUMMYFUNCTION("""COMPUTED_VALUE"""),"Yes")</f>
        <v>Yes</v>
      </c>
      <c r="AB673" s="5" t="str">
        <f>IFERROR(__xludf.DUMMYFUNCTION("""COMPUTED_VALUE"""),"Yes")</f>
        <v>Yes</v>
      </c>
      <c r="AC673" s="5" t="str">
        <f>IFERROR(__xludf.DUMMYFUNCTION("""COMPUTED_VALUE"""),"Yes")</f>
        <v>Yes</v>
      </c>
      <c r="AD673" s="5" t="str">
        <f>IFERROR(__xludf.DUMMYFUNCTION("""COMPUTED_VALUE"""),"Yes")</f>
        <v>Yes</v>
      </c>
      <c r="AE673" s="5" t="str">
        <f>IFERROR(__xludf.DUMMYFUNCTION("""COMPUTED_VALUE"""),"Yes")</f>
        <v>Yes</v>
      </c>
      <c r="AF673" s="5" t="str">
        <f>IFERROR(__xludf.DUMMYFUNCTION("""COMPUTED_VALUE"""),"Yes")</f>
        <v>Yes</v>
      </c>
      <c r="AG673" s="5" t="str">
        <f>IFERROR(__xludf.DUMMYFUNCTION("""COMPUTED_VALUE"""),"Yes")</f>
        <v>Yes</v>
      </c>
      <c r="AH673" s="5" t="str">
        <f>IFERROR(__xludf.DUMMYFUNCTION("""COMPUTED_VALUE"""),"Yes")</f>
        <v>Yes</v>
      </c>
      <c r="AI673" s="5" t="str">
        <f>IFERROR(__xludf.DUMMYFUNCTION("""COMPUTED_VALUE"""),"No")</f>
        <v>No</v>
      </c>
      <c r="AJ673" s="5" t="str">
        <f>IFERROR(__xludf.DUMMYFUNCTION("""COMPUTED_VALUE"""),"No")</f>
        <v>No</v>
      </c>
      <c r="AK673" s="5" t="str">
        <f>IFERROR(__xludf.DUMMYFUNCTION("""COMPUTED_VALUE"""),"No")</f>
        <v>No</v>
      </c>
      <c r="AL673" s="5" t="str">
        <f>IFERROR(__xludf.DUMMYFUNCTION("""COMPUTED_VALUE"""),"No")</f>
        <v>No</v>
      </c>
      <c r="AM673" s="5"/>
      <c r="AN673" s="5"/>
      <c r="AO673" s="5"/>
      <c r="AP673" s="5"/>
      <c r="AQ673" s="5"/>
      <c r="AR673" s="5"/>
      <c r="AS673" s="5"/>
      <c r="AT673" s="5"/>
      <c r="AU673" s="5"/>
      <c r="AV673" s="5"/>
      <c r="AW673" s="5"/>
      <c r="AX673" s="5"/>
      <c r="AY673" s="5"/>
    </row>
    <row r="674">
      <c r="A6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4" s="5">
        <f>IFERROR(__xludf.DUMMYFUNCTION("""COMPUTED_VALUE"""),709.0)</f>
        <v>709</v>
      </c>
      <c r="C674" s="5">
        <f>IFERROR(__xludf.DUMMYFUNCTION("""COMPUTED_VALUE"""),5002.0)</f>
        <v>5002</v>
      </c>
      <c r="D674" s="5" t="str">
        <f>IFERROR(__xludf.DUMMYFUNCTION("""COMPUTED_VALUE"""),"RoyalgardenKing")</f>
        <v>RoyalgardenKing</v>
      </c>
      <c r="E674" s="5" t="str">
        <f>IFERROR(__xludf.DUMMYFUNCTION("""COMPUTED_VALUE"""),"Yes")</f>
        <v>Yes</v>
      </c>
      <c r="F674" s="5" t="str">
        <f>IFERROR(__xludf.DUMMYFUNCTION("""COMPUTED_VALUE"""),"Yes")</f>
        <v>Yes</v>
      </c>
      <c r="G674" s="5" t="str">
        <f>IFERROR(__xludf.DUMMYFUNCTION("""COMPUTED_VALUE"""),"Yes")</f>
        <v>Yes</v>
      </c>
      <c r="H674" s="5" t="str">
        <f>IFERROR(__xludf.DUMMYFUNCTION("""COMPUTED_VALUE"""),"Yes")</f>
        <v>Yes</v>
      </c>
      <c r="I674" s="5" t="str">
        <f>IFERROR(__xludf.DUMMYFUNCTION("""COMPUTED_VALUE"""),"Yes")</f>
        <v>Yes</v>
      </c>
      <c r="J674" s="5" t="str">
        <f>IFERROR(__xludf.DUMMYFUNCTION("""COMPUTED_VALUE"""),"Yes")</f>
        <v>Yes</v>
      </c>
      <c r="K674" s="5" t="str">
        <f>IFERROR(__xludf.DUMMYFUNCTION("""COMPUTED_VALUE"""),"Yes")</f>
        <v>Yes</v>
      </c>
      <c r="L674" s="5" t="str">
        <f>IFERROR(__xludf.DUMMYFUNCTION("""COMPUTED_VALUE"""),"Yes")</f>
        <v>Yes</v>
      </c>
      <c r="M674" s="5" t="str">
        <f>IFERROR(__xludf.DUMMYFUNCTION("""COMPUTED_VALUE"""),"Yes")</f>
        <v>Yes</v>
      </c>
      <c r="N674" s="5" t="str">
        <f>IFERROR(__xludf.DUMMYFUNCTION("""COMPUTED_VALUE"""),"Yes")</f>
        <v>Yes</v>
      </c>
      <c r="O674" s="5" t="str">
        <f>IFERROR(__xludf.DUMMYFUNCTION("""COMPUTED_VALUE"""),"Yes")</f>
        <v>Yes</v>
      </c>
      <c r="P674" s="5" t="str">
        <f>IFERROR(__xludf.DUMMYFUNCTION("""COMPUTED_VALUE"""),"Yes")</f>
        <v>Yes</v>
      </c>
      <c r="Q674" s="5" t="str">
        <f>IFERROR(__xludf.DUMMYFUNCTION("""COMPUTED_VALUE"""),"Yes")</f>
        <v>Yes</v>
      </c>
      <c r="R674" s="5" t="str">
        <f>IFERROR(__xludf.DUMMYFUNCTION("""COMPUTED_VALUE"""),"Yes")</f>
        <v>Yes</v>
      </c>
      <c r="S674" s="5" t="str">
        <f>IFERROR(__xludf.DUMMYFUNCTION("""COMPUTED_VALUE"""),"Yes")</f>
        <v>Yes</v>
      </c>
      <c r="T674" s="5" t="str">
        <f>IFERROR(__xludf.DUMMYFUNCTION("""COMPUTED_VALUE"""),"Yes")</f>
        <v>Yes</v>
      </c>
      <c r="U674" s="5" t="str">
        <f>IFERROR(__xludf.DUMMYFUNCTION("""COMPUTED_VALUE"""),"Yes")</f>
        <v>Yes</v>
      </c>
      <c r="V674" s="5" t="str">
        <f>IFERROR(__xludf.DUMMYFUNCTION("""COMPUTED_VALUE"""),"Yes")</f>
        <v>Yes</v>
      </c>
      <c r="W674" s="5" t="str">
        <f>IFERROR(__xludf.DUMMYFUNCTION("""COMPUTED_VALUE"""),"Yes")</f>
        <v>Yes</v>
      </c>
      <c r="X674" s="5" t="str">
        <f>IFERROR(__xludf.DUMMYFUNCTION("""COMPUTED_VALUE"""),"Yes")</f>
        <v>Yes</v>
      </c>
      <c r="Y674" s="5" t="str">
        <f>IFERROR(__xludf.DUMMYFUNCTION("""COMPUTED_VALUE"""),"Yes")</f>
        <v>Yes</v>
      </c>
      <c r="Z674" s="5" t="str">
        <f>IFERROR(__xludf.DUMMYFUNCTION("""COMPUTED_VALUE"""),"Yes")</f>
        <v>Yes</v>
      </c>
      <c r="AA674" s="5" t="str">
        <f>IFERROR(__xludf.DUMMYFUNCTION("""COMPUTED_VALUE"""),"Yes")</f>
        <v>Yes</v>
      </c>
      <c r="AB674" s="5" t="str">
        <f>IFERROR(__xludf.DUMMYFUNCTION("""COMPUTED_VALUE"""),"Yes")</f>
        <v>Yes</v>
      </c>
      <c r="AC674" s="5" t="str">
        <f>IFERROR(__xludf.DUMMYFUNCTION("""COMPUTED_VALUE"""),"Yes")</f>
        <v>Yes</v>
      </c>
      <c r="AD674" s="5" t="str">
        <f>IFERROR(__xludf.DUMMYFUNCTION("""COMPUTED_VALUE"""),"Yes")</f>
        <v>Yes</v>
      </c>
      <c r="AE674" s="5" t="str">
        <f>IFERROR(__xludf.DUMMYFUNCTION("""COMPUTED_VALUE"""),"Yes")</f>
        <v>Yes</v>
      </c>
      <c r="AF674" s="5" t="str">
        <f>IFERROR(__xludf.DUMMYFUNCTION("""COMPUTED_VALUE"""),"Yes")</f>
        <v>Yes</v>
      </c>
      <c r="AG674" s="5" t="str">
        <f>IFERROR(__xludf.DUMMYFUNCTION("""COMPUTED_VALUE"""),"Yes")</f>
        <v>Yes</v>
      </c>
      <c r="AH674" s="5" t="str">
        <f>IFERROR(__xludf.DUMMYFUNCTION("""COMPUTED_VALUE"""),"Yes")</f>
        <v>Yes</v>
      </c>
      <c r="AI674" s="5" t="str">
        <f>IFERROR(__xludf.DUMMYFUNCTION("""COMPUTED_VALUE"""),"No")</f>
        <v>No</v>
      </c>
      <c r="AJ674" s="5" t="str">
        <f>IFERROR(__xludf.DUMMYFUNCTION("""COMPUTED_VALUE"""),"No")</f>
        <v>No</v>
      </c>
      <c r="AK674" s="5" t="str">
        <f>IFERROR(__xludf.DUMMYFUNCTION("""COMPUTED_VALUE"""),"No")</f>
        <v>No</v>
      </c>
      <c r="AL674" s="5" t="str">
        <f>IFERROR(__xludf.DUMMYFUNCTION("""COMPUTED_VALUE"""),"No")</f>
        <v>No</v>
      </c>
      <c r="AM674" s="5"/>
      <c r="AN674" s="5"/>
      <c r="AO674" s="5"/>
      <c r="AP674" s="5"/>
      <c r="AQ674" s="5"/>
      <c r="AR674" s="5"/>
      <c r="AS674" s="5"/>
      <c r="AT674" s="5"/>
      <c r="AU674" s="5"/>
      <c r="AV674" s="5"/>
      <c r="AW674" s="5"/>
      <c r="AX674" s="5"/>
      <c r="AY674" s="5"/>
    </row>
    <row r="675">
      <c r="A6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5" s="5">
        <f>IFERROR(__xludf.DUMMYFUNCTION("""COMPUTED_VALUE"""),710.0)</f>
        <v>710</v>
      </c>
      <c r="C675" s="5">
        <f>IFERROR(__xludf.DUMMYFUNCTION("""COMPUTED_VALUE"""),5004.0)</f>
        <v>5004</v>
      </c>
      <c r="D675" s="5" t="str">
        <f>IFERROR(__xludf.DUMMYFUNCTION("""COMPUTED_VALUE"""),"RoyalgardenQueen")</f>
        <v>RoyalgardenQueen</v>
      </c>
      <c r="E675" s="5" t="str">
        <f>IFERROR(__xludf.DUMMYFUNCTION("""COMPUTED_VALUE"""),"Yes")</f>
        <v>Yes</v>
      </c>
      <c r="F675" s="5" t="str">
        <f>IFERROR(__xludf.DUMMYFUNCTION("""COMPUTED_VALUE"""),"Yes")</f>
        <v>Yes</v>
      </c>
      <c r="G675" s="5" t="str">
        <f>IFERROR(__xludf.DUMMYFUNCTION("""COMPUTED_VALUE"""),"Yes")</f>
        <v>Yes</v>
      </c>
      <c r="H675" s="5" t="str">
        <f>IFERROR(__xludf.DUMMYFUNCTION("""COMPUTED_VALUE"""),"Yes")</f>
        <v>Yes</v>
      </c>
      <c r="I675" s="5" t="str">
        <f>IFERROR(__xludf.DUMMYFUNCTION("""COMPUTED_VALUE"""),"Yes")</f>
        <v>Yes</v>
      </c>
      <c r="J675" s="5" t="str">
        <f>IFERROR(__xludf.DUMMYFUNCTION("""COMPUTED_VALUE"""),"Yes")</f>
        <v>Yes</v>
      </c>
      <c r="K675" s="5" t="str">
        <f>IFERROR(__xludf.DUMMYFUNCTION("""COMPUTED_VALUE"""),"Yes")</f>
        <v>Yes</v>
      </c>
      <c r="L675" s="5" t="str">
        <f>IFERROR(__xludf.DUMMYFUNCTION("""COMPUTED_VALUE"""),"Yes")</f>
        <v>Yes</v>
      </c>
      <c r="M675" s="5" t="str">
        <f>IFERROR(__xludf.DUMMYFUNCTION("""COMPUTED_VALUE"""),"Yes")</f>
        <v>Yes</v>
      </c>
      <c r="N675" s="5" t="str">
        <f>IFERROR(__xludf.DUMMYFUNCTION("""COMPUTED_VALUE"""),"Yes")</f>
        <v>Yes</v>
      </c>
      <c r="O675" s="5" t="str">
        <f>IFERROR(__xludf.DUMMYFUNCTION("""COMPUTED_VALUE"""),"Yes")</f>
        <v>Yes</v>
      </c>
      <c r="P675" s="5" t="str">
        <f>IFERROR(__xludf.DUMMYFUNCTION("""COMPUTED_VALUE"""),"Yes")</f>
        <v>Yes</v>
      </c>
      <c r="Q675" s="5" t="str">
        <f>IFERROR(__xludf.DUMMYFUNCTION("""COMPUTED_VALUE"""),"Yes")</f>
        <v>Yes</v>
      </c>
      <c r="R675" s="5" t="str">
        <f>IFERROR(__xludf.DUMMYFUNCTION("""COMPUTED_VALUE"""),"Yes")</f>
        <v>Yes</v>
      </c>
      <c r="S675" s="5" t="str">
        <f>IFERROR(__xludf.DUMMYFUNCTION("""COMPUTED_VALUE"""),"Yes")</f>
        <v>Yes</v>
      </c>
      <c r="T675" s="5" t="str">
        <f>IFERROR(__xludf.DUMMYFUNCTION("""COMPUTED_VALUE"""),"Yes")</f>
        <v>Yes</v>
      </c>
      <c r="U675" s="5" t="str">
        <f>IFERROR(__xludf.DUMMYFUNCTION("""COMPUTED_VALUE"""),"Yes")</f>
        <v>Yes</v>
      </c>
      <c r="V675" s="5" t="str">
        <f>IFERROR(__xludf.DUMMYFUNCTION("""COMPUTED_VALUE"""),"Yes")</f>
        <v>Yes</v>
      </c>
      <c r="W675" s="5" t="str">
        <f>IFERROR(__xludf.DUMMYFUNCTION("""COMPUTED_VALUE"""),"Yes")</f>
        <v>Yes</v>
      </c>
      <c r="X675" s="5" t="str">
        <f>IFERROR(__xludf.DUMMYFUNCTION("""COMPUTED_VALUE"""),"Yes")</f>
        <v>Yes</v>
      </c>
      <c r="Y675" s="5" t="str">
        <f>IFERROR(__xludf.DUMMYFUNCTION("""COMPUTED_VALUE"""),"Yes")</f>
        <v>Yes</v>
      </c>
      <c r="Z675" s="5" t="str">
        <f>IFERROR(__xludf.DUMMYFUNCTION("""COMPUTED_VALUE"""),"Yes")</f>
        <v>Yes</v>
      </c>
      <c r="AA675" s="5" t="str">
        <f>IFERROR(__xludf.DUMMYFUNCTION("""COMPUTED_VALUE"""),"Yes")</f>
        <v>Yes</v>
      </c>
      <c r="AB675" s="5" t="str">
        <f>IFERROR(__xludf.DUMMYFUNCTION("""COMPUTED_VALUE"""),"Yes")</f>
        <v>Yes</v>
      </c>
      <c r="AC675" s="5" t="str">
        <f>IFERROR(__xludf.DUMMYFUNCTION("""COMPUTED_VALUE"""),"Yes")</f>
        <v>Yes</v>
      </c>
      <c r="AD675" s="5" t="str">
        <f>IFERROR(__xludf.DUMMYFUNCTION("""COMPUTED_VALUE"""),"Yes")</f>
        <v>Yes</v>
      </c>
      <c r="AE675" s="5" t="str">
        <f>IFERROR(__xludf.DUMMYFUNCTION("""COMPUTED_VALUE"""),"Yes")</f>
        <v>Yes</v>
      </c>
      <c r="AF675" s="5" t="str">
        <f>IFERROR(__xludf.DUMMYFUNCTION("""COMPUTED_VALUE"""),"Yes")</f>
        <v>Yes</v>
      </c>
      <c r="AG675" s="5" t="str">
        <f>IFERROR(__xludf.DUMMYFUNCTION("""COMPUTED_VALUE"""),"Yes")</f>
        <v>Yes</v>
      </c>
      <c r="AH675" s="5" t="str">
        <f>IFERROR(__xludf.DUMMYFUNCTION("""COMPUTED_VALUE"""),"Yes")</f>
        <v>Yes</v>
      </c>
      <c r="AI675" s="5" t="str">
        <f>IFERROR(__xludf.DUMMYFUNCTION("""COMPUTED_VALUE"""),"Yes")</f>
        <v>Yes</v>
      </c>
      <c r="AJ675" s="5" t="str">
        <f>IFERROR(__xludf.DUMMYFUNCTION("""COMPUTED_VALUE"""),"Yes")</f>
        <v>Yes</v>
      </c>
      <c r="AK675" s="5" t="str">
        <f>IFERROR(__xludf.DUMMYFUNCTION("""COMPUTED_VALUE"""),"Yes")</f>
        <v>Yes</v>
      </c>
      <c r="AL675" s="5" t="str">
        <f>IFERROR(__xludf.DUMMYFUNCTION("""COMPUTED_VALUE"""),"No")</f>
        <v>No</v>
      </c>
      <c r="AM675" s="5"/>
      <c r="AN675" s="5"/>
      <c r="AO675" s="5"/>
      <c r="AP675" s="5"/>
      <c r="AQ675" s="5"/>
      <c r="AR675" s="5"/>
      <c r="AS675" s="5"/>
      <c r="AT675" s="5"/>
      <c r="AU675" s="5"/>
      <c r="AV675" s="5"/>
      <c r="AW675" s="5"/>
      <c r="AX675" s="5"/>
      <c r="AY675" s="5"/>
    </row>
    <row r="676">
      <c r="A6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6" s="5">
        <f>IFERROR(__xludf.DUMMYFUNCTION("""COMPUTED_VALUE"""),711.0)</f>
        <v>711</v>
      </c>
      <c r="C676" s="5">
        <f>IFERROR(__xludf.DUMMYFUNCTION("""COMPUTED_VALUE"""),4036.0)</f>
        <v>4036</v>
      </c>
      <c r="D676" s="5" t="str">
        <f>IFERROR(__xludf.DUMMYFUNCTION("""COMPUTED_VALUE"""),"WildHotJacks40")</f>
        <v>WildHotJacks40</v>
      </c>
      <c r="E676" s="5" t="str">
        <f>IFERROR(__xludf.DUMMYFUNCTION("""COMPUTED_VALUE"""),"Yes")</f>
        <v>Yes</v>
      </c>
      <c r="F676" s="5" t="str">
        <f>IFERROR(__xludf.DUMMYFUNCTION("""COMPUTED_VALUE"""),"Yes")</f>
        <v>Yes</v>
      </c>
      <c r="G676" s="5" t="str">
        <f>IFERROR(__xludf.DUMMYFUNCTION("""COMPUTED_VALUE"""),"Yes")</f>
        <v>Yes</v>
      </c>
      <c r="H676" s="5" t="str">
        <f>IFERROR(__xludf.DUMMYFUNCTION("""COMPUTED_VALUE"""),"Yes")</f>
        <v>Yes</v>
      </c>
      <c r="I676" s="5" t="str">
        <f>IFERROR(__xludf.DUMMYFUNCTION("""COMPUTED_VALUE"""),"Yes")</f>
        <v>Yes</v>
      </c>
      <c r="J676" s="5" t="str">
        <f>IFERROR(__xludf.DUMMYFUNCTION("""COMPUTED_VALUE"""),"Yes")</f>
        <v>Yes</v>
      </c>
      <c r="K676" s="5" t="str">
        <f>IFERROR(__xludf.DUMMYFUNCTION("""COMPUTED_VALUE"""),"Yes")</f>
        <v>Yes</v>
      </c>
      <c r="L676" s="5" t="str">
        <f>IFERROR(__xludf.DUMMYFUNCTION("""COMPUTED_VALUE"""),"Yes")</f>
        <v>Yes</v>
      </c>
      <c r="M676" s="5" t="str">
        <f>IFERROR(__xludf.DUMMYFUNCTION("""COMPUTED_VALUE"""),"Yes")</f>
        <v>Yes</v>
      </c>
      <c r="N676" s="5" t="str">
        <f>IFERROR(__xludf.DUMMYFUNCTION("""COMPUTED_VALUE"""),"Yes")</f>
        <v>Yes</v>
      </c>
      <c r="O676" s="5" t="str">
        <f>IFERROR(__xludf.DUMMYFUNCTION("""COMPUTED_VALUE"""),"Yes")</f>
        <v>Yes</v>
      </c>
      <c r="P676" s="5" t="str">
        <f>IFERROR(__xludf.DUMMYFUNCTION("""COMPUTED_VALUE"""),"Yes")</f>
        <v>Yes</v>
      </c>
      <c r="Q676" s="5" t="str">
        <f>IFERROR(__xludf.DUMMYFUNCTION("""COMPUTED_VALUE"""),"Yes")</f>
        <v>Yes</v>
      </c>
      <c r="R676" s="5" t="str">
        <f>IFERROR(__xludf.DUMMYFUNCTION("""COMPUTED_VALUE"""),"Yes")</f>
        <v>Yes</v>
      </c>
      <c r="S676" s="5" t="str">
        <f>IFERROR(__xludf.DUMMYFUNCTION("""COMPUTED_VALUE"""),"Yes")</f>
        <v>Yes</v>
      </c>
      <c r="T676" s="5" t="str">
        <f>IFERROR(__xludf.DUMMYFUNCTION("""COMPUTED_VALUE"""),"Yes")</f>
        <v>Yes</v>
      </c>
      <c r="U676" s="5" t="str">
        <f>IFERROR(__xludf.DUMMYFUNCTION("""COMPUTED_VALUE"""),"Yes")</f>
        <v>Yes</v>
      </c>
      <c r="V676" s="5" t="str">
        <f>IFERROR(__xludf.DUMMYFUNCTION("""COMPUTED_VALUE"""),"Yes")</f>
        <v>Yes</v>
      </c>
      <c r="W676" s="5" t="str">
        <f>IFERROR(__xludf.DUMMYFUNCTION("""COMPUTED_VALUE"""),"Yes")</f>
        <v>Yes</v>
      </c>
      <c r="X676" s="5" t="str">
        <f>IFERROR(__xludf.DUMMYFUNCTION("""COMPUTED_VALUE"""),"Yes")</f>
        <v>Yes</v>
      </c>
      <c r="Y676" s="5" t="str">
        <f>IFERROR(__xludf.DUMMYFUNCTION("""COMPUTED_VALUE"""),"Yes")</f>
        <v>Yes</v>
      </c>
      <c r="Z676" s="5" t="str">
        <f>IFERROR(__xludf.DUMMYFUNCTION("""COMPUTED_VALUE"""),"No")</f>
        <v>No</v>
      </c>
      <c r="AA676" s="5" t="str">
        <f>IFERROR(__xludf.DUMMYFUNCTION("""COMPUTED_VALUE"""),"Yes")</f>
        <v>Yes</v>
      </c>
      <c r="AB676" s="5" t="str">
        <f>IFERROR(__xludf.DUMMYFUNCTION("""COMPUTED_VALUE"""),"Yes")</f>
        <v>Yes</v>
      </c>
      <c r="AC676" s="5" t="str">
        <f>IFERROR(__xludf.DUMMYFUNCTION("""COMPUTED_VALUE"""),"Yes")</f>
        <v>Yes</v>
      </c>
      <c r="AD676" s="5" t="str">
        <f>IFERROR(__xludf.DUMMYFUNCTION("""COMPUTED_VALUE"""),"Yes")</f>
        <v>Yes</v>
      </c>
      <c r="AE676" s="5" t="str">
        <f>IFERROR(__xludf.DUMMYFUNCTION("""COMPUTED_VALUE"""),"No")</f>
        <v>No</v>
      </c>
      <c r="AF676" s="5" t="str">
        <f>IFERROR(__xludf.DUMMYFUNCTION("""COMPUTED_VALUE"""),"Yes")</f>
        <v>Yes</v>
      </c>
      <c r="AG676" s="5" t="str">
        <f>IFERROR(__xludf.DUMMYFUNCTION("""COMPUTED_VALUE"""),"No")</f>
        <v>No</v>
      </c>
      <c r="AH676" s="5" t="str">
        <f>IFERROR(__xludf.DUMMYFUNCTION("""COMPUTED_VALUE"""),"No")</f>
        <v>No</v>
      </c>
      <c r="AI676" s="5" t="str">
        <f>IFERROR(__xludf.DUMMYFUNCTION("""COMPUTED_VALUE"""),"No")</f>
        <v>No</v>
      </c>
      <c r="AJ676" s="5" t="str">
        <f>IFERROR(__xludf.DUMMYFUNCTION("""COMPUTED_VALUE"""),"No")</f>
        <v>No</v>
      </c>
      <c r="AK676" s="5" t="str">
        <f>IFERROR(__xludf.DUMMYFUNCTION("""COMPUTED_VALUE"""),"No")</f>
        <v>No</v>
      </c>
      <c r="AL676" s="5" t="str">
        <f>IFERROR(__xludf.DUMMYFUNCTION("""COMPUTED_VALUE"""),"No")</f>
        <v>No</v>
      </c>
      <c r="AM676" s="5"/>
      <c r="AN676" s="5"/>
      <c r="AO676" s="5"/>
      <c r="AP676" s="5"/>
      <c r="AQ676" s="5"/>
      <c r="AR676" s="5"/>
      <c r="AS676" s="5"/>
      <c r="AT676" s="5"/>
      <c r="AU676" s="5"/>
      <c r="AV676" s="5"/>
      <c r="AW676" s="5"/>
      <c r="AX676" s="5"/>
      <c r="AY676" s="5"/>
    </row>
    <row r="677">
      <c r="A6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7" s="5">
        <f>IFERROR(__xludf.DUMMYFUNCTION("""COMPUTED_VALUE"""),712.0)</f>
        <v>712</v>
      </c>
      <c r="C677" s="5">
        <f>IFERROR(__xludf.DUMMYFUNCTION("""COMPUTED_VALUE"""),4037.0)</f>
        <v>4037</v>
      </c>
      <c r="D677" s="5" t="str">
        <f>IFERROR(__xludf.DUMMYFUNCTION("""COMPUTED_VALUE"""),"GrandpashabetClover40")</f>
        <v>GrandpashabetClover40</v>
      </c>
      <c r="E677" s="5" t="str">
        <f>IFERROR(__xludf.DUMMYFUNCTION("""COMPUTED_VALUE"""),"Yes")</f>
        <v>Yes</v>
      </c>
      <c r="F677" s="5" t="str">
        <f>IFERROR(__xludf.DUMMYFUNCTION("""COMPUTED_VALUE"""),"Yes")</f>
        <v>Yes</v>
      </c>
      <c r="G677" s="5" t="str">
        <f>IFERROR(__xludf.DUMMYFUNCTION("""COMPUTED_VALUE"""),"Yes")</f>
        <v>Yes</v>
      </c>
      <c r="H677" s="5" t="str">
        <f>IFERROR(__xludf.DUMMYFUNCTION("""COMPUTED_VALUE"""),"Yes")</f>
        <v>Yes</v>
      </c>
      <c r="I677" s="5" t="str">
        <f>IFERROR(__xludf.DUMMYFUNCTION("""COMPUTED_VALUE"""),"Yes")</f>
        <v>Yes</v>
      </c>
      <c r="J677" s="5" t="str">
        <f>IFERROR(__xludf.DUMMYFUNCTION("""COMPUTED_VALUE"""),"Yes")</f>
        <v>Yes</v>
      </c>
      <c r="K677" s="5" t="str">
        <f>IFERROR(__xludf.DUMMYFUNCTION("""COMPUTED_VALUE"""),"Yes")</f>
        <v>Yes</v>
      </c>
      <c r="L677" s="5" t="str">
        <f>IFERROR(__xludf.DUMMYFUNCTION("""COMPUTED_VALUE"""),"Yes")</f>
        <v>Yes</v>
      </c>
      <c r="M677" s="5" t="str">
        <f>IFERROR(__xludf.DUMMYFUNCTION("""COMPUTED_VALUE"""),"Yes")</f>
        <v>Yes</v>
      </c>
      <c r="N677" s="5" t="str">
        <f>IFERROR(__xludf.DUMMYFUNCTION("""COMPUTED_VALUE"""),"Yes")</f>
        <v>Yes</v>
      </c>
      <c r="O677" s="5" t="str">
        <f>IFERROR(__xludf.DUMMYFUNCTION("""COMPUTED_VALUE"""),"Yes")</f>
        <v>Yes</v>
      </c>
      <c r="P677" s="5" t="str">
        <f>IFERROR(__xludf.DUMMYFUNCTION("""COMPUTED_VALUE"""),"Yes")</f>
        <v>Yes</v>
      </c>
      <c r="Q677" s="5" t="str">
        <f>IFERROR(__xludf.DUMMYFUNCTION("""COMPUTED_VALUE"""),"Yes")</f>
        <v>Yes</v>
      </c>
      <c r="R677" s="5" t="str">
        <f>IFERROR(__xludf.DUMMYFUNCTION("""COMPUTED_VALUE"""),"Yes")</f>
        <v>Yes</v>
      </c>
      <c r="S677" s="5" t="str">
        <f>IFERROR(__xludf.DUMMYFUNCTION("""COMPUTED_VALUE"""),"Yes")</f>
        <v>Yes</v>
      </c>
      <c r="T677" s="5" t="str">
        <f>IFERROR(__xludf.DUMMYFUNCTION("""COMPUTED_VALUE"""),"Yes")</f>
        <v>Yes</v>
      </c>
      <c r="U677" s="5" t="str">
        <f>IFERROR(__xludf.DUMMYFUNCTION("""COMPUTED_VALUE"""),"Yes")</f>
        <v>Yes</v>
      </c>
      <c r="V677" s="5" t="str">
        <f>IFERROR(__xludf.DUMMYFUNCTION("""COMPUTED_VALUE"""),"Yes")</f>
        <v>Yes</v>
      </c>
      <c r="W677" s="5" t="str">
        <f>IFERROR(__xludf.DUMMYFUNCTION("""COMPUTED_VALUE"""),"Yes")</f>
        <v>Yes</v>
      </c>
      <c r="X677" s="5" t="str">
        <f>IFERROR(__xludf.DUMMYFUNCTION("""COMPUTED_VALUE"""),"Yes")</f>
        <v>Yes</v>
      </c>
      <c r="Y677" s="5" t="str">
        <f>IFERROR(__xludf.DUMMYFUNCTION("""COMPUTED_VALUE"""),"Yes")</f>
        <v>Yes</v>
      </c>
      <c r="Z677" s="5" t="str">
        <f>IFERROR(__xludf.DUMMYFUNCTION("""COMPUTED_VALUE"""),"No")</f>
        <v>No</v>
      </c>
      <c r="AA677" s="5" t="str">
        <f>IFERROR(__xludf.DUMMYFUNCTION("""COMPUTED_VALUE"""),"Yes")</f>
        <v>Yes</v>
      </c>
      <c r="AB677" s="5" t="str">
        <f>IFERROR(__xludf.DUMMYFUNCTION("""COMPUTED_VALUE"""),"Yes")</f>
        <v>Yes</v>
      </c>
      <c r="AC677" s="5" t="str">
        <f>IFERROR(__xludf.DUMMYFUNCTION("""COMPUTED_VALUE"""),"Yes")</f>
        <v>Yes</v>
      </c>
      <c r="AD677" s="5" t="str">
        <f>IFERROR(__xludf.DUMMYFUNCTION("""COMPUTED_VALUE"""),"Yes")</f>
        <v>Yes</v>
      </c>
      <c r="AE677" s="5" t="str">
        <f>IFERROR(__xludf.DUMMYFUNCTION("""COMPUTED_VALUE"""),"No")</f>
        <v>No</v>
      </c>
      <c r="AF677" s="5" t="str">
        <f>IFERROR(__xludf.DUMMYFUNCTION("""COMPUTED_VALUE"""),"Yes")</f>
        <v>Yes</v>
      </c>
      <c r="AG677" s="5" t="str">
        <f>IFERROR(__xludf.DUMMYFUNCTION("""COMPUTED_VALUE"""),"No")</f>
        <v>No</v>
      </c>
      <c r="AH677" s="5" t="str">
        <f>IFERROR(__xludf.DUMMYFUNCTION("""COMPUTED_VALUE"""),"No")</f>
        <v>No</v>
      </c>
      <c r="AI677" s="5" t="str">
        <f>IFERROR(__xludf.DUMMYFUNCTION("""COMPUTED_VALUE"""),"No")</f>
        <v>No</v>
      </c>
      <c r="AJ677" s="5" t="str">
        <f>IFERROR(__xludf.DUMMYFUNCTION("""COMPUTED_VALUE"""),"No")</f>
        <v>No</v>
      </c>
      <c r="AK677" s="5" t="str">
        <f>IFERROR(__xludf.DUMMYFUNCTION("""COMPUTED_VALUE"""),"No")</f>
        <v>No</v>
      </c>
      <c r="AL677" s="5" t="str">
        <f>IFERROR(__xludf.DUMMYFUNCTION("""COMPUTED_VALUE"""),"No")</f>
        <v>No</v>
      </c>
      <c r="AM677" s="5"/>
      <c r="AN677" s="5"/>
      <c r="AO677" s="5"/>
      <c r="AP677" s="5"/>
      <c r="AQ677" s="5"/>
      <c r="AR677" s="5"/>
      <c r="AS677" s="5"/>
      <c r="AT677" s="5"/>
      <c r="AU677" s="5"/>
      <c r="AV677" s="5"/>
      <c r="AW677" s="5"/>
      <c r="AX677" s="5"/>
      <c r="AY677" s="5"/>
    </row>
    <row r="678">
      <c r="A6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8" s="5">
        <f>IFERROR(__xludf.DUMMYFUNCTION("""COMPUTED_VALUE"""),713.0)</f>
        <v>713</v>
      </c>
      <c r="C678" s="5">
        <f>IFERROR(__xludf.DUMMYFUNCTION("""COMPUTED_VALUE"""),4039.0)</f>
        <v>4039</v>
      </c>
      <c r="D678" s="5" t="str">
        <f>IFERROR(__xludf.DUMMYFUNCTION("""COMPUTED_VALUE"""),"CroCasinoGoldenCrown")</f>
        <v>CroCasinoGoldenCrown</v>
      </c>
      <c r="E678" s="5" t="str">
        <f>IFERROR(__xludf.DUMMYFUNCTION("""COMPUTED_VALUE"""),"Yes")</f>
        <v>Yes</v>
      </c>
      <c r="F678" s="5" t="str">
        <f>IFERROR(__xludf.DUMMYFUNCTION("""COMPUTED_VALUE"""),"Yes")</f>
        <v>Yes</v>
      </c>
      <c r="G678" s="5" t="str">
        <f>IFERROR(__xludf.DUMMYFUNCTION("""COMPUTED_VALUE"""),"Yes")</f>
        <v>Yes</v>
      </c>
      <c r="H678" s="5" t="str">
        <f>IFERROR(__xludf.DUMMYFUNCTION("""COMPUTED_VALUE"""),"Yes")</f>
        <v>Yes</v>
      </c>
      <c r="I678" s="5" t="str">
        <f>IFERROR(__xludf.DUMMYFUNCTION("""COMPUTED_VALUE"""),"Yes")</f>
        <v>Yes</v>
      </c>
      <c r="J678" s="5" t="str">
        <f>IFERROR(__xludf.DUMMYFUNCTION("""COMPUTED_VALUE"""),"Yes")</f>
        <v>Yes</v>
      </c>
      <c r="K678" s="5" t="str">
        <f>IFERROR(__xludf.DUMMYFUNCTION("""COMPUTED_VALUE"""),"Yes")</f>
        <v>Yes</v>
      </c>
      <c r="L678" s="5" t="str">
        <f>IFERROR(__xludf.DUMMYFUNCTION("""COMPUTED_VALUE"""),"Yes")</f>
        <v>Yes</v>
      </c>
      <c r="M678" s="5" t="str">
        <f>IFERROR(__xludf.DUMMYFUNCTION("""COMPUTED_VALUE"""),"Yes")</f>
        <v>Yes</v>
      </c>
      <c r="N678" s="5" t="str">
        <f>IFERROR(__xludf.DUMMYFUNCTION("""COMPUTED_VALUE"""),"Yes")</f>
        <v>Yes</v>
      </c>
      <c r="O678" s="5" t="str">
        <f>IFERROR(__xludf.DUMMYFUNCTION("""COMPUTED_VALUE"""),"Yes")</f>
        <v>Yes</v>
      </c>
      <c r="P678" s="5" t="str">
        <f>IFERROR(__xludf.DUMMYFUNCTION("""COMPUTED_VALUE"""),"Yes")</f>
        <v>Yes</v>
      </c>
      <c r="Q678" s="5" t="str">
        <f>IFERROR(__xludf.DUMMYFUNCTION("""COMPUTED_VALUE"""),"Yes")</f>
        <v>Yes</v>
      </c>
      <c r="R678" s="5" t="str">
        <f>IFERROR(__xludf.DUMMYFUNCTION("""COMPUTED_VALUE"""),"Yes")</f>
        <v>Yes</v>
      </c>
      <c r="S678" s="5" t="str">
        <f>IFERROR(__xludf.DUMMYFUNCTION("""COMPUTED_VALUE"""),"Yes")</f>
        <v>Yes</v>
      </c>
      <c r="T678" s="5" t="str">
        <f>IFERROR(__xludf.DUMMYFUNCTION("""COMPUTED_VALUE"""),"Yes")</f>
        <v>Yes</v>
      </c>
      <c r="U678" s="5" t="str">
        <f>IFERROR(__xludf.DUMMYFUNCTION("""COMPUTED_VALUE"""),"Yes")</f>
        <v>Yes</v>
      </c>
      <c r="V678" s="5" t="str">
        <f>IFERROR(__xludf.DUMMYFUNCTION("""COMPUTED_VALUE"""),"Yes")</f>
        <v>Yes</v>
      </c>
      <c r="W678" s="5" t="str">
        <f>IFERROR(__xludf.DUMMYFUNCTION("""COMPUTED_VALUE"""),"Yes")</f>
        <v>Yes</v>
      </c>
      <c r="X678" s="5" t="str">
        <f>IFERROR(__xludf.DUMMYFUNCTION("""COMPUTED_VALUE"""),"Yes")</f>
        <v>Yes</v>
      </c>
      <c r="Y678" s="5" t="str">
        <f>IFERROR(__xludf.DUMMYFUNCTION("""COMPUTED_VALUE"""),"Yes")</f>
        <v>Yes</v>
      </c>
      <c r="Z678" s="5" t="str">
        <f>IFERROR(__xludf.DUMMYFUNCTION("""COMPUTED_VALUE"""),"No")</f>
        <v>No</v>
      </c>
      <c r="AA678" s="5" t="str">
        <f>IFERROR(__xludf.DUMMYFUNCTION("""COMPUTED_VALUE"""),"Yes")</f>
        <v>Yes</v>
      </c>
      <c r="AB678" s="5" t="str">
        <f>IFERROR(__xludf.DUMMYFUNCTION("""COMPUTED_VALUE"""),"Yes")</f>
        <v>Yes</v>
      </c>
      <c r="AC678" s="5" t="str">
        <f>IFERROR(__xludf.DUMMYFUNCTION("""COMPUTED_VALUE"""),"Yes")</f>
        <v>Yes</v>
      </c>
      <c r="AD678" s="5" t="str">
        <f>IFERROR(__xludf.DUMMYFUNCTION("""COMPUTED_VALUE"""),"Yes")</f>
        <v>Yes</v>
      </c>
      <c r="AE678" s="5" t="str">
        <f>IFERROR(__xludf.DUMMYFUNCTION("""COMPUTED_VALUE"""),"No")</f>
        <v>No</v>
      </c>
      <c r="AF678" s="5" t="str">
        <f>IFERROR(__xludf.DUMMYFUNCTION("""COMPUTED_VALUE"""),"Yes")</f>
        <v>Yes</v>
      </c>
      <c r="AG678" s="5" t="str">
        <f>IFERROR(__xludf.DUMMYFUNCTION("""COMPUTED_VALUE"""),"No")</f>
        <v>No</v>
      </c>
      <c r="AH678" s="5" t="str">
        <f>IFERROR(__xludf.DUMMYFUNCTION("""COMPUTED_VALUE"""),"No")</f>
        <v>No</v>
      </c>
      <c r="AI678" s="5" t="str">
        <f>IFERROR(__xludf.DUMMYFUNCTION("""COMPUTED_VALUE"""),"No")</f>
        <v>No</v>
      </c>
      <c r="AJ678" s="5" t="str">
        <f>IFERROR(__xludf.DUMMYFUNCTION("""COMPUTED_VALUE"""),"No")</f>
        <v>No</v>
      </c>
      <c r="AK678" s="5" t="str">
        <f>IFERROR(__xludf.DUMMYFUNCTION("""COMPUTED_VALUE"""),"No")</f>
        <v>No</v>
      </c>
      <c r="AL678" s="5" t="str">
        <f>IFERROR(__xludf.DUMMYFUNCTION("""COMPUTED_VALUE"""),"No")</f>
        <v>No</v>
      </c>
      <c r="AM678" s="5"/>
      <c r="AN678" s="5"/>
      <c r="AO678" s="5"/>
      <c r="AP678" s="5"/>
      <c r="AQ678" s="5"/>
      <c r="AR678" s="5"/>
      <c r="AS678" s="5"/>
      <c r="AT678" s="5"/>
      <c r="AU678" s="5"/>
      <c r="AV678" s="5"/>
      <c r="AW678" s="5"/>
      <c r="AX678" s="5"/>
      <c r="AY678" s="5"/>
    </row>
    <row r="679">
      <c r="A6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9" s="5">
        <f>IFERROR(__xludf.DUMMYFUNCTION("""COMPUTED_VALUE"""),714.0)</f>
        <v>714</v>
      </c>
      <c r="C679" s="5">
        <f>IFERROR(__xludf.DUMMYFUNCTION("""COMPUTED_VALUE"""),4040.0)</f>
        <v>4040</v>
      </c>
      <c r="D679" s="5" t="str">
        <f>IFERROR(__xludf.DUMMYFUNCTION("""COMPUTED_VALUE"""),"WildShine40")</f>
        <v>WildShine40</v>
      </c>
      <c r="E679" s="5" t="str">
        <f>IFERROR(__xludf.DUMMYFUNCTION("""COMPUTED_VALUE"""),"Yes")</f>
        <v>Yes</v>
      </c>
      <c r="F679" s="5" t="str">
        <f>IFERROR(__xludf.DUMMYFUNCTION("""COMPUTED_VALUE"""),"Yes")</f>
        <v>Yes</v>
      </c>
      <c r="G679" s="5" t="str">
        <f>IFERROR(__xludf.DUMMYFUNCTION("""COMPUTED_VALUE"""),"Yes")</f>
        <v>Yes</v>
      </c>
      <c r="H679" s="5" t="str">
        <f>IFERROR(__xludf.DUMMYFUNCTION("""COMPUTED_VALUE"""),"Yes")</f>
        <v>Yes</v>
      </c>
      <c r="I679" s="5" t="str">
        <f>IFERROR(__xludf.DUMMYFUNCTION("""COMPUTED_VALUE"""),"Yes")</f>
        <v>Yes</v>
      </c>
      <c r="J679" s="5" t="str">
        <f>IFERROR(__xludf.DUMMYFUNCTION("""COMPUTED_VALUE"""),"Yes")</f>
        <v>Yes</v>
      </c>
      <c r="K679" s="5" t="str">
        <f>IFERROR(__xludf.DUMMYFUNCTION("""COMPUTED_VALUE"""),"Yes")</f>
        <v>Yes</v>
      </c>
      <c r="L679" s="5" t="str">
        <f>IFERROR(__xludf.DUMMYFUNCTION("""COMPUTED_VALUE"""),"Yes")</f>
        <v>Yes</v>
      </c>
      <c r="M679" s="5" t="str">
        <f>IFERROR(__xludf.DUMMYFUNCTION("""COMPUTED_VALUE"""),"Yes")</f>
        <v>Yes</v>
      </c>
      <c r="N679" s="5" t="str">
        <f>IFERROR(__xludf.DUMMYFUNCTION("""COMPUTED_VALUE"""),"Yes")</f>
        <v>Yes</v>
      </c>
      <c r="O679" s="5" t="str">
        <f>IFERROR(__xludf.DUMMYFUNCTION("""COMPUTED_VALUE"""),"Yes")</f>
        <v>Yes</v>
      </c>
      <c r="P679" s="5" t="str">
        <f>IFERROR(__xludf.DUMMYFUNCTION("""COMPUTED_VALUE"""),"Yes")</f>
        <v>Yes</v>
      </c>
      <c r="Q679" s="5" t="str">
        <f>IFERROR(__xludf.DUMMYFUNCTION("""COMPUTED_VALUE"""),"Yes")</f>
        <v>Yes</v>
      </c>
      <c r="R679" s="5" t="str">
        <f>IFERROR(__xludf.DUMMYFUNCTION("""COMPUTED_VALUE"""),"Yes")</f>
        <v>Yes</v>
      </c>
      <c r="S679" s="5" t="str">
        <f>IFERROR(__xludf.DUMMYFUNCTION("""COMPUTED_VALUE"""),"Yes")</f>
        <v>Yes</v>
      </c>
      <c r="T679" s="5" t="str">
        <f>IFERROR(__xludf.DUMMYFUNCTION("""COMPUTED_VALUE"""),"Yes")</f>
        <v>Yes</v>
      </c>
      <c r="U679" s="5" t="str">
        <f>IFERROR(__xludf.DUMMYFUNCTION("""COMPUTED_VALUE"""),"Yes")</f>
        <v>Yes</v>
      </c>
      <c r="V679" s="5" t="str">
        <f>IFERROR(__xludf.DUMMYFUNCTION("""COMPUTED_VALUE"""),"Yes")</f>
        <v>Yes</v>
      </c>
      <c r="W679" s="5" t="str">
        <f>IFERROR(__xludf.DUMMYFUNCTION("""COMPUTED_VALUE"""),"Yes")</f>
        <v>Yes</v>
      </c>
      <c r="X679" s="5" t="str">
        <f>IFERROR(__xludf.DUMMYFUNCTION("""COMPUTED_VALUE"""),"Yes")</f>
        <v>Yes</v>
      </c>
      <c r="Y679" s="5" t="str">
        <f>IFERROR(__xludf.DUMMYFUNCTION("""COMPUTED_VALUE"""),"Yes")</f>
        <v>Yes</v>
      </c>
      <c r="Z679" s="5" t="str">
        <f>IFERROR(__xludf.DUMMYFUNCTION("""COMPUTED_VALUE"""),"No")</f>
        <v>No</v>
      </c>
      <c r="AA679" s="5" t="str">
        <f>IFERROR(__xludf.DUMMYFUNCTION("""COMPUTED_VALUE"""),"Yes")</f>
        <v>Yes</v>
      </c>
      <c r="AB679" s="5" t="str">
        <f>IFERROR(__xludf.DUMMYFUNCTION("""COMPUTED_VALUE"""),"Yes")</f>
        <v>Yes</v>
      </c>
      <c r="AC679" s="5" t="str">
        <f>IFERROR(__xludf.DUMMYFUNCTION("""COMPUTED_VALUE"""),"Yes")</f>
        <v>Yes</v>
      </c>
      <c r="AD679" s="5" t="str">
        <f>IFERROR(__xludf.DUMMYFUNCTION("""COMPUTED_VALUE"""),"Yes")</f>
        <v>Yes</v>
      </c>
      <c r="AE679" s="5" t="str">
        <f>IFERROR(__xludf.DUMMYFUNCTION("""COMPUTED_VALUE"""),"No")</f>
        <v>No</v>
      </c>
      <c r="AF679" s="5" t="str">
        <f>IFERROR(__xludf.DUMMYFUNCTION("""COMPUTED_VALUE"""),"Yes")</f>
        <v>Yes</v>
      </c>
      <c r="AG679" s="5" t="str">
        <f>IFERROR(__xludf.DUMMYFUNCTION("""COMPUTED_VALUE"""),"No")</f>
        <v>No</v>
      </c>
      <c r="AH679" s="5" t="str">
        <f>IFERROR(__xludf.DUMMYFUNCTION("""COMPUTED_VALUE"""),"No")</f>
        <v>No</v>
      </c>
      <c r="AI679" s="5" t="str">
        <f>IFERROR(__xludf.DUMMYFUNCTION("""COMPUTED_VALUE"""),"No")</f>
        <v>No</v>
      </c>
      <c r="AJ679" s="5" t="str">
        <f>IFERROR(__xludf.DUMMYFUNCTION("""COMPUTED_VALUE"""),"No")</f>
        <v>No</v>
      </c>
      <c r="AK679" s="5" t="str">
        <f>IFERROR(__xludf.DUMMYFUNCTION("""COMPUTED_VALUE"""),"No")</f>
        <v>No</v>
      </c>
      <c r="AL679" s="5" t="str">
        <f>IFERROR(__xludf.DUMMYFUNCTION("""COMPUTED_VALUE"""),"No")</f>
        <v>No</v>
      </c>
      <c r="AM679" s="5"/>
      <c r="AN679" s="5"/>
      <c r="AO679" s="5"/>
      <c r="AP679" s="5"/>
      <c r="AQ679" s="5"/>
      <c r="AR679" s="5"/>
      <c r="AS679" s="5"/>
      <c r="AT679" s="5"/>
      <c r="AU679" s="5"/>
      <c r="AV679" s="5"/>
      <c r="AW679" s="5"/>
      <c r="AX679" s="5"/>
      <c r="AY679" s="5"/>
    </row>
    <row r="680">
      <c r="A680" s="5" t="str">
        <f>IFERROR(__xludf.DUMMYFUNCTION("""COMPUTED_VALUE"""),"English(""eng"")")</f>
        <v>English("eng")</v>
      </c>
      <c r="B680" s="5">
        <f>IFERROR(__xludf.DUMMYFUNCTION("""COMPUTED_VALUE"""),715.0)</f>
        <v>715</v>
      </c>
      <c r="C680" s="5">
        <f>IFERROR(__xludf.DUMMYFUNCTION("""COMPUTED_VALUE"""),4000010.0)</f>
        <v>4000010</v>
      </c>
      <c r="D680" s="5" t="str">
        <f>IFERROR(__xludf.DUMMYFUNCTION("""COMPUTED_VALUE"""),"UnicornHotFireballs")</f>
        <v>UnicornHotFireballs</v>
      </c>
      <c r="E680" s="5" t="str">
        <f>IFERROR(__xludf.DUMMYFUNCTION("""COMPUTED_VALUE"""),"Yes")</f>
        <v>Yes</v>
      </c>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row>
    <row r="681">
      <c r="A681" s="5" t="str">
        <f>IFERROR(__xludf.DUMMYFUNCTION("""COMPUTED_VALUE"""),"English(""eng"")")</f>
        <v>English("eng")</v>
      </c>
      <c r="B681" s="5">
        <f>IFERROR(__xludf.DUMMYFUNCTION("""COMPUTED_VALUE"""),716.0)</f>
        <v>716</v>
      </c>
      <c r="C681" s="5">
        <f>IFERROR(__xludf.DUMMYFUNCTION("""COMPUTED_VALUE"""),4000011.0)</f>
        <v>4000011</v>
      </c>
      <c r="D681" s="5" t="str">
        <f>IFERROR(__xludf.DUMMYFUNCTION("""COMPUTED_VALUE"""),"UnicornThreeReelDice")</f>
        <v>UnicornThreeReelDice</v>
      </c>
      <c r="E681" s="5" t="str">
        <f>IFERROR(__xludf.DUMMYFUNCTION("""COMPUTED_VALUE"""),"Yes")</f>
        <v>Yes</v>
      </c>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row>
    <row r="682">
      <c r="A682" s="5" t="str">
        <f>IFERROR(__xludf.DUMMYFUNCTION("""COMPUTED_VALUE"""),"English(""eng"")")</f>
        <v>English("eng")</v>
      </c>
      <c r="B682" s="5">
        <f>IFERROR(__xludf.DUMMYFUNCTION("""COMPUTED_VALUE"""),717.0)</f>
        <v>717</v>
      </c>
      <c r="C682" s="5">
        <f>IFERROR(__xludf.DUMMYFUNCTION("""COMPUTED_VALUE"""),4000012.0)</f>
        <v>4000012</v>
      </c>
      <c r="D682" s="5" t="str">
        <f>IFERROR(__xludf.DUMMYFUNCTION("""COMPUTED_VALUE"""),"UnicornTropicalTreasure")</f>
        <v>UnicornTropicalTreasure</v>
      </c>
      <c r="E682" s="5" t="str">
        <f>IFERROR(__xludf.DUMMYFUNCTION("""COMPUTED_VALUE"""),"Yes")</f>
        <v>Yes</v>
      </c>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row>
    <row r="683">
      <c r="A683" s="5" t="str">
        <f>IFERROR(__xludf.DUMMYFUNCTION("""COMPUTED_VALUE"""),"English(""eng"")")</f>
        <v>English("eng")</v>
      </c>
      <c r="B683" s="5">
        <f>IFERROR(__xludf.DUMMYFUNCTION("""COMPUTED_VALUE"""),718.0)</f>
        <v>718</v>
      </c>
      <c r="C683" s="5">
        <f>IFERROR(__xludf.DUMMYFUNCTION("""COMPUTED_VALUE"""),4000013.0)</f>
        <v>4000013</v>
      </c>
      <c r="D683" s="5" t="str">
        <f>IFERROR(__xludf.DUMMYFUNCTION("""COMPUTED_VALUE"""),"UnicornGoldenGateFruit")</f>
        <v>UnicornGoldenGateFruit</v>
      </c>
      <c r="E683" s="5" t="str">
        <f>IFERROR(__xludf.DUMMYFUNCTION("""COMPUTED_VALUE"""),"Yes")</f>
        <v>Yes</v>
      </c>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row>
    <row r="684">
      <c r="A684" s="5" t="str">
        <f>IFERROR(__xludf.DUMMYFUNCTION("""COMPUTED_VALUE"""),"English(""eng"")")</f>
        <v>English("eng")</v>
      </c>
      <c r="B684" s="5">
        <f>IFERROR(__xludf.DUMMYFUNCTION("""COMPUTED_VALUE"""),719.0)</f>
        <v>719</v>
      </c>
      <c r="C684" s="5">
        <f>IFERROR(__xludf.DUMMYFUNCTION("""COMPUTED_VALUE"""),4000014.0)</f>
        <v>4000014</v>
      </c>
      <c r="D684" s="5" t="str">
        <f>IFERROR(__xludf.DUMMYFUNCTION("""COMPUTED_VALUE"""),"UnicornMoneyStandardJackpot")</f>
        <v>UnicornMoneyStandardJackpot</v>
      </c>
      <c r="E684" s="5" t="str">
        <f>IFERROR(__xludf.DUMMYFUNCTION("""COMPUTED_VALUE"""),"Yes")</f>
        <v>Yes</v>
      </c>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row>
    <row r="685">
      <c r="A685" s="5" t="str">
        <f>IFERROR(__xludf.DUMMYFUNCTION("""COMPUTED_VALUE"""),"English(""eng"")")</f>
        <v>English("eng")</v>
      </c>
      <c r="B685" s="5">
        <f>IFERROR(__xludf.DUMMYFUNCTION("""COMPUTED_VALUE"""),720.0)</f>
        <v>720</v>
      </c>
      <c r="C685" s="5">
        <f>IFERROR(__xludf.DUMMYFUNCTION("""COMPUTED_VALUE"""),4000015.0)</f>
        <v>4000015</v>
      </c>
      <c r="D685" s="5" t="str">
        <f>IFERROR(__xludf.DUMMYFUNCTION("""COMPUTED_VALUE"""),"UnicornShinyFireballs")</f>
        <v>UnicornShinyFireballs</v>
      </c>
      <c r="E685" s="5" t="str">
        <f>IFERROR(__xludf.DUMMYFUNCTION("""COMPUTED_VALUE"""),"Yes")</f>
        <v>Yes</v>
      </c>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row>
    <row r="686">
      <c r="A686" s="5" t="str">
        <f>IFERROR(__xludf.DUMMYFUNCTION("""COMPUTED_VALUE"""),"English(""eng"")")</f>
        <v>English("eng")</v>
      </c>
      <c r="B686" s="5">
        <f>IFERROR(__xludf.DUMMYFUNCTION("""COMPUTED_VALUE"""),721.0)</f>
        <v>721</v>
      </c>
      <c r="C686" s="5">
        <f>IFERROR(__xludf.DUMMYFUNCTION("""COMPUTED_VALUE"""),4000016.0)</f>
        <v>4000016</v>
      </c>
      <c r="D686" s="5" t="str">
        <f>IFERROR(__xludf.DUMMYFUNCTION("""COMPUTED_VALUE"""),"UnicornHotEightyOne")</f>
        <v>UnicornHotEightyOne</v>
      </c>
      <c r="E686" s="5" t="str">
        <f>IFERROR(__xludf.DUMMYFUNCTION("""COMPUTED_VALUE"""),"Yes")</f>
        <v>Yes</v>
      </c>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row>
    <row r="687">
      <c r="A687" s="5"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B687" s="5">
        <f>IFERROR(__xludf.DUMMYFUNCTION("""COMPUTED_VALUE"""),722.0)</f>
        <v>722</v>
      </c>
      <c r="C687" s="5">
        <f>IFERROR(__xludf.DUMMYFUNCTION("""COMPUTED_VALUE"""),4000017.0)</f>
        <v>4000017</v>
      </c>
      <c r="D687" s="5" t="str">
        <f>IFERROR(__xludf.DUMMYFUNCTION("""COMPUTED_VALUE"""),"UnicornHotFiredice")</f>
        <v>UnicornHotFiredice</v>
      </c>
      <c r="E687" s="5" t="str">
        <f>IFERROR(__xludf.DUMMYFUNCTION("""COMPUTED_VALUE"""),"Yes")</f>
        <v>Yes</v>
      </c>
      <c r="F687" s="5" t="str">
        <f>IFERROR(__xludf.DUMMYFUNCTION("""COMPUTED_VALUE"""),"Yes")</f>
        <v>Yes</v>
      </c>
      <c r="G687" s="5" t="str">
        <f>IFERROR(__xludf.DUMMYFUNCTION("""COMPUTED_VALUE"""),"Yes")</f>
        <v>Yes</v>
      </c>
      <c r="H687" s="5" t="str">
        <f>IFERROR(__xludf.DUMMYFUNCTION("""COMPUTED_VALUE"""),"No")</f>
        <v>No</v>
      </c>
      <c r="I687" s="5" t="str">
        <f>IFERROR(__xludf.DUMMYFUNCTION("""COMPUTED_VALUE"""),"Yes")</f>
        <v>Yes</v>
      </c>
      <c r="J687" s="5" t="str">
        <f>IFERROR(__xludf.DUMMYFUNCTION("""COMPUTED_VALUE"""),"No")</f>
        <v>No</v>
      </c>
      <c r="K687" s="5" t="str">
        <f>IFERROR(__xludf.DUMMYFUNCTION("""COMPUTED_VALUE"""),"No")</f>
        <v>No</v>
      </c>
      <c r="L687" s="5" t="str">
        <f>IFERROR(__xludf.DUMMYFUNCTION("""COMPUTED_VALUE"""),"No")</f>
        <v>No</v>
      </c>
      <c r="M687" s="5" t="str">
        <f>IFERROR(__xludf.DUMMYFUNCTION("""COMPUTED_VALUE"""),"Yes")</f>
        <v>Yes</v>
      </c>
      <c r="N687" s="5" t="str">
        <f>IFERROR(__xludf.DUMMYFUNCTION("""COMPUTED_VALUE"""),"Yes")</f>
        <v>Yes</v>
      </c>
      <c r="O687" s="5" t="str">
        <f>IFERROR(__xludf.DUMMYFUNCTION("""COMPUTED_VALUE"""),"Yes")</f>
        <v>Yes</v>
      </c>
      <c r="P687" s="5" t="str">
        <f>IFERROR(__xludf.DUMMYFUNCTION("""COMPUTED_VALUE"""),"Yes")</f>
        <v>Yes</v>
      </c>
      <c r="Q687" s="5" t="str">
        <f>IFERROR(__xludf.DUMMYFUNCTION("""COMPUTED_VALUE"""),"Yes")</f>
        <v>Yes</v>
      </c>
      <c r="R687" s="5" t="str">
        <f>IFERROR(__xludf.DUMMYFUNCTION("""COMPUTED_VALUE"""),"Yes")</f>
        <v>Yes</v>
      </c>
      <c r="S687" s="5" t="str">
        <f>IFERROR(__xludf.DUMMYFUNCTION("""COMPUTED_VALUE"""),"Yes")</f>
        <v>Yes</v>
      </c>
      <c r="T687" s="5" t="str">
        <f>IFERROR(__xludf.DUMMYFUNCTION("""COMPUTED_VALUE"""),"No")</f>
        <v>No</v>
      </c>
      <c r="U687" s="5" t="str">
        <f>IFERROR(__xludf.DUMMYFUNCTION("""COMPUTED_VALUE"""),"No")</f>
        <v>No</v>
      </c>
      <c r="V687" s="5" t="str">
        <f>IFERROR(__xludf.DUMMYFUNCTION("""COMPUTED_VALUE"""),"No")</f>
        <v>No</v>
      </c>
      <c r="W687" s="5" t="str">
        <f>IFERROR(__xludf.DUMMYFUNCTION("""COMPUTED_VALUE"""),"No")</f>
        <v>No</v>
      </c>
      <c r="X687" s="5" t="str">
        <f>IFERROR(__xludf.DUMMYFUNCTION("""COMPUTED_VALUE"""),"No")</f>
        <v>No</v>
      </c>
      <c r="Y687" s="5" t="str">
        <f>IFERROR(__xludf.DUMMYFUNCTION("""COMPUTED_VALUE"""),"No")</f>
        <v>No</v>
      </c>
      <c r="Z687" s="5" t="str">
        <f>IFERROR(__xludf.DUMMYFUNCTION("""COMPUTED_VALUE"""),"No")</f>
        <v>No</v>
      </c>
      <c r="AA687" s="5" t="str">
        <f>IFERROR(__xludf.DUMMYFUNCTION("""COMPUTED_VALUE"""),"Yes")</f>
        <v>Yes</v>
      </c>
      <c r="AB687" s="5" t="str">
        <f>IFERROR(__xludf.DUMMYFUNCTION("""COMPUTED_VALUE"""),"No")</f>
        <v>No</v>
      </c>
      <c r="AC687" s="5" t="str">
        <f>IFERROR(__xludf.DUMMYFUNCTION("""COMPUTED_VALUE"""),"No")</f>
        <v>No</v>
      </c>
      <c r="AD687" s="5" t="str">
        <f>IFERROR(__xludf.DUMMYFUNCTION("""COMPUTED_VALUE"""),"No")</f>
        <v>No</v>
      </c>
      <c r="AE687" s="5" t="str">
        <f>IFERROR(__xludf.DUMMYFUNCTION("""COMPUTED_VALUE"""),"No")</f>
        <v>No</v>
      </c>
      <c r="AF687" s="5" t="str">
        <f>IFERROR(__xludf.DUMMYFUNCTION("""COMPUTED_VALUE"""),"Yes")</f>
        <v>Yes</v>
      </c>
      <c r="AG687" s="5" t="str">
        <f>IFERROR(__xludf.DUMMYFUNCTION("""COMPUTED_VALUE"""),"No")</f>
        <v>No</v>
      </c>
      <c r="AH687" s="5" t="str">
        <f>IFERROR(__xludf.DUMMYFUNCTION("""COMPUTED_VALUE"""),"No")</f>
        <v>No</v>
      </c>
      <c r="AI687" s="5" t="str">
        <f>IFERROR(__xludf.DUMMYFUNCTION("""COMPUTED_VALUE"""),"No")</f>
        <v>No</v>
      </c>
      <c r="AJ687" s="5" t="str">
        <f>IFERROR(__xludf.DUMMYFUNCTION("""COMPUTED_VALUE"""),"No")</f>
        <v>No</v>
      </c>
      <c r="AK687" s="5" t="str">
        <f>IFERROR(__xludf.DUMMYFUNCTION("""COMPUTED_VALUE"""),"No")</f>
        <v>No</v>
      </c>
      <c r="AL687" s="5" t="str">
        <f>IFERROR(__xludf.DUMMYFUNCTION("""COMPUTED_VALUE"""),"Yes")</f>
        <v>Yes</v>
      </c>
      <c r="AM687" s="5"/>
      <c r="AN687" s="5"/>
      <c r="AO687" s="5"/>
      <c r="AP687" s="5"/>
      <c r="AQ687" s="5"/>
      <c r="AR687" s="5"/>
      <c r="AS687" s="5"/>
      <c r="AT687" s="5"/>
      <c r="AU687" s="5"/>
      <c r="AV687" s="5"/>
      <c r="AW687" s="5"/>
      <c r="AX687" s="5"/>
      <c r="AY687" s="5"/>
    </row>
    <row r="688">
      <c r="A688" s="5" t="str">
        <f>IFERROR(__xludf.DUMMYFUNCTION("""COMPUTED_VALUE"""),"English(""eng"")")</f>
        <v>English("eng")</v>
      </c>
      <c r="B688" s="5">
        <f>IFERROR(__xludf.DUMMYFUNCTION("""COMPUTED_VALUE"""),723.0)</f>
        <v>723</v>
      </c>
      <c r="C688" s="5">
        <f>IFERROR(__xludf.DUMMYFUNCTION("""COMPUTED_VALUE"""),4000018.0)</f>
        <v>4000018</v>
      </c>
      <c r="D688" s="5" t="str">
        <f>IFERROR(__xludf.DUMMYFUNCTION("""COMPUTED_VALUE"""),"UnicornMysticTreasure")</f>
        <v>UnicornMysticTreasure</v>
      </c>
      <c r="E688" s="5" t="str">
        <f>IFERROR(__xludf.DUMMYFUNCTION("""COMPUTED_VALUE"""),"Yes")</f>
        <v>Yes</v>
      </c>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row>
    <row r="689">
      <c r="A689" s="5" t="str">
        <f>IFERROR(__xludf.DUMMYFUNCTION("""COMPUTED_VALUE"""),"English(""eng"")")</f>
        <v>English("eng")</v>
      </c>
      <c r="B689" s="5">
        <f>IFERROR(__xludf.DUMMYFUNCTION("""COMPUTED_VALUE"""),724.0)</f>
        <v>724</v>
      </c>
      <c r="C689" s="5">
        <f>IFERROR(__xludf.DUMMYFUNCTION("""COMPUTED_VALUE"""),4000019.0)</f>
        <v>4000019</v>
      </c>
      <c r="D689" s="5" t="str">
        <f>IFERROR(__xludf.DUMMYFUNCTION("""COMPUTED_VALUE"""),"UnicornGoldenGateDice")</f>
        <v>UnicornGoldenGateDice</v>
      </c>
      <c r="E689" s="5" t="str">
        <f>IFERROR(__xludf.DUMMYFUNCTION("""COMPUTED_VALUE"""),"Yes")</f>
        <v>Yes</v>
      </c>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row>
    <row r="690">
      <c r="A690" s="5" t="str">
        <f>IFERROR(__xludf.DUMMYFUNCTION("""COMPUTED_VALUE"""),"English(""eng"")")</f>
        <v>English("eng")</v>
      </c>
      <c r="B690" s="5">
        <f>IFERROR(__xludf.DUMMYFUNCTION("""COMPUTED_VALUE"""),725.0)</f>
        <v>725</v>
      </c>
      <c r="C690" s="5">
        <f>IFERROR(__xludf.DUMMYFUNCTION("""COMPUTED_VALUE"""),4000020.0)</f>
        <v>4000020</v>
      </c>
      <c r="D690" s="5" t="str">
        <f>IFERROR(__xludf.DUMMYFUNCTION("""COMPUTED_VALUE"""),"UnicornBarrelsOfRiches")</f>
        <v>UnicornBarrelsOfRiches</v>
      </c>
      <c r="E690" s="5" t="str">
        <f>IFERROR(__xludf.DUMMYFUNCTION("""COMPUTED_VALUE"""),"Yes")</f>
        <v>Yes</v>
      </c>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row>
    <row r="691">
      <c r="A691"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1" s="5">
        <f>IFERROR(__xludf.DUMMYFUNCTION("""COMPUTED_VALUE"""),726.0)</f>
        <v>726</v>
      </c>
      <c r="C691" s="5">
        <f>IFERROR(__xludf.DUMMYFUNCTION("""COMPUTED_VALUE"""),180066.0)</f>
        <v>180066</v>
      </c>
      <c r="D691" s="5" t="str">
        <f>IFERROR(__xludf.DUMMYFUNCTION("""COMPUTED_VALUE"""),"RedstoneFruitFire")</f>
        <v>RedstoneFruitFire</v>
      </c>
      <c r="E691" s="5" t="str">
        <f>IFERROR(__xludf.DUMMYFUNCTION("""COMPUTED_VALUE"""),"Yes")</f>
        <v>Yes</v>
      </c>
      <c r="F691" s="5" t="str">
        <f>IFERROR(__xludf.DUMMYFUNCTION("""COMPUTED_VALUE"""),"Yes")</f>
        <v>Yes</v>
      </c>
      <c r="G691" s="5" t="str">
        <f>IFERROR(__xludf.DUMMYFUNCTION("""COMPUTED_VALUE"""),"Yes")</f>
        <v>Yes</v>
      </c>
      <c r="H691" s="5" t="str">
        <f>IFERROR(__xludf.DUMMYFUNCTION("""COMPUTED_VALUE"""),"Yes")</f>
        <v>Yes</v>
      </c>
      <c r="I691" s="5" t="str">
        <f>IFERROR(__xludf.DUMMYFUNCTION("""COMPUTED_VALUE"""),"Yes")</f>
        <v>Yes</v>
      </c>
      <c r="J691" s="5" t="str">
        <f>IFERROR(__xludf.DUMMYFUNCTION("""COMPUTED_VALUE"""),"Yes")</f>
        <v>Yes</v>
      </c>
      <c r="K691" s="5" t="str">
        <f>IFERROR(__xludf.DUMMYFUNCTION("""COMPUTED_VALUE"""),"Yes")</f>
        <v>Yes</v>
      </c>
      <c r="L691" s="5" t="str">
        <f>IFERROR(__xludf.DUMMYFUNCTION("""COMPUTED_VALUE"""),"Yes")</f>
        <v>Yes</v>
      </c>
      <c r="M691" s="5" t="str">
        <f>IFERROR(__xludf.DUMMYFUNCTION("""COMPUTED_VALUE"""),"Yes")</f>
        <v>Yes</v>
      </c>
      <c r="N691" s="5" t="str">
        <f>IFERROR(__xludf.DUMMYFUNCTION("""COMPUTED_VALUE"""),"Yes")</f>
        <v>Yes</v>
      </c>
      <c r="O691" s="5" t="str">
        <f>IFERROR(__xludf.DUMMYFUNCTION("""COMPUTED_VALUE"""),"Yes")</f>
        <v>Yes</v>
      </c>
      <c r="P691" s="5" t="str">
        <f>IFERROR(__xludf.DUMMYFUNCTION("""COMPUTED_VALUE"""),"Yes")</f>
        <v>Yes</v>
      </c>
      <c r="Q691" s="5" t="str">
        <f>IFERROR(__xludf.DUMMYFUNCTION("""COMPUTED_VALUE"""),"Yes")</f>
        <v>Yes</v>
      </c>
      <c r="R691" s="5" t="str">
        <f>IFERROR(__xludf.DUMMYFUNCTION("""COMPUTED_VALUE"""),"Yes")</f>
        <v>Yes</v>
      </c>
      <c r="S691" s="5" t="str">
        <f>IFERROR(__xludf.DUMMYFUNCTION("""COMPUTED_VALUE"""),"Yes")</f>
        <v>Yes</v>
      </c>
      <c r="T691" s="5" t="str">
        <f>IFERROR(__xludf.DUMMYFUNCTION("""COMPUTED_VALUE"""),"No")</f>
        <v>No</v>
      </c>
      <c r="U691" s="5" t="str">
        <f>IFERROR(__xludf.DUMMYFUNCTION("""COMPUTED_VALUE"""),"No")</f>
        <v>No</v>
      </c>
      <c r="V691" s="5" t="str">
        <f>IFERROR(__xludf.DUMMYFUNCTION("""COMPUTED_VALUE"""),"No")</f>
        <v>No</v>
      </c>
      <c r="W691" s="5" t="str">
        <f>IFERROR(__xludf.DUMMYFUNCTION("""COMPUTED_VALUE"""),"No")</f>
        <v>No</v>
      </c>
      <c r="X691" s="5" t="str">
        <f>IFERROR(__xludf.DUMMYFUNCTION("""COMPUTED_VALUE"""),"No")</f>
        <v>No</v>
      </c>
      <c r="Y691" s="5" t="str">
        <f>IFERROR(__xludf.DUMMYFUNCTION("""COMPUTED_VALUE"""),"No")</f>
        <v>No</v>
      </c>
      <c r="Z691" s="5" t="str">
        <f>IFERROR(__xludf.DUMMYFUNCTION("""COMPUTED_VALUE"""),"No")</f>
        <v>No</v>
      </c>
      <c r="AA691" s="5" t="str">
        <f>IFERROR(__xludf.DUMMYFUNCTION("""COMPUTED_VALUE"""),"Yes")</f>
        <v>Yes</v>
      </c>
      <c r="AB691" s="5" t="str">
        <f>IFERROR(__xludf.DUMMYFUNCTION("""COMPUTED_VALUE"""),"No")</f>
        <v>No</v>
      </c>
      <c r="AC691" s="5" t="str">
        <f>IFERROR(__xludf.DUMMYFUNCTION("""COMPUTED_VALUE"""),"No")</f>
        <v>No</v>
      </c>
      <c r="AD691" s="5" t="str">
        <f>IFERROR(__xludf.DUMMYFUNCTION("""COMPUTED_VALUE"""),"No")</f>
        <v>No</v>
      </c>
      <c r="AE691" s="5" t="str">
        <f>IFERROR(__xludf.DUMMYFUNCTION("""COMPUTED_VALUE"""),"No")</f>
        <v>No</v>
      </c>
      <c r="AF691" s="5" t="str">
        <f>IFERROR(__xludf.DUMMYFUNCTION("""COMPUTED_VALUE"""),"Yes")</f>
        <v>Yes</v>
      </c>
      <c r="AG691" s="5" t="str">
        <f>IFERROR(__xludf.DUMMYFUNCTION("""COMPUTED_VALUE"""),"No")</f>
        <v>No</v>
      </c>
      <c r="AH691" s="5" t="str">
        <f>IFERROR(__xludf.DUMMYFUNCTION("""COMPUTED_VALUE"""),"Yes")</f>
        <v>Yes</v>
      </c>
      <c r="AI691" s="5" t="str">
        <f>IFERROR(__xludf.DUMMYFUNCTION("""COMPUTED_VALUE"""),"No")</f>
        <v>No</v>
      </c>
      <c r="AJ691" s="5" t="str">
        <f>IFERROR(__xludf.DUMMYFUNCTION("""COMPUTED_VALUE"""),"No")</f>
        <v>No</v>
      </c>
      <c r="AK691" s="5" t="str">
        <f>IFERROR(__xludf.DUMMYFUNCTION("""COMPUTED_VALUE"""),"No")</f>
        <v>No</v>
      </c>
      <c r="AL691" s="5" t="str">
        <f>IFERROR(__xludf.DUMMYFUNCTION("""COMPUTED_VALUE"""),"No")</f>
        <v>No</v>
      </c>
      <c r="AM691" s="5"/>
      <c r="AN691" s="5"/>
      <c r="AO691" s="5"/>
      <c r="AP691" s="5"/>
      <c r="AQ691" s="5"/>
      <c r="AR691" s="5"/>
      <c r="AS691" s="5"/>
      <c r="AT691" s="5"/>
      <c r="AU691" s="5"/>
      <c r="AV691" s="5"/>
      <c r="AW691" s="5"/>
      <c r="AX691" s="5"/>
      <c r="AY691" s="5"/>
    </row>
    <row r="692">
      <c r="A69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2" s="5">
        <f>IFERROR(__xludf.DUMMYFUNCTION("""COMPUTED_VALUE"""),727.0)</f>
        <v>727</v>
      </c>
      <c r="C692" s="5">
        <f>IFERROR(__xludf.DUMMYFUNCTION("""COMPUTED_VALUE"""),180065.0)</f>
        <v>180065</v>
      </c>
      <c r="D692" s="5" t="str">
        <f>IFERROR(__xludf.DUMMYFUNCTION("""COMPUTED_VALUE"""),"RedstoneXCloverFire")</f>
        <v>RedstoneXCloverFire</v>
      </c>
      <c r="E692" s="5" t="str">
        <f>IFERROR(__xludf.DUMMYFUNCTION("""COMPUTED_VALUE"""),"Yes")</f>
        <v>Yes</v>
      </c>
      <c r="F692" s="5" t="str">
        <f>IFERROR(__xludf.DUMMYFUNCTION("""COMPUTED_VALUE"""),"Yes")</f>
        <v>Yes</v>
      </c>
      <c r="G692" s="5" t="str">
        <f>IFERROR(__xludf.DUMMYFUNCTION("""COMPUTED_VALUE"""),"No")</f>
        <v>No</v>
      </c>
      <c r="H692" s="5" t="str">
        <f>IFERROR(__xludf.DUMMYFUNCTION("""COMPUTED_VALUE"""),"Yes")</f>
        <v>Yes</v>
      </c>
      <c r="I692" s="5" t="str">
        <f>IFERROR(__xludf.DUMMYFUNCTION("""COMPUTED_VALUE"""),"Yes")</f>
        <v>Yes</v>
      </c>
      <c r="J692" s="5" t="str">
        <f>IFERROR(__xludf.DUMMYFUNCTION("""COMPUTED_VALUE"""),"Yes")</f>
        <v>Yes</v>
      </c>
      <c r="K692" s="5" t="str">
        <f>IFERROR(__xludf.DUMMYFUNCTION("""COMPUTED_VALUE"""),"Yes")</f>
        <v>Yes</v>
      </c>
      <c r="L692" s="5" t="str">
        <f>IFERROR(__xludf.DUMMYFUNCTION("""COMPUTED_VALUE"""),"Yes")</f>
        <v>Yes</v>
      </c>
      <c r="M692" s="5" t="str">
        <f>IFERROR(__xludf.DUMMYFUNCTION("""COMPUTED_VALUE"""),"Yes")</f>
        <v>Yes</v>
      </c>
      <c r="N692" s="5" t="str">
        <f>IFERROR(__xludf.DUMMYFUNCTION("""COMPUTED_VALUE"""),"Yes")</f>
        <v>Yes</v>
      </c>
      <c r="O692" s="5" t="str">
        <f>IFERROR(__xludf.DUMMYFUNCTION("""COMPUTED_VALUE"""),"Yes")</f>
        <v>Yes</v>
      </c>
      <c r="P692" s="5" t="str">
        <f>IFERROR(__xludf.DUMMYFUNCTION("""COMPUTED_VALUE"""),"Yes")</f>
        <v>Yes</v>
      </c>
      <c r="Q692" s="5" t="str">
        <f>IFERROR(__xludf.DUMMYFUNCTION("""COMPUTED_VALUE"""),"Yes")</f>
        <v>Yes</v>
      </c>
      <c r="R692" s="5" t="str">
        <f>IFERROR(__xludf.DUMMYFUNCTION("""COMPUTED_VALUE"""),"Yes")</f>
        <v>Yes</v>
      </c>
      <c r="S692" s="5" t="str">
        <f>IFERROR(__xludf.DUMMYFUNCTION("""COMPUTED_VALUE"""),"Yes")</f>
        <v>Yes</v>
      </c>
      <c r="T692" s="5" t="str">
        <f>IFERROR(__xludf.DUMMYFUNCTION("""COMPUTED_VALUE"""),"No")</f>
        <v>No</v>
      </c>
      <c r="U692" s="5" t="str">
        <f>IFERROR(__xludf.DUMMYFUNCTION("""COMPUTED_VALUE"""),"No")</f>
        <v>No</v>
      </c>
      <c r="V692" s="5" t="str">
        <f>IFERROR(__xludf.DUMMYFUNCTION("""COMPUTED_VALUE"""),"No")</f>
        <v>No</v>
      </c>
      <c r="W692" s="5" t="str">
        <f>IFERROR(__xludf.DUMMYFUNCTION("""COMPUTED_VALUE"""),"No")</f>
        <v>No</v>
      </c>
      <c r="X692" s="5" t="str">
        <f>IFERROR(__xludf.DUMMYFUNCTION("""COMPUTED_VALUE"""),"No")</f>
        <v>No</v>
      </c>
      <c r="Y692" s="5" t="str">
        <f>IFERROR(__xludf.DUMMYFUNCTION("""COMPUTED_VALUE"""),"No")</f>
        <v>No</v>
      </c>
      <c r="Z692" s="5" t="str">
        <f>IFERROR(__xludf.DUMMYFUNCTION("""COMPUTED_VALUE"""),"No")</f>
        <v>No</v>
      </c>
      <c r="AA692" s="5" t="str">
        <f>IFERROR(__xludf.DUMMYFUNCTION("""COMPUTED_VALUE"""),"Yes")</f>
        <v>Yes</v>
      </c>
      <c r="AB692" s="5" t="str">
        <f>IFERROR(__xludf.DUMMYFUNCTION("""COMPUTED_VALUE"""),"No")</f>
        <v>No</v>
      </c>
      <c r="AC692" s="5" t="str">
        <f>IFERROR(__xludf.DUMMYFUNCTION("""COMPUTED_VALUE"""),"No")</f>
        <v>No</v>
      </c>
      <c r="AD692" s="5" t="str">
        <f>IFERROR(__xludf.DUMMYFUNCTION("""COMPUTED_VALUE"""),"No")</f>
        <v>No</v>
      </c>
      <c r="AE692" s="5" t="str">
        <f>IFERROR(__xludf.DUMMYFUNCTION("""COMPUTED_VALUE"""),"No")</f>
        <v>No</v>
      </c>
      <c r="AF692" s="5" t="str">
        <f>IFERROR(__xludf.DUMMYFUNCTION("""COMPUTED_VALUE"""),"Yes")</f>
        <v>Yes</v>
      </c>
      <c r="AG692" s="5" t="str">
        <f>IFERROR(__xludf.DUMMYFUNCTION("""COMPUTED_VALUE"""),"No")</f>
        <v>No</v>
      </c>
      <c r="AH692" s="5" t="str">
        <f>IFERROR(__xludf.DUMMYFUNCTION("""COMPUTED_VALUE"""),"Yes")</f>
        <v>Yes</v>
      </c>
      <c r="AI692" s="5" t="str">
        <f>IFERROR(__xludf.DUMMYFUNCTION("""COMPUTED_VALUE"""),"No")</f>
        <v>No</v>
      </c>
      <c r="AJ692" s="5" t="str">
        <f>IFERROR(__xludf.DUMMYFUNCTION("""COMPUTED_VALUE"""),"No")</f>
        <v>No</v>
      </c>
      <c r="AK692" s="5" t="str">
        <f>IFERROR(__xludf.DUMMYFUNCTION("""COMPUTED_VALUE"""),"No")</f>
        <v>No</v>
      </c>
      <c r="AL692" s="5" t="str">
        <f>IFERROR(__xludf.DUMMYFUNCTION("""COMPUTED_VALUE"""),"No")</f>
        <v>No</v>
      </c>
      <c r="AM692" s="5"/>
      <c r="AN692" s="5"/>
      <c r="AO692" s="5"/>
      <c r="AP692" s="5"/>
      <c r="AQ692" s="5"/>
      <c r="AR692" s="5"/>
      <c r="AS692" s="5"/>
      <c r="AT692" s="5"/>
      <c r="AU692" s="5"/>
      <c r="AV692" s="5"/>
      <c r="AW692" s="5"/>
      <c r="AX692" s="5"/>
      <c r="AY692" s="5"/>
    </row>
    <row r="693">
      <c r="A693"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3" s="5">
        <f>IFERROR(__xludf.DUMMYFUNCTION("""COMPUTED_VALUE"""),728.0)</f>
        <v>728</v>
      </c>
      <c r="C693" s="5">
        <f>IFERROR(__xludf.DUMMYFUNCTION("""COMPUTED_VALUE"""),180067.0)</f>
        <v>180067</v>
      </c>
      <c r="D693" s="5" t="str">
        <f>IFERROR(__xludf.DUMMYFUNCTION("""COMPUTED_VALUE"""),"Redstone5HeartDeluxe")</f>
        <v>Redstone5HeartDeluxe</v>
      </c>
      <c r="E693" s="5" t="str">
        <f>IFERROR(__xludf.DUMMYFUNCTION("""COMPUTED_VALUE"""),"Yes")</f>
        <v>Yes</v>
      </c>
      <c r="F693" s="5" t="str">
        <f>IFERROR(__xludf.DUMMYFUNCTION("""COMPUTED_VALUE"""),"Yes")</f>
        <v>Yes</v>
      </c>
      <c r="G693" s="5" t="str">
        <f>IFERROR(__xludf.DUMMYFUNCTION("""COMPUTED_VALUE"""),"No")</f>
        <v>No</v>
      </c>
      <c r="H693" s="5" t="str">
        <f>IFERROR(__xludf.DUMMYFUNCTION("""COMPUTED_VALUE"""),"Yes")</f>
        <v>Yes</v>
      </c>
      <c r="I693" s="5" t="str">
        <f>IFERROR(__xludf.DUMMYFUNCTION("""COMPUTED_VALUE"""),"Yes")</f>
        <v>Yes</v>
      </c>
      <c r="J693" s="5" t="str">
        <f>IFERROR(__xludf.DUMMYFUNCTION("""COMPUTED_VALUE"""),"Yes")</f>
        <v>Yes</v>
      </c>
      <c r="K693" s="5" t="str">
        <f>IFERROR(__xludf.DUMMYFUNCTION("""COMPUTED_VALUE"""),"Yes")</f>
        <v>Yes</v>
      </c>
      <c r="L693" s="5" t="str">
        <f>IFERROR(__xludf.DUMMYFUNCTION("""COMPUTED_VALUE"""),"Yes")</f>
        <v>Yes</v>
      </c>
      <c r="M693" s="5" t="str">
        <f>IFERROR(__xludf.DUMMYFUNCTION("""COMPUTED_VALUE"""),"Yes")</f>
        <v>Yes</v>
      </c>
      <c r="N693" s="5" t="str">
        <f>IFERROR(__xludf.DUMMYFUNCTION("""COMPUTED_VALUE"""),"Yes")</f>
        <v>Yes</v>
      </c>
      <c r="O693" s="5" t="str">
        <f>IFERROR(__xludf.DUMMYFUNCTION("""COMPUTED_VALUE"""),"Yes")</f>
        <v>Yes</v>
      </c>
      <c r="P693" s="5" t="str">
        <f>IFERROR(__xludf.DUMMYFUNCTION("""COMPUTED_VALUE"""),"Yes")</f>
        <v>Yes</v>
      </c>
      <c r="Q693" s="5" t="str">
        <f>IFERROR(__xludf.DUMMYFUNCTION("""COMPUTED_VALUE"""),"Yes")</f>
        <v>Yes</v>
      </c>
      <c r="R693" s="5" t="str">
        <f>IFERROR(__xludf.DUMMYFUNCTION("""COMPUTED_VALUE"""),"Yes")</f>
        <v>Yes</v>
      </c>
      <c r="S693" s="5" t="str">
        <f>IFERROR(__xludf.DUMMYFUNCTION("""COMPUTED_VALUE"""),"Yes")</f>
        <v>Yes</v>
      </c>
      <c r="T693" s="5" t="str">
        <f>IFERROR(__xludf.DUMMYFUNCTION("""COMPUTED_VALUE"""),"No")</f>
        <v>No</v>
      </c>
      <c r="U693" s="5" t="str">
        <f>IFERROR(__xludf.DUMMYFUNCTION("""COMPUTED_VALUE"""),"No")</f>
        <v>No</v>
      </c>
      <c r="V693" s="5" t="str">
        <f>IFERROR(__xludf.DUMMYFUNCTION("""COMPUTED_VALUE"""),"No")</f>
        <v>No</v>
      </c>
      <c r="W693" s="5" t="str">
        <f>IFERROR(__xludf.DUMMYFUNCTION("""COMPUTED_VALUE"""),"No")</f>
        <v>No</v>
      </c>
      <c r="X693" s="5" t="str">
        <f>IFERROR(__xludf.DUMMYFUNCTION("""COMPUTED_VALUE"""),"No")</f>
        <v>No</v>
      </c>
      <c r="Y693" s="5" t="str">
        <f>IFERROR(__xludf.DUMMYFUNCTION("""COMPUTED_VALUE"""),"No")</f>
        <v>No</v>
      </c>
      <c r="Z693" s="5" t="str">
        <f>IFERROR(__xludf.DUMMYFUNCTION("""COMPUTED_VALUE"""),"No")</f>
        <v>No</v>
      </c>
      <c r="AA693" s="5" t="str">
        <f>IFERROR(__xludf.DUMMYFUNCTION("""COMPUTED_VALUE"""),"Yes")</f>
        <v>Yes</v>
      </c>
      <c r="AB693" s="5" t="str">
        <f>IFERROR(__xludf.DUMMYFUNCTION("""COMPUTED_VALUE"""),"No")</f>
        <v>No</v>
      </c>
      <c r="AC693" s="5" t="str">
        <f>IFERROR(__xludf.DUMMYFUNCTION("""COMPUTED_VALUE"""),"No")</f>
        <v>No</v>
      </c>
      <c r="AD693" s="5" t="str">
        <f>IFERROR(__xludf.DUMMYFUNCTION("""COMPUTED_VALUE"""),"No")</f>
        <v>No</v>
      </c>
      <c r="AE693" s="5" t="str">
        <f>IFERROR(__xludf.DUMMYFUNCTION("""COMPUTED_VALUE"""),"No")</f>
        <v>No</v>
      </c>
      <c r="AF693" s="5" t="str">
        <f>IFERROR(__xludf.DUMMYFUNCTION("""COMPUTED_VALUE"""),"Yes")</f>
        <v>Yes</v>
      </c>
      <c r="AG693" s="5" t="str">
        <f>IFERROR(__xludf.DUMMYFUNCTION("""COMPUTED_VALUE"""),"No")</f>
        <v>No</v>
      </c>
      <c r="AH693" s="5" t="str">
        <f>IFERROR(__xludf.DUMMYFUNCTION("""COMPUTED_VALUE"""),"Yes")</f>
        <v>Yes</v>
      </c>
      <c r="AI693" s="5" t="str">
        <f>IFERROR(__xludf.DUMMYFUNCTION("""COMPUTED_VALUE"""),"No")</f>
        <v>No</v>
      </c>
      <c r="AJ693" s="5" t="str">
        <f>IFERROR(__xludf.DUMMYFUNCTION("""COMPUTED_VALUE"""),"No")</f>
        <v>No</v>
      </c>
      <c r="AK693" s="5" t="str">
        <f>IFERROR(__xludf.DUMMYFUNCTION("""COMPUTED_VALUE"""),"No")</f>
        <v>No</v>
      </c>
      <c r="AL693" s="5" t="str">
        <f>IFERROR(__xludf.DUMMYFUNCTION("""COMPUTED_VALUE"""),"No")</f>
        <v>No</v>
      </c>
      <c r="AM693" s="5"/>
      <c r="AN693" s="5"/>
      <c r="AO693" s="5"/>
      <c r="AP693" s="5"/>
      <c r="AQ693" s="5"/>
      <c r="AR693" s="5"/>
      <c r="AS693" s="5"/>
      <c r="AT693" s="5"/>
      <c r="AU693" s="5"/>
      <c r="AV693" s="5"/>
      <c r="AW693" s="5"/>
      <c r="AX693" s="5"/>
      <c r="AY693" s="5"/>
    </row>
    <row r="694">
      <c r="A694"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4" s="5">
        <f>IFERROR(__xludf.DUMMYFUNCTION("""COMPUTED_VALUE"""),729.0)</f>
        <v>729</v>
      </c>
      <c r="C694" s="5">
        <f>IFERROR(__xludf.DUMMYFUNCTION("""COMPUTED_VALUE"""),180068.0)</f>
        <v>180068</v>
      </c>
      <c r="D694" s="5" t="str">
        <f>IFERROR(__xludf.DUMMYFUNCTION("""COMPUTED_VALUE"""),"RedstoneCloverDeluxe2X")</f>
        <v>RedstoneCloverDeluxe2X</v>
      </c>
      <c r="E694" s="5" t="str">
        <f>IFERROR(__xludf.DUMMYFUNCTION("""COMPUTED_VALUE"""),"Yes")</f>
        <v>Yes</v>
      </c>
      <c r="F694" s="5" t="str">
        <f>IFERROR(__xludf.DUMMYFUNCTION("""COMPUTED_VALUE"""),"Yes")</f>
        <v>Yes</v>
      </c>
      <c r="G694" s="5" t="str">
        <f>IFERROR(__xludf.DUMMYFUNCTION("""COMPUTED_VALUE"""),"Yes")</f>
        <v>Yes</v>
      </c>
      <c r="H694" s="5" t="str">
        <f>IFERROR(__xludf.DUMMYFUNCTION("""COMPUTED_VALUE"""),"Yes")</f>
        <v>Yes</v>
      </c>
      <c r="I694" s="5" t="str">
        <f>IFERROR(__xludf.DUMMYFUNCTION("""COMPUTED_VALUE"""),"Yes")</f>
        <v>Yes</v>
      </c>
      <c r="J694" s="5" t="str">
        <f>IFERROR(__xludf.DUMMYFUNCTION("""COMPUTED_VALUE"""),"Yes")</f>
        <v>Yes</v>
      </c>
      <c r="K694" s="5" t="str">
        <f>IFERROR(__xludf.DUMMYFUNCTION("""COMPUTED_VALUE"""),"Yes")</f>
        <v>Yes</v>
      </c>
      <c r="L694" s="5" t="str">
        <f>IFERROR(__xludf.DUMMYFUNCTION("""COMPUTED_VALUE"""),"Yes")</f>
        <v>Yes</v>
      </c>
      <c r="M694" s="5" t="str">
        <f>IFERROR(__xludf.DUMMYFUNCTION("""COMPUTED_VALUE"""),"Yes")</f>
        <v>Yes</v>
      </c>
      <c r="N694" s="5" t="str">
        <f>IFERROR(__xludf.DUMMYFUNCTION("""COMPUTED_VALUE"""),"Yes")</f>
        <v>Yes</v>
      </c>
      <c r="O694" s="5" t="str">
        <f>IFERROR(__xludf.DUMMYFUNCTION("""COMPUTED_VALUE"""),"Yes")</f>
        <v>Yes</v>
      </c>
      <c r="P694" s="5" t="str">
        <f>IFERROR(__xludf.DUMMYFUNCTION("""COMPUTED_VALUE"""),"Yes")</f>
        <v>Yes</v>
      </c>
      <c r="Q694" s="5" t="str">
        <f>IFERROR(__xludf.DUMMYFUNCTION("""COMPUTED_VALUE"""),"Yes")</f>
        <v>Yes</v>
      </c>
      <c r="R694" s="5" t="str">
        <f>IFERROR(__xludf.DUMMYFUNCTION("""COMPUTED_VALUE"""),"Yes")</f>
        <v>Yes</v>
      </c>
      <c r="S694" s="5" t="str">
        <f>IFERROR(__xludf.DUMMYFUNCTION("""COMPUTED_VALUE"""),"Yes")</f>
        <v>Yes</v>
      </c>
      <c r="T694" s="5" t="str">
        <f>IFERROR(__xludf.DUMMYFUNCTION("""COMPUTED_VALUE"""),"No")</f>
        <v>No</v>
      </c>
      <c r="U694" s="5" t="str">
        <f>IFERROR(__xludf.DUMMYFUNCTION("""COMPUTED_VALUE"""),"No")</f>
        <v>No</v>
      </c>
      <c r="V694" s="5" t="str">
        <f>IFERROR(__xludf.DUMMYFUNCTION("""COMPUTED_VALUE"""),"No")</f>
        <v>No</v>
      </c>
      <c r="W694" s="5" t="str">
        <f>IFERROR(__xludf.DUMMYFUNCTION("""COMPUTED_VALUE"""),"No")</f>
        <v>No</v>
      </c>
      <c r="X694" s="5" t="str">
        <f>IFERROR(__xludf.DUMMYFUNCTION("""COMPUTED_VALUE"""),"No")</f>
        <v>No</v>
      </c>
      <c r="Y694" s="5" t="str">
        <f>IFERROR(__xludf.DUMMYFUNCTION("""COMPUTED_VALUE"""),"No")</f>
        <v>No</v>
      </c>
      <c r="Z694" s="5" t="str">
        <f>IFERROR(__xludf.DUMMYFUNCTION("""COMPUTED_VALUE"""),"No")</f>
        <v>No</v>
      </c>
      <c r="AA694" s="5" t="str">
        <f>IFERROR(__xludf.DUMMYFUNCTION("""COMPUTED_VALUE"""),"Yes")</f>
        <v>Yes</v>
      </c>
      <c r="AB694" s="5" t="str">
        <f>IFERROR(__xludf.DUMMYFUNCTION("""COMPUTED_VALUE"""),"No")</f>
        <v>No</v>
      </c>
      <c r="AC694" s="5" t="str">
        <f>IFERROR(__xludf.DUMMYFUNCTION("""COMPUTED_VALUE"""),"No")</f>
        <v>No</v>
      </c>
      <c r="AD694" s="5" t="str">
        <f>IFERROR(__xludf.DUMMYFUNCTION("""COMPUTED_VALUE"""),"No")</f>
        <v>No</v>
      </c>
      <c r="AE694" s="5" t="str">
        <f>IFERROR(__xludf.DUMMYFUNCTION("""COMPUTED_VALUE"""),"No")</f>
        <v>No</v>
      </c>
      <c r="AF694" s="5" t="str">
        <f>IFERROR(__xludf.DUMMYFUNCTION("""COMPUTED_VALUE"""),"Yes")</f>
        <v>Yes</v>
      </c>
      <c r="AG694" s="5" t="str">
        <f>IFERROR(__xludf.DUMMYFUNCTION("""COMPUTED_VALUE"""),"No")</f>
        <v>No</v>
      </c>
      <c r="AH694" s="5" t="str">
        <f>IFERROR(__xludf.DUMMYFUNCTION("""COMPUTED_VALUE"""),"Yes")</f>
        <v>Yes</v>
      </c>
      <c r="AI694" s="5" t="str">
        <f>IFERROR(__xludf.DUMMYFUNCTION("""COMPUTED_VALUE"""),"No")</f>
        <v>No</v>
      </c>
      <c r="AJ694" s="5" t="str">
        <f>IFERROR(__xludf.DUMMYFUNCTION("""COMPUTED_VALUE"""),"No")</f>
        <v>No</v>
      </c>
      <c r="AK694" s="5" t="str">
        <f>IFERROR(__xludf.DUMMYFUNCTION("""COMPUTED_VALUE"""),"No")</f>
        <v>No</v>
      </c>
      <c r="AL694" s="5" t="str">
        <f>IFERROR(__xludf.DUMMYFUNCTION("""COMPUTED_VALUE"""),"No")</f>
        <v>No</v>
      </c>
      <c r="AM694" s="5"/>
      <c r="AN694" s="5"/>
      <c r="AO694" s="5"/>
      <c r="AP694" s="5"/>
      <c r="AQ694" s="5"/>
      <c r="AR694" s="5"/>
      <c r="AS694" s="5"/>
      <c r="AT694" s="5"/>
      <c r="AU694" s="5"/>
      <c r="AV694" s="5"/>
      <c r="AW694" s="5"/>
      <c r="AX694" s="5"/>
      <c r="AY694" s="5"/>
    </row>
    <row r="695">
      <c r="A69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5" s="5">
        <f>IFERROR(__xludf.DUMMYFUNCTION("""COMPUTED_VALUE"""),730.0)</f>
        <v>730</v>
      </c>
      <c r="C695" s="5">
        <f>IFERROR(__xludf.DUMMYFUNCTION("""COMPUTED_VALUE"""),180069.0)</f>
        <v>180069</v>
      </c>
      <c r="D695" s="5" t="str">
        <f>IFERROR(__xludf.DUMMYFUNCTION("""COMPUTED_VALUE"""),"RedstonePureHot5")</f>
        <v>RedstonePureHot5</v>
      </c>
      <c r="E695" s="5" t="str">
        <f>IFERROR(__xludf.DUMMYFUNCTION("""COMPUTED_VALUE"""),"Yes")</f>
        <v>Yes</v>
      </c>
      <c r="F695" s="5" t="str">
        <f>IFERROR(__xludf.DUMMYFUNCTION("""COMPUTED_VALUE"""),"Yes")</f>
        <v>Yes</v>
      </c>
      <c r="G695" s="5" t="str">
        <f>IFERROR(__xludf.DUMMYFUNCTION("""COMPUTED_VALUE"""),"Yes")</f>
        <v>Yes</v>
      </c>
      <c r="H695" s="5" t="str">
        <f>IFERROR(__xludf.DUMMYFUNCTION("""COMPUTED_VALUE"""),"Yes")</f>
        <v>Yes</v>
      </c>
      <c r="I695" s="5" t="str">
        <f>IFERROR(__xludf.DUMMYFUNCTION("""COMPUTED_VALUE"""),"Yes")</f>
        <v>Yes</v>
      </c>
      <c r="J695" s="5" t="str">
        <f>IFERROR(__xludf.DUMMYFUNCTION("""COMPUTED_VALUE"""),"Yes")</f>
        <v>Yes</v>
      </c>
      <c r="K695" s="5" t="str">
        <f>IFERROR(__xludf.DUMMYFUNCTION("""COMPUTED_VALUE"""),"Yes")</f>
        <v>Yes</v>
      </c>
      <c r="L695" s="5" t="str">
        <f>IFERROR(__xludf.DUMMYFUNCTION("""COMPUTED_VALUE"""),"Yes")</f>
        <v>Yes</v>
      </c>
      <c r="M695" s="5" t="str">
        <f>IFERROR(__xludf.DUMMYFUNCTION("""COMPUTED_VALUE"""),"Yes")</f>
        <v>Yes</v>
      </c>
      <c r="N695" s="5" t="str">
        <f>IFERROR(__xludf.DUMMYFUNCTION("""COMPUTED_VALUE"""),"Yes")</f>
        <v>Yes</v>
      </c>
      <c r="O695" s="5" t="str">
        <f>IFERROR(__xludf.DUMMYFUNCTION("""COMPUTED_VALUE"""),"Yes")</f>
        <v>Yes</v>
      </c>
      <c r="P695" s="5" t="str">
        <f>IFERROR(__xludf.DUMMYFUNCTION("""COMPUTED_VALUE"""),"Yes")</f>
        <v>Yes</v>
      </c>
      <c r="Q695" s="5" t="str">
        <f>IFERROR(__xludf.DUMMYFUNCTION("""COMPUTED_VALUE"""),"Yes")</f>
        <v>Yes</v>
      </c>
      <c r="R695" s="5" t="str">
        <f>IFERROR(__xludf.DUMMYFUNCTION("""COMPUTED_VALUE"""),"Yes")</f>
        <v>Yes</v>
      </c>
      <c r="S695" s="5" t="str">
        <f>IFERROR(__xludf.DUMMYFUNCTION("""COMPUTED_VALUE"""),"Yes")</f>
        <v>Yes</v>
      </c>
      <c r="T695" s="5" t="str">
        <f>IFERROR(__xludf.DUMMYFUNCTION("""COMPUTED_VALUE"""),"No")</f>
        <v>No</v>
      </c>
      <c r="U695" s="5" t="str">
        <f>IFERROR(__xludf.DUMMYFUNCTION("""COMPUTED_VALUE"""),"No")</f>
        <v>No</v>
      </c>
      <c r="V695" s="5" t="str">
        <f>IFERROR(__xludf.DUMMYFUNCTION("""COMPUTED_VALUE"""),"No")</f>
        <v>No</v>
      </c>
      <c r="W695" s="5" t="str">
        <f>IFERROR(__xludf.DUMMYFUNCTION("""COMPUTED_VALUE"""),"No")</f>
        <v>No</v>
      </c>
      <c r="X695" s="5" t="str">
        <f>IFERROR(__xludf.DUMMYFUNCTION("""COMPUTED_VALUE"""),"No")</f>
        <v>No</v>
      </c>
      <c r="Y695" s="5" t="str">
        <f>IFERROR(__xludf.DUMMYFUNCTION("""COMPUTED_VALUE"""),"No")</f>
        <v>No</v>
      </c>
      <c r="Z695" s="5" t="str">
        <f>IFERROR(__xludf.DUMMYFUNCTION("""COMPUTED_VALUE"""),"No")</f>
        <v>No</v>
      </c>
      <c r="AA695" s="5" t="str">
        <f>IFERROR(__xludf.DUMMYFUNCTION("""COMPUTED_VALUE"""),"Yes")</f>
        <v>Yes</v>
      </c>
      <c r="AB695" s="5" t="str">
        <f>IFERROR(__xludf.DUMMYFUNCTION("""COMPUTED_VALUE"""),"No")</f>
        <v>No</v>
      </c>
      <c r="AC695" s="5" t="str">
        <f>IFERROR(__xludf.DUMMYFUNCTION("""COMPUTED_VALUE"""),"No")</f>
        <v>No</v>
      </c>
      <c r="AD695" s="5" t="str">
        <f>IFERROR(__xludf.DUMMYFUNCTION("""COMPUTED_VALUE"""),"No")</f>
        <v>No</v>
      </c>
      <c r="AE695" s="5" t="str">
        <f>IFERROR(__xludf.DUMMYFUNCTION("""COMPUTED_VALUE"""),"No")</f>
        <v>No</v>
      </c>
      <c r="AF695" s="5" t="str">
        <f>IFERROR(__xludf.DUMMYFUNCTION("""COMPUTED_VALUE"""),"Yes")</f>
        <v>Yes</v>
      </c>
      <c r="AG695" s="5" t="str">
        <f>IFERROR(__xludf.DUMMYFUNCTION("""COMPUTED_VALUE"""),"No")</f>
        <v>No</v>
      </c>
      <c r="AH695" s="5" t="str">
        <f>IFERROR(__xludf.DUMMYFUNCTION("""COMPUTED_VALUE"""),"Yes")</f>
        <v>Yes</v>
      </c>
      <c r="AI695" s="5" t="str">
        <f>IFERROR(__xludf.DUMMYFUNCTION("""COMPUTED_VALUE"""),"No")</f>
        <v>No</v>
      </c>
      <c r="AJ695" s="5" t="str">
        <f>IFERROR(__xludf.DUMMYFUNCTION("""COMPUTED_VALUE"""),"No")</f>
        <v>No</v>
      </c>
      <c r="AK695" s="5" t="str">
        <f>IFERROR(__xludf.DUMMYFUNCTION("""COMPUTED_VALUE"""),"No")</f>
        <v>No</v>
      </c>
      <c r="AL695" s="5" t="str">
        <f>IFERROR(__xludf.DUMMYFUNCTION("""COMPUTED_VALUE"""),"No")</f>
        <v>No</v>
      </c>
      <c r="AM695" s="5"/>
      <c r="AN695" s="5"/>
      <c r="AO695" s="5"/>
      <c r="AP695" s="5"/>
      <c r="AQ695" s="5"/>
      <c r="AR695" s="5"/>
      <c r="AS695" s="5"/>
      <c r="AT695" s="5"/>
      <c r="AU695" s="5"/>
      <c r="AV695" s="5"/>
      <c r="AW695" s="5"/>
      <c r="AX695" s="5"/>
      <c r="AY695" s="5"/>
    </row>
    <row r="696">
      <c r="A6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96" s="5">
        <f>IFERROR(__xludf.DUMMYFUNCTION("""COMPUTED_VALUE"""),731.0)</f>
        <v>731</v>
      </c>
      <c r="C696" s="5">
        <f>IFERROR(__xludf.DUMMYFUNCTION("""COMPUTED_VALUE"""),3035.0)</f>
        <v>3035</v>
      </c>
      <c r="D696" s="5" t="str">
        <f>IFERROR(__xludf.DUMMYFUNCTION("""COMPUTED_VALUE"""),"GoldenCrownExtremeBooster")</f>
        <v>GoldenCrownExtremeBooster</v>
      </c>
      <c r="E696" s="5" t="str">
        <f>IFERROR(__xludf.DUMMYFUNCTION("""COMPUTED_VALUE"""),"Yes")</f>
        <v>Yes</v>
      </c>
      <c r="F696" s="5" t="str">
        <f>IFERROR(__xludf.DUMMYFUNCTION("""COMPUTED_VALUE"""),"Yes")</f>
        <v>Yes</v>
      </c>
      <c r="G696" s="5" t="str">
        <f>IFERROR(__xludf.DUMMYFUNCTION("""COMPUTED_VALUE"""),"Yes")</f>
        <v>Yes</v>
      </c>
      <c r="H696" s="5" t="str">
        <f>IFERROR(__xludf.DUMMYFUNCTION("""COMPUTED_VALUE"""),"Yes")</f>
        <v>Yes</v>
      </c>
      <c r="I696" s="5" t="str">
        <f>IFERROR(__xludf.DUMMYFUNCTION("""COMPUTED_VALUE"""),"Yes")</f>
        <v>Yes</v>
      </c>
      <c r="J696" s="5" t="str">
        <f>IFERROR(__xludf.DUMMYFUNCTION("""COMPUTED_VALUE"""),"Yes")</f>
        <v>Yes</v>
      </c>
      <c r="K696" s="5" t="str">
        <f>IFERROR(__xludf.DUMMYFUNCTION("""COMPUTED_VALUE"""),"Yes")</f>
        <v>Yes</v>
      </c>
      <c r="L696" s="5" t="str">
        <f>IFERROR(__xludf.DUMMYFUNCTION("""COMPUTED_VALUE"""),"Yes")</f>
        <v>Yes</v>
      </c>
      <c r="M696" s="5" t="str">
        <f>IFERROR(__xludf.DUMMYFUNCTION("""COMPUTED_VALUE"""),"Yes")</f>
        <v>Yes</v>
      </c>
      <c r="N696" s="5" t="str">
        <f>IFERROR(__xludf.DUMMYFUNCTION("""COMPUTED_VALUE"""),"Yes")</f>
        <v>Yes</v>
      </c>
      <c r="O696" s="5" t="str">
        <f>IFERROR(__xludf.DUMMYFUNCTION("""COMPUTED_VALUE"""),"Yes")</f>
        <v>Yes</v>
      </c>
      <c r="P696" s="5" t="str">
        <f>IFERROR(__xludf.DUMMYFUNCTION("""COMPUTED_VALUE"""),"Yes")</f>
        <v>Yes</v>
      </c>
      <c r="Q696" s="5" t="str">
        <f>IFERROR(__xludf.DUMMYFUNCTION("""COMPUTED_VALUE"""),"Yes")</f>
        <v>Yes</v>
      </c>
      <c r="R696" s="5" t="str">
        <f>IFERROR(__xludf.DUMMYFUNCTION("""COMPUTED_VALUE"""),"Yes")</f>
        <v>Yes</v>
      </c>
      <c r="S696" s="5" t="str">
        <f>IFERROR(__xludf.DUMMYFUNCTION("""COMPUTED_VALUE"""),"Yes")</f>
        <v>Yes</v>
      </c>
      <c r="T696" s="5" t="str">
        <f>IFERROR(__xludf.DUMMYFUNCTION("""COMPUTED_VALUE"""),"Yes")</f>
        <v>Yes</v>
      </c>
      <c r="U696" s="5" t="str">
        <f>IFERROR(__xludf.DUMMYFUNCTION("""COMPUTED_VALUE"""),"Yes")</f>
        <v>Yes</v>
      </c>
      <c r="V696" s="5" t="str">
        <f>IFERROR(__xludf.DUMMYFUNCTION("""COMPUTED_VALUE"""),"Yes")</f>
        <v>Yes</v>
      </c>
      <c r="W696" s="5" t="str">
        <f>IFERROR(__xludf.DUMMYFUNCTION("""COMPUTED_VALUE"""),"Yes")</f>
        <v>Yes</v>
      </c>
      <c r="X696" s="5" t="str">
        <f>IFERROR(__xludf.DUMMYFUNCTION("""COMPUTED_VALUE"""),"Yes")</f>
        <v>Yes</v>
      </c>
      <c r="Y696" s="5" t="str">
        <f>IFERROR(__xludf.DUMMYFUNCTION("""COMPUTED_VALUE"""),"Yes")</f>
        <v>Yes</v>
      </c>
      <c r="Z696" s="5" t="str">
        <f>IFERROR(__xludf.DUMMYFUNCTION("""COMPUTED_VALUE"""),"Yes")</f>
        <v>Yes</v>
      </c>
      <c r="AA696" s="5" t="str">
        <f>IFERROR(__xludf.DUMMYFUNCTION("""COMPUTED_VALUE"""),"Yes")</f>
        <v>Yes</v>
      </c>
      <c r="AB696" s="5" t="str">
        <f>IFERROR(__xludf.DUMMYFUNCTION("""COMPUTED_VALUE"""),"Yes")</f>
        <v>Yes</v>
      </c>
      <c r="AC696" s="5" t="str">
        <f>IFERROR(__xludf.DUMMYFUNCTION("""COMPUTED_VALUE"""),"Yes")</f>
        <v>Yes</v>
      </c>
      <c r="AD696" s="5" t="str">
        <f>IFERROR(__xludf.DUMMYFUNCTION("""COMPUTED_VALUE"""),"Yes")</f>
        <v>Yes</v>
      </c>
      <c r="AE696" s="5" t="str">
        <f>IFERROR(__xludf.DUMMYFUNCTION("""COMPUTED_VALUE"""),"Yes")</f>
        <v>Yes</v>
      </c>
      <c r="AF696" s="5" t="str">
        <f>IFERROR(__xludf.DUMMYFUNCTION("""COMPUTED_VALUE"""),"Yes")</f>
        <v>Yes</v>
      </c>
      <c r="AG696" s="5" t="str">
        <f>IFERROR(__xludf.DUMMYFUNCTION("""COMPUTED_VALUE"""),"Yes")</f>
        <v>Yes</v>
      </c>
      <c r="AH696" s="5" t="str">
        <f>IFERROR(__xludf.DUMMYFUNCTION("""COMPUTED_VALUE"""),"Yes")</f>
        <v>Yes</v>
      </c>
      <c r="AI696" s="5" t="str">
        <f>IFERROR(__xludf.DUMMYFUNCTION("""COMPUTED_VALUE"""),"No")</f>
        <v>No</v>
      </c>
      <c r="AJ696" s="5" t="str">
        <f>IFERROR(__xludf.DUMMYFUNCTION("""COMPUTED_VALUE"""),"No")</f>
        <v>No</v>
      </c>
      <c r="AK696" s="5" t="str">
        <f>IFERROR(__xludf.DUMMYFUNCTION("""COMPUTED_VALUE"""),"No")</f>
        <v>No</v>
      </c>
      <c r="AL696" s="5" t="str">
        <f>IFERROR(__xludf.DUMMYFUNCTION("""COMPUTED_VALUE"""),"No")</f>
        <v>No</v>
      </c>
      <c r="AM696" s="5"/>
      <c r="AN696" s="5"/>
      <c r="AO696" s="5"/>
      <c r="AP696" s="5"/>
      <c r="AQ696" s="5"/>
      <c r="AR696" s="5"/>
      <c r="AS696" s="5"/>
      <c r="AT696" s="5"/>
      <c r="AU696" s="5"/>
      <c r="AV696" s="5"/>
      <c r="AW696" s="5"/>
      <c r="AX696" s="5"/>
      <c r="AY696" s="5"/>
    </row>
    <row r="697">
      <c r="A697"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7" s="5">
        <f>IFERROR(__xludf.DUMMYFUNCTION("""COMPUTED_VALUE"""),732.0)</f>
        <v>732</v>
      </c>
      <c r="C697" s="5">
        <f>IFERROR(__xludf.DUMMYFUNCTION("""COMPUTED_VALUE"""),180070.0)</f>
        <v>180070</v>
      </c>
      <c r="D697" s="5" t="str">
        <f>IFERROR(__xludf.DUMMYFUNCTION("""COMPUTED_VALUE"""),"RedstoneXWildCrown")</f>
        <v>RedstoneXWildCrown</v>
      </c>
      <c r="E697" s="5" t="str">
        <f>IFERROR(__xludf.DUMMYFUNCTION("""COMPUTED_VALUE"""),"Yes")</f>
        <v>Yes</v>
      </c>
      <c r="F697" s="5" t="str">
        <f>IFERROR(__xludf.DUMMYFUNCTION("""COMPUTED_VALUE"""),"Yes")</f>
        <v>Yes</v>
      </c>
      <c r="G697" s="5" t="str">
        <f>IFERROR(__xludf.DUMMYFUNCTION("""COMPUTED_VALUE"""),"Yes")</f>
        <v>Yes</v>
      </c>
      <c r="H697" s="5" t="str">
        <f>IFERROR(__xludf.DUMMYFUNCTION("""COMPUTED_VALUE"""),"Yes")</f>
        <v>Yes</v>
      </c>
      <c r="I697" s="5" t="str">
        <f>IFERROR(__xludf.DUMMYFUNCTION("""COMPUTED_VALUE"""),"Yes")</f>
        <v>Yes</v>
      </c>
      <c r="J697" s="5" t="str">
        <f>IFERROR(__xludf.DUMMYFUNCTION("""COMPUTED_VALUE"""),"Yes")</f>
        <v>Yes</v>
      </c>
      <c r="K697" s="5" t="str">
        <f>IFERROR(__xludf.DUMMYFUNCTION("""COMPUTED_VALUE"""),"Yes")</f>
        <v>Yes</v>
      </c>
      <c r="L697" s="5" t="str">
        <f>IFERROR(__xludf.DUMMYFUNCTION("""COMPUTED_VALUE"""),"Yes")</f>
        <v>Yes</v>
      </c>
      <c r="M697" s="5" t="str">
        <f>IFERROR(__xludf.DUMMYFUNCTION("""COMPUTED_VALUE"""),"Yes")</f>
        <v>Yes</v>
      </c>
      <c r="N697" s="5" t="str">
        <f>IFERROR(__xludf.DUMMYFUNCTION("""COMPUTED_VALUE"""),"Yes")</f>
        <v>Yes</v>
      </c>
      <c r="O697" s="5" t="str">
        <f>IFERROR(__xludf.DUMMYFUNCTION("""COMPUTED_VALUE"""),"Yes")</f>
        <v>Yes</v>
      </c>
      <c r="P697" s="5" t="str">
        <f>IFERROR(__xludf.DUMMYFUNCTION("""COMPUTED_VALUE"""),"Yes")</f>
        <v>Yes</v>
      </c>
      <c r="Q697" s="5" t="str">
        <f>IFERROR(__xludf.DUMMYFUNCTION("""COMPUTED_VALUE"""),"Yes")</f>
        <v>Yes</v>
      </c>
      <c r="R697" s="5" t="str">
        <f>IFERROR(__xludf.DUMMYFUNCTION("""COMPUTED_VALUE"""),"Yes")</f>
        <v>Yes</v>
      </c>
      <c r="S697" s="5" t="str">
        <f>IFERROR(__xludf.DUMMYFUNCTION("""COMPUTED_VALUE"""),"Yes")</f>
        <v>Yes</v>
      </c>
      <c r="T697" s="5" t="str">
        <f>IFERROR(__xludf.DUMMYFUNCTION("""COMPUTED_VALUE"""),"No")</f>
        <v>No</v>
      </c>
      <c r="U697" s="5" t="str">
        <f>IFERROR(__xludf.DUMMYFUNCTION("""COMPUTED_VALUE"""),"No")</f>
        <v>No</v>
      </c>
      <c r="V697" s="5" t="str">
        <f>IFERROR(__xludf.DUMMYFUNCTION("""COMPUTED_VALUE"""),"No")</f>
        <v>No</v>
      </c>
      <c r="W697" s="5" t="str">
        <f>IFERROR(__xludf.DUMMYFUNCTION("""COMPUTED_VALUE"""),"No")</f>
        <v>No</v>
      </c>
      <c r="X697" s="5" t="str">
        <f>IFERROR(__xludf.DUMMYFUNCTION("""COMPUTED_VALUE"""),"No")</f>
        <v>No</v>
      </c>
      <c r="Y697" s="5" t="str">
        <f>IFERROR(__xludf.DUMMYFUNCTION("""COMPUTED_VALUE"""),"No")</f>
        <v>No</v>
      </c>
      <c r="Z697" s="5" t="str">
        <f>IFERROR(__xludf.DUMMYFUNCTION("""COMPUTED_VALUE"""),"No")</f>
        <v>No</v>
      </c>
      <c r="AA697" s="5" t="str">
        <f>IFERROR(__xludf.DUMMYFUNCTION("""COMPUTED_VALUE"""),"Yes")</f>
        <v>Yes</v>
      </c>
      <c r="AB697" s="5" t="str">
        <f>IFERROR(__xludf.DUMMYFUNCTION("""COMPUTED_VALUE"""),"No")</f>
        <v>No</v>
      </c>
      <c r="AC697" s="5" t="str">
        <f>IFERROR(__xludf.DUMMYFUNCTION("""COMPUTED_VALUE"""),"No")</f>
        <v>No</v>
      </c>
      <c r="AD697" s="5" t="str">
        <f>IFERROR(__xludf.DUMMYFUNCTION("""COMPUTED_VALUE"""),"No")</f>
        <v>No</v>
      </c>
      <c r="AE697" s="5" t="str">
        <f>IFERROR(__xludf.DUMMYFUNCTION("""COMPUTED_VALUE"""),"No")</f>
        <v>No</v>
      </c>
      <c r="AF697" s="5" t="str">
        <f>IFERROR(__xludf.DUMMYFUNCTION("""COMPUTED_VALUE"""),"Yes")</f>
        <v>Yes</v>
      </c>
      <c r="AG697" s="5" t="str">
        <f>IFERROR(__xludf.DUMMYFUNCTION("""COMPUTED_VALUE"""),"No")</f>
        <v>No</v>
      </c>
      <c r="AH697" s="5" t="str">
        <f>IFERROR(__xludf.DUMMYFUNCTION("""COMPUTED_VALUE"""),"Yes")</f>
        <v>Yes</v>
      </c>
      <c r="AI697" s="5" t="str">
        <f>IFERROR(__xludf.DUMMYFUNCTION("""COMPUTED_VALUE"""),"No")</f>
        <v>No</v>
      </c>
      <c r="AJ697" s="5" t="str">
        <f>IFERROR(__xludf.DUMMYFUNCTION("""COMPUTED_VALUE"""),"No")</f>
        <v>No</v>
      </c>
      <c r="AK697" s="5" t="str">
        <f>IFERROR(__xludf.DUMMYFUNCTION("""COMPUTED_VALUE"""),"No")</f>
        <v>No</v>
      </c>
      <c r="AL697" s="5" t="str">
        <f>IFERROR(__xludf.DUMMYFUNCTION("""COMPUTED_VALUE"""),"No")</f>
        <v>No</v>
      </c>
      <c r="AM697" s="5"/>
      <c r="AN697" s="5"/>
      <c r="AO697" s="5"/>
      <c r="AP697" s="5"/>
      <c r="AQ697" s="5"/>
      <c r="AR697" s="5"/>
      <c r="AS697" s="5"/>
      <c r="AT697" s="5"/>
      <c r="AU697" s="5"/>
      <c r="AV697" s="5"/>
      <c r="AW697" s="5"/>
      <c r="AX697" s="5"/>
      <c r="AY697" s="5"/>
    </row>
    <row r="698">
      <c r="A698"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8" s="5">
        <f>IFERROR(__xludf.DUMMYFUNCTION("""COMPUTED_VALUE"""),733.0)</f>
        <v>733</v>
      </c>
      <c r="C698" s="5">
        <f>IFERROR(__xludf.DUMMYFUNCTION("""COMPUTED_VALUE"""),180071.0)</f>
        <v>180071</v>
      </c>
      <c r="D698" s="5" t="str">
        <f>IFERROR(__xludf.DUMMYFUNCTION("""COMPUTED_VALUE"""),"Redstone5CloverDeluxe")</f>
        <v>Redstone5CloverDeluxe</v>
      </c>
      <c r="E698" s="5" t="str">
        <f>IFERROR(__xludf.DUMMYFUNCTION("""COMPUTED_VALUE"""),"Yes")</f>
        <v>Yes</v>
      </c>
      <c r="F698" s="5" t="str">
        <f>IFERROR(__xludf.DUMMYFUNCTION("""COMPUTED_VALUE"""),"Yes")</f>
        <v>Yes</v>
      </c>
      <c r="G698" s="5" t="str">
        <f>IFERROR(__xludf.DUMMYFUNCTION("""COMPUTED_VALUE"""),"No")</f>
        <v>No</v>
      </c>
      <c r="H698" s="5" t="str">
        <f>IFERROR(__xludf.DUMMYFUNCTION("""COMPUTED_VALUE"""),"Yes")</f>
        <v>Yes</v>
      </c>
      <c r="I698" s="5" t="str">
        <f>IFERROR(__xludf.DUMMYFUNCTION("""COMPUTED_VALUE"""),"Yes")</f>
        <v>Yes</v>
      </c>
      <c r="J698" s="5" t="str">
        <f>IFERROR(__xludf.DUMMYFUNCTION("""COMPUTED_VALUE"""),"Yes")</f>
        <v>Yes</v>
      </c>
      <c r="K698" s="5" t="str">
        <f>IFERROR(__xludf.DUMMYFUNCTION("""COMPUTED_VALUE"""),"Yes")</f>
        <v>Yes</v>
      </c>
      <c r="L698" s="5" t="str">
        <f>IFERROR(__xludf.DUMMYFUNCTION("""COMPUTED_VALUE"""),"Yes")</f>
        <v>Yes</v>
      </c>
      <c r="M698" s="5" t="str">
        <f>IFERROR(__xludf.DUMMYFUNCTION("""COMPUTED_VALUE"""),"Yes")</f>
        <v>Yes</v>
      </c>
      <c r="N698" s="5" t="str">
        <f>IFERROR(__xludf.DUMMYFUNCTION("""COMPUTED_VALUE"""),"Yes")</f>
        <v>Yes</v>
      </c>
      <c r="O698" s="5" t="str">
        <f>IFERROR(__xludf.DUMMYFUNCTION("""COMPUTED_VALUE"""),"Yes")</f>
        <v>Yes</v>
      </c>
      <c r="P698" s="5" t="str">
        <f>IFERROR(__xludf.DUMMYFUNCTION("""COMPUTED_VALUE"""),"Yes")</f>
        <v>Yes</v>
      </c>
      <c r="Q698" s="5" t="str">
        <f>IFERROR(__xludf.DUMMYFUNCTION("""COMPUTED_VALUE"""),"Yes")</f>
        <v>Yes</v>
      </c>
      <c r="R698" s="5" t="str">
        <f>IFERROR(__xludf.DUMMYFUNCTION("""COMPUTED_VALUE"""),"Yes")</f>
        <v>Yes</v>
      </c>
      <c r="S698" s="5" t="str">
        <f>IFERROR(__xludf.DUMMYFUNCTION("""COMPUTED_VALUE"""),"Yes")</f>
        <v>Yes</v>
      </c>
      <c r="T698" s="5" t="str">
        <f>IFERROR(__xludf.DUMMYFUNCTION("""COMPUTED_VALUE"""),"No")</f>
        <v>No</v>
      </c>
      <c r="U698" s="5" t="str">
        <f>IFERROR(__xludf.DUMMYFUNCTION("""COMPUTED_VALUE"""),"No")</f>
        <v>No</v>
      </c>
      <c r="V698" s="5" t="str">
        <f>IFERROR(__xludf.DUMMYFUNCTION("""COMPUTED_VALUE"""),"No")</f>
        <v>No</v>
      </c>
      <c r="W698" s="5" t="str">
        <f>IFERROR(__xludf.DUMMYFUNCTION("""COMPUTED_VALUE"""),"No")</f>
        <v>No</v>
      </c>
      <c r="X698" s="5" t="str">
        <f>IFERROR(__xludf.DUMMYFUNCTION("""COMPUTED_VALUE"""),"No")</f>
        <v>No</v>
      </c>
      <c r="Y698" s="5" t="str">
        <f>IFERROR(__xludf.DUMMYFUNCTION("""COMPUTED_VALUE"""),"No")</f>
        <v>No</v>
      </c>
      <c r="Z698" s="5" t="str">
        <f>IFERROR(__xludf.DUMMYFUNCTION("""COMPUTED_VALUE"""),"No")</f>
        <v>No</v>
      </c>
      <c r="AA698" s="5" t="str">
        <f>IFERROR(__xludf.DUMMYFUNCTION("""COMPUTED_VALUE"""),"Yes")</f>
        <v>Yes</v>
      </c>
      <c r="AB698" s="5" t="str">
        <f>IFERROR(__xludf.DUMMYFUNCTION("""COMPUTED_VALUE"""),"No")</f>
        <v>No</v>
      </c>
      <c r="AC698" s="5" t="str">
        <f>IFERROR(__xludf.DUMMYFUNCTION("""COMPUTED_VALUE"""),"No")</f>
        <v>No</v>
      </c>
      <c r="AD698" s="5" t="str">
        <f>IFERROR(__xludf.DUMMYFUNCTION("""COMPUTED_VALUE"""),"No")</f>
        <v>No</v>
      </c>
      <c r="AE698" s="5" t="str">
        <f>IFERROR(__xludf.DUMMYFUNCTION("""COMPUTED_VALUE"""),"No")</f>
        <v>No</v>
      </c>
      <c r="AF698" s="5" t="str">
        <f>IFERROR(__xludf.DUMMYFUNCTION("""COMPUTED_VALUE"""),"Yes")</f>
        <v>Yes</v>
      </c>
      <c r="AG698" s="5" t="str">
        <f>IFERROR(__xludf.DUMMYFUNCTION("""COMPUTED_VALUE"""),"No")</f>
        <v>No</v>
      </c>
      <c r="AH698" s="5" t="str">
        <f>IFERROR(__xludf.DUMMYFUNCTION("""COMPUTED_VALUE"""),"Yes")</f>
        <v>Yes</v>
      </c>
      <c r="AI698" s="5" t="str">
        <f>IFERROR(__xludf.DUMMYFUNCTION("""COMPUTED_VALUE"""),"No")</f>
        <v>No</v>
      </c>
      <c r="AJ698" s="5" t="str">
        <f>IFERROR(__xludf.DUMMYFUNCTION("""COMPUTED_VALUE"""),"No")</f>
        <v>No</v>
      </c>
      <c r="AK698" s="5" t="str">
        <f>IFERROR(__xludf.DUMMYFUNCTION("""COMPUTED_VALUE"""),"No")</f>
        <v>No</v>
      </c>
      <c r="AL698" s="5" t="str">
        <f>IFERROR(__xludf.DUMMYFUNCTION("""COMPUTED_VALUE"""),"No")</f>
        <v>No</v>
      </c>
      <c r="AM698" s="5"/>
      <c r="AN698" s="5"/>
      <c r="AO698" s="5"/>
      <c r="AP698" s="5"/>
      <c r="AQ698" s="5"/>
      <c r="AR698" s="5"/>
      <c r="AS698" s="5"/>
      <c r="AT698" s="5"/>
      <c r="AU698" s="5"/>
      <c r="AV698" s="5"/>
      <c r="AW698" s="5"/>
      <c r="AX698" s="5"/>
      <c r="AY698" s="5"/>
    </row>
    <row r="699">
      <c r="A699"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9" s="5">
        <f>IFERROR(__xludf.DUMMYFUNCTION("""COMPUTED_VALUE"""),734.0)</f>
        <v>734</v>
      </c>
      <c r="C699" s="5">
        <f>IFERROR(__xludf.DUMMYFUNCTION("""COMPUTED_VALUE"""),180072.0)</f>
        <v>180072</v>
      </c>
      <c r="D699" s="5" t="str">
        <f>IFERROR(__xludf.DUMMYFUNCTION("""COMPUTED_VALUE"""),"RedstoneHeartDeluxe2X")</f>
        <v>RedstoneHeartDeluxe2X</v>
      </c>
      <c r="E699" s="5" t="str">
        <f>IFERROR(__xludf.DUMMYFUNCTION("""COMPUTED_VALUE"""),"Yes")</f>
        <v>Yes</v>
      </c>
      <c r="F699" s="5" t="str">
        <f>IFERROR(__xludf.DUMMYFUNCTION("""COMPUTED_VALUE"""),"Yes")</f>
        <v>Yes</v>
      </c>
      <c r="G699" s="5" t="str">
        <f>IFERROR(__xludf.DUMMYFUNCTION("""COMPUTED_VALUE"""),"No")</f>
        <v>No</v>
      </c>
      <c r="H699" s="5" t="str">
        <f>IFERROR(__xludf.DUMMYFUNCTION("""COMPUTED_VALUE"""),"Yes")</f>
        <v>Yes</v>
      </c>
      <c r="I699" s="5" t="str">
        <f>IFERROR(__xludf.DUMMYFUNCTION("""COMPUTED_VALUE"""),"Yes")</f>
        <v>Yes</v>
      </c>
      <c r="J699" s="5" t="str">
        <f>IFERROR(__xludf.DUMMYFUNCTION("""COMPUTED_VALUE"""),"Yes")</f>
        <v>Yes</v>
      </c>
      <c r="K699" s="5" t="str">
        <f>IFERROR(__xludf.DUMMYFUNCTION("""COMPUTED_VALUE"""),"Yes")</f>
        <v>Yes</v>
      </c>
      <c r="L699" s="5" t="str">
        <f>IFERROR(__xludf.DUMMYFUNCTION("""COMPUTED_VALUE"""),"Yes")</f>
        <v>Yes</v>
      </c>
      <c r="M699" s="5" t="str">
        <f>IFERROR(__xludf.DUMMYFUNCTION("""COMPUTED_VALUE"""),"Yes")</f>
        <v>Yes</v>
      </c>
      <c r="N699" s="5" t="str">
        <f>IFERROR(__xludf.DUMMYFUNCTION("""COMPUTED_VALUE"""),"Yes")</f>
        <v>Yes</v>
      </c>
      <c r="O699" s="5" t="str">
        <f>IFERROR(__xludf.DUMMYFUNCTION("""COMPUTED_VALUE"""),"Yes")</f>
        <v>Yes</v>
      </c>
      <c r="P699" s="5" t="str">
        <f>IFERROR(__xludf.DUMMYFUNCTION("""COMPUTED_VALUE"""),"Yes")</f>
        <v>Yes</v>
      </c>
      <c r="Q699" s="5" t="str">
        <f>IFERROR(__xludf.DUMMYFUNCTION("""COMPUTED_VALUE"""),"Yes")</f>
        <v>Yes</v>
      </c>
      <c r="R699" s="5" t="str">
        <f>IFERROR(__xludf.DUMMYFUNCTION("""COMPUTED_VALUE"""),"Yes")</f>
        <v>Yes</v>
      </c>
      <c r="S699" s="5" t="str">
        <f>IFERROR(__xludf.DUMMYFUNCTION("""COMPUTED_VALUE"""),"Yes")</f>
        <v>Yes</v>
      </c>
      <c r="T699" s="5" t="str">
        <f>IFERROR(__xludf.DUMMYFUNCTION("""COMPUTED_VALUE"""),"No")</f>
        <v>No</v>
      </c>
      <c r="U699" s="5" t="str">
        <f>IFERROR(__xludf.DUMMYFUNCTION("""COMPUTED_VALUE"""),"No")</f>
        <v>No</v>
      </c>
      <c r="V699" s="5" t="str">
        <f>IFERROR(__xludf.DUMMYFUNCTION("""COMPUTED_VALUE"""),"No")</f>
        <v>No</v>
      </c>
      <c r="W699" s="5" t="str">
        <f>IFERROR(__xludf.DUMMYFUNCTION("""COMPUTED_VALUE"""),"No")</f>
        <v>No</v>
      </c>
      <c r="X699" s="5" t="str">
        <f>IFERROR(__xludf.DUMMYFUNCTION("""COMPUTED_VALUE"""),"No")</f>
        <v>No</v>
      </c>
      <c r="Y699" s="5" t="str">
        <f>IFERROR(__xludf.DUMMYFUNCTION("""COMPUTED_VALUE"""),"No")</f>
        <v>No</v>
      </c>
      <c r="Z699" s="5" t="str">
        <f>IFERROR(__xludf.DUMMYFUNCTION("""COMPUTED_VALUE"""),"No")</f>
        <v>No</v>
      </c>
      <c r="AA699" s="5" t="str">
        <f>IFERROR(__xludf.DUMMYFUNCTION("""COMPUTED_VALUE"""),"Yes")</f>
        <v>Yes</v>
      </c>
      <c r="AB699" s="5" t="str">
        <f>IFERROR(__xludf.DUMMYFUNCTION("""COMPUTED_VALUE"""),"No")</f>
        <v>No</v>
      </c>
      <c r="AC699" s="5" t="str">
        <f>IFERROR(__xludf.DUMMYFUNCTION("""COMPUTED_VALUE"""),"No")</f>
        <v>No</v>
      </c>
      <c r="AD699" s="5" t="str">
        <f>IFERROR(__xludf.DUMMYFUNCTION("""COMPUTED_VALUE"""),"No")</f>
        <v>No</v>
      </c>
      <c r="AE699" s="5" t="str">
        <f>IFERROR(__xludf.DUMMYFUNCTION("""COMPUTED_VALUE"""),"No")</f>
        <v>No</v>
      </c>
      <c r="AF699" s="5" t="str">
        <f>IFERROR(__xludf.DUMMYFUNCTION("""COMPUTED_VALUE"""),"Yes")</f>
        <v>Yes</v>
      </c>
      <c r="AG699" s="5" t="str">
        <f>IFERROR(__xludf.DUMMYFUNCTION("""COMPUTED_VALUE"""),"No")</f>
        <v>No</v>
      </c>
      <c r="AH699" s="5" t="str">
        <f>IFERROR(__xludf.DUMMYFUNCTION("""COMPUTED_VALUE"""),"Yes")</f>
        <v>Yes</v>
      </c>
      <c r="AI699" s="5" t="str">
        <f>IFERROR(__xludf.DUMMYFUNCTION("""COMPUTED_VALUE"""),"No")</f>
        <v>No</v>
      </c>
      <c r="AJ699" s="5" t="str">
        <f>IFERROR(__xludf.DUMMYFUNCTION("""COMPUTED_VALUE"""),"No")</f>
        <v>No</v>
      </c>
      <c r="AK699" s="5" t="str">
        <f>IFERROR(__xludf.DUMMYFUNCTION("""COMPUTED_VALUE"""),"No")</f>
        <v>No</v>
      </c>
      <c r="AL699" s="5" t="str">
        <f>IFERROR(__xludf.DUMMYFUNCTION("""COMPUTED_VALUE"""),"No")</f>
        <v>No</v>
      </c>
      <c r="AM699" s="5"/>
      <c r="AN699" s="5"/>
      <c r="AO699" s="5"/>
      <c r="AP699" s="5"/>
      <c r="AQ699" s="5"/>
      <c r="AR699" s="5"/>
      <c r="AS699" s="5"/>
      <c r="AT699" s="5"/>
      <c r="AU699" s="5"/>
      <c r="AV699" s="5"/>
      <c r="AW699" s="5"/>
      <c r="AX699" s="5"/>
      <c r="AY699" s="5"/>
    </row>
    <row r="700">
      <c r="A700"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0" s="5">
        <f>IFERROR(__xludf.DUMMYFUNCTION("""COMPUTED_VALUE"""),735.0)</f>
        <v>735</v>
      </c>
      <c r="C700" s="5">
        <f>IFERROR(__xludf.DUMMYFUNCTION("""COMPUTED_VALUE"""),180073.0)</f>
        <v>180073</v>
      </c>
      <c r="D700" s="5" t="str">
        <f>IFERROR(__xludf.DUMMYFUNCTION("""COMPUTED_VALUE"""),"RedstoneCosmicFruits")</f>
        <v>RedstoneCosmicFruits</v>
      </c>
      <c r="E700" s="5" t="str">
        <f>IFERROR(__xludf.DUMMYFUNCTION("""COMPUTED_VALUE"""),"Yes")</f>
        <v>Yes</v>
      </c>
      <c r="F700" s="5" t="str">
        <f>IFERROR(__xludf.DUMMYFUNCTION("""COMPUTED_VALUE"""),"Yes")</f>
        <v>Yes</v>
      </c>
      <c r="G700" s="5" t="str">
        <f>IFERROR(__xludf.DUMMYFUNCTION("""COMPUTED_VALUE"""),"No")</f>
        <v>No</v>
      </c>
      <c r="H700" s="5" t="str">
        <f>IFERROR(__xludf.DUMMYFUNCTION("""COMPUTED_VALUE"""),"Yes")</f>
        <v>Yes</v>
      </c>
      <c r="I700" s="5" t="str">
        <f>IFERROR(__xludf.DUMMYFUNCTION("""COMPUTED_VALUE"""),"Yes")</f>
        <v>Yes</v>
      </c>
      <c r="J700" s="5" t="str">
        <f>IFERROR(__xludf.DUMMYFUNCTION("""COMPUTED_VALUE"""),"Yes")</f>
        <v>Yes</v>
      </c>
      <c r="K700" s="5" t="str">
        <f>IFERROR(__xludf.DUMMYFUNCTION("""COMPUTED_VALUE"""),"Yes")</f>
        <v>Yes</v>
      </c>
      <c r="L700" s="5" t="str">
        <f>IFERROR(__xludf.DUMMYFUNCTION("""COMPUTED_VALUE"""),"Yes")</f>
        <v>Yes</v>
      </c>
      <c r="M700" s="5" t="str">
        <f>IFERROR(__xludf.DUMMYFUNCTION("""COMPUTED_VALUE"""),"Yes")</f>
        <v>Yes</v>
      </c>
      <c r="N700" s="5" t="str">
        <f>IFERROR(__xludf.DUMMYFUNCTION("""COMPUTED_VALUE"""),"Yes")</f>
        <v>Yes</v>
      </c>
      <c r="O700" s="5" t="str">
        <f>IFERROR(__xludf.DUMMYFUNCTION("""COMPUTED_VALUE"""),"Yes")</f>
        <v>Yes</v>
      </c>
      <c r="P700" s="5" t="str">
        <f>IFERROR(__xludf.DUMMYFUNCTION("""COMPUTED_VALUE"""),"Yes")</f>
        <v>Yes</v>
      </c>
      <c r="Q700" s="5" t="str">
        <f>IFERROR(__xludf.DUMMYFUNCTION("""COMPUTED_VALUE"""),"Yes")</f>
        <v>Yes</v>
      </c>
      <c r="R700" s="5" t="str">
        <f>IFERROR(__xludf.DUMMYFUNCTION("""COMPUTED_VALUE"""),"Yes")</f>
        <v>Yes</v>
      </c>
      <c r="S700" s="5" t="str">
        <f>IFERROR(__xludf.DUMMYFUNCTION("""COMPUTED_VALUE"""),"Yes")</f>
        <v>Yes</v>
      </c>
      <c r="T700" s="5" t="str">
        <f>IFERROR(__xludf.DUMMYFUNCTION("""COMPUTED_VALUE"""),"No")</f>
        <v>No</v>
      </c>
      <c r="U700" s="5" t="str">
        <f>IFERROR(__xludf.DUMMYFUNCTION("""COMPUTED_VALUE"""),"No")</f>
        <v>No</v>
      </c>
      <c r="V700" s="5" t="str">
        <f>IFERROR(__xludf.DUMMYFUNCTION("""COMPUTED_VALUE"""),"No")</f>
        <v>No</v>
      </c>
      <c r="W700" s="5" t="str">
        <f>IFERROR(__xludf.DUMMYFUNCTION("""COMPUTED_VALUE"""),"No")</f>
        <v>No</v>
      </c>
      <c r="X700" s="5" t="str">
        <f>IFERROR(__xludf.DUMMYFUNCTION("""COMPUTED_VALUE"""),"No")</f>
        <v>No</v>
      </c>
      <c r="Y700" s="5" t="str">
        <f>IFERROR(__xludf.DUMMYFUNCTION("""COMPUTED_VALUE"""),"No")</f>
        <v>No</v>
      </c>
      <c r="Z700" s="5" t="str">
        <f>IFERROR(__xludf.DUMMYFUNCTION("""COMPUTED_VALUE"""),"No")</f>
        <v>No</v>
      </c>
      <c r="AA700" s="5" t="str">
        <f>IFERROR(__xludf.DUMMYFUNCTION("""COMPUTED_VALUE"""),"Yes")</f>
        <v>Yes</v>
      </c>
      <c r="AB700" s="5" t="str">
        <f>IFERROR(__xludf.DUMMYFUNCTION("""COMPUTED_VALUE"""),"No")</f>
        <v>No</v>
      </c>
      <c r="AC700" s="5" t="str">
        <f>IFERROR(__xludf.DUMMYFUNCTION("""COMPUTED_VALUE"""),"No")</f>
        <v>No</v>
      </c>
      <c r="AD700" s="5" t="str">
        <f>IFERROR(__xludf.DUMMYFUNCTION("""COMPUTED_VALUE"""),"No")</f>
        <v>No</v>
      </c>
      <c r="AE700" s="5" t="str">
        <f>IFERROR(__xludf.DUMMYFUNCTION("""COMPUTED_VALUE"""),"No")</f>
        <v>No</v>
      </c>
      <c r="AF700" s="5" t="str">
        <f>IFERROR(__xludf.DUMMYFUNCTION("""COMPUTED_VALUE"""),"Yes")</f>
        <v>Yes</v>
      </c>
      <c r="AG700" s="5" t="str">
        <f>IFERROR(__xludf.DUMMYFUNCTION("""COMPUTED_VALUE"""),"No")</f>
        <v>No</v>
      </c>
      <c r="AH700" s="5" t="str">
        <f>IFERROR(__xludf.DUMMYFUNCTION("""COMPUTED_VALUE"""),"Yes")</f>
        <v>Yes</v>
      </c>
      <c r="AI700" s="5" t="str">
        <f>IFERROR(__xludf.DUMMYFUNCTION("""COMPUTED_VALUE"""),"No")</f>
        <v>No</v>
      </c>
      <c r="AJ700" s="5" t="str">
        <f>IFERROR(__xludf.DUMMYFUNCTION("""COMPUTED_VALUE"""),"No")</f>
        <v>No</v>
      </c>
      <c r="AK700" s="5" t="str">
        <f>IFERROR(__xludf.DUMMYFUNCTION("""COMPUTED_VALUE"""),"No")</f>
        <v>No</v>
      </c>
      <c r="AL700" s="5" t="str">
        <f>IFERROR(__xludf.DUMMYFUNCTION("""COMPUTED_VALUE"""),"No")</f>
        <v>No</v>
      </c>
      <c r="AM700" s="5"/>
      <c r="AN700" s="5"/>
      <c r="AO700" s="5"/>
      <c r="AP700" s="5"/>
      <c r="AQ700" s="5"/>
      <c r="AR700" s="5"/>
      <c r="AS700" s="5"/>
      <c r="AT700" s="5"/>
      <c r="AU700" s="5"/>
      <c r="AV700" s="5"/>
      <c r="AW700" s="5"/>
      <c r="AX700" s="5"/>
      <c r="AY700" s="5"/>
    </row>
    <row r="701">
      <c r="A701"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1" s="5">
        <f>IFERROR(__xludf.DUMMYFUNCTION("""COMPUTED_VALUE"""),736.0)</f>
        <v>736</v>
      </c>
      <c r="C701" s="5">
        <f>IFERROR(__xludf.DUMMYFUNCTION("""COMPUTED_VALUE"""),180074.0)</f>
        <v>180074</v>
      </c>
      <c r="D701" s="5" t="str">
        <f>IFERROR(__xludf.DUMMYFUNCTION("""COMPUTED_VALUE"""),"RedstoneXWildHeart")</f>
        <v>RedstoneXWildHeart</v>
      </c>
      <c r="E701" s="5" t="str">
        <f>IFERROR(__xludf.DUMMYFUNCTION("""COMPUTED_VALUE"""),"Yes")</f>
        <v>Yes</v>
      </c>
      <c r="F701" s="5" t="str">
        <f>IFERROR(__xludf.DUMMYFUNCTION("""COMPUTED_VALUE"""),"Yes")</f>
        <v>Yes</v>
      </c>
      <c r="G701" s="5" t="str">
        <f>IFERROR(__xludf.DUMMYFUNCTION("""COMPUTED_VALUE"""),"No")</f>
        <v>No</v>
      </c>
      <c r="H701" s="5" t="str">
        <f>IFERROR(__xludf.DUMMYFUNCTION("""COMPUTED_VALUE"""),"Yes")</f>
        <v>Yes</v>
      </c>
      <c r="I701" s="5" t="str">
        <f>IFERROR(__xludf.DUMMYFUNCTION("""COMPUTED_VALUE"""),"Yes")</f>
        <v>Yes</v>
      </c>
      <c r="J701" s="5" t="str">
        <f>IFERROR(__xludf.DUMMYFUNCTION("""COMPUTED_VALUE"""),"Yes")</f>
        <v>Yes</v>
      </c>
      <c r="K701" s="5" t="str">
        <f>IFERROR(__xludf.DUMMYFUNCTION("""COMPUTED_VALUE"""),"Yes")</f>
        <v>Yes</v>
      </c>
      <c r="L701" s="5" t="str">
        <f>IFERROR(__xludf.DUMMYFUNCTION("""COMPUTED_VALUE"""),"Yes")</f>
        <v>Yes</v>
      </c>
      <c r="M701" s="5" t="str">
        <f>IFERROR(__xludf.DUMMYFUNCTION("""COMPUTED_VALUE"""),"Yes")</f>
        <v>Yes</v>
      </c>
      <c r="N701" s="5" t="str">
        <f>IFERROR(__xludf.DUMMYFUNCTION("""COMPUTED_VALUE"""),"Yes")</f>
        <v>Yes</v>
      </c>
      <c r="O701" s="5" t="str">
        <f>IFERROR(__xludf.DUMMYFUNCTION("""COMPUTED_VALUE"""),"Yes")</f>
        <v>Yes</v>
      </c>
      <c r="P701" s="5" t="str">
        <f>IFERROR(__xludf.DUMMYFUNCTION("""COMPUTED_VALUE"""),"Yes")</f>
        <v>Yes</v>
      </c>
      <c r="Q701" s="5" t="str">
        <f>IFERROR(__xludf.DUMMYFUNCTION("""COMPUTED_VALUE"""),"Yes")</f>
        <v>Yes</v>
      </c>
      <c r="R701" s="5" t="str">
        <f>IFERROR(__xludf.DUMMYFUNCTION("""COMPUTED_VALUE"""),"Yes")</f>
        <v>Yes</v>
      </c>
      <c r="S701" s="5" t="str">
        <f>IFERROR(__xludf.DUMMYFUNCTION("""COMPUTED_VALUE"""),"Yes")</f>
        <v>Yes</v>
      </c>
      <c r="T701" s="5" t="str">
        <f>IFERROR(__xludf.DUMMYFUNCTION("""COMPUTED_VALUE"""),"No")</f>
        <v>No</v>
      </c>
      <c r="U701" s="5" t="str">
        <f>IFERROR(__xludf.DUMMYFUNCTION("""COMPUTED_VALUE"""),"No")</f>
        <v>No</v>
      </c>
      <c r="V701" s="5" t="str">
        <f>IFERROR(__xludf.DUMMYFUNCTION("""COMPUTED_VALUE"""),"No")</f>
        <v>No</v>
      </c>
      <c r="W701" s="5" t="str">
        <f>IFERROR(__xludf.DUMMYFUNCTION("""COMPUTED_VALUE"""),"No")</f>
        <v>No</v>
      </c>
      <c r="X701" s="5" t="str">
        <f>IFERROR(__xludf.DUMMYFUNCTION("""COMPUTED_VALUE"""),"No")</f>
        <v>No</v>
      </c>
      <c r="Y701" s="5" t="str">
        <f>IFERROR(__xludf.DUMMYFUNCTION("""COMPUTED_VALUE"""),"No")</f>
        <v>No</v>
      </c>
      <c r="Z701" s="5" t="str">
        <f>IFERROR(__xludf.DUMMYFUNCTION("""COMPUTED_VALUE"""),"No")</f>
        <v>No</v>
      </c>
      <c r="AA701" s="5" t="str">
        <f>IFERROR(__xludf.DUMMYFUNCTION("""COMPUTED_VALUE"""),"Yes")</f>
        <v>Yes</v>
      </c>
      <c r="AB701" s="5" t="str">
        <f>IFERROR(__xludf.DUMMYFUNCTION("""COMPUTED_VALUE"""),"No")</f>
        <v>No</v>
      </c>
      <c r="AC701" s="5" t="str">
        <f>IFERROR(__xludf.DUMMYFUNCTION("""COMPUTED_VALUE"""),"No")</f>
        <v>No</v>
      </c>
      <c r="AD701" s="5" t="str">
        <f>IFERROR(__xludf.DUMMYFUNCTION("""COMPUTED_VALUE"""),"No")</f>
        <v>No</v>
      </c>
      <c r="AE701" s="5" t="str">
        <f>IFERROR(__xludf.DUMMYFUNCTION("""COMPUTED_VALUE"""),"No")</f>
        <v>No</v>
      </c>
      <c r="AF701" s="5" t="str">
        <f>IFERROR(__xludf.DUMMYFUNCTION("""COMPUTED_VALUE"""),"Yes")</f>
        <v>Yes</v>
      </c>
      <c r="AG701" s="5" t="str">
        <f>IFERROR(__xludf.DUMMYFUNCTION("""COMPUTED_VALUE"""),"No")</f>
        <v>No</v>
      </c>
      <c r="AH701" s="5" t="str">
        <f>IFERROR(__xludf.DUMMYFUNCTION("""COMPUTED_VALUE"""),"Yes")</f>
        <v>Yes</v>
      </c>
      <c r="AI701" s="5" t="str">
        <f>IFERROR(__xludf.DUMMYFUNCTION("""COMPUTED_VALUE"""),"No")</f>
        <v>No</v>
      </c>
      <c r="AJ701" s="5" t="str">
        <f>IFERROR(__xludf.DUMMYFUNCTION("""COMPUTED_VALUE"""),"No")</f>
        <v>No</v>
      </c>
      <c r="AK701" s="5" t="str">
        <f>IFERROR(__xludf.DUMMYFUNCTION("""COMPUTED_VALUE"""),"No")</f>
        <v>No</v>
      </c>
      <c r="AL701" s="5" t="str">
        <f>IFERROR(__xludf.DUMMYFUNCTION("""COMPUTED_VALUE"""),"No")</f>
        <v>No</v>
      </c>
      <c r="AM701" s="5"/>
      <c r="AN701" s="5"/>
      <c r="AO701" s="5"/>
      <c r="AP701" s="5"/>
      <c r="AQ701" s="5"/>
      <c r="AR701" s="5"/>
      <c r="AS701" s="5"/>
      <c r="AT701" s="5"/>
      <c r="AU701" s="5"/>
      <c r="AV701" s="5"/>
      <c r="AW701" s="5"/>
      <c r="AX701" s="5"/>
      <c r="AY701" s="5"/>
    </row>
    <row r="702">
      <c r="A702"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2" s="5">
        <f>IFERROR(__xludf.DUMMYFUNCTION("""COMPUTED_VALUE"""),737.0)</f>
        <v>737</v>
      </c>
      <c r="C702" s="5">
        <f>IFERROR(__xludf.DUMMYFUNCTION("""COMPUTED_VALUE"""),180075.0)</f>
        <v>180075</v>
      </c>
      <c r="D702" s="5" t="str">
        <f>IFERROR(__xludf.DUMMYFUNCTION("""COMPUTED_VALUE"""),"Redstone5CrownDeluxe")</f>
        <v>Redstone5CrownDeluxe</v>
      </c>
      <c r="E702" s="5" t="str">
        <f>IFERROR(__xludf.DUMMYFUNCTION("""COMPUTED_VALUE"""),"Yes")</f>
        <v>Yes</v>
      </c>
      <c r="F702" s="5" t="str">
        <f>IFERROR(__xludf.DUMMYFUNCTION("""COMPUTED_VALUE"""),"Yes")</f>
        <v>Yes</v>
      </c>
      <c r="G702" s="5" t="str">
        <f>IFERROR(__xludf.DUMMYFUNCTION("""COMPUTED_VALUE"""),"No")</f>
        <v>No</v>
      </c>
      <c r="H702" s="5" t="str">
        <f>IFERROR(__xludf.DUMMYFUNCTION("""COMPUTED_VALUE"""),"Yes")</f>
        <v>Yes</v>
      </c>
      <c r="I702" s="5" t="str">
        <f>IFERROR(__xludf.DUMMYFUNCTION("""COMPUTED_VALUE"""),"Yes")</f>
        <v>Yes</v>
      </c>
      <c r="J702" s="5" t="str">
        <f>IFERROR(__xludf.DUMMYFUNCTION("""COMPUTED_VALUE"""),"Yes")</f>
        <v>Yes</v>
      </c>
      <c r="K702" s="5" t="str">
        <f>IFERROR(__xludf.DUMMYFUNCTION("""COMPUTED_VALUE"""),"Yes")</f>
        <v>Yes</v>
      </c>
      <c r="L702" s="5" t="str">
        <f>IFERROR(__xludf.DUMMYFUNCTION("""COMPUTED_VALUE"""),"Yes")</f>
        <v>Yes</v>
      </c>
      <c r="M702" s="5" t="str">
        <f>IFERROR(__xludf.DUMMYFUNCTION("""COMPUTED_VALUE"""),"Yes")</f>
        <v>Yes</v>
      </c>
      <c r="N702" s="5" t="str">
        <f>IFERROR(__xludf.DUMMYFUNCTION("""COMPUTED_VALUE"""),"Yes")</f>
        <v>Yes</v>
      </c>
      <c r="O702" s="5" t="str">
        <f>IFERROR(__xludf.DUMMYFUNCTION("""COMPUTED_VALUE"""),"Yes")</f>
        <v>Yes</v>
      </c>
      <c r="P702" s="5" t="str">
        <f>IFERROR(__xludf.DUMMYFUNCTION("""COMPUTED_VALUE"""),"Yes")</f>
        <v>Yes</v>
      </c>
      <c r="Q702" s="5" t="str">
        <f>IFERROR(__xludf.DUMMYFUNCTION("""COMPUTED_VALUE"""),"Yes")</f>
        <v>Yes</v>
      </c>
      <c r="R702" s="5" t="str">
        <f>IFERROR(__xludf.DUMMYFUNCTION("""COMPUTED_VALUE"""),"Yes")</f>
        <v>Yes</v>
      </c>
      <c r="S702" s="5" t="str">
        <f>IFERROR(__xludf.DUMMYFUNCTION("""COMPUTED_VALUE"""),"Yes")</f>
        <v>Yes</v>
      </c>
      <c r="T702" s="5" t="str">
        <f>IFERROR(__xludf.DUMMYFUNCTION("""COMPUTED_VALUE"""),"No")</f>
        <v>No</v>
      </c>
      <c r="U702" s="5" t="str">
        <f>IFERROR(__xludf.DUMMYFUNCTION("""COMPUTED_VALUE"""),"No")</f>
        <v>No</v>
      </c>
      <c r="V702" s="5" t="str">
        <f>IFERROR(__xludf.DUMMYFUNCTION("""COMPUTED_VALUE"""),"No")</f>
        <v>No</v>
      </c>
      <c r="W702" s="5" t="str">
        <f>IFERROR(__xludf.DUMMYFUNCTION("""COMPUTED_VALUE"""),"No")</f>
        <v>No</v>
      </c>
      <c r="X702" s="5" t="str">
        <f>IFERROR(__xludf.DUMMYFUNCTION("""COMPUTED_VALUE"""),"No")</f>
        <v>No</v>
      </c>
      <c r="Y702" s="5" t="str">
        <f>IFERROR(__xludf.DUMMYFUNCTION("""COMPUTED_VALUE"""),"No")</f>
        <v>No</v>
      </c>
      <c r="Z702" s="5" t="str">
        <f>IFERROR(__xludf.DUMMYFUNCTION("""COMPUTED_VALUE"""),"No")</f>
        <v>No</v>
      </c>
      <c r="AA702" s="5" t="str">
        <f>IFERROR(__xludf.DUMMYFUNCTION("""COMPUTED_VALUE"""),"Yes")</f>
        <v>Yes</v>
      </c>
      <c r="AB702" s="5" t="str">
        <f>IFERROR(__xludf.DUMMYFUNCTION("""COMPUTED_VALUE"""),"No")</f>
        <v>No</v>
      </c>
      <c r="AC702" s="5" t="str">
        <f>IFERROR(__xludf.DUMMYFUNCTION("""COMPUTED_VALUE"""),"No")</f>
        <v>No</v>
      </c>
      <c r="AD702" s="5" t="str">
        <f>IFERROR(__xludf.DUMMYFUNCTION("""COMPUTED_VALUE"""),"No")</f>
        <v>No</v>
      </c>
      <c r="AE702" s="5" t="str">
        <f>IFERROR(__xludf.DUMMYFUNCTION("""COMPUTED_VALUE"""),"No")</f>
        <v>No</v>
      </c>
      <c r="AF702" s="5" t="str">
        <f>IFERROR(__xludf.DUMMYFUNCTION("""COMPUTED_VALUE"""),"Yes")</f>
        <v>Yes</v>
      </c>
      <c r="AG702" s="5" t="str">
        <f>IFERROR(__xludf.DUMMYFUNCTION("""COMPUTED_VALUE"""),"No")</f>
        <v>No</v>
      </c>
      <c r="AH702" s="5" t="str">
        <f>IFERROR(__xludf.DUMMYFUNCTION("""COMPUTED_VALUE"""),"Yes")</f>
        <v>Yes</v>
      </c>
      <c r="AI702" s="5" t="str">
        <f>IFERROR(__xludf.DUMMYFUNCTION("""COMPUTED_VALUE"""),"No")</f>
        <v>No</v>
      </c>
      <c r="AJ702" s="5" t="str">
        <f>IFERROR(__xludf.DUMMYFUNCTION("""COMPUTED_VALUE"""),"No")</f>
        <v>No</v>
      </c>
      <c r="AK702" s="5" t="str">
        <f>IFERROR(__xludf.DUMMYFUNCTION("""COMPUTED_VALUE"""),"No")</f>
        <v>No</v>
      </c>
      <c r="AL702" s="5" t="str">
        <f>IFERROR(__xludf.DUMMYFUNCTION("""COMPUTED_VALUE"""),"No")</f>
        <v>No</v>
      </c>
      <c r="AM702" s="5"/>
      <c r="AN702" s="5"/>
      <c r="AO702" s="5"/>
      <c r="AP702" s="5"/>
      <c r="AQ702" s="5"/>
      <c r="AR702" s="5"/>
      <c r="AS702" s="5"/>
      <c r="AT702" s="5"/>
      <c r="AU702" s="5"/>
      <c r="AV702" s="5"/>
      <c r="AW702" s="5"/>
      <c r="AX702" s="5"/>
      <c r="AY702" s="5"/>
    </row>
    <row r="703">
      <c r="A703" s="5" t="str">
        <f>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3" s="5">
        <f>IFERROR(__xludf.DUMMYFUNCTION("""COMPUTED_VALUE"""),738.0)</f>
        <v>738</v>
      </c>
      <c r="C703" s="5">
        <f>IFERROR(__xludf.DUMMYFUNCTION("""COMPUTED_VALUE"""),180076.0)</f>
        <v>180076</v>
      </c>
      <c r="D703" s="5" t="str">
        <f>IFERROR(__xludf.DUMMYFUNCTION("""COMPUTED_VALUE"""),"RedstoneCrownDeluxe2X")</f>
        <v>RedstoneCrownDeluxe2X</v>
      </c>
      <c r="E703" s="5" t="str">
        <f>IFERROR(__xludf.DUMMYFUNCTION("""COMPUTED_VALUE"""),"Yes")</f>
        <v>Yes</v>
      </c>
      <c r="F703" s="5" t="str">
        <f>IFERROR(__xludf.DUMMYFUNCTION("""COMPUTED_VALUE"""),"Yes")</f>
        <v>Yes</v>
      </c>
      <c r="G703" s="5" t="str">
        <f>IFERROR(__xludf.DUMMYFUNCTION("""COMPUTED_VALUE"""),"No")</f>
        <v>No</v>
      </c>
      <c r="H703" s="5" t="str">
        <f>IFERROR(__xludf.DUMMYFUNCTION("""COMPUTED_VALUE"""),"Yes")</f>
        <v>Yes</v>
      </c>
      <c r="I703" s="5" t="str">
        <f>IFERROR(__xludf.DUMMYFUNCTION("""COMPUTED_VALUE"""),"Yes")</f>
        <v>Yes</v>
      </c>
      <c r="J703" s="5" t="str">
        <f>IFERROR(__xludf.DUMMYFUNCTION("""COMPUTED_VALUE"""),"Yes")</f>
        <v>Yes</v>
      </c>
      <c r="K703" s="5" t="str">
        <f>IFERROR(__xludf.DUMMYFUNCTION("""COMPUTED_VALUE"""),"Yes")</f>
        <v>Yes</v>
      </c>
      <c r="L703" s="5" t="str">
        <f>IFERROR(__xludf.DUMMYFUNCTION("""COMPUTED_VALUE"""),"Yes")</f>
        <v>Yes</v>
      </c>
      <c r="M703" s="5" t="str">
        <f>IFERROR(__xludf.DUMMYFUNCTION("""COMPUTED_VALUE"""),"Yes")</f>
        <v>Yes</v>
      </c>
      <c r="N703" s="5" t="str">
        <f>IFERROR(__xludf.DUMMYFUNCTION("""COMPUTED_VALUE"""),"Yes")</f>
        <v>Yes</v>
      </c>
      <c r="O703" s="5" t="str">
        <f>IFERROR(__xludf.DUMMYFUNCTION("""COMPUTED_VALUE"""),"Yes")</f>
        <v>Yes</v>
      </c>
      <c r="P703" s="5" t="str">
        <f>IFERROR(__xludf.DUMMYFUNCTION("""COMPUTED_VALUE"""),"Yes")</f>
        <v>Yes</v>
      </c>
      <c r="Q703" s="5" t="str">
        <f>IFERROR(__xludf.DUMMYFUNCTION("""COMPUTED_VALUE"""),"Yes")</f>
        <v>Yes</v>
      </c>
      <c r="R703" s="5" t="str">
        <f>IFERROR(__xludf.DUMMYFUNCTION("""COMPUTED_VALUE"""),"Yes")</f>
        <v>Yes</v>
      </c>
      <c r="S703" s="5" t="str">
        <f>IFERROR(__xludf.DUMMYFUNCTION("""COMPUTED_VALUE"""),"Yes")</f>
        <v>Yes</v>
      </c>
      <c r="T703" s="5" t="str">
        <f>IFERROR(__xludf.DUMMYFUNCTION("""COMPUTED_VALUE"""),"No")</f>
        <v>No</v>
      </c>
      <c r="U703" s="5" t="str">
        <f>IFERROR(__xludf.DUMMYFUNCTION("""COMPUTED_VALUE"""),"No")</f>
        <v>No</v>
      </c>
      <c r="V703" s="5" t="str">
        <f>IFERROR(__xludf.DUMMYFUNCTION("""COMPUTED_VALUE"""),"No")</f>
        <v>No</v>
      </c>
      <c r="W703" s="5" t="str">
        <f>IFERROR(__xludf.DUMMYFUNCTION("""COMPUTED_VALUE"""),"No")</f>
        <v>No</v>
      </c>
      <c r="X703" s="5" t="str">
        <f>IFERROR(__xludf.DUMMYFUNCTION("""COMPUTED_VALUE"""),"No")</f>
        <v>No</v>
      </c>
      <c r="Y703" s="5" t="str">
        <f>IFERROR(__xludf.DUMMYFUNCTION("""COMPUTED_VALUE"""),"No")</f>
        <v>No</v>
      </c>
      <c r="Z703" s="5" t="str">
        <f>IFERROR(__xludf.DUMMYFUNCTION("""COMPUTED_VALUE"""),"No")</f>
        <v>No</v>
      </c>
      <c r="AA703" s="5" t="str">
        <f>IFERROR(__xludf.DUMMYFUNCTION("""COMPUTED_VALUE"""),"Yes")</f>
        <v>Yes</v>
      </c>
      <c r="AB703" s="5" t="str">
        <f>IFERROR(__xludf.DUMMYFUNCTION("""COMPUTED_VALUE"""),"No")</f>
        <v>No</v>
      </c>
      <c r="AC703" s="5" t="str">
        <f>IFERROR(__xludf.DUMMYFUNCTION("""COMPUTED_VALUE"""),"No")</f>
        <v>No</v>
      </c>
      <c r="AD703" s="5" t="str">
        <f>IFERROR(__xludf.DUMMYFUNCTION("""COMPUTED_VALUE"""),"No")</f>
        <v>No</v>
      </c>
      <c r="AE703" s="5" t="str">
        <f>IFERROR(__xludf.DUMMYFUNCTION("""COMPUTED_VALUE"""),"No")</f>
        <v>No</v>
      </c>
      <c r="AF703" s="5" t="str">
        <f>IFERROR(__xludf.DUMMYFUNCTION("""COMPUTED_VALUE"""),"Yes")</f>
        <v>Yes</v>
      </c>
      <c r="AG703" s="5" t="str">
        <f>IFERROR(__xludf.DUMMYFUNCTION("""COMPUTED_VALUE"""),"No")</f>
        <v>No</v>
      </c>
      <c r="AH703" s="5" t="str">
        <f>IFERROR(__xludf.DUMMYFUNCTION("""COMPUTED_VALUE"""),"Yes")</f>
        <v>Yes</v>
      </c>
      <c r="AI703" s="5" t="str">
        <f>IFERROR(__xludf.DUMMYFUNCTION("""COMPUTED_VALUE"""),"No")</f>
        <v>No</v>
      </c>
      <c r="AJ703" s="5" t="str">
        <f>IFERROR(__xludf.DUMMYFUNCTION("""COMPUTED_VALUE"""),"No")</f>
        <v>No</v>
      </c>
      <c r="AK703" s="5" t="str">
        <f>IFERROR(__xludf.DUMMYFUNCTION("""COMPUTED_VALUE"""),"No")</f>
        <v>No</v>
      </c>
      <c r="AL703" s="5" t="str">
        <f>IFERROR(__xludf.DUMMYFUNCTION("""COMPUTED_VALUE"""),"No")</f>
        <v>No</v>
      </c>
      <c r="AM703" s="5"/>
      <c r="AN703" s="5"/>
      <c r="AO703" s="5"/>
      <c r="AP703" s="5"/>
      <c r="AQ703" s="5"/>
      <c r="AR703" s="5"/>
      <c r="AS703" s="5"/>
      <c r="AT703" s="5"/>
      <c r="AU703" s="5"/>
      <c r="AV703" s="5"/>
      <c r="AW703" s="5"/>
      <c r="AX703" s="5"/>
      <c r="AY703" s="5"/>
    </row>
    <row r="704">
      <c r="A704"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4" s="5">
        <f>IFERROR(__xludf.DUMMYFUNCTION("""COMPUTED_VALUE"""),739.0)</f>
        <v>739</v>
      </c>
      <c r="C704" s="5">
        <f>IFERROR(__xludf.DUMMYFUNCTION("""COMPUTED_VALUE"""),533.0)</f>
        <v>533</v>
      </c>
      <c r="D704" s="5" t="str">
        <f>IFERROR(__xludf.DUMMYFUNCTION("""COMPUTED_VALUE"""),"PlayNetRoyalFlame40")</f>
        <v>PlayNetRoyalFlame40</v>
      </c>
      <c r="E704" s="5" t="str">
        <f>IFERROR(__xludf.DUMMYFUNCTION("""COMPUTED_VALUE"""),"Yes")</f>
        <v>Yes</v>
      </c>
      <c r="F704" s="5" t="str">
        <f>IFERROR(__xludf.DUMMYFUNCTION("""COMPUTED_VALUE"""),"Yes")</f>
        <v>Yes</v>
      </c>
      <c r="G704" s="5" t="str">
        <f>IFERROR(__xludf.DUMMYFUNCTION("""COMPUTED_VALUE"""),"Yes")</f>
        <v>Yes</v>
      </c>
      <c r="H704" s="5" t="str">
        <f>IFERROR(__xludf.DUMMYFUNCTION("""COMPUTED_VALUE"""),"Yes")</f>
        <v>Yes</v>
      </c>
      <c r="I704" s="5" t="str">
        <f>IFERROR(__xludf.DUMMYFUNCTION("""COMPUTED_VALUE"""),"Yes")</f>
        <v>Yes</v>
      </c>
      <c r="J704" s="5" t="str">
        <f>IFERROR(__xludf.DUMMYFUNCTION("""COMPUTED_VALUE"""),"Yes")</f>
        <v>Yes</v>
      </c>
      <c r="K704" s="5" t="str">
        <f>IFERROR(__xludf.DUMMYFUNCTION("""COMPUTED_VALUE"""),"Yes")</f>
        <v>Yes</v>
      </c>
      <c r="L704" s="5" t="str">
        <f>IFERROR(__xludf.DUMMYFUNCTION("""COMPUTED_VALUE"""),"Yes")</f>
        <v>Yes</v>
      </c>
      <c r="M704" s="5" t="str">
        <f>IFERROR(__xludf.DUMMYFUNCTION("""COMPUTED_VALUE"""),"Yes")</f>
        <v>Yes</v>
      </c>
      <c r="N704" s="5" t="str">
        <f>IFERROR(__xludf.DUMMYFUNCTION("""COMPUTED_VALUE"""),"Yes")</f>
        <v>Yes</v>
      </c>
      <c r="O704" s="5" t="str">
        <f>IFERROR(__xludf.DUMMYFUNCTION("""COMPUTED_VALUE"""),"Yes")</f>
        <v>Yes</v>
      </c>
      <c r="P704" s="5" t="str">
        <f>IFERROR(__xludf.DUMMYFUNCTION("""COMPUTED_VALUE"""),"Yes")</f>
        <v>Yes</v>
      </c>
      <c r="Q704" s="5" t="str">
        <f>IFERROR(__xludf.DUMMYFUNCTION("""COMPUTED_VALUE"""),"Yes")</f>
        <v>Yes</v>
      </c>
      <c r="R704" s="5" t="str">
        <f>IFERROR(__xludf.DUMMYFUNCTION("""COMPUTED_VALUE"""),"Yes")</f>
        <v>Yes</v>
      </c>
      <c r="S704" s="5" t="str">
        <f>IFERROR(__xludf.DUMMYFUNCTION("""COMPUTED_VALUE"""),"Yes")</f>
        <v>Yes</v>
      </c>
      <c r="T704" s="5" t="str">
        <f>IFERROR(__xludf.DUMMYFUNCTION("""COMPUTED_VALUE"""),"No")</f>
        <v>No</v>
      </c>
      <c r="U704" s="5" t="str">
        <f>IFERROR(__xludf.DUMMYFUNCTION("""COMPUTED_VALUE"""),"No")</f>
        <v>No</v>
      </c>
      <c r="V704" s="5" t="str">
        <f>IFERROR(__xludf.DUMMYFUNCTION("""COMPUTED_VALUE"""),"No")</f>
        <v>No</v>
      </c>
      <c r="W704" s="5" t="str">
        <f>IFERROR(__xludf.DUMMYFUNCTION("""COMPUTED_VALUE"""),"No")</f>
        <v>No</v>
      </c>
      <c r="X704" s="5" t="str">
        <f>IFERROR(__xludf.DUMMYFUNCTION("""COMPUTED_VALUE"""),"No")</f>
        <v>No</v>
      </c>
      <c r="Y704" s="5" t="str">
        <f>IFERROR(__xludf.DUMMYFUNCTION("""COMPUTED_VALUE"""),"No")</f>
        <v>No</v>
      </c>
      <c r="Z704" s="5" t="str">
        <f>IFERROR(__xludf.DUMMYFUNCTION("""COMPUTED_VALUE"""),"No")</f>
        <v>No</v>
      </c>
      <c r="AA704" s="5" t="str">
        <f>IFERROR(__xludf.DUMMYFUNCTION("""COMPUTED_VALUE"""),"No")</f>
        <v>No</v>
      </c>
      <c r="AB704" s="5" t="str">
        <f>IFERROR(__xludf.DUMMYFUNCTION("""COMPUTED_VALUE"""),"No")</f>
        <v>No</v>
      </c>
      <c r="AC704" s="5" t="str">
        <f>IFERROR(__xludf.DUMMYFUNCTION("""COMPUTED_VALUE"""),"No")</f>
        <v>No</v>
      </c>
      <c r="AD704" s="5" t="str">
        <f>IFERROR(__xludf.DUMMYFUNCTION("""COMPUTED_VALUE"""),"No")</f>
        <v>No</v>
      </c>
      <c r="AE704" s="5" t="str">
        <f>IFERROR(__xludf.DUMMYFUNCTION("""COMPUTED_VALUE"""),"No")</f>
        <v>No</v>
      </c>
      <c r="AF704" s="5" t="str">
        <f>IFERROR(__xludf.DUMMYFUNCTION("""COMPUTED_VALUE"""),"Yes")</f>
        <v>Yes</v>
      </c>
      <c r="AG704" s="5" t="str">
        <f>IFERROR(__xludf.DUMMYFUNCTION("""COMPUTED_VALUE"""),"No")</f>
        <v>No</v>
      </c>
      <c r="AH704" s="5" t="str">
        <f>IFERROR(__xludf.DUMMYFUNCTION("""COMPUTED_VALUE"""),"Yes")</f>
        <v>Yes</v>
      </c>
      <c r="AI704" s="5" t="str">
        <f>IFERROR(__xludf.DUMMYFUNCTION("""COMPUTED_VALUE"""),"No")</f>
        <v>No</v>
      </c>
      <c r="AJ704" s="5" t="str">
        <f>IFERROR(__xludf.DUMMYFUNCTION("""COMPUTED_VALUE"""),"No")</f>
        <v>No</v>
      </c>
      <c r="AK704" s="5" t="str">
        <f>IFERROR(__xludf.DUMMYFUNCTION("""COMPUTED_VALUE"""),"No")</f>
        <v>No</v>
      </c>
      <c r="AL704" s="5" t="str">
        <f>IFERROR(__xludf.DUMMYFUNCTION("""COMPUTED_VALUE"""),"No")</f>
        <v>No</v>
      </c>
      <c r="AM704" s="5"/>
      <c r="AN704" s="5"/>
      <c r="AO704" s="5"/>
      <c r="AP704" s="5"/>
      <c r="AQ704" s="5"/>
      <c r="AR704" s="5"/>
      <c r="AS704" s="5"/>
      <c r="AT704" s="5"/>
      <c r="AU704" s="5"/>
      <c r="AV704" s="5"/>
      <c r="AW704" s="5"/>
      <c r="AX704" s="5"/>
      <c r="AY704" s="5"/>
    </row>
    <row r="705">
      <c r="A705"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5" s="5">
        <f>IFERROR(__xludf.DUMMYFUNCTION("""COMPUTED_VALUE"""),740.0)</f>
        <v>740</v>
      </c>
      <c r="C705" s="5">
        <f>IFERROR(__xludf.DUMMYFUNCTION("""COMPUTED_VALUE"""),534.0)</f>
        <v>534</v>
      </c>
      <c r="D705" s="5" t="str">
        <f>IFERROR(__xludf.DUMMYFUNCTION("""COMPUTED_VALUE"""),"PlayNetFruitJackPotx10000")</f>
        <v>PlayNetFruitJackPotx10000</v>
      </c>
      <c r="E705" s="5" t="str">
        <f>IFERROR(__xludf.DUMMYFUNCTION("""COMPUTED_VALUE"""),"Yes")</f>
        <v>Yes</v>
      </c>
      <c r="F705" s="5" t="str">
        <f>IFERROR(__xludf.DUMMYFUNCTION("""COMPUTED_VALUE"""),"Yes")</f>
        <v>Yes</v>
      </c>
      <c r="G705" s="5" t="str">
        <f>IFERROR(__xludf.DUMMYFUNCTION("""COMPUTED_VALUE"""),"Yes")</f>
        <v>Yes</v>
      </c>
      <c r="H705" s="5" t="str">
        <f>IFERROR(__xludf.DUMMYFUNCTION("""COMPUTED_VALUE"""),"Yes")</f>
        <v>Yes</v>
      </c>
      <c r="I705" s="5" t="str">
        <f>IFERROR(__xludf.DUMMYFUNCTION("""COMPUTED_VALUE"""),"Yes")</f>
        <v>Yes</v>
      </c>
      <c r="J705" s="5" t="str">
        <f>IFERROR(__xludf.DUMMYFUNCTION("""COMPUTED_VALUE"""),"Yes")</f>
        <v>Yes</v>
      </c>
      <c r="K705" s="5" t="str">
        <f>IFERROR(__xludf.DUMMYFUNCTION("""COMPUTED_VALUE"""),"Yes")</f>
        <v>Yes</v>
      </c>
      <c r="L705" s="5" t="str">
        <f>IFERROR(__xludf.DUMMYFUNCTION("""COMPUTED_VALUE"""),"Yes")</f>
        <v>Yes</v>
      </c>
      <c r="M705" s="5" t="str">
        <f>IFERROR(__xludf.DUMMYFUNCTION("""COMPUTED_VALUE"""),"Yes")</f>
        <v>Yes</v>
      </c>
      <c r="N705" s="5" t="str">
        <f>IFERROR(__xludf.DUMMYFUNCTION("""COMPUTED_VALUE"""),"Yes")</f>
        <v>Yes</v>
      </c>
      <c r="O705" s="5" t="str">
        <f>IFERROR(__xludf.DUMMYFUNCTION("""COMPUTED_VALUE"""),"Yes")</f>
        <v>Yes</v>
      </c>
      <c r="P705" s="5" t="str">
        <f>IFERROR(__xludf.DUMMYFUNCTION("""COMPUTED_VALUE"""),"Yes")</f>
        <v>Yes</v>
      </c>
      <c r="Q705" s="5" t="str">
        <f>IFERROR(__xludf.DUMMYFUNCTION("""COMPUTED_VALUE"""),"Yes")</f>
        <v>Yes</v>
      </c>
      <c r="R705" s="5" t="str">
        <f>IFERROR(__xludf.DUMMYFUNCTION("""COMPUTED_VALUE"""),"Yes")</f>
        <v>Yes</v>
      </c>
      <c r="S705" s="5" t="str">
        <f>IFERROR(__xludf.DUMMYFUNCTION("""COMPUTED_VALUE"""),"Yes")</f>
        <v>Yes</v>
      </c>
      <c r="T705" s="5" t="str">
        <f>IFERROR(__xludf.DUMMYFUNCTION("""COMPUTED_VALUE"""),"No")</f>
        <v>No</v>
      </c>
      <c r="U705" s="5" t="str">
        <f>IFERROR(__xludf.DUMMYFUNCTION("""COMPUTED_VALUE"""),"No")</f>
        <v>No</v>
      </c>
      <c r="V705" s="5"/>
      <c r="W705" s="5"/>
      <c r="X705" s="5"/>
      <c r="Y705" s="5"/>
      <c r="Z705" s="5"/>
      <c r="AA705" s="5"/>
      <c r="AB705" s="5"/>
      <c r="AC705" s="5"/>
      <c r="AD705" s="5"/>
      <c r="AE705" s="5"/>
      <c r="AF705" s="5" t="str">
        <f>IFERROR(__xludf.DUMMYFUNCTION("""COMPUTED_VALUE"""),"Yes")</f>
        <v>Yes</v>
      </c>
      <c r="AG705" s="5"/>
      <c r="AH705" s="5" t="str">
        <f>IFERROR(__xludf.DUMMYFUNCTION("""COMPUTED_VALUE"""),"Yes")</f>
        <v>Yes</v>
      </c>
      <c r="AI705" s="5"/>
      <c r="AJ705" s="5"/>
      <c r="AK705" s="5"/>
      <c r="AL705" s="5"/>
      <c r="AM705" s="5"/>
      <c r="AN705" s="5"/>
      <c r="AO705" s="5"/>
      <c r="AP705" s="5"/>
      <c r="AQ705" s="5"/>
      <c r="AR705" s="5"/>
      <c r="AS705" s="5"/>
      <c r="AT705" s="5"/>
      <c r="AU705" s="5"/>
      <c r="AV705" s="5"/>
      <c r="AW705" s="5"/>
      <c r="AX705" s="5"/>
      <c r="AY705" s="5"/>
    </row>
    <row r="706">
      <c r="A70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06" s="5">
        <f>IFERROR(__xludf.DUMMYFUNCTION("""COMPUTED_VALUE"""),741.0)</f>
        <v>741</v>
      </c>
      <c r="C706" s="5">
        <f>IFERROR(__xludf.DUMMYFUNCTION("""COMPUTED_VALUE"""),535.0)</f>
        <v>535</v>
      </c>
      <c r="D706" s="5" t="str">
        <f>IFERROR(__xludf.DUMMYFUNCTION("""COMPUTED_VALUE"""),"PlayNet27LuckyFruits")</f>
        <v>PlayNet27LuckyFruits</v>
      </c>
      <c r="E706" s="5" t="str">
        <f>IFERROR(__xludf.DUMMYFUNCTION("""COMPUTED_VALUE"""),"Yes")</f>
        <v>Yes</v>
      </c>
      <c r="F706" s="5" t="str">
        <f>IFERROR(__xludf.DUMMYFUNCTION("""COMPUTED_VALUE"""),"Yes")</f>
        <v>Yes</v>
      </c>
      <c r="G706" s="5" t="str">
        <f>IFERROR(__xludf.DUMMYFUNCTION("""COMPUTED_VALUE"""),"Yes")</f>
        <v>Yes</v>
      </c>
      <c r="H706" s="5" t="str">
        <f>IFERROR(__xludf.DUMMYFUNCTION("""COMPUTED_VALUE"""),"Yes")</f>
        <v>Yes</v>
      </c>
      <c r="I706" s="5" t="str">
        <f>IFERROR(__xludf.DUMMYFUNCTION("""COMPUTED_VALUE"""),"Yes")</f>
        <v>Yes</v>
      </c>
      <c r="J706" s="5" t="str">
        <f>IFERROR(__xludf.DUMMYFUNCTION("""COMPUTED_VALUE"""),"Yes")</f>
        <v>Yes</v>
      </c>
      <c r="K706" s="5" t="str">
        <f>IFERROR(__xludf.DUMMYFUNCTION("""COMPUTED_VALUE"""),"Yes")</f>
        <v>Yes</v>
      </c>
      <c r="L706" s="5" t="str">
        <f>IFERROR(__xludf.DUMMYFUNCTION("""COMPUTED_VALUE"""),"Yes")</f>
        <v>Yes</v>
      </c>
      <c r="M706" s="5" t="str">
        <f>IFERROR(__xludf.DUMMYFUNCTION("""COMPUTED_VALUE"""),"Yes")</f>
        <v>Yes</v>
      </c>
      <c r="N706" s="5" t="str">
        <f>IFERROR(__xludf.DUMMYFUNCTION("""COMPUTED_VALUE"""),"Yes")</f>
        <v>Yes</v>
      </c>
      <c r="O706" s="5" t="str">
        <f>IFERROR(__xludf.DUMMYFUNCTION("""COMPUTED_VALUE"""),"Yes")</f>
        <v>Yes</v>
      </c>
      <c r="P706" s="5" t="str">
        <f>IFERROR(__xludf.DUMMYFUNCTION("""COMPUTED_VALUE"""),"Yes")</f>
        <v>Yes</v>
      </c>
      <c r="Q706" s="5" t="str">
        <f>IFERROR(__xludf.DUMMYFUNCTION("""COMPUTED_VALUE"""),"Yes")</f>
        <v>Yes</v>
      </c>
      <c r="R706" s="5" t="str">
        <f>IFERROR(__xludf.DUMMYFUNCTION("""COMPUTED_VALUE"""),"Yes")</f>
        <v>Yes</v>
      </c>
      <c r="S706" s="5" t="str">
        <f>IFERROR(__xludf.DUMMYFUNCTION("""COMPUTED_VALUE"""),"Yes")</f>
        <v>Yes</v>
      </c>
      <c r="T706" s="5" t="str">
        <f>IFERROR(__xludf.DUMMYFUNCTION("""COMPUTED_VALUE"""),"No")</f>
        <v>No</v>
      </c>
      <c r="U706" s="5" t="str">
        <f>IFERROR(__xludf.DUMMYFUNCTION("""COMPUTED_VALUE"""),"No")</f>
        <v>No</v>
      </c>
      <c r="V706" s="5" t="str">
        <f>IFERROR(__xludf.DUMMYFUNCTION("""COMPUTED_VALUE"""),"No")</f>
        <v>No</v>
      </c>
      <c r="W706" s="5" t="str">
        <f>IFERROR(__xludf.DUMMYFUNCTION("""COMPUTED_VALUE"""),"No")</f>
        <v>No</v>
      </c>
      <c r="X706" s="5" t="str">
        <f>IFERROR(__xludf.DUMMYFUNCTION("""COMPUTED_VALUE"""),"No")</f>
        <v>No</v>
      </c>
      <c r="Y706" s="5" t="str">
        <f>IFERROR(__xludf.DUMMYFUNCTION("""COMPUTED_VALUE"""),"No")</f>
        <v>No</v>
      </c>
      <c r="Z706" s="5" t="str">
        <f>IFERROR(__xludf.DUMMYFUNCTION("""COMPUTED_VALUE"""),"No")</f>
        <v>No</v>
      </c>
      <c r="AA706" s="5" t="str">
        <f>IFERROR(__xludf.DUMMYFUNCTION("""COMPUTED_VALUE"""),"Yes")</f>
        <v>Yes</v>
      </c>
      <c r="AB706" s="5" t="str">
        <f>IFERROR(__xludf.DUMMYFUNCTION("""COMPUTED_VALUE"""),"No")</f>
        <v>No</v>
      </c>
      <c r="AC706" s="5" t="str">
        <f>IFERROR(__xludf.DUMMYFUNCTION("""COMPUTED_VALUE"""),"No")</f>
        <v>No</v>
      </c>
      <c r="AD706" s="5" t="str">
        <f>IFERROR(__xludf.DUMMYFUNCTION("""COMPUTED_VALUE"""),"No")</f>
        <v>No</v>
      </c>
      <c r="AE706" s="5" t="str">
        <f>IFERROR(__xludf.DUMMYFUNCTION("""COMPUTED_VALUE"""),"No")</f>
        <v>No</v>
      </c>
      <c r="AF706" s="5" t="str">
        <f>IFERROR(__xludf.DUMMYFUNCTION("""COMPUTED_VALUE"""),"Yes")</f>
        <v>Yes</v>
      </c>
      <c r="AG706" s="5" t="str">
        <f>IFERROR(__xludf.DUMMYFUNCTION("""COMPUTED_VALUE"""),"No")</f>
        <v>No</v>
      </c>
      <c r="AH706" s="5" t="str">
        <f>IFERROR(__xludf.DUMMYFUNCTION("""COMPUTED_VALUE"""),"Yes")</f>
        <v>Yes</v>
      </c>
      <c r="AI706" s="5" t="str">
        <f>IFERROR(__xludf.DUMMYFUNCTION("""COMPUTED_VALUE"""),"No")</f>
        <v>No</v>
      </c>
      <c r="AJ706" s="5" t="str">
        <f>IFERROR(__xludf.DUMMYFUNCTION("""COMPUTED_VALUE"""),"No")</f>
        <v>No</v>
      </c>
      <c r="AK706" s="5" t="str">
        <f>IFERROR(__xludf.DUMMYFUNCTION("""COMPUTED_VALUE"""),"No")</f>
        <v>No</v>
      </c>
      <c r="AL706" s="5" t="str">
        <f>IFERROR(__xludf.DUMMYFUNCTION("""COMPUTED_VALUE"""),"No")</f>
        <v>No</v>
      </c>
      <c r="AM706" s="5"/>
      <c r="AN706" s="5"/>
      <c r="AO706" s="5"/>
      <c r="AP706" s="5"/>
      <c r="AQ706" s="5"/>
      <c r="AR706" s="5"/>
      <c r="AS706" s="5"/>
      <c r="AT706" s="5"/>
      <c r="AU706" s="5"/>
      <c r="AV706" s="5"/>
      <c r="AW706" s="5"/>
      <c r="AX706" s="5"/>
      <c r="AY706" s="5"/>
    </row>
    <row r="707">
      <c r="A707"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7" s="5">
        <f>IFERROR(__xludf.DUMMYFUNCTION("""COMPUTED_VALUE"""),742.0)</f>
        <v>742</v>
      </c>
      <c r="C707" s="5">
        <f>IFERROR(__xludf.DUMMYFUNCTION("""COMPUTED_VALUE"""),536.0)</f>
        <v>536</v>
      </c>
      <c r="D707" s="5" t="str">
        <f>IFERROR(__xludf.DUMMYFUNCTION("""COMPUTED_VALUE"""),"PlayNetShadowHunt10")</f>
        <v>PlayNetShadowHunt10</v>
      </c>
      <c r="E707" s="5" t="str">
        <f>IFERROR(__xludf.DUMMYFUNCTION("""COMPUTED_VALUE"""),"Yes")</f>
        <v>Yes</v>
      </c>
      <c r="F707" s="5" t="str">
        <f>IFERROR(__xludf.DUMMYFUNCTION("""COMPUTED_VALUE"""),"Yes")</f>
        <v>Yes</v>
      </c>
      <c r="G707" s="5" t="str">
        <f>IFERROR(__xludf.DUMMYFUNCTION("""COMPUTED_VALUE"""),"Yes")</f>
        <v>Yes</v>
      </c>
      <c r="H707" s="5" t="str">
        <f>IFERROR(__xludf.DUMMYFUNCTION("""COMPUTED_VALUE"""),"Yes")</f>
        <v>Yes</v>
      </c>
      <c r="I707" s="5" t="str">
        <f>IFERROR(__xludf.DUMMYFUNCTION("""COMPUTED_VALUE"""),"Yes")</f>
        <v>Yes</v>
      </c>
      <c r="J707" s="5" t="str">
        <f>IFERROR(__xludf.DUMMYFUNCTION("""COMPUTED_VALUE"""),"Yes")</f>
        <v>Yes</v>
      </c>
      <c r="K707" s="5" t="str">
        <f>IFERROR(__xludf.DUMMYFUNCTION("""COMPUTED_VALUE"""),"Yes")</f>
        <v>Yes</v>
      </c>
      <c r="L707" s="5" t="str">
        <f>IFERROR(__xludf.DUMMYFUNCTION("""COMPUTED_VALUE"""),"Yes")</f>
        <v>Yes</v>
      </c>
      <c r="M707" s="5" t="str">
        <f>IFERROR(__xludf.DUMMYFUNCTION("""COMPUTED_VALUE"""),"Yes")</f>
        <v>Yes</v>
      </c>
      <c r="N707" s="5" t="str">
        <f>IFERROR(__xludf.DUMMYFUNCTION("""COMPUTED_VALUE"""),"Yes")</f>
        <v>Yes</v>
      </c>
      <c r="O707" s="5" t="str">
        <f>IFERROR(__xludf.DUMMYFUNCTION("""COMPUTED_VALUE"""),"Yes")</f>
        <v>Yes</v>
      </c>
      <c r="P707" s="5" t="str">
        <f>IFERROR(__xludf.DUMMYFUNCTION("""COMPUTED_VALUE"""),"Yes")</f>
        <v>Yes</v>
      </c>
      <c r="Q707" s="5" t="str">
        <f>IFERROR(__xludf.DUMMYFUNCTION("""COMPUTED_VALUE"""),"Yes")</f>
        <v>Yes</v>
      </c>
      <c r="R707" s="5" t="str">
        <f>IFERROR(__xludf.DUMMYFUNCTION("""COMPUTED_VALUE"""),"Yes")</f>
        <v>Yes</v>
      </c>
      <c r="S707" s="5" t="str">
        <f>IFERROR(__xludf.DUMMYFUNCTION("""COMPUTED_VALUE"""),"Yes")</f>
        <v>Yes</v>
      </c>
      <c r="T707" s="5"/>
      <c r="U707" s="5"/>
      <c r="V707" s="5"/>
      <c r="W707" s="5"/>
      <c r="X707" s="5"/>
      <c r="Y707" s="5"/>
      <c r="Z707" s="5"/>
      <c r="AA707" s="5"/>
      <c r="AB707" s="5"/>
      <c r="AC707" s="5"/>
      <c r="AD707" s="5"/>
      <c r="AE707" s="5"/>
      <c r="AF707" s="5" t="str">
        <f>IFERROR(__xludf.DUMMYFUNCTION("""COMPUTED_VALUE"""),"Yes")</f>
        <v>Yes</v>
      </c>
      <c r="AG707" s="5"/>
      <c r="AH707" s="5" t="str">
        <f>IFERROR(__xludf.DUMMYFUNCTION("""COMPUTED_VALUE"""),"Yes")</f>
        <v>Yes</v>
      </c>
      <c r="AI707" s="5"/>
      <c r="AJ707" s="5"/>
      <c r="AK707" s="5"/>
      <c r="AL707" s="5"/>
      <c r="AM707" s="5"/>
      <c r="AN707" s="5"/>
      <c r="AO707" s="5"/>
      <c r="AP707" s="5"/>
      <c r="AQ707" s="5"/>
      <c r="AR707" s="5"/>
      <c r="AS707" s="5"/>
      <c r="AT707" s="5"/>
      <c r="AU707" s="5"/>
      <c r="AV707" s="5"/>
      <c r="AW707" s="5"/>
      <c r="AX707" s="5"/>
      <c r="AY707" s="5"/>
    </row>
    <row r="708">
      <c r="A708"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8" s="5">
        <f>IFERROR(__xludf.DUMMYFUNCTION("""COMPUTED_VALUE"""),743.0)</f>
        <v>743</v>
      </c>
      <c r="C708" s="5">
        <f>IFERROR(__xludf.DUMMYFUNCTION("""COMPUTED_VALUE"""),537.0)</f>
        <v>537</v>
      </c>
      <c r="D708" s="5" t="str">
        <f>IFERROR(__xludf.DUMMYFUNCTION("""COMPUTED_VALUE"""),"PlayNetDiamondHeart20")</f>
        <v>PlayNetDiamondHeart20</v>
      </c>
      <c r="E708" s="5" t="str">
        <f>IFERROR(__xludf.DUMMYFUNCTION("""COMPUTED_VALUE"""),"Yes")</f>
        <v>Yes</v>
      </c>
      <c r="F708" s="5" t="str">
        <f>IFERROR(__xludf.DUMMYFUNCTION("""COMPUTED_VALUE"""),"Yes")</f>
        <v>Yes</v>
      </c>
      <c r="G708" s="5" t="str">
        <f>IFERROR(__xludf.DUMMYFUNCTION("""COMPUTED_VALUE"""),"Yes")</f>
        <v>Yes</v>
      </c>
      <c r="H708" s="5" t="str">
        <f>IFERROR(__xludf.DUMMYFUNCTION("""COMPUTED_VALUE"""),"Yes")</f>
        <v>Yes</v>
      </c>
      <c r="I708" s="5" t="str">
        <f>IFERROR(__xludf.DUMMYFUNCTION("""COMPUTED_VALUE"""),"Yes")</f>
        <v>Yes</v>
      </c>
      <c r="J708" s="5" t="str">
        <f>IFERROR(__xludf.DUMMYFUNCTION("""COMPUTED_VALUE"""),"Yes")</f>
        <v>Yes</v>
      </c>
      <c r="K708" s="5" t="str">
        <f>IFERROR(__xludf.DUMMYFUNCTION("""COMPUTED_VALUE"""),"Yes")</f>
        <v>Yes</v>
      </c>
      <c r="L708" s="5" t="str">
        <f>IFERROR(__xludf.DUMMYFUNCTION("""COMPUTED_VALUE"""),"Yes")</f>
        <v>Yes</v>
      </c>
      <c r="M708" s="5" t="str">
        <f>IFERROR(__xludf.DUMMYFUNCTION("""COMPUTED_VALUE"""),"Yes")</f>
        <v>Yes</v>
      </c>
      <c r="N708" s="5" t="str">
        <f>IFERROR(__xludf.DUMMYFUNCTION("""COMPUTED_VALUE"""),"Yes")</f>
        <v>Yes</v>
      </c>
      <c r="O708" s="5" t="str">
        <f>IFERROR(__xludf.DUMMYFUNCTION("""COMPUTED_VALUE"""),"Yes")</f>
        <v>Yes</v>
      </c>
      <c r="P708" s="5" t="str">
        <f>IFERROR(__xludf.DUMMYFUNCTION("""COMPUTED_VALUE"""),"Yes")</f>
        <v>Yes</v>
      </c>
      <c r="Q708" s="5" t="str">
        <f>IFERROR(__xludf.DUMMYFUNCTION("""COMPUTED_VALUE"""),"Yes")</f>
        <v>Yes</v>
      </c>
      <c r="R708" s="5" t="str">
        <f>IFERROR(__xludf.DUMMYFUNCTION("""COMPUTED_VALUE"""),"Yes")</f>
        <v>Yes</v>
      </c>
      <c r="S708" s="5" t="str">
        <f>IFERROR(__xludf.DUMMYFUNCTION("""COMPUTED_VALUE"""),"Yes")</f>
        <v>Yes</v>
      </c>
      <c r="T708" s="5"/>
      <c r="U708" s="5"/>
      <c r="V708" s="5"/>
      <c r="W708" s="5"/>
      <c r="X708" s="5"/>
      <c r="Y708" s="5"/>
      <c r="Z708" s="5"/>
      <c r="AA708" s="5"/>
      <c r="AB708" s="5"/>
      <c r="AC708" s="5"/>
      <c r="AD708" s="5"/>
      <c r="AE708" s="5"/>
      <c r="AF708" s="5" t="str">
        <f>IFERROR(__xludf.DUMMYFUNCTION("""COMPUTED_VALUE"""),"Yes")</f>
        <v>Yes</v>
      </c>
      <c r="AG708" s="5"/>
      <c r="AH708" s="5" t="str">
        <f>IFERROR(__xludf.DUMMYFUNCTION("""COMPUTED_VALUE"""),"Yes")</f>
        <v>Yes</v>
      </c>
      <c r="AI708" s="5"/>
      <c r="AJ708" s="5"/>
      <c r="AK708" s="5"/>
      <c r="AL708" s="5"/>
      <c r="AM708" s="5"/>
      <c r="AN708" s="5"/>
      <c r="AO708" s="5"/>
      <c r="AP708" s="5"/>
      <c r="AQ708" s="5"/>
      <c r="AR708" s="5"/>
      <c r="AS708" s="5"/>
      <c r="AT708" s="5"/>
      <c r="AU708" s="5"/>
      <c r="AV708" s="5"/>
      <c r="AW708" s="5"/>
      <c r="AX708" s="5"/>
      <c r="AY708" s="5"/>
    </row>
    <row r="709">
      <c r="A709"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9" s="5">
        <f>IFERROR(__xludf.DUMMYFUNCTION("""COMPUTED_VALUE"""),744.0)</f>
        <v>744</v>
      </c>
      <c r="C709" s="5">
        <f>IFERROR(__xludf.DUMMYFUNCTION("""COMPUTED_VALUE"""),538.0)</f>
        <v>538</v>
      </c>
      <c r="D709" s="5" t="str">
        <f>IFERROR(__xludf.DUMMYFUNCTION("""COMPUTED_VALUE"""),"PlayNetBitQueen")</f>
        <v>PlayNetBitQueen</v>
      </c>
      <c r="E709" s="5" t="str">
        <f>IFERROR(__xludf.DUMMYFUNCTION("""COMPUTED_VALUE"""),"Yes")</f>
        <v>Yes</v>
      </c>
      <c r="F709" s="5" t="str">
        <f>IFERROR(__xludf.DUMMYFUNCTION("""COMPUTED_VALUE"""),"Yes")</f>
        <v>Yes</v>
      </c>
      <c r="G709" s="5" t="str">
        <f>IFERROR(__xludf.DUMMYFUNCTION("""COMPUTED_VALUE"""),"Yes")</f>
        <v>Yes</v>
      </c>
      <c r="H709" s="5" t="str">
        <f>IFERROR(__xludf.DUMMYFUNCTION("""COMPUTED_VALUE"""),"Yes")</f>
        <v>Yes</v>
      </c>
      <c r="I709" s="5" t="str">
        <f>IFERROR(__xludf.DUMMYFUNCTION("""COMPUTED_VALUE"""),"Yes")</f>
        <v>Yes</v>
      </c>
      <c r="J709" s="5" t="str">
        <f>IFERROR(__xludf.DUMMYFUNCTION("""COMPUTED_VALUE"""),"Yes")</f>
        <v>Yes</v>
      </c>
      <c r="K709" s="5" t="str">
        <f>IFERROR(__xludf.DUMMYFUNCTION("""COMPUTED_VALUE"""),"Yes")</f>
        <v>Yes</v>
      </c>
      <c r="L709" s="5" t="str">
        <f>IFERROR(__xludf.DUMMYFUNCTION("""COMPUTED_VALUE"""),"Yes")</f>
        <v>Yes</v>
      </c>
      <c r="M709" s="5" t="str">
        <f>IFERROR(__xludf.DUMMYFUNCTION("""COMPUTED_VALUE"""),"Yes")</f>
        <v>Yes</v>
      </c>
      <c r="N709" s="5" t="str">
        <f>IFERROR(__xludf.DUMMYFUNCTION("""COMPUTED_VALUE"""),"Yes")</f>
        <v>Yes</v>
      </c>
      <c r="O709" s="5" t="str">
        <f>IFERROR(__xludf.DUMMYFUNCTION("""COMPUTED_VALUE"""),"Yes")</f>
        <v>Yes</v>
      </c>
      <c r="P709" s="5" t="str">
        <f>IFERROR(__xludf.DUMMYFUNCTION("""COMPUTED_VALUE"""),"Yes")</f>
        <v>Yes</v>
      </c>
      <c r="Q709" s="5" t="str">
        <f>IFERROR(__xludf.DUMMYFUNCTION("""COMPUTED_VALUE"""),"Yes")</f>
        <v>Yes</v>
      </c>
      <c r="R709" s="5" t="str">
        <f>IFERROR(__xludf.DUMMYFUNCTION("""COMPUTED_VALUE"""),"Yes")</f>
        <v>Yes</v>
      </c>
      <c r="S709" s="5" t="str">
        <f>IFERROR(__xludf.DUMMYFUNCTION("""COMPUTED_VALUE"""),"Yes")</f>
        <v>Yes</v>
      </c>
      <c r="T709" s="5"/>
      <c r="U709" s="5"/>
      <c r="V709" s="5"/>
      <c r="W709" s="5"/>
      <c r="X709" s="5"/>
      <c r="Y709" s="5"/>
      <c r="Z709" s="5"/>
      <c r="AA709" s="5"/>
      <c r="AB709" s="5"/>
      <c r="AC709" s="5"/>
      <c r="AD709" s="5"/>
      <c r="AE709" s="5"/>
      <c r="AF709" s="5" t="str">
        <f>IFERROR(__xludf.DUMMYFUNCTION("""COMPUTED_VALUE"""),"Yes")</f>
        <v>Yes</v>
      </c>
      <c r="AG709" s="5"/>
      <c r="AH709" s="5" t="str">
        <f>IFERROR(__xludf.DUMMYFUNCTION("""COMPUTED_VALUE"""),"Yes")</f>
        <v>Yes</v>
      </c>
      <c r="AI709" s="5"/>
      <c r="AJ709" s="5"/>
      <c r="AK709" s="5"/>
      <c r="AL709" s="5"/>
      <c r="AM709" s="5"/>
      <c r="AN709" s="5"/>
      <c r="AO709" s="5"/>
      <c r="AP709" s="5"/>
      <c r="AQ709" s="5"/>
      <c r="AR709" s="5"/>
      <c r="AS709" s="5"/>
      <c r="AT709" s="5"/>
      <c r="AU709" s="5"/>
      <c r="AV709" s="5"/>
      <c r="AW709" s="5"/>
      <c r="AX709" s="5"/>
      <c r="AY709" s="5"/>
    </row>
    <row r="710">
      <c r="A710"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0" s="5">
        <f>IFERROR(__xludf.DUMMYFUNCTION("""COMPUTED_VALUE"""),745.0)</f>
        <v>745</v>
      </c>
      <c r="C710" s="5">
        <f>IFERROR(__xludf.DUMMYFUNCTION("""COMPUTED_VALUE"""),539.0)</f>
        <v>539</v>
      </c>
      <c r="D710" s="5" t="str">
        <f>IFERROR(__xludf.DUMMYFUNCTION("""COMPUTED_VALUE"""),"PlayNetDashingHot40")</f>
        <v>PlayNetDashingHot40</v>
      </c>
      <c r="E710" s="5" t="str">
        <f>IFERROR(__xludf.DUMMYFUNCTION("""COMPUTED_VALUE"""),"Yes")</f>
        <v>Yes</v>
      </c>
      <c r="F710" s="5" t="str">
        <f>IFERROR(__xludf.DUMMYFUNCTION("""COMPUTED_VALUE"""),"Yes")</f>
        <v>Yes</v>
      </c>
      <c r="G710" s="5" t="str">
        <f>IFERROR(__xludf.DUMMYFUNCTION("""COMPUTED_VALUE"""),"Yes")</f>
        <v>Yes</v>
      </c>
      <c r="H710" s="5" t="str">
        <f>IFERROR(__xludf.DUMMYFUNCTION("""COMPUTED_VALUE"""),"Yes")</f>
        <v>Yes</v>
      </c>
      <c r="I710" s="5" t="str">
        <f>IFERROR(__xludf.DUMMYFUNCTION("""COMPUTED_VALUE"""),"Yes")</f>
        <v>Yes</v>
      </c>
      <c r="J710" s="5" t="str">
        <f>IFERROR(__xludf.DUMMYFUNCTION("""COMPUTED_VALUE"""),"Yes")</f>
        <v>Yes</v>
      </c>
      <c r="K710" s="5" t="str">
        <f>IFERROR(__xludf.DUMMYFUNCTION("""COMPUTED_VALUE"""),"Yes")</f>
        <v>Yes</v>
      </c>
      <c r="L710" s="5" t="str">
        <f>IFERROR(__xludf.DUMMYFUNCTION("""COMPUTED_VALUE"""),"Yes")</f>
        <v>Yes</v>
      </c>
      <c r="M710" s="5" t="str">
        <f>IFERROR(__xludf.DUMMYFUNCTION("""COMPUTED_VALUE"""),"Yes")</f>
        <v>Yes</v>
      </c>
      <c r="N710" s="5" t="str">
        <f>IFERROR(__xludf.DUMMYFUNCTION("""COMPUTED_VALUE"""),"Yes")</f>
        <v>Yes</v>
      </c>
      <c r="O710" s="5" t="str">
        <f>IFERROR(__xludf.DUMMYFUNCTION("""COMPUTED_VALUE"""),"Yes")</f>
        <v>Yes</v>
      </c>
      <c r="P710" s="5" t="str">
        <f>IFERROR(__xludf.DUMMYFUNCTION("""COMPUTED_VALUE"""),"Yes")</f>
        <v>Yes</v>
      </c>
      <c r="Q710" s="5" t="str">
        <f>IFERROR(__xludf.DUMMYFUNCTION("""COMPUTED_VALUE"""),"Yes")</f>
        <v>Yes</v>
      </c>
      <c r="R710" s="5" t="str">
        <f>IFERROR(__xludf.DUMMYFUNCTION("""COMPUTED_VALUE"""),"Yes")</f>
        <v>Yes</v>
      </c>
      <c r="S710" s="5" t="str">
        <f>IFERROR(__xludf.DUMMYFUNCTION("""COMPUTED_VALUE"""),"Yes")</f>
        <v>Yes</v>
      </c>
      <c r="T710" s="5"/>
      <c r="U710" s="5"/>
      <c r="V710" s="5"/>
      <c r="W710" s="5"/>
      <c r="X710" s="5"/>
      <c r="Y710" s="5"/>
      <c r="Z710" s="5"/>
      <c r="AA710" s="5"/>
      <c r="AB710" s="5"/>
      <c r="AC710" s="5"/>
      <c r="AD710" s="5"/>
      <c r="AE710" s="5"/>
      <c r="AF710" s="5" t="str">
        <f>IFERROR(__xludf.DUMMYFUNCTION("""COMPUTED_VALUE"""),"Yes")</f>
        <v>Yes</v>
      </c>
      <c r="AG710" s="5"/>
      <c r="AH710" s="5" t="str">
        <f>IFERROR(__xludf.DUMMYFUNCTION("""COMPUTED_VALUE"""),"Yes")</f>
        <v>Yes</v>
      </c>
      <c r="AI710" s="5"/>
      <c r="AJ710" s="5"/>
      <c r="AK710" s="5"/>
      <c r="AL710" s="5"/>
      <c r="AM710" s="5"/>
      <c r="AN710" s="5"/>
      <c r="AO710" s="5"/>
      <c r="AP710" s="5"/>
      <c r="AQ710" s="5"/>
      <c r="AR710" s="5"/>
      <c r="AS710" s="5"/>
      <c r="AT710" s="5"/>
      <c r="AU710" s="5"/>
      <c r="AV710" s="5"/>
      <c r="AW710" s="5"/>
      <c r="AX710" s="5"/>
      <c r="AY710" s="5"/>
    </row>
    <row r="711">
      <c r="A711"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1" s="5">
        <f>IFERROR(__xludf.DUMMYFUNCTION("""COMPUTED_VALUE"""),746.0)</f>
        <v>746</v>
      </c>
      <c r="C711" s="5">
        <f>IFERROR(__xludf.DUMMYFUNCTION("""COMPUTED_VALUE"""),540.0)</f>
        <v>540</v>
      </c>
      <c r="D711" s="5" t="str">
        <f>IFERROR(__xludf.DUMMYFUNCTION("""COMPUTED_VALUE"""),"PlayNetDarkTemptress100")</f>
        <v>PlayNetDarkTemptress100</v>
      </c>
      <c r="E711" s="5" t="str">
        <f>IFERROR(__xludf.DUMMYFUNCTION("""COMPUTED_VALUE"""),"Yes")</f>
        <v>Yes</v>
      </c>
      <c r="F711" s="5" t="str">
        <f>IFERROR(__xludf.DUMMYFUNCTION("""COMPUTED_VALUE"""),"Yes")</f>
        <v>Yes</v>
      </c>
      <c r="G711" s="5" t="str">
        <f>IFERROR(__xludf.DUMMYFUNCTION("""COMPUTED_VALUE"""),"Yes")</f>
        <v>Yes</v>
      </c>
      <c r="H711" s="5" t="str">
        <f>IFERROR(__xludf.DUMMYFUNCTION("""COMPUTED_VALUE"""),"Yes")</f>
        <v>Yes</v>
      </c>
      <c r="I711" s="5" t="str">
        <f>IFERROR(__xludf.DUMMYFUNCTION("""COMPUTED_VALUE"""),"Yes")</f>
        <v>Yes</v>
      </c>
      <c r="J711" s="5" t="str">
        <f>IFERROR(__xludf.DUMMYFUNCTION("""COMPUTED_VALUE"""),"Yes")</f>
        <v>Yes</v>
      </c>
      <c r="K711" s="5" t="str">
        <f>IFERROR(__xludf.DUMMYFUNCTION("""COMPUTED_VALUE"""),"Yes")</f>
        <v>Yes</v>
      </c>
      <c r="L711" s="5" t="str">
        <f>IFERROR(__xludf.DUMMYFUNCTION("""COMPUTED_VALUE"""),"Yes")</f>
        <v>Yes</v>
      </c>
      <c r="M711" s="5" t="str">
        <f>IFERROR(__xludf.DUMMYFUNCTION("""COMPUTED_VALUE"""),"Yes")</f>
        <v>Yes</v>
      </c>
      <c r="N711" s="5" t="str">
        <f>IFERROR(__xludf.DUMMYFUNCTION("""COMPUTED_VALUE"""),"Yes")</f>
        <v>Yes</v>
      </c>
      <c r="O711" s="5" t="str">
        <f>IFERROR(__xludf.DUMMYFUNCTION("""COMPUTED_VALUE"""),"Yes")</f>
        <v>Yes</v>
      </c>
      <c r="P711" s="5" t="str">
        <f>IFERROR(__xludf.DUMMYFUNCTION("""COMPUTED_VALUE"""),"Yes")</f>
        <v>Yes</v>
      </c>
      <c r="Q711" s="5" t="str">
        <f>IFERROR(__xludf.DUMMYFUNCTION("""COMPUTED_VALUE"""),"Yes")</f>
        <v>Yes</v>
      </c>
      <c r="R711" s="5" t="str">
        <f>IFERROR(__xludf.DUMMYFUNCTION("""COMPUTED_VALUE"""),"Yes")</f>
        <v>Yes</v>
      </c>
      <c r="S711" s="5" t="str">
        <f>IFERROR(__xludf.DUMMYFUNCTION("""COMPUTED_VALUE"""),"Yes")</f>
        <v>Yes</v>
      </c>
      <c r="T711" s="5"/>
      <c r="U711" s="5"/>
      <c r="V711" s="5"/>
      <c r="W711" s="5"/>
      <c r="X711" s="5"/>
      <c r="Y711" s="5"/>
      <c r="Z711" s="5"/>
      <c r="AA711" s="5"/>
      <c r="AB711" s="5"/>
      <c r="AC711" s="5"/>
      <c r="AD711" s="5"/>
      <c r="AE711" s="5"/>
      <c r="AF711" s="5" t="str">
        <f>IFERROR(__xludf.DUMMYFUNCTION("""COMPUTED_VALUE"""),"Yes")</f>
        <v>Yes</v>
      </c>
      <c r="AG711" s="5"/>
      <c r="AH711" s="5" t="str">
        <f>IFERROR(__xludf.DUMMYFUNCTION("""COMPUTED_VALUE"""),"Yes")</f>
        <v>Yes</v>
      </c>
      <c r="AI711" s="5"/>
      <c r="AJ711" s="5"/>
      <c r="AK711" s="5"/>
      <c r="AL711" s="5"/>
      <c r="AM711" s="5"/>
      <c r="AN711" s="5"/>
      <c r="AO711" s="5"/>
      <c r="AP711" s="5"/>
      <c r="AQ711" s="5"/>
      <c r="AR711" s="5"/>
      <c r="AS711" s="5"/>
      <c r="AT711" s="5"/>
      <c r="AU711" s="5"/>
      <c r="AV711" s="5"/>
      <c r="AW711" s="5"/>
      <c r="AX711" s="5"/>
      <c r="AY711" s="5"/>
    </row>
    <row r="712">
      <c r="A712"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2" s="5">
        <f>IFERROR(__xludf.DUMMYFUNCTION("""COMPUTED_VALUE"""),747.0)</f>
        <v>747</v>
      </c>
      <c r="C712" s="5">
        <f>IFERROR(__xludf.DUMMYFUNCTION("""COMPUTED_VALUE"""),541.0)</f>
        <v>541</v>
      </c>
      <c r="D712" s="5" t="str">
        <f>IFERROR(__xludf.DUMMYFUNCTION("""COMPUTED_VALUE"""),"PlayNetBarkinRiches")</f>
        <v>PlayNetBarkinRiches</v>
      </c>
      <c r="E712" s="5" t="str">
        <f>IFERROR(__xludf.DUMMYFUNCTION("""COMPUTED_VALUE"""),"Yes")</f>
        <v>Yes</v>
      </c>
      <c r="F712" s="5" t="str">
        <f>IFERROR(__xludf.DUMMYFUNCTION("""COMPUTED_VALUE"""),"Yes")</f>
        <v>Yes</v>
      </c>
      <c r="G712" s="5" t="str">
        <f>IFERROR(__xludf.DUMMYFUNCTION("""COMPUTED_VALUE"""),"Yes")</f>
        <v>Yes</v>
      </c>
      <c r="H712" s="5" t="str">
        <f>IFERROR(__xludf.DUMMYFUNCTION("""COMPUTED_VALUE"""),"Yes")</f>
        <v>Yes</v>
      </c>
      <c r="I712" s="5" t="str">
        <f>IFERROR(__xludf.DUMMYFUNCTION("""COMPUTED_VALUE"""),"Yes")</f>
        <v>Yes</v>
      </c>
      <c r="J712" s="5" t="str">
        <f>IFERROR(__xludf.DUMMYFUNCTION("""COMPUTED_VALUE"""),"Yes")</f>
        <v>Yes</v>
      </c>
      <c r="K712" s="5" t="str">
        <f>IFERROR(__xludf.DUMMYFUNCTION("""COMPUTED_VALUE"""),"Yes")</f>
        <v>Yes</v>
      </c>
      <c r="L712" s="5" t="str">
        <f>IFERROR(__xludf.DUMMYFUNCTION("""COMPUTED_VALUE"""),"Yes")</f>
        <v>Yes</v>
      </c>
      <c r="M712" s="5" t="str">
        <f>IFERROR(__xludf.DUMMYFUNCTION("""COMPUTED_VALUE"""),"Yes")</f>
        <v>Yes</v>
      </c>
      <c r="N712" s="5" t="str">
        <f>IFERROR(__xludf.DUMMYFUNCTION("""COMPUTED_VALUE"""),"Yes")</f>
        <v>Yes</v>
      </c>
      <c r="O712" s="5" t="str">
        <f>IFERROR(__xludf.DUMMYFUNCTION("""COMPUTED_VALUE"""),"Yes")</f>
        <v>Yes</v>
      </c>
      <c r="P712" s="5" t="str">
        <f>IFERROR(__xludf.DUMMYFUNCTION("""COMPUTED_VALUE"""),"Yes")</f>
        <v>Yes</v>
      </c>
      <c r="Q712" s="5" t="str">
        <f>IFERROR(__xludf.DUMMYFUNCTION("""COMPUTED_VALUE"""),"Yes")</f>
        <v>Yes</v>
      </c>
      <c r="R712" s="5" t="str">
        <f>IFERROR(__xludf.DUMMYFUNCTION("""COMPUTED_VALUE"""),"Yes")</f>
        <v>Yes</v>
      </c>
      <c r="S712" s="5" t="str">
        <f>IFERROR(__xludf.DUMMYFUNCTION("""COMPUTED_VALUE"""),"Yes")</f>
        <v>Yes</v>
      </c>
      <c r="T712" s="5"/>
      <c r="U712" s="5"/>
      <c r="V712" s="5"/>
      <c r="W712" s="5"/>
      <c r="X712" s="5"/>
      <c r="Y712" s="5"/>
      <c r="Z712" s="5"/>
      <c r="AA712" s="5"/>
      <c r="AB712" s="5"/>
      <c r="AC712" s="5"/>
      <c r="AD712" s="5"/>
      <c r="AE712" s="5"/>
      <c r="AF712" s="5" t="str">
        <f>IFERROR(__xludf.DUMMYFUNCTION("""COMPUTED_VALUE"""),"Yes")</f>
        <v>Yes</v>
      </c>
      <c r="AG712" s="5"/>
      <c r="AH712" s="5" t="str">
        <f>IFERROR(__xludf.DUMMYFUNCTION("""COMPUTED_VALUE"""),"Yes")</f>
        <v>Yes</v>
      </c>
      <c r="AI712" s="5"/>
      <c r="AJ712" s="5"/>
      <c r="AK712" s="5"/>
      <c r="AL712" s="5"/>
      <c r="AM712" s="5"/>
      <c r="AN712" s="5"/>
      <c r="AO712" s="5"/>
      <c r="AP712" s="5"/>
      <c r="AQ712" s="5"/>
      <c r="AR712" s="5"/>
      <c r="AS712" s="5"/>
      <c r="AT712" s="5"/>
      <c r="AU712" s="5"/>
      <c r="AV712" s="5"/>
      <c r="AW712" s="5"/>
      <c r="AX712" s="5"/>
      <c r="AY712" s="5"/>
    </row>
    <row r="713">
      <c r="A713" s="5" t="str">
        <f>IFERROR(__xludf.DUMMYFUNCTION("""COMPUTED_VALUE"""),"")</f>
        <v/>
      </c>
      <c r="B713" s="5">
        <f>IFERROR(__xludf.DUMMYFUNCTION("""COMPUTED_VALUE"""),750.0)</f>
        <v>750</v>
      </c>
      <c r="C713" s="5">
        <f>IFERROR(__xludf.DUMMYFUNCTION("""COMPUTED_VALUE"""),4041.0)</f>
        <v>4041</v>
      </c>
      <c r="D713" s="5" t="str">
        <f>IFERROR(__xludf.DUMMYFUNCTION("""COMPUTED_VALUE"""),"Special4RabetFruits")</f>
        <v>Special4RabetFruits</v>
      </c>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row>
    <row r="714">
      <c r="A7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14" s="5">
        <f>IFERROR(__xludf.DUMMYFUNCTION("""COMPUTED_VALUE"""),751.0)</f>
        <v>751</v>
      </c>
      <c r="C714" s="5">
        <f>IFERROR(__xludf.DUMMYFUNCTION("""COMPUTED_VALUE"""),2020.0)</f>
        <v>2020</v>
      </c>
      <c r="D714" s="5" t="str">
        <f>IFERROR(__xludf.DUMMYFUNCTION("""COMPUTED_VALUE"""),"MultihotPot")</f>
        <v>MultihotPot</v>
      </c>
      <c r="E714" s="5" t="str">
        <f>IFERROR(__xludf.DUMMYFUNCTION("""COMPUTED_VALUE"""),"Yes")</f>
        <v>Yes</v>
      </c>
      <c r="F714" s="5" t="str">
        <f>IFERROR(__xludf.DUMMYFUNCTION("""COMPUTED_VALUE"""),"Yes")</f>
        <v>Yes</v>
      </c>
      <c r="G714" s="5" t="str">
        <f>IFERROR(__xludf.DUMMYFUNCTION("""COMPUTED_VALUE"""),"Yes")</f>
        <v>Yes</v>
      </c>
      <c r="H714" s="5" t="str">
        <f>IFERROR(__xludf.DUMMYFUNCTION("""COMPUTED_VALUE"""),"Yes")</f>
        <v>Yes</v>
      </c>
      <c r="I714" s="5" t="str">
        <f>IFERROR(__xludf.DUMMYFUNCTION("""COMPUTED_VALUE"""),"Yes")</f>
        <v>Yes</v>
      </c>
      <c r="J714" s="5" t="str">
        <f>IFERROR(__xludf.DUMMYFUNCTION("""COMPUTED_VALUE"""),"Yes")</f>
        <v>Yes</v>
      </c>
      <c r="K714" s="5" t="str">
        <f>IFERROR(__xludf.DUMMYFUNCTION("""COMPUTED_VALUE"""),"Yes")</f>
        <v>Yes</v>
      </c>
      <c r="L714" s="5" t="str">
        <f>IFERROR(__xludf.DUMMYFUNCTION("""COMPUTED_VALUE"""),"Yes")</f>
        <v>Yes</v>
      </c>
      <c r="M714" s="5" t="str">
        <f>IFERROR(__xludf.DUMMYFUNCTION("""COMPUTED_VALUE"""),"Yes")</f>
        <v>Yes</v>
      </c>
      <c r="N714" s="5" t="str">
        <f>IFERROR(__xludf.DUMMYFUNCTION("""COMPUTED_VALUE"""),"Yes")</f>
        <v>Yes</v>
      </c>
      <c r="O714" s="5" t="str">
        <f>IFERROR(__xludf.DUMMYFUNCTION("""COMPUTED_VALUE"""),"Yes")</f>
        <v>Yes</v>
      </c>
      <c r="P714" s="5" t="str">
        <f>IFERROR(__xludf.DUMMYFUNCTION("""COMPUTED_VALUE"""),"Yes")</f>
        <v>Yes</v>
      </c>
      <c r="Q714" s="5" t="str">
        <f>IFERROR(__xludf.DUMMYFUNCTION("""COMPUTED_VALUE"""),"Yes")</f>
        <v>Yes</v>
      </c>
      <c r="R714" s="5" t="str">
        <f>IFERROR(__xludf.DUMMYFUNCTION("""COMPUTED_VALUE"""),"Yes")</f>
        <v>Yes</v>
      </c>
      <c r="S714" s="5" t="str">
        <f>IFERROR(__xludf.DUMMYFUNCTION("""COMPUTED_VALUE"""),"Yes")</f>
        <v>Yes</v>
      </c>
      <c r="T714" s="5" t="str">
        <f>IFERROR(__xludf.DUMMYFUNCTION("""COMPUTED_VALUE"""),"Yes")</f>
        <v>Yes</v>
      </c>
      <c r="U714" s="5" t="str">
        <f>IFERROR(__xludf.DUMMYFUNCTION("""COMPUTED_VALUE"""),"Yes")</f>
        <v>Yes</v>
      </c>
      <c r="V714" s="5" t="str">
        <f>IFERROR(__xludf.DUMMYFUNCTION("""COMPUTED_VALUE"""),"Yes")</f>
        <v>Yes</v>
      </c>
      <c r="W714" s="5" t="str">
        <f>IFERROR(__xludf.DUMMYFUNCTION("""COMPUTED_VALUE"""),"Yes")</f>
        <v>Yes</v>
      </c>
      <c r="X714" s="5" t="str">
        <f>IFERROR(__xludf.DUMMYFUNCTION("""COMPUTED_VALUE"""),"Yes")</f>
        <v>Yes</v>
      </c>
      <c r="Y714" s="5" t="str">
        <f>IFERROR(__xludf.DUMMYFUNCTION("""COMPUTED_VALUE"""),"Yes")</f>
        <v>Yes</v>
      </c>
      <c r="Z714" s="5" t="str">
        <f>IFERROR(__xludf.DUMMYFUNCTION("""COMPUTED_VALUE"""),"Yes")</f>
        <v>Yes</v>
      </c>
      <c r="AA714" s="5" t="str">
        <f>IFERROR(__xludf.DUMMYFUNCTION("""COMPUTED_VALUE"""),"Yes")</f>
        <v>Yes</v>
      </c>
      <c r="AB714" s="5" t="str">
        <f>IFERROR(__xludf.DUMMYFUNCTION("""COMPUTED_VALUE"""),"Yes")</f>
        <v>Yes</v>
      </c>
      <c r="AC714" s="5" t="str">
        <f>IFERROR(__xludf.DUMMYFUNCTION("""COMPUTED_VALUE"""),"Yes")</f>
        <v>Yes</v>
      </c>
      <c r="AD714" s="5" t="str">
        <f>IFERROR(__xludf.DUMMYFUNCTION("""COMPUTED_VALUE"""),"Yes")</f>
        <v>Yes</v>
      </c>
      <c r="AE714" s="5" t="str">
        <f>IFERROR(__xludf.DUMMYFUNCTION("""COMPUTED_VALUE"""),"Yes")</f>
        <v>Yes</v>
      </c>
      <c r="AF714" s="5" t="str">
        <f>IFERROR(__xludf.DUMMYFUNCTION("""COMPUTED_VALUE"""),"Yes")</f>
        <v>Yes</v>
      </c>
      <c r="AG714" s="5" t="str">
        <f>IFERROR(__xludf.DUMMYFUNCTION("""COMPUTED_VALUE"""),"Yes")</f>
        <v>Yes</v>
      </c>
      <c r="AH714" s="5" t="str">
        <f>IFERROR(__xludf.DUMMYFUNCTION("""COMPUTED_VALUE"""),"Yes")</f>
        <v>Yes</v>
      </c>
      <c r="AI714" s="5" t="str">
        <f>IFERROR(__xludf.DUMMYFUNCTION("""COMPUTED_VALUE"""),"No")</f>
        <v>No</v>
      </c>
      <c r="AJ714" s="5" t="str">
        <f>IFERROR(__xludf.DUMMYFUNCTION("""COMPUTED_VALUE"""),"No")</f>
        <v>No</v>
      </c>
      <c r="AK714" s="5" t="str">
        <f>IFERROR(__xludf.DUMMYFUNCTION("""COMPUTED_VALUE"""),"No")</f>
        <v>No</v>
      </c>
      <c r="AL714" s="5" t="str">
        <f>IFERROR(__xludf.DUMMYFUNCTION("""COMPUTED_VALUE"""),"Yes")</f>
        <v>Yes</v>
      </c>
      <c r="AM714" s="5"/>
      <c r="AN714" s="5"/>
      <c r="AO714" s="5"/>
      <c r="AP714" s="5"/>
      <c r="AQ714" s="5"/>
      <c r="AR714" s="5"/>
      <c r="AS714" s="5"/>
      <c r="AT714" s="5"/>
      <c r="AU714" s="5"/>
      <c r="AV714" s="5"/>
      <c r="AW714" s="5"/>
      <c r="AX714" s="5"/>
      <c r="AY714" s="5"/>
    </row>
    <row r="715">
      <c r="A7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5" s="5">
        <f>IFERROR(__xludf.DUMMYFUNCTION("""COMPUTED_VALUE"""),752.0)</f>
        <v>752</v>
      </c>
      <c r="C715" s="5">
        <f>IFERROR(__xludf.DUMMYFUNCTION("""COMPUTED_VALUE"""),3036.0)</f>
        <v>3036</v>
      </c>
      <c r="D715" s="5" t="str">
        <f>IFERROR(__xludf.DUMMYFUNCTION("""COMPUTED_VALUE"""),"TripleWildCrown")</f>
        <v>TripleWildCrown</v>
      </c>
      <c r="E715" s="5" t="str">
        <f>IFERROR(__xludf.DUMMYFUNCTION("""COMPUTED_VALUE"""),"Yes")</f>
        <v>Yes</v>
      </c>
      <c r="F715" s="5" t="str">
        <f>IFERROR(__xludf.DUMMYFUNCTION("""COMPUTED_VALUE"""),"Yes")</f>
        <v>Yes</v>
      </c>
      <c r="G715" s="5" t="str">
        <f>IFERROR(__xludf.DUMMYFUNCTION("""COMPUTED_VALUE"""),"Yes")</f>
        <v>Yes</v>
      </c>
      <c r="H715" s="5" t="str">
        <f>IFERROR(__xludf.DUMMYFUNCTION("""COMPUTED_VALUE"""),"Yes")</f>
        <v>Yes</v>
      </c>
      <c r="I715" s="5" t="str">
        <f>IFERROR(__xludf.DUMMYFUNCTION("""COMPUTED_VALUE"""),"Yes")</f>
        <v>Yes</v>
      </c>
      <c r="J715" s="5" t="str">
        <f>IFERROR(__xludf.DUMMYFUNCTION("""COMPUTED_VALUE"""),"Yes")</f>
        <v>Yes</v>
      </c>
      <c r="K715" s="5" t="str">
        <f>IFERROR(__xludf.DUMMYFUNCTION("""COMPUTED_VALUE"""),"Yes")</f>
        <v>Yes</v>
      </c>
      <c r="L715" s="5" t="str">
        <f>IFERROR(__xludf.DUMMYFUNCTION("""COMPUTED_VALUE"""),"Yes")</f>
        <v>Yes</v>
      </c>
      <c r="M715" s="5" t="str">
        <f>IFERROR(__xludf.DUMMYFUNCTION("""COMPUTED_VALUE"""),"Yes")</f>
        <v>Yes</v>
      </c>
      <c r="N715" s="5" t="str">
        <f>IFERROR(__xludf.DUMMYFUNCTION("""COMPUTED_VALUE"""),"Yes")</f>
        <v>Yes</v>
      </c>
      <c r="O715" s="5" t="str">
        <f>IFERROR(__xludf.DUMMYFUNCTION("""COMPUTED_VALUE"""),"Yes")</f>
        <v>Yes</v>
      </c>
      <c r="P715" s="5" t="str">
        <f>IFERROR(__xludf.DUMMYFUNCTION("""COMPUTED_VALUE"""),"Yes")</f>
        <v>Yes</v>
      </c>
      <c r="Q715" s="5" t="str">
        <f>IFERROR(__xludf.DUMMYFUNCTION("""COMPUTED_VALUE"""),"Yes")</f>
        <v>Yes</v>
      </c>
      <c r="R715" s="5" t="str">
        <f>IFERROR(__xludf.DUMMYFUNCTION("""COMPUTED_VALUE"""),"Yes")</f>
        <v>Yes</v>
      </c>
      <c r="S715" s="5" t="str">
        <f>IFERROR(__xludf.DUMMYFUNCTION("""COMPUTED_VALUE"""),"Yes")</f>
        <v>Yes</v>
      </c>
      <c r="T715" s="5" t="str">
        <f>IFERROR(__xludf.DUMMYFUNCTION("""COMPUTED_VALUE"""),"Yes")</f>
        <v>Yes</v>
      </c>
      <c r="U715" s="5" t="str">
        <f>IFERROR(__xludf.DUMMYFUNCTION("""COMPUTED_VALUE"""),"Yes")</f>
        <v>Yes</v>
      </c>
      <c r="V715" s="5" t="str">
        <f>IFERROR(__xludf.DUMMYFUNCTION("""COMPUTED_VALUE"""),"Yes")</f>
        <v>Yes</v>
      </c>
      <c r="W715" s="5" t="str">
        <f>IFERROR(__xludf.DUMMYFUNCTION("""COMPUTED_VALUE"""),"Yes")</f>
        <v>Yes</v>
      </c>
      <c r="X715" s="5" t="str">
        <f>IFERROR(__xludf.DUMMYFUNCTION("""COMPUTED_VALUE"""),"Yes")</f>
        <v>Yes</v>
      </c>
      <c r="Y715" s="5" t="str">
        <f>IFERROR(__xludf.DUMMYFUNCTION("""COMPUTED_VALUE"""),"Yes")</f>
        <v>Yes</v>
      </c>
      <c r="Z715" s="5" t="str">
        <f>IFERROR(__xludf.DUMMYFUNCTION("""COMPUTED_VALUE"""),"Yes")</f>
        <v>Yes</v>
      </c>
      <c r="AA715" s="5" t="str">
        <f>IFERROR(__xludf.DUMMYFUNCTION("""COMPUTED_VALUE"""),"Yes")</f>
        <v>Yes</v>
      </c>
      <c r="AB715" s="5" t="str">
        <f>IFERROR(__xludf.DUMMYFUNCTION("""COMPUTED_VALUE"""),"Yes")</f>
        <v>Yes</v>
      </c>
      <c r="AC715" s="5" t="str">
        <f>IFERROR(__xludf.DUMMYFUNCTION("""COMPUTED_VALUE"""),"Yes")</f>
        <v>Yes</v>
      </c>
      <c r="AD715" s="5" t="str">
        <f>IFERROR(__xludf.DUMMYFUNCTION("""COMPUTED_VALUE"""),"Yes")</f>
        <v>Yes</v>
      </c>
      <c r="AE715" s="5" t="str">
        <f>IFERROR(__xludf.DUMMYFUNCTION("""COMPUTED_VALUE"""),"Yes")</f>
        <v>Yes</v>
      </c>
      <c r="AF715" s="5" t="str">
        <f>IFERROR(__xludf.DUMMYFUNCTION("""COMPUTED_VALUE"""),"Yes")</f>
        <v>Yes</v>
      </c>
      <c r="AG715" s="5" t="str">
        <f>IFERROR(__xludf.DUMMYFUNCTION("""COMPUTED_VALUE"""),"Yes")</f>
        <v>Yes</v>
      </c>
      <c r="AH715" s="5" t="str">
        <f>IFERROR(__xludf.DUMMYFUNCTION("""COMPUTED_VALUE"""),"Yes")</f>
        <v>Yes</v>
      </c>
      <c r="AI715" s="5" t="str">
        <f>IFERROR(__xludf.DUMMYFUNCTION("""COMPUTED_VALUE"""),"No")</f>
        <v>No</v>
      </c>
      <c r="AJ715" s="5" t="str">
        <f>IFERROR(__xludf.DUMMYFUNCTION("""COMPUTED_VALUE"""),"No")</f>
        <v>No</v>
      </c>
      <c r="AK715" s="5" t="str">
        <f>IFERROR(__xludf.DUMMYFUNCTION("""COMPUTED_VALUE"""),"No")</f>
        <v>No</v>
      </c>
      <c r="AL715" s="5" t="str">
        <f>IFERROR(__xludf.DUMMYFUNCTION("""COMPUTED_VALUE"""),"No")</f>
        <v>No</v>
      </c>
      <c r="AM715" s="5"/>
      <c r="AN715" s="5"/>
      <c r="AO715" s="5"/>
      <c r="AP715" s="5"/>
      <c r="AQ715" s="5"/>
      <c r="AR715" s="5"/>
      <c r="AS715" s="5"/>
      <c r="AT715" s="5"/>
      <c r="AU715" s="5"/>
      <c r="AV715" s="5"/>
      <c r="AW715" s="5"/>
      <c r="AX715" s="5"/>
      <c r="AY715" s="5"/>
    </row>
    <row r="716">
      <c r="A7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16" s="5">
        <f>IFERROR(__xludf.DUMMYFUNCTION("""COMPUTED_VALUE"""),753.0)</f>
        <v>753</v>
      </c>
      <c r="C716" s="5">
        <f>IFERROR(__xludf.DUMMYFUNCTION("""COMPUTED_VALUE"""),4038.0)</f>
        <v>4038</v>
      </c>
      <c r="D716" s="5" t="str">
        <f>IFERROR(__xludf.DUMMYFUNCTION("""COMPUTED_VALUE"""),"BonusRoyalCrownExtralines")</f>
        <v>BonusRoyalCrownExtralines</v>
      </c>
      <c r="E716" s="5" t="str">
        <f>IFERROR(__xludf.DUMMYFUNCTION("""COMPUTED_VALUE"""),"Yes")</f>
        <v>Yes</v>
      </c>
      <c r="F716" s="5" t="str">
        <f>IFERROR(__xludf.DUMMYFUNCTION("""COMPUTED_VALUE"""),"Yes")</f>
        <v>Yes</v>
      </c>
      <c r="G716" s="5" t="str">
        <f>IFERROR(__xludf.DUMMYFUNCTION("""COMPUTED_VALUE"""),"Yes")</f>
        <v>Yes</v>
      </c>
      <c r="H716" s="5" t="str">
        <f>IFERROR(__xludf.DUMMYFUNCTION("""COMPUTED_VALUE"""),"Yes")</f>
        <v>Yes</v>
      </c>
      <c r="I716" s="5" t="str">
        <f>IFERROR(__xludf.DUMMYFUNCTION("""COMPUTED_VALUE"""),"Yes")</f>
        <v>Yes</v>
      </c>
      <c r="J716" s="5" t="str">
        <f>IFERROR(__xludf.DUMMYFUNCTION("""COMPUTED_VALUE"""),"Yes")</f>
        <v>Yes</v>
      </c>
      <c r="K716" s="5" t="str">
        <f>IFERROR(__xludf.DUMMYFUNCTION("""COMPUTED_VALUE"""),"Yes")</f>
        <v>Yes</v>
      </c>
      <c r="L716" s="5" t="str">
        <f>IFERROR(__xludf.DUMMYFUNCTION("""COMPUTED_VALUE"""),"Yes")</f>
        <v>Yes</v>
      </c>
      <c r="M716" s="5" t="str">
        <f>IFERROR(__xludf.DUMMYFUNCTION("""COMPUTED_VALUE"""),"Yes")</f>
        <v>Yes</v>
      </c>
      <c r="N716" s="5" t="str">
        <f>IFERROR(__xludf.DUMMYFUNCTION("""COMPUTED_VALUE"""),"Yes")</f>
        <v>Yes</v>
      </c>
      <c r="O716" s="5" t="str">
        <f>IFERROR(__xludf.DUMMYFUNCTION("""COMPUTED_VALUE"""),"Yes")</f>
        <v>Yes</v>
      </c>
      <c r="P716" s="5" t="str">
        <f>IFERROR(__xludf.DUMMYFUNCTION("""COMPUTED_VALUE"""),"Yes")</f>
        <v>Yes</v>
      </c>
      <c r="Q716" s="5" t="str">
        <f>IFERROR(__xludf.DUMMYFUNCTION("""COMPUTED_VALUE"""),"Yes")</f>
        <v>Yes</v>
      </c>
      <c r="R716" s="5" t="str">
        <f>IFERROR(__xludf.DUMMYFUNCTION("""COMPUTED_VALUE"""),"Yes")</f>
        <v>Yes</v>
      </c>
      <c r="S716" s="5" t="str">
        <f>IFERROR(__xludf.DUMMYFUNCTION("""COMPUTED_VALUE"""),"Yes")</f>
        <v>Yes</v>
      </c>
      <c r="T716" s="5" t="str">
        <f>IFERROR(__xludf.DUMMYFUNCTION("""COMPUTED_VALUE"""),"Yes")</f>
        <v>Yes</v>
      </c>
      <c r="U716" s="5" t="str">
        <f>IFERROR(__xludf.DUMMYFUNCTION("""COMPUTED_VALUE"""),"Yes")</f>
        <v>Yes</v>
      </c>
      <c r="V716" s="5" t="str">
        <f>IFERROR(__xludf.DUMMYFUNCTION("""COMPUTED_VALUE"""),"Yes")</f>
        <v>Yes</v>
      </c>
      <c r="W716" s="5" t="str">
        <f>IFERROR(__xludf.DUMMYFUNCTION("""COMPUTED_VALUE"""),"Yes")</f>
        <v>Yes</v>
      </c>
      <c r="X716" s="5" t="str">
        <f>IFERROR(__xludf.DUMMYFUNCTION("""COMPUTED_VALUE"""),"Yes")</f>
        <v>Yes</v>
      </c>
      <c r="Y716" s="5" t="str">
        <f>IFERROR(__xludf.DUMMYFUNCTION("""COMPUTED_VALUE"""),"Yes")</f>
        <v>Yes</v>
      </c>
      <c r="Z716" s="5" t="str">
        <f>IFERROR(__xludf.DUMMYFUNCTION("""COMPUTED_VALUE"""),"Yes")</f>
        <v>Yes</v>
      </c>
      <c r="AA716" s="5" t="str">
        <f>IFERROR(__xludf.DUMMYFUNCTION("""COMPUTED_VALUE"""),"Yes")</f>
        <v>Yes</v>
      </c>
      <c r="AB716" s="5" t="str">
        <f>IFERROR(__xludf.DUMMYFUNCTION("""COMPUTED_VALUE"""),"Yes")</f>
        <v>Yes</v>
      </c>
      <c r="AC716" s="5" t="str">
        <f>IFERROR(__xludf.DUMMYFUNCTION("""COMPUTED_VALUE"""),"Yes")</f>
        <v>Yes</v>
      </c>
      <c r="AD716" s="5" t="str">
        <f>IFERROR(__xludf.DUMMYFUNCTION("""COMPUTED_VALUE"""),"Yes")</f>
        <v>Yes</v>
      </c>
      <c r="AE716" s="5" t="str">
        <f>IFERROR(__xludf.DUMMYFUNCTION("""COMPUTED_VALUE"""),"Yes")</f>
        <v>Yes</v>
      </c>
      <c r="AF716" s="5" t="str">
        <f>IFERROR(__xludf.DUMMYFUNCTION("""COMPUTED_VALUE"""),"Yes")</f>
        <v>Yes</v>
      </c>
      <c r="AG716" s="5" t="str">
        <f>IFERROR(__xludf.DUMMYFUNCTION("""COMPUTED_VALUE"""),"Yes")</f>
        <v>Yes</v>
      </c>
      <c r="AH716" s="5" t="str">
        <f>IFERROR(__xludf.DUMMYFUNCTION("""COMPUTED_VALUE"""),"Yes")</f>
        <v>Yes</v>
      </c>
      <c r="AI716" s="5" t="str">
        <f>IFERROR(__xludf.DUMMYFUNCTION("""COMPUTED_VALUE"""),"Yes")</f>
        <v>Yes</v>
      </c>
      <c r="AJ716" s="5" t="str">
        <f>IFERROR(__xludf.DUMMYFUNCTION("""COMPUTED_VALUE"""),"Yes")</f>
        <v>Yes</v>
      </c>
      <c r="AK716" s="5" t="str">
        <f>IFERROR(__xludf.DUMMYFUNCTION("""COMPUTED_VALUE"""),"Yes")</f>
        <v>Yes</v>
      </c>
      <c r="AL716" s="5" t="str">
        <f>IFERROR(__xludf.DUMMYFUNCTION("""COMPUTED_VALUE"""),"Yes")</f>
        <v>Yes</v>
      </c>
      <c r="AM716" s="5"/>
      <c r="AN716" s="5"/>
      <c r="AO716" s="5"/>
      <c r="AP716" s="5"/>
      <c r="AQ716" s="5"/>
      <c r="AR716" s="5"/>
      <c r="AS716" s="5"/>
      <c r="AT716" s="5"/>
      <c r="AU716" s="5"/>
      <c r="AV716" s="5"/>
      <c r="AW716" s="5"/>
      <c r="AX716" s="5"/>
      <c r="AY716" s="5"/>
    </row>
    <row r="717">
      <c r="A7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7" s="5">
        <f>IFERROR(__xludf.DUMMYFUNCTION("""COMPUTED_VALUE"""),754.0)</f>
        <v>754</v>
      </c>
      <c r="C717" s="5">
        <f>IFERROR(__xludf.DUMMYFUNCTION("""COMPUTED_VALUE"""),3037.0)</f>
        <v>3037</v>
      </c>
      <c r="D717" s="5" t="str">
        <f>IFERROR(__xludf.DUMMYFUNCTION("""COMPUTED_VALUE"""),"BonusEpicWildExtralines")</f>
        <v>BonusEpicWildExtralines</v>
      </c>
      <c r="E717" s="5" t="str">
        <f>IFERROR(__xludf.DUMMYFUNCTION("""COMPUTED_VALUE"""),"Yes")</f>
        <v>Yes</v>
      </c>
      <c r="F717" s="5" t="str">
        <f>IFERROR(__xludf.DUMMYFUNCTION("""COMPUTED_VALUE"""),"Yes")</f>
        <v>Yes</v>
      </c>
      <c r="G717" s="5" t="str">
        <f>IFERROR(__xludf.DUMMYFUNCTION("""COMPUTED_VALUE"""),"Yes")</f>
        <v>Yes</v>
      </c>
      <c r="H717" s="5" t="str">
        <f>IFERROR(__xludf.DUMMYFUNCTION("""COMPUTED_VALUE"""),"Yes")</f>
        <v>Yes</v>
      </c>
      <c r="I717" s="5" t="str">
        <f>IFERROR(__xludf.DUMMYFUNCTION("""COMPUTED_VALUE"""),"Yes")</f>
        <v>Yes</v>
      </c>
      <c r="J717" s="5" t="str">
        <f>IFERROR(__xludf.DUMMYFUNCTION("""COMPUTED_VALUE"""),"Yes")</f>
        <v>Yes</v>
      </c>
      <c r="K717" s="5" t="str">
        <f>IFERROR(__xludf.DUMMYFUNCTION("""COMPUTED_VALUE"""),"Yes")</f>
        <v>Yes</v>
      </c>
      <c r="L717" s="5" t="str">
        <f>IFERROR(__xludf.DUMMYFUNCTION("""COMPUTED_VALUE"""),"Yes")</f>
        <v>Yes</v>
      </c>
      <c r="M717" s="5" t="str">
        <f>IFERROR(__xludf.DUMMYFUNCTION("""COMPUTED_VALUE"""),"Yes")</f>
        <v>Yes</v>
      </c>
      <c r="N717" s="5" t="str">
        <f>IFERROR(__xludf.DUMMYFUNCTION("""COMPUTED_VALUE"""),"Yes")</f>
        <v>Yes</v>
      </c>
      <c r="O717" s="5" t="str">
        <f>IFERROR(__xludf.DUMMYFUNCTION("""COMPUTED_VALUE"""),"Yes")</f>
        <v>Yes</v>
      </c>
      <c r="P717" s="5" t="str">
        <f>IFERROR(__xludf.DUMMYFUNCTION("""COMPUTED_VALUE"""),"Yes")</f>
        <v>Yes</v>
      </c>
      <c r="Q717" s="5" t="str">
        <f>IFERROR(__xludf.DUMMYFUNCTION("""COMPUTED_VALUE"""),"Yes")</f>
        <v>Yes</v>
      </c>
      <c r="R717" s="5" t="str">
        <f>IFERROR(__xludf.DUMMYFUNCTION("""COMPUTED_VALUE"""),"Yes")</f>
        <v>Yes</v>
      </c>
      <c r="S717" s="5" t="str">
        <f>IFERROR(__xludf.DUMMYFUNCTION("""COMPUTED_VALUE"""),"Yes")</f>
        <v>Yes</v>
      </c>
      <c r="T717" s="5" t="str">
        <f>IFERROR(__xludf.DUMMYFUNCTION("""COMPUTED_VALUE"""),"Yes")</f>
        <v>Yes</v>
      </c>
      <c r="U717" s="5" t="str">
        <f>IFERROR(__xludf.DUMMYFUNCTION("""COMPUTED_VALUE"""),"Yes")</f>
        <v>Yes</v>
      </c>
      <c r="V717" s="5" t="str">
        <f>IFERROR(__xludf.DUMMYFUNCTION("""COMPUTED_VALUE"""),"Yes")</f>
        <v>Yes</v>
      </c>
      <c r="W717" s="5" t="str">
        <f>IFERROR(__xludf.DUMMYFUNCTION("""COMPUTED_VALUE"""),"Yes")</f>
        <v>Yes</v>
      </c>
      <c r="X717" s="5" t="str">
        <f>IFERROR(__xludf.DUMMYFUNCTION("""COMPUTED_VALUE"""),"Yes")</f>
        <v>Yes</v>
      </c>
      <c r="Y717" s="5" t="str">
        <f>IFERROR(__xludf.DUMMYFUNCTION("""COMPUTED_VALUE"""),"Yes")</f>
        <v>Yes</v>
      </c>
      <c r="Z717" s="5" t="str">
        <f>IFERROR(__xludf.DUMMYFUNCTION("""COMPUTED_VALUE"""),"Yes")</f>
        <v>Yes</v>
      </c>
      <c r="AA717" s="5" t="str">
        <f>IFERROR(__xludf.DUMMYFUNCTION("""COMPUTED_VALUE"""),"Yes")</f>
        <v>Yes</v>
      </c>
      <c r="AB717" s="5" t="str">
        <f>IFERROR(__xludf.DUMMYFUNCTION("""COMPUTED_VALUE"""),"Yes")</f>
        <v>Yes</v>
      </c>
      <c r="AC717" s="5" t="str">
        <f>IFERROR(__xludf.DUMMYFUNCTION("""COMPUTED_VALUE"""),"Yes")</f>
        <v>Yes</v>
      </c>
      <c r="AD717" s="5" t="str">
        <f>IFERROR(__xludf.DUMMYFUNCTION("""COMPUTED_VALUE"""),"Yes")</f>
        <v>Yes</v>
      </c>
      <c r="AE717" s="5" t="str">
        <f>IFERROR(__xludf.DUMMYFUNCTION("""COMPUTED_VALUE"""),"Yes")</f>
        <v>Yes</v>
      </c>
      <c r="AF717" s="5" t="str">
        <f>IFERROR(__xludf.DUMMYFUNCTION("""COMPUTED_VALUE"""),"Yes")</f>
        <v>Yes</v>
      </c>
      <c r="AG717" s="5" t="str">
        <f>IFERROR(__xludf.DUMMYFUNCTION("""COMPUTED_VALUE"""),"Yes")</f>
        <v>Yes</v>
      </c>
      <c r="AH717" s="5" t="str">
        <f>IFERROR(__xludf.DUMMYFUNCTION("""COMPUTED_VALUE"""),"Yes")</f>
        <v>Yes</v>
      </c>
      <c r="AI717" s="5" t="str">
        <f>IFERROR(__xludf.DUMMYFUNCTION("""COMPUTED_VALUE"""),"No")</f>
        <v>No</v>
      </c>
      <c r="AJ717" s="5" t="str">
        <f>IFERROR(__xludf.DUMMYFUNCTION("""COMPUTED_VALUE"""),"No")</f>
        <v>No</v>
      </c>
      <c r="AK717" s="5" t="str">
        <f>IFERROR(__xludf.DUMMYFUNCTION("""COMPUTED_VALUE"""),"No")</f>
        <v>No</v>
      </c>
      <c r="AL717" s="5" t="str">
        <f>IFERROR(__xludf.DUMMYFUNCTION("""COMPUTED_VALUE"""),"No")</f>
        <v>No</v>
      </c>
      <c r="AM717" s="5"/>
      <c r="AN717" s="5"/>
      <c r="AO717" s="5"/>
      <c r="AP717" s="5"/>
      <c r="AQ717" s="5"/>
      <c r="AR717" s="5"/>
      <c r="AS717" s="5"/>
      <c r="AT717" s="5"/>
      <c r="AU717" s="5"/>
      <c r="AV717" s="5"/>
      <c r="AW717" s="5"/>
      <c r="AX717" s="5"/>
      <c r="AY717" s="5"/>
    </row>
    <row r="718">
      <c r="A718" s="5" t="str">
        <f>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Amharic(""amh""), Swahili(""swa""), Polish(""pol""), Latvian(""lav""), Lithuanian(""li"&amp;"t""), Slovak(""slk""), Ukrainian(""ukr""), Filipino(""fil""), Chinese(""zho/chi""), Traditional Chinese(""zht""), Japanese(""jpn""), Korean(""kor"")")</f>
        <v>English("eng"), Serbian(""srp","srb""), Montenegrian("mne"), Bulgarian("bul"), Spanish("spa"), Portuguese("por"), Italian("ita"), Romanian("rum/ron"), Croatian("hrv"), French("fre/fra"), German("ger/deu"), Dutch("dut/nld"), Turkish("tur"), Greek("gre/ell"), Czech("cze/ces"), Hungarian("hun"), N. Macedonian("mkd/mac"), Finnish("fin"), Armenian("arm/hye"), Social English("sen"), Amharic("amh"), Swahili("swa"), Polish("pol"), Latvian("lav"), Lithuanian("lit"), Slovak("slk"), Ukrainian("ukr"), Filipino("fil"), Chinese("zho/chi"), Traditional Chinese("zht"), Japanese("jpn"), Korean("kor")</v>
      </c>
      <c r="B718" s="5">
        <f>IFERROR(__xludf.DUMMYFUNCTION("""COMPUTED_VALUE"""),755.0)</f>
        <v>755</v>
      </c>
      <c r="C718" s="5">
        <f>IFERROR(__xludf.DUMMYFUNCTION("""COMPUTED_VALUE"""),3039.0)</f>
        <v>3039</v>
      </c>
      <c r="D718" s="5" t="str">
        <f>IFERROR(__xludf.DUMMYFUNCTION("""COMPUTED_VALUE"""),"VeryHot10Extreme")</f>
        <v>VeryHot10Extreme</v>
      </c>
      <c r="E718" s="5" t="str">
        <f>IFERROR(__xludf.DUMMYFUNCTION("""COMPUTED_VALUE"""),"Yes")</f>
        <v>Yes</v>
      </c>
      <c r="F718" s="5" t="str">
        <f>IFERROR(__xludf.DUMMYFUNCTION("""COMPUTED_VALUE"""),"Yes")</f>
        <v>Yes</v>
      </c>
      <c r="G718" s="5" t="str">
        <f>IFERROR(__xludf.DUMMYFUNCTION("""COMPUTED_VALUE"""),"Yes")</f>
        <v>Yes</v>
      </c>
      <c r="H718" s="5" t="str">
        <f>IFERROR(__xludf.DUMMYFUNCTION("""COMPUTED_VALUE"""),"Yes")</f>
        <v>Yes</v>
      </c>
      <c r="I718" s="5" t="str">
        <f>IFERROR(__xludf.DUMMYFUNCTION("""COMPUTED_VALUE"""),"Yes")</f>
        <v>Yes</v>
      </c>
      <c r="J718" s="5" t="str">
        <f>IFERROR(__xludf.DUMMYFUNCTION("""COMPUTED_VALUE"""),"Yes")</f>
        <v>Yes</v>
      </c>
      <c r="K718" s="5" t="str">
        <f>IFERROR(__xludf.DUMMYFUNCTION("""COMPUTED_VALUE"""),"Yes")</f>
        <v>Yes</v>
      </c>
      <c r="L718" s="5" t="str">
        <f>IFERROR(__xludf.DUMMYFUNCTION("""COMPUTED_VALUE"""),"Yes")</f>
        <v>Yes</v>
      </c>
      <c r="M718" s="5" t="str">
        <f>IFERROR(__xludf.DUMMYFUNCTION("""COMPUTED_VALUE"""),"Yes")</f>
        <v>Yes</v>
      </c>
      <c r="N718" s="5" t="str">
        <f>IFERROR(__xludf.DUMMYFUNCTION("""COMPUTED_VALUE"""),"Yes")</f>
        <v>Yes</v>
      </c>
      <c r="O718" s="5" t="str">
        <f>IFERROR(__xludf.DUMMYFUNCTION("""COMPUTED_VALUE"""),"Yes")</f>
        <v>Yes</v>
      </c>
      <c r="P718" s="5" t="str">
        <f>IFERROR(__xludf.DUMMYFUNCTION("""COMPUTED_VALUE"""),"Yes")</f>
        <v>Yes</v>
      </c>
      <c r="Q718" s="5" t="str">
        <f>IFERROR(__xludf.DUMMYFUNCTION("""COMPUTED_VALUE"""),"Yes")</f>
        <v>Yes</v>
      </c>
      <c r="R718" s="5" t="str">
        <f>IFERROR(__xludf.DUMMYFUNCTION("""COMPUTED_VALUE"""),"Yes")</f>
        <v>Yes</v>
      </c>
      <c r="S718" s="5"/>
      <c r="T718" s="5" t="str">
        <f>IFERROR(__xludf.DUMMYFUNCTION("""COMPUTED_VALUE"""),"Yes")</f>
        <v>Yes</v>
      </c>
      <c r="U718" s="5" t="str">
        <f>IFERROR(__xludf.DUMMYFUNCTION("""COMPUTED_VALUE"""),"Yes")</f>
        <v>Yes</v>
      </c>
      <c r="V718" s="5" t="str">
        <f>IFERROR(__xludf.DUMMYFUNCTION("""COMPUTED_VALUE"""),"Yes")</f>
        <v>Yes</v>
      </c>
      <c r="W718" s="5" t="str">
        <f>IFERROR(__xludf.DUMMYFUNCTION("""COMPUTED_VALUE"""),"Yes")</f>
        <v>Yes</v>
      </c>
      <c r="X718" s="5" t="str">
        <f>IFERROR(__xludf.DUMMYFUNCTION("""COMPUTED_VALUE"""),"Yes")</f>
        <v>Yes</v>
      </c>
      <c r="Y718" s="5" t="str">
        <f>IFERROR(__xludf.DUMMYFUNCTION("""COMPUTED_VALUE"""),"Yes")</f>
        <v>Yes</v>
      </c>
      <c r="Z718" s="5" t="str">
        <f>IFERROR(__xludf.DUMMYFUNCTION("""COMPUTED_VALUE"""),"Yes")</f>
        <v>Yes</v>
      </c>
      <c r="AA718" s="5" t="str">
        <f>IFERROR(__xludf.DUMMYFUNCTION("""COMPUTED_VALUE"""),"Yes")</f>
        <v>Yes</v>
      </c>
      <c r="AB718" s="5" t="str">
        <f>IFERROR(__xludf.DUMMYFUNCTION("""COMPUTED_VALUE"""),"Yes")</f>
        <v>Yes</v>
      </c>
      <c r="AC718" s="5" t="str">
        <f>IFERROR(__xludf.DUMMYFUNCTION("""COMPUTED_VALUE"""),"Yes")</f>
        <v>Yes</v>
      </c>
      <c r="AD718" s="5" t="str">
        <f>IFERROR(__xludf.DUMMYFUNCTION("""COMPUTED_VALUE"""),"Yes")</f>
        <v>Yes</v>
      </c>
      <c r="AE718" s="5" t="str">
        <f>IFERROR(__xludf.DUMMYFUNCTION("""COMPUTED_VALUE"""),"Yes")</f>
        <v>Yes</v>
      </c>
      <c r="AF718" s="5" t="str">
        <f>IFERROR(__xludf.DUMMYFUNCTION("""COMPUTED_VALUE"""),"Yes")</f>
        <v>Yes</v>
      </c>
      <c r="AG718" s="5" t="str">
        <f>IFERROR(__xludf.DUMMYFUNCTION("""COMPUTED_VALUE"""),"Yes")</f>
        <v>Yes</v>
      </c>
      <c r="AH718" s="5" t="str">
        <f>IFERROR(__xludf.DUMMYFUNCTION("""COMPUTED_VALUE"""),"Yes")</f>
        <v>Yes</v>
      </c>
      <c r="AI718" s="5" t="str">
        <f>IFERROR(__xludf.DUMMYFUNCTION("""COMPUTED_VALUE"""),"Yes")</f>
        <v>Yes</v>
      </c>
      <c r="AJ718" s="5" t="str">
        <f>IFERROR(__xludf.DUMMYFUNCTION("""COMPUTED_VALUE"""),"Yes")</f>
        <v>Yes</v>
      </c>
      <c r="AK718" s="5" t="str">
        <f>IFERROR(__xludf.DUMMYFUNCTION("""COMPUTED_VALUE"""),"Yes")</f>
        <v>Yes</v>
      </c>
      <c r="AL718" s="5"/>
      <c r="AM718" s="5"/>
      <c r="AN718" s="5"/>
      <c r="AO718" s="5"/>
      <c r="AP718" s="5"/>
      <c r="AQ718" s="5"/>
      <c r="AR718" s="5"/>
      <c r="AS718" s="5"/>
      <c r="AT718" s="5"/>
      <c r="AU718" s="5"/>
      <c r="AV718" s="5"/>
      <c r="AW718" s="5"/>
      <c r="AX718" s="5"/>
      <c r="AY718" s="5"/>
    </row>
    <row r="719">
      <c r="A7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9" s="5">
        <f>IFERROR(__xludf.DUMMYFUNCTION("""COMPUTED_VALUE"""),756.0)</f>
        <v>756</v>
      </c>
      <c r="C719" s="5">
        <f>IFERROR(__xludf.DUMMYFUNCTION("""COMPUTED_VALUE"""),3040.0)</f>
        <v>3040</v>
      </c>
      <c r="D719" s="5" t="str">
        <f>IFERROR(__xludf.DUMMYFUNCTION("""COMPUTED_VALUE"""),"VeryHot20Extreme")</f>
        <v>VeryHot20Extreme</v>
      </c>
      <c r="E719" s="5" t="str">
        <f>IFERROR(__xludf.DUMMYFUNCTION("""COMPUTED_VALUE"""),"Yes")</f>
        <v>Yes</v>
      </c>
      <c r="F719" s="5" t="str">
        <f>IFERROR(__xludf.DUMMYFUNCTION("""COMPUTED_VALUE"""),"Yes")</f>
        <v>Yes</v>
      </c>
      <c r="G719" s="5" t="str">
        <f>IFERROR(__xludf.DUMMYFUNCTION("""COMPUTED_VALUE"""),"Yes")</f>
        <v>Yes</v>
      </c>
      <c r="H719" s="5" t="str">
        <f>IFERROR(__xludf.DUMMYFUNCTION("""COMPUTED_VALUE"""),"Yes")</f>
        <v>Yes</v>
      </c>
      <c r="I719" s="5" t="str">
        <f>IFERROR(__xludf.DUMMYFUNCTION("""COMPUTED_VALUE"""),"Yes")</f>
        <v>Yes</v>
      </c>
      <c r="J719" s="5" t="str">
        <f>IFERROR(__xludf.DUMMYFUNCTION("""COMPUTED_VALUE"""),"Yes")</f>
        <v>Yes</v>
      </c>
      <c r="K719" s="5" t="str">
        <f>IFERROR(__xludf.DUMMYFUNCTION("""COMPUTED_VALUE"""),"Yes")</f>
        <v>Yes</v>
      </c>
      <c r="L719" s="5" t="str">
        <f>IFERROR(__xludf.DUMMYFUNCTION("""COMPUTED_VALUE"""),"Yes")</f>
        <v>Yes</v>
      </c>
      <c r="M719" s="5" t="str">
        <f>IFERROR(__xludf.DUMMYFUNCTION("""COMPUTED_VALUE"""),"Yes")</f>
        <v>Yes</v>
      </c>
      <c r="N719" s="5" t="str">
        <f>IFERROR(__xludf.DUMMYFUNCTION("""COMPUTED_VALUE"""),"Yes")</f>
        <v>Yes</v>
      </c>
      <c r="O719" s="5" t="str">
        <f>IFERROR(__xludf.DUMMYFUNCTION("""COMPUTED_VALUE"""),"Yes")</f>
        <v>Yes</v>
      </c>
      <c r="P719" s="5" t="str">
        <f>IFERROR(__xludf.DUMMYFUNCTION("""COMPUTED_VALUE"""),"Yes")</f>
        <v>Yes</v>
      </c>
      <c r="Q719" s="5" t="str">
        <f>IFERROR(__xludf.DUMMYFUNCTION("""COMPUTED_VALUE"""),"Yes")</f>
        <v>Yes</v>
      </c>
      <c r="R719" s="5" t="str">
        <f>IFERROR(__xludf.DUMMYFUNCTION("""COMPUTED_VALUE"""),"Yes")</f>
        <v>Yes</v>
      </c>
      <c r="S719" s="5" t="str">
        <f>IFERROR(__xludf.DUMMYFUNCTION("""COMPUTED_VALUE"""),"Yes")</f>
        <v>Yes</v>
      </c>
      <c r="T719" s="5" t="str">
        <f>IFERROR(__xludf.DUMMYFUNCTION("""COMPUTED_VALUE"""),"Yes")</f>
        <v>Yes</v>
      </c>
      <c r="U719" s="5" t="str">
        <f>IFERROR(__xludf.DUMMYFUNCTION("""COMPUTED_VALUE"""),"Yes")</f>
        <v>Yes</v>
      </c>
      <c r="V719" s="5" t="str">
        <f>IFERROR(__xludf.DUMMYFUNCTION("""COMPUTED_VALUE"""),"Yes")</f>
        <v>Yes</v>
      </c>
      <c r="W719" s="5" t="str">
        <f>IFERROR(__xludf.DUMMYFUNCTION("""COMPUTED_VALUE"""),"Yes")</f>
        <v>Yes</v>
      </c>
      <c r="X719" s="5" t="str">
        <f>IFERROR(__xludf.DUMMYFUNCTION("""COMPUTED_VALUE"""),"Yes")</f>
        <v>Yes</v>
      </c>
      <c r="Y719" s="5" t="str">
        <f>IFERROR(__xludf.DUMMYFUNCTION("""COMPUTED_VALUE"""),"Yes")</f>
        <v>Yes</v>
      </c>
      <c r="Z719" s="5" t="str">
        <f>IFERROR(__xludf.DUMMYFUNCTION("""COMPUTED_VALUE"""),"Yes")</f>
        <v>Yes</v>
      </c>
      <c r="AA719" s="5" t="str">
        <f>IFERROR(__xludf.DUMMYFUNCTION("""COMPUTED_VALUE"""),"Yes")</f>
        <v>Yes</v>
      </c>
      <c r="AB719" s="5" t="str">
        <f>IFERROR(__xludf.DUMMYFUNCTION("""COMPUTED_VALUE"""),"Yes")</f>
        <v>Yes</v>
      </c>
      <c r="AC719" s="5" t="str">
        <f>IFERROR(__xludf.DUMMYFUNCTION("""COMPUTED_VALUE"""),"Yes")</f>
        <v>Yes</v>
      </c>
      <c r="AD719" s="5" t="str">
        <f>IFERROR(__xludf.DUMMYFUNCTION("""COMPUTED_VALUE"""),"Yes")</f>
        <v>Yes</v>
      </c>
      <c r="AE719" s="5" t="str">
        <f>IFERROR(__xludf.DUMMYFUNCTION("""COMPUTED_VALUE"""),"Yes")</f>
        <v>Yes</v>
      </c>
      <c r="AF719" s="5" t="str">
        <f>IFERROR(__xludf.DUMMYFUNCTION("""COMPUTED_VALUE"""),"Yes")</f>
        <v>Yes</v>
      </c>
      <c r="AG719" s="5" t="str">
        <f>IFERROR(__xludf.DUMMYFUNCTION("""COMPUTED_VALUE"""),"Yes")</f>
        <v>Yes</v>
      </c>
      <c r="AH719" s="5" t="str">
        <f>IFERROR(__xludf.DUMMYFUNCTION("""COMPUTED_VALUE"""),"Yes")</f>
        <v>Yes</v>
      </c>
      <c r="AI719" s="5" t="str">
        <f>IFERROR(__xludf.DUMMYFUNCTION("""COMPUTED_VALUE"""),"No")</f>
        <v>No</v>
      </c>
      <c r="AJ719" s="5" t="str">
        <f>IFERROR(__xludf.DUMMYFUNCTION("""COMPUTED_VALUE"""),"No")</f>
        <v>No</v>
      </c>
      <c r="AK719" s="5" t="str">
        <f>IFERROR(__xludf.DUMMYFUNCTION("""COMPUTED_VALUE"""),"No")</f>
        <v>No</v>
      </c>
      <c r="AL719" s="5" t="str">
        <f>IFERROR(__xludf.DUMMYFUNCTION("""COMPUTED_VALUE"""),"No")</f>
        <v>No</v>
      </c>
      <c r="AM719" s="5"/>
      <c r="AN719" s="5"/>
      <c r="AO719" s="5"/>
      <c r="AP719" s="5"/>
      <c r="AQ719" s="5"/>
      <c r="AR719" s="5"/>
      <c r="AS719" s="5"/>
      <c r="AT719" s="5"/>
      <c r="AU719" s="5"/>
      <c r="AV719" s="5"/>
      <c r="AW719" s="5"/>
      <c r="AX719" s="5"/>
      <c r="AY719" s="5"/>
    </row>
    <row r="720">
      <c r="A7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0" s="5">
        <f>IFERROR(__xludf.DUMMYFUNCTION("""COMPUTED_VALUE"""),757.0)</f>
        <v>757</v>
      </c>
      <c r="C720" s="5">
        <f>IFERROR(__xludf.DUMMYFUNCTION("""COMPUTED_VALUE"""),3042.0)</f>
        <v>3042</v>
      </c>
      <c r="D720" s="5" t="str">
        <f>IFERROR(__xludf.DUMMYFUNCTION("""COMPUTED_VALUE"""),"VeryHot20ExtremeBooster")</f>
        <v>VeryHot20ExtremeBooster</v>
      </c>
      <c r="E720" s="5" t="str">
        <f>IFERROR(__xludf.DUMMYFUNCTION("""COMPUTED_VALUE"""),"Yes")</f>
        <v>Yes</v>
      </c>
      <c r="F720" s="5" t="str">
        <f>IFERROR(__xludf.DUMMYFUNCTION("""COMPUTED_VALUE"""),"Yes")</f>
        <v>Yes</v>
      </c>
      <c r="G720" s="5" t="str">
        <f>IFERROR(__xludf.DUMMYFUNCTION("""COMPUTED_VALUE"""),"Yes")</f>
        <v>Yes</v>
      </c>
      <c r="H720" s="5" t="str">
        <f>IFERROR(__xludf.DUMMYFUNCTION("""COMPUTED_VALUE"""),"Yes")</f>
        <v>Yes</v>
      </c>
      <c r="I720" s="5" t="str">
        <f>IFERROR(__xludf.DUMMYFUNCTION("""COMPUTED_VALUE"""),"Yes")</f>
        <v>Yes</v>
      </c>
      <c r="J720" s="5" t="str">
        <f>IFERROR(__xludf.DUMMYFUNCTION("""COMPUTED_VALUE"""),"Yes")</f>
        <v>Yes</v>
      </c>
      <c r="K720" s="5" t="str">
        <f>IFERROR(__xludf.DUMMYFUNCTION("""COMPUTED_VALUE"""),"Yes")</f>
        <v>Yes</v>
      </c>
      <c r="L720" s="5" t="str">
        <f>IFERROR(__xludf.DUMMYFUNCTION("""COMPUTED_VALUE"""),"Yes")</f>
        <v>Yes</v>
      </c>
      <c r="M720" s="5" t="str">
        <f>IFERROR(__xludf.DUMMYFUNCTION("""COMPUTED_VALUE"""),"Yes")</f>
        <v>Yes</v>
      </c>
      <c r="N720" s="5" t="str">
        <f>IFERROR(__xludf.DUMMYFUNCTION("""COMPUTED_VALUE"""),"Yes")</f>
        <v>Yes</v>
      </c>
      <c r="O720" s="5" t="str">
        <f>IFERROR(__xludf.DUMMYFUNCTION("""COMPUTED_VALUE"""),"Yes")</f>
        <v>Yes</v>
      </c>
      <c r="P720" s="5" t="str">
        <f>IFERROR(__xludf.DUMMYFUNCTION("""COMPUTED_VALUE"""),"Yes")</f>
        <v>Yes</v>
      </c>
      <c r="Q720" s="5" t="str">
        <f>IFERROR(__xludf.DUMMYFUNCTION("""COMPUTED_VALUE"""),"Yes")</f>
        <v>Yes</v>
      </c>
      <c r="R720" s="5" t="str">
        <f>IFERROR(__xludf.DUMMYFUNCTION("""COMPUTED_VALUE"""),"Yes")</f>
        <v>Yes</v>
      </c>
      <c r="S720" s="5" t="str">
        <f>IFERROR(__xludf.DUMMYFUNCTION("""COMPUTED_VALUE"""),"Yes")</f>
        <v>Yes</v>
      </c>
      <c r="T720" s="5" t="str">
        <f>IFERROR(__xludf.DUMMYFUNCTION("""COMPUTED_VALUE"""),"Yes")</f>
        <v>Yes</v>
      </c>
      <c r="U720" s="5" t="str">
        <f>IFERROR(__xludf.DUMMYFUNCTION("""COMPUTED_VALUE"""),"Yes")</f>
        <v>Yes</v>
      </c>
      <c r="V720" s="5" t="str">
        <f>IFERROR(__xludf.DUMMYFUNCTION("""COMPUTED_VALUE"""),"Yes")</f>
        <v>Yes</v>
      </c>
      <c r="W720" s="5" t="str">
        <f>IFERROR(__xludf.DUMMYFUNCTION("""COMPUTED_VALUE"""),"Yes")</f>
        <v>Yes</v>
      </c>
      <c r="X720" s="5" t="str">
        <f>IFERROR(__xludf.DUMMYFUNCTION("""COMPUTED_VALUE"""),"Yes")</f>
        <v>Yes</v>
      </c>
      <c r="Y720" s="5" t="str">
        <f>IFERROR(__xludf.DUMMYFUNCTION("""COMPUTED_VALUE"""),"Yes")</f>
        <v>Yes</v>
      </c>
      <c r="Z720" s="5" t="str">
        <f>IFERROR(__xludf.DUMMYFUNCTION("""COMPUTED_VALUE"""),"Yes")</f>
        <v>Yes</v>
      </c>
      <c r="AA720" s="5" t="str">
        <f>IFERROR(__xludf.DUMMYFUNCTION("""COMPUTED_VALUE"""),"Yes")</f>
        <v>Yes</v>
      </c>
      <c r="AB720" s="5" t="str">
        <f>IFERROR(__xludf.DUMMYFUNCTION("""COMPUTED_VALUE"""),"Yes")</f>
        <v>Yes</v>
      </c>
      <c r="AC720" s="5" t="str">
        <f>IFERROR(__xludf.DUMMYFUNCTION("""COMPUTED_VALUE"""),"Yes")</f>
        <v>Yes</v>
      </c>
      <c r="AD720" s="5" t="str">
        <f>IFERROR(__xludf.DUMMYFUNCTION("""COMPUTED_VALUE"""),"Yes")</f>
        <v>Yes</v>
      </c>
      <c r="AE720" s="5" t="str">
        <f>IFERROR(__xludf.DUMMYFUNCTION("""COMPUTED_VALUE"""),"Yes")</f>
        <v>Yes</v>
      </c>
      <c r="AF720" s="5" t="str">
        <f>IFERROR(__xludf.DUMMYFUNCTION("""COMPUTED_VALUE"""),"Yes")</f>
        <v>Yes</v>
      </c>
      <c r="AG720" s="5" t="str">
        <f>IFERROR(__xludf.DUMMYFUNCTION("""COMPUTED_VALUE"""),"Yes")</f>
        <v>Yes</v>
      </c>
      <c r="AH720" s="5" t="str">
        <f>IFERROR(__xludf.DUMMYFUNCTION("""COMPUTED_VALUE"""),"Yes")</f>
        <v>Yes</v>
      </c>
      <c r="AI720" s="5" t="str">
        <f>IFERROR(__xludf.DUMMYFUNCTION("""COMPUTED_VALUE"""),"No")</f>
        <v>No</v>
      </c>
      <c r="AJ720" s="5" t="str">
        <f>IFERROR(__xludf.DUMMYFUNCTION("""COMPUTED_VALUE"""),"No")</f>
        <v>No</v>
      </c>
      <c r="AK720" s="5" t="str">
        <f>IFERROR(__xludf.DUMMYFUNCTION("""COMPUTED_VALUE"""),"No")</f>
        <v>No</v>
      </c>
      <c r="AL720" s="5" t="str">
        <f>IFERROR(__xludf.DUMMYFUNCTION("""COMPUTED_VALUE"""),"No")</f>
        <v>No</v>
      </c>
      <c r="AM720" s="5"/>
      <c r="AN720" s="5"/>
      <c r="AO720" s="5"/>
      <c r="AP720" s="5"/>
      <c r="AQ720" s="5"/>
      <c r="AR720" s="5"/>
      <c r="AS720" s="5"/>
      <c r="AT720" s="5"/>
      <c r="AU720" s="5"/>
      <c r="AV720" s="5"/>
      <c r="AW720" s="5"/>
      <c r="AX720" s="5"/>
      <c r="AY720" s="5"/>
    </row>
    <row r="721">
      <c r="A7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1" s="5">
        <f>IFERROR(__xludf.DUMMYFUNCTION("""COMPUTED_VALUE"""),758.0)</f>
        <v>758</v>
      </c>
      <c r="C721" s="5">
        <f>IFERROR(__xludf.DUMMYFUNCTION("""COMPUTED_VALUE"""),3041.0)</f>
        <v>3041</v>
      </c>
      <c r="D721" s="5" t="str">
        <f>IFERROR(__xludf.DUMMYFUNCTION("""COMPUTED_VALUE"""),"VeryHot10ExtremeBooster")</f>
        <v>VeryHot10ExtremeBooster</v>
      </c>
      <c r="E721" s="5" t="str">
        <f>IFERROR(__xludf.DUMMYFUNCTION("""COMPUTED_VALUE"""),"Yes")</f>
        <v>Yes</v>
      </c>
      <c r="F721" s="5" t="str">
        <f>IFERROR(__xludf.DUMMYFUNCTION("""COMPUTED_VALUE"""),"Yes")</f>
        <v>Yes</v>
      </c>
      <c r="G721" s="5" t="str">
        <f>IFERROR(__xludf.DUMMYFUNCTION("""COMPUTED_VALUE"""),"Yes")</f>
        <v>Yes</v>
      </c>
      <c r="H721" s="5" t="str">
        <f>IFERROR(__xludf.DUMMYFUNCTION("""COMPUTED_VALUE"""),"Yes")</f>
        <v>Yes</v>
      </c>
      <c r="I721" s="5" t="str">
        <f>IFERROR(__xludf.DUMMYFUNCTION("""COMPUTED_VALUE"""),"Yes")</f>
        <v>Yes</v>
      </c>
      <c r="J721" s="5" t="str">
        <f>IFERROR(__xludf.DUMMYFUNCTION("""COMPUTED_VALUE"""),"Yes")</f>
        <v>Yes</v>
      </c>
      <c r="K721" s="5" t="str">
        <f>IFERROR(__xludf.DUMMYFUNCTION("""COMPUTED_VALUE"""),"Yes")</f>
        <v>Yes</v>
      </c>
      <c r="L721" s="5" t="str">
        <f>IFERROR(__xludf.DUMMYFUNCTION("""COMPUTED_VALUE"""),"Yes")</f>
        <v>Yes</v>
      </c>
      <c r="M721" s="5" t="str">
        <f>IFERROR(__xludf.DUMMYFUNCTION("""COMPUTED_VALUE"""),"Yes")</f>
        <v>Yes</v>
      </c>
      <c r="N721" s="5" t="str">
        <f>IFERROR(__xludf.DUMMYFUNCTION("""COMPUTED_VALUE"""),"Yes")</f>
        <v>Yes</v>
      </c>
      <c r="O721" s="5" t="str">
        <f>IFERROR(__xludf.DUMMYFUNCTION("""COMPUTED_VALUE"""),"Yes")</f>
        <v>Yes</v>
      </c>
      <c r="P721" s="5" t="str">
        <f>IFERROR(__xludf.DUMMYFUNCTION("""COMPUTED_VALUE"""),"Yes")</f>
        <v>Yes</v>
      </c>
      <c r="Q721" s="5" t="str">
        <f>IFERROR(__xludf.DUMMYFUNCTION("""COMPUTED_VALUE"""),"Yes")</f>
        <v>Yes</v>
      </c>
      <c r="R721" s="5" t="str">
        <f>IFERROR(__xludf.DUMMYFUNCTION("""COMPUTED_VALUE"""),"Yes")</f>
        <v>Yes</v>
      </c>
      <c r="S721" s="5" t="str">
        <f>IFERROR(__xludf.DUMMYFUNCTION("""COMPUTED_VALUE"""),"Yes")</f>
        <v>Yes</v>
      </c>
      <c r="T721" s="5" t="str">
        <f>IFERROR(__xludf.DUMMYFUNCTION("""COMPUTED_VALUE"""),"Yes")</f>
        <v>Yes</v>
      </c>
      <c r="U721" s="5" t="str">
        <f>IFERROR(__xludf.DUMMYFUNCTION("""COMPUTED_VALUE"""),"Yes")</f>
        <v>Yes</v>
      </c>
      <c r="V721" s="5" t="str">
        <f>IFERROR(__xludf.DUMMYFUNCTION("""COMPUTED_VALUE"""),"Yes")</f>
        <v>Yes</v>
      </c>
      <c r="W721" s="5" t="str">
        <f>IFERROR(__xludf.DUMMYFUNCTION("""COMPUTED_VALUE"""),"Yes")</f>
        <v>Yes</v>
      </c>
      <c r="X721" s="5" t="str">
        <f>IFERROR(__xludf.DUMMYFUNCTION("""COMPUTED_VALUE"""),"Yes")</f>
        <v>Yes</v>
      </c>
      <c r="Y721" s="5" t="str">
        <f>IFERROR(__xludf.DUMMYFUNCTION("""COMPUTED_VALUE"""),"Yes")</f>
        <v>Yes</v>
      </c>
      <c r="Z721" s="5" t="str">
        <f>IFERROR(__xludf.DUMMYFUNCTION("""COMPUTED_VALUE"""),"Yes")</f>
        <v>Yes</v>
      </c>
      <c r="AA721" s="5" t="str">
        <f>IFERROR(__xludf.DUMMYFUNCTION("""COMPUTED_VALUE"""),"Yes")</f>
        <v>Yes</v>
      </c>
      <c r="AB721" s="5" t="str">
        <f>IFERROR(__xludf.DUMMYFUNCTION("""COMPUTED_VALUE"""),"Yes")</f>
        <v>Yes</v>
      </c>
      <c r="AC721" s="5" t="str">
        <f>IFERROR(__xludf.DUMMYFUNCTION("""COMPUTED_VALUE"""),"Yes")</f>
        <v>Yes</v>
      </c>
      <c r="AD721" s="5" t="str">
        <f>IFERROR(__xludf.DUMMYFUNCTION("""COMPUTED_VALUE"""),"Yes")</f>
        <v>Yes</v>
      </c>
      <c r="AE721" s="5" t="str">
        <f>IFERROR(__xludf.DUMMYFUNCTION("""COMPUTED_VALUE"""),"Yes")</f>
        <v>Yes</v>
      </c>
      <c r="AF721" s="5" t="str">
        <f>IFERROR(__xludf.DUMMYFUNCTION("""COMPUTED_VALUE"""),"Yes")</f>
        <v>Yes</v>
      </c>
      <c r="AG721" s="5" t="str">
        <f>IFERROR(__xludf.DUMMYFUNCTION("""COMPUTED_VALUE"""),"Yes")</f>
        <v>Yes</v>
      </c>
      <c r="AH721" s="5" t="str">
        <f>IFERROR(__xludf.DUMMYFUNCTION("""COMPUTED_VALUE"""),"Yes")</f>
        <v>Yes</v>
      </c>
      <c r="AI721" s="5" t="str">
        <f>IFERROR(__xludf.DUMMYFUNCTION("""COMPUTED_VALUE"""),"No")</f>
        <v>No</v>
      </c>
      <c r="AJ721" s="5" t="str">
        <f>IFERROR(__xludf.DUMMYFUNCTION("""COMPUTED_VALUE"""),"No")</f>
        <v>No</v>
      </c>
      <c r="AK721" s="5" t="str">
        <f>IFERROR(__xludf.DUMMYFUNCTION("""COMPUTED_VALUE"""),"No")</f>
        <v>No</v>
      </c>
      <c r="AL721" s="5" t="str">
        <f>IFERROR(__xludf.DUMMYFUNCTION("""COMPUTED_VALUE"""),"No")</f>
        <v>No</v>
      </c>
      <c r="AM721" s="5"/>
      <c r="AN721" s="5"/>
      <c r="AO721" s="5"/>
      <c r="AP721" s="5"/>
      <c r="AQ721" s="5"/>
      <c r="AR721" s="5"/>
      <c r="AS721" s="5"/>
      <c r="AT721" s="5"/>
      <c r="AU721" s="5"/>
      <c r="AV721" s="5"/>
      <c r="AW721" s="5"/>
      <c r="AX721" s="5"/>
      <c r="AY721" s="5"/>
    </row>
    <row r="722">
      <c r="A7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2" s="5">
        <f>IFERROR(__xludf.DUMMYFUNCTION("""COMPUTED_VALUE"""),759.0)</f>
        <v>759</v>
      </c>
      <c r="C722" s="5">
        <f>IFERROR(__xludf.DUMMYFUNCTION("""COMPUTED_VALUE"""),3043.0)</f>
        <v>3043</v>
      </c>
      <c r="D722" s="5" t="str">
        <f>IFERROR(__xludf.DUMMYFUNCTION("""COMPUTED_VALUE"""),"VeryHot100Extreme")</f>
        <v>VeryHot100Extreme</v>
      </c>
      <c r="E722" s="5" t="str">
        <f>IFERROR(__xludf.DUMMYFUNCTION("""COMPUTED_VALUE"""),"Yes")</f>
        <v>Yes</v>
      </c>
      <c r="F722" s="5" t="str">
        <f>IFERROR(__xludf.DUMMYFUNCTION("""COMPUTED_VALUE"""),"Yes")</f>
        <v>Yes</v>
      </c>
      <c r="G722" s="5" t="str">
        <f>IFERROR(__xludf.DUMMYFUNCTION("""COMPUTED_VALUE"""),"Yes")</f>
        <v>Yes</v>
      </c>
      <c r="H722" s="5" t="str">
        <f>IFERROR(__xludf.DUMMYFUNCTION("""COMPUTED_VALUE"""),"Yes")</f>
        <v>Yes</v>
      </c>
      <c r="I722" s="5" t="str">
        <f>IFERROR(__xludf.DUMMYFUNCTION("""COMPUTED_VALUE"""),"Yes")</f>
        <v>Yes</v>
      </c>
      <c r="J722" s="5" t="str">
        <f>IFERROR(__xludf.DUMMYFUNCTION("""COMPUTED_VALUE"""),"Yes")</f>
        <v>Yes</v>
      </c>
      <c r="K722" s="5" t="str">
        <f>IFERROR(__xludf.DUMMYFUNCTION("""COMPUTED_VALUE"""),"Yes")</f>
        <v>Yes</v>
      </c>
      <c r="L722" s="5" t="str">
        <f>IFERROR(__xludf.DUMMYFUNCTION("""COMPUTED_VALUE"""),"Yes")</f>
        <v>Yes</v>
      </c>
      <c r="M722" s="5" t="str">
        <f>IFERROR(__xludf.DUMMYFUNCTION("""COMPUTED_VALUE"""),"Yes")</f>
        <v>Yes</v>
      </c>
      <c r="N722" s="5" t="str">
        <f>IFERROR(__xludf.DUMMYFUNCTION("""COMPUTED_VALUE"""),"Yes")</f>
        <v>Yes</v>
      </c>
      <c r="O722" s="5" t="str">
        <f>IFERROR(__xludf.DUMMYFUNCTION("""COMPUTED_VALUE"""),"Yes")</f>
        <v>Yes</v>
      </c>
      <c r="P722" s="5" t="str">
        <f>IFERROR(__xludf.DUMMYFUNCTION("""COMPUTED_VALUE"""),"Yes")</f>
        <v>Yes</v>
      </c>
      <c r="Q722" s="5" t="str">
        <f>IFERROR(__xludf.DUMMYFUNCTION("""COMPUTED_VALUE"""),"Yes")</f>
        <v>Yes</v>
      </c>
      <c r="R722" s="5" t="str">
        <f>IFERROR(__xludf.DUMMYFUNCTION("""COMPUTED_VALUE"""),"Yes")</f>
        <v>Yes</v>
      </c>
      <c r="S722" s="5" t="str">
        <f>IFERROR(__xludf.DUMMYFUNCTION("""COMPUTED_VALUE"""),"Yes")</f>
        <v>Yes</v>
      </c>
      <c r="T722" s="5" t="str">
        <f>IFERROR(__xludf.DUMMYFUNCTION("""COMPUTED_VALUE"""),"Yes")</f>
        <v>Yes</v>
      </c>
      <c r="U722" s="5" t="str">
        <f>IFERROR(__xludf.DUMMYFUNCTION("""COMPUTED_VALUE"""),"Yes")</f>
        <v>Yes</v>
      </c>
      <c r="V722" s="5" t="str">
        <f>IFERROR(__xludf.DUMMYFUNCTION("""COMPUTED_VALUE"""),"Yes")</f>
        <v>Yes</v>
      </c>
      <c r="W722" s="5" t="str">
        <f>IFERROR(__xludf.DUMMYFUNCTION("""COMPUTED_VALUE"""),"Yes")</f>
        <v>Yes</v>
      </c>
      <c r="X722" s="5" t="str">
        <f>IFERROR(__xludf.DUMMYFUNCTION("""COMPUTED_VALUE"""),"Yes")</f>
        <v>Yes</v>
      </c>
      <c r="Y722" s="5" t="str">
        <f>IFERROR(__xludf.DUMMYFUNCTION("""COMPUTED_VALUE"""),"Yes")</f>
        <v>Yes</v>
      </c>
      <c r="Z722" s="5" t="str">
        <f>IFERROR(__xludf.DUMMYFUNCTION("""COMPUTED_VALUE"""),"Yes")</f>
        <v>Yes</v>
      </c>
      <c r="AA722" s="5" t="str">
        <f>IFERROR(__xludf.DUMMYFUNCTION("""COMPUTED_VALUE"""),"Yes")</f>
        <v>Yes</v>
      </c>
      <c r="AB722" s="5" t="str">
        <f>IFERROR(__xludf.DUMMYFUNCTION("""COMPUTED_VALUE"""),"Yes")</f>
        <v>Yes</v>
      </c>
      <c r="AC722" s="5" t="str">
        <f>IFERROR(__xludf.DUMMYFUNCTION("""COMPUTED_VALUE"""),"Yes")</f>
        <v>Yes</v>
      </c>
      <c r="AD722" s="5" t="str">
        <f>IFERROR(__xludf.DUMMYFUNCTION("""COMPUTED_VALUE"""),"Yes")</f>
        <v>Yes</v>
      </c>
      <c r="AE722" s="5" t="str">
        <f>IFERROR(__xludf.DUMMYFUNCTION("""COMPUTED_VALUE"""),"Yes")</f>
        <v>Yes</v>
      </c>
      <c r="AF722" s="5" t="str">
        <f>IFERROR(__xludf.DUMMYFUNCTION("""COMPUTED_VALUE"""),"Yes")</f>
        <v>Yes</v>
      </c>
      <c r="AG722" s="5" t="str">
        <f>IFERROR(__xludf.DUMMYFUNCTION("""COMPUTED_VALUE"""),"Yes")</f>
        <v>Yes</v>
      </c>
      <c r="AH722" s="5" t="str">
        <f>IFERROR(__xludf.DUMMYFUNCTION("""COMPUTED_VALUE"""),"Yes")</f>
        <v>Yes</v>
      </c>
      <c r="AI722" s="5" t="str">
        <f>IFERROR(__xludf.DUMMYFUNCTION("""COMPUTED_VALUE"""),"No")</f>
        <v>No</v>
      </c>
      <c r="AJ722" s="5" t="str">
        <f>IFERROR(__xludf.DUMMYFUNCTION("""COMPUTED_VALUE"""),"No")</f>
        <v>No</v>
      </c>
      <c r="AK722" s="5" t="str">
        <f>IFERROR(__xludf.DUMMYFUNCTION("""COMPUTED_VALUE"""),"No")</f>
        <v>No</v>
      </c>
      <c r="AL722" s="5" t="str">
        <f>IFERROR(__xludf.DUMMYFUNCTION("""COMPUTED_VALUE"""),"No")</f>
        <v>No</v>
      </c>
      <c r="AM722" s="5"/>
      <c r="AN722" s="5"/>
      <c r="AO722" s="5"/>
      <c r="AP722" s="5"/>
      <c r="AQ722" s="5"/>
      <c r="AR722" s="5"/>
      <c r="AS722" s="5"/>
      <c r="AT722" s="5"/>
      <c r="AU722" s="5"/>
      <c r="AV722" s="5"/>
      <c r="AW722" s="5"/>
      <c r="AX722" s="5"/>
      <c r="AY722" s="5"/>
    </row>
    <row r="723">
      <c r="A7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3" s="5">
        <f>IFERROR(__xludf.DUMMYFUNCTION("""COMPUTED_VALUE"""),760.0)</f>
        <v>760</v>
      </c>
      <c r="C723" s="5">
        <f>IFERROR(__xludf.DUMMYFUNCTION("""COMPUTED_VALUE"""),3044.0)</f>
        <v>3044</v>
      </c>
      <c r="D723" s="5" t="str">
        <f>IFERROR(__xludf.DUMMYFUNCTION("""COMPUTED_VALUE"""),"VeryHot100ExtremeBooster")</f>
        <v>VeryHot100ExtremeBooster</v>
      </c>
      <c r="E723" s="5" t="str">
        <f>IFERROR(__xludf.DUMMYFUNCTION("""COMPUTED_VALUE"""),"Yes")</f>
        <v>Yes</v>
      </c>
      <c r="F723" s="5" t="str">
        <f>IFERROR(__xludf.DUMMYFUNCTION("""COMPUTED_VALUE"""),"Yes")</f>
        <v>Yes</v>
      </c>
      <c r="G723" s="5" t="str">
        <f>IFERROR(__xludf.DUMMYFUNCTION("""COMPUTED_VALUE"""),"Yes")</f>
        <v>Yes</v>
      </c>
      <c r="H723" s="5" t="str">
        <f>IFERROR(__xludf.DUMMYFUNCTION("""COMPUTED_VALUE"""),"Yes")</f>
        <v>Yes</v>
      </c>
      <c r="I723" s="5" t="str">
        <f>IFERROR(__xludf.DUMMYFUNCTION("""COMPUTED_VALUE"""),"Yes")</f>
        <v>Yes</v>
      </c>
      <c r="J723" s="5" t="str">
        <f>IFERROR(__xludf.DUMMYFUNCTION("""COMPUTED_VALUE"""),"Yes")</f>
        <v>Yes</v>
      </c>
      <c r="K723" s="5" t="str">
        <f>IFERROR(__xludf.DUMMYFUNCTION("""COMPUTED_VALUE"""),"Yes")</f>
        <v>Yes</v>
      </c>
      <c r="L723" s="5" t="str">
        <f>IFERROR(__xludf.DUMMYFUNCTION("""COMPUTED_VALUE"""),"Yes")</f>
        <v>Yes</v>
      </c>
      <c r="M723" s="5" t="str">
        <f>IFERROR(__xludf.DUMMYFUNCTION("""COMPUTED_VALUE"""),"Yes")</f>
        <v>Yes</v>
      </c>
      <c r="N723" s="5" t="str">
        <f>IFERROR(__xludf.DUMMYFUNCTION("""COMPUTED_VALUE"""),"Yes")</f>
        <v>Yes</v>
      </c>
      <c r="O723" s="5" t="str">
        <f>IFERROR(__xludf.DUMMYFUNCTION("""COMPUTED_VALUE"""),"Yes")</f>
        <v>Yes</v>
      </c>
      <c r="P723" s="5" t="str">
        <f>IFERROR(__xludf.DUMMYFUNCTION("""COMPUTED_VALUE"""),"Yes")</f>
        <v>Yes</v>
      </c>
      <c r="Q723" s="5" t="str">
        <f>IFERROR(__xludf.DUMMYFUNCTION("""COMPUTED_VALUE"""),"Yes")</f>
        <v>Yes</v>
      </c>
      <c r="R723" s="5" t="str">
        <f>IFERROR(__xludf.DUMMYFUNCTION("""COMPUTED_VALUE"""),"Yes")</f>
        <v>Yes</v>
      </c>
      <c r="S723" s="5" t="str">
        <f>IFERROR(__xludf.DUMMYFUNCTION("""COMPUTED_VALUE"""),"Yes")</f>
        <v>Yes</v>
      </c>
      <c r="T723" s="5" t="str">
        <f>IFERROR(__xludf.DUMMYFUNCTION("""COMPUTED_VALUE"""),"Yes")</f>
        <v>Yes</v>
      </c>
      <c r="U723" s="5" t="str">
        <f>IFERROR(__xludf.DUMMYFUNCTION("""COMPUTED_VALUE"""),"Yes")</f>
        <v>Yes</v>
      </c>
      <c r="V723" s="5" t="str">
        <f>IFERROR(__xludf.DUMMYFUNCTION("""COMPUTED_VALUE"""),"Yes")</f>
        <v>Yes</v>
      </c>
      <c r="W723" s="5" t="str">
        <f>IFERROR(__xludf.DUMMYFUNCTION("""COMPUTED_VALUE"""),"Yes")</f>
        <v>Yes</v>
      </c>
      <c r="X723" s="5" t="str">
        <f>IFERROR(__xludf.DUMMYFUNCTION("""COMPUTED_VALUE"""),"Yes")</f>
        <v>Yes</v>
      </c>
      <c r="Y723" s="5" t="str">
        <f>IFERROR(__xludf.DUMMYFUNCTION("""COMPUTED_VALUE"""),"Yes")</f>
        <v>Yes</v>
      </c>
      <c r="Z723" s="5" t="str">
        <f>IFERROR(__xludf.DUMMYFUNCTION("""COMPUTED_VALUE"""),"Yes")</f>
        <v>Yes</v>
      </c>
      <c r="AA723" s="5" t="str">
        <f>IFERROR(__xludf.DUMMYFUNCTION("""COMPUTED_VALUE"""),"Yes")</f>
        <v>Yes</v>
      </c>
      <c r="AB723" s="5" t="str">
        <f>IFERROR(__xludf.DUMMYFUNCTION("""COMPUTED_VALUE"""),"Yes")</f>
        <v>Yes</v>
      </c>
      <c r="AC723" s="5" t="str">
        <f>IFERROR(__xludf.DUMMYFUNCTION("""COMPUTED_VALUE"""),"Yes")</f>
        <v>Yes</v>
      </c>
      <c r="AD723" s="5" t="str">
        <f>IFERROR(__xludf.DUMMYFUNCTION("""COMPUTED_VALUE"""),"Yes")</f>
        <v>Yes</v>
      </c>
      <c r="AE723" s="5" t="str">
        <f>IFERROR(__xludf.DUMMYFUNCTION("""COMPUTED_VALUE"""),"Yes")</f>
        <v>Yes</v>
      </c>
      <c r="AF723" s="5" t="str">
        <f>IFERROR(__xludf.DUMMYFUNCTION("""COMPUTED_VALUE"""),"Yes")</f>
        <v>Yes</v>
      </c>
      <c r="AG723" s="5" t="str">
        <f>IFERROR(__xludf.DUMMYFUNCTION("""COMPUTED_VALUE"""),"Yes")</f>
        <v>Yes</v>
      </c>
      <c r="AH723" s="5" t="str">
        <f>IFERROR(__xludf.DUMMYFUNCTION("""COMPUTED_VALUE"""),"Yes")</f>
        <v>Yes</v>
      </c>
      <c r="AI723" s="5" t="str">
        <f>IFERROR(__xludf.DUMMYFUNCTION("""COMPUTED_VALUE"""),"No")</f>
        <v>No</v>
      </c>
      <c r="AJ723" s="5" t="str">
        <f>IFERROR(__xludf.DUMMYFUNCTION("""COMPUTED_VALUE"""),"No")</f>
        <v>No</v>
      </c>
      <c r="AK723" s="5" t="str">
        <f>IFERROR(__xludf.DUMMYFUNCTION("""COMPUTED_VALUE"""),"No")</f>
        <v>No</v>
      </c>
      <c r="AL723" s="5" t="str">
        <f>IFERROR(__xludf.DUMMYFUNCTION("""COMPUTED_VALUE"""),"No")</f>
        <v>No</v>
      </c>
      <c r="AM723" s="5"/>
      <c r="AN723" s="5"/>
      <c r="AO723" s="5"/>
      <c r="AP723" s="5"/>
      <c r="AQ723" s="5"/>
      <c r="AR723" s="5"/>
      <c r="AS723" s="5"/>
      <c r="AT723" s="5"/>
      <c r="AU723" s="5"/>
      <c r="AV723" s="5"/>
      <c r="AW723" s="5"/>
      <c r="AX723" s="5"/>
      <c r="AY723" s="5"/>
    </row>
    <row r="724">
      <c r="A7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4" s="5">
        <f>IFERROR(__xludf.DUMMYFUNCTION("""COMPUTED_VALUE"""),761.0)</f>
        <v>761</v>
      </c>
      <c r="C724" s="5">
        <f>IFERROR(__xludf.DUMMYFUNCTION("""COMPUTED_VALUE"""),100000.0)</f>
        <v>100000</v>
      </c>
      <c r="D724" s="5" t="str">
        <f>IFERROR(__xludf.DUMMYFUNCTION("""COMPUTED_VALUE"""),"OnDemandRoulette")</f>
        <v>OnDemandRoulette</v>
      </c>
      <c r="E724" s="5" t="str">
        <f>IFERROR(__xludf.DUMMYFUNCTION("""COMPUTED_VALUE"""),"Yes")</f>
        <v>Yes</v>
      </c>
      <c r="F724" s="5" t="str">
        <f>IFERROR(__xludf.DUMMYFUNCTION("""COMPUTED_VALUE"""),"Yes")</f>
        <v>Yes</v>
      </c>
      <c r="G724" s="5" t="str">
        <f>IFERROR(__xludf.DUMMYFUNCTION("""COMPUTED_VALUE"""),"Yes")</f>
        <v>Yes</v>
      </c>
      <c r="H724" s="5" t="str">
        <f>IFERROR(__xludf.DUMMYFUNCTION("""COMPUTED_VALUE"""),"Yes")</f>
        <v>Yes</v>
      </c>
      <c r="I724" s="5" t="str">
        <f>IFERROR(__xludf.DUMMYFUNCTION("""COMPUTED_VALUE"""),"Yes")</f>
        <v>Yes</v>
      </c>
      <c r="J724" s="5" t="str">
        <f>IFERROR(__xludf.DUMMYFUNCTION("""COMPUTED_VALUE"""),"Yes")</f>
        <v>Yes</v>
      </c>
      <c r="K724" s="5" t="str">
        <f>IFERROR(__xludf.DUMMYFUNCTION("""COMPUTED_VALUE"""),"Yes")</f>
        <v>Yes</v>
      </c>
      <c r="L724" s="5" t="str">
        <f>IFERROR(__xludf.DUMMYFUNCTION("""COMPUTED_VALUE"""),"Yes")</f>
        <v>Yes</v>
      </c>
      <c r="M724" s="5" t="str">
        <f>IFERROR(__xludf.DUMMYFUNCTION("""COMPUTED_VALUE"""),"Yes")</f>
        <v>Yes</v>
      </c>
      <c r="N724" s="5" t="str">
        <f>IFERROR(__xludf.DUMMYFUNCTION("""COMPUTED_VALUE"""),"Yes")</f>
        <v>Yes</v>
      </c>
      <c r="O724" s="5" t="str">
        <f>IFERROR(__xludf.DUMMYFUNCTION("""COMPUTED_VALUE"""),"Yes")</f>
        <v>Yes</v>
      </c>
      <c r="P724" s="5" t="str">
        <f>IFERROR(__xludf.DUMMYFUNCTION("""COMPUTED_VALUE"""),"Yes")</f>
        <v>Yes</v>
      </c>
      <c r="Q724" s="5" t="str">
        <f>IFERROR(__xludf.DUMMYFUNCTION("""COMPUTED_VALUE"""),"Yes")</f>
        <v>Yes</v>
      </c>
      <c r="R724" s="5" t="str">
        <f>IFERROR(__xludf.DUMMYFUNCTION("""COMPUTED_VALUE"""),"Yes")</f>
        <v>Yes</v>
      </c>
      <c r="S724" s="5" t="str">
        <f>IFERROR(__xludf.DUMMYFUNCTION("""COMPUTED_VALUE"""),"Yes")</f>
        <v>Yes</v>
      </c>
      <c r="T724" s="5" t="str">
        <f>IFERROR(__xludf.DUMMYFUNCTION("""COMPUTED_VALUE"""),"Yes")</f>
        <v>Yes</v>
      </c>
      <c r="U724" s="5" t="str">
        <f>IFERROR(__xludf.DUMMYFUNCTION("""COMPUTED_VALUE"""),"Yes")</f>
        <v>Yes</v>
      </c>
      <c r="V724" s="5" t="str">
        <f>IFERROR(__xludf.DUMMYFUNCTION("""COMPUTED_VALUE"""),"Yes")</f>
        <v>Yes</v>
      </c>
      <c r="W724" s="5" t="str">
        <f>IFERROR(__xludf.DUMMYFUNCTION("""COMPUTED_VALUE"""),"Yes")</f>
        <v>Yes</v>
      </c>
      <c r="X724" s="5" t="str">
        <f>IFERROR(__xludf.DUMMYFUNCTION("""COMPUTED_VALUE"""),"Yes")</f>
        <v>Yes</v>
      </c>
      <c r="Y724" s="5" t="str">
        <f>IFERROR(__xludf.DUMMYFUNCTION("""COMPUTED_VALUE"""),"Yes")</f>
        <v>Yes</v>
      </c>
      <c r="Z724" s="5" t="str">
        <f>IFERROR(__xludf.DUMMYFUNCTION("""COMPUTED_VALUE"""),"Yes")</f>
        <v>Yes</v>
      </c>
      <c r="AA724" s="5" t="str">
        <f>IFERROR(__xludf.DUMMYFUNCTION("""COMPUTED_VALUE"""),"Yes")</f>
        <v>Yes</v>
      </c>
      <c r="AB724" s="5" t="str">
        <f>IFERROR(__xludf.DUMMYFUNCTION("""COMPUTED_VALUE"""),"Yes")</f>
        <v>Yes</v>
      </c>
      <c r="AC724" s="5" t="str">
        <f>IFERROR(__xludf.DUMMYFUNCTION("""COMPUTED_VALUE"""),"Yes")</f>
        <v>Yes</v>
      </c>
      <c r="AD724" s="5" t="str">
        <f>IFERROR(__xludf.DUMMYFUNCTION("""COMPUTED_VALUE"""),"Yes")</f>
        <v>Yes</v>
      </c>
      <c r="AE724" s="5" t="str">
        <f>IFERROR(__xludf.DUMMYFUNCTION("""COMPUTED_VALUE"""),"Yes")</f>
        <v>Yes</v>
      </c>
      <c r="AF724" s="5" t="str">
        <f>IFERROR(__xludf.DUMMYFUNCTION("""COMPUTED_VALUE"""),"Yes")</f>
        <v>Yes</v>
      </c>
      <c r="AG724" s="5" t="str">
        <f>IFERROR(__xludf.DUMMYFUNCTION("""COMPUTED_VALUE"""),"Yes")</f>
        <v>Yes</v>
      </c>
      <c r="AH724" s="5" t="str">
        <f>IFERROR(__xludf.DUMMYFUNCTION("""COMPUTED_VALUE"""),"Yes")</f>
        <v>Yes</v>
      </c>
      <c r="AI724" s="5" t="str">
        <f>IFERROR(__xludf.DUMMYFUNCTION("""COMPUTED_VALUE"""),"No")</f>
        <v>No</v>
      </c>
      <c r="AJ724" s="5" t="str">
        <f>IFERROR(__xludf.DUMMYFUNCTION("""COMPUTED_VALUE"""),"No")</f>
        <v>No</v>
      </c>
      <c r="AK724" s="5" t="str">
        <f>IFERROR(__xludf.DUMMYFUNCTION("""COMPUTED_VALUE"""),"No")</f>
        <v>No</v>
      </c>
      <c r="AL724" s="5" t="str">
        <f>IFERROR(__xludf.DUMMYFUNCTION("""COMPUTED_VALUE"""),"No")</f>
        <v>No</v>
      </c>
      <c r="AM724" s="5"/>
      <c r="AN724" s="5"/>
      <c r="AO724" s="5"/>
      <c r="AP724" s="5"/>
      <c r="AQ724" s="5"/>
      <c r="AR724" s="5"/>
      <c r="AS724" s="5"/>
      <c r="AT724" s="5"/>
      <c r="AU724" s="5"/>
      <c r="AV724" s="5"/>
      <c r="AW724" s="5"/>
      <c r="AX724" s="5"/>
      <c r="AY724" s="5"/>
    </row>
    <row r="725">
      <c r="A7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5" s="5">
        <f>IFERROR(__xludf.DUMMYFUNCTION("""COMPUTED_VALUE"""),762.0)</f>
        <v>762</v>
      </c>
      <c r="C725" s="5">
        <f>IFERROR(__xludf.DUMMYFUNCTION("""COMPUTED_VALUE"""),-1.0)</f>
        <v>-1</v>
      </c>
      <c r="D725" s="5" t="str">
        <f>IFERROR(__xludf.DUMMYFUNCTION("""COMPUTED_VALUE"""),"TBD")</f>
        <v>TBD</v>
      </c>
      <c r="E725" s="5" t="str">
        <f>IFERROR(__xludf.DUMMYFUNCTION("""COMPUTED_VALUE"""),"Yes")</f>
        <v>Yes</v>
      </c>
      <c r="F725" s="5" t="str">
        <f>IFERROR(__xludf.DUMMYFUNCTION("""COMPUTED_VALUE"""),"Yes")</f>
        <v>Yes</v>
      </c>
      <c r="G725" s="5" t="str">
        <f>IFERROR(__xludf.DUMMYFUNCTION("""COMPUTED_VALUE"""),"Yes")</f>
        <v>Yes</v>
      </c>
      <c r="H725" s="5" t="str">
        <f>IFERROR(__xludf.DUMMYFUNCTION("""COMPUTED_VALUE"""),"Yes")</f>
        <v>Yes</v>
      </c>
      <c r="I725" s="5" t="str">
        <f>IFERROR(__xludf.DUMMYFUNCTION("""COMPUTED_VALUE"""),"Yes")</f>
        <v>Yes</v>
      </c>
      <c r="J725" s="5" t="str">
        <f>IFERROR(__xludf.DUMMYFUNCTION("""COMPUTED_VALUE"""),"Yes")</f>
        <v>Yes</v>
      </c>
      <c r="K725" s="5" t="str">
        <f>IFERROR(__xludf.DUMMYFUNCTION("""COMPUTED_VALUE"""),"Yes")</f>
        <v>Yes</v>
      </c>
      <c r="L725" s="5" t="str">
        <f>IFERROR(__xludf.DUMMYFUNCTION("""COMPUTED_VALUE"""),"Yes")</f>
        <v>Yes</v>
      </c>
      <c r="M725" s="5" t="str">
        <f>IFERROR(__xludf.DUMMYFUNCTION("""COMPUTED_VALUE"""),"Yes")</f>
        <v>Yes</v>
      </c>
      <c r="N725" s="5" t="str">
        <f>IFERROR(__xludf.DUMMYFUNCTION("""COMPUTED_VALUE"""),"Yes")</f>
        <v>Yes</v>
      </c>
      <c r="O725" s="5" t="str">
        <f>IFERROR(__xludf.DUMMYFUNCTION("""COMPUTED_VALUE"""),"Yes")</f>
        <v>Yes</v>
      </c>
      <c r="P725" s="5" t="str">
        <f>IFERROR(__xludf.DUMMYFUNCTION("""COMPUTED_VALUE"""),"Yes")</f>
        <v>Yes</v>
      </c>
      <c r="Q725" s="5" t="str">
        <f>IFERROR(__xludf.DUMMYFUNCTION("""COMPUTED_VALUE"""),"Yes")</f>
        <v>Yes</v>
      </c>
      <c r="R725" s="5" t="str">
        <f>IFERROR(__xludf.DUMMYFUNCTION("""COMPUTED_VALUE"""),"Yes")</f>
        <v>Yes</v>
      </c>
      <c r="S725" s="5" t="str">
        <f>IFERROR(__xludf.DUMMYFUNCTION("""COMPUTED_VALUE"""),"Yes")</f>
        <v>Yes</v>
      </c>
      <c r="T725" s="5" t="str">
        <f>IFERROR(__xludf.DUMMYFUNCTION("""COMPUTED_VALUE"""),"Yes")</f>
        <v>Yes</v>
      </c>
      <c r="U725" s="5" t="str">
        <f>IFERROR(__xludf.DUMMYFUNCTION("""COMPUTED_VALUE"""),"Yes")</f>
        <v>Yes</v>
      </c>
      <c r="V725" s="5" t="str">
        <f>IFERROR(__xludf.DUMMYFUNCTION("""COMPUTED_VALUE"""),"Yes")</f>
        <v>Yes</v>
      </c>
      <c r="W725" s="5" t="str">
        <f>IFERROR(__xludf.DUMMYFUNCTION("""COMPUTED_VALUE"""),"Yes")</f>
        <v>Yes</v>
      </c>
      <c r="X725" s="5" t="str">
        <f>IFERROR(__xludf.DUMMYFUNCTION("""COMPUTED_VALUE"""),"Yes")</f>
        <v>Yes</v>
      </c>
      <c r="Y725" s="5" t="str">
        <f>IFERROR(__xludf.DUMMYFUNCTION("""COMPUTED_VALUE"""),"Yes")</f>
        <v>Yes</v>
      </c>
      <c r="Z725" s="5" t="str">
        <f>IFERROR(__xludf.DUMMYFUNCTION("""COMPUTED_VALUE"""),"Yes")</f>
        <v>Yes</v>
      </c>
      <c r="AA725" s="5" t="str">
        <f>IFERROR(__xludf.DUMMYFUNCTION("""COMPUTED_VALUE"""),"Yes")</f>
        <v>Yes</v>
      </c>
      <c r="AB725" s="5" t="str">
        <f>IFERROR(__xludf.DUMMYFUNCTION("""COMPUTED_VALUE"""),"Yes")</f>
        <v>Yes</v>
      </c>
      <c r="AC725" s="5" t="str">
        <f>IFERROR(__xludf.DUMMYFUNCTION("""COMPUTED_VALUE"""),"Yes")</f>
        <v>Yes</v>
      </c>
      <c r="AD725" s="5" t="str">
        <f>IFERROR(__xludf.DUMMYFUNCTION("""COMPUTED_VALUE"""),"Yes")</f>
        <v>Yes</v>
      </c>
      <c r="AE725" s="5" t="str">
        <f>IFERROR(__xludf.DUMMYFUNCTION("""COMPUTED_VALUE"""),"Yes")</f>
        <v>Yes</v>
      </c>
      <c r="AF725" s="5" t="str">
        <f>IFERROR(__xludf.DUMMYFUNCTION("""COMPUTED_VALUE"""),"Yes")</f>
        <v>Yes</v>
      </c>
      <c r="AG725" s="5" t="str">
        <f>IFERROR(__xludf.DUMMYFUNCTION("""COMPUTED_VALUE"""),"Yes")</f>
        <v>Yes</v>
      </c>
      <c r="AH725" s="5" t="str">
        <f>IFERROR(__xludf.DUMMYFUNCTION("""COMPUTED_VALUE"""),"Yes")</f>
        <v>Yes</v>
      </c>
      <c r="AI725" s="5" t="str">
        <f>IFERROR(__xludf.DUMMYFUNCTION("""COMPUTED_VALUE"""),"No")</f>
        <v>No</v>
      </c>
      <c r="AJ725" s="5" t="str">
        <f>IFERROR(__xludf.DUMMYFUNCTION("""COMPUTED_VALUE"""),"No")</f>
        <v>No</v>
      </c>
      <c r="AK725" s="5" t="str">
        <f>IFERROR(__xludf.DUMMYFUNCTION("""COMPUTED_VALUE"""),"No")</f>
        <v>No</v>
      </c>
      <c r="AL725" s="5" t="str">
        <f>IFERROR(__xludf.DUMMYFUNCTION("""COMPUTED_VALUE"""),"No")</f>
        <v>No</v>
      </c>
      <c r="AM725" s="5"/>
      <c r="AN725" s="5"/>
      <c r="AO725" s="5"/>
      <c r="AP725" s="5"/>
      <c r="AQ725" s="5"/>
      <c r="AR725" s="5"/>
      <c r="AS725" s="5"/>
      <c r="AT725" s="5"/>
      <c r="AU725" s="5"/>
      <c r="AV725" s="5"/>
      <c r="AW725" s="5"/>
      <c r="AX725" s="5"/>
      <c r="AY725" s="5"/>
    </row>
    <row r="726">
      <c r="A7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6" s="5">
        <f>IFERROR(__xludf.DUMMYFUNCTION("""COMPUTED_VALUE"""),763.0)</f>
        <v>763</v>
      </c>
      <c r="C726" s="5">
        <f>IFERROR(__xludf.DUMMYFUNCTION("""COMPUTED_VALUE"""),1023.0)</f>
        <v>1023</v>
      </c>
      <c r="D726" s="5" t="str">
        <f>IFERROR(__xludf.DUMMYFUNCTION("""COMPUTED_VALUE"""),"Clover27")</f>
        <v>Clover27</v>
      </c>
      <c r="E726" s="5" t="str">
        <f>IFERROR(__xludf.DUMMYFUNCTION("""COMPUTED_VALUE"""),"Yes")</f>
        <v>Yes</v>
      </c>
      <c r="F726" s="5" t="str">
        <f>IFERROR(__xludf.DUMMYFUNCTION("""COMPUTED_VALUE"""),"Yes")</f>
        <v>Yes</v>
      </c>
      <c r="G726" s="5" t="str">
        <f>IFERROR(__xludf.DUMMYFUNCTION("""COMPUTED_VALUE"""),"Yes")</f>
        <v>Yes</v>
      </c>
      <c r="H726" s="5" t="str">
        <f>IFERROR(__xludf.DUMMYFUNCTION("""COMPUTED_VALUE"""),"Yes")</f>
        <v>Yes</v>
      </c>
      <c r="I726" s="5" t="str">
        <f>IFERROR(__xludf.DUMMYFUNCTION("""COMPUTED_VALUE"""),"Yes")</f>
        <v>Yes</v>
      </c>
      <c r="J726" s="5" t="str">
        <f>IFERROR(__xludf.DUMMYFUNCTION("""COMPUTED_VALUE"""),"Yes")</f>
        <v>Yes</v>
      </c>
      <c r="K726" s="5" t="str">
        <f>IFERROR(__xludf.DUMMYFUNCTION("""COMPUTED_VALUE"""),"Yes")</f>
        <v>Yes</v>
      </c>
      <c r="L726" s="5" t="str">
        <f>IFERROR(__xludf.DUMMYFUNCTION("""COMPUTED_VALUE"""),"Yes")</f>
        <v>Yes</v>
      </c>
      <c r="M726" s="5" t="str">
        <f>IFERROR(__xludf.DUMMYFUNCTION("""COMPUTED_VALUE"""),"Yes")</f>
        <v>Yes</v>
      </c>
      <c r="N726" s="5" t="str">
        <f>IFERROR(__xludf.DUMMYFUNCTION("""COMPUTED_VALUE"""),"Yes")</f>
        <v>Yes</v>
      </c>
      <c r="O726" s="5" t="str">
        <f>IFERROR(__xludf.DUMMYFUNCTION("""COMPUTED_VALUE"""),"Yes")</f>
        <v>Yes</v>
      </c>
      <c r="P726" s="5" t="str">
        <f>IFERROR(__xludf.DUMMYFUNCTION("""COMPUTED_VALUE"""),"Yes")</f>
        <v>Yes</v>
      </c>
      <c r="Q726" s="5" t="str">
        <f>IFERROR(__xludf.DUMMYFUNCTION("""COMPUTED_VALUE"""),"Yes")</f>
        <v>Yes</v>
      </c>
      <c r="R726" s="5" t="str">
        <f>IFERROR(__xludf.DUMMYFUNCTION("""COMPUTED_VALUE"""),"Yes")</f>
        <v>Yes</v>
      </c>
      <c r="S726" s="5" t="str">
        <f>IFERROR(__xludf.DUMMYFUNCTION("""COMPUTED_VALUE"""),"Yes")</f>
        <v>Yes</v>
      </c>
      <c r="T726" s="5" t="str">
        <f>IFERROR(__xludf.DUMMYFUNCTION("""COMPUTED_VALUE"""),"Yes")</f>
        <v>Yes</v>
      </c>
      <c r="U726" s="5" t="str">
        <f>IFERROR(__xludf.DUMMYFUNCTION("""COMPUTED_VALUE"""),"Yes")</f>
        <v>Yes</v>
      </c>
      <c r="V726" s="5" t="str">
        <f>IFERROR(__xludf.DUMMYFUNCTION("""COMPUTED_VALUE"""),"Yes")</f>
        <v>Yes</v>
      </c>
      <c r="W726" s="5" t="str">
        <f>IFERROR(__xludf.DUMMYFUNCTION("""COMPUTED_VALUE"""),"Yes")</f>
        <v>Yes</v>
      </c>
      <c r="X726" s="5" t="str">
        <f>IFERROR(__xludf.DUMMYFUNCTION("""COMPUTED_VALUE"""),"Yes")</f>
        <v>Yes</v>
      </c>
      <c r="Y726" s="5" t="str">
        <f>IFERROR(__xludf.DUMMYFUNCTION("""COMPUTED_VALUE"""),"Yes")</f>
        <v>Yes</v>
      </c>
      <c r="Z726" s="5" t="str">
        <f>IFERROR(__xludf.DUMMYFUNCTION("""COMPUTED_VALUE"""),"Yes")</f>
        <v>Yes</v>
      </c>
      <c r="AA726" s="5" t="str">
        <f>IFERROR(__xludf.DUMMYFUNCTION("""COMPUTED_VALUE"""),"Yes")</f>
        <v>Yes</v>
      </c>
      <c r="AB726" s="5" t="str">
        <f>IFERROR(__xludf.DUMMYFUNCTION("""COMPUTED_VALUE"""),"Yes")</f>
        <v>Yes</v>
      </c>
      <c r="AC726" s="5" t="str">
        <f>IFERROR(__xludf.DUMMYFUNCTION("""COMPUTED_VALUE"""),"Yes")</f>
        <v>Yes</v>
      </c>
      <c r="AD726" s="5" t="str">
        <f>IFERROR(__xludf.DUMMYFUNCTION("""COMPUTED_VALUE"""),"Yes")</f>
        <v>Yes</v>
      </c>
      <c r="AE726" s="5" t="str">
        <f>IFERROR(__xludf.DUMMYFUNCTION("""COMPUTED_VALUE"""),"Yes")</f>
        <v>Yes</v>
      </c>
      <c r="AF726" s="5" t="str">
        <f>IFERROR(__xludf.DUMMYFUNCTION("""COMPUTED_VALUE"""),"Yes")</f>
        <v>Yes</v>
      </c>
      <c r="AG726" s="5" t="str">
        <f>IFERROR(__xludf.DUMMYFUNCTION("""COMPUTED_VALUE"""),"Yes")</f>
        <v>Yes</v>
      </c>
      <c r="AH726" s="5" t="str">
        <f>IFERROR(__xludf.DUMMYFUNCTION("""COMPUTED_VALUE"""),"Yes")</f>
        <v>Yes</v>
      </c>
      <c r="AI726" s="5" t="str">
        <f>IFERROR(__xludf.DUMMYFUNCTION("""COMPUTED_VALUE"""),"No")</f>
        <v>No</v>
      </c>
      <c r="AJ726" s="5" t="str">
        <f>IFERROR(__xludf.DUMMYFUNCTION("""COMPUTED_VALUE"""),"No")</f>
        <v>No</v>
      </c>
      <c r="AK726" s="5" t="str">
        <f>IFERROR(__xludf.DUMMYFUNCTION("""COMPUTED_VALUE"""),"No")</f>
        <v>No</v>
      </c>
      <c r="AL726" s="5" t="str">
        <f>IFERROR(__xludf.DUMMYFUNCTION("""COMPUTED_VALUE"""),"No")</f>
        <v>No</v>
      </c>
      <c r="AM726" s="5"/>
      <c r="AN726" s="5"/>
      <c r="AO726" s="5"/>
      <c r="AP726" s="5"/>
      <c r="AQ726" s="5"/>
      <c r="AR726" s="5"/>
      <c r="AS726" s="5"/>
      <c r="AT726" s="5"/>
      <c r="AU726" s="5"/>
      <c r="AV726" s="5"/>
      <c r="AW726" s="5"/>
      <c r="AX726" s="5"/>
      <c r="AY726" s="5"/>
    </row>
    <row r="727">
      <c r="A727" s="5" t="str">
        <f>IFERROR(__xludf.DUMMYFUNCTION("""COMPUTED_VALUE"""),"")</f>
        <v/>
      </c>
      <c r="B727" s="5">
        <f>IFERROR(__xludf.DUMMYFUNCTION("""COMPUTED_VALUE"""),764.0)</f>
        <v>764</v>
      </c>
      <c r="C727" s="5">
        <f>IFERROR(__xludf.DUMMYFUNCTION("""COMPUTED_VALUE"""),-1.0)</f>
        <v>-1</v>
      </c>
      <c r="D727" s="5" t="str">
        <f>IFERROR(__xludf.DUMMYFUNCTION("""COMPUTED_VALUE"""),"TBD")</f>
        <v>TBD</v>
      </c>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row>
    <row r="728">
      <c r="A728" s="5" t="str">
        <f>IFERROR(__xludf.DUMMYFUNCTION("""COMPUTED_VALUE"""),"")</f>
        <v/>
      </c>
      <c r="B728" s="5">
        <f>IFERROR(__xludf.DUMMYFUNCTION("""COMPUTED_VALUE"""),765.0)</f>
        <v>765</v>
      </c>
      <c r="C728" s="5">
        <f>IFERROR(__xludf.DUMMYFUNCTION("""COMPUTED_VALUE"""),-1.0)</f>
        <v>-1</v>
      </c>
      <c r="D728" s="5" t="str">
        <f>IFERROR(__xludf.DUMMYFUNCTION("""COMPUTED_VALUE"""),"TBD")</f>
        <v>TBD</v>
      </c>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row>
    <row r="729">
      <c r="A729"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29" s="5">
        <f>IFERROR(__xludf.DUMMYFUNCTION("""COMPUTED_VALUE"""),766.0)</f>
        <v>766</v>
      </c>
      <c r="C729" s="5">
        <f>IFERROR(__xludf.DUMMYFUNCTION("""COMPUTED_VALUE"""),180077.0)</f>
        <v>180077</v>
      </c>
      <c r="D729" s="5" t="str">
        <f>IFERROR(__xludf.DUMMYFUNCTION("""COMPUTED_VALUE"""),"RedstoneXChilliHot")</f>
        <v>RedstoneXChilliHot</v>
      </c>
      <c r="E729" s="5" t="str">
        <f>IFERROR(__xludf.DUMMYFUNCTION("""COMPUTED_VALUE"""),"Yes")</f>
        <v>Yes</v>
      </c>
      <c r="F729" s="5" t="str">
        <f>IFERROR(__xludf.DUMMYFUNCTION("""COMPUTED_VALUE"""),"Yes")</f>
        <v>Yes</v>
      </c>
      <c r="G729" s="5" t="str">
        <f>IFERROR(__xludf.DUMMYFUNCTION("""COMPUTED_VALUE"""),"Yes")</f>
        <v>Yes</v>
      </c>
      <c r="H729" s="5" t="str">
        <f>IFERROR(__xludf.DUMMYFUNCTION("""COMPUTED_VALUE"""),"Yes")</f>
        <v>Yes</v>
      </c>
      <c r="I729" s="5" t="str">
        <f>IFERROR(__xludf.DUMMYFUNCTION("""COMPUTED_VALUE"""),"Yes")</f>
        <v>Yes</v>
      </c>
      <c r="J729" s="5" t="str">
        <f>IFERROR(__xludf.DUMMYFUNCTION("""COMPUTED_VALUE"""),"Yes")</f>
        <v>Yes</v>
      </c>
      <c r="K729" s="5" t="str">
        <f>IFERROR(__xludf.DUMMYFUNCTION("""COMPUTED_VALUE"""),"Yes")</f>
        <v>Yes</v>
      </c>
      <c r="L729" s="5" t="str">
        <f>IFERROR(__xludf.DUMMYFUNCTION("""COMPUTED_VALUE"""),"Yes")</f>
        <v>Yes</v>
      </c>
      <c r="M729" s="5" t="str">
        <f>IFERROR(__xludf.DUMMYFUNCTION("""COMPUTED_VALUE"""),"Yes")</f>
        <v>Yes</v>
      </c>
      <c r="N729" s="5" t="str">
        <f>IFERROR(__xludf.DUMMYFUNCTION("""COMPUTED_VALUE"""),"Yes")</f>
        <v>Yes</v>
      </c>
      <c r="O729" s="5" t="str">
        <f>IFERROR(__xludf.DUMMYFUNCTION("""COMPUTED_VALUE"""),"Yes")</f>
        <v>Yes</v>
      </c>
      <c r="P729" s="5" t="str">
        <f>IFERROR(__xludf.DUMMYFUNCTION("""COMPUTED_VALUE"""),"Yes")</f>
        <v>Yes</v>
      </c>
      <c r="Q729" s="5" t="str">
        <f>IFERROR(__xludf.DUMMYFUNCTION("""COMPUTED_VALUE"""),"Yes")</f>
        <v>Yes</v>
      </c>
      <c r="R729" s="5" t="str">
        <f>IFERROR(__xludf.DUMMYFUNCTION("""COMPUTED_VALUE"""),"Yes")</f>
        <v>Yes</v>
      </c>
      <c r="S729" s="5" t="str">
        <f>IFERROR(__xludf.DUMMYFUNCTION("""COMPUTED_VALUE"""),"Yes")</f>
        <v>Yes</v>
      </c>
      <c r="T729" s="5" t="str">
        <f>IFERROR(__xludf.DUMMYFUNCTION("""COMPUTED_VALUE"""),"No")</f>
        <v>No</v>
      </c>
      <c r="U729" s="5" t="str">
        <f>IFERROR(__xludf.DUMMYFUNCTION("""COMPUTED_VALUE"""),"No")</f>
        <v>No</v>
      </c>
      <c r="V729" s="5" t="str">
        <f>IFERROR(__xludf.DUMMYFUNCTION("""COMPUTED_VALUE"""),"No")</f>
        <v>No</v>
      </c>
      <c r="W729" s="5" t="str">
        <f>IFERROR(__xludf.DUMMYFUNCTION("""COMPUTED_VALUE"""),"No")</f>
        <v>No</v>
      </c>
      <c r="X729" s="5" t="str">
        <f>IFERROR(__xludf.DUMMYFUNCTION("""COMPUTED_VALUE"""),"No")</f>
        <v>No</v>
      </c>
      <c r="Y729" s="5" t="str">
        <f>IFERROR(__xludf.DUMMYFUNCTION("""COMPUTED_VALUE"""),"No")</f>
        <v>No</v>
      </c>
      <c r="Z729" s="5" t="str">
        <f>IFERROR(__xludf.DUMMYFUNCTION("""COMPUTED_VALUE"""),"No")</f>
        <v>No</v>
      </c>
      <c r="AA729" s="5" t="str">
        <f>IFERROR(__xludf.DUMMYFUNCTION("""COMPUTED_VALUE"""),"Yes")</f>
        <v>Yes</v>
      </c>
      <c r="AB729" s="5" t="str">
        <f>IFERROR(__xludf.DUMMYFUNCTION("""COMPUTED_VALUE"""),"No")</f>
        <v>No</v>
      </c>
      <c r="AC729" s="5" t="str">
        <f>IFERROR(__xludf.DUMMYFUNCTION("""COMPUTED_VALUE"""),"No")</f>
        <v>No</v>
      </c>
      <c r="AD729" s="5" t="str">
        <f>IFERROR(__xludf.DUMMYFUNCTION("""COMPUTED_VALUE"""),"No")</f>
        <v>No</v>
      </c>
      <c r="AE729" s="5" t="str">
        <f>IFERROR(__xludf.DUMMYFUNCTION("""COMPUTED_VALUE"""),"No")</f>
        <v>No</v>
      </c>
      <c r="AF729" s="5" t="str">
        <f>IFERROR(__xludf.DUMMYFUNCTION("""COMPUTED_VALUE"""),"Yes")</f>
        <v>Yes</v>
      </c>
      <c r="AG729" s="5" t="str">
        <f>IFERROR(__xludf.DUMMYFUNCTION("""COMPUTED_VALUE"""),"No")</f>
        <v>No</v>
      </c>
      <c r="AH729" s="5" t="str">
        <f>IFERROR(__xludf.DUMMYFUNCTION("""COMPUTED_VALUE"""),"Yes")</f>
        <v>Yes</v>
      </c>
      <c r="AI729" s="5" t="str">
        <f>IFERROR(__xludf.DUMMYFUNCTION("""COMPUTED_VALUE"""),"No")</f>
        <v>No</v>
      </c>
      <c r="AJ729" s="5" t="str">
        <f>IFERROR(__xludf.DUMMYFUNCTION("""COMPUTED_VALUE"""),"No")</f>
        <v>No</v>
      </c>
      <c r="AK729" s="5" t="str">
        <f>IFERROR(__xludf.DUMMYFUNCTION("""COMPUTED_VALUE"""),"No")</f>
        <v>No</v>
      </c>
      <c r="AL729" s="5" t="str">
        <f>IFERROR(__xludf.DUMMYFUNCTION("""COMPUTED_VALUE"""),"No")</f>
        <v>No</v>
      </c>
      <c r="AM729" s="5"/>
      <c r="AN729" s="5"/>
      <c r="AO729" s="5"/>
      <c r="AP729" s="5"/>
      <c r="AQ729" s="5"/>
      <c r="AR729" s="5"/>
      <c r="AS729" s="5"/>
      <c r="AT729" s="5"/>
      <c r="AU729" s="5"/>
      <c r="AV729" s="5"/>
      <c r="AW729" s="5"/>
      <c r="AX729" s="5"/>
      <c r="AY729" s="5"/>
    </row>
    <row r="730">
      <c r="A730"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0" s="5">
        <f>IFERROR(__xludf.DUMMYFUNCTION("""COMPUTED_VALUE"""),767.0)</f>
        <v>767</v>
      </c>
      <c r="C730" s="5">
        <f>IFERROR(__xludf.DUMMYFUNCTION("""COMPUTED_VALUE"""),180078.0)</f>
        <v>180078</v>
      </c>
      <c r="D730" s="5" t="str">
        <f>IFERROR(__xludf.DUMMYFUNCTION("""COMPUTED_VALUE"""),"RedstoneXCrownFire")</f>
        <v>RedstoneXCrownFire</v>
      </c>
      <c r="E730" s="5" t="str">
        <f>IFERROR(__xludf.DUMMYFUNCTION("""COMPUTED_VALUE"""),"Yes")</f>
        <v>Yes</v>
      </c>
      <c r="F730" s="5" t="str">
        <f>IFERROR(__xludf.DUMMYFUNCTION("""COMPUTED_VALUE"""),"Yes")</f>
        <v>Yes</v>
      </c>
      <c r="G730" s="5" t="str">
        <f>IFERROR(__xludf.DUMMYFUNCTION("""COMPUTED_VALUE"""),"Yes")</f>
        <v>Yes</v>
      </c>
      <c r="H730" s="5" t="str">
        <f>IFERROR(__xludf.DUMMYFUNCTION("""COMPUTED_VALUE"""),"Yes")</f>
        <v>Yes</v>
      </c>
      <c r="I730" s="5" t="str">
        <f>IFERROR(__xludf.DUMMYFUNCTION("""COMPUTED_VALUE"""),"Yes")</f>
        <v>Yes</v>
      </c>
      <c r="J730" s="5" t="str">
        <f>IFERROR(__xludf.DUMMYFUNCTION("""COMPUTED_VALUE"""),"Yes")</f>
        <v>Yes</v>
      </c>
      <c r="K730" s="5" t="str">
        <f>IFERROR(__xludf.DUMMYFUNCTION("""COMPUTED_VALUE"""),"Yes")</f>
        <v>Yes</v>
      </c>
      <c r="L730" s="5" t="str">
        <f>IFERROR(__xludf.DUMMYFUNCTION("""COMPUTED_VALUE"""),"Yes")</f>
        <v>Yes</v>
      </c>
      <c r="M730" s="5" t="str">
        <f>IFERROR(__xludf.DUMMYFUNCTION("""COMPUTED_VALUE"""),"Yes")</f>
        <v>Yes</v>
      </c>
      <c r="N730" s="5" t="str">
        <f>IFERROR(__xludf.DUMMYFUNCTION("""COMPUTED_VALUE"""),"Yes")</f>
        <v>Yes</v>
      </c>
      <c r="O730" s="5" t="str">
        <f>IFERROR(__xludf.DUMMYFUNCTION("""COMPUTED_VALUE"""),"Yes")</f>
        <v>Yes</v>
      </c>
      <c r="P730" s="5" t="str">
        <f>IFERROR(__xludf.DUMMYFUNCTION("""COMPUTED_VALUE"""),"Yes")</f>
        <v>Yes</v>
      </c>
      <c r="Q730" s="5" t="str">
        <f>IFERROR(__xludf.DUMMYFUNCTION("""COMPUTED_VALUE"""),"Yes")</f>
        <v>Yes</v>
      </c>
      <c r="R730" s="5" t="str">
        <f>IFERROR(__xludf.DUMMYFUNCTION("""COMPUTED_VALUE"""),"Yes")</f>
        <v>Yes</v>
      </c>
      <c r="S730" s="5" t="str">
        <f>IFERROR(__xludf.DUMMYFUNCTION("""COMPUTED_VALUE"""),"Yes")</f>
        <v>Yes</v>
      </c>
      <c r="T730" s="5" t="str">
        <f>IFERROR(__xludf.DUMMYFUNCTION("""COMPUTED_VALUE"""),"No")</f>
        <v>No</v>
      </c>
      <c r="U730" s="5" t="str">
        <f>IFERROR(__xludf.DUMMYFUNCTION("""COMPUTED_VALUE"""),"No")</f>
        <v>No</v>
      </c>
      <c r="V730" s="5" t="str">
        <f>IFERROR(__xludf.DUMMYFUNCTION("""COMPUTED_VALUE"""),"No")</f>
        <v>No</v>
      </c>
      <c r="W730" s="5" t="str">
        <f>IFERROR(__xludf.DUMMYFUNCTION("""COMPUTED_VALUE"""),"No")</f>
        <v>No</v>
      </c>
      <c r="X730" s="5" t="str">
        <f>IFERROR(__xludf.DUMMYFUNCTION("""COMPUTED_VALUE"""),"No")</f>
        <v>No</v>
      </c>
      <c r="Y730" s="5" t="str">
        <f>IFERROR(__xludf.DUMMYFUNCTION("""COMPUTED_VALUE"""),"No")</f>
        <v>No</v>
      </c>
      <c r="Z730" s="5" t="str">
        <f>IFERROR(__xludf.DUMMYFUNCTION("""COMPUTED_VALUE"""),"No")</f>
        <v>No</v>
      </c>
      <c r="AA730" s="5" t="str">
        <f>IFERROR(__xludf.DUMMYFUNCTION("""COMPUTED_VALUE"""),"Yes")</f>
        <v>Yes</v>
      </c>
      <c r="AB730" s="5" t="str">
        <f>IFERROR(__xludf.DUMMYFUNCTION("""COMPUTED_VALUE"""),"No")</f>
        <v>No</v>
      </c>
      <c r="AC730" s="5" t="str">
        <f>IFERROR(__xludf.DUMMYFUNCTION("""COMPUTED_VALUE"""),"No")</f>
        <v>No</v>
      </c>
      <c r="AD730" s="5" t="str">
        <f>IFERROR(__xludf.DUMMYFUNCTION("""COMPUTED_VALUE"""),"No")</f>
        <v>No</v>
      </c>
      <c r="AE730" s="5" t="str">
        <f>IFERROR(__xludf.DUMMYFUNCTION("""COMPUTED_VALUE"""),"No")</f>
        <v>No</v>
      </c>
      <c r="AF730" s="5" t="str">
        <f>IFERROR(__xludf.DUMMYFUNCTION("""COMPUTED_VALUE"""),"Yes")</f>
        <v>Yes</v>
      </c>
      <c r="AG730" s="5" t="str">
        <f>IFERROR(__xludf.DUMMYFUNCTION("""COMPUTED_VALUE"""),"No")</f>
        <v>No</v>
      </c>
      <c r="AH730" s="5" t="str">
        <f>IFERROR(__xludf.DUMMYFUNCTION("""COMPUTED_VALUE"""),"Yes")</f>
        <v>Yes</v>
      </c>
      <c r="AI730" s="5" t="str">
        <f>IFERROR(__xludf.DUMMYFUNCTION("""COMPUTED_VALUE"""),"No")</f>
        <v>No</v>
      </c>
      <c r="AJ730" s="5" t="str">
        <f>IFERROR(__xludf.DUMMYFUNCTION("""COMPUTED_VALUE"""),"No")</f>
        <v>No</v>
      </c>
      <c r="AK730" s="5" t="str">
        <f>IFERROR(__xludf.DUMMYFUNCTION("""COMPUTED_VALUE"""),"No")</f>
        <v>No</v>
      </c>
      <c r="AL730" s="5" t="str">
        <f>IFERROR(__xludf.DUMMYFUNCTION("""COMPUTED_VALUE"""),"No")</f>
        <v>No</v>
      </c>
      <c r="AM730" s="5"/>
      <c r="AN730" s="5"/>
      <c r="AO730" s="5"/>
      <c r="AP730" s="5"/>
      <c r="AQ730" s="5"/>
      <c r="AR730" s="5"/>
      <c r="AS730" s="5"/>
      <c r="AT730" s="5"/>
      <c r="AU730" s="5"/>
      <c r="AV730" s="5"/>
      <c r="AW730" s="5"/>
      <c r="AX730" s="5"/>
      <c r="AY730" s="5"/>
    </row>
    <row r="731">
      <c r="A731"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1" s="5">
        <f>IFERROR(__xludf.DUMMYFUNCTION("""COMPUTED_VALUE"""),768.0)</f>
        <v>768</v>
      </c>
      <c r="C731" s="5">
        <f>IFERROR(__xludf.DUMMYFUNCTION("""COMPUTED_VALUE"""),180079.0)</f>
        <v>180079</v>
      </c>
      <c r="D731" s="5" t="str">
        <f>IFERROR(__xludf.DUMMYFUNCTION("""COMPUTED_VALUE"""),"Redstone10CloverDeluxe")</f>
        <v>Redstone10CloverDeluxe</v>
      </c>
      <c r="E731" s="5" t="str">
        <f>IFERROR(__xludf.DUMMYFUNCTION("""COMPUTED_VALUE"""),"Yes")</f>
        <v>Yes</v>
      </c>
      <c r="F731" s="5" t="str">
        <f>IFERROR(__xludf.DUMMYFUNCTION("""COMPUTED_VALUE"""),"Yes")</f>
        <v>Yes</v>
      </c>
      <c r="G731" s="5" t="str">
        <f>IFERROR(__xludf.DUMMYFUNCTION("""COMPUTED_VALUE"""),"Yes")</f>
        <v>Yes</v>
      </c>
      <c r="H731" s="5" t="str">
        <f>IFERROR(__xludf.DUMMYFUNCTION("""COMPUTED_VALUE"""),"Yes")</f>
        <v>Yes</v>
      </c>
      <c r="I731" s="5" t="str">
        <f>IFERROR(__xludf.DUMMYFUNCTION("""COMPUTED_VALUE"""),"Yes")</f>
        <v>Yes</v>
      </c>
      <c r="J731" s="5" t="str">
        <f>IFERROR(__xludf.DUMMYFUNCTION("""COMPUTED_VALUE"""),"Yes")</f>
        <v>Yes</v>
      </c>
      <c r="K731" s="5" t="str">
        <f>IFERROR(__xludf.DUMMYFUNCTION("""COMPUTED_VALUE"""),"Yes")</f>
        <v>Yes</v>
      </c>
      <c r="L731" s="5" t="str">
        <f>IFERROR(__xludf.DUMMYFUNCTION("""COMPUTED_VALUE"""),"Yes")</f>
        <v>Yes</v>
      </c>
      <c r="M731" s="5" t="str">
        <f>IFERROR(__xludf.DUMMYFUNCTION("""COMPUTED_VALUE"""),"Yes")</f>
        <v>Yes</v>
      </c>
      <c r="N731" s="5" t="str">
        <f>IFERROR(__xludf.DUMMYFUNCTION("""COMPUTED_VALUE"""),"Yes")</f>
        <v>Yes</v>
      </c>
      <c r="O731" s="5" t="str">
        <f>IFERROR(__xludf.DUMMYFUNCTION("""COMPUTED_VALUE"""),"Yes")</f>
        <v>Yes</v>
      </c>
      <c r="P731" s="5" t="str">
        <f>IFERROR(__xludf.DUMMYFUNCTION("""COMPUTED_VALUE"""),"Yes")</f>
        <v>Yes</v>
      </c>
      <c r="Q731" s="5" t="str">
        <f>IFERROR(__xludf.DUMMYFUNCTION("""COMPUTED_VALUE"""),"Yes")</f>
        <v>Yes</v>
      </c>
      <c r="R731" s="5" t="str">
        <f>IFERROR(__xludf.DUMMYFUNCTION("""COMPUTED_VALUE"""),"Yes")</f>
        <v>Yes</v>
      </c>
      <c r="S731" s="5" t="str">
        <f>IFERROR(__xludf.DUMMYFUNCTION("""COMPUTED_VALUE"""),"Yes")</f>
        <v>Yes</v>
      </c>
      <c r="T731" s="5" t="str">
        <f>IFERROR(__xludf.DUMMYFUNCTION("""COMPUTED_VALUE"""),"No")</f>
        <v>No</v>
      </c>
      <c r="U731" s="5" t="str">
        <f>IFERROR(__xludf.DUMMYFUNCTION("""COMPUTED_VALUE"""),"No")</f>
        <v>No</v>
      </c>
      <c r="V731" s="5" t="str">
        <f>IFERROR(__xludf.DUMMYFUNCTION("""COMPUTED_VALUE"""),"No")</f>
        <v>No</v>
      </c>
      <c r="W731" s="5" t="str">
        <f>IFERROR(__xludf.DUMMYFUNCTION("""COMPUTED_VALUE"""),"No")</f>
        <v>No</v>
      </c>
      <c r="X731" s="5" t="str">
        <f>IFERROR(__xludf.DUMMYFUNCTION("""COMPUTED_VALUE"""),"No")</f>
        <v>No</v>
      </c>
      <c r="Y731" s="5" t="str">
        <f>IFERROR(__xludf.DUMMYFUNCTION("""COMPUTED_VALUE"""),"No")</f>
        <v>No</v>
      </c>
      <c r="Z731" s="5" t="str">
        <f>IFERROR(__xludf.DUMMYFUNCTION("""COMPUTED_VALUE"""),"No")</f>
        <v>No</v>
      </c>
      <c r="AA731" s="5" t="str">
        <f>IFERROR(__xludf.DUMMYFUNCTION("""COMPUTED_VALUE"""),"Yes")</f>
        <v>Yes</v>
      </c>
      <c r="AB731" s="5" t="str">
        <f>IFERROR(__xludf.DUMMYFUNCTION("""COMPUTED_VALUE"""),"No")</f>
        <v>No</v>
      </c>
      <c r="AC731" s="5" t="str">
        <f>IFERROR(__xludf.DUMMYFUNCTION("""COMPUTED_VALUE"""),"No")</f>
        <v>No</v>
      </c>
      <c r="AD731" s="5" t="str">
        <f>IFERROR(__xludf.DUMMYFUNCTION("""COMPUTED_VALUE"""),"No")</f>
        <v>No</v>
      </c>
      <c r="AE731" s="5" t="str">
        <f>IFERROR(__xludf.DUMMYFUNCTION("""COMPUTED_VALUE"""),"No")</f>
        <v>No</v>
      </c>
      <c r="AF731" s="5" t="str">
        <f>IFERROR(__xludf.DUMMYFUNCTION("""COMPUTED_VALUE"""),"Yes")</f>
        <v>Yes</v>
      </c>
      <c r="AG731" s="5" t="str">
        <f>IFERROR(__xludf.DUMMYFUNCTION("""COMPUTED_VALUE"""),"No")</f>
        <v>No</v>
      </c>
      <c r="AH731" s="5" t="str">
        <f>IFERROR(__xludf.DUMMYFUNCTION("""COMPUTED_VALUE"""),"Yes")</f>
        <v>Yes</v>
      </c>
      <c r="AI731" s="5" t="str">
        <f>IFERROR(__xludf.DUMMYFUNCTION("""COMPUTED_VALUE"""),"No")</f>
        <v>No</v>
      </c>
      <c r="AJ731" s="5" t="str">
        <f>IFERROR(__xludf.DUMMYFUNCTION("""COMPUTED_VALUE"""),"No")</f>
        <v>No</v>
      </c>
      <c r="AK731" s="5" t="str">
        <f>IFERROR(__xludf.DUMMYFUNCTION("""COMPUTED_VALUE"""),"No")</f>
        <v>No</v>
      </c>
      <c r="AL731" s="5" t="str">
        <f>IFERROR(__xludf.DUMMYFUNCTION("""COMPUTED_VALUE"""),"No")</f>
        <v>No</v>
      </c>
      <c r="AM731" s="5"/>
      <c r="AN731" s="5"/>
      <c r="AO731" s="5"/>
      <c r="AP731" s="5"/>
      <c r="AQ731" s="5"/>
      <c r="AR731" s="5"/>
      <c r="AS731" s="5"/>
      <c r="AT731" s="5"/>
      <c r="AU731" s="5"/>
      <c r="AV731" s="5"/>
      <c r="AW731" s="5"/>
      <c r="AX731" s="5"/>
      <c r="AY731" s="5"/>
    </row>
    <row r="732">
      <c r="A732"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2" s="5">
        <f>IFERROR(__xludf.DUMMYFUNCTION("""COMPUTED_VALUE"""),769.0)</f>
        <v>769</v>
      </c>
      <c r="C732" s="5">
        <f>IFERROR(__xludf.DUMMYFUNCTION("""COMPUTED_VALUE"""),180080.0)</f>
        <v>180080</v>
      </c>
      <c r="D732" s="5" t="str">
        <f>IFERROR(__xludf.DUMMYFUNCTION("""COMPUTED_VALUE"""),"Redstone10CrownDeluxe")</f>
        <v>Redstone10CrownDeluxe</v>
      </c>
      <c r="E732" s="5" t="str">
        <f>IFERROR(__xludf.DUMMYFUNCTION("""COMPUTED_VALUE"""),"Yes")</f>
        <v>Yes</v>
      </c>
      <c r="F732" s="5" t="str">
        <f>IFERROR(__xludf.DUMMYFUNCTION("""COMPUTED_VALUE"""),"Yes")</f>
        <v>Yes</v>
      </c>
      <c r="G732" s="5" t="str">
        <f>IFERROR(__xludf.DUMMYFUNCTION("""COMPUTED_VALUE"""),"Yes")</f>
        <v>Yes</v>
      </c>
      <c r="H732" s="5" t="str">
        <f>IFERROR(__xludf.DUMMYFUNCTION("""COMPUTED_VALUE"""),"Yes")</f>
        <v>Yes</v>
      </c>
      <c r="I732" s="5" t="str">
        <f>IFERROR(__xludf.DUMMYFUNCTION("""COMPUTED_VALUE"""),"Yes")</f>
        <v>Yes</v>
      </c>
      <c r="J732" s="5" t="str">
        <f>IFERROR(__xludf.DUMMYFUNCTION("""COMPUTED_VALUE"""),"Yes")</f>
        <v>Yes</v>
      </c>
      <c r="K732" s="5" t="str">
        <f>IFERROR(__xludf.DUMMYFUNCTION("""COMPUTED_VALUE"""),"Yes")</f>
        <v>Yes</v>
      </c>
      <c r="L732" s="5" t="str">
        <f>IFERROR(__xludf.DUMMYFUNCTION("""COMPUTED_VALUE"""),"Yes")</f>
        <v>Yes</v>
      </c>
      <c r="M732" s="5" t="str">
        <f>IFERROR(__xludf.DUMMYFUNCTION("""COMPUTED_VALUE"""),"Yes")</f>
        <v>Yes</v>
      </c>
      <c r="N732" s="5" t="str">
        <f>IFERROR(__xludf.DUMMYFUNCTION("""COMPUTED_VALUE"""),"Yes")</f>
        <v>Yes</v>
      </c>
      <c r="O732" s="5" t="str">
        <f>IFERROR(__xludf.DUMMYFUNCTION("""COMPUTED_VALUE"""),"Yes")</f>
        <v>Yes</v>
      </c>
      <c r="P732" s="5" t="str">
        <f>IFERROR(__xludf.DUMMYFUNCTION("""COMPUTED_VALUE"""),"Yes")</f>
        <v>Yes</v>
      </c>
      <c r="Q732" s="5" t="str">
        <f>IFERROR(__xludf.DUMMYFUNCTION("""COMPUTED_VALUE"""),"Yes")</f>
        <v>Yes</v>
      </c>
      <c r="R732" s="5" t="str">
        <f>IFERROR(__xludf.DUMMYFUNCTION("""COMPUTED_VALUE"""),"Yes")</f>
        <v>Yes</v>
      </c>
      <c r="S732" s="5" t="str">
        <f>IFERROR(__xludf.DUMMYFUNCTION("""COMPUTED_VALUE"""),"Yes")</f>
        <v>Yes</v>
      </c>
      <c r="T732" s="5" t="str">
        <f>IFERROR(__xludf.DUMMYFUNCTION("""COMPUTED_VALUE"""),"No")</f>
        <v>No</v>
      </c>
      <c r="U732" s="5" t="str">
        <f>IFERROR(__xludf.DUMMYFUNCTION("""COMPUTED_VALUE"""),"No")</f>
        <v>No</v>
      </c>
      <c r="V732" s="5" t="str">
        <f>IFERROR(__xludf.DUMMYFUNCTION("""COMPUTED_VALUE"""),"No")</f>
        <v>No</v>
      </c>
      <c r="W732" s="5" t="str">
        <f>IFERROR(__xludf.DUMMYFUNCTION("""COMPUTED_VALUE"""),"No")</f>
        <v>No</v>
      </c>
      <c r="X732" s="5" t="str">
        <f>IFERROR(__xludf.DUMMYFUNCTION("""COMPUTED_VALUE"""),"No")</f>
        <v>No</v>
      </c>
      <c r="Y732" s="5" t="str">
        <f>IFERROR(__xludf.DUMMYFUNCTION("""COMPUTED_VALUE"""),"No")</f>
        <v>No</v>
      </c>
      <c r="Z732" s="5" t="str">
        <f>IFERROR(__xludf.DUMMYFUNCTION("""COMPUTED_VALUE"""),"No")</f>
        <v>No</v>
      </c>
      <c r="AA732" s="5" t="str">
        <f>IFERROR(__xludf.DUMMYFUNCTION("""COMPUTED_VALUE"""),"Yes")</f>
        <v>Yes</v>
      </c>
      <c r="AB732" s="5" t="str">
        <f>IFERROR(__xludf.DUMMYFUNCTION("""COMPUTED_VALUE"""),"No")</f>
        <v>No</v>
      </c>
      <c r="AC732" s="5" t="str">
        <f>IFERROR(__xludf.DUMMYFUNCTION("""COMPUTED_VALUE"""),"No")</f>
        <v>No</v>
      </c>
      <c r="AD732" s="5" t="str">
        <f>IFERROR(__xludf.DUMMYFUNCTION("""COMPUTED_VALUE"""),"No")</f>
        <v>No</v>
      </c>
      <c r="AE732" s="5" t="str">
        <f>IFERROR(__xludf.DUMMYFUNCTION("""COMPUTED_VALUE"""),"No")</f>
        <v>No</v>
      </c>
      <c r="AF732" s="5" t="str">
        <f>IFERROR(__xludf.DUMMYFUNCTION("""COMPUTED_VALUE"""),"Yes")</f>
        <v>Yes</v>
      </c>
      <c r="AG732" s="5" t="str">
        <f>IFERROR(__xludf.DUMMYFUNCTION("""COMPUTED_VALUE"""),"No")</f>
        <v>No</v>
      </c>
      <c r="AH732" s="5" t="str">
        <f>IFERROR(__xludf.DUMMYFUNCTION("""COMPUTED_VALUE"""),"Yes")</f>
        <v>Yes</v>
      </c>
      <c r="AI732" s="5" t="str">
        <f>IFERROR(__xludf.DUMMYFUNCTION("""COMPUTED_VALUE"""),"No")</f>
        <v>No</v>
      </c>
      <c r="AJ732" s="5" t="str">
        <f>IFERROR(__xludf.DUMMYFUNCTION("""COMPUTED_VALUE"""),"No")</f>
        <v>No</v>
      </c>
      <c r="AK732" s="5" t="str">
        <f>IFERROR(__xludf.DUMMYFUNCTION("""COMPUTED_VALUE"""),"No")</f>
        <v>No</v>
      </c>
      <c r="AL732" s="5" t="str">
        <f>IFERROR(__xludf.DUMMYFUNCTION("""COMPUTED_VALUE"""),"No")</f>
        <v>No</v>
      </c>
      <c r="AM732" s="5"/>
      <c r="AN732" s="5"/>
      <c r="AO732" s="5"/>
      <c r="AP732" s="5"/>
      <c r="AQ732" s="5"/>
      <c r="AR732" s="5"/>
      <c r="AS732" s="5"/>
      <c r="AT732" s="5"/>
      <c r="AU732" s="5"/>
      <c r="AV732" s="5"/>
      <c r="AW732" s="5"/>
      <c r="AX732" s="5"/>
      <c r="AY732" s="5"/>
    </row>
    <row r="733">
      <c r="A733"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3" s="5">
        <f>IFERROR(__xludf.DUMMYFUNCTION("""COMPUTED_VALUE"""),770.0)</f>
        <v>770</v>
      </c>
      <c r="C733" s="5">
        <f>IFERROR(__xludf.DUMMYFUNCTION("""COMPUTED_VALUE"""),180081.0)</f>
        <v>180081</v>
      </c>
      <c r="D733" s="5" t="str">
        <f>IFERROR(__xludf.DUMMYFUNCTION("""COMPUTED_VALUE"""),"Redstone10HeartDeluxe")</f>
        <v>Redstone10HeartDeluxe</v>
      </c>
      <c r="E733" s="5" t="str">
        <f>IFERROR(__xludf.DUMMYFUNCTION("""COMPUTED_VALUE"""),"Yes")</f>
        <v>Yes</v>
      </c>
      <c r="F733" s="5" t="str">
        <f>IFERROR(__xludf.DUMMYFUNCTION("""COMPUTED_VALUE"""),"Yes")</f>
        <v>Yes</v>
      </c>
      <c r="G733" s="5" t="str">
        <f>IFERROR(__xludf.DUMMYFUNCTION("""COMPUTED_VALUE"""),"Yes")</f>
        <v>Yes</v>
      </c>
      <c r="H733" s="5" t="str">
        <f>IFERROR(__xludf.DUMMYFUNCTION("""COMPUTED_VALUE"""),"Yes")</f>
        <v>Yes</v>
      </c>
      <c r="I733" s="5" t="str">
        <f>IFERROR(__xludf.DUMMYFUNCTION("""COMPUTED_VALUE"""),"Yes")</f>
        <v>Yes</v>
      </c>
      <c r="J733" s="5" t="str">
        <f>IFERROR(__xludf.DUMMYFUNCTION("""COMPUTED_VALUE"""),"Yes")</f>
        <v>Yes</v>
      </c>
      <c r="K733" s="5" t="str">
        <f>IFERROR(__xludf.DUMMYFUNCTION("""COMPUTED_VALUE"""),"Yes")</f>
        <v>Yes</v>
      </c>
      <c r="L733" s="5" t="str">
        <f>IFERROR(__xludf.DUMMYFUNCTION("""COMPUTED_VALUE"""),"Yes")</f>
        <v>Yes</v>
      </c>
      <c r="M733" s="5" t="str">
        <f>IFERROR(__xludf.DUMMYFUNCTION("""COMPUTED_VALUE"""),"Yes")</f>
        <v>Yes</v>
      </c>
      <c r="N733" s="5" t="str">
        <f>IFERROR(__xludf.DUMMYFUNCTION("""COMPUTED_VALUE"""),"Yes")</f>
        <v>Yes</v>
      </c>
      <c r="O733" s="5" t="str">
        <f>IFERROR(__xludf.DUMMYFUNCTION("""COMPUTED_VALUE"""),"Yes")</f>
        <v>Yes</v>
      </c>
      <c r="P733" s="5" t="str">
        <f>IFERROR(__xludf.DUMMYFUNCTION("""COMPUTED_VALUE"""),"Yes")</f>
        <v>Yes</v>
      </c>
      <c r="Q733" s="5" t="str">
        <f>IFERROR(__xludf.DUMMYFUNCTION("""COMPUTED_VALUE"""),"Yes")</f>
        <v>Yes</v>
      </c>
      <c r="R733" s="5" t="str">
        <f>IFERROR(__xludf.DUMMYFUNCTION("""COMPUTED_VALUE"""),"Yes")</f>
        <v>Yes</v>
      </c>
      <c r="S733" s="5" t="str">
        <f>IFERROR(__xludf.DUMMYFUNCTION("""COMPUTED_VALUE"""),"Yes")</f>
        <v>Yes</v>
      </c>
      <c r="T733" s="5" t="str">
        <f>IFERROR(__xludf.DUMMYFUNCTION("""COMPUTED_VALUE"""),"No")</f>
        <v>No</v>
      </c>
      <c r="U733" s="5" t="str">
        <f>IFERROR(__xludf.DUMMYFUNCTION("""COMPUTED_VALUE"""),"No")</f>
        <v>No</v>
      </c>
      <c r="V733" s="5" t="str">
        <f>IFERROR(__xludf.DUMMYFUNCTION("""COMPUTED_VALUE"""),"No")</f>
        <v>No</v>
      </c>
      <c r="W733" s="5" t="str">
        <f>IFERROR(__xludf.DUMMYFUNCTION("""COMPUTED_VALUE"""),"No")</f>
        <v>No</v>
      </c>
      <c r="X733" s="5" t="str">
        <f>IFERROR(__xludf.DUMMYFUNCTION("""COMPUTED_VALUE"""),"No")</f>
        <v>No</v>
      </c>
      <c r="Y733" s="5" t="str">
        <f>IFERROR(__xludf.DUMMYFUNCTION("""COMPUTED_VALUE"""),"No")</f>
        <v>No</v>
      </c>
      <c r="Z733" s="5" t="str">
        <f>IFERROR(__xludf.DUMMYFUNCTION("""COMPUTED_VALUE"""),"No")</f>
        <v>No</v>
      </c>
      <c r="AA733" s="5" t="str">
        <f>IFERROR(__xludf.DUMMYFUNCTION("""COMPUTED_VALUE"""),"Yes")</f>
        <v>Yes</v>
      </c>
      <c r="AB733" s="5" t="str">
        <f>IFERROR(__xludf.DUMMYFUNCTION("""COMPUTED_VALUE"""),"No")</f>
        <v>No</v>
      </c>
      <c r="AC733" s="5" t="str">
        <f>IFERROR(__xludf.DUMMYFUNCTION("""COMPUTED_VALUE"""),"No")</f>
        <v>No</v>
      </c>
      <c r="AD733" s="5" t="str">
        <f>IFERROR(__xludf.DUMMYFUNCTION("""COMPUTED_VALUE"""),"No")</f>
        <v>No</v>
      </c>
      <c r="AE733" s="5" t="str">
        <f>IFERROR(__xludf.DUMMYFUNCTION("""COMPUTED_VALUE"""),"No")</f>
        <v>No</v>
      </c>
      <c r="AF733" s="5" t="str">
        <f>IFERROR(__xludf.DUMMYFUNCTION("""COMPUTED_VALUE"""),"Yes")</f>
        <v>Yes</v>
      </c>
      <c r="AG733" s="5" t="str">
        <f>IFERROR(__xludf.DUMMYFUNCTION("""COMPUTED_VALUE"""),"No")</f>
        <v>No</v>
      </c>
      <c r="AH733" s="5" t="str">
        <f>IFERROR(__xludf.DUMMYFUNCTION("""COMPUTED_VALUE"""),"Yes")</f>
        <v>Yes</v>
      </c>
      <c r="AI733" s="5" t="str">
        <f>IFERROR(__xludf.DUMMYFUNCTION("""COMPUTED_VALUE"""),"No")</f>
        <v>No</v>
      </c>
      <c r="AJ733" s="5" t="str">
        <f>IFERROR(__xludf.DUMMYFUNCTION("""COMPUTED_VALUE"""),"No")</f>
        <v>No</v>
      </c>
      <c r="AK733" s="5" t="str">
        <f>IFERROR(__xludf.DUMMYFUNCTION("""COMPUTED_VALUE"""),"No")</f>
        <v>No</v>
      </c>
      <c r="AL733" s="5" t="str">
        <f>IFERROR(__xludf.DUMMYFUNCTION("""COMPUTED_VALUE"""),"No")</f>
        <v>No</v>
      </c>
      <c r="AM733" s="5"/>
      <c r="AN733" s="5"/>
      <c r="AO733" s="5"/>
      <c r="AP733" s="5"/>
      <c r="AQ733" s="5"/>
      <c r="AR733" s="5"/>
      <c r="AS733" s="5"/>
      <c r="AT733" s="5"/>
      <c r="AU733" s="5"/>
      <c r="AV733" s="5"/>
      <c r="AW733" s="5"/>
      <c r="AX733" s="5"/>
      <c r="AY733" s="5"/>
    </row>
    <row r="734">
      <c r="A734" s="5" t="str">
        <f>IFERROR(__xludf.DUMMYFUNCTION("""COMPUTED_VALUE"""),"")</f>
        <v/>
      </c>
      <c r="B734" s="5">
        <f>IFERROR(__xludf.DUMMYFUNCTION("""COMPUTED_VALUE"""),771.0)</f>
        <v>771</v>
      </c>
      <c r="C734" s="5">
        <f>IFERROR(__xludf.DUMMYFUNCTION("""COMPUTED_VALUE"""),180082.0)</f>
        <v>180082</v>
      </c>
      <c r="D734" s="5" t="str">
        <f>IFERROR(__xludf.DUMMYFUNCTION("""COMPUTED_VALUE"""),"RedstoneMultiCrown5")</f>
        <v>RedstoneMultiCrown5</v>
      </c>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row>
    <row r="735">
      <c r="A735"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5" s="5">
        <f>IFERROR(__xludf.DUMMYFUNCTION("""COMPUTED_VALUE"""),772.0)</f>
        <v>772</v>
      </c>
      <c r="C735" s="5">
        <f>IFERROR(__xludf.DUMMYFUNCTION("""COMPUTED_VALUE"""),180083.0)</f>
        <v>180083</v>
      </c>
      <c r="D735" s="5" t="str">
        <f>IFERROR(__xludf.DUMMYFUNCTION("""COMPUTED_VALUE"""),"RedstoneMultiHeart10")</f>
        <v>RedstoneMultiHeart10</v>
      </c>
      <c r="E735" s="5" t="str">
        <f>IFERROR(__xludf.DUMMYFUNCTION("""COMPUTED_VALUE"""),"Yes")</f>
        <v>Yes</v>
      </c>
      <c r="F735" s="5" t="str">
        <f>IFERROR(__xludf.DUMMYFUNCTION("""COMPUTED_VALUE"""),"Yes")</f>
        <v>Yes</v>
      </c>
      <c r="G735" s="5" t="str">
        <f>IFERROR(__xludf.DUMMYFUNCTION("""COMPUTED_VALUE"""),"Yes")</f>
        <v>Yes</v>
      </c>
      <c r="H735" s="5" t="str">
        <f>IFERROR(__xludf.DUMMYFUNCTION("""COMPUTED_VALUE"""),"Yes")</f>
        <v>Yes</v>
      </c>
      <c r="I735" s="5" t="str">
        <f>IFERROR(__xludf.DUMMYFUNCTION("""COMPUTED_VALUE"""),"Yes")</f>
        <v>Yes</v>
      </c>
      <c r="J735" s="5" t="str">
        <f>IFERROR(__xludf.DUMMYFUNCTION("""COMPUTED_VALUE"""),"Yes")</f>
        <v>Yes</v>
      </c>
      <c r="K735" s="5" t="str">
        <f>IFERROR(__xludf.DUMMYFUNCTION("""COMPUTED_VALUE"""),"Yes")</f>
        <v>Yes</v>
      </c>
      <c r="L735" s="5" t="str">
        <f>IFERROR(__xludf.DUMMYFUNCTION("""COMPUTED_VALUE"""),"Yes")</f>
        <v>Yes</v>
      </c>
      <c r="M735" s="5" t="str">
        <f>IFERROR(__xludf.DUMMYFUNCTION("""COMPUTED_VALUE"""),"Yes")</f>
        <v>Yes</v>
      </c>
      <c r="N735" s="5" t="str">
        <f>IFERROR(__xludf.DUMMYFUNCTION("""COMPUTED_VALUE"""),"Yes")</f>
        <v>Yes</v>
      </c>
      <c r="O735" s="5" t="str">
        <f>IFERROR(__xludf.DUMMYFUNCTION("""COMPUTED_VALUE"""),"Yes")</f>
        <v>Yes</v>
      </c>
      <c r="P735" s="5" t="str">
        <f>IFERROR(__xludf.DUMMYFUNCTION("""COMPUTED_VALUE"""),"Yes")</f>
        <v>Yes</v>
      </c>
      <c r="Q735" s="5" t="str">
        <f>IFERROR(__xludf.DUMMYFUNCTION("""COMPUTED_VALUE"""),"Yes")</f>
        <v>Yes</v>
      </c>
      <c r="R735" s="5" t="str">
        <f>IFERROR(__xludf.DUMMYFUNCTION("""COMPUTED_VALUE"""),"Yes")</f>
        <v>Yes</v>
      </c>
      <c r="S735" s="5" t="str">
        <f>IFERROR(__xludf.DUMMYFUNCTION("""COMPUTED_VALUE"""),"Yes")</f>
        <v>Yes</v>
      </c>
      <c r="T735" s="5" t="str">
        <f>IFERROR(__xludf.DUMMYFUNCTION("""COMPUTED_VALUE"""),"No")</f>
        <v>No</v>
      </c>
      <c r="U735" s="5" t="str">
        <f>IFERROR(__xludf.DUMMYFUNCTION("""COMPUTED_VALUE"""),"No")</f>
        <v>No</v>
      </c>
      <c r="V735" s="5" t="str">
        <f>IFERROR(__xludf.DUMMYFUNCTION("""COMPUTED_VALUE"""),"No")</f>
        <v>No</v>
      </c>
      <c r="W735" s="5" t="str">
        <f>IFERROR(__xludf.DUMMYFUNCTION("""COMPUTED_VALUE"""),"No")</f>
        <v>No</v>
      </c>
      <c r="X735" s="5" t="str">
        <f>IFERROR(__xludf.DUMMYFUNCTION("""COMPUTED_VALUE"""),"No")</f>
        <v>No</v>
      </c>
      <c r="Y735" s="5" t="str">
        <f>IFERROR(__xludf.DUMMYFUNCTION("""COMPUTED_VALUE"""),"No")</f>
        <v>No</v>
      </c>
      <c r="Z735" s="5" t="str">
        <f>IFERROR(__xludf.DUMMYFUNCTION("""COMPUTED_VALUE"""),"No")</f>
        <v>No</v>
      </c>
      <c r="AA735" s="5" t="str">
        <f>IFERROR(__xludf.DUMMYFUNCTION("""COMPUTED_VALUE"""),"Yes")</f>
        <v>Yes</v>
      </c>
      <c r="AB735" s="5" t="str">
        <f>IFERROR(__xludf.DUMMYFUNCTION("""COMPUTED_VALUE"""),"No")</f>
        <v>No</v>
      </c>
      <c r="AC735" s="5" t="str">
        <f>IFERROR(__xludf.DUMMYFUNCTION("""COMPUTED_VALUE"""),"No")</f>
        <v>No</v>
      </c>
      <c r="AD735" s="5" t="str">
        <f>IFERROR(__xludf.DUMMYFUNCTION("""COMPUTED_VALUE"""),"No")</f>
        <v>No</v>
      </c>
      <c r="AE735" s="5" t="str">
        <f>IFERROR(__xludf.DUMMYFUNCTION("""COMPUTED_VALUE"""),"No")</f>
        <v>No</v>
      </c>
      <c r="AF735" s="5" t="str">
        <f>IFERROR(__xludf.DUMMYFUNCTION("""COMPUTED_VALUE"""),"Yes")</f>
        <v>Yes</v>
      </c>
      <c r="AG735" s="5" t="str">
        <f>IFERROR(__xludf.DUMMYFUNCTION("""COMPUTED_VALUE"""),"No")</f>
        <v>No</v>
      </c>
      <c r="AH735" s="5" t="str">
        <f>IFERROR(__xludf.DUMMYFUNCTION("""COMPUTED_VALUE"""),"Yes")</f>
        <v>Yes</v>
      </c>
      <c r="AI735" s="5" t="str">
        <f>IFERROR(__xludf.DUMMYFUNCTION("""COMPUTED_VALUE"""),"No")</f>
        <v>No</v>
      </c>
      <c r="AJ735" s="5" t="str">
        <f>IFERROR(__xludf.DUMMYFUNCTION("""COMPUTED_VALUE"""),"No")</f>
        <v>No</v>
      </c>
      <c r="AK735" s="5" t="str">
        <f>IFERROR(__xludf.DUMMYFUNCTION("""COMPUTED_VALUE"""),"No")</f>
        <v>No</v>
      </c>
      <c r="AL735" s="5" t="str">
        <f>IFERROR(__xludf.DUMMYFUNCTION("""COMPUTED_VALUE"""),"No")</f>
        <v>No</v>
      </c>
      <c r="AM735" s="5"/>
      <c r="AN735" s="5"/>
      <c r="AO735" s="5"/>
      <c r="AP735" s="5"/>
      <c r="AQ735" s="5"/>
      <c r="AR735" s="5"/>
      <c r="AS735" s="5"/>
      <c r="AT735" s="5"/>
      <c r="AU735" s="5"/>
      <c r="AV735" s="5"/>
      <c r="AW735" s="5"/>
      <c r="AX735" s="5"/>
      <c r="AY735" s="5"/>
    </row>
    <row r="736">
      <c r="A736" s="5" t="str">
        <f>IFERROR(__xludf.DUMMYFUNCTION("""COMPUTED_VALUE"""),"")</f>
        <v/>
      </c>
      <c r="B736" s="5">
        <f>IFERROR(__xludf.DUMMYFUNCTION("""COMPUTED_VALUE"""),773.0)</f>
        <v>773</v>
      </c>
      <c r="C736" s="5">
        <f>IFERROR(__xludf.DUMMYFUNCTION("""COMPUTED_VALUE"""),180084.0)</f>
        <v>180084</v>
      </c>
      <c r="D736" s="5" t="str">
        <f>IFERROR(__xludf.DUMMYFUNCTION("""COMPUTED_VALUE"""),"RedstoneChilliDoubleChristmas")</f>
        <v>RedstoneChilliDoubleChristmas</v>
      </c>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row>
    <row r="737">
      <c r="A737" s="5" t="str">
        <f>IFERROR(__xludf.DUMMYFUNCTION("""COMPUTED_VALUE"""),"")</f>
        <v/>
      </c>
      <c r="B737" s="5">
        <f>IFERROR(__xludf.DUMMYFUNCTION("""COMPUTED_VALUE"""),774.0)</f>
        <v>774</v>
      </c>
      <c r="C737" s="5">
        <f>IFERROR(__xludf.DUMMYFUNCTION("""COMPUTED_VALUE"""),180085.0)</f>
        <v>180085</v>
      </c>
      <c r="D737" s="5" t="str">
        <f>IFERROR(__xludf.DUMMYFUNCTION("""COMPUTED_VALUE"""),"RedstoneMultiHeart5Christmas")</f>
        <v>RedstoneMultiHeart5Christmas</v>
      </c>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row>
    <row r="738">
      <c r="A738" s="5" t="str">
        <f>IFERROR(__xludf.DUMMYFUNCTION("""COMPUTED_VALUE"""),"")</f>
        <v/>
      </c>
      <c r="B738" s="5">
        <f>IFERROR(__xludf.DUMMYFUNCTION("""COMPUTED_VALUE"""),775.0)</f>
        <v>775</v>
      </c>
      <c r="C738" s="5">
        <f>IFERROR(__xludf.DUMMYFUNCTION("""COMPUTED_VALUE"""),180086.0)</f>
        <v>180086</v>
      </c>
      <c r="D738" s="5" t="str">
        <f>IFERROR(__xludf.DUMMYFUNCTION("""COMPUTED_VALUE"""),"RedstoneDoubleWildHeartHalloween")</f>
        <v>RedstoneDoubleWildHeartHalloween</v>
      </c>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row>
    <row r="739">
      <c r="A739" s="5" t="str">
        <f>IFERROR(__xludf.DUMMYFUNCTION("""COMPUTED_VALUE"""),"")</f>
        <v/>
      </c>
      <c r="B739" s="5">
        <f>IFERROR(__xludf.DUMMYFUNCTION("""COMPUTED_VALUE"""),776.0)</f>
        <v>776</v>
      </c>
      <c r="C739" s="5">
        <f>IFERROR(__xludf.DUMMYFUNCTION("""COMPUTED_VALUE"""),-1.0)</f>
        <v>-1</v>
      </c>
      <c r="D739" s="5" t="str">
        <f>IFERROR(__xludf.DUMMYFUNCTION("""COMPUTED_VALUE"""),"TBD")</f>
        <v>TBD</v>
      </c>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row>
    <row r="740">
      <c r="A740" s="5" t="str">
        <f>IFERROR(__xludf.DUMMYFUNCTION("""COMPUTED_VALUE"""),"")</f>
        <v/>
      </c>
      <c r="B740" s="5">
        <f>IFERROR(__xludf.DUMMYFUNCTION("""COMPUTED_VALUE"""),777.0)</f>
        <v>777</v>
      </c>
      <c r="C740" s="5">
        <f>IFERROR(__xludf.DUMMYFUNCTION("""COMPUTED_VALUE"""),-1.0)</f>
        <v>-1</v>
      </c>
      <c r="D740" s="5" t="str">
        <f>IFERROR(__xludf.DUMMYFUNCTION("""COMPUTED_VALUE"""),"TBD")</f>
        <v>TBD</v>
      </c>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row>
    <row r="741">
      <c r="A741" s="5" t="str">
        <f>IFERROR(__xludf.DUMMYFUNCTION("""COMPUTED_VALUE"""),"")</f>
        <v/>
      </c>
      <c r="B741" s="5">
        <f>IFERROR(__xludf.DUMMYFUNCTION("""COMPUTED_VALUE"""),778.0)</f>
        <v>778</v>
      </c>
      <c r="C741" s="5">
        <f>IFERROR(__xludf.DUMMYFUNCTION("""COMPUTED_VALUE"""),-1.0)</f>
        <v>-1</v>
      </c>
      <c r="D741" s="5" t="str">
        <f>IFERROR(__xludf.DUMMYFUNCTION("""COMPUTED_VALUE"""),"TBD")</f>
        <v>TBD</v>
      </c>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row>
    <row r="742">
      <c r="A742" s="5" t="str">
        <f>IFERROR(__xludf.DUMMYFUNCTION("""COMPUTED_VALUE"""),"")</f>
        <v/>
      </c>
      <c r="B742" s="5">
        <f>IFERROR(__xludf.DUMMYFUNCTION("""COMPUTED_VALUE"""),779.0)</f>
        <v>779</v>
      </c>
      <c r="C742" s="5">
        <f>IFERROR(__xludf.DUMMYFUNCTION("""COMPUTED_VALUE"""),-1.0)</f>
        <v>-1</v>
      </c>
      <c r="D742" s="5" t="str">
        <f>IFERROR(__xludf.DUMMYFUNCTION("""COMPUTED_VALUE"""),"TBD")</f>
        <v>TBD</v>
      </c>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row>
    <row r="743">
      <c r="A743" s="5" t="str">
        <f>IFERROR(__xludf.DUMMYFUNCTION("""COMPUTED_VALUE"""),"")</f>
        <v/>
      </c>
      <c r="B743" s="5">
        <f>IFERROR(__xludf.DUMMYFUNCTION("""COMPUTED_VALUE"""),780.0)</f>
        <v>780</v>
      </c>
      <c r="C743" s="5">
        <f>IFERROR(__xludf.DUMMYFUNCTION("""COMPUTED_VALUE"""),-1.0)</f>
        <v>-1</v>
      </c>
      <c r="D743" s="5" t="str">
        <f>IFERROR(__xludf.DUMMYFUNCTION("""COMPUTED_VALUE"""),"TBD")</f>
        <v>TBD</v>
      </c>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row>
    <row r="744">
      <c r="A744" s="5" t="str">
        <f>IFERROR(__xludf.DUMMYFUNCTION("""COMPUTED_VALUE"""),"")</f>
        <v/>
      </c>
      <c r="B744" s="5">
        <f>IFERROR(__xludf.DUMMYFUNCTION("""COMPUTED_VALUE"""),781.0)</f>
        <v>781</v>
      </c>
      <c r="C744" s="5">
        <f>IFERROR(__xludf.DUMMYFUNCTION("""COMPUTED_VALUE"""),-1.0)</f>
        <v>-1</v>
      </c>
      <c r="D744" s="5" t="str">
        <f>IFERROR(__xludf.DUMMYFUNCTION("""COMPUTED_VALUE"""),"TBD")</f>
        <v>TBD</v>
      </c>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row>
    <row r="745">
      <c r="A745" s="5" t="str">
        <f>IFERROR(__xludf.DUMMYFUNCTION("""COMPUTED_VALUE"""),"")</f>
        <v/>
      </c>
      <c r="B745" s="5">
        <f>IFERROR(__xludf.DUMMYFUNCTION("""COMPUTED_VALUE"""),782.0)</f>
        <v>782</v>
      </c>
      <c r="C745" s="5">
        <f>IFERROR(__xludf.DUMMYFUNCTION("""COMPUTED_VALUE"""),-1.0)</f>
        <v>-1</v>
      </c>
      <c r="D745" s="5" t="str">
        <f>IFERROR(__xludf.DUMMYFUNCTION("""COMPUTED_VALUE"""),"TBD")</f>
        <v>TBD</v>
      </c>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row>
    <row r="746">
      <c r="A7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46" s="5">
        <f>IFERROR(__xludf.DUMMYFUNCTION("""COMPUTED_VALUE"""),783.0)</f>
        <v>783</v>
      </c>
      <c r="C746" s="5">
        <f>IFERROR(__xludf.DUMMYFUNCTION("""COMPUTED_VALUE"""),4043.0)</f>
        <v>4043</v>
      </c>
      <c r="D746" s="5" t="str">
        <f>IFERROR(__xludf.DUMMYFUNCTION("""COMPUTED_VALUE"""),"IvansBonusCrown")</f>
        <v>IvansBonusCrown</v>
      </c>
      <c r="E746" s="5" t="str">
        <f>IFERROR(__xludf.DUMMYFUNCTION("""COMPUTED_VALUE"""),"Yes")</f>
        <v>Yes</v>
      </c>
      <c r="F746" s="5" t="str">
        <f>IFERROR(__xludf.DUMMYFUNCTION("""COMPUTED_VALUE"""),"Yes")</f>
        <v>Yes</v>
      </c>
      <c r="G746" s="5" t="str">
        <f>IFERROR(__xludf.DUMMYFUNCTION("""COMPUTED_VALUE"""),"Yes")</f>
        <v>Yes</v>
      </c>
      <c r="H746" s="5" t="str">
        <f>IFERROR(__xludf.DUMMYFUNCTION("""COMPUTED_VALUE"""),"Yes")</f>
        <v>Yes</v>
      </c>
      <c r="I746" s="5" t="str">
        <f>IFERROR(__xludf.DUMMYFUNCTION("""COMPUTED_VALUE"""),"Yes")</f>
        <v>Yes</v>
      </c>
      <c r="J746" s="5" t="str">
        <f>IFERROR(__xludf.DUMMYFUNCTION("""COMPUTED_VALUE"""),"Yes")</f>
        <v>Yes</v>
      </c>
      <c r="K746" s="5" t="str">
        <f>IFERROR(__xludf.DUMMYFUNCTION("""COMPUTED_VALUE"""),"Yes")</f>
        <v>Yes</v>
      </c>
      <c r="L746" s="5" t="str">
        <f>IFERROR(__xludf.DUMMYFUNCTION("""COMPUTED_VALUE"""),"Yes")</f>
        <v>Yes</v>
      </c>
      <c r="M746" s="5" t="str">
        <f>IFERROR(__xludf.DUMMYFUNCTION("""COMPUTED_VALUE"""),"Yes")</f>
        <v>Yes</v>
      </c>
      <c r="N746" s="5" t="str">
        <f>IFERROR(__xludf.DUMMYFUNCTION("""COMPUTED_VALUE"""),"Yes")</f>
        <v>Yes</v>
      </c>
      <c r="O746" s="5" t="str">
        <f>IFERROR(__xludf.DUMMYFUNCTION("""COMPUTED_VALUE"""),"Yes")</f>
        <v>Yes</v>
      </c>
      <c r="P746" s="5" t="str">
        <f>IFERROR(__xludf.DUMMYFUNCTION("""COMPUTED_VALUE"""),"Yes")</f>
        <v>Yes</v>
      </c>
      <c r="Q746" s="5" t="str">
        <f>IFERROR(__xludf.DUMMYFUNCTION("""COMPUTED_VALUE"""),"Yes")</f>
        <v>Yes</v>
      </c>
      <c r="R746" s="5" t="str">
        <f>IFERROR(__xludf.DUMMYFUNCTION("""COMPUTED_VALUE"""),"Yes")</f>
        <v>Yes</v>
      </c>
      <c r="S746" s="5" t="str">
        <f>IFERROR(__xludf.DUMMYFUNCTION("""COMPUTED_VALUE"""),"Yes")</f>
        <v>Yes</v>
      </c>
      <c r="T746" s="5" t="str">
        <f>IFERROR(__xludf.DUMMYFUNCTION("""COMPUTED_VALUE"""),"Yes")</f>
        <v>Yes</v>
      </c>
      <c r="U746" s="5" t="str">
        <f>IFERROR(__xludf.DUMMYFUNCTION("""COMPUTED_VALUE"""),"Yes")</f>
        <v>Yes</v>
      </c>
      <c r="V746" s="5" t="str">
        <f>IFERROR(__xludf.DUMMYFUNCTION("""COMPUTED_VALUE"""),"Yes")</f>
        <v>Yes</v>
      </c>
      <c r="W746" s="5" t="str">
        <f>IFERROR(__xludf.DUMMYFUNCTION("""COMPUTED_VALUE"""),"Yes")</f>
        <v>Yes</v>
      </c>
      <c r="X746" s="5" t="str">
        <f>IFERROR(__xludf.DUMMYFUNCTION("""COMPUTED_VALUE"""),"Yes")</f>
        <v>Yes</v>
      </c>
      <c r="Y746" s="5" t="str">
        <f>IFERROR(__xludf.DUMMYFUNCTION("""COMPUTED_VALUE"""),"Yes")</f>
        <v>Yes</v>
      </c>
      <c r="Z746" s="5" t="str">
        <f>IFERROR(__xludf.DUMMYFUNCTION("""COMPUTED_VALUE"""),"Yes")</f>
        <v>Yes</v>
      </c>
      <c r="AA746" s="5" t="str">
        <f>IFERROR(__xludf.DUMMYFUNCTION("""COMPUTED_VALUE"""),"Yes")</f>
        <v>Yes</v>
      </c>
      <c r="AB746" s="5" t="str">
        <f>IFERROR(__xludf.DUMMYFUNCTION("""COMPUTED_VALUE"""),"Yes")</f>
        <v>Yes</v>
      </c>
      <c r="AC746" s="5" t="str">
        <f>IFERROR(__xludf.DUMMYFUNCTION("""COMPUTED_VALUE"""),"Yes")</f>
        <v>Yes</v>
      </c>
      <c r="AD746" s="5" t="str">
        <f>IFERROR(__xludf.DUMMYFUNCTION("""COMPUTED_VALUE"""),"Yes")</f>
        <v>Yes</v>
      </c>
      <c r="AE746" s="5" t="str">
        <f>IFERROR(__xludf.DUMMYFUNCTION("""COMPUTED_VALUE"""),"Yes")</f>
        <v>Yes</v>
      </c>
      <c r="AF746" s="5" t="str">
        <f>IFERROR(__xludf.DUMMYFUNCTION("""COMPUTED_VALUE"""),"Yes")</f>
        <v>Yes</v>
      </c>
      <c r="AG746" s="5" t="str">
        <f>IFERROR(__xludf.DUMMYFUNCTION("""COMPUTED_VALUE"""),"Yes")</f>
        <v>Yes</v>
      </c>
      <c r="AH746" s="5" t="str">
        <f>IFERROR(__xludf.DUMMYFUNCTION("""COMPUTED_VALUE"""),"Yes")</f>
        <v>Yes</v>
      </c>
      <c r="AI746" s="5" t="str">
        <f>IFERROR(__xludf.DUMMYFUNCTION("""COMPUTED_VALUE"""),"Yes")</f>
        <v>Yes</v>
      </c>
      <c r="AJ746" s="5" t="str">
        <f>IFERROR(__xludf.DUMMYFUNCTION("""COMPUTED_VALUE"""),"Yes")</f>
        <v>Yes</v>
      </c>
      <c r="AK746" s="5" t="str">
        <f>IFERROR(__xludf.DUMMYFUNCTION("""COMPUTED_VALUE"""),"Yes")</f>
        <v>Yes</v>
      </c>
      <c r="AL746" s="5" t="str">
        <f>IFERROR(__xludf.DUMMYFUNCTION("""COMPUTED_VALUE"""),"Yes")</f>
        <v>Yes</v>
      </c>
      <c r="AM746" s="5"/>
      <c r="AN746" s="5"/>
      <c r="AO746" s="5"/>
      <c r="AP746" s="5"/>
      <c r="AQ746" s="5"/>
      <c r="AR746" s="5"/>
      <c r="AS746" s="5"/>
      <c r="AT746" s="5"/>
      <c r="AU746" s="5"/>
      <c r="AV746" s="5"/>
      <c r="AW746" s="5"/>
      <c r="AX746" s="5"/>
      <c r="AY746" s="5"/>
    </row>
    <row r="747">
      <c r="A747" s="5" t="str">
        <f>IFERROR(__xludf.DUMMYFUNCTION("""COMPUTED_VALUE"""),"")</f>
        <v/>
      </c>
      <c r="B747" s="5">
        <f>IFERROR(__xludf.DUMMYFUNCTION("""COMPUTED_VALUE"""),784.0)</f>
        <v>784</v>
      </c>
      <c r="C747" s="5">
        <f>IFERROR(__xludf.DUMMYFUNCTION("""COMPUTED_VALUE"""),4047.0)</f>
        <v>4047</v>
      </c>
      <c r="D747" s="5" t="str">
        <f>IFERROR(__xludf.DUMMYFUNCTION("""COMPUTED_VALUE"""),"WildHot40Triunfo")</f>
        <v>WildHot40Triunfo</v>
      </c>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row>
    <row r="748">
      <c r="A748" s="5" t="str">
        <f>IFERROR(__xludf.DUMMYFUNCTION("""COMPUTED_VALUE"""),"")</f>
        <v/>
      </c>
      <c r="B748" s="5">
        <f>IFERROR(__xludf.DUMMYFUNCTION("""COMPUTED_VALUE"""),785.0)</f>
        <v>785</v>
      </c>
      <c r="C748" s="5">
        <f>IFERROR(__xludf.DUMMYFUNCTION("""COMPUTED_VALUE"""),4042.0)</f>
        <v>4042</v>
      </c>
      <c r="D748" s="5" t="str">
        <f>IFERROR(__xludf.DUMMYFUNCTION("""COMPUTED_VALUE"""),"WildHotGorilla")</f>
        <v>WildHotGorilla</v>
      </c>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row>
    <row r="749">
      <c r="A749" s="5" t="str">
        <f>IFERROR(__xludf.DUMMYFUNCTION("""COMPUTED_VALUE"""),"")</f>
        <v/>
      </c>
      <c r="B749" s="5">
        <f>IFERROR(__xludf.DUMMYFUNCTION("""COMPUTED_VALUE"""),786.0)</f>
        <v>786</v>
      </c>
      <c r="C749" s="5">
        <f>IFERROR(__xludf.DUMMYFUNCTION("""COMPUTED_VALUE"""),4044.0)</f>
        <v>4044</v>
      </c>
      <c r="D749" s="5" t="str">
        <f>IFERROR(__xludf.DUMMYFUNCTION("""COMPUTED_VALUE"""),"BetkingWild27")</f>
        <v>BetkingWild27</v>
      </c>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row>
    <row r="750">
      <c r="A750"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50" s="5">
        <f>IFERROR(__xludf.DUMMYFUNCTION("""COMPUTED_VALUE"""),787.0)</f>
        <v>787</v>
      </c>
      <c r="C750" s="5">
        <f>IFERROR(__xludf.DUMMYFUNCTION("""COMPUTED_VALUE"""),5000001.0)</f>
        <v>5000001</v>
      </c>
      <c r="D750" s="5" t="str">
        <f>IFERROR(__xludf.DUMMYFUNCTION("""COMPUTED_VALUE"""),"SokoLuckyCrown10")</f>
        <v>SokoLuckyCrown10</v>
      </c>
      <c r="E750" s="5" t="str">
        <f>IFERROR(__xludf.DUMMYFUNCTION("""COMPUTED_VALUE"""),"Yes")</f>
        <v>Yes</v>
      </c>
      <c r="F750" s="5" t="str">
        <f>IFERROR(__xludf.DUMMYFUNCTION("""COMPUTED_VALUE"""),"Yes")</f>
        <v>Yes</v>
      </c>
      <c r="G750" s="5" t="str">
        <f>IFERROR(__xludf.DUMMYFUNCTION("""COMPUTED_VALUE"""),"Yes")</f>
        <v>Yes</v>
      </c>
      <c r="H750" s="5" t="str">
        <f>IFERROR(__xludf.DUMMYFUNCTION("""COMPUTED_VALUE"""),"Yes")</f>
        <v>Yes</v>
      </c>
      <c r="I750" s="5" t="str">
        <f>IFERROR(__xludf.DUMMYFUNCTION("""COMPUTED_VALUE"""),"Yes")</f>
        <v>Yes</v>
      </c>
      <c r="J750" s="5" t="str">
        <f>IFERROR(__xludf.DUMMYFUNCTION("""COMPUTED_VALUE"""),"Yes")</f>
        <v>Yes</v>
      </c>
      <c r="K750" s="5" t="str">
        <f>IFERROR(__xludf.DUMMYFUNCTION("""COMPUTED_VALUE"""),"Yes")</f>
        <v>Yes</v>
      </c>
      <c r="L750" s="5" t="str">
        <f>IFERROR(__xludf.DUMMYFUNCTION("""COMPUTED_VALUE"""),"Yes")</f>
        <v>Yes</v>
      </c>
      <c r="M750" s="5" t="str">
        <f>IFERROR(__xludf.DUMMYFUNCTION("""COMPUTED_VALUE"""),"Yes")</f>
        <v>Yes</v>
      </c>
      <c r="N750" s="5" t="str">
        <f>IFERROR(__xludf.DUMMYFUNCTION("""COMPUTED_VALUE"""),"Yes")</f>
        <v>Yes</v>
      </c>
      <c r="O750" s="5" t="str">
        <f>IFERROR(__xludf.DUMMYFUNCTION("""COMPUTED_VALUE"""),"Yes")</f>
        <v>Yes</v>
      </c>
      <c r="P750" s="5" t="str">
        <f>IFERROR(__xludf.DUMMYFUNCTION("""COMPUTED_VALUE"""),"Yes")</f>
        <v>Yes</v>
      </c>
      <c r="Q750" s="5" t="str">
        <f>IFERROR(__xludf.DUMMYFUNCTION("""COMPUTED_VALUE"""),"Yes")</f>
        <v>Yes</v>
      </c>
      <c r="R750" s="5" t="str">
        <f>IFERROR(__xludf.DUMMYFUNCTION("""COMPUTED_VALUE"""),"Yes")</f>
        <v>Yes</v>
      </c>
      <c r="S750" s="5" t="str">
        <f>IFERROR(__xludf.DUMMYFUNCTION("""COMPUTED_VALUE"""),"Yes")</f>
        <v>Yes</v>
      </c>
      <c r="T750" s="5" t="str">
        <f>IFERROR(__xludf.DUMMYFUNCTION("""COMPUTED_VALUE"""),"Yes")</f>
        <v>Yes</v>
      </c>
      <c r="U750" s="5" t="str">
        <f>IFERROR(__xludf.DUMMYFUNCTION("""COMPUTED_VALUE"""),"Yes")</f>
        <v>Yes</v>
      </c>
      <c r="V750" s="5" t="str">
        <f>IFERROR(__xludf.DUMMYFUNCTION("""COMPUTED_VALUE"""),"No")</f>
        <v>No</v>
      </c>
      <c r="W750" s="5" t="str">
        <f>IFERROR(__xludf.DUMMYFUNCTION("""COMPUTED_VALUE"""),"No")</f>
        <v>No</v>
      </c>
      <c r="X750" s="5" t="str">
        <f>IFERROR(__xludf.DUMMYFUNCTION("""COMPUTED_VALUE"""),"No")</f>
        <v>No</v>
      </c>
      <c r="Y750" s="5" t="str">
        <f>IFERROR(__xludf.DUMMYFUNCTION("""COMPUTED_VALUE"""),"No")</f>
        <v>No</v>
      </c>
      <c r="Z750" s="5" t="str">
        <f>IFERROR(__xludf.DUMMYFUNCTION("""COMPUTED_VALUE"""),"No")</f>
        <v>No</v>
      </c>
      <c r="AA750" s="5" t="str">
        <f>IFERROR(__xludf.DUMMYFUNCTION("""COMPUTED_VALUE"""),"No")</f>
        <v>No</v>
      </c>
      <c r="AB750" s="5" t="str">
        <f>IFERROR(__xludf.DUMMYFUNCTION("""COMPUTED_VALUE"""),"Yes")</f>
        <v>Yes</v>
      </c>
      <c r="AC750" s="5" t="str">
        <f>IFERROR(__xludf.DUMMYFUNCTION("""COMPUTED_VALUE"""),"No")</f>
        <v>No</v>
      </c>
      <c r="AD750" s="5" t="str">
        <f>IFERROR(__xludf.DUMMYFUNCTION("""COMPUTED_VALUE"""),"No")</f>
        <v>No</v>
      </c>
      <c r="AE750" s="5" t="str">
        <f>IFERROR(__xludf.DUMMYFUNCTION("""COMPUTED_VALUE"""),"No")</f>
        <v>No</v>
      </c>
      <c r="AF750" s="5" t="str">
        <f>IFERROR(__xludf.DUMMYFUNCTION("""COMPUTED_VALUE"""),"No")</f>
        <v>No</v>
      </c>
      <c r="AG750" s="5" t="str">
        <f>IFERROR(__xludf.DUMMYFUNCTION("""COMPUTED_VALUE"""),"No")</f>
        <v>No</v>
      </c>
      <c r="AH750" s="5" t="str">
        <f>IFERROR(__xludf.DUMMYFUNCTION("""COMPUTED_VALUE"""),"No")</f>
        <v>No</v>
      </c>
      <c r="AI750" s="5" t="str">
        <f>IFERROR(__xludf.DUMMYFUNCTION("""COMPUTED_VALUE"""),"No")</f>
        <v>No</v>
      </c>
      <c r="AJ750" s="5" t="str">
        <f>IFERROR(__xludf.DUMMYFUNCTION("""COMPUTED_VALUE"""),"No")</f>
        <v>No</v>
      </c>
      <c r="AK750" s="5" t="str">
        <f>IFERROR(__xludf.DUMMYFUNCTION("""COMPUTED_VALUE"""),"No")</f>
        <v>No</v>
      </c>
      <c r="AL750" s="5" t="str">
        <f>IFERROR(__xludf.DUMMYFUNCTION("""COMPUTED_VALUE"""),"No")</f>
        <v>No</v>
      </c>
      <c r="AM750" s="5"/>
      <c r="AN750" s="5"/>
      <c r="AO750" s="5"/>
      <c r="AP750" s="5"/>
      <c r="AQ750" s="5"/>
      <c r="AR750" s="5"/>
      <c r="AS750" s="5"/>
      <c r="AT750" s="5"/>
      <c r="AU750" s="5"/>
      <c r="AV750" s="5"/>
      <c r="AW750" s="5"/>
      <c r="AX750" s="5"/>
      <c r="AY750" s="5"/>
    </row>
    <row r="751">
      <c r="A7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51" s="5">
        <f>IFERROR(__xludf.DUMMYFUNCTION("""COMPUTED_VALUE"""),788.0)</f>
        <v>788</v>
      </c>
      <c r="C751" s="5">
        <f>IFERROR(__xludf.DUMMYFUNCTION("""COMPUTED_VALUE"""),2021.0)</f>
        <v>2021</v>
      </c>
      <c r="D751" s="5" t="str">
        <f>IFERROR(__xludf.DUMMYFUNCTION("""COMPUTED_VALUE"""),"HotClockExtreme")</f>
        <v>HotClockExtreme</v>
      </c>
      <c r="E751" s="5" t="str">
        <f>IFERROR(__xludf.DUMMYFUNCTION("""COMPUTED_VALUE"""),"Yes")</f>
        <v>Yes</v>
      </c>
      <c r="F751" s="5" t="str">
        <f>IFERROR(__xludf.DUMMYFUNCTION("""COMPUTED_VALUE"""),"Yes")</f>
        <v>Yes</v>
      </c>
      <c r="G751" s="5" t="str">
        <f>IFERROR(__xludf.DUMMYFUNCTION("""COMPUTED_VALUE"""),"Yes")</f>
        <v>Yes</v>
      </c>
      <c r="H751" s="5" t="str">
        <f>IFERROR(__xludf.DUMMYFUNCTION("""COMPUTED_VALUE"""),"Yes")</f>
        <v>Yes</v>
      </c>
      <c r="I751" s="5" t="str">
        <f>IFERROR(__xludf.DUMMYFUNCTION("""COMPUTED_VALUE"""),"Yes")</f>
        <v>Yes</v>
      </c>
      <c r="J751" s="5" t="str">
        <f>IFERROR(__xludf.DUMMYFUNCTION("""COMPUTED_VALUE"""),"Yes")</f>
        <v>Yes</v>
      </c>
      <c r="K751" s="5" t="str">
        <f>IFERROR(__xludf.DUMMYFUNCTION("""COMPUTED_VALUE"""),"Yes")</f>
        <v>Yes</v>
      </c>
      <c r="L751" s="5" t="str">
        <f>IFERROR(__xludf.DUMMYFUNCTION("""COMPUTED_VALUE"""),"Yes")</f>
        <v>Yes</v>
      </c>
      <c r="M751" s="5" t="str">
        <f>IFERROR(__xludf.DUMMYFUNCTION("""COMPUTED_VALUE"""),"Yes")</f>
        <v>Yes</v>
      </c>
      <c r="N751" s="5" t="str">
        <f>IFERROR(__xludf.DUMMYFUNCTION("""COMPUTED_VALUE"""),"Yes")</f>
        <v>Yes</v>
      </c>
      <c r="O751" s="5" t="str">
        <f>IFERROR(__xludf.DUMMYFUNCTION("""COMPUTED_VALUE"""),"Yes")</f>
        <v>Yes</v>
      </c>
      <c r="P751" s="5" t="str">
        <f>IFERROR(__xludf.DUMMYFUNCTION("""COMPUTED_VALUE"""),"Yes")</f>
        <v>Yes</v>
      </c>
      <c r="Q751" s="5" t="str">
        <f>IFERROR(__xludf.DUMMYFUNCTION("""COMPUTED_VALUE"""),"Yes")</f>
        <v>Yes</v>
      </c>
      <c r="R751" s="5" t="str">
        <f>IFERROR(__xludf.DUMMYFUNCTION("""COMPUTED_VALUE"""),"Yes")</f>
        <v>Yes</v>
      </c>
      <c r="S751" s="5" t="str">
        <f>IFERROR(__xludf.DUMMYFUNCTION("""COMPUTED_VALUE"""),"Yes")</f>
        <v>Yes</v>
      </c>
      <c r="T751" s="5" t="str">
        <f>IFERROR(__xludf.DUMMYFUNCTION("""COMPUTED_VALUE"""),"Yes")</f>
        <v>Yes</v>
      </c>
      <c r="U751" s="5" t="str">
        <f>IFERROR(__xludf.DUMMYFUNCTION("""COMPUTED_VALUE"""),"Yes")</f>
        <v>Yes</v>
      </c>
      <c r="V751" s="5" t="str">
        <f>IFERROR(__xludf.DUMMYFUNCTION("""COMPUTED_VALUE"""),"Yes")</f>
        <v>Yes</v>
      </c>
      <c r="W751" s="5" t="str">
        <f>IFERROR(__xludf.DUMMYFUNCTION("""COMPUTED_VALUE"""),"Yes")</f>
        <v>Yes</v>
      </c>
      <c r="X751" s="5" t="str">
        <f>IFERROR(__xludf.DUMMYFUNCTION("""COMPUTED_VALUE"""),"Yes")</f>
        <v>Yes</v>
      </c>
      <c r="Y751" s="5" t="str">
        <f>IFERROR(__xludf.DUMMYFUNCTION("""COMPUTED_VALUE"""),"Yes")</f>
        <v>Yes</v>
      </c>
      <c r="Z751" s="5" t="str">
        <f>IFERROR(__xludf.DUMMYFUNCTION("""COMPUTED_VALUE"""),"Yes")</f>
        <v>Yes</v>
      </c>
      <c r="AA751" s="5" t="str">
        <f>IFERROR(__xludf.DUMMYFUNCTION("""COMPUTED_VALUE"""),"Yes")</f>
        <v>Yes</v>
      </c>
      <c r="AB751" s="5" t="str">
        <f>IFERROR(__xludf.DUMMYFUNCTION("""COMPUTED_VALUE"""),"Yes")</f>
        <v>Yes</v>
      </c>
      <c r="AC751" s="5" t="str">
        <f>IFERROR(__xludf.DUMMYFUNCTION("""COMPUTED_VALUE"""),"Yes")</f>
        <v>Yes</v>
      </c>
      <c r="AD751" s="5" t="str">
        <f>IFERROR(__xludf.DUMMYFUNCTION("""COMPUTED_VALUE"""),"Yes")</f>
        <v>Yes</v>
      </c>
      <c r="AE751" s="5" t="str">
        <f>IFERROR(__xludf.DUMMYFUNCTION("""COMPUTED_VALUE"""),"Yes")</f>
        <v>Yes</v>
      </c>
      <c r="AF751" s="5" t="str">
        <f>IFERROR(__xludf.DUMMYFUNCTION("""COMPUTED_VALUE"""),"Yes")</f>
        <v>Yes</v>
      </c>
      <c r="AG751" s="5" t="str">
        <f>IFERROR(__xludf.DUMMYFUNCTION("""COMPUTED_VALUE"""),"Yes")</f>
        <v>Yes</v>
      </c>
      <c r="AH751" s="5" t="str">
        <f>IFERROR(__xludf.DUMMYFUNCTION("""COMPUTED_VALUE"""),"Yes")</f>
        <v>Yes</v>
      </c>
      <c r="AI751" s="5" t="str">
        <f>IFERROR(__xludf.DUMMYFUNCTION("""COMPUTED_VALUE"""),"No")</f>
        <v>No</v>
      </c>
      <c r="AJ751" s="5" t="str">
        <f>IFERROR(__xludf.DUMMYFUNCTION("""COMPUTED_VALUE"""),"No")</f>
        <v>No</v>
      </c>
      <c r="AK751" s="5" t="str">
        <f>IFERROR(__xludf.DUMMYFUNCTION("""COMPUTED_VALUE"""),"No")</f>
        <v>No</v>
      </c>
      <c r="AL751" s="5" t="str">
        <f>IFERROR(__xludf.DUMMYFUNCTION("""COMPUTED_VALUE"""),"Yes")</f>
        <v>Yes</v>
      </c>
      <c r="AM751" s="5"/>
      <c r="AN751" s="5"/>
      <c r="AO751" s="5"/>
      <c r="AP751" s="5"/>
      <c r="AQ751" s="5"/>
      <c r="AR751" s="5"/>
      <c r="AS751" s="5"/>
      <c r="AT751" s="5"/>
      <c r="AU751" s="5"/>
      <c r="AV751" s="5"/>
      <c r="AW751" s="5"/>
      <c r="AX751" s="5"/>
      <c r="AY751" s="5"/>
    </row>
    <row r="752">
      <c r="A75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52" s="5">
        <f>IFERROR(__xludf.DUMMYFUNCTION("""COMPUTED_VALUE"""),789.0)</f>
        <v>789</v>
      </c>
      <c r="C752" s="5">
        <f>IFERROR(__xludf.DUMMYFUNCTION("""COMPUTED_VALUE"""),5000000.0)</f>
        <v>5000000</v>
      </c>
      <c r="D752" s="5" t="str">
        <f>IFERROR(__xludf.DUMMYFUNCTION("""COMPUTED_VALUE"""),"SokoHotChiliFiesta")</f>
        <v>SokoHotChiliFiesta</v>
      </c>
      <c r="E752" s="5" t="str">
        <f>IFERROR(__xludf.DUMMYFUNCTION("""COMPUTED_VALUE"""),"Yes")</f>
        <v>Yes</v>
      </c>
      <c r="F752" s="5" t="str">
        <f>IFERROR(__xludf.DUMMYFUNCTION("""COMPUTED_VALUE"""),"Yes")</f>
        <v>Yes</v>
      </c>
      <c r="G752" s="5" t="str">
        <f>IFERROR(__xludf.DUMMYFUNCTION("""COMPUTED_VALUE"""),"Yes")</f>
        <v>Yes</v>
      </c>
      <c r="H752" s="5" t="str">
        <f>IFERROR(__xludf.DUMMYFUNCTION("""COMPUTED_VALUE"""),"Yes")</f>
        <v>Yes</v>
      </c>
      <c r="I752" s="5" t="str">
        <f>IFERROR(__xludf.DUMMYFUNCTION("""COMPUTED_VALUE"""),"Yes")</f>
        <v>Yes</v>
      </c>
      <c r="J752" s="5" t="str">
        <f>IFERROR(__xludf.DUMMYFUNCTION("""COMPUTED_VALUE"""),"Yes")</f>
        <v>Yes</v>
      </c>
      <c r="K752" s="5" t="str">
        <f>IFERROR(__xludf.DUMMYFUNCTION("""COMPUTED_VALUE"""),"Yes")</f>
        <v>Yes</v>
      </c>
      <c r="L752" s="5" t="str">
        <f>IFERROR(__xludf.DUMMYFUNCTION("""COMPUTED_VALUE"""),"Yes")</f>
        <v>Yes</v>
      </c>
      <c r="M752" s="5" t="str">
        <f>IFERROR(__xludf.DUMMYFUNCTION("""COMPUTED_VALUE"""),"Yes")</f>
        <v>Yes</v>
      </c>
      <c r="N752" s="5" t="str">
        <f>IFERROR(__xludf.DUMMYFUNCTION("""COMPUTED_VALUE"""),"Yes")</f>
        <v>Yes</v>
      </c>
      <c r="O752" s="5" t="str">
        <f>IFERROR(__xludf.DUMMYFUNCTION("""COMPUTED_VALUE"""),"Yes")</f>
        <v>Yes</v>
      </c>
      <c r="P752" s="5" t="str">
        <f>IFERROR(__xludf.DUMMYFUNCTION("""COMPUTED_VALUE"""),"Yes")</f>
        <v>Yes</v>
      </c>
      <c r="Q752" s="5" t="str">
        <f>IFERROR(__xludf.DUMMYFUNCTION("""COMPUTED_VALUE"""),"Yes")</f>
        <v>Yes</v>
      </c>
      <c r="R752" s="5" t="str">
        <f>IFERROR(__xludf.DUMMYFUNCTION("""COMPUTED_VALUE"""),"Yes")</f>
        <v>Yes</v>
      </c>
      <c r="S752" s="5" t="str">
        <f>IFERROR(__xludf.DUMMYFUNCTION("""COMPUTED_VALUE"""),"Yes")</f>
        <v>Yes</v>
      </c>
      <c r="T752" s="5" t="str">
        <f>IFERROR(__xludf.DUMMYFUNCTION("""COMPUTED_VALUE"""),"No")</f>
        <v>No</v>
      </c>
      <c r="U752" s="5" t="str">
        <f>IFERROR(__xludf.DUMMYFUNCTION("""COMPUTED_VALUE"""),"Yes")</f>
        <v>Yes</v>
      </c>
      <c r="V752" s="5" t="str">
        <f>IFERROR(__xludf.DUMMYFUNCTION("""COMPUTED_VALUE"""),"No")</f>
        <v>No</v>
      </c>
      <c r="W752" s="5" t="str">
        <f>IFERROR(__xludf.DUMMYFUNCTION("""COMPUTED_VALUE"""),"No")</f>
        <v>No</v>
      </c>
      <c r="X752" s="5" t="str">
        <f>IFERROR(__xludf.DUMMYFUNCTION("""COMPUTED_VALUE"""),"No")</f>
        <v>No</v>
      </c>
      <c r="Y752" s="5" t="str">
        <f>IFERROR(__xludf.DUMMYFUNCTION("""COMPUTED_VALUE"""),"No")</f>
        <v>No</v>
      </c>
      <c r="Z752" s="5" t="str">
        <f>IFERROR(__xludf.DUMMYFUNCTION("""COMPUTED_VALUE"""),"No")</f>
        <v>No</v>
      </c>
      <c r="AA752" s="5" t="str">
        <f>IFERROR(__xludf.DUMMYFUNCTION("""COMPUTED_VALUE"""),"No")</f>
        <v>No</v>
      </c>
      <c r="AB752" s="5" t="str">
        <f>IFERROR(__xludf.DUMMYFUNCTION("""COMPUTED_VALUE"""),"Yes")</f>
        <v>Yes</v>
      </c>
      <c r="AC752" s="5" t="str">
        <f>IFERROR(__xludf.DUMMYFUNCTION("""COMPUTED_VALUE"""),"No")</f>
        <v>No</v>
      </c>
      <c r="AD752" s="5" t="str">
        <f>IFERROR(__xludf.DUMMYFUNCTION("""COMPUTED_VALUE"""),"No")</f>
        <v>No</v>
      </c>
      <c r="AE752" s="5" t="str">
        <f>IFERROR(__xludf.DUMMYFUNCTION("""COMPUTED_VALUE"""),"No")</f>
        <v>No</v>
      </c>
      <c r="AF752" s="5" t="str">
        <f>IFERROR(__xludf.DUMMYFUNCTION("""COMPUTED_VALUE"""),"No")</f>
        <v>No</v>
      </c>
      <c r="AG752" s="5" t="str">
        <f>IFERROR(__xludf.DUMMYFUNCTION("""COMPUTED_VALUE"""),"No")</f>
        <v>No</v>
      </c>
      <c r="AH752" s="5" t="str">
        <f>IFERROR(__xludf.DUMMYFUNCTION("""COMPUTED_VALUE"""),"No")</f>
        <v>No</v>
      </c>
      <c r="AI752" s="5" t="str">
        <f>IFERROR(__xludf.DUMMYFUNCTION("""COMPUTED_VALUE"""),"No")</f>
        <v>No</v>
      </c>
      <c r="AJ752" s="5" t="str">
        <f>IFERROR(__xludf.DUMMYFUNCTION("""COMPUTED_VALUE"""),"No")</f>
        <v>No</v>
      </c>
      <c r="AK752" s="5" t="str">
        <f>IFERROR(__xludf.DUMMYFUNCTION("""COMPUTED_VALUE"""),"No")</f>
        <v>No</v>
      </c>
      <c r="AL752" s="5" t="str">
        <f>IFERROR(__xludf.DUMMYFUNCTION("""COMPUTED_VALUE"""),"No")</f>
        <v>No</v>
      </c>
      <c r="AM752" s="5"/>
      <c r="AN752" s="5"/>
      <c r="AO752" s="5"/>
      <c r="AP752" s="5"/>
      <c r="AQ752" s="5"/>
      <c r="AR752" s="5"/>
      <c r="AS752" s="5"/>
      <c r="AT752" s="5"/>
      <c r="AU752" s="5"/>
      <c r="AV752" s="5"/>
      <c r="AW752" s="5"/>
      <c r="AX752" s="5"/>
      <c r="AY752" s="5"/>
    </row>
    <row r="753">
      <c r="A7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3" s="5">
        <f>IFERROR(__xludf.DUMMYFUNCTION("""COMPUTED_VALUE"""),790.0)</f>
        <v>790</v>
      </c>
      <c r="C753" s="5">
        <f>IFERROR(__xludf.DUMMYFUNCTION("""COMPUTED_VALUE"""),2024.0)</f>
        <v>2024</v>
      </c>
      <c r="D753" s="5" t="str">
        <f>IFERROR(__xludf.DUMMYFUNCTION("""COMPUTED_VALUE"""),"CoinkBank")</f>
        <v>CoinkBank</v>
      </c>
      <c r="E753" s="5" t="str">
        <f>IFERROR(__xludf.DUMMYFUNCTION("""COMPUTED_VALUE"""),"Yes")</f>
        <v>Yes</v>
      </c>
      <c r="F753" s="5" t="str">
        <f>IFERROR(__xludf.DUMMYFUNCTION("""COMPUTED_VALUE"""),"Yes")</f>
        <v>Yes</v>
      </c>
      <c r="G753" s="5" t="str">
        <f>IFERROR(__xludf.DUMMYFUNCTION("""COMPUTED_VALUE"""),"Yes")</f>
        <v>Yes</v>
      </c>
      <c r="H753" s="5" t="str">
        <f>IFERROR(__xludf.DUMMYFUNCTION("""COMPUTED_VALUE"""),"Yes")</f>
        <v>Yes</v>
      </c>
      <c r="I753" s="5" t="str">
        <f>IFERROR(__xludf.DUMMYFUNCTION("""COMPUTED_VALUE"""),"Yes")</f>
        <v>Yes</v>
      </c>
      <c r="J753" s="5" t="str">
        <f>IFERROR(__xludf.DUMMYFUNCTION("""COMPUTED_VALUE"""),"Yes")</f>
        <v>Yes</v>
      </c>
      <c r="K753" s="5" t="str">
        <f>IFERROR(__xludf.DUMMYFUNCTION("""COMPUTED_VALUE"""),"Yes")</f>
        <v>Yes</v>
      </c>
      <c r="L753" s="5" t="str">
        <f>IFERROR(__xludf.DUMMYFUNCTION("""COMPUTED_VALUE"""),"Yes")</f>
        <v>Yes</v>
      </c>
      <c r="M753" s="5" t="str">
        <f>IFERROR(__xludf.DUMMYFUNCTION("""COMPUTED_VALUE"""),"Yes")</f>
        <v>Yes</v>
      </c>
      <c r="N753" s="5" t="str">
        <f>IFERROR(__xludf.DUMMYFUNCTION("""COMPUTED_VALUE"""),"Yes")</f>
        <v>Yes</v>
      </c>
      <c r="O753" s="5" t="str">
        <f>IFERROR(__xludf.DUMMYFUNCTION("""COMPUTED_VALUE"""),"Yes")</f>
        <v>Yes</v>
      </c>
      <c r="P753" s="5" t="str">
        <f>IFERROR(__xludf.DUMMYFUNCTION("""COMPUTED_VALUE"""),"Yes")</f>
        <v>Yes</v>
      </c>
      <c r="Q753" s="5" t="str">
        <f>IFERROR(__xludf.DUMMYFUNCTION("""COMPUTED_VALUE"""),"Yes")</f>
        <v>Yes</v>
      </c>
      <c r="R753" s="5" t="str">
        <f>IFERROR(__xludf.DUMMYFUNCTION("""COMPUTED_VALUE"""),"Yes")</f>
        <v>Yes</v>
      </c>
      <c r="S753" s="5" t="str">
        <f>IFERROR(__xludf.DUMMYFUNCTION("""COMPUTED_VALUE"""),"Yes")</f>
        <v>Yes</v>
      </c>
      <c r="T753" s="5" t="str">
        <f>IFERROR(__xludf.DUMMYFUNCTION("""COMPUTED_VALUE"""),"Yes")</f>
        <v>Yes</v>
      </c>
      <c r="U753" s="5" t="str">
        <f>IFERROR(__xludf.DUMMYFUNCTION("""COMPUTED_VALUE"""),"Yes")</f>
        <v>Yes</v>
      </c>
      <c r="V753" s="5" t="str">
        <f>IFERROR(__xludf.DUMMYFUNCTION("""COMPUTED_VALUE"""),"Yes")</f>
        <v>Yes</v>
      </c>
      <c r="W753" s="5" t="str">
        <f>IFERROR(__xludf.DUMMYFUNCTION("""COMPUTED_VALUE"""),"Yes")</f>
        <v>Yes</v>
      </c>
      <c r="X753" s="5" t="str">
        <f>IFERROR(__xludf.DUMMYFUNCTION("""COMPUTED_VALUE"""),"Yes")</f>
        <v>Yes</v>
      </c>
      <c r="Y753" s="5" t="str">
        <f>IFERROR(__xludf.DUMMYFUNCTION("""COMPUTED_VALUE"""),"Yes")</f>
        <v>Yes</v>
      </c>
      <c r="Z753" s="5" t="str">
        <f>IFERROR(__xludf.DUMMYFUNCTION("""COMPUTED_VALUE"""),"Yes")</f>
        <v>Yes</v>
      </c>
      <c r="AA753" s="5" t="str">
        <f>IFERROR(__xludf.DUMMYFUNCTION("""COMPUTED_VALUE"""),"Yes")</f>
        <v>Yes</v>
      </c>
      <c r="AB753" s="5" t="str">
        <f>IFERROR(__xludf.DUMMYFUNCTION("""COMPUTED_VALUE"""),"Yes")</f>
        <v>Yes</v>
      </c>
      <c r="AC753" s="5" t="str">
        <f>IFERROR(__xludf.DUMMYFUNCTION("""COMPUTED_VALUE"""),"Yes")</f>
        <v>Yes</v>
      </c>
      <c r="AD753" s="5" t="str">
        <f>IFERROR(__xludf.DUMMYFUNCTION("""COMPUTED_VALUE"""),"Yes")</f>
        <v>Yes</v>
      </c>
      <c r="AE753" s="5" t="str">
        <f>IFERROR(__xludf.DUMMYFUNCTION("""COMPUTED_VALUE"""),"Yes")</f>
        <v>Yes</v>
      </c>
      <c r="AF753" s="5" t="str">
        <f>IFERROR(__xludf.DUMMYFUNCTION("""COMPUTED_VALUE"""),"Yes")</f>
        <v>Yes</v>
      </c>
      <c r="AG753" s="5" t="str">
        <f>IFERROR(__xludf.DUMMYFUNCTION("""COMPUTED_VALUE"""),"Yes")</f>
        <v>Yes</v>
      </c>
      <c r="AH753" s="5" t="str">
        <f>IFERROR(__xludf.DUMMYFUNCTION("""COMPUTED_VALUE"""),"Yes")</f>
        <v>Yes</v>
      </c>
      <c r="AI753" s="5" t="str">
        <f>IFERROR(__xludf.DUMMYFUNCTION("""COMPUTED_VALUE"""),"No")</f>
        <v>No</v>
      </c>
      <c r="AJ753" s="5" t="str">
        <f>IFERROR(__xludf.DUMMYFUNCTION("""COMPUTED_VALUE"""),"No")</f>
        <v>No</v>
      </c>
      <c r="AK753" s="5" t="str">
        <f>IFERROR(__xludf.DUMMYFUNCTION("""COMPUTED_VALUE"""),"No")</f>
        <v>No</v>
      </c>
      <c r="AL753" s="5" t="str">
        <f>IFERROR(__xludf.DUMMYFUNCTION("""COMPUTED_VALUE"""),"No")</f>
        <v>No</v>
      </c>
      <c r="AM753" s="5"/>
      <c r="AN753" s="5"/>
      <c r="AO753" s="5"/>
      <c r="AP753" s="5"/>
      <c r="AQ753" s="5"/>
      <c r="AR753" s="5"/>
      <c r="AS753" s="5"/>
      <c r="AT753" s="5"/>
      <c r="AU753" s="5"/>
      <c r="AV753" s="5"/>
      <c r="AW753" s="5"/>
      <c r="AX753" s="5"/>
      <c r="AY753" s="5"/>
    </row>
    <row r="754">
      <c r="A7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4" s="5">
        <f>IFERROR(__xludf.DUMMYFUNCTION("""COMPUTED_VALUE"""),791.0)</f>
        <v>791</v>
      </c>
      <c r="C754" s="5">
        <f>IFERROR(__xludf.DUMMYFUNCTION("""COMPUTED_VALUE"""),5003.0)</f>
        <v>5003</v>
      </c>
      <c r="D754" s="5" t="str">
        <f>IFERROR(__xludf.DUMMYFUNCTION("""COMPUTED_VALUE"""),"RetroFlame5")</f>
        <v>RetroFlame5</v>
      </c>
      <c r="E754" s="5" t="str">
        <f>IFERROR(__xludf.DUMMYFUNCTION("""COMPUTED_VALUE"""),"Yes")</f>
        <v>Yes</v>
      </c>
      <c r="F754" s="5" t="str">
        <f>IFERROR(__xludf.DUMMYFUNCTION("""COMPUTED_VALUE"""),"Yes")</f>
        <v>Yes</v>
      </c>
      <c r="G754" s="5" t="str">
        <f>IFERROR(__xludf.DUMMYFUNCTION("""COMPUTED_VALUE"""),"Yes")</f>
        <v>Yes</v>
      </c>
      <c r="H754" s="5" t="str">
        <f>IFERROR(__xludf.DUMMYFUNCTION("""COMPUTED_VALUE"""),"Yes")</f>
        <v>Yes</v>
      </c>
      <c r="I754" s="5" t="str">
        <f>IFERROR(__xludf.DUMMYFUNCTION("""COMPUTED_VALUE"""),"Yes")</f>
        <v>Yes</v>
      </c>
      <c r="J754" s="5" t="str">
        <f>IFERROR(__xludf.DUMMYFUNCTION("""COMPUTED_VALUE"""),"Yes")</f>
        <v>Yes</v>
      </c>
      <c r="K754" s="5" t="str">
        <f>IFERROR(__xludf.DUMMYFUNCTION("""COMPUTED_VALUE"""),"Yes")</f>
        <v>Yes</v>
      </c>
      <c r="L754" s="5" t="str">
        <f>IFERROR(__xludf.DUMMYFUNCTION("""COMPUTED_VALUE"""),"Yes")</f>
        <v>Yes</v>
      </c>
      <c r="M754" s="5" t="str">
        <f>IFERROR(__xludf.DUMMYFUNCTION("""COMPUTED_VALUE"""),"Yes")</f>
        <v>Yes</v>
      </c>
      <c r="N754" s="5" t="str">
        <f>IFERROR(__xludf.DUMMYFUNCTION("""COMPUTED_VALUE"""),"Yes")</f>
        <v>Yes</v>
      </c>
      <c r="O754" s="5" t="str">
        <f>IFERROR(__xludf.DUMMYFUNCTION("""COMPUTED_VALUE"""),"Yes")</f>
        <v>Yes</v>
      </c>
      <c r="P754" s="5" t="str">
        <f>IFERROR(__xludf.DUMMYFUNCTION("""COMPUTED_VALUE"""),"Yes")</f>
        <v>Yes</v>
      </c>
      <c r="Q754" s="5" t="str">
        <f>IFERROR(__xludf.DUMMYFUNCTION("""COMPUTED_VALUE"""),"Yes")</f>
        <v>Yes</v>
      </c>
      <c r="R754" s="5" t="str">
        <f>IFERROR(__xludf.DUMMYFUNCTION("""COMPUTED_VALUE"""),"Yes")</f>
        <v>Yes</v>
      </c>
      <c r="S754" s="5" t="str">
        <f>IFERROR(__xludf.DUMMYFUNCTION("""COMPUTED_VALUE"""),"Yes")</f>
        <v>Yes</v>
      </c>
      <c r="T754" s="5" t="str">
        <f>IFERROR(__xludf.DUMMYFUNCTION("""COMPUTED_VALUE"""),"Yes")</f>
        <v>Yes</v>
      </c>
      <c r="U754" s="5" t="str">
        <f>IFERROR(__xludf.DUMMYFUNCTION("""COMPUTED_VALUE"""),"Yes")</f>
        <v>Yes</v>
      </c>
      <c r="V754" s="5" t="str">
        <f>IFERROR(__xludf.DUMMYFUNCTION("""COMPUTED_VALUE"""),"Yes")</f>
        <v>Yes</v>
      </c>
      <c r="W754" s="5" t="str">
        <f>IFERROR(__xludf.DUMMYFUNCTION("""COMPUTED_VALUE"""),"Yes")</f>
        <v>Yes</v>
      </c>
      <c r="X754" s="5" t="str">
        <f>IFERROR(__xludf.DUMMYFUNCTION("""COMPUTED_VALUE"""),"Yes")</f>
        <v>Yes</v>
      </c>
      <c r="Y754" s="5" t="str">
        <f>IFERROR(__xludf.DUMMYFUNCTION("""COMPUTED_VALUE"""),"Yes")</f>
        <v>Yes</v>
      </c>
      <c r="Z754" s="5" t="str">
        <f>IFERROR(__xludf.DUMMYFUNCTION("""COMPUTED_VALUE"""),"Yes")</f>
        <v>Yes</v>
      </c>
      <c r="AA754" s="5" t="str">
        <f>IFERROR(__xludf.DUMMYFUNCTION("""COMPUTED_VALUE"""),"Yes")</f>
        <v>Yes</v>
      </c>
      <c r="AB754" s="5" t="str">
        <f>IFERROR(__xludf.DUMMYFUNCTION("""COMPUTED_VALUE"""),"Yes")</f>
        <v>Yes</v>
      </c>
      <c r="AC754" s="5" t="str">
        <f>IFERROR(__xludf.DUMMYFUNCTION("""COMPUTED_VALUE"""),"Yes")</f>
        <v>Yes</v>
      </c>
      <c r="AD754" s="5" t="str">
        <f>IFERROR(__xludf.DUMMYFUNCTION("""COMPUTED_VALUE"""),"Yes")</f>
        <v>Yes</v>
      </c>
      <c r="AE754" s="5" t="str">
        <f>IFERROR(__xludf.DUMMYFUNCTION("""COMPUTED_VALUE"""),"Yes")</f>
        <v>Yes</v>
      </c>
      <c r="AF754" s="5" t="str">
        <f>IFERROR(__xludf.DUMMYFUNCTION("""COMPUTED_VALUE"""),"Yes")</f>
        <v>Yes</v>
      </c>
      <c r="AG754" s="5" t="str">
        <f>IFERROR(__xludf.DUMMYFUNCTION("""COMPUTED_VALUE"""),"Yes")</f>
        <v>Yes</v>
      </c>
      <c r="AH754" s="5" t="str">
        <f>IFERROR(__xludf.DUMMYFUNCTION("""COMPUTED_VALUE"""),"Yes")</f>
        <v>Yes</v>
      </c>
      <c r="AI754" s="5" t="str">
        <f>IFERROR(__xludf.DUMMYFUNCTION("""COMPUTED_VALUE"""),"No")</f>
        <v>No</v>
      </c>
      <c r="AJ754" s="5" t="str">
        <f>IFERROR(__xludf.DUMMYFUNCTION("""COMPUTED_VALUE"""),"No")</f>
        <v>No</v>
      </c>
      <c r="AK754" s="5" t="str">
        <f>IFERROR(__xludf.DUMMYFUNCTION("""COMPUTED_VALUE"""),"No")</f>
        <v>No</v>
      </c>
      <c r="AL754" s="5" t="str">
        <f>IFERROR(__xludf.DUMMYFUNCTION("""COMPUTED_VALUE"""),"No")</f>
        <v>No</v>
      </c>
      <c r="AM754" s="5"/>
      <c r="AN754" s="5"/>
      <c r="AO754" s="5"/>
      <c r="AP754" s="5"/>
      <c r="AQ754" s="5"/>
      <c r="AR754" s="5"/>
      <c r="AS754" s="5"/>
      <c r="AT754" s="5"/>
      <c r="AU754" s="5"/>
      <c r="AV754" s="5"/>
      <c r="AW754" s="5"/>
      <c r="AX754" s="5"/>
      <c r="AY754" s="5"/>
    </row>
    <row r="755">
      <c r="A7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5" s="5">
        <f>IFERROR(__xludf.DUMMYFUNCTION("""COMPUTED_VALUE"""),792.0)</f>
        <v>792</v>
      </c>
      <c r="C755" s="5">
        <f>IFERROR(__xludf.DUMMYFUNCTION("""COMPUTED_VALUE"""),5005.0)</f>
        <v>5005</v>
      </c>
      <c r="D755" s="5" t="str">
        <f>IFERROR(__xludf.DUMMYFUNCTION("""COMPUTED_VALUE"""),"WinningFruits20")</f>
        <v>WinningFruits20</v>
      </c>
      <c r="E755" s="5" t="str">
        <f>IFERROR(__xludf.DUMMYFUNCTION("""COMPUTED_VALUE"""),"Yes")</f>
        <v>Yes</v>
      </c>
      <c r="F755" s="5" t="str">
        <f>IFERROR(__xludf.DUMMYFUNCTION("""COMPUTED_VALUE"""),"Yes")</f>
        <v>Yes</v>
      </c>
      <c r="G755" s="5" t="str">
        <f>IFERROR(__xludf.DUMMYFUNCTION("""COMPUTED_VALUE"""),"Yes")</f>
        <v>Yes</v>
      </c>
      <c r="H755" s="5" t="str">
        <f>IFERROR(__xludf.DUMMYFUNCTION("""COMPUTED_VALUE"""),"Yes")</f>
        <v>Yes</v>
      </c>
      <c r="I755" s="5" t="str">
        <f>IFERROR(__xludf.DUMMYFUNCTION("""COMPUTED_VALUE"""),"Yes")</f>
        <v>Yes</v>
      </c>
      <c r="J755" s="5" t="str">
        <f>IFERROR(__xludf.DUMMYFUNCTION("""COMPUTED_VALUE"""),"Yes")</f>
        <v>Yes</v>
      </c>
      <c r="K755" s="5" t="str">
        <f>IFERROR(__xludf.DUMMYFUNCTION("""COMPUTED_VALUE"""),"Yes")</f>
        <v>Yes</v>
      </c>
      <c r="L755" s="5" t="str">
        <f>IFERROR(__xludf.DUMMYFUNCTION("""COMPUTED_VALUE"""),"Yes")</f>
        <v>Yes</v>
      </c>
      <c r="M755" s="5" t="str">
        <f>IFERROR(__xludf.DUMMYFUNCTION("""COMPUTED_VALUE"""),"Yes")</f>
        <v>Yes</v>
      </c>
      <c r="N755" s="5" t="str">
        <f>IFERROR(__xludf.DUMMYFUNCTION("""COMPUTED_VALUE"""),"Yes")</f>
        <v>Yes</v>
      </c>
      <c r="O755" s="5" t="str">
        <f>IFERROR(__xludf.DUMMYFUNCTION("""COMPUTED_VALUE"""),"Yes")</f>
        <v>Yes</v>
      </c>
      <c r="P755" s="5" t="str">
        <f>IFERROR(__xludf.DUMMYFUNCTION("""COMPUTED_VALUE"""),"Yes")</f>
        <v>Yes</v>
      </c>
      <c r="Q755" s="5" t="str">
        <f>IFERROR(__xludf.DUMMYFUNCTION("""COMPUTED_VALUE"""),"Yes")</f>
        <v>Yes</v>
      </c>
      <c r="R755" s="5" t="str">
        <f>IFERROR(__xludf.DUMMYFUNCTION("""COMPUTED_VALUE"""),"Yes")</f>
        <v>Yes</v>
      </c>
      <c r="S755" s="5" t="str">
        <f>IFERROR(__xludf.DUMMYFUNCTION("""COMPUTED_VALUE"""),"Yes")</f>
        <v>Yes</v>
      </c>
      <c r="T755" s="5" t="str">
        <f>IFERROR(__xludf.DUMMYFUNCTION("""COMPUTED_VALUE"""),"Yes")</f>
        <v>Yes</v>
      </c>
      <c r="U755" s="5" t="str">
        <f>IFERROR(__xludf.DUMMYFUNCTION("""COMPUTED_VALUE"""),"Yes")</f>
        <v>Yes</v>
      </c>
      <c r="V755" s="5" t="str">
        <f>IFERROR(__xludf.DUMMYFUNCTION("""COMPUTED_VALUE"""),"Yes")</f>
        <v>Yes</v>
      </c>
      <c r="W755" s="5" t="str">
        <f>IFERROR(__xludf.DUMMYFUNCTION("""COMPUTED_VALUE"""),"Yes")</f>
        <v>Yes</v>
      </c>
      <c r="X755" s="5" t="str">
        <f>IFERROR(__xludf.DUMMYFUNCTION("""COMPUTED_VALUE"""),"Yes")</f>
        <v>Yes</v>
      </c>
      <c r="Y755" s="5" t="str">
        <f>IFERROR(__xludf.DUMMYFUNCTION("""COMPUTED_VALUE"""),"Yes")</f>
        <v>Yes</v>
      </c>
      <c r="Z755" s="5" t="str">
        <f>IFERROR(__xludf.DUMMYFUNCTION("""COMPUTED_VALUE"""),"Yes")</f>
        <v>Yes</v>
      </c>
      <c r="AA755" s="5" t="str">
        <f>IFERROR(__xludf.DUMMYFUNCTION("""COMPUTED_VALUE"""),"Yes")</f>
        <v>Yes</v>
      </c>
      <c r="AB755" s="5" t="str">
        <f>IFERROR(__xludf.DUMMYFUNCTION("""COMPUTED_VALUE"""),"Yes")</f>
        <v>Yes</v>
      </c>
      <c r="AC755" s="5" t="str">
        <f>IFERROR(__xludf.DUMMYFUNCTION("""COMPUTED_VALUE"""),"Yes")</f>
        <v>Yes</v>
      </c>
      <c r="AD755" s="5" t="str">
        <f>IFERROR(__xludf.DUMMYFUNCTION("""COMPUTED_VALUE"""),"Yes")</f>
        <v>Yes</v>
      </c>
      <c r="AE755" s="5" t="str">
        <f>IFERROR(__xludf.DUMMYFUNCTION("""COMPUTED_VALUE"""),"Yes")</f>
        <v>Yes</v>
      </c>
      <c r="AF755" s="5" t="str">
        <f>IFERROR(__xludf.DUMMYFUNCTION("""COMPUTED_VALUE"""),"Yes")</f>
        <v>Yes</v>
      </c>
      <c r="AG755" s="5" t="str">
        <f>IFERROR(__xludf.DUMMYFUNCTION("""COMPUTED_VALUE"""),"Yes")</f>
        <v>Yes</v>
      </c>
      <c r="AH755" s="5" t="str">
        <f>IFERROR(__xludf.DUMMYFUNCTION("""COMPUTED_VALUE"""),"Yes")</f>
        <v>Yes</v>
      </c>
      <c r="AI755" s="5" t="str">
        <f>IFERROR(__xludf.DUMMYFUNCTION("""COMPUTED_VALUE"""),"No")</f>
        <v>No</v>
      </c>
      <c r="AJ755" s="5" t="str">
        <f>IFERROR(__xludf.DUMMYFUNCTION("""COMPUTED_VALUE"""),"No")</f>
        <v>No</v>
      </c>
      <c r="AK755" s="5" t="str">
        <f>IFERROR(__xludf.DUMMYFUNCTION("""COMPUTED_VALUE"""),"No")</f>
        <v>No</v>
      </c>
      <c r="AL755" s="5" t="str">
        <f>IFERROR(__xludf.DUMMYFUNCTION("""COMPUTED_VALUE"""),"No")</f>
        <v>No</v>
      </c>
      <c r="AM755" s="5"/>
      <c r="AN755" s="5"/>
      <c r="AO755" s="5"/>
      <c r="AP755" s="5"/>
      <c r="AQ755" s="5"/>
      <c r="AR755" s="5"/>
      <c r="AS755" s="5"/>
      <c r="AT755" s="5"/>
      <c r="AU755" s="5"/>
      <c r="AV755" s="5"/>
      <c r="AW755" s="5"/>
      <c r="AX755" s="5"/>
      <c r="AY755" s="5"/>
    </row>
    <row r="756">
      <c r="A7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6" s="5">
        <f>IFERROR(__xludf.DUMMYFUNCTION("""COMPUTED_VALUE"""),793.0)</f>
        <v>793</v>
      </c>
      <c r="C756" s="5">
        <f>IFERROR(__xludf.DUMMYFUNCTION("""COMPUTED_VALUE"""),5006.0)</f>
        <v>5006</v>
      </c>
      <c r="D756" s="5" t="str">
        <f>IFERROR(__xludf.DUMMYFUNCTION("""COMPUTED_VALUE"""),"MagicMultiWin")</f>
        <v>MagicMultiWin</v>
      </c>
      <c r="E756" s="5" t="str">
        <f>IFERROR(__xludf.DUMMYFUNCTION("""COMPUTED_VALUE"""),"Yes")</f>
        <v>Yes</v>
      </c>
      <c r="F756" s="5" t="str">
        <f>IFERROR(__xludf.DUMMYFUNCTION("""COMPUTED_VALUE"""),"Yes")</f>
        <v>Yes</v>
      </c>
      <c r="G756" s="5" t="str">
        <f>IFERROR(__xludf.DUMMYFUNCTION("""COMPUTED_VALUE"""),"Yes")</f>
        <v>Yes</v>
      </c>
      <c r="H756" s="5" t="str">
        <f>IFERROR(__xludf.DUMMYFUNCTION("""COMPUTED_VALUE"""),"Yes")</f>
        <v>Yes</v>
      </c>
      <c r="I756" s="5" t="str">
        <f>IFERROR(__xludf.DUMMYFUNCTION("""COMPUTED_VALUE"""),"Yes")</f>
        <v>Yes</v>
      </c>
      <c r="J756" s="5" t="str">
        <f>IFERROR(__xludf.DUMMYFUNCTION("""COMPUTED_VALUE"""),"Yes")</f>
        <v>Yes</v>
      </c>
      <c r="K756" s="5" t="str">
        <f>IFERROR(__xludf.DUMMYFUNCTION("""COMPUTED_VALUE"""),"Yes")</f>
        <v>Yes</v>
      </c>
      <c r="L756" s="5" t="str">
        <f>IFERROR(__xludf.DUMMYFUNCTION("""COMPUTED_VALUE"""),"Yes")</f>
        <v>Yes</v>
      </c>
      <c r="M756" s="5" t="str">
        <f>IFERROR(__xludf.DUMMYFUNCTION("""COMPUTED_VALUE"""),"Yes")</f>
        <v>Yes</v>
      </c>
      <c r="N756" s="5" t="str">
        <f>IFERROR(__xludf.DUMMYFUNCTION("""COMPUTED_VALUE"""),"Yes")</f>
        <v>Yes</v>
      </c>
      <c r="O756" s="5" t="str">
        <f>IFERROR(__xludf.DUMMYFUNCTION("""COMPUTED_VALUE"""),"Yes")</f>
        <v>Yes</v>
      </c>
      <c r="P756" s="5" t="str">
        <f>IFERROR(__xludf.DUMMYFUNCTION("""COMPUTED_VALUE"""),"Yes")</f>
        <v>Yes</v>
      </c>
      <c r="Q756" s="5" t="str">
        <f>IFERROR(__xludf.DUMMYFUNCTION("""COMPUTED_VALUE"""),"Yes")</f>
        <v>Yes</v>
      </c>
      <c r="R756" s="5" t="str">
        <f>IFERROR(__xludf.DUMMYFUNCTION("""COMPUTED_VALUE"""),"Yes")</f>
        <v>Yes</v>
      </c>
      <c r="S756" s="5" t="str">
        <f>IFERROR(__xludf.DUMMYFUNCTION("""COMPUTED_VALUE"""),"Yes")</f>
        <v>Yes</v>
      </c>
      <c r="T756" s="5" t="str">
        <f>IFERROR(__xludf.DUMMYFUNCTION("""COMPUTED_VALUE"""),"Yes")</f>
        <v>Yes</v>
      </c>
      <c r="U756" s="5" t="str">
        <f>IFERROR(__xludf.DUMMYFUNCTION("""COMPUTED_VALUE"""),"Yes")</f>
        <v>Yes</v>
      </c>
      <c r="V756" s="5" t="str">
        <f>IFERROR(__xludf.DUMMYFUNCTION("""COMPUTED_VALUE"""),"Yes")</f>
        <v>Yes</v>
      </c>
      <c r="W756" s="5" t="str">
        <f>IFERROR(__xludf.DUMMYFUNCTION("""COMPUTED_VALUE"""),"Yes")</f>
        <v>Yes</v>
      </c>
      <c r="X756" s="5" t="str">
        <f>IFERROR(__xludf.DUMMYFUNCTION("""COMPUTED_VALUE"""),"Yes")</f>
        <v>Yes</v>
      </c>
      <c r="Y756" s="5" t="str">
        <f>IFERROR(__xludf.DUMMYFUNCTION("""COMPUTED_VALUE"""),"Yes")</f>
        <v>Yes</v>
      </c>
      <c r="Z756" s="5" t="str">
        <f>IFERROR(__xludf.DUMMYFUNCTION("""COMPUTED_VALUE"""),"Yes")</f>
        <v>Yes</v>
      </c>
      <c r="AA756" s="5" t="str">
        <f>IFERROR(__xludf.DUMMYFUNCTION("""COMPUTED_VALUE"""),"Yes")</f>
        <v>Yes</v>
      </c>
      <c r="AB756" s="5" t="str">
        <f>IFERROR(__xludf.DUMMYFUNCTION("""COMPUTED_VALUE"""),"Yes")</f>
        <v>Yes</v>
      </c>
      <c r="AC756" s="5" t="str">
        <f>IFERROR(__xludf.DUMMYFUNCTION("""COMPUTED_VALUE"""),"Yes")</f>
        <v>Yes</v>
      </c>
      <c r="AD756" s="5" t="str">
        <f>IFERROR(__xludf.DUMMYFUNCTION("""COMPUTED_VALUE"""),"Yes")</f>
        <v>Yes</v>
      </c>
      <c r="AE756" s="5" t="str">
        <f>IFERROR(__xludf.DUMMYFUNCTION("""COMPUTED_VALUE"""),"Yes")</f>
        <v>Yes</v>
      </c>
      <c r="AF756" s="5" t="str">
        <f>IFERROR(__xludf.DUMMYFUNCTION("""COMPUTED_VALUE"""),"Yes")</f>
        <v>Yes</v>
      </c>
      <c r="AG756" s="5" t="str">
        <f>IFERROR(__xludf.DUMMYFUNCTION("""COMPUTED_VALUE"""),"Yes")</f>
        <v>Yes</v>
      </c>
      <c r="AH756" s="5" t="str">
        <f>IFERROR(__xludf.DUMMYFUNCTION("""COMPUTED_VALUE"""),"Yes")</f>
        <v>Yes</v>
      </c>
      <c r="AI756" s="5" t="str">
        <f>IFERROR(__xludf.DUMMYFUNCTION("""COMPUTED_VALUE"""),"No")</f>
        <v>No</v>
      </c>
      <c r="AJ756" s="5" t="str">
        <f>IFERROR(__xludf.DUMMYFUNCTION("""COMPUTED_VALUE"""),"No")</f>
        <v>No</v>
      </c>
      <c r="AK756" s="5" t="str">
        <f>IFERROR(__xludf.DUMMYFUNCTION("""COMPUTED_VALUE"""),"No")</f>
        <v>No</v>
      </c>
      <c r="AL756" s="5" t="str">
        <f>IFERROR(__xludf.DUMMYFUNCTION("""COMPUTED_VALUE"""),"No")</f>
        <v>No</v>
      </c>
      <c r="AM756" s="5"/>
      <c r="AN756" s="5"/>
      <c r="AO756" s="5"/>
      <c r="AP756" s="5"/>
      <c r="AQ756" s="5"/>
      <c r="AR756" s="5"/>
      <c r="AS756" s="5"/>
      <c r="AT756" s="5"/>
      <c r="AU756" s="5"/>
      <c r="AV756" s="5"/>
      <c r="AW756" s="5"/>
      <c r="AX756" s="5"/>
      <c r="AY756" s="5"/>
    </row>
    <row r="757">
      <c r="A7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7" s="5">
        <f>IFERROR(__xludf.DUMMYFUNCTION("""COMPUTED_VALUE"""),794.0)</f>
        <v>794</v>
      </c>
      <c r="C757" s="5">
        <f>IFERROR(__xludf.DUMMYFUNCTION("""COMPUTED_VALUE"""),2022.0)</f>
        <v>2022</v>
      </c>
      <c r="D757" s="5" t="str">
        <f>IFERROR(__xludf.DUMMYFUNCTION("""COMPUTED_VALUE"""),"ChilliBurst")</f>
        <v>ChilliBurst</v>
      </c>
      <c r="E757" s="5" t="str">
        <f>IFERROR(__xludf.DUMMYFUNCTION("""COMPUTED_VALUE"""),"Yes")</f>
        <v>Yes</v>
      </c>
      <c r="F757" s="5" t="str">
        <f>IFERROR(__xludf.DUMMYFUNCTION("""COMPUTED_VALUE"""),"Yes")</f>
        <v>Yes</v>
      </c>
      <c r="G757" s="5" t="str">
        <f>IFERROR(__xludf.DUMMYFUNCTION("""COMPUTED_VALUE"""),"Yes")</f>
        <v>Yes</v>
      </c>
      <c r="H757" s="5" t="str">
        <f>IFERROR(__xludf.DUMMYFUNCTION("""COMPUTED_VALUE"""),"Yes")</f>
        <v>Yes</v>
      </c>
      <c r="I757" s="5" t="str">
        <f>IFERROR(__xludf.DUMMYFUNCTION("""COMPUTED_VALUE"""),"Yes")</f>
        <v>Yes</v>
      </c>
      <c r="J757" s="5" t="str">
        <f>IFERROR(__xludf.DUMMYFUNCTION("""COMPUTED_VALUE"""),"Yes")</f>
        <v>Yes</v>
      </c>
      <c r="K757" s="5" t="str">
        <f>IFERROR(__xludf.DUMMYFUNCTION("""COMPUTED_VALUE"""),"Yes")</f>
        <v>Yes</v>
      </c>
      <c r="L757" s="5" t="str">
        <f>IFERROR(__xludf.DUMMYFUNCTION("""COMPUTED_VALUE"""),"Yes")</f>
        <v>Yes</v>
      </c>
      <c r="M757" s="5" t="str">
        <f>IFERROR(__xludf.DUMMYFUNCTION("""COMPUTED_VALUE"""),"Yes")</f>
        <v>Yes</v>
      </c>
      <c r="N757" s="5" t="str">
        <f>IFERROR(__xludf.DUMMYFUNCTION("""COMPUTED_VALUE"""),"Yes")</f>
        <v>Yes</v>
      </c>
      <c r="O757" s="5" t="str">
        <f>IFERROR(__xludf.DUMMYFUNCTION("""COMPUTED_VALUE"""),"Yes")</f>
        <v>Yes</v>
      </c>
      <c r="P757" s="5" t="str">
        <f>IFERROR(__xludf.DUMMYFUNCTION("""COMPUTED_VALUE"""),"Yes")</f>
        <v>Yes</v>
      </c>
      <c r="Q757" s="5" t="str">
        <f>IFERROR(__xludf.DUMMYFUNCTION("""COMPUTED_VALUE"""),"Yes")</f>
        <v>Yes</v>
      </c>
      <c r="R757" s="5" t="str">
        <f>IFERROR(__xludf.DUMMYFUNCTION("""COMPUTED_VALUE"""),"Yes")</f>
        <v>Yes</v>
      </c>
      <c r="S757" s="5" t="str">
        <f>IFERROR(__xludf.DUMMYFUNCTION("""COMPUTED_VALUE"""),"Yes")</f>
        <v>Yes</v>
      </c>
      <c r="T757" s="5" t="str">
        <f>IFERROR(__xludf.DUMMYFUNCTION("""COMPUTED_VALUE"""),"Yes")</f>
        <v>Yes</v>
      </c>
      <c r="U757" s="5" t="str">
        <f>IFERROR(__xludf.DUMMYFUNCTION("""COMPUTED_VALUE"""),"Yes")</f>
        <v>Yes</v>
      </c>
      <c r="V757" s="5" t="str">
        <f>IFERROR(__xludf.DUMMYFUNCTION("""COMPUTED_VALUE"""),"Yes")</f>
        <v>Yes</v>
      </c>
      <c r="W757" s="5" t="str">
        <f>IFERROR(__xludf.DUMMYFUNCTION("""COMPUTED_VALUE"""),"Yes")</f>
        <v>Yes</v>
      </c>
      <c r="X757" s="5" t="str">
        <f>IFERROR(__xludf.DUMMYFUNCTION("""COMPUTED_VALUE"""),"Yes")</f>
        <v>Yes</v>
      </c>
      <c r="Y757" s="5" t="str">
        <f>IFERROR(__xludf.DUMMYFUNCTION("""COMPUTED_VALUE"""),"Yes")</f>
        <v>Yes</v>
      </c>
      <c r="Z757" s="5" t="str">
        <f>IFERROR(__xludf.DUMMYFUNCTION("""COMPUTED_VALUE"""),"Yes")</f>
        <v>Yes</v>
      </c>
      <c r="AA757" s="5" t="str">
        <f>IFERROR(__xludf.DUMMYFUNCTION("""COMPUTED_VALUE"""),"Yes")</f>
        <v>Yes</v>
      </c>
      <c r="AB757" s="5" t="str">
        <f>IFERROR(__xludf.DUMMYFUNCTION("""COMPUTED_VALUE"""),"Yes")</f>
        <v>Yes</v>
      </c>
      <c r="AC757" s="5" t="str">
        <f>IFERROR(__xludf.DUMMYFUNCTION("""COMPUTED_VALUE"""),"Yes")</f>
        <v>Yes</v>
      </c>
      <c r="AD757" s="5" t="str">
        <f>IFERROR(__xludf.DUMMYFUNCTION("""COMPUTED_VALUE"""),"Yes")</f>
        <v>Yes</v>
      </c>
      <c r="AE757" s="5" t="str">
        <f>IFERROR(__xludf.DUMMYFUNCTION("""COMPUTED_VALUE"""),"Yes")</f>
        <v>Yes</v>
      </c>
      <c r="AF757" s="5" t="str">
        <f>IFERROR(__xludf.DUMMYFUNCTION("""COMPUTED_VALUE"""),"Yes")</f>
        <v>Yes</v>
      </c>
      <c r="AG757" s="5" t="str">
        <f>IFERROR(__xludf.DUMMYFUNCTION("""COMPUTED_VALUE"""),"Yes")</f>
        <v>Yes</v>
      </c>
      <c r="AH757" s="5" t="str">
        <f>IFERROR(__xludf.DUMMYFUNCTION("""COMPUTED_VALUE"""),"Yes")</f>
        <v>Yes</v>
      </c>
      <c r="AI757" s="5" t="str">
        <f>IFERROR(__xludf.DUMMYFUNCTION("""COMPUTED_VALUE"""),"No")</f>
        <v>No</v>
      </c>
      <c r="AJ757" s="5" t="str">
        <f>IFERROR(__xludf.DUMMYFUNCTION("""COMPUTED_VALUE"""),"No")</f>
        <v>No</v>
      </c>
      <c r="AK757" s="5" t="str">
        <f>IFERROR(__xludf.DUMMYFUNCTION("""COMPUTED_VALUE"""),"No")</f>
        <v>No</v>
      </c>
      <c r="AL757" s="5" t="str">
        <f>IFERROR(__xludf.DUMMYFUNCTION("""COMPUTED_VALUE"""),"No")</f>
        <v>No</v>
      </c>
      <c r="AM757" s="5"/>
      <c r="AN757" s="5"/>
      <c r="AO757" s="5"/>
      <c r="AP757" s="5"/>
      <c r="AQ757" s="5"/>
      <c r="AR757" s="5"/>
      <c r="AS757" s="5"/>
      <c r="AT757" s="5"/>
      <c r="AU757" s="5"/>
      <c r="AV757" s="5"/>
      <c r="AW757" s="5"/>
      <c r="AX757" s="5"/>
      <c r="AY757" s="5"/>
    </row>
    <row r="758">
      <c r="A7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8" s="5">
        <f>IFERROR(__xludf.DUMMYFUNCTION("""COMPUTED_VALUE"""),795.0)</f>
        <v>795</v>
      </c>
      <c r="C758" s="5">
        <f>IFERROR(__xludf.DUMMYFUNCTION("""COMPUTED_VALUE"""),2023.0)</f>
        <v>2023</v>
      </c>
      <c r="D758" s="5" t="str">
        <f>IFERROR(__xludf.DUMMYFUNCTION("""COMPUTED_VALUE"""),"ExtremeStickyClover")</f>
        <v>ExtremeStickyClover</v>
      </c>
      <c r="E758" s="5" t="str">
        <f>IFERROR(__xludf.DUMMYFUNCTION("""COMPUTED_VALUE"""),"Yes")</f>
        <v>Yes</v>
      </c>
      <c r="F758" s="5" t="str">
        <f>IFERROR(__xludf.DUMMYFUNCTION("""COMPUTED_VALUE"""),"Yes")</f>
        <v>Yes</v>
      </c>
      <c r="G758" s="5" t="str">
        <f>IFERROR(__xludf.DUMMYFUNCTION("""COMPUTED_VALUE"""),"Yes")</f>
        <v>Yes</v>
      </c>
      <c r="H758" s="5" t="str">
        <f>IFERROR(__xludf.DUMMYFUNCTION("""COMPUTED_VALUE"""),"Yes")</f>
        <v>Yes</v>
      </c>
      <c r="I758" s="5" t="str">
        <f>IFERROR(__xludf.DUMMYFUNCTION("""COMPUTED_VALUE"""),"Yes")</f>
        <v>Yes</v>
      </c>
      <c r="J758" s="5" t="str">
        <f>IFERROR(__xludf.DUMMYFUNCTION("""COMPUTED_VALUE"""),"Yes")</f>
        <v>Yes</v>
      </c>
      <c r="K758" s="5" t="str">
        <f>IFERROR(__xludf.DUMMYFUNCTION("""COMPUTED_VALUE"""),"Yes")</f>
        <v>Yes</v>
      </c>
      <c r="L758" s="5" t="str">
        <f>IFERROR(__xludf.DUMMYFUNCTION("""COMPUTED_VALUE"""),"Yes")</f>
        <v>Yes</v>
      </c>
      <c r="M758" s="5" t="str">
        <f>IFERROR(__xludf.DUMMYFUNCTION("""COMPUTED_VALUE"""),"Yes")</f>
        <v>Yes</v>
      </c>
      <c r="N758" s="5" t="str">
        <f>IFERROR(__xludf.DUMMYFUNCTION("""COMPUTED_VALUE"""),"Yes")</f>
        <v>Yes</v>
      </c>
      <c r="O758" s="5" t="str">
        <f>IFERROR(__xludf.DUMMYFUNCTION("""COMPUTED_VALUE"""),"Yes")</f>
        <v>Yes</v>
      </c>
      <c r="P758" s="5" t="str">
        <f>IFERROR(__xludf.DUMMYFUNCTION("""COMPUTED_VALUE"""),"Yes")</f>
        <v>Yes</v>
      </c>
      <c r="Q758" s="5" t="str">
        <f>IFERROR(__xludf.DUMMYFUNCTION("""COMPUTED_VALUE"""),"Yes")</f>
        <v>Yes</v>
      </c>
      <c r="R758" s="5" t="str">
        <f>IFERROR(__xludf.DUMMYFUNCTION("""COMPUTED_VALUE"""),"Yes")</f>
        <v>Yes</v>
      </c>
      <c r="S758" s="5" t="str">
        <f>IFERROR(__xludf.DUMMYFUNCTION("""COMPUTED_VALUE"""),"Yes")</f>
        <v>Yes</v>
      </c>
      <c r="T758" s="5" t="str">
        <f>IFERROR(__xludf.DUMMYFUNCTION("""COMPUTED_VALUE"""),"Yes")</f>
        <v>Yes</v>
      </c>
      <c r="U758" s="5" t="str">
        <f>IFERROR(__xludf.DUMMYFUNCTION("""COMPUTED_VALUE"""),"Yes")</f>
        <v>Yes</v>
      </c>
      <c r="V758" s="5" t="str">
        <f>IFERROR(__xludf.DUMMYFUNCTION("""COMPUTED_VALUE"""),"Yes")</f>
        <v>Yes</v>
      </c>
      <c r="W758" s="5" t="str">
        <f>IFERROR(__xludf.DUMMYFUNCTION("""COMPUTED_VALUE"""),"Yes")</f>
        <v>Yes</v>
      </c>
      <c r="X758" s="5" t="str">
        <f>IFERROR(__xludf.DUMMYFUNCTION("""COMPUTED_VALUE"""),"Yes")</f>
        <v>Yes</v>
      </c>
      <c r="Y758" s="5" t="str">
        <f>IFERROR(__xludf.DUMMYFUNCTION("""COMPUTED_VALUE"""),"Yes")</f>
        <v>Yes</v>
      </c>
      <c r="Z758" s="5" t="str">
        <f>IFERROR(__xludf.DUMMYFUNCTION("""COMPUTED_VALUE"""),"Yes")</f>
        <v>Yes</v>
      </c>
      <c r="AA758" s="5" t="str">
        <f>IFERROR(__xludf.DUMMYFUNCTION("""COMPUTED_VALUE"""),"Yes")</f>
        <v>Yes</v>
      </c>
      <c r="AB758" s="5" t="str">
        <f>IFERROR(__xludf.DUMMYFUNCTION("""COMPUTED_VALUE"""),"Yes")</f>
        <v>Yes</v>
      </c>
      <c r="AC758" s="5" t="str">
        <f>IFERROR(__xludf.DUMMYFUNCTION("""COMPUTED_VALUE"""),"Yes")</f>
        <v>Yes</v>
      </c>
      <c r="AD758" s="5" t="str">
        <f>IFERROR(__xludf.DUMMYFUNCTION("""COMPUTED_VALUE"""),"Yes")</f>
        <v>Yes</v>
      </c>
      <c r="AE758" s="5" t="str">
        <f>IFERROR(__xludf.DUMMYFUNCTION("""COMPUTED_VALUE"""),"Yes")</f>
        <v>Yes</v>
      </c>
      <c r="AF758" s="5" t="str">
        <f>IFERROR(__xludf.DUMMYFUNCTION("""COMPUTED_VALUE"""),"Yes")</f>
        <v>Yes</v>
      </c>
      <c r="AG758" s="5" t="str">
        <f>IFERROR(__xludf.DUMMYFUNCTION("""COMPUTED_VALUE"""),"Yes")</f>
        <v>Yes</v>
      </c>
      <c r="AH758" s="5" t="str">
        <f>IFERROR(__xludf.DUMMYFUNCTION("""COMPUTED_VALUE"""),"Yes")</f>
        <v>Yes</v>
      </c>
      <c r="AI758" s="5" t="str">
        <f>IFERROR(__xludf.DUMMYFUNCTION("""COMPUTED_VALUE"""),"No")</f>
        <v>No</v>
      </c>
      <c r="AJ758" s="5" t="str">
        <f>IFERROR(__xludf.DUMMYFUNCTION("""COMPUTED_VALUE"""),"No")</f>
        <v>No</v>
      </c>
      <c r="AK758" s="5" t="str">
        <f>IFERROR(__xludf.DUMMYFUNCTION("""COMPUTED_VALUE"""),"No")</f>
        <v>No</v>
      </c>
      <c r="AL758" s="5" t="str">
        <f>IFERROR(__xludf.DUMMYFUNCTION("""COMPUTED_VALUE"""),"No")</f>
        <v>No</v>
      </c>
      <c r="AM758" s="5"/>
      <c r="AN758" s="5"/>
      <c r="AO758" s="5"/>
      <c r="AP758" s="5"/>
      <c r="AQ758" s="5"/>
      <c r="AR758" s="5"/>
      <c r="AS758" s="5"/>
      <c r="AT758" s="5"/>
      <c r="AU758" s="5"/>
      <c r="AV758" s="5"/>
      <c r="AW758" s="5"/>
      <c r="AX758" s="5"/>
      <c r="AY758" s="5"/>
    </row>
    <row r="759">
      <c r="A7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9" s="5">
        <f>IFERROR(__xludf.DUMMYFUNCTION("""COMPUTED_VALUE"""),796.0)</f>
        <v>796</v>
      </c>
      <c r="C759" s="5">
        <f>IFERROR(__xludf.DUMMYFUNCTION("""COMPUTED_VALUE"""),3045.0)</f>
        <v>3045</v>
      </c>
      <c r="D759" s="5" t="str">
        <f>IFERROR(__xludf.DUMMYFUNCTION("""COMPUTED_VALUE"""),"ExtremeHeat7s")</f>
        <v>ExtremeHeat7s</v>
      </c>
      <c r="E759" s="5" t="str">
        <f>IFERROR(__xludf.DUMMYFUNCTION("""COMPUTED_VALUE"""),"Yes")</f>
        <v>Yes</v>
      </c>
      <c r="F759" s="5" t="str">
        <f>IFERROR(__xludf.DUMMYFUNCTION("""COMPUTED_VALUE"""),"Yes")</f>
        <v>Yes</v>
      </c>
      <c r="G759" s="5" t="str">
        <f>IFERROR(__xludf.DUMMYFUNCTION("""COMPUTED_VALUE"""),"Yes")</f>
        <v>Yes</v>
      </c>
      <c r="H759" s="5" t="str">
        <f>IFERROR(__xludf.DUMMYFUNCTION("""COMPUTED_VALUE"""),"Yes")</f>
        <v>Yes</v>
      </c>
      <c r="I759" s="5" t="str">
        <f>IFERROR(__xludf.DUMMYFUNCTION("""COMPUTED_VALUE"""),"Yes")</f>
        <v>Yes</v>
      </c>
      <c r="J759" s="5" t="str">
        <f>IFERROR(__xludf.DUMMYFUNCTION("""COMPUTED_VALUE"""),"Yes")</f>
        <v>Yes</v>
      </c>
      <c r="K759" s="5" t="str">
        <f>IFERROR(__xludf.DUMMYFUNCTION("""COMPUTED_VALUE"""),"Yes")</f>
        <v>Yes</v>
      </c>
      <c r="L759" s="5" t="str">
        <f>IFERROR(__xludf.DUMMYFUNCTION("""COMPUTED_VALUE"""),"Yes")</f>
        <v>Yes</v>
      </c>
      <c r="M759" s="5" t="str">
        <f>IFERROR(__xludf.DUMMYFUNCTION("""COMPUTED_VALUE"""),"Yes")</f>
        <v>Yes</v>
      </c>
      <c r="N759" s="5" t="str">
        <f>IFERROR(__xludf.DUMMYFUNCTION("""COMPUTED_VALUE"""),"Yes")</f>
        <v>Yes</v>
      </c>
      <c r="O759" s="5" t="str">
        <f>IFERROR(__xludf.DUMMYFUNCTION("""COMPUTED_VALUE"""),"Yes")</f>
        <v>Yes</v>
      </c>
      <c r="P759" s="5" t="str">
        <f>IFERROR(__xludf.DUMMYFUNCTION("""COMPUTED_VALUE"""),"Yes")</f>
        <v>Yes</v>
      </c>
      <c r="Q759" s="5" t="str">
        <f>IFERROR(__xludf.DUMMYFUNCTION("""COMPUTED_VALUE"""),"Yes")</f>
        <v>Yes</v>
      </c>
      <c r="R759" s="5" t="str">
        <f>IFERROR(__xludf.DUMMYFUNCTION("""COMPUTED_VALUE"""),"Yes")</f>
        <v>Yes</v>
      </c>
      <c r="S759" s="5" t="str">
        <f>IFERROR(__xludf.DUMMYFUNCTION("""COMPUTED_VALUE"""),"Yes")</f>
        <v>Yes</v>
      </c>
      <c r="T759" s="5" t="str">
        <f>IFERROR(__xludf.DUMMYFUNCTION("""COMPUTED_VALUE"""),"Yes")</f>
        <v>Yes</v>
      </c>
      <c r="U759" s="5" t="str">
        <f>IFERROR(__xludf.DUMMYFUNCTION("""COMPUTED_VALUE"""),"Yes")</f>
        <v>Yes</v>
      </c>
      <c r="V759" s="5" t="str">
        <f>IFERROR(__xludf.DUMMYFUNCTION("""COMPUTED_VALUE"""),"Yes")</f>
        <v>Yes</v>
      </c>
      <c r="W759" s="5" t="str">
        <f>IFERROR(__xludf.DUMMYFUNCTION("""COMPUTED_VALUE"""),"Yes")</f>
        <v>Yes</v>
      </c>
      <c r="X759" s="5" t="str">
        <f>IFERROR(__xludf.DUMMYFUNCTION("""COMPUTED_VALUE"""),"Yes")</f>
        <v>Yes</v>
      </c>
      <c r="Y759" s="5" t="str">
        <f>IFERROR(__xludf.DUMMYFUNCTION("""COMPUTED_VALUE"""),"Yes")</f>
        <v>Yes</v>
      </c>
      <c r="Z759" s="5" t="str">
        <f>IFERROR(__xludf.DUMMYFUNCTION("""COMPUTED_VALUE"""),"Yes")</f>
        <v>Yes</v>
      </c>
      <c r="AA759" s="5" t="str">
        <f>IFERROR(__xludf.DUMMYFUNCTION("""COMPUTED_VALUE"""),"Yes")</f>
        <v>Yes</v>
      </c>
      <c r="AB759" s="5" t="str">
        <f>IFERROR(__xludf.DUMMYFUNCTION("""COMPUTED_VALUE"""),"Yes")</f>
        <v>Yes</v>
      </c>
      <c r="AC759" s="5" t="str">
        <f>IFERROR(__xludf.DUMMYFUNCTION("""COMPUTED_VALUE"""),"Yes")</f>
        <v>Yes</v>
      </c>
      <c r="AD759" s="5" t="str">
        <f>IFERROR(__xludf.DUMMYFUNCTION("""COMPUTED_VALUE"""),"Yes")</f>
        <v>Yes</v>
      </c>
      <c r="AE759" s="5" t="str">
        <f>IFERROR(__xludf.DUMMYFUNCTION("""COMPUTED_VALUE"""),"Yes")</f>
        <v>Yes</v>
      </c>
      <c r="AF759" s="5" t="str">
        <f>IFERROR(__xludf.DUMMYFUNCTION("""COMPUTED_VALUE"""),"Yes")</f>
        <v>Yes</v>
      </c>
      <c r="AG759" s="5" t="str">
        <f>IFERROR(__xludf.DUMMYFUNCTION("""COMPUTED_VALUE"""),"Yes")</f>
        <v>Yes</v>
      </c>
      <c r="AH759" s="5" t="str">
        <f>IFERROR(__xludf.DUMMYFUNCTION("""COMPUTED_VALUE"""),"Yes")</f>
        <v>Yes</v>
      </c>
      <c r="AI759" s="5" t="str">
        <f>IFERROR(__xludf.DUMMYFUNCTION("""COMPUTED_VALUE"""),"No")</f>
        <v>No</v>
      </c>
      <c r="AJ759" s="5" t="str">
        <f>IFERROR(__xludf.DUMMYFUNCTION("""COMPUTED_VALUE"""),"No")</f>
        <v>No</v>
      </c>
      <c r="AK759" s="5" t="str">
        <f>IFERROR(__xludf.DUMMYFUNCTION("""COMPUTED_VALUE"""),"No")</f>
        <v>No</v>
      </c>
      <c r="AL759" s="5" t="str">
        <f>IFERROR(__xludf.DUMMYFUNCTION("""COMPUTED_VALUE"""),"No")</f>
        <v>No</v>
      </c>
      <c r="AM759" s="5"/>
      <c r="AN759" s="5"/>
      <c r="AO759" s="5"/>
      <c r="AP759" s="5"/>
      <c r="AQ759" s="5"/>
      <c r="AR759" s="5"/>
      <c r="AS759" s="5"/>
      <c r="AT759" s="5"/>
      <c r="AU759" s="5"/>
      <c r="AV759" s="5"/>
      <c r="AW759" s="5"/>
      <c r="AX759" s="5"/>
      <c r="AY759" s="5"/>
    </row>
    <row r="760">
      <c r="A7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0" s="5">
        <f>IFERROR(__xludf.DUMMYFUNCTION("""COMPUTED_VALUE"""),797.0)</f>
        <v>797</v>
      </c>
      <c r="C760" s="5">
        <f>IFERROR(__xludf.DUMMYFUNCTION("""COMPUTED_VALUE"""),3038.0)</f>
        <v>3038</v>
      </c>
      <c r="D760" s="5" t="str">
        <f>IFERROR(__xludf.DUMMYFUNCTION("""COMPUTED_VALUE"""),"BonusWild81Extralines")</f>
        <v>BonusWild81Extralines</v>
      </c>
      <c r="E760" s="5" t="str">
        <f>IFERROR(__xludf.DUMMYFUNCTION("""COMPUTED_VALUE"""),"Yes")</f>
        <v>Yes</v>
      </c>
      <c r="F760" s="5" t="str">
        <f>IFERROR(__xludf.DUMMYFUNCTION("""COMPUTED_VALUE"""),"Yes")</f>
        <v>Yes</v>
      </c>
      <c r="G760" s="5" t="str">
        <f>IFERROR(__xludf.DUMMYFUNCTION("""COMPUTED_VALUE"""),"Yes")</f>
        <v>Yes</v>
      </c>
      <c r="H760" s="5" t="str">
        <f>IFERROR(__xludf.DUMMYFUNCTION("""COMPUTED_VALUE"""),"Yes")</f>
        <v>Yes</v>
      </c>
      <c r="I760" s="5" t="str">
        <f>IFERROR(__xludf.DUMMYFUNCTION("""COMPUTED_VALUE"""),"Yes")</f>
        <v>Yes</v>
      </c>
      <c r="J760" s="5" t="str">
        <f>IFERROR(__xludf.DUMMYFUNCTION("""COMPUTED_VALUE"""),"Yes")</f>
        <v>Yes</v>
      </c>
      <c r="K760" s="5" t="str">
        <f>IFERROR(__xludf.DUMMYFUNCTION("""COMPUTED_VALUE"""),"Yes")</f>
        <v>Yes</v>
      </c>
      <c r="L760" s="5" t="str">
        <f>IFERROR(__xludf.DUMMYFUNCTION("""COMPUTED_VALUE"""),"Yes")</f>
        <v>Yes</v>
      </c>
      <c r="M760" s="5" t="str">
        <f>IFERROR(__xludf.DUMMYFUNCTION("""COMPUTED_VALUE"""),"Yes")</f>
        <v>Yes</v>
      </c>
      <c r="N760" s="5" t="str">
        <f>IFERROR(__xludf.DUMMYFUNCTION("""COMPUTED_VALUE"""),"Yes")</f>
        <v>Yes</v>
      </c>
      <c r="O760" s="5" t="str">
        <f>IFERROR(__xludf.DUMMYFUNCTION("""COMPUTED_VALUE"""),"Yes")</f>
        <v>Yes</v>
      </c>
      <c r="P760" s="5" t="str">
        <f>IFERROR(__xludf.DUMMYFUNCTION("""COMPUTED_VALUE"""),"Yes")</f>
        <v>Yes</v>
      </c>
      <c r="Q760" s="5" t="str">
        <f>IFERROR(__xludf.DUMMYFUNCTION("""COMPUTED_VALUE"""),"Yes")</f>
        <v>Yes</v>
      </c>
      <c r="R760" s="5" t="str">
        <f>IFERROR(__xludf.DUMMYFUNCTION("""COMPUTED_VALUE"""),"Yes")</f>
        <v>Yes</v>
      </c>
      <c r="S760" s="5" t="str">
        <f>IFERROR(__xludf.DUMMYFUNCTION("""COMPUTED_VALUE"""),"Yes")</f>
        <v>Yes</v>
      </c>
      <c r="T760" s="5" t="str">
        <f>IFERROR(__xludf.DUMMYFUNCTION("""COMPUTED_VALUE"""),"Yes")</f>
        <v>Yes</v>
      </c>
      <c r="U760" s="5" t="str">
        <f>IFERROR(__xludf.DUMMYFUNCTION("""COMPUTED_VALUE"""),"Yes")</f>
        <v>Yes</v>
      </c>
      <c r="V760" s="5" t="str">
        <f>IFERROR(__xludf.DUMMYFUNCTION("""COMPUTED_VALUE"""),"Yes")</f>
        <v>Yes</v>
      </c>
      <c r="W760" s="5" t="str">
        <f>IFERROR(__xludf.DUMMYFUNCTION("""COMPUTED_VALUE"""),"Yes")</f>
        <v>Yes</v>
      </c>
      <c r="X760" s="5" t="str">
        <f>IFERROR(__xludf.DUMMYFUNCTION("""COMPUTED_VALUE"""),"Yes")</f>
        <v>Yes</v>
      </c>
      <c r="Y760" s="5" t="str">
        <f>IFERROR(__xludf.DUMMYFUNCTION("""COMPUTED_VALUE"""),"Yes")</f>
        <v>Yes</v>
      </c>
      <c r="Z760" s="5" t="str">
        <f>IFERROR(__xludf.DUMMYFUNCTION("""COMPUTED_VALUE"""),"Yes")</f>
        <v>Yes</v>
      </c>
      <c r="AA760" s="5" t="str">
        <f>IFERROR(__xludf.DUMMYFUNCTION("""COMPUTED_VALUE"""),"Yes")</f>
        <v>Yes</v>
      </c>
      <c r="AB760" s="5" t="str">
        <f>IFERROR(__xludf.DUMMYFUNCTION("""COMPUTED_VALUE"""),"Yes")</f>
        <v>Yes</v>
      </c>
      <c r="AC760" s="5" t="str">
        <f>IFERROR(__xludf.DUMMYFUNCTION("""COMPUTED_VALUE"""),"Yes")</f>
        <v>Yes</v>
      </c>
      <c r="AD760" s="5" t="str">
        <f>IFERROR(__xludf.DUMMYFUNCTION("""COMPUTED_VALUE"""),"Yes")</f>
        <v>Yes</v>
      </c>
      <c r="AE760" s="5" t="str">
        <f>IFERROR(__xludf.DUMMYFUNCTION("""COMPUTED_VALUE"""),"Yes")</f>
        <v>Yes</v>
      </c>
      <c r="AF760" s="5" t="str">
        <f>IFERROR(__xludf.DUMMYFUNCTION("""COMPUTED_VALUE"""),"Yes")</f>
        <v>Yes</v>
      </c>
      <c r="AG760" s="5" t="str">
        <f>IFERROR(__xludf.DUMMYFUNCTION("""COMPUTED_VALUE"""),"Yes")</f>
        <v>Yes</v>
      </c>
      <c r="AH760" s="5" t="str">
        <f>IFERROR(__xludf.DUMMYFUNCTION("""COMPUTED_VALUE"""),"Yes")</f>
        <v>Yes</v>
      </c>
      <c r="AI760" s="5" t="str">
        <f>IFERROR(__xludf.DUMMYFUNCTION("""COMPUTED_VALUE"""),"No")</f>
        <v>No</v>
      </c>
      <c r="AJ760" s="5" t="str">
        <f>IFERROR(__xludf.DUMMYFUNCTION("""COMPUTED_VALUE"""),"No")</f>
        <v>No</v>
      </c>
      <c r="AK760" s="5" t="str">
        <f>IFERROR(__xludf.DUMMYFUNCTION("""COMPUTED_VALUE"""),"No")</f>
        <v>No</v>
      </c>
      <c r="AL760" s="5" t="str">
        <f>IFERROR(__xludf.DUMMYFUNCTION("""COMPUTED_VALUE"""),"No")</f>
        <v>No</v>
      </c>
      <c r="AM760" s="5"/>
      <c r="AN760" s="5"/>
      <c r="AO760" s="5"/>
      <c r="AP760" s="5"/>
      <c r="AQ760" s="5"/>
      <c r="AR760" s="5"/>
      <c r="AS760" s="5"/>
      <c r="AT760" s="5"/>
      <c r="AU760" s="5"/>
      <c r="AV760" s="5"/>
      <c r="AW760" s="5"/>
      <c r="AX760" s="5"/>
      <c r="AY760" s="5"/>
    </row>
    <row r="761">
      <c r="A7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1" s="5">
        <f>IFERROR(__xludf.DUMMYFUNCTION("""COMPUTED_VALUE"""),798.0)</f>
        <v>798</v>
      </c>
      <c r="C761" s="5">
        <f>IFERROR(__xludf.DUMMYFUNCTION("""COMPUTED_VALUE"""),4000021.0)</f>
        <v>4000021</v>
      </c>
      <c r="D761" s="5" t="str">
        <f>IFERROR(__xludf.DUMMYFUNCTION("""COMPUTED_VALUE"""),"UnicornFlamyFireballs")</f>
        <v>UnicornFlamyFireballs</v>
      </c>
      <c r="E761" s="5" t="str">
        <f>IFERROR(__xludf.DUMMYFUNCTION("""COMPUTED_VALUE"""),"Yes")</f>
        <v>Yes</v>
      </c>
      <c r="F761" s="5" t="str">
        <f>IFERROR(__xludf.DUMMYFUNCTION("""COMPUTED_VALUE"""),"Yes")</f>
        <v>Yes</v>
      </c>
      <c r="G761" s="5" t="str">
        <f>IFERROR(__xludf.DUMMYFUNCTION("""COMPUTED_VALUE"""),"Yes")</f>
        <v>Yes</v>
      </c>
      <c r="H761" s="5" t="str">
        <f>IFERROR(__xludf.DUMMYFUNCTION("""COMPUTED_VALUE"""),"Yes")</f>
        <v>Yes</v>
      </c>
      <c r="I761" s="5" t="str">
        <f>IFERROR(__xludf.DUMMYFUNCTION("""COMPUTED_VALUE"""),"Yes")</f>
        <v>Yes</v>
      </c>
      <c r="J761" s="5" t="str">
        <f>IFERROR(__xludf.DUMMYFUNCTION("""COMPUTED_VALUE"""),"Yes")</f>
        <v>Yes</v>
      </c>
      <c r="K761" s="5" t="str">
        <f>IFERROR(__xludf.DUMMYFUNCTION("""COMPUTED_VALUE"""),"Yes")</f>
        <v>Yes</v>
      </c>
      <c r="L761" s="5" t="str">
        <f>IFERROR(__xludf.DUMMYFUNCTION("""COMPUTED_VALUE"""),"Yes")</f>
        <v>Yes</v>
      </c>
      <c r="M761" s="5" t="str">
        <f>IFERROR(__xludf.DUMMYFUNCTION("""COMPUTED_VALUE"""),"Yes")</f>
        <v>Yes</v>
      </c>
      <c r="N761" s="5" t="str">
        <f>IFERROR(__xludf.DUMMYFUNCTION("""COMPUTED_VALUE"""),"Yes")</f>
        <v>Yes</v>
      </c>
      <c r="O761" s="5" t="str">
        <f>IFERROR(__xludf.DUMMYFUNCTION("""COMPUTED_VALUE"""),"Yes")</f>
        <v>Yes</v>
      </c>
      <c r="P761" s="5" t="str">
        <f>IFERROR(__xludf.DUMMYFUNCTION("""COMPUTED_VALUE"""),"Yes")</f>
        <v>Yes</v>
      </c>
      <c r="Q761" s="5" t="str">
        <f>IFERROR(__xludf.DUMMYFUNCTION("""COMPUTED_VALUE"""),"Yes")</f>
        <v>Yes</v>
      </c>
      <c r="R761" s="5" t="str">
        <f>IFERROR(__xludf.DUMMYFUNCTION("""COMPUTED_VALUE"""),"Yes")</f>
        <v>Yes</v>
      </c>
      <c r="S761" s="5" t="str">
        <f>IFERROR(__xludf.DUMMYFUNCTION("""COMPUTED_VALUE"""),"Yes")</f>
        <v>Yes</v>
      </c>
      <c r="T761" s="5" t="str">
        <f>IFERROR(__xludf.DUMMYFUNCTION("""COMPUTED_VALUE"""),"Yes")</f>
        <v>Yes</v>
      </c>
      <c r="U761" s="5" t="str">
        <f>IFERROR(__xludf.DUMMYFUNCTION("""COMPUTED_VALUE"""),"Yes")</f>
        <v>Yes</v>
      </c>
      <c r="V761" s="5" t="str">
        <f>IFERROR(__xludf.DUMMYFUNCTION("""COMPUTED_VALUE"""),"Yes")</f>
        <v>Yes</v>
      </c>
      <c r="W761" s="5" t="str">
        <f>IFERROR(__xludf.DUMMYFUNCTION("""COMPUTED_VALUE"""),"Yes")</f>
        <v>Yes</v>
      </c>
      <c r="X761" s="5" t="str">
        <f>IFERROR(__xludf.DUMMYFUNCTION("""COMPUTED_VALUE"""),"Yes")</f>
        <v>Yes</v>
      </c>
      <c r="Y761" s="5" t="str">
        <f>IFERROR(__xludf.DUMMYFUNCTION("""COMPUTED_VALUE"""),"Yes")</f>
        <v>Yes</v>
      </c>
      <c r="Z761" s="5" t="str">
        <f>IFERROR(__xludf.DUMMYFUNCTION("""COMPUTED_VALUE"""),"Yes")</f>
        <v>Yes</v>
      </c>
      <c r="AA761" s="5" t="str">
        <f>IFERROR(__xludf.DUMMYFUNCTION("""COMPUTED_VALUE"""),"Yes")</f>
        <v>Yes</v>
      </c>
      <c r="AB761" s="5" t="str">
        <f>IFERROR(__xludf.DUMMYFUNCTION("""COMPUTED_VALUE"""),"Yes")</f>
        <v>Yes</v>
      </c>
      <c r="AC761" s="5" t="str">
        <f>IFERROR(__xludf.DUMMYFUNCTION("""COMPUTED_VALUE"""),"Yes")</f>
        <v>Yes</v>
      </c>
      <c r="AD761" s="5" t="str">
        <f>IFERROR(__xludf.DUMMYFUNCTION("""COMPUTED_VALUE"""),"Yes")</f>
        <v>Yes</v>
      </c>
      <c r="AE761" s="5" t="str">
        <f>IFERROR(__xludf.DUMMYFUNCTION("""COMPUTED_VALUE"""),"Yes")</f>
        <v>Yes</v>
      </c>
      <c r="AF761" s="5" t="str">
        <f>IFERROR(__xludf.DUMMYFUNCTION("""COMPUTED_VALUE"""),"Yes")</f>
        <v>Yes</v>
      </c>
      <c r="AG761" s="5" t="str">
        <f>IFERROR(__xludf.DUMMYFUNCTION("""COMPUTED_VALUE"""),"Yes")</f>
        <v>Yes</v>
      </c>
      <c r="AH761" s="5" t="str">
        <f>IFERROR(__xludf.DUMMYFUNCTION("""COMPUTED_VALUE"""),"Yes")</f>
        <v>Yes</v>
      </c>
      <c r="AI761" s="5" t="str">
        <f>IFERROR(__xludf.DUMMYFUNCTION("""COMPUTED_VALUE"""),"No")</f>
        <v>No</v>
      </c>
      <c r="AJ761" s="5" t="str">
        <f>IFERROR(__xludf.DUMMYFUNCTION("""COMPUTED_VALUE"""),"No")</f>
        <v>No</v>
      </c>
      <c r="AK761" s="5" t="str">
        <f>IFERROR(__xludf.DUMMYFUNCTION("""COMPUTED_VALUE"""),"No")</f>
        <v>No</v>
      </c>
      <c r="AL761" s="5" t="str">
        <f>IFERROR(__xludf.DUMMYFUNCTION("""COMPUTED_VALUE"""),"No")</f>
        <v>No</v>
      </c>
      <c r="AM761" s="5"/>
      <c r="AN761" s="5"/>
      <c r="AO761" s="5"/>
      <c r="AP761" s="5"/>
      <c r="AQ761" s="5"/>
      <c r="AR761" s="5"/>
      <c r="AS761" s="5"/>
      <c r="AT761" s="5"/>
      <c r="AU761" s="5"/>
      <c r="AV761" s="5"/>
      <c r="AW761" s="5"/>
      <c r="AX761" s="5"/>
      <c r="AY761" s="5"/>
    </row>
    <row r="762">
      <c r="A7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2" s="5">
        <f>IFERROR(__xludf.DUMMYFUNCTION("""COMPUTED_VALUE"""),799.0)</f>
        <v>799</v>
      </c>
      <c r="C762" s="5">
        <f>IFERROR(__xludf.DUMMYFUNCTION("""COMPUTED_VALUE"""),4000022.0)</f>
        <v>4000022</v>
      </c>
      <c r="D762" s="5" t="str">
        <f>IFERROR(__xludf.DUMMYFUNCTION("""COMPUTED_VALUE"""),"UnicornFruitPlayDice")</f>
        <v>UnicornFruitPlayDice</v>
      </c>
      <c r="E762" s="5" t="str">
        <f>IFERROR(__xludf.DUMMYFUNCTION("""COMPUTED_VALUE"""),"Yes")</f>
        <v>Yes</v>
      </c>
      <c r="F762" s="5" t="str">
        <f>IFERROR(__xludf.DUMMYFUNCTION("""COMPUTED_VALUE"""),"Yes")</f>
        <v>Yes</v>
      </c>
      <c r="G762" s="5" t="str">
        <f>IFERROR(__xludf.DUMMYFUNCTION("""COMPUTED_VALUE"""),"Yes")</f>
        <v>Yes</v>
      </c>
      <c r="H762" s="5" t="str">
        <f>IFERROR(__xludf.DUMMYFUNCTION("""COMPUTED_VALUE"""),"Yes")</f>
        <v>Yes</v>
      </c>
      <c r="I762" s="5" t="str">
        <f>IFERROR(__xludf.DUMMYFUNCTION("""COMPUTED_VALUE"""),"Yes")</f>
        <v>Yes</v>
      </c>
      <c r="J762" s="5" t="str">
        <f>IFERROR(__xludf.DUMMYFUNCTION("""COMPUTED_VALUE"""),"Yes")</f>
        <v>Yes</v>
      </c>
      <c r="K762" s="5" t="str">
        <f>IFERROR(__xludf.DUMMYFUNCTION("""COMPUTED_VALUE"""),"Yes")</f>
        <v>Yes</v>
      </c>
      <c r="L762" s="5" t="str">
        <f>IFERROR(__xludf.DUMMYFUNCTION("""COMPUTED_VALUE"""),"Yes")</f>
        <v>Yes</v>
      </c>
      <c r="M762" s="5" t="str">
        <f>IFERROR(__xludf.DUMMYFUNCTION("""COMPUTED_VALUE"""),"Yes")</f>
        <v>Yes</v>
      </c>
      <c r="N762" s="5" t="str">
        <f>IFERROR(__xludf.DUMMYFUNCTION("""COMPUTED_VALUE"""),"Yes")</f>
        <v>Yes</v>
      </c>
      <c r="O762" s="5" t="str">
        <f>IFERROR(__xludf.DUMMYFUNCTION("""COMPUTED_VALUE"""),"Yes")</f>
        <v>Yes</v>
      </c>
      <c r="P762" s="5" t="str">
        <f>IFERROR(__xludf.DUMMYFUNCTION("""COMPUTED_VALUE"""),"Yes")</f>
        <v>Yes</v>
      </c>
      <c r="Q762" s="5" t="str">
        <f>IFERROR(__xludf.DUMMYFUNCTION("""COMPUTED_VALUE"""),"Yes")</f>
        <v>Yes</v>
      </c>
      <c r="R762" s="5" t="str">
        <f>IFERROR(__xludf.DUMMYFUNCTION("""COMPUTED_VALUE"""),"Yes")</f>
        <v>Yes</v>
      </c>
      <c r="S762" s="5" t="str">
        <f>IFERROR(__xludf.DUMMYFUNCTION("""COMPUTED_VALUE"""),"Yes")</f>
        <v>Yes</v>
      </c>
      <c r="T762" s="5" t="str">
        <f>IFERROR(__xludf.DUMMYFUNCTION("""COMPUTED_VALUE"""),"Yes")</f>
        <v>Yes</v>
      </c>
      <c r="U762" s="5" t="str">
        <f>IFERROR(__xludf.DUMMYFUNCTION("""COMPUTED_VALUE"""),"Yes")</f>
        <v>Yes</v>
      </c>
      <c r="V762" s="5" t="str">
        <f>IFERROR(__xludf.DUMMYFUNCTION("""COMPUTED_VALUE"""),"Yes")</f>
        <v>Yes</v>
      </c>
      <c r="W762" s="5" t="str">
        <f>IFERROR(__xludf.DUMMYFUNCTION("""COMPUTED_VALUE"""),"Yes")</f>
        <v>Yes</v>
      </c>
      <c r="X762" s="5" t="str">
        <f>IFERROR(__xludf.DUMMYFUNCTION("""COMPUTED_VALUE"""),"Yes")</f>
        <v>Yes</v>
      </c>
      <c r="Y762" s="5" t="str">
        <f>IFERROR(__xludf.DUMMYFUNCTION("""COMPUTED_VALUE"""),"Yes")</f>
        <v>Yes</v>
      </c>
      <c r="Z762" s="5" t="str">
        <f>IFERROR(__xludf.DUMMYFUNCTION("""COMPUTED_VALUE"""),"Yes")</f>
        <v>Yes</v>
      </c>
      <c r="AA762" s="5" t="str">
        <f>IFERROR(__xludf.DUMMYFUNCTION("""COMPUTED_VALUE"""),"Yes")</f>
        <v>Yes</v>
      </c>
      <c r="AB762" s="5" t="str">
        <f>IFERROR(__xludf.DUMMYFUNCTION("""COMPUTED_VALUE"""),"Yes")</f>
        <v>Yes</v>
      </c>
      <c r="AC762" s="5" t="str">
        <f>IFERROR(__xludf.DUMMYFUNCTION("""COMPUTED_VALUE"""),"Yes")</f>
        <v>Yes</v>
      </c>
      <c r="AD762" s="5" t="str">
        <f>IFERROR(__xludf.DUMMYFUNCTION("""COMPUTED_VALUE"""),"Yes")</f>
        <v>Yes</v>
      </c>
      <c r="AE762" s="5" t="str">
        <f>IFERROR(__xludf.DUMMYFUNCTION("""COMPUTED_VALUE"""),"Yes")</f>
        <v>Yes</v>
      </c>
      <c r="AF762" s="5" t="str">
        <f>IFERROR(__xludf.DUMMYFUNCTION("""COMPUTED_VALUE"""),"Yes")</f>
        <v>Yes</v>
      </c>
      <c r="AG762" s="5" t="str">
        <f>IFERROR(__xludf.DUMMYFUNCTION("""COMPUTED_VALUE"""),"Yes")</f>
        <v>Yes</v>
      </c>
      <c r="AH762" s="5" t="str">
        <f>IFERROR(__xludf.DUMMYFUNCTION("""COMPUTED_VALUE"""),"Yes")</f>
        <v>Yes</v>
      </c>
      <c r="AI762" s="5" t="str">
        <f>IFERROR(__xludf.DUMMYFUNCTION("""COMPUTED_VALUE"""),"No")</f>
        <v>No</v>
      </c>
      <c r="AJ762" s="5" t="str">
        <f>IFERROR(__xludf.DUMMYFUNCTION("""COMPUTED_VALUE"""),"No")</f>
        <v>No</v>
      </c>
      <c r="AK762" s="5" t="str">
        <f>IFERROR(__xludf.DUMMYFUNCTION("""COMPUTED_VALUE"""),"No")</f>
        <v>No</v>
      </c>
      <c r="AL762" s="5" t="str">
        <f>IFERROR(__xludf.DUMMYFUNCTION("""COMPUTED_VALUE"""),"No")</f>
        <v>No</v>
      </c>
      <c r="AM762" s="5"/>
      <c r="AN762" s="5"/>
      <c r="AO762" s="5"/>
      <c r="AP762" s="5"/>
      <c r="AQ762" s="5"/>
      <c r="AR762" s="5"/>
      <c r="AS762" s="5"/>
      <c r="AT762" s="5"/>
      <c r="AU762" s="5"/>
      <c r="AV762" s="5"/>
      <c r="AW762" s="5"/>
      <c r="AX762" s="5"/>
      <c r="AY762" s="5"/>
    </row>
    <row r="763">
      <c r="A763" s="5" t="str">
        <f>IFERROR(__xludf.DUMMYFUNCTION("""COMPUTED_VALUE"""),"English(""eng"")")</f>
        <v>English("eng")</v>
      </c>
      <c r="B763" s="5">
        <f>IFERROR(__xludf.DUMMYFUNCTION("""COMPUTED_VALUE"""),800.0)</f>
        <v>800</v>
      </c>
      <c r="C763" s="5">
        <f>IFERROR(__xludf.DUMMYFUNCTION("""COMPUTED_VALUE"""),4000024.0)</f>
        <v>4000024</v>
      </c>
      <c r="D763" s="5" t="str">
        <f>IFERROR(__xludf.DUMMYFUNCTION("""COMPUTED_VALUE"""),"UnicornSpinTheSevens")</f>
        <v>UnicornSpinTheSevens</v>
      </c>
      <c r="E763" s="5" t="str">
        <f>IFERROR(__xludf.DUMMYFUNCTION("""COMPUTED_VALUE"""),"Yes")</f>
        <v>Yes</v>
      </c>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row>
    <row r="764">
      <c r="A764" s="5" t="str">
        <f>IFERROR(__xludf.DUMMYFUNCTION("""COMPUTED_VALUE"""),"English(""eng"")")</f>
        <v>English("eng")</v>
      </c>
      <c r="B764" s="5">
        <f>IFERROR(__xludf.DUMMYFUNCTION("""COMPUTED_VALUE"""),801.0)</f>
        <v>801</v>
      </c>
      <c r="C764" s="5">
        <f>IFERROR(__xludf.DUMMYFUNCTION("""COMPUTED_VALUE"""),4000025.0)</f>
        <v>4000025</v>
      </c>
      <c r="D764" s="5" t="str">
        <f>IFERROR(__xludf.DUMMYFUNCTION("""COMPUTED_VALUE"""),"UnicornCrazyWildSevens")</f>
        <v>UnicornCrazyWildSevens</v>
      </c>
      <c r="E764" s="5" t="str">
        <f>IFERROR(__xludf.DUMMYFUNCTION("""COMPUTED_VALUE"""),"Yes")</f>
        <v>Yes</v>
      </c>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row>
    <row r="765">
      <c r="A765" s="5" t="str">
        <f>IFERROR(__xludf.DUMMYFUNCTION("""COMPUTED_VALUE"""),"English(""eng"")")</f>
        <v>English("eng")</v>
      </c>
      <c r="B765" s="5">
        <f>IFERROR(__xludf.DUMMYFUNCTION("""COMPUTED_VALUE"""),802.0)</f>
        <v>802</v>
      </c>
      <c r="C765" s="5">
        <f>IFERROR(__xludf.DUMMYFUNCTION("""COMPUTED_VALUE"""),4000026.0)</f>
        <v>4000026</v>
      </c>
      <c r="D765" s="5" t="str">
        <f>IFERROR(__xludf.DUMMYFUNCTION("""COMPUTED_VALUE"""),"UnicornSunOfTheNile")</f>
        <v>UnicornSunOfTheNile</v>
      </c>
      <c r="E765" s="5" t="str">
        <f>IFERROR(__xludf.DUMMYFUNCTION("""COMPUTED_VALUE"""),"Yes")</f>
        <v>Yes</v>
      </c>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row>
    <row r="766">
      <c r="A766" s="5" t="str">
        <f>IFERROR(__xludf.DUMMYFUNCTION("""COMPUTED_VALUE"""),"English(""eng"")")</f>
        <v>English("eng")</v>
      </c>
      <c r="B766" s="5">
        <f>IFERROR(__xludf.DUMMYFUNCTION("""COMPUTED_VALUE"""),803.0)</f>
        <v>803</v>
      </c>
      <c r="C766" s="5">
        <f>IFERROR(__xludf.DUMMYFUNCTION("""COMPUTED_VALUE"""),4000027.0)</f>
        <v>4000027</v>
      </c>
      <c r="D766" s="5" t="str">
        <f>IFERROR(__xludf.DUMMYFUNCTION("""COMPUTED_VALUE"""),"UnicornDazzleFireballs")</f>
        <v>UnicornDazzleFireballs</v>
      </c>
      <c r="E766" s="5" t="str">
        <f>IFERROR(__xludf.DUMMYFUNCTION("""COMPUTED_VALUE"""),"Yes")</f>
        <v>Yes</v>
      </c>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row>
    <row r="767">
      <c r="A767" s="5" t="str">
        <f>IFERROR(__xludf.DUMMYFUNCTION("""COMPUTED_VALUE"""),"English(""eng"")")</f>
        <v>English("eng")</v>
      </c>
      <c r="B767" s="5">
        <f>IFERROR(__xludf.DUMMYFUNCTION("""COMPUTED_VALUE"""),804.0)</f>
        <v>804</v>
      </c>
      <c r="C767" s="5">
        <f>IFERROR(__xludf.DUMMYFUNCTION("""COMPUTED_VALUE"""),4000028.0)</f>
        <v>4000028</v>
      </c>
      <c r="D767" s="5" t="str">
        <f>IFERROR(__xludf.DUMMYFUNCTION("""COMPUTED_VALUE"""),"UnicornSevensPayDice")</f>
        <v>UnicornSevensPayDice</v>
      </c>
      <c r="E767" s="5" t="str">
        <f>IFERROR(__xludf.DUMMYFUNCTION("""COMPUTED_VALUE"""),"Yes")</f>
        <v>Yes</v>
      </c>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row>
    <row r="768">
      <c r="A768" s="5" t="str">
        <f>IFERROR(__xludf.DUMMYFUNCTION("""COMPUTED_VALUE"""),"")</f>
        <v/>
      </c>
      <c r="B768" s="5">
        <f>IFERROR(__xludf.DUMMYFUNCTION("""COMPUTED_VALUE"""),805.0)</f>
        <v>805</v>
      </c>
      <c r="C768" s="5">
        <f>IFERROR(__xludf.DUMMYFUNCTION("""COMPUTED_VALUE"""),4000023.0)</f>
        <v>4000023</v>
      </c>
      <c r="D768" s="5" t="str">
        <f>IFERROR(__xludf.DUMMYFUNCTION("""COMPUTED_VALUE"""),"UnicornFruituristicSevens")</f>
        <v>UnicornFruituristicSevens</v>
      </c>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row>
    <row r="769">
      <c r="A769" s="5" t="str">
        <f>IFERROR(__xludf.DUMMYFUNCTION("""COMPUTED_VALUE"""),"English(""eng"")")</f>
        <v>English("eng")</v>
      </c>
      <c r="B769" s="5">
        <f>IFERROR(__xludf.DUMMYFUNCTION("""COMPUTED_VALUE"""),806.0)</f>
        <v>806</v>
      </c>
      <c r="C769" s="5">
        <f>IFERROR(__xludf.DUMMYFUNCTION("""COMPUTED_VALUE"""),4000029.0)</f>
        <v>4000029</v>
      </c>
      <c r="D769" s="5" t="str">
        <f>IFERROR(__xludf.DUMMYFUNCTION("""COMPUTED_VALUE"""),"UnicornThreeReelFortuneWilds")</f>
        <v>UnicornThreeReelFortuneWilds</v>
      </c>
      <c r="E769" s="5" t="str">
        <f>IFERROR(__xludf.DUMMYFUNCTION("""COMPUTED_VALUE"""),"Yes")</f>
        <v>Yes</v>
      </c>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row>
    <row r="770">
      <c r="A770" s="5" t="str">
        <f>IFERROR(__xludf.DUMMYFUNCTION("""COMPUTED_VALUE"""),"English(""eng"")")</f>
        <v>English("eng")</v>
      </c>
      <c r="B770" s="5">
        <f>IFERROR(__xludf.DUMMYFUNCTION("""COMPUTED_VALUE"""),807.0)</f>
        <v>807</v>
      </c>
      <c r="C770" s="5">
        <f>IFERROR(__xludf.DUMMYFUNCTION("""COMPUTED_VALUE"""),4000030.0)</f>
        <v>4000030</v>
      </c>
      <c r="D770" s="5" t="str">
        <f>IFERROR(__xludf.DUMMYFUNCTION("""COMPUTED_VALUE"""),"UnicornSuperFireballs")</f>
        <v>UnicornSuperFireballs</v>
      </c>
      <c r="E770" s="5" t="str">
        <f>IFERROR(__xludf.DUMMYFUNCTION("""COMPUTED_VALUE"""),"Yes")</f>
        <v>Yes</v>
      </c>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row>
    <row r="771">
      <c r="A771" s="5" t="str">
        <f>IFERROR(__xludf.DUMMYFUNCTION("""COMPUTED_VALUE"""),"English(""eng"")")</f>
        <v>English("eng")</v>
      </c>
      <c r="B771" s="5">
        <f>IFERROR(__xludf.DUMMYFUNCTION("""COMPUTED_VALUE"""),808.0)</f>
        <v>808</v>
      </c>
      <c r="C771" s="5">
        <f>IFERROR(__xludf.DUMMYFUNCTION("""COMPUTED_VALUE"""),4000031.0)</f>
        <v>4000031</v>
      </c>
      <c r="D771" s="5" t="str">
        <f>IFERROR(__xludf.DUMMYFUNCTION("""COMPUTED_VALUE"""),"UnicornLionsDiceExtreme")</f>
        <v>UnicornLionsDiceExtreme</v>
      </c>
      <c r="E771" s="5" t="str">
        <f>IFERROR(__xludf.DUMMYFUNCTION("""COMPUTED_VALUE"""),"Yes")</f>
        <v>Yes</v>
      </c>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row>
    <row r="772">
      <c r="A772" s="5" t="str">
        <f>IFERROR(__xludf.DUMMYFUNCTION("""COMPUTED_VALUE"""),"")</f>
        <v/>
      </c>
      <c r="B772" s="5">
        <f>IFERROR(__xludf.DUMMYFUNCTION("""COMPUTED_VALUE"""),809.0)</f>
        <v>809</v>
      </c>
      <c r="C772" s="5">
        <f>IFERROR(__xludf.DUMMYFUNCTION("""COMPUTED_VALUE"""),4000032.0)</f>
        <v>4000032</v>
      </c>
      <c r="D772" s="5" t="str">
        <f>IFERROR(__xludf.DUMMYFUNCTION("""COMPUTED_VALUE"""),"UnicornLuckyPayReels")</f>
        <v>UnicornLuckyPayReels</v>
      </c>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row>
    <row r="773">
      <c r="A773" s="5" t="str">
        <f>IFERROR(__xludf.DUMMYFUNCTION("""COMPUTED_VALUE"""),"")</f>
        <v/>
      </c>
      <c r="B773" s="5">
        <f>IFERROR(__xludf.DUMMYFUNCTION("""COMPUTED_VALUE"""),810.0)</f>
        <v>810</v>
      </c>
      <c r="C773" s="5">
        <f>IFERROR(__xludf.DUMMYFUNCTION("""COMPUTED_VALUE"""),4000033.0)</f>
        <v>4000033</v>
      </c>
      <c r="D773" s="5" t="str">
        <f>IFERROR(__xludf.DUMMYFUNCTION("""COMPUTED_VALUE"""),"UnicornStackWildAttack")</f>
        <v>UnicornStackWildAttack</v>
      </c>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row>
    <row r="774">
      <c r="A774" s="5" t="str">
        <f>IFERROR(__xludf.DUMMYFUNCTION("""COMPUTED_VALUE"""),"English(""eng"")")</f>
        <v>English("eng")</v>
      </c>
      <c r="B774" s="5">
        <f>IFERROR(__xludf.DUMMYFUNCTION("""COMPUTED_VALUE"""),811.0)</f>
        <v>811</v>
      </c>
      <c r="C774" s="5">
        <f>IFERROR(__xludf.DUMMYFUNCTION("""COMPUTED_VALUE"""),4000034.0)</f>
        <v>4000034</v>
      </c>
      <c r="D774" s="5" t="str">
        <f>IFERROR(__xludf.DUMMYFUNCTION("""COMPUTED_VALUE"""),"UnicornForeverFruit")</f>
        <v>UnicornForeverFruit</v>
      </c>
      <c r="E774" s="5" t="str">
        <f>IFERROR(__xludf.DUMMYFUNCTION("""COMPUTED_VALUE"""),"Yes")</f>
        <v>Yes</v>
      </c>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row>
    <row r="775">
      <c r="A775" s="5"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B775" s="5">
        <f>IFERROR(__xludf.DUMMYFUNCTION("""COMPUTED_VALUE"""),812.0)</f>
        <v>812</v>
      </c>
      <c r="C775" s="5">
        <f>IFERROR(__xludf.DUMMYFUNCTION("""COMPUTED_VALUE"""),5000002.0)</f>
        <v>5000002</v>
      </c>
      <c r="D775" s="5" t="str">
        <f>IFERROR(__xludf.DUMMYFUNCTION("""COMPUTED_VALUE"""),"SokoDoubleHotChili")</f>
        <v>SokoDoubleHotChili</v>
      </c>
      <c r="E775" s="5" t="str">
        <f>IFERROR(__xludf.DUMMYFUNCTION("""COMPUTED_VALUE"""),"Yes")</f>
        <v>Yes</v>
      </c>
      <c r="F775" s="5" t="str">
        <f>IFERROR(__xludf.DUMMYFUNCTION("""COMPUTED_VALUE"""),"Yes")</f>
        <v>Yes</v>
      </c>
      <c r="G775" s="5" t="str">
        <f>IFERROR(__xludf.DUMMYFUNCTION("""COMPUTED_VALUE"""),"Yes")</f>
        <v>Yes</v>
      </c>
      <c r="H775" s="5" t="str">
        <f>IFERROR(__xludf.DUMMYFUNCTION("""COMPUTED_VALUE"""),"Yes")</f>
        <v>Yes</v>
      </c>
      <c r="I775" s="5" t="str">
        <f>IFERROR(__xludf.DUMMYFUNCTION("""COMPUTED_VALUE"""),"Yes")</f>
        <v>Yes</v>
      </c>
      <c r="J775" s="5" t="str">
        <f>IFERROR(__xludf.DUMMYFUNCTION("""COMPUTED_VALUE"""),"Yes")</f>
        <v>Yes</v>
      </c>
      <c r="K775" s="5" t="str">
        <f>IFERROR(__xludf.DUMMYFUNCTION("""COMPUTED_VALUE"""),"Yes")</f>
        <v>Yes</v>
      </c>
      <c r="L775" s="5" t="str">
        <f>IFERROR(__xludf.DUMMYFUNCTION("""COMPUTED_VALUE"""),"Yes")</f>
        <v>Yes</v>
      </c>
      <c r="M775" s="5" t="str">
        <f>IFERROR(__xludf.DUMMYFUNCTION("""COMPUTED_VALUE"""),"Yes")</f>
        <v>Yes</v>
      </c>
      <c r="N775" s="5" t="str">
        <f>IFERROR(__xludf.DUMMYFUNCTION("""COMPUTED_VALUE"""),"Yes")</f>
        <v>Yes</v>
      </c>
      <c r="O775" s="5" t="str">
        <f>IFERROR(__xludf.DUMMYFUNCTION("""COMPUTED_VALUE"""),"Yes")</f>
        <v>Yes</v>
      </c>
      <c r="P775" s="5" t="str">
        <f>IFERROR(__xludf.DUMMYFUNCTION("""COMPUTED_VALUE"""),"Yes")</f>
        <v>Yes</v>
      </c>
      <c r="Q775" s="5" t="str">
        <f>IFERROR(__xludf.DUMMYFUNCTION("""COMPUTED_VALUE"""),"Yes")</f>
        <v>Yes</v>
      </c>
      <c r="R775" s="5" t="str">
        <f>IFERROR(__xludf.DUMMYFUNCTION("""COMPUTED_VALUE"""),"No")</f>
        <v>No</v>
      </c>
      <c r="S775" s="5" t="str">
        <f>IFERROR(__xludf.DUMMYFUNCTION("""COMPUTED_VALUE"""),"Yes")</f>
        <v>Yes</v>
      </c>
      <c r="T775" s="5" t="str">
        <f>IFERROR(__xludf.DUMMYFUNCTION("""COMPUTED_VALUE"""),"No")</f>
        <v>No</v>
      </c>
      <c r="U775" s="5" t="str">
        <f>IFERROR(__xludf.DUMMYFUNCTION("""COMPUTED_VALUE"""),"No")</f>
        <v>No</v>
      </c>
      <c r="V775" s="5" t="str">
        <f>IFERROR(__xludf.DUMMYFUNCTION("""COMPUTED_VALUE"""),"No")</f>
        <v>No</v>
      </c>
      <c r="W775" s="5" t="str">
        <f>IFERROR(__xludf.DUMMYFUNCTION("""COMPUTED_VALUE"""),"No")</f>
        <v>No</v>
      </c>
      <c r="X775" s="5" t="str">
        <f>IFERROR(__xludf.DUMMYFUNCTION("""COMPUTED_VALUE"""),"No")</f>
        <v>No</v>
      </c>
      <c r="Y775" s="5" t="str">
        <f>IFERROR(__xludf.DUMMYFUNCTION("""COMPUTED_VALUE"""),"No")</f>
        <v>No</v>
      </c>
      <c r="Z775" s="5" t="str">
        <f>IFERROR(__xludf.DUMMYFUNCTION("""COMPUTED_VALUE"""),"No")</f>
        <v>No</v>
      </c>
      <c r="AA775" s="5" t="str">
        <f>IFERROR(__xludf.DUMMYFUNCTION("""COMPUTED_VALUE"""),"No")</f>
        <v>No</v>
      </c>
      <c r="AB775" s="5" t="str">
        <f>IFERROR(__xludf.DUMMYFUNCTION("""COMPUTED_VALUE"""),"Yes")</f>
        <v>Yes</v>
      </c>
      <c r="AC775" s="5" t="str">
        <f>IFERROR(__xludf.DUMMYFUNCTION("""COMPUTED_VALUE"""),"No")</f>
        <v>No</v>
      </c>
      <c r="AD775" s="5" t="str">
        <f>IFERROR(__xludf.DUMMYFUNCTION("""COMPUTED_VALUE"""),"No")</f>
        <v>No</v>
      </c>
      <c r="AE775" s="5" t="str">
        <f>IFERROR(__xludf.DUMMYFUNCTION("""COMPUTED_VALUE"""),"No")</f>
        <v>No</v>
      </c>
      <c r="AF775" s="5" t="str">
        <f>IFERROR(__xludf.DUMMYFUNCTION("""COMPUTED_VALUE"""),"No")</f>
        <v>No</v>
      </c>
      <c r="AG775" s="5" t="str">
        <f>IFERROR(__xludf.DUMMYFUNCTION("""COMPUTED_VALUE"""),"No")</f>
        <v>No</v>
      </c>
      <c r="AH775" s="5" t="str">
        <f>IFERROR(__xludf.DUMMYFUNCTION("""COMPUTED_VALUE"""),"No")</f>
        <v>No</v>
      </c>
      <c r="AI775" s="5" t="str">
        <f>IFERROR(__xludf.DUMMYFUNCTION("""COMPUTED_VALUE"""),"No")</f>
        <v>No</v>
      </c>
      <c r="AJ775" s="5" t="str">
        <f>IFERROR(__xludf.DUMMYFUNCTION("""COMPUTED_VALUE"""),"No")</f>
        <v>No</v>
      </c>
      <c r="AK775" s="5" t="str">
        <f>IFERROR(__xludf.DUMMYFUNCTION("""COMPUTED_VALUE"""),"No")</f>
        <v>No</v>
      </c>
      <c r="AL775" s="5" t="str">
        <f>IFERROR(__xludf.DUMMYFUNCTION("""COMPUTED_VALUE"""),"No")</f>
        <v>No</v>
      </c>
      <c r="AM775" s="5"/>
      <c r="AN775" s="5"/>
      <c r="AO775" s="5"/>
      <c r="AP775" s="5"/>
      <c r="AQ775" s="5"/>
      <c r="AR775" s="5"/>
      <c r="AS775" s="5"/>
      <c r="AT775" s="5"/>
      <c r="AU775" s="5"/>
      <c r="AV775" s="5"/>
      <c r="AW775" s="5"/>
      <c r="AX775" s="5"/>
      <c r="AY775" s="5"/>
    </row>
    <row r="776">
      <c r="A776" s="5" t="str">
        <f>IFERROR(__xludf.DUMMYFUNCTION("""COMPUTED_VALUE"""),"")</f>
        <v/>
      </c>
      <c r="B776" s="5">
        <f>IFERROR(__xludf.DUMMYFUNCTION("""COMPUTED_VALUE"""),813.0)</f>
        <v>813</v>
      </c>
      <c r="C776" s="5">
        <f>IFERROR(__xludf.DUMMYFUNCTION("""COMPUTED_VALUE"""),5000003.0)</f>
        <v>5000003</v>
      </c>
      <c r="D776" s="5" t="str">
        <f>IFERROR(__xludf.DUMMYFUNCTION("""COMPUTED_VALUE"""),"SokoGoldenSheriffWilds")</f>
        <v>SokoGoldenSheriffWilds</v>
      </c>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row>
    <row r="777">
      <c r="A777" s="5" t="str">
        <f>IFERROR(__xludf.DUMMYFUNCTION("""COMPUTED_VALUE"""),"")</f>
        <v/>
      </c>
      <c r="B777" s="5">
        <f>IFERROR(__xludf.DUMMYFUNCTION("""COMPUTED_VALUE"""),814.0)</f>
        <v>814</v>
      </c>
      <c r="C777" s="5">
        <f>IFERROR(__xludf.DUMMYFUNCTION("""COMPUTED_VALUE"""),5000004.0)</f>
        <v>5000004</v>
      </c>
      <c r="D777" s="5" t="str">
        <f>IFERROR(__xludf.DUMMYFUNCTION("""COMPUTED_VALUE"""),"SokoLuckyCrown5")</f>
        <v>SokoLuckyCrown5</v>
      </c>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row>
    <row r="778">
      <c r="A778" s="5" t="str">
        <f>IFERROR(__xludf.DUMMYFUNCTION("""COMPUTED_VALUE"""),"")</f>
        <v/>
      </c>
      <c r="B778" s="5">
        <f>IFERROR(__xludf.DUMMYFUNCTION("""COMPUTED_VALUE"""),815.0)</f>
        <v>815</v>
      </c>
      <c r="C778" s="5">
        <f>IFERROR(__xludf.DUMMYFUNCTION("""COMPUTED_VALUE"""),5000005.0)</f>
        <v>5000005</v>
      </c>
      <c r="D778" s="5" t="str">
        <f>IFERROR(__xludf.DUMMYFUNCTION("""COMPUTED_VALUE"""),"SokoRoyalJewelsFortuneDeluxe")</f>
        <v>SokoRoyalJewelsFortuneDeluxe</v>
      </c>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row>
    <row r="779">
      <c r="A779"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79" s="5">
        <f>IFERROR(__xludf.DUMMYFUNCTION("""COMPUTED_VALUE"""),816.0)</f>
        <v>816</v>
      </c>
      <c r="C779" s="5">
        <f>IFERROR(__xludf.DUMMYFUNCTION("""COMPUTED_VALUE"""),5000007.0)</f>
        <v>5000007</v>
      </c>
      <c r="D779" s="5" t="str">
        <f>IFERROR(__xludf.DUMMYFUNCTION("""COMPUTED_VALUE"""),"SokoTripleHotChili")</f>
        <v>SokoTripleHotChili</v>
      </c>
      <c r="E779" s="5" t="str">
        <f>IFERROR(__xludf.DUMMYFUNCTION("""COMPUTED_VALUE"""),"Yes")</f>
        <v>Yes</v>
      </c>
      <c r="F779" s="5" t="str">
        <f>IFERROR(__xludf.DUMMYFUNCTION("""COMPUTED_VALUE"""),"Yes")</f>
        <v>Yes</v>
      </c>
      <c r="G779" s="5" t="str">
        <f>IFERROR(__xludf.DUMMYFUNCTION("""COMPUTED_VALUE"""),"Yes")</f>
        <v>Yes</v>
      </c>
      <c r="H779" s="5" t="str">
        <f>IFERROR(__xludf.DUMMYFUNCTION("""COMPUTED_VALUE"""),"Yes")</f>
        <v>Yes</v>
      </c>
      <c r="I779" s="5" t="str">
        <f>IFERROR(__xludf.DUMMYFUNCTION("""COMPUTED_VALUE"""),"Yes")</f>
        <v>Yes</v>
      </c>
      <c r="J779" s="5" t="str">
        <f>IFERROR(__xludf.DUMMYFUNCTION("""COMPUTED_VALUE"""),"Yes")</f>
        <v>Yes</v>
      </c>
      <c r="K779" s="5" t="str">
        <f>IFERROR(__xludf.DUMMYFUNCTION("""COMPUTED_VALUE"""),"Yes")</f>
        <v>Yes</v>
      </c>
      <c r="L779" s="5" t="str">
        <f>IFERROR(__xludf.DUMMYFUNCTION("""COMPUTED_VALUE"""),"Yes")</f>
        <v>Yes</v>
      </c>
      <c r="M779" s="5" t="str">
        <f>IFERROR(__xludf.DUMMYFUNCTION("""COMPUTED_VALUE"""),"Yes")</f>
        <v>Yes</v>
      </c>
      <c r="N779" s="5" t="str">
        <f>IFERROR(__xludf.DUMMYFUNCTION("""COMPUTED_VALUE"""),"Yes")</f>
        <v>Yes</v>
      </c>
      <c r="O779" s="5" t="str">
        <f>IFERROR(__xludf.DUMMYFUNCTION("""COMPUTED_VALUE"""),"Yes")</f>
        <v>Yes</v>
      </c>
      <c r="P779" s="5" t="str">
        <f>IFERROR(__xludf.DUMMYFUNCTION("""COMPUTED_VALUE"""),"Yes")</f>
        <v>Yes</v>
      </c>
      <c r="Q779" s="5" t="str">
        <f>IFERROR(__xludf.DUMMYFUNCTION("""COMPUTED_VALUE"""),"Yes")</f>
        <v>Yes</v>
      </c>
      <c r="R779" s="5" t="str">
        <f>IFERROR(__xludf.DUMMYFUNCTION("""COMPUTED_VALUE"""),"Yes")</f>
        <v>Yes</v>
      </c>
      <c r="S779" s="5" t="str">
        <f>IFERROR(__xludf.DUMMYFUNCTION("""COMPUTED_VALUE"""),"Yes")</f>
        <v>Yes</v>
      </c>
      <c r="T779" s="5" t="str">
        <f>IFERROR(__xludf.DUMMYFUNCTION("""COMPUTED_VALUE"""),"Yes")</f>
        <v>Yes</v>
      </c>
      <c r="U779" s="5" t="str">
        <f>IFERROR(__xludf.DUMMYFUNCTION("""COMPUTED_VALUE"""),"Yes")</f>
        <v>Yes</v>
      </c>
      <c r="V779" s="5" t="str">
        <f>IFERROR(__xludf.DUMMYFUNCTION("""COMPUTED_VALUE"""),"No")</f>
        <v>No</v>
      </c>
      <c r="W779" s="5" t="str">
        <f>IFERROR(__xludf.DUMMYFUNCTION("""COMPUTED_VALUE"""),"No")</f>
        <v>No</v>
      </c>
      <c r="X779" s="5" t="str">
        <f>IFERROR(__xludf.DUMMYFUNCTION("""COMPUTED_VALUE"""),"No")</f>
        <v>No</v>
      </c>
      <c r="Y779" s="5" t="str">
        <f>IFERROR(__xludf.DUMMYFUNCTION("""COMPUTED_VALUE"""),"No")</f>
        <v>No</v>
      </c>
      <c r="Z779" s="5" t="str">
        <f>IFERROR(__xludf.DUMMYFUNCTION("""COMPUTED_VALUE"""),"No")</f>
        <v>No</v>
      </c>
      <c r="AA779" s="5" t="str">
        <f>IFERROR(__xludf.DUMMYFUNCTION("""COMPUTED_VALUE"""),"No")</f>
        <v>No</v>
      </c>
      <c r="AB779" s="5" t="str">
        <f>IFERROR(__xludf.DUMMYFUNCTION("""COMPUTED_VALUE"""),"Yes")</f>
        <v>Yes</v>
      </c>
      <c r="AC779" s="5" t="str">
        <f>IFERROR(__xludf.DUMMYFUNCTION("""COMPUTED_VALUE"""),"No")</f>
        <v>No</v>
      </c>
      <c r="AD779" s="5" t="str">
        <f>IFERROR(__xludf.DUMMYFUNCTION("""COMPUTED_VALUE"""),"No")</f>
        <v>No</v>
      </c>
      <c r="AE779" s="5" t="str">
        <f>IFERROR(__xludf.DUMMYFUNCTION("""COMPUTED_VALUE"""),"No")</f>
        <v>No</v>
      </c>
      <c r="AF779" s="5" t="str">
        <f>IFERROR(__xludf.DUMMYFUNCTION("""COMPUTED_VALUE"""),"No")</f>
        <v>No</v>
      </c>
      <c r="AG779" s="5" t="str">
        <f>IFERROR(__xludf.DUMMYFUNCTION("""COMPUTED_VALUE"""),"No")</f>
        <v>No</v>
      </c>
      <c r="AH779" s="5" t="str">
        <f>IFERROR(__xludf.DUMMYFUNCTION("""COMPUTED_VALUE"""),"No")</f>
        <v>No</v>
      </c>
      <c r="AI779" s="5" t="str">
        <f>IFERROR(__xludf.DUMMYFUNCTION("""COMPUTED_VALUE"""),"No")</f>
        <v>No</v>
      </c>
      <c r="AJ779" s="5" t="str">
        <f>IFERROR(__xludf.DUMMYFUNCTION("""COMPUTED_VALUE"""),"No")</f>
        <v>No</v>
      </c>
      <c r="AK779" s="5" t="str">
        <f>IFERROR(__xludf.DUMMYFUNCTION("""COMPUTED_VALUE"""),"No")</f>
        <v>No</v>
      </c>
      <c r="AL779" s="5" t="str">
        <f>IFERROR(__xludf.DUMMYFUNCTION("""COMPUTED_VALUE"""),"No")</f>
        <v>No</v>
      </c>
      <c r="AM779" s="5"/>
      <c r="AN779" s="5"/>
      <c r="AO779" s="5"/>
      <c r="AP779" s="5"/>
      <c r="AQ779" s="5"/>
      <c r="AR779" s="5"/>
      <c r="AS779" s="5"/>
      <c r="AT779" s="5"/>
      <c r="AU779" s="5"/>
      <c r="AV779" s="5"/>
      <c r="AW779" s="5"/>
      <c r="AX779" s="5"/>
      <c r="AY779" s="5"/>
    </row>
    <row r="780">
      <c r="A780"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80" s="5">
        <f>IFERROR(__xludf.DUMMYFUNCTION("""COMPUTED_VALUE"""),817.0)</f>
        <v>817</v>
      </c>
      <c r="C780" s="5">
        <f>IFERROR(__xludf.DUMMYFUNCTION("""COMPUTED_VALUE"""),5000008.0)</f>
        <v>5000008</v>
      </c>
      <c r="D780" s="5" t="str">
        <f>IFERROR(__xludf.DUMMYFUNCTION("""COMPUTED_VALUE"""),"SokoWildChiliFiesta")</f>
        <v>SokoWildChiliFiesta</v>
      </c>
      <c r="E780" s="5" t="str">
        <f>IFERROR(__xludf.DUMMYFUNCTION("""COMPUTED_VALUE"""),"Yes")</f>
        <v>Yes</v>
      </c>
      <c r="F780" s="5" t="str">
        <f>IFERROR(__xludf.DUMMYFUNCTION("""COMPUTED_VALUE"""),"Yes")</f>
        <v>Yes</v>
      </c>
      <c r="G780" s="5" t="str">
        <f>IFERROR(__xludf.DUMMYFUNCTION("""COMPUTED_VALUE"""),"Yes")</f>
        <v>Yes</v>
      </c>
      <c r="H780" s="5" t="str">
        <f>IFERROR(__xludf.DUMMYFUNCTION("""COMPUTED_VALUE"""),"Yes")</f>
        <v>Yes</v>
      </c>
      <c r="I780" s="5" t="str">
        <f>IFERROR(__xludf.DUMMYFUNCTION("""COMPUTED_VALUE"""),"Yes")</f>
        <v>Yes</v>
      </c>
      <c r="J780" s="5" t="str">
        <f>IFERROR(__xludf.DUMMYFUNCTION("""COMPUTED_VALUE"""),"Yes")</f>
        <v>Yes</v>
      </c>
      <c r="K780" s="5" t="str">
        <f>IFERROR(__xludf.DUMMYFUNCTION("""COMPUTED_VALUE"""),"Yes")</f>
        <v>Yes</v>
      </c>
      <c r="L780" s="5" t="str">
        <f>IFERROR(__xludf.DUMMYFUNCTION("""COMPUTED_VALUE"""),"Yes")</f>
        <v>Yes</v>
      </c>
      <c r="M780" s="5" t="str">
        <f>IFERROR(__xludf.DUMMYFUNCTION("""COMPUTED_VALUE"""),"Yes")</f>
        <v>Yes</v>
      </c>
      <c r="N780" s="5" t="str">
        <f>IFERROR(__xludf.DUMMYFUNCTION("""COMPUTED_VALUE"""),"Yes")</f>
        <v>Yes</v>
      </c>
      <c r="O780" s="5" t="str">
        <f>IFERROR(__xludf.DUMMYFUNCTION("""COMPUTED_VALUE"""),"Yes")</f>
        <v>Yes</v>
      </c>
      <c r="P780" s="5" t="str">
        <f>IFERROR(__xludf.DUMMYFUNCTION("""COMPUTED_VALUE"""),"Yes")</f>
        <v>Yes</v>
      </c>
      <c r="Q780" s="5" t="str">
        <f>IFERROR(__xludf.DUMMYFUNCTION("""COMPUTED_VALUE"""),"Yes")</f>
        <v>Yes</v>
      </c>
      <c r="R780" s="5" t="str">
        <f>IFERROR(__xludf.DUMMYFUNCTION("""COMPUTED_VALUE"""),"Yes")</f>
        <v>Yes</v>
      </c>
      <c r="S780" s="5" t="str">
        <f>IFERROR(__xludf.DUMMYFUNCTION("""COMPUTED_VALUE"""),"Yes")</f>
        <v>Yes</v>
      </c>
      <c r="T780" s="5" t="str">
        <f>IFERROR(__xludf.DUMMYFUNCTION("""COMPUTED_VALUE"""),"Yes")</f>
        <v>Yes</v>
      </c>
      <c r="U780" s="5" t="str">
        <f>IFERROR(__xludf.DUMMYFUNCTION("""COMPUTED_VALUE"""),"Yes")</f>
        <v>Yes</v>
      </c>
      <c r="V780" s="5" t="str">
        <f>IFERROR(__xludf.DUMMYFUNCTION("""COMPUTED_VALUE"""),"No")</f>
        <v>No</v>
      </c>
      <c r="W780" s="5" t="str">
        <f>IFERROR(__xludf.DUMMYFUNCTION("""COMPUTED_VALUE"""),"No")</f>
        <v>No</v>
      </c>
      <c r="X780" s="5" t="str">
        <f>IFERROR(__xludf.DUMMYFUNCTION("""COMPUTED_VALUE"""),"No")</f>
        <v>No</v>
      </c>
      <c r="Y780" s="5" t="str">
        <f>IFERROR(__xludf.DUMMYFUNCTION("""COMPUTED_VALUE"""),"No")</f>
        <v>No</v>
      </c>
      <c r="Z780" s="5" t="str">
        <f>IFERROR(__xludf.DUMMYFUNCTION("""COMPUTED_VALUE"""),"No")</f>
        <v>No</v>
      </c>
      <c r="AA780" s="5" t="str">
        <f>IFERROR(__xludf.DUMMYFUNCTION("""COMPUTED_VALUE"""),"No")</f>
        <v>No</v>
      </c>
      <c r="AB780" s="5" t="str">
        <f>IFERROR(__xludf.DUMMYFUNCTION("""COMPUTED_VALUE"""),"Yes")</f>
        <v>Yes</v>
      </c>
      <c r="AC780" s="5" t="str">
        <f>IFERROR(__xludf.DUMMYFUNCTION("""COMPUTED_VALUE"""),"No")</f>
        <v>No</v>
      </c>
      <c r="AD780" s="5" t="str">
        <f>IFERROR(__xludf.DUMMYFUNCTION("""COMPUTED_VALUE"""),"No")</f>
        <v>No</v>
      </c>
      <c r="AE780" s="5" t="str">
        <f>IFERROR(__xludf.DUMMYFUNCTION("""COMPUTED_VALUE"""),"No")</f>
        <v>No</v>
      </c>
      <c r="AF780" s="5" t="str">
        <f>IFERROR(__xludf.DUMMYFUNCTION("""COMPUTED_VALUE"""),"No")</f>
        <v>No</v>
      </c>
      <c r="AG780" s="5" t="str">
        <f>IFERROR(__xludf.DUMMYFUNCTION("""COMPUTED_VALUE"""),"No")</f>
        <v>No</v>
      </c>
      <c r="AH780" s="5" t="str">
        <f>IFERROR(__xludf.DUMMYFUNCTION("""COMPUTED_VALUE"""),"No")</f>
        <v>No</v>
      </c>
      <c r="AI780" s="5" t="str">
        <f>IFERROR(__xludf.DUMMYFUNCTION("""COMPUTED_VALUE"""),"No")</f>
        <v>No</v>
      </c>
      <c r="AJ780" s="5" t="str">
        <f>IFERROR(__xludf.DUMMYFUNCTION("""COMPUTED_VALUE"""),"No")</f>
        <v>No</v>
      </c>
      <c r="AK780" s="5" t="str">
        <f>IFERROR(__xludf.DUMMYFUNCTION("""COMPUTED_VALUE"""),"No")</f>
        <v>No</v>
      </c>
      <c r="AL780" s="5" t="str">
        <f>IFERROR(__xludf.DUMMYFUNCTION("""COMPUTED_VALUE"""),"No")</f>
        <v>No</v>
      </c>
      <c r="AM780" s="5"/>
      <c r="AN780" s="5"/>
      <c r="AO780" s="5"/>
      <c r="AP780" s="5"/>
      <c r="AQ780" s="5"/>
      <c r="AR780" s="5"/>
      <c r="AS780" s="5"/>
      <c r="AT780" s="5"/>
      <c r="AU780" s="5"/>
      <c r="AV780" s="5"/>
      <c r="AW780" s="5"/>
      <c r="AX780" s="5"/>
      <c r="AY780" s="5"/>
    </row>
    <row r="781">
      <c r="A781" s="5" t="str">
        <f>IFERROR(__xludf.DUMMYFUNCTION("""COMPUTED_VALUE"""),"")</f>
        <v/>
      </c>
      <c r="B781" s="5">
        <f>IFERROR(__xludf.DUMMYFUNCTION("""COMPUTED_VALUE"""),818.0)</f>
        <v>818</v>
      </c>
      <c r="C781" s="5">
        <f>IFERROR(__xludf.DUMMYFUNCTION("""COMPUTED_VALUE"""),5000006.0)</f>
        <v>5000006</v>
      </c>
      <c r="D781" s="5" t="str">
        <f>IFERROR(__xludf.DUMMYFUNCTION("""COMPUTED_VALUE"""),"SokoRoyalCrownDelightDeluxe")</f>
        <v>SokoRoyalCrownDelightDeluxe</v>
      </c>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row>
    <row r="782">
      <c r="A78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82" s="5">
        <f>IFERROR(__xludf.DUMMYFUNCTION("""COMPUTED_VALUE"""),819.0)</f>
        <v>819</v>
      </c>
      <c r="C782" s="5">
        <f>IFERROR(__xludf.DUMMYFUNCTION("""COMPUTED_VALUE"""),5000009.0)</f>
        <v>5000009</v>
      </c>
      <c r="D782" s="5" t="str">
        <f>IFERROR(__xludf.DUMMYFUNCTION("""COMPUTED_VALUE"""),"SokoWildSheriffFortune")</f>
        <v>SokoWildSheriffFortune</v>
      </c>
      <c r="E782" s="5" t="str">
        <f>IFERROR(__xludf.DUMMYFUNCTION("""COMPUTED_VALUE"""),"Yes")</f>
        <v>Yes</v>
      </c>
      <c r="F782" s="5" t="str">
        <f>IFERROR(__xludf.DUMMYFUNCTION("""COMPUTED_VALUE"""),"Yes")</f>
        <v>Yes</v>
      </c>
      <c r="G782" s="5" t="str">
        <f>IFERROR(__xludf.DUMMYFUNCTION("""COMPUTED_VALUE"""),"Yes")</f>
        <v>Yes</v>
      </c>
      <c r="H782" s="5" t="str">
        <f>IFERROR(__xludf.DUMMYFUNCTION("""COMPUTED_VALUE"""),"Yes")</f>
        <v>Yes</v>
      </c>
      <c r="I782" s="5" t="str">
        <f>IFERROR(__xludf.DUMMYFUNCTION("""COMPUTED_VALUE"""),"Yes")</f>
        <v>Yes</v>
      </c>
      <c r="J782" s="5" t="str">
        <f>IFERROR(__xludf.DUMMYFUNCTION("""COMPUTED_VALUE"""),"Yes")</f>
        <v>Yes</v>
      </c>
      <c r="K782" s="5" t="str">
        <f>IFERROR(__xludf.DUMMYFUNCTION("""COMPUTED_VALUE"""),"Yes")</f>
        <v>Yes</v>
      </c>
      <c r="L782" s="5" t="str">
        <f>IFERROR(__xludf.DUMMYFUNCTION("""COMPUTED_VALUE"""),"Yes")</f>
        <v>Yes</v>
      </c>
      <c r="M782" s="5" t="str">
        <f>IFERROR(__xludf.DUMMYFUNCTION("""COMPUTED_VALUE"""),"Yes")</f>
        <v>Yes</v>
      </c>
      <c r="N782" s="5" t="str">
        <f>IFERROR(__xludf.DUMMYFUNCTION("""COMPUTED_VALUE"""),"Yes")</f>
        <v>Yes</v>
      </c>
      <c r="O782" s="5" t="str">
        <f>IFERROR(__xludf.DUMMYFUNCTION("""COMPUTED_VALUE"""),"Yes")</f>
        <v>Yes</v>
      </c>
      <c r="P782" s="5" t="str">
        <f>IFERROR(__xludf.DUMMYFUNCTION("""COMPUTED_VALUE"""),"Yes")</f>
        <v>Yes</v>
      </c>
      <c r="Q782" s="5" t="str">
        <f>IFERROR(__xludf.DUMMYFUNCTION("""COMPUTED_VALUE"""),"Yes")</f>
        <v>Yes</v>
      </c>
      <c r="R782" s="5" t="str">
        <f>IFERROR(__xludf.DUMMYFUNCTION("""COMPUTED_VALUE"""),"Yes")</f>
        <v>Yes</v>
      </c>
      <c r="S782" s="5" t="str">
        <f>IFERROR(__xludf.DUMMYFUNCTION("""COMPUTED_VALUE"""),"Yes")</f>
        <v>Yes</v>
      </c>
      <c r="T782" s="5" t="str">
        <f>IFERROR(__xludf.DUMMYFUNCTION("""COMPUTED_VALUE"""),"No")</f>
        <v>No</v>
      </c>
      <c r="U782" s="5" t="str">
        <f>IFERROR(__xludf.DUMMYFUNCTION("""COMPUTED_VALUE"""),"Yes")</f>
        <v>Yes</v>
      </c>
      <c r="V782" s="5" t="str">
        <f>IFERROR(__xludf.DUMMYFUNCTION("""COMPUTED_VALUE"""),"No")</f>
        <v>No</v>
      </c>
      <c r="W782" s="5" t="str">
        <f>IFERROR(__xludf.DUMMYFUNCTION("""COMPUTED_VALUE"""),"No")</f>
        <v>No</v>
      </c>
      <c r="X782" s="5" t="str">
        <f>IFERROR(__xludf.DUMMYFUNCTION("""COMPUTED_VALUE"""),"No")</f>
        <v>No</v>
      </c>
      <c r="Y782" s="5" t="str">
        <f>IFERROR(__xludf.DUMMYFUNCTION("""COMPUTED_VALUE"""),"No")</f>
        <v>No</v>
      </c>
      <c r="Z782" s="5" t="str">
        <f>IFERROR(__xludf.DUMMYFUNCTION("""COMPUTED_VALUE"""),"No")</f>
        <v>No</v>
      </c>
      <c r="AA782" s="5" t="str">
        <f>IFERROR(__xludf.DUMMYFUNCTION("""COMPUTED_VALUE"""),"No")</f>
        <v>No</v>
      </c>
      <c r="AB782" s="5" t="str">
        <f>IFERROR(__xludf.DUMMYFUNCTION("""COMPUTED_VALUE"""),"Yes")</f>
        <v>Yes</v>
      </c>
      <c r="AC782" s="5" t="str">
        <f>IFERROR(__xludf.DUMMYFUNCTION("""COMPUTED_VALUE"""),"No")</f>
        <v>No</v>
      </c>
      <c r="AD782" s="5" t="str">
        <f>IFERROR(__xludf.DUMMYFUNCTION("""COMPUTED_VALUE"""),"No")</f>
        <v>No</v>
      </c>
      <c r="AE782" s="5" t="str">
        <f>IFERROR(__xludf.DUMMYFUNCTION("""COMPUTED_VALUE"""),"No")</f>
        <v>No</v>
      </c>
      <c r="AF782" s="5" t="str">
        <f>IFERROR(__xludf.DUMMYFUNCTION("""COMPUTED_VALUE"""),"No")</f>
        <v>No</v>
      </c>
      <c r="AG782" s="5" t="str">
        <f>IFERROR(__xludf.DUMMYFUNCTION("""COMPUTED_VALUE"""),"No")</f>
        <v>No</v>
      </c>
      <c r="AH782" s="5" t="str">
        <f>IFERROR(__xludf.DUMMYFUNCTION("""COMPUTED_VALUE"""),"No")</f>
        <v>No</v>
      </c>
      <c r="AI782" s="5" t="str">
        <f>IFERROR(__xludf.DUMMYFUNCTION("""COMPUTED_VALUE"""),"No")</f>
        <v>No</v>
      </c>
      <c r="AJ782" s="5" t="str">
        <f>IFERROR(__xludf.DUMMYFUNCTION("""COMPUTED_VALUE"""),"No")</f>
        <v>No</v>
      </c>
      <c r="AK782" s="5" t="str">
        <f>IFERROR(__xludf.DUMMYFUNCTION("""COMPUTED_VALUE"""),"No")</f>
        <v>No</v>
      </c>
      <c r="AL782" s="5" t="str">
        <f>IFERROR(__xludf.DUMMYFUNCTION("""COMPUTED_VALUE"""),"No")</f>
        <v>No</v>
      </c>
      <c r="AM782" s="5"/>
      <c r="AN782" s="5"/>
      <c r="AO782" s="5"/>
      <c r="AP782" s="5"/>
      <c r="AQ782" s="5"/>
      <c r="AR782" s="5"/>
      <c r="AS782" s="5"/>
      <c r="AT782" s="5"/>
      <c r="AU782" s="5"/>
      <c r="AV782" s="5"/>
      <c r="AW782" s="5"/>
      <c r="AX782" s="5"/>
      <c r="AY782" s="5"/>
    </row>
    <row r="783">
      <c r="A7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B783" s="5">
        <f>IFERROR(__xludf.DUMMYFUNCTION("""COMPUTED_VALUE"""),820.0)</f>
        <v>820</v>
      </c>
      <c r="C783" s="5">
        <f>IFERROR(__xludf.DUMMYFUNCTION("""COMPUTED_VALUE"""),5.000001E7)</f>
        <v>50000010</v>
      </c>
      <c r="D783" s="5" t="str">
        <f>IFERROR(__xludf.DUMMYFUNCTION("""COMPUTED_VALUE"""),"SokoNileQueenTempleLegacy")</f>
        <v>SokoNileQueenTempleLegacy</v>
      </c>
      <c r="E783" s="5" t="str">
        <f>IFERROR(__xludf.DUMMYFUNCTION("""COMPUTED_VALUE"""),"Yes")</f>
        <v>Yes</v>
      </c>
      <c r="F783" s="5" t="str">
        <f>IFERROR(__xludf.DUMMYFUNCTION("""COMPUTED_VALUE"""),"Yes")</f>
        <v>Yes</v>
      </c>
      <c r="G783" s="5" t="str">
        <f>IFERROR(__xludf.DUMMYFUNCTION("""COMPUTED_VALUE"""),"Yes")</f>
        <v>Yes</v>
      </c>
      <c r="H783" s="5" t="str">
        <f>IFERROR(__xludf.DUMMYFUNCTION("""COMPUTED_VALUE"""),"Yes")</f>
        <v>Yes</v>
      </c>
      <c r="I783" s="5" t="str">
        <f>IFERROR(__xludf.DUMMYFUNCTION("""COMPUTED_VALUE"""),"Yes")</f>
        <v>Yes</v>
      </c>
      <c r="J783" s="5" t="str">
        <f>IFERROR(__xludf.DUMMYFUNCTION("""COMPUTED_VALUE"""),"Yes")</f>
        <v>Yes</v>
      </c>
      <c r="K783" s="5" t="str">
        <f>IFERROR(__xludf.DUMMYFUNCTION("""COMPUTED_VALUE"""),"Yes")</f>
        <v>Yes</v>
      </c>
      <c r="L783" s="5" t="str">
        <f>IFERROR(__xludf.DUMMYFUNCTION("""COMPUTED_VALUE"""),"Yes")</f>
        <v>Yes</v>
      </c>
      <c r="M783" s="5" t="str">
        <f>IFERROR(__xludf.DUMMYFUNCTION("""COMPUTED_VALUE"""),"Yes")</f>
        <v>Yes</v>
      </c>
      <c r="N783" s="5" t="str">
        <f>IFERROR(__xludf.DUMMYFUNCTION("""COMPUTED_VALUE"""),"Yes")</f>
        <v>Yes</v>
      </c>
      <c r="O783" s="5" t="str">
        <f>IFERROR(__xludf.DUMMYFUNCTION("""COMPUTED_VALUE"""),"Yes")</f>
        <v>Yes</v>
      </c>
      <c r="P783" s="5" t="str">
        <f>IFERROR(__xludf.DUMMYFUNCTION("""COMPUTED_VALUE"""),"Yes")</f>
        <v>Yes</v>
      </c>
      <c r="Q783" s="5" t="str">
        <f>IFERROR(__xludf.DUMMYFUNCTION("""COMPUTED_VALUE"""),"Yes")</f>
        <v>Yes</v>
      </c>
      <c r="R783" s="5" t="str">
        <f>IFERROR(__xludf.DUMMYFUNCTION("""COMPUTED_VALUE"""),"Yes")</f>
        <v>Yes</v>
      </c>
      <c r="S783" s="5" t="str">
        <f>IFERROR(__xludf.DUMMYFUNCTION("""COMPUTED_VALUE"""),"Yes")</f>
        <v>Yes</v>
      </c>
      <c r="T783" s="5" t="str">
        <f>IFERROR(__xludf.DUMMYFUNCTION("""COMPUTED_VALUE"""),"Yes")</f>
        <v>Yes</v>
      </c>
      <c r="U783" s="5" t="str">
        <f>IFERROR(__xludf.DUMMYFUNCTION("""COMPUTED_VALUE"""),"Yes")</f>
        <v>Yes</v>
      </c>
      <c r="V783" s="5" t="str">
        <f>IFERROR(__xludf.DUMMYFUNCTION("""COMPUTED_VALUE"""),"Yes")</f>
        <v>Yes</v>
      </c>
      <c r="W783" s="5" t="str">
        <f>IFERROR(__xludf.DUMMYFUNCTION("""COMPUTED_VALUE"""),"Yes")</f>
        <v>Yes</v>
      </c>
      <c r="X783" s="5" t="str">
        <f>IFERROR(__xludf.DUMMYFUNCTION("""COMPUTED_VALUE"""),"No")</f>
        <v>No</v>
      </c>
      <c r="Y783" s="5" t="str">
        <f>IFERROR(__xludf.DUMMYFUNCTION("""COMPUTED_VALUE"""),"No")</f>
        <v>No</v>
      </c>
      <c r="Z783" s="5" t="str">
        <f>IFERROR(__xludf.DUMMYFUNCTION("""COMPUTED_VALUE"""),"No")</f>
        <v>No</v>
      </c>
      <c r="AA783" s="5" t="str">
        <f>IFERROR(__xludf.DUMMYFUNCTION("""COMPUTED_VALUE"""),"No")</f>
        <v>No</v>
      </c>
      <c r="AB783" s="5" t="str">
        <f>IFERROR(__xludf.DUMMYFUNCTION("""COMPUTED_VALUE"""),"Yes")</f>
        <v>Yes</v>
      </c>
      <c r="AC783" s="5" t="str">
        <f>IFERROR(__xludf.DUMMYFUNCTION("""COMPUTED_VALUE"""),"No")</f>
        <v>No</v>
      </c>
      <c r="AD783" s="5" t="str">
        <f>IFERROR(__xludf.DUMMYFUNCTION("""COMPUTED_VALUE"""),"No")</f>
        <v>No</v>
      </c>
      <c r="AE783" s="5" t="str">
        <f>IFERROR(__xludf.DUMMYFUNCTION("""COMPUTED_VALUE"""),"No")</f>
        <v>No</v>
      </c>
      <c r="AF783" s="5" t="str">
        <f>IFERROR(__xludf.DUMMYFUNCTION("""COMPUTED_VALUE"""),"No")</f>
        <v>No</v>
      </c>
      <c r="AG783" s="5" t="str">
        <f>IFERROR(__xludf.DUMMYFUNCTION("""COMPUTED_VALUE"""),"No")</f>
        <v>No</v>
      </c>
      <c r="AH783" s="5" t="str">
        <f>IFERROR(__xludf.DUMMYFUNCTION("""COMPUTED_VALUE"""),"No")</f>
        <v>No</v>
      </c>
      <c r="AI783" s="5" t="str">
        <f>IFERROR(__xludf.DUMMYFUNCTION("""COMPUTED_VALUE"""),"No")</f>
        <v>No</v>
      </c>
      <c r="AJ783" s="5" t="str">
        <f>IFERROR(__xludf.DUMMYFUNCTION("""COMPUTED_VALUE"""),"No")</f>
        <v>No</v>
      </c>
      <c r="AK783" s="5" t="str">
        <f>IFERROR(__xludf.DUMMYFUNCTION("""COMPUTED_VALUE"""),"No")</f>
        <v>No</v>
      </c>
      <c r="AL783" s="5" t="str">
        <f>IFERROR(__xludf.DUMMYFUNCTION("""COMPUTED_VALUE"""),"No")</f>
        <v>No</v>
      </c>
      <c r="AM783" s="5"/>
      <c r="AN783" s="5"/>
      <c r="AO783" s="5"/>
      <c r="AP783" s="5"/>
      <c r="AQ783" s="5"/>
      <c r="AR783" s="5"/>
      <c r="AS783" s="5"/>
      <c r="AT783" s="5"/>
      <c r="AU783" s="5"/>
      <c r="AV783" s="5"/>
      <c r="AW783" s="5"/>
      <c r="AX783" s="5"/>
      <c r="AY783" s="5"/>
    </row>
    <row r="784">
      <c r="A784"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84" s="5">
        <f>IFERROR(__xludf.DUMMYFUNCTION("""COMPUTED_VALUE"""),821.0)</f>
        <v>821</v>
      </c>
      <c r="C784" s="5">
        <f>IFERROR(__xludf.DUMMYFUNCTION("""COMPUTED_VALUE"""),5.0000011E7)</f>
        <v>50000011</v>
      </c>
      <c r="D784" s="5" t="str">
        <f>IFERROR(__xludf.DUMMYFUNCTION("""COMPUTED_VALUE"""),"SokoTripleCrownJewels")</f>
        <v>SokoTripleCrownJewels</v>
      </c>
      <c r="E784" s="5" t="str">
        <f>IFERROR(__xludf.DUMMYFUNCTION("""COMPUTED_VALUE"""),"Yes")</f>
        <v>Yes</v>
      </c>
      <c r="F784" s="5" t="str">
        <f>IFERROR(__xludf.DUMMYFUNCTION("""COMPUTED_VALUE"""),"Yes")</f>
        <v>Yes</v>
      </c>
      <c r="G784" s="5" t="str">
        <f>IFERROR(__xludf.DUMMYFUNCTION("""COMPUTED_VALUE"""),"Yes")</f>
        <v>Yes</v>
      </c>
      <c r="H784" s="5" t="str">
        <f>IFERROR(__xludf.DUMMYFUNCTION("""COMPUTED_VALUE"""),"Yes")</f>
        <v>Yes</v>
      </c>
      <c r="I784" s="5" t="str">
        <f>IFERROR(__xludf.DUMMYFUNCTION("""COMPUTED_VALUE"""),"Yes")</f>
        <v>Yes</v>
      </c>
      <c r="J784" s="5" t="str">
        <f>IFERROR(__xludf.DUMMYFUNCTION("""COMPUTED_VALUE"""),"Yes")</f>
        <v>Yes</v>
      </c>
      <c r="K784" s="5" t="str">
        <f>IFERROR(__xludf.DUMMYFUNCTION("""COMPUTED_VALUE"""),"Yes")</f>
        <v>Yes</v>
      </c>
      <c r="L784" s="5" t="str">
        <f>IFERROR(__xludf.DUMMYFUNCTION("""COMPUTED_VALUE"""),"Yes")</f>
        <v>Yes</v>
      </c>
      <c r="M784" s="5" t="str">
        <f>IFERROR(__xludf.DUMMYFUNCTION("""COMPUTED_VALUE"""),"Yes")</f>
        <v>Yes</v>
      </c>
      <c r="N784" s="5" t="str">
        <f>IFERROR(__xludf.DUMMYFUNCTION("""COMPUTED_VALUE"""),"Yes")</f>
        <v>Yes</v>
      </c>
      <c r="O784" s="5" t="str">
        <f>IFERROR(__xludf.DUMMYFUNCTION("""COMPUTED_VALUE"""),"Yes")</f>
        <v>Yes</v>
      </c>
      <c r="P784" s="5" t="str">
        <f>IFERROR(__xludf.DUMMYFUNCTION("""COMPUTED_VALUE"""),"Yes")</f>
        <v>Yes</v>
      </c>
      <c r="Q784" s="5" t="str">
        <f>IFERROR(__xludf.DUMMYFUNCTION("""COMPUTED_VALUE"""),"Yes")</f>
        <v>Yes</v>
      </c>
      <c r="R784" s="5" t="str">
        <f>IFERROR(__xludf.DUMMYFUNCTION("""COMPUTED_VALUE"""),"Yes")</f>
        <v>Yes</v>
      </c>
      <c r="S784" s="5" t="str">
        <f>IFERROR(__xludf.DUMMYFUNCTION("""COMPUTED_VALUE"""),"Yes")</f>
        <v>Yes</v>
      </c>
      <c r="T784" s="5" t="str">
        <f>IFERROR(__xludf.DUMMYFUNCTION("""COMPUTED_VALUE"""),"No")</f>
        <v>No</v>
      </c>
      <c r="U784" s="5" t="str">
        <f>IFERROR(__xludf.DUMMYFUNCTION("""COMPUTED_VALUE"""),"Yes")</f>
        <v>Yes</v>
      </c>
      <c r="V784" s="5" t="str">
        <f>IFERROR(__xludf.DUMMYFUNCTION("""COMPUTED_VALUE"""),"No")</f>
        <v>No</v>
      </c>
      <c r="W784" s="5" t="str">
        <f>IFERROR(__xludf.DUMMYFUNCTION("""COMPUTED_VALUE"""),"No")</f>
        <v>No</v>
      </c>
      <c r="X784" s="5" t="str">
        <f>IFERROR(__xludf.DUMMYFUNCTION("""COMPUTED_VALUE"""),"No")</f>
        <v>No</v>
      </c>
      <c r="Y784" s="5" t="str">
        <f>IFERROR(__xludf.DUMMYFUNCTION("""COMPUTED_VALUE"""),"No")</f>
        <v>No</v>
      </c>
      <c r="Z784" s="5" t="str">
        <f>IFERROR(__xludf.DUMMYFUNCTION("""COMPUTED_VALUE"""),"No")</f>
        <v>No</v>
      </c>
      <c r="AA784" s="5" t="str">
        <f>IFERROR(__xludf.DUMMYFUNCTION("""COMPUTED_VALUE"""),"No")</f>
        <v>No</v>
      </c>
      <c r="AB784" s="5" t="str">
        <f>IFERROR(__xludf.DUMMYFUNCTION("""COMPUTED_VALUE"""),"Yes")</f>
        <v>Yes</v>
      </c>
      <c r="AC784" s="5" t="str">
        <f>IFERROR(__xludf.DUMMYFUNCTION("""COMPUTED_VALUE"""),"No")</f>
        <v>No</v>
      </c>
      <c r="AD784" s="5" t="str">
        <f>IFERROR(__xludf.DUMMYFUNCTION("""COMPUTED_VALUE"""),"No")</f>
        <v>No</v>
      </c>
      <c r="AE784" s="5" t="str">
        <f>IFERROR(__xludf.DUMMYFUNCTION("""COMPUTED_VALUE"""),"No")</f>
        <v>No</v>
      </c>
      <c r="AF784" s="5" t="str">
        <f>IFERROR(__xludf.DUMMYFUNCTION("""COMPUTED_VALUE"""),"No")</f>
        <v>No</v>
      </c>
      <c r="AG784" s="5" t="str">
        <f>IFERROR(__xludf.DUMMYFUNCTION("""COMPUTED_VALUE"""),"No")</f>
        <v>No</v>
      </c>
      <c r="AH784" s="5" t="str">
        <f>IFERROR(__xludf.DUMMYFUNCTION("""COMPUTED_VALUE"""),"No")</f>
        <v>No</v>
      </c>
      <c r="AI784" s="5" t="str">
        <f>IFERROR(__xludf.DUMMYFUNCTION("""COMPUTED_VALUE"""),"No")</f>
        <v>No</v>
      </c>
      <c r="AJ784" s="5" t="str">
        <f>IFERROR(__xludf.DUMMYFUNCTION("""COMPUTED_VALUE"""),"No")</f>
        <v>No</v>
      </c>
      <c r="AK784" s="5" t="str">
        <f>IFERROR(__xludf.DUMMYFUNCTION("""COMPUTED_VALUE"""),"No")</f>
        <v>No</v>
      </c>
      <c r="AL784" s="5" t="str">
        <f>IFERROR(__xludf.DUMMYFUNCTION("""COMPUTED_VALUE"""),"No")</f>
        <v>No</v>
      </c>
      <c r="AM784" s="5"/>
      <c r="AN784" s="5"/>
      <c r="AO784" s="5"/>
      <c r="AP784" s="5"/>
      <c r="AQ784" s="5"/>
      <c r="AR784" s="5"/>
      <c r="AS784" s="5"/>
      <c r="AT784" s="5"/>
      <c r="AU784" s="5"/>
      <c r="AV784" s="5"/>
      <c r="AW784" s="5"/>
      <c r="AX784" s="5"/>
      <c r="AY784" s="5"/>
    </row>
    <row r="785">
      <c r="A785"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85" s="5">
        <f>IFERROR(__xludf.DUMMYFUNCTION("""COMPUTED_VALUE"""),822.0)</f>
        <v>822</v>
      </c>
      <c r="C785" s="5">
        <f>IFERROR(__xludf.DUMMYFUNCTION("""COMPUTED_VALUE"""),5.0000012E7)</f>
        <v>50000012</v>
      </c>
      <c r="D785" s="5" t="str">
        <f>IFERROR(__xludf.DUMMYFUNCTION("""COMPUTED_VALUE"""),"SokoLaurelsOfOlympus")</f>
        <v>SokoLaurelsOfOlympus</v>
      </c>
      <c r="E785" s="5" t="str">
        <f>IFERROR(__xludf.DUMMYFUNCTION("""COMPUTED_VALUE"""),"Yes")</f>
        <v>Yes</v>
      </c>
      <c r="F785" s="5" t="str">
        <f>IFERROR(__xludf.DUMMYFUNCTION("""COMPUTED_VALUE"""),"Yes")</f>
        <v>Yes</v>
      </c>
      <c r="G785" s="5" t="str">
        <f>IFERROR(__xludf.DUMMYFUNCTION("""COMPUTED_VALUE"""),"Yes")</f>
        <v>Yes</v>
      </c>
      <c r="H785" s="5" t="str">
        <f>IFERROR(__xludf.DUMMYFUNCTION("""COMPUTED_VALUE"""),"Yes")</f>
        <v>Yes</v>
      </c>
      <c r="I785" s="5" t="str">
        <f>IFERROR(__xludf.DUMMYFUNCTION("""COMPUTED_VALUE"""),"Yes")</f>
        <v>Yes</v>
      </c>
      <c r="J785" s="5" t="str">
        <f>IFERROR(__xludf.DUMMYFUNCTION("""COMPUTED_VALUE"""),"Yes")</f>
        <v>Yes</v>
      </c>
      <c r="K785" s="5" t="str">
        <f>IFERROR(__xludf.DUMMYFUNCTION("""COMPUTED_VALUE"""),"Yes")</f>
        <v>Yes</v>
      </c>
      <c r="L785" s="5" t="str">
        <f>IFERROR(__xludf.DUMMYFUNCTION("""COMPUTED_VALUE"""),"Yes")</f>
        <v>Yes</v>
      </c>
      <c r="M785" s="5" t="str">
        <f>IFERROR(__xludf.DUMMYFUNCTION("""COMPUTED_VALUE"""),"Yes")</f>
        <v>Yes</v>
      </c>
      <c r="N785" s="5" t="str">
        <f>IFERROR(__xludf.DUMMYFUNCTION("""COMPUTED_VALUE"""),"Yes")</f>
        <v>Yes</v>
      </c>
      <c r="O785" s="5" t="str">
        <f>IFERROR(__xludf.DUMMYFUNCTION("""COMPUTED_VALUE"""),"Yes")</f>
        <v>Yes</v>
      </c>
      <c r="P785" s="5" t="str">
        <f>IFERROR(__xludf.DUMMYFUNCTION("""COMPUTED_VALUE"""),"Yes")</f>
        <v>Yes</v>
      </c>
      <c r="Q785" s="5" t="str">
        <f>IFERROR(__xludf.DUMMYFUNCTION("""COMPUTED_VALUE"""),"Yes")</f>
        <v>Yes</v>
      </c>
      <c r="R785" s="5" t="str">
        <f>IFERROR(__xludf.DUMMYFUNCTION("""COMPUTED_VALUE"""),"Yes")</f>
        <v>Yes</v>
      </c>
      <c r="S785" s="5" t="str">
        <f>IFERROR(__xludf.DUMMYFUNCTION("""COMPUTED_VALUE"""),"Yes")</f>
        <v>Yes</v>
      </c>
      <c r="T785" s="5" t="str">
        <f>IFERROR(__xludf.DUMMYFUNCTION("""COMPUTED_VALUE"""),"No")</f>
        <v>No</v>
      </c>
      <c r="U785" s="5" t="str">
        <f>IFERROR(__xludf.DUMMYFUNCTION("""COMPUTED_VALUE"""),"Yes")</f>
        <v>Yes</v>
      </c>
      <c r="V785" s="5" t="str">
        <f>IFERROR(__xludf.DUMMYFUNCTION("""COMPUTED_VALUE"""),"No")</f>
        <v>No</v>
      </c>
      <c r="W785" s="5" t="str">
        <f>IFERROR(__xludf.DUMMYFUNCTION("""COMPUTED_VALUE"""),"No")</f>
        <v>No</v>
      </c>
      <c r="X785" s="5" t="str">
        <f>IFERROR(__xludf.DUMMYFUNCTION("""COMPUTED_VALUE"""),"No")</f>
        <v>No</v>
      </c>
      <c r="Y785" s="5" t="str">
        <f>IFERROR(__xludf.DUMMYFUNCTION("""COMPUTED_VALUE"""),"No")</f>
        <v>No</v>
      </c>
      <c r="Z785" s="5" t="str">
        <f>IFERROR(__xludf.DUMMYFUNCTION("""COMPUTED_VALUE"""),"No")</f>
        <v>No</v>
      </c>
      <c r="AA785" s="5" t="str">
        <f>IFERROR(__xludf.DUMMYFUNCTION("""COMPUTED_VALUE"""),"No")</f>
        <v>No</v>
      </c>
      <c r="AB785" s="5" t="str">
        <f>IFERROR(__xludf.DUMMYFUNCTION("""COMPUTED_VALUE"""),"Yes")</f>
        <v>Yes</v>
      </c>
      <c r="AC785" s="5" t="str">
        <f>IFERROR(__xludf.DUMMYFUNCTION("""COMPUTED_VALUE"""),"No")</f>
        <v>No</v>
      </c>
      <c r="AD785" s="5" t="str">
        <f>IFERROR(__xludf.DUMMYFUNCTION("""COMPUTED_VALUE"""),"No")</f>
        <v>No</v>
      </c>
      <c r="AE785" s="5" t="str">
        <f>IFERROR(__xludf.DUMMYFUNCTION("""COMPUTED_VALUE"""),"No")</f>
        <v>No</v>
      </c>
      <c r="AF785" s="5" t="str">
        <f>IFERROR(__xludf.DUMMYFUNCTION("""COMPUTED_VALUE"""),"No")</f>
        <v>No</v>
      </c>
      <c r="AG785" s="5" t="str">
        <f>IFERROR(__xludf.DUMMYFUNCTION("""COMPUTED_VALUE"""),"No")</f>
        <v>No</v>
      </c>
      <c r="AH785" s="5" t="str">
        <f>IFERROR(__xludf.DUMMYFUNCTION("""COMPUTED_VALUE"""),"No")</f>
        <v>No</v>
      </c>
      <c r="AI785" s="5" t="str">
        <f>IFERROR(__xludf.DUMMYFUNCTION("""COMPUTED_VALUE"""),"No")</f>
        <v>No</v>
      </c>
      <c r="AJ785" s="5" t="str">
        <f>IFERROR(__xludf.DUMMYFUNCTION("""COMPUTED_VALUE"""),"No")</f>
        <v>No</v>
      </c>
      <c r="AK785" s="5" t="str">
        <f>IFERROR(__xludf.DUMMYFUNCTION("""COMPUTED_VALUE"""),"No")</f>
        <v>No</v>
      </c>
      <c r="AL785" s="5" t="str">
        <f>IFERROR(__xludf.DUMMYFUNCTION("""COMPUTED_VALUE"""),"No")</f>
        <v>No</v>
      </c>
      <c r="AM785" s="5"/>
      <c r="AN785" s="5"/>
      <c r="AO785" s="5"/>
      <c r="AP785" s="5"/>
      <c r="AQ785" s="5"/>
      <c r="AR785" s="5"/>
      <c r="AS785" s="5"/>
      <c r="AT785" s="5"/>
      <c r="AU785" s="5"/>
      <c r="AV785" s="5"/>
      <c r="AW785" s="5"/>
      <c r="AX785" s="5"/>
      <c r="AY785" s="5"/>
    </row>
    <row r="786">
      <c r="A786" s="5" t="str">
        <f>IFERROR(__xludf.DUMMYFUNCTION("""COMPUTED_VALUE"""),"")</f>
        <v/>
      </c>
      <c r="B786" s="5">
        <f>IFERROR(__xludf.DUMMYFUNCTION("""COMPUTED_VALUE"""),823.0)</f>
        <v>823</v>
      </c>
      <c r="C786" s="5">
        <f>IFERROR(__xludf.DUMMYFUNCTION("""COMPUTED_VALUE"""),-1.0)</f>
        <v>-1</v>
      </c>
      <c r="D786" s="5" t="str">
        <f>IFERROR(__xludf.DUMMYFUNCTION("""COMPUTED_VALUE"""),"TBD")</f>
        <v>TBD</v>
      </c>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row>
    <row r="787">
      <c r="A787" s="5" t="str">
        <f>IFERROR(__xludf.DUMMYFUNCTION("""COMPUTED_VALUE"""),"")</f>
        <v/>
      </c>
      <c r="B787" s="5">
        <f>IFERROR(__xludf.DUMMYFUNCTION("""COMPUTED_VALUE"""),825.0)</f>
        <v>825</v>
      </c>
      <c r="C787" s="5">
        <f>IFERROR(__xludf.DUMMYFUNCTION("""COMPUTED_VALUE"""),-1.0)</f>
        <v>-1</v>
      </c>
      <c r="D787" s="5" t="str">
        <f>IFERROR(__xludf.DUMMYFUNCTION("""COMPUTED_VALUE"""),"TBD")</f>
        <v>TBD</v>
      </c>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row>
    <row r="788">
      <c r="A788" s="5" t="str">
        <f>IFERROR(__xludf.DUMMYFUNCTION("""COMPUTED_VALUE"""),"")</f>
        <v/>
      </c>
      <c r="B788" s="5">
        <f>IFERROR(__xludf.DUMMYFUNCTION("""COMPUTED_VALUE"""),826.0)</f>
        <v>826</v>
      </c>
      <c r="C788" s="5">
        <f>IFERROR(__xludf.DUMMYFUNCTION("""COMPUTED_VALUE"""),-1.0)</f>
        <v>-1</v>
      </c>
      <c r="D788" s="5" t="str">
        <f>IFERROR(__xludf.DUMMYFUNCTION("""COMPUTED_VALUE"""),"TBD")</f>
        <v>TBD</v>
      </c>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row>
    <row r="789">
      <c r="A789" s="5" t="str">
        <f>IFERROR(__xludf.DUMMYFUNCTION("""COMPUTED_VALUE"""),"")</f>
        <v/>
      </c>
      <c r="B789" s="5">
        <f>IFERROR(__xludf.DUMMYFUNCTION("""COMPUTED_VALUE"""),827.0)</f>
        <v>827</v>
      </c>
      <c r="C789" s="5">
        <f>IFERROR(__xludf.DUMMYFUNCTION("""COMPUTED_VALUE"""),-1.0)</f>
        <v>-1</v>
      </c>
      <c r="D789" s="5" t="str">
        <f>IFERROR(__xludf.DUMMYFUNCTION("""COMPUTED_VALUE"""),"TBD")</f>
        <v>TBD</v>
      </c>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row>
    <row r="790">
      <c r="A790" s="5" t="str">
        <f>IFERROR(__xludf.DUMMYFUNCTION("""COMPUTED_VALUE"""),"")</f>
        <v/>
      </c>
      <c r="B790" s="5">
        <f>IFERROR(__xludf.DUMMYFUNCTION("""COMPUTED_VALUE"""),828.0)</f>
        <v>828</v>
      </c>
      <c r="C790" s="5">
        <f>IFERROR(__xludf.DUMMYFUNCTION("""COMPUTED_VALUE"""),-1.0)</f>
        <v>-1</v>
      </c>
      <c r="D790" s="5" t="str">
        <f>IFERROR(__xludf.DUMMYFUNCTION("""COMPUTED_VALUE"""),"TBD")</f>
        <v>TBD</v>
      </c>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row>
    <row r="791">
      <c r="A791" s="5" t="str">
        <f>IFERROR(__xludf.DUMMYFUNCTION("""COMPUTED_VALUE"""),"")</f>
        <v/>
      </c>
      <c r="B791" s="5">
        <f>IFERROR(__xludf.DUMMYFUNCTION("""COMPUTED_VALUE"""),829.0)</f>
        <v>829</v>
      </c>
      <c r="C791" s="5">
        <f>IFERROR(__xludf.DUMMYFUNCTION("""COMPUTED_VALUE"""),-1.0)</f>
        <v>-1</v>
      </c>
      <c r="D791" s="5" t="str">
        <f>IFERROR(__xludf.DUMMYFUNCTION("""COMPUTED_VALUE"""),"TBD")</f>
        <v>TBD</v>
      </c>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row>
    <row r="792">
      <c r="A7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92" s="5">
        <f>IFERROR(__xludf.DUMMYFUNCTION("""COMPUTED_VALUE"""),830.0)</f>
        <v>830</v>
      </c>
      <c r="C792" s="5">
        <f>IFERROR(__xludf.DUMMYFUNCTION("""COMPUTED_VALUE"""),2025.0)</f>
        <v>2025</v>
      </c>
      <c r="D792" s="5" t="str">
        <f>IFERROR(__xludf.DUMMYFUNCTION("""COMPUTED_VALUE"""),"WuKong5")</f>
        <v>WuKong5</v>
      </c>
      <c r="E792" s="5" t="str">
        <f>IFERROR(__xludf.DUMMYFUNCTION("""COMPUTED_VALUE"""),"Yes")</f>
        <v>Yes</v>
      </c>
      <c r="F792" s="5" t="str">
        <f>IFERROR(__xludf.DUMMYFUNCTION("""COMPUTED_VALUE"""),"Yes")</f>
        <v>Yes</v>
      </c>
      <c r="G792" s="5" t="str">
        <f>IFERROR(__xludf.DUMMYFUNCTION("""COMPUTED_VALUE"""),"Yes")</f>
        <v>Yes</v>
      </c>
      <c r="H792" s="5" t="str">
        <f>IFERROR(__xludf.DUMMYFUNCTION("""COMPUTED_VALUE"""),"Yes")</f>
        <v>Yes</v>
      </c>
      <c r="I792" s="5" t="str">
        <f>IFERROR(__xludf.DUMMYFUNCTION("""COMPUTED_VALUE"""),"Yes")</f>
        <v>Yes</v>
      </c>
      <c r="J792" s="5" t="str">
        <f>IFERROR(__xludf.DUMMYFUNCTION("""COMPUTED_VALUE"""),"Yes")</f>
        <v>Yes</v>
      </c>
      <c r="K792" s="5" t="str">
        <f>IFERROR(__xludf.DUMMYFUNCTION("""COMPUTED_VALUE"""),"Yes")</f>
        <v>Yes</v>
      </c>
      <c r="L792" s="5" t="str">
        <f>IFERROR(__xludf.DUMMYFUNCTION("""COMPUTED_VALUE"""),"Yes")</f>
        <v>Yes</v>
      </c>
      <c r="M792" s="5" t="str">
        <f>IFERROR(__xludf.DUMMYFUNCTION("""COMPUTED_VALUE"""),"Yes")</f>
        <v>Yes</v>
      </c>
      <c r="N792" s="5" t="str">
        <f>IFERROR(__xludf.DUMMYFUNCTION("""COMPUTED_VALUE"""),"Yes")</f>
        <v>Yes</v>
      </c>
      <c r="O792" s="5" t="str">
        <f>IFERROR(__xludf.DUMMYFUNCTION("""COMPUTED_VALUE"""),"Yes")</f>
        <v>Yes</v>
      </c>
      <c r="P792" s="5" t="str">
        <f>IFERROR(__xludf.DUMMYFUNCTION("""COMPUTED_VALUE"""),"Yes")</f>
        <v>Yes</v>
      </c>
      <c r="Q792" s="5" t="str">
        <f>IFERROR(__xludf.DUMMYFUNCTION("""COMPUTED_VALUE"""),"Yes")</f>
        <v>Yes</v>
      </c>
      <c r="R792" s="5" t="str">
        <f>IFERROR(__xludf.DUMMYFUNCTION("""COMPUTED_VALUE"""),"Yes")</f>
        <v>Yes</v>
      </c>
      <c r="S792" s="5" t="str">
        <f>IFERROR(__xludf.DUMMYFUNCTION("""COMPUTED_VALUE"""),"Yes")</f>
        <v>Yes</v>
      </c>
      <c r="T792" s="5" t="str">
        <f>IFERROR(__xludf.DUMMYFUNCTION("""COMPUTED_VALUE"""),"Yes")</f>
        <v>Yes</v>
      </c>
      <c r="U792" s="5" t="str">
        <f>IFERROR(__xludf.DUMMYFUNCTION("""COMPUTED_VALUE"""),"Yes")</f>
        <v>Yes</v>
      </c>
      <c r="V792" s="5" t="str">
        <f>IFERROR(__xludf.DUMMYFUNCTION("""COMPUTED_VALUE"""),"Yes")</f>
        <v>Yes</v>
      </c>
      <c r="W792" s="5" t="str">
        <f>IFERROR(__xludf.DUMMYFUNCTION("""COMPUTED_VALUE"""),"Yes")</f>
        <v>Yes</v>
      </c>
      <c r="X792" s="5" t="str">
        <f>IFERROR(__xludf.DUMMYFUNCTION("""COMPUTED_VALUE"""),"Yes")</f>
        <v>Yes</v>
      </c>
      <c r="Y792" s="5" t="str">
        <f>IFERROR(__xludf.DUMMYFUNCTION("""COMPUTED_VALUE"""),"Yes")</f>
        <v>Yes</v>
      </c>
      <c r="Z792" s="5" t="str">
        <f>IFERROR(__xludf.DUMMYFUNCTION("""COMPUTED_VALUE"""),"Yes")</f>
        <v>Yes</v>
      </c>
      <c r="AA792" s="5" t="str">
        <f>IFERROR(__xludf.DUMMYFUNCTION("""COMPUTED_VALUE"""),"Yes")</f>
        <v>Yes</v>
      </c>
      <c r="AB792" s="5" t="str">
        <f>IFERROR(__xludf.DUMMYFUNCTION("""COMPUTED_VALUE"""),"Yes")</f>
        <v>Yes</v>
      </c>
      <c r="AC792" s="5" t="str">
        <f>IFERROR(__xludf.DUMMYFUNCTION("""COMPUTED_VALUE"""),"Yes")</f>
        <v>Yes</v>
      </c>
      <c r="AD792" s="5" t="str">
        <f>IFERROR(__xludf.DUMMYFUNCTION("""COMPUTED_VALUE"""),"Yes")</f>
        <v>Yes</v>
      </c>
      <c r="AE792" s="5" t="str">
        <f>IFERROR(__xludf.DUMMYFUNCTION("""COMPUTED_VALUE"""),"Yes")</f>
        <v>Yes</v>
      </c>
      <c r="AF792" s="5" t="str">
        <f>IFERROR(__xludf.DUMMYFUNCTION("""COMPUTED_VALUE"""),"Yes")</f>
        <v>Yes</v>
      </c>
      <c r="AG792" s="5" t="str">
        <f>IFERROR(__xludf.DUMMYFUNCTION("""COMPUTED_VALUE"""),"Yes")</f>
        <v>Yes</v>
      </c>
      <c r="AH792" s="5" t="str">
        <f>IFERROR(__xludf.DUMMYFUNCTION("""COMPUTED_VALUE"""),"Yes")</f>
        <v>Yes</v>
      </c>
      <c r="AI792" s="5" t="str">
        <f>IFERROR(__xludf.DUMMYFUNCTION("""COMPUTED_VALUE"""),"No")</f>
        <v>No</v>
      </c>
      <c r="AJ792" s="5" t="str">
        <f>IFERROR(__xludf.DUMMYFUNCTION("""COMPUTED_VALUE"""),"No")</f>
        <v>No</v>
      </c>
      <c r="AK792" s="5" t="str">
        <f>IFERROR(__xludf.DUMMYFUNCTION("""COMPUTED_VALUE"""),"No")</f>
        <v>No</v>
      </c>
      <c r="AL792" s="5" t="str">
        <f>IFERROR(__xludf.DUMMYFUNCTION("""COMPUTED_VALUE"""),"Yes")</f>
        <v>Yes</v>
      </c>
      <c r="AM792" s="5"/>
      <c r="AN792" s="5"/>
      <c r="AO792" s="5"/>
      <c r="AP792" s="5"/>
      <c r="AQ792" s="5"/>
      <c r="AR792" s="5"/>
      <c r="AS792" s="5"/>
      <c r="AT792" s="5"/>
      <c r="AU792" s="5"/>
      <c r="AV792" s="5"/>
      <c r="AW792" s="5"/>
      <c r="AX792" s="5"/>
      <c r="AY792" s="5"/>
    </row>
    <row r="793">
      <c r="A79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3" s="5">
        <f>IFERROR(__xludf.DUMMYFUNCTION("""COMPUTED_VALUE"""),831.0)</f>
        <v>831</v>
      </c>
      <c r="C793" s="5">
        <f>IFERROR(__xludf.DUMMYFUNCTION("""COMPUTED_VALUE"""),542.0)</f>
        <v>542</v>
      </c>
      <c r="D793" s="5" t="str">
        <f>IFERROR(__xludf.DUMMYFUNCTION("""COMPUTED_VALUE"""),"PlayNetJokersCrownX2")</f>
        <v>PlayNetJokersCrownX2</v>
      </c>
      <c r="E793" s="5" t="str">
        <f>IFERROR(__xludf.DUMMYFUNCTION("""COMPUTED_VALUE"""),"Yes")</f>
        <v>Yes</v>
      </c>
      <c r="F793" s="5" t="str">
        <f>IFERROR(__xludf.DUMMYFUNCTION("""COMPUTED_VALUE"""),"Yes")</f>
        <v>Yes</v>
      </c>
      <c r="G793" s="5" t="str">
        <f>IFERROR(__xludf.DUMMYFUNCTION("""COMPUTED_VALUE"""),"No")</f>
        <v>No</v>
      </c>
      <c r="H793" s="5" t="str">
        <f>IFERROR(__xludf.DUMMYFUNCTION("""COMPUTED_VALUE"""),"Yes")</f>
        <v>Yes</v>
      </c>
      <c r="I793" s="5" t="str">
        <f>IFERROR(__xludf.DUMMYFUNCTION("""COMPUTED_VALUE"""),"Yes")</f>
        <v>Yes</v>
      </c>
      <c r="J793" s="5" t="str">
        <f>IFERROR(__xludf.DUMMYFUNCTION("""COMPUTED_VALUE"""),"Yes")</f>
        <v>Yes</v>
      </c>
      <c r="K793" s="5" t="str">
        <f>IFERROR(__xludf.DUMMYFUNCTION("""COMPUTED_VALUE"""),"Yes")</f>
        <v>Yes</v>
      </c>
      <c r="L793" s="5" t="str">
        <f>IFERROR(__xludf.DUMMYFUNCTION("""COMPUTED_VALUE"""),"Yes")</f>
        <v>Yes</v>
      </c>
      <c r="M793" s="5" t="str">
        <f>IFERROR(__xludf.DUMMYFUNCTION("""COMPUTED_VALUE"""),"Yes")</f>
        <v>Yes</v>
      </c>
      <c r="N793" s="5" t="str">
        <f>IFERROR(__xludf.DUMMYFUNCTION("""COMPUTED_VALUE"""),"Yes")</f>
        <v>Yes</v>
      </c>
      <c r="O793" s="5" t="str">
        <f>IFERROR(__xludf.DUMMYFUNCTION("""COMPUTED_VALUE"""),"Yes")</f>
        <v>Yes</v>
      </c>
      <c r="P793" s="5" t="str">
        <f>IFERROR(__xludf.DUMMYFUNCTION("""COMPUTED_VALUE"""),"Yes")</f>
        <v>Yes</v>
      </c>
      <c r="Q793" s="5" t="str">
        <f>IFERROR(__xludf.DUMMYFUNCTION("""COMPUTED_VALUE"""),"Yes")</f>
        <v>Yes</v>
      </c>
      <c r="R793" s="5" t="str">
        <f>IFERROR(__xludf.DUMMYFUNCTION("""COMPUTED_VALUE"""),"Yes")</f>
        <v>Yes</v>
      </c>
      <c r="S793" s="5" t="str">
        <f>IFERROR(__xludf.DUMMYFUNCTION("""COMPUTED_VALUE"""),"Yes")</f>
        <v>Yes</v>
      </c>
      <c r="T793" s="5" t="str">
        <f>IFERROR(__xludf.DUMMYFUNCTION("""COMPUTED_VALUE"""),"No")</f>
        <v>No</v>
      </c>
      <c r="U793" s="5" t="str">
        <f>IFERROR(__xludf.DUMMYFUNCTION("""COMPUTED_VALUE"""),"No")</f>
        <v>No</v>
      </c>
      <c r="V793" s="5" t="str">
        <f>IFERROR(__xludf.DUMMYFUNCTION("""COMPUTED_VALUE"""),"No")</f>
        <v>No</v>
      </c>
      <c r="W793" s="5" t="str">
        <f>IFERROR(__xludf.DUMMYFUNCTION("""COMPUTED_VALUE"""),"No")</f>
        <v>No</v>
      </c>
      <c r="X793" s="5" t="str">
        <f>IFERROR(__xludf.DUMMYFUNCTION("""COMPUTED_VALUE"""),"No")</f>
        <v>No</v>
      </c>
      <c r="Y793" s="5" t="str">
        <f>IFERROR(__xludf.DUMMYFUNCTION("""COMPUTED_VALUE"""),"No")</f>
        <v>No</v>
      </c>
      <c r="Z793" s="5" t="str">
        <f>IFERROR(__xludf.DUMMYFUNCTION("""COMPUTED_VALUE"""),"No")</f>
        <v>No</v>
      </c>
      <c r="AA793" s="5" t="str">
        <f>IFERROR(__xludf.DUMMYFUNCTION("""COMPUTED_VALUE"""),"No")</f>
        <v>No</v>
      </c>
      <c r="AB793" s="5" t="str">
        <f>IFERROR(__xludf.DUMMYFUNCTION("""COMPUTED_VALUE"""),"No")</f>
        <v>No</v>
      </c>
      <c r="AC793" s="5" t="str">
        <f>IFERROR(__xludf.DUMMYFUNCTION("""COMPUTED_VALUE"""),"No")</f>
        <v>No</v>
      </c>
      <c r="AD793" s="5" t="str">
        <f>IFERROR(__xludf.DUMMYFUNCTION("""COMPUTED_VALUE"""),"No")</f>
        <v>No</v>
      </c>
      <c r="AE793" s="5" t="str">
        <f>IFERROR(__xludf.DUMMYFUNCTION("""COMPUTED_VALUE"""),"No")</f>
        <v>No</v>
      </c>
      <c r="AF793" s="5" t="str">
        <f>IFERROR(__xludf.DUMMYFUNCTION("""COMPUTED_VALUE"""),"Yes")</f>
        <v>Yes</v>
      </c>
      <c r="AG793" s="5" t="str">
        <f>IFERROR(__xludf.DUMMYFUNCTION("""COMPUTED_VALUE"""),"No")</f>
        <v>No</v>
      </c>
      <c r="AH793" s="5" t="str">
        <f>IFERROR(__xludf.DUMMYFUNCTION("""COMPUTED_VALUE"""),"Yes")</f>
        <v>Yes</v>
      </c>
      <c r="AI793" s="5" t="str">
        <f>IFERROR(__xludf.DUMMYFUNCTION("""COMPUTED_VALUE"""),"No")</f>
        <v>No</v>
      </c>
      <c r="AJ793" s="5" t="str">
        <f>IFERROR(__xludf.DUMMYFUNCTION("""COMPUTED_VALUE"""),"No")</f>
        <v>No</v>
      </c>
      <c r="AK793" s="5" t="str">
        <f>IFERROR(__xludf.DUMMYFUNCTION("""COMPUTED_VALUE"""),"No")</f>
        <v>No</v>
      </c>
      <c r="AL793" s="5" t="str">
        <f>IFERROR(__xludf.DUMMYFUNCTION("""COMPUTED_VALUE"""),"No")</f>
        <v>No</v>
      </c>
      <c r="AM793" s="5"/>
      <c r="AN793" s="5"/>
      <c r="AO793" s="5"/>
      <c r="AP793" s="5"/>
      <c r="AQ793" s="5"/>
      <c r="AR793" s="5"/>
      <c r="AS793" s="5"/>
      <c r="AT793" s="5"/>
      <c r="AU793" s="5"/>
      <c r="AV793" s="5"/>
      <c r="AW793" s="5"/>
      <c r="AX793" s="5"/>
      <c r="AY793" s="5"/>
    </row>
    <row r="794">
      <c r="A794"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4" s="5">
        <f>IFERROR(__xludf.DUMMYFUNCTION("""COMPUTED_VALUE"""),832.0)</f>
        <v>832</v>
      </c>
      <c r="C794" s="5">
        <f>IFERROR(__xludf.DUMMYFUNCTION("""COMPUTED_VALUE"""),543.0)</f>
        <v>543</v>
      </c>
      <c r="D794" s="5" t="str">
        <f>IFERROR(__xludf.DUMMYFUNCTION("""COMPUTED_VALUE"""),"PlayNetRoxyUndercover")</f>
        <v>PlayNetRoxyUndercover</v>
      </c>
      <c r="E794" s="5" t="str">
        <f>IFERROR(__xludf.DUMMYFUNCTION("""COMPUTED_VALUE"""),"Yes")</f>
        <v>Yes</v>
      </c>
      <c r="F794" s="5" t="str">
        <f>IFERROR(__xludf.DUMMYFUNCTION("""COMPUTED_VALUE"""),"Yes")</f>
        <v>Yes</v>
      </c>
      <c r="G794" s="5" t="str">
        <f>IFERROR(__xludf.DUMMYFUNCTION("""COMPUTED_VALUE"""),"Yes")</f>
        <v>Yes</v>
      </c>
      <c r="H794" s="5" t="str">
        <f>IFERROR(__xludf.DUMMYFUNCTION("""COMPUTED_VALUE"""),"Yes")</f>
        <v>Yes</v>
      </c>
      <c r="I794" s="5" t="str">
        <f>IFERROR(__xludf.DUMMYFUNCTION("""COMPUTED_VALUE"""),"Yes")</f>
        <v>Yes</v>
      </c>
      <c r="J794" s="5" t="str">
        <f>IFERROR(__xludf.DUMMYFUNCTION("""COMPUTED_VALUE"""),"Yes")</f>
        <v>Yes</v>
      </c>
      <c r="K794" s="5" t="str">
        <f>IFERROR(__xludf.DUMMYFUNCTION("""COMPUTED_VALUE"""),"Yes")</f>
        <v>Yes</v>
      </c>
      <c r="L794" s="5" t="str">
        <f>IFERROR(__xludf.DUMMYFUNCTION("""COMPUTED_VALUE"""),"Yes")</f>
        <v>Yes</v>
      </c>
      <c r="M794" s="5" t="str">
        <f>IFERROR(__xludf.DUMMYFUNCTION("""COMPUTED_VALUE"""),"Yes")</f>
        <v>Yes</v>
      </c>
      <c r="N794" s="5" t="str">
        <f>IFERROR(__xludf.DUMMYFUNCTION("""COMPUTED_VALUE"""),"Yes")</f>
        <v>Yes</v>
      </c>
      <c r="O794" s="5" t="str">
        <f>IFERROR(__xludf.DUMMYFUNCTION("""COMPUTED_VALUE"""),"Yes")</f>
        <v>Yes</v>
      </c>
      <c r="P794" s="5" t="str">
        <f>IFERROR(__xludf.DUMMYFUNCTION("""COMPUTED_VALUE"""),"Yes")</f>
        <v>Yes</v>
      </c>
      <c r="Q794" s="5" t="str">
        <f>IFERROR(__xludf.DUMMYFUNCTION("""COMPUTED_VALUE"""),"Yes")</f>
        <v>Yes</v>
      </c>
      <c r="R794" s="5" t="str">
        <f>IFERROR(__xludf.DUMMYFUNCTION("""COMPUTED_VALUE"""),"Yes")</f>
        <v>Yes</v>
      </c>
      <c r="S794" s="5" t="str">
        <f>IFERROR(__xludf.DUMMYFUNCTION("""COMPUTED_VALUE"""),"Yes")</f>
        <v>Yes</v>
      </c>
      <c r="T794" s="5"/>
      <c r="U794" s="5"/>
      <c r="V794" s="5"/>
      <c r="W794" s="5"/>
      <c r="X794" s="5"/>
      <c r="Y794" s="5"/>
      <c r="Z794" s="5"/>
      <c r="AA794" s="5"/>
      <c r="AB794" s="5"/>
      <c r="AC794" s="5"/>
      <c r="AD794" s="5"/>
      <c r="AE794" s="5"/>
      <c r="AF794" s="5" t="str">
        <f>IFERROR(__xludf.DUMMYFUNCTION("""COMPUTED_VALUE"""),"Yes")</f>
        <v>Yes</v>
      </c>
      <c r="AG794" s="5"/>
      <c r="AH794" s="5" t="str">
        <f>IFERROR(__xludf.DUMMYFUNCTION("""COMPUTED_VALUE"""),"Yes")</f>
        <v>Yes</v>
      </c>
      <c r="AI794" s="5"/>
      <c r="AJ794" s="5"/>
      <c r="AK794" s="5"/>
      <c r="AL794" s="5"/>
      <c r="AM794" s="5"/>
      <c r="AN794" s="5"/>
      <c r="AO794" s="5"/>
      <c r="AP794" s="5"/>
      <c r="AQ794" s="5"/>
      <c r="AR794" s="5"/>
      <c r="AS794" s="5"/>
      <c r="AT794" s="5"/>
      <c r="AU794" s="5"/>
      <c r="AV794" s="5"/>
      <c r="AW794" s="5"/>
      <c r="AX794" s="5"/>
      <c r="AY794" s="5"/>
    </row>
    <row r="795">
      <c r="A795"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5" s="5">
        <f>IFERROR(__xludf.DUMMYFUNCTION("""COMPUTED_VALUE"""),833.0)</f>
        <v>833</v>
      </c>
      <c r="C795" s="5">
        <f>IFERROR(__xludf.DUMMYFUNCTION("""COMPUTED_VALUE"""),544.0)</f>
        <v>544</v>
      </c>
      <c r="D795" s="5" t="str">
        <f>IFERROR(__xludf.DUMMYFUNCTION("""COMPUTED_VALUE"""),"PlayNetHeartGem100")</f>
        <v>PlayNetHeartGem100</v>
      </c>
      <c r="E795" s="5" t="str">
        <f>IFERROR(__xludf.DUMMYFUNCTION("""COMPUTED_VALUE"""),"Yes")</f>
        <v>Yes</v>
      </c>
      <c r="F795" s="5" t="str">
        <f>IFERROR(__xludf.DUMMYFUNCTION("""COMPUTED_VALUE"""),"Yes")</f>
        <v>Yes</v>
      </c>
      <c r="G795" s="5" t="str">
        <f>IFERROR(__xludf.DUMMYFUNCTION("""COMPUTED_VALUE"""),"Yes")</f>
        <v>Yes</v>
      </c>
      <c r="H795" s="5" t="str">
        <f>IFERROR(__xludf.DUMMYFUNCTION("""COMPUTED_VALUE"""),"Yes")</f>
        <v>Yes</v>
      </c>
      <c r="I795" s="5" t="str">
        <f>IFERROR(__xludf.DUMMYFUNCTION("""COMPUTED_VALUE"""),"Yes")</f>
        <v>Yes</v>
      </c>
      <c r="J795" s="5" t="str">
        <f>IFERROR(__xludf.DUMMYFUNCTION("""COMPUTED_VALUE"""),"Yes")</f>
        <v>Yes</v>
      </c>
      <c r="K795" s="5" t="str">
        <f>IFERROR(__xludf.DUMMYFUNCTION("""COMPUTED_VALUE"""),"Yes")</f>
        <v>Yes</v>
      </c>
      <c r="L795" s="5" t="str">
        <f>IFERROR(__xludf.DUMMYFUNCTION("""COMPUTED_VALUE"""),"Yes")</f>
        <v>Yes</v>
      </c>
      <c r="M795" s="5" t="str">
        <f>IFERROR(__xludf.DUMMYFUNCTION("""COMPUTED_VALUE"""),"Yes")</f>
        <v>Yes</v>
      </c>
      <c r="N795" s="5" t="str">
        <f>IFERROR(__xludf.DUMMYFUNCTION("""COMPUTED_VALUE"""),"Yes")</f>
        <v>Yes</v>
      </c>
      <c r="O795" s="5" t="str">
        <f>IFERROR(__xludf.DUMMYFUNCTION("""COMPUTED_VALUE"""),"Yes")</f>
        <v>Yes</v>
      </c>
      <c r="P795" s="5" t="str">
        <f>IFERROR(__xludf.DUMMYFUNCTION("""COMPUTED_VALUE"""),"Yes")</f>
        <v>Yes</v>
      </c>
      <c r="Q795" s="5" t="str">
        <f>IFERROR(__xludf.DUMMYFUNCTION("""COMPUTED_VALUE"""),"Yes")</f>
        <v>Yes</v>
      </c>
      <c r="R795" s="5" t="str">
        <f>IFERROR(__xludf.DUMMYFUNCTION("""COMPUTED_VALUE"""),"Yes")</f>
        <v>Yes</v>
      </c>
      <c r="S795" s="5" t="str">
        <f>IFERROR(__xludf.DUMMYFUNCTION("""COMPUTED_VALUE"""),"Yes")</f>
        <v>Yes</v>
      </c>
      <c r="T795" s="5"/>
      <c r="U795" s="5"/>
      <c r="V795" s="5"/>
      <c r="W795" s="5"/>
      <c r="X795" s="5"/>
      <c r="Y795" s="5"/>
      <c r="Z795" s="5"/>
      <c r="AA795" s="5"/>
      <c r="AB795" s="5"/>
      <c r="AC795" s="5"/>
      <c r="AD795" s="5"/>
      <c r="AE795" s="5"/>
      <c r="AF795" s="5" t="str">
        <f>IFERROR(__xludf.DUMMYFUNCTION("""COMPUTED_VALUE"""),"Yes")</f>
        <v>Yes</v>
      </c>
      <c r="AG795" s="5"/>
      <c r="AH795" s="5" t="str">
        <f>IFERROR(__xludf.DUMMYFUNCTION("""COMPUTED_VALUE"""),"Yes")</f>
        <v>Yes</v>
      </c>
      <c r="AI795" s="5"/>
      <c r="AJ795" s="5"/>
      <c r="AK795" s="5"/>
      <c r="AL795" s="5"/>
      <c r="AM795" s="5"/>
      <c r="AN795" s="5"/>
      <c r="AO795" s="5"/>
      <c r="AP795" s="5"/>
      <c r="AQ795" s="5"/>
      <c r="AR795" s="5"/>
      <c r="AS795" s="5"/>
      <c r="AT795" s="5"/>
      <c r="AU795" s="5"/>
      <c r="AV795" s="5"/>
      <c r="AW795" s="5"/>
      <c r="AX795" s="5"/>
      <c r="AY795" s="5"/>
    </row>
    <row r="796">
      <c r="A796" s="5" t="str">
        <f>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6" s="5">
        <f>IFERROR(__xludf.DUMMYFUNCTION("""COMPUTED_VALUE"""),834.0)</f>
        <v>834</v>
      </c>
      <c r="C796" s="5">
        <f>IFERROR(__xludf.DUMMYFUNCTION("""COMPUTED_VALUE"""),545.0)</f>
        <v>545</v>
      </c>
      <c r="D796" s="5" t="str">
        <f>IFERROR(__xludf.DUMMYFUNCTION("""COMPUTED_VALUE"""),"PlayNetCrownTreasure10")</f>
        <v>PlayNetCrownTreasure10</v>
      </c>
      <c r="E796" s="5" t="str">
        <f>IFERROR(__xludf.DUMMYFUNCTION("""COMPUTED_VALUE"""),"Yes")</f>
        <v>Yes</v>
      </c>
      <c r="F796" s="5" t="str">
        <f>IFERROR(__xludf.DUMMYFUNCTION("""COMPUTED_VALUE"""),"Yes")</f>
        <v>Yes</v>
      </c>
      <c r="G796" s="5" t="str">
        <f>IFERROR(__xludf.DUMMYFUNCTION("""COMPUTED_VALUE"""),"Yes")</f>
        <v>Yes</v>
      </c>
      <c r="H796" s="5" t="str">
        <f>IFERROR(__xludf.DUMMYFUNCTION("""COMPUTED_VALUE"""),"Yes")</f>
        <v>Yes</v>
      </c>
      <c r="I796" s="5" t="str">
        <f>IFERROR(__xludf.DUMMYFUNCTION("""COMPUTED_VALUE"""),"Yes")</f>
        <v>Yes</v>
      </c>
      <c r="J796" s="5" t="str">
        <f>IFERROR(__xludf.DUMMYFUNCTION("""COMPUTED_VALUE"""),"Yes")</f>
        <v>Yes</v>
      </c>
      <c r="K796" s="5" t="str">
        <f>IFERROR(__xludf.DUMMYFUNCTION("""COMPUTED_VALUE"""),"Yes")</f>
        <v>Yes</v>
      </c>
      <c r="L796" s="5" t="str">
        <f>IFERROR(__xludf.DUMMYFUNCTION("""COMPUTED_VALUE"""),"Yes")</f>
        <v>Yes</v>
      </c>
      <c r="M796" s="5" t="str">
        <f>IFERROR(__xludf.DUMMYFUNCTION("""COMPUTED_VALUE"""),"Yes")</f>
        <v>Yes</v>
      </c>
      <c r="N796" s="5" t="str">
        <f>IFERROR(__xludf.DUMMYFUNCTION("""COMPUTED_VALUE"""),"Yes")</f>
        <v>Yes</v>
      </c>
      <c r="O796" s="5" t="str">
        <f>IFERROR(__xludf.DUMMYFUNCTION("""COMPUTED_VALUE"""),"Yes")</f>
        <v>Yes</v>
      </c>
      <c r="P796" s="5" t="str">
        <f>IFERROR(__xludf.DUMMYFUNCTION("""COMPUTED_VALUE"""),"Yes")</f>
        <v>Yes</v>
      </c>
      <c r="Q796" s="5" t="str">
        <f>IFERROR(__xludf.DUMMYFUNCTION("""COMPUTED_VALUE"""),"Yes")</f>
        <v>Yes</v>
      </c>
      <c r="R796" s="5" t="str">
        <f>IFERROR(__xludf.DUMMYFUNCTION("""COMPUTED_VALUE"""),"Yes")</f>
        <v>Yes</v>
      </c>
      <c r="S796" s="5" t="str">
        <f>IFERROR(__xludf.DUMMYFUNCTION("""COMPUTED_VALUE"""),"Yes")</f>
        <v>Yes</v>
      </c>
      <c r="T796" s="5" t="str">
        <f>IFERROR(__xludf.DUMMYFUNCTION("""COMPUTED_VALUE"""),"No")</f>
        <v>No</v>
      </c>
      <c r="U796" s="5" t="str">
        <f>IFERROR(__xludf.DUMMYFUNCTION("""COMPUTED_VALUE"""),"No")</f>
        <v>No</v>
      </c>
      <c r="V796" s="5" t="str">
        <f>IFERROR(__xludf.DUMMYFUNCTION("""COMPUTED_VALUE"""),"No")</f>
        <v>No</v>
      </c>
      <c r="W796" s="5" t="str">
        <f>IFERROR(__xludf.DUMMYFUNCTION("""COMPUTED_VALUE"""),"No")</f>
        <v>No</v>
      </c>
      <c r="X796" s="5" t="str">
        <f>IFERROR(__xludf.DUMMYFUNCTION("""COMPUTED_VALUE"""),"No")</f>
        <v>No</v>
      </c>
      <c r="Y796" s="5" t="str">
        <f>IFERROR(__xludf.DUMMYFUNCTION("""COMPUTED_VALUE"""),"No")</f>
        <v>No</v>
      </c>
      <c r="Z796" s="5" t="str">
        <f>IFERROR(__xludf.DUMMYFUNCTION("""COMPUTED_VALUE"""),"No")</f>
        <v>No</v>
      </c>
      <c r="AA796" s="5" t="str">
        <f>IFERROR(__xludf.DUMMYFUNCTION("""COMPUTED_VALUE"""),"No")</f>
        <v>No</v>
      </c>
      <c r="AB796" s="5" t="str">
        <f>IFERROR(__xludf.DUMMYFUNCTION("""COMPUTED_VALUE"""),"No")</f>
        <v>No</v>
      </c>
      <c r="AC796" s="5" t="str">
        <f>IFERROR(__xludf.DUMMYFUNCTION("""COMPUTED_VALUE"""),"No")</f>
        <v>No</v>
      </c>
      <c r="AD796" s="5" t="str">
        <f>IFERROR(__xludf.DUMMYFUNCTION("""COMPUTED_VALUE"""),"No")</f>
        <v>No</v>
      </c>
      <c r="AE796" s="5" t="str">
        <f>IFERROR(__xludf.DUMMYFUNCTION("""COMPUTED_VALUE"""),"No")</f>
        <v>No</v>
      </c>
      <c r="AF796" s="5" t="str">
        <f>IFERROR(__xludf.DUMMYFUNCTION("""COMPUTED_VALUE"""),"Yes")</f>
        <v>Yes</v>
      </c>
      <c r="AG796" s="5" t="str">
        <f>IFERROR(__xludf.DUMMYFUNCTION("""COMPUTED_VALUE"""),"No")</f>
        <v>No</v>
      </c>
      <c r="AH796" s="5" t="str">
        <f>IFERROR(__xludf.DUMMYFUNCTION("""COMPUTED_VALUE"""),"Yes")</f>
        <v>Yes</v>
      </c>
      <c r="AI796" s="5" t="str">
        <f>IFERROR(__xludf.DUMMYFUNCTION("""COMPUTED_VALUE"""),"No")</f>
        <v>No</v>
      </c>
      <c r="AJ796" s="5" t="str">
        <f>IFERROR(__xludf.DUMMYFUNCTION("""COMPUTED_VALUE"""),"No")</f>
        <v>No</v>
      </c>
      <c r="AK796" s="5" t="str">
        <f>IFERROR(__xludf.DUMMYFUNCTION("""COMPUTED_VALUE"""),"No")</f>
        <v>No</v>
      </c>
      <c r="AL796" s="5" t="str">
        <f>IFERROR(__xludf.DUMMYFUNCTION("""COMPUTED_VALUE"""),"No")</f>
        <v>No</v>
      </c>
      <c r="AM796" s="5"/>
      <c r="AN796" s="5"/>
      <c r="AO796" s="5"/>
      <c r="AP796" s="5"/>
      <c r="AQ796" s="5"/>
      <c r="AR796" s="5"/>
      <c r="AS796" s="5"/>
      <c r="AT796" s="5"/>
      <c r="AU796" s="5"/>
      <c r="AV796" s="5"/>
      <c r="AW796" s="5"/>
      <c r="AX796" s="5"/>
      <c r="AY796" s="5"/>
    </row>
    <row r="797">
      <c r="A797"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7" s="5">
        <f>IFERROR(__xludf.DUMMYFUNCTION("""COMPUTED_VALUE"""),835.0)</f>
        <v>835</v>
      </c>
      <c r="C797" s="5">
        <f>IFERROR(__xludf.DUMMYFUNCTION("""COMPUTED_VALUE"""),546.0)</f>
        <v>546</v>
      </c>
      <c r="D797" s="5" t="str">
        <f>IFERROR(__xludf.DUMMYFUNCTION("""COMPUTED_VALUE"""),"PlayNetTropicTwistExtreme")</f>
        <v>PlayNetTropicTwistExtreme</v>
      </c>
      <c r="E797" s="5" t="str">
        <f>IFERROR(__xludf.DUMMYFUNCTION("""COMPUTED_VALUE"""),"Yes")</f>
        <v>Yes</v>
      </c>
      <c r="F797" s="5" t="str">
        <f>IFERROR(__xludf.DUMMYFUNCTION("""COMPUTED_VALUE"""),"Yes")</f>
        <v>Yes</v>
      </c>
      <c r="G797" s="5" t="str">
        <f>IFERROR(__xludf.DUMMYFUNCTION("""COMPUTED_VALUE"""),"No")</f>
        <v>No</v>
      </c>
      <c r="H797" s="5" t="str">
        <f>IFERROR(__xludf.DUMMYFUNCTION("""COMPUTED_VALUE"""),"Yes")</f>
        <v>Yes</v>
      </c>
      <c r="I797" s="5" t="str">
        <f>IFERROR(__xludf.DUMMYFUNCTION("""COMPUTED_VALUE"""),"Yes")</f>
        <v>Yes</v>
      </c>
      <c r="J797" s="5" t="str">
        <f>IFERROR(__xludf.DUMMYFUNCTION("""COMPUTED_VALUE"""),"Yes")</f>
        <v>Yes</v>
      </c>
      <c r="K797" s="5" t="str">
        <f>IFERROR(__xludf.DUMMYFUNCTION("""COMPUTED_VALUE"""),"Yes")</f>
        <v>Yes</v>
      </c>
      <c r="L797" s="5" t="str">
        <f>IFERROR(__xludf.DUMMYFUNCTION("""COMPUTED_VALUE"""),"Yes")</f>
        <v>Yes</v>
      </c>
      <c r="M797" s="5" t="str">
        <f>IFERROR(__xludf.DUMMYFUNCTION("""COMPUTED_VALUE"""),"Yes")</f>
        <v>Yes</v>
      </c>
      <c r="N797" s="5" t="str">
        <f>IFERROR(__xludf.DUMMYFUNCTION("""COMPUTED_VALUE"""),"Yes")</f>
        <v>Yes</v>
      </c>
      <c r="O797" s="5" t="str">
        <f>IFERROR(__xludf.DUMMYFUNCTION("""COMPUTED_VALUE"""),"Yes")</f>
        <v>Yes</v>
      </c>
      <c r="P797" s="5" t="str">
        <f>IFERROR(__xludf.DUMMYFUNCTION("""COMPUTED_VALUE"""),"Yes")</f>
        <v>Yes</v>
      </c>
      <c r="Q797" s="5" t="str">
        <f>IFERROR(__xludf.DUMMYFUNCTION("""COMPUTED_VALUE"""),"Yes")</f>
        <v>Yes</v>
      </c>
      <c r="R797" s="5" t="str">
        <f>IFERROR(__xludf.DUMMYFUNCTION("""COMPUTED_VALUE"""),"Yes")</f>
        <v>Yes</v>
      </c>
      <c r="S797" s="5" t="str">
        <f>IFERROR(__xludf.DUMMYFUNCTION("""COMPUTED_VALUE"""),"Yes")</f>
        <v>Yes</v>
      </c>
      <c r="T797" s="5" t="str">
        <f>IFERROR(__xludf.DUMMYFUNCTION("""COMPUTED_VALUE"""),"No")</f>
        <v>No</v>
      </c>
      <c r="U797" s="5" t="str">
        <f>IFERROR(__xludf.DUMMYFUNCTION("""COMPUTED_VALUE"""),"No")</f>
        <v>No</v>
      </c>
      <c r="V797" s="5" t="str">
        <f>IFERROR(__xludf.DUMMYFUNCTION("""COMPUTED_VALUE"""),"No")</f>
        <v>No</v>
      </c>
      <c r="W797" s="5" t="str">
        <f>IFERROR(__xludf.DUMMYFUNCTION("""COMPUTED_VALUE"""),"No")</f>
        <v>No</v>
      </c>
      <c r="X797" s="5" t="str">
        <f>IFERROR(__xludf.DUMMYFUNCTION("""COMPUTED_VALUE"""),"No")</f>
        <v>No</v>
      </c>
      <c r="Y797" s="5" t="str">
        <f>IFERROR(__xludf.DUMMYFUNCTION("""COMPUTED_VALUE"""),"No")</f>
        <v>No</v>
      </c>
      <c r="Z797" s="5" t="str">
        <f>IFERROR(__xludf.DUMMYFUNCTION("""COMPUTED_VALUE"""),"No")</f>
        <v>No</v>
      </c>
      <c r="AA797" s="5" t="str">
        <f>IFERROR(__xludf.DUMMYFUNCTION("""COMPUTED_VALUE"""),"No")</f>
        <v>No</v>
      </c>
      <c r="AB797" s="5" t="str">
        <f>IFERROR(__xludf.DUMMYFUNCTION("""COMPUTED_VALUE"""),"No")</f>
        <v>No</v>
      </c>
      <c r="AC797" s="5" t="str">
        <f>IFERROR(__xludf.DUMMYFUNCTION("""COMPUTED_VALUE"""),"No")</f>
        <v>No</v>
      </c>
      <c r="AD797" s="5" t="str">
        <f>IFERROR(__xludf.DUMMYFUNCTION("""COMPUTED_VALUE"""),"No")</f>
        <v>No</v>
      </c>
      <c r="AE797" s="5" t="str">
        <f>IFERROR(__xludf.DUMMYFUNCTION("""COMPUTED_VALUE"""),"No")</f>
        <v>No</v>
      </c>
      <c r="AF797" s="5" t="str">
        <f>IFERROR(__xludf.DUMMYFUNCTION("""COMPUTED_VALUE"""),"Yes")</f>
        <v>Yes</v>
      </c>
      <c r="AG797" s="5" t="str">
        <f>IFERROR(__xludf.DUMMYFUNCTION("""COMPUTED_VALUE"""),"No")</f>
        <v>No</v>
      </c>
      <c r="AH797" s="5" t="str">
        <f>IFERROR(__xludf.DUMMYFUNCTION("""COMPUTED_VALUE"""),"Yes")</f>
        <v>Yes</v>
      </c>
      <c r="AI797" s="5" t="str">
        <f>IFERROR(__xludf.DUMMYFUNCTION("""COMPUTED_VALUE"""),"No")</f>
        <v>No</v>
      </c>
      <c r="AJ797" s="5" t="str">
        <f>IFERROR(__xludf.DUMMYFUNCTION("""COMPUTED_VALUE"""),"No")</f>
        <v>No</v>
      </c>
      <c r="AK797" s="5" t="str">
        <f>IFERROR(__xludf.DUMMYFUNCTION("""COMPUTED_VALUE"""),"No")</f>
        <v>No</v>
      </c>
      <c r="AL797" s="5" t="str">
        <f>IFERROR(__xludf.DUMMYFUNCTION("""COMPUTED_VALUE"""),"No")</f>
        <v>No</v>
      </c>
      <c r="AM797" s="5"/>
      <c r="AN797" s="5"/>
      <c r="AO797" s="5"/>
      <c r="AP797" s="5"/>
      <c r="AQ797" s="5"/>
      <c r="AR797" s="5"/>
      <c r="AS797" s="5"/>
      <c r="AT797" s="5"/>
      <c r="AU797" s="5"/>
      <c r="AV797" s="5"/>
      <c r="AW797" s="5"/>
      <c r="AX797" s="5"/>
      <c r="AY797" s="5"/>
    </row>
    <row r="798">
      <c r="A798"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8" s="5">
        <f>IFERROR(__xludf.DUMMYFUNCTION("""COMPUTED_VALUE"""),836.0)</f>
        <v>836</v>
      </c>
      <c r="C798" s="5">
        <f>IFERROR(__xludf.DUMMYFUNCTION("""COMPUTED_VALUE"""),547.0)</f>
        <v>547</v>
      </c>
      <c r="D798" s="5" t="str">
        <f>IFERROR(__xludf.DUMMYFUNCTION("""COMPUTED_VALUE"""),"PlayNetCloverWealth5")</f>
        <v>PlayNetCloverWealth5</v>
      </c>
      <c r="E798" s="5" t="str">
        <f>IFERROR(__xludf.DUMMYFUNCTION("""COMPUTED_VALUE"""),"Yes")</f>
        <v>Yes</v>
      </c>
      <c r="F798" s="5" t="str">
        <f>IFERROR(__xludf.DUMMYFUNCTION("""COMPUTED_VALUE"""),"Yes")</f>
        <v>Yes</v>
      </c>
      <c r="G798" s="5" t="str">
        <f>IFERROR(__xludf.DUMMYFUNCTION("""COMPUTED_VALUE"""),"No")</f>
        <v>No</v>
      </c>
      <c r="H798" s="5" t="str">
        <f>IFERROR(__xludf.DUMMYFUNCTION("""COMPUTED_VALUE"""),"Yes")</f>
        <v>Yes</v>
      </c>
      <c r="I798" s="5" t="str">
        <f>IFERROR(__xludf.DUMMYFUNCTION("""COMPUTED_VALUE"""),"Yes")</f>
        <v>Yes</v>
      </c>
      <c r="J798" s="5" t="str">
        <f>IFERROR(__xludf.DUMMYFUNCTION("""COMPUTED_VALUE"""),"Yes")</f>
        <v>Yes</v>
      </c>
      <c r="K798" s="5" t="str">
        <f>IFERROR(__xludf.DUMMYFUNCTION("""COMPUTED_VALUE"""),"Yes")</f>
        <v>Yes</v>
      </c>
      <c r="L798" s="5" t="str">
        <f>IFERROR(__xludf.DUMMYFUNCTION("""COMPUTED_VALUE"""),"Yes")</f>
        <v>Yes</v>
      </c>
      <c r="M798" s="5" t="str">
        <f>IFERROR(__xludf.DUMMYFUNCTION("""COMPUTED_VALUE"""),"Yes")</f>
        <v>Yes</v>
      </c>
      <c r="N798" s="5" t="str">
        <f>IFERROR(__xludf.DUMMYFUNCTION("""COMPUTED_VALUE"""),"Yes")</f>
        <v>Yes</v>
      </c>
      <c r="O798" s="5" t="str">
        <f>IFERROR(__xludf.DUMMYFUNCTION("""COMPUTED_VALUE"""),"Yes")</f>
        <v>Yes</v>
      </c>
      <c r="P798" s="5" t="str">
        <f>IFERROR(__xludf.DUMMYFUNCTION("""COMPUTED_VALUE"""),"Yes")</f>
        <v>Yes</v>
      </c>
      <c r="Q798" s="5" t="str">
        <f>IFERROR(__xludf.DUMMYFUNCTION("""COMPUTED_VALUE"""),"Yes")</f>
        <v>Yes</v>
      </c>
      <c r="R798" s="5" t="str">
        <f>IFERROR(__xludf.DUMMYFUNCTION("""COMPUTED_VALUE"""),"Yes")</f>
        <v>Yes</v>
      </c>
      <c r="S798" s="5" t="str">
        <f>IFERROR(__xludf.DUMMYFUNCTION("""COMPUTED_VALUE"""),"Yes")</f>
        <v>Yes</v>
      </c>
      <c r="T798" s="5" t="str">
        <f>IFERROR(__xludf.DUMMYFUNCTION("""COMPUTED_VALUE"""),"No")</f>
        <v>No</v>
      </c>
      <c r="U798" s="5" t="str">
        <f>IFERROR(__xludf.DUMMYFUNCTION("""COMPUTED_VALUE"""),"No")</f>
        <v>No</v>
      </c>
      <c r="V798" s="5" t="str">
        <f>IFERROR(__xludf.DUMMYFUNCTION("""COMPUTED_VALUE"""),"No")</f>
        <v>No</v>
      </c>
      <c r="W798" s="5" t="str">
        <f>IFERROR(__xludf.DUMMYFUNCTION("""COMPUTED_VALUE"""),"No")</f>
        <v>No</v>
      </c>
      <c r="X798" s="5" t="str">
        <f>IFERROR(__xludf.DUMMYFUNCTION("""COMPUTED_VALUE"""),"No")</f>
        <v>No</v>
      </c>
      <c r="Y798" s="5" t="str">
        <f>IFERROR(__xludf.DUMMYFUNCTION("""COMPUTED_VALUE"""),"No")</f>
        <v>No</v>
      </c>
      <c r="Z798" s="5" t="str">
        <f>IFERROR(__xludf.DUMMYFUNCTION("""COMPUTED_VALUE"""),"No")</f>
        <v>No</v>
      </c>
      <c r="AA798" s="5" t="str">
        <f>IFERROR(__xludf.DUMMYFUNCTION("""COMPUTED_VALUE"""),"No")</f>
        <v>No</v>
      </c>
      <c r="AB798" s="5" t="str">
        <f>IFERROR(__xludf.DUMMYFUNCTION("""COMPUTED_VALUE"""),"No")</f>
        <v>No</v>
      </c>
      <c r="AC798" s="5" t="str">
        <f>IFERROR(__xludf.DUMMYFUNCTION("""COMPUTED_VALUE"""),"No")</f>
        <v>No</v>
      </c>
      <c r="AD798" s="5" t="str">
        <f>IFERROR(__xludf.DUMMYFUNCTION("""COMPUTED_VALUE"""),"No")</f>
        <v>No</v>
      </c>
      <c r="AE798" s="5" t="str">
        <f>IFERROR(__xludf.DUMMYFUNCTION("""COMPUTED_VALUE"""),"No")</f>
        <v>No</v>
      </c>
      <c r="AF798" s="5" t="str">
        <f>IFERROR(__xludf.DUMMYFUNCTION("""COMPUTED_VALUE"""),"Yes")</f>
        <v>Yes</v>
      </c>
      <c r="AG798" s="5" t="str">
        <f>IFERROR(__xludf.DUMMYFUNCTION("""COMPUTED_VALUE"""),"No")</f>
        <v>No</v>
      </c>
      <c r="AH798" s="5" t="str">
        <f>IFERROR(__xludf.DUMMYFUNCTION("""COMPUTED_VALUE"""),"Yes")</f>
        <v>Yes</v>
      </c>
      <c r="AI798" s="5" t="str">
        <f>IFERROR(__xludf.DUMMYFUNCTION("""COMPUTED_VALUE"""),"No")</f>
        <v>No</v>
      </c>
      <c r="AJ798" s="5" t="str">
        <f>IFERROR(__xludf.DUMMYFUNCTION("""COMPUTED_VALUE"""),"No")</f>
        <v>No</v>
      </c>
      <c r="AK798" s="5" t="str">
        <f>IFERROR(__xludf.DUMMYFUNCTION("""COMPUTED_VALUE"""),"No")</f>
        <v>No</v>
      </c>
      <c r="AL798" s="5" t="str">
        <f>IFERROR(__xludf.DUMMYFUNCTION("""COMPUTED_VALUE"""),"No")</f>
        <v>No</v>
      </c>
      <c r="AM798" s="5"/>
      <c r="AN798" s="5"/>
      <c r="AO798" s="5"/>
      <c r="AP798" s="5"/>
      <c r="AQ798" s="5"/>
      <c r="AR798" s="5"/>
      <c r="AS798" s="5"/>
      <c r="AT798" s="5"/>
      <c r="AU798" s="5"/>
      <c r="AV798" s="5"/>
      <c r="AW798" s="5"/>
      <c r="AX798" s="5"/>
      <c r="AY798" s="5"/>
    </row>
    <row r="799">
      <c r="A799"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9" s="5">
        <f>IFERROR(__xludf.DUMMYFUNCTION("""COMPUTED_VALUE"""),837.0)</f>
        <v>837</v>
      </c>
      <c r="C799" s="5">
        <f>IFERROR(__xludf.DUMMYFUNCTION("""COMPUTED_VALUE"""),548.0)</f>
        <v>548</v>
      </c>
      <c r="D799" s="5" t="str">
        <f>IFERROR(__xludf.DUMMYFUNCTION("""COMPUTED_VALUE"""),"PlayNet27LuckyCrown")</f>
        <v>PlayNet27LuckyCrown</v>
      </c>
      <c r="E799" s="5" t="str">
        <f>IFERROR(__xludf.DUMMYFUNCTION("""COMPUTED_VALUE"""),"Yes")</f>
        <v>Yes</v>
      </c>
      <c r="F799" s="5" t="str">
        <f>IFERROR(__xludf.DUMMYFUNCTION("""COMPUTED_VALUE"""),"Yes")</f>
        <v>Yes</v>
      </c>
      <c r="G799" s="5" t="str">
        <f>IFERROR(__xludf.DUMMYFUNCTION("""COMPUTED_VALUE"""),"No")</f>
        <v>No</v>
      </c>
      <c r="H799" s="5" t="str">
        <f>IFERROR(__xludf.DUMMYFUNCTION("""COMPUTED_VALUE"""),"Yes")</f>
        <v>Yes</v>
      </c>
      <c r="I799" s="5" t="str">
        <f>IFERROR(__xludf.DUMMYFUNCTION("""COMPUTED_VALUE"""),"Yes")</f>
        <v>Yes</v>
      </c>
      <c r="J799" s="5" t="str">
        <f>IFERROR(__xludf.DUMMYFUNCTION("""COMPUTED_VALUE"""),"Yes")</f>
        <v>Yes</v>
      </c>
      <c r="K799" s="5" t="str">
        <f>IFERROR(__xludf.DUMMYFUNCTION("""COMPUTED_VALUE"""),"Yes")</f>
        <v>Yes</v>
      </c>
      <c r="L799" s="5" t="str">
        <f>IFERROR(__xludf.DUMMYFUNCTION("""COMPUTED_VALUE"""),"Yes")</f>
        <v>Yes</v>
      </c>
      <c r="M799" s="5" t="str">
        <f>IFERROR(__xludf.DUMMYFUNCTION("""COMPUTED_VALUE"""),"Yes")</f>
        <v>Yes</v>
      </c>
      <c r="N799" s="5" t="str">
        <f>IFERROR(__xludf.DUMMYFUNCTION("""COMPUTED_VALUE"""),"Yes")</f>
        <v>Yes</v>
      </c>
      <c r="O799" s="5" t="str">
        <f>IFERROR(__xludf.DUMMYFUNCTION("""COMPUTED_VALUE"""),"Yes")</f>
        <v>Yes</v>
      </c>
      <c r="P799" s="5" t="str">
        <f>IFERROR(__xludf.DUMMYFUNCTION("""COMPUTED_VALUE"""),"Yes")</f>
        <v>Yes</v>
      </c>
      <c r="Q799" s="5" t="str">
        <f>IFERROR(__xludf.DUMMYFUNCTION("""COMPUTED_VALUE"""),"Yes")</f>
        <v>Yes</v>
      </c>
      <c r="R799" s="5" t="str">
        <f>IFERROR(__xludf.DUMMYFUNCTION("""COMPUTED_VALUE"""),"Yes")</f>
        <v>Yes</v>
      </c>
      <c r="S799" s="5" t="str">
        <f>IFERROR(__xludf.DUMMYFUNCTION("""COMPUTED_VALUE"""),"Yes")</f>
        <v>Yes</v>
      </c>
      <c r="T799" s="5" t="str">
        <f>IFERROR(__xludf.DUMMYFUNCTION("""COMPUTED_VALUE"""),"No")</f>
        <v>No</v>
      </c>
      <c r="U799" s="5" t="str">
        <f>IFERROR(__xludf.DUMMYFUNCTION("""COMPUTED_VALUE"""),"No")</f>
        <v>No</v>
      </c>
      <c r="V799" s="5" t="str">
        <f>IFERROR(__xludf.DUMMYFUNCTION("""COMPUTED_VALUE"""),"No")</f>
        <v>No</v>
      </c>
      <c r="W799" s="5" t="str">
        <f>IFERROR(__xludf.DUMMYFUNCTION("""COMPUTED_VALUE"""),"No")</f>
        <v>No</v>
      </c>
      <c r="X799" s="5" t="str">
        <f>IFERROR(__xludf.DUMMYFUNCTION("""COMPUTED_VALUE"""),"No")</f>
        <v>No</v>
      </c>
      <c r="Y799" s="5" t="str">
        <f>IFERROR(__xludf.DUMMYFUNCTION("""COMPUTED_VALUE"""),"No")</f>
        <v>No</v>
      </c>
      <c r="Z799" s="5" t="str">
        <f>IFERROR(__xludf.DUMMYFUNCTION("""COMPUTED_VALUE"""),"No")</f>
        <v>No</v>
      </c>
      <c r="AA799" s="5" t="str">
        <f>IFERROR(__xludf.DUMMYFUNCTION("""COMPUTED_VALUE"""),"No")</f>
        <v>No</v>
      </c>
      <c r="AB799" s="5" t="str">
        <f>IFERROR(__xludf.DUMMYFUNCTION("""COMPUTED_VALUE"""),"No")</f>
        <v>No</v>
      </c>
      <c r="AC799" s="5" t="str">
        <f>IFERROR(__xludf.DUMMYFUNCTION("""COMPUTED_VALUE"""),"No")</f>
        <v>No</v>
      </c>
      <c r="AD799" s="5" t="str">
        <f>IFERROR(__xludf.DUMMYFUNCTION("""COMPUTED_VALUE"""),"No")</f>
        <v>No</v>
      </c>
      <c r="AE799" s="5" t="str">
        <f>IFERROR(__xludf.DUMMYFUNCTION("""COMPUTED_VALUE"""),"No")</f>
        <v>No</v>
      </c>
      <c r="AF799" s="5" t="str">
        <f>IFERROR(__xludf.DUMMYFUNCTION("""COMPUTED_VALUE"""),"Yes")</f>
        <v>Yes</v>
      </c>
      <c r="AG799" s="5" t="str">
        <f>IFERROR(__xludf.DUMMYFUNCTION("""COMPUTED_VALUE"""),"No")</f>
        <v>No</v>
      </c>
      <c r="AH799" s="5" t="str">
        <f>IFERROR(__xludf.DUMMYFUNCTION("""COMPUTED_VALUE"""),"Yes")</f>
        <v>Yes</v>
      </c>
      <c r="AI799" s="5" t="str">
        <f>IFERROR(__xludf.DUMMYFUNCTION("""COMPUTED_VALUE"""),"No")</f>
        <v>No</v>
      </c>
      <c r="AJ799" s="5" t="str">
        <f>IFERROR(__xludf.DUMMYFUNCTION("""COMPUTED_VALUE"""),"No")</f>
        <v>No</v>
      </c>
      <c r="AK799" s="5" t="str">
        <f>IFERROR(__xludf.DUMMYFUNCTION("""COMPUTED_VALUE"""),"No")</f>
        <v>No</v>
      </c>
      <c r="AL799" s="5" t="str">
        <f>IFERROR(__xludf.DUMMYFUNCTION("""COMPUTED_VALUE"""),"No")</f>
        <v>No</v>
      </c>
      <c r="AM799" s="5"/>
      <c r="AN799" s="5"/>
      <c r="AO799" s="5"/>
      <c r="AP799" s="5"/>
      <c r="AQ799" s="5"/>
      <c r="AR799" s="5"/>
      <c r="AS799" s="5"/>
      <c r="AT799" s="5"/>
      <c r="AU799" s="5"/>
      <c r="AV799" s="5"/>
      <c r="AW799" s="5"/>
      <c r="AX799" s="5"/>
      <c r="AY799" s="5"/>
    </row>
    <row r="800">
      <c r="A800"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0" s="5">
        <f>IFERROR(__xludf.DUMMYFUNCTION("""COMPUTED_VALUE"""),838.0)</f>
        <v>838</v>
      </c>
      <c r="C800" s="5">
        <f>IFERROR(__xludf.DUMMYFUNCTION("""COMPUTED_VALUE"""),549.0)</f>
        <v>549</v>
      </c>
      <c r="D800" s="5" t="str">
        <f>IFERROR(__xludf.DUMMYFUNCTION("""COMPUTED_VALUE"""),"PlayNetRoyalFlameX2")</f>
        <v>PlayNetRoyalFlameX2</v>
      </c>
      <c r="E800" s="5" t="str">
        <f>IFERROR(__xludf.DUMMYFUNCTION("""COMPUTED_VALUE"""),"Yes")</f>
        <v>Yes</v>
      </c>
      <c r="F800" s="5" t="str">
        <f>IFERROR(__xludf.DUMMYFUNCTION("""COMPUTED_VALUE"""),"Yes")</f>
        <v>Yes</v>
      </c>
      <c r="G800" s="5" t="str">
        <f>IFERROR(__xludf.DUMMYFUNCTION("""COMPUTED_VALUE"""),"No")</f>
        <v>No</v>
      </c>
      <c r="H800" s="5" t="str">
        <f>IFERROR(__xludf.DUMMYFUNCTION("""COMPUTED_VALUE"""),"Yes")</f>
        <v>Yes</v>
      </c>
      <c r="I800" s="5" t="str">
        <f>IFERROR(__xludf.DUMMYFUNCTION("""COMPUTED_VALUE"""),"Yes")</f>
        <v>Yes</v>
      </c>
      <c r="J800" s="5" t="str">
        <f>IFERROR(__xludf.DUMMYFUNCTION("""COMPUTED_VALUE"""),"Yes")</f>
        <v>Yes</v>
      </c>
      <c r="K800" s="5" t="str">
        <f>IFERROR(__xludf.DUMMYFUNCTION("""COMPUTED_VALUE"""),"Yes")</f>
        <v>Yes</v>
      </c>
      <c r="L800" s="5" t="str">
        <f>IFERROR(__xludf.DUMMYFUNCTION("""COMPUTED_VALUE"""),"Yes")</f>
        <v>Yes</v>
      </c>
      <c r="M800" s="5" t="str">
        <f>IFERROR(__xludf.DUMMYFUNCTION("""COMPUTED_VALUE"""),"Yes")</f>
        <v>Yes</v>
      </c>
      <c r="N800" s="5" t="str">
        <f>IFERROR(__xludf.DUMMYFUNCTION("""COMPUTED_VALUE"""),"Yes")</f>
        <v>Yes</v>
      </c>
      <c r="O800" s="5" t="str">
        <f>IFERROR(__xludf.DUMMYFUNCTION("""COMPUTED_VALUE"""),"Yes")</f>
        <v>Yes</v>
      </c>
      <c r="P800" s="5" t="str">
        <f>IFERROR(__xludf.DUMMYFUNCTION("""COMPUTED_VALUE"""),"Yes")</f>
        <v>Yes</v>
      </c>
      <c r="Q800" s="5" t="str">
        <f>IFERROR(__xludf.DUMMYFUNCTION("""COMPUTED_VALUE"""),"Yes")</f>
        <v>Yes</v>
      </c>
      <c r="R800" s="5" t="str">
        <f>IFERROR(__xludf.DUMMYFUNCTION("""COMPUTED_VALUE"""),"Yes")</f>
        <v>Yes</v>
      </c>
      <c r="S800" s="5" t="str">
        <f>IFERROR(__xludf.DUMMYFUNCTION("""COMPUTED_VALUE"""),"Yes")</f>
        <v>Yes</v>
      </c>
      <c r="T800" s="5" t="str">
        <f>IFERROR(__xludf.DUMMYFUNCTION("""COMPUTED_VALUE"""),"No")</f>
        <v>No</v>
      </c>
      <c r="U800" s="5" t="str">
        <f>IFERROR(__xludf.DUMMYFUNCTION("""COMPUTED_VALUE"""),"No")</f>
        <v>No</v>
      </c>
      <c r="V800" s="5" t="str">
        <f>IFERROR(__xludf.DUMMYFUNCTION("""COMPUTED_VALUE"""),"No")</f>
        <v>No</v>
      </c>
      <c r="W800" s="5" t="str">
        <f>IFERROR(__xludf.DUMMYFUNCTION("""COMPUTED_VALUE"""),"No")</f>
        <v>No</v>
      </c>
      <c r="X800" s="5" t="str">
        <f>IFERROR(__xludf.DUMMYFUNCTION("""COMPUTED_VALUE"""),"No")</f>
        <v>No</v>
      </c>
      <c r="Y800" s="5" t="str">
        <f>IFERROR(__xludf.DUMMYFUNCTION("""COMPUTED_VALUE"""),"No")</f>
        <v>No</v>
      </c>
      <c r="Z800" s="5" t="str">
        <f>IFERROR(__xludf.DUMMYFUNCTION("""COMPUTED_VALUE"""),"No")</f>
        <v>No</v>
      </c>
      <c r="AA800" s="5" t="str">
        <f>IFERROR(__xludf.DUMMYFUNCTION("""COMPUTED_VALUE"""),"No")</f>
        <v>No</v>
      </c>
      <c r="AB800" s="5" t="str">
        <f>IFERROR(__xludf.DUMMYFUNCTION("""COMPUTED_VALUE"""),"No")</f>
        <v>No</v>
      </c>
      <c r="AC800" s="5" t="str">
        <f>IFERROR(__xludf.DUMMYFUNCTION("""COMPUTED_VALUE"""),"No")</f>
        <v>No</v>
      </c>
      <c r="AD800" s="5" t="str">
        <f>IFERROR(__xludf.DUMMYFUNCTION("""COMPUTED_VALUE"""),"No")</f>
        <v>No</v>
      </c>
      <c r="AE800" s="5" t="str">
        <f>IFERROR(__xludf.DUMMYFUNCTION("""COMPUTED_VALUE"""),"No")</f>
        <v>No</v>
      </c>
      <c r="AF800" s="5" t="str">
        <f>IFERROR(__xludf.DUMMYFUNCTION("""COMPUTED_VALUE"""),"Yes")</f>
        <v>Yes</v>
      </c>
      <c r="AG800" s="5" t="str">
        <f>IFERROR(__xludf.DUMMYFUNCTION("""COMPUTED_VALUE"""),"No")</f>
        <v>No</v>
      </c>
      <c r="AH800" s="5" t="str">
        <f>IFERROR(__xludf.DUMMYFUNCTION("""COMPUTED_VALUE"""),"Yes")</f>
        <v>Yes</v>
      </c>
      <c r="AI800" s="5" t="str">
        <f>IFERROR(__xludf.DUMMYFUNCTION("""COMPUTED_VALUE"""),"No")</f>
        <v>No</v>
      </c>
      <c r="AJ800" s="5" t="str">
        <f>IFERROR(__xludf.DUMMYFUNCTION("""COMPUTED_VALUE"""),"No")</f>
        <v>No</v>
      </c>
      <c r="AK800" s="5" t="str">
        <f>IFERROR(__xludf.DUMMYFUNCTION("""COMPUTED_VALUE"""),"No")</f>
        <v>No</v>
      </c>
      <c r="AL800" s="5" t="str">
        <f>IFERROR(__xludf.DUMMYFUNCTION("""COMPUTED_VALUE"""),"No")</f>
        <v>No</v>
      </c>
      <c r="AM800" s="5"/>
      <c r="AN800" s="5"/>
      <c r="AO800" s="5"/>
      <c r="AP800" s="5"/>
      <c r="AQ800" s="5"/>
      <c r="AR800" s="5"/>
      <c r="AS800" s="5"/>
      <c r="AT800" s="5"/>
      <c r="AU800" s="5"/>
      <c r="AV800" s="5"/>
      <c r="AW800" s="5"/>
      <c r="AX800" s="5"/>
      <c r="AY800" s="5"/>
    </row>
    <row r="801">
      <c r="A801"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1" s="5">
        <f>IFERROR(__xludf.DUMMYFUNCTION("""COMPUTED_VALUE"""),839.0)</f>
        <v>839</v>
      </c>
      <c r="C801" s="5">
        <f>IFERROR(__xludf.DUMMYFUNCTION("""COMPUTED_VALUE"""),550.0)</f>
        <v>550</v>
      </c>
      <c r="D801" s="5" t="str">
        <f>IFERROR(__xludf.DUMMYFUNCTION("""COMPUTED_VALUE"""),"PlayNetHeartGem5")</f>
        <v>PlayNetHeartGem5</v>
      </c>
      <c r="E801" s="5" t="str">
        <f>IFERROR(__xludf.DUMMYFUNCTION("""COMPUTED_VALUE"""),"Yes")</f>
        <v>Yes</v>
      </c>
      <c r="F801" s="5" t="str">
        <f>IFERROR(__xludf.DUMMYFUNCTION("""COMPUTED_VALUE"""),"Yes")</f>
        <v>Yes</v>
      </c>
      <c r="G801" s="5" t="str">
        <f>IFERROR(__xludf.DUMMYFUNCTION("""COMPUTED_VALUE"""),"No")</f>
        <v>No</v>
      </c>
      <c r="H801" s="5" t="str">
        <f>IFERROR(__xludf.DUMMYFUNCTION("""COMPUTED_VALUE"""),"Yes")</f>
        <v>Yes</v>
      </c>
      <c r="I801" s="5" t="str">
        <f>IFERROR(__xludf.DUMMYFUNCTION("""COMPUTED_VALUE"""),"Yes")</f>
        <v>Yes</v>
      </c>
      <c r="J801" s="5" t="str">
        <f>IFERROR(__xludf.DUMMYFUNCTION("""COMPUTED_VALUE"""),"Yes")</f>
        <v>Yes</v>
      </c>
      <c r="K801" s="5" t="str">
        <f>IFERROR(__xludf.DUMMYFUNCTION("""COMPUTED_VALUE"""),"Yes")</f>
        <v>Yes</v>
      </c>
      <c r="L801" s="5" t="str">
        <f>IFERROR(__xludf.DUMMYFUNCTION("""COMPUTED_VALUE"""),"Yes")</f>
        <v>Yes</v>
      </c>
      <c r="M801" s="5" t="str">
        <f>IFERROR(__xludf.DUMMYFUNCTION("""COMPUTED_VALUE"""),"Yes")</f>
        <v>Yes</v>
      </c>
      <c r="N801" s="5" t="str">
        <f>IFERROR(__xludf.DUMMYFUNCTION("""COMPUTED_VALUE"""),"Yes")</f>
        <v>Yes</v>
      </c>
      <c r="O801" s="5" t="str">
        <f>IFERROR(__xludf.DUMMYFUNCTION("""COMPUTED_VALUE"""),"Yes")</f>
        <v>Yes</v>
      </c>
      <c r="P801" s="5" t="str">
        <f>IFERROR(__xludf.DUMMYFUNCTION("""COMPUTED_VALUE"""),"Yes")</f>
        <v>Yes</v>
      </c>
      <c r="Q801" s="5" t="str">
        <f>IFERROR(__xludf.DUMMYFUNCTION("""COMPUTED_VALUE"""),"Yes")</f>
        <v>Yes</v>
      </c>
      <c r="R801" s="5" t="str">
        <f>IFERROR(__xludf.DUMMYFUNCTION("""COMPUTED_VALUE"""),"Yes")</f>
        <v>Yes</v>
      </c>
      <c r="S801" s="5" t="str">
        <f>IFERROR(__xludf.DUMMYFUNCTION("""COMPUTED_VALUE"""),"Yes")</f>
        <v>Yes</v>
      </c>
      <c r="T801" s="5" t="str">
        <f>IFERROR(__xludf.DUMMYFUNCTION("""COMPUTED_VALUE"""),"No")</f>
        <v>No</v>
      </c>
      <c r="U801" s="5" t="str">
        <f>IFERROR(__xludf.DUMMYFUNCTION("""COMPUTED_VALUE"""),"No")</f>
        <v>No</v>
      </c>
      <c r="V801" s="5" t="str">
        <f>IFERROR(__xludf.DUMMYFUNCTION("""COMPUTED_VALUE"""),"No")</f>
        <v>No</v>
      </c>
      <c r="W801" s="5" t="str">
        <f>IFERROR(__xludf.DUMMYFUNCTION("""COMPUTED_VALUE"""),"No")</f>
        <v>No</v>
      </c>
      <c r="X801" s="5" t="str">
        <f>IFERROR(__xludf.DUMMYFUNCTION("""COMPUTED_VALUE"""),"No")</f>
        <v>No</v>
      </c>
      <c r="Y801" s="5" t="str">
        <f>IFERROR(__xludf.DUMMYFUNCTION("""COMPUTED_VALUE"""),"No")</f>
        <v>No</v>
      </c>
      <c r="Z801" s="5" t="str">
        <f>IFERROR(__xludf.DUMMYFUNCTION("""COMPUTED_VALUE"""),"No")</f>
        <v>No</v>
      </c>
      <c r="AA801" s="5" t="str">
        <f>IFERROR(__xludf.DUMMYFUNCTION("""COMPUTED_VALUE"""),"No")</f>
        <v>No</v>
      </c>
      <c r="AB801" s="5" t="str">
        <f>IFERROR(__xludf.DUMMYFUNCTION("""COMPUTED_VALUE"""),"No")</f>
        <v>No</v>
      </c>
      <c r="AC801" s="5" t="str">
        <f>IFERROR(__xludf.DUMMYFUNCTION("""COMPUTED_VALUE"""),"No")</f>
        <v>No</v>
      </c>
      <c r="AD801" s="5" t="str">
        <f>IFERROR(__xludf.DUMMYFUNCTION("""COMPUTED_VALUE"""),"No")</f>
        <v>No</v>
      </c>
      <c r="AE801" s="5" t="str">
        <f>IFERROR(__xludf.DUMMYFUNCTION("""COMPUTED_VALUE"""),"No")</f>
        <v>No</v>
      </c>
      <c r="AF801" s="5" t="str">
        <f>IFERROR(__xludf.DUMMYFUNCTION("""COMPUTED_VALUE"""),"Yes")</f>
        <v>Yes</v>
      </c>
      <c r="AG801" s="5" t="str">
        <f>IFERROR(__xludf.DUMMYFUNCTION("""COMPUTED_VALUE"""),"No")</f>
        <v>No</v>
      </c>
      <c r="AH801" s="5" t="str">
        <f>IFERROR(__xludf.DUMMYFUNCTION("""COMPUTED_VALUE"""),"Yes")</f>
        <v>Yes</v>
      </c>
      <c r="AI801" s="5" t="str">
        <f>IFERROR(__xludf.DUMMYFUNCTION("""COMPUTED_VALUE"""),"No")</f>
        <v>No</v>
      </c>
      <c r="AJ801" s="5" t="str">
        <f>IFERROR(__xludf.DUMMYFUNCTION("""COMPUTED_VALUE"""),"No")</f>
        <v>No</v>
      </c>
      <c r="AK801" s="5" t="str">
        <f>IFERROR(__xludf.DUMMYFUNCTION("""COMPUTED_VALUE"""),"No")</f>
        <v>No</v>
      </c>
      <c r="AL801" s="5" t="str">
        <f>IFERROR(__xludf.DUMMYFUNCTION("""COMPUTED_VALUE"""),"No")</f>
        <v>No</v>
      </c>
      <c r="AM801" s="5"/>
      <c r="AN801" s="5"/>
      <c r="AO801" s="5"/>
      <c r="AP801" s="5"/>
      <c r="AQ801" s="5"/>
      <c r="AR801" s="5"/>
      <c r="AS801" s="5"/>
      <c r="AT801" s="5"/>
      <c r="AU801" s="5"/>
      <c r="AV801" s="5"/>
      <c r="AW801" s="5"/>
      <c r="AX801" s="5"/>
      <c r="AY801" s="5"/>
    </row>
    <row r="802">
      <c r="A802"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2" s="5">
        <f>IFERROR(__xludf.DUMMYFUNCTION("""COMPUTED_VALUE"""),840.0)</f>
        <v>840</v>
      </c>
      <c r="C802" s="5">
        <f>IFERROR(__xludf.DUMMYFUNCTION("""COMPUTED_VALUE"""),552.0)</f>
        <v>552</v>
      </c>
      <c r="D802" s="5" t="str">
        <f>IFERROR(__xludf.DUMMYFUNCTION("""COMPUTED_VALUE"""),"PlayNetEmpressOfFlame20")</f>
        <v>PlayNetEmpressOfFlame20</v>
      </c>
      <c r="E802" s="5" t="str">
        <f>IFERROR(__xludf.DUMMYFUNCTION("""COMPUTED_VALUE"""),"Yes")</f>
        <v>Yes</v>
      </c>
      <c r="F802" s="5" t="str">
        <f>IFERROR(__xludf.DUMMYFUNCTION("""COMPUTED_VALUE"""),"Yes")</f>
        <v>Yes</v>
      </c>
      <c r="G802" s="5" t="str">
        <f>IFERROR(__xludf.DUMMYFUNCTION("""COMPUTED_VALUE"""),"No")</f>
        <v>No</v>
      </c>
      <c r="H802" s="5" t="str">
        <f>IFERROR(__xludf.DUMMYFUNCTION("""COMPUTED_VALUE"""),"Yes")</f>
        <v>Yes</v>
      </c>
      <c r="I802" s="5" t="str">
        <f>IFERROR(__xludf.DUMMYFUNCTION("""COMPUTED_VALUE"""),"Yes")</f>
        <v>Yes</v>
      </c>
      <c r="J802" s="5" t="str">
        <f>IFERROR(__xludf.DUMMYFUNCTION("""COMPUTED_VALUE"""),"Yes")</f>
        <v>Yes</v>
      </c>
      <c r="K802" s="5" t="str">
        <f>IFERROR(__xludf.DUMMYFUNCTION("""COMPUTED_VALUE"""),"Yes")</f>
        <v>Yes</v>
      </c>
      <c r="L802" s="5" t="str">
        <f>IFERROR(__xludf.DUMMYFUNCTION("""COMPUTED_VALUE"""),"Yes")</f>
        <v>Yes</v>
      </c>
      <c r="M802" s="5" t="str">
        <f>IFERROR(__xludf.DUMMYFUNCTION("""COMPUTED_VALUE"""),"Yes")</f>
        <v>Yes</v>
      </c>
      <c r="N802" s="5" t="str">
        <f>IFERROR(__xludf.DUMMYFUNCTION("""COMPUTED_VALUE"""),"Yes")</f>
        <v>Yes</v>
      </c>
      <c r="O802" s="5" t="str">
        <f>IFERROR(__xludf.DUMMYFUNCTION("""COMPUTED_VALUE"""),"Yes")</f>
        <v>Yes</v>
      </c>
      <c r="P802" s="5" t="str">
        <f>IFERROR(__xludf.DUMMYFUNCTION("""COMPUTED_VALUE"""),"Yes")</f>
        <v>Yes</v>
      </c>
      <c r="Q802" s="5" t="str">
        <f>IFERROR(__xludf.DUMMYFUNCTION("""COMPUTED_VALUE"""),"Yes")</f>
        <v>Yes</v>
      </c>
      <c r="R802" s="5" t="str">
        <f>IFERROR(__xludf.DUMMYFUNCTION("""COMPUTED_VALUE"""),"Yes")</f>
        <v>Yes</v>
      </c>
      <c r="S802" s="5" t="str">
        <f>IFERROR(__xludf.DUMMYFUNCTION("""COMPUTED_VALUE"""),"Yes")</f>
        <v>Yes</v>
      </c>
      <c r="T802" s="5" t="str">
        <f>IFERROR(__xludf.DUMMYFUNCTION("""COMPUTED_VALUE"""),"No")</f>
        <v>No</v>
      </c>
      <c r="U802" s="5" t="str">
        <f>IFERROR(__xludf.DUMMYFUNCTION("""COMPUTED_VALUE"""),"No")</f>
        <v>No</v>
      </c>
      <c r="V802" s="5" t="str">
        <f>IFERROR(__xludf.DUMMYFUNCTION("""COMPUTED_VALUE"""),"No")</f>
        <v>No</v>
      </c>
      <c r="W802" s="5" t="str">
        <f>IFERROR(__xludf.DUMMYFUNCTION("""COMPUTED_VALUE"""),"No")</f>
        <v>No</v>
      </c>
      <c r="X802" s="5" t="str">
        <f>IFERROR(__xludf.DUMMYFUNCTION("""COMPUTED_VALUE"""),"No")</f>
        <v>No</v>
      </c>
      <c r="Y802" s="5" t="str">
        <f>IFERROR(__xludf.DUMMYFUNCTION("""COMPUTED_VALUE"""),"No")</f>
        <v>No</v>
      </c>
      <c r="Z802" s="5" t="str">
        <f>IFERROR(__xludf.DUMMYFUNCTION("""COMPUTED_VALUE"""),"No")</f>
        <v>No</v>
      </c>
      <c r="AA802" s="5" t="str">
        <f>IFERROR(__xludf.DUMMYFUNCTION("""COMPUTED_VALUE"""),"No")</f>
        <v>No</v>
      </c>
      <c r="AB802" s="5" t="str">
        <f>IFERROR(__xludf.DUMMYFUNCTION("""COMPUTED_VALUE"""),"No")</f>
        <v>No</v>
      </c>
      <c r="AC802" s="5" t="str">
        <f>IFERROR(__xludf.DUMMYFUNCTION("""COMPUTED_VALUE"""),"No")</f>
        <v>No</v>
      </c>
      <c r="AD802" s="5" t="str">
        <f>IFERROR(__xludf.DUMMYFUNCTION("""COMPUTED_VALUE"""),"No")</f>
        <v>No</v>
      </c>
      <c r="AE802" s="5" t="str">
        <f>IFERROR(__xludf.DUMMYFUNCTION("""COMPUTED_VALUE"""),"No")</f>
        <v>No</v>
      </c>
      <c r="AF802" s="5" t="str">
        <f>IFERROR(__xludf.DUMMYFUNCTION("""COMPUTED_VALUE"""),"Yes")</f>
        <v>Yes</v>
      </c>
      <c r="AG802" s="5" t="str">
        <f>IFERROR(__xludf.DUMMYFUNCTION("""COMPUTED_VALUE"""),"No")</f>
        <v>No</v>
      </c>
      <c r="AH802" s="5" t="str">
        <f>IFERROR(__xludf.DUMMYFUNCTION("""COMPUTED_VALUE"""),"Yes")</f>
        <v>Yes</v>
      </c>
      <c r="AI802" s="5" t="str">
        <f>IFERROR(__xludf.DUMMYFUNCTION("""COMPUTED_VALUE"""),"No")</f>
        <v>No</v>
      </c>
      <c r="AJ802" s="5" t="str">
        <f>IFERROR(__xludf.DUMMYFUNCTION("""COMPUTED_VALUE"""),"No")</f>
        <v>No</v>
      </c>
      <c r="AK802" s="5" t="str">
        <f>IFERROR(__xludf.DUMMYFUNCTION("""COMPUTED_VALUE"""),"No")</f>
        <v>No</v>
      </c>
      <c r="AL802" s="5" t="str">
        <f>IFERROR(__xludf.DUMMYFUNCTION("""COMPUTED_VALUE"""),"No")</f>
        <v>No</v>
      </c>
      <c r="AM802" s="5"/>
      <c r="AN802" s="5"/>
      <c r="AO802" s="5"/>
      <c r="AP802" s="5"/>
      <c r="AQ802" s="5"/>
      <c r="AR802" s="5"/>
      <c r="AS802" s="5"/>
      <c r="AT802" s="5"/>
      <c r="AU802" s="5"/>
      <c r="AV802" s="5"/>
      <c r="AW802" s="5"/>
      <c r="AX802" s="5"/>
      <c r="AY802" s="5"/>
    </row>
    <row r="803">
      <c r="A803"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3" s="5">
        <f>IFERROR(__xludf.DUMMYFUNCTION("""COMPUTED_VALUE"""),841.0)</f>
        <v>841</v>
      </c>
      <c r="C803" s="5">
        <f>IFERROR(__xludf.DUMMYFUNCTION("""COMPUTED_VALUE"""),551.0)</f>
        <v>551</v>
      </c>
      <c r="D803" s="5" t="str">
        <f>IFERROR(__xludf.DUMMYFUNCTION("""COMPUTED_VALUE"""),"PlayNetShadowHunt20")</f>
        <v>PlayNetShadowHunt20</v>
      </c>
      <c r="E803" s="5" t="str">
        <f>IFERROR(__xludf.DUMMYFUNCTION("""COMPUTED_VALUE"""),"Yes")</f>
        <v>Yes</v>
      </c>
      <c r="F803" s="5" t="str">
        <f>IFERROR(__xludf.DUMMYFUNCTION("""COMPUTED_VALUE"""),"Yes")</f>
        <v>Yes</v>
      </c>
      <c r="G803" s="5" t="str">
        <f>IFERROR(__xludf.DUMMYFUNCTION("""COMPUTED_VALUE"""),"No")</f>
        <v>No</v>
      </c>
      <c r="H803" s="5" t="str">
        <f>IFERROR(__xludf.DUMMYFUNCTION("""COMPUTED_VALUE"""),"Yes")</f>
        <v>Yes</v>
      </c>
      <c r="I803" s="5" t="str">
        <f>IFERROR(__xludf.DUMMYFUNCTION("""COMPUTED_VALUE"""),"Yes")</f>
        <v>Yes</v>
      </c>
      <c r="J803" s="5" t="str">
        <f>IFERROR(__xludf.DUMMYFUNCTION("""COMPUTED_VALUE"""),"Yes")</f>
        <v>Yes</v>
      </c>
      <c r="K803" s="5" t="str">
        <f>IFERROR(__xludf.DUMMYFUNCTION("""COMPUTED_VALUE"""),"Yes")</f>
        <v>Yes</v>
      </c>
      <c r="L803" s="5" t="str">
        <f>IFERROR(__xludf.DUMMYFUNCTION("""COMPUTED_VALUE"""),"Yes")</f>
        <v>Yes</v>
      </c>
      <c r="M803" s="5" t="str">
        <f>IFERROR(__xludf.DUMMYFUNCTION("""COMPUTED_VALUE"""),"Yes")</f>
        <v>Yes</v>
      </c>
      <c r="N803" s="5" t="str">
        <f>IFERROR(__xludf.DUMMYFUNCTION("""COMPUTED_VALUE"""),"Yes")</f>
        <v>Yes</v>
      </c>
      <c r="O803" s="5" t="str">
        <f>IFERROR(__xludf.DUMMYFUNCTION("""COMPUTED_VALUE"""),"Yes")</f>
        <v>Yes</v>
      </c>
      <c r="P803" s="5" t="str">
        <f>IFERROR(__xludf.DUMMYFUNCTION("""COMPUTED_VALUE"""),"Yes")</f>
        <v>Yes</v>
      </c>
      <c r="Q803" s="5" t="str">
        <f>IFERROR(__xludf.DUMMYFUNCTION("""COMPUTED_VALUE"""),"Yes")</f>
        <v>Yes</v>
      </c>
      <c r="R803" s="5" t="str">
        <f>IFERROR(__xludf.DUMMYFUNCTION("""COMPUTED_VALUE"""),"Yes")</f>
        <v>Yes</v>
      </c>
      <c r="S803" s="5" t="str">
        <f>IFERROR(__xludf.DUMMYFUNCTION("""COMPUTED_VALUE"""),"Yes")</f>
        <v>Yes</v>
      </c>
      <c r="T803" s="5" t="str">
        <f>IFERROR(__xludf.DUMMYFUNCTION("""COMPUTED_VALUE"""),"No")</f>
        <v>No</v>
      </c>
      <c r="U803" s="5" t="str">
        <f>IFERROR(__xludf.DUMMYFUNCTION("""COMPUTED_VALUE"""),"No")</f>
        <v>No</v>
      </c>
      <c r="V803" s="5" t="str">
        <f>IFERROR(__xludf.DUMMYFUNCTION("""COMPUTED_VALUE"""),"No")</f>
        <v>No</v>
      </c>
      <c r="W803" s="5" t="str">
        <f>IFERROR(__xludf.DUMMYFUNCTION("""COMPUTED_VALUE"""),"No")</f>
        <v>No</v>
      </c>
      <c r="X803" s="5" t="str">
        <f>IFERROR(__xludf.DUMMYFUNCTION("""COMPUTED_VALUE"""),"No")</f>
        <v>No</v>
      </c>
      <c r="Y803" s="5" t="str">
        <f>IFERROR(__xludf.DUMMYFUNCTION("""COMPUTED_VALUE"""),"No")</f>
        <v>No</v>
      </c>
      <c r="Z803" s="5" t="str">
        <f>IFERROR(__xludf.DUMMYFUNCTION("""COMPUTED_VALUE"""),"No")</f>
        <v>No</v>
      </c>
      <c r="AA803" s="5" t="str">
        <f>IFERROR(__xludf.DUMMYFUNCTION("""COMPUTED_VALUE"""),"No")</f>
        <v>No</v>
      </c>
      <c r="AB803" s="5" t="str">
        <f>IFERROR(__xludf.DUMMYFUNCTION("""COMPUTED_VALUE"""),"No")</f>
        <v>No</v>
      </c>
      <c r="AC803" s="5" t="str">
        <f>IFERROR(__xludf.DUMMYFUNCTION("""COMPUTED_VALUE"""),"No")</f>
        <v>No</v>
      </c>
      <c r="AD803" s="5" t="str">
        <f>IFERROR(__xludf.DUMMYFUNCTION("""COMPUTED_VALUE"""),"No")</f>
        <v>No</v>
      </c>
      <c r="AE803" s="5" t="str">
        <f>IFERROR(__xludf.DUMMYFUNCTION("""COMPUTED_VALUE"""),"No")</f>
        <v>No</v>
      </c>
      <c r="AF803" s="5" t="str">
        <f>IFERROR(__xludf.DUMMYFUNCTION("""COMPUTED_VALUE"""),"Yes")</f>
        <v>Yes</v>
      </c>
      <c r="AG803" s="5" t="str">
        <f>IFERROR(__xludf.DUMMYFUNCTION("""COMPUTED_VALUE"""),"No")</f>
        <v>No</v>
      </c>
      <c r="AH803" s="5" t="str">
        <f>IFERROR(__xludf.DUMMYFUNCTION("""COMPUTED_VALUE"""),"Yes")</f>
        <v>Yes</v>
      </c>
      <c r="AI803" s="5" t="str">
        <f>IFERROR(__xludf.DUMMYFUNCTION("""COMPUTED_VALUE"""),"No")</f>
        <v>No</v>
      </c>
      <c r="AJ803" s="5" t="str">
        <f>IFERROR(__xludf.DUMMYFUNCTION("""COMPUTED_VALUE"""),"No")</f>
        <v>No</v>
      </c>
      <c r="AK803" s="5" t="str">
        <f>IFERROR(__xludf.DUMMYFUNCTION("""COMPUTED_VALUE"""),"No")</f>
        <v>No</v>
      </c>
      <c r="AL803" s="5" t="str">
        <f>IFERROR(__xludf.DUMMYFUNCTION("""COMPUTED_VALUE"""),"No")</f>
        <v>No</v>
      </c>
      <c r="AM803" s="5"/>
      <c r="AN803" s="5"/>
      <c r="AO803" s="5"/>
      <c r="AP803" s="5"/>
      <c r="AQ803" s="5"/>
      <c r="AR803" s="5"/>
      <c r="AS803" s="5"/>
      <c r="AT803" s="5"/>
      <c r="AU803" s="5"/>
      <c r="AV803" s="5"/>
      <c r="AW803" s="5"/>
      <c r="AX803" s="5"/>
      <c r="AY803" s="5"/>
    </row>
    <row r="804">
      <c r="A804" s="5" t="str">
        <f>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04" s="5">
        <f>IFERROR(__xludf.DUMMYFUNCTION("""COMPUTED_VALUE"""),842.0)</f>
        <v>842</v>
      </c>
      <c r="C804" s="5">
        <f>IFERROR(__xludf.DUMMYFUNCTION("""COMPUTED_VALUE"""),553.0)</f>
        <v>553</v>
      </c>
      <c r="D804" s="5" t="str">
        <f>IFERROR(__xludf.DUMMYFUNCTION("""COMPUTED_VALUE"""),"PlayNet27WildStacksExtreme")</f>
        <v>PlayNet27WildStacksExtreme</v>
      </c>
      <c r="E804" s="5" t="str">
        <f>IFERROR(__xludf.DUMMYFUNCTION("""COMPUTED_VALUE"""),"Yes")</f>
        <v>Yes</v>
      </c>
      <c r="F804" s="5" t="str">
        <f>IFERROR(__xludf.DUMMYFUNCTION("""COMPUTED_VALUE"""),"Yes")</f>
        <v>Yes</v>
      </c>
      <c r="G804" s="5" t="str">
        <f>IFERROR(__xludf.DUMMYFUNCTION("""COMPUTED_VALUE"""),"No")</f>
        <v>No</v>
      </c>
      <c r="H804" s="5" t="str">
        <f>IFERROR(__xludf.DUMMYFUNCTION("""COMPUTED_VALUE"""),"Yes")</f>
        <v>Yes</v>
      </c>
      <c r="I804" s="5" t="str">
        <f>IFERROR(__xludf.DUMMYFUNCTION("""COMPUTED_VALUE"""),"Yes")</f>
        <v>Yes</v>
      </c>
      <c r="J804" s="5" t="str">
        <f>IFERROR(__xludf.DUMMYFUNCTION("""COMPUTED_VALUE"""),"Yes")</f>
        <v>Yes</v>
      </c>
      <c r="K804" s="5" t="str">
        <f>IFERROR(__xludf.DUMMYFUNCTION("""COMPUTED_VALUE"""),"Yes")</f>
        <v>Yes</v>
      </c>
      <c r="L804" s="5" t="str">
        <f>IFERROR(__xludf.DUMMYFUNCTION("""COMPUTED_VALUE"""),"Yes")</f>
        <v>Yes</v>
      </c>
      <c r="M804" s="5" t="str">
        <f>IFERROR(__xludf.DUMMYFUNCTION("""COMPUTED_VALUE"""),"Yes")</f>
        <v>Yes</v>
      </c>
      <c r="N804" s="5" t="str">
        <f>IFERROR(__xludf.DUMMYFUNCTION("""COMPUTED_VALUE"""),"Yes")</f>
        <v>Yes</v>
      </c>
      <c r="O804" s="5" t="str">
        <f>IFERROR(__xludf.DUMMYFUNCTION("""COMPUTED_VALUE"""),"Yes")</f>
        <v>Yes</v>
      </c>
      <c r="P804" s="5" t="str">
        <f>IFERROR(__xludf.DUMMYFUNCTION("""COMPUTED_VALUE"""),"Yes")</f>
        <v>Yes</v>
      </c>
      <c r="Q804" s="5" t="str">
        <f>IFERROR(__xludf.DUMMYFUNCTION("""COMPUTED_VALUE"""),"Yes")</f>
        <v>Yes</v>
      </c>
      <c r="R804" s="5" t="str">
        <f>IFERROR(__xludf.DUMMYFUNCTION("""COMPUTED_VALUE"""),"Yes")</f>
        <v>Yes</v>
      </c>
      <c r="S804" s="5" t="str">
        <f>IFERROR(__xludf.DUMMYFUNCTION("""COMPUTED_VALUE"""),"Yes")</f>
        <v>Yes</v>
      </c>
      <c r="T804" s="5" t="str">
        <f>IFERROR(__xludf.DUMMYFUNCTION("""COMPUTED_VALUE"""),"No")</f>
        <v>No</v>
      </c>
      <c r="U804" s="5" t="str">
        <f>IFERROR(__xludf.DUMMYFUNCTION("""COMPUTED_VALUE"""),"No")</f>
        <v>No</v>
      </c>
      <c r="V804" s="5" t="str">
        <f>IFERROR(__xludf.DUMMYFUNCTION("""COMPUTED_VALUE"""),"No")</f>
        <v>No</v>
      </c>
      <c r="W804" s="5" t="str">
        <f>IFERROR(__xludf.DUMMYFUNCTION("""COMPUTED_VALUE"""),"No")</f>
        <v>No</v>
      </c>
      <c r="X804" s="5" t="str">
        <f>IFERROR(__xludf.DUMMYFUNCTION("""COMPUTED_VALUE"""),"No")</f>
        <v>No</v>
      </c>
      <c r="Y804" s="5" t="str">
        <f>IFERROR(__xludf.DUMMYFUNCTION("""COMPUTED_VALUE"""),"No")</f>
        <v>No</v>
      </c>
      <c r="Z804" s="5" t="str">
        <f>IFERROR(__xludf.DUMMYFUNCTION("""COMPUTED_VALUE"""),"No")</f>
        <v>No</v>
      </c>
      <c r="AA804" s="5" t="str">
        <f>IFERROR(__xludf.DUMMYFUNCTION("""COMPUTED_VALUE"""),"No")</f>
        <v>No</v>
      </c>
      <c r="AB804" s="5" t="str">
        <f>IFERROR(__xludf.DUMMYFUNCTION("""COMPUTED_VALUE"""),"No")</f>
        <v>No</v>
      </c>
      <c r="AC804" s="5" t="str">
        <f>IFERROR(__xludf.DUMMYFUNCTION("""COMPUTED_VALUE"""),"No")</f>
        <v>No</v>
      </c>
      <c r="AD804" s="5" t="str">
        <f>IFERROR(__xludf.DUMMYFUNCTION("""COMPUTED_VALUE"""),"No")</f>
        <v>No</v>
      </c>
      <c r="AE804" s="5" t="str">
        <f>IFERROR(__xludf.DUMMYFUNCTION("""COMPUTED_VALUE"""),"No")</f>
        <v>No</v>
      </c>
      <c r="AF804" s="5" t="str">
        <f>IFERROR(__xludf.DUMMYFUNCTION("""COMPUTED_VALUE"""),"Yes")</f>
        <v>Yes</v>
      </c>
      <c r="AG804" s="5" t="str">
        <f>IFERROR(__xludf.DUMMYFUNCTION("""COMPUTED_VALUE"""),"No")</f>
        <v>No</v>
      </c>
      <c r="AH804" s="5" t="str">
        <f>IFERROR(__xludf.DUMMYFUNCTION("""COMPUTED_VALUE"""),"Yes")</f>
        <v>Yes</v>
      </c>
      <c r="AI804" s="5" t="str">
        <f>IFERROR(__xludf.DUMMYFUNCTION("""COMPUTED_VALUE"""),"No")</f>
        <v>No</v>
      </c>
      <c r="AJ804" s="5" t="str">
        <f>IFERROR(__xludf.DUMMYFUNCTION("""COMPUTED_VALUE"""),"No")</f>
        <v>No</v>
      </c>
      <c r="AK804" s="5" t="str">
        <f>IFERROR(__xludf.DUMMYFUNCTION("""COMPUTED_VALUE"""),"No")</f>
        <v>No</v>
      </c>
      <c r="AL804" s="5" t="str">
        <f>IFERROR(__xludf.DUMMYFUNCTION("""COMPUTED_VALUE"""),"No")</f>
        <v>No</v>
      </c>
      <c r="AM804" s="5"/>
      <c r="AN804" s="5"/>
      <c r="AO804" s="5"/>
      <c r="AP804" s="5"/>
      <c r="AQ804" s="5"/>
      <c r="AR804" s="5"/>
      <c r="AS804" s="5"/>
      <c r="AT804" s="5"/>
      <c r="AU804" s="5"/>
      <c r="AV804" s="5"/>
      <c r="AW804" s="5"/>
      <c r="AX804" s="5"/>
      <c r="AY804" s="5"/>
    </row>
    <row r="805">
      <c r="A805" s="5" t="str">
        <f>IFERROR(__xludf.DUMMYFUNCTION("""COMPUTED_VALUE"""),"")</f>
        <v/>
      </c>
      <c r="B805" s="5">
        <f>IFERROR(__xludf.DUMMYFUNCTION("""COMPUTED_VALUE"""),843.0)</f>
        <v>843</v>
      </c>
      <c r="C805" s="5">
        <f>IFERROR(__xludf.DUMMYFUNCTION("""COMPUTED_VALUE"""),180087.0)</f>
        <v>180087</v>
      </c>
      <c r="D805" s="5" t="str">
        <f>IFERROR(__xludf.DUMMYFUNCTION("""COMPUTED_VALUE"""),"RedstoneLuckyLuckyBells")</f>
        <v>RedstoneLuckyLuckyBells</v>
      </c>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row>
    <row r="806">
      <c r="A806"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6" s="5">
        <f>IFERROR(__xludf.DUMMYFUNCTION("""COMPUTED_VALUE"""),844.0)</f>
        <v>844</v>
      </c>
      <c r="C806" s="5">
        <f>IFERROR(__xludf.DUMMYFUNCTION("""COMPUTED_VALUE"""),180088.0)</f>
        <v>180088</v>
      </c>
      <c r="D806" s="5" t="str">
        <f>IFERROR(__xludf.DUMMYFUNCTION("""COMPUTED_VALUE"""),"RedstoneCloverFire1000")</f>
        <v>RedstoneCloverFire1000</v>
      </c>
      <c r="E806" s="5" t="str">
        <f>IFERROR(__xludf.DUMMYFUNCTION("""COMPUTED_VALUE"""),"Yes")</f>
        <v>Yes</v>
      </c>
      <c r="F806" s="5" t="str">
        <f>IFERROR(__xludf.DUMMYFUNCTION("""COMPUTED_VALUE"""),"Yes")</f>
        <v>Yes</v>
      </c>
      <c r="G806" s="5" t="str">
        <f>IFERROR(__xludf.DUMMYFUNCTION("""COMPUTED_VALUE"""),"Yes")</f>
        <v>Yes</v>
      </c>
      <c r="H806" s="5" t="str">
        <f>IFERROR(__xludf.DUMMYFUNCTION("""COMPUTED_VALUE"""),"Yes")</f>
        <v>Yes</v>
      </c>
      <c r="I806" s="5" t="str">
        <f>IFERROR(__xludf.DUMMYFUNCTION("""COMPUTED_VALUE"""),"Yes")</f>
        <v>Yes</v>
      </c>
      <c r="J806" s="5" t="str">
        <f>IFERROR(__xludf.DUMMYFUNCTION("""COMPUTED_VALUE"""),"Yes")</f>
        <v>Yes</v>
      </c>
      <c r="K806" s="5" t="str">
        <f>IFERROR(__xludf.DUMMYFUNCTION("""COMPUTED_VALUE"""),"Yes")</f>
        <v>Yes</v>
      </c>
      <c r="L806" s="5" t="str">
        <f>IFERROR(__xludf.DUMMYFUNCTION("""COMPUTED_VALUE"""),"Yes")</f>
        <v>Yes</v>
      </c>
      <c r="M806" s="5" t="str">
        <f>IFERROR(__xludf.DUMMYFUNCTION("""COMPUTED_VALUE"""),"Yes")</f>
        <v>Yes</v>
      </c>
      <c r="N806" s="5" t="str">
        <f>IFERROR(__xludf.DUMMYFUNCTION("""COMPUTED_VALUE"""),"Yes")</f>
        <v>Yes</v>
      </c>
      <c r="O806" s="5" t="str">
        <f>IFERROR(__xludf.DUMMYFUNCTION("""COMPUTED_VALUE"""),"Yes")</f>
        <v>Yes</v>
      </c>
      <c r="P806" s="5" t="str">
        <f>IFERROR(__xludf.DUMMYFUNCTION("""COMPUTED_VALUE"""),"Yes")</f>
        <v>Yes</v>
      </c>
      <c r="Q806" s="5" t="str">
        <f>IFERROR(__xludf.DUMMYFUNCTION("""COMPUTED_VALUE"""),"Yes")</f>
        <v>Yes</v>
      </c>
      <c r="R806" s="5" t="str">
        <f>IFERROR(__xludf.DUMMYFUNCTION("""COMPUTED_VALUE"""),"Yes")</f>
        <v>Yes</v>
      </c>
      <c r="S806" s="5" t="str">
        <f>IFERROR(__xludf.DUMMYFUNCTION("""COMPUTED_VALUE"""),"Yes")</f>
        <v>Yes</v>
      </c>
      <c r="T806" s="5" t="str">
        <f>IFERROR(__xludf.DUMMYFUNCTION("""COMPUTED_VALUE"""),"No")</f>
        <v>No</v>
      </c>
      <c r="U806" s="5" t="str">
        <f>IFERROR(__xludf.DUMMYFUNCTION("""COMPUTED_VALUE"""),"No")</f>
        <v>No</v>
      </c>
      <c r="V806" s="5" t="str">
        <f>IFERROR(__xludf.DUMMYFUNCTION("""COMPUTED_VALUE"""),"No")</f>
        <v>No</v>
      </c>
      <c r="W806" s="5" t="str">
        <f>IFERROR(__xludf.DUMMYFUNCTION("""COMPUTED_VALUE"""),"No")</f>
        <v>No</v>
      </c>
      <c r="X806" s="5" t="str">
        <f>IFERROR(__xludf.DUMMYFUNCTION("""COMPUTED_VALUE"""),"No")</f>
        <v>No</v>
      </c>
      <c r="Y806" s="5" t="str">
        <f>IFERROR(__xludf.DUMMYFUNCTION("""COMPUTED_VALUE"""),"No")</f>
        <v>No</v>
      </c>
      <c r="Z806" s="5" t="str">
        <f>IFERROR(__xludf.DUMMYFUNCTION("""COMPUTED_VALUE"""),"No")</f>
        <v>No</v>
      </c>
      <c r="AA806" s="5" t="str">
        <f>IFERROR(__xludf.DUMMYFUNCTION("""COMPUTED_VALUE"""),"Yes")</f>
        <v>Yes</v>
      </c>
      <c r="AB806" s="5" t="str">
        <f>IFERROR(__xludf.DUMMYFUNCTION("""COMPUTED_VALUE"""),"No")</f>
        <v>No</v>
      </c>
      <c r="AC806" s="5" t="str">
        <f>IFERROR(__xludf.DUMMYFUNCTION("""COMPUTED_VALUE"""),"No")</f>
        <v>No</v>
      </c>
      <c r="AD806" s="5" t="str">
        <f>IFERROR(__xludf.DUMMYFUNCTION("""COMPUTED_VALUE"""),"No")</f>
        <v>No</v>
      </c>
      <c r="AE806" s="5" t="str">
        <f>IFERROR(__xludf.DUMMYFUNCTION("""COMPUTED_VALUE"""),"No")</f>
        <v>No</v>
      </c>
      <c r="AF806" s="5" t="str">
        <f>IFERROR(__xludf.DUMMYFUNCTION("""COMPUTED_VALUE"""),"Yes")</f>
        <v>Yes</v>
      </c>
      <c r="AG806" s="5" t="str">
        <f>IFERROR(__xludf.DUMMYFUNCTION("""COMPUTED_VALUE"""),"No")</f>
        <v>No</v>
      </c>
      <c r="AH806" s="5" t="str">
        <f>IFERROR(__xludf.DUMMYFUNCTION("""COMPUTED_VALUE"""),"Yes")</f>
        <v>Yes</v>
      </c>
      <c r="AI806" s="5" t="str">
        <f>IFERROR(__xludf.DUMMYFUNCTION("""COMPUTED_VALUE"""),"No")</f>
        <v>No</v>
      </c>
      <c r="AJ806" s="5" t="str">
        <f>IFERROR(__xludf.DUMMYFUNCTION("""COMPUTED_VALUE"""),"No")</f>
        <v>No</v>
      </c>
      <c r="AK806" s="5" t="str">
        <f>IFERROR(__xludf.DUMMYFUNCTION("""COMPUTED_VALUE"""),"No")</f>
        <v>No</v>
      </c>
      <c r="AL806" s="5" t="str">
        <f>IFERROR(__xludf.DUMMYFUNCTION("""COMPUTED_VALUE"""),"No")</f>
        <v>No</v>
      </c>
      <c r="AM806" s="5"/>
      <c r="AN806" s="5"/>
      <c r="AO806" s="5"/>
      <c r="AP806" s="5"/>
      <c r="AQ806" s="5"/>
      <c r="AR806" s="5"/>
      <c r="AS806" s="5"/>
      <c r="AT806" s="5"/>
      <c r="AU806" s="5"/>
      <c r="AV806" s="5"/>
      <c r="AW806" s="5"/>
      <c r="AX806" s="5"/>
      <c r="AY806" s="5"/>
    </row>
    <row r="807">
      <c r="A807"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7" s="5">
        <f>IFERROR(__xludf.DUMMYFUNCTION("""COMPUTED_VALUE"""),845.0)</f>
        <v>845</v>
      </c>
      <c r="C807" s="5">
        <f>IFERROR(__xludf.DUMMYFUNCTION("""COMPUTED_VALUE"""),180089.0)</f>
        <v>180089</v>
      </c>
      <c r="D807" s="5" t="str">
        <f>IFERROR(__xludf.DUMMYFUNCTION("""COMPUTED_VALUE"""),"RedstoneWildHeart1000")</f>
        <v>RedstoneWildHeart1000</v>
      </c>
      <c r="E807" s="5" t="str">
        <f>IFERROR(__xludf.DUMMYFUNCTION("""COMPUTED_VALUE"""),"Yes")</f>
        <v>Yes</v>
      </c>
      <c r="F807" s="5" t="str">
        <f>IFERROR(__xludf.DUMMYFUNCTION("""COMPUTED_VALUE"""),"Yes")</f>
        <v>Yes</v>
      </c>
      <c r="G807" s="5" t="str">
        <f>IFERROR(__xludf.DUMMYFUNCTION("""COMPUTED_VALUE"""),"Yes")</f>
        <v>Yes</v>
      </c>
      <c r="H807" s="5" t="str">
        <f>IFERROR(__xludf.DUMMYFUNCTION("""COMPUTED_VALUE"""),"Yes")</f>
        <v>Yes</v>
      </c>
      <c r="I807" s="5" t="str">
        <f>IFERROR(__xludf.DUMMYFUNCTION("""COMPUTED_VALUE"""),"Yes")</f>
        <v>Yes</v>
      </c>
      <c r="J807" s="5" t="str">
        <f>IFERROR(__xludf.DUMMYFUNCTION("""COMPUTED_VALUE"""),"Yes")</f>
        <v>Yes</v>
      </c>
      <c r="K807" s="5" t="str">
        <f>IFERROR(__xludf.DUMMYFUNCTION("""COMPUTED_VALUE"""),"Yes")</f>
        <v>Yes</v>
      </c>
      <c r="L807" s="5" t="str">
        <f>IFERROR(__xludf.DUMMYFUNCTION("""COMPUTED_VALUE"""),"Yes")</f>
        <v>Yes</v>
      </c>
      <c r="M807" s="5" t="str">
        <f>IFERROR(__xludf.DUMMYFUNCTION("""COMPUTED_VALUE"""),"Yes")</f>
        <v>Yes</v>
      </c>
      <c r="N807" s="5" t="str">
        <f>IFERROR(__xludf.DUMMYFUNCTION("""COMPUTED_VALUE"""),"Yes")</f>
        <v>Yes</v>
      </c>
      <c r="O807" s="5" t="str">
        <f>IFERROR(__xludf.DUMMYFUNCTION("""COMPUTED_VALUE"""),"Yes")</f>
        <v>Yes</v>
      </c>
      <c r="P807" s="5" t="str">
        <f>IFERROR(__xludf.DUMMYFUNCTION("""COMPUTED_VALUE"""),"Yes")</f>
        <v>Yes</v>
      </c>
      <c r="Q807" s="5" t="str">
        <f>IFERROR(__xludf.DUMMYFUNCTION("""COMPUTED_VALUE"""),"Yes")</f>
        <v>Yes</v>
      </c>
      <c r="R807" s="5" t="str">
        <f>IFERROR(__xludf.DUMMYFUNCTION("""COMPUTED_VALUE"""),"Yes")</f>
        <v>Yes</v>
      </c>
      <c r="S807" s="5" t="str">
        <f>IFERROR(__xludf.DUMMYFUNCTION("""COMPUTED_VALUE"""),"Yes")</f>
        <v>Yes</v>
      </c>
      <c r="T807" s="5" t="str">
        <f>IFERROR(__xludf.DUMMYFUNCTION("""COMPUTED_VALUE"""),"No")</f>
        <v>No</v>
      </c>
      <c r="U807" s="5" t="str">
        <f>IFERROR(__xludf.DUMMYFUNCTION("""COMPUTED_VALUE"""),"No")</f>
        <v>No</v>
      </c>
      <c r="V807" s="5" t="str">
        <f>IFERROR(__xludf.DUMMYFUNCTION("""COMPUTED_VALUE"""),"No")</f>
        <v>No</v>
      </c>
      <c r="W807" s="5" t="str">
        <f>IFERROR(__xludf.DUMMYFUNCTION("""COMPUTED_VALUE"""),"No")</f>
        <v>No</v>
      </c>
      <c r="X807" s="5" t="str">
        <f>IFERROR(__xludf.DUMMYFUNCTION("""COMPUTED_VALUE"""),"No")</f>
        <v>No</v>
      </c>
      <c r="Y807" s="5" t="str">
        <f>IFERROR(__xludf.DUMMYFUNCTION("""COMPUTED_VALUE"""),"No")</f>
        <v>No</v>
      </c>
      <c r="Z807" s="5" t="str">
        <f>IFERROR(__xludf.DUMMYFUNCTION("""COMPUTED_VALUE"""),"No")</f>
        <v>No</v>
      </c>
      <c r="AA807" s="5" t="str">
        <f>IFERROR(__xludf.DUMMYFUNCTION("""COMPUTED_VALUE"""),"Yes")</f>
        <v>Yes</v>
      </c>
      <c r="AB807" s="5" t="str">
        <f>IFERROR(__xludf.DUMMYFUNCTION("""COMPUTED_VALUE"""),"No")</f>
        <v>No</v>
      </c>
      <c r="AC807" s="5" t="str">
        <f>IFERROR(__xludf.DUMMYFUNCTION("""COMPUTED_VALUE"""),"No")</f>
        <v>No</v>
      </c>
      <c r="AD807" s="5" t="str">
        <f>IFERROR(__xludf.DUMMYFUNCTION("""COMPUTED_VALUE"""),"No")</f>
        <v>No</v>
      </c>
      <c r="AE807" s="5" t="str">
        <f>IFERROR(__xludf.DUMMYFUNCTION("""COMPUTED_VALUE"""),"No")</f>
        <v>No</v>
      </c>
      <c r="AF807" s="5" t="str">
        <f>IFERROR(__xludf.DUMMYFUNCTION("""COMPUTED_VALUE"""),"Yes")</f>
        <v>Yes</v>
      </c>
      <c r="AG807" s="5" t="str">
        <f>IFERROR(__xludf.DUMMYFUNCTION("""COMPUTED_VALUE"""),"No")</f>
        <v>No</v>
      </c>
      <c r="AH807" s="5" t="str">
        <f>IFERROR(__xludf.DUMMYFUNCTION("""COMPUTED_VALUE"""),"Yes")</f>
        <v>Yes</v>
      </c>
      <c r="AI807" s="5" t="str">
        <f>IFERROR(__xludf.DUMMYFUNCTION("""COMPUTED_VALUE"""),"No")</f>
        <v>No</v>
      </c>
      <c r="AJ807" s="5" t="str">
        <f>IFERROR(__xludf.DUMMYFUNCTION("""COMPUTED_VALUE"""),"No")</f>
        <v>No</v>
      </c>
      <c r="AK807" s="5" t="str">
        <f>IFERROR(__xludf.DUMMYFUNCTION("""COMPUTED_VALUE"""),"No")</f>
        <v>No</v>
      </c>
      <c r="AL807" s="5" t="str">
        <f>IFERROR(__xludf.DUMMYFUNCTION("""COMPUTED_VALUE"""),"No")</f>
        <v>No</v>
      </c>
      <c r="AM807" s="5"/>
      <c r="AN807" s="5"/>
      <c r="AO807" s="5"/>
      <c r="AP807" s="5"/>
      <c r="AQ807" s="5"/>
      <c r="AR807" s="5"/>
      <c r="AS807" s="5"/>
      <c r="AT807" s="5"/>
      <c r="AU807" s="5"/>
      <c r="AV807" s="5"/>
      <c r="AW807" s="5"/>
      <c r="AX807" s="5"/>
      <c r="AY807" s="5"/>
    </row>
    <row r="808">
      <c r="A808" s="5" t="str">
        <f>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8" s="5">
        <f>IFERROR(__xludf.DUMMYFUNCTION("""COMPUTED_VALUE"""),846.0)</f>
        <v>846</v>
      </c>
      <c r="C808" s="5">
        <f>IFERROR(__xludf.DUMMYFUNCTION("""COMPUTED_VALUE"""),180090.0)</f>
        <v>180090</v>
      </c>
      <c r="D808" s="5" t="str">
        <f>IFERROR(__xludf.DUMMYFUNCTION("""COMPUTED_VALUE"""),"RedstoneWildCrown1000")</f>
        <v>RedstoneWildCrown1000</v>
      </c>
      <c r="E808" s="5" t="str">
        <f>IFERROR(__xludf.DUMMYFUNCTION("""COMPUTED_VALUE"""),"Yes")</f>
        <v>Yes</v>
      </c>
      <c r="F808" s="5" t="str">
        <f>IFERROR(__xludf.DUMMYFUNCTION("""COMPUTED_VALUE"""),"Yes")</f>
        <v>Yes</v>
      </c>
      <c r="G808" s="5" t="str">
        <f>IFERROR(__xludf.DUMMYFUNCTION("""COMPUTED_VALUE"""),"Yes")</f>
        <v>Yes</v>
      </c>
      <c r="H808" s="5" t="str">
        <f>IFERROR(__xludf.DUMMYFUNCTION("""COMPUTED_VALUE"""),"Yes")</f>
        <v>Yes</v>
      </c>
      <c r="I808" s="5" t="str">
        <f>IFERROR(__xludf.DUMMYFUNCTION("""COMPUTED_VALUE"""),"Yes")</f>
        <v>Yes</v>
      </c>
      <c r="J808" s="5" t="str">
        <f>IFERROR(__xludf.DUMMYFUNCTION("""COMPUTED_VALUE"""),"Yes")</f>
        <v>Yes</v>
      </c>
      <c r="K808" s="5" t="str">
        <f>IFERROR(__xludf.DUMMYFUNCTION("""COMPUTED_VALUE"""),"Yes")</f>
        <v>Yes</v>
      </c>
      <c r="L808" s="5" t="str">
        <f>IFERROR(__xludf.DUMMYFUNCTION("""COMPUTED_VALUE"""),"Yes")</f>
        <v>Yes</v>
      </c>
      <c r="M808" s="5" t="str">
        <f>IFERROR(__xludf.DUMMYFUNCTION("""COMPUTED_VALUE"""),"Yes")</f>
        <v>Yes</v>
      </c>
      <c r="N808" s="5" t="str">
        <f>IFERROR(__xludf.DUMMYFUNCTION("""COMPUTED_VALUE"""),"Yes")</f>
        <v>Yes</v>
      </c>
      <c r="O808" s="5" t="str">
        <f>IFERROR(__xludf.DUMMYFUNCTION("""COMPUTED_VALUE"""),"Yes")</f>
        <v>Yes</v>
      </c>
      <c r="P808" s="5" t="str">
        <f>IFERROR(__xludf.DUMMYFUNCTION("""COMPUTED_VALUE"""),"Yes")</f>
        <v>Yes</v>
      </c>
      <c r="Q808" s="5" t="str">
        <f>IFERROR(__xludf.DUMMYFUNCTION("""COMPUTED_VALUE"""),"Yes")</f>
        <v>Yes</v>
      </c>
      <c r="R808" s="5" t="str">
        <f>IFERROR(__xludf.DUMMYFUNCTION("""COMPUTED_VALUE"""),"Yes")</f>
        <v>Yes</v>
      </c>
      <c r="S808" s="5" t="str">
        <f>IFERROR(__xludf.DUMMYFUNCTION("""COMPUTED_VALUE"""),"Yes")</f>
        <v>Yes</v>
      </c>
      <c r="T808" s="5" t="str">
        <f>IFERROR(__xludf.DUMMYFUNCTION("""COMPUTED_VALUE"""),"No")</f>
        <v>No</v>
      </c>
      <c r="U808" s="5" t="str">
        <f>IFERROR(__xludf.DUMMYFUNCTION("""COMPUTED_VALUE"""),"No")</f>
        <v>No</v>
      </c>
      <c r="V808" s="5" t="str">
        <f>IFERROR(__xludf.DUMMYFUNCTION("""COMPUTED_VALUE"""),"No")</f>
        <v>No</v>
      </c>
      <c r="W808" s="5" t="str">
        <f>IFERROR(__xludf.DUMMYFUNCTION("""COMPUTED_VALUE"""),"No")</f>
        <v>No</v>
      </c>
      <c r="X808" s="5" t="str">
        <f>IFERROR(__xludf.DUMMYFUNCTION("""COMPUTED_VALUE"""),"No")</f>
        <v>No</v>
      </c>
      <c r="Y808" s="5" t="str">
        <f>IFERROR(__xludf.DUMMYFUNCTION("""COMPUTED_VALUE"""),"No")</f>
        <v>No</v>
      </c>
      <c r="Z808" s="5" t="str">
        <f>IFERROR(__xludf.DUMMYFUNCTION("""COMPUTED_VALUE"""),"No")</f>
        <v>No</v>
      </c>
      <c r="AA808" s="5" t="str">
        <f>IFERROR(__xludf.DUMMYFUNCTION("""COMPUTED_VALUE"""),"Yes")</f>
        <v>Yes</v>
      </c>
      <c r="AB808" s="5" t="str">
        <f>IFERROR(__xludf.DUMMYFUNCTION("""COMPUTED_VALUE"""),"No")</f>
        <v>No</v>
      </c>
      <c r="AC808" s="5" t="str">
        <f>IFERROR(__xludf.DUMMYFUNCTION("""COMPUTED_VALUE"""),"No")</f>
        <v>No</v>
      </c>
      <c r="AD808" s="5" t="str">
        <f>IFERROR(__xludf.DUMMYFUNCTION("""COMPUTED_VALUE"""),"No")</f>
        <v>No</v>
      </c>
      <c r="AE808" s="5" t="str">
        <f>IFERROR(__xludf.DUMMYFUNCTION("""COMPUTED_VALUE"""),"No")</f>
        <v>No</v>
      </c>
      <c r="AF808" s="5" t="str">
        <f>IFERROR(__xludf.DUMMYFUNCTION("""COMPUTED_VALUE"""),"Yes")</f>
        <v>Yes</v>
      </c>
      <c r="AG808" s="5" t="str">
        <f>IFERROR(__xludf.DUMMYFUNCTION("""COMPUTED_VALUE"""),"No")</f>
        <v>No</v>
      </c>
      <c r="AH808" s="5" t="str">
        <f>IFERROR(__xludf.DUMMYFUNCTION("""COMPUTED_VALUE"""),"Yes")</f>
        <v>Yes</v>
      </c>
      <c r="AI808" s="5" t="str">
        <f>IFERROR(__xludf.DUMMYFUNCTION("""COMPUTED_VALUE"""),"No")</f>
        <v>No</v>
      </c>
      <c r="AJ808" s="5" t="str">
        <f>IFERROR(__xludf.DUMMYFUNCTION("""COMPUTED_VALUE"""),"No")</f>
        <v>No</v>
      </c>
      <c r="AK808" s="5" t="str">
        <f>IFERROR(__xludf.DUMMYFUNCTION("""COMPUTED_VALUE"""),"No")</f>
        <v>No</v>
      </c>
      <c r="AL808" s="5" t="str">
        <f>IFERROR(__xludf.DUMMYFUNCTION("""COMPUTED_VALUE"""),"No")</f>
        <v>No</v>
      </c>
      <c r="AM808" s="5"/>
      <c r="AN808" s="5"/>
      <c r="AO808" s="5"/>
      <c r="AP808" s="5"/>
      <c r="AQ808" s="5"/>
      <c r="AR808" s="5"/>
      <c r="AS808" s="5"/>
      <c r="AT808" s="5"/>
      <c r="AU808" s="5"/>
      <c r="AV808" s="5"/>
      <c r="AW808" s="5"/>
      <c r="AX808" s="5"/>
      <c r="AY808" s="5"/>
    </row>
    <row r="809">
      <c r="A8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809" s="5">
        <f>IFERROR(__xludf.DUMMYFUNCTION("""COMPUTED_VALUE"""),847.0)</f>
        <v>847</v>
      </c>
      <c r="C809" s="5">
        <f>IFERROR(__xludf.DUMMYFUNCTION("""COMPUTED_VALUE"""),1024.0)</f>
        <v>1024</v>
      </c>
      <c r="D809" s="5" t="str">
        <f>IFERROR(__xludf.DUMMYFUNCTION("""COMPUTED_VALUE"""),"Clover81")</f>
        <v>Clover81</v>
      </c>
      <c r="E809" s="5" t="str">
        <f>IFERROR(__xludf.DUMMYFUNCTION("""COMPUTED_VALUE"""),"Yes")</f>
        <v>Yes</v>
      </c>
      <c r="F809" s="5" t="str">
        <f>IFERROR(__xludf.DUMMYFUNCTION("""COMPUTED_VALUE"""),"Yes")</f>
        <v>Yes</v>
      </c>
      <c r="G809" s="5" t="str">
        <f>IFERROR(__xludf.DUMMYFUNCTION("""COMPUTED_VALUE"""),"Yes")</f>
        <v>Yes</v>
      </c>
      <c r="H809" s="5" t="str">
        <f>IFERROR(__xludf.DUMMYFUNCTION("""COMPUTED_VALUE"""),"Yes")</f>
        <v>Yes</v>
      </c>
      <c r="I809" s="5" t="str">
        <f>IFERROR(__xludf.DUMMYFUNCTION("""COMPUTED_VALUE"""),"Yes")</f>
        <v>Yes</v>
      </c>
      <c r="J809" s="5" t="str">
        <f>IFERROR(__xludf.DUMMYFUNCTION("""COMPUTED_VALUE"""),"Yes")</f>
        <v>Yes</v>
      </c>
      <c r="K809" s="5" t="str">
        <f>IFERROR(__xludf.DUMMYFUNCTION("""COMPUTED_VALUE"""),"Yes")</f>
        <v>Yes</v>
      </c>
      <c r="L809" s="5" t="str">
        <f>IFERROR(__xludf.DUMMYFUNCTION("""COMPUTED_VALUE"""),"Yes")</f>
        <v>Yes</v>
      </c>
      <c r="M809" s="5" t="str">
        <f>IFERROR(__xludf.DUMMYFUNCTION("""COMPUTED_VALUE"""),"Yes")</f>
        <v>Yes</v>
      </c>
      <c r="N809" s="5" t="str">
        <f>IFERROR(__xludf.DUMMYFUNCTION("""COMPUTED_VALUE"""),"Yes")</f>
        <v>Yes</v>
      </c>
      <c r="O809" s="5" t="str">
        <f>IFERROR(__xludf.DUMMYFUNCTION("""COMPUTED_VALUE"""),"Yes")</f>
        <v>Yes</v>
      </c>
      <c r="P809" s="5" t="str">
        <f>IFERROR(__xludf.DUMMYFUNCTION("""COMPUTED_VALUE"""),"Yes")</f>
        <v>Yes</v>
      </c>
      <c r="Q809" s="5" t="str">
        <f>IFERROR(__xludf.DUMMYFUNCTION("""COMPUTED_VALUE"""),"Yes")</f>
        <v>Yes</v>
      </c>
      <c r="R809" s="5" t="str">
        <f>IFERROR(__xludf.DUMMYFUNCTION("""COMPUTED_VALUE"""),"Yes")</f>
        <v>Yes</v>
      </c>
      <c r="S809" s="5" t="str">
        <f>IFERROR(__xludf.DUMMYFUNCTION("""COMPUTED_VALUE"""),"Yes")</f>
        <v>Yes</v>
      </c>
      <c r="T809" s="5" t="str">
        <f>IFERROR(__xludf.DUMMYFUNCTION("""COMPUTED_VALUE"""),"Yes")</f>
        <v>Yes</v>
      </c>
      <c r="U809" s="5" t="str">
        <f>IFERROR(__xludf.DUMMYFUNCTION("""COMPUTED_VALUE"""),"Yes")</f>
        <v>Yes</v>
      </c>
      <c r="V809" s="5" t="str">
        <f>IFERROR(__xludf.DUMMYFUNCTION("""COMPUTED_VALUE"""),"Yes")</f>
        <v>Yes</v>
      </c>
      <c r="W809" s="5" t="str">
        <f>IFERROR(__xludf.DUMMYFUNCTION("""COMPUTED_VALUE"""),"Yes")</f>
        <v>Yes</v>
      </c>
      <c r="X809" s="5" t="str">
        <f>IFERROR(__xludf.DUMMYFUNCTION("""COMPUTED_VALUE"""),"Yes")</f>
        <v>Yes</v>
      </c>
      <c r="Y809" s="5" t="str">
        <f>IFERROR(__xludf.DUMMYFUNCTION("""COMPUTED_VALUE"""),"Yes")</f>
        <v>Yes</v>
      </c>
      <c r="Z809" s="5" t="str">
        <f>IFERROR(__xludf.DUMMYFUNCTION("""COMPUTED_VALUE"""),"Yes")</f>
        <v>Yes</v>
      </c>
      <c r="AA809" s="5" t="str">
        <f>IFERROR(__xludf.DUMMYFUNCTION("""COMPUTED_VALUE"""),"Yes")</f>
        <v>Yes</v>
      </c>
      <c r="AB809" s="5" t="str">
        <f>IFERROR(__xludf.DUMMYFUNCTION("""COMPUTED_VALUE"""),"Yes")</f>
        <v>Yes</v>
      </c>
      <c r="AC809" s="5" t="str">
        <f>IFERROR(__xludf.DUMMYFUNCTION("""COMPUTED_VALUE"""),"Yes")</f>
        <v>Yes</v>
      </c>
      <c r="AD809" s="5" t="str">
        <f>IFERROR(__xludf.DUMMYFUNCTION("""COMPUTED_VALUE"""),"Yes")</f>
        <v>Yes</v>
      </c>
      <c r="AE809" s="5" t="str">
        <f>IFERROR(__xludf.DUMMYFUNCTION("""COMPUTED_VALUE"""),"Yes")</f>
        <v>Yes</v>
      </c>
      <c r="AF809" s="5" t="str">
        <f>IFERROR(__xludf.DUMMYFUNCTION("""COMPUTED_VALUE"""),"Yes")</f>
        <v>Yes</v>
      </c>
      <c r="AG809" s="5" t="str">
        <f>IFERROR(__xludf.DUMMYFUNCTION("""COMPUTED_VALUE"""),"Yes")</f>
        <v>Yes</v>
      </c>
      <c r="AH809" s="5" t="str">
        <f>IFERROR(__xludf.DUMMYFUNCTION("""COMPUTED_VALUE"""),"Yes")</f>
        <v>Yes</v>
      </c>
      <c r="AI809" s="5" t="str">
        <f>IFERROR(__xludf.DUMMYFUNCTION("""COMPUTED_VALUE"""),"Yes")</f>
        <v>Yes</v>
      </c>
      <c r="AJ809" s="5" t="str">
        <f>IFERROR(__xludf.DUMMYFUNCTION("""COMPUTED_VALUE"""),"Yes")</f>
        <v>Yes</v>
      </c>
      <c r="AK809" s="5" t="str">
        <f>IFERROR(__xludf.DUMMYFUNCTION("""COMPUTED_VALUE"""),"Yes")</f>
        <v>Yes</v>
      </c>
      <c r="AL809" s="5" t="str">
        <f>IFERROR(__xludf.DUMMYFUNCTION("""COMPUTED_VALUE"""),"Yes")</f>
        <v>Yes</v>
      </c>
      <c r="AM809" s="5"/>
      <c r="AN809" s="5"/>
      <c r="AO809" s="5"/>
      <c r="AP809" s="5"/>
      <c r="AQ809" s="5"/>
      <c r="AR809" s="5"/>
      <c r="AS809" s="5"/>
      <c r="AT809" s="5"/>
      <c r="AU809" s="5"/>
      <c r="AV809" s="5"/>
      <c r="AW809" s="5"/>
      <c r="AX809" s="5"/>
      <c r="AY809" s="5"/>
    </row>
    <row r="810">
      <c r="A8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0" s="5">
        <f>IFERROR(__xludf.DUMMYFUNCTION("""COMPUTED_VALUE"""),848.0)</f>
        <v>848</v>
      </c>
      <c r="C810" s="5">
        <f>IFERROR(__xludf.DUMMYFUNCTION("""COMPUTED_VALUE"""),1025.0)</f>
        <v>1025</v>
      </c>
      <c r="D810" s="5" t="str">
        <f>IFERROR(__xludf.DUMMYFUNCTION("""COMPUTED_VALUE"""),"Clover5")</f>
        <v>Clover5</v>
      </c>
      <c r="E810" s="5" t="str">
        <f>IFERROR(__xludf.DUMMYFUNCTION("""COMPUTED_VALUE"""),"Yes")</f>
        <v>Yes</v>
      </c>
      <c r="F810" s="5" t="str">
        <f>IFERROR(__xludf.DUMMYFUNCTION("""COMPUTED_VALUE"""),"Yes")</f>
        <v>Yes</v>
      </c>
      <c r="G810" s="5" t="str">
        <f>IFERROR(__xludf.DUMMYFUNCTION("""COMPUTED_VALUE"""),"Yes")</f>
        <v>Yes</v>
      </c>
      <c r="H810" s="5" t="str">
        <f>IFERROR(__xludf.DUMMYFUNCTION("""COMPUTED_VALUE"""),"Yes")</f>
        <v>Yes</v>
      </c>
      <c r="I810" s="5" t="str">
        <f>IFERROR(__xludf.DUMMYFUNCTION("""COMPUTED_VALUE"""),"Yes")</f>
        <v>Yes</v>
      </c>
      <c r="J810" s="5" t="str">
        <f>IFERROR(__xludf.DUMMYFUNCTION("""COMPUTED_VALUE"""),"Yes")</f>
        <v>Yes</v>
      </c>
      <c r="K810" s="5" t="str">
        <f>IFERROR(__xludf.DUMMYFUNCTION("""COMPUTED_VALUE"""),"Yes")</f>
        <v>Yes</v>
      </c>
      <c r="L810" s="5" t="str">
        <f>IFERROR(__xludf.DUMMYFUNCTION("""COMPUTED_VALUE"""),"Yes")</f>
        <v>Yes</v>
      </c>
      <c r="M810" s="5" t="str">
        <f>IFERROR(__xludf.DUMMYFUNCTION("""COMPUTED_VALUE"""),"Yes")</f>
        <v>Yes</v>
      </c>
      <c r="N810" s="5" t="str">
        <f>IFERROR(__xludf.DUMMYFUNCTION("""COMPUTED_VALUE"""),"Yes")</f>
        <v>Yes</v>
      </c>
      <c r="O810" s="5" t="str">
        <f>IFERROR(__xludf.DUMMYFUNCTION("""COMPUTED_VALUE"""),"Yes")</f>
        <v>Yes</v>
      </c>
      <c r="P810" s="5" t="str">
        <f>IFERROR(__xludf.DUMMYFUNCTION("""COMPUTED_VALUE"""),"Yes")</f>
        <v>Yes</v>
      </c>
      <c r="Q810" s="5" t="str">
        <f>IFERROR(__xludf.DUMMYFUNCTION("""COMPUTED_VALUE"""),"Yes")</f>
        <v>Yes</v>
      </c>
      <c r="R810" s="5" t="str">
        <f>IFERROR(__xludf.DUMMYFUNCTION("""COMPUTED_VALUE"""),"Yes")</f>
        <v>Yes</v>
      </c>
      <c r="S810" s="5" t="str">
        <f>IFERROR(__xludf.DUMMYFUNCTION("""COMPUTED_VALUE"""),"Yes")</f>
        <v>Yes</v>
      </c>
      <c r="T810" s="5" t="str">
        <f>IFERROR(__xludf.DUMMYFUNCTION("""COMPUTED_VALUE"""),"Yes")</f>
        <v>Yes</v>
      </c>
      <c r="U810" s="5" t="str">
        <f>IFERROR(__xludf.DUMMYFUNCTION("""COMPUTED_VALUE"""),"Yes")</f>
        <v>Yes</v>
      </c>
      <c r="V810" s="5" t="str">
        <f>IFERROR(__xludf.DUMMYFUNCTION("""COMPUTED_VALUE"""),"Yes")</f>
        <v>Yes</v>
      </c>
      <c r="W810" s="5" t="str">
        <f>IFERROR(__xludf.DUMMYFUNCTION("""COMPUTED_VALUE"""),"Yes")</f>
        <v>Yes</v>
      </c>
      <c r="X810" s="5" t="str">
        <f>IFERROR(__xludf.DUMMYFUNCTION("""COMPUTED_VALUE"""),"Yes")</f>
        <v>Yes</v>
      </c>
      <c r="Y810" s="5" t="str">
        <f>IFERROR(__xludf.DUMMYFUNCTION("""COMPUTED_VALUE"""),"Yes")</f>
        <v>Yes</v>
      </c>
      <c r="Z810" s="5" t="str">
        <f>IFERROR(__xludf.DUMMYFUNCTION("""COMPUTED_VALUE"""),"Yes")</f>
        <v>Yes</v>
      </c>
      <c r="AA810" s="5" t="str">
        <f>IFERROR(__xludf.DUMMYFUNCTION("""COMPUTED_VALUE"""),"Yes")</f>
        <v>Yes</v>
      </c>
      <c r="AB810" s="5" t="str">
        <f>IFERROR(__xludf.DUMMYFUNCTION("""COMPUTED_VALUE"""),"Yes")</f>
        <v>Yes</v>
      </c>
      <c r="AC810" s="5" t="str">
        <f>IFERROR(__xludf.DUMMYFUNCTION("""COMPUTED_VALUE"""),"Yes")</f>
        <v>Yes</v>
      </c>
      <c r="AD810" s="5" t="str">
        <f>IFERROR(__xludf.DUMMYFUNCTION("""COMPUTED_VALUE"""),"Yes")</f>
        <v>Yes</v>
      </c>
      <c r="AE810" s="5" t="str">
        <f>IFERROR(__xludf.DUMMYFUNCTION("""COMPUTED_VALUE"""),"Yes")</f>
        <v>Yes</v>
      </c>
      <c r="AF810" s="5" t="str">
        <f>IFERROR(__xludf.DUMMYFUNCTION("""COMPUTED_VALUE"""),"Yes")</f>
        <v>Yes</v>
      </c>
      <c r="AG810" s="5" t="str">
        <f>IFERROR(__xludf.DUMMYFUNCTION("""COMPUTED_VALUE"""),"Yes")</f>
        <v>Yes</v>
      </c>
      <c r="AH810" s="5" t="str">
        <f>IFERROR(__xludf.DUMMYFUNCTION("""COMPUTED_VALUE"""),"Yes")</f>
        <v>Yes</v>
      </c>
      <c r="AI810" s="5" t="str">
        <f>IFERROR(__xludf.DUMMYFUNCTION("""COMPUTED_VALUE"""),"No")</f>
        <v>No</v>
      </c>
      <c r="AJ810" s="5" t="str">
        <f>IFERROR(__xludf.DUMMYFUNCTION("""COMPUTED_VALUE"""),"No")</f>
        <v>No</v>
      </c>
      <c r="AK810" s="5" t="str">
        <f>IFERROR(__xludf.DUMMYFUNCTION("""COMPUTED_VALUE"""),"No")</f>
        <v>No</v>
      </c>
      <c r="AL810" s="5" t="str">
        <f>IFERROR(__xludf.DUMMYFUNCTION("""COMPUTED_VALUE"""),"No")</f>
        <v>No</v>
      </c>
      <c r="AM810" s="5"/>
      <c r="AN810" s="5"/>
      <c r="AO810" s="5"/>
      <c r="AP810" s="5"/>
      <c r="AQ810" s="5"/>
      <c r="AR810" s="5"/>
      <c r="AS810" s="5"/>
      <c r="AT810" s="5"/>
      <c r="AU810" s="5"/>
      <c r="AV810" s="5"/>
      <c r="AW810" s="5"/>
      <c r="AX810" s="5"/>
      <c r="AY810" s="5"/>
    </row>
    <row r="811">
      <c r="A8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1" s="5">
        <f>IFERROR(__xludf.DUMMYFUNCTION("""COMPUTED_VALUE"""),849.0)</f>
        <v>849</v>
      </c>
      <c r="C811" s="5">
        <f>IFERROR(__xludf.DUMMYFUNCTION("""COMPUTED_VALUE"""),1026.0)</f>
        <v>1026</v>
      </c>
      <c r="D811" s="5" t="str">
        <f>IFERROR(__xludf.DUMMYFUNCTION("""COMPUTED_VALUE"""),"Clover10")</f>
        <v>Clover10</v>
      </c>
      <c r="E811" s="5" t="str">
        <f>IFERROR(__xludf.DUMMYFUNCTION("""COMPUTED_VALUE"""),"Yes")</f>
        <v>Yes</v>
      </c>
      <c r="F811" s="5" t="str">
        <f>IFERROR(__xludf.DUMMYFUNCTION("""COMPUTED_VALUE"""),"Yes")</f>
        <v>Yes</v>
      </c>
      <c r="G811" s="5" t="str">
        <f>IFERROR(__xludf.DUMMYFUNCTION("""COMPUTED_VALUE"""),"Yes")</f>
        <v>Yes</v>
      </c>
      <c r="H811" s="5" t="str">
        <f>IFERROR(__xludf.DUMMYFUNCTION("""COMPUTED_VALUE"""),"Yes")</f>
        <v>Yes</v>
      </c>
      <c r="I811" s="5" t="str">
        <f>IFERROR(__xludf.DUMMYFUNCTION("""COMPUTED_VALUE"""),"Yes")</f>
        <v>Yes</v>
      </c>
      <c r="J811" s="5" t="str">
        <f>IFERROR(__xludf.DUMMYFUNCTION("""COMPUTED_VALUE"""),"Yes")</f>
        <v>Yes</v>
      </c>
      <c r="K811" s="5" t="str">
        <f>IFERROR(__xludf.DUMMYFUNCTION("""COMPUTED_VALUE"""),"Yes")</f>
        <v>Yes</v>
      </c>
      <c r="L811" s="5" t="str">
        <f>IFERROR(__xludf.DUMMYFUNCTION("""COMPUTED_VALUE"""),"Yes")</f>
        <v>Yes</v>
      </c>
      <c r="M811" s="5" t="str">
        <f>IFERROR(__xludf.DUMMYFUNCTION("""COMPUTED_VALUE"""),"Yes")</f>
        <v>Yes</v>
      </c>
      <c r="N811" s="5" t="str">
        <f>IFERROR(__xludf.DUMMYFUNCTION("""COMPUTED_VALUE"""),"Yes")</f>
        <v>Yes</v>
      </c>
      <c r="O811" s="5" t="str">
        <f>IFERROR(__xludf.DUMMYFUNCTION("""COMPUTED_VALUE"""),"Yes")</f>
        <v>Yes</v>
      </c>
      <c r="P811" s="5" t="str">
        <f>IFERROR(__xludf.DUMMYFUNCTION("""COMPUTED_VALUE"""),"Yes")</f>
        <v>Yes</v>
      </c>
      <c r="Q811" s="5" t="str">
        <f>IFERROR(__xludf.DUMMYFUNCTION("""COMPUTED_VALUE"""),"Yes")</f>
        <v>Yes</v>
      </c>
      <c r="R811" s="5" t="str">
        <f>IFERROR(__xludf.DUMMYFUNCTION("""COMPUTED_VALUE"""),"Yes")</f>
        <v>Yes</v>
      </c>
      <c r="S811" s="5" t="str">
        <f>IFERROR(__xludf.DUMMYFUNCTION("""COMPUTED_VALUE"""),"Yes")</f>
        <v>Yes</v>
      </c>
      <c r="T811" s="5" t="str">
        <f>IFERROR(__xludf.DUMMYFUNCTION("""COMPUTED_VALUE"""),"Yes")</f>
        <v>Yes</v>
      </c>
      <c r="U811" s="5" t="str">
        <f>IFERROR(__xludf.DUMMYFUNCTION("""COMPUTED_VALUE"""),"Yes")</f>
        <v>Yes</v>
      </c>
      <c r="V811" s="5" t="str">
        <f>IFERROR(__xludf.DUMMYFUNCTION("""COMPUTED_VALUE"""),"Yes")</f>
        <v>Yes</v>
      </c>
      <c r="W811" s="5" t="str">
        <f>IFERROR(__xludf.DUMMYFUNCTION("""COMPUTED_VALUE"""),"Yes")</f>
        <v>Yes</v>
      </c>
      <c r="X811" s="5" t="str">
        <f>IFERROR(__xludf.DUMMYFUNCTION("""COMPUTED_VALUE"""),"Yes")</f>
        <v>Yes</v>
      </c>
      <c r="Y811" s="5" t="str">
        <f>IFERROR(__xludf.DUMMYFUNCTION("""COMPUTED_VALUE"""),"Yes")</f>
        <v>Yes</v>
      </c>
      <c r="Z811" s="5" t="str">
        <f>IFERROR(__xludf.DUMMYFUNCTION("""COMPUTED_VALUE"""),"Yes")</f>
        <v>Yes</v>
      </c>
      <c r="AA811" s="5" t="str">
        <f>IFERROR(__xludf.DUMMYFUNCTION("""COMPUTED_VALUE"""),"Yes")</f>
        <v>Yes</v>
      </c>
      <c r="AB811" s="5" t="str">
        <f>IFERROR(__xludf.DUMMYFUNCTION("""COMPUTED_VALUE"""),"Yes")</f>
        <v>Yes</v>
      </c>
      <c r="AC811" s="5" t="str">
        <f>IFERROR(__xludf.DUMMYFUNCTION("""COMPUTED_VALUE"""),"Yes")</f>
        <v>Yes</v>
      </c>
      <c r="AD811" s="5" t="str">
        <f>IFERROR(__xludf.DUMMYFUNCTION("""COMPUTED_VALUE"""),"Yes")</f>
        <v>Yes</v>
      </c>
      <c r="AE811" s="5" t="str">
        <f>IFERROR(__xludf.DUMMYFUNCTION("""COMPUTED_VALUE"""),"Yes")</f>
        <v>Yes</v>
      </c>
      <c r="AF811" s="5" t="str">
        <f>IFERROR(__xludf.DUMMYFUNCTION("""COMPUTED_VALUE"""),"Yes")</f>
        <v>Yes</v>
      </c>
      <c r="AG811" s="5" t="str">
        <f>IFERROR(__xludf.DUMMYFUNCTION("""COMPUTED_VALUE"""),"Yes")</f>
        <v>Yes</v>
      </c>
      <c r="AH811" s="5" t="str">
        <f>IFERROR(__xludf.DUMMYFUNCTION("""COMPUTED_VALUE"""),"Yes")</f>
        <v>Yes</v>
      </c>
      <c r="AI811" s="5" t="str">
        <f>IFERROR(__xludf.DUMMYFUNCTION("""COMPUTED_VALUE"""),"No")</f>
        <v>No</v>
      </c>
      <c r="AJ811" s="5" t="str">
        <f>IFERROR(__xludf.DUMMYFUNCTION("""COMPUTED_VALUE"""),"No")</f>
        <v>No</v>
      </c>
      <c r="AK811" s="5" t="str">
        <f>IFERROR(__xludf.DUMMYFUNCTION("""COMPUTED_VALUE"""),"No")</f>
        <v>No</v>
      </c>
      <c r="AL811" s="5" t="str">
        <f>IFERROR(__xludf.DUMMYFUNCTION("""COMPUTED_VALUE"""),"No")</f>
        <v>No</v>
      </c>
      <c r="AM811" s="5"/>
      <c r="AN811" s="5"/>
      <c r="AO811" s="5"/>
      <c r="AP811" s="5"/>
      <c r="AQ811" s="5"/>
      <c r="AR811" s="5"/>
      <c r="AS811" s="5"/>
      <c r="AT811" s="5"/>
      <c r="AU811" s="5"/>
      <c r="AV811" s="5"/>
      <c r="AW811" s="5"/>
      <c r="AX811" s="5"/>
      <c r="AY811" s="5"/>
    </row>
    <row r="812">
      <c r="A8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2" s="5">
        <f>IFERROR(__xludf.DUMMYFUNCTION("""COMPUTED_VALUE"""),850.0)</f>
        <v>850</v>
      </c>
      <c r="C812" s="5">
        <f>IFERROR(__xludf.DUMMYFUNCTION("""COMPUTED_VALUE"""),3046.0)</f>
        <v>3046</v>
      </c>
      <c r="D812" s="5" t="str">
        <f>IFERROR(__xludf.DUMMYFUNCTION("""COMPUTED_VALUE"""),"PowerLucky7")</f>
        <v>PowerLucky7</v>
      </c>
      <c r="E812" s="5" t="str">
        <f>IFERROR(__xludf.DUMMYFUNCTION("""COMPUTED_VALUE"""),"Yes")</f>
        <v>Yes</v>
      </c>
      <c r="F812" s="5" t="str">
        <f>IFERROR(__xludf.DUMMYFUNCTION("""COMPUTED_VALUE"""),"Yes")</f>
        <v>Yes</v>
      </c>
      <c r="G812" s="5" t="str">
        <f>IFERROR(__xludf.DUMMYFUNCTION("""COMPUTED_VALUE"""),"Yes")</f>
        <v>Yes</v>
      </c>
      <c r="H812" s="5" t="str">
        <f>IFERROR(__xludf.DUMMYFUNCTION("""COMPUTED_VALUE"""),"Yes")</f>
        <v>Yes</v>
      </c>
      <c r="I812" s="5" t="str">
        <f>IFERROR(__xludf.DUMMYFUNCTION("""COMPUTED_VALUE"""),"Yes")</f>
        <v>Yes</v>
      </c>
      <c r="J812" s="5" t="str">
        <f>IFERROR(__xludf.DUMMYFUNCTION("""COMPUTED_VALUE"""),"Yes")</f>
        <v>Yes</v>
      </c>
      <c r="K812" s="5" t="str">
        <f>IFERROR(__xludf.DUMMYFUNCTION("""COMPUTED_VALUE"""),"Yes")</f>
        <v>Yes</v>
      </c>
      <c r="L812" s="5" t="str">
        <f>IFERROR(__xludf.DUMMYFUNCTION("""COMPUTED_VALUE"""),"Yes")</f>
        <v>Yes</v>
      </c>
      <c r="M812" s="5" t="str">
        <f>IFERROR(__xludf.DUMMYFUNCTION("""COMPUTED_VALUE"""),"Yes")</f>
        <v>Yes</v>
      </c>
      <c r="N812" s="5" t="str">
        <f>IFERROR(__xludf.DUMMYFUNCTION("""COMPUTED_VALUE"""),"Yes")</f>
        <v>Yes</v>
      </c>
      <c r="O812" s="5" t="str">
        <f>IFERROR(__xludf.DUMMYFUNCTION("""COMPUTED_VALUE"""),"Yes")</f>
        <v>Yes</v>
      </c>
      <c r="P812" s="5" t="str">
        <f>IFERROR(__xludf.DUMMYFUNCTION("""COMPUTED_VALUE"""),"Yes")</f>
        <v>Yes</v>
      </c>
      <c r="Q812" s="5" t="str">
        <f>IFERROR(__xludf.DUMMYFUNCTION("""COMPUTED_VALUE"""),"Yes")</f>
        <v>Yes</v>
      </c>
      <c r="R812" s="5" t="str">
        <f>IFERROR(__xludf.DUMMYFUNCTION("""COMPUTED_VALUE"""),"Yes")</f>
        <v>Yes</v>
      </c>
      <c r="S812" s="5" t="str">
        <f>IFERROR(__xludf.DUMMYFUNCTION("""COMPUTED_VALUE"""),"Yes")</f>
        <v>Yes</v>
      </c>
      <c r="T812" s="5" t="str">
        <f>IFERROR(__xludf.DUMMYFUNCTION("""COMPUTED_VALUE"""),"Yes")</f>
        <v>Yes</v>
      </c>
      <c r="U812" s="5" t="str">
        <f>IFERROR(__xludf.DUMMYFUNCTION("""COMPUTED_VALUE"""),"Yes")</f>
        <v>Yes</v>
      </c>
      <c r="V812" s="5" t="str">
        <f>IFERROR(__xludf.DUMMYFUNCTION("""COMPUTED_VALUE"""),"Yes")</f>
        <v>Yes</v>
      </c>
      <c r="W812" s="5" t="str">
        <f>IFERROR(__xludf.DUMMYFUNCTION("""COMPUTED_VALUE"""),"Yes")</f>
        <v>Yes</v>
      </c>
      <c r="X812" s="5" t="str">
        <f>IFERROR(__xludf.DUMMYFUNCTION("""COMPUTED_VALUE"""),"Yes")</f>
        <v>Yes</v>
      </c>
      <c r="Y812" s="5" t="str">
        <f>IFERROR(__xludf.DUMMYFUNCTION("""COMPUTED_VALUE"""),"Yes")</f>
        <v>Yes</v>
      </c>
      <c r="Z812" s="5" t="str">
        <f>IFERROR(__xludf.DUMMYFUNCTION("""COMPUTED_VALUE"""),"Yes")</f>
        <v>Yes</v>
      </c>
      <c r="AA812" s="5" t="str">
        <f>IFERROR(__xludf.DUMMYFUNCTION("""COMPUTED_VALUE"""),"Yes")</f>
        <v>Yes</v>
      </c>
      <c r="AB812" s="5" t="str">
        <f>IFERROR(__xludf.DUMMYFUNCTION("""COMPUTED_VALUE"""),"Yes")</f>
        <v>Yes</v>
      </c>
      <c r="AC812" s="5" t="str">
        <f>IFERROR(__xludf.DUMMYFUNCTION("""COMPUTED_VALUE"""),"Yes")</f>
        <v>Yes</v>
      </c>
      <c r="AD812" s="5" t="str">
        <f>IFERROR(__xludf.DUMMYFUNCTION("""COMPUTED_VALUE"""),"Yes")</f>
        <v>Yes</v>
      </c>
      <c r="AE812" s="5" t="str">
        <f>IFERROR(__xludf.DUMMYFUNCTION("""COMPUTED_VALUE"""),"Yes")</f>
        <v>Yes</v>
      </c>
      <c r="AF812" s="5" t="str">
        <f>IFERROR(__xludf.DUMMYFUNCTION("""COMPUTED_VALUE"""),"Yes")</f>
        <v>Yes</v>
      </c>
      <c r="AG812" s="5" t="str">
        <f>IFERROR(__xludf.DUMMYFUNCTION("""COMPUTED_VALUE"""),"Yes")</f>
        <v>Yes</v>
      </c>
      <c r="AH812" s="5" t="str">
        <f>IFERROR(__xludf.DUMMYFUNCTION("""COMPUTED_VALUE"""),"Yes")</f>
        <v>Yes</v>
      </c>
      <c r="AI812" s="5" t="str">
        <f>IFERROR(__xludf.DUMMYFUNCTION("""COMPUTED_VALUE"""),"No")</f>
        <v>No</v>
      </c>
      <c r="AJ812" s="5" t="str">
        <f>IFERROR(__xludf.DUMMYFUNCTION("""COMPUTED_VALUE"""),"No")</f>
        <v>No</v>
      </c>
      <c r="AK812" s="5" t="str">
        <f>IFERROR(__xludf.DUMMYFUNCTION("""COMPUTED_VALUE"""),"No")</f>
        <v>No</v>
      </c>
      <c r="AL812" s="5" t="str">
        <f>IFERROR(__xludf.DUMMYFUNCTION("""COMPUTED_VALUE"""),"No")</f>
        <v>No</v>
      </c>
      <c r="AM812" s="5"/>
      <c r="AN812" s="5"/>
      <c r="AO812" s="5"/>
      <c r="AP812" s="5"/>
      <c r="AQ812" s="5"/>
      <c r="AR812" s="5"/>
      <c r="AS812" s="5"/>
      <c r="AT812" s="5"/>
      <c r="AU812" s="5"/>
      <c r="AV812" s="5"/>
      <c r="AW812" s="5"/>
      <c r="AX812" s="5"/>
      <c r="AY812" s="5"/>
    </row>
    <row r="813">
      <c r="A8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3" s="5">
        <f>IFERROR(__xludf.DUMMYFUNCTION("""COMPUTED_VALUE"""),851.0)</f>
        <v>851</v>
      </c>
      <c r="C813" s="5">
        <f>IFERROR(__xludf.DUMMYFUNCTION("""COMPUTED_VALUE"""),180091.0)</f>
        <v>180091</v>
      </c>
      <c r="D813" s="5" t="str">
        <f>IFERROR(__xludf.DUMMYFUNCTION("""COMPUTED_VALUE"""),"RedstoneXBombFire")</f>
        <v>RedstoneXBombFire</v>
      </c>
      <c r="E813" s="5" t="str">
        <f>IFERROR(__xludf.DUMMYFUNCTION("""COMPUTED_VALUE"""),"Yes")</f>
        <v>Yes</v>
      </c>
      <c r="F813" s="5" t="str">
        <f>IFERROR(__xludf.DUMMYFUNCTION("""COMPUTED_VALUE"""),"Yes")</f>
        <v>Yes</v>
      </c>
      <c r="G813" s="5" t="str">
        <f>IFERROR(__xludf.DUMMYFUNCTION("""COMPUTED_VALUE"""),"Yes")</f>
        <v>Yes</v>
      </c>
      <c r="H813" s="5" t="str">
        <f>IFERROR(__xludf.DUMMYFUNCTION("""COMPUTED_VALUE"""),"Yes")</f>
        <v>Yes</v>
      </c>
      <c r="I813" s="5" t="str">
        <f>IFERROR(__xludf.DUMMYFUNCTION("""COMPUTED_VALUE"""),"Yes")</f>
        <v>Yes</v>
      </c>
      <c r="J813" s="5" t="str">
        <f>IFERROR(__xludf.DUMMYFUNCTION("""COMPUTED_VALUE"""),"Yes")</f>
        <v>Yes</v>
      </c>
      <c r="K813" s="5" t="str">
        <f>IFERROR(__xludf.DUMMYFUNCTION("""COMPUTED_VALUE"""),"Yes")</f>
        <v>Yes</v>
      </c>
      <c r="L813" s="5" t="str">
        <f>IFERROR(__xludf.DUMMYFUNCTION("""COMPUTED_VALUE"""),"Yes")</f>
        <v>Yes</v>
      </c>
      <c r="M813" s="5" t="str">
        <f>IFERROR(__xludf.DUMMYFUNCTION("""COMPUTED_VALUE"""),"Yes")</f>
        <v>Yes</v>
      </c>
      <c r="N813" s="5" t="str">
        <f>IFERROR(__xludf.DUMMYFUNCTION("""COMPUTED_VALUE"""),"Yes")</f>
        <v>Yes</v>
      </c>
      <c r="O813" s="5" t="str">
        <f>IFERROR(__xludf.DUMMYFUNCTION("""COMPUTED_VALUE"""),"Yes")</f>
        <v>Yes</v>
      </c>
      <c r="P813" s="5" t="str">
        <f>IFERROR(__xludf.DUMMYFUNCTION("""COMPUTED_VALUE"""),"Yes")</f>
        <v>Yes</v>
      </c>
      <c r="Q813" s="5" t="str">
        <f>IFERROR(__xludf.DUMMYFUNCTION("""COMPUTED_VALUE"""),"Yes")</f>
        <v>Yes</v>
      </c>
      <c r="R813" s="5" t="str">
        <f>IFERROR(__xludf.DUMMYFUNCTION("""COMPUTED_VALUE"""),"Yes")</f>
        <v>Yes</v>
      </c>
      <c r="S813" s="5" t="str">
        <f>IFERROR(__xludf.DUMMYFUNCTION("""COMPUTED_VALUE"""),"Yes")</f>
        <v>Yes</v>
      </c>
      <c r="T813" s="5" t="str">
        <f>IFERROR(__xludf.DUMMYFUNCTION("""COMPUTED_VALUE"""),"Yes")</f>
        <v>Yes</v>
      </c>
      <c r="U813" s="5" t="str">
        <f>IFERROR(__xludf.DUMMYFUNCTION("""COMPUTED_VALUE"""),"Yes")</f>
        <v>Yes</v>
      </c>
      <c r="V813" s="5" t="str">
        <f>IFERROR(__xludf.DUMMYFUNCTION("""COMPUTED_VALUE"""),"Yes")</f>
        <v>Yes</v>
      </c>
      <c r="W813" s="5" t="str">
        <f>IFERROR(__xludf.DUMMYFUNCTION("""COMPUTED_VALUE"""),"Yes")</f>
        <v>Yes</v>
      </c>
      <c r="X813" s="5" t="str">
        <f>IFERROR(__xludf.DUMMYFUNCTION("""COMPUTED_VALUE"""),"Yes")</f>
        <v>Yes</v>
      </c>
      <c r="Y813" s="5" t="str">
        <f>IFERROR(__xludf.DUMMYFUNCTION("""COMPUTED_VALUE"""),"Yes")</f>
        <v>Yes</v>
      </c>
      <c r="Z813" s="5" t="str">
        <f>IFERROR(__xludf.DUMMYFUNCTION("""COMPUTED_VALUE"""),"Yes")</f>
        <v>Yes</v>
      </c>
      <c r="AA813" s="5" t="str">
        <f>IFERROR(__xludf.DUMMYFUNCTION("""COMPUTED_VALUE"""),"Yes")</f>
        <v>Yes</v>
      </c>
      <c r="AB813" s="5" t="str">
        <f>IFERROR(__xludf.DUMMYFUNCTION("""COMPUTED_VALUE"""),"Yes")</f>
        <v>Yes</v>
      </c>
      <c r="AC813" s="5" t="str">
        <f>IFERROR(__xludf.DUMMYFUNCTION("""COMPUTED_VALUE"""),"Yes")</f>
        <v>Yes</v>
      </c>
      <c r="AD813" s="5" t="str">
        <f>IFERROR(__xludf.DUMMYFUNCTION("""COMPUTED_VALUE"""),"Yes")</f>
        <v>Yes</v>
      </c>
      <c r="AE813" s="5" t="str">
        <f>IFERROR(__xludf.DUMMYFUNCTION("""COMPUTED_VALUE"""),"Yes")</f>
        <v>Yes</v>
      </c>
      <c r="AF813" s="5" t="str">
        <f>IFERROR(__xludf.DUMMYFUNCTION("""COMPUTED_VALUE"""),"Yes")</f>
        <v>Yes</v>
      </c>
      <c r="AG813" s="5" t="str">
        <f>IFERROR(__xludf.DUMMYFUNCTION("""COMPUTED_VALUE"""),"Yes")</f>
        <v>Yes</v>
      </c>
      <c r="AH813" s="5" t="str">
        <f>IFERROR(__xludf.DUMMYFUNCTION("""COMPUTED_VALUE"""),"Yes")</f>
        <v>Yes</v>
      </c>
      <c r="AI813" s="5" t="str">
        <f>IFERROR(__xludf.DUMMYFUNCTION("""COMPUTED_VALUE"""),"No")</f>
        <v>No</v>
      </c>
      <c r="AJ813" s="5" t="str">
        <f>IFERROR(__xludf.DUMMYFUNCTION("""COMPUTED_VALUE"""),"No")</f>
        <v>No</v>
      </c>
      <c r="AK813" s="5" t="str">
        <f>IFERROR(__xludf.DUMMYFUNCTION("""COMPUTED_VALUE"""),"No")</f>
        <v>No</v>
      </c>
      <c r="AL813" s="5" t="str">
        <f>IFERROR(__xludf.DUMMYFUNCTION("""COMPUTED_VALUE"""),"No")</f>
        <v>No</v>
      </c>
      <c r="AM813" s="5"/>
      <c r="AN813" s="5"/>
      <c r="AO813" s="5"/>
      <c r="AP813" s="5"/>
      <c r="AQ813" s="5"/>
      <c r="AR813" s="5"/>
      <c r="AS813" s="5"/>
      <c r="AT813" s="5"/>
      <c r="AU813" s="5"/>
      <c r="AV813" s="5"/>
      <c r="AW813" s="5"/>
      <c r="AX813" s="5"/>
      <c r="AY813" s="5"/>
    </row>
    <row r="814">
      <c r="A8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814" s="5">
        <f>IFERROR(__xludf.DUMMYFUNCTION("""COMPUTED_VALUE"""),852.0)</f>
        <v>852</v>
      </c>
      <c r="C814" s="5">
        <f>IFERROR(__xludf.DUMMYFUNCTION("""COMPUTED_VALUE"""),4048.0)</f>
        <v>4048</v>
      </c>
      <c r="D814" s="5" t="str">
        <f>IFERROR(__xludf.DUMMYFUNCTION("""COMPUTED_VALUE"""),"OctoberHot40")</f>
        <v>OctoberHot40</v>
      </c>
      <c r="E814" s="5" t="str">
        <f>IFERROR(__xludf.DUMMYFUNCTION("""COMPUTED_VALUE"""),"Yes")</f>
        <v>Yes</v>
      </c>
      <c r="F814" s="5" t="str">
        <f>IFERROR(__xludf.DUMMYFUNCTION("""COMPUTED_VALUE"""),"Yes")</f>
        <v>Yes</v>
      </c>
      <c r="G814" s="5" t="str">
        <f>IFERROR(__xludf.DUMMYFUNCTION("""COMPUTED_VALUE"""),"Yes")</f>
        <v>Yes</v>
      </c>
      <c r="H814" s="5" t="str">
        <f>IFERROR(__xludf.DUMMYFUNCTION("""COMPUTED_VALUE"""),"Yes")</f>
        <v>Yes</v>
      </c>
      <c r="I814" s="5" t="str">
        <f>IFERROR(__xludf.DUMMYFUNCTION("""COMPUTED_VALUE"""),"Yes")</f>
        <v>Yes</v>
      </c>
      <c r="J814" s="5" t="str">
        <f>IFERROR(__xludf.DUMMYFUNCTION("""COMPUTED_VALUE"""),"Yes")</f>
        <v>Yes</v>
      </c>
      <c r="K814" s="5" t="str">
        <f>IFERROR(__xludf.DUMMYFUNCTION("""COMPUTED_VALUE"""),"Yes")</f>
        <v>Yes</v>
      </c>
      <c r="L814" s="5" t="str">
        <f>IFERROR(__xludf.DUMMYFUNCTION("""COMPUTED_VALUE"""),"Yes")</f>
        <v>Yes</v>
      </c>
      <c r="M814" s="5" t="str">
        <f>IFERROR(__xludf.DUMMYFUNCTION("""COMPUTED_VALUE"""),"Yes")</f>
        <v>Yes</v>
      </c>
      <c r="N814" s="5" t="str">
        <f>IFERROR(__xludf.DUMMYFUNCTION("""COMPUTED_VALUE"""),"Yes")</f>
        <v>Yes</v>
      </c>
      <c r="O814" s="5" t="str">
        <f>IFERROR(__xludf.DUMMYFUNCTION("""COMPUTED_VALUE"""),"Yes")</f>
        <v>Yes</v>
      </c>
      <c r="P814" s="5" t="str">
        <f>IFERROR(__xludf.DUMMYFUNCTION("""COMPUTED_VALUE"""),"Yes")</f>
        <v>Yes</v>
      </c>
      <c r="Q814" s="5" t="str">
        <f>IFERROR(__xludf.DUMMYFUNCTION("""COMPUTED_VALUE"""),"Yes")</f>
        <v>Yes</v>
      </c>
      <c r="R814" s="5" t="str">
        <f>IFERROR(__xludf.DUMMYFUNCTION("""COMPUTED_VALUE"""),"Yes")</f>
        <v>Yes</v>
      </c>
      <c r="S814" s="5" t="str">
        <f>IFERROR(__xludf.DUMMYFUNCTION("""COMPUTED_VALUE"""),"Yes")</f>
        <v>Yes</v>
      </c>
      <c r="T814" s="5" t="str">
        <f>IFERROR(__xludf.DUMMYFUNCTION("""COMPUTED_VALUE"""),"Yes")</f>
        <v>Yes</v>
      </c>
      <c r="U814" s="5" t="str">
        <f>IFERROR(__xludf.DUMMYFUNCTION("""COMPUTED_VALUE"""),"Yes")</f>
        <v>Yes</v>
      </c>
      <c r="V814" s="5" t="str">
        <f>IFERROR(__xludf.DUMMYFUNCTION("""COMPUTED_VALUE"""),"Yes")</f>
        <v>Yes</v>
      </c>
      <c r="W814" s="5" t="str">
        <f>IFERROR(__xludf.DUMMYFUNCTION("""COMPUTED_VALUE"""),"Yes")</f>
        <v>Yes</v>
      </c>
      <c r="X814" s="5" t="str">
        <f>IFERROR(__xludf.DUMMYFUNCTION("""COMPUTED_VALUE"""),"Yes")</f>
        <v>Yes</v>
      </c>
      <c r="Y814" s="5" t="str">
        <f>IFERROR(__xludf.DUMMYFUNCTION("""COMPUTED_VALUE"""),"Yes")</f>
        <v>Yes</v>
      </c>
      <c r="Z814" s="5" t="str">
        <f>IFERROR(__xludf.DUMMYFUNCTION("""COMPUTED_VALUE"""),"Yes")</f>
        <v>Yes</v>
      </c>
      <c r="AA814" s="5" t="str">
        <f>IFERROR(__xludf.DUMMYFUNCTION("""COMPUTED_VALUE"""),"Yes")</f>
        <v>Yes</v>
      </c>
      <c r="AB814" s="5" t="str">
        <f>IFERROR(__xludf.DUMMYFUNCTION("""COMPUTED_VALUE"""),"Yes")</f>
        <v>Yes</v>
      </c>
      <c r="AC814" s="5" t="str">
        <f>IFERROR(__xludf.DUMMYFUNCTION("""COMPUTED_VALUE"""),"Yes")</f>
        <v>Yes</v>
      </c>
      <c r="AD814" s="5" t="str">
        <f>IFERROR(__xludf.DUMMYFUNCTION("""COMPUTED_VALUE"""),"Yes")</f>
        <v>Yes</v>
      </c>
      <c r="AE814" s="5" t="str">
        <f>IFERROR(__xludf.DUMMYFUNCTION("""COMPUTED_VALUE"""),"Yes")</f>
        <v>Yes</v>
      </c>
      <c r="AF814" s="5" t="str">
        <f>IFERROR(__xludf.DUMMYFUNCTION("""COMPUTED_VALUE"""),"Yes")</f>
        <v>Yes</v>
      </c>
      <c r="AG814" s="5" t="str">
        <f>IFERROR(__xludf.DUMMYFUNCTION("""COMPUTED_VALUE"""),"Yes")</f>
        <v>Yes</v>
      </c>
      <c r="AH814" s="5" t="str">
        <f>IFERROR(__xludf.DUMMYFUNCTION("""COMPUTED_VALUE"""),"Yes")</f>
        <v>Yes</v>
      </c>
      <c r="AI814" s="5" t="str">
        <f>IFERROR(__xludf.DUMMYFUNCTION("""COMPUTED_VALUE"""),"Yes")</f>
        <v>Yes</v>
      </c>
      <c r="AJ814" s="5" t="str">
        <f>IFERROR(__xludf.DUMMYFUNCTION("""COMPUTED_VALUE"""),"Yes")</f>
        <v>Yes</v>
      </c>
      <c r="AK814" s="5" t="str">
        <f>IFERROR(__xludf.DUMMYFUNCTION("""COMPUTED_VALUE"""),"Yes")</f>
        <v>Yes</v>
      </c>
      <c r="AL814" s="5" t="str">
        <f>IFERROR(__xludf.DUMMYFUNCTION("""COMPUTED_VALUE"""),"Yes")</f>
        <v>Yes</v>
      </c>
      <c r="AM814" s="5"/>
      <c r="AN814" s="5"/>
      <c r="AO814" s="5"/>
      <c r="AP814" s="5"/>
      <c r="AQ814" s="5"/>
      <c r="AR814" s="5"/>
      <c r="AS814" s="5"/>
      <c r="AT814" s="5"/>
      <c r="AU814" s="5"/>
      <c r="AV814" s="5"/>
      <c r="AW814" s="5"/>
      <c r="AX814" s="5"/>
      <c r="AY814" s="5"/>
    </row>
    <row r="815">
      <c r="A815" s="5" t="str">
        <f>IFERROR(__xludf.DUMMYFUNCTION("""COMPUTED_VALUE"""),"")</f>
        <v/>
      </c>
      <c r="B815" s="5">
        <f>IFERROR(__xludf.DUMMYFUNCTION("""COMPUTED_VALUE"""),853.0)</f>
        <v>853</v>
      </c>
      <c r="C815" s="5">
        <f>IFERROR(__xludf.DUMMYFUNCTION("""COMPUTED_VALUE"""),4045.0)</f>
        <v>4045</v>
      </c>
      <c r="D815" s="5" t="str">
        <f>IFERROR(__xludf.DUMMYFUNCTION("""COMPUTED_VALUE"""),"WinningWildCrown")</f>
        <v>WinningWildCrown</v>
      </c>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row>
    <row r="816">
      <c r="A816" s="5" t="str">
        <f>IFERROR(__xludf.DUMMYFUNCTION("""COMPUTED_VALUE"""),"")</f>
        <v/>
      </c>
      <c r="B816" s="5">
        <f>IFERROR(__xludf.DUMMYFUNCTION("""COMPUTED_VALUE"""),854.0)</f>
        <v>854</v>
      </c>
      <c r="C816" s="5">
        <f>IFERROR(__xludf.DUMMYFUNCTION("""COMPUTED_VALUE"""),4049.0)</f>
        <v>4049</v>
      </c>
      <c r="D816" s="5" t="str">
        <f>IFERROR(__xludf.DUMMYFUNCTION("""COMPUTED_VALUE"""),"TipobetHot40")</f>
        <v>TipobetHot40</v>
      </c>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row>
    <row r="817">
      <c r="A817" s="5" t="str">
        <f>IFERROR(__xludf.DUMMYFUNCTION("""COMPUTED_VALUE"""),"")</f>
        <v/>
      </c>
      <c r="B817" s="5">
        <f>IFERROR(__xludf.DUMMYFUNCTION("""COMPUTED_VALUE"""),855.0)</f>
        <v>855</v>
      </c>
      <c r="C817" s="5">
        <f>IFERROR(__xludf.DUMMYFUNCTION("""COMPUTED_VALUE"""),3047.0)</f>
        <v>3047</v>
      </c>
      <c r="D817" s="5" t="str">
        <f>IFERROR(__xludf.DUMMYFUNCTION("""COMPUTED_VALUE"""),"CrownOfBonusExtrabet")</f>
        <v>CrownOfBonusExtrabet</v>
      </c>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row>
    <row r="818">
      <c r="A818" s="5" t="str">
        <f>IFERROR(__xludf.DUMMYFUNCTION("""COMPUTED_VALUE"""),"")</f>
        <v/>
      </c>
      <c r="B818" s="5">
        <f>IFERROR(__xludf.DUMMYFUNCTION("""COMPUTED_VALUE"""),856.0)</f>
        <v>856</v>
      </c>
      <c r="C818" s="5">
        <f>IFERROR(__xludf.DUMMYFUNCTION("""COMPUTED_VALUE"""),6001.0)</f>
        <v>6001</v>
      </c>
      <c r="D818" s="5" t="str">
        <f>IFERROR(__xludf.DUMMYFUNCTION("""COMPUTED_VALUE"""),"TreasureRush")</f>
        <v>TreasureRush</v>
      </c>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row>
    <row r="819">
      <c r="A819" s="5" t="str">
        <f>IFERROR(__xludf.DUMMYFUNCTION("""COMPUTED_VALUE"""),"")</f>
        <v/>
      </c>
      <c r="B819" s="5">
        <f>IFERROR(__xludf.DUMMYFUNCTION("""COMPUTED_VALUE"""),857.0)</f>
        <v>857</v>
      </c>
      <c r="C819" s="5">
        <f>IFERROR(__xludf.DUMMYFUNCTION("""COMPUTED_VALUE"""),-1.0)</f>
        <v>-1</v>
      </c>
      <c r="D819" s="5" t="str">
        <f>IFERROR(__xludf.DUMMYFUNCTION("""COMPUTED_VALUE"""),"TBD")</f>
        <v>TBD</v>
      </c>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row>
    <row r="820">
      <c r="A820" s="5" t="str">
        <f>IFERROR(__xludf.DUMMYFUNCTION("""COMPUTED_VALUE"""),"")</f>
        <v/>
      </c>
      <c r="B820" s="5">
        <f>IFERROR(__xludf.DUMMYFUNCTION("""COMPUTED_VALUE"""),858.0)</f>
        <v>858</v>
      </c>
      <c r="C820" s="5">
        <f>IFERROR(__xludf.DUMMYFUNCTION("""COMPUTED_VALUE"""),-1.0)</f>
        <v>-1</v>
      </c>
      <c r="D820" s="5" t="str">
        <f>IFERROR(__xludf.DUMMYFUNCTION("""COMPUTED_VALUE"""),"TBD")</f>
        <v>TBD</v>
      </c>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row>
    <row r="821">
      <c r="A821" s="5" t="str">
        <f>IFERROR(__xludf.DUMMYFUNCTION("""COMPUTED_VALUE"""),"")</f>
        <v/>
      </c>
      <c r="B821" s="5">
        <f>IFERROR(__xludf.DUMMYFUNCTION("""COMPUTED_VALUE"""),859.0)</f>
        <v>859</v>
      </c>
      <c r="C821" s="5">
        <f>IFERROR(__xludf.DUMMYFUNCTION("""COMPUTED_VALUE"""),2030.0)</f>
        <v>2030</v>
      </c>
      <c r="D821" s="5" t="str">
        <f>IFERROR(__xludf.DUMMYFUNCTION("""COMPUTED_VALUE"""),"WuKong27")</f>
        <v>WuKong27</v>
      </c>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row>
    <row r="822">
      <c r="A822" s="5" t="str">
        <f>IFERROR(__xludf.DUMMYFUNCTION("""COMPUTED_VALUE"""),"")</f>
        <v/>
      </c>
      <c r="B822" s="5">
        <f>IFERROR(__xludf.DUMMYFUNCTION("""COMPUTED_VALUE"""),860.0)</f>
        <v>860</v>
      </c>
      <c r="C822" s="5">
        <f>IFERROR(__xludf.DUMMYFUNCTION("""COMPUTED_VALUE"""),-1.0)</f>
        <v>-1</v>
      </c>
      <c r="D822" s="5" t="str">
        <f>IFERROR(__xludf.DUMMYFUNCTION("""COMPUTED_VALUE"""),"TBD")</f>
        <v>TBD</v>
      </c>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row>
    <row r="823">
      <c r="A823" s="5" t="str">
        <f>IFERROR(__xludf.DUMMYFUNCTION("""COMPUTED_VALUE"""),"")</f>
        <v/>
      </c>
      <c r="B823" s="5">
        <f>IFERROR(__xludf.DUMMYFUNCTION("""COMPUTED_VALUE"""),861.0)</f>
        <v>861</v>
      </c>
      <c r="C823" s="5">
        <f>IFERROR(__xludf.DUMMYFUNCTION("""COMPUTED_VALUE"""),-1.0)</f>
        <v>-1</v>
      </c>
      <c r="D823" s="5" t="str">
        <f>IFERROR(__xludf.DUMMYFUNCTION("""COMPUTED_VALUE"""),"TBD")</f>
        <v>TBD</v>
      </c>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row>
    <row r="824">
      <c r="A824" s="5" t="str">
        <f>IFERROR(__xludf.DUMMYFUNCTION("""COMPUTED_VALUE"""),"")</f>
        <v/>
      </c>
      <c r="B824" s="5">
        <f>IFERROR(__xludf.DUMMYFUNCTION("""COMPUTED_VALUE"""),862.0)</f>
        <v>862</v>
      </c>
      <c r="C824" s="5">
        <f>IFERROR(__xludf.DUMMYFUNCTION("""COMPUTED_VALUE"""),3050.0)</f>
        <v>3050</v>
      </c>
      <c r="D824" s="5" t="str">
        <f>IFERROR(__xludf.DUMMYFUNCTION("""COMPUTED_VALUE"""),"DoubleGift10")</f>
        <v>DoubleGift10</v>
      </c>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row>
    <row r="825">
      <c r="A825" s="5" t="str">
        <f>IFERROR(__xludf.DUMMYFUNCTION("""COMPUTED_VALUE"""),"")</f>
        <v/>
      </c>
      <c r="B825" s="5">
        <f>IFERROR(__xludf.DUMMYFUNCTION("""COMPUTED_VALUE"""),863.0)</f>
        <v>863</v>
      </c>
      <c r="C825" s="5">
        <f>IFERROR(__xludf.DUMMYFUNCTION("""COMPUTED_VALUE"""),3049.0)</f>
        <v>3049</v>
      </c>
      <c r="D825" s="5" t="str">
        <f>IFERROR(__xludf.DUMMYFUNCTION("""COMPUTED_VALUE"""),"DoubleGift5")</f>
        <v>DoubleGift5</v>
      </c>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row>
    <row r="826">
      <c r="A826" s="5" t="str">
        <f>IFERROR(__xludf.DUMMYFUNCTION("""COMPUTED_VALUE"""),"")</f>
        <v/>
      </c>
      <c r="B826" s="5">
        <f>IFERROR(__xludf.DUMMYFUNCTION("""COMPUTED_VALUE"""),864.0)</f>
        <v>864</v>
      </c>
      <c r="C826" s="5">
        <f>IFERROR(__xludf.DUMMYFUNCTION("""COMPUTED_VALUE"""),-1.0)</f>
        <v>-1</v>
      </c>
      <c r="D826" s="5" t="str">
        <f>IFERROR(__xludf.DUMMYFUNCTION("""COMPUTED_VALUE"""),"TBD")</f>
        <v>TBD</v>
      </c>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row>
    <row r="827">
      <c r="A827" s="5" t="str">
        <f>IFERROR(__xludf.DUMMYFUNCTION("""COMPUTED_VALUE"""),"")</f>
        <v/>
      </c>
      <c r="B827" s="5">
        <f>IFERROR(__xludf.DUMMYFUNCTION("""COMPUTED_VALUE"""),865.0)</f>
        <v>865</v>
      </c>
      <c r="C827" s="5">
        <f>IFERROR(__xludf.DUMMYFUNCTION("""COMPUTED_VALUE"""),-1.0)</f>
        <v>-1</v>
      </c>
      <c r="D827" s="5" t="str">
        <f>IFERROR(__xludf.DUMMYFUNCTION("""COMPUTED_VALUE"""),"TBD")</f>
        <v>TBD</v>
      </c>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row>
    <row r="828">
      <c r="A828" s="5" t="str">
        <f>IFERROR(__xludf.DUMMYFUNCTION("""COMPUTED_VALUE"""),"")</f>
        <v/>
      </c>
      <c r="B828" s="5">
        <f>IFERROR(__xludf.DUMMYFUNCTION("""COMPUTED_VALUE"""),866.0)</f>
        <v>866</v>
      </c>
      <c r="C828" s="5">
        <f>IFERROR(__xludf.DUMMYFUNCTION("""COMPUTED_VALUE"""),-1.0)</f>
        <v>-1</v>
      </c>
      <c r="D828" s="5" t="str">
        <f>IFERROR(__xludf.DUMMYFUNCTION("""COMPUTED_VALUE"""),"TBD")</f>
        <v>TBD</v>
      </c>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row>
    <row r="829">
      <c r="A829" s="5" t="str">
        <f>IFERROR(__xludf.DUMMYFUNCTION("""COMPUTED_VALUE"""),"")</f>
        <v/>
      </c>
      <c r="B829" s="5">
        <f>IFERROR(__xludf.DUMMYFUNCTION("""COMPUTED_VALUE"""),867.0)</f>
        <v>867</v>
      </c>
      <c r="C829" s="5">
        <f>IFERROR(__xludf.DUMMYFUNCTION("""COMPUTED_VALUE"""),-1.0)</f>
        <v>-1</v>
      </c>
      <c r="D829" s="5" t="str">
        <f>IFERROR(__xludf.DUMMYFUNCTION("""COMPUTED_VALUE"""),"TBD")</f>
        <v>TBD</v>
      </c>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row>
    <row r="830">
      <c r="A830" s="5" t="str">
        <f>IFERROR(__xludf.DUMMYFUNCTION("""COMPUTED_VALUE"""),"")</f>
        <v/>
      </c>
      <c r="B830" s="5">
        <f>IFERROR(__xludf.DUMMYFUNCTION("""COMPUTED_VALUE"""),868.0)</f>
        <v>868</v>
      </c>
      <c r="C830" s="5">
        <f>IFERROR(__xludf.DUMMYFUNCTION("""COMPUTED_VALUE"""),-1.0)</f>
        <v>-1</v>
      </c>
      <c r="D830" s="5" t="str">
        <f>IFERROR(__xludf.DUMMYFUNCTION("""COMPUTED_VALUE"""),"TBD")</f>
        <v>TBD</v>
      </c>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row>
    <row r="831">
      <c r="A831" s="5" t="str">
        <f>IFERROR(__xludf.DUMMYFUNCTION("""COMPUTED_VALUE"""),"")</f>
        <v/>
      </c>
      <c r="B831" s="5">
        <f>IFERROR(__xludf.DUMMYFUNCTION("""COMPUTED_VALUE"""),869.0)</f>
        <v>869</v>
      </c>
      <c r="C831" s="5">
        <f>IFERROR(__xludf.DUMMYFUNCTION("""COMPUTED_VALUE"""),-1.0)</f>
        <v>-1</v>
      </c>
      <c r="D831" s="5" t="str">
        <f>IFERROR(__xludf.DUMMYFUNCTION("""COMPUTED_VALUE"""),"TBD")</f>
        <v>TBD</v>
      </c>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row>
    <row r="832">
      <c r="A832" s="5" t="str">
        <f>IFERROR(__xludf.DUMMYFUNCTION("""COMPUTED_VALUE"""),"")</f>
        <v/>
      </c>
      <c r="B832" s="5">
        <f>IFERROR(__xludf.DUMMYFUNCTION("""COMPUTED_VALUE"""),870.0)</f>
        <v>870</v>
      </c>
      <c r="C832" s="5">
        <f>IFERROR(__xludf.DUMMYFUNCTION("""COMPUTED_VALUE"""),-1.0)</f>
        <v>-1</v>
      </c>
      <c r="D832" s="5" t="str">
        <f>IFERROR(__xludf.DUMMYFUNCTION("""COMPUTED_VALUE"""),"TBD")</f>
        <v>TBD</v>
      </c>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row>
    <row r="833">
      <c r="A833" s="5" t="str">
        <f>IFERROR(__xludf.DUMMYFUNCTION("""COMPUTED_VALUE"""),"")</f>
        <v/>
      </c>
      <c r="B833" s="5">
        <f>IFERROR(__xludf.DUMMYFUNCTION("""COMPUTED_VALUE"""),871.0)</f>
        <v>871</v>
      </c>
      <c r="C833" s="5">
        <f>IFERROR(__xludf.DUMMYFUNCTION("""COMPUTED_VALUE"""),-1.0)</f>
        <v>-1</v>
      </c>
      <c r="D833" s="5" t="str">
        <f>IFERROR(__xludf.DUMMYFUNCTION("""COMPUTED_VALUE"""),"TBD")</f>
        <v>TBD</v>
      </c>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row>
    <row r="834">
      <c r="A834" s="5" t="str">
        <f>IFERROR(__xludf.DUMMYFUNCTION("""COMPUTED_VALUE"""),"")</f>
        <v/>
      </c>
      <c r="B834" s="5">
        <f>IFERROR(__xludf.DUMMYFUNCTION("""COMPUTED_VALUE"""),872.0)</f>
        <v>872</v>
      </c>
      <c r="C834" s="5">
        <f>IFERROR(__xludf.DUMMYFUNCTION("""COMPUTED_VALUE"""),-1.0)</f>
        <v>-1</v>
      </c>
      <c r="D834" s="5" t="str">
        <f>IFERROR(__xludf.DUMMYFUNCTION("""COMPUTED_VALUE"""),"TBD")</f>
        <v>TBD</v>
      </c>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row>
    <row r="835">
      <c r="A835" s="5" t="str">
        <f>IFERROR(__xludf.DUMMYFUNCTION("""COMPUTED_VALUE"""),"")</f>
        <v/>
      </c>
      <c r="B835" s="5">
        <f>IFERROR(__xludf.DUMMYFUNCTION("""COMPUTED_VALUE"""),873.0)</f>
        <v>873</v>
      </c>
      <c r="C835" s="5">
        <f>IFERROR(__xludf.DUMMYFUNCTION("""COMPUTED_VALUE"""),-1.0)</f>
        <v>-1</v>
      </c>
      <c r="D835" s="5" t="str">
        <f>IFERROR(__xludf.DUMMYFUNCTION("""COMPUTED_VALUE"""),"TBD")</f>
        <v>TBD</v>
      </c>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row>
    <row r="836">
      <c r="A836" s="5" t="str">
        <f>IFERROR(__xludf.DUMMYFUNCTION("""COMPUTED_VALUE"""),"")</f>
        <v/>
      </c>
      <c r="B836" s="5">
        <f>IFERROR(__xludf.DUMMYFUNCTION("""COMPUTED_VALUE"""),874.0)</f>
        <v>874</v>
      </c>
      <c r="C836" s="5">
        <f>IFERROR(__xludf.DUMMYFUNCTION("""COMPUTED_VALUE"""),-1.0)</f>
        <v>-1</v>
      </c>
      <c r="D836" s="5" t="str">
        <f>IFERROR(__xludf.DUMMYFUNCTION("""COMPUTED_VALUE"""),"TBD")</f>
        <v>TBD</v>
      </c>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row>
    <row r="837">
      <c r="A837" s="5" t="str">
        <f>IFERROR(__xludf.DUMMYFUNCTION("""COMPUTED_VALUE"""),"")</f>
        <v/>
      </c>
      <c r="B837" s="5">
        <f>IFERROR(__xludf.DUMMYFUNCTION("""COMPUTED_VALUE"""),875.0)</f>
        <v>875</v>
      </c>
      <c r="C837" s="5">
        <f>IFERROR(__xludf.DUMMYFUNCTION("""COMPUTED_VALUE"""),-1.0)</f>
        <v>-1</v>
      </c>
      <c r="D837" s="5" t="str">
        <f>IFERROR(__xludf.DUMMYFUNCTION("""COMPUTED_VALUE"""),"TBD")</f>
        <v>TBD</v>
      </c>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row>
    <row r="838">
      <c r="A838" s="5" t="str">
        <f>IFERROR(__xludf.DUMMYFUNCTION("""COMPUTED_VALUE"""),"")</f>
        <v/>
      </c>
      <c r="B838" s="5">
        <f>IFERROR(__xludf.DUMMYFUNCTION("""COMPUTED_VALUE"""),876.0)</f>
        <v>876</v>
      </c>
      <c r="C838" s="5">
        <f>IFERROR(__xludf.DUMMYFUNCTION("""COMPUTED_VALUE"""),-1.0)</f>
        <v>-1</v>
      </c>
      <c r="D838" s="5" t="str">
        <f>IFERROR(__xludf.DUMMYFUNCTION("""COMPUTED_VALUE"""),"TBD")</f>
        <v>TBD</v>
      </c>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row>
    <row r="839">
      <c r="A839" s="5" t="str">
        <f>IFERROR(__xludf.DUMMYFUNCTION("""COMPUTED_VALUE"""),"")</f>
        <v/>
      </c>
      <c r="B839" s="5">
        <f>IFERROR(__xludf.DUMMYFUNCTION("""COMPUTED_VALUE"""),877.0)</f>
        <v>877</v>
      </c>
      <c r="C839" s="5">
        <f>IFERROR(__xludf.DUMMYFUNCTION("""COMPUTED_VALUE"""),-1.0)</f>
        <v>-1</v>
      </c>
      <c r="D839" s="5" t="str">
        <f>IFERROR(__xludf.DUMMYFUNCTION("""COMPUTED_VALUE"""),"TBD")</f>
        <v>TBD</v>
      </c>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row>
    <row r="840">
      <c r="A840" s="5" t="str">
        <f>IFERROR(__xludf.DUMMYFUNCTION("""COMPUTED_VALUE"""),"")</f>
        <v/>
      </c>
      <c r="B840" s="5">
        <f>IFERROR(__xludf.DUMMYFUNCTION("""COMPUTED_VALUE"""),878.0)</f>
        <v>878</v>
      </c>
      <c r="C840" s="5">
        <f>IFERROR(__xludf.DUMMYFUNCTION("""COMPUTED_VALUE"""),-1.0)</f>
        <v>-1</v>
      </c>
      <c r="D840" s="5" t="str">
        <f>IFERROR(__xludf.DUMMYFUNCTION("""COMPUTED_VALUE"""),"TBD")</f>
        <v>TBD</v>
      </c>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row>
    <row r="841">
      <c r="A841" s="5" t="str">
        <f>IFERROR(__xludf.DUMMYFUNCTION("""COMPUTED_VALUE"""),"")</f>
        <v/>
      </c>
      <c r="B841" s="5">
        <f>IFERROR(__xludf.DUMMYFUNCTION("""COMPUTED_VALUE"""),879.0)</f>
        <v>879</v>
      </c>
      <c r="C841" s="5">
        <f>IFERROR(__xludf.DUMMYFUNCTION("""COMPUTED_VALUE"""),-1.0)</f>
        <v>-1</v>
      </c>
      <c r="D841" s="5" t="str">
        <f>IFERROR(__xludf.DUMMYFUNCTION("""COMPUTED_VALUE"""),"TBD")</f>
        <v>TBD</v>
      </c>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row>
    <row r="842">
      <c r="A842" s="5" t="str">
        <f>IFERROR(__xludf.DUMMYFUNCTION("""COMPUTED_VALUE"""),"")</f>
        <v/>
      </c>
      <c r="B842" s="5">
        <f>IFERROR(__xludf.DUMMYFUNCTION("""COMPUTED_VALUE"""),880.0)</f>
        <v>880</v>
      </c>
      <c r="C842" s="5">
        <f>IFERROR(__xludf.DUMMYFUNCTION("""COMPUTED_VALUE"""),-1.0)</f>
        <v>-1</v>
      </c>
      <c r="D842" s="5" t="str">
        <f>IFERROR(__xludf.DUMMYFUNCTION("""COMPUTED_VALUE"""),"TBD")</f>
        <v>TBD</v>
      </c>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row>
    <row r="843">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row>
    <row r="844">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row>
    <row r="84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row>
    <row r="846">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row>
    <row r="847">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row>
    <row r="848">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row>
    <row r="84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row>
    <row r="850">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row>
    <row r="851">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row>
    <row r="852">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row>
    <row r="853">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row>
    <row r="854">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row>
    <row r="85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row>
    <row r="856">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row>
    <row r="857">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row>
    <row r="858">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row>
    <row r="85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row>
    <row r="860">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row>
    <row r="861">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row>
    <row r="862">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row>
    <row r="863">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row>
    <row r="864">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row>
    <row r="86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row>
    <row r="866">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row>
    <row r="86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row>
    <row r="868">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row>
    <row r="86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row>
    <row r="870">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row>
    <row r="871">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row>
    <row r="872">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row>
    <row r="873">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row>
    <row r="874">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row>
    <row r="87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row>
    <row r="876">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row>
    <row r="87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row>
    <row r="878">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row>
    <row r="87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row>
    <row r="880">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row>
    <row r="881">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row>
    <row r="882">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row>
    <row r="883">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row>
    <row r="884">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row>
    <row r="88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row>
    <row r="886">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row>
    <row r="88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row>
    <row r="888">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row>
    <row r="88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row>
    <row r="890">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row>
    <row r="891">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row>
    <row r="892">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row>
    <row r="893">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row>
    <row r="894">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row>
    <row r="89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row>
    <row r="896">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row>
    <row r="89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row>
    <row r="898">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row>
    <row r="89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row>
    <row r="900">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row>
    <row r="901">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row>
    <row r="902">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row>
    <row r="903">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row>
    <row r="904">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row>
    <row r="90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row>
    <row r="906">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row>
    <row r="90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row>
    <row r="908">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row>
    <row r="90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row>
    <row r="910">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row>
    <row r="911">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row>
    <row r="912">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row>
    <row r="913">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row>
    <row r="914">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row>
    <row r="91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row>
    <row r="916">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row>
    <row r="91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row>
    <row r="918">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row>
    <row r="91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row>
    <row r="920">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row>
    <row r="921">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row>
    <row r="922">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row>
    <row r="923">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row>
    <row r="924">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row>
    <row r="92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row>
    <row r="926">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row>
    <row r="92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row>
    <row r="928">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row>
    <row r="92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row>
    <row r="930">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row>
    <row r="931">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row>
    <row r="932">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row>
    <row r="933">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row>
    <row r="934">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row>
    <row r="93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row>
    <row r="936">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row>
    <row r="93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row>
    <row r="938">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row>
    <row r="93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row>
    <row r="940">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row>
    <row r="941">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row>
    <row r="942">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row>
    <row r="943">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row>
    <row r="944">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row>
    <row r="94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row>
    <row r="946">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row>
    <row r="94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row>
    <row r="948">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row>
    <row r="94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row>
    <row r="950">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row>
    <row r="951">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row>
    <row r="952">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row>
    <row r="953">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row>
    <row r="954">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row>
    <row r="95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row>
    <row r="956">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row>
    <row r="9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row>
    <row r="958">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row>
    <row r="95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row>
    <row r="960">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row>
    <row r="961">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row>
    <row r="962">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row>
    <row r="963">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row>
    <row r="964">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row>
    <row r="96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row>
    <row r="966">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row>
    <row r="96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row>
    <row r="968">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row>
    <row r="96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row>
    <row r="970">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row>
    <row r="971">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row>
    <row r="972">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row>
    <row r="973">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row>
    <row r="974">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row>
    <row r="97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row>
    <row r="976">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row>
    <row r="97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row>
    <row r="978">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row>
    <row r="97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row>
    <row r="980">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row>
    <row r="981">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row>
    <row r="982">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row>
    <row r="983">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row>
    <row r="984">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row>
    <row r="98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row>
    <row r="986">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row>
    <row r="98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row>
    <row r="988">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row>
    <row r="98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row>
    <row r="990">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row>
    <row r="991">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row>
    <row r="992">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row>
    <row r="993">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row>
    <row r="994">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row>
    <row r="99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row>
    <row r="996">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row>
    <row r="99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row>
    <row r="998">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row>
    <row r="999">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row>
    <row r="1000">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 t="str">
        <f>IFERROR(__xludf.DUMMYFUNCTION("IMPORTRANGE(""1G-EdsaEa0dkMkYpa8dYlgC9oTAomyN6JSY3z9qBegX4"", ""Games!A:DZ"")"),"#")</f>
        <v>#</v>
      </c>
      <c r="B1" s="5" t="str">
        <f>IFERROR(__xludf.DUMMYFUNCTION("""COMPUTED_VALUE"""),"ID")</f>
        <v>ID</v>
      </c>
      <c r="C1" s="5" t="str">
        <f>IFERROR(__xludf.DUMMYFUNCTION("""COMPUTED_VALUE"""),"GameStudio")</f>
        <v>GameStudio</v>
      </c>
      <c r="D1" s="5" t="str">
        <f>IFERROR(__xludf.DUMMYFUNCTION("""COMPUTED_VALUE"""),"GameName")</f>
        <v>GameName</v>
      </c>
      <c r="E1" s="5" t="str">
        <f>IFERROR(__xludf.DUMMYFUNCTION("""COMPUTED_VALUE"""),"Owner")</f>
        <v>Owner</v>
      </c>
      <c r="F1" s="5" t="str">
        <f>IFERROR(__xludf.DUMMYFUNCTION("""COMPUTED_VALUE"""),"GameID")</f>
        <v>GameID</v>
      </c>
      <c r="G1" s="5" t="str">
        <f>IFERROR(__xludf.DUMMYFUNCTION("""COMPUTED_VALUE"""),"GameStatusID")</f>
        <v>GameStatusID</v>
      </c>
      <c r="H1" s="5" t="str">
        <f>IFERROR(__xludf.DUMMYFUNCTION("""COMPUTED_VALUE"""),"BrandedGame")</f>
        <v>BrandedGame</v>
      </c>
      <c r="I1" s="5" t="str">
        <f>IFERROR(__xludf.DUMMYFUNCTION("""COMPUTED_VALUE"""),"EngineID")</f>
        <v>EngineID</v>
      </c>
      <c r="J1" s="5" t="str">
        <f>IFERROR(__xludf.DUMMYFUNCTION("""COMPUTED_VALUE"""),"ProtocolID")</f>
        <v>ProtocolID</v>
      </c>
      <c r="K1" s="5" t="str">
        <f>IFERROR(__xludf.DUMMYFUNCTION("""COMPUTED_VALUE"""),"GameCategoryID")</f>
        <v>GameCategoryID</v>
      </c>
      <c r="L1" s="5" t="str">
        <f>IFERROR(__xludf.DUMMYFUNCTION("""COMPUTED_VALUE"""),"GameType")</f>
        <v>GameType</v>
      </c>
      <c r="M1" s="5" t="str">
        <f>IFERROR(__xludf.DUMMYFUNCTION("""COMPUTED_VALUE"""),"OriginalGame")</f>
        <v>OriginalGame</v>
      </c>
      <c r="N1" s="5" t="str">
        <f>IFERROR(__xludf.DUMMYFUNCTION("""COMPUTED_VALUE"""),"GameSheet")</f>
        <v>GameSheet</v>
      </c>
      <c r="O1" s="5" t="str">
        <f>IFERROR(__xludf.DUMMYFUNCTION("""COMPUTED_VALUE"""),"GameRules")</f>
        <v>GameRules</v>
      </c>
      <c r="P1" s="5" t="str">
        <f>IFERROR(__xludf.DUMMYFUNCTION("""COMPUTED_VALUE"""),"GameSize")</f>
        <v>GameSize</v>
      </c>
      <c r="Q1" s="5" t="str">
        <f>IFERROR(__xludf.DUMMYFUNCTION("""COMPUTED_VALUE"""),"Deployment date")</f>
        <v>Deployment date</v>
      </c>
      <c r="R1" s="5" t="str">
        <f>IFERROR(__xludf.DUMMYFUNCTION("""COMPUTED_VALUE"""),"Marketing date")</f>
        <v>Marketing date</v>
      </c>
      <c r="S1" s="5" t="str">
        <f>IFERROR(__xludf.DUMMYFUNCTION("""COMPUTED_VALUE"""),"ReleaseDate")</f>
        <v>ReleaseDate</v>
      </c>
      <c r="T1" s="5" t="str">
        <f>IFERROR(__xludf.DUMMYFUNCTION("""COMPUTED_VALUE"""),"ReleaseConfirmed")</f>
        <v>ReleaseConfirmed</v>
      </c>
      <c r="U1" s="5" t="str">
        <f>IFERROR(__xludf.DUMMYFUNCTION("""COMPUTED_VALUE"""),"ReelsAndRows")</f>
        <v>ReelsAndRows</v>
      </c>
      <c r="V1" s="10" t="str">
        <f>IFERROR(__xludf.DUMMYFUNCTION("""COMPUTED_VALUE"""),"Paylines")</f>
        <v>Paylines</v>
      </c>
      <c r="W1" s="10" t="str">
        <f>IFERROR(__xludf.DUMMYFUNCTION("""COMPUTED_VALUE"""),"PayableLines")</f>
        <v>PayableLines</v>
      </c>
      <c r="X1" s="11" t="str">
        <f>IFERROR(__xludf.DUMMYFUNCTION("""COMPUTED_VALUE"""),"RTP")</f>
        <v>RTP</v>
      </c>
      <c r="Y1" s="5" t="str">
        <f>IFERROR(__xludf.DUMMYFUNCTION("""COMPUTED_VALUE"""),"VolatilityID")</f>
        <v>VolatilityID</v>
      </c>
      <c r="Z1" s="12" t="str">
        <f>IFERROR(__xludf.DUMMYFUNCTION("""COMPUTED_VALUE"""),"HitFrequency")</f>
        <v>HitFrequency</v>
      </c>
      <c r="AA1" s="12" t="str">
        <f>IFERROR(__xludf.DUMMYFUNCTION("""COMPUTED_VALUE"""),"MaxExposure")</f>
        <v>MaxExposure</v>
      </c>
      <c r="AB1" s="5" t="str">
        <f>IFERROR(__xludf.DUMMYFUNCTION("""COMPUTED_VALUE"""),"FeatureFrequency")</f>
        <v>FeatureFrequency</v>
      </c>
      <c r="AC1" s="5" t="str">
        <f>IFERROR(__xludf.DUMMYFUNCTION("""COMPUTED_VALUE"""),"Features")</f>
        <v>Features</v>
      </c>
      <c r="AD1" s="5" t="str">
        <f>IFERROR(__xludf.DUMMYFUNCTION("""COMPUTED_VALUE"""),"MinAndMaxBet")</f>
        <v>MinAndMaxBet</v>
      </c>
      <c r="AE1" s="5" t="str">
        <f>IFERROR(__xludf.DUMMYFUNCTION("""COMPUTED_VALUE"""),"Created")</f>
        <v>Created</v>
      </c>
      <c r="AF1" s="5" t="str">
        <f>IFERROR(__xludf.DUMMYFUNCTION("""COMPUTED_VALUE"""),"CreatedBy")</f>
        <v>CreatedBy</v>
      </c>
      <c r="AG1" s="5" t="str">
        <f>IFERROR(__xludf.DUMMYFUNCTION("""COMPUTED_VALUE"""),"LastUpdated")</f>
        <v>LastUpdated</v>
      </c>
      <c r="AH1" s="5" t="str">
        <f>IFERROR(__xludf.DUMMYFUNCTION("""COMPUTED_VALUE"""),"LastUpdatedBy")</f>
        <v>LastUpdatedBy</v>
      </c>
      <c r="AI1" s="5" t="str">
        <f>IFERROR(__xludf.DUMMYFUNCTION("""COMPUTED_VALUE"""),"Pre-ReleaseDate")</f>
        <v>Pre-ReleaseDate</v>
      </c>
      <c r="AJ1" s="5" t="str">
        <f>IFERROR(__xludf.DUMMYFUNCTION("""COMPUTED_VALUE"""),"Pre-ReleaseClients")</f>
        <v>Pre-ReleaseClients</v>
      </c>
      <c r="AK1" s="5" t="str">
        <f>IFERROR(__xludf.DUMMYFUNCTION("""COMPUTED_VALUE"""),"RealNumberOfLines")</f>
        <v>RealNumberOfLines</v>
      </c>
      <c r="AL1" s="5" t="str">
        <f>IFERROR(__xludf.DUMMYFUNCTION("""COMPUTED_VALUE"""),"Jackpot")</f>
        <v>Jackpot</v>
      </c>
      <c r="AM1" s="5" t="str">
        <f>IFERROR(__xludf.DUMMYFUNCTION("""COMPUTED_VALUE"""),"Respin")</f>
        <v>Respin</v>
      </c>
      <c r="AN1" s="5" t="str">
        <f>IFERROR(__xludf.DUMMYFUNCTION("""COMPUTED_VALUE"""),"DemoLink")</f>
        <v>DemoLink</v>
      </c>
      <c r="AO1" s="5" t="str">
        <f>IFERROR(__xludf.DUMMYFUNCTION("""COMPUTED_VALUE"""),"SocialAvailable")</f>
        <v>SocialAvailable</v>
      </c>
      <c r="AP1" s="5" t="str">
        <f>IFERROR(__xludf.DUMMYFUNCTION("""COMPUTED_VALUE"""),"FreeRounds")</f>
        <v>FreeRounds</v>
      </c>
      <c r="AQ1" s="5" t="str">
        <f>IFERROR(__xludf.DUMMYFUNCTION("""COMPUTED_VALUE"""),"ClientAreaActive")</f>
        <v>ClientAreaActive</v>
      </c>
      <c r="AR1" s="5" t="str">
        <f>IFERROR(__xludf.DUMMYFUNCTION("""COMPUTED_VALUE"""),"Branded")</f>
        <v>Branded</v>
      </c>
      <c r="AS1" s="5" t="str">
        <f>IFERROR(__xludf.DUMMYFUNCTION("""COMPUTED_VALUE"""),"PromoText")</f>
        <v>PromoText</v>
      </c>
      <c r="AT1" s="5" t="str">
        <f>IFERROR(__xludf.DUMMYFUNCTION("""COMPUTED_VALUE"""),"FreeRoundsTesting")</f>
        <v>FreeRoundsTesting</v>
      </c>
      <c r="AU1" s="5" t="str">
        <f>IFERROR(__xludf.DUMMYFUNCTION("""COMPUTED_VALUE"""),"MathAPI")</f>
        <v>MathAPI</v>
      </c>
      <c r="AV1" s="5" t="str">
        <f>IFERROR(__xludf.DUMMYFUNCTION("""COMPUTED_VALUE"""),"BetDivisibleWith")</f>
        <v>BetDivisibleWith</v>
      </c>
      <c r="AW1" s="5" t="str">
        <f>IFERROR(__xludf.DUMMYFUNCTION("""COMPUTED_VALUE"""),"FreeRoundsComment")</f>
        <v>FreeRoundsComment</v>
      </c>
      <c r="AX1" s="5" t="str">
        <f>IFERROR(__xludf.DUMMYFUNCTION("""COMPUTED_VALUE"""),"StageingDate")</f>
        <v>StageingDate</v>
      </c>
      <c r="AY1" s="5" t="str">
        <f>IFERROR(__xludf.DUMMYFUNCTION("""COMPUTED_VALUE"""),"VariableRTP")</f>
        <v>VariableRTP</v>
      </c>
      <c r="AZ1" s="5" t="str">
        <f>IFERROR(__xludf.DUMMYFUNCTION("""COMPUTED_VALUE"""),"URL")</f>
        <v>URL</v>
      </c>
      <c r="BA1" s="5" t="str">
        <f>IFERROR(__xludf.DUMMYFUNCTION("""COMPUTED_VALUE"""),"BuyFeaturePriceXBet")</f>
        <v>BuyFeaturePriceXBet</v>
      </c>
      <c r="BB1" s="5" t="str">
        <f>IFERROR(__xludf.DUMMYFUNCTION("""COMPUTED_VALUE"""),"GameReady")</f>
        <v>GameReady</v>
      </c>
      <c r="BC1" s="5" t="str">
        <f>IFERROR(__xludf.DUMMYFUNCTION("""COMPUTED_VALUE"""),"GameStudioFoxi")</f>
        <v>GameStudioFoxi</v>
      </c>
      <c r="BD1" s="5" t="str">
        <f>IFERROR(__xludf.DUMMYFUNCTION("""COMPUTED_VALUE"""),"DemoLinkFoxi")</f>
        <v>DemoLinkFoxi</v>
      </c>
      <c r="BE1" s="5" t="str">
        <f>IFERROR(__xludf.DUMMYFUNCTION("""COMPUTED_VALUE"""),"ClientAreaActiveFoxi")</f>
        <v>ClientAreaActiveFoxi</v>
      </c>
    </row>
    <row r="2">
      <c r="A2" s="5">
        <f>IFERROR(__xludf.DUMMYFUNCTION("""COMPUTED_VALUE"""),1.0)</f>
        <v>1</v>
      </c>
      <c r="B2" s="5">
        <f>IFERROR(__xludf.DUMMYFUNCTION("""COMPUTED_VALUE"""),0.0)</f>
        <v>0</v>
      </c>
      <c r="C2" s="5" t="str">
        <f>IFERROR(__xludf.DUMMYFUNCTION("""COMPUTED_VALUE"""),"Fazi")</f>
        <v>Fazi</v>
      </c>
      <c r="D2" s="5" t="str">
        <f>IFERROR(__xludf.DUMMYFUNCTION("""COMPUTED_VALUE"""),"Postman")</f>
        <v>Postman</v>
      </c>
      <c r="E2" s="5" t="str">
        <f>IFERROR(__xludf.DUMMYFUNCTION("""COMPUTED_VALUE"""),"V2")</f>
        <v>V2</v>
      </c>
      <c r="F2" s="5" t="str">
        <f>IFERROR(__xludf.DUMMYFUNCTION("""COMPUTED_VALUE"""),"Postman")</f>
        <v>Postman</v>
      </c>
      <c r="G2" s="5" t="str">
        <f>IFERROR(__xludf.DUMMYFUNCTION("""COMPUTED_VALUE"""),"Live")</f>
        <v>Live</v>
      </c>
      <c r="H2" s="5"/>
      <c r="I2" s="5" t="str">
        <f>IFERROR(__xludf.DUMMYFUNCTION("""COMPUTED_VALUE"""),"V2")</f>
        <v>V2</v>
      </c>
      <c r="J2" s="5" t="str">
        <f>IFERROR(__xludf.DUMMYFUNCTION("""COMPUTED_VALUE"""),"Binary")</f>
        <v>Binary</v>
      </c>
      <c r="K2" s="5" t="str">
        <f>IFERROR(__xludf.DUMMYFUNCTION("""COMPUTED_VALUE"""),"Slot")</f>
        <v>Slot</v>
      </c>
      <c r="L2" s="5"/>
      <c r="M2" s="5"/>
      <c r="N2" s="5"/>
      <c r="O2" s="5"/>
      <c r="P2" s="12">
        <f>IFERROR(__xludf.DUMMYFUNCTION("""COMPUTED_VALUE"""),36.2)</f>
        <v>36.2</v>
      </c>
      <c r="Q2" s="13">
        <f>IFERROR(__xludf.DUMMYFUNCTION("""COMPUTED_VALUE"""),42948.0)</f>
        <v>42948</v>
      </c>
      <c r="R2" s="14"/>
      <c r="S2" s="13">
        <f>IFERROR(__xludf.DUMMYFUNCTION("""COMPUTED_VALUE"""),42948.0)</f>
        <v>42948</v>
      </c>
      <c r="T2" s="5" t="b">
        <f>IFERROR(__xludf.DUMMYFUNCTION("""COMPUTED_VALUE"""),TRUE)</f>
        <v>1</v>
      </c>
      <c r="U2" s="5" t="str">
        <f>IFERROR(__xludf.DUMMYFUNCTION("""COMPUTED_VALUE"""),"5x3")</f>
        <v>5x3</v>
      </c>
      <c r="V2" s="10" t="str">
        <f>IFERROR(__xludf.DUMMYFUNCTION("""COMPUTED_VALUE"""),"10")</f>
        <v>10</v>
      </c>
      <c r="W2" s="10" t="str">
        <f>IFERROR(__xludf.DUMMYFUNCTION("""COMPUTED_VALUE"""),"1,3,5,7,10")</f>
        <v>1,3,5,7,10</v>
      </c>
      <c r="X2" s="5">
        <f>IFERROR(__xludf.DUMMYFUNCTION("""COMPUTED_VALUE"""),82.602)</f>
        <v>82.602</v>
      </c>
      <c r="Y2" s="5" t="str">
        <f>IFERROR(__xludf.DUMMYFUNCTION("""COMPUTED_VALUE"""),"High")</f>
        <v>High</v>
      </c>
      <c r="Z2" s="5">
        <f>IFERROR(__xludf.DUMMYFUNCTION("""COMPUTED_VALUE"""),24.04)</f>
        <v>24.04</v>
      </c>
      <c r="AA2" s="12">
        <f>IFERROR(__xludf.DUMMYFUNCTION("""COMPUTED_VALUE"""),4368.0)</f>
        <v>4368</v>
      </c>
      <c r="AB2" s="5">
        <f>IFERROR(__xludf.DUMMYFUNCTION("""COMPUTED_VALUE"""),305.0)</f>
        <v>305</v>
      </c>
      <c r="AC2" s="5" t="str">
        <f>IFERROR(__xludf.DUMMYFUNCTION("""COMPUTED_VALUE"""),"Bonus Game with Multiplier, Wild Multiplier, Scatter")</f>
        <v>Bonus Game with Multiplier, Wild Multiplier, Scatter</v>
      </c>
      <c r="AD2" s="5" t="str">
        <f>IFERROR(__xludf.DUMMYFUNCTION("""COMPUTED_VALUE"""),"0.01/40")</f>
        <v>0.01/40</v>
      </c>
      <c r="AE2" s="5"/>
      <c r="AF2" s="5"/>
      <c r="AG2" s="15">
        <f>IFERROR(__xludf.DUMMYFUNCTION("""COMPUTED_VALUE"""),45454.55262731481)</f>
        <v>45454.55263</v>
      </c>
      <c r="AH2" s="5" t="str">
        <f>IFERROR(__xludf.DUMMYFUNCTION("""COMPUTED_VALUE"""),"iva.cirkovic@fazi.rs")</f>
        <v>iva.cirkovic@fazi.rs</v>
      </c>
      <c r="AI2" s="5"/>
      <c r="AJ2" s="5"/>
      <c r="AK2" s="5">
        <f>IFERROR(__xludf.DUMMYFUNCTION("""COMPUTED_VALUE"""),10.0)</f>
        <v>10</v>
      </c>
      <c r="AL2" s="5" t="str">
        <f>IFERROR(__xludf.DUMMYFUNCTION("""COMPUTED_VALUE"""),"Yes")</f>
        <v>Yes</v>
      </c>
      <c r="AM2" s="5"/>
      <c r="AN2" s="7" t="str">
        <f>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AO2" s="5"/>
      <c r="AP2" s="5"/>
      <c r="AQ2" s="5" t="b">
        <f>IFERROR(__xludf.DUMMYFUNCTION("""COMPUTED_VALUE"""),TRUE)</f>
        <v>1</v>
      </c>
      <c r="AR2" s="5"/>
      <c r="AS2" s="5" t="str">
        <f>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AT2" s="5"/>
      <c r="AU2" s="5" t="str">
        <f>IFERROR(__xludf.DUMMYFUNCTION("""COMPUTED_VALUE"""),"Fazi")</f>
        <v>Fazi</v>
      </c>
      <c r="AV2" s="5"/>
      <c r="AW2" s="5"/>
      <c r="AX2" s="5"/>
      <c r="AY2" s="5"/>
      <c r="AZ2" s="5"/>
      <c r="BA2" s="5" t="str">
        <f>IFERROR(__xludf.DUMMYFUNCTION("""COMPUTED_VALUE"""),"")</f>
        <v/>
      </c>
      <c r="BB2" s="5"/>
      <c r="BC2" s="5" t="str">
        <f>IFERROR(__xludf.DUMMYFUNCTION("""COMPUTED_VALUE"""),"Foxi")</f>
        <v>Foxi</v>
      </c>
      <c r="BD2" s="7" t="str">
        <f>IFERROR(__xludf.DUMMYFUNCTION("""COMPUTED_VALUE"""),"https://gameserver-store-client-area.orbionlimited.com/Home/IntegrationGameLaunch/client-area?moneyType=0&amp;gameName=Postman&amp;platform=desktop&amp;languageCode=eng&amp;currency=EUR")</f>
        <v>https://gameserver-store-client-area.orbionlimited.com/Home/IntegrationGameLaunch/client-area?moneyType=0&amp;gameName=Postman&amp;platform=desktop&amp;languageCode=eng&amp;currency=EUR</v>
      </c>
      <c r="BE2" s="5" t="b">
        <f>IFERROR(__xludf.DUMMYFUNCTION("""COMPUTED_VALUE"""),TRUE)</f>
        <v>1</v>
      </c>
    </row>
    <row r="3">
      <c r="A3" s="5">
        <f>IFERROR(__xludf.DUMMYFUNCTION("""COMPUTED_VALUE"""),2.0)</f>
        <v>2</v>
      </c>
      <c r="B3" s="5">
        <f>IFERROR(__xludf.DUMMYFUNCTION("""COMPUTED_VALUE"""),1.0)</f>
        <v>1</v>
      </c>
      <c r="C3" s="5" t="str">
        <f>IFERROR(__xludf.DUMMYFUNCTION("""COMPUTED_VALUE"""),"Fazi")</f>
        <v>Fazi</v>
      </c>
      <c r="D3" s="5" t="str">
        <f>IFERROR(__xludf.DUMMYFUNCTION("""COMPUTED_VALUE"""),"Deep Jungle")</f>
        <v>Deep Jungle</v>
      </c>
      <c r="E3" s="5" t="str">
        <f>IFERROR(__xludf.DUMMYFUNCTION("""COMPUTED_VALUE"""),"V2")</f>
        <v>V2</v>
      </c>
      <c r="F3" s="5" t="str">
        <f>IFERROR(__xludf.DUMMYFUNCTION("""COMPUTED_VALUE"""),"DeepJungle")</f>
        <v>DeepJungle</v>
      </c>
      <c r="G3" s="5" t="str">
        <f>IFERROR(__xludf.DUMMYFUNCTION("""COMPUTED_VALUE"""),"Live")</f>
        <v>Live</v>
      </c>
      <c r="H3" s="5"/>
      <c r="I3" s="5" t="str">
        <f>IFERROR(__xludf.DUMMYFUNCTION("""COMPUTED_VALUE"""),"V2")</f>
        <v>V2</v>
      </c>
      <c r="J3" s="5" t="str">
        <f>IFERROR(__xludf.DUMMYFUNCTION("""COMPUTED_VALUE"""),"Binary")</f>
        <v>Binary</v>
      </c>
      <c r="K3" s="5" t="str">
        <f>IFERROR(__xludf.DUMMYFUNCTION("""COMPUTED_VALUE"""),"Slot")</f>
        <v>Slot</v>
      </c>
      <c r="L3" s="5"/>
      <c r="M3" s="5"/>
      <c r="N3" s="5"/>
      <c r="O3" s="5"/>
      <c r="P3" s="12">
        <f>IFERROR(__xludf.DUMMYFUNCTION("""COMPUTED_VALUE"""),25.3)</f>
        <v>25.3</v>
      </c>
      <c r="Q3" s="13">
        <f>IFERROR(__xludf.DUMMYFUNCTION("""COMPUTED_VALUE"""),42767.0)</f>
        <v>42767</v>
      </c>
      <c r="R3" s="14"/>
      <c r="S3" s="13">
        <f>IFERROR(__xludf.DUMMYFUNCTION("""COMPUTED_VALUE"""),42767.0)</f>
        <v>42767</v>
      </c>
      <c r="T3" s="5"/>
      <c r="U3" s="5" t="str">
        <f>IFERROR(__xludf.DUMMYFUNCTION("""COMPUTED_VALUE"""),"5x3")</f>
        <v>5x3</v>
      </c>
      <c r="V3" s="10" t="str">
        <f>IFERROR(__xludf.DUMMYFUNCTION("""COMPUTED_VALUE"""),"20")</f>
        <v>20</v>
      </c>
      <c r="W3" s="10" t="str">
        <f>IFERROR(__xludf.DUMMYFUNCTION("""COMPUTED_VALUE"""),"20")</f>
        <v>20</v>
      </c>
      <c r="X3" s="5">
        <f>IFERROR(__xludf.DUMMYFUNCTION("""COMPUTED_VALUE"""),96.288)</f>
        <v>96.288</v>
      </c>
      <c r="Y3" s="5" t="str">
        <f>IFERROR(__xludf.DUMMYFUNCTION("""COMPUTED_VALUE"""),"Medium")</f>
        <v>Medium</v>
      </c>
      <c r="Z3" s="5">
        <f>IFERROR(__xludf.DUMMYFUNCTION("""COMPUTED_VALUE"""),22.040000000000003)</f>
        <v>22.04</v>
      </c>
      <c r="AA3" s="12">
        <f>IFERROR(__xludf.DUMMYFUNCTION("""COMPUTED_VALUE"""),1005.0)</f>
        <v>1005</v>
      </c>
      <c r="AB3" s="5">
        <f>IFERROR(__xludf.DUMMYFUNCTION("""COMPUTED_VALUE"""),51.0)</f>
        <v>51</v>
      </c>
      <c r="AC3" s="5" t="str">
        <f>IFERROR(__xludf.DUMMYFUNCTION("""COMPUTED_VALUE"""),"Scatter, Wild Symbol, Exploding Wild")</f>
        <v>Scatter, Wild Symbol, Exploding Wild</v>
      </c>
      <c r="AD3" s="5" t="str">
        <f>IFERROR(__xludf.DUMMYFUNCTION("""COMPUTED_VALUE"""),"0.2/50")</f>
        <v>0.2/50</v>
      </c>
      <c r="AE3" s="5"/>
      <c r="AF3" s="5"/>
      <c r="AG3" s="8">
        <f>IFERROR(__xludf.DUMMYFUNCTION("""COMPUTED_VALUE"""),46055.5046875)</f>
        <v>46055.50469</v>
      </c>
      <c r="AH3" s="5" t="str">
        <f>IFERROR(__xludf.DUMMYFUNCTION("""COMPUTED_VALUE"""),"djordje.jankovic@fazi.rs")</f>
        <v>djordje.jankovic@fazi.rs</v>
      </c>
      <c r="AI3" s="5"/>
      <c r="AJ3" s="5"/>
      <c r="AK3" s="5">
        <f>IFERROR(__xludf.DUMMYFUNCTION("""COMPUTED_VALUE"""),20.0)</f>
        <v>20</v>
      </c>
      <c r="AL3" s="5" t="str">
        <f>IFERROR(__xludf.DUMMYFUNCTION("""COMPUTED_VALUE"""),"Yes")</f>
        <v>Yes</v>
      </c>
      <c r="AM3" s="5"/>
      <c r="AN3" s="7" t="str">
        <f>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AO3" s="5"/>
      <c r="AP3" s="5"/>
      <c r="AQ3" s="5" t="b">
        <f>IFERROR(__xludf.DUMMYFUNCTION("""COMPUTED_VALUE"""),TRUE)</f>
        <v>1</v>
      </c>
      <c r="AR3" s="5"/>
      <c r="AS3" s="5" t="str">
        <f>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AT3" s="5"/>
      <c r="AU3" s="5" t="str">
        <f>IFERROR(__xludf.DUMMYFUNCTION("""COMPUTED_VALUE"""),"Fazi")</f>
        <v>Fazi</v>
      </c>
      <c r="AV3" s="5"/>
      <c r="AW3" s="5"/>
      <c r="AX3" s="5"/>
      <c r="AY3" s="5"/>
      <c r="AZ3" s="7" t="str">
        <f>IFERROR(__xludf.DUMMYFUNCTION("""COMPUTED_VALUE"""),"https://drive.google.com/drive/folders/1eAhqfN9MTsssPa1gNwX2PQPL_WHWv2MA")</f>
        <v>https://drive.google.com/drive/folders/1eAhqfN9MTsssPa1gNwX2PQPL_WHWv2MA</v>
      </c>
      <c r="BA3" s="5" t="str">
        <f>IFERROR(__xludf.DUMMYFUNCTION("""COMPUTED_VALUE"""),"")</f>
        <v/>
      </c>
      <c r="BB3" s="5"/>
      <c r="BC3" s="5" t="str">
        <f>IFERROR(__xludf.DUMMYFUNCTION("""COMPUTED_VALUE"""),"Foxi")</f>
        <v>Foxi</v>
      </c>
      <c r="BD3" s="7" t="str">
        <f>IFERROR(__xludf.DUMMYFUNCTION("""COMPUTED_VALUE"""),"https://gameserver-store-client-area.orbionlimited.com/Home/IntegrationGameLaunch/client-area?moneyType=0&amp;gameName=DeepJungle&amp;platform=desktop&amp;languageCode=eng&amp;currency=EUR")</f>
        <v>https://gameserver-store-client-area.orbionlimited.com/Home/IntegrationGameLaunch/client-area?moneyType=0&amp;gameName=DeepJungle&amp;platform=desktop&amp;languageCode=eng&amp;currency=EUR</v>
      </c>
      <c r="BE3" s="5" t="b">
        <f>IFERROR(__xludf.DUMMYFUNCTION("""COMPUTED_VALUE"""),TRUE)</f>
        <v>1</v>
      </c>
    </row>
    <row r="4">
      <c r="A4" s="5">
        <f>IFERROR(__xludf.DUMMYFUNCTION("""COMPUTED_VALUE"""),3.0)</f>
        <v>3</v>
      </c>
      <c r="B4" s="5">
        <f>IFERROR(__xludf.DUMMYFUNCTION("""COMPUTED_VALUE"""),2.0)</f>
        <v>2</v>
      </c>
      <c r="C4" s="5" t="str">
        <f>IFERROR(__xludf.DUMMYFUNCTION("""COMPUTED_VALUE"""),"Fazi")</f>
        <v>Fazi</v>
      </c>
      <c r="D4" s="5" t="str">
        <f>IFERROR(__xludf.DUMMYFUNCTION("""COMPUTED_VALUE"""),"Wizard")</f>
        <v>Wizard</v>
      </c>
      <c r="E4" s="5" t="str">
        <f>IFERROR(__xludf.DUMMYFUNCTION("""COMPUTED_VALUE"""),"V2")</f>
        <v>V2</v>
      </c>
      <c r="F4" s="5" t="str">
        <f>IFERROR(__xludf.DUMMYFUNCTION("""COMPUTED_VALUE"""),"Wizard")</f>
        <v>Wizard</v>
      </c>
      <c r="G4" s="5" t="str">
        <f>IFERROR(__xludf.DUMMYFUNCTION("""COMPUTED_VALUE"""),"Live")</f>
        <v>Live</v>
      </c>
      <c r="H4" s="5"/>
      <c r="I4" s="5" t="str">
        <f>IFERROR(__xludf.DUMMYFUNCTION("""COMPUTED_VALUE"""),"V2")</f>
        <v>V2</v>
      </c>
      <c r="J4" s="5" t="str">
        <f>IFERROR(__xludf.DUMMYFUNCTION("""COMPUTED_VALUE"""),"Binary")</f>
        <v>Binary</v>
      </c>
      <c r="K4" s="5" t="str">
        <f>IFERROR(__xludf.DUMMYFUNCTION("""COMPUTED_VALUE"""),"Slot")</f>
        <v>Slot</v>
      </c>
      <c r="L4" s="5"/>
      <c r="M4" s="5"/>
      <c r="N4" s="5"/>
      <c r="O4" s="5"/>
      <c r="P4" s="12">
        <f>IFERROR(__xludf.DUMMYFUNCTION("""COMPUTED_VALUE"""),29.8)</f>
        <v>29.8</v>
      </c>
      <c r="Q4" s="13">
        <f>IFERROR(__xludf.DUMMYFUNCTION("""COMPUTED_VALUE"""),43040.0)</f>
        <v>43040</v>
      </c>
      <c r="R4" s="14"/>
      <c r="S4" s="13">
        <f>IFERROR(__xludf.DUMMYFUNCTION("""COMPUTED_VALUE"""),43040.0)</f>
        <v>43040</v>
      </c>
      <c r="T4" s="5" t="b">
        <f>IFERROR(__xludf.DUMMYFUNCTION("""COMPUTED_VALUE"""),TRUE)</f>
        <v>1</v>
      </c>
      <c r="U4" s="5" t="str">
        <f>IFERROR(__xludf.DUMMYFUNCTION("""COMPUTED_VALUE"""),"5x3")</f>
        <v>5x3</v>
      </c>
      <c r="V4" s="10" t="str">
        <f>IFERROR(__xludf.DUMMYFUNCTION("""COMPUTED_VALUE"""),"20")</f>
        <v>20</v>
      </c>
      <c r="W4" s="10" t="str">
        <f>IFERROR(__xludf.DUMMYFUNCTION("""COMPUTED_VALUE"""),"1,3,5,7,9,10,20")</f>
        <v>1,3,5,7,9,10,20</v>
      </c>
      <c r="X4" s="5">
        <f>IFERROR(__xludf.DUMMYFUNCTION("""COMPUTED_VALUE"""),96.087)</f>
        <v>96.087</v>
      </c>
      <c r="Y4" s="5" t="str">
        <f>IFERROR(__xludf.DUMMYFUNCTION("""COMPUTED_VALUE"""),"High")</f>
        <v>High</v>
      </c>
      <c r="Z4" s="5">
        <f>IFERROR(__xludf.DUMMYFUNCTION("""COMPUTED_VALUE"""),38.06)</f>
        <v>38.06</v>
      </c>
      <c r="AA4" s="12">
        <f>IFERROR(__xludf.DUMMYFUNCTION("""COMPUTED_VALUE"""),3428.0)</f>
        <v>3428</v>
      </c>
      <c r="AB4" s="5">
        <f>IFERROR(__xludf.DUMMYFUNCTION("""COMPUTED_VALUE"""),261.0)</f>
        <v>261</v>
      </c>
      <c r="AC4" s="5" t="str">
        <f>IFERROR(__xludf.DUMMYFUNCTION("""COMPUTED_VALUE"""),"Bonus Game with Multiplier, Wild Multiplier, Scatter")</f>
        <v>Bonus Game with Multiplier, Wild Multiplier, Scatter</v>
      </c>
      <c r="AD4" s="5" t="str">
        <f>IFERROR(__xludf.DUMMYFUNCTION("""COMPUTED_VALUE"""),"0.20/50")</f>
        <v>0.20/50</v>
      </c>
      <c r="AE4" s="5"/>
      <c r="AF4" s="5"/>
      <c r="AG4" s="8">
        <f>IFERROR(__xludf.DUMMYFUNCTION("""COMPUTED_VALUE"""),46099.70369212963)</f>
        <v>46099.70369</v>
      </c>
      <c r="AH4" s="5" t="str">
        <f>IFERROR(__xludf.DUMMYFUNCTION("""COMPUTED_VALUE"""),"iva.cirkovic@fazi.rs")</f>
        <v>iva.cirkovic@fazi.rs</v>
      </c>
      <c r="AI4" s="5"/>
      <c r="AJ4" s="5"/>
      <c r="AK4" s="5">
        <f>IFERROR(__xludf.DUMMYFUNCTION("""COMPUTED_VALUE"""),20.0)</f>
        <v>20</v>
      </c>
      <c r="AL4" s="5" t="str">
        <f>IFERROR(__xludf.DUMMYFUNCTION("""COMPUTED_VALUE"""),"Yes")</f>
        <v>Yes</v>
      </c>
      <c r="AM4" s="5"/>
      <c r="AN4" s="7" t="str">
        <f>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AO4" s="5"/>
      <c r="AP4" s="5"/>
      <c r="AQ4" s="5" t="b">
        <f>IFERROR(__xludf.DUMMYFUNCTION("""COMPUTED_VALUE"""),TRUE)</f>
        <v>1</v>
      </c>
      <c r="AR4" s="5"/>
      <c r="AS4" s="5" t="str">
        <f>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AT4" s="5"/>
      <c r="AU4" s="5" t="str">
        <f>IFERROR(__xludf.DUMMYFUNCTION("""COMPUTED_VALUE"""),"Fazi")</f>
        <v>Fazi</v>
      </c>
      <c r="AV4" s="5"/>
      <c r="AW4" s="5"/>
      <c r="AX4" s="5"/>
      <c r="AY4" s="5"/>
      <c r="AZ4" s="7" t="str">
        <f>IFERROR(__xludf.DUMMYFUNCTION("""COMPUTED_VALUE"""),"https://drive.google.com/drive/folders/1q7qLsDD3MeXJAtJq5qGDM--q3a9mnJVA")</f>
        <v>https://drive.google.com/drive/folders/1q7qLsDD3MeXJAtJq5qGDM--q3a9mnJVA</v>
      </c>
      <c r="BA4" s="5" t="str">
        <f>IFERROR(__xludf.DUMMYFUNCTION("""COMPUTED_VALUE"""),"")</f>
        <v/>
      </c>
      <c r="BB4" s="5"/>
      <c r="BC4" s="5" t="str">
        <f>IFERROR(__xludf.DUMMYFUNCTION("""COMPUTED_VALUE"""),"Foxi")</f>
        <v>Foxi</v>
      </c>
      <c r="BD4" s="7" t="str">
        <f>IFERROR(__xludf.DUMMYFUNCTION("""COMPUTED_VALUE"""),"https://gameserver-store-client-area.orbionlimited.com/Home/IntegrationGameLaunch/client-area?moneyType=0&amp;gameName=Wizard&amp;platform=desktop&amp;languageCode=eng&amp;currency=EUR")</f>
        <v>https://gameserver-store-client-area.orbionlimited.com/Home/IntegrationGameLaunch/client-area?moneyType=0&amp;gameName=Wizard&amp;platform=desktop&amp;languageCode=eng&amp;currency=EUR</v>
      </c>
      <c r="BE4" s="5" t="b">
        <f>IFERROR(__xludf.DUMMYFUNCTION("""COMPUTED_VALUE"""),TRUE)</f>
        <v>1</v>
      </c>
    </row>
    <row r="5">
      <c r="A5" s="5">
        <f>IFERROR(__xludf.DUMMYFUNCTION("""COMPUTED_VALUE"""),4.0)</f>
        <v>4</v>
      </c>
      <c r="B5" s="5">
        <f>IFERROR(__xludf.DUMMYFUNCTION("""COMPUTED_VALUE"""),3.0)</f>
        <v>3</v>
      </c>
      <c r="C5" s="5" t="str">
        <f>IFERROR(__xludf.DUMMYFUNCTION("""COMPUTED_VALUE"""),"Fazi")</f>
        <v>Fazi</v>
      </c>
      <c r="D5" s="5" t="str">
        <f>IFERROR(__xludf.DUMMYFUNCTION("""COMPUTED_VALUE"""),"Fruits and Stars")</f>
        <v>Fruits and Stars</v>
      </c>
      <c r="E5" s="5" t="str">
        <f>IFERROR(__xludf.DUMMYFUNCTION("""COMPUTED_VALUE"""),"V2")</f>
        <v>V2</v>
      </c>
      <c r="F5" s="5" t="str">
        <f>IFERROR(__xludf.DUMMYFUNCTION("""COMPUTED_VALUE"""),"FruitsAndStars")</f>
        <v>FruitsAndStars</v>
      </c>
      <c r="G5" s="5" t="str">
        <f>IFERROR(__xludf.DUMMYFUNCTION("""COMPUTED_VALUE"""),"Live")</f>
        <v>Live</v>
      </c>
      <c r="H5" s="5"/>
      <c r="I5" s="5" t="str">
        <f>IFERROR(__xludf.DUMMYFUNCTION("""COMPUTED_VALUE"""),"V2")</f>
        <v>V2</v>
      </c>
      <c r="J5" s="5" t="str">
        <f>IFERROR(__xludf.DUMMYFUNCTION("""COMPUTED_VALUE"""),"JSON")</f>
        <v>JSON</v>
      </c>
      <c r="K5" s="5" t="str">
        <f>IFERROR(__xludf.DUMMYFUNCTION("""COMPUTED_VALUE"""),"Slot")</f>
        <v>Slot</v>
      </c>
      <c r="L5" s="5"/>
      <c r="M5" s="5"/>
      <c r="N5" s="5"/>
      <c r="O5" s="5"/>
      <c r="P5" s="12">
        <f>IFERROR(__xludf.DUMMYFUNCTION("""COMPUTED_VALUE"""),19.5)</f>
        <v>19.5</v>
      </c>
      <c r="Q5" s="13">
        <f>IFERROR(__xludf.DUMMYFUNCTION("""COMPUTED_VALUE"""),42826.0)</f>
        <v>42826</v>
      </c>
      <c r="R5" s="14"/>
      <c r="S5" s="13">
        <f>IFERROR(__xludf.DUMMYFUNCTION("""COMPUTED_VALUE"""),42826.0)</f>
        <v>42826</v>
      </c>
      <c r="T5" s="5" t="b">
        <f>IFERROR(__xludf.DUMMYFUNCTION("""COMPUTED_VALUE"""),TRUE)</f>
        <v>1</v>
      </c>
      <c r="U5" s="5" t="str">
        <f>IFERROR(__xludf.DUMMYFUNCTION("""COMPUTED_VALUE"""),"5x3")</f>
        <v>5x3</v>
      </c>
      <c r="V5" s="10" t="str">
        <f>IFERROR(__xludf.DUMMYFUNCTION("""COMPUTED_VALUE"""),"20")</f>
        <v>20</v>
      </c>
      <c r="W5" s="10" t="str">
        <f>IFERROR(__xludf.DUMMYFUNCTION("""COMPUTED_VALUE"""),"1,3,5,7,10,20")</f>
        <v>1,3,5,7,10,20</v>
      </c>
      <c r="X5" s="5">
        <f>IFERROR(__xludf.DUMMYFUNCTION("""COMPUTED_VALUE"""),95.79)</f>
        <v>95.79</v>
      </c>
      <c r="Y5" s="5" t="str">
        <f>IFERROR(__xludf.DUMMYFUNCTION("""COMPUTED_VALUE"""),"Low")</f>
        <v>Low</v>
      </c>
      <c r="Z5" s="5">
        <f>IFERROR(__xludf.DUMMYFUNCTION("""COMPUTED_VALUE"""),17.45)</f>
        <v>17.45</v>
      </c>
      <c r="AA5" s="12">
        <f>IFERROR(__xludf.DUMMYFUNCTION("""COMPUTED_VALUE"""),1000.0)</f>
        <v>1000</v>
      </c>
      <c r="AB5" s="5" t="str">
        <f>IFERROR(__xludf.DUMMYFUNCTION("""COMPUTED_VALUE"""),"/")</f>
        <v>/</v>
      </c>
      <c r="AC5" s="5" t="str">
        <f>IFERROR(__xludf.DUMMYFUNCTION("""COMPUTED_VALUE"""),"Wild Symbol, Scatter")</f>
        <v>Wild Symbol, Scatter</v>
      </c>
      <c r="AD5" s="5" t="str">
        <f>IFERROR(__xludf.DUMMYFUNCTION("""COMPUTED_VALUE"""),"0.01/50")</f>
        <v>0.01/50</v>
      </c>
      <c r="AE5" s="5"/>
      <c r="AF5" s="5"/>
      <c r="AG5" s="8">
        <f>IFERROR(__xludf.DUMMYFUNCTION("""COMPUTED_VALUE"""),46197.07435185185)</f>
        <v>46197.07435</v>
      </c>
      <c r="AH5" s="5" t="str">
        <f>IFERROR(__xludf.DUMMYFUNCTION("""COMPUTED_VALUE"""),"iva.cirkovic@fazi.rs")</f>
        <v>iva.cirkovic@fazi.rs</v>
      </c>
      <c r="AI5" s="5"/>
      <c r="AJ5" s="5"/>
      <c r="AK5" s="5">
        <f>IFERROR(__xludf.DUMMYFUNCTION("""COMPUTED_VALUE"""),20.0)</f>
        <v>20</v>
      </c>
      <c r="AL5" s="5" t="str">
        <f>IFERROR(__xludf.DUMMYFUNCTION("""COMPUTED_VALUE"""),"Yes")</f>
        <v>Yes</v>
      </c>
      <c r="AM5" s="5"/>
      <c r="AN5" s="7" t="str">
        <f>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AO5" s="5" t="str">
        <f>IFERROR(__xludf.DUMMYFUNCTION("""COMPUTED_VALUE"""),"Yes")</f>
        <v>Yes</v>
      </c>
      <c r="AP5" s="5" t="str">
        <f>IFERROR(__xludf.DUMMYFUNCTION("""COMPUTED_VALUE"""),"Yes")</f>
        <v>Yes</v>
      </c>
      <c r="AQ5" s="5" t="b">
        <f>IFERROR(__xludf.DUMMYFUNCTION("""COMPUTED_VALUE"""),TRUE)</f>
        <v>1</v>
      </c>
      <c r="AR5" s="5"/>
      <c r="AS5" s="5" t="str">
        <f>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AT5" s="5" t="str">
        <f>IFERROR(__xludf.DUMMYFUNCTION("""COMPUTED_VALUE"""),"No")</f>
        <v>No</v>
      </c>
      <c r="AU5" s="5" t="str">
        <f>IFERROR(__xludf.DUMMYFUNCTION("""COMPUTED_VALUE"""),"Fazi")</f>
        <v>Fazi</v>
      </c>
      <c r="AV5" s="5"/>
      <c r="AW5" s="5"/>
      <c r="AX5" s="5"/>
      <c r="AY5" s="5" t="str">
        <f>IFERROR(__xludf.DUMMYFUNCTION("""COMPUTED_VALUE"""),"87.5%, 89.5%, 91.5%, 93.5%, 94.5%, 95.5%, 96.5%")</f>
        <v>87.5%, 89.5%, 91.5%, 93.5%, 94.5%, 95.5%, 96.5%</v>
      </c>
      <c r="AZ5" s="7" t="str">
        <f>IFERROR(__xludf.DUMMYFUNCTION("""COMPUTED_VALUE"""),"https://drive.google.com/drive/folders/1F58FR3Kzj28XzgM5QV9dzINmVlxd4PoB")</f>
        <v>https://drive.google.com/drive/folders/1F58FR3Kzj28XzgM5QV9dzINmVlxd4PoB</v>
      </c>
      <c r="BA5" s="5"/>
      <c r="BB5" s="5" t="b">
        <f>IFERROR(__xludf.DUMMYFUNCTION("""COMPUTED_VALUE"""),TRUE)</f>
        <v>1</v>
      </c>
      <c r="BC5" s="5" t="str">
        <f>IFERROR(__xludf.DUMMYFUNCTION("""COMPUTED_VALUE"""),"Foxi")</f>
        <v>Foxi</v>
      </c>
      <c r="BD5" s="7" t="str">
        <f>IFERROR(__xludf.DUMMYFUNCTION("""COMPUTED_VALUE"""),"https://gameserver-store-client-area.orbionlimited.com/Home/IntegrationGameLaunch/client-area?moneyType=0&amp;gameName=FruitsAndStars&amp;platform=desktop&amp;languageCode=eng&amp;currency=EUR")</f>
        <v>https://gameserver-store-client-area.orbionlimited.com/Home/IntegrationGameLaunch/client-area?moneyType=0&amp;gameName=FruitsAndStars&amp;platform=desktop&amp;languageCode=eng&amp;currency=EUR</v>
      </c>
      <c r="BE5" s="5" t="b">
        <f>IFERROR(__xludf.DUMMYFUNCTION("""COMPUTED_VALUE"""),TRUE)</f>
        <v>1</v>
      </c>
    </row>
    <row r="6">
      <c r="A6" s="5">
        <f>IFERROR(__xludf.DUMMYFUNCTION("""COMPUTED_VALUE"""),5.0)</f>
        <v>5</v>
      </c>
      <c r="B6" s="5">
        <f>IFERROR(__xludf.DUMMYFUNCTION("""COMPUTED_VALUE"""),4.0)</f>
        <v>4</v>
      </c>
      <c r="C6" s="5" t="str">
        <f>IFERROR(__xludf.DUMMYFUNCTION("""COMPUTED_VALUE"""),"Fazi")</f>
        <v>Fazi</v>
      </c>
      <c r="D6" s="5" t="str">
        <f>IFERROR(__xludf.DUMMYFUNCTION("""COMPUTED_VALUE"""),"Nevada Hot")</f>
        <v>Nevada Hot</v>
      </c>
      <c r="E6" s="5"/>
      <c r="F6" s="5" t="str">
        <f>IFERROR(__xludf.DUMMYFUNCTION("""COMPUTED_VALUE"""),"VegasHot")</f>
        <v>VegasHot</v>
      </c>
      <c r="G6" s="5" t="str">
        <f>IFERROR(__xludf.DUMMYFUNCTION("""COMPUTED_VALUE"""),"Retired")</f>
        <v>Retired</v>
      </c>
      <c r="H6" s="5"/>
      <c r="I6" s="5"/>
      <c r="J6" s="5"/>
      <c r="K6" s="5" t="str">
        <f>IFERROR(__xludf.DUMMYFUNCTION("""COMPUTED_VALUE"""),"Slot")</f>
        <v>Slot</v>
      </c>
      <c r="L6" s="5"/>
      <c r="M6" s="5"/>
      <c r="N6" s="5"/>
      <c r="O6" s="5"/>
      <c r="P6" s="12"/>
      <c r="Q6" s="13">
        <f>IFERROR(__xludf.DUMMYFUNCTION("""COMPUTED_VALUE"""),43831.0)</f>
        <v>43831</v>
      </c>
      <c r="R6" s="14"/>
      <c r="S6" s="13">
        <f>IFERROR(__xludf.DUMMYFUNCTION("""COMPUTED_VALUE"""),43831.0)</f>
        <v>43831</v>
      </c>
      <c r="T6" s="5"/>
      <c r="U6" s="16"/>
      <c r="V6" s="10" t="str">
        <f>IFERROR(__xludf.DUMMYFUNCTION("""COMPUTED_VALUE"""),"5")</f>
        <v>5</v>
      </c>
      <c r="W6" s="10"/>
      <c r="X6" s="11">
        <f>IFERROR(__xludf.DUMMYFUNCTION("""COMPUTED_VALUE"""),0.0)</f>
        <v>0</v>
      </c>
      <c r="Y6" s="17"/>
      <c r="Z6" s="5">
        <f>IFERROR(__xludf.DUMMYFUNCTION("""COMPUTED_VALUE"""),0.0)</f>
        <v>0</v>
      </c>
      <c r="AA6" s="12"/>
      <c r="AB6" s="5"/>
      <c r="AC6" s="5" t="str">
        <f>IFERROR(__xludf.DUMMYFUNCTION("""COMPUTED_VALUE"""),"Expanding Wild, Expanding Wild, Scatter")</f>
        <v>Expanding Wild, Expanding Wild, Scatter</v>
      </c>
      <c r="AD6" s="5"/>
      <c r="AE6" s="5"/>
      <c r="AF6" s="5"/>
      <c r="AG6" s="8">
        <f>IFERROR(__xludf.DUMMYFUNCTION("""COMPUTED_VALUE"""),45855.47100694444)</f>
        <v>45855.47101</v>
      </c>
      <c r="AH6" s="5" t="str">
        <f>IFERROR(__xludf.DUMMYFUNCTION("""COMPUTED_VALUE"""),"iva.cirkovic@fazi.rs")</f>
        <v>iva.cirkovic@fazi.rs</v>
      </c>
      <c r="AI6" s="5"/>
      <c r="AJ6" s="5"/>
      <c r="AK6" s="5">
        <f>IFERROR(__xludf.DUMMYFUNCTION("""COMPUTED_VALUE"""),5.0)</f>
        <v>5</v>
      </c>
      <c r="AL6" s="5" t="str">
        <f>IFERROR(__xludf.DUMMYFUNCTION("""COMPUTED_VALUE"""),"Yes")</f>
        <v>Yes</v>
      </c>
      <c r="AM6" s="5"/>
      <c r="AN6" s="5"/>
      <c r="AO6" s="5"/>
      <c r="AP6" s="5"/>
      <c r="AQ6" s="5"/>
      <c r="AR6" s="5"/>
      <c r="AS6" s="5"/>
      <c r="AT6" s="5"/>
      <c r="AU6" s="5" t="str">
        <f>IFERROR(__xludf.DUMMYFUNCTION("""COMPUTED_VALUE"""),"Fazi")</f>
        <v>Fazi</v>
      </c>
      <c r="AV6" s="5"/>
      <c r="AW6" s="5"/>
      <c r="AX6" s="5"/>
      <c r="AY6" s="5"/>
      <c r="AZ6" s="5"/>
      <c r="BA6" s="5" t="str">
        <f>IFERROR(__xludf.DUMMYFUNCTION("""COMPUTED_VALUE"""),"")</f>
        <v/>
      </c>
      <c r="BB6" s="5"/>
      <c r="BC6" s="5" t="str">
        <f>IFERROR(__xludf.DUMMYFUNCTION("""COMPUTED_VALUE"""),"Foxi")</f>
        <v>Foxi</v>
      </c>
      <c r="BD6" s="5" t="str">
        <f>IFERROR(__xludf.DUMMYFUNCTION("""COMPUTED_VALUE"""),"")</f>
        <v/>
      </c>
      <c r="BE6" s="5"/>
    </row>
    <row r="7">
      <c r="A7" s="5">
        <f>IFERROR(__xludf.DUMMYFUNCTION("""COMPUTED_VALUE"""),6.0)</f>
        <v>6</v>
      </c>
      <c r="B7" s="5">
        <f>IFERROR(__xludf.DUMMYFUNCTION("""COMPUTED_VALUE"""),5.0)</f>
        <v>5</v>
      </c>
      <c r="C7" s="5" t="str">
        <f>IFERROR(__xludf.DUMMYFUNCTION("""COMPUTED_VALUE"""),"Fazi")</f>
        <v>Fazi</v>
      </c>
      <c r="D7" s="5" t="str">
        <f>IFERROR(__xludf.DUMMYFUNCTION("""COMPUTED_VALUE"""),"Golden Fenix")</f>
        <v>Golden Fenix</v>
      </c>
      <c r="E7" s="5"/>
      <c r="F7" s="5" t="str">
        <f>IFERROR(__xludf.DUMMYFUNCTION("""COMPUTED_VALUE"""),"FenixPlay")</f>
        <v>FenixPlay</v>
      </c>
      <c r="G7" s="5" t="str">
        <f>IFERROR(__xludf.DUMMYFUNCTION("""COMPUTED_VALUE"""),"Retired")</f>
        <v>Retired</v>
      </c>
      <c r="H7" s="5"/>
      <c r="I7" s="5"/>
      <c r="J7" s="5"/>
      <c r="K7" s="5" t="str">
        <f>IFERROR(__xludf.DUMMYFUNCTION("""COMPUTED_VALUE"""),"Slot")</f>
        <v>Slot</v>
      </c>
      <c r="L7" s="5"/>
      <c r="M7" s="5"/>
      <c r="N7" s="5"/>
      <c r="O7" s="5"/>
      <c r="P7" s="12"/>
      <c r="Q7" s="13">
        <f>IFERROR(__xludf.DUMMYFUNCTION("""COMPUTED_VALUE"""),43831.0)</f>
        <v>43831</v>
      </c>
      <c r="R7" s="14"/>
      <c r="S7" s="13">
        <f>IFERROR(__xludf.DUMMYFUNCTION("""COMPUTED_VALUE"""),43831.0)</f>
        <v>43831</v>
      </c>
      <c r="T7" s="5"/>
      <c r="U7" s="16"/>
      <c r="V7" s="10" t="str">
        <f>IFERROR(__xludf.DUMMYFUNCTION("""COMPUTED_VALUE"""),"5")</f>
        <v>5</v>
      </c>
      <c r="W7" s="10"/>
      <c r="X7" s="11">
        <f>IFERROR(__xludf.DUMMYFUNCTION("""COMPUTED_VALUE"""),0.0)</f>
        <v>0</v>
      </c>
      <c r="Y7" s="17"/>
      <c r="Z7" s="5">
        <f>IFERROR(__xludf.DUMMYFUNCTION("""COMPUTED_VALUE"""),0.0)</f>
        <v>0</v>
      </c>
      <c r="AA7" s="12"/>
      <c r="AB7" s="5"/>
      <c r="AC7" s="18"/>
      <c r="AD7" s="5"/>
      <c r="AE7" s="5"/>
      <c r="AF7" s="5"/>
      <c r="AG7" s="8">
        <f>IFERROR(__xludf.DUMMYFUNCTION("""COMPUTED_VALUE"""),45855.470405092594)</f>
        <v>45855.47041</v>
      </c>
      <c r="AH7" s="5" t="str">
        <f>IFERROR(__xludf.DUMMYFUNCTION("""COMPUTED_VALUE"""),"iva.cirkovic@fazi.rs")</f>
        <v>iva.cirkovic@fazi.rs</v>
      </c>
      <c r="AI7" s="5"/>
      <c r="AJ7" s="5"/>
      <c r="AK7" s="5">
        <f>IFERROR(__xludf.DUMMYFUNCTION("""COMPUTED_VALUE"""),5.0)</f>
        <v>5</v>
      </c>
      <c r="AL7" s="5"/>
      <c r="AM7" s="5" t="str">
        <f>IFERROR(__xludf.DUMMYFUNCTION("""COMPUTED_VALUE"""),"Yes")</f>
        <v>Yes</v>
      </c>
      <c r="AN7" s="5"/>
      <c r="AO7" s="5"/>
      <c r="AP7" s="5"/>
      <c r="AQ7" s="5"/>
      <c r="AR7" s="5"/>
      <c r="AS7" s="5"/>
      <c r="AT7" s="5"/>
      <c r="AU7" s="5" t="str">
        <f>IFERROR(__xludf.DUMMYFUNCTION("""COMPUTED_VALUE"""),"Fazi")</f>
        <v>Fazi</v>
      </c>
      <c r="AV7" s="5"/>
      <c r="AW7" s="5"/>
      <c r="AX7" s="5"/>
      <c r="AY7" s="5"/>
      <c r="AZ7" s="5"/>
      <c r="BA7" s="5" t="str">
        <f>IFERROR(__xludf.DUMMYFUNCTION("""COMPUTED_VALUE"""),"")</f>
        <v/>
      </c>
      <c r="BB7" s="5"/>
      <c r="BC7" s="5" t="str">
        <f>IFERROR(__xludf.DUMMYFUNCTION("""COMPUTED_VALUE"""),"Foxi")</f>
        <v>Foxi</v>
      </c>
      <c r="BD7" s="5" t="str">
        <f>IFERROR(__xludf.DUMMYFUNCTION("""COMPUTED_VALUE"""),"")</f>
        <v/>
      </c>
      <c r="BE7" s="5"/>
    </row>
    <row r="8">
      <c r="A8" s="5">
        <f>IFERROR(__xludf.DUMMYFUNCTION("""COMPUTED_VALUE"""),7.0)</f>
        <v>7</v>
      </c>
      <c r="B8" s="5">
        <f>IFERROR(__xludf.DUMMYFUNCTION("""COMPUTED_VALUE"""),6.0)</f>
        <v>6</v>
      </c>
      <c r="C8" s="5" t="str">
        <f>IFERROR(__xludf.DUMMYFUNCTION("""COMPUTED_VALUE"""),"Fazi")</f>
        <v>Fazi</v>
      </c>
      <c r="D8" s="5" t="str">
        <f>IFERROR(__xludf.DUMMYFUNCTION("""COMPUTED_VALUE"""),"Hot Beach")</f>
        <v>Hot Beach</v>
      </c>
      <c r="E8" s="5"/>
      <c r="F8" s="5" t="str">
        <f>IFERROR(__xludf.DUMMYFUNCTION("""COMPUTED_VALUE"""),"HotParty")</f>
        <v>HotParty</v>
      </c>
      <c r="G8" s="5" t="str">
        <f>IFERROR(__xludf.DUMMYFUNCTION("""COMPUTED_VALUE"""),"Retired")</f>
        <v>Retired</v>
      </c>
      <c r="H8" s="5"/>
      <c r="I8" s="5"/>
      <c r="J8" s="5"/>
      <c r="K8" s="5" t="str">
        <f>IFERROR(__xludf.DUMMYFUNCTION("""COMPUTED_VALUE"""),"Slot")</f>
        <v>Slot</v>
      </c>
      <c r="L8" s="5"/>
      <c r="M8" s="5"/>
      <c r="N8" s="5"/>
      <c r="O8" s="5"/>
      <c r="P8" s="12"/>
      <c r="Q8" s="13">
        <f>IFERROR(__xludf.DUMMYFUNCTION("""COMPUTED_VALUE"""),43831.0)</f>
        <v>43831</v>
      </c>
      <c r="R8" s="14"/>
      <c r="S8" s="13">
        <f>IFERROR(__xludf.DUMMYFUNCTION("""COMPUTED_VALUE"""),43831.0)</f>
        <v>43831</v>
      </c>
      <c r="T8" s="5"/>
      <c r="U8" s="16"/>
      <c r="V8" s="10"/>
      <c r="W8" s="10"/>
      <c r="X8" s="11">
        <f>IFERROR(__xludf.DUMMYFUNCTION("""COMPUTED_VALUE"""),0.0)</f>
        <v>0</v>
      </c>
      <c r="Y8" s="17"/>
      <c r="Z8" s="5">
        <f>IFERROR(__xludf.DUMMYFUNCTION("""COMPUTED_VALUE"""),0.0)</f>
        <v>0</v>
      </c>
      <c r="AA8" s="12"/>
      <c r="AB8" s="5"/>
      <c r="AC8" s="5" t="str">
        <f>IFERROR(__xludf.DUMMYFUNCTION("""COMPUTED_VALUE"""),"Win Multiplier")</f>
        <v>Win Multiplier</v>
      </c>
      <c r="AD8" s="5"/>
      <c r="AE8" s="5"/>
      <c r="AF8" s="5"/>
      <c r="AG8" s="8">
        <f>IFERROR(__xludf.DUMMYFUNCTION("""COMPUTED_VALUE"""),45855.47106481482)</f>
        <v>45855.47106</v>
      </c>
      <c r="AH8" s="5" t="str">
        <f>IFERROR(__xludf.DUMMYFUNCTION("""COMPUTED_VALUE"""),"iva.cirkovic@fazi.rs")</f>
        <v>iva.cirkovic@fazi.rs</v>
      </c>
      <c r="AI8" s="5"/>
      <c r="AJ8" s="5"/>
      <c r="AK8" s="5" t="str">
        <f>IFERROR(__xludf.DUMMYFUNCTION("""COMPUTED_VALUE"""),"#N/A")</f>
        <v>#N/A</v>
      </c>
      <c r="AL8" s="5"/>
      <c r="AM8" s="5"/>
      <c r="AN8" s="5"/>
      <c r="AO8" s="5"/>
      <c r="AP8" s="5"/>
      <c r="AQ8" s="5"/>
      <c r="AR8" s="5"/>
      <c r="AS8" s="5"/>
      <c r="AT8" s="5"/>
      <c r="AU8" s="5" t="str">
        <f>IFERROR(__xludf.DUMMYFUNCTION("""COMPUTED_VALUE"""),"Fazi")</f>
        <v>Fazi</v>
      </c>
      <c r="AV8" s="5"/>
      <c r="AW8" s="5"/>
      <c r="AX8" s="5"/>
      <c r="AY8" s="5"/>
      <c r="AZ8" s="5"/>
      <c r="BA8" s="5" t="str">
        <f>IFERROR(__xludf.DUMMYFUNCTION("""COMPUTED_VALUE"""),"")</f>
        <v/>
      </c>
      <c r="BB8" s="5"/>
      <c r="BC8" s="5" t="str">
        <f>IFERROR(__xludf.DUMMYFUNCTION("""COMPUTED_VALUE"""),"Foxi")</f>
        <v>Foxi</v>
      </c>
      <c r="BD8" s="5" t="str">
        <f>IFERROR(__xludf.DUMMYFUNCTION("""COMPUTED_VALUE"""),"")</f>
        <v/>
      </c>
      <c r="BE8" s="5"/>
    </row>
    <row r="9">
      <c r="A9" s="5">
        <f>IFERROR(__xludf.DUMMYFUNCTION("""COMPUTED_VALUE"""),8.0)</f>
        <v>8</v>
      </c>
      <c r="B9" s="5">
        <f>IFERROR(__xludf.DUMMYFUNCTION("""COMPUTED_VALUE"""),7.0)</f>
        <v>7</v>
      </c>
      <c r="C9" s="5" t="str">
        <f>IFERROR(__xludf.DUMMYFUNCTION("""COMPUTED_VALUE"""),"Fazi")</f>
        <v>Fazi</v>
      </c>
      <c r="D9" s="5" t="str">
        <f>IFERROR(__xludf.DUMMYFUNCTION("""COMPUTED_VALUE"""),"King Of The Sea")</f>
        <v>King Of The Sea</v>
      </c>
      <c r="E9" s="5"/>
      <c r="F9" s="5" t="str">
        <f>IFERROR(__xludf.DUMMYFUNCTION("""COMPUTED_VALUE"""),"CaptainShark")</f>
        <v>CaptainShark</v>
      </c>
      <c r="G9" s="5" t="str">
        <f>IFERROR(__xludf.DUMMYFUNCTION("""COMPUTED_VALUE"""),"Retired")</f>
        <v>Retired</v>
      </c>
      <c r="H9" s="5"/>
      <c r="I9" s="5"/>
      <c r="J9" s="5"/>
      <c r="K9" s="5" t="str">
        <f>IFERROR(__xludf.DUMMYFUNCTION("""COMPUTED_VALUE"""),"Slot")</f>
        <v>Slot</v>
      </c>
      <c r="L9" s="5"/>
      <c r="M9" s="5"/>
      <c r="N9" s="5"/>
      <c r="O9" s="5"/>
      <c r="P9" s="12"/>
      <c r="Q9" s="13">
        <f>IFERROR(__xludf.DUMMYFUNCTION("""COMPUTED_VALUE"""),43831.0)</f>
        <v>43831</v>
      </c>
      <c r="R9" s="14"/>
      <c r="S9" s="13">
        <f>IFERROR(__xludf.DUMMYFUNCTION("""COMPUTED_VALUE"""),43831.0)</f>
        <v>43831</v>
      </c>
      <c r="T9" s="5"/>
      <c r="U9" s="16"/>
      <c r="V9" s="10" t="str">
        <f>IFERROR(__xludf.DUMMYFUNCTION("""COMPUTED_VALUE"""),"20")</f>
        <v>20</v>
      </c>
      <c r="W9" s="10"/>
      <c r="X9" s="11">
        <f>IFERROR(__xludf.DUMMYFUNCTION("""COMPUTED_VALUE"""),0.0)</f>
        <v>0</v>
      </c>
      <c r="Y9" s="17"/>
      <c r="Z9" s="5">
        <f>IFERROR(__xludf.DUMMYFUNCTION("""COMPUTED_VALUE"""),0.0)</f>
        <v>0</v>
      </c>
      <c r="AA9" s="12"/>
      <c r="AB9" s="5"/>
      <c r="AC9" s="18"/>
      <c r="AD9" s="5"/>
      <c r="AE9" s="5"/>
      <c r="AF9" s="5"/>
      <c r="AG9" s="5"/>
      <c r="AH9" s="5"/>
      <c r="AI9" s="5"/>
      <c r="AJ9" s="5"/>
      <c r="AK9" s="5">
        <f>IFERROR(__xludf.DUMMYFUNCTION("""COMPUTED_VALUE"""),20.0)</f>
        <v>20</v>
      </c>
      <c r="AL9" s="5"/>
      <c r="AM9" s="5"/>
      <c r="AN9" s="5"/>
      <c r="AO9" s="5"/>
      <c r="AP9" s="5"/>
      <c r="AQ9" s="5"/>
      <c r="AR9" s="5"/>
      <c r="AS9" s="5"/>
      <c r="AT9" s="5"/>
      <c r="AU9" s="5" t="str">
        <f>IFERROR(__xludf.DUMMYFUNCTION("""COMPUTED_VALUE"""),"Fazi")</f>
        <v>Fazi</v>
      </c>
      <c r="AV9" s="5"/>
      <c r="AW9" s="5"/>
      <c r="AX9" s="5"/>
      <c r="AY9" s="5"/>
      <c r="AZ9" s="5"/>
      <c r="BA9" s="5" t="str">
        <f>IFERROR(__xludf.DUMMYFUNCTION("""COMPUTED_VALUE"""),"")</f>
        <v/>
      </c>
      <c r="BB9" s="5"/>
      <c r="BC9" s="5" t="str">
        <f>IFERROR(__xludf.DUMMYFUNCTION("""COMPUTED_VALUE"""),"Foxi")</f>
        <v>Foxi</v>
      </c>
      <c r="BD9" s="5" t="str">
        <f>IFERROR(__xludf.DUMMYFUNCTION("""COMPUTED_VALUE"""),"")</f>
        <v/>
      </c>
      <c r="BE9" s="5"/>
    </row>
    <row r="10">
      <c r="A10" s="5">
        <f>IFERROR(__xludf.DUMMYFUNCTION("""COMPUTED_VALUE"""),9.0)</f>
        <v>9</v>
      </c>
      <c r="B10" s="5">
        <f>IFERROR(__xludf.DUMMYFUNCTION("""COMPUTED_VALUE"""),8.0)</f>
        <v>8</v>
      </c>
      <c r="C10" s="5" t="str">
        <f>IFERROR(__xludf.DUMMYFUNCTION("""COMPUTED_VALUE"""),"Fazi")</f>
        <v>Fazi</v>
      </c>
      <c r="D10" s="5" t="str">
        <f>IFERROR(__xludf.DUMMYFUNCTION("""COMPUTED_VALUE"""),"Magic Joker")</f>
        <v>Magic Joker</v>
      </c>
      <c r="E10" s="5"/>
      <c r="F10" s="5" t="str">
        <f>IFERROR(__xludf.DUMMYFUNCTION("""COMPUTED_VALUE"""),"MagicTarget")</f>
        <v>MagicTarget</v>
      </c>
      <c r="G10" s="5" t="str">
        <f>IFERROR(__xludf.DUMMYFUNCTION("""COMPUTED_VALUE"""),"Retired")</f>
        <v>Retired</v>
      </c>
      <c r="H10" s="5"/>
      <c r="I10" s="5"/>
      <c r="J10" s="5"/>
      <c r="K10" s="5" t="str">
        <f>IFERROR(__xludf.DUMMYFUNCTION("""COMPUTED_VALUE"""),"Slot")</f>
        <v>Slot</v>
      </c>
      <c r="L10" s="5"/>
      <c r="M10" s="5"/>
      <c r="N10" s="5"/>
      <c r="O10" s="5"/>
      <c r="P10" s="12"/>
      <c r="Q10" s="13">
        <f>IFERROR(__xludf.DUMMYFUNCTION("""COMPUTED_VALUE"""),43831.0)</f>
        <v>43831</v>
      </c>
      <c r="R10" s="14"/>
      <c r="S10" s="13">
        <f>IFERROR(__xludf.DUMMYFUNCTION("""COMPUTED_VALUE"""),43831.0)</f>
        <v>43831</v>
      </c>
      <c r="T10" s="5"/>
      <c r="U10" s="16"/>
      <c r="V10" s="10" t="str">
        <f>IFERROR(__xludf.DUMMYFUNCTION("""COMPUTED_VALUE"""),"20")</f>
        <v>20</v>
      </c>
      <c r="W10" s="10"/>
      <c r="X10" s="11">
        <f>IFERROR(__xludf.DUMMYFUNCTION("""COMPUTED_VALUE"""),0.0)</f>
        <v>0</v>
      </c>
      <c r="Y10" s="17"/>
      <c r="Z10" s="5">
        <f>IFERROR(__xludf.DUMMYFUNCTION("""COMPUTED_VALUE"""),0.0)</f>
        <v>0</v>
      </c>
      <c r="AA10" s="12"/>
      <c r="AB10" s="5"/>
      <c r="AC10" s="18"/>
      <c r="AD10" s="5"/>
      <c r="AE10" s="5"/>
      <c r="AF10" s="5"/>
      <c r="AG10" s="5"/>
      <c r="AH10" s="5"/>
      <c r="AI10" s="5"/>
      <c r="AJ10" s="5"/>
      <c r="AK10" s="5">
        <f>IFERROR(__xludf.DUMMYFUNCTION("""COMPUTED_VALUE"""),20.0)</f>
        <v>20</v>
      </c>
      <c r="AL10" s="5"/>
      <c r="AM10" s="5"/>
      <c r="AN10" s="5"/>
      <c r="AO10" s="5"/>
      <c r="AP10" s="5"/>
      <c r="AQ10" s="5"/>
      <c r="AR10" s="5"/>
      <c r="AS10" s="5"/>
      <c r="AT10" s="5"/>
      <c r="AU10" s="5" t="str">
        <f>IFERROR(__xludf.DUMMYFUNCTION("""COMPUTED_VALUE"""),"Fazi")</f>
        <v>Fazi</v>
      </c>
      <c r="AV10" s="5"/>
      <c r="AW10" s="5"/>
      <c r="AX10" s="5"/>
      <c r="AY10" s="5"/>
      <c r="AZ10" s="5"/>
      <c r="BA10" s="5" t="str">
        <f>IFERROR(__xludf.DUMMYFUNCTION("""COMPUTED_VALUE"""),"")</f>
        <v/>
      </c>
      <c r="BB10" s="5"/>
      <c r="BC10" s="5" t="str">
        <f>IFERROR(__xludf.DUMMYFUNCTION("""COMPUTED_VALUE"""),"Foxi")</f>
        <v>Foxi</v>
      </c>
      <c r="BD10" s="5" t="str">
        <f>IFERROR(__xludf.DUMMYFUNCTION("""COMPUTED_VALUE"""),"")</f>
        <v/>
      </c>
      <c r="BE10" s="5"/>
    </row>
    <row r="11">
      <c r="A11" s="5">
        <f>IFERROR(__xludf.DUMMYFUNCTION("""COMPUTED_VALUE"""),10.0)</f>
        <v>10</v>
      </c>
      <c r="B11" s="5">
        <f>IFERROR(__xludf.DUMMYFUNCTION("""COMPUTED_VALUE"""),9.0)</f>
        <v>9</v>
      </c>
      <c r="C11" s="5" t="str">
        <f>IFERROR(__xludf.DUMMYFUNCTION("""COMPUTED_VALUE"""),"Fazi")</f>
        <v>Fazi</v>
      </c>
      <c r="D11" s="5" t="str">
        <f>IFERROR(__xludf.DUMMYFUNCTION("""COMPUTED_VALUE"""),"Rings Magic")</f>
        <v>Rings Magic</v>
      </c>
      <c r="E11" s="5"/>
      <c r="F11" s="5" t="str">
        <f>IFERROR(__xludf.DUMMYFUNCTION("""COMPUTED_VALUE"""),"MagicOfTheRing")</f>
        <v>MagicOfTheRing</v>
      </c>
      <c r="G11" s="5" t="str">
        <f>IFERROR(__xludf.DUMMYFUNCTION("""COMPUTED_VALUE"""),"Retired")</f>
        <v>Retired</v>
      </c>
      <c r="H11" s="5"/>
      <c r="I11" s="5"/>
      <c r="J11" s="5"/>
      <c r="K11" s="5" t="str">
        <f>IFERROR(__xludf.DUMMYFUNCTION("""COMPUTED_VALUE"""),"Slot")</f>
        <v>Slot</v>
      </c>
      <c r="L11" s="5"/>
      <c r="M11" s="5"/>
      <c r="N11" s="5"/>
      <c r="O11" s="5"/>
      <c r="P11" s="12"/>
      <c r="Q11" s="13">
        <f>IFERROR(__xludf.DUMMYFUNCTION("""COMPUTED_VALUE"""),43831.0)</f>
        <v>43831</v>
      </c>
      <c r="R11" s="14"/>
      <c r="S11" s="13">
        <f>IFERROR(__xludf.DUMMYFUNCTION("""COMPUTED_VALUE"""),43831.0)</f>
        <v>43831</v>
      </c>
      <c r="T11" s="5"/>
      <c r="U11" s="16"/>
      <c r="V11" s="10" t="str">
        <f>IFERROR(__xludf.DUMMYFUNCTION("""COMPUTED_VALUE"""),"10")</f>
        <v>10</v>
      </c>
      <c r="W11" s="10"/>
      <c r="X11" s="11">
        <f>IFERROR(__xludf.DUMMYFUNCTION("""COMPUTED_VALUE"""),0.0)</f>
        <v>0</v>
      </c>
      <c r="Y11" s="17"/>
      <c r="Z11" s="5">
        <f>IFERROR(__xludf.DUMMYFUNCTION("""COMPUTED_VALUE"""),0.0)</f>
        <v>0</v>
      </c>
      <c r="AA11" s="12"/>
      <c r="AB11" s="5"/>
      <c r="AC11" s="18"/>
      <c r="AD11" s="5"/>
      <c r="AE11" s="5"/>
      <c r="AF11" s="5"/>
      <c r="AG11" s="5"/>
      <c r="AH11" s="5"/>
      <c r="AI11" s="5"/>
      <c r="AJ11" s="5"/>
      <c r="AK11" s="5">
        <f>IFERROR(__xludf.DUMMYFUNCTION("""COMPUTED_VALUE"""),10.0)</f>
        <v>10</v>
      </c>
      <c r="AL11" s="5"/>
      <c r="AM11" s="5"/>
      <c r="AN11" s="5"/>
      <c r="AO11" s="5"/>
      <c r="AP11" s="5"/>
      <c r="AQ11" s="5"/>
      <c r="AR11" s="5"/>
      <c r="AS11" s="5"/>
      <c r="AT11" s="5"/>
      <c r="AU11" s="5" t="str">
        <f>IFERROR(__xludf.DUMMYFUNCTION("""COMPUTED_VALUE"""),"Fazi")</f>
        <v>Fazi</v>
      </c>
      <c r="AV11" s="5"/>
      <c r="AW11" s="5"/>
      <c r="AX11" s="5"/>
      <c r="AY11" s="5"/>
      <c r="AZ11" s="5"/>
      <c r="BA11" s="5" t="str">
        <f>IFERROR(__xludf.DUMMYFUNCTION("""COMPUTED_VALUE"""),"")</f>
        <v/>
      </c>
      <c r="BB11" s="5"/>
      <c r="BC11" s="5" t="str">
        <f>IFERROR(__xludf.DUMMYFUNCTION("""COMPUTED_VALUE"""),"Foxi")</f>
        <v>Foxi</v>
      </c>
      <c r="BD11" s="5" t="str">
        <f>IFERROR(__xludf.DUMMYFUNCTION("""COMPUTED_VALUE"""),"")</f>
        <v/>
      </c>
      <c r="BE11" s="5"/>
    </row>
    <row r="12">
      <c r="A12" s="5">
        <f>IFERROR(__xludf.DUMMYFUNCTION("""COMPUTED_VALUE"""),11.0)</f>
        <v>11</v>
      </c>
      <c r="B12" s="5">
        <f>IFERROR(__xludf.DUMMYFUNCTION("""COMPUTED_VALUE"""),10.0)</f>
        <v>10</v>
      </c>
      <c r="C12" s="5" t="str">
        <f>IFERROR(__xludf.DUMMYFUNCTION("""COMPUTED_VALUE"""),"Fazi")</f>
        <v>Fazi</v>
      </c>
      <c r="D12" s="5" t="str">
        <f>IFERROR(__xludf.DUMMYFUNCTION("""COMPUTED_VALUE"""),"The Triple 7 Hot")</f>
        <v>The Triple 7 Hot</v>
      </c>
      <c r="E12" s="5"/>
      <c r="F12" s="5" t="str">
        <f>IFERROR(__xludf.DUMMYFUNCTION("""COMPUTED_VALUE"""),"Hot777")</f>
        <v>Hot777</v>
      </c>
      <c r="G12" s="5" t="str">
        <f>IFERROR(__xludf.DUMMYFUNCTION("""COMPUTED_VALUE"""),"Retired")</f>
        <v>Retired</v>
      </c>
      <c r="H12" s="5"/>
      <c r="I12" s="5"/>
      <c r="J12" s="5"/>
      <c r="K12" s="5" t="str">
        <f>IFERROR(__xludf.DUMMYFUNCTION("""COMPUTED_VALUE"""),"Slot")</f>
        <v>Slot</v>
      </c>
      <c r="L12" s="5"/>
      <c r="M12" s="5"/>
      <c r="N12" s="5"/>
      <c r="O12" s="5"/>
      <c r="P12" s="12"/>
      <c r="Q12" s="13">
        <f>IFERROR(__xludf.DUMMYFUNCTION("""COMPUTED_VALUE"""),43831.0)</f>
        <v>43831</v>
      </c>
      <c r="R12" s="14"/>
      <c r="S12" s="13">
        <f>IFERROR(__xludf.DUMMYFUNCTION("""COMPUTED_VALUE"""),43831.0)</f>
        <v>43831</v>
      </c>
      <c r="T12" s="5"/>
      <c r="U12" s="16"/>
      <c r="V12" s="10" t="str">
        <f>IFERROR(__xludf.DUMMYFUNCTION("""COMPUTED_VALUE"""),"5")</f>
        <v>5</v>
      </c>
      <c r="W12" s="10"/>
      <c r="X12" s="11">
        <f>IFERROR(__xludf.DUMMYFUNCTION("""COMPUTED_VALUE"""),0.0)</f>
        <v>0</v>
      </c>
      <c r="Y12" s="17"/>
      <c r="Z12" s="5">
        <f>IFERROR(__xludf.DUMMYFUNCTION("""COMPUTED_VALUE"""),0.0)</f>
        <v>0</v>
      </c>
      <c r="AA12" s="12"/>
      <c r="AB12" s="5"/>
      <c r="AC12" s="5" t="str">
        <f>IFERROR(__xludf.DUMMYFUNCTION("""COMPUTED_VALUE"""),"Respin")</f>
        <v>Respin</v>
      </c>
      <c r="AD12" s="5"/>
      <c r="AE12" s="5"/>
      <c r="AF12" s="5"/>
      <c r="AG12" s="8">
        <f>IFERROR(__xludf.DUMMYFUNCTION("""COMPUTED_VALUE"""),46120.653715277775)</f>
        <v>46120.65372</v>
      </c>
      <c r="AH12" s="5" t="str">
        <f>IFERROR(__xludf.DUMMYFUNCTION("""COMPUTED_VALUE"""),"iva.cirkovic@fazi.rs")</f>
        <v>iva.cirkovic@fazi.rs</v>
      </c>
      <c r="AI12" s="5"/>
      <c r="AJ12" s="5"/>
      <c r="AK12" s="5">
        <f>IFERROR(__xludf.DUMMYFUNCTION("""COMPUTED_VALUE"""),5.0)</f>
        <v>5</v>
      </c>
      <c r="AL12" s="5"/>
      <c r="AM12" s="5"/>
      <c r="AN12" s="7" t="str">
        <f>IFERROR(__xludf.DUMMYFUNCTION("""COMPUTED_VALUE"""),"https://onlinegamespromo.fazi.rs/Home/IntegrationGameLaunch?moneyType=0&amp;gameName=Hot777&amp;platform=desktop&amp;languageCode=eng&amp;currency=EUR")</f>
        <v>https://onlinegamespromo.fazi.rs/Home/IntegrationGameLaunch?moneyType=0&amp;gameName=Hot777&amp;platform=desktop&amp;languageCode=eng&amp;currency=EUR</v>
      </c>
      <c r="AO12" s="5"/>
      <c r="AP12" s="5"/>
      <c r="AQ12" s="5"/>
      <c r="AR12" s="5"/>
      <c r="AS12" s="5"/>
      <c r="AT12" s="5"/>
      <c r="AU12" s="5" t="str">
        <f>IFERROR(__xludf.DUMMYFUNCTION("""COMPUTED_VALUE"""),"Fazi")</f>
        <v>Fazi</v>
      </c>
      <c r="AV12" s="5"/>
      <c r="AW12" s="5"/>
      <c r="AX12" s="5"/>
      <c r="AY12" s="5"/>
      <c r="AZ12" s="7" t="str">
        <f>IFERROR(__xludf.DUMMYFUNCTION("""COMPUTED_VALUE"""),"https://drive.google.com/drive/folders/1VWYsrqnjTUG7-oda2zHN8BriOazH8oro")</f>
        <v>https://drive.google.com/drive/folders/1VWYsrqnjTUG7-oda2zHN8BriOazH8oro</v>
      </c>
      <c r="BA12" s="5"/>
      <c r="BB12" s="5"/>
      <c r="BC12" s="5" t="str">
        <f>IFERROR(__xludf.DUMMYFUNCTION("""COMPUTED_VALUE"""),"Foxi")</f>
        <v>Foxi</v>
      </c>
      <c r="BD12" s="7" t="str">
        <f>IFERROR(__xludf.DUMMYFUNCTION("""COMPUTED_VALUE"""),"https://gameserver-store-client-area.orbionlimited.com/Home/IntegrationGameLaunch/client-area?moneyType=0&amp;gameName=Hot777&amp;platform=desktop&amp;languageCode=eng&amp;currency=EUR")</f>
        <v>https://gameserver-store-client-area.orbionlimited.com/Home/IntegrationGameLaunch/client-area?moneyType=0&amp;gameName=Hot777&amp;platform=desktop&amp;languageCode=eng&amp;currency=EUR</v>
      </c>
      <c r="BE12" s="5"/>
    </row>
    <row r="13">
      <c r="A13" s="5">
        <f>IFERROR(__xludf.DUMMYFUNCTION("""COMPUTED_VALUE"""),12.0)</f>
        <v>12</v>
      </c>
      <c r="B13" s="5">
        <f>IFERROR(__xludf.DUMMYFUNCTION("""COMPUTED_VALUE"""),11.0)</f>
        <v>11</v>
      </c>
      <c r="C13" s="5" t="str">
        <f>IFERROR(__xludf.DUMMYFUNCTION("""COMPUTED_VALUE"""),"Fazi")</f>
        <v>Fazi</v>
      </c>
      <c r="D13" s="5" t="str">
        <f>IFERROR(__xludf.DUMMYFUNCTION("""COMPUTED_VALUE"""),"Magic Cherry")</f>
        <v>Magic Cherry</v>
      </c>
      <c r="E13" s="5"/>
      <c r="F13" s="5" t="str">
        <f>IFERROR(__xludf.DUMMYFUNCTION("""COMPUTED_VALUE"""),"MagicFruits")</f>
        <v>MagicFruits</v>
      </c>
      <c r="G13" s="5" t="str">
        <f>IFERROR(__xludf.DUMMYFUNCTION("""COMPUTED_VALUE"""),"Retired")</f>
        <v>Retired</v>
      </c>
      <c r="H13" s="5"/>
      <c r="I13" s="5"/>
      <c r="J13" s="5"/>
      <c r="K13" s="5" t="str">
        <f>IFERROR(__xludf.DUMMYFUNCTION("""COMPUTED_VALUE"""),"Slot")</f>
        <v>Slot</v>
      </c>
      <c r="L13" s="5"/>
      <c r="M13" s="5"/>
      <c r="N13" s="5"/>
      <c r="O13" s="5"/>
      <c r="P13" s="12"/>
      <c r="Q13" s="13">
        <f>IFERROR(__xludf.DUMMYFUNCTION("""COMPUTED_VALUE"""),43831.0)</f>
        <v>43831</v>
      </c>
      <c r="R13" s="14"/>
      <c r="S13" s="13">
        <f>IFERROR(__xludf.DUMMYFUNCTION("""COMPUTED_VALUE"""),43831.0)</f>
        <v>43831</v>
      </c>
      <c r="T13" s="5"/>
      <c r="U13" s="16"/>
      <c r="V13" s="10" t="str">
        <f>IFERROR(__xludf.DUMMYFUNCTION("""COMPUTED_VALUE"""),"5")</f>
        <v>5</v>
      </c>
      <c r="W13" s="10"/>
      <c r="X13" s="11">
        <f>IFERROR(__xludf.DUMMYFUNCTION("""COMPUTED_VALUE"""),0.0)</f>
        <v>0</v>
      </c>
      <c r="Y13" s="17"/>
      <c r="Z13" s="5">
        <f>IFERROR(__xludf.DUMMYFUNCTION("""COMPUTED_VALUE"""),0.0)</f>
        <v>0</v>
      </c>
      <c r="AA13" s="12"/>
      <c r="AB13" s="5"/>
      <c r="AC13" s="18"/>
      <c r="AD13" s="5"/>
      <c r="AE13" s="5"/>
      <c r="AF13" s="5"/>
      <c r="AG13" s="5"/>
      <c r="AH13" s="5"/>
      <c r="AI13" s="5"/>
      <c r="AJ13" s="5"/>
      <c r="AK13" s="5">
        <f>IFERROR(__xludf.DUMMYFUNCTION("""COMPUTED_VALUE"""),5.0)</f>
        <v>5</v>
      </c>
      <c r="AL13" s="5"/>
      <c r="AM13" s="5"/>
      <c r="AN13" s="5"/>
      <c r="AO13" s="5"/>
      <c r="AP13" s="5"/>
      <c r="AQ13" s="5"/>
      <c r="AR13" s="5"/>
      <c r="AS13" s="5"/>
      <c r="AT13" s="5"/>
      <c r="AU13" s="5" t="str">
        <f>IFERROR(__xludf.DUMMYFUNCTION("""COMPUTED_VALUE"""),"Fazi")</f>
        <v>Fazi</v>
      </c>
      <c r="AV13" s="5"/>
      <c r="AW13" s="5"/>
      <c r="AX13" s="5"/>
      <c r="AY13" s="5"/>
      <c r="AZ13" s="5"/>
      <c r="BA13" s="5" t="str">
        <f>IFERROR(__xludf.DUMMYFUNCTION("""COMPUTED_VALUE"""),"")</f>
        <v/>
      </c>
      <c r="BB13" s="5"/>
      <c r="BC13" s="5" t="str">
        <f>IFERROR(__xludf.DUMMYFUNCTION("""COMPUTED_VALUE"""),"Foxi")</f>
        <v>Foxi</v>
      </c>
      <c r="BD13" s="5" t="str">
        <f>IFERROR(__xludf.DUMMYFUNCTION("""COMPUTED_VALUE"""),"")</f>
        <v/>
      </c>
      <c r="BE13" s="5"/>
    </row>
    <row r="14">
      <c r="A14" s="5">
        <f>IFERROR(__xludf.DUMMYFUNCTION("""COMPUTED_VALUE"""),13.0)</f>
        <v>13</v>
      </c>
      <c r="B14" s="5">
        <f>IFERROR(__xludf.DUMMYFUNCTION("""COMPUTED_VALUE"""),12.0)</f>
        <v>12</v>
      </c>
      <c r="C14" s="5" t="str">
        <f>IFERROR(__xludf.DUMMYFUNCTION("""COMPUTED_VALUE"""),"Fazi")</f>
        <v>Fazi</v>
      </c>
      <c r="D14" s="5" t="str">
        <f>IFERROR(__xludf.DUMMYFUNCTION("""COMPUTED_VALUE"""),"Spellbook")</f>
        <v>Spellbook</v>
      </c>
      <c r="E14" s="5" t="str">
        <f>IFERROR(__xludf.DUMMYFUNCTION("""COMPUTED_VALUE"""),"V2")</f>
        <v>V2</v>
      </c>
      <c r="F14" s="5" t="str">
        <f>IFERROR(__xludf.DUMMYFUNCTION("""COMPUTED_VALUE"""),"Spellbook")</f>
        <v>Spellbook</v>
      </c>
      <c r="G14" s="5" t="str">
        <f>IFERROR(__xludf.DUMMYFUNCTION("""COMPUTED_VALUE"""),"Live")</f>
        <v>Live</v>
      </c>
      <c r="H14" s="5"/>
      <c r="I14" s="5" t="str">
        <f>IFERROR(__xludf.DUMMYFUNCTION("""COMPUTED_VALUE"""),"V2")</f>
        <v>V2</v>
      </c>
      <c r="J14" s="5" t="str">
        <f>IFERROR(__xludf.DUMMYFUNCTION("""COMPUTED_VALUE"""),"Binary")</f>
        <v>Binary</v>
      </c>
      <c r="K14" s="5" t="str">
        <f>IFERROR(__xludf.DUMMYFUNCTION("""COMPUTED_VALUE"""),"Slot")</f>
        <v>Slot</v>
      </c>
      <c r="L14" s="5"/>
      <c r="M14" s="5"/>
      <c r="N14" s="5"/>
      <c r="O14" s="5"/>
      <c r="P14" s="12"/>
      <c r="Q14" s="13">
        <f>IFERROR(__xludf.DUMMYFUNCTION("""COMPUTED_VALUE"""),43831.0)</f>
        <v>43831</v>
      </c>
      <c r="R14" s="14"/>
      <c r="S14" s="13">
        <f>IFERROR(__xludf.DUMMYFUNCTION("""COMPUTED_VALUE"""),43831.0)</f>
        <v>43831</v>
      </c>
      <c r="T14" s="5"/>
      <c r="U14" s="5" t="str">
        <f>IFERROR(__xludf.DUMMYFUNCTION("""COMPUTED_VALUE"""),"5x3")</f>
        <v>5x3</v>
      </c>
      <c r="V14" s="10" t="str">
        <f>IFERROR(__xludf.DUMMYFUNCTION("""COMPUTED_VALUE"""),"10")</f>
        <v>10</v>
      </c>
      <c r="W14" s="10" t="str">
        <f>IFERROR(__xludf.DUMMYFUNCTION("""COMPUTED_VALUE"""),"1,3,5,7,10")</f>
        <v>1,3,5,7,10</v>
      </c>
      <c r="X14" s="5">
        <f>IFERROR(__xludf.DUMMYFUNCTION("""COMPUTED_VALUE"""),96.064)</f>
        <v>96.064</v>
      </c>
      <c r="Y14" s="5" t="str">
        <f>IFERROR(__xludf.DUMMYFUNCTION("""COMPUTED_VALUE"""),"High")</f>
        <v>High</v>
      </c>
      <c r="Z14" s="5">
        <f>IFERROR(__xludf.DUMMYFUNCTION("""COMPUTED_VALUE"""),31.47)</f>
        <v>31.47</v>
      </c>
      <c r="AA14" s="12">
        <f>IFERROR(__xludf.DUMMYFUNCTION("""COMPUTED_VALUE"""),5512.0)</f>
        <v>5512</v>
      </c>
      <c r="AB14" s="5">
        <f>IFERROR(__xludf.DUMMYFUNCTION("""COMPUTED_VALUE"""),212.0)</f>
        <v>212</v>
      </c>
      <c r="AC14" s="5" t="str">
        <f>IFERROR(__xludf.DUMMYFUNCTION("""COMPUTED_VALUE"""),"Book Of Game, Wild Symbol, Scatter")</f>
        <v>Book Of Game, Wild Symbol, Scatter</v>
      </c>
      <c r="AD14" s="5"/>
      <c r="AE14" s="5"/>
      <c r="AF14" s="5"/>
      <c r="AG14" s="5"/>
      <c r="AH14" s="5"/>
      <c r="AI14" s="5"/>
      <c r="AJ14" s="5"/>
      <c r="AK14" s="5">
        <f>IFERROR(__xludf.DUMMYFUNCTION("""COMPUTED_VALUE"""),10.0)</f>
        <v>10</v>
      </c>
      <c r="AL14" s="5"/>
      <c r="AM14" s="5"/>
      <c r="AN14" s="5"/>
      <c r="AO14" s="5"/>
      <c r="AP14" s="5"/>
      <c r="AQ14" s="5"/>
      <c r="AR14" s="5"/>
      <c r="AS14" s="5"/>
      <c r="AT14" s="5"/>
      <c r="AU14" s="5" t="str">
        <f>IFERROR(__xludf.DUMMYFUNCTION("""COMPUTED_VALUE"""),"Fazi")</f>
        <v>Fazi</v>
      </c>
      <c r="AV14" s="5"/>
      <c r="AW14" s="5"/>
      <c r="AX14" s="5"/>
      <c r="AY14" s="5"/>
      <c r="AZ14" s="5"/>
      <c r="BA14" s="5" t="str">
        <f>IFERROR(__xludf.DUMMYFUNCTION("""COMPUTED_VALUE"""),"")</f>
        <v/>
      </c>
      <c r="BB14" s="5"/>
      <c r="BC14" s="5" t="str">
        <f>IFERROR(__xludf.DUMMYFUNCTION("""COMPUTED_VALUE"""),"Foxi")</f>
        <v>Foxi</v>
      </c>
      <c r="BD14" s="5" t="str">
        <f>IFERROR(__xludf.DUMMYFUNCTION("""COMPUTED_VALUE"""),"")</f>
        <v/>
      </c>
      <c r="BE14" s="5"/>
    </row>
    <row r="15">
      <c r="A15" s="5">
        <f>IFERROR(__xludf.DUMMYFUNCTION("""COMPUTED_VALUE"""),14.0)</f>
        <v>14</v>
      </c>
      <c r="B15" s="5">
        <f>IFERROR(__xludf.DUMMYFUNCTION("""COMPUTED_VALUE"""),13.0)</f>
        <v>13</v>
      </c>
      <c r="C15" s="5" t="str">
        <f>IFERROR(__xludf.DUMMYFUNCTION("""COMPUTED_VALUE"""),"Fazi")</f>
        <v>Fazi</v>
      </c>
      <c r="D15" s="5" t="str">
        <f>IFERROR(__xludf.DUMMYFUNCTION("""COMPUTED_VALUE"""),"Wild West")</f>
        <v>Wild West</v>
      </c>
      <c r="E15" s="5" t="str">
        <f>IFERROR(__xludf.DUMMYFUNCTION("""COMPUTED_VALUE"""),"V2")</f>
        <v>V2</v>
      </c>
      <c r="F15" s="5" t="str">
        <f>IFERROR(__xludf.DUMMYFUNCTION("""COMPUTED_VALUE"""),"WildWest")</f>
        <v>WildWest</v>
      </c>
      <c r="G15" s="5" t="str">
        <f>IFERROR(__xludf.DUMMYFUNCTION("""COMPUTED_VALUE"""),"Live")</f>
        <v>Live</v>
      </c>
      <c r="H15" s="5"/>
      <c r="I15" s="5" t="str">
        <f>IFERROR(__xludf.DUMMYFUNCTION("""COMPUTED_VALUE"""),"V2")</f>
        <v>V2</v>
      </c>
      <c r="J15" s="5" t="str">
        <f>IFERROR(__xludf.DUMMYFUNCTION("""COMPUTED_VALUE"""),"Binary")</f>
        <v>Binary</v>
      </c>
      <c r="K15" s="5" t="str">
        <f>IFERROR(__xludf.DUMMYFUNCTION("""COMPUTED_VALUE"""),"Slot")</f>
        <v>Slot</v>
      </c>
      <c r="L15" s="5"/>
      <c r="M15" s="5"/>
      <c r="N15" s="5"/>
      <c r="O15" s="5"/>
      <c r="P15" s="12">
        <f>IFERROR(__xludf.DUMMYFUNCTION("""COMPUTED_VALUE"""),32.7)</f>
        <v>32.7</v>
      </c>
      <c r="Q15" s="13">
        <f>IFERROR(__xludf.DUMMYFUNCTION("""COMPUTED_VALUE"""),42979.0)</f>
        <v>42979</v>
      </c>
      <c r="R15" s="14"/>
      <c r="S15" s="13">
        <f>IFERROR(__xludf.DUMMYFUNCTION("""COMPUTED_VALUE"""),42979.0)</f>
        <v>42979</v>
      </c>
      <c r="T15" s="5" t="b">
        <f>IFERROR(__xludf.DUMMYFUNCTION("""COMPUTED_VALUE"""),TRUE)</f>
        <v>1</v>
      </c>
      <c r="U15" s="5" t="str">
        <f>IFERROR(__xludf.DUMMYFUNCTION("""COMPUTED_VALUE"""),"5x3")</f>
        <v>5x3</v>
      </c>
      <c r="V15" s="10" t="str">
        <f>IFERROR(__xludf.DUMMYFUNCTION("""COMPUTED_VALUE"""),"20")</f>
        <v>20</v>
      </c>
      <c r="W15" s="10" t="str">
        <f>IFERROR(__xludf.DUMMYFUNCTION("""COMPUTED_VALUE"""),"20")</f>
        <v>20</v>
      </c>
      <c r="X15" s="5">
        <f>IFERROR(__xludf.DUMMYFUNCTION("""COMPUTED_VALUE"""),95.625)</f>
        <v>95.625</v>
      </c>
      <c r="Y15" s="5" t="str">
        <f>IFERROR(__xludf.DUMMYFUNCTION("""COMPUTED_VALUE"""),"High")</f>
        <v>High</v>
      </c>
      <c r="Z15" s="5">
        <f>IFERROR(__xludf.DUMMYFUNCTION("""COMPUTED_VALUE"""),26.36)</f>
        <v>26.36</v>
      </c>
      <c r="AA15" s="12">
        <f>IFERROR(__xludf.DUMMYFUNCTION("""COMPUTED_VALUE"""),1005.0)</f>
        <v>1005</v>
      </c>
      <c r="AB15" s="5">
        <f>IFERROR(__xludf.DUMMYFUNCTION("""COMPUTED_VALUE"""),152.0)</f>
        <v>152</v>
      </c>
      <c r="AC15" s="5" t="str">
        <f>IFERROR(__xludf.DUMMYFUNCTION("""COMPUTED_VALUE"""),"Wild Symbol, Bonus Game with Sticky Wild")</f>
        <v>Wild Symbol, Bonus Game with Sticky Wild</v>
      </c>
      <c r="AD15" s="5" t="str">
        <f>IFERROR(__xludf.DUMMYFUNCTION("""COMPUTED_VALUE"""),"0.20/50")</f>
        <v>0.20/50</v>
      </c>
      <c r="AE15" s="5"/>
      <c r="AF15" s="5"/>
      <c r="AG15" s="5"/>
      <c r="AH15" s="5"/>
      <c r="AI15" s="5"/>
      <c r="AJ15" s="5"/>
      <c r="AK15" s="5">
        <f>IFERROR(__xludf.DUMMYFUNCTION("""COMPUTED_VALUE"""),20.0)</f>
        <v>20</v>
      </c>
      <c r="AL15" s="5" t="str">
        <f>IFERROR(__xludf.DUMMYFUNCTION("""COMPUTED_VALUE"""),"Yes")</f>
        <v>Yes</v>
      </c>
      <c r="AM15" s="5"/>
      <c r="AN15" s="7" t="str">
        <f>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AO15" s="5"/>
      <c r="AP15" s="5"/>
      <c r="AQ15" s="5" t="b">
        <f>IFERROR(__xludf.DUMMYFUNCTION("""COMPUTED_VALUE"""),TRUE)</f>
        <v>1</v>
      </c>
      <c r="AR15" s="5"/>
      <c r="AS15" s="5" t="str">
        <f>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AT15" s="5"/>
      <c r="AU15" s="5" t="str">
        <f>IFERROR(__xludf.DUMMYFUNCTION("""COMPUTED_VALUE"""),"Fazi")</f>
        <v>Fazi</v>
      </c>
      <c r="AV15" s="5"/>
      <c r="AW15" s="5"/>
      <c r="AX15" s="5"/>
      <c r="AY15" s="5"/>
      <c r="AZ15" s="5"/>
      <c r="BA15" s="5" t="str">
        <f>IFERROR(__xludf.DUMMYFUNCTION("""COMPUTED_VALUE"""),"")</f>
        <v/>
      </c>
      <c r="BB15" s="5"/>
      <c r="BC15" s="5" t="str">
        <f>IFERROR(__xludf.DUMMYFUNCTION("""COMPUTED_VALUE"""),"Foxi")</f>
        <v>Foxi</v>
      </c>
      <c r="BD15" s="7" t="str">
        <f>IFERROR(__xludf.DUMMYFUNCTION("""COMPUTED_VALUE"""),"https://gameserver-store-client-area.orbionlimited.com/Home/IntegrationGameLaunch/client-area?moneyType=0&amp;gameName=WildWest&amp;platform=desktop&amp;languageCode=eng&amp;currency=EUR")</f>
        <v>https://gameserver-store-client-area.orbionlimited.com/Home/IntegrationGameLaunch/client-area?moneyType=0&amp;gameName=WildWest&amp;platform=desktop&amp;languageCode=eng&amp;currency=EUR</v>
      </c>
      <c r="BE15" s="5" t="b">
        <f>IFERROR(__xludf.DUMMYFUNCTION("""COMPUTED_VALUE"""),TRUE)</f>
        <v>1</v>
      </c>
    </row>
    <row r="16">
      <c r="A16" s="5">
        <f>IFERROR(__xludf.DUMMYFUNCTION("""COMPUTED_VALUE"""),15.0)</f>
        <v>15</v>
      </c>
      <c r="B16" s="5">
        <f>IFERROR(__xludf.DUMMYFUNCTION("""COMPUTED_VALUE"""),14.0)</f>
        <v>14</v>
      </c>
      <c r="C16" s="5" t="str">
        <f>IFERROR(__xludf.DUMMYFUNCTION("""COMPUTED_VALUE"""),"Fazi")</f>
        <v>Fazi</v>
      </c>
      <c r="D16" s="5" t="str">
        <f>IFERROR(__xludf.DUMMYFUNCTION("""COMPUTED_VALUE"""),"Rolling Dices 81")</f>
        <v>Rolling Dices 81</v>
      </c>
      <c r="E16" s="5"/>
      <c r="F16" s="5" t="str">
        <f>IFERROR(__xludf.DUMMYFUNCTION("""COMPUTED_VALUE"""),"RollingDices81")</f>
        <v>RollingDices81</v>
      </c>
      <c r="G16" s="5" t="str">
        <f>IFERROR(__xludf.DUMMYFUNCTION("""COMPUTED_VALUE"""),"Live")</f>
        <v>Live</v>
      </c>
      <c r="H16" s="5"/>
      <c r="I16" s="5"/>
      <c r="J16" s="5"/>
      <c r="K16" s="5" t="str">
        <f>IFERROR(__xludf.DUMMYFUNCTION("""COMPUTED_VALUE"""),"Slot")</f>
        <v>Slot</v>
      </c>
      <c r="L16" s="5"/>
      <c r="M16" s="5"/>
      <c r="N16" s="5"/>
      <c r="O16" s="5"/>
      <c r="P16" s="12"/>
      <c r="Q16" s="13">
        <f>IFERROR(__xludf.DUMMYFUNCTION("""COMPUTED_VALUE"""),43831.0)</f>
        <v>43831</v>
      </c>
      <c r="R16" s="14"/>
      <c r="S16" s="13">
        <f>IFERROR(__xludf.DUMMYFUNCTION("""COMPUTED_VALUE"""),43831.0)</f>
        <v>43831</v>
      </c>
      <c r="T16" s="5"/>
      <c r="U16" s="16"/>
      <c r="V16" s="10" t="str">
        <f>IFERROR(__xludf.DUMMYFUNCTION("""COMPUTED_VALUE"""),"81")</f>
        <v>81</v>
      </c>
      <c r="W16" s="10"/>
      <c r="X16" s="11">
        <f>IFERROR(__xludf.DUMMYFUNCTION("""COMPUTED_VALUE"""),0.0)</f>
        <v>0</v>
      </c>
      <c r="Y16" s="17"/>
      <c r="Z16" s="5">
        <f>IFERROR(__xludf.DUMMYFUNCTION("""COMPUTED_VALUE"""),0.0)</f>
        <v>0</v>
      </c>
      <c r="AA16" s="12"/>
      <c r="AB16" s="5"/>
      <c r="AC16" s="18"/>
      <c r="AD16" s="5"/>
      <c r="AE16" s="5"/>
      <c r="AF16" s="5"/>
      <c r="AG16" s="5"/>
      <c r="AH16" s="5"/>
      <c r="AI16" s="5"/>
      <c r="AJ16" s="5"/>
      <c r="AK16" s="5">
        <f>IFERROR(__xludf.DUMMYFUNCTION("""COMPUTED_VALUE"""),81.0)</f>
        <v>81</v>
      </c>
      <c r="AL16" s="5"/>
      <c r="AM16" s="5"/>
      <c r="AN16" s="5"/>
      <c r="AO16" s="5"/>
      <c r="AP16" s="5"/>
      <c r="AQ16" s="5"/>
      <c r="AR16" s="5"/>
      <c r="AS16" s="5"/>
      <c r="AT16" s="5"/>
      <c r="AU16" s="5" t="str">
        <f>IFERROR(__xludf.DUMMYFUNCTION("""COMPUTED_VALUE"""),"Fazi")</f>
        <v>Fazi</v>
      </c>
      <c r="AV16" s="5"/>
      <c r="AW16" s="5"/>
      <c r="AX16" s="5"/>
      <c r="AY16" s="5"/>
      <c r="AZ16" s="5"/>
      <c r="BA16" s="5" t="str">
        <f>IFERROR(__xludf.DUMMYFUNCTION("""COMPUTED_VALUE"""),"")</f>
        <v/>
      </c>
      <c r="BB16" s="5"/>
      <c r="BC16" s="5" t="str">
        <f>IFERROR(__xludf.DUMMYFUNCTION("""COMPUTED_VALUE"""),"Foxi")</f>
        <v>Foxi</v>
      </c>
      <c r="BD16" s="5" t="str">
        <f>IFERROR(__xludf.DUMMYFUNCTION("""COMPUTED_VALUE"""),"")</f>
        <v/>
      </c>
      <c r="BE16" s="5"/>
    </row>
    <row r="17">
      <c r="A17" s="5">
        <f>IFERROR(__xludf.DUMMYFUNCTION("""COMPUTED_VALUE"""),16.0)</f>
        <v>16</v>
      </c>
      <c r="B17" s="5">
        <f>IFERROR(__xludf.DUMMYFUNCTION("""COMPUTED_VALUE"""),15.0)</f>
        <v>15</v>
      </c>
      <c r="C17" s="5" t="str">
        <f>IFERROR(__xludf.DUMMYFUNCTION("""COMPUTED_VALUE"""),"Fazi")</f>
        <v>Fazi</v>
      </c>
      <c r="D17" s="5" t="str">
        <f>IFERROR(__xludf.DUMMYFUNCTION("""COMPUTED_VALUE"""),"Pyramid")</f>
        <v>Pyramid</v>
      </c>
      <c r="E17" s="5" t="str">
        <f>IFERROR(__xludf.DUMMYFUNCTION("""COMPUTED_VALUE"""),"V2")</f>
        <v>V2</v>
      </c>
      <c r="F17" s="5" t="str">
        <f>IFERROR(__xludf.DUMMYFUNCTION("""COMPUTED_VALUE"""),"Pyramid")</f>
        <v>Pyramid</v>
      </c>
      <c r="G17" s="5" t="str">
        <f>IFERROR(__xludf.DUMMYFUNCTION("""COMPUTED_VALUE"""),"Live")</f>
        <v>Live</v>
      </c>
      <c r="H17" s="5"/>
      <c r="I17" s="5" t="str">
        <f>IFERROR(__xludf.DUMMYFUNCTION("""COMPUTED_VALUE"""),"V2")</f>
        <v>V2</v>
      </c>
      <c r="J17" s="5" t="str">
        <f>IFERROR(__xludf.DUMMYFUNCTION("""COMPUTED_VALUE"""),"Binary")</f>
        <v>Binary</v>
      </c>
      <c r="K17" s="5" t="str">
        <f>IFERROR(__xludf.DUMMYFUNCTION("""COMPUTED_VALUE"""),"Slot")</f>
        <v>Slot</v>
      </c>
      <c r="L17" s="5"/>
      <c r="M17" s="5"/>
      <c r="N17" s="5"/>
      <c r="O17" s="5"/>
      <c r="P17" s="12">
        <f>IFERROR(__xludf.DUMMYFUNCTION("""COMPUTED_VALUE"""),32.3)</f>
        <v>32.3</v>
      </c>
      <c r="Q17" s="13">
        <f>IFERROR(__xludf.DUMMYFUNCTION("""COMPUTED_VALUE"""),42979.0)</f>
        <v>42979</v>
      </c>
      <c r="R17" s="14"/>
      <c r="S17" s="13">
        <f>IFERROR(__xludf.DUMMYFUNCTION("""COMPUTED_VALUE"""),42979.0)</f>
        <v>42979</v>
      </c>
      <c r="T17" s="5" t="b">
        <f>IFERROR(__xludf.DUMMYFUNCTION("""COMPUTED_VALUE"""),TRUE)</f>
        <v>1</v>
      </c>
      <c r="U17" s="5" t="str">
        <f>IFERROR(__xludf.DUMMYFUNCTION("""COMPUTED_VALUE"""),"5x3")</f>
        <v>5x3</v>
      </c>
      <c r="V17" s="10" t="str">
        <f>IFERROR(__xludf.DUMMYFUNCTION("""COMPUTED_VALUE"""),"15")</f>
        <v>15</v>
      </c>
      <c r="W17" s="10" t="str">
        <f>IFERROR(__xludf.DUMMYFUNCTION("""COMPUTED_VALUE"""),"1,3,5,9,15")</f>
        <v>1,3,5,9,15</v>
      </c>
      <c r="X17" s="5">
        <f>IFERROR(__xludf.DUMMYFUNCTION("""COMPUTED_VALUE"""),96.142)</f>
        <v>96.142</v>
      </c>
      <c r="Y17" s="5" t="str">
        <f>IFERROR(__xludf.DUMMYFUNCTION("""COMPUTED_VALUE"""),"High")</f>
        <v>High</v>
      </c>
      <c r="Z17" s="5">
        <f>IFERROR(__xludf.DUMMYFUNCTION("""COMPUTED_VALUE"""),28.08)</f>
        <v>28.08</v>
      </c>
      <c r="AA17" s="12">
        <f>IFERROR(__xludf.DUMMYFUNCTION("""COMPUTED_VALUE"""),1530.0)</f>
        <v>1530</v>
      </c>
      <c r="AB17" s="5">
        <f>IFERROR(__xludf.DUMMYFUNCTION("""COMPUTED_VALUE"""),149.0)</f>
        <v>149</v>
      </c>
      <c r="AC17" s="5" t="str">
        <f>IFERROR(__xludf.DUMMYFUNCTION("""COMPUTED_VALUE"""),"Wild Symbol, Bonus Game with Free Spins, Respin, Sticky Wild")</f>
        <v>Wild Symbol, Bonus Game with Free Spins, Respin, Sticky Wild</v>
      </c>
      <c r="AD17" s="5" t="str">
        <f>IFERROR(__xludf.DUMMYFUNCTION("""COMPUTED_VALUE"""),"0.01/45")</f>
        <v>0.01/45</v>
      </c>
      <c r="AE17" s="5"/>
      <c r="AF17" s="5"/>
      <c r="AG17" s="5"/>
      <c r="AH17" s="5"/>
      <c r="AI17" s="5"/>
      <c r="AJ17" s="5"/>
      <c r="AK17" s="5">
        <f>IFERROR(__xludf.DUMMYFUNCTION("""COMPUTED_VALUE"""),15.0)</f>
        <v>15</v>
      </c>
      <c r="AL17" s="5" t="str">
        <f>IFERROR(__xludf.DUMMYFUNCTION("""COMPUTED_VALUE"""),"Yes")</f>
        <v>Yes</v>
      </c>
      <c r="AM17" s="5"/>
      <c r="AN17" s="7" t="str">
        <f>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AO17" s="5"/>
      <c r="AP17" s="5"/>
      <c r="AQ17" s="5" t="b">
        <f>IFERROR(__xludf.DUMMYFUNCTION("""COMPUTED_VALUE"""),TRUE)</f>
        <v>1</v>
      </c>
      <c r="AR17" s="5"/>
      <c r="AS17" s="5" t="str">
        <f>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AT17" s="5"/>
      <c r="AU17" s="5" t="str">
        <f>IFERROR(__xludf.DUMMYFUNCTION("""COMPUTED_VALUE"""),"Fazi")</f>
        <v>Fazi</v>
      </c>
      <c r="AV17" s="5"/>
      <c r="AW17" s="5"/>
      <c r="AX17" s="5"/>
      <c r="AY17" s="5"/>
      <c r="AZ17" s="5"/>
      <c r="BA17" s="5" t="str">
        <f>IFERROR(__xludf.DUMMYFUNCTION("""COMPUTED_VALUE"""),"")</f>
        <v/>
      </c>
      <c r="BB17" s="5"/>
      <c r="BC17" s="5" t="str">
        <f>IFERROR(__xludf.DUMMYFUNCTION("""COMPUTED_VALUE"""),"Foxi")</f>
        <v>Foxi</v>
      </c>
      <c r="BD17" s="7" t="str">
        <f>IFERROR(__xludf.DUMMYFUNCTION("""COMPUTED_VALUE"""),"https://gameserver-store-client-area.orbionlimited.com/Home/IntegrationGameLaunch/client-area?moneyType=0&amp;gameName=Pyramid&amp;platform=desktop&amp;languageCode=eng&amp;currency=EUR")</f>
        <v>https://gameserver-store-client-area.orbionlimited.com/Home/IntegrationGameLaunch/client-area?moneyType=0&amp;gameName=Pyramid&amp;platform=desktop&amp;languageCode=eng&amp;currency=EUR</v>
      </c>
      <c r="BE17" s="5" t="b">
        <f>IFERROR(__xludf.DUMMYFUNCTION("""COMPUTED_VALUE"""),TRUE)</f>
        <v>1</v>
      </c>
    </row>
    <row r="18">
      <c r="A18" s="5">
        <f>IFERROR(__xludf.DUMMYFUNCTION("""COMPUTED_VALUE"""),17.0)</f>
        <v>17</v>
      </c>
      <c r="B18" s="5">
        <f>IFERROR(__xludf.DUMMYFUNCTION("""COMPUTED_VALUE"""),16.0)</f>
        <v>16</v>
      </c>
      <c r="C18" s="5" t="str">
        <f>IFERROR(__xludf.DUMMYFUNCTION("""COMPUTED_VALUE"""),"Fazi")</f>
        <v>Fazi</v>
      </c>
      <c r="D18" s="5" t="str">
        <f>IFERROR(__xludf.DUMMYFUNCTION("""COMPUTED_VALUE"""),"Roulette")</f>
        <v>Roulette</v>
      </c>
      <c r="E18" s="5" t="str">
        <f>IFERROR(__xludf.DUMMYFUNCTION("""COMPUTED_VALUE"""),"V2")</f>
        <v>V2</v>
      </c>
      <c r="F18" s="5" t="str">
        <f>IFERROR(__xludf.DUMMYFUNCTION("""COMPUTED_VALUE"""),"Roulette")</f>
        <v>Roulette</v>
      </c>
      <c r="G18" s="5" t="str">
        <f>IFERROR(__xludf.DUMMYFUNCTION("""COMPUTED_VALUE"""),"Live")</f>
        <v>Live</v>
      </c>
      <c r="H18" s="5"/>
      <c r="I18" s="5" t="str">
        <f>IFERROR(__xludf.DUMMYFUNCTION("""COMPUTED_VALUE"""),"V2")</f>
        <v>V2</v>
      </c>
      <c r="J18" s="5" t="str">
        <f>IFERROR(__xludf.DUMMYFUNCTION("""COMPUTED_VALUE"""),"Binary")</f>
        <v>Binary</v>
      </c>
      <c r="K18" s="5" t="str">
        <f>IFERROR(__xludf.DUMMYFUNCTION("""COMPUTED_VALUE"""),"Roulette")</f>
        <v>Roulette</v>
      </c>
      <c r="L18" s="5"/>
      <c r="M18" s="5"/>
      <c r="N18" s="5"/>
      <c r="O18" s="5"/>
      <c r="P18" s="12">
        <f>IFERROR(__xludf.DUMMYFUNCTION("""COMPUTED_VALUE"""),46.8)</f>
        <v>46.8</v>
      </c>
      <c r="Q18" s="13">
        <f>IFERROR(__xludf.DUMMYFUNCTION("""COMPUTED_VALUE"""),42979.0)</f>
        <v>42979</v>
      </c>
      <c r="R18" s="14"/>
      <c r="S18" s="13">
        <f>IFERROR(__xludf.DUMMYFUNCTION("""COMPUTED_VALUE"""),42979.0)</f>
        <v>42979</v>
      </c>
      <c r="T18" s="5" t="b">
        <f>IFERROR(__xludf.DUMMYFUNCTION("""COMPUTED_VALUE"""),TRUE)</f>
        <v>1</v>
      </c>
      <c r="U18" s="5" t="str">
        <f>IFERROR(__xludf.DUMMYFUNCTION("""COMPUTED_VALUE"""),"/")</f>
        <v>/</v>
      </c>
      <c r="V18" s="10" t="str">
        <f>IFERROR(__xludf.DUMMYFUNCTION("""COMPUTED_VALUE"""),"/")</f>
        <v>/</v>
      </c>
      <c r="W18" s="10" t="str">
        <f>IFERROR(__xludf.DUMMYFUNCTION("""COMPUTED_VALUE"""),"/")</f>
        <v>/</v>
      </c>
      <c r="X18" s="5">
        <f>IFERROR(__xludf.DUMMYFUNCTION("""COMPUTED_VALUE"""),97.3)</f>
        <v>97.3</v>
      </c>
      <c r="Y18" s="5" t="str">
        <f>IFERROR(__xludf.DUMMYFUNCTION("""COMPUTED_VALUE"""),"Medium")</f>
        <v>Medium</v>
      </c>
      <c r="Z18" s="5">
        <f>IFERROR(__xludf.DUMMYFUNCTION("""COMPUTED_VALUE"""),-1.0)</f>
        <v>-1</v>
      </c>
      <c r="AA18" s="12">
        <f>IFERROR(__xludf.DUMMYFUNCTION("""COMPUTED_VALUE"""),36.0)</f>
        <v>36</v>
      </c>
      <c r="AB18" s="5" t="str">
        <f>IFERROR(__xludf.DUMMYFUNCTION("""COMPUTED_VALUE"""),"/")</f>
        <v>/</v>
      </c>
      <c r="AC18" s="5"/>
      <c r="AD18" s="5" t="str">
        <f>IFERROR(__xludf.DUMMYFUNCTION("""COMPUTED_VALUE"""),"0.1/6000")</f>
        <v>0.1/6000</v>
      </c>
      <c r="AE18" s="5"/>
      <c r="AF18" s="5"/>
      <c r="AG18" s="8">
        <f>IFERROR(__xludf.DUMMYFUNCTION("""COMPUTED_VALUE"""),46197.54079861111)</f>
        <v>46197.5408</v>
      </c>
      <c r="AH18" s="5" t="str">
        <f>IFERROR(__xludf.DUMMYFUNCTION("""COMPUTED_VALUE"""),"selena.mihajlovic@fazi.rs")</f>
        <v>selena.mihajlovic@fazi.rs</v>
      </c>
      <c r="AI18" s="5"/>
      <c r="AJ18" s="5"/>
      <c r="AK18" s="5">
        <f>IFERROR(__xludf.DUMMYFUNCTION("""COMPUTED_VALUE"""),0.0)</f>
        <v>0</v>
      </c>
      <c r="AL18" s="5" t="str">
        <f>IFERROR(__xludf.DUMMYFUNCTION("""COMPUTED_VALUE"""),"Yes")</f>
        <v>Yes</v>
      </c>
      <c r="AM18" s="5"/>
      <c r="AN18" s="7" t="str">
        <f>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AO18" s="5"/>
      <c r="AP18" s="5"/>
      <c r="AQ18" s="5" t="b">
        <f>IFERROR(__xludf.DUMMYFUNCTION("""COMPUTED_VALUE"""),TRUE)</f>
        <v>1</v>
      </c>
      <c r="AR18" s="5"/>
      <c r="AS18" s="5" t="str">
        <f>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AT18" s="5"/>
      <c r="AU18" s="5" t="str">
        <f>IFERROR(__xludf.DUMMYFUNCTION("""COMPUTED_VALUE"""),"Fazi")</f>
        <v>Fazi</v>
      </c>
      <c r="AV18" s="5"/>
      <c r="AW18" s="5"/>
      <c r="AX18" s="5"/>
      <c r="AY18" s="5"/>
      <c r="AZ18" s="5"/>
      <c r="BA18" s="5"/>
      <c r="BB18" s="5" t="b">
        <f>IFERROR(__xludf.DUMMYFUNCTION("""COMPUTED_VALUE"""),TRUE)</f>
        <v>1</v>
      </c>
      <c r="BC18" s="5" t="str">
        <f>IFERROR(__xludf.DUMMYFUNCTION("""COMPUTED_VALUE"""),"Foxi")</f>
        <v>Foxi</v>
      </c>
      <c r="BD18" s="7" t="str">
        <f>IFERROR(__xludf.DUMMYFUNCTION("""COMPUTED_VALUE"""),"https://gameserver-store-client-area.orbionlimited.com/Home/IntegrationGameLaunch/client-area?moneyType=0&amp;gameName=Roulette&amp;platform=desktop&amp;languageCode=eng&amp;currency=EUR")</f>
        <v>https://gameserver-store-client-area.orbionlimited.com/Home/IntegrationGameLaunch/client-area?moneyType=0&amp;gameName=Roulette&amp;platform=desktop&amp;languageCode=eng&amp;currency=EUR</v>
      </c>
      <c r="BE18" s="5" t="b">
        <f>IFERROR(__xludf.DUMMYFUNCTION("""COMPUTED_VALUE"""),FALSE)</f>
        <v>0</v>
      </c>
    </row>
    <row r="19">
      <c r="A19" s="5">
        <f>IFERROR(__xludf.DUMMYFUNCTION("""COMPUTED_VALUE"""),18.0)</f>
        <v>18</v>
      </c>
      <c r="B19" s="5">
        <f>IFERROR(__xludf.DUMMYFUNCTION("""COMPUTED_VALUE"""),17.0)</f>
        <v>17</v>
      </c>
      <c r="C19" s="5" t="str">
        <f>IFERROR(__xludf.DUMMYFUNCTION("""COMPUTED_VALUE"""),"Fazi")</f>
        <v>Fazi</v>
      </c>
      <c r="D19" s="5" t="str">
        <f>IFERROR(__xludf.DUMMYFUNCTION("""COMPUTED_VALUE"""),"Jolly Poker")</f>
        <v>Jolly Poker</v>
      </c>
      <c r="E19" s="5" t="str">
        <f>IFERROR(__xludf.DUMMYFUNCTION("""COMPUTED_VALUE"""),"V2")</f>
        <v>V2</v>
      </c>
      <c r="F19" s="5" t="str">
        <f>IFERROR(__xludf.DUMMYFUNCTION("""COMPUTED_VALUE"""),"JollyPoker")</f>
        <v>JollyPoker</v>
      </c>
      <c r="G19" s="5" t="str">
        <f>IFERROR(__xludf.DUMMYFUNCTION("""COMPUTED_VALUE"""),"Live")</f>
        <v>Live</v>
      </c>
      <c r="H19" s="5"/>
      <c r="I19" s="5" t="str">
        <f>IFERROR(__xludf.DUMMYFUNCTION("""COMPUTED_VALUE"""),"V2")</f>
        <v>V2</v>
      </c>
      <c r="J19" s="5" t="str">
        <f>IFERROR(__xludf.DUMMYFUNCTION("""COMPUTED_VALUE"""),"Binary")</f>
        <v>Binary</v>
      </c>
      <c r="K19" s="5" t="str">
        <f>IFERROR(__xludf.DUMMYFUNCTION("""COMPUTED_VALUE"""),"Poker")</f>
        <v>Poker</v>
      </c>
      <c r="L19" s="5"/>
      <c r="M19" s="5"/>
      <c r="N19" s="5"/>
      <c r="O19" s="5"/>
      <c r="P19" s="12">
        <f>IFERROR(__xludf.DUMMYFUNCTION("""COMPUTED_VALUE"""),14.8)</f>
        <v>14.8</v>
      </c>
      <c r="Q19" s="13">
        <f>IFERROR(__xludf.DUMMYFUNCTION("""COMPUTED_VALUE"""),43070.0)</f>
        <v>43070</v>
      </c>
      <c r="R19" s="14"/>
      <c r="S19" s="13">
        <f>IFERROR(__xludf.DUMMYFUNCTION("""COMPUTED_VALUE"""),43070.0)</f>
        <v>43070</v>
      </c>
      <c r="T19" s="5" t="b">
        <f>IFERROR(__xludf.DUMMYFUNCTION("""COMPUTED_VALUE"""),TRUE)</f>
        <v>1</v>
      </c>
      <c r="U19" s="5" t="str">
        <f>IFERROR(__xludf.DUMMYFUNCTION("""COMPUTED_VALUE"""),"/")</f>
        <v>/</v>
      </c>
      <c r="V19" s="10" t="str">
        <f>IFERROR(__xludf.DUMMYFUNCTION("""COMPUTED_VALUE"""),"/")</f>
        <v>/</v>
      </c>
      <c r="W19" s="10"/>
      <c r="X19" s="5">
        <f>IFERROR(__xludf.DUMMYFUNCTION("""COMPUTED_VALUE"""),98.398)</f>
        <v>98.398</v>
      </c>
      <c r="Y19" s="5" t="str">
        <f>IFERROR(__xludf.DUMMYFUNCTION("""COMPUTED_VALUE"""),"Low")</f>
        <v>Low</v>
      </c>
      <c r="Z19" s="5"/>
      <c r="AA19" s="12">
        <f>IFERROR(__xludf.DUMMYFUNCTION("""COMPUTED_VALUE"""),1000.0)</f>
        <v>1000</v>
      </c>
      <c r="AB19" s="5" t="str">
        <f>IFERROR(__xludf.DUMMYFUNCTION("""COMPUTED_VALUE"""),"/")</f>
        <v>/</v>
      </c>
      <c r="AC19" s="5" t="str">
        <f>IFERROR(__xludf.DUMMYFUNCTION("""COMPUTED_VALUE"""),"Poker machine")</f>
        <v>Poker machine</v>
      </c>
      <c r="AD19" s="5" t="str">
        <f>IFERROR(__xludf.DUMMYFUNCTION("""COMPUTED_VALUE"""),"0.20/10")</f>
        <v>0.20/10</v>
      </c>
      <c r="AE19" s="5"/>
      <c r="AF19" s="5"/>
      <c r="AG19" s="5"/>
      <c r="AH19" s="5"/>
      <c r="AI19" s="5"/>
      <c r="AJ19" s="5"/>
      <c r="AK19" s="5">
        <f>IFERROR(__xludf.DUMMYFUNCTION("""COMPUTED_VALUE"""),0.0)</f>
        <v>0</v>
      </c>
      <c r="AL19" s="5" t="str">
        <f>IFERROR(__xludf.DUMMYFUNCTION("""COMPUTED_VALUE"""),"Yes")</f>
        <v>Yes</v>
      </c>
      <c r="AM19" s="5"/>
      <c r="AN19" s="7" t="str">
        <f>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AO19" s="5"/>
      <c r="AP19" s="5"/>
      <c r="AQ19" s="5" t="b">
        <f>IFERROR(__xludf.DUMMYFUNCTION("""COMPUTED_VALUE"""),TRUE)</f>
        <v>1</v>
      </c>
      <c r="AR19" s="5"/>
      <c r="AS19" s="5" t="str">
        <f>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AT19" s="5"/>
      <c r="AU19" s="5" t="str">
        <f>IFERROR(__xludf.DUMMYFUNCTION("""COMPUTED_VALUE"""),"Fazi")</f>
        <v>Fazi</v>
      </c>
      <c r="AV19" s="5"/>
      <c r="AW19" s="5"/>
      <c r="AX19" s="5"/>
      <c r="AY19" s="5"/>
      <c r="AZ19" s="5"/>
      <c r="BA19" s="5" t="str">
        <f>IFERROR(__xludf.DUMMYFUNCTION("""COMPUTED_VALUE"""),"")</f>
        <v/>
      </c>
      <c r="BB19" s="5"/>
      <c r="BC19" s="5" t="str">
        <f>IFERROR(__xludf.DUMMYFUNCTION("""COMPUTED_VALUE"""),"Foxi")</f>
        <v>Foxi</v>
      </c>
      <c r="BD19" s="7" t="str">
        <f>IFERROR(__xludf.DUMMYFUNCTION("""COMPUTED_VALUE"""),"https://gameserver-store-client-area.orbionlimited.com/Home/IntegrationGameLaunch/client-area?moneyType=0&amp;gameName=JollyPoker&amp;platform=desktop&amp;languageCode=eng&amp;currency=EUR")</f>
        <v>https://gameserver-store-client-area.orbionlimited.com/Home/IntegrationGameLaunch/client-area?moneyType=0&amp;gameName=JollyPoker&amp;platform=desktop&amp;languageCode=eng&amp;currency=EUR</v>
      </c>
      <c r="BE19" s="5" t="b">
        <f>IFERROR(__xludf.DUMMYFUNCTION("""COMPUTED_VALUE"""),TRUE)</f>
        <v>1</v>
      </c>
    </row>
    <row r="20">
      <c r="A20" s="5">
        <f>IFERROR(__xludf.DUMMYFUNCTION("""COMPUTED_VALUE"""),19.0)</f>
        <v>19</v>
      </c>
      <c r="B20" s="5">
        <f>IFERROR(__xludf.DUMMYFUNCTION("""COMPUTED_VALUE"""),18.0)</f>
        <v>18</v>
      </c>
      <c r="C20" s="5" t="str">
        <f>IFERROR(__xludf.DUMMYFUNCTION("""COMPUTED_VALUE"""),"Fazi")</f>
        <v>Fazi</v>
      </c>
      <c r="D20" s="5" t="str">
        <f>IFERROR(__xludf.DUMMYFUNCTION("""COMPUTED_VALUE"""),"Alpinist")</f>
        <v>Alpinist</v>
      </c>
      <c r="E20" s="5" t="str">
        <f>IFERROR(__xludf.DUMMYFUNCTION("""COMPUTED_VALUE"""),"V2")</f>
        <v>V2</v>
      </c>
      <c r="F20" s="5" t="str">
        <f>IFERROR(__xludf.DUMMYFUNCTION("""COMPUTED_VALUE"""),"Alpinist")</f>
        <v>Alpinist</v>
      </c>
      <c r="G20" s="5" t="str">
        <f>IFERROR(__xludf.DUMMYFUNCTION("""COMPUTED_VALUE"""),"Retired")</f>
        <v>Retired</v>
      </c>
      <c r="H20" s="5"/>
      <c r="I20" s="5" t="str">
        <f>IFERROR(__xludf.DUMMYFUNCTION("""COMPUTED_VALUE"""),"V2")</f>
        <v>V2</v>
      </c>
      <c r="J20" s="5" t="str">
        <f>IFERROR(__xludf.DUMMYFUNCTION("""COMPUTED_VALUE"""),"Binary")</f>
        <v>Binary</v>
      </c>
      <c r="K20" s="5" t="str">
        <f>IFERROR(__xludf.DUMMYFUNCTION("""COMPUTED_VALUE"""),"Slot")</f>
        <v>Slot</v>
      </c>
      <c r="L20" s="5"/>
      <c r="M20" s="5"/>
      <c r="N20" s="5"/>
      <c r="O20" s="5"/>
      <c r="P20" s="12"/>
      <c r="Q20" s="13">
        <f>IFERROR(__xludf.DUMMYFUNCTION("""COMPUTED_VALUE"""),43831.0)</f>
        <v>43831</v>
      </c>
      <c r="R20" s="14"/>
      <c r="S20" s="13">
        <f>IFERROR(__xludf.DUMMYFUNCTION("""COMPUTED_VALUE"""),43831.0)</f>
        <v>43831</v>
      </c>
      <c r="T20" s="5"/>
      <c r="U20" s="16"/>
      <c r="V20" s="10" t="str">
        <f>IFERROR(__xludf.DUMMYFUNCTION("""COMPUTED_VALUE"""),"15")</f>
        <v>15</v>
      </c>
      <c r="W20" s="10"/>
      <c r="X20" s="11">
        <f>IFERROR(__xludf.DUMMYFUNCTION("""COMPUTED_VALUE"""),0.0)</f>
        <v>0</v>
      </c>
      <c r="Y20" s="17"/>
      <c r="Z20" s="5"/>
      <c r="AA20" s="12"/>
      <c r="AB20" s="5"/>
      <c r="AC20" s="18"/>
      <c r="AD20" s="5"/>
      <c r="AE20" s="5"/>
      <c r="AF20" s="5"/>
      <c r="AG20" s="8">
        <f>IFERROR(__xludf.DUMMYFUNCTION("""COMPUTED_VALUE"""),45960.44353009259)</f>
        <v>45960.44353</v>
      </c>
      <c r="AH20" s="5" t="str">
        <f>IFERROR(__xludf.DUMMYFUNCTION("""COMPUTED_VALUE"""),"nikola.antic@fazi.rs")</f>
        <v>nikola.antic@fazi.rs</v>
      </c>
      <c r="AI20" s="5"/>
      <c r="AJ20" s="5"/>
      <c r="AK20" s="5">
        <f>IFERROR(__xludf.DUMMYFUNCTION("""COMPUTED_VALUE"""),15.0)</f>
        <v>15</v>
      </c>
      <c r="AL20" s="5"/>
      <c r="AM20" s="5"/>
      <c r="AN20" s="5"/>
      <c r="AO20" s="5"/>
      <c r="AP20" s="5"/>
      <c r="AQ20" s="5"/>
      <c r="AR20" s="5"/>
      <c r="AS20" s="5"/>
      <c r="AT20" s="5"/>
      <c r="AU20" s="5" t="str">
        <f>IFERROR(__xludf.DUMMYFUNCTION("""COMPUTED_VALUE"""),"Fazi")</f>
        <v>Fazi</v>
      </c>
      <c r="AV20" s="5"/>
      <c r="AW20" s="5"/>
      <c r="AX20" s="5"/>
      <c r="AY20" s="5"/>
      <c r="AZ20" s="5"/>
      <c r="BA20" s="5" t="str">
        <f>IFERROR(__xludf.DUMMYFUNCTION("""COMPUTED_VALUE"""),"")</f>
        <v/>
      </c>
      <c r="BB20" s="5"/>
      <c r="BC20" s="5" t="str">
        <f>IFERROR(__xludf.DUMMYFUNCTION("""COMPUTED_VALUE"""),"Foxi")</f>
        <v>Foxi</v>
      </c>
      <c r="BD20" s="5" t="str">
        <f>IFERROR(__xludf.DUMMYFUNCTION("""COMPUTED_VALUE"""),"")</f>
        <v/>
      </c>
      <c r="BE20" s="5"/>
    </row>
    <row r="21">
      <c r="A21" s="5">
        <f>IFERROR(__xludf.DUMMYFUNCTION("""COMPUTED_VALUE"""),20.0)</f>
        <v>20</v>
      </c>
      <c r="B21" s="5">
        <f>IFERROR(__xludf.DUMMYFUNCTION("""COMPUTED_VALUE"""),19.0)</f>
        <v>19</v>
      </c>
      <c r="C21" s="5" t="str">
        <f>IFERROR(__xludf.DUMMYFUNCTION("""COMPUTED_VALUE"""),"Fazi")</f>
        <v>Fazi</v>
      </c>
      <c r="D21" s="5" t="str">
        <f>IFERROR(__xludf.DUMMYFUNCTION("""COMPUTED_VALUE"""),"Diamonds")</f>
        <v>Diamonds</v>
      </c>
      <c r="E21" s="5" t="str">
        <f>IFERROR(__xludf.DUMMYFUNCTION("""COMPUTED_VALUE"""),"V2")</f>
        <v>V2</v>
      </c>
      <c r="F21" s="5" t="str">
        <f>IFERROR(__xludf.DUMMYFUNCTION("""COMPUTED_VALUE"""),"Diamonds")</f>
        <v>Diamonds</v>
      </c>
      <c r="G21" s="5" t="str">
        <f>IFERROR(__xludf.DUMMYFUNCTION("""COMPUTED_VALUE"""),"Retired")</f>
        <v>Retired</v>
      </c>
      <c r="H21" s="5"/>
      <c r="I21" s="5" t="str">
        <f>IFERROR(__xludf.DUMMYFUNCTION("""COMPUTED_VALUE"""),"V2")</f>
        <v>V2</v>
      </c>
      <c r="J21" s="5" t="str">
        <f>IFERROR(__xludf.DUMMYFUNCTION("""COMPUTED_VALUE"""),"Binary")</f>
        <v>Binary</v>
      </c>
      <c r="K21" s="5" t="str">
        <f>IFERROR(__xludf.DUMMYFUNCTION("""COMPUTED_VALUE"""),"Slot")</f>
        <v>Slot</v>
      </c>
      <c r="L21" s="5"/>
      <c r="M21" s="5"/>
      <c r="N21" s="5"/>
      <c r="O21" s="5"/>
      <c r="P21" s="12"/>
      <c r="Q21" s="13">
        <f>IFERROR(__xludf.DUMMYFUNCTION("""COMPUTED_VALUE"""),43831.0)</f>
        <v>43831</v>
      </c>
      <c r="R21" s="14"/>
      <c r="S21" s="13">
        <f>IFERROR(__xludf.DUMMYFUNCTION("""COMPUTED_VALUE"""),43831.0)</f>
        <v>43831</v>
      </c>
      <c r="T21" s="5"/>
      <c r="U21" s="5" t="str">
        <f>IFERROR(__xludf.DUMMYFUNCTION("""COMPUTED_VALUE"""),"5x3")</f>
        <v>5x3</v>
      </c>
      <c r="V21" s="10" t="str">
        <f>IFERROR(__xludf.DUMMYFUNCTION("""COMPUTED_VALUE"""),"10")</f>
        <v>10</v>
      </c>
      <c r="W21" s="10" t="str">
        <f>IFERROR(__xludf.DUMMYFUNCTION("""COMPUTED_VALUE"""),"1,3,5,7,10")</f>
        <v>1,3,5,7,10</v>
      </c>
      <c r="X21" s="5">
        <f>IFERROR(__xludf.DUMMYFUNCTION("""COMPUTED_VALUE"""),95.421)</f>
        <v>95.421</v>
      </c>
      <c r="Y21" s="5" t="str">
        <f>IFERROR(__xludf.DUMMYFUNCTION("""COMPUTED_VALUE"""),"Medium")</f>
        <v>Medium</v>
      </c>
      <c r="Z21" s="5">
        <f>IFERROR(__xludf.DUMMYFUNCTION("""COMPUTED_VALUE"""),15.82)</f>
        <v>15.82</v>
      </c>
      <c r="AA21" s="12">
        <f>IFERROR(__xludf.DUMMYFUNCTION("""COMPUTED_VALUE"""),5000.0)</f>
        <v>5000</v>
      </c>
      <c r="AB21" s="5" t="str">
        <f>IFERROR(__xludf.DUMMYFUNCTION("""COMPUTED_VALUE"""),"/")</f>
        <v>/</v>
      </c>
      <c r="AC21" s="5" t="str">
        <f>IFERROR(__xludf.DUMMYFUNCTION("""COMPUTED_VALUE"""),"Adjacent pays, Scatter")</f>
        <v>Adjacent pays, Scatter</v>
      </c>
      <c r="AD21" s="5"/>
      <c r="AE21" s="5"/>
      <c r="AF21" s="5"/>
      <c r="AG21" s="8">
        <f>IFERROR(__xludf.DUMMYFUNCTION("""COMPUTED_VALUE"""),45699.592627314814)</f>
        <v>45699.59263</v>
      </c>
      <c r="AH21" s="5" t="str">
        <f>IFERROR(__xludf.DUMMYFUNCTION("""COMPUTED_VALUE"""),"nikola.antic@fazi.rs")</f>
        <v>nikola.antic@fazi.rs</v>
      </c>
      <c r="AI21" s="5"/>
      <c r="AJ21" s="5"/>
      <c r="AK21" s="5">
        <f>IFERROR(__xludf.DUMMYFUNCTION("""COMPUTED_VALUE"""),10.0)</f>
        <v>10</v>
      </c>
      <c r="AL21" s="5"/>
      <c r="AM21" s="5"/>
      <c r="AN21" s="5"/>
      <c r="AO21" s="5"/>
      <c r="AP21" s="5"/>
      <c r="AQ21" s="5"/>
      <c r="AR21" s="5"/>
      <c r="AS21" s="5"/>
      <c r="AT21" s="5"/>
      <c r="AU21" s="5" t="str">
        <f>IFERROR(__xludf.DUMMYFUNCTION("""COMPUTED_VALUE"""),"Fazi")</f>
        <v>Fazi</v>
      </c>
      <c r="AV21" s="5"/>
      <c r="AW21" s="5"/>
      <c r="AX21" s="5"/>
      <c r="AY21" s="5"/>
      <c r="AZ21" s="5"/>
      <c r="BA21" s="5" t="str">
        <f>IFERROR(__xludf.DUMMYFUNCTION("""COMPUTED_VALUE"""),"")</f>
        <v/>
      </c>
      <c r="BB21" s="5"/>
      <c r="BC21" s="5" t="str">
        <f>IFERROR(__xludf.DUMMYFUNCTION("""COMPUTED_VALUE"""),"Foxi")</f>
        <v>Foxi</v>
      </c>
      <c r="BD21" s="5" t="str">
        <f>IFERROR(__xludf.DUMMYFUNCTION("""COMPUTED_VALUE"""),"")</f>
        <v/>
      </c>
      <c r="BE21" s="5"/>
    </row>
    <row r="22">
      <c r="A22" s="5">
        <f>IFERROR(__xludf.DUMMYFUNCTION("""COMPUTED_VALUE"""),21.0)</f>
        <v>21</v>
      </c>
      <c r="B22" s="5">
        <f>IFERROR(__xludf.DUMMYFUNCTION("""COMPUTED_VALUE"""),20.0)</f>
        <v>20</v>
      </c>
      <c r="C22" s="5" t="str">
        <f>IFERROR(__xludf.DUMMYFUNCTION("""COMPUTED_VALUE"""),"Fazi")</f>
        <v>Fazi</v>
      </c>
      <c r="D22" s="5" t="str">
        <f>IFERROR(__xludf.DUMMYFUNCTION("""COMPUTED_VALUE"""),"Juicy Hot")</f>
        <v>Juicy Hot</v>
      </c>
      <c r="E22" s="5" t="str">
        <f>IFERROR(__xludf.DUMMYFUNCTION("""COMPUTED_VALUE"""),"V2")</f>
        <v>V2</v>
      </c>
      <c r="F22" s="5" t="str">
        <f>IFERROR(__xludf.DUMMYFUNCTION("""COMPUTED_VALUE"""),"JuicyHot")</f>
        <v>JuicyHot</v>
      </c>
      <c r="G22" s="5" t="str">
        <f>IFERROR(__xludf.DUMMYFUNCTION("""COMPUTED_VALUE"""),"Live")</f>
        <v>Live</v>
      </c>
      <c r="H22" s="5"/>
      <c r="I22" s="5" t="str">
        <f>IFERROR(__xludf.DUMMYFUNCTION("""COMPUTED_VALUE"""),"V2")</f>
        <v>V2</v>
      </c>
      <c r="J22" s="5" t="str">
        <f>IFERROR(__xludf.DUMMYFUNCTION("""COMPUTED_VALUE"""),"Binary")</f>
        <v>Binary</v>
      </c>
      <c r="K22" s="5" t="str">
        <f>IFERROR(__xludf.DUMMYFUNCTION("""COMPUTED_VALUE"""),"Slot")</f>
        <v>Slot</v>
      </c>
      <c r="L22" s="5"/>
      <c r="M22" s="5"/>
      <c r="N22" s="5"/>
      <c r="O22" s="5"/>
      <c r="P22" s="12">
        <f>IFERROR(__xludf.DUMMYFUNCTION("""COMPUTED_VALUE"""),20.7)</f>
        <v>20.7</v>
      </c>
      <c r="Q22" s="13">
        <f>IFERROR(__xludf.DUMMYFUNCTION("""COMPUTED_VALUE"""),42887.0)</f>
        <v>42887</v>
      </c>
      <c r="R22" s="14"/>
      <c r="S22" s="13">
        <f>IFERROR(__xludf.DUMMYFUNCTION("""COMPUTED_VALUE"""),42887.0)</f>
        <v>42887</v>
      </c>
      <c r="T22" s="5"/>
      <c r="U22" s="5" t="str">
        <f>IFERROR(__xludf.DUMMYFUNCTION("""COMPUTED_VALUE"""),"5x3")</f>
        <v>5x3</v>
      </c>
      <c r="V22" s="10" t="str">
        <f>IFERROR(__xludf.DUMMYFUNCTION("""COMPUTED_VALUE"""),"20")</f>
        <v>20</v>
      </c>
      <c r="W22" s="10" t="str">
        <f>IFERROR(__xludf.DUMMYFUNCTION("""COMPUTED_VALUE"""),"1,3,5,7,9,10,20")</f>
        <v>1,3,5,7,9,10,20</v>
      </c>
      <c r="X22" s="5">
        <f>IFERROR(__xludf.DUMMYFUNCTION("""COMPUTED_VALUE"""),93.694)</f>
        <v>93.694</v>
      </c>
      <c r="Y22" s="5" t="str">
        <f>IFERROR(__xludf.DUMMYFUNCTION("""COMPUTED_VALUE"""),"Low")</f>
        <v>Low</v>
      </c>
      <c r="Z22" s="5">
        <f>IFERROR(__xludf.DUMMYFUNCTION("""COMPUTED_VALUE"""),17.21)</f>
        <v>17.21</v>
      </c>
      <c r="AA22" s="12">
        <f>IFERROR(__xludf.DUMMYFUNCTION("""COMPUTED_VALUE"""),252.5)</f>
        <v>252.5</v>
      </c>
      <c r="AB22" s="5" t="str">
        <f>IFERROR(__xludf.DUMMYFUNCTION("""COMPUTED_VALUE"""),"/")</f>
        <v>/</v>
      </c>
      <c r="AC22" s="5" t="str">
        <f>IFERROR(__xludf.DUMMYFUNCTION("""COMPUTED_VALUE"""),"Scatter")</f>
        <v>Scatter</v>
      </c>
      <c r="AD22" s="5" t="str">
        <f>IFERROR(__xludf.DUMMYFUNCTION("""COMPUTED_VALUE"""),"0.01/50")</f>
        <v>0.01/50</v>
      </c>
      <c r="AE22" s="5"/>
      <c r="AF22" s="5"/>
      <c r="AG22" s="8">
        <f>IFERROR(__xludf.DUMMYFUNCTION("""COMPUTED_VALUE"""),46055.50533564815)</f>
        <v>46055.50534</v>
      </c>
      <c r="AH22" s="5" t="str">
        <f>IFERROR(__xludf.DUMMYFUNCTION("""COMPUTED_VALUE"""),"djordje.jankovic@fazi.rs")</f>
        <v>djordje.jankovic@fazi.rs</v>
      </c>
      <c r="AI22" s="5"/>
      <c r="AJ22" s="5"/>
      <c r="AK22" s="5">
        <f>IFERROR(__xludf.DUMMYFUNCTION("""COMPUTED_VALUE"""),20.0)</f>
        <v>20</v>
      </c>
      <c r="AL22" s="5" t="str">
        <f>IFERROR(__xludf.DUMMYFUNCTION("""COMPUTED_VALUE"""),"Yes")</f>
        <v>Yes</v>
      </c>
      <c r="AM22" s="5"/>
      <c r="AN22" s="7" t="str">
        <f>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AO22" s="5"/>
      <c r="AP22" s="5"/>
      <c r="AQ22" s="5" t="b">
        <f>IFERROR(__xludf.DUMMYFUNCTION("""COMPUTED_VALUE"""),TRUE)</f>
        <v>1</v>
      </c>
      <c r="AR22" s="5"/>
      <c r="AS22" s="5" t="str">
        <f>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AT22" s="5"/>
      <c r="AU22" s="5" t="str">
        <f>IFERROR(__xludf.DUMMYFUNCTION("""COMPUTED_VALUE"""),"Fazi")</f>
        <v>Fazi</v>
      </c>
      <c r="AV22" s="5"/>
      <c r="AW22" s="5"/>
      <c r="AX22" s="5"/>
      <c r="AY22" s="5"/>
      <c r="AZ22" s="5"/>
      <c r="BA22" s="5" t="str">
        <f>IFERROR(__xludf.DUMMYFUNCTION("""COMPUTED_VALUE"""),"")</f>
        <v/>
      </c>
      <c r="BB22" s="5"/>
      <c r="BC22" s="5" t="str">
        <f>IFERROR(__xludf.DUMMYFUNCTION("""COMPUTED_VALUE"""),"Foxi")</f>
        <v>Foxi</v>
      </c>
      <c r="BD22" s="7" t="str">
        <f>IFERROR(__xludf.DUMMYFUNCTION("""COMPUTED_VALUE"""),"https://gameserver-store-client-area.orbionlimited.com/Home/IntegrationGameLaunch/client-area?moneyType=0&amp;gameName=JuicyHot&amp;platform=desktop&amp;languageCode=eng&amp;currency=EUR")</f>
        <v>https://gameserver-store-client-area.orbionlimited.com/Home/IntegrationGameLaunch/client-area?moneyType=0&amp;gameName=JuicyHot&amp;platform=desktop&amp;languageCode=eng&amp;currency=EUR</v>
      </c>
      <c r="BE22" s="5" t="b">
        <f>IFERROR(__xludf.DUMMYFUNCTION("""COMPUTED_VALUE"""),TRUE)</f>
        <v>1</v>
      </c>
    </row>
    <row r="23">
      <c r="A23" s="5">
        <f>IFERROR(__xludf.DUMMYFUNCTION("""COMPUTED_VALUE"""),22.0)</f>
        <v>22</v>
      </c>
      <c r="B23" s="5">
        <f>IFERROR(__xludf.DUMMYFUNCTION("""COMPUTED_VALUE"""),21.0)</f>
        <v>21</v>
      </c>
      <c r="C23" s="5" t="str">
        <f>IFERROR(__xludf.DUMMYFUNCTION("""COMPUTED_VALUE"""),"Fazi")</f>
        <v>Fazi</v>
      </c>
      <c r="D23" s="5" t="str">
        <f>IFERROR(__xludf.DUMMYFUNCTION("""COMPUTED_VALUE"""),"Hot Stars")</f>
        <v>Hot Stars</v>
      </c>
      <c r="E23" s="5" t="str">
        <f>IFERROR(__xludf.DUMMYFUNCTION("""COMPUTED_VALUE"""),"V2")</f>
        <v>V2</v>
      </c>
      <c r="F23" s="5" t="str">
        <f>IFERROR(__xludf.DUMMYFUNCTION("""COMPUTED_VALUE"""),"HotStars")</f>
        <v>HotStars</v>
      </c>
      <c r="G23" s="5" t="str">
        <f>IFERROR(__xludf.DUMMYFUNCTION("""COMPUTED_VALUE"""),"Live")</f>
        <v>Live</v>
      </c>
      <c r="H23" s="5"/>
      <c r="I23" s="5" t="str">
        <f>IFERROR(__xludf.DUMMYFUNCTION("""COMPUTED_VALUE"""),"V2")</f>
        <v>V2</v>
      </c>
      <c r="J23" s="5" t="str">
        <f>IFERROR(__xludf.DUMMYFUNCTION("""COMPUTED_VALUE"""),"Binary")</f>
        <v>Binary</v>
      </c>
      <c r="K23" s="5" t="str">
        <f>IFERROR(__xludf.DUMMYFUNCTION("""COMPUTED_VALUE"""),"Slot")</f>
        <v>Slot</v>
      </c>
      <c r="L23" s="5"/>
      <c r="M23" s="5"/>
      <c r="N23" s="5"/>
      <c r="O23" s="5"/>
      <c r="P23" s="12">
        <f>IFERROR(__xludf.DUMMYFUNCTION("""COMPUTED_VALUE"""),23.7)</f>
        <v>23.7</v>
      </c>
      <c r="Q23" s="13">
        <f>IFERROR(__xludf.DUMMYFUNCTION("""COMPUTED_VALUE"""),42856.0)</f>
        <v>42856</v>
      </c>
      <c r="R23" s="14"/>
      <c r="S23" s="13">
        <f>IFERROR(__xludf.DUMMYFUNCTION("""COMPUTED_VALUE"""),42856.0)</f>
        <v>42856</v>
      </c>
      <c r="T23" s="5" t="b">
        <f>IFERROR(__xludf.DUMMYFUNCTION("""COMPUTED_VALUE"""),TRUE)</f>
        <v>1</v>
      </c>
      <c r="U23" s="5" t="str">
        <f>IFERROR(__xludf.DUMMYFUNCTION("""COMPUTED_VALUE"""),"5x3")</f>
        <v>5x3</v>
      </c>
      <c r="V23" s="10" t="str">
        <f>IFERROR(__xludf.DUMMYFUNCTION("""COMPUTED_VALUE"""),"10")</f>
        <v>10</v>
      </c>
      <c r="W23" s="10" t="str">
        <f>IFERROR(__xludf.DUMMYFUNCTION("""COMPUTED_VALUE"""),"1,3,5,7,10")</f>
        <v>1,3,5,7,10</v>
      </c>
      <c r="X23" s="5">
        <f>IFERROR(__xludf.DUMMYFUNCTION("""COMPUTED_VALUE"""),95.544)</f>
        <v>95.544</v>
      </c>
      <c r="Y23" s="5" t="str">
        <f>IFERROR(__xludf.DUMMYFUNCTION("""COMPUTED_VALUE"""),"Medium")</f>
        <v>Medium</v>
      </c>
      <c r="Z23" s="5">
        <f>IFERROR(__xludf.DUMMYFUNCTION("""COMPUTED_VALUE"""),13.020000000000001)</f>
        <v>13.02</v>
      </c>
      <c r="AA23" s="12">
        <f>IFERROR(__xludf.DUMMYFUNCTION("""COMPUTED_VALUE"""),1611.0)</f>
        <v>1611</v>
      </c>
      <c r="AB23" s="5">
        <f>IFERROR(__xludf.DUMMYFUNCTION("""COMPUTED_VALUE"""),18.0)</f>
        <v>18</v>
      </c>
      <c r="AC23" s="5" t="str">
        <f>IFERROR(__xludf.DUMMYFUNCTION("""COMPUTED_VALUE"""),"Expanding Wild, Respin, Bothways")</f>
        <v>Expanding Wild, Respin, Bothways</v>
      </c>
      <c r="AD23" s="5" t="str">
        <f>IFERROR(__xludf.DUMMYFUNCTION("""COMPUTED_VALUE"""),"0.01/40")</f>
        <v>0.01/40</v>
      </c>
      <c r="AE23" s="5"/>
      <c r="AF23" s="5"/>
      <c r="AG23" s="5"/>
      <c r="AH23" s="5"/>
      <c r="AI23" s="5"/>
      <c r="AJ23" s="5"/>
      <c r="AK23" s="5">
        <f>IFERROR(__xludf.DUMMYFUNCTION("""COMPUTED_VALUE"""),10.0)</f>
        <v>10</v>
      </c>
      <c r="AL23" s="5" t="str">
        <f>IFERROR(__xludf.DUMMYFUNCTION("""COMPUTED_VALUE"""),"Yes")</f>
        <v>Yes</v>
      </c>
      <c r="AM23" s="5"/>
      <c r="AN23" s="7" t="str">
        <f>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AO23" s="5"/>
      <c r="AP23" s="5"/>
      <c r="AQ23" s="5" t="b">
        <f>IFERROR(__xludf.DUMMYFUNCTION("""COMPUTED_VALUE"""),TRUE)</f>
        <v>1</v>
      </c>
      <c r="AR23" s="5"/>
      <c r="AS23" s="5" t="str">
        <f>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AT23" s="5"/>
      <c r="AU23" s="5" t="str">
        <f>IFERROR(__xludf.DUMMYFUNCTION("""COMPUTED_VALUE"""),"Fazi")</f>
        <v>Fazi</v>
      </c>
      <c r="AV23" s="5"/>
      <c r="AW23" s="5"/>
      <c r="AX23" s="5"/>
      <c r="AY23" s="5"/>
      <c r="AZ23" s="5"/>
      <c r="BA23" s="5" t="str">
        <f>IFERROR(__xludf.DUMMYFUNCTION("""COMPUTED_VALUE"""),"")</f>
        <v/>
      </c>
      <c r="BB23" s="5"/>
      <c r="BC23" s="5" t="str">
        <f>IFERROR(__xludf.DUMMYFUNCTION("""COMPUTED_VALUE"""),"Foxi")</f>
        <v>Foxi</v>
      </c>
      <c r="BD23" s="7" t="str">
        <f>IFERROR(__xludf.DUMMYFUNCTION("""COMPUTED_VALUE"""),"https://gameserver-store-client-area.orbionlimited.com/Home/IntegrationGameLaunch/client-area?moneyType=0&amp;gameName=HotStars&amp;platform=desktop&amp;languageCode=eng&amp;currency=EUR")</f>
        <v>https://gameserver-store-client-area.orbionlimited.com/Home/IntegrationGameLaunch/client-area?moneyType=0&amp;gameName=HotStars&amp;platform=desktop&amp;languageCode=eng&amp;currency=EUR</v>
      </c>
      <c r="BE23" s="5" t="b">
        <f>IFERROR(__xludf.DUMMYFUNCTION("""COMPUTED_VALUE"""),TRUE)</f>
        <v>1</v>
      </c>
    </row>
    <row r="24">
      <c r="A24" s="5">
        <f>IFERROR(__xludf.DUMMYFUNCTION("""COMPUTED_VALUE"""),23.0)</f>
        <v>23</v>
      </c>
      <c r="B24" s="5">
        <f>IFERROR(__xludf.DUMMYFUNCTION("""COMPUTED_VALUE"""),22.0)</f>
        <v>22</v>
      </c>
      <c r="C24" s="5" t="str">
        <f>IFERROR(__xludf.DUMMYFUNCTION("""COMPUTED_VALUE"""),"Fazi")</f>
        <v>Fazi</v>
      </c>
      <c r="D24" s="5" t="str">
        <f>IFERROR(__xludf.DUMMYFUNCTION("""COMPUTED_VALUE"""),"Triple Crown")</f>
        <v>Triple Crown</v>
      </c>
      <c r="E24" s="5"/>
      <c r="F24" s="5" t="str">
        <f>IFERROR(__xludf.DUMMYFUNCTION("""COMPUTED_VALUE"""),"TripleCrown")</f>
        <v>TripleCrown</v>
      </c>
      <c r="G24" s="5" t="str">
        <f>IFERROR(__xludf.DUMMYFUNCTION("""COMPUTED_VALUE"""),"Retired")</f>
        <v>Retired</v>
      </c>
      <c r="H24" s="5"/>
      <c r="I24" s="5"/>
      <c r="J24" s="5"/>
      <c r="K24" s="5" t="str">
        <f>IFERROR(__xludf.DUMMYFUNCTION("""COMPUTED_VALUE"""),"Triple Crown Roulette")</f>
        <v>Triple Crown Roulette</v>
      </c>
      <c r="L24" s="5"/>
      <c r="M24" s="5"/>
      <c r="N24" s="5"/>
      <c r="O24" s="5"/>
      <c r="P24" s="12"/>
      <c r="Q24" s="13">
        <f>IFERROR(__xludf.DUMMYFUNCTION("""COMPUTED_VALUE"""),43831.0)</f>
        <v>43831</v>
      </c>
      <c r="R24" s="14"/>
      <c r="S24" s="13">
        <f>IFERROR(__xludf.DUMMYFUNCTION("""COMPUTED_VALUE"""),43831.0)</f>
        <v>43831</v>
      </c>
      <c r="T24" s="5"/>
      <c r="U24" s="16"/>
      <c r="V24" s="10"/>
      <c r="W24" s="10"/>
      <c r="X24" s="11">
        <f>IFERROR(__xludf.DUMMYFUNCTION("""COMPUTED_VALUE"""),0.0)</f>
        <v>0</v>
      </c>
      <c r="Y24" s="17"/>
      <c r="Z24" s="5">
        <f>IFERROR(__xludf.DUMMYFUNCTION("""COMPUTED_VALUE"""),0.0)</f>
        <v>0</v>
      </c>
      <c r="AA24" s="12"/>
      <c r="AB24" s="5"/>
      <c r="AC24" s="18"/>
      <c r="AD24" s="5"/>
      <c r="AE24" s="5"/>
      <c r="AF24" s="5"/>
      <c r="AG24" s="8">
        <f>IFERROR(__xludf.DUMMYFUNCTION("""COMPUTED_VALUE"""),45721.40236111111)</f>
        <v>45721.40236</v>
      </c>
      <c r="AH24" s="5" t="str">
        <f>IFERROR(__xludf.DUMMYFUNCTION("""COMPUTED_VALUE"""),"iva.cirkovic@fazi.rs")</f>
        <v>iva.cirkovic@fazi.rs</v>
      </c>
      <c r="AI24" s="5"/>
      <c r="AJ24" s="5"/>
      <c r="AK24" s="5">
        <f>IFERROR(__xludf.DUMMYFUNCTION("""COMPUTED_VALUE"""),0.0)</f>
        <v>0</v>
      </c>
      <c r="AL24" s="5"/>
      <c r="AM24" s="5"/>
      <c r="AN24" s="5"/>
      <c r="AO24" s="5"/>
      <c r="AP24" s="5"/>
      <c r="AQ24" s="5"/>
      <c r="AR24" s="5"/>
      <c r="AS24" s="5"/>
      <c r="AT24" s="5"/>
      <c r="AU24" s="5" t="str">
        <f>IFERROR(__xludf.DUMMYFUNCTION("""COMPUTED_VALUE"""),"Fazi")</f>
        <v>Fazi</v>
      </c>
      <c r="AV24" s="5"/>
      <c r="AW24" s="5"/>
      <c r="AX24" s="5"/>
      <c r="AY24" s="5"/>
      <c r="AZ24" s="5"/>
      <c r="BA24" s="5" t="str">
        <f>IFERROR(__xludf.DUMMYFUNCTION("""COMPUTED_VALUE"""),"")</f>
        <v/>
      </c>
      <c r="BB24" s="5"/>
      <c r="BC24" s="5" t="str">
        <f>IFERROR(__xludf.DUMMYFUNCTION("""COMPUTED_VALUE"""),"Foxi")</f>
        <v>Foxi</v>
      </c>
      <c r="BD24" s="5" t="str">
        <f>IFERROR(__xludf.DUMMYFUNCTION("""COMPUTED_VALUE"""),"")</f>
        <v/>
      </c>
      <c r="BE24" s="5"/>
    </row>
    <row r="25">
      <c r="A25" s="5">
        <f>IFERROR(__xludf.DUMMYFUNCTION("""COMPUTED_VALUE"""),24.0)</f>
        <v>24</v>
      </c>
      <c r="B25" s="5">
        <f>IFERROR(__xludf.DUMMYFUNCTION("""COMPUTED_VALUE"""),23.0)</f>
        <v>23</v>
      </c>
      <c r="C25" s="5" t="str">
        <f>IFERROR(__xludf.DUMMYFUNCTION("""COMPUTED_VALUE"""),"Fazi")</f>
        <v>Fazi</v>
      </c>
      <c r="D25" s="5" t="str">
        <f>IFERROR(__xludf.DUMMYFUNCTION("""COMPUTED_VALUE"""),"Book of Spells")</f>
        <v>Book of Spells</v>
      </c>
      <c r="E25" s="5" t="str">
        <f>IFERROR(__xludf.DUMMYFUNCTION("""COMPUTED_VALUE"""),"V2")</f>
        <v>V2</v>
      </c>
      <c r="F25" s="5" t="str">
        <f>IFERROR(__xludf.DUMMYFUNCTION("""COMPUTED_VALUE"""),"BookOfSpells")</f>
        <v>BookOfSpells</v>
      </c>
      <c r="G25" s="5" t="str">
        <f>IFERROR(__xludf.DUMMYFUNCTION("""COMPUTED_VALUE"""),"Live")</f>
        <v>Live</v>
      </c>
      <c r="H25" s="5"/>
      <c r="I25" s="5" t="str">
        <f>IFERROR(__xludf.DUMMYFUNCTION("""COMPUTED_VALUE"""),"V2")</f>
        <v>V2</v>
      </c>
      <c r="J25" s="5" t="str">
        <f>IFERROR(__xludf.DUMMYFUNCTION("""COMPUTED_VALUE"""),"JSON")</f>
        <v>JSON</v>
      </c>
      <c r="K25" s="5" t="str">
        <f>IFERROR(__xludf.DUMMYFUNCTION("""COMPUTED_VALUE"""),"Slot")</f>
        <v>Slot</v>
      </c>
      <c r="L25" s="5"/>
      <c r="M25" s="5"/>
      <c r="N25" s="5"/>
      <c r="O25" s="5"/>
      <c r="P25" s="12">
        <f>IFERROR(__xludf.DUMMYFUNCTION("""COMPUTED_VALUE"""),37.0)</f>
        <v>37</v>
      </c>
      <c r="Q25" s="13">
        <f>IFERROR(__xludf.DUMMYFUNCTION("""COMPUTED_VALUE"""),42736.0)</f>
        <v>42736</v>
      </c>
      <c r="R25" s="14"/>
      <c r="S25" s="13">
        <f>IFERROR(__xludf.DUMMYFUNCTION("""COMPUTED_VALUE"""),42736.0)</f>
        <v>42736</v>
      </c>
      <c r="T25" s="5"/>
      <c r="U25" s="5" t="str">
        <f>IFERROR(__xludf.DUMMYFUNCTION("""COMPUTED_VALUE"""),"5x3")</f>
        <v>5x3</v>
      </c>
      <c r="V25" s="10" t="str">
        <f>IFERROR(__xludf.DUMMYFUNCTION("""COMPUTED_VALUE"""),"10")</f>
        <v>10</v>
      </c>
      <c r="W25" s="10" t="str">
        <f>IFERROR(__xludf.DUMMYFUNCTION("""COMPUTED_VALUE"""),"1,3,5,7,10")</f>
        <v>1,3,5,7,10</v>
      </c>
      <c r="X25" s="11">
        <f>IFERROR(__xludf.DUMMYFUNCTION("""COMPUTED_VALUE"""),96.064)</f>
        <v>96.064</v>
      </c>
      <c r="Y25" s="5" t="str">
        <f>IFERROR(__xludf.DUMMYFUNCTION("""COMPUTED_VALUE"""),"High")</f>
        <v>High</v>
      </c>
      <c r="Z25" s="5">
        <f>IFERROR(__xludf.DUMMYFUNCTION("""COMPUTED_VALUE"""),31.467)</f>
        <v>31.467</v>
      </c>
      <c r="AA25" s="12">
        <f>IFERROR(__xludf.DUMMYFUNCTION("""COMPUTED_VALUE"""),5512.0)</f>
        <v>5512</v>
      </c>
      <c r="AB25" s="5"/>
      <c r="AC25" s="5" t="str">
        <f>IFERROR(__xludf.DUMMYFUNCTION("""COMPUTED_VALUE"""),"Buy Bonus, Book Of Game, Wild Symbol, Scatter")</f>
        <v>Buy Bonus, Book Of Game, Wild Symbol, Scatter</v>
      </c>
      <c r="AD25" s="5" t="str">
        <f>IFERROR(__xludf.DUMMYFUNCTION("""COMPUTED_VALUE"""),"0.01/40")</f>
        <v>0.01/40</v>
      </c>
      <c r="AE25" s="5"/>
      <c r="AF25" s="5"/>
      <c r="AG25" s="8">
        <f>IFERROR(__xludf.DUMMYFUNCTION("""COMPUTED_VALUE"""),46100.42574074074)</f>
        <v>46100.42574</v>
      </c>
      <c r="AH25" s="5" t="str">
        <f>IFERROR(__xludf.DUMMYFUNCTION("""COMPUTED_VALUE"""),"milutin.toskic@fazi.rs")</f>
        <v>milutin.toskic@fazi.rs</v>
      </c>
      <c r="AI25" s="5"/>
      <c r="AJ25" s="5"/>
      <c r="AK25" s="5">
        <f>IFERROR(__xludf.DUMMYFUNCTION("""COMPUTED_VALUE"""),10.0)</f>
        <v>10</v>
      </c>
      <c r="AL25" s="5" t="str">
        <f>IFERROR(__xludf.DUMMYFUNCTION("""COMPUTED_VALUE"""),"Yes")</f>
        <v>Yes</v>
      </c>
      <c r="AM25" s="5"/>
      <c r="AN25" s="7" t="str">
        <f>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AO25" s="5" t="str">
        <f>IFERROR(__xludf.DUMMYFUNCTION("""COMPUTED_VALUE"""),"Yes")</f>
        <v>Yes</v>
      </c>
      <c r="AP25" s="5" t="str">
        <f>IFERROR(__xludf.DUMMYFUNCTION("""COMPUTED_VALUE"""),"Yes")</f>
        <v>Yes</v>
      </c>
      <c r="AQ25" s="5" t="b">
        <f>IFERROR(__xludf.DUMMYFUNCTION("""COMPUTED_VALUE"""),TRUE)</f>
        <v>1</v>
      </c>
      <c r="AR25" s="5"/>
      <c r="AS25" s="5" t="str">
        <f>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AT25" s="5"/>
      <c r="AU25" s="5" t="str">
        <f>IFERROR(__xludf.DUMMYFUNCTION("""COMPUTED_VALUE"""),"Fazi")</f>
        <v>Fazi</v>
      </c>
      <c r="AV25" s="5"/>
      <c r="AW25" s="5"/>
      <c r="AX25" s="5"/>
      <c r="AY25" s="5" t="str">
        <f>IFERROR(__xludf.DUMMYFUNCTION("""COMPUTED_VALUE"""),"87.5%, 89.5%, 91.5%, 93.5%, 94.5%, 95.5%, 96.5%")</f>
        <v>87.5%, 89.5%, 91.5%, 93.5%, 94.5%, 95.5%, 96.5%</v>
      </c>
      <c r="AZ25" s="5"/>
      <c r="BA25" s="5" t="str">
        <f>IFERROR(__xludf.DUMMYFUNCTION("""COMPUTED_VALUE"""),"110")</f>
        <v>110</v>
      </c>
      <c r="BB25" s="5"/>
      <c r="BC25" s="5" t="str">
        <f>IFERROR(__xludf.DUMMYFUNCTION("""COMPUTED_VALUE"""),"Foxi")</f>
        <v>Foxi</v>
      </c>
      <c r="BD25" s="7" t="str">
        <f>IFERROR(__xludf.DUMMYFUNCTION("""COMPUTED_VALUE"""),"https://gameserver-store-client-area.orbionlimited.com/Home/IntegrationGameLaunch/client-area?moneyType=0&amp;gameName=BookOfSpells&amp;platform=desktop&amp;languageCode=eng&amp;currency=EUR")</f>
        <v>https://gameserver-store-client-area.orbionlimited.com/Home/IntegrationGameLaunch/client-area?moneyType=0&amp;gameName=BookOfSpells&amp;platform=desktop&amp;languageCode=eng&amp;currency=EUR</v>
      </c>
      <c r="BE25" s="5" t="b">
        <f>IFERROR(__xludf.DUMMYFUNCTION("""COMPUTED_VALUE"""),TRUE)</f>
        <v>1</v>
      </c>
    </row>
    <row r="26">
      <c r="A26" s="5">
        <f>IFERROR(__xludf.DUMMYFUNCTION("""COMPUTED_VALUE"""),25.0)</f>
        <v>25</v>
      </c>
      <c r="B26" s="5">
        <f>IFERROR(__xludf.DUMMYFUNCTION("""COMPUTED_VALUE"""),24.0)</f>
        <v>24</v>
      </c>
      <c r="C26" s="5" t="str">
        <f>IFERROR(__xludf.DUMMYFUNCTION("""COMPUTED_VALUE"""),"Fazi")</f>
        <v>Fazi</v>
      </c>
      <c r="D26" s="5" t="str">
        <f>IFERROR(__xludf.DUMMYFUNCTION("""COMPUTED_VALUE"""),"Mega Hot")</f>
        <v>Mega Hot</v>
      </c>
      <c r="E26" s="5" t="str">
        <f>IFERROR(__xludf.DUMMYFUNCTION("""COMPUTED_VALUE"""),"V2")</f>
        <v>V2</v>
      </c>
      <c r="F26" s="5" t="str">
        <f>IFERROR(__xludf.DUMMYFUNCTION("""COMPUTED_VALUE"""),"MegaHot")</f>
        <v>MegaHot</v>
      </c>
      <c r="G26" s="5" t="str">
        <f>IFERROR(__xludf.DUMMYFUNCTION("""COMPUTED_VALUE"""),"Live")</f>
        <v>Live</v>
      </c>
      <c r="H26" s="5"/>
      <c r="I26" s="5" t="str">
        <f>IFERROR(__xludf.DUMMYFUNCTION("""COMPUTED_VALUE"""),"V2")</f>
        <v>V2</v>
      </c>
      <c r="J26" s="5" t="str">
        <f>IFERROR(__xludf.DUMMYFUNCTION("""COMPUTED_VALUE"""),"Binary")</f>
        <v>Binary</v>
      </c>
      <c r="K26" s="5" t="str">
        <f>IFERROR(__xludf.DUMMYFUNCTION("""COMPUTED_VALUE"""),"Slot")</f>
        <v>Slot</v>
      </c>
      <c r="L26" s="5"/>
      <c r="M26" s="5"/>
      <c r="N26" s="5"/>
      <c r="O26" s="5"/>
      <c r="P26" s="12">
        <f>IFERROR(__xludf.DUMMYFUNCTION("""COMPUTED_VALUE"""),19.1)</f>
        <v>19.1</v>
      </c>
      <c r="Q26" s="13">
        <f>IFERROR(__xludf.DUMMYFUNCTION("""COMPUTED_VALUE"""),42917.0)</f>
        <v>42917</v>
      </c>
      <c r="R26" s="14"/>
      <c r="S26" s="13">
        <f>IFERROR(__xludf.DUMMYFUNCTION("""COMPUTED_VALUE"""),42917.0)</f>
        <v>42917</v>
      </c>
      <c r="T26" s="5" t="b">
        <f>IFERROR(__xludf.DUMMYFUNCTION("""COMPUTED_VALUE"""),TRUE)</f>
        <v>1</v>
      </c>
      <c r="U26" s="5" t="str">
        <f>IFERROR(__xludf.DUMMYFUNCTION("""COMPUTED_VALUE"""),"5x3")</f>
        <v>5x3</v>
      </c>
      <c r="V26" s="10" t="str">
        <f>IFERROR(__xludf.DUMMYFUNCTION("""COMPUTED_VALUE"""),"5")</f>
        <v>5</v>
      </c>
      <c r="W26" s="10" t="str">
        <f>IFERROR(__xludf.DUMMYFUNCTION("""COMPUTED_VALUE"""),"5")</f>
        <v>5</v>
      </c>
      <c r="X26" s="5">
        <f>IFERROR(__xludf.DUMMYFUNCTION("""COMPUTED_VALUE"""),95.741)</f>
        <v>95.741</v>
      </c>
      <c r="Y26" s="5" t="str">
        <f>IFERROR(__xludf.DUMMYFUNCTION("""COMPUTED_VALUE"""),"Medium")</f>
        <v>Medium</v>
      </c>
      <c r="Z26" s="5">
        <f>IFERROR(__xludf.DUMMYFUNCTION("""COMPUTED_VALUE"""),13.5)</f>
        <v>13.5</v>
      </c>
      <c r="AA26" s="12">
        <f>IFERROR(__xludf.DUMMYFUNCTION("""COMPUTED_VALUE"""),1000.0)</f>
        <v>1000</v>
      </c>
      <c r="AB26" s="5" t="str">
        <f>IFERROR(__xludf.DUMMYFUNCTION("""COMPUTED_VALUE"""),"/")</f>
        <v>/</v>
      </c>
      <c r="AC26" s="5" t="str">
        <f>IFERROR(__xludf.DUMMYFUNCTION("""COMPUTED_VALUE"""),"Scatter, Win Multiplier")</f>
        <v>Scatter, Win Multiplier</v>
      </c>
      <c r="AD26" s="5" t="str">
        <f>IFERROR(__xludf.DUMMYFUNCTION("""COMPUTED_VALUE"""),"0.05/30")</f>
        <v>0.05/30</v>
      </c>
      <c r="AE26" s="5"/>
      <c r="AF26" s="5"/>
      <c r="AG26" s="5"/>
      <c r="AH26" s="5"/>
      <c r="AI26" s="5"/>
      <c r="AJ26" s="5"/>
      <c r="AK26" s="5">
        <f>IFERROR(__xludf.DUMMYFUNCTION("""COMPUTED_VALUE"""),5.0)</f>
        <v>5</v>
      </c>
      <c r="AL26" s="5" t="str">
        <f>IFERROR(__xludf.DUMMYFUNCTION("""COMPUTED_VALUE"""),"Yes")</f>
        <v>Yes</v>
      </c>
      <c r="AM26" s="5"/>
      <c r="AN26" s="7" t="str">
        <f>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AO26" s="5"/>
      <c r="AP26" s="5"/>
      <c r="AQ26" s="5" t="b">
        <f>IFERROR(__xludf.DUMMYFUNCTION("""COMPUTED_VALUE"""),TRUE)</f>
        <v>1</v>
      </c>
      <c r="AR26" s="5"/>
      <c r="AS26" s="5" t="str">
        <f>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AT26" s="5"/>
      <c r="AU26" s="5" t="str">
        <f>IFERROR(__xludf.DUMMYFUNCTION("""COMPUTED_VALUE"""),"Fazi")</f>
        <v>Fazi</v>
      </c>
      <c r="AV26" s="5"/>
      <c r="AW26" s="5"/>
      <c r="AX26" s="5"/>
      <c r="AY26" s="5"/>
      <c r="AZ26" s="5"/>
      <c r="BA26" s="5" t="str">
        <f>IFERROR(__xludf.DUMMYFUNCTION("""COMPUTED_VALUE"""),"")</f>
        <v/>
      </c>
      <c r="BB26" s="5"/>
      <c r="BC26" s="5" t="str">
        <f>IFERROR(__xludf.DUMMYFUNCTION("""COMPUTED_VALUE"""),"Foxi")</f>
        <v>Foxi</v>
      </c>
      <c r="BD26" s="7" t="str">
        <f>IFERROR(__xludf.DUMMYFUNCTION("""COMPUTED_VALUE"""),"https://gameserver-store-client-area.orbionlimited.com/Home/IntegrationGameLaunch/client-area?moneyType=0&amp;gameName=MegaHot&amp;platform=desktop&amp;languageCode=eng&amp;currency=EUR")</f>
        <v>https://gameserver-store-client-area.orbionlimited.com/Home/IntegrationGameLaunch/client-area?moneyType=0&amp;gameName=MegaHot&amp;platform=desktop&amp;languageCode=eng&amp;currency=EUR</v>
      </c>
      <c r="BE26" s="5" t="b">
        <f>IFERROR(__xludf.DUMMYFUNCTION("""COMPUTED_VALUE"""),TRUE)</f>
        <v>1</v>
      </c>
    </row>
    <row r="27">
      <c r="A27" s="5">
        <f>IFERROR(__xludf.DUMMYFUNCTION("""COMPUTED_VALUE"""),26.0)</f>
        <v>26</v>
      </c>
      <c r="B27" s="5">
        <f>IFERROR(__xludf.DUMMYFUNCTION("""COMPUTED_VALUE"""),25.0)</f>
        <v>25</v>
      </c>
      <c r="C27" s="5" t="str">
        <f>IFERROR(__xludf.DUMMYFUNCTION("""COMPUTED_VALUE"""),"Fazi")</f>
        <v>Fazi</v>
      </c>
      <c r="D27" s="5" t="str">
        <f>IFERROR(__xludf.DUMMYFUNCTION("""COMPUTED_VALUE"""),"Live European Roulette")</f>
        <v>Live European Roulette</v>
      </c>
      <c r="E27" s="5"/>
      <c r="F27" s="5" t="str">
        <f>IFERROR(__xludf.DUMMYFUNCTION("""COMPUTED_VALUE"""),"LiveEuropeanRoulette")</f>
        <v>LiveEuropeanRoulette</v>
      </c>
      <c r="G27" s="5" t="str">
        <f>IFERROR(__xludf.DUMMYFUNCTION("""COMPUTED_VALUE"""),"Retired")</f>
        <v>Retired</v>
      </c>
      <c r="H27" s="5"/>
      <c r="I27" s="5"/>
      <c r="J27" s="5"/>
      <c r="K27" s="5" t="str">
        <f>IFERROR(__xludf.DUMMYFUNCTION("""COMPUTED_VALUE"""),"Live European Roulette")</f>
        <v>Live European Roulette</v>
      </c>
      <c r="L27" s="5"/>
      <c r="M27" s="5"/>
      <c r="N27" s="5"/>
      <c r="O27" s="5"/>
      <c r="P27" s="12"/>
      <c r="Q27" s="13">
        <f>IFERROR(__xludf.DUMMYFUNCTION("""COMPUTED_VALUE"""),43831.0)</f>
        <v>43831</v>
      </c>
      <c r="R27" s="14"/>
      <c r="S27" s="13">
        <f>IFERROR(__xludf.DUMMYFUNCTION("""COMPUTED_VALUE"""),43831.0)</f>
        <v>43831</v>
      </c>
      <c r="T27" s="5"/>
      <c r="U27" s="16"/>
      <c r="V27" s="10"/>
      <c r="W27" s="10"/>
      <c r="X27" s="11">
        <f>IFERROR(__xludf.DUMMYFUNCTION("""COMPUTED_VALUE"""),0.0)</f>
        <v>0</v>
      </c>
      <c r="Y27" s="17"/>
      <c r="Z27" s="5">
        <f>IFERROR(__xludf.DUMMYFUNCTION("""COMPUTED_VALUE"""),0.0)</f>
        <v>0</v>
      </c>
      <c r="AA27" s="12"/>
      <c r="AB27" s="5"/>
      <c r="AC27" s="18"/>
      <c r="AD27" s="5"/>
      <c r="AE27" s="5"/>
      <c r="AF27" s="5"/>
      <c r="AG27" s="5"/>
      <c r="AH27" s="5"/>
      <c r="AI27" s="5"/>
      <c r="AJ27" s="5"/>
      <c r="AK27" s="5">
        <f>IFERROR(__xludf.DUMMYFUNCTION("""COMPUTED_VALUE"""),0.0)</f>
        <v>0</v>
      </c>
      <c r="AL27" s="5"/>
      <c r="AM27" s="5"/>
      <c r="AN27" s="5"/>
      <c r="AO27" s="5"/>
      <c r="AP27" s="5"/>
      <c r="AQ27" s="5"/>
      <c r="AR27" s="5"/>
      <c r="AS27" s="5"/>
      <c r="AT27" s="5"/>
      <c r="AU27" s="5" t="str">
        <f>IFERROR(__xludf.DUMMYFUNCTION("""COMPUTED_VALUE"""),"Fazi")</f>
        <v>Fazi</v>
      </c>
      <c r="AV27" s="5"/>
      <c r="AW27" s="5"/>
      <c r="AX27" s="5"/>
      <c r="AY27" s="5"/>
      <c r="AZ27" s="5"/>
      <c r="BA27" s="5" t="str">
        <f>IFERROR(__xludf.DUMMYFUNCTION("""COMPUTED_VALUE"""),"")</f>
        <v/>
      </c>
      <c r="BB27" s="5"/>
      <c r="BC27" s="5" t="str">
        <f>IFERROR(__xludf.DUMMYFUNCTION("""COMPUTED_VALUE"""),"Foxi")</f>
        <v>Foxi</v>
      </c>
      <c r="BD27" s="5" t="str">
        <f>IFERROR(__xludf.DUMMYFUNCTION("""COMPUTED_VALUE"""),"")</f>
        <v/>
      </c>
      <c r="BE27" s="5"/>
    </row>
    <row r="28">
      <c r="A28" s="5">
        <f>IFERROR(__xludf.DUMMYFUNCTION("""COMPUTED_VALUE"""),27.0)</f>
        <v>27</v>
      </c>
      <c r="B28" s="5">
        <f>IFERROR(__xludf.DUMMYFUNCTION("""COMPUTED_VALUE"""),26.0)</f>
        <v>26</v>
      </c>
      <c r="C28" s="5" t="str">
        <f>IFERROR(__xludf.DUMMYFUNCTION("""COMPUTED_VALUE"""),"Fazi")</f>
        <v>Fazi</v>
      </c>
      <c r="D28" s="5" t="str">
        <f>IFERROR(__xludf.DUMMYFUNCTION("""COMPUTED_VALUE"""),"Live American Roulette")</f>
        <v>Live American Roulette</v>
      </c>
      <c r="E28" s="5"/>
      <c r="F28" s="5" t="str">
        <f>IFERROR(__xludf.DUMMYFUNCTION("""COMPUTED_VALUE"""),"LiveAmericanRoulette")</f>
        <v>LiveAmericanRoulette</v>
      </c>
      <c r="G28" s="5" t="str">
        <f>IFERROR(__xludf.DUMMYFUNCTION("""COMPUTED_VALUE"""),"Retired")</f>
        <v>Retired</v>
      </c>
      <c r="H28" s="5"/>
      <c r="I28" s="5"/>
      <c r="J28" s="5"/>
      <c r="K28" s="5" t="str">
        <f>IFERROR(__xludf.DUMMYFUNCTION("""COMPUTED_VALUE"""),"Live European Roulette")</f>
        <v>Live European Roulette</v>
      </c>
      <c r="L28" s="5"/>
      <c r="M28" s="5"/>
      <c r="N28" s="5"/>
      <c r="O28" s="5"/>
      <c r="P28" s="12"/>
      <c r="Q28" s="13">
        <f>IFERROR(__xludf.DUMMYFUNCTION("""COMPUTED_VALUE"""),43831.0)</f>
        <v>43831</v>
      </c>
      <c r="R28" s="14"/>
      <c r="S28" s="13">
        <f>IFERROR(__xludf.DUMMYFUNCTION("""COMPUTED_VALUE"""),43831.0)</f>
        <v>43831</v>
      </c>
      <c r="T28" s="5"/>
      <c r="U28" s="16"/>
      <c r="V28" s="10"/>
      <c r="W28" s="10"/>
      <c r="X28" s="11">
        <f>IFERROR(__xludf.DUMMYFUNCTION("""COMPUTED_VALUE"""),0.0)</f>
        <v>0</v>
      </c>
      <c r="Y28" s="17"/>
      <c r="Z28" s="5">
        <f>IFERROR(__xludf.DUMMYFUNCTION("""COMPUTED_VALUE"""),0.0)</f>
        <v>0</v>
      </c>
      <c r="AA28" s="12"/>
      <c r="AB28" s="5"/>
      <c r="AC28" s="18"/>
      <c r="AD28" s="5"/>
      <c r="AE28" s="5"/>
      <c r="AF28" s="5"/>
      <c r="AG28" s="5"/>
      <c r="AH28" s="5"/>
      <c r="AI28" s="5"/>
      <c r="AJ28" s="5"/>
      <c r="AK28" s="5">
        <f>IFERROR(__xludf.DUMMYFUNCTION("""COMPUTED_VALUE"""),0.0)</f>
        <v>0</v>
      </c>
      <c r="AL28" s="5"/>
      <c r="AM28" s="5"/>
      <c r="AN28" s="5"/>
      <c r="AO28" s="5"/>
      <c r="AP28" s="5"/>
      <c r="AQ28" s="5"/>
      <c r="AR28" s="5"/>
      <c r="AS28" s="5"/>
      <c r="AT28" s="5"/>
      <c r="AU28" s="5" t="str">
        <f>IFERROR(__xludf.DUMMYFUNCTION("""COMPUTED_VALUE"""),"Fazi")</f>
        <v>Fazi</v>
      </c>
      <c r="AV28" s="5"/>
      <c r="AW28" s="5"/>
      <c r="AX28" s="5"/>
      <c r="AY28" s="5"/>
      <c r="AZ28" s="5"/>
      <c r="BA28" s="5" t="str">
        <f>IFERROR(__xludf.DUMMYFUNCTION("""COMPUTED_VALUE"""),"")</f>
        <v/>
      </c>
      <c r="BB28" s="5"/>
      <c r="BC28" s="5" t="str">
        <f>IFERROR(__xludf.DUMMYFUNCTION("""COMPUTED_VALUE"""),"Foxi")</f>
        <v>Foxi</v>
      </c>
      <c r="BD28" s="5" t="str">
        <f>IFERROR(__xludf.DUMMYFUNCTION("""COMPUTED_VALUE"""),"")</f>
        <v/>
      </c>
      <c r="BE28" s="5"/>
    </row>
    <row r="29">
      <c r="A29" s="5">
        <f>IFERROR(__xludf.DUMMYFUNCTION("""COMPUTED_VALUE"""),28.0)</f>
        <v>28</v>
      </c>
      <c r="B29" s="5">
        <f>IFERROR(__xludf.DUMMYFUNCTION("""COMPUTED_VALUE"""),27.0)</f>
        <v>27</v>
      </c>
      <c r="C29" s="5" t="str">
        <f>IFERROR(__xludf.DUMMYFUNCTION("""COMPUTED_VALUE"""),"Fazi")</f>
        <v>Fazi</v>
      </c>
      <c r="D29" s="5" t="str">
        <f>IFERROR(__xludf.DUMMYFUNCTION("""COMPUTED_VALUE"""),"Burning Ice")</f>
        <v>Burning Ice</v>
      </c>
      <c r="E29" s="5" t="str">
        <f>IFERROR(__xludf.DUMMYFUNCTION("""COMPUTED_VALUE"""),"V2")</f>
        <v>V2</v>
      </c>
      <c r="F29" s="5" t="str">
        <f>IFERROR(__xludf.DUMMYFUNCTION("""COMPUTED_VALUE"""),"BurningIce")</f>
        <v>BurningIce</v>
      </c>
      <c r="G29" s="5" t="str">
        <f>IFERROR(__xludf.DUMMYFUNCTION("""COMPUTED_VALUE"""),"Retired")</f>
        <v>Retired</v>
      </c>
      <c r="H29" s="5"/>
      <c r="I29" s="5" t="str">
        <f>IFERROR(__xludf.DUMMYFUNCTION("""COMPUTED_VALUE"""),"V2")</f>
        <v>V2</v>
      </c>
      <c r="J29" s="5" t="str">
        <f>IFERROR(__xludf.DUMMYFUNCTION("""COMPUTED_VALUE"""),"Binary")</f>
        <v>Binary</v>
      </c>
      <c r="K29" s="5" t="str">
        <f>IFERROR(__xludf.DUMMYFUNCTION("""COMPUTED_VALUE"""),"Slot")</f>
        <v>Slot</v>
      </c>
      <c r="L29" s="5"/>
      <c r="M29" s="5"/>
      <c r="N29" s="5"/>
      <c r="O29" s="5"/>
      <c r="P29" s="12"/>
      <c r="Q29" s="13">
        <f>IFERROR(__xludf.DUMMYFUNCTION("""COMPUTED_VALUE"""),43831.0)</f>
        <v>43831</v>
      </c>
      <c r="R29" s="14"/>
      <c r="S29" s="13">
        <f>IFERROR(__xludf.DUMMYFUNCTION("""COMPUTED_VALUE"""),43831.0)</f>
        <v>43831</v>
      </c>
      <c r="T29" s="5"/>
      <c r="U29" s="5" t="str">
        <f>IFERROR(__xludf.DUMMYFUNCTION("""COMPUTED_VALUE"""),"3x3")</f>
        <v>3x3</v>
      </c>
      <c r="V29" s="10" t="str">
        <f>IFERROR(__xludf.DUMMYFUNCTION("""COMPUTED_VALUE"""),"27")</f>
        <v>27</v>
      </c>
      <c r="W29" s="10" t="str">
        <f>IFERROR(__xludf.DUMMYFUNCTION("""COMPUTED_VALUE"""),"27")</f>
        <v>27</v>
      </c>
      <c r="X29" s="5">
        <f>IFERROR(__xludf.DUMMYFUNCTION("""COMPUTED_VALUE"""),96.352)</f>
        <v>96.352</v>
      </c>
      <c r="Y29" s="5" t="str">
        <f>IFERROR(__xludf.DUMMYFUNCTION("""COMPUTED_VALUE"""),"Medium")</f>
        <v>Medium</v>
      </c>
      <c r="Z29" s="5">
        <f>IFERROR(__xludf.DUMMYFUNCTION("""COMPUTED_VALUE"""),8.03)</f>
        <v>8.03</v>
      </c>
      <c r="AA29" s="12">
        <f>IFERROR(__xludf.DUMMYFUNCTION("""COMPUTED_VALUE"""),360.0)</f>
        <v>360</v>
      </c>
      <c r="AB29" s="5"/>
      <c r="AC29" s="5" t="str">
        <f>IFERROR(__xludf.DUMMYFUNCTION("""COMPUTED_VALUE"""),"Respin, Mystery symbol")</f>
        <v>Respin, Mystery symbol</v>
      </c>
      <c r="AD29" s="5"/>
      <c r="AE29" s="5"/>
      <c r="AF29" s="5"/>
      <c r="AG29" s="5"/>
      <c r="AH29" s="5"/>
      <c r="AI29" s="5"/>
      <c r="AJ29" s="5"/>
      <c r="AK29" s="5">
        <f>IFERROR(__xludf.DUMMYFUNCTION("""COMPUTED_VALUE"""),1.0)</f>
        <v>1</v>
      </c>
      <c r="AL29" s="5"/>
      <c r="AM29" s="5"/>
      <c r="AN29" s="5"/>
      <c r="AO29" s="5"/>
      <c r="AP29" s="5"/>
      <c r="AQ29" s="5"/>
      <c r="AR29" s="5"/>
      <c r="AS29" s="5"/>
      <c r="AT29" s="5"/>
      <c r="AU29" s="5" t="str">
        <f>IFERROR(__xludf.DUMMYFUNCTION("""COMPUTED_VALUE"""),"Fazi")</f>
        <v>Fazi</v>
      </c>
      <c r="AV29" s="5"/>
      <c r="AW29" s="5"/>
      <c r="AX29" s="5"/>
      <c r="AY29" s="5"/>
      <c r="AZ29" s="5"/>
      <c r="BA29" s="5" t="str">
        <f>IFERROR(__xludf.DUMMYFUNCTION("""COMPUTED_VALUE"""),"")</f>
        <v/>
      </c>
      <c r="BB29" s="5"/>
      <c r="BC29" s="5" t="str">
        <f>IFERROR(__xludf.DUMMYFUNCTION("""COMPUTED_VALUE"""),"Foxi")</f>
        <v>Foxi</v>
      </c>
      <c r="BD29" s="5" t="str">
        <f>IFERROR(__xludf.DUMMYFUNCTION("""COMPUTED_VALUE"""),"")</f>
        <v/>
      </c>
      <c r="BE29" s="5"/>
    </row>
    <row r="30">
      <c r="A30" s="5">
        <f>IFERROR(__xludf.DUMMYFUNCTION("""COMPUTED_VALUE"""),29.0)</f>
        <v>29</v>
      </c>
      <c r="B30" s="5">
        <f>IFERROR(__xludf.DUMMYFUNCTION("""COMPUTED_VALUE"""),28.0)</f>
        <v>28</v>
      </c>
      <c r="C30" s="5" t="str">
        <f>IFERROR(__xludf.DUMMYFUNCTION("""COMPUTED_VALUE"""),"Fazi")</f>
        <v>Fazi</v>
      </c>
      <c r="D30" s="5" t="str">
        <f>IFERROR(__xludf.DUMMYFUNCTION("""COMPUTED_VALUE"""),"Turbo Hot 40")</f>
        <v>Turbo Hot 40</v>
      </c>
      <c r="E30" s="5" t="str">
        <f>IFERROR(__xludf.DUMMYFUNCTION("""COMPUTED_VALUE"""),"V2")</f>
        <v>V2</v>
      </c>
      <c r="F30" s="5" t="str">
        <f>IFERROR(__xludf.DUMMYFUNCTION("""COMPUTED_VALUE"""),"TurboHot40")</f>
        <v>TurboHot40</v>
      </c>
      <c r="G30" s="5" t="str">
        <f>IFERROR(__xludf.DUMMYFUNCTION("""COMPUTED_VALUE"""),"Live")</f>
        <v>Live</v>
      </c>
      <c r="H30" s="5"/>
      <c r="I30" s="5" t="str">
        <f>IFERROR(__xludf.DUMMYFUNCTION("""COMPUTED_VALUE"""),"V2")</f>
        <v>V2</v>
      </c>
      <c r="J30" s="5" t="str">
        <f>IFERROR(__xludf.DUMMYFUNCTION("""COMPUTED_VALUE"""),"JSON")</f>
        <v>JSON</v>
      </c>
      <c r="K30" s="5" t="str">
        <f>IFERROR(__xludf.DUMMYFUNCTION("""COMPUTED_VALUE"""),"Slot")</f>
        <v>Slot</v>
      </c>
      <c r="L30" s="5"/>
      <c r="M30" s="5"/>
      <c r="N30" s="5"/>
      <c r="O30" s="5"/>
      <c r="P30" s="12">
        <f>IFERROR(__xludf.DUMMYFUNCTION("""COMPUTED_VALUE"""),21.3)</f>
        <v>21.3</v>
      </c>
      <c r="Q30" s="13">
        <f>IFERROR(__xludf.DUMMYFUNCTION("""COMPUTED_VALUE"""),43435.0)</f>
        <v>43435</v>
      </c>
      <c r="R30" s="14"/>
      <c r="S30" s="13">
        <f>IFERROR(__xludf.DUMMYFUNCTION("""COMPUTED_VALUE"""),43435.0)</f>
        <v>43435</v>
      </c>
      <c r="T30" s="5" t="b">
        <f>IFERROR(__xludf.DUMMYFUNCTION("""COMPUTED_VALUE"""),TRUE)</f>
        <v>1</v>
      </c>
      <c r="U30" s="5" t="str">
        <f>IFERROR(__xludf.DUMMYFUNCTION("""COMPUTED_VALUE"""),"5x4")</f>
        <v>5x4</v>
      </c>
      <c r="V30" s="10" t="str">
        <f>IFERROR(__xludf.DUMMYFUNCTION("""COMPUTED_VALUE"""),"40")</f>
        <v>40</v>
      </c>
      <c r="W30" s="10" t="str">
        <f>IFERROR(__xludf.DUMMYFUNCTION("""COMPUTED_VALUE"""),"40")</f>
        <v>40</v>
      </c>
      <c r="X30" s="5">
        <f>IFERROR(__xludf.DUMMYFUNCTION("""COMPUTED_VALUE"""),96.584)</f>
        <v>96.584</v>
      </c>
      <c r="Y30" s="5" t="str">
        <f>IFERROR(__xludf.DUMMYFUNCTION("""COMPUTED_VALUE"""),"Low")</f>
        <v>Low</v>
      </c>
      <c r="Z30" s="5">
        <f>IFERROR(__xludf.DUMMYFUNCTION("""COMPUTED_VALUE"""),16.73)</f>
        <v>16.73</v>
      </c>
      <c r="AA30" s="12">
        <f>IFERROR(__xludf.DUMMYFUNCTION("""COMPUTED_VALUE"""),1000.0)</f>
        <v>1000</v>
      </c>
      <c r="AB30" s="5" t="str">
        <f>IFERROR(__xludf.DUMMYFUNCTION("""COMPUTED_VALUE"""),"/")</f>
        <v>/</v>
      </c>
      <c r="AC30" s="5" t="str">
        <f>IFERROR(__xludf.DUMMYFUNCTION("""COMPUTED_VALUE"""),"Wild Symbol, Scatter")</f>
        <v>Wild Symbol, Scatter</v>
      </c>
      <c r="AD30" s="5" t="str">
        <f>IFERROR(__xludf.DUMMYFUNCTION("""COMPUTED_VALUE"""),"0.40/60")</f>
        <v>0.40/60</v>
      </c>
      <c r="AE30" s="5"/>
      <c r="AF30" s="5"/>
      <c r="AG30" s="8">
        <f>IFERROR(__xludf.DUMMYFUNCTION("""COMPUTED_VALUE"""),45876.501655092594)</f>
        <v>45876.50166</v>
      </c>
      <c r="AH30" s="5" t="str">
        <f>IFERROR(__xludf.DUMMYFUNCTION("""COMPUTED_VALUE"""),"marko.tepavac@fazi.rs")</f>
        <v>marko.tepavac@fazi.rs</v>
      </c>
      <c r="AI30" s="5"/>
      <c r="AJ30" s="5"/>
      <c r="AK30" s="5">
        <f>IFERROR(__xludf.DUMMYFUNCTION("""COMPUTED_VALUE"""),40.0)</f>
        <v>40</v>
      </c>
      <c r="AL30" s="5" t="str">
        <f>IFERROR(__xludf.DUMMYFUNCTION("""COMPUTED_VALUE"""),"Yes")</f>
        <v>Yes</v>
      </c>
      <c r="AM30" s="5"/>
      <c r="AN30" s="7" t="str">
        <f>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AO30" s="5" t="str">
        <f>IFERROR(__xludf.DUMMYFUNCTION("""COMPUTED_VALUE"""),"Yes")</f>
        <v>Yes</v>
      </c>
      <c r="AP30" s="5"/>
      <c r="AQ30" s="5" t="b">
        <f>IFERROR(__xludf.DUMMYFUNCTION("""COMPUTED_VALUE"""),TRUE)</f>
        <v>1</v>
      </c>
      <c r="AR30" s="5"/>
      <c r="AS30" s="5" t="str">
        <f>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AT30" s="5"/>
      <c r="AU30" s="5" t="str">
        <f>IFERROR(__xludf.DUMMYFUNCTION("""COMPUTED_VALUE"""),"Fazi")</f>
        <v>Fazi</v>
      </c>
      <c r="AV30" s="5"/>
      <c r="AW30" s="5"/>
      <c r="AX30" s="5"/>
      <c r="AY30" s="5"/>
      <c r="AZ30" s="5"/>
      <c r="BA30" s="5" t="str">
        <f>IFERROR(__xludf.DUMMYFUNCTION("""COMPUTED_VALUE"""),"")</f>
        <v/>
      </c>
      <c r="BB30" s="5"/>
      <c r="BC30" s="5" t="str">
        <f>IFERROR(__xludf.DUMMYFUNCTION("""COMPUTED_VALUE"""),"Foxi")</f>
        <v>Foxi</v>
      </c>
      <c r="BD30" s="7" t="str">
        <f>IFERROR(__xludf.DUMMYFUNCTION("""COMPUTED_VALUE"""),"https://gameserver-store-client-area.orbionlimited.com/Home/IntegrationGameLaunch/client-area?moneyType=0&amp;gameName=TurboHot40&amp;platform=desktop&amp;languageCode=eng&amp;currency=EUR")</f>
        <v>https://gameserver-store-client-area.orbionlimited.com/Home/IntegrationGameLaunch/client-area?moneyType=0&amp;gameName=TurboHot40&amp;platform=desktop&amp;languageCode=eng&amp;currency=EUR</v>
      </c>
      <c r="BE30" s="5" t="b">
        <f>IFERROR(__xludf.DUMMYFUNCTION("""COMPUTED_VALUE"""),TRUE)</f>
        <v>1</v>
      </c>
    </row>
    <row r="31">
      <c r="A31" s="5">
        <f>IFERROR(__xludf.DUMMYFUNCTION("""COMPUTED_VALUE"""),30.0)</f>
        <v>30</v>
      </c>
      <c r="B31" s="5">
        <f>IFERROR(__xludf.DUMMYFUNCTION("""COMPUTED_VALUE"""),29.0)</f>
        <v>29</v>
      </c>
      <c r="C31" s="5" t="str">
        <f>IFERROR(__xludf.DUMMYFUNCTION("""COMPUTED_VALUE"""),"Fazi")</f>
        <v>Fazi</v>
      </c>
      <c r="D31" s="5" t="str">
        <f>IFERROR(__xludf.DUMMYFUNCTION("""COMPUTED_VALUE"""),"Crystals of Magic")</f>
        <v>Crystals of Magic</v>
      </c>
      <c r="E31" s="5" t="str">
        <f>IFERROR(__xludf.DUMMYFUNCTION("""COMPUTED_VALUE"""),"V2")</f>
        <v>V2</v>
      </c>
      <c r="F31" s="5" t="str">
        <f>IFERROR(__xludf.DUMMYFUNCTION("""COMPUTED_VALUE"""),"CrystalsOfMagic")</f>
        <v>CrystalsOfMagic</v>
      </c>
      <c r="G31" s="5" t="str">
        <f>IFERROR(__xludf.DUMMYFUNCTION("""COMPUTED_VALUE"""),"Live")</f>
        <v>Live</v>
      </c>
      <c r="H31" s="5"/>
      <c r="I31" s="5" t="str">
        <f>IFERROR(__xludf.DUMMYFUNCTION("""COMPUTED_VALUE"""),"V2")</f>
        <v>V2</v>
      </c>
      <c r="J31" s="5" t="str">
        <f>IFERROR(__xludf.DUMMYFUNCTION("""COMPUTED_VALUE"""),"Binary")</f>
        <v>Binary</v>
      </c>
      <c r="K31" s="5" t="str">
        <f>IFERROR(__xludf.DUMMYFUNCTION("""COMPUTED_VALUE"""),"Slot")</f>
        <v>Slot</v>
      </c>
      <c r="L31" s="5"/>
      <c r="M31" s="5"/>
      <c r="N31" s="5"/>
      <c r="O31" s="5"/>
      <c r="P31" s="12">
        <f>IFERROR(__xludf.DUMMYFUNCTION("""COMPUTED_VALUE"""),90.5)</f>
        <v>90.5</v>
      </c>
      <c r="Q31" s="13">
        <f>IFERROR(__xludf.DUMMYFUNCTION("""COMPUTED_VALUE"""),43160.0)</f>
        <v>43160</v>
      </c>
      <c r="R31" s="14"/>
      <c r="S31" s="13">
        <f>IFERROR(__xludf.DUMMYFUNCTION("""COMPUTED_VALUE"""),43160.0)</f>
        <v>43160</v>
      </c>
      <c r="T31" s="5"/>
      <c r="U31" s="5" t="str">
        <f>IFERROR(__xludf.DUMMYFUNCTION("""COMPUTED_VALUE"""),"5x3")</f>
        <v>5x3</v>
      </c>
      <c r="V31" s="10" t="str">
        <f>IFERROR(__xludf.DUMMYFUNCTION("""COMPUTED_VALUE"""),"25")</f>
        <v>25</v>
      </c>
      <c r="W31" s="10" t="str">
        <f>IFERROR(__xludf.DUMMYFUNCTION("""COMPUTED_VALUE"""),"25")</f>
        <v>25</v>
      </c>
      <c r="X31" s="5">
        <f>IFERROR(__xludf.DUMMYFUNCTION("""COMPUTED_VALUE"""),96.037)</f>
        <v>96.037</v>
      </c>
      <c r="Y31" s="5" t="str">
        <f>IFERROR(__xludf.DUMMYFUNCTION("""COMPUTED_VALUE"""),"Low")</f>
        <v>Low</v>
      </c>
      <c r="Z31" s="5">
        <f>IFERROR(__xludf.DUMMYFUNCTION("""COMPUTED_VALUE"""),58.330000000000005)</f>
        <v>58.33</v>
      </c>
      <c r="AA31" s="12">
        <f>IFERROR(__xludf.DUMMYFUNCTION("""COMPUTED_VALUE"""),504.0)</f>
        <v>504</v>
      </c>
      <c r="AB31" s="5">
        <f>IFERROR(__xludf.DUMMYFUNCTION("""COMPUTED_VALUE"""),161.0)</f>
        <v>161</v>
      </c>
      <c r="AC31" s="5" t="str">
        <f>IFERROR(__xludf.DUMMYFUNCTION("""COMPUTED_VALUE"""),"Wild Symbol, Bonus Game with Free Spins, Sticky Wild, Bonus Game with Multiplier")</f>
        <v>Wild Symbol, Bonus Game with Free Spins, Sticky Wild, Bonus Game with Multiplier</v>
      </c>
      <c r="AD31" s="5" t="str">
        <f>IFERROR(__xludf.DUMMYFUNCTION("""COMPUTED_VALUE"""),"0.25/62.5")</f>
        <v>0.25/62.5</v>
      </c>
      <c r="AE31" s="5"/>
      <c r="AF31" s="5"/>
      <c r="AG31" s="8">
        <f>IFERROR(__xludf.DUMMYFUNCTION("""COMPUTED_VALUE"""),46055.50701388889)</f>
        <v>46055.50701</v>
      </c>
      <c r="AH31" s="5" t="str">
        <f>IFERROR(__xludf.DUMMYFUNCTION("""COMPUTED_VALUE"""),"djordje.jankovic@fazi.rs")</f>
        <v>djordje.jankovic@fazi.rs</v>
      </c>
      <c r="AI31" s="5"/>
      <c r="AJ31" s="5"/>
      <c r="AK31" s="5">
        <f>IFERROR(__xludf.DUMMYFUNCTION("""COMPUTED_VALUE"""),25.0)</f>
        <v>25</v>
      </c>
      <c r="AL31" s="5" t="str">
        <f>IFERROR(__xludf.DUMMYFUNCTION("""COMPUTED_VALUE"""),"Yes")</f>
        <v>Yes</v>
      </c>
      <c r="AM31" s="5"/>
      <c r="AN31" s="7" t="str">
        <f>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AO31" s="5"/>
      <c r="AP31" s="5"/>
      <c r="AQ31" s="5" t="b">
        <f>IFERROR(__xludf.DUMMYFUNCTION("""COMPUTED_VALUE"""),TRUE)</f>
        <v>1</v>
      </c>
      <c r="AR31" s="5"/>
      <c r="AS31" s="5" t="str">
        <f>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AT31" s="5"/>
      <c r="AU31" s="5" t="str">
        <f>IFERROR(__xludf.DUMMYFUNCTION("""COMPUTED_VALUE"""),"Fazi")</f>
        <v>Fazi</v>
      </c>
      <c r="AV31" s="5"/>
      <c r="AW31" s="5"/>
      <c r="AX31" s="5"/>
      <c r="AY31" s="5"/>
      <c r="AZ31" s="5"/>
      <c r="BA31" s="5" t="str">
        <f>IFERROR(__xludf.DUMMYFUNCTION("""COMPUTED_VALUE"""),"")</f>
        <v/>
      </c>
      <c r="BB31" s="5"/>
      <c r="BC31" s="5" t="str">
        <f>IFERROR(__xludf.DUMMYFUNCTION("""COMPUTED_VALUE"""),"Foxi")</f>
        <v>Foxi</v>
      </c>
      <c r="BD31" s="7" t="str">
        <f>IFERROR(__xludf.DUMMYFUNCTION("""COMPUTED_VALUE"""),"https://gameserver-store-client-area.orbionlimited.com/Home/IntegrationGameLaunch/client-area?moneyType=0&amp;gameName=CrystalsOfMagic&amp;platform=desktop&amp;languageCode=eng&amp;currency=EUR")</f>
        <v>https://gameserver-store-client-area.orbionlimited.com/Home/IntegrationGameLaunch/client-area?moneyType=0&amp;gameName=CrystalsOfMagic&amp;platform=desktop&amp;languageCode=eng&amp;currency=EUR</v>
      </c>
      <c r="BE31" s="5" t="b">
        <f>IFERROR(__xludf.DUMMYFUNCTION("""COMPUTED_VALUE"""),TRUE)</f>
        <v>1</v>
      </c>
    </row>
    <row r="32">
      <c r="A32" s="5">
        <f>IFERROR(__xludf.DUMMYFUNCTION("""COMPUTED_VALUE"""),31.0)</f>
        <v>31</v>
      </c>
      <c r="B32" s="5">
        <f>IFERROR(__xludf.DUMMYFUNCTION("""COMPUTED_VALUE"""),30.0)</f>
        <v>30</v>
      </c>
      <c r="C32" s="5" t="str">
        <f>IFERROR(__xludf.DUMMYFUNCTION("""COMPUTED_VALUE"""),"Fazi")</f>
        <v>Fazi</v>
      </c>
      <c r="D32" s="5" t="str">
        <f>IFERROR(__xludf.DUMMYFUNCTION("""COMPUTED_VALUE"""),"Pirates")</f>
        <v>Pirates</v>
      </c>
      <c r="E32" s="5" t="str">
        <f>IFERROR(__xludf.DUMMYFUNCTION("""COMPUTED_VALUE"""),"V2")</f>
        <v>V2</v>
      </c>
      <c r="F32" s="5" t="str">
        <f>IFERROR(__xludf.DUMMYFUNCTION("""COMPUTED_VALUE"""),"Pirates")</f>
        <v>Pirates</v>
      </c>
      <c r="G32" s="5" t="str">
        <f>IFERROR(__xludf.DUMMYFUNCTION("""COMPUTED_VALUE"""),"Retired")</f>
        <v>Retired</v>
      </c>
      <c r="H32" s="5"/>
      <c r="I32" s="5" t="str">
        <f>IFERROR(__xludf.DUMMYFUNCTION("""COMPUTED_VALUE"""),"V2")</f>
        <v>V2</v>
      </c>
      <c r="J32" s="5" t="str">
        <f>IFERROR(__xludf.DUMMYFUNCTION("""COMPUTED_VALUE"""),"Binary")</f>
        <v>Binary</v>
      </c>
      <c r="K32" s="5" t="str">
        <f>IFERROR(__xludf.DUMMYFUNCTION("""COMPUTED_VALUE"""),"Slot")</f>
        <v>Slot</v>
      </c>
      <c r="L32" s="5"/>
      <c r="M32" s="5"/>
      <c r="N32" s="5"/>
      <c r="O32" s="5"/>
      <c r="P32" s="12">
        <f>IFERROR(__xludf.DUMMYFUNCTION("""COMPUTED_VALUE"""),41.8)</f>
        <v>41.8</v>
      </c>
      <c r="Q32" s="13">
        <f>IFERROR(__xludf.DUMMYFUNCTION("""COMPUTED_VALUE"""),43252.0)</f>
        <v>43252</v>
      </c>
      <c r="R32" s="14"/>
      <c r="S32" s="13">
        <f>IFERROR(__xludf.DUMMYFUNCTION("""COMPUTED_VALUE"""),43252.0)</f>
        <v>43252</v>
      </c>
      <c r="T32" s="5" t="b">
        <f>IFERROR(__xludf.DUMMYFUNCTION("""COMPUTED_VALUE"""),TRUE)</f>
        <v>1</v>
      </c>
      <c r="U32" s="16"/>
      <c r="V32" s="10" t="str">
        <f>IFERROR(__xludf.DUMMYFUNCTION("""COMPUTED_VALUE"""),"15")</f>
        <v>15</v>
      </c>
      <c r="W32" s="10"/>
      <c r="X32" s="11">
        <f>IFERROR(__xludf.DUMMYFUNCTION("""COMPUTED_VALUE"""),0.0)</f>
        <v>0</v>
      </c>
      <c r="Y32" s="17"/>
      <c r="Z32" s="5">
        <f>IFERROR(__xludf.DUMMYFUNCTION("""COMPUTED_VALUE"""),0.0)</f>
        <v>0</v>
      </c>
      <c r="AA32" s="12"/>
      <c r="AB32" s="5"/>
      <c r="AC32" s="18"/>
      <c r="AD32" s="5" t="str">
        <f>IFERROR(__xludf.DUMMYFUNCTION("""COMPUTED_VALUE"""),"0.01/45")</f>
        <v>0.01/45</v>
      </c>
      <c r="AE32" s="5"/>
      <c r="AF32" s="5"/>
      <c r="AG32" s="5"/>
      <c r="AH32" s="5"/>
      <c r="AI32" s="5"/>
      <c r="AJ32" s="5"/>
      <c r="AK32" s="5" t="str">
        <f>IFERROR(__xludf.DUMMYFUNCTION("""COMPUTED_VALUE"""),"NULL")</f>
        <v>NULL</v>
      </c>
      <c r="AL32" s="5" t="str">
        <f>IFERROR(__xludf.DUMMYFUNCTION("""COMPUTED_VALUE"""),"Yes")</f>
        <v>Yes</v>
      </c>
      <c r="AM32" s="5"/>
      <c r="AN32"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32" s="5"/>
      <c r="AP32" s="5"/>
      <c r="AQ32" s="5"/>
      <c r="AR32" s="5"/>
      <c r="AS32" s="5"/>
      <c r="AT32" s="5"/>
      <c r="AU32" s="5" t="str">
        <f>IFERROR(__xludf.DUMMYFUNCTION("""COMPUTED_VALUE"""),"Fazi")</f>
        <v>Fazi</v>
      </c>
      <c r="AV32" s="5"/>
      <c r="AW32" s="5"/>
      <c r="AX32" s="5"/>
      <c r="AY32" s="5"/>
      <c r="AZ32" s="5"/>
      <c r="BA32" s="5" t="str">
        <f>IFERROR(__xludf.DUMMYFUNCTION("""COMPUTED_VALUE"""),"")</f>
        <v/>
      </c>
      <c r="BB32" s="5"/>
      <c r="BC32" s="5" t="str">
        <f>IFERROR(__xludf.DUMMYFUNCTION("""COMPUTED_VALUE"""),"Foxi")</f>
        <v>Foxi</v>
      </c>
      <c r="BD32" s="7" t="str">
        <f>IFERROR(__xludf.DUMMYFUNCTION("""COMPUTED_VALUE"""),"https://gameserver-store-client-area.orbionlimited.com/Home/IntegrationGameLaunch/client-area?moneyType=0&amp;gameName=Pirates&amp;platform=desktop&amp;languageCode=eng&amp;currency=EUR")</f>
        <v>https://gameserver-store-client-area.orbionlimited.com/Home/IntegrationGameLaunch/client-area?moneyType=0&amp;gameName=Pirates&amp;platform=desktop&amp;languageCode=eng&amp;currency=EUR</v>
      </c>
      <c r="BE32" s="5"/>
    </row>
    <row r="33">
      <c r="A33" s="5">
        <f>IFERROR(__xludf.DUMMYFUNCTION("""COMPUTED_VALUE"""),32.0)</f>
        <v>32</v>
      </c>
      <c r="B33" s="5">
        <f>IFERROR(__xludf.DUMMYFUNCTION("""COMPUTED_VALUE"""),31.0)</f>
        <v>31</v>
      </c>
      <c r="C33" s="5" t="str">
        <f>IFERROR(__xludf.DUMMYFUNCTION("""COMPUTED_VALUE"""),"Fazi")</f>
        <v>Fazi</v>
      </c>
      <c r="D33" s="5" t="str">
        <f>IFERROR(__xludf.DUMMYFUNCTION("""COMPUTED_VALUE"""),"Book of Bruno")</f>
        <v>Book of Bruno</v>
      </c>
      <c r="E33" s="5" t="str">
        <f>IFERROR(__xludf.DUMMYFUNCTION("""COMPUTED_VALUE"""),"V2")</f>
        <v>V2</v>
      </c>
      <c r="F33" s="5" t="str">
        <f>IFERROR(__xludf.DUMMYFUNCTION("""COMPUTED_VALUE"""),"BookOfBruno")</f>
        <v>BookOfBruno</v>
      </c>
      <c r="G33" s="5" t="str">
        <f>IFERROR(__xludf.DUMMYFUNCTION("""COMPUTED_VALUE"""),"Live")</f>
        <v>Live</v>
      </c>
      <c r="H33" s="5"/>
      <c r="I33" s="5" t="str">
        <f>IFERROR(__xludf.DUMMYFUNCTION("""COMPUTED_VALUE"""),"V2")</f>
        <v>V2</v>
      </c>
      <c r="J33" s="5" t="str">
        <f>IFERROR(__xludf.DUMMYFUNCTION("""COMPUTED_VALUE"""),"Binary")</f>
        <v>Binary</v>
      </c>
      <c r="K33" s="5" t="str">
        <f>IFERROR(__xludf.DUMMYFUNCTION("""COMPUTED_VALUE"""),"Slot")</f>
        <v>Slot</v>
      </c>
      <c r="L33" s="5"/>
      <c r="M33" s="5"/>
      <c r="N33" s="5"/>
      <c r="O33" s="5"/>
      <c r="P33" s="12">
        <f>IFERROR(__xludf.DUMMYFUNCTION("""COMPUTED_VALUE"""),26.4)</f>
        <v>26.4</v>
      </c>
      <c r="Q33" s="13">
        <f>IFERROR(__xludf.DUMMYFUNCTION("""COMPUTED_VALUE"""),43101.0)</f>
        <v>43101</v>
      </c>
      <c r="R33" s="14"/>
      <c r="S33" s="13">
        <f>IFERROR(__xludf.DUMMYFUNCTION("""COMPUTED_VALUE"""),43101.0)</f>
        <v>43101</v>
      </c>
      <c r="T33" s="5"/>
      <c r="U33" s="5" t="str">
        <f>IFERROR(__xludf.DUMMYFUNCTION("""COMPUTED_VALUE"""),"5x3")</f>
        <v>5x3</v>
      </c>
      <c r="V33" s="10" t="str">
        <f>IFERROR(__xludf.DUMMYFUNCTION("""COMPUTED_VALUE"""),"10")</f>
        <v>10</v>
      </c>
      <c r="W33" s="10" t="str">
        <f>IFERROR(__xludf.DUMMYFUNCTION("""COMPUTED_VALUE"""),"1,3,5,7,10")</f>
        <v>1,3,5,7,10</v>
      </c>
      <c r="X33" s="5">
        <f>IFERROR(__xludf.DUMMYFUNCTION("""COMPUTED_VALUE"""),96.064)</f>
        <v>96.064</v>
      </c>
      <c r="Y33" s="5" t="str">
        <f>IFERROR(__xludf.DUMMYFUNCTION("""COMPUTED_VALUE"""),"High")</f>
        <v>High</v>
      </c>
      <c r="Z33" s="5">
        <f>IFERROR(__xludf.DUMMYFUNCTION("""COMPUTED_VALUE"""),31.66)</f>
        <v>31.66</v>
      </c>
      <c r="AA33" s="12">
        <f>IFERROR(__xludf.DUMMYFUNCTION("""COMPUTED_VALUE"""),6408.0)</f>
        <v>6408</v>
      </c>
      <c r="AB33" s="5">
        <f>IFERROR(__xludf.DUMMYFUNCTION("""COMPUTED_VALUE"""),212.0)</f>
        <v>212</v>
      </c>
      <c r="AC33" s="5" t="str">
        <f>IFERROR(__xludf.DUMMYFUNCTION("""COMPUTED_VALUE"""),"Bonus Game with Special Symbol, Wild Symbol, Scatter, Book Of Game")</f>
        <v>Bonus Game with Special Symbol, Wild Symbol, Scatter, Book Of Game</v>
      </c>
      <c r="AD33" s="5" t="str">
        <f>IFERROR(__xludf.DUMMYFUNCTION("""COMPUTED_VALUE"""),"0.01/40")</f>
        <v>0.01/40</v>
      </c>
      <c r="AE33" s="5"/>
      <c r="AF33" s="5"/>
      <c r="AG33" s="8">
        <f>IFERROR(__xludf.DUMMYFUNCTION("""COMPUTED_VALUE"""),45964.914722222224)</f>
        <v>45964.91472</v>
      </c>
      <c r="AH33" s="5" t="str">
        <f>IFERROR(__xludf.DUMMYFUNCTION("""COMPUTED_VALUE"""),"djordje.jankovic@fazi.rs")</f>
        <v>djordje.jankovic@fazi.rs</v>
      </c>
      <c r="AI33" s="5"/>
      <c r="AJ33" s="5"/>
      <c r="AK33" s="5">
        <f>IFERROR(__xludf.DUMMYFUNCTION("""COMPUTED_VALUE"""),10.0)</f>
        <v>10</v>
      </c>
      <c r="AL33" s="5" t="str">
        <f>IFERROR(__xludf.DUMMYFUNCTION("""COMPUTED_VALUE"""),"Yes")</f>
        <v>Yes</v>
      </c>
      <c r="AM33" s="5"/>
      <c r="AN33" s="7" t="str">
        <f>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AO33" s="5"/>
      <c r="AP33" s="5"/>
      <c r="AQ33" s="5" t="b">
        <f>IFERROR(__xludf.DUMMYFUNCTION("""COMPUTED_VALUE"""),TRUE)</f>
        <v>1</v>
      </c>
      <c r="AR33" s="5"/>
      <c r="AS33" s="5" t="str">
        <f>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AT33" s="5"/>
      <c r="AU33" s="5" t="str">
        <f>IFERROR(__xludf.DUMMYFUNCTION("""COMPUTED_VALUE"""),"Fazi")</f>
        <v>Fazi</v>
      </c>
      <c r="AV33" s="5"/>
      <c r="AW33" s="5"/>
      <c r="AX33" s="5"/>
      <c r="AY33" s="5"/>
      <c r="AZ33" s="5"/>
      <c r="BA33" s="5" t="str">
        <f>IFERROR(__xludf.DUMMYFUNCTION("""COMPUTED_VALUE"""),"")</f>
        <v/>
      </c>
      <c r="BB33" s="5"/>
      <c r="BC33" s="5" t="str">
        <f>IFERROR(__xludf.DUMMYFUNCTION("""COMPUTED_VALUE"""),"Foxi")</f>
        <v>Foxi</v>
      </c>
      <c r="BD33" s="7" t="str">
        <f>IFERROR(__xludf.DUMMYFUNCTION("""COMPUTED_VALUE"""),"https://gameserver-store-client-area.orbionlimited.com/Home/IntegrationGameLaunch/client-area?moneyType=0&amp;gameName=BookOfBruno&amp;platform=desktop&amp;languageCode=eng&amp;currency=EUR")</f>
        <v>https://gameserver-store-client-area.orbionlimited.com/Home/IntegrationGameLaunch/client-area?moneyType=0&amp;gameName=BookOfBruno&amp;platform=desktop&amp;languageCode=eng&amp;currency=EUR</v>
      </c>
      <c r="BE33" s="5" t="b">
        <f>IFERROR(__xludf.DUMMYFUNCTION("""COMPUTED_VALUE"""),TRUE)</f>
        <v>1</v>
      </c>
    </row>
    <row r="34">
      <c r="A34" s="5">
        <f>IFERROR(__xludf.DUMMYFUNCTION("""COMPUTED_VALUE"""),33.0)</f>
        <v>33</v>
      </c>
      <c r="B34" s="5">
        <f>IFERROR(__xludf.DUMMYFUNCTION("""COMPUTED_VALUE"""),32.0)</f>
        <v>32</v>
      </c>
      <c r="C34" s="5" t="str">
        <f>IFERROR(__xludf.DUMMYFUNCTION("""COMPUTED_VALUE"""),"Fazi")</f>
        <v>Fazi</v>
      </c>
      <c r="D34" s="5" t="str">
        <f>IFERROR(__xludf.DUMMYFUNCTION("""COMPUTED_VALUE"""),"Tropical Hot")</f>
        <v>Tropical Hot</v>
      </c>
      <c r="E34" s="5" t="str">
        <f>IFERROR(__xludf.DUMMYFUNCTION("""COMPUTED_VALUE"""),"V2")</f>
        <v>V2</v>
      </c>
      <c r="F34" s="5" t="str">
        <f>IFERROR(__xludf.DUMMYFUNCTION("""COMPUTED_VALUE"""),"TropicalHot")</f>
        <v>TropicalHot</v>
      </c>
      <c r="G34" s="5" t="str">
        <f>IFERROR(__xludf.DUMMYFUNCTION("""COMPUTED_VALUE"""),"Live")</f>
        <v>Live</v>
      </c>
      <c r="H34" s="5"/>
      <c r="I34" s="5" t="str">
        <f>IFERROR(__xludf.DUMMYFUNCTION("""COMPUTED_VALUE"""),"V2")</f>
        <v>V2</v>
      </c>
      <c r="J34" s="5" t="str">
        <f>IFERROR(__xludf.DUMMYFUNCTION("""COMPUTED_VALUE"""),"Binary")</f>
        <v>Binary</v>
      </c>
      <c r="K34" s="5" t="str">
        <f>IFERROR(__xludf.DUMMYFUNCTION("""COMPUTED_VALUE"""),"Slot")</f>
        <v>Slot</v>
      </c>
      <c r="L34" s="5" t="str">
        <f>IFERROR(__xludf.DUMMYFUNCTION("""COMPUTED_VALUE"""),"Clone")</f>
        <v>Clone</v>
      </c>
      <c r="M34" s="5" t="str">
        <f>IFERROR(__xludf.DUMMYFUNCTION("""COMPUTED_VALUE"""),"Juicy Hot")</f>
        <v>Juicy Hot</v>
      </c>
      <c r="N34" s="5"/>
      <c r="O34" s="5"/>
      <c r="P34" s="12">
        <f>IFERROR(__xludf.DUMMYFUNCTION("""COMPUTED_VALUE"""),23.8)</f>
        <v>23.8</v>
      </c>
      <c r="Q34" s="13">
        <f>IFERROR(__xludf.DUMMYFUNCTION("""COMPUTED_VALUE"""),43405.0)</f>
        <v>43405</v>
      </c>
      <c r="R34" s="14"/>
      <c r="S34" s="13">
        <f>IFERROR(__xludf.DUMMYFUNCTION("""COMPUTED_VALUE"""),43405.0)</f>
        <v>43405</v>
      </c>
      <c r="T34" s="5" t="b">
        <f>IFERROR(__xludf.DUMMYFUNCTION("""COMPUTED_VALUE"""),TRUE)</f>
        <v>1</v>
      </c>
      <c r="U34" s="5" t="str">
        <f>IFERROR(__xludf.DUMMYFUNCTION("""COMPUTED_VALUE"""),"5x3")</f>
        <v>5x3</v>
      </c>
      <c r="V34" s="10" t="str">
        <f>IFERROR(__xludf.DUMMYFUNCTION("""COMPUTED_VALUE"""),"20")</f>
        <v>20</v>
      </c>
      <c r="W34" s="10" t="str">
        <f>IFERROR(__xludf.DUMMYFUNCTION("""COMPUTED_VALUE"""),"1,3,5,7,9,10,20")</f>
        <v>1,3,5,7,9,10,20</v>
      </c>
      <c r="X34" s="5">
        <f>IFERROR(__xludf.DUMMYFUNCTION("""COMPUTED_VALUE"""),93.694)</f>
        <v>93.694</v>
      </c>
      <c r="Y34" s="5" t="str">
        <f>IFERROR(__xludf.DUMMYFUNCTION("""COMPUTED_VALUE"""),"Low")</f>
        <v>Low</v>
      </c>
      <c r="Z34" s="5">
        <f>IFERROR(__xludf.DUMMYFUNCTION("""COMPUTED_VALUE"""),17.205)</f>
        <v>17.205</v>
      </c>
      <c r="AA34" s="12">
        <f>IFERROR(__xludf.DUMMYFUNCTION("""COMPUTED_VALUE"""),252.5)</f>
        <v>252.5</v>
      </c>
      <c r="AB34" s="5" t="str">
        <f>IFERROR(__xludf.DUMMYFUNCTION("""COMPUTED_VALUE"""),"/")</f>
        <v>/</v>
      </c>
      <c r="AC34" s="5" t="str">
        <f>IFERROR(__xludf.DUMMYFUNCTION("""COMPUTED_VALUE"""),"Scatter")</f>
        <v>Scatter</v>
      </c>
      <c r="AD34" s="5" t="str">
        <f>IFERROR(__xludf.DUMMYFUNCTION("""COMPUTED_VALUE"""),"0.20/50")</f>
        <v>0.20/50</v>
      </c>
      <c r="AE34" s="5"/>
      <c r="AF34" s="5"/>
      <c r="AG34" s="8">
        <f>IFERROR(__xludf.DUMMYFUNCTION("""COMPUTED_VALUE"""),46038.7175)</f>
        <v>46038.7175</v>
      </c>
      <c r="AH34" s="5" t="str">
        <f>IFERROR(__xludf.DUMMYFUNCTION("""COMPUTED_VALUE"""),"djordje.petrovic@fazi.rs")</f>
        <v>djordje.petrovic@fazi.rs</v>
      </c>
      <c r="AI34" s="5"/>
      <c r="AJ34" s="5"/>
      <c r="AK34" s="5">
        <f>IFERROR(__xludf.DUMMYFUNCTION("""COMPUTED_VALUE"""),20.0)</f>
        <v>20</v>
      </c>
      <c r="AL34" s="5" t="str">
        <f>IFERROR(__xludf.DUMMYFUNCTION("""COMPUTED_VALUE"""),"Yes")</f>
        <v>Yes</v>
      </c>
      <c r="AM34" s="5"/>
      <c r="AN34" s="7" t="str">
        <f>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AO34" s="5"/>
      <c r="AP34" s="5"/>
      <c r="AQ34" s="5" t="b">
        <f>IFERROR(__xludf.DUMMYFUNCTION("""COMPUTED_VALUE"""),TRUE)</f>
        <v>1</v>
      </c>
      <c r="AR34" s="5"/>
      <c r="AS34" s="5" t="str">
        <f>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AT34" s="5"/>
      <c r="AU34" s="5" t="str">
        <f>IFERROR(__xludf.DUMMYFUNCTION("""COMPUTED_VALUE"""),"Fazi")</f>
        <v>Fazi</v>
      </c>
      <c r="AV34" s="5"/>
      <c r="AW34" s="5"/>
      <c r="AX34" s="5"/>
      <c r="AY34" s="5"/>
      <c r="AZ34" s="5"/>
      <c r="BA34" s="5" t="str">
        <f>IFERROR(__xludf.DUMMYFUNCTION("""COMPUTED_VALUE"""),"")</f>
        <v/>
      </c>
      <c r="BB34" s="5"/>
      <c r="BC34" s="5" t="str">
        <f>IFERROR(__xludf.DUMMYFUNCTION("""COMPUTED_VALUE"""),"Foxi")</f>
        <v>Foxi</v>
      </c>
      <c r="BD34" s="7" t="str">
        <f>IFERROR(__xludf.DUMMYFUNCTION("""COMPUTED_VALUE"""),"https://gameserver-store-client-area.orbionlimited.com/Home/IntegrationGameLaunch/client-area?moneyType=0&amp;gameName=TropicalHot&amp;platform=desktop&amp;languageCode=eng&amp;currency=EUR")</f>
        <v>https://gameserver-store-client-area.orbionlimited.com/Home/IntegrationGameLaunch/client-area?moneyType=0&amp;gameName=TropicalHot&amp;platform=desktop&amp;languageCode=eng&amp;currency=EUR</v>
      </c>
      <c r="BE34" s="5" t="b">
        <f>IFERROR(__xludf.DUMMYFUNCTION("""COMPUTED_VALUE"""),TRUE)</f>
        <v>1</v>
      </c>
    </row>
    <row r="35">
      <c r="A35" s="5">
        <f>IFERROR(__xludf.DUMMYFUNCTION("""COMPUTED_VALUE"""),34.0)</f>
        <v>34</v>
      </c>
      <c r="B35" s="5">
        <f>IFERROR(__xludf.DUMMYFUNCTION("""COMPUTED_VALUE"""),33.0)</f>
        <v>33</v>
      </c>
      <c r="C35" s="5" t="str">
        <f>IFERROR(__xludf.DUMMYFUNCTION("""COMPUTED_VALUE"""),"Fazi")</f>
        <v>Fazi</v>
      </c>
      <c r="D35" s="5" t="str">
        <f>IFERROR(__xludf.DUMMYFUNCTION("""COMPUTED_VALUE"""),"Monsters")</f>
        <v>Monsters</v>
      </c>
      <c r="E35" s="5" t="str">
        <f>IFERROR(__xludf.DUMMYFUNCTION("""COMPUTED_VALUE"""),"V2")</f>
        <v>V2</v>
      </c>
      <c r="F35" s="5" t="str">
        <f>IFERROR(__xludf.DUMMYFUNCTION("""COMPUTED_VALUE"""),"Monsters")</f>
        <v>Monsters</v>
      </c>
      <c r="G35" s="5" t="str">
        <f>IFERROR(__xludf.DUMMYFUNCTION("""COMPUTED_VALUE"""),"Live")</f>
        <v>Live</v>
      </c>
      <c r="H35" s="5"/>
      <c r="I35" s="5" t="str">
        <f>IFERROR(__xludf.DUMMYFUNCTION("""COMPUTED_VALUE"""),"V2")</f>
        <v>V2</v>
      </c>
      <c r="J35" s="5" t="str">
        <f>IFERROR(__xludf.DUMMYFUNCTION("""COMPUTED_VALUE"""),"Binary")</f>
        <v>Binary</v>
      </c>
      <c r="K35" s="5" t="str">
        <f>IFERROR(__xludf.DUMMYFUNCTION("""COMPUTED_VALUE"""),"Slot")</f>
        <v>Slot</v>
      </c>
      <c r="L35" s="5"/>
      <c r="M35" s="5"/>
      <c r="N35" s="5"/>
      <c r="O35" s="5"/>
      <c r="P35" s="12">
        <f>IFERROR(__xludf.DUMMYFUNCTION("""COMPUTED_VALUE"""),34.0)</f>
        <v>34</v>
      </c>
      <c r="Q35" s="13">
        <f>IFERROR(__xludf.DUMMYFUNCTION("""COMPUTED_VALUE"""),43105.0)</f>
        <v>43105</v>
      </c>
      <c r="R35" s="14"/>
      <c r="S35" s="13">
        <f>IFERROR(__xludf.DUMMYFUNCTION("""COMPUTED_VALUE"""),43105.0)</f>
        <v>43105</v>
      </c>
      <c r="T35" s="5" t="b">
        <f>IFERROR(__xludf.DUMMYFUNCTION("""COMPUTED_VALUE"""),TRUE)</f>
        <v>1</v>
      </c>
      <c r="U35" s="5" t="str">
        <f>IFERROR(__xludf.DUMMYFUNCTION("""COMPUTED_VALUE"""),"5x3")</f>
        <v>5x3</v>
      </c>
      <c r="V35" s="10" t="str">
        <f>IFERROR(__xludf.DUMMYFUNCTION("""COMPUTED_VALUE"""),"20")</f>
        <v>20</v>
      </c>
      <c r="W35" s="10" t="str">
        <f>IFERROR(__xludf.DUMMYFUNCTION("""COMPUTED_VALUE"""),"20")</f>
        <v>20</v>
      </c>
      <c r="X35" s="5">
        <f>IFERROR(__xludf.DUMMYFUNCTION("""COMPUTED_VALUE"""),95.639)</f>
        <v>95.639</v>
      </c>
      <c r="Y35" s="5" t="str">
        <f>IFERROR(__xludf.DUMMYFUNCTION("""COMPUTED_VALUE"""),"High")</f>
        <v>High</v>
      </c>
      <c r="Z35" s="5">
        <f>IFERROR(__xludf.DUMMYFUNCTION("""COMPUTED_VALUE"""),26.35)</f>
        <v>26.35</v>
      </c>
      <c r="AA35" s="12">
        <f>IFERROR(__xludf.DUMMYFUNCTION("""COMPUTED_VALUE"""),1067.0)</f>
        <v>1067</v>
      </c>
      <c r="AB35" s="5">
        <f>IFERROR(__xludf.DUMMYFUNCTION("""COMPUTED_VALUE"""),152.0)</f>
        <v>152</v>
      </c>
      <c r="AC35" s="5" t="str">
        <f>IFERROR(__xludf.DUMMYFUNCTION("""COMPUTED_VALUE"""),"Wild Symbol, Bonus Game with Sticky Wild")</f>
        <v>Wild Symbol, Bonus Game with Sticky Wild</v>
      </c>
      <c r="AD35" s="5" t="str">
        <f>IFERROR(__xludf.DUMMYFUNCTION("""COMPUTED_VALUE"""),"0.2/50")</f>
        <v>0.2/50</v>
      </c>
      <c r="AE35" s="5"/>
      <c r="AF35" s="5"/>
      <c r="AG35" s="5"/>
      <c r="AH35" s="5"/>
      <c r="AI35" s="5"/>
      <c r="AJ35" s="5"/>
      <c r="AK35" s="5">
        <f>IFERROR(__xludf.DUMMYFUNCTION("""COMPUTED_VALUE"""),20.0)</f>
        <v>20</v>
      </c>
      <c r="AL35" s="5" t="str">
        <f>IFERROR(__xludf.DUMMYFUNCTION("""COMPUTED_VALUE"""),"Yes")</f>
        <v>Yes</v>
      </c>
      <c r="AM35" s="5"/>
      <c r="AN35" s="7" t="str">
        <f>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AO35" s="5"/>
      <c r="AP35" s="5"/>
      <c r="AQ35" s="5" t="b">
        <f>IFERROR(__xludf.DUMMYFUNCTION("""COMPUTED_VALUE"""),TRUE)</f>
        <v>1</v>
      </c>
      <c r="AR35" s="5"/>
      <c r="AS35" s="5" t="str">
        <f>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AT35" s="5"/>
      <c r="AU35" s="5" t="str">
        <f>IFERROR(__xludf.DUMMYFUNCTION("""COMPUTED_VALUE"""),"Fazi")</f>
        <v>Fazi</v>
      </c>
      <c r="AV35" s="5"/>
      <c r="AW35" s="5"/>
      <c r="AX35" s="5"/>
      <c r="AY35" s="5"/>
      <c r="AZ35" s="5"/>
      <c r="BA35" s="5" t="str">
        <f>IFERROR(__xludf.DUMMYFUNCTION("""COMPUTED_VALUE"""),"")</f>
        <v/>
      </c>
      <c r="BB35" s="5"/>
      <c r="BC35" s="5" t="str">
        <f>IFERROR(__xludf.DUMMYFUNCTION("""COMPUTED_VALUE"""),"Foxi")</f>
        <v>Foxi</v>
      </c>
      <c r="BD35" s="7" t="str">
        <f>IFERROR(__xludf.DUMMYFUNCTION("""COMPUTED_VALUE"""),"https://gameserver-store-client-area.orbionlimited.com/Home/IntegrationGameLaunch/client-area?moneyType=0&amp;gameName=Monsters&amp;platform=desktop&amp;languageCode=eng&amp;currency=EUR")</f>
        <v>https://gameserver-store-client-area.orbionlimited.com/Home/IntegrationGameLaunch/client-area?moneyType=0&amp;gameName=Monsters&amp;platform=desktop&amp;languageCode=eng&amp;currency=EUR</v>
      </c>
      <c r="BE35" s="5" t="b">
        <f>IFERROR(__xludf.DUMMYFUNCTION("""COMPUTED_VALUE"""),TRUE)</f>
        <v>1</v>
      </c>
    </row>
    <row r="36">
      <c r="A36" s="5">
        <f>IFERROR(__xludf.DUMMYFUNCTION("""COMPUTED_VALUE"""),35.0)</f>
        <v>35</v>
      </c>
      <c r="B36" s="5">
        <f>IFERROR(__xludf.DUMMYFUNCTION("""COMPUTED_VALUE"""),34.0)</f>
        <v>34</v>
      </c>
      <c r="C36" s="5" t="str">
        <f>IFERROR(__xludf.DUMMYFUNCTION("""COMPUTED_VALUE"""),"Fazi")</f>
        <v>Fazi</v>
      </c>
      <c r="D36" s="5" t="str">
        <f>IFERROR(__xludf.DUMMYFUNCTION("""COMPUTED_VALUE"""),"Forest Fruits")</f>
        <v>Forest Fruits</v>
      </c>
      <c r="E36" s="5" t="str">
        <f>IFERROR(__xludf.DUMMYFUNCTION("""COMPUTED_VALUE"""),"V2")</f>
        <v>V2</v>
      </c>
      <c r="F36" s="5" t="str">
        <f>IFERROR(__xludf.DUMMYFUNCTION("""COMPUTED_VALUE"""),"ForestFruits")</f>
        <v>ForestFruits</v>
      </c>
      <c r="G36" s="5" t="str">
        <f>IFERROR(__xludf.DUMMYFUNCTION("""COMPUTED_VALUE"""),"Live")</f>
        <v>Live</v>
      </c>
      <c r="H36" s="5"/>
      <c r="I36" s="5" t="str">
        <f>IFERROR(__xludf.DUMMYFUNCTION("""COMPUTED_VALUE"""),"V2")</f>
        <v>V2</v>
      </c>
      <c r="J36" s="5" t="str">
        <f>IFERROR(__xludf.DUMMYFUNCTION("""COMPUTED_VALUE"""),"Binary")</f>
        <v>Binary</v>
      </c>
      <c r="K36" s="5" t="str">
        <f>IFERROR(__xludf.DUMMYFUNCTION("""COMPUTED_VALUE"""),"Slot")</f>
        <v>Slot</v>
      </c>
      <c r="L36" s="5" t="str">
        <f>IFERROR(__xludf.DUMMYFUNCTION("""COMPUTED_VALUE"""),"Clone")</f>
        <v>Clone</v>
      </c>
      <c r="M36" s="5" t="str">
        <f>IFERROR(__xludf.DUMMYFUNCTION("""COMPUTED_VALUE"""),"Fruits and Stars")</f>
        <v>Fruits and Stars</v>
      </c>
      <c r="N36" s="5"/>
      <c r="O36" s="5"/>
      <c r="P36" s="12">
        <f>IFERROR(__xludf.DUMMYFUNCTION("""COMPUTED_VALUE"""),21.7)</f>
        <v>21.7</v>
      </c>
      <c r="Q36" s="13">
        <f>IFERROR(__xludf.DUMMYFUNCTION("""COMPUTED_VALUE"""),43191.0)</f>
        <v>43191</v>
      </c>
      <c r="R36" s="14"/>
      <c r="S36" s="13">
        <f>IFERROR(__xludf.DUMMYFUNCTION("""COMPUTED_VALUE"""),43191.0)</f>
        <v>43191</v>
      </c>
      <c r="T36" s="5" t="b">
        <f>IFERROR(__xludf.DUMMYFUNCTION("""COMPUTED_VALUE"""),TRUE)</f>
        <v>1</v>
      </c>
      <c r="U36" s="5" t="str">
        <f>IFERROR(__xludf.DUMMYFUNCTION("""COMPUTED_VALUE"""),"5x3")</f>
        <v>5x3</v>
      </c>
      <c r="V36" s="10" t="str">
        <f>IFERROR(__xludf.DUMMYFUNCTION("""COMPUTED_VALUE"""),"20")</f>
        <v>20</v>
      </c>
      <c r="W36" s="10" t="str">
        <f>IFERROR(__xludf.DUMMYFUNCTION("""COMPUTED_VALUE"""),"1,3,5,7,9,10,20")</f>
        <v>1,3,5,7,9,10,20</v>
      </c>
      <c r="X36" s="5">
        <f>IFERROR(__xludf.DUMMYFUNCTION("""COMPUTED_VALUE"""),95.79)</f>
        <v>95.79</v>
      </c>
      <c r="Y36" s="5" t="str">
        <f>IFERROR(__xludf.DUMMYFUNCTION("""COMPUTED_VALUE"""),"Low")</f>
        <v>Low</v>
      </c>
      <c r="Z36" s="5">
        <f>IFERROR(__xludf.DUMMYFUNCTION("""COMPUTED_VALUE"""),17.45)</f>
        <v>17.45</v>
      </c>
      <c r="AA36" s="12">
        <f>IFERROR(__xludf.DUMMYFUNCTION("""COMPUTED_VALUE"""),1000.0)</f>
        <v>1000</v>
      </c>
      <c r="AB36" s="5" t="str">
        <f>IFERROR(__xludf.DUMMYFUNCTION("""COMPUTED_VALUE"""),"/")</f>
        <v>/</v>
      </c>
      <c r="AC36" s="5" t="str">
        <f>IFERROR(__xludf.DUMMYFUNCTION("""COMPUTED_VALUE"""),"Wild Symbol, Scatter")</f>
        <v>Wild Symbol, Scatter</v>
      </c>
      <c r="AD36" s="5" t="str">
        <f>IFERROR(__xludf.DUMMYFUNCTION("""COMPUTED_VALUE"""),"0.01/50")</f>
        <v>0.01/50</v>
      </c>
      <c r="AE36" s="5"/>
      <c r="AF36" s="5"/>
      <c r="AG36" s="5"/>
      <c r="AH36" s="5"/>
      <c r="AI36" s="5"/>
      <c r="AJ36" s="5"/>
      <c r="AK36" s="5">
        <f>IFERROR(__xludf.DUMMYFUNCTION("""COMPUTED_VALUE"""),20.0)</f>
        <v>20</v>
      </c>
      <c r="AL36" s="5" t="str">
        <f>IFERROR(__xludf.DUMMYFUNCTION("""COMPUTED_VALUE"""),"Yes")</f>
        <v>Yes</v>
      </c>
      <c r="AM36" s="5"/>
      <c r="AN36" s="7" t="str">
        <f>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AO36" s="5"/>
      <c r="AP36" s="5"/>
      <c r="AQ36" s="5" t="b">
        <f>IFERROR(__xludf.DUMMYFUNCTION("""COMPUTED_VALUE"""),TRUE)</f>
        <v>1</v>
      </c>
      <c r="AR36" s="5"/>
      <c r="AS36" s="5" t="str">
        <f>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AT36" s="5"/>
      <c r="AU36" s="5" t="str">
        <f>IFERROR(__xludf.DUMMYFUNCTION("""COMPUTED_VALUE"""),"Fazi")</f>
        <v>Fazi</v>
      </c>
      <c r="AV36" s="5"/>
      <c r="AW36" s="5"/>
      <c r="AX36" s="5"/>
      <c r="AY36" s="5"/>
      <c r="AZ36" s="5"/>
      <c r="BA36" s="5" t="str">
        <f>IFERROR(__xludf.DUMMYFUNCTION("""COMPUTED_VALUE"""),"")</f>
        <v/>
      </c>
      <c r="BB36" s="5"/>
      <c r="BC36" s="5" t="str">
        <f>IFERROR(__xludf.DUMMYFUNCTION("""COMPUTED_VALUE"""),"Foxi")</f>
        <v>Foxi</v>
      </c>
      <c r="BD36" s="7" t="str">
        <f>IFERROR(__xludf.DUMMYFUNCTION("""COMPUTED_VALUE"""),"https://gameserver-store-client-area.orbionlimited.com/Home/IntegrationGameLaunch/client-area?moneyType=0&amp;gameName=ForestFruits&amp;platform=desktop&amp;languageCode=eng&amp;currency=EUR")</f>
        <v>https://gameserver-store-client-area.orbionlimited.com/Home/IntegrationGameLaunch/client-area?moneyType=0&amp;gameName=ForestFruits&amp;platform=desktop&amp;languageCode=eng&amp;currency=EUR</v>
      </c>
      <c r="BE36" s="5" t="b">
        <f>IFERROR(__xludf.DUMMYFUNCTION("""COMPUTED_VALUE"""),TRUE)</f>
        <v>1</v>
      </c>
    </row>
    <row r="37">
      <c r="A37" s="5">
        <f>IFERROR(__xludf.DUMMYFUNCTION("""COMPUTED_VALUE"""),36.0)</f>
        <v>36</v>
      </c>
      <c r="B37" s="5">
        <f>IFERROR(__xludf.DUMMYFUNCTION("""COMPUTED_VALUE"""),35.0)</f>
        <v>35</v>
      </c>
      <c r="C37" s="5" t="str">
        <f>IFERROR(__xludf.DUMMYFUNCTION("""COMPUTED_VALUE"""),"Fazi")</f>
        <v>Fazi</v>
      </c>
      <c r="D37" s="5" t="str">
        <f>IFERROR(__xludf.DUMMYFUNCTION("""COMPUTED_VALUE"""),"Viking Gold")</f>
        <v>Viking Gold</v>
      </c>
      <c r="E37" s="5" t="str">
        <f>IFERROR(__xludf.DUMMYFUNCTION("""COMPUTED_VALUE"""),"V2")</f>
        <v>V2</v>
      </c>
      <c r="F37" s="5" t="str">
        <f>IFERROR(__xludf.DUMMYFUNCTION("""COMPUTED_VALUE"""),"VikingGold")</f>
        <v>VikingGold</v>
      </c>
      <c r="G37" s="5" t="str">
        <f>IFERROR(__xludf.DUMMYFUNCTION("""COMPUTED_VALUE"""),"Live")</f>
        <v>Live</v>
      </c>
      <c r="H37" s="5"/>
      <c r="I37" s="5" t="str">
        <f>IFERROR(__xludf.DUMMYFUNCTION("""COMPUTED_VALUE"""),"V2")</f>
        <v>V2</v>
      </c>
      <c r="J37" s="5" t="str">
        <f>IFERROR(__xludf.DUMMYFUNCTION("""COMPUTED_VALUE"""),"Binary")</f>
        <v>Binary</v>
      </c>
      <c r="K37" s="5" t="str">
        <f>IFERROR(__xludf.DUMMYFUNCTION("""COMPUTED_VALUE"""),"Slot")</f>
        <v>Slot</v>
      </c>
      <c r="L37" s="5"/>
      <c r="M37" s="5"/>
      <c r="N37" s="5"/>
      <c r="O37" s="5"/>
      <c r="P37" s="12">
        <f>IFERROR(__xludf.DUMMYFUNCTION("""COMPUTED_VALUE"""),34.7)</f>
        <v>34.7</v>
      </c>
      <c r="Q37" s="13">
        <f>IFERROR(__xludf.DUMMYFUNCTION("""COMPUTED_VALUE"""),43435.0)</f>
        <v>43435</v>
      </c>
      <c r="R37" s="14"/>
      <c r="S37" s="13">
        <f>IFERROR(__xludf.DUMMYFUNCTION("""COMPUTED_VALUE"""),43435.0)</f>
        <v>43435</v>
      </c>
      <c r="T37" s="5" t="b">
        <f>IFERROR(__xludf.DUMMYFUNCTION("""COMPUTED_VALUE"""),TRUE)</f>
        <v>1</v>
      </c>
      <c r="U37" s="5" t="str">
        <f>IFERROR(__xludf.DUMMYFUNCTION("""COMPUTED_VALUE"""),"5x3")</f>
        <v>5x3</v>
      </c>
      <c r="V37" s="10" t="str">
        <f>IFERROR(__xludf.DUMMYFUNCTION("""COMPUTED_VALUE"""),"20")</f>
        <v>20</v>
      </c>
      <c r="W37" s="10" t="str">
        <f>IFERROR(__xludf.DUMMYFUNCTION("""COMPUTED_VALUE"""),"20")</f>
        <v>20</v>
      </c>
      <c r="X37" s="5">
        <f>IFERROR(__xludf.DUMMYFUNCTION("""COMPUTED_VALUE"""),95.952)</f>
        <v>95.952</v>
      </c>
      <c r="Y37" s="5" t="str">
        <f>IFERROR(__xludf.DUMMYFUNCTION("""COMPUTED_VALUE"""),"Medium")</f>
        <v>Medium</v>
      </c>
      <c r="Z37" s="5">
        <f>IFERROR(__xludf.DUMMYFUNCTION("""COMPUTED_VALUE"""),43.769999999999996)</f>
        <v>43.77</v>
      </c>
      <c r="AA37" s="12">
        <f>IFERROR(__xludf.DUMMYFUNCTION("""COMPUTED_VALUE"""),3910.0)</f>
        <v>3910</v>
      </c>
      <c r="AB37" s="5">
        <f>IFERROR(__xludf.DUMMYFUNCTION("""COMPUTED_VALUE"""),147.0)</f>
        <v>147</v>
      </c>
      <c r="AC37" s="5" t="str">
        <f>IFERROR(__xludf.DUMMYFUNCTION("""COMPUTED_VALUE"""),"Cascade Game, Wild Symbol, Increasing Multiplier, Bonus Game with Multiplier")</f>
        <v>Cascade Game, Wild Symbol, Increasing Multiplier, Bonus Game with Multiplier</v>
      </c>
      <c r="AD37" s="5" t="str">
        <f>IFERROR(__xludf.DUMMYFUNCTION("""COMPUTED_VALUE"""),"0.20/50")</f>
        <v>0.20/50</v>
      </c>
      <c r="AE37" s="5"/>
      <c r="AF37" s="5"/>
      <c r="AG37" s="5"/>
      <c r="AH37" s="5"/>
      <c r="AI37" s="5"/>
      <c r="AJ37" s="5"/>
      <c r="AK37" s="5">
        <f>IFERROR(__xludf.DUMMYFUNCTION("""COMPUTED_VALUE"""),20.0)</f>
        <v>20</v>
      </c>
      <c r="AL37" s="5" t="str">
        <f>IFERROR(__xludf.DUMMYFUNCTION("""COMPUTED_VALUE"""),"Yes")</f>
        <v>Yes</v>
      </c>
      <c r="AM37" s="5"/>
      <c r="AN37" s="7" t="str">
        <f>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AO37" s="5"/>
      <c r="AP37" s="5"/>
      <c r="AQ37" s="5" t="b">
        <f>IFERROR(__xludf.DUMMYFUNCTION("""COMPUTED_VALUE"""),TRUE)</f>
        <v>1</v>
      </c>
      <c r="AR37" s="5"/>
      <c r="AS37" s="5" t="str">
        <f>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AT37" s="5"/>
      <c r="AU37" s="5" t="str">
        <f>IFERROR(__xludf.DUMMYFUNCTION("""COMPUTED_VALUE"""),"Fazi")</f>
        <v>Fazi</v>
      </c>
      <c r="AV37" s="5"/>
      <c r="AW37" s="5"/>
      <c r="AX37" s="5"/>
      <c r="AY37" s="5"/>
      <c r="AZ37" s="5"/>
      <c r="BA37" s="5" t="str">
        <f>IFERROR(__xludf.DUMMYFUNCTION("""COMPUTED_VALUE"""),"")</f>
        <v/>
      </c>
      <c r="BB37" s="5"/>
      <c r="BC37" s="5" t="str">
        <f>IFERROR(__xludf.DUMMYFUNCTION("""COMPUTED_VALUE"""),"Foxi")</f>
        <v>Foxi</v>
      </c>
      <c r="BD37" s="7" t="str">
        <f>IFERROR(__xludf.DUMMYFUNCTION("""COMPUTED_VALUE"""),"https://gameserver-store-client-area.orbionlimited.com/Home/IntegrationGameLaunch/client-area?moneyType=0&amp;gameName=VikingGold&amp;platform=desktop&amp;languageCode=eng&amp;currency=EUR")</f>
        <v>https://gameserver-store-client-area.orbionlimited.com/Home/IntegrationGameLaunch/client-area?moneyType=0&amp;gameName=VikingGold&amp;platform=desktop&amp;languageCode=eng&amp;currency=EUR</v>
      </c>
      <c r="BE37" s="5" t="b">
        <f>IFERROR(__xludf.DUMMYFUNCTION("""COMPUTED_VALUE"""),TRUE)</f>
        <v>1</v>
      </c>
    </row>
    <row r="38">
      <c r="A38" s="5">
        <f>IFERROR(__xludf.DUMMYFUNCTION("""COMPUTED_VALUE"""),37.0)</f>
        <v>37</v>
      </c>
      <c r="B38" s="5">
        <f>IFERROR(__xludf.DUMMYFUNCTION("""COMPUTED_VALUE"""),36.0)</f>
        <v>36</v>
      </c>
      <c r="C38" s="5" t="str">
        <f>IFERROR(__xludf.DUMMYFUNCTION("""COMPUTED_VALUE"""),"Fazi")</f>
        <v>Fazi</v>
      </c>
      <c r="D38" s="5" t="str">
        <f>IFERROR(__xludf.DUMMYFUNCTION("""COMPUTED_VALUE"""),"Star Gems")</f>
        <v>Star Gems</v>
      </c>
      <c r="E38" s="5" t="str">
        <f>IFERROR(__xludf.DUMMYFUNCTION("""COMPUTED_VALUE"""),"V2")</f>
        <v>V2</v>
      </c>
      <c r="F38" s="5" t="str">
        <f>IFERROR(__xludf.DUMMYFUNCTION("""COMPUTED_VALUE"""),"StarGems")</f>
        <v>StarGems</v>
      </c>
      <c r="G38" s="5" t="str">
        <f>IFERROR(__xludf.DUMMYFUNCTION("""COMPUTED_VALUE"""),"Live")</f>
        <v>Live</v>
      </c>
      <c r="H38" s="5"/>
      <c r="I38" s="5" t="str">
        <f>IFERROR(__xludf.DUMMYFUNCTION("""COMPUTED_VALUE"""),"V2")</f>
        <v>V2</v>
      </c>
      <c r="J38" s="5" t="str">
        <f>IFERROR(__xludf.DUMMYFUNCTION("""COMPUTED_VALUE"""),"Binary")</f>
        <v>Binary</v>
      </c>
      <c r="K38" s="5" t="str">
        <f>IFERROR(__xludf.DUMMYFUNCTION("""COMPUTED_VALUE"""),"Slot")</f>
        <v>Slot</v>
      </c>
      <c r="L38" s="5"/>
      <c r="M38" s="5"/>
      <c r="N38" s="5"/>
      <c r="O38" s="5"/>
      <c r="P38" s="12">
        <f>IFERROR(__xludf.DUMMYFUNCTION("""COMPUTED_VALUE"""),23.9)</f>
        <v>23.9</v>
      </c>
      <c r="Q38" s="13">
        <f>IFERROR(__xludf.DUMMYFUNCTION("""COMPUTED_VALUE"""),43313.0)</f>
        <v>43313</v>
      </c>
      <c r="R38" s="14"/>
      <c r="S38" s="13">
        <f>IFERROR(__xludf.DUMMYFUNCTION("""COMPUTED_VALUE"""),43313.0)</f>
        <v>43313</v>
      </c>
      <c r="T38" s="5" t="b">
        <f>IFERROR(__xludf.DUMMYFUNCTION("""COMPUTED_VALUE"""),TRUE)</f>
        <v>1</v>
      </c>
      <c r="U38" s="5" t="str">
        <f>IFERROR(__xludf.DUMMYFUNCTION("""COMPUTED_VALUE"""),"5x3")</f>
        <v>5x3</v>
      </c>
      <c r="V38" s="10" t="str">
        <f>IFERROR(__xludf.DUMMYFUNCTION("""COMPUTED_VALUE"""),"10")</f>
        <v>10</v>
      </c>
      <c r="W38" s="10" t="str">
        <f>IFERROR(__xludf.DUMMYFUNCTION("""COMPUTED_VALUE"""),"1,3,5,7,10")</f>
        <v>1,3,5,7,10</v>
      </c>
      <c r="X38" s="5">
        <f>IFERROR(__xludf.DUMMYFUNCTION("""COMPUTED_VALUE"""),96.05)</f>
        <v>96.05</v>
      </c>
      <c r="Y38" s="5" t="str">
        <f>IFERROR(__xludf.DUMMYFUNCTION("""COMPUTED_VALUE"""),"Low")</f>
        <v>Low</v>
      </c>
      <c r="Z38" s="5">
        <f>IFERROR(__xludf.DUMMYFUNCTION("""COMPUTED_VALUE"""),20.28)</f>
        <v>20.28</v>
      </c>
      <c r="AA38" s="12">
        <f>IFERROR(__xludf.DUMMYFUNCTION("""COMPUTED_VALUE"""),581.0)</f>
        <v>581</v>
      </c>
      <c r="AB38" s="5">
        <f>IFERROR(__xludf.DUMMYFUNCTION("""COMPUTED_VALUE"""),12.0)</f>
        <v>12</v>
      </c>
      <c r="AC38" s="5" t="str">
        <f>IFERROR(__xludf.DUMMYFUNCTION("""COMPUTED_VALUE"""),"Wild Symbol, Respin, Bothways")</f>
        <v>Wild Symbol, Respin, Bothways</v>
      </c>
      <c r="AD38" s="5" t="str">
        <f>IFERROR(__xludf.DUMMYFUNCTION("""COMPUTED_VALUE"""),"0.10/40")</f>
        <v>0.10/40</v>
      </c>
      <c r="AE38" s="5"/>
      <c r="AF38" s="5"/>
      <c r="AG38" s="5"/>
      <c r="AH38" s="5"/>
      <c r="AI38" s="5"/>
      <c r="AJ38" s="5"/>
      <c r="AK38" s="5">
        <f>IFERROR(__xludf.DUMMYFUNCTION("""COMPUTED_VALUE"""),10.0)</f>
        <v>10</v>
      </c>
      <c r="AL38" s="5" t="str">
        <f>IFERROR(__xludf.DUMMYFUNCTION("""COMPUTED_VALUE"""),"Yes")</f>
        <v>Yes</v>
      </c>
      <c r="AM38" s="5"/>
      <c r="AN38" s="7" t="str">
        <f>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AO38" s="5"/>
      <c r="AP38" s="5"/>
      <c r="AQ38" s="5" t="b">
        <f>IFERROR(__xludf.DUMMYFUNCTION("""COMPUTED_VALUE"""),TRUE)</f>
        <v>1</v>
      </c>
      <c r="AR38" s="5"/>
      <c r="AS38" s="5" t="str">
        <f>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AT38" s="5"/>
      <c r="AU38" s="5" t="str">
        <f>IFERROR(__xludf.DUMMYFUNCTION("""COMPUTED_VALUE"""),"Fazi")</f>
        <v>Fazi</v>
      </c>
      <c r="AV38" s="5"/>
      <c r="AW38" s="5"/>
      <c r="AX38" s="5"/>
      <c r="AY38" s="5"/>
      <c r="AZ38" s="5"/>
      <c r="BA38" s="5" t="str">
        <f>IFERROR(__xludf.DUMMYFUNCTION("""COMPUTED_VALUE"""),"")</f>
        <v/>
      </c>
      <c r="BB38" s="5"/>
      <c r="BC38" s="5" t="str">
        <f>IFERROR(__xludf.DUMMYFUNCTION("""COMPUTED_VALUE"""),"Foxi")</f>
        <v>Foxi</v>
      </c>
      <c r="BD38" s="7" t="str">
        <f>IFERROR(__xludf.DUMMYFUNCTION("""COMPUTED_VALUE"""),"https://gameserver-store-client-area.orbionlimited.com/Home/IntegrationGameLaunch/client-area?moneyType=0&amp;gameName=StarGems&amp;platform=desktop&amp;languageCode=eng&amp;currency=EUR")</f>
        <v>https://gameserver-store-client-area.orbionlimited.com/Home/IntegrationGameLaunch/client-area?moneyType=0&amp;gameName=StarGems&amp;platform=desktop&amp;languageCode=eng&amp;currency=EUR</v>
      </c>
      <c r="BE38" s="5" t="b">
        <f>IFERROR(__xludf.DUMMYFUNCTION("""COMPUTED_VALUE"""),TRUE)</f>
        <v>1</v>
      </c>
    </row>
    <row r="39">
      <c r="A39" s="5">
        <f>IFERROR(__xludf.DUMMYFUNCTION("""COMPUTED_VALUE"""),38.0)</f>
        <v>38</v>
      </c>
      <c r="B39" s="5">
        <f>IFERROR(__xludf.DUMMYFUNCTION("""COMPUTED_VALUE"""),37.0)</f>
        <v>37</v>
      </c>
      <c r="C39" s="5" t="str">
        <f>IFERROR(__xludf.DUMMYFUNCTION("""COMPUTED_VALUE"""),"Fazi")</f>
        <v>Fazi</v>
      </c>
      <c r="D39" s="5" t="str">
        <f>IFERROR(__xludf.DUMMYFUNCTION("""COMPUTED_VALUE"""),"Book of Spells V2")</f>
        <v>Book of Spells V2</v>
      </c>
      <c r="E39" s="5" t="str">
        <f>IFERROR(__xludf.DUMMYFUNCTION("""COMPUTED_VALUE"""),"V2")</f>
        <v>V2</v>
      </c>
      <c r="F39" s="5" t="str">
        <f>IFERROR(__xludf.DUMMYFUNCTION("""COMPUTED_VALUE"""),"BookOfSpellsV2")</f>
        <v>BookOfSpellsV2</v>
      </c>
      <c r="G39" s="5" t="str">
        <f>IFERROR(__xludf.DUMMYFUNCTION("""COMPUTED_VALUE"""),"Live")</f>
        <v>Live</v>
      </c>
      <c r="H39" s="5"/>
      <c r="I39" s="5" t="str">
        <f>IFERROR(__xludf.DUMMYFUNCTION("""COMPUTED_VALUE"""),"V2")</f>
        <v>V2</v>
      </c>
      <c r="J39" s="5" t="str">
        <f>IFERROR(__xludf.DUMMYFUNCTION("""COMPUTED_VALUE"""),"JSON")</f>
        <v>JSON</v>
      </c>
      <c r="K39" s="5" t="str">
        <f>IFERROR(__xludf.DUMMYFUNCTION("""COMPUTED_VALUE"""),"Slot")</f>
        <v>Slot</v>
      </c>
      <c r="L39" s="5" t="str">
        <f>IFERROR(__xludf.DUMMYFUNCTION("""COMPUTED_VALUE"""),"Clone")</f>
        <v>Clone</v>
      </c>
      <c r="M39" s="5" t="str">
        <f>IFERROR(__xludf.DUMMYFUNCTION("""COMPUTED_VALUE"""),"Book of Spells")</f>
        <v>Book of Spells</v>
      </c>
      <c r="N39" s="5"/>
      <c r="O39" s="5"/>
      <c r="P39" s="12"/>
      <c r="Q39" s="13">
        <f>IFERROR(__xludf.DUMMYFUNCTION("""COMPUTED_VALUE"""),43831.0)</f>
        <v>43831</v>
      </c>
      <c r="R39" s="14"/>
      <c r="S39" s="13">
        <f>IFERROR(__xludf.DUMMYFUNCTION("""COMPUTED_VALUE"""),43831.0)</f>
        <v>43831</v>
      </c>
      <c r="T39" s="5"/>
      <c r="U39" s="5" t="str">
        <f>IFERROR(__xludf.DUMMYFUNCTION("""COMPUTED_VALUE"""),"5x3")</f>
        <v>5x3</v>
      </c>
      <c r="V39" s="10" t="str">
        <f>IFERROR(__xludf.DUMMYFUNCTION("""COMPUTED_VALUE"""),"10")</f>
        <v>10</v>
      </c>
      <c r="W39" s="10" t="str">
        <f>IFERROR(__xludf.DUMMYFUNCTION("""COMPUTED_VALUE"""),"1,3,5,7,10")</f>
        <v>1,3,5,7,10</v>
      </c>
      <c r="X39" s="11">
        <f>IFERROR(__xludf.DUMMYFUNCTION("""COMPUTED_VALUE"""),96.06)</f>
        <v>96.06</v>
      </c>
      <c r="Y39" s="5" t="str">
        <f>IFERROR(__xludf.DUMMYFUNCTION("""COMPUTED_VALUE"""),"High")</f>
        <v>High</v>
      </c>
      <c r="Z39" s="5">
        <f>IFERROR(__xludf.DUMMYFUNCTION("""COMPUTED_VALUE"""),31.47)</f>
        <v>31.47</v>
      </c>
      <c r="AA39" s="12">
        <f>IFERROR(__xludf.DUMMYFUNCTION("""COMPUTED_VALUE"""),5512.0)</f>
        <v>5512</v>
      </c>
      <c r="AB39" s="5">
        <f>IFERROR(__xludf.DUMMYFUNCTION("""COMPUTED_VALUE"""),212.0)</f>
        <v>212</v>
      </c>
      <c r="AC39" s="5" t="str">
        <f>IFERROR(__xludf.DUMMYFUNCTION("""COMPUTED_VALUE"""),"Book Of Game, Wild Symbol, Scatter")</f>
        <v>Book Of Game, Wild Symbol, Scatter</v>
      </c>
      <c r="AD39" s="5"/>
      <c r="AE39" s="5"/>
      <c r="AF39" s="5"/>
      <c r="AG39" s="8">
        <f>IFERROR(__xludf.DUMMYFUNCTION("""COMPUTED_VALUE"""),45876.50424768519)</f>
        <v>45876.50425</v>
      </c>
      <c r="AH39" s="5" t="str">
        <f>IFERROR(__xludf.DUMMYFUNCTION("""COMPUTED_VALUE"""),"marko.tepavac@fazi.rs")</f>
        <v>marko.tepavac@fazi.rs</v>
      </c>
      <c r="AI39" s="5"/>
      <c r="AJ39" s="5"/>
      <c r="AK39" s="5" t="str">
        <f>IFERROR(__xludf.DUMMYFUNCTION("""COMPUTED_VALUE"""),"#N/A")</f>
        <v>#N/A</v>
      </c>
      <c r="AL39" s="5"/>
      <c r="AM39" s="5"/>
      <c r="AN39" s="5"/>
      <c r="AO39" s="5" t="str">
        <f>IFERROR(__xludf.DUMMYFUNCTION("""COMPUTED_VALUE"""),"Yes")</f>
        <v>Yes</v>
      </c>
      <c r="AP39" s="5"/>
      <c r="AQ39" s="5"/>
      <c r="AR39" s="5"/>
      <c r="AS39" s="5"/>
      <c r="AT39" s="5"/>
      <c r="AU39" s="5" t="str">
        <f>IFERROR(__xludf.DUMMYFUNCTION("""COMPUTED_VALUE"""),"Fazi")</f>
        <v>Fazi</v>
      </c>
      <c r="AV39" s="5"/>
      <c r="AW39" s="5"/>
      <c r="AX39" s="5"/>
      <c r="AY39" s="5"/>
      <c r="AZ39" s="5"/>
      <c r="BA39" s="5" t="str">
        <f>IFERROR(__xludf.DUMMYFUNCTION("""COMPUTED_VALUE"""),"")</f>
        <v/>
      </c>
      <c r="BB39" s="5"/>
      <c r="BC39" s="5" t="str">
        <f>IFERROR(__xludf.DUMMYFUNCTION("""COMPUTED_VALUE"""),"Foxi")</f>
        <v>Foxi</v>
      </c>
      <c r="BD39" s="5" t="str">
        <f>IFERROR(__xludf.DUMMYFUNCTION("""COMPUTED_VALUE"""),"")</f>
        <v/>
      </c>
      <c r="BE39" s="5"/>
    </row>
    <row r="40">
      <c r="A40" s="5">
        <f>IFERROR(__xludf.DUMMYFUNCTION("""COMPUTED_VALUE"""),39.0)</f>
        <v>39</v>
      </c>
      <c r="B40" s="5">
        <f>IFERROR(__xludf.DUMMYFUNCTION("""COMPUTED_VALUE"""),38.0)</f>
        <v>38</v>
      </c>
      <c r="C40" s="5" t="str">
        <f>IFERROR(__xludf.DUMMYFUNCTION("""COMPUTED_VALUE"""),"Fazi")</f>
        <v>Fazi</v>
      </c>
      <c r="D40" s="5" t="str">
        <f>IFERROR(__xludf.DUMMYFUNCTION("""COMPUTED_VALUE"""),"Templars Quest")</f>
        <v>Templars Quest</v>
      </c>
      <c r="E40" s="5" t="str">
        <f>IFERROR(__xludf.DUMMYFUNCTION("""COMPUTED_VALUE"""),"V2")</f>
        <v>V2</v>
      </c>
      <c r="F40" s="5" t="str">
        <f>IFERROR(__xludf.DUMMYFUNCTION("""COMPUTED_VALUE"""),"TemplarsQuest")</f>
        <v>TemplarsQuest</v>
      </c>
      <c r="G40" s="5" t="str">
        <f>IFERROR(__xludf.DUMMYFUNCTION("""COMPUTED_VALUE"""),"Live")</f>
        <v>Live</v>
      </c>
      <c r="H40" s="5"/>
      <c r="I40" s="5" t="str">
        <f>IFERROR(__xludf.DUMMYFUNCTION("""COMPUTED_VALUE"""),"V2")</f>
        <v>V2</v>
      </c>
      <c r="J40" s="5" t="str">
        <f>IFERROR(__xludf.DUMMYFUNCTION("""COMPUTED_VALUE"""),"Binary")</f>
        <v>Binary</v>
      </c>
      <c r="K40" s="5" t="str">
        <f>IFERROR(__xludf.DUMMYFUNCTION("""COMPUTED_VALUE"""),"Slot")</f>
        <v>Slot</v>
      </c>
      <c r="L40" s="5"/>
      <c r="M40" s="5"/>
      <c r="N40" s="5"/>
      <c r="O40" s="5"/>
      <c r="P40" s="12">
        <f>IFERROR(__xludf.DUMMYFUNCTION("""COMPUTED_VALUE"""),55.7)</f>
        <v>55.7</v>
      </c>
      <c r="Q40" s="13">
        <f>IFERROR(__xludf.DUMMYFUNCTION("""COMPUTED_VALUE"""),43374.0)</f>
        <v>43374</v>
      </c>
      <c r="R40" s="14"/>
      <c r="S40" s="13">
        <f>IFERROR(__xludf.DUMMYFUNCTION("""COMPUTED_VALUE"""),43374.0)</f>
        <v>43374</v>
      </c>
      <c r="T40" s="5" t="b">
        <f>IFERROR(__xludf.DUMMYFUNCTION("""COMPUTED_VALUE"""),TRUE)</f>
        <v>1</v>
      </c>
      <c r="U40" s="5" t="str">
        <f>IFERROR(__xludf.DUMMYFUNCTION("""COMPUTED_VALUE"""),"5x3")</f>
        <v>5x3</v>
      </c>
      <c r="V40" s="10" t="str">
        <f>IFERROR(__xludf.DUMMYFUNCTION("""COMPUTED_VALUE"""),"10")</f>
        <v>10</v>
      </c>
      <c r="W40" s="10" t="str">
        <f>IFERROR(__xludf.DUMMYFUNCTION("""COMPUTED_VALUE"""),"10")</f>
        <v>10</v>
      </c>
      <c r="X40" s="5">
        <f>IFERROR(__xludf.DUMMYFUNCTION("""COMPUTED_VALUE"""),95.499)</f>
        <v>95.499</v>
      </c>
      <c r="Y40" s="5" t="str">
        <f>IFERROR(__xludf.DUMMYFUNCTION("""COMPUTED_VALUE"""),"Medium")</f>
        <v>Medium</v>
      </c>
      <c r="Z40" s="5">
        <f>IFERROR(__xludf.DUMMYFUNCTION("""COMPUTED_VALUE"""),27.76)</f>
        <v>27.76</v>
      </c>
      <c r="AA40" s="12">
        <f>IFERROR(__xludf.DUMMYFUNCTION("""COMPUTED_VALUE"""),292.0)</f>
        <v>292</v>
      </c>
      <c r="AB40" s="5">
        <f>IFERROR(__xludf.DUMMYFUNCTION("""COMPUTED_VALUE"""),216.0)</f>
        <v>216</v>
      </c>
      <c r="AC40" s="5" t="str">
        <f>IFERROR(__xludf.DUMMYFUNCTION("""COMPUTED_VALUE"""),"Wild Symbol, Hold and Win")</f>
        <v>Wild Symbol, Hold and Win</v>
      </c>
      <c r="AD40" s="5" t="str">
        <f>IFERROR(__xludf.DUMMYFUNCTION("""COMPUTED_VALUE"""),"0.10/40")</f>
        <v>0.10/40</v>
      </c>
      <c r="AE40" s="5"/>
      <c r="AF40" s="5"/>
      <c r="AG40" s="5"/>
      <c r="AH40" s="5"/>
      <c r="AI40" s="5"/>
      <c r="AJ40" s="5"/>
      <c r="AK40" s="5">
        <f>IFERROR(__xludf.DUMMYFUNCTION("""COMPUTED_VALUE"""),10.0)</f>
        <v>10</v>
      </c>
      <c r="AL40" s="5" t="str">
        <f>IFERROR(__xludf.DUMMYFUNCTION("""COMPUTED_VALUE"""),"Yes")</f>
        <v>Yes</v>
      </c>
      <c r="AM40" s="5"/>
      <c r="AN40" s="7" t="str">
        <f>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AO40" s="5"/>
      <c r="AP40" s="5"/>
      <c r="AQ40" s="5" t="b">
        <f>IFERROR(__xludf.DUMMYFUNCTION("""COMPUTED_VALUE"""),TRUE)</f>
        <v>1</v>
      </c>
      <c r="AR40" s="5"/>
      <c r="AS40" s="5" t="str">
        <f>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AT40" s="5"/>
      <c r="AU40" s="5" t="str">
        <f>IFERROR(__xludf.DUMMYFUNCTION("""COMPUTED_VALUE"""),"Fazi")</f>
        <v>Fazi</v>
      </c>
      <c r="AV40" s="5"/>
      <c r="AW40" s="5"/>
      <c r="AX40" s="5"/>
      <c r="AY40" s="5"/>
      <c r="AZ40" s="5"/>
      <c r="BA40" s="5" t="str">
        <f>IFERROR(__xludf.DUMMYFUNCTION("""COMPUTED_VALUE"""),"")</f>
        <v/>
      </c>
      <c r="BB40" s="5"/>
      <c r="BC40" s="5" t="str">
        <f>IFERROR(__xludf.DUMMYFUNCTION("""COMPUTED_VALUE"""),"Foxi")</f>
        <v>Foxi</v>
      </c>
      <c r="BD40" s="7" t="str">
        <f>IFERROR(__xludf.DUMMYFUNCTION("""COMPUTED_VALUE"""),"https://gameserver-store-client-area.orbionlimited.com/Home/IntegrationGameLaunch/client-area?moneyType=0&amp;gameName=TemplarsQuest&amp;platform=desktop&amp;languageCode=eng&amp;currency=EUR")</f>
        <v>https://gameserver-store-client-area.orbionlimited.com/Home/IntegrationGameLaunch/client-area?moneyType=0&amp;gameName=TemplarsQuest&amp;platform=desktop&amp;languageCode=eng&amp;currency=EUR</v>
      </c>
      <c r="BE40" s="5" t="b">
        <f>IFERROR(__xludf.DUMMYFUNCTION("""COMPUTED_VALUE"""),TRUE)</f>
        <v>1</v>
      </c>
    </row>
    <row r="41">
      <c r="A41" s="5">
        <f>IFERROR(__xludf.DUMMYFUNCTION("""COMPUTED_VALUE"""),40.0)</f>
        <v>40</v>
      </c>
      <c r="B41" s="5">
        <f>IFERROR(__xludf.DUMMYFUNCTION("""COMPUTED_VALUE"""),39.0)</f>
        <v>39</v>
      </c>
      <c r="C41" s="5" t="str">
        <f>IFERROR(__xludf.DUMMYFUNCTION("""COMPUTED_VALUE"""),"Fazi")</f>
        <v>Fazi</v>
      </c>
      <c r="D41" s="5" t="str">
        <f>IFERROR(__xludf.DUMMYFUNCTION("""COMPUTED_VALUE"""),"Space Guardians")</f>
        <v>Space Guardians</v>
      </c>
      <c r="E41" s="5" t="str">
        <f>IFERROR(__xludf.DUMMYFUNCTION("""COMPUTED_VALUE"""),"V2")</f>
        <v>V2</v>
      </c>
      <c r="F41" s="5" t="str">
        <f>IFERROR(__xludf.DUMMYFUNCTION("""COMPUTED_VALUE"""),"SpaceGuardians")</f>
        <v>SpaceGuardians</v>
      </c>
      <c r="G41" s="5" t="str">
        <f>IFERROR(__xludf.DUMMYFUNCTION("""COMPUTED_VALUE"""),"Live")</f>
        <v>Live</v>
      </c>
      <c r="H41" s="5"/>
      <c r="I41" s="5" t="str">
        <f>IFERROR(__xludf.DUMMYFUNCTION("""COMPUTED_VALUE"""),"V2")</f>
        <v>V2</v>
      </c>
      <c r="J41" s="5" t="str">
        <f>IFERROR(__xludf.DUMMYFUNCTION("""COMPUTED_VALUE"""),"Binary")</f>
        <v>Binary</v>
      </c>
      <c r="K41" s="5" t="str">
        <f>IFERROR(__xludf.DUMMYFUNCTION("""COMPUTED_VALUE"""),"Slot")</f>
        <v>Slot</v>
      </c>
      <c r="L41" s="5" t="str">
        <f>IFERROR(__xludf.DUMMYFUNCTION("""COMPUTED_VALUE"""),"Clone")</f>
        <v>Clone</v>
      </c>
      <c r="M41" s="5" t="str">
        <f>IFERROR(__xludf.DUMMYFUNCTION("""COMPUTED_VALUE"""),"Hot Stars")</f>
        <v>Hot Stars</v>
      </c>
      <c r="N41" s="5"/>
      <c r="O41" s="5"/>
      <c r="P41" s="12">
        <f>IFERROR(__xludf.DUMMYFUNCTION("""COMPUTED_VALUE"""),26.8)</f>
        <v>26.8</v>
      </c>
      <c r="Q41" s="13">
        <f>IFERROR(__xludf.DUMMYFUNCTION("""COMPUTED_VALUE"""),43282.0)</f>
        <v>43282</v>
      </c>
      <c r="R41" s="14"/>
      <c r="S41" s="13">
        <f>IFERROR(__xludf.DUMMYFUNCTION("""COMPUTED_VALUE"""),43282.0)</f>
        <v>43282</v>
      </c>
      <c r="T41" s="5" t="b">
        <f>IFERROR(__xludf.DUMMYFUNCTION("""COMPUTED_VALUE"""),TRUE)</f>
        <v>1</v>
      </c>
      <c r="U41" s="5" t="str">
        <f>IFERROR(__xludf.DUMMYFUNCTION("""COMPUTED_VALUE"""),"5x3")</f>
        <v>5x3</v>
      </c>
      <c r="V41" s="10" t="str">
        <f>IFERROR(__xludf.DUMMYFUNCTION("""COMPUTED_VALUE"""),"10")</f>
        <v>10</v>
      </c>
      <c r="W41" s="10" t="str">
        <f>IFERROR(__xludf.DUMMYFUNCTION("""COMPUTED_VALUE"""),"1,3,5,7,10")</f>
        <v>1,3,5,7,10</v>
      </c>
      <c r="X41" s="5">
        <f>IFERROR(__xludf.DUMMYFUNCTION("""COMPUTED_VALUE"""),95.544)</f>
        <v>95.544</v>
      </c>
      <c r="Y41" s="5" t="str">
        <f>IFERROR(__xludf.DUMMYFUNCTION("""COMPUTED_VALUE"""),"Medium")</f>
        <v>Medium</v>
      </c>
      <c r="Z41" s="5">
        <f>IFERROR(__xludf.DUMMYFUNCTION("""COMPUTED_VALUE"""),13.020000000000001)</f>
        <v>13.02</v>
      </c>
      <c r="AA41" s="12">
        <f>IFERROR(__xludf.DUMMYFUNCTION("""COMPUTED_VALUE"""),1611.0)</f>
        <v>1611</v>
      </c>
      <c r="AB41" s="5">
        <f>IFERROR(__xludf.DUMMYFUNCTION("""COMPUTED_VALUE"""),18.0)</f>
        <v>18</v>
      </c>
      <c r="AC41" s="5" t="str">
        <f>IFERROR(__xludf.DUMMYFUNCTION("""COMPUTED_VALUE"""),"Expanding Wild, Respin, Bothways")</f>
        <v>Expanding Wild, Respin, Bothways</v>
      </c>
      <c r="AD41" s="5" t="str">
        <f>IFERROR(__xludf.DUMMYFUNCTION("""COMPUTED_VALUE"""),"0.10/40")</f>
        <v>0.10/40</v>
      </c>
      <c r="AE41" s="5"/>
      <c r="AF41" s="5"/>
      <c r="AG41" s="5"/>
      <c r="AH41" s="5"/>
      <c r="AI41" s="5"/>
      <c r="AJ41" s="5"/>
      <c r="AK41" s="5">
        <f>IFERROR(__xludf.DUMMYFUNCTION("""COMPUTED_VALUE"""),10.0)</f>
        <v>10</v>
      </c>
      <c r="AL41" s="5" t="str">
        <f>IFERROR(__xludf.DUMMYFUNCTION("""COMPUTED_VALUE"""),"Yes")</f>
        <v>Yes</v>
      </c>
      <c r="AM41" s="5"/>
      <c r="AN41" s="7" t="str">
        <f>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AO41" s="5"/>
      <c r="AP41" s="5"/>
      <c r="AQ41" s="5" t="b">
        <f>IFERROR(__xludf.DUMMYFUNCTION("""COMPUTED_VALUE"""),TRUE)</f>
        <v>1</v>
      </c>
      <c r="AR41" s="5"/>
      <c r="AS41" s="5" t="str">
        <f>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AT41" s="5"/>
      <c r="AU41" s="5" t="str">
        <f>IFERROR(__xludf.DUMMYFUNCTION("""COMPUTED_VALUE"""),"Fazi")</f>
        <v>Fazi</v>
      </c>
      <c r="AV41" s="5"/>
      <c r="AW41" s="5"/>
      <c r="AX41" s="5"/>
      <c r="AY41" s="5"/>
      <c r="AZ41" s="5"/>
      <c r="BA41" s="5" t="str">
        <f>IFERROR(__xludf.DUMMYFUNCTION("""COMPUTED_VALUE"""),"")</f>
        <v/>
      </c>
      <c r="BB41" s="5"/>
      <c r="BC41" s="5" t="str">
        <f>IFERROR(__xludf.DUMMYFUNCTION("""COMPUTED_VALUE"""),"Foxi")</f>
        <v>Foxi</v>
      </c>
      <c r="BD41" s="7" t="str">
        <f>IFERROR(__xludf.DUMMYFUNCTION("""COMPUTED_VALUE"""),"https://gameserver-store-client-area.orbionlimited.com/Home/IntegrationGameLaunch/client-area?moneyType=0&amp;gameName=SpaceGuardians&amp;platform=desktop&amp;languageCode=eng&amp;currency=EUR")</f>
        <v>https://gameserver-store-client-area.orbionlimited.com/Home/IntegrationGameLaunch/client-area?moneyType=0&amp;gameName=SpaceGuardians&amp;platform=desktop&amp;languageCode=eng&amp;currency=EUR</v>
      </c>
      <c r="BE41" s="5" t="b">
        <f>IFERROR(__xludf.DUMMYFUNCTION("""COMPUTED_VALUE"""),TRUE)</f>
        <v>1</v>
      </c>
    </row>
    <row r="42">
      <c r="A42" s="5">
        <f>IFERROR(__xludf.DUMMYFUNCTION("""COMPUTED_VALUE"""),41.0)</f>
        <v>41</v>
      </c>
      <c r="B42" s="5">
        <f>IFERROR(__xludf.DUMMYFUNCTION("""COMPUTED_VALUE"""),40.0)</f>
        <v>40</v>
      </c>
      <c r="C42" s="5" t="str">
        <f>IFERROR(__xludf.DUMMYFUNCTION("""COMPUTED_VALUE"""),"Fazi")</f>
        <v>Fazi</v>
      </c>
      <c r="D42" s="5" t="str">
        <f>IFERROR(__xludf.DUMMYFUNCTION("""COMPUTED_VALUE"""),"Neon Hot 5")</f>
        <v>Neon Hot 5</v>
      </c>
      <c r="E42" s="5" t="str">
        <f>IFERROR(__xludf.DUMMYFUNCTION("""COMPUTED_VALUE"""),"V2")</f>
        <v>V2</v>
      </c>
      <c r="F42" s="5" t="str">
        <f>IFERROR(__xludf.DUMMYFUNCTION("""COMPUTED_VALUE"""),"NeonHot5")</f>
        <v>NeonHot5</v>
      </c>
      <c r="G42" s="5" t="str">
        <f>IFERROR(__xludf.DUMMYFUNCTION("""COMPUTED_VALUE"""),"Retired")</f>
        <v>Retired</v>
      </c>
      <c r="H42" s="5"/>
      <c r="I42" s="5" t="str">
        <f>IFERROR(__xludf.DUMMYFUNCTION("""COMPUTED_VALUE"""),"V2")</f>
        <v>V2</v>
      </c>
      <c r="J42" s="5" t="str">
        <f>IFERROR(__xludf.DUMMYFUNCTION("""COMPUTED_VALUE"""),"Binary")</f>
        <v>Binary</v>
      </c>
      <c r="K42" s="5" t="str">
        <f>IFERROR(__xludf.DUMMYFUNCTION("""COMPUTED_VALUE"""),"Slot")</f>
        <v>Slot</v>
      </c>
      <c r="L42" s="5"/>
      <c r="M42" s="5"/>
      <c r="N42" s="5"/>
      <c r="O42" s="5"/>
      <c r="P42" s="12"/>
      <c r="Q42" s="13">
        <f>IFERROR(__xludf.DUMMYFUNCTION("""COMPUTED_VALUE"""),43831.0)</f>
        <v>43831</v>
      </c>
      <c r="R42" s="14"/>
      <c r="S42" s="13">
        <f>IFERROR(__xludf.DUMMYFUNCTION("""COMPUTED_VALUE"""),43831.0)</f>
        <v>43831</v>
      </c>
      <c r="T42" s="5"/>
      <c r="U42" s="5" t="str">
        <f>IFERROR(__xludf.DUMMYFUNCTION("""COMPUTED_VALUE"""),"5x3")</f>
        <v>5x3</v>
      </c>
      <c r="V42" s="10" t="str">
        <f>IFERROR(__xludf.DUMMYFUNCTION("""COMPUTED_VALUE"""),"5")</f>
        <v>5</v>
      </c>
      <c r="W42" s="10" t="str">
        <f>IFERROR(__xludf.DUMMYFUNCTION("""COMPUTED_VALUE"""),"5")</f>
        <v>5</v>
      </c>
      <c r="X42" s="5">
        <f>IFERROR(__xludf.DUMMYFUNCTION("""COMPUTED_VALUE"""),95.74)</f>
        <v>95.74</v>
      </c>
      <c r="Y42" s="5" t="str">
        <f>IFERROR(__xludf.DUMMYFUNCTION("""COMPUTED_VALUE"""),"Medium")</f>
        <v>Medium</v>
      </c>
      <c r="Z42" s="5">
        <f>IFERROR(__xludf.DUMMYFUNCTION("""COMPUTED_VALUE"""),12.55)</f>
        <v>12.55</v>
      </c>
      <c r="AA42" s="12">
        <f>IFERROR(__xludf.DUMMYFUNCTION("""COMPUTED_VALUE"""),1000.0)</f>
        <v>1000</v>
      </c>
      <c r="AB42" s="5" t="str">
        <f>IFERROR(__xludf.DUMMYFUNCTION("""COMPUTED_VALUE"""),"/")</f>
        <v>/</v>
      </c>
      <c r="AC42" s="5" t="str">
        <f>IFERROR(__xludf.DUMMYFUNCTION("""COMPUTED_VALUE"""),"Scatter")</f>
        <v>Scatter</v>
      </c>
      <c r="AD42" s="5"/>
      <c r="AE42" s="5"/>
      <c r="AF42" s="5"/>
      <c r="AG42" s="5"/>
      <c r="AH42" s="5"/>
      <c r="AI42" s="5"/>
      <c r="AJ42" s="5"/>
      <c r="AK42" s="5">
        <f>IFERROR(__xludf.DUMMYFUNCTION("""COMPUTED_VALUE"""),5.0)</f>
        <v>5</v>
      </c>
      <c r="AL42" s="5"/>
      <c r="AM42" s="5"/>
      <c r="AN42" s="5"/>
      <c r="AO42" s="5"/>
      <c r="AP42" s="5"/>
      <c r="AQ42" s="5"/>
      <c r="AR42" s="5"/>
      <c r="AS42" s="5"/>
      <c r="AT42" s="5"/>
      <c r="AU42" s="5" t="str">
        <f>IFERROR(__xludf.DUMMYFUNCTION("""COMPUTED_VALUE"""),"Fazi")</f>
        <v>Fazi</v>
      </c>
      <c r="AV42" s="5"/>
      <c r="AW42" s="5"/>
      <c r="AX42" s="5"/>
      <c r="AY42" s="5"/>
      <c r="AZ42" s="5"/>
      <c r="BA42" s="5" t="str">
        <f>IFERROR(__xludf.DUMMYFUNCTION("""COMPUTED_VALUE"""),"")</f>
        <v/>
      </c>
      <c r="BB42" s="5"/>
      <c r="BC42" s="5" t="str">
        <f>IFERROR(__xludf.DUMMYFUNCTION("""COMPUTED_VALUE"""),"Foxi")</f>
        <v>Foxi</v>
      </c>
      <c r="BD42" s="5" t="str">
        <f>IFERROR(__xludf.DUMMYFUNCTION("""COMPUTED_VALUE"""),"")</f>
        <v/>
      </c>
      <c r="BE42" s="5"/>
    </row>
    <row r="43">
      <c r="A43" s="5">
        <f>IFERROR(__xludf.DUMMYFUNCTION("""COMPUTED_VALUE"""),42.0)</f>
        <v>42</v>
      </c>
      <c r="B43" s="5">
        <f>IFERROR(__xludf.DUMMYFUNCTION("""COMPUTED_VALUE"""),41.0)</f>
        <v>41</v>
      </c>
      <c r="C43" s="5" t="str">
        <f>IFERROR(__xludf.DUMMYFUNCTION("""COMPUTED_VALUE"""),"Fazi")</f>
        <v>Fazi</v>
      </c>
      <c r="D43" s="5" t="str">
        <f>IFERROR(__xludf.DUMMYFUNCTION("""COMPUTED_VALUE"""),"Starlight")</f>
        <v>Starlight</v>
      </c>
      <c r="E43" s="5" t="str">
        <f>IFERROR(__xludf.DUMMYFUNCTION("""COMPUTED_VALUE"""),"V2")</f>
        <v>V2</v>
      </c>
      <c r="F43" s="5" t="str">
        <f>IFERROR(__xludf.DUMMYFUNCTION("""COMPUTED_VALUE"""),"Starlight")</f>
        <v>Starlight</v>
      </c>
      <c r="G43" s="5" t="str">
        <f>IFERROR(__xludf.DUMMYFUNCTION("""COMPUTED_VALUE"""),"Live")</f>
        <v>Live</v>
      </c>
      <c r="H43" s="5"/>
      <c r="I43" s="5" t="str">
        <f>IFERROR(__xludf.DUMMYFUNCTION("""COMPUTED_VALUE"""),"V2")</f>
        <v>V2</v>
      </c>
      <c r="J43" s="5" t="str">
        <f>IFERROR(__xludf.DUMMYFUNCTION("""COMPUTED_VALUE"""),"Binary")</f>
        <v>Binary</v>
      </c>
      <c r="K43" s="5" t="str">
        <f>IFERROR(__xludf.DUMMYFUNCTION("""COMPUTED_VALUE"""),"Slot")</f>
        <v>Slot</v>
      </c>
      <c r="L43" s="5" t="str">
        <f>IFERROR(__xludf.DUMMYFUNCTION("""COMPUTED_VALUE"""),"Clone")</f>
        <v>Clone</v>
      </c>
      <c r="M43" s="5" t="str">
        <f>IFERROR(__xludf.DUMMYFUNCTION("""COMPUTED_VALUE"""),"Star Gems")</f>
        <v>Star Gems</v>
      </c>
      <c r="N43" s="5"/>
      <c r="O43" s="5"/>
      <c r="P43" s="12">
        <f>IFERROR(__xludf.DUMMYFUNCTION("""COMPUTED_VALUE"""),32.7)</f>
        <v>32.7</v>
      </c>
      <c r="Q43" s="13">
        <f>IFERROR(__xludf.DUMMYFUNCTION("""COMPUTED_VALUE"""),43344.0)</f>
        <v>43344</v>
      </c>
      <c r="R43" s="14"/>
      <c r="S43" s="13">
        <f>IFERROR(__xludf.DUMMYFUNCTION("""COMPUTED_VALUE"""),43344.0)</f>
        <v>43344</v>
      </c>
      <c r="T43" s="5" t="b">
        <f>IFERROR(__xludf.DUMMYFUNCTION("""COMPUTED_VALUE"""),TRUE)</f>
        <v>1</v>
      </c>
      <c r="U43" s="5" t="str">
        <f>IFERROR(__xludf.DUMMYFUNCTION("""COMPUTED_VALUE"""),"5x3")</f>
        <v>5x3</v>
      </c>
      <c r="V43" s="10" t="str">
        <f>IFERROR(__xludf.DUMMYFUNCTION("""COMPUTED_VALUE"""),"10")</f>
        <v>10</v>
      </c>
      <c r="W43" s="10" t="str">
        <f>IFERROR(__xludf.DUMMYFUNCTION("""COMPUTED_VALUE"""),"1,3,5,7,10")</f>
        <v>1,3,5,7,10</v>
      </c>
      <c r="X43" s="5">
        <f>IFERROR(__xludf.DUMMYFUNCTION("""COMPUTED_VALUE"""),96.05)</f>
        <v>96.05</v>
      </c>
      <c r="Y43" s="5" t="str">
        <f>IFERROR(__xludf.DUMMYFUNCTION("""COMPUTED_VALUE"""),"Low")</f>
        <v>Low</v>
      </c>
      <c r="Z43" s="5">
        <f>IFERROR(__xludf.DUMMYFUNCTION("""COMPUTED_VALUE"""),20.28)</f>
        <v>20.28</v>
      </c>
      <c r="AA43" s="12">
        <f>IFERROR(__xludf.DUMMYFUNCTION("""COMPUTED_VALUE"""),581.0)</f>
        <v>581</v>
      </c>
      <c r="AB43" s="5">
        <f>IFERROR(__xludf.DUMMYFUNCTION("""COMPUTED_VALUE"""),12.0)</f>
        <v>12</v>
      </c>
      <c r="AC43" s="5" t="str">
        <f>IFERROR(__xludf.DUMMYFUNCTION("""COMPUTED_VALUE"""),"Expanding Wild, Respin, Bothways")</f>
        <v>Expanding Wild, Respin, Bothways</v>
      </c>
      <c r="AD43" s="5" t="str">
        <f>IFERROR(__xludf.DUMMYFUNCTION("""COMPUTED_VALUE"""),"0.10/40")</f>
        <v>0.10/40</v>
      </c>
      <c r="AE43" s="5"/>
      <c r="AF43" s="5"/>
      <c r="AG43" s="5"/>
      <c r="AH43" s="5"/>
      <c r="AI43" s="5"/>
      <c r="AJ43" s="5"/>
      <c r="AK43" s="5">
        <f>IFERROR(__xludf.DUMMYFUNCTION("""COMPUTED_VALUE"""),10.0)</f>
        <v>10</v>
      </c>
      <c r="AL43" s="5" t="str">
        <f>IFERROR(__xludf.DUMMYFUNCTION("""COMPUTED_VALUE"""),"Yes")</f>
        <v>Yes</v>
      </c>
      <c r="AM43" s="5"/>
      <c r="AN43" s="7" t="str">
        <f>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AO43" s="5"/>
      <c r="AP43" s="5"/>
      <c r="AQ43" s="5" t="b">
        <f>IFERROR(__xludf.DUMMYFUNCTION("""COMPUTED_VALUE"""),TRUE)</f>
        <v>1</v>
      </c>
      <c r="AR43" s="5"/>
      <c r="AS43" s="5" t="str">
        <f>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AT43" s="5"/>
      <c r="AU43" s="5" t="str">
        <f>IFERROR(__xludf.DUMMYFUNCTION("""COMPUTED_VALUE"""),"Fazi")</f>
        <v>Fazi</v>
      </c>
      <c r="AV43" s="5"/>
      <c r="AW43" s="5"/>
      <c r="AX43" s="5"/>
      <c r="AY43" s="5"/>
      <c r="AZ43" s="5"/>
      <c r="BA43" s="5" t="str">
        <f>IFERROR(__xludf.DUMMYFUNCTION("""COMPUTED_VALUE"""),"")</f>
        <v/>
      </c>
      <c r="BB43" s="5"/>
      <c r="BC43" s="5" t="str">
        <f>IFERROR(__xludf.DUMMYFUNCTION("""COMPUTED_VALUE"""),"Foxi")</f>
        <v>Foxi</v>
      </c>
      <c r="BD43" s="7" t="str">
        <f>IFERROR(__xludf.DUMMYFUNCTION("""COMPUTED_VALUE"""),"https://gameserver-store-client-area.orbionlimited.com/Home/IntegrationGameLaunch/client-area?moneyType=0&amp;gameName=Starlight&amp;platform=desktop&amp;languageCode=eng&amp;currency=EUR")</f>
        <v>https://gameserver-store-client-area.orbionlimited.com/Home/IntegrationGameLaunch/client-area?moneyType=0&amp;gameName=Starlight&amp;platform=desktop&amp;languageCode=eng&amp;currency=EUR</v>
      </c>
      <c r="BE43" s="5" t="b">
        <f>IFERROR(__xludf.DUMMYFUNCTION("""COMPUTED_VALUE"""),TRUE)</f>
        <v>1</v>
      </c>
    </row>
    <row r="44">
      <c r="A44" s="5">
        <f>IFERROR(__xludf.DUMMYFUNCTION("""COMPUTED_VALUE"""),43.0)</f>
        <v>43</v>
      </c>
      <c r="B44" s="5">
        <f>IFERROR(__xludf.DUMMYFUNCTION("""COMPUTED_VALUE"""),42.0)</f>
        <v>42</v>
      </c>
      <c r="C44" s="5" t="str">
        <f>IFERROR(__xludf.DUMMYFUNCTION("""COMPUTED_VALUE"""),"Fazi")</f>
        <v>Fazi</v>
      </c>
      <c r="D44" s="5" t="str">
        <f>IFERROR(__xludf.DUMMYFUNCTION("""COMPUTED_VALUE"""),"Triple Hot")</f>
        <v>Triple Hot</v>
      </c>
      <c r="E44" s="5" t="str">
        <f>IFERROR(__xludf.DUMMYFUNCTION("""COMPUTED_VALUE"""),"V2")</f>
        <v>V2</v>
      </c>
      <c r="F44" s="5" t="str">
        <f>IFERROR(__xludf.DUMMYFUNCTION("""COMPUTED_VALUE"""),"TripleHot")</f>
        <v>TripleHot</v>
      </c>
      <c r="G44" s="5" t="str">
        <f>IFERROR(__xludf.DUMMYFUNCTION("""COMPUTED_VALUE"""),"Live")</f>
        <v>Live</v>
      </c>
      <c r="H44" s="5"/>
      <c r="I44" s="5" t="str">
        <f>IFERROR(__xludf.DUMMYFUNCTION("""COMPUTED_VALUE"""),"V2")</f>
        <v>V2</v>
      </c>
      <c r="J44" s="5" t="str">
        <f>IFERROR(__xludf.DUMMYFUNCTION("""COMPUTED_VALUE"""),"Binary")</f>
        <v>Binary</v>
      </c>
      <c r="K44" s="5" t="str">
        <f>IFERROR(__xludf.DUMMYFUNCTION("""COMPUTED_VALUE"""),"Slot")</f>
        <v>Slot</v>
      </c>
      <c r="L44" s="5"/>
      <c r="M44" s="5"/>
      <c r="N44" s="5"/>
      <c r="O44" s="5"/>
      <c r="P44" s="12">
        <f>IFERROR(__xludf.DUMMYFUNCTION("""COMPUTED_VALUE"""),24.7)</f>
        <v>24.7</v>
      </c>
      <c r="Q44" s="13">
        <f>IFERROR(__xludf.DUMMYFUNCTION("""COMPUTED_VALUE"""),43531.0)</f>
        <v>43531</v>
      </c>
      <c r="R44" s="14"/>
      <c r="S44" s="13">
        <f>IFERROR(__xludf.DUMMYFUNCTION("""COMPUTED_VALUE"""),43531.0)</f>
        <v>43531</v>
      </c>
      <c r="T44" s="5" t="b">
        <f>IFERROR(__xludf.DUMMYFUNCTION("""COMPUTED_VALUE"""),TRUE)</f>
        <v>1</v>
      </c>
      <c r="U44" s="5" t="str">
        <f>IFERROR(__xludf.DUMMYFUNCTION("""COMPUTED_VALUE"""),"3x3")</f>
        <v>3x3</v>
      </c>
      <c r="V44" s="10" t="str">
        <f>IFERROR(__xludf.DUMMYFUNCTION("""COMPUTED_VALUE"""),"5")</f>
        <v>5</v>
      </c>
      <c r="W44" s="10" t="str">
        <f>IFERROR(__xludf.DUMMYFUNCTION("""COMPUTED_VALUE"""),"5")</f>
        <v>5</v>
      </c>
      <c r="X44" s="5">
        <f>IFERROR(__xludf.DUMMYFUNCTION("""COMPUTED_VALUE"""),95.513)</f>
        <v>95.513</v>
      </c>
      <c r="Y44" s="5" t="str">
        <f>IFERROR(__xludf.DUMMYFUNCTION("""COMPUTED_VALUE"""),"Low")</f>
        <v>Low</v>
      </c>
      <c r="Z44" s="5">
        <f>IFERROR(__xludf.DUMMYFUNCTION("""COMPUTED_VALUE"""),6.510000000000001)</f>
        <v>6.51</v>
      </c>
      <c r="AA44" s="12">
        <f>IFERROR(__xludf.DUMMYFUNCTION("""COMPUTED_VALUE"""),60.0)</f>
        <v>60</v>
      </c>
      <c r="AB44" s="5" t="str">
        <f>IFERROR(__xludf.DUMMYFUNCTION("""COMPUTED_VALUE"""),"/")</f>
        <v>/</v>
      </c>
      <c r="AC44" s="5"/>
      <c r="AD44" s="5" t="str">
        <f>IFERROR(__xludf.DUMMYFUNCTION("""COMPUTED_VALUE"""),"0.05/30")</f>
        <v>0.05/30</v>
      </c>
      <c r="AE44" s="5"/>
      <c r="AF44" s="5"/>
      <c r="AG44" s="5"/>
      <c r="AH44" s="5"/>
      <c r="AI44" s="5"/>
      <c r="AJ44" s="5"/>
      <c r="AK44" s="5">
        <f>IFERROR(__xludf.DUMMYFUNCTION("""COMPUTED_VALUE"""),5.0)</f>
        <v>5</v>
      </c>
      <c r="AL44" s="5" t="str">
        <f>IFERROR(__xludf.DUMMYFUNCTION("""COMPUTED_VALUE"""),"Yes")</f>
        <v>Yes</v>
      </c>
      <c r="AM44" s="5"/>
      <c r="AN44" s="7" t="str">
        <f>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AO44" s="5"/>
      <c r="AP44" s="5"/>
      <c r="AQ44" s="5" t="b">
        <f>IFERROR(__xludf.DUMMYFUNCTION("""COMPUTED_VALUE"""),TRUE)</f>
        <v>1</v>
      </c>
      <c r="AR44" s="5"/>
      <c r="AS44" s="5" t="str">
        <f>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AT44" s="5"/>
      <c r="AU44" s="5" t="str">
        <f>IFERROR(__xludf.DUMMYFUNCTION("""COMPUTED_VALUE"""),"Fazi")</f>
        <v>Fazi</v>
      </c>
      <c r="AV44" s="5"/>
      <c r="AW44" s="5"/>
      <c r="AX44" s="5"/>
      <c r="AY44" s="5"/>
      <c r="AZ44" s="5"/>
      <c r="BA44" s="5" t="str">
        <f>IFERROR(__xludf.DUMMYFUNCTION("""COMPUTED_VALUE"""),"")</f>
        <v/>
      </c>
      <c r="BB44" s="5"/>
      <c r="BC44" s="5" t="str">
        <f>IFERROR(__xludf.DUMMYFUNCTION("""COMPUTED_VALUE"""),"Foxi")</f>
        <v>Foxi</v>
      </c>
      <c r="BD44" s="7" t="str">
        <f>IFERROR(__xludf.DUMMYFUNCTION("""COMPUTED_VALUE"""),"https://gameserver-store-client-area.orbionlimited.com/Home/IntegrationGameLaunch/client-area?moneyType=0&amp;gameName=TripleHot&amp;platform=desktop&amp;languageCode=eng&amp;currency=EUR")</f>
        <v>https://gameserver-store-client-area.orbionlimited.com/Home/IntegrationGameLaunch/client-area?moneyType=0&amp;gameName=TripleHot&amp;platform=desktop&amp;languageCode=eng&amp;currency=EUR</v>
      </c>
      <c r="BE44" s="5" t="b">
        <f>IFERROR(__xludf.DUMMYFUNCTION("""COMPUTED_VALUE"""),TRUE)</f>
        <v>1</v>
      </c>
    </row>
    <row r="45">
      <c r="A45" s="5">
        <f>IFERROR(__xludf.DUMMYFUNCTION("""COMPUTED_VALUE"""),44.0)</f>
        <v>44</v>
      </c>
      <c r="B45" s="5">
        <f>IFERROR(__xludf.DUMMYFUNCTION("""COMPUTED_VALUE"""),43.0)</f>
        <v>43</v>
      </c>
      <c r="C45" s="5" t="str">
        <f>IFERROR(__xludf.DUMMYFUNCTION("""COMPUTED_VALUE"""),"Fazi")</f>
        <v>Fazi</v>
      </c>
      <c r="D45" s="5" t="str">
        <f>IFERROR(__xludf.DUMMYFUNCTION("""COMPUTED_VALUE"""),"Crystal Hot 40")</f>
        <v>Crystal Hot 40</v>
      </c>
      <c r="E45" s="5" t="str">
        <f>IFERROR(__xludf.DUMMYFUNCTION("""COMPUTED_VALUE"""),"V2")</f>
        <v>V2</v>
      </c>
      <c r="F45" s="5" t="str">
        <f>IFERROR(__xludf.DUMMYFUNCTION("""COMPUTED_VALUE"""),"CrystalHot40")</f>
        <v>CrystalHot40</v>
      </c>
      <c r="G45" s="5" t="str">
        <f>IFERROR(__xludf.DUMMYFUNCTION("""COMPUTED_VALUE"""),"Live")</f>
        <v>Live</v>
      </c>
      <c r="H45" s="5"/>
      <c r="I45" s="5" t="str">
        <f>IFERROR(__xludf.DUMMYFUNCTION("""COMPUTED_VALUE"""),"V2")</f>
        <v>V2</v>
      </c>
      <c r="J45" s="5" t="str">
        <f>IFERROR(__xludf.DUMMYFUNCTION("""COMPUTED_VALUE"""),"JSON")</f>
        <v>JSON</v>
      </c>
      <c r="K45" s="5" t="str">
        <f>IFERROR(__xludf.DUMMYFUNCTION("""COMPUTED_VALUE"""),"Slot")</f>
        <v>Slot</v>
      </c>
      <c r="L45" s="5" t="str">
        <f>IFERROR(__xludf.DUMMYFUNCTION("""COMPUTED_VALUE"""),"Clone")</f>
        <v>Clone</v>
      </c>
      <c r="M45" s="5" t="str">
        <f>IFERROR(__xludf.DUMMYFUNCTION("""COMPUTED_VALUE"""),"Turbo Hot 40")</f>
        <v>Turbo Hot 40</v>
      </c>
      <c r="N45" s="5"/>
      <c r="O45" s="5"/>
      <c r="P45" s="12">
        <f>IFERROR(__xludf.DUMMYFUNCTION("""COMPUTED_VALUE"""),31.5)</f>
        <v>31.5</v>
      </c>
      <c r="Q45" s="13">
        <f>IFERROR(__xludf.DUMMYFUNCTION("""COMPUTED_VALUE"""),43555.0)</f>
        <v>43555</v>
      </c>
      <c r="R45" s="14"/>
      <c r="S45" s="13">
        <f>IFERROR(__xludf.DUMMYFUNCTION("""COMPUTED_VALUE"""),43555.0)</f>
        <v>43555</v>
      </c>
      <c r="T45" s="5"/>
      <c r="U45" s="5" t="str">
        <f>IFERROR(__xludf.DUMMYFUNCTION("""COMPUTED_VALUE"""),"5x4")</f>
        <v>5x4</v>
      </c>
      <c r="V45" s="10" t="str">
        <f>IFERROR(__xludf.DUMMYFUNCTION("""COMPUTED_VALUE"""),"40")</f>
        <v>40</v>
      </c>
      <c r="W45" s="10" t="str">
        <f>IFERROR(__xludf.DUMMYFUNCTION("""COMPUTED_VALUE"""),"40")</f>
        <v>40</v>
      </c>
      <c r="X45" s="5">
        <f>IFERROR(__xludf.DUMMYFUNCTION("""COMPUTED_VALUE"""),96.584)</f>
        <v>96.584</v>
      </c>
      <c r="Y45" s="5" t="str">
        <f>IFERROR(__xludf.DUMMYFUNCTION("""COMPUTED_VALUE"""),"Low")</f>
        <v>Low</v>
      </c>
      <c r="Z45" s="5">
        <f>IFERROR(__xludf.DUMMYFUNCTION("""COMPUTED_VALUE"""),16.73)</f>
        <v>16.73</v>
      </c>
      <c r="AA45" s="12">
        <f>IFERROR(__xludf.DUMMYFUNCTION("""COMPUTED_VALUE"""),1000.0)</f>
        <v>1000</v>
      </c>
      <c r="AB45" s="5" t="str">
        <f>IFERROR(__xludf.DUMMYFUNCTION("""COMPUTED_VALUE"""),"/")</f>
        <v>/</v>
      </c>
      <c r="AC45" s="5" t="str">
        <f>IFERROR(__xludf.DUMMYFUNCTION("""COMPUTED_VALUE"""),"Wild Symbol, Scatter")</f>
        <v>Wild Symbol, Scatter</v>
      </c>
      <c r="AD45" s="5" t="str">
        <f>IFERROR(__xludf.DUMMYFUNCTION("""COMPUTED_VALUE"""),"0.4/60")</f>
        <v>0.4/60</v>
      </c>
      <c r="AE45" s="5"/>
      <c r="AF45" s="5"/>
      <c r="AG45" s="8">
        <f>IFERROR(__xludf.DUMMYFUNCTION("""COMPUTED_VALUE"""),46104.42760416667)</f>
        <v>46104.4276</v>
      </c>
      <c r="AH45" s="5" t="str">
        <f>IFERROR(__xludf.DUMMYFUNCTION("""COMPUTED_VALUE"""),"marko.tepavac@fazi.rs")</f>
        <v>marko.tepavac@fazi.rs</v>
      </c>
      <c r="AI45" s="5"/>
      <c r="AJ45" s="5"/>
      <c r="AK45" s="5">
        <f>IFERROR(__xludf.DUMMYFUNCTION("""COMPUTED_VALUE"""),40.0)</f>
        <v>40</v>
      </c>
      <c r="AL45" s="5" t="str">
        <f>IFERROR(__xludf.DUMMYFUNCTION("""COMPUTED_VALUE"""),"Yes")</f>
        <v>Yes</v>
      </c>
      <c r="AM45" s="5"/>
      <c r="AN45" s="7" t="str">
        <f>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AO45" s="5" t="str">
        <f>IFERROR(__xludf.DUMMYFUNCTION("""COMPUTED_VALUE"""),"Yes")</f>
        <v>Yes</v>
      </c>
      <c r="AP45" s="5" t="str">
        <f>IFERROR(__xludf.DUMMYFUNCTION("""COMPUTED_VALUE"""),"Yes")</f>
        <v>Yes</v>
      </c>
      <c r="AQ45" s="5" t="b">
        <f>IFERROR(__xludf.DUMMYFUNCTION("""COMPUTED_VALUE"""),TRUE)</f>
        <v>1</v>
      </c>
      <c r="AR45" s="5"/>
      <c r="AS45"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45" s="5" t="str">
        <f>IFERROR(__xludf.DUMMYFUNCTION("""COMPUTED_VALUE"""),"No")</f>
        <v>No</v>
      </c>
      <c r="AU45" s="5" t="str">
        <f>IFERROR(__xludf.DUMMYFUNCTION("""COMPUTED_VALUE"""),"Fazi")</f>
        <v>Fazi</v>
      </c>
      <c r="AV45" s="5"/>
      <c r="AW45" s="5"/>
      <c r="AX45" s="5"/>
      <c r="AY45" s="5" t="str">
        <f>IFERROR(__xludf.DUMMYFUNCTION("""COMPUTED_VALUE"""),"87.5%, 89.5%, 91.5%, 93.5%, 94.5%, 95.5%, 96.5%")</f>
        <v>87.5%, 89.5%, 91.5%, 93.5%, 94.5%, 95.5%, 96.5%</v>
      </c>
      <c r="AZ45" s="5"/>
      <c r="BA45" s="5" t="str">
        <f>IFERROR(__xludf.DUMMYFUNCTION("""COMPUTED_VALUE"""),"")</f>
        <v/>
      </c>
      <c r="BB45" s="5"/>
      <c r="BC45" s="5" t="str">
        <f>IFERROR(__xludf.DUMMYFUNCTION("""COMPUTED_VALUE"""),"Foxi")</f>
        <v>Foxi</v>
      </c>
      <c r="BD45" s="7" t="str">
        <f>IFERROR(__xludf.DUMMYFUNCTION("""COMPUTED_VALUE"""),"https://gameserver-store-client-area.orbionlimited.com/Home/IntegrationGameLaunch/client-area?moneyType=0&amp;gameName=CrystalHot40&amp;platform=desktop&amp;languageCode=eng&amp;currency=EUR")</f>
        <v>https://gameserver-store-client-area.orbionlimited.com/Home/IntegrationGameLaunch/client-area?moneyType=0&amp;gameName=CrystalHot40&amp;platform=desktop&amp;languageCode=eng&amp;currency=EUR</v>
      </c>
      <c r="BE45" s="5" t="b">
        <f>IFERROR(__xludf.DUMMYFUNCTION("""COMPUTED_VALUE"""),TRUE)</f>
        <v>1</v>
      </c>
    </row>
    <row r="46">
      <c r="A46" s="5">
        <f>IFERROR(__xludf.DUMMYFUNCTION("""COMPUTED_VALUE"""),45.0)</f>
        <v>45</v>
      </c>
      <c r="B46" s="5">
        <f>IFERROR(__xludf.DUMMYFUNCTION("""COMPUTED_VALUE"""),44.0)</f>
        <v>44</v>
      </c>
      <c r="C46" s="5" t="str">
        <f>IFERROR(__xludf.DUMMYFUNCTION("""COMPUTED_VALUE"""),"Fazi")</f>
        <v>Fazi</v>
      </c>
      <c r="D46" s="5" t="str">
        <f>IFERROR(__xludf.DUMMYFUNCTION("""COMPUTED_VALUE"""),"Burning Ice Deluxe")</f>
        <v>Burning Ice Deluxe</v>
      </c>
      <c r="E46" s="5" t="str">
        <f>IFERROR(__xludf.DUMMYFUNCTION("""COMPUTED_VALUE"""),"V2")</f>
        <v>V2</v>
      </c>
      <c r="F46" s="5" t="str">
        <f>IFERROR(__xludf.DUMMYFUNCTION("""COMPUTED_VALUE"""),"BurningIceDeluxe")</f>
        <v>BurningIceDeluxe</v>
      </c>
      <c r="G46" s="5" t="str">
        <f>IFERROR(__xludf.DUMMYFUNCTION("""COMPUTED_VALUE"""),"Retired")</f>
        <v>Retired</v>
      </c>
      <c r="H46" s="5"/>
      <c r="I46" s="5" t="str">
        <f>IFERROR(__xludf.DUMMYFUNCTION("""COMPUTED_VALUE"""),"V2")</f>
        <v>V2</v>
      </c>
      <c r="J46" s="5" t="str">
        <f>IFERROR(__xludf.DUMMYFUNCTION("""COMPUTED_VALUE"""),"Binary")</f>
        <v>Binary</v>
      </c>
      <c r="K46" s="5" t="str">
        <f>IFERROR(__xludf.DUMMYFUNCTION("""COMPUTED_VALUE"""),"Slot")</f>
        <v>Slot</v>
      </c>
      <c r="L46" s="5" t="str">
        <f>IFERROR(__xludf.DUMMYFUNCTION("""COMPUTED_VALUE"""),"Clone")</f>
        <v>Clone</v>
      </c>
      <c r="M46" s="5" t="str">
        <f>IFERROR(__xludf.DUMMYFUNCTION("""COMPUTED_VALUE"""),"Burning Ice")</f>
        <v>Burning Ice</v>
      </c>
      <c r="N46" s="5"/>
      <c r="O46" s="5"/>
      <c r="P46" s="12"/>
      <c r="Q46" s="13">
        <f>IFERROR(__xludf.DUMMYFUNCTION("""COMPUTED_VALUE"""),43831.0)</f>
        <v>43831</v>
      </c>
      <c r="R46" s="14"/>
      <c r="S46" s="13">
        <f>IFERROR(__xludf.DUMMYFUNCTION("""COMPUTED_VALUE"""),43831.0)</f>
        <v>43831</v>
      </c>
      <c r="T46" s="5"/>
      <c r="U46" s="5" t="str">
        <f>IFERROR(__xludf.DUMMYFUNCTION("""COMPUTED_VALUE"""),"3x3")</f>
        <v>3x3</v>
      </c>
      <c r="V46" s="10" t="str">
        <f>IFERROR(__xludf.DUMMYFUNCTION("""COMPUTED_VALUE"""),"27")</f>
        <v>27</v>
      </c>
      <c r="W46" s="10" t="str">
        <f>IFERROR(__xludf.DUMMYFUNCTION("""COMPUTED_VALUE"""),"27")</f>
        <v>27</v>
      </c>
      <c r="X46" s="5">
        <f>IFERROR(__xludf.DUMMYFUNCTION("""COMPUTED_VALUE"""),96.352)</f>
        <v>96.352</v>
      </c>
      <c r="Y46" s="5" t="str">
        <f>IFERROR(__xludf.DUMMYFUNCTION("""COMPUTED_VALUE"""),"Medium")</f>
        <v>Medium</v>
      </c>
      <c r="Z46" s="5">
        <f>IFERROR(__xludf.DUMMYFUNCTION("""COMPUTED_VALUE"""),8.03)</f>
        <v>8.03</v>
      </c>
      <c r="AA46" s="12">
        <f>IFERROR(__xludf.DUMMYFUNCTION("""COMPUTED_VALUE"""),360.0)</f>
        <v>360</v>
      </c>
      <c r="AB46" s="5"/>
      <c r="AC46" s="5" t="str">
        <f>IFERROR(__xludf.DUMMYFUNCTION("""COMPUTED_VALUE"""),"Respin, Mystery symbol")</f>
        <v>Respin, Mystery symbol</v>
      </c>
      <c r="AD46" s="5"/>
      <c r="AE46" s="5"/>
      <c r="AF46" s="5"/>
      <c r="AG46" s="5"/>
      <c r="AH46" s="5"/>
      <c r="AI46" s="5"/>
      <c r="AJ46" s="5"/>
      <c r="AK46" s="5">
        <f>IFERROR(__xludf.DUMMYFUNCTION("""COMPUTED_VALUE"""),1.0)</f>
        <v>1</v>
      </c>
      <c r="AL46" s="5"/>
      <c r="AM46" s="5"/>
      <c r="AN46" s="5"/>
      <c r="AO46" s="5"/>
      <c r="AP46" s="5"/>
      <c r="AQ46" s="5"/>
      <c r="AR46" s="5"/>
      <c r="AS46" s="5"/>
      <c r="AT46" s="5"/>
      <c r="AU46" s="5" t="str">
        <f>IFERROR(__xludf.DUMMYFUNCTION("""COMPUTED_VALUE"""),"Fazi")</f>
        <v>Fazi</v>
      </c>
      <c r="AV46" s="5"/>
      <c r="AW46" s="5"/>
      <c r="AX46" s="5"/>
      <c r="AY46" s="5"/>
      <c r="AZ46" s="5"/>
      <c r="BA46" s="5" t="str">
        <f>IFERROR(__xludf.DUMMYFUNCTION("""COMPUTED_VALUE"""),"")</f>
        <v/>
      </c>
      <c r="BB46" s="5"/>
      <c r="BC46" s="5" t="str">
        <f>IFERROR(__xludf.DUMMYFUNCTION("""COMPUTED_VALUE"""),"Foxi")</f>
        <v>Foxi</v>
      </c>
      <c r="BD46" s="5" t="str">
        <f>IFERROR(__xludf.DUMMYFUNCTION("""COMPUTED_VALUE"""),"")</f>
        <v/>
      </c>
      <c r="BE46" s="5"/>
    </row>
    <row r="47">
      <c r="A47" s="5">
        <f>IFERROR(__xludf.DUMMYFUNCTION("""COMPUTED_VALUE"""),46.0)</f>
        <v>46</v>
      </c>
      <c r="B47" s="5">
        <f>IFERROR(__xludf.DUMMYFUNCTION("""COMPUTED_VALUE"""),45.0)</f>
        <v>45</v>
      </c>
      <c r="C47" s="5" t="str">
        <f>IFERROR(__xludf.DUMMYFUNCTION("""COMPUTED_VALUE"""),"Fazi")</f>
        <v>Fazi</v>
      </c>
      <c r="D47" s="5" t="str">
        <f>IFERROR(__xludf.DUMMYFUNCTION("""COMPUTED_VALUE"""),"Neon Dice 5")</f>
        <v>Neon Dice 5</v>
      </c>
      <c r="E47" s="5"/>
      <c r="F47" s="5" t="str">
        <f>IFERROR(__xludf.DUMMYFUNCTION("""COMPUTED_VALUE"""),"NeonDice5")</f>
        <v>NeonDice5</v>
      </c>
      <c r="G47" s="5" t="str">
        <f>IFERROR(__xludf.DUMMYFUNCTION("""COMPUTED_VALUE"""),"Retired")</f>
        <v>Retired</v>
      </c>
      <c r="H47" s="5"/>
      <c r="I47" s="5"/>
      <c r="J47" s="5"/>
      <c r="K47" s="5" t="str">
        <f>IFERROR(__xludf.DUMMYFUNCTION("""COMPUTED_VALUE"""),"Slot")</f>
        <v>Slot</v>
      </c>
      <c r="L47" s="5" t="str">
        <f>IFERROR(__xludf.DUMMYFUNCTION("""COMPUTED_VALUE"""),"Clone")</f>
        <v>Clone</v>
      </c>
      <c r="M47" s="5" t="str">
        <f>IFERROR(__xludf.DUMMYFUNCTION("""COMPUTED_VALUE"""),"Neon Hot 5")</f>
        <v>Neon Hot 5</v>
      </c>
      <c r="N47" s="5"/>
      <c r="O47" s="5"/>
      <c r="P47" s="12"/>
      <c r="Q47" s="13">
        <f>IFERROR(__xludf.DUMMYFUNCTION("""COMPUTED_VALUE"""),43831.0)</f>
        <v>43831</v>
      </c>
      <c r="R47" s="14"/>
      <c r="S47" s="13">
        <f>IFERROR(__xludf.DUMMYFUNCTION("""COMPUTED_VALUE"""),43831.0)</f>
        <v>43831</v>
      </c>
      <c r="T47" s="5"/>
      <c r="U47" s="5" t="str">
        <f>IFERROR(__xludf.DUMMYFUNCTION("""COMPUTED_VALUE"""),"5x3")</f>
        <v>5x3</v>
      </c>
      <c r="V47" s="10" t="str">
        <f>IFERROR(__xludf.DUMMYFUNCTION("""COMPUTED_VALUE"""),"5")</f>
        <v>5</v>
      </c>
      <c r="W47" s="10" t="str">
        <f>IFERROR(__xludf.DUMMYFUNCTION("""COMPUTED_VALUE"""),"5")</f>
        <v>5</v>
      </c>
      <c r="X47" s="5">
        <f>IFERROR(__xludf.DUMMYFUNCTION("""COMPUTED_VALUE"""),95.74)</f>
        <v>95.74</v>
      </c>
      <c r="Y47" s="5" t="str">
        <f>IFERROR(__xludf.DUMMYFUNCTION("""COMPUTED_VALUE"""),"Medium")</f>
        <v>Medium</v>
      </c>
      <c r="Z47" s="5">
        <f>IFERROR(__xludf.DUMMYFUNCTION("""COMPUTED_VALUE"""),12.55)</f>
        <v>12.55</v>
      </c>
      <c r="AA47" s="12">
        <f>IFERROR(__xludf.DUMMYFUNCTION("""COMPUTED_VALUE"""),1000.0)</f>
        <v>1000</v>
      </c>
      <c r="AB47" s="5" t="str">
        <f>IFERROR(__xludf.DUMMYFUNCTION("""COMPUTED_VALUE"""),"/")</f>
        <v>/</v>
      </c>
      <c r="AC47" s="5" t="str">
        <f>IFERROR(__xludf.DUMMYFUNCTION("""COMPUTED_VALUE"""),"Scatter")</f>
        <v>Scatter</v>
      </c>
      <c r="AD47" s="5"/>
      <c r="AE47" s="5"/>
      <c r="AF47" s="5"/>
      <c r="AG47" s="8">
        <f>IFERROR(__xludf.DUMMYFUNCTION("""COMPUTED_VALUE"""),45699.59409722222)</f>
        <v>45699.5941</v>
      </c>
      <c r="AH47" s="5" t="str">
        <f>IFERROR(__xludf.DUMMYFUNCTION("""COMPUTED_VALUE"""),"milutin.toskic@fazi.rs")</f>
        <v>milutin.toskic@fazi.rs</v>
      </c>
      <c r="AI47" s="5"/>
      <c r="AJ47" s="5"/>
      <c r="AK47" s="5">
        <f>IFERROR(__xludf.DUMMYFUNCTION("""COMPUTED_VALUE"""),5.0)</f>
        <v>5</v>
      </c>
      <c r="AL47" s="5"/>
      <c r="AM47" s="5"/>
      <c r="AN47" s="5"/>
      <c r="AO47" s="5"/>
      <c r="AP47" s="5"/>
      <c r="AQ47" s="5"/>
      <c r="AR47" s="5"/>
      <c r="AS47" s="5"/>
      <c r="AT47" s="5"/>
      <c r="AU47" s="5" t="str">
        <f>IFERROR(__xludf.DUMMYFUNCTION("""COMPUTED_VALUE"""),"Fazi")</f>
        <v>Fazi</v>
      </c>
      <c r="AV47" s="5"/>
      <c r="AW47" s="5"/>
      <c r="AX47" s="5"/>
      <c r="AY47" s="5"/>
      <c r="AZ47" s="5"/>
      <c r="BA47" s="5" t="str">
        <f>IFERROR(__xludf.DUMMYFUNCTION("""COMPUTED_VALUE"""),"")</f>
        <v/>
      </c>
      <c r="BB47" s="5"/>
      <c r="BC47" s="5" t="str">
        <f>IFERROR(__xludf.DUMMYFUNCTION("""COMPUTED_VALUE"""),"Foxi")</f>
        <v>Foxi</v>
      </c>
      <c r="BD47" s="5" t="str">
        <f>IFERROR(__xludf.DUMMYFUNCTION("""COMPUTED_VALUE"""),"")</f>
        <v/>
      </c>
      <c r="BE47" s="5"/>
    </row>
    <row r="48">
      <c r="A48" s="5">
        <f>IFERROR(__xludf.DUMMYFUNCTION("""COMPUTED_VALUE"""),47.0)</f>
        <v>47</v>
      </c>
      <c r="B48" s="5">
        <f>IFERROR(__xludf.DUMMYFUNCTION("""COMPUTED_VALUE"""),46.0)</f>
        <v>46</v>
      </c>
      <c r="C48" s="5" t="str">
        <f>IFERROR(__xludf.DUMMYFUNCTION("""COMPUTED_VALUE"""),"Fazi")</f>
        <v>Fazi</v>
      </c>
      <c r="D48" s="5" t="str">
        <f>IFERROR(__xludf.DUMMYFUNCTION("""COMPUTED_VALUE"""),"Turbo Dice 40")</f>
        <v>Turbo Dice 40</v>
      </c>
      <c r="E48" s="5" t="str">
        <f>IFERROR(__xludf.DUMMYFUNCTION("""COMPUTED_VALUE"""),"V2")</f>
        <v>V2</v>
      </c>
      <c r="F48" s="5" t="str">
        <f>IFERROR(__xludf.DUMMYFUNCTION("""COMPUTED_VALUE"""),"TurboDice40")</f>
        <v>TurboDice40</v>
      </c>
      <c r="G48" s="5" t="str">
        <f>IFERROR(__xludf.DUMMYFUNCTION("""COMPUTED_VALUE"""),"Live")</f>
        <v>Live</v>
      </c>
      <c r="H48" s="5"/>
      <c r="I48" s="5" t="str">
        <f>IFERROR(__xludf.DUMMYFUNCTION("""COMPUTED_VALUE"""),"V2")</f>
        <v>V2</v>
      </c>
      <c r="J48" s="5" t="str">
        <f>IFERROR(__xludf.DUMMYFUNCTION("""COMPUTED_VALUE"""),"Binary")</f>
        <v>Binary</v>
      </c>
      <c r="K48" s="5" t="str">
        <f>IFERROR(__xludf.DUMMYFUNCTION("""COMPUTED_VALUE"""),"Slot")</f>
        <v>Slot</v>
      </c>
      <c r="L48" s="5" t="str">
        <f>IFERROR(__xludf.DUMMYFUNCTION("""COMPUTED_VALUE"""),"Clone")</f>
        <v>Clone</v>
      </c>
      <c r="M48" s="5" t="str">
        <f>IFERROR(__xludf.DUMMYFUNCTION("""COMPUTED_VALUE"""),"Turbo Hot 40")</f>
        <v>Turbo Hot 40</v>
      </c>
      <c r="N48" s="5"/>
      <c r="O48" s="5"/>
      <c r="P48" s="12">
        <f>IFERROR(__xludf.DUMMYFUNCTION("""COMPUTED_VALUE"""),19.3)</f>
        <v>19.3</v>
      </c>
      <c r="Q48" s="13">
        <f>IFERROR(__xludf.DUMMYFUNCTION("""COMPUTED_VALUE"""),43843.0)</f>
        <v>43843</v>
      </c>
      <c r="R48" s="14"/>
      <c r="S48" s="13">
        <f>IFERROR(__xludf.DUMMYFUNCTION("""COMPUTED_VALUE"""),43843.0)</f>
        <v>43843</v>
      </c>
      <c r="T48" s="5" t="b">
        <f>IFERROR(__xludf.DUMMYFUNCTION("""COMPUTED_VALUE"""),TRUE)</f>
        <v>1</v>
      </c>
      <c r="U48" s="5" t="str">
        <f>IFERROR(__xludf.DUMMYFUNCTION("""COMPUTED_VALUE"""),"5x4")</f>
        <v>5x4</v>
      </c>
      <c r="V48" s="10" t="str">
        <f>IFERROR(__xludf.DUMMYFUNCTION("""COMPUTED_VALUE"""),"40")</f>
        <v>40</v>
      </c>
      <c r="W48" s="10" t="str">
        <f>IFERROR(__xludf.DUMMYFUNCTION("""COMPUTED_VALUE"""),"40")</f>
        <v>40</v>
      </c>
      <c r="X48" s="5">
        <f>IFERROR(__xludf.DUMMYFUNCTION("""COMPUTED_VALUE"""),96.584)</f>
        <v>96.584</v>
      </c>
      <c r="Y48" s="5" t="str">
        <f>IFERROR(__xludf.DUMMYFUNCTION("""COMPUTED_VALUE"""),"Low")</f>
        <v>Low</v>
      </c>
      <c r="Z48" s="5">
        <f>IFERROR(__xludf.DUMMYFUNCTION("""COMPUTED_VALUE"""),16.735)</f>
        <v>16.735</v>
      </c>
      <c r="AA48" s="12">
        <f>IFERROR(__xludf.DUMMYFUNCTION("""COMPUTED_VALUE"""),1000.0)</f>
        <v>1000</v>
      </c>
      <c r="AB48" s="5" t="str">
        <f>IFERROR(__xludf.DUMMYFUNCTION("""COMPUTED_VALUE"""),"/")</f>
        <v>/</v>
      </c>
      <c r="AC48" s="5" t="str">
        <f>IFERROR(__xludf.DUMMYFUNCTION("""COMPUTED_VALUE"""),"Scatter, Wild Symbol")</f>
        <v>Scatter, Wild Symbol</v>
      </c>
      <c r="AD48" s="5" t="str">
        <f>IFERROR(__xludf.DUMMYFUNCTION("""COMPUTED_VALUE"""),"0.40/60")</f>
        <v>0.40/60</v>
      </c>
      <c r="AE48" s="5"/>
      <c r="AF48" s="5"/>
      <c r="AG48" s="8">
        <f>IFERROR(__xludf.DUMMYFUNCTION("""COMPUTED_VALUE"""),46038.71774305555)</f>
        <v>46038.71774</v>
      </c>
      <c r="AH48" s="5" t="str">
        <f>IFERROR(__xludf.DUMMYFUNCTION("""COMPUTED_VALUE"""),"djordje.petrovic@fazi.rs")</f>
        <v>djordje.petrovic@fazi.rs</v>
      </c>
      <c r="AI48" s="5"/>
      <c r="AJ48" s="5"/>
      <c r="AK48" s="5">
        <f>IFERROR(__xludf.DUMMYFUNCTION("""COMPUTED_VALUE"""),40.0)</f>
        <v>40</v>
      </c>
      <c r="AL48" s="5" t="str">
        <f>IFERROR(__xludf.DUMMYFUNCTION("""COMPUTED_VALUE"""),"Yes")</f>
        <v>Yes</v>
      </c>
      <c r="AM48" s="5"/>
      <c r="AN48" s="7" t="str">
        <f>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AO48" s="5"/>
      <c r="AP48" s="5"/>
      <c r="AQ48" s="5" t="b">
        <f>IFERROR(__xludf.DUMMYFUNCTION("""COMPUTED_VALUE"""),TRUE)</f>
        <v>1</v>
      </c>
      <c r="AR48" s="5"/>
      <c r="AS48" s="5" t="str">
        <f>IFERROR(__xludf.DUMMYFUNCTION("""COMPUTED_VALUE"""),"Roll your dice and feel the power of wining enormous price! Try your luck with the incredible magic of turbo dice!")</f>
        <v>Roll your dice and feel the power of wining enormous price! Try your luck with the incredible magic of turbo dice!</v>
      </c>
      <c r="AT48" s="5"/>
      <c r="AU48" s="5" t="str">
        <f>IFERROR(__xludf.DUMMYFUNCTION("""COMPUTED_VALUE"""),"Fazi")</f>
        <v>Fazi</v>
      </c>
      <c r="AV48" s="5"/>
      <c r="AW48" s="5"/>
      <c r="AX48" s="5"/>
      <c r="AY48" s="5"/>
      <c r="AZ48" s="5"/>
      <c r="BA48" s="5" t="str">
        <f>IFERROR(__xludf.DUMMYFUNCTION("""COMPUTED_VALUE"""),"")</f>
        <v/>
      </c>
      <c r="BB48" s="5"/>
      <c r="BC48" s="5" t="str">
        <f>IFERROR(__xludf.DUMMYFUNCTION("""COMPUTED_VALUE"""),"Foxi")</f>
        <v>Foxi</v>
      </c>
      <c r="BD48" s="7" t="str">
        <f>IFERROR(__xludf.DUMMYFUNCTION("""COMPUTED_VALUE"""),"https://gameserver-store-client-area.orbionlimited.com/Home/IntegrationGameLaunch/client-area?moneyType=0&amp;gameName=TurboDice40&amp;platform=desktop&amp;languageCode=eng&amp;currency=EUR")</f>
        <v>https://gameserver-store-client-area.orbionlimited.com/Home/IntegrationGameLaunch/client-area?moneyType=0&amp;gameName=TurboDice40&amp;platform=desktop&amp;languageCode=eng&amp;currency=EUR</v>
      </c>
      <c r="BE48" s="5" t="b">
        <f>IFERROR(__xludf.DUMMYFUNCTION("""COMPUTED_VALUE"""),TRUE)</f>
        <v>1</v>
      </c>
    </row>
    <row r="49">
      <c r="A49" s="5">
        <f>IFERROR(__xludf.DUMMYFUNCTION("""COMPUTED_VALUE"""),48.0)</f>
        <v>48</v>
      </c>
      <c r="B49" s="5">
        <f>IFERROR(__xludf.DUMMYFUNCTION("""COMPUTED_VALUE"""),47.0)</f>
        <v>47</v>
      </c>
      <c r="C49" s="5" t="str">
        <f>IFERROR(__xludf.DUMMYFUNCTION("""COMPUTED_VALUE"""),"Fazi")</f>
        <v>Fazi</v>
      </c>
      <c r="D49" s="5" t="str">
        <f>IFERROR(__xludf.DUMMYFUNCTION("""COMPUTED_VALUE"""),"Triple Dice")</f>
        <v>Triple Dice</v>
      </c>
      <c r="E49" s="5" t="str">
        <f>IFERROR(__xludf.DUMMYFUNCTION("""COMPUTED_VALUE"""),"V2")</f>
        <v>V2</v>
      </c>
      <c r="F49" s="5" t="str">
        <f>IFERROR(__xludf.DUMMYFUNCTION("""COMPUTED_VALUE"""),"TripleDice")</f>
        <v>TripleDice</v>
      </c>
      <c r="G49" s="5" t="str">
        <f>IFERROR(__xludf.DUMMYFUNCTION("""COMPUTED_VALUE"""),"Live")</f>
        <v>Live</v>
      </c>
      <c r="H49" s="5"/>
      <c r="I49" s="5" t="str">
        <f>IFERROR(__xludf.DUMMYFUNCTION("""COMPUTED_VALUE"""),"V2")</f>
        <v>V2</v>
      </c>
      <c r="J49" s="5" t="str">
        <f>IFERROR(__xludf.DUMMYFUNCTION("""COMPUTED_VALUE"""),"Binary")</f>
        <v>Binary</v>
      </c>
      <c r="K49" s="5" t="str">
        <f>IFERROR(__xludf.DUMMYFUNCTION("""COMPUTED_VALUE"""),"Slot")</f>
        <v>Slot</v>
      </c>
      <c r="L49" s="5" t="str">
        <f>IFERROR(__xludf.DUMMYFUNCTION("""COMPUTED_VALUE"""),"Clone")</f>
        <v>Clone</v>
      </c>
      <c r="M49" s="5" t="str">
        <f>IFERROR(__xludf.DUMMYFUNCTION("""COMPUTED_VALUE"""),"Triple Hot")</f>
        <v>Triple Hot</v>
      </c>
      <c r="N49" s="5"/>
      <c r="O49" s="5"/>
      <c r="P49" s="12">
        <f>IFERROR(__xludf.DUMMYFUNCTION("""COMPUTED_VALUE"""),24.1)</f>
        <v>24.1</v>
      </c>
      <c r="Q49" s="13">
        <f>IFERROR(__xludf.DUMMYFUNCTION("""COMPUTED_VALUE"""),43531.0)</f>
        <v>43531</v>
      </c>
      <c r="R49" s="14"/>
      <c r="S49" s="13">
        <f>IFERROR(__xludf.DUMMYFUNCTION("""COMPUTED_VALUE"""),43531.0)</f>
        <v>43531</v>
      </c>
      <c r="T49" s="5" t="b">
        <f>IFERROR(__xludf.DUMMYFUNCTION("""COMPUTED_VALUE"""),TRUE)</f>
        <v>1</v>
      </c>
      <c r="U49" s="5" t="str">
        <f>IFERROR(__xludf.DUMMYFUNCTION("""COMPUTED_VALUE"""),"3x3")</f>
        <v>3x3</v>
      </c>
      <c r="V49" s="10" t="str">
        <f>IFERROR(__xludf.DUMMYFUNCTION("""COMPUTED_VALUE"""),"5")</f>
        <v>5</v>
      </c>
      <c r="W49" s="10" t="str">
        <f>IFERROR(__xludf.DUMMYFUNCTION("""COMPUTED_VALUE"""),"5")</f>
        <v>5</v>
      </c>
      <c r="X49" s="5">
        <f>IFERROR(__xludf.DUMMYFUNCTION("""COMPUTED_VALUE"""),95.513)</f>
        <v>95.513</v>
      </c>
      <c r="Y49" s="5" t="str">
        <f>IFERROR(__xludf.DUMMYFUNCTION("""COMPUTED_VALUE"""),"Low")</f>
        <v>Low</v>
      </c>
      <c r="Z49" s="5">
        <f>IFERROR(__xludf.DUMMYFUNCTION("""COMPUTED_VALUE"""),6.510000000000001)</f>
        <v>6.51</v>
      </c>
      <c r="AA49" s="12">
        <f>IFERROR(__xludf.DUMMYFUNCTION("""COMPUTED_VALUE"""),60.0)</f>
        <v>60</v>
      </c>
      <c r="AB49" s="5" t="str">
        <f>IFERROR(__xludf.DUMMYFUNCTION("""COMPUTED_VALUE"""),"/")</f>
        <v>/</v>
      </c>
      <c r="AC49" s="5"/>
      <c r="AD49" s="5" t="str">
        <f>IFERROR(__xludf.DUMMYFUNCTION("""COMPUTED_VALUE"""),"0.05/30")</f>
        <v>0.05/30</v>
      </c>
      <c r="AE49" s="5"/>
      <c r="AF49" s="5"/>
      <c r="AG49" s="5"/>
      <c r="AH49" s="5"/>
      <c r="AI49" s="5"/>
      <c r="AJ49" s="5"/>
      <c r="AK49" s="5">
        <f>IFERROR(__xludf.DUMMYFUNCTION("""COMPUTED_VALUE"""),5.0)</f>
        <v>5</v>
      </c>
      <c r="AL49" s="5" t="str">
        <f>IFERROR(__xludf.DUMMYFUNCTION("""COMPUTED_VALUE"""),"Yes")</f>
        <v>Yes</v>
      </c>
      <c r="AM49" s="5"/>
      <c r="AN49" s="7" t="str">
        <f>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AO49" s="5"/>
      <c r="AP49" s="5"/>
      <c r="AQ49" s="5" t="b">
        <f>IFERROR(__xludf.DUMMYFUNCTION("""COMPUTED_VALUE"""),TRUE)</f>
        <v>1</v>
      </c>
      <c r="AR49" s="5"/>
      <c r="AS49" s="5" t="str">
        <f>IFERROR(__xludf.DUMMYFUNCTION("""COMPUTED_VALUE"""),"If you feel lucky come and play sassy Triple Dice in retro style with 3x3 and 5 lines.")</f>
        <v>If you feel lucky come and play sassy Triple Dice in retro style with 3x3 and 5 lines.</v>
      </c>
      <c r="AT49" s="5"/>
      <c r="AU49" s="5" t="str">
        <f>IFERROR(__xludf.DUMMYFUNCTION("""COMPUTED_VALUE"""),"Fazi")</f>
        <v>Fazi</v>
      </c>
      <c r="AV49" s="5"/>
      <c r="AW49" s="5"/>
      <c r="AX49" s="5"/>
      <c r="AY49" s="5"/>
      <c r="AZ49" s="5"/>
      <c r="BA49" s="5" t="str">
        <f>IFERROR(__xludf.DUMMYFUNCTION("""COMPUTED_VALUE"""),"")</f>
        <v/>
      </c>
      <c r="BB49" s="5"/>
      <c r="BC49" s="5" t="str">
        <f>IFERROR(__xludf.DUMMYFUNCTION("""COMPUTED_VALUE"""),"Foxi")</f>
        <v>Foxi</v>
      </c>
      <c r="BD49" s="7" t="str">
        <f>IFERROR(__xludf.DUMMYFUNCTION("""COMPUTED_VALUE"""),"https://gameserver-store-client-area.orbionlimited.com/Home/IntegrationGameLaunch/client-area?moneyType=0&amp;gameName=TripleDice&amp;platform=desktop&amp;languageCode=eng&amp;currency=EUR")</f>
        <v>https://gameserver-store-client-area.orbionlimited.com/Home/IntegrationGameLaunch/client-area?moneyType=0&amp;gameName=TripleDice&amp;platform=desktop&amp;languageCode=eng&amp;currency=EUR</v>
      </c>
      <c r="BE49" s="5" t="b">
        <f>IFERROR(__xludf.DUMMYFUNCTION("""COMPUTED_VALUE"""),TRUE)</f>
        <v>1</v>
      </c>
    </row>
    <row r="50">
      <c r="A50" s="5">
        <f>IFERROR(__xludf.DUMMYFUNCTION("""COMPUTED_VALUE"""),49.0)</f>
        <v>49</v>
      </c>
      <c r="B50" s="5">
        <f>IFERROR(__xludf.DUMMYFUNCTION("""COMPUTED_VALUE"""),48.0)</f>
        <v>48</v>
      </c>
      <c r="C50" s="5" t="str">
        <f>IFERROR(__xludf.DUMMYFUNCTION("""COMPUTED_VALUE"""),"Fazi")</f>
        <v>Fazi</v>
      </c>
      <c r="D50" s="5" t="str">
        <f>IFERROR(__xludf.DUMMYFUNCTION("""COMPUTED_VALUE"""),"Flashing Dice")</f>
        <v>Flashing Dice</v>
      </c>
      <c r="E50" s="5" t="str">
        <f>IFERROR(__xludf.DUMMYFUNCTION("""COMPUTED_VALUE"""),"V2")</f>
        <v>V2</v>
      </c>
      <c r="F50" s="5" t="str">
        <f>IFERROR(__xludf.DUMMYFUNCTION("""COMPUTED_VALUE"""),"FlashingDice")</f>
        <v>FlashingDice</v>
      </c>
      <c r="G50" s="5" t="str">
        <f>IFERROR(__xludf.DUMMYFUNCTION("""COMPUTED_VALUE"""),"Retired")</f>
        <v>Retired</v>
      </c>
      <c r="H50" s="5"/>
      <c r="I50" s="5" t="str">
        <f>IFERROR(__xludf.DUMMYFUNCTION("""COMPUTED_VALUE"""),"V2")</f>
        <v>V2</v>
      </c>
      <c r="J50" s="5" t="str">
        <f>IFERROR(__xludf.DUMMYFUNCTION("""COMPUTED_VALUE"""),"Binary")</f>
        <v>Binary</v>
      </c>
      <c r="K50" s="5" t="str">
        <f>IFERROR(__xludf.DUMMYFUNCTION("""COMPUTED_VALUE"""),"Slot")</f>
        <v>Slot</v>
      </c>
      <c r="L50" s="5" t="str">
        <f>IFERROR(__xludf.DUMMYFUNCTION("""COMPUTED_VALUE"""),"Clone")</f>
        <v>Clone</v>
      </c>
      <c r="M50" s="5" t="str">
        <f>IFERROR(__xludf.DUMMYFUNCTION("""COMPUTED_VALUE"""),"Burning Ice")</f>
        <v>Burning Ice</v>
      </c>
      <c r="N50" s="5"/>
      <c r="O50" s="5"/>
      <c r="P50" s="12"/>
      <c r="Q50" s="13">
        <f>IFERROR(__xludf.DUMMYFUNCTION("""COMPUTED_VALUE"""),43831.0)</f>
        <v>43831</v>
      </c>
      <c r="R50" s="14"/>
      <c r="S50" s="13">
        <f>IFERROR(__xludf.DUMMYFUNCTION("""COMPUTED_VALUE"""),43831.0)</f>
        <v>43831</v>
      </c>
      <c r="T50" s="5"/>
      <c r="U50" s="5" t="str">
        <f>IFERROR(__xludf.DUMMYFUNCTION("""COMPUTED_VALUE"""),"3x3")</f>
        <v>3x3</v>
      </c>
      <c r="V50" s="10" t="str">
        <f>IFERROR(__xludf.DUMMYFUNCTION("""COMPUTED_VALUE"""),"27")</f>
        <v>27</v>
      </c>
      <c r="W50" s="10" t="str">
        <f>IFERROR(__xludf.DUMMYFUNCTION("""COMPUTED_VALUE"""),"27")</f>
        <v>27</v>
      </c>
      <c r="X50" s="5">
        <f>IFERROR(__xludf.DUMMYFUNCTION("""COMPUTED_VALUE"""),96.352)</f>
        <v>96.352</v>
      </c>
      <c r="Y50" s="5" t="str">
        <f>IFERROR(__xludf.DUMMYFUNCTION("""COMPUTED_VALUE"""),"Medium")</f>
        <v>Medium</v>
      </c>
      <c r="Z50" s="5">
        <f>IFERROR(__xludf.DUMMYFUNCTION("""COMPUTED_VALUE"""),8.03)</f>
        <v>8.03</v>
      </c>
      <c r="AA50" s="12">
        <f>IFERROR(__xludf.DUMMYFUNCTION("""COMPUTED_VALUE"""),360.0)</f>
        <v>360</v>
      </c>
      <c r="AB50" s="5"/>
      <c r="AC50" s="5" t="str">
        <f>IFERROR(__xludf.DUMMYFUNCTION("""COMPUTED_VALUE"""),"Respin, Mystery symbol")</f>
        <v>Respin, Mystery symbol</v>
      </c>
      <c r="AD50" s="5"/>
      <c r="AE50" s="5"/>
      <c r="AF50" s="5"/>
      <c r="AG50" s="8">
        <f>IFERROR(__xludf.DUMMYFUNCTION("""COMPUTED_VALUE"""),45699.59475694444)</f>
        <v>45699.59476</v>
      </c>
      <c r="AH50" s="5" t="str">
        <f>IFERROR(__xludf.DUMMYFUNCTION("""COMPUTED_VALUE"""),"milutin.toskic@fazi.rs")</f>
        <v>milutin.toskic@fazi.rs</v>
      </c>
      <c r="AI50" s="5"/>
      <c r="AJ50" s="5"/>
      <c r="AK50" s="5">
        <f>IFERROR(__xludf.DUMMYFUNCTION("""COMPUTED_VALUE"""),1.0)</f>
        <v>1</v>
      </c>
      <c r="AL50" s="5"/>
      <c r="AM50" s="5"/>
      <c r="AN50" s="5"/>
      <c r="AO50" s="5"/>
      <c r="AP50" s="5"/>
      <c r="AQ50" s="5"/>
      <c r="AR50" s="5"/>
      <c r="AS50" s="5"/>
      <c r="AT50" s="5"/>
      <c r="AU50" s="5" t="str">
        <f>IFERROR(__xludf.DUMMYFUNCTION("""COMPUTED_VALUE"""),"Fazi")</f>
        <v>Fazi</v>
      </c>
      <c r="AV50" s="5"/>
      <c r="AW50" s="5"/>
      <c r="AX50" s="5"/>
      <c r="AY50" s="5"/>
      <c r="AZ50" s="5"/>
      <c r="BA50" s="5" t="str">
        <f>IFERROR(__xludf.DUMMYFUNCTION("""COMPUTED_VALUE"""),"")</f>
        <v/>
      </c>
      <c r="BB50" s="5"/>
      <c r="BC50" s="5" t="str">
        <f>IFERROR(__xludf.DUMMYFUNCTION("""COMPUTED_VALUE"""),"Foxi")</f>
        <v>Foxi</v>
      </c>
      <c r="BD50" s="5" t="str">
        <f>IFERROR(__xludf.DUMMYFUNCTION("""COMPUTED_VALUE"""),"")</f>
        <v/>
      </c>
      <c r="BE50" s="5"/>
    </row>
    <row r="51">
      <c r="A51" s="5">
        <f>IFERROR(__xludf.DUMMYFUNCTION("""COMPUTED_VALUE"""),50.0)</f>
        <v>50</v>
      </c>
      <c r="B51" s="5">
        <f>IFERROR(__xludf.DUMMYFUNCTION("""COMPUTED_VALUE"""),49.0)</f>
        <v>49</v>
      </c>
      <c r="C51" s="5" t="str">
        <f>IFERROR(__xludf.DUMMYFUNCTION("""COMPUTED_VALUE"""),"Fazi")</f>
        <v>Fazi</v>
      </c>
      <c r="D51" s="5" t="str">
        <f>IFERROR(__xludf.DUMMYFUNCTION("""COMPUTED_VALUE"""),"Spin Cards")</f>
        <v>Spin Cards</v>
      </c>
      <c r="E51" s="5"/>
      <c r="F51" s="5" t="str">
        <f>IFERROR(__xludf.DUMMYFUNCTION("""COMPUTED_VALUE"""),"SpinCards")</f>
        <v>SpinCards</v>
      </c>
      <c r="G51" s="5" t="str">
        <f>IFERROR(__xludf.DUMMYFUNCTION("""COMPUTED_VALUE"""),"Retired")</f>
        <v>Retired</v>
      </c>
      <c r="H51" s="5"/>
      <c r="I51" s="5" t="str">
        <f>IFERROR(__xludf.DUMMYFUNCTION("""COMPUTED_VALUE"""),"V3")</f>
        <v>V3</v>
      </c>
      <c r="J51" s="5" t="str">
        <f>IFERROR(__xludf.DUMMYFUNCTION("""COMPUTED_VALUE"""),"Binary")</f>
        <v>Binary</v>
      </c>
      <c r="K51" s="5" t="str">
        <f>IFERROR(__xludf.DUMMYFUNCTION("""COMPUTED_VALUE"""),"Slot")</f>
        <v>Slot</v>
      </c>
      <c r="L51" s="5"/>
      <c r="M51" s="5"/>
      <c r="N51" s="5"/>
      <c r="O51" s="5"/>
      <c r="P51" s="12">
        <f>IFERROR(__xludf.DUMMYFUNCTION("""COMPUTED_VALUE"""),47.6)</f>
        <v>47.6</v>
      </c>
      <c r="Q51" s="13">
        <f>IFERROR(__xludf.DUMMYFUNCTION("""COMPUTED_VALUE"""),44074.0)</f>
        <v>44074</v>
      </c>
      <c r="R51" s="14"/>
      <c r="S51" s="13">
        <f>IFERROR(__xludf.DUMMYFUNCTION("""COMPUTED_VALUE"""),44074.0)</f>
        <v>44074</v>
      </c>
      <c r="T51" s="5" t="b">
        <f>IFERROR(__xludf.DUMMYFUNCTION("""COMPUTED_VALUE"""),TRUE)</f>
        <v>1</v>
      </c>
      <c r="U51" s="5" t="str">
        <f>IFERROR(__xludf.DUMMYFUNCTION("""COMPUTED_VALUE"""),"5x3")</f>
        <v>5x3</v>
      </c>
      <c r="V51" s="10" t="str">
        <f>IFERROR(__xludf.DUMMYFUNCTION("""COMPUTED_VALUE"""),"9")</f>
        <v>9</v>
      </c>
      <c r="W51" s="10" t="str">
        <f>IFERROR(__xludf.DUMMYFUNCTION("""COMPUTED_VALUE"""),"1,3,5,7,9")</f>
        <v>1,3,5,7,9</v>
      </c>
      <c r="X51" s="5">
        <f>IFERROR(__xludf.DUMMYFUNCTION("""COMPUTED_VALUE"""),96.254)</f>
        <v>96.254</v>
      </c>
      <c r="Y51" s="5" t="str">
        <f>IFERROR(__xludf.DUMMYFUNCTION("""COMPUTED_VALUE"""),"Medium")</f>
        <v>Medium</v>
      </c>
      <c r="Z51" s="5">
        <f>IFERROR(__xludf.DUMMYFUNCTION("""COMPUTED_VALUE"""),27.72)</f>
        <v>27.72</v>
      </c>
      <c r="AA51" s="12">
        <f>IFERROR(__xludf.DUMMYFUNCTION("""COMPUTED_VALUE"""),557.0)</f>
        <v>557</v>
      </c>
      <c r="AB51" s="5">
        <f>IFERROR(__xludf.DUMMYFUNCTION("""COMPUTED_VALUE"""),74.0)</f>
        <v>74</v>
      </c>
      <c r="AC51" s="5" t="str">
        <f>IFERROR(__xludf.DUMMYFUNCTION("""COMPUTED_VALUE"""),"Bonus Game with Free Spins")</f>
        <v>Bonus Game with Free Spins</v>
      </c>
      <c r="AD51" s="5" t="str">
        <f>IFERROR(__xludf.DUMMYFUNCTION("""COMPUTED_VALUE"""),"0.01/36")</f>
        <v>0.01/36</v>
      </c>
      <c r="AE51" s="5"/>
      <c r="AF51" s="5"/>
      <c r="AG51" s="5"/>
      <c r="AH51" s="5"/>
      <c r="AI51" s="5"/>
      <c r="AJ51" s="5"/>
      <c r="AK51" s="5">
        <f>IFERROR(__xludf.DUMMYFUNCTION("""COMPUTED_VALUE"""),9.0)</f>
        <v>9</v>
      </c>
      <c r="AL51" s="5"/>
      <c r="AM51" s="5"/>
      <c r="AN51" s="5"/>
      <c r="AO51" s="5"/>
      <c r="AP51" s="5"/>
      <c r="AQ51" s="5"/>
      <c r="AR51" s="5"/>
      <c r="AS51" s="5"/>
      <c r="AT51" s="5"/>
      <c r="AU51" s="5" t="str">
        <f>IFERROR(__xludf.DUMMYFUNCTION("""COMPUTED_VALUE"""),"Fazi")</f>
        <v>Fazi</v>
      </c>
      <c r="AV51" s="5"/>
      <c r="AW51" s="5"/>
      <c r="AX51" s="5"/>
      <c r="AY51" s="5"/>
      <c r="AZ51" s="5"/>
      <c r="BA51" s="5" t="str">
        <f>IFERROR(__xludf.DUMMYFUNCTION("""COMPUTED_VALUE"""),"")</f>
        <v/>
      </c>
      <c r="BB51" s="5"/>
      <c r="BC51" s="5" t="str">
        <f>IFERROR(__xludf.DUMMYFUNCTION("""COMPUTED_VALUE"""),"Foxi")</f>
        <v>Foxi</v>
      </c>
      <c r="BD51" s="5" t="str">
        <f>IFERROR(__xludf.DUMMYFUNCTION("""COMPUTED_VALUE"""),"")</f>
        <v/>
      </c>
      <c r="BE51" s="5"/>
    </row>
    <row r="52">
      <c r="A52" s="5">
        <f>IFERROR(__xludf.DUMMYFUNCTION("""COMPUTED_VALUE"""),51.0)</f>
        <v>51</v>
      </c>
      <c r="B52" s="5">
        <f>IFERROR(__xludf.DUMMYFUNCTION("""COMPUTED_VALUE"""),50.0)</f>
        <v>50</v>
      </c>
      <c r="C52" s="5" t="str">
        <f>IFERROR(__xludf.DUMMYFUNCTION("""COMPUTED_VALUE"""),"Fazi")</f>
        <v>Fazi</v>
      </c>
      <c r="D52" s="5" t="str">
        <f>IFERROR(__xludf.DUMMYFUNCTION("""COMPUTED_VALUE"""),"Lucky Twister")</f>
        <v>Lucky Twister</v>
      </c>
      <c r="E52" s="5"/>
      <c r="F52" s="5" t="str">
        <f>IFERROR(__xludf.DUMMYFUNCTION("""COMPUTED_VALUE"""),"LuckyTwister")</f>
        <v>LuckyTwister</v>
      </c>
      <c r="G52" s="5" t="str">
        <f>IFERROR(__xludf.DUMMYFUNCTION("""COMPUTED_VALUE"""),"Retired")</f>
        <v>Retired</v>
      </c>
      <c r="H52" s="5"/>
      <c r="I52" s="5" t="str">
        <f>IFERROR(__xludf.DUMMYFUNCTION("""COMPUTED_VALUE"""),"V3")</f>
        <v>V3</v>
      </c>
      <c r="J52" s="5" t="str">
        <f>IFERROR(__xludf.DUMMYFUNCTION("""COMPUTED_VALUE"""),"Binary")</f>
        <v>Binary</v>
      </c>
      <c r="K52" s="5" t="str">
        <f>IFERROR(__xludf.DUMMYFUNCTION("""COMPUTED_VALUE"""),"Slot")</f>
        <v>Slot</v>
      </c>
      <c r="L52" s="5"/>
      <c r="M52" s="5"/>
      <c r="N52" s="5"/>
      <c r="O52" s="5"/>
      <c r="P52" s="12">
        <f>IFERROR(__xludf.DUMMYFUNCTION("""COMPUTED_VALUE"""),38.0)</f>
        <v>38</v>
      </c>
      <c r="Q52" s="13">
        <f>IFERROR(__xludf.DUMMYFUNCTION("""COMPUTED_VALUE"""),44004.0)</f>
        <v>44004</v>
      </c>
      <c r="R52" s="14"/>
      <c r="S52" s="13">
        <f>IFERROR(__xludf.DUMMYFUNCTION("""COMPUTED_VALUE"""),44004.0)</f>
        <v>44004</v>
      </c>
      <c r="T52" s="5" t="b">
        <f>IFERROR(__xludf.DUMMYFUNCTION("""COMPUTED_VALUE"""),TRUE)</f>
        <v>1</v>
      </c>
      <c r="U52" s="5" t="str">
        <f>IFERROR(__xludf.DUMMYFUNCTION("""COMPUTED_VALUE"""),"6x5")</f>
        <v>6x5</v>
      </c>
      <c r="V52" s="10" t="str">
        <f>IFERROR(__xludf.DUMMYFUNCTION("""COMPUTED_VALUE"""),"10")</f>
        <v>10</v>
      </c>
      <c r="W52" s="10"/>
      <c r="X52" s="5">
        <f>IFERROR(__xludf.DUMMYFUNCTION("""COMPUTED_VALUE"""),96.249)</f>
        <v>96.249</v>
      </c>
      <c r="Y52" s="5" t="str">
        <f>IFERROR(__xludf.DUMMYFUNCTION("""COMPUTED_VALUE"""),"Low")</f>
        <v>Low</v>
      </c>
      <c r="Z52" s="5">
        <f>IFERROR(__xludf.DUMMYFUNCTION("""COMPUTED_VALUE"""),39.660000000000004)</f>
        <v>39.66</v>
      </c>
      <c r="AA52" s="12">
        <f>IFERROR(__xludf.DUMMYFUNCTION("""COMPUTED_VALUE"""),1000.0)</f>
        <v>1000</v>
      </c>
      <c r="AB52" s="5" t="str">
        <f>IFERROR(__xludf.DUMMYFUNCTION("""COMPUTED_VALUE"""),"/")</f>
        <v>/</v>
      </c>
      <c r="AC52" s="5" t="str">
        <f>IFERROR(__xludf.DUMMYFUNCTION("""COMPUTED_VALUE"""),"Cluster Win")</f>
        <v>Cluster Win</v>
      </c>
      <c r="AD52" s="5" t="str">
        <f>IFERROR(__xludf.DUMMYFUNCTION("""COMPUTED_VALUE"""),"0.1/40")</f>
        <v>0.1/40</v>
      </c>
      <c r="AE52" s="5"/>
      <c r="AF52" s="5"/>
      <c r="AG52" s="5"/>
      <c r="AH52" s="5"/>
      <c r="AI52" s="5"/>
      <c r="AJ52" s="5"/>
      <c r="AK52" s="5">
        <f>IFERROR(__xludf.DUMMYFUNCTION("""COMPUTED_VALUE"""),10.0)</f>
        <v>10</v>
      </c>
      <c r="AL52" s="5"/>
      <c r="AM52" s="5"/>
      <c r="AN52" s="5"/>
      <c r="AO52" s="5"/>
      <c r="AP52" s="5"/>
      <c r="AQ52" s="5"/>
      <c r="AR52" s="5"/>
      <c r="AS52" s="5"/>
      <c r="AT52" s="5"/>
      <c r="AU52" s="5" t="str">
        <f>IFERROR(__xludf.DUMMYFUNCTION("""COMPUTED_VALUE"""),"Fazi")</f>
        <v>Fazi</v>
      </c>
      <c r="AV52" s="5"/>
      <c r="AW52" s="5"/>
      <c r="AX52" s="5"/>
      <c r="AY52" s="5"/>
      <c r="AZ52" s="5"/>
      <c r="BA52" s="5" t="str">
        <f>IFERROR(__xludf.DUMMYFUNCTION("""COMPUTED_VALUE"""),"")</f>
        <v/>
      </c>
      <c r="BB52" s="5"/>
      <c r="BC52" s="5" t="str">
        <f>IFERROR(__xludf.DUMMYFUNCTION("""COMPUTED_VALUE"""),"Foxi")</f>
        <v>Foxi</v>
      </c>
      <c r="BD52" s="5" t="str">
        <f>IFERROR(__xludf.DUMMYFUNCTION("""COMPUTED_VALUE"""),"")</f>
        <v/>
      </c>
      <c r="BE52" s="5"/>
    </row>
    <row r="53">
      <c r="A53" s="5">
        <f>IFERROR(__xludf.DUMMYFUNCTION("""COMPUTED_VALUE"""),52.0)</f>
        <v>52</v>
      </c>
      <c r="B53" s="5">
        <f>IFERROR(__xludf.DUMMYFUNCTION("""COMPUTED_VALUE"""),51.0)</f>
        <v>51</v>
      </c>
      <c r="C53" s="5" t="str">
        <f>IFERROR(__xludf.DUMMYFUNCTION("""COMPUTED_VALUE"""),"Fazi")</f>
        <v>Fazi</v>
      </c>
      <c r="D53" s="5" t="str">
        <f>IFERROR(__xludf.DUMMYFUNCTION("""COMPUTED_VALUE"""),"Katanas Of Time")</f>
        <v>Katanas Of Time</v>
      </c>
      <c r="E53" s="5" t="str">
        <f>IFERROR(__xludf.DUMMYFUNCTION("""COMPUTED_VALUE"""),"V2")</f>
        <v>V2</v>
      </c>
      <c r="F53" s="5" t="str">
        <f>IFERROR(__xludf.DUMMYFUNCTION("""COMPUTED_VALUE"""),"KatanasOfTime")</f>
        <v>KatanasOfTime</v>
      </c>
      <c r="G53" s="5" t="str">
        <f>IFERROR(__xludf.DUMMYFUNCTION("""COMPUTED_VALUE"""),"Live")</f>
        <v>Live</v>
      </c>
      <c r="H53" s="5"/>
      <c r="I53" s="5" t="str">
        <f>IFERROR(__xludf.DUMMYFUNCTION("""COMPUTED_VALUE"""),"V2")</f>
        <v>V2</v>
      </c>
      <c r="J53" s="5" t="str">
        <f>IFERROR(__xludf.DUMMYFUNCTION("""COMPUTED_VALUE"""),"Binary")</f>
        <v>Binary</v>
      </c>
      <c r="K53" s="5" t="str">
        <f>IFERROR(__xludf.DUMMYFUNCTION("""COMPUTED_VALUE"""),"Slot")</f>
        <v>Slot</v>
      </c>
      <c r="L53" s="5" t="str">
        <f>IFERROR(__xludf.DUMMYFUNCTION("""COMPUTED_VALUE"""),"Clone")</f>
        <v>Clone</v>
      </c>
      <c r="M53" s="5" t="str">
        <f>IFERROR(__xludf.DUMMYFUNCTION("""COMPUTED_VALUE"""),"Wizard")</f>
        <v>Wizard</v>
      </c>
      <c r="N53" s="5"/>
      <c r="O53" s="5"/>
      <c r="P53" s="12">
        <f>IFERROR(__xludf.DUMMYFUNCTION("""COMPUTED_VALUE"""),36.1)</f>
        <v>36.1</v>
      </c>
      <c r="Q53" s="13">
        <f>IFERROR(__xludf.DUMMYFUNCTION("""COMPUTED_VALUE"""),42947.0)</f>
        <v>42947</v>
      </c>
      <c r="R53" s="14"/>
      <c r="S53" s="13">
        <f>IFERROR(__xludf.DUMMYFUNCTION("""COMPUTED_VALUE"""),42947.0)</f>
        <v>42947</v>
      </c>
      <c r="T53" s="5" t="b">
        <f>IFERROR(__xludf.DUMMYFUNCTION("""COMPUTED_VALUE"""),TRUE)</f>
        <v>1</v>
      </c>
      <c r="U53" s="5" t="str">
        <f>IFERROR(__xludf.DUMMYFUNCTION("""COMPUTED_VALUE"""),"5x3")</f>
        <v>5x3</v>
      </c>
      <c r="V53" s="10" t="str">
        <f>IFERROR(__xludf.DUMMYFUNCTION("""COMPUTED_VALUE"""),"20")</f>
        <v>20</v>
      </c>
      <c r="W53" s="10" t="str">
        <f>IFERROR(__xludf.DUMMYFUNCTION("""COMPUTED_VALUE"""),"1,3,5,9,10,20")</f>
        <v>1,3,5,9,10,20</v>
      </c>
      <c r="X53" s="5">
        <f>IFERROR(__xludf.DUMMYFUNCTION("""COMPUTED_VALUE"""),96.087)</f>
        <v>96.087</v>
      </c>
      <c r="Y53" s="5" t="str">
        <f>IFERROR(__xludf.DUMMYFUNCTION("""COMPUTED_VALUE"""),"High")</f>
        <v>High</v>
      </c>
      <c r="Z53" s="5">
        <f>IFERROR(__xludf.DUMMYFUNCTION("""COMPUTED_VALUE"""),38.06)</f>
        <v>38.06</v>
      </c>
      <c r="AA53" s="12">
        <f>IFERROR(__xludf.DUMMYFUNCTION("""COMPUTED_VALUE"""),4063.0)</f>
        <v>4063</v>
      </c>
      <c r="AB53" s="5">
        <f>IFERROR(__xludf.DUMMYFUNCTION("""COMPUTED_VALUE"""),261.0)</f>
        <v>261</v>
      </c>
      <c r="AC53" s="5" t="str">
        <f>IFERROR(__xludf.DUMMYFUNCTION("""COMPUTED_VALUE"""),"Bonus Game with Multiplier, Wild Multiplier, Scatter")</f>
        <v>Bonus Game with Multiplier, Wild Multiplier, Scatter</v>
      </c>
      <c r="AD53" s="5" t="str">
        <f>IFERROR(__xludf.DUMMYFUNCTION("""COMPUTED_VALUE"""),"0.01/50")</f>
        <v>0.01/50</v>
      </c>
      <c r="AE53" s="5"/>
      <c r="AF53" s="5"/>
      <c r="AG53" s="5"/>
      <c r="AH53" s="5"/>
      <c r="AI53" s="5"/>
      <c r="AJ53" s="5"/>
      <c r="AK53" s="5">
        <f>IFERROR(__xludf.DUMMYFUNCTION("""COMPUTED_VALUE"""),20.0)</f>
        <v>20</v>
      </c>
      <c r="AL53" s="5" t="str">
        <f>IFERROR(__xludf.DUMMYFUNCTION("""COMPUTED_VALUE"""),"Yes")</f>
        <v>Yes</v>
      </c>
      <c r="AM53" s="5"/>
      <c r="AN53" s="7" t="str">
        <f>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AO53" s="5"/>
      <c r="AP53" s="5"/>
      <c r="AQ53" s="5" t="b">
        <f>IFERROR(__xludf.DUMMYFUNCTION("""COMPUTED_VALUE"""),TRUE)</f>
        <v>1</v>
      </c>
      <c r="AR53" s="5"/>
      <c r="AS53" s="5" t="str">
        <f>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AT53" s="5"/>
      <c r="AU53" s="5" t="str">
        <f>IFERROR(__xludf.DUMMYFUNCTION("""COMPUTED_VALUE"""),"Fazi")</f>
        <v>Fazi</v>
      </c>
      <c r="AV53" s="5"/>
      <c r="AW53" s="5"/>
      <c r="AX53" s="5"/>
      <c r="AY53" s="5"/>
      <c r="AZ53" s="5"/>
      <c r="BA53" s="5" t="str">
        <f>IFERROR(__xludf.DUMMYFUNCTION("""COMPUTED_VALUE"""),"")</f>
        <v/>
      </c>
      <c r="BB53" s="5"/>
      <c r="BC53" s="5" t="str">
        <f>IFERROR(__xludf.DUMMYFUNCTION("""COMPUTED_VALUE"""),"Foxi")</f>
        <v>Foxi</v>
      </c>
      <c r="BD53" s="7" t="str">
        <f>IFERROR(__xludf.DUMMYFUNCTION("""COMPUTED_VALUE"""),"https://gameserver-store-client-area.orbionlimited.com/Home/IntegrationGameLaunch/client-area?moneyType=0&amp;gameName=KatanasOfTime&amp;platform=desktop&amp;languageCode=eng&amp;currency=EUR")</f>
        <v>https://gameserver-store-client-area.orbionlimited.com/Home/IntegrationGameLaunch/client-area?moneyType=0&amp;gameName=KatanasOfTime&amp;platform=desktop&amp;languageCode=eng&amp;currency=EUR</v>
      </c>
      <c r="BE53" s="5" t="b">
        <f>IFERROR(__xludf.DUMMYFUNCTION("""COMPUTED_VALUE"""),TRUE)</f>
        <v>1</v>
      </c>
    </row>
    <row r="54">
      <c r="A54" s="5">
        <f>IFERROR(__xludf.DUMMYFUNCTION("""COMPUTED_VALUE"""),53.0)</f>
        <v>53</v>
      </c>
      <c r="B54" s="5">
        <f>IFERROR(__xludf.DUMMYFUNCTION("""COMPUTED_VALUE"""),52.0)</f>
        <v>52</v>
      </c>
      <c r="C54" s="5" t="str">
        <f>IFERROR(__xludf.DUMMYFUNCTION("""COMPUTED_VALUE"""),"Fazi")</f>
        <v>Fazi</v>
      </c>
      <c r="D54" s="5" t="str">
        <f>IFERROR(__xludf.DUMMYFUNCTION("""COMPUTED_VALUE"""),"Retro 7 Hot")</f>
        <v>Retro 7 Hot</v>
      </c>
      <c r="E54" s="5" t="str">
        <f>IFERROR(__xludf.DUMMYFUNCTION("""COMPUTED_VALUE"""),"V2")</f>
        <v>V2</v>
      </c>
      <c r="F54" s="5" t="str">
        <f>IFERROR(__xludf.DUMMYFUNCTION("""COMPUTED_VALUE"""),"Retro7Hot")</f>
        <v>Retro7Hot</v>
      </c>
      <c r="G54" s="5" t="str">
        <f>IFERROR(__xludf.DUMMYFUNCTION("""COMPUTED_VALUE"""),"Live")</f>
        <v>Live</v>
      </c>
      <c r="H54" s="5"/>
      <c r="I54" s="5" t="str">
        <f>IFERROR(__xludf.DUMMYFUNCTION("""COMPUTED_VALUE"""),"V2")</f>
        <v>V2</v>
      </c>
      <c r="J54" s="5" t="str">
        <f>IFERROR(__xludf.DUMMYFUNCTION("""COMPUTED_VALUE"""),"Binary")</f>
        <v>Binary</v>
      </c>
      <c r="K54" s="5" t="str">
        <f>IFERROR(__xludf.DUMMYFUNCTION("""COMPUTED_VALUE"""),"Slot")</f>
        <v>Slot</v>
      </c>
      <c r="L54" s="5" t="str">
        <f>IFERROR(__xludf.DUMMYFUNCTION("""COMPUTED_VALUE"""),"Clone")</f>
        <v>Clone</v>
      </c>
      <c r="M54" s="5" t="str">
        <f>IFERROR(__xludf.DUMMYFUNCTION("""COMPUTED_VALUE"""),"The Triple 7 Hot")</f>
        <v>The Triple 7 Hot</v>
      </c>
      <c r="N54" s="5"/>
      <c r="O54" s="5"/>
      <c r="P54" s="12">
        <f>IFERROR(__xludf.DUMMYFUNCTION("""COMPUTED_VALUE"""),25.7)</f>
        <v>25.7</v>
      </c>
      <c r="Q54" s="13">
        <f>IFERROR(__xludf.DUMMYFUNCTION("""COMPUTED_VALUE"""),43646.0)</f>
        <v>43646</v>
      </c>
      <c r="R54" s="14"/>
      <c r="S54" s="13">
        <f>IFERROR(__xludf.DUMMYFUNCTION("""COMPUTED_VALUE"""),43646.0)</f>
        <v>43646</v>
      </c>
      <c r="T54" s="5" t="b">
        <f>IFERROR(__xludf.DUMMYFUNCTION("""COMPUTED_VALUE"""),TRUE)</f>
        <v>1</v>
      </c>
      <c r="U54" s="5" t="str">
        <f>IFERROR(__xludf.DUMMYFUNCTION("""COMPUTED_VALUE"""),"3x3")</f>
        <v>3x3</v>
      </c>
      <c r="V54" s="10" t="str">
        <f>IFERROR(__xludf.DUMMYFUNCTION("""COMPUTED_VALUE"""),"5")</f>
        <v>5</v>
      </c>
      <c r="W54" s="10" t="str">
        <f>IFERROR(__xludf.DUMMYFUNCTION("""COMPUTED_VALUE"""),"5")</f>
        <v>5</v>
      </c>
      <c r="X54" s="5">
        <f>IFERROR(__xludf.DUMMYFUNCTION("""COMPUTED_VALUE"""),95.513)</f>
        <v>95.513</v>
      </c>
      <c r="Y54" s="5" t="str">
        <f>IFERROR(__xludf.DUMMYFUNCTION("""COMPUTED_VALUE"""),"Low")</f>
        <v>Low</v>
      </c>
      <c r="Z54" s="5">
        <f>IFERROR(__xludf.DUMMYFUNCTION("""COMPUTED_VALUE"""),6.510000000000001)</f>
        <v>6.51</v>
      </c>
      <c r="AA54" s="12">
        <f>IFERROR(__xludf.DUMMYFUNCTION("""COMPUTED_VALUE"""),60.0)</f>
        <v>60</v>
      </c>
      <c r="AB54" s="5" t="str">
        <f>IFERROR(__xludf.DUMMYFUNCTION("""COMPUTED_VALUE"""),"/")</f>
        <v>/</v>
      </c>
      <c r="AC54" s="5"/>
      <c r="AD54" s="5" t="str">
        <f>IFERROR(__xludf.DUMMYFUNCTION("""COMPUTED_VALUE"""),"0.05/30")</f>
        <v>0.05/30</v>
      </c>
      <c r="AE54" s="5"/>
      <c r="AF54" s="5"/>
      <c r="AG54" s="5"/>
      <c r="AH54" s="5"/>
      <c r="AI54" s="5"/>
      <c r="AJ54" s="5"/>
      <c r="AK54" s="5">
        <f>IFERROR(__xludf.DUMMYFUNCTION("""COMPUTED_VALUE"""),5.0)</f>
        <v>5</v>
      </c>
      <c r="AL54" s="5" t="str">
        <f>IFERROR(__xludf.DUMMYFUNCTION("""COMPUTED_VALUE"""),"Yes")</f>
        <v>Yes</v>
      </c>
      <c r="AM54" s="5"/>
      <c r="AN54" s="7" t="str">
        <f>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AO54" s="5"/>
      <c r="AP54" s="5"/>
      <c r="AQ54" s="5" t="b">
        <f>IFERROR(__xludf.DUMMYFUNCTION("""COMPUTED_VALUE"""),TRUE)</f>
        <v>1</v>
      </c>
      <c r="AR54" s="5"/>
      <c r="AS54" s="5" t="str">
        <f>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AT54" s="5"/>
      <c r="AU54" s="5" t="str">
        <f>IFERROR(__xludf.DUMMYFUNCTION("""COMPUTED_VALUE"""),"Fazi")</f>
        <v>Fazi</v>
      </c>
      <c r="AV54" s="5"/>
      <c r="AW54" s="5"/>
      <c r="AX54" s="5"/>
      <c r="AY54" s="5"/>
      <c r="AZ54" s="5"/>
      <c r="BA54" s="5" t="str">
        <f>IFERROR(__xludf.DUMMYFUNCTION("""COMPUTED_VALUE"""),"")</f>
        <v/>
      </c>
      <c r="BB54" s="5"/>
      <c r="BC54" s="5" t="str">
        <f>IFERROR(__xludf.DUMMYFUNCTION("""COMPUTED_VALUE"""),"Foxi")</f>
        <v>Foxi</v>
      </c>
      <c r="BD54" s="7" t="str">
        <f>IFERROR(__xludf.DUMMYFUNCTION("""COMPUTED_VALUE"""),"https://gameserver-store-client-area.orbionlimited.com/Home/IntegrationGameLaunch/client-area?moneyType=0&amp;gameName=Retro7Hot&amp;platform=desktop&amp;languageCode=eng&amp;currency=EUR")</f>
        <v>https://gameserver-store-client-area.orbionlimited.com/Home/IntegrationGameLaunch/client-area?moneyType=0&amp;gameName=Retro7Hot&amp;platform=desktop&amp;languageCode=eng&amp;currency=EUR</v>
      </c>
      <c r="BE54" s="5" t="b">
        <f>IFERROR(__xludf.DUMMYFUNCTION("""COMPUTED_VALUE"""),TRUE)</f>
        <v>1</v>
      </c>
    </row>
    <row r="55">
      <c r="A55" s="5">
        <f>IFERROR(__xludf.DUMMYFUNCTION("""COMPUTED_VALUE"""),54.0)</f>
        <v>54</v>
      </c>
      <c r="B55" s="5">
        <f>IFERROR(__xludf.DUMMYFUNCTION("""COMPUTED_VALUE"""),53.0)</f>
        <v>53</v>
      </c>
      <c r="C55" s="5" t="str">
        <f>IFERROR(__xludf.DUMMYFUNCTION("""COMPUTED_VALUE"""),"Fazi")</f>
        <v>Fazi</v>
      </c>
      <c r="D55" s="5" t="str">
        <f>IFERROR(__xludf.DUMMYFUNCTION("""COMPUTED_VALUE"""),"VIP Roulette")</f>
        <v>VIP Roulette</v>
      </c>
      <c r="E55" s="5" t="str">
        <f>IFERROR(__xludf.DUMMYFUNCTION("""COMPUTED_VALUE"""),"V2")</f>
        <v>V2</v>
      </c>
      <c r="F55" s="5" t="str">
        <f>IFERROR(__xludf.DUMMYFUNCTION("""COMPUTED_VALUE"""),"VipRoulette")</f>
        <v>VipRoulette</v>
      </c>
      <c r="G55" s="5" t="str">
        <f>IFERROR(__xludf.DUMMYFUNCTION("""COMPUTED_VALUE"""),"Live")</f>
        <v>Live</v>
      </c>
      <c r="H55" s="5"/>
      <c r="I55" s="5" t="str">
        <f>IFERROR(__xludf.DUMMYFUNCTION("""COMPUTED_VALUE"""),"V2")</f>
        <v>V2</v>
      </c>
      <c r="J55" s="5" t="str">
        <f>IFERROR(__xludf.DUMMYFUNCTION("""COMPUTED_VALUE"""),"Binary")</f>
        <v>Binary</v>
      </c>
      <c r="K55" s="5" t="str">
        <f>IFERROR(__xludf.DUMMYFUNCTION("""COMPUTED_VALUE"""),"Roulette")</f>
        <v>Roulette</v>
      </c>
      <c r="L55" s="5"/>
      <c r="M55" s="5"/>
      <c r="N55" s="5"/>
      <c r="O55" s="5"/>
      <c r="P55" s="12">
        <f>IFERROR(__xludf.DUMMYFUNCTION("""COMPUTED_VALUE"""),45.9)</f>
        <v>45.9</v>
      </c>
      <c r="Q55" s="13">
        <f>IFERROR(__xludf.DUMMYFUNCTION("""COMPUTED_VALUE"""),36539.0)</f>
        <v>36539</v>
      </c>
      <c r="R55" s="14"/>
      <c r="S55" s="13">
        <f>IFERROR(__xludf.DUMMYFUNCTION("""COMPUTED_VALUE"""),36539.0)</f>
        <v>36539</v>
      </c>
      <c r="T55" s="5"/>
      <c r="U55" s="5" t="str">
        <f>IFERROR(__xludf.DUMMYFUNCTION("""COMPUTED_VALUE"""),"/")</f>
        <v>/</v>
      </c>
      <c r="V55" s="10" t="str">
        <f>IFERROR(__xludf.DUMMYFUNCTION("""COMPUTED_VALUE"""),"/")</f>
        <v>/</v>
      </c>
      <c r="W55" s="10" t="str">
        <f>IFERROR(__xludf.DUMMYFUNCTION("""COMPUTED_VALUE"""),"/")</f>
        <v>/</v>
      </c>
      <c r="X55" s="5">
        <f>IFERROR(__xludf.DUMMYFUNCTION("""COMPUTED_VALUE"""),97.3)</f>
        <v>97.3</v>
      </c>
      <c r="Y55" s="5" t="str">
        <f>IFERROR(__xludf.DUMMYFUNCTION("""COMPUTED_VALUE"""),"Low")</f>
        <v>Low</v>
      </c>
      <c r="Z55" s="5">
        <f>IFERROR(__xludf.DUMMYFUNCTION("""COMPUTED_VALUE"""),0.0)</f>
        <v>0</v>
      </c>
      <c r="AA55" s="12">
        <f>IFERROR(__xludf.DUMMYFUNCTION("""COMPUTED_VALUE"""),36.0)</f>
        <v>36</v>
      </c>
      <c r="AB55" s="5"/>
      <c r="AC55" s="18"/>
      <c r="AD55" s="5" t="str">
        <f>IFERROR(__xludf.DUMMYFUNCTION("""COMPUTED_VALUE"""),"/")</f>
        <v>/</v>
      </c>
      <c r="AE55" s="5"/>
      <c r="AF55" s="5"/>
      <c r="AG55" s="8">
        <f>IFERROR(__xludf.DUMMYFUNCTION("""COMPUTED_VALUE"""),46197.53984953704)</f>
        <v>46197.53985</v>
      </c>
      <c r="AH55" s="5" t="str">
        <f>IFERROR(__xludf.DUMMYFUNCTION("""COMPUTED_VALUE"""),"selena.mihajlovic@fazi.rs")</f>
        <v>selena.mihajlovic@fazi.rs</v>
      </c>
      <c r="AI55" s="5"/>
      <c r="AJ55" s="5"/>
      <c r="AK55" s="5" t="str">
        <f>IFERROR(__xludf.DUMMYFUNCTION("""COMPUTED_VALUE"""),"/")</f>
        <v>/</v>
      </c>
      <c r="AL55" s="5" t="str">
        <f>IFERROR(__xludf.DUMMYFUNCTION("""COMPUTED_VALUE"""),"Yes")</f>
        <v>Yes</v>
      </c>
      <c r="AM55" s="5"/>
      <c r="AN55" s="7" t="str">
        <f>IFERROR(__xludf.DUMMYFUNCTION("""COMPUTED_VALUE"""),"https://onlinegamespromo.fazi.rs/Home/IntegrationGameLaunch?moneyType=0&amp;gameName=VIPROULETTE&amp;platform=desktop&amp;languageCode=eng&amp;currency=EUR")</f>
        <v>https://onlinegamespromo.fazi.rs/Home/IntegrationGameLaunch?moneyType=0&amp;gameName=VIPROULETTE&amp;platform=desktop&amp;languageCode=eng&amp;currency=EUR</v>
      </c>
      <c r="AO55" s="5"/>
      <c r="AP55" s="5"/>
      <c r="AQ55" s="5" t="b">
        <f>IFERROR(__xludf.DUMMYFUNCTION("""COMPUTED_VALUE"""),FALSE)</f>
        <v>0</v>
      </c>
      <c r="AR55" s="5"/>
      <c r="AS55" s="5" t="str">
        <f>IFERROR(__xludf.DUMMYFUNCTION("""COMPUTED_VALUE"""),"Place your bets and let the charming lady spin the wheel and take you into this amazing adventure. Enjoy the new Fazi VIP Roulette. Great winning are closer than ever!")</f>
        <v>Place your bets and let the charming lady spin the wheel and take you into this amazing adventure. Enjoy the new Fazi VIP Roulette. Great winning are closer than ever!</v>
      </c>
      <c r="AT55" s="5"/>
      <c r="AU55" s="5" t="str">
        <f>IFERROR(__xludf.DUMMYFUNCTION("""COMPUTED_VALUE"""),"Fazi")</f>
        <v>Fazi</v>
      </c>
      <c r="AV55" s="5"/>
      <c r="AW55" s="5"/>
      <c r="AX55" s="5"/>
      <c r="AY55" s="5"/>
      <c r="AZ55" s="5"/>
      <c r="BA55" s="5"/>
      <c r="BB55" s="5" t="b">
        <f>IFERROR(__xludf.DUMMYFUNCTION("""COMPUTED_VALUE"""),TRUE)</f>
        <v>1</v>
      </c>
      <c r="BC55" s="5" t="str">
        <f>IFERROR(__xludf.DUMMYFUNCTION("""COMPUTED_VALUE"""),"Foxi")</f>
        <v>Foxi</v>
      </c>
      <c r="BD55" s="7" t="str">
        <f>IFERROR(__xludf.DUMMYFUNCTION("""COMPUTED_VALUE"""),"https://gameserver-store-client-area.orbionlimited.com/Home/IntegrationGameLaunch/client-area?moneyType=0&amp;gameName=VipRoulette&amp;platform=desktop&amp;languageCode=eng&amp;currency=EUR")</f>
        <v>https://gameserver-store-client-area.orbionlimited.com/Home/IntegrationGameLaunch/client-area?moneyType=0&amp;gameName=VipRoulette&amp;platform=desktop&amp;languageCode=eng&amp;currency=EUR</v>
      </c>
      <c r="BE55" s="5" t="b">
        <f>IFERROR(__xludf.DUMMYFUNCTION("""COMPUTED_VALUE"""),FALSE)</f>
        <v>0</v>
      </c>
    </row>
    <row r="56">
      <c r="A56" s="5">
        <f>IFERROR(__xludf.DUMMYFUNCTION("""COMPUTED_VALUE"""),55.0)</f>
        <v>55</v>
      </c>
      <c r="B56" s="5">
        <f>IFERROR(__xludf.DUMMYFUNCTION("""COMPUTED_VALUE"""),54.0)</f>
        <v>54</v>
      </c>
      <c r="C56" s="5" t="str">
        <f>IFERROR(__xludf.DUMMYFUNCTION("""COMPUTED_VALUE"""),"Fazi")</f>
        <v>Fazi</v>
      </c>
      <c r="D56" s="5" t="str">
        <f>IFERROR(__xludf.DUMMYFUNCTION("""COMPUTED_VALUE"""),"Star Runner")</f>
        <v>Star Runner</v>
      </c>
      <c r="E56" s="5" t="str">
        <f>IFERROR(__xludf.DUMMYFUNCTION("""COMPUTED_VALUE"""),"V2")</f>
        <v>V2</v>
      </c>
      <c r="F56" s="5" t="str">
        <f>IFERROR(__xludf.DUMMYFUNCTION("""COMPUTED_VALUE"""),"StarRunner")</f>
        <v>StarRunner</v>
      </c>
      <c r="G56" s="5" t="str">
        <f>IFERROR(__xludf.DUMMYFUNCTION("""COMPUTED_VALUE"""),"Live")</f>
        <v>Live</v>
      </c>
      <c r="H56" s="5"/>
      <c r="I56" s="5" t="str">
        <f>IFERROR(__xludf.DUMMYFUNCTION("""COMPUTED_VALUE"""),"V2")</f>
        <v>V2</v>
      </c>
      <c r="J56" s="5" t="str">
        <f>IFERROR(__xludf.DUMMYFUNCTION("""COMPUTED_VALUE"""),"Binary")</f>
        <v>Binary</v>
      </c>
      <c r="K56" s="5" t="str">
        <f>IFERROR(__xludf.DUMMYFUNCTION("""COMPUTED_VALUE"""),"Slot")</f>
        <v>Slot</v>
      </c>
      <c r="L56" s="5"/>
      <c r="M56" s="5"/>
      <c r="N56" s="5"/>
      <c r="O56" s="5"/>
      <c r="P56" s="12">
        <f>IFERROR(__xludf.DUMMYFUNCTION("""COMPUTED_VALUE"""),29.6)</f>
        <v>29.6</v>
      </c>
      <c r="Q56" s="13">
        <f>IFERROR(__xludf.DUMMYFUNCTION("""COMPUTED_VALUE"""),43705.0)</f>
        <v>43705</v>
      </c>
      <c r="R56" s="14"/>
      <c r="S56" s="13">
        <f>IFERROR(__xludf.DUMMYFUNCTION("""COMPUTED_VALUE"""),43705.0)</f>
        <v>43705</v>
      </c>
      <c r="T56" s="5" t="b">
        <f>IFERROR(__xludf.DUMMYFUNCTION("""COMPUTED_VALUE"""),TRUE)</f>
        <v>1</v>
      </c>
      <c r="U56" s="5" t="str">
        <f>IFERROR(__xludf.DUMMYFUNCTION("""COMPUTED_VALUE"""),"5x3")</f>
        <v>5x3</v>
      </c>
      <c r="V56" s="10" t="str">
        <f>IFERROR(__xludf.DUMMYFUNCTION("""COMPUTED_VALUE"""),"10")</f>
        <v>10</v>
      </c>
      <c r="W56" s="10" t="str">
        <f>IFERROR(__xludf.DUMMYFUNCTION("""COMPUTED_VALUE"""),"1,3,5,7,10")</f>
        <v>1,3,5,7,10</v>
      </c>
      <c r="X56" s="5">
        <f>IFERROR(__xludf.DUMMYFUNCTION("""COMPUTED_VALUE"""),96.077)</f>
        <v>96.077</v>
      </c>
      <c r="Y56" s="5" t="str">
        <f>IFERROR(__xludf.DUMMYFUNCTION("""COMPUTED_VALUE"""),"Medium")</f>
        <v>Medium</v>
      </c>
      <c r="Z56" s="5">
        <f>IFERROR(__xludf.DUMMYFUNCTION("""COMPUTED_VALUE"""),19.55)</f>
        <v>19.55</v>
      </c>
      <c r="AA56" s="12">
        <f>IFERROR(__xludf.DUMMYFUNCTION("""COMPUTED_VALUE"""),598.0)</f>
        <v>598</v>
      </c>
      <c r="AB56" s="5">
        <f>IFERROR(__xludf.DUMMYFUNCTION("""COMPUTED_VALUE"""),11.0)</f>
        <v>11</v>
      </c>
      <c r="AC56" s="5" t="str">
        <f>IFERROR(__xludf.DUMMYFUNCTION("""COMPUTED_VALUE"""),"Wild Symbol, Respin, Bothways")</f>
        <v>Wild Symbol, Respin, Bothways</v>
      </c>
      <c r="AD56" s="5" t="str">
        <f>IFERROR(__xludf.DUMMYFUNCTION("""COMPUTED_VALUE"""),"0.10/40")</f>
        <v>0.10/40</v>
      </c>
      <c r="AE56" s="5"/>
      <c r="AF56" s="5"/>
      <c r="AG56" s="5"/>
      <c r="AH56" s="5"/>
      <c r="AI56" s="5"/>
      <c r="AJ56" s="5"/>
      <c r="AK56" s="5">
        <f>IFERROR(__xludf.DUMMYFUNCTION("""COMPUTED_VALUE"""),10.0)</f>
        <v>10</v>
      </c>
      <c r="AL56" s="5" t="str">
        <f>IFERROR(__xludf.DUMMYFUNCTION("""COMPUTED_VALUE"""),"Yes")</f>
        <v>Yes</v>
      </c>
      <c r="AM56" s="5"/>
      <c r="AN56" s="7" t="str">
        <f>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AO56" s="5"/>
      <c r="AP56" s="5"/>
      <c r="AQ56" s="5" t="b">
        <f>IFERROR(__xludf.DUMMYFUNCTION("""COMPUTED_VALUE"""),TRUE)</f>
        <v>1</v>
      </c>
      <c r="AR56" s="5"/>
      <c r="AS56" s="5" t="str">
        <f>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AT56" s="5"/>
      <c r="AU56" s="5" t="str">
        <f>IFERROR(__xludf.DUMMYFUNCTION("""COMPUTED_VALUE"""),"Fazi")</f>
        <v>Fazi</v>
      </c>
      <c r="AV56" s="5"/>
      <c r="AW56" s="5"/>
      <c r="AX56" s="5"/>
      <c r="AY56" s="5"/>
      <c r="AZ56" s="5"/>
      <c r="BA56" s="5" t="str">
        <f>IFERROR(__xludf.DUMMYFUNCTION("""COMPUTED_VALUE"""),"")</f>
        <v/>
      </c>
      <c r="BB56" s="5"/>
      <c r="BC56" s="5" t="str">
        <f>IFERROR(__xludf.DUMMYFUNCTION("""COMPUTED_VALUE"""),"Foxi")</f>
        <v>Foxi</v>
      </c>
      <c r="BD56" s="7" t="str">
        <f>IFERROR(__xludf.DUMMYFUNCTION("""COMPUTED_VALUE"""),"https://gameserver-store-client-area.orbionlimited.com/Home/IntegrationGameLaunch/client-area?moneyType=0&amp;gameName=StarRunner&amp;platform=desktop&amp;languageCode=eng&amp;currency=EUR")</f>
        <v>https://gameserver-store-client-area.orbionlimited.com/Home/IntegrationGameLaunch/client-area?moneyType=0&amp;gameName=StarRunner&amp;platform=desktop&amp;languageCode=eng&amp;currency=EUR</v>
      </c>
      <c r="BE56" s="5" t="b">
        <f>IFERROR(__xludf.DUMMYFUNCTION("""COMPUTED_VALUE"""),TRUE)</f>
        <v>1</v>
      </c>
    </row>
    <row r="57">
      <c r="A57" s="5">
        <f>IFERROR(__xludf.DUMMYFUNCTION("""COMPUTED_VALUE"""),56.0)</f>
        <v>56</v>
      </c>
      <c r="B57" s="5">
        <f>IFERROR(__xludf.DUMMYFUNCTION("""COMPUTED_VALUE"""),55.0)</f>
        <v>55</v>
      </c>
      <c r="C57" s="5" t="str">
        <f>IFERROR(__xludf.DUMMYFUNCTION("""COMPUTED_VALUE"""),"Fazi")</f>
        <v>Fazi</v>
      </c>
      <c r="D57" s="5" t="str">
        <f>IFERROR(__xludf.DUMMYFUNCTION("""COMPUTED_VALUE"""),"Aloha Charm")</f>
        <v>Aloha Charm</v>
      </c>
      <c r="E57" s="5" t="str">
        <f>IFERROR(__xludf.DUMMYFUNCTION("""COMPUTED_VALUE"""),"V2")</f>
        <v>V2</v>
      </c>
      <c r="F57" s="5" t="str">
        <f>IFERROR(__xludf.DUMMYFUNCTION("""COMPUTED_VALUE"""),"AlohaCharm")</f>
        <v>AlohaCharm</v>
      </c>
      <c r="G57" s="5" t="str">
        <f>IFERROR(__xludf.DUMMYFUNCTION("""COMPUTED_VALUE"""),"Live")</f>
        <v>Live</v>
      </c>
      <c r="H57" s="5"/>
      <c r="I57" s="5" t="str">
        <f>IFERROR(__xludf.DUMMYFUNCTION("""COMPUTED_VALUE"""),"V2")</f>
        <v>V2</v>
      </c>
      <c r="J57" s="5" t="str">
        <f>IFERROR(__xludf.DUMMYFUNCTION("""COMPUTED_VALUE"""),"Binary")</f>
        <v>Binary</v>
      </c>
      <c r="K57" s="5" t="str">
        <f>IFERROR(__xludf.DUMMYFUNCTION("""COMPUTED_VALUE"""),"Slot")</f>
        <v>Slot</v>
      </c>
      <c r="L57" s="5"/>
      <c r="M57" s="5"/>
      <c r="N57" s="5"/>
      <c r="O57" s="5"/>
      <c r="P57" s="12">
        <f>IFERROR(__xludf.DUMMYFUNCTION("""COMPUTED_VALUE"""),29.6)</f>
        <v>29.6</v>
      </c>
      <c r="Q57" s="13">
        <f>IFERROR(__xludf.DUMMYFUNCTION("""COMPUTED_VALUE"""),43738.0)</f>
        <v>43738</v>
      </c>
      <c r="R57" s="14"/>
      <c r="S57" s="13">
        <f>IFERROR(__xludf.DUMMYFUNCTION("""COMPUTED_VALUE"""),43738.0)</f>
        <v>43738</v>
      </c>
      <c r="T57" s="5"/>
      <c r="U57" s="5" t="str">
        <f>IFERROR(__xludf.DUMMYFUNCTION("""COMPUTED_VALUE"""),"5x3")</f>
        <v>5x3</v>
      </c>
      <c r="V57" s="10" t="str">
        <f>IFERROR(__xludf.DUMMYFUNCTION("""COMPUTED_VALUE"""),"10")</f>
        <v>10</v>
      </c>
      <c r="W57" s="10" t="str">
        <f>IFERROR(__xludf.DUMMYFUNCTION("""COMPUTED_VALUE"""),"1,3,5,7,9,10")</f>
        <v>1,3,5,7,9,10</v>
      </c>
      <c r="X57" s="5">
        <f>IFERROR(__xludf.DUMMYFUNCTION("""COMPUTED_VALUE"""),95.125)</f>
        <v>95.125</v>
      </c>
      <c r="Y57" s="5" t="str">
        <f>IFERROR(__xludf.DUMMYFUNCTION("""COMPUTED_VALUE"""),"High")</f>
        <v>High</v>
      </c>
      <c r="Z57" s="5">
        <f>IFERROR(__xludf.DUMMYFUNCTION("""COMPUTED_VALUE"""),25.180000000000003)</f>
        <v>25.18</v>
      </c>
      <c r="AA57" s="12">
        <f>IFERROR(__xludf.DUMMYFUNCTION("""COMPUTED_VALUE"""),4016.0)</f>
        <v>4016</v>
      </c>
      <c r="AB57" s="5">
        <f>IFERROR(__xludf.DUMMYFUNCTION("""COMPUTED_VALUE"""),262.0)</f>
        <v>262</v>
      </c>
      <c r="AC57" s="5" t="str">
        <f>IFERROR(__xludf.DUMMYFUNCTION("""COMPUTED_VALUE"""),"Wild Symbol, Scatter, Bonus Game with Free Spins, Win Multiplier")</f>
        <v>Wild Symbol, Scatter, Bonus Game with Free Spins, Win Multiplier</v>
      </c>
      <c r="AD57" s="5" t="str">
        <f>IFERROR(__xludf.DUMMYFUNCTION("""COMPUTED_VALUE"""),"0.01/40")</f>
        <v>0.01/40</v>
      </c>
      <c r="AE57" s="5"/>
      <c r="AF57" s="5"/>
      <c r="AG57" s="8">
        <f>IFERROR(__xludf.DUMMYFUNCTION("""COMPUTED_VALUE"""),45964.910949074074)</f>
        <v>45964.91095</v>
      </c>
      <c r="AH57" s="5" t="str">
        <f>IFERROR(__xludf.DUMMYFUNCTION("""COMPUTED_VALUE"""),"djordje.jankovic@fazi.rs")</f>
        <v>djordje.jankovic@fazi.rs</v>
      </c>
      <c r="AI57" s="5"/>
      <c r="AJ57" s="5"/>
      <c r="AK57" s="5">
        <f>IFERROR(__xludf.DUMMYFUNCTION("""COMPUTED_VALUE"""),10.0)</f>
        <v>10</v>
      </c>
      <c r="AL57" s="5" t="str">
        <f>IFERROR(__xludf.DUMMYFUNCTION("""COMPUTED_VALUE"""),"Yes")</f>
        <v>Yes</v>
      </c>
      <c r="AM57" s="5"/>
      <c r="AN57" s="7" t="str">
        <f>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AO57" s="5"/>
      <c r="AP57" s="5"/>
      <c r="AQ57" s="5" t="b">
        <f>IFERROR(__xludf.DUMMYFUNCTION("""COMPUTED_VALUE"""),TRUE)</f>
        <v>1</v>
      </c>
      <c r="AR57" s="5"/>
      <c r="AS57" s="5" t="str">
        <f>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AT57" s="5"/>
      <c r="AU57" s="5" t="str">
        <f>IFERROR(__xludf.DUMMYFUNCTION("""COMPUTED_VALUE"""),"Fazi")</f>
        <v>Fazi</v>
      </c>
      <c r="AV57" s="5"/>
      <c r="AW57" s="5"/>
      <c r="AX57" s="5"/>
      <c r="AY57" s="5"/>
      <c r="AZ57" s="5"/>
      <c r="BA57" s="5" t="str">
        <f>IFERROR(__xludf.DUMMYFUNCTION("""COMPUTED_VALUE"""),"")</f>
        <v/>
      </c>
      <c r="BB57" s="5"/>
      <c r="BC57" s="5" t="str">
        <f>IFERROR(__xludf.DUMMYFUNCTION("""COMPUTED_VALUE"""),"Foxi")</f>
        <v>Foxi</v>
      </c>
      <c r="BD57" s="7" t="str">
        <f>IFERROR(__xludf.DUMMYFUNCTION("""COMPUTED_VALUE"""),"https://gameserver-store-client-area.orbionlimited.com/Home/IntegrationGameLaunch/client-area?moneyType=0&amp;gameName=AlohaCharm&amp;platform=desktop&amp;languageCode=eng&amp;currency=EUR")</f>
        <v>https://gameserver-store-client-area.orbionlimited.com/Home/IntegrationGameLaunch/client-area?moneyType=0&amp;gameName=AlohaCharm&amp;platform=desktop&amp;languageCode=eng&amp;currency=EUR</v>
      </c>
      <c r="BE57" s="5" t="b">
        <f>IFERROR(__xludf.DUMMYFUNCTION("""COMPUTED_VALUE"""),TRUE)</f>
        <v>1</v>
      </c>
    </row>
    <row r="58">
      <c r="A58" s="5">
        <f>IFERROR(__xludf.DUMMYFUNCTION("""COMPUTED_VALUE"""),57.0)</f>
        <v>57</v>
      </c>
      <c r="B58" s="5">
        <f>IFERROR(__xludf.DUMMYFUNCTION("""COMPUTED_VALUE"""),56.0)</f>
        <v>56</v>
      </c>
      <c r="C58" s="5" t="str">
        <f>IFERROR(__xludf.DUMMYFUNCTION("""COMPUTED_VALUE"""),"Fazi")</f>
        <v>Fazi</v>
      </c>
      <c r="D58" s="5" t="str">
        <f>IFERROR(__xludf.DUMMYFUNCTION("""COMPUTED_VALUE"""),"Lux Roulette")</f>
        <v>Lux Roulette</v>
      </c>
      <c r="E58" s="5" t="str">
        <f>IFERROR(__xludf.DUMMYFUNCTION("""COMPUTED_VALUE"""),"V2")</f>
        <v>V2</v>
      </c>
      <c r="F58" s="5" t="str">
        <f>IFERROR(__xludf.DUMMYFUNCTION("""COMPUTED_VALUE"""),"LuxRoulette")</f>
        <v>LuxRoulette</v>
      </c>
      <c r="G58" s="5" t="str">
        <f>IFERROR(__xludf.DUMMYFUNCTION("""COMPUTED_VALUE"""),"Live")</f>
        <v>Live</v>
      </c>
      <c r="H58" s="5"/>
      <c r="I58" s="5" t="str">
        <f>IFERROR(__xludf.DUMMYFUNCTION("""COMPUTED_VALUE"""),"V2")</f>
        <v>V2</v>
      </c>
      <c r="J58" s="5" t="str">
        <f>IFERROR(__xludf.DUMMYFUNCTION("""COMPUTED_VALUE"""),"Binary")</f>
        <v>Binary</v>
      </c>
      <c r="K58" s="5" t="str">
        <f>IFERROR(__xludf.DUMMYFUNCTION("""COMPUTED_VALUE"""),"Roulette")</f>
        <v>Roulette</v>
      </c>
      <c r="L58" s="5"/>
      <c r="M58" s="5"/>
      <c r="N58" s="5"/>
      <c r="O58" s="5"/>
      <c r="P58" s="12"/>
      <c r="Q58" s="13">
        <f>IFERROR(__xludf.DUMMYFUNCTION("""COMPUTED_VALUE"""),43831.0)</f>
        <v>43831</v>
      </c>
      <c r="R58" s="14"/>
      <c r="S58" s="13">
        <f>IFERROR(__xludf.DUMMYFUNCTION("""COMPUTED_VALUE"""),43831.0)</f>
        <v>43831</v>
      </c>
      <c r="T58" s="5"/>
      <c r="U58" s="16"/>
      <c r="V58" s="10"/>
      <c r="W58" s="10"/>
      <c r="X58" s="5">
        <f>IFERROR(__xludf.DUMMYFUNCTION("""COMPUTED_VALUE"""),97.3)</f>
        <v>97.3</v>
      </c>
      <c r="Y58" s="17"/>
      <c r="Z58" s="5">
        <f>IFERROR(__xludf.DUMMYFUNCTION("""COMPUTED_VALUE"""),0.0)</f>
        <v>0</v>
      </c>
      <c r="AA58" s="12">
        <f>IFERROR(__xludf.DUMMYFUNCTION("""COMPUTED_VALUE"""),36.0)</f>
        <v>36</v>
      </c>
      <c r="AB58" s="5"/>
      <c r="AC58" s="18"/>
      <c r="AD58" s="5"/>
      <c r="AE58" s="5"/>
      <c r="AF58" s="5"/>
      <c r="AG58" s="8">
        <f>IFERROR(__xludf.DUMMYFUNCTION("""COMPUTED_VALUE"""),45700.43787037037)</f>
        <v>45700.43787</v>
      </c>
      <c r="AH58" s="5" t="str">
        <f>IFERROR(__xludf.DUMMYFUNCTION("""COMPUTED_VALUE"""),"milutin.toskic@fazi.rs")</f>
        <v>milutin.toskic@fazi.rs</v>
      </c>
      <c r="AI58" s="5"/>
      <c r="AJ58" s="5"/>
      <c r="AK58" s="5">
        <f>IFERROR(__xludf.DUMMYFUNCTION("""COMPUTED_VALUE"""),0.0)</f>
        <v>0</v>
      </c>
      <c r="AL58" s="5"/>
      <c r="AM58" s="5"/>
      <c r="AN58" s="5"/>
      <c r="AO58" s="5"/>
      <c r="AP58" s="5"/>
      <c r="AQ58" s="5"/>
      <c r="AR58" s="5"/>
      <c r="AS58" s="5"/>
      <c r="AT58" s="5"/>
      <c r="AU58" s="5" t="str">
        <f>IFERROR(__xludf.DUMMYFUNCTION("""COMPUTED_VALUE"""),"Fazi")</f>
        <v>Fazi</v>
      </c>
      <c r="AV58" s="5"/>
      <c r="AW58" s="5"/>
      <c r="AX58" s="5"/>
      <c r="AY58" s="5"/>
      <c r="AZ58" s="5"/>
      <c r="BA58" s="5" t="str">
        <f>IFERROR(__xludf.DUMMYFUNCTION("""COMPUTED_VALUE"""),"")</f>
        <v/>
      </c>
      <c r="BB58" s="5"/>
      <c r="BC58" s="5" t="str">
        <f>IFERROR(__xludf.DUMMYFUNCTION("""COMPUTED_VALUE"""),"Foxi")</f>
        <v>Foxi</v>
      </c>
      <c r="BD58" s="5" t="str">
        <f>IFERROR(__xludf.DUMMYFUNCTION("""COMPUTED_VALUE"""),"")</f>
        <v/>
      </c>
      <c r="BE58" s="5"/>
    </row>
    <row r="59">
      <c r="A59" s="5">
        <f>IFERROR(__xludf.DUMMYFUNCTION("""COMPUTED_VALUE"""),58.0)</f>
        <v>58</v>
      </c>
      <c r="B59" s="5">
        <f>IFERROR(__xludf.DUMMYFUNCTION("""COMPUTED_VALUE"""),57.0)</f>
        <v>57</v>
      </c>
      <c r="C59" s="5" t="str">
        <f>IFERROR(__xludf.DUMMYFUNCTION("""COMPUTED_VALUE"""),"Fazi")</f>
        <v>Fazi</v>
      </c>
      <c r="D59" s="5" t="str">
        <f>IFERROR(__xludf.DUMMYFUNCTION("""COMPUTED_VALUE"""),"Fruits And Stars 40")</f>
        <v>Fruits And Stars 40</v>
      </c>
      <c r="E59" s="5" t="str">
        <f>IFERROR(__xludf.DUMMYFUNCTION("""COMPUTED_VALUE"""),"V2")</f>
        <v>V2</v>
      </c>
      <c r="F59" s="5" t="str">
        <f>IFERROR(__xludf.DUMMYFUNCTION("""COMPUTED_VALUE"""),"FruitsAndStars40")</f>
        <v>FruitsAndStars40</v>
      </c>
      <c r="G59" s="5" t="str">
        <f>IFERROR(__xludf.DUMMYFUNCTION("""COMPUTED_VALUE"""),"Live")</f>
        <v>Live</v>
      </c>
      <c r="H59" s="5"/>
      <c r="I59" s="5" t="str">
        <f>IFERROR(__xludf.DUMMYFUNCTION("""COMPUTED_VALUE"""),"V2")</f>
        <v>V2</v>
      </c>
      <c r="J59" s="5" t="str">
        <f>IFERROR(__xludf.DUMMYFUNCTION("""COMPUTED_VALUE"""),"JSON")</f>
        <v>JSON</v>
      </c>
      <c r="K59" s="5" t="str">
        <f>IFERROR(__xludf.DUMMYFUNCTION("""COMPUTED_VALUE"""),"Slot")</f>
        <v>Slot</v>
      </c>
      <c r="L59" s="5" t="str">
        <f>IFERROR(__xludf.DUMMYFUNCTION("""COMPUTED_VALUE"""),"Clone")</f>
        <v>Clone</v>
      </c>
      <c r="M59" s="5" t="str">
        <f>IFERROR(__xludf.DUMMYFUNCTION("""COMPUTED_VALUE"""),"Fruits and Stars")</f>
        <v>Fruits and Stars</v>
      </c>
      <c r="N59" s="5"/>
      <c r="O59" s="5"/>
      <c r="P59" s="12">
        <f>IFERROR(__xludf.DUMMYFUNCTION("""COMPUTED_VALUE"""),29.4)</f>
        <v>29.4</v>
      </c>
      <c r="Q59" s="13">
        <f>IFERROR(__xludf.DUMMYFUNCTION("""COMPUTED_VALUE"""),43766.0)</f>
        <v>43766</v>
      </c>
      <c r="R59" s="14"/>
      <c r="S59" s="13">
        <f>IFERROR(__xludf.DUMMYFUNCTION("""COMPUTED_VALUE"""),43766.0)</f>
        <v>43766</v>
      </c>
      <c r="T59" s="5" t="b">
        <f>IFERROR(__xludf.DUMMYFUNCTION("""COMPUTED_VALUE"""),TRUE)</f>
        <v>1</v>
      </c>
      <c r="U59" s="5" t="str">
        <f>IFERROR(__xludf.DUMMYFUNCTION("""COMPUTED_VALUE"""),"5x3")</f>
        <v>5x3</v>
      </c>
      <c r="V59" s="10" t="str">
        <f>IFERROR(__xludf.DUMMYFUNCTION("""COMPUTED_VALUE"""),"40")</f>
        <v>40</v>
      </c>
      <c r="W59" s="10" t="str">
        <f>IFERROR(__xludf.DUMMYFUNCTION("""COMPUTED_VALUE"""),"1,3,5,7,10,15,20,25,30,35,40")</f>
        <v>1,3,5,7,10,15,20,25,30,35,40</v>
      </c>
      <c r="X59" s="5">
        <f>IFERROR(__xludf.DUMMYFUNCTION("""COMPUTED_VALUE"""),95.79)</f>
        <v>95.79</v>
      </c>
      <c r="Y59" s="5" t="str">
        <f>IFERROR(__xludf.DUMMYFUNCTION("""COMPUTED_VALUE"""),"Low")</f>
        <v>Low</v>
      </c>
      <c r="Z59" s="5">
        <f>IFERROR(__xludf.DUMMYFUNCTION("""COMPUTED_VALUE"""),18.240000000000002)</f>
        <v>18.24</v>
      </c>
      <c r="AA59" s="12">
        <f>IFERROR(__xludf.DUMMYFUNCTION("""COMPUTED_VALUE"""),1000.0)</f>
        <v>1000</v>
      </c>
      <c r="AB59" s="5" t="str">
        <f>IFERROR(__xludf.DUMMYFUNCTION("""COMPUTED_VALUE"""),"/")</f>
        <v>/</v>
      </c>
      <c r="AC59" s="5" t="str">
        <f>IFERROR(__xludf.DUMMYFUNCTION("""COMPUTED_VALUE"""),"Wild Symbol, Scatter")</f>
        <v>Wild Symbol, Scatter</v>
      </c>
      <c r="AD59" s="5" t="str">
        <f>IFERROR(__xludf.DUMMYFUNCTION("""COMPUTED_VALUE"""),"0.01/60")</f>
        <v>0.01/60</v>
      </c>
      <c r="AE59" s="5"/>
      <c r="AF59" s="5"/>
      <c r="AG59" s="8">
        <f>IFERROR(__xludf.DUMMYFUNCTION("""COMPUTED_VALUE"""),46083.68241898148)</f>
        <v>46083.68242</v>
      </c>
      <c r="AH59" s="5" t="str">
        <f>IFERROR(__xludf.DUMMYFUNCTION("""COMPUTED_VALUE"""),"milutin.toskic@fazi.rs")</f>
        <v>milutin.toskic@fazi.rs</v>
      </c>
      <c r="AI59" s="5"/>
      <c r="AJ59" s="5"/>
      <c r="AK59" s="5">
        <f>IFERROR(__xludf.DUMMYFUNCTION("""COMPUTED_VALUE"""),40.0)</f>
        <v>40</v>
      </c>
      <c r="AL59" s="5" t="str">
        <f>IFERROR(__xludf.DUMMYFUNCTION("""COMPUTED_VALUE"""),"Yes")</f>
        <v>Yes</v>
      </c>
      <c r="AM59" s="5"/>
      <c r="AN59" s="7" t="str">
        <f>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AO59" s="5" t="str">
        <f>IFERROR(__xludf.DUMMYFUNCTION("""COMPUTED_VALUE"""),"Yes")</f>
        <v>Yes</v>
      </c>
      <c r="AP59" s="5"/>
      <c r="AQ59" s="5" t="b">
        <f>IFERROR(__xludf.DUMMYFUNCTION("""COMPUTED_VALUE"""),TRUE)</f>
        <v>1</v>
      </c>
      <c r="AR59" s="5"/>
      <c r="AS59" s="5" t="str">
        <f>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AT59" s="5"/>
      <c r="AU59" s="5" t="str">
        <f>IFERROR(__xludf.DUMMYFUNCTION("""COMPUTED_VALUE"""),"Fazi")</f>
        <v>Fazi</v>
      </c>
      <c r="AV59" s="5"/>
      <c r="AW59" s="5"/>
      <c r="AX59" s="5"/>
      <c r="AY59" s="5"/>
      <c r="AZ59" s="5"/>
      <c r="BA59" s="5" t="str">
        <f>IFERROR(__xludf.DUMMYFUNCTION("""COMPUTED_VALUE"""),"")</f>
        <v/>
      </c>
      <c r="BB59" s="5"/>
      <c r="BC59" s="5" t="str">
        <f>IFERROR(__xludf.DUMMYFUNCTION("""COMPUTED_VALUE"""),"Foxi")</f>
        <v>Foxi</v>
      </c>
      <c r="BD59" s="7" t="str">
        <f>IFERROR(__xludf.DUMMYFUNCTION("""COMPUTED_VALUE"""),"https://gameserver-store-client-area.orbionlimited.com/Home/IntegrationGameLaunch/client-area?moneyType=0&amp;gameName=FruitsAndStars40&amp;platform=desktop&amp;languageCode=eng&amp;currency=EUR")</f>
        <v>https://gameserver-store-client-area.orbionlimited.com/Home/IntegrationGameLaunch/client-area?moneyType=0&amp;gameName=FruitsAndStars40&amp;platform=desktop&amp;languageCode=eng&amp;currency=EUR</v>
      </c>
      <c r="BE59" s="5" t="b">
        <f>IFERROR(__xludf.DUMMYFUNCTION("""COMPUTED_VALUE"""),TRUE)</f>
        <v>1</v>
      </c>
    </row>
    <row r="60">
      <c r="A60" s="5">
        <f>IFERROR(__xludf.DUMMYFUNCTION("""COMPUTED_VALUE"""),59.0)</f>
        <v>59</v>
      </c>
      <c r="B60" s="5">
        <f>IFERROR(__xludf.DUMMYFUNCTION("""COMPUTED_VALUE"""),58.0)</f>
        <v>58</v>
      </c>
      <c r="C60" s="5" t="str">
        <f>IFERROR(__xludf.DUMMYFUNCTION("""COMPUTED_VALUE"""),"Fazi")</f>
        <v>Fazi</v>
      </c>
      <c r="D60" s="5" t="str">
        <f>IFERROR(__xludf.DUMMYFUNCTION("""COMPUTED_VALUE"""),"Twinkling Hot 5")</f>
        <v>Twinkling Hot 5</v>
      </c>
      <c r="E60" s="5" t="str">
        <f>IFERROR(__xludf.DUMMYFUNCTION("""COMPUTED_VALUE"""),"V2")</f>
        <v>V2</v>
      </c>
      <c r="F60" s="5" t="str">
        <f>IFERROR(__xludf.DUMMYFUNCTION("""COMPUTED_VALUE"""),"TwinklingHot5")</f>
        <v>TwinklingHot5</v>
      </c>
      <c r="G60" s="5" t="str">
        <f>IFERROR(__xludf.DUMMYFUNCTION("""COMPUTED_VALUE"""),"Live")</f>
        <v>Live</v>
      </c>
      <c r="H60" s="5"/>
      <c r="I60" s="5" t="str">
        <f>IFERROR(__xludf.DUMMYFUNCTION("""COMPUTED_VALUE"""),"V2")</f>
        <v>V2</v>
      </c>
      <c r="J60" s="5" t="str">
        <f>IFERROR(__xludf.DUMMYFUNCTION("""COMPUTED_VALUE"""),"JSON")</f>
        <v>JSON</v>
      </c>
      <c r="K60" s="5" t="str">
        <f>IFERROR(__xludf.DUMMYFUNCTION("""COMPUTED_VALUE"""),"Slot")</f>
        <v>Slot</v>
      </c>
      <c r="L60" s="5"/>
      <c r="M60" s="5"/>
      <c r="N60" s="5"/>
      <c r="O60" s="5"/>
      <c r="P60" s="12">
        <f>IFERROR(__xludf.DUMMYFUNCTION("""COMPUTED_VALUE"""),27.6)</f>
        <v>27.6</v>
      </c>
      <c r="Q60" s="13">
        <f>IFERROR(__xludf.DUMMYFUNCTION("""COMPUTED_VALUE"""),43815.0)</f>
        <v>43815</v>
      </c>
      <c r="R60" s="14"/>
      <c r="S60" s="13">
        <f>IFERROR(__xludf.DUMMYFUNCTION("""COMPUTED_VALUE"""),43815.0)</f>
        <v>43815</v>
      </c>
      <c r="T60" s="5" t="b">
        <f>IFERROR(__xludf.DUMMYFUNCTION("""COMPUTED_VALUE"""),TRUE)</f>
        <v>1</v>
      </c>
      <c r="U60" s="5" t="str">
        <f>IFERROR(__xludf.DUMMYFUNCTION("""COMPUTED_VALUE"""),"5x3")</f>
        <v>5x3</v>
      </c>
      <c r="V60" s="10" t="str">
        <f>IFERROR(__xludf.DUMMYFUNCTION("""COMPUTED_VALUE"""),"5")</f>
        <v>5</v>
      </c>
      <c r="W60" s="10" t="str">
        <f>IFERROR(__xludf.DUMMYFUNCTION("""COMPUTED_VALUE"""),"5")</f>
        <v>5</v>
      </c>
      <c r="X60" s="5">
        <f>IFERROR(__xludf.DUMMYFUNCTION("""COMPUTED_VALUE"""),95.656)</f>
        <v>95.656</v>
      </c>
      <c r="Y60" s="5" t="str">
        <f>IFERROR(__xludf.DUMMYFUNCTION("""COMPUTED_VALUE"""),"Medium")</f>
        <v>Medium</v>
      </c>
      <c r="Z60" s="5">
        <f>IFERROR(__xludf.DUMMYFUNCTION("""COMPUTED_VALUE"""),12.49)</f>
        <v>12.49</v>
      </c>
      <c r="AA60" s="12">
        <f>IFERROR(__xludf.DUMMYFUNCTION("""COMPUTED_VALUE"""),1000.0)</f>
        <v>1000</v>
      </c>
      <c r="AB60" s="5" t="str">
        <f>IFERROR(__xludf.DUMMYFUNCTION("""COMPUTED_VALUE"""),"/")</f>
        <v>/</v>
      </c>
      <c r="AC60" s="5" t="str">
        <f>IFERROR(__xludf.DUMMYFUNCTION("""COMPUTED_VALUE"""),"Scatter")</f>
        <v>Scatter</v>
      </c>
      <c r="AD60" s="5" t="str">
        <f>IFERROR(__xludf.DUMMYFUNCTION("""COMPUTED_VALUE"""),"0.05/30")</f>
        <v>0.05/30</v>
      </c>
      <c r="AE60" s="5"/>
      <c r="AF60" s="5"/>
      <c r="AG60" s="8">
        <f>IFERROR(__xludf.DUMMYFUNCTION("""COMPUTED_VALUE"""),46104.42554398148)</f>
        <v>46104.42554</v>
      </c>
      <c r="AH60" s="5" t="str">
        <f>IFERROR(__xludf.DUMMYFUNCTION("""COMPUTED_VALUE"""),"marko.tepavac@fazi.rs")</f>
        <v>marko.tepavac@fazi.rs</v>
      </c>
      <c r="AI60" s="5"/>
      <c r="AJ60" s="5"/>
      <c r="AK60" s="5">
        <f>IFERROR(__xludf.DUMMYFUNCTION("""COMPUTED_VALUE"""),5.0)</f>
        <v>5</v>
      </c>
      <c r="AL60" s="5" t="str">
        <f>IFERROR(__xludf.DUMMYFUNCTION("""COMPUTED_VALUE"""),"Yes")</f>
        <v>Yes</v>
      </c>
      <c r="AM60" s="5"/>
      <c r="AN60" s="7" t="str">
        <f>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AO60" s="5" t="str">
        <f>IFERROR(__xludf.DUMMYFUNCTION("""COMPUTED_VALUE"""),"Yes")</f>
        <v>Yes</v>
      </c>
      <c r="AP60" s="5" t="str">
        <f>IFERROR(__xludf.DUMMYFUNCTION("""COMPUTED_VALUE"""),"Yes")</f>
        <v>Yes</v>
      </c>
      <c r="AQ60" s="5" t="b">
        <f>IFERROR(__xludf.DUMMYFUNCTION("""COMPUTED_VALUE"""),TRUE)</f>
        <v>1</v>
      </c>
      <c r="AR60" s="5"/>
      <c r="AS60" s="5" t="str">
        <f>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AT60" s="5" t="str">
        <f>IFERROR(__xludf.DUMMYFUNCTION("""COMPUTED_VALUE"""),"No")</f>
        <v>No</v>
      </c>
      <c r="AU60" s="5" t="str">
        <f>IFERROR(__xludf.DUMMYFUNCTION("""COMPUTED_VALUE"""),"Fazi")</f>
        <v>Fazi</v>
      </c>
      <c r="AV60" s="5"/>
      <c r="AW60" s="5"/>
      <c r="AX60" s="5"/>
      <c r="AY60" s="5"/>
      <c r="AZ60" s="5"/>
      <c r="BA60" s="5" t="str">
        <f>IFERROR(__xludf.DUMMYFUNCTION("""COMPUTED_VALUE"""),"")</f>
        <v/>
      </c>
      <c r="BB60" s="5"/>
      <c r="BC60" s="5" t="str">
        <f>IFERROR(__xludf.DUMMYFUNCTION("""COMPUTED_VALUE"""),"Foxi")</f>
        <v>Foxi</v>
      </c>
      <c r="BD60" s="7" t="str">
        <f>IFERROR(__xludf.DUMMYFUNCTION("""COMPUTED_VALUE"""),"https://gameserver-store-client-area.orbionlimited.com/Home/IntegrationGameLaunch/client-area?moneyType=0&amp;gameName=TwinklingHot5&amp;platform=desktop&amp;languageCode=eng&amp;currency=EUR")</f>
        <v>https://gameserver-store-client-area.orbionlimited.com/Home/IntegrationGameLaunch/client-area?moneyType=0&amp;gameName=TwinklingHot5&amp;platform=desktop&amp;languageCode=eng&amp;currency=EUR</v>
      </c>
      <c r="BE60" s="5" t="b">
        <f>IFERROR(__xludf.DUMMYFUNCTION("""COMPUTED_VALUE"""),TRUE)</f>
        <v>1</v>
      </c>
    </row>
    <row r="61">
      <c r="A61" s="5">
        <f>IFERROR(__xludf.DUMMYFUNCTION("""COMPUTED_VALUE"""),60.0)</f>
        <v>60</v>
      </c>
      <c r="B61" s="5">
        <f>IFERROR(__xludf.DUMMYFUNCTION("""COMPUTED_VALUE"""),59.0)</f>
        <v>59</v>
      </c>
      <c r="C61" s="5" t="str">
        <f>IFERROR(__xludf.DUMMYFUNCTION("""COMPUTED_VALUE"""),"Fazi")</f>
        <v>Fazi</v>
      </c>
      <c r="D61" s="5" t="str">
        <f>IFERROR(__xludf.DUMMYFUNCTION("""COMPUTED_VALUE"""),"Dice Of Spells")</f>
        <v>Dice Of Spells</v>
      </c>
      <c r="E61" s="5" t="str">
        <f>IFERROR(__xludf.DUMMYFUNCTION("""COMPUTED_VALUE"""),"V2")</f>
        <v>V2</v>
      </c>
      <c r="F61" s="5" t="str">
        <f>IFERROR(__xludf.DUMMYFUNCTION("""COMPUTED_VALUE"""),"DiceOfSpells")</f>
        <v>DiceOfSpells</v>
      </c>
      <c r="G61" s="5" t="str">
        <f>IFERROR(__xludf.DUMMYFUNCTION("""COMPUTED_VALUE"""),"Live")</f>
        <v>Live</v>
      </c>
      <c r="H61" s="5"/>
      <c r="I61" s="5" t="str">
        <f>IFERROR(__xludf.DUMMYFUNCTION("""COMPUTED_VALUE"""),"V2")</f>
        <v>V2</v>
      </c>
      <c r="J61" s="5" t="str">
        <f>IFERROR(__xludf.DUMMYFUNCTION("""COMPUTED_VALUE"""),"Binary")</f>
        <v>Binary</v>
      </c>
      <c r="K61" s="5" t="str">
        <f>IFERROR(__xludf.DUMMYFUNCTION("""COMPUTED_VALUE"""),"Slot")</f>
        <v>Slot</v>
      </c>
      <c r="L61" s="5" t="str">
        <f>IFERROR(__xludf.DUMMYFUNCTION("""COMPUTED_VALUE"""),"Clone")</f>
        <v>Clone</v>
      </c>
      <c r="M61" s="5" t="str">
        <f>IFERROR(__xludf.DUMMYFUNCTION("""COMPUTED_VALUE"""),"Book of Spells")</f>
        <v>Book of Spells</v>
      </c>
      <c r="N61" s="5"/>
      <c r="O61" s="5"/>
      <c r="P61" s="12">
        <f>IFERROR(__xludf.DUMMYFUNCTION("""COMPUTED_VALUE"""),37.2)</f>
        <v>37.2</v>
      </c>
      <c r="Q61" s="13">
        <f>IFERROR(__xludf.DUMMYFUNCTION("""COMPUTED_VALUE"""),43922.0)</f>
        <v>43922</v>
      </c>
      <c r="R61" s="14"/>
      <c r="S61" s="13">
        <f>IFERROR(__xludf.DUMMYFUNCTION("""COMPUTED_VALUE"""),43922.0)</f>
        <v>43922</v>
      </c>
      <c r="T61" s="5" t="b">
        <f>IFERROR(__xludf.DUMMYFUNCTION("""COMPUTED_VALUE"""),TRUE)</f>
        <v>1</v>
      </c>
      <c r="U61" s="5" t="str">
        <f>IFERROR(__xludf.DUMMYFUNCTION("""COMPUTED_VALUE"""),"5x3")</f>
        <v>5x3</v>
      </c>
      <c r="V61" s="10" t="str">
        <f>IFERROR(__xludf.DUMMYFUNCTION("""COMPUTED_VALUE"""),"10")</f>
        <v>10</v>
      </c>
      <c r="W61" s="10" t="str">
        <f>IFERROR(__xludf.DUMMYFUNCTION("""COMPUTED_VALUE"""),"1,3,5,7,10")</f>
        <v>1,3,5,7,10</v>
      </c>
      <c r="X61" s="5">
        <f>IFERROR(__xludf.DUMMYFUNCTION("""COMPUTED_VALUE"""),96.064)</f>
        <v>96.064</v>
      </c>
      <c r="Y61" s="5" t="str">
        <f>IFERROR(__xludf.DUMMYFUNCTION("""COMPUTED_VALUE"""),"High")</f>
        <v>High</v>
      </c>
      <c r="Z61" s="5">
        <f>IFERROR(__xludf.DUMMYFUNCTION("""COMPUTED_VALUE"""),31.47)</f>
        <v>31.47</v>
      </c>
      <c r="AA61" s="12">
        <f>IFERROR(__xludf.DUMMYFUNCTION("""COMPUTED_VALUE"""),5512.0)</f>
        <v>5512</v>
      </c>
      <c r="AB61" s="5">
        <f>IFERROR(__xludf.DUMMYFUNCTION("""COMPUTED_VALUE"""),212.0)</f>
        <v>212</v>
      </c>
      <c r="AC61" s="5" t="str">
        <f>IFERROR(__xludf.DUMMYFUNCTION("""COMPUTED_VALUE"""),"Book Of Game, Wild Symbol, Scatter")</f>
        <v>Book Of Game, Wild Symbol, Scatter</v>
      </c>
      <c r="AD61" s="5" t="str">
        <f>IFERROR(__xludf.DUMMYFUNCTION("""COMPUTED_VALUE"""),"0.01/40")</f>
        <v>0.01/40</v>
      </c>
      <c r="AE61" s="5"/>
      <c r="AF61" s="5"/>
      <c r="AG61" s="5"/>
      <c r="AH61" s="5"/>
      <c r="AI61" s="5"/>
      <c r="AJ61" s="5"/>
      <c r="AK61" s="5">
        <f>IFERROR(__xludf.DUMMYFUNCTION("""COMPUTED_VALUE"""),10.0)</f>
        <v>10</v>
      </c>
      <c r="AL61" s="5" t="str">
        <f>IFERROR(__xludf.DUMMYFUNCTION("""COMPUTED_VALUE"""),"Yes")</f>
        <v>Yes</v>
      </c>
      <c r="AM61" s="5"/>
      <c r="AN61" s="7" t="str">
        <f>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AO61" s="5"/>
      <c r="AP61" s="5"/>
      <c r="AQ61" s="5" t="b">
        <f>IFERROR(__xludf.DUMMYFUNCTION("""COMPUTED_VALUE"""),TRUE)</f>
        <v>1</v>
      </c>
      <c r="AR61" s="5"/>
      <c r="AS61" s="5" t="str">
        <f>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AT61" s="5"/>
      <c r="AU61" s="5" t="str">
        <f>IFERROR(__xludf.DUMMYFUNCTION("""COMPUTED_VALUE"""),"Fazi")</f>
        <v>Fazi</v>
      </c>
      <c r="AV61" s="5"/>
      <c r="AW61" s="5"/>
      <c r="AX61" s="5"/>
      <c r="AY61" s="5"/>
      <c r="AZ61" s="5"/>
      <c r="BA61" s="5" t="str">
        <f>IFERROR(__xludf.DUMMYFUNCTION("""COMPUTED_VALUE"""),"")</f>
        <v/>
      </c>
      <c r="BB61" s="5"/>
      <c r="BC61" s="5" t="str">
        <f>IFERROR(__xludf.DUMMYFUNCTION("""COMPUTED_VALUE"""),"Foxi")</f>
        <v>Foxi</v>
      </c>
      <c r="BD61" s="7" t="str">
        <f>IFERROR(__xludf.DUMMYFUNCTION("""COMPUTED_VALUE"""),"https://gameserver-store-client-area.orbionlimited.com/Home/IntegrationGameLaunch/client-area?moneyType=0&amp;gameName=DiceOfSpells&amp;platform=desktop&amp;languageCode=eng&amp;currency=EUR")</f>
        <v>https://gameserver-store-client-area.orbionlimited.com/Home/IntegrationGameLaunch/client-area?moneyType=0&amp;gameName=DiceOfSpells&amp;platform=desktop&amp;languageCode=eng&amp;currency=EUR</v>
      </c>
      <c r="BE61" s="5" t="b">
        <f>IFERROR(__xludf.DUMMYFUNCTION("""COMPUTED_VALUE"""),TRUE)</f>
        <v>1</v>
      </c>
    </row>
    <row r="62">
      <c r="A62" s="5">
        <f>IFERROR(__xludf.DUMMYFUNCTION("""COMPUTED_VALUE"""),61.0)</f>
        <v>61</v>
      </c>
      <c r="B62" s="5">
        <f>IFERROR(__xludf.DUMMYFUNCTION("""COMPUTED_VALUE"""),60.0)</f>
        <v>60</v>
      </c>
      <c r="C62" s="5" t="str">
        <f>IFERROR(__xludf.DUMMYFUNCTION("""COMPUTED_VALUE"""),"Fazi")</f>
        <v>Fazi</v>
      </c>
      <c r="D62" s="5" t="str">
        <f>IFERROR(__xludf.DUMMYFUNCTION("""COMPUTED_VALUE"""),"Cubes And Stars")</f>
        <v>Cubes And Stars</v>
      </c>
      <c r="E62" s="5" t="str">
        <f>IFERROR(__xludf.DUMMYFUNCTION("""COMPUTED_VALUE"""),"V2")</f>
        <v>V2</v>
      </c>
      <c r="F62" s="5" t="str">
        <f>IFERROR(__xludf.DUMMYFUNCTION("""COMPUTED_VALUE"""),"CubesAndStars")</f>
        <v>CubesAndStars</v>
      </c>
      <c r="G62" s="5" t="str">
        <f>IFERROR(__xludf.DUMMYFUNCTION("""COMPUTED_VALUE"""),"Live")</f>
        <v>Live</v>
      </c>
      <c r="H62" s="5"/>
      <c r="I62" s="5" t="str">
        <f>IFERROR(__xludf.DUMMYFUNCTION("""COMPUTED_VALUE"""),"V2")</f>
        <v>V2</v>
      </c>
      <c r="J62" s="5" t="str">
        <f>IFERROR(__xludf.DUMMYFUNCTION("""COMPUTED_VALUE"""),"Binary")</f>
        <v>Binary</v>
      </c>
      <c r="K62" s="5" t="str">
        <f>IFERROR(__xludf.DUMMYFUNCTION("""COMPUTED_VALUE"""),"Slot")</f>
        <v>Slot</v>
      </c>
      <c r="L62" s="5" t="str">
        <f>IFERROR(__xludf.DUMMYFUNCTION("""COMPUTED_VALUE"""),"Clone")</f>
        <v>Clone</v>
      </c>
      <c r="M62" s="5" t="str">
        <f>IFERROR(__xludf.DUMMYFUNCTION("""COMPUTED_VALUE"""),"Fruits and Stars")</f>
        <v>Fruits and Stars</v>
      </c>
      <c r="N62" s="5"/>
      <c r="O62" s="5"/>
      <c r="P62" s="12">
        <f>IFERROR(__xludf.DUMMYFUNCTION("""COMPUTED_VALUE"""),19.7)</f>
        <v>19.7</v>
      </c>
      <c r="Q62" s="13">
        <f>IFERROR(__xludf.DUMMYFUNCTION("""COMPUTED_VALUE"""),43525.0)</f>
        <v>43525</v>
      </c>
      <c r="R62" s="14"/>
      <c r="S62" s="13">
        <f>IFERROR(__xludf.DUMMYFUNCTION("""COMPUTED_VALUE"""),43525.0)</f>
        <v>43525</v>
      </c>
      <c r="T62" s="5"/>
      <c r="U62" s="5" t="str">
        <f>IFERROR(__xludf.DUMMYFUNCTION("""COMPUTED_VALUE"""),"5x3")</f>
        <v>5x3</v>
      </c>
      <c r="V62" s="10" t="str">
        <f>IFERROR(__xludf.DUMMYFUNCTION("""COMPUTED_VALUE"""),"20")</f>
        <v>20</v>
      </c>
      <c r="W62" s="10" t="str">
        <f>IFERROR(__xludf.DUMMYFUNCTION("""COMPUTED_VALUE"""),"1,3,5,7,10,20")</f>
        <v>1,3,5,7,10,20</v>
      </c>
      <c r="X62" s="5">
        <f>IFERROR(__xludf.DUMMYFUNCTION("""COMPUTED_VALUE"""),95.79)</f>
        <v>95.79</v>
      </c>
      <c r="Y62" s="5" t="str">
        <f>IFERROR(__xludf.DUMMYFUNCTION("""COMPUTED_VALUE"""),"Low")</f>
        <v>Low</v>
      </c>
      <c r="Z62" s="5">
        <f>IFERROR(__xludf.DUMMYFUNCTION("""COMPUTED_VALUE"""),17.45)</f>
        <v>17.45</v>
      </c>
      <c r="AA62" s="12">
        <f>IFERROR(__xludf.DUMMYFUNCTION("""COMPUTED_VALUE"""),1000.0)</f>
        <v>1000</v>
      </c>
      <c r="AB62" s="5" t="str">
        <f>IFERROR(__xludf.DUMMYFUNCTION("""COMPUTED_VALUE"""),"/")</f>
        <v>/</v>
      </c>
      <c r="AC62" s="5" t="str">
        <f>IFERROR(__xludf.DUMMYFUNCTION("""COMPUTED_VALUE"""),"Wild Symbol, Scatter")</f>
        <v>Wild Symbol, Scatter</v>
      </c>
      <c r="AD62" s="5" t="str">
        <f>IFERROR(__xludf.DUMMYFUNCTION("""COMPUTED_VALUE"""),"0.01/50")</f>
        <v>0.01/50</v>
      </c>
      <c r="AE62" s="5"/>
      <c r="AF62" s="5"/>
      <c r="AG62" s="8">
        <f>IFERROR(__xludf.DUMMYFUNCTION("""COMPUTED_VALUE"""),46055.50834490741)</f>
        <v>46055.50834</v>
      </c>
      <c r="AH62" s="5" t="str">
        <f>IFERROR(__xludf.DUMMYFUNCTION("""COMPUTED_VALUE"""),"djordje.jankovic@fazi.rs")</f>
        <v>djordje.jankovic@fazi.rs</v>
      </c>
      <c r="AI62" s="5"/>
      <c r="AJ62" s="5"/>
      <c r="AK62" s="5">
        <f>IFERROR(__xludf.DUMMYFUNCTION("""COMPUTED_VALUE"""),20.0)</f>
        <v>20</v>
      </c>
      <c r="AL62" s="5" t="str">
        <f>IFERROR(__xludf.DUMMYFUNCTION("""COMPUTED_VALUE"""),"Yes")</f>
        <v>Yes</v>
      </c>
      <c r="AM62" s="5"/>
      <c r="AN62" s="7" t="str">
        <f>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AO62" s="5"/>
      <c r="AP62" s="5"/>
      <c r="AQ62" s="5" t="b">
        <f>IFERROR(__xludf.DUMMYFUNCTION("""COMPUTED_VALUE"""),TRUE)</f>
        <v>1</v>
      </c>
      <c r="AR62" s="5"/>
      <c r="AS62" s="5" t="str">
        <f>IFERROR(__xludf.DUMMYFUNCTION("""COMPUTED_VALUE"""),"Roll the dice and your day will get better than nice !")</f>
        <v>Roll the dice and your day will get better than nice !</v>
      </c>
      <c r="AT62" s="5"/>
      <c r="AU62" s="5" t="str">
        <f>IFERROR(__xludf.DUMMYFUNCTION("""COMPUTED_VALUE"""),"Fazi")</f>
        <v>Fazi</v>
      </c>
      <c r="AV62" s="5"/>
      <c r="AW62" s="5"/>
      <c r="AX62" s="5"/>
      <c r="AY62" s="5"/>
      <c r="AZ62" s="5"/>
      <c r="BA62" s="5" t="str">
        <f>IFERROR(__xludf.DUMMYFUNCTION("""COMPUTED_VALUE"""),"")</f>
        <v/>
      </c>
      <c r="BB62" s="5"/>
      <c r="BC62" s="5" t="str">
        <f>IFERROR(__xludf.DUMMYFUNCTION("""COMPUTED_VALUE"""),"Foxi")</f>
        <v>Foxi</v>
      </c>
      <c r="BD62" s="7" t="str">
        <f>IFERROR(__xludf.DUMMYFUNCTION("""COMPUTED_VALUE"""),"https://gameserver-store-client-area.orbionlimited.com/Home/IntegrationGameLaunch/client-area?moneyType=0&amp;gameName=CubesAndStars&amp;platform=desktop&amp;languageCode=eng&amp;currency=EUR")</f>
        <v>https://gameserver-store-client-area.orbionlimited.com/Home/IntegrationGameLaunch/client-area?moneyType=0&amp;gameName=CubesAndStars&amp;platform=desktop&amp;languageCode=eng&amp;currency=EUR</v>
      </c>
      <c r="BE62" s="5" t="b">
        <f>IFERROR(__xludf.DUMMYFUNCTION("""COMPUTED_VALUE"""),TRUE)</f>
        <v>1</v>
      </c>
    </row>
    <row r="63">
      <c r="A63" s="5">
        <f>IFERROR(__xludf.DUMMYFUNCTION("""COMPUTED_VALUE"""),62.0)</f>
        <v>62</v>
      </c>
      <c r="B63" s="5">
        <f>IFERROR(__xludf.DUMMYFUNCTION("""COMPUTED_VALUE"""),61.0)</f>
        <v>61</v>
      </c>
      <c r="C63" s="5" t="str">
        <f>IFERROR(__xludf.DUMMYFUNCTION("""COMPUTED_VALUE"""),"Fazi")</f>
        <v>Fazi</v>
      </c>
      <c r="D63" s="5" t="str">
        <f>IFERROR(__xludf.DUMMYFUNCTION("""COMPUTED_VALUE"""),"Twinkling Hot 40")</f>
        <v>Twinkling Hot 40</v>
      </c>
      <c r="E63" s="5" t="str">
        <f>IFERROR(__xludf.DUMMYFUNCTION("""COMPUTED_VALUE"""),"V2")</f>
        <v>V2</v>
      </c>
      <c r="F63" s="5" t="str">
        <f>IFERROR(__xludf.DUMMYFUNCTION("""COMPUTED_VALUE"""),"TwinklingHot40")</f>
        <v>TwinklingHot40</v>
      </c>
      <c r="G63" s="5" t="str">
        <f>IFERROR(__xludf.DUMMYFUNCTION("""COMPUTED_VALUE"""),"Live")</f>
        <v>Live</v>
      </c>
      <c r="H63" s="5"/>
      <c r="I63" s="5" t="str">
        <f>IFERROR(__xludf.DUMMYFUNCTION("""COMPUTED_VALUE"""),"V2")</f>
        <v>V2</v>
      </c>
      <c r="J63" s="5" t="str">
        <f>IFERROR(__xludf.DUMMYFUNCTION("""COMPUTED_VALUE"""),"JSON")</f>
        <v>JSON</v>
      </c>
      <c r="K63" s="5" t="str">
        <f>IFERROR(__xludf.DUMMYFUNCTION("""COMPUTED_VALUE"""),"Slot")</f>
        <v>Slot</v>
      </c>
      <c r="L63" s="5" t="str">
        <f>IFERROR(__xludf.DUMMYFUNCTION("""COMPUTED_VALUE"""),"Clone")</f>
        <v>Clone</v>
      </c>
      <c r="M63" s="5" t="str">
        <f>IFERROR(__xludf.DUMMYFUNCTION("""COMPUTED_VALUE"""),"Twinkling Hot 5")</f>
        <v>Twinkling Hot 5</v>
      </c>
      <c r="N63" s="5"/>
      <c r="O63" s="5"/>
      <c r="P63" s="12">
        <f>IFERROR(__xludf.DUMMYFUNCTION("""COMPUTED_VALUE"""),27.9)</f>
        <v>27.9</v>
      </c>
      <c r="Q63" s="13">
        <f>IFERROR(__xludf.DUMMYFUNCTION("""COMPUTED_VALUE"""),43843.0)</f>
        <v>43843</v>
      </c>
      <c r="R63" s="14"/>
      <c r="S63" s="13">
        <f>IFERROR(__xludf.DUMMYFUNCTION("""COMPUTED_VALUE"""),43843.0)</f>
        <v>43843</v>
      </c>
      <c r="T63" s="5" t="b">
        <f>IFERROR(__xludf.DUMMYFUNCTION("""COMPUTED_VALUE"""),TRUE)</f>
        <v>1</v>
      </c>
      <c r="U63" s="5" t="str">
        <f>IFERROR(__xludf.DUMMYFUNCTION("""COMPUTED_VALUE"""),"5x3")</f>
        <v>5x3</v>
      </c>
      <c r="V63" s="10" t="str">
        <f>IFERROR(__xludf.DUMMYFUNCTION("""COMPUTED_VALUE"""),"40")</f>
        <v>40</v>
      </c>
      <c r="W63" s="10" t="str">
        <f>IFERROR(__xludf.DUMMYFUNCTION("""COMPUTED_VALUE"""),"40")</f>
        <v>40</v>
      </c>
      <c r="X63" s="5">
        <f>IFERROR(__xludf.DUMMYFUNCTION("""COMPUTED_VALUE"""),95.656)</f>
        <v>95.656</v>
      </c>
      <c r="Y63" s="5" t="str">
        <f>IFERROR(__xludf.DUMMYFUNCTION("""COMPUTED_VALUE"""),"Low")</f>
        <v>Low</v>
      </c>
      <c r="Z63" s="5">
        <f>IFERROR(__xludf.DUMMYFUNCTION("""COMPUTED_VALUE"""),17.87)</f>
        <v>17.87</v>
      </c>
      <c r="AA63" s="12">
        <f>IFERROR(__xludf.DUMMYFUNCTION("""COMPUTED_VALUE"""),200.0)</f>
        <v>200</v>
      </c>
      <c r="AB63" s="5" t="str">
        <f>IFERROR(__xludf.DUMMYFUNCTION("""COMPUTED_VALUE"""),"/")</f>
        <v>/</v>
      </c>
      <c r="AC63" s="5" t="str">
        <f>IFERROR(__xludf.DUMMYFUNCTION("""COMPUTED_VALUE"""),"Scatter")</f>
        <v>Scatter</v>
      </c>
      <c r="AD63" s="5" t="str">
        <f>IFERROR(__xludf.DUMMYFUNCTION("""COMPUTED_VALUE"""),"0.40/60")</f>
        <v>0.40/60</v>
      </c>
      <c r="AE63" s="5"/>
      <c r="AF63" s="5"/>
      <c r="AG63" s="8">
        <f>IFERROR(__xludf.DUMMYFUNCTION("""COMPUTED_VALUE"""),46104.42590277778)</f>
        <v>46104.4259</v>
      </c>
      <c r="AH63" s="5" t="str">
        <f>IFERROR(__xludf.DUMMYFUNCTION("""COMPUTED_VALUE"""),"marko.tepavac@fazi.rs")</f>
        <v>marko.tepavac@fazi.rs</v>
      </c>
      <c r="AI63" s="5"/>
      <c r="AJ63" s="5"/>
      <c r="AK63" s="5">
        <f>IFERROR(__xludf.DUMMYFUNCTION("""COMPUTED_VALUE"""),40.0)</f>
        <v>40</v>
      </c>
      <c r="AL63" s="5" t="str">
        <f>IFERROR(__xludf.DUMMYFUNCTION("""COMPUTED_VALUE"""),"Yes")</f>
        <v>Yes</v>
      </c>
      <c r="AM63" s="5"/>
      <c r="AN63" s="7" t="str">
        <f>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AO63" s="5" t="str">
        <f>IFERROR(__xludf.DUMMYFUNCTION("""COMPUTED_VALUE"""),"Yes")</f>
        <v>Yes</v>
      </c>
      <c r="AP63" s="5" t="str">
        <f>IFERROR(__xludf.DUMMYFUNCTION("""COMPUTED_VALUE"""),"Yes")</f>
        <v>Yes</v>
      </c>
      <c r="AQ63" s="5" t="b">
        <f>IFERROR(__xludf.DUMMYFUNCTION("""COMPUTED_VALUE"""),TRUE)</f>
        <v>1</v>
      </c>
      <c r="AR63" s="5"/>
      <c r="AS63" s="5" t="str">
        <f>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AT63" s="5" t="str">
        <f>IFERROR(__xludf.DUMMYFUNCTION("""COMPUTED_VALUE"""),"No")</f>
        <v>No</v>
      </c>
      <c r="AU63" s="5" t="str">
        <f>IFERROR(__xludf.DUMMYFUNCTION("""COMPUTED_VALUE"""),"Fazi")</f>
        <v>Fazi</v>
      </c>
      <c r="AV63" s="5"/>
      <c r="AW63" s="5"/>
      <c r="AX63" s="5"/>
      <c r="AY63" s="5"/>
      <c r="AZ63" s="5"/>
      <c r="BA63" s="5" t="str">
        <f>IFERROR(__xludf.DUMMYFUNCTION("""COMPUTED_VALUE"""),"")</f>
        <v/>
      </c>
      <c r="BB63" s="5"/>
      <c r="BC63" s="5" t="str">
        <f>IFERROR(__xludf.DUMMYFUNCTION("""COMPUTED_VALUE"""),"Foxi")</f>
        <v>Foxi</v>
      </c>
      <c r="BD63" s="7" t="str">
        <f>IFERROR(__xludf.DUMMYFUNCTION("""COMPUTED_VALUE"""),"https://gameserver-store-client-area.orbionlimited.com/Home/IntegrationGameLaunch/client-area?moneyType=0&amp;gameName=TwinklingHot40&amp;platform=desktop&amp;languageCode=eng&amp;currency=EUR")</f>
        <v>https://gameserver-store-client-area.orbionlimited.com/Home/IntegrationGameLaunch/client-area?moneyType=0&amp;gameName=TwinklingHot40&amp;platform=desktop&amp;languageCode=eng&amp;currency=EUR</v>
      </c>
      <c r="BE63" s="5" t="b">
        <f>IFERROR(__xludf.DUMMYFUNCTION("""COMPUTED_VALUE"""),TRUE)</f>
        <v>1</v>
      </c>
    </row>
    <row r="64">
      <c r="A64" s="5">
        <f>IFERROR(__xludf.DUMMYFUNCTION("""COMPUTED_VALUE"""),63.0)</f>
        <v>63</v>
      </c>
      <c r="B64" s="5">
        <f>IFERROR(__xludf.DUMMYFUNCTION("""COMPUTED_VALUE"""),62.0)</f>
        <v>62</v>
      </c>
      <c r="C64" s="5" t="str">
        <f>IFERROR(__xludf.DUMMYFUNCTION("""COMPUTED_VALUE"""),"Fazi")</f>
        <v>Fazi</v>
      </c>
      <c r="D64" s="5" t="str">
        <f>IFERROR(__xludf.DUMMYFUNCTION("""COMPUTED_VALUE"""),"Book Of Spells Deluxe")</f>
        <v>Book Of Spells Deluxe</v>
      </c>
      <c r="E64" s="5" t="str">
        <f>IFERROR(__xludf.DUMMYFUNCTION("""COMPUTED_VALUE"""),"V2")</f>
        <v>V2</v>
      </c>
      <c r="F64" s="5" t="str">
        <f>IFERROR(__xludf.DUMMYFUNCTION("""COMPUTED_VALUE"""),"BookOfSpellsDeluxe")</f>
        <v>BookOfSpellsDeluxe</v>
      </c>
      <c r="G64" s="5" t="str">
        <f>IFERROR(__xludf.DUMMYFUNCTION("""COMPUTED_VALUE"""),"Live")</f>
        <v>Live</v>
      </c>
      <c r="H64" s="5"/>
      <c r="I64" s="5" t="str">
        <f>IFERROR(__xludf.DUMMYFUNCTION("""COMPUTED_VALUE"""),"V2")</f>
        <v>V2</v>
      </c>
      <c r="J64" s="5" t="str">
        <f>IFERROR(__xludf.DUMMYFUNCTION("""COMPUTED_VALUE"""),"Binary")</f>
        <v>Binary</v>
      </c>
      <c r="K64" s="5" t="str">
        <f>IFERROR(__xludf.DUMMYFUNCTION("""COMPUTED_VALUE"""),"Slot")</f>
        <v>Slot</v>
      </c>
      <c r="L64" s="5" t="str">
        <f>IFERROR(__xludf.DUMMYFUNCTION("""COMPUTED_VALUE"""),"Clone")</f>
        <v>Clone</v>
      </c>
      <c r="M64" s="5" t="str">
        <f>IFERROR(__xludf.DUMMYFUNCTION("""COMPUTED_VALUE"""),"Book of Spells")</f>
        <v>Book of Spells</v>
      </c>
      <c r="N64" s="5"/>
      <c r="O64" s="5"/>
      <c r="P64" s="12">
        <f>IFERROR(__xludf.DUMMYFUNCTION("""COMPUTED_VALUE"""),41.4)</f>
        <v>41.4</v>
      </c>
      <c r="Q64" s="13">
        <f>IFERROR(__xludf.DUMMYFUNCTION("""COMPUTED_VALUE"""),43872.0)</f>
        <v>43872</v>
      </c>
      <c r="R64" s="14"/>
      <c r="S64" s="13">
        <f>IFERROR(__xludf.DUMMYFUNCTION("""COMPUTED_VALUE"""),43872.0)</f>
        <v>43872</v>
      </c>
      <c r="T64" s="5" t="b">
        <f>IFERROR(__xludf.DUMMYFUNCTION("""COMPUTED_VALUE"""),TRUE)</f>
        <v>1</v>
      </c>
      <c r="U64" s="5" t="str">
        <f>IFERROR(__xludf.DUMMYFUNCTION("""COMPUTED_VALUE"""),"5x3")</f>
        <v>5x3</v>
      </c>
      <c r="V64" s="10" t="str">
        <f>IFERROR(__xludf.DUMMYFUNCTION("""COMPUTED_VALUE"""),"10")</f>
        <v>10</v>
      </c>
      <c r="W64" s="10" t="str">
        <f>IFERROR(__xludf.DUMMYFUNCTION("""COMPUTED_VALUE"""),"1,3,5,7,10")</f>
        <v>1,3,5,7,10</v>
      </c>
      <c r="X64" s="5">
        <f>IFERROR(__xludf.DUMMYFUNCTION("""COMPUTED_VALUE"""),96.064)</f>
        <v>96.064</v>
      </c>
      <c r="Y64" s="5" t="str">
        <f>IFERROR(__xludf.DUMMYFUNCTION("""COMPUTED_VALUE"""),"High")</f>
        <v>High</v>
      </c>
      <c r="Z64" s="5">
        <f>IFERROR(__xludf.DUMMYFUNCTION("""COMPUTED_VALUE"""),31.47)</f>
        <v>31.47</v>
      </c>
      <c r="AA64" s="12">
        <f>IFERROR(__xludf.DUMMYFUNCTION("""COMPUTED_VALUE"""),5512.0)</f>
        <v>5512</v>
      </c>
      <c r="AB64" s="5">
        <f>IFERROR(__xludf.DUMMYFUNCTION("""COMPUTED_VALUE"""),212.0)</f>
        <v>212</v>
      </c>
      <c r="AC64" s="5" t="str">
        <f>IFERROR(__xludf.DUMMYFUNCTION("""COMPUTED_VALUE"""),"Book Of Game, Wild Symbol, Scatter")</f>
        <v>Book Of Game, Wild Symbol, Scatter</v>
      </c>
      <c r="AD64" s="5" t="str">
        <f>IFERROR(__xludf.DUMMYFUNCTION("""COMPUTED_VALUE"""),"0.01/40")</f>
        <v>0.01/40</v>
      </c>
      <c r="AE64" s="5"/>
      <c r="AF64" s="5"/>
      <c r="AG64" s="8">
        <f>IFERROR(__xludf.DUMMYFUNCTION("""COMPUTED_VALUE"""),45870.4106712963)</f>
        <v>45870.41067</v>
      </c>
      <c r="AH64" s="5" t="str">
        <f>IFERROR(__xludf.DUMMYFUNCTION("""COMPUTED_VALUE"""),"iva.cirkovic@fazi.rs")</f>
        <v>iva.cirkovic@fazi.rs</v>
      </c>
      <c r="AI64" s="5"/>
      <c r="AJ64" s="5"/>
      <c r="AK64" s="5">
        <f>IFERROR(__xludf.DUMMYFUNCTION("""COMPUTED_VALUE"""),10.0)</f>
        <v>10</v>
      </c>
      <c r="AL64" s="5" t="str">
        <f>IFERROR(__xludf.DUMMYFUNCTION("""COMPUTED_VALUE"""),"Yes")</f>
        <v>Yes</v>
      </c>
      <c r="AM64" s="5"/>
      <c r="AN64" s="7" t="str">
        <f>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AO64" s="5"/>
      <c r="AP64" s="5"/>
      <c r="AQ64" s="5" t="b">
        <f>IFERROR(__xludf.DUMMYFUNCTION("""COMPUTED_VALUE"""),TRUE)</f>
        <v>1</v>
      </c>
      <c r="AR64" s="5"/>
      <c r="AS64"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64" s="5"/>
      <c r="AU64" s="5" t="str">
        <f>IFERROR(__xludf.DUMMYFUNCTION("""COMPUTED_VALUE"""),"Fazi")</f>
        <v>Fazi</v>
      </c>
      <c r="AV64" s="5"/>
      <c r="AW64" s="5"/>
      <c r="AX64" s="5"/>
      <c r="AY64" s="5"/>
      <c r="AZ64" s="5"/>
      <c r="BA64" s="5" t="str">
        <f>IFERROR(__xludf.DUMMYFUNCTION("""COMPUTED_VALUE"""),"")</f>
        <v/>
      </c>
      <c r="BB64" s="5"/>
      <c r="BC64" s="5" t="str">
        <f>IFERROR(__xludf.DUMMYFUNCTION("""COMPUTED_VALUE"""),"Foxi")</f>
        <v>Foxi</v>
      </c>
      <c r="BD64" s="7" t="str">
        <f>IFERROR(__xludf.DUMMYFUNCTION("""COMPUTED_VALUE"""),"https://gameserver-store-client-area.orbionlimited.com/Home/IntegrationGameLaunch/client-area?moneyType=0&amp;gameName=BookOfSpellsDeluxe&amp;platform=desktop&amp;languageCode=eng&amp;currency=EUR")</f>
        <v>https://gameserver-store-client-area.orbionlimited.com/Home/IntegrationGameLaunch/client-area?moneyType=0&amp;gameName=BookOfSpellsDeluxe&amp;platform=desktop&amp;languageCode=eng&amp;currency=EUR</v>
      </c>
      <c r="BE64" s="5" t="b">
        <f>IFERROR(__xludf.DUMMYFUNCTION("""COMPUTED_VALUE"""),TRUE)</f>
        <v>1</v>
      </c>
    </row>
    <row r="65">
      <c r="A65" s="5">
        <f>IFERROR(__xludf.DUMMYFUNCTION("""COMPUTED_VALUE"""),64.0)</f>
        <v>64</v>
      </c>
      <c r="B65" s="5">
        <f>IFERROR(__xludf.DUMMYFUNCTION("""COMPUTED_VALUE"""),63.0)</f>
        <v>63</v>
      </c>
      <c r="C65" s="5" t="str">
        <f>IFERROR(__xludf.DUMMYFUNCTION("""COMPUTED_VALUE"""),"Fazi")</f>
        <v>Fazi</v>
      </c>
      <c r="D65" s="5" t="str">
        <f>IFERROR(__xludf.DUMMYFUNCTION("""COMPUTED_VALUE"""),"Jazzy Fruits")</f>
        <v>Jazzy Fruits</v>
      </c>
      <c r="E65" s="5" t="str">
        <f>IFERROR(__xludf.DUMMYFUNCTION("""COMPUTED_VALUE"""),"V2")</f>
        <v>V2</v>
      </c>
      <c r="F65" s="5" t="str">
        <f>IFERROR(__xludf.DUMMYFUNCTION("""COMPUTED_VALUE"""),"JazzyFruits")</f>
        <v>JazzyFruits</v>
      </c>
      <c r="G65" s="5" t="str">
        <f>IFERROR(__xludf.DUMMYFUNCTION("""COMPUTED_VALUE"""),"Live")</f>
        <v>Live</v>
      </c>
      <c r="H65" s="5"/>
      <c r="I65" s="5" t="str">
        <f>IFERROR(__xludf.DUMMYFUNCTION("""COMPUTED_VALUE"""),"V2")</f>
        <v>V2</v>
      </c>
      <c r="J65" s="5" t="str">
        <f>IFERROR(__xludf.DUMMYFUNCTION("""COMPUTED_VALUE"""),"JSON")</f>
        <v>JSON</v>
      </c>
      <c r="K65" s="5" t="str">
        <f>IFERROR(__xludf.DUMMYFUNCTION("""COMPUTED_VALUE"""),"Slot")</f>
        <v>Slot</v>
      </c>
      <c r="L65" s="5" t="str">
        <f>IFERROR(__xludf.DUMMYFUNCTION("""COMPUTED_VALUE"""),"Clone")</f>
        <v>Clone</v>
      </c>
      <c r="M65" s="5" t="str">
        <f>IFERROR(__xludf.DUMMYFUNCTION("""COMPUTED_VALUE"""),"Twinkling Hot 5")</f>
        <v>Twinkling Hot 5</v>
      </c>
      <c r="N65" s="5"/>
      <c r="O65" s="5"/>
      <c r="P65" s="12">
        <f>IFERROR(__xludf.DUMMYFUNCTION("""COMPUTED_VALUE"""),23.7)</f>
        <v>23.7</v>
      </c>
      <c r="Q65" s="13">
        <f>IFERROR(__xludf.DUMMYFUNCTION("""COMPUTED_VALUE"""),43899.0)</f>
        <v>43899</v>
      </c>
      <c r="R65" s="14"/>
      <c r="S65" s="13">
        <f>IFERROR(__xludf.DUMMYFUNCTION("""COMPUTED_VALUE"""),43899.0)</f>
        <v>43899</v>
      </c>
      <c r="T65" s="5" t="b">
        <f>IFERROR(__xludf.DUMMYFUNCTION("""COMPUTED_VALUE"""),TRUE)</f>
        <v>1</v>
      </c>
      <c r="U65" s="5" t="str">
        <f>IFERROR(__xludf.DUMMYFUNCTION("""COMPUTED_VALUE"""),"5x3")</f>
        <v>5x3</v>
      </c>
      <c r="V65" s="10" t="str">
        <f>IFERROR(__xludf.DUMMYFUNCTION("""COMPUTED_VALUE"""),"5")</f>
        <v>5</v>
      </c>
      <c r="W65" s="10" t="str">
        <f>IFERROR(__xludf.DUMMYFUNCTION("""COMPUTED_VALUE"""),"5")</f>
        <v>5</v>
      </c>
      <c r="X65" s="5">
        <f>IFERROR(__xludf.DUMMYFUNCTION("""COMPUTED_VALUE"""),95.656)</f>
        <v>95.656</v>
      </c>
      <c r="Y65" s="5" t="str">
        <f>IFERROR(__xludf.DUMMYFUNCTION("""COMPUTED_VALUE"""),"Medium")</f>
        <v>Medium</v>
      </c>
      <c r="Z65" s="5">
        <f>IFERROR(__xludf.DUMMYFUNCTION("""COMPUTED_VALUE"""),12.49)</f>
        <v>12.49</v>
      </c>
      <c r="AA65" s="12">
        <f>IFERROR(__xludf.DUMMYFUNCTION("""COMPUTED_VALUE"""),1000.0)</f>
        <v>1000</v>
      </c>
      <c r="AB65" s="5" t="str">
        <f>IFERROR(__xludf.DUMMYFUNCTION("""COMPUTED_VALUE"""),"/")</f>
        <v>/</v>
      </c>
      <c r="AC65" s="5" t="str">
        <f>IFERROR(__xludf.DUMMYFUNCTION("""COMPUTED_VALUE"""),"Scatter")</f>
        <v>Scatter</v>
      </c>
      <c r="AD65" s="5" t="str">
        <f>IFERROR(__xludf.DUMMYFUNCTION("""COMPUTED_VALUE"""),"0.05/30")</f>
        <v>0.05/30</v>
      </c>
      <c r="AE65" s="5"/>
      <c r="AF65" s="5"/>
      <c r="AG65" s="8">
        <f>IFERROR(__xludf.DUMMYFUNCTION("""COMPUTED_VALUE"""),46006.427835648145)</f>
        <v>46006.42784</v>
      </c>
      <c r="AH65" s="5" t="str">
        <f>IFERROR(__xludf.DUMMYFUNCTION("""COMPUTED_VALUE"""),"milutin.toskic@fazi.rs")</f>
        <v>milutin.toskic@fazi.rs</v>
      </c>
      <c r="AI65" s="5"/>
      <c r="AJ65" s="5"/>
      <c r="AK65" s="5">
        <f>IFERROR(__xludf.DUMMYFUNCTION("""COMPUTED_VALUE"""),5.0)</f>
        <v>5</v>
      </c>
      <c r="AL65" s="5" t="str">
        <f>IFERROR(__xludf.DUMMYFUNCTION("""COMPUTED_VALUE"""),"Yes")</f>
        <v>Yes</v>
      </c>
      <c r="AM65" s="5"/>
      <c r="AN65" s="7" t="str">
        <f>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AO65" s="5" t="str">
        <f>IFERROR(__xludf.DUMMYFUNCTION("""COMPUTED_VALUE"""),"Yes")</f>
        <v>Yes</v>
      </c>
      <c r="AP65" s="5" t="str">
        <f>IFERROR(__xludf.DUMMYFUNCTION("""COMPUTED_VALUE"""),"Yes")</f>
        <v>Yes</v>
      </c>
      <c r="AQ65" s="5" t="b">
        <f>IFERROR(__xludf.DUMMYFUNCTION("""COMPUTED_VALUE"""),TRUE)</f>
        <v>1</v>
      </c>
      <c r="AR65" s="5"/>
      <c r="AS65" s="5" t="str">
        <f>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AT65" s="5"/>
      <c r="AU65" s="5" t="str">
        <f>IFERROR(__xludf.DUMMYFUNCTION("""COMPUTED_VALUE"""),"Fazi")</f>
        <v>Fazi</v>
      </c>
      <c r="AV65" s="5"/>
      <c r="AW65" s="5"/>
      <c r="AX65" s="5"/>
      <c r="AY65" s="5"/>
      <c r="AZ65" s="5"/>
      <c r="BA65" s="5" t="str">
        <f>IFERROR(__xludf.DUMMYFUNCTION("""COMPUTED_VALUE"""),"")</f>
        <v/>
      </c>
      <c r="BB65" s="5"/>
      <c r="BC65" s="5" t="str">
        <f>IFERROR(__xludf.DUMMYFUNCTION("""COMPUTED_VALUE"""),"Foxi")</f>
        <v>Foxi</v>
      </c>
      <c r="BD65" s="7" t="str">
        <f>IFERROR(__xludf.DUMMYFUNCTION("""COMPUTED_VALUE"""),"https://gameserver-store-client-area.orbionlimited.com/Home/IntegrationGameLaunch/client-area?moneyType=0&amp;gameName=JazzyFruits&amp;platform=desktop&amp;languageCode=eng&amp;currency=EUR")</f>
        <v>https://gameserver-store-client-area.orbionlimited.com/Home/IntegrationGameLaunch/client-area?moneyType=0&amp;gameName=JazzyFruits&amp;platform=desktop&amp;languageCode=eng&amp;currency=EUR</v>
      </c>
      <c r="BE65" s="5" t="b">
        <f>IFERROR(__xludf.DUMMYFUNCTION("""COMPUTED_VALUE"""),TRUE)</f>
        <v>1</v>
      </c>
    </row>
    <row r="66">
      <c r="A66" s="5">
        <f>IFERROR(__xludf.DUMMYFUNCTION("""COMPUTED_VALUE"""),65.0)</f>
        <v>65</v>
      </c>
      <c r="B66" s="5">
        <f>IFERROR(__xludf.DUMMYFUNCTION("""COMPUTED_VALUE"""),64.0)</f>
        <v>64</v>
      </c>
      <c r="C66" s="5" t="str">
        <f>IFERROR(__xludf.DUMMYFUNCTION("""COMPUTED_VALUE"""),"Fazi")</f>
        <v>Fazi</v>
      </c>
      <c r="D66" s="5" t="str">
        <f>IFERROR(__xludf.DUMMYFUNCTION("""COMPUTED_VALUE"""),"Crystal Hot 80")</f>
        <v>Crystal Hot 80</v>
      </c>
      <c r="E66" s="5" t="str">
        <f>IFERROR(__xludf.DUMMYFUNCTION("""COMPUTED_VALUE"""),"V2")</f>
        <v>V2</v>
      </c>
      <c r="F66" s="5" t="str">
        <f>IFERROR(__xludf.DUMMYFUNCTION("""COMPUTED_VALUE"""),"CrystalHot80")</f>
        <v>CrystalHot80</v>
      </c>
      <c r="G66" s="5" t="str">
        <f>IFERROR(__xludf.DUMMYFUNCTION("""COMPUTED_VALUE"""),"Live")</f>
        <v>Live</v>
      </c>
      <c r="H66" s="5"/>
      <c r="I66" s="5" t="str">
        <f>IFERROR(__xludf.DUMMYFUNCTION("""COMPUTED_VALUE"""),"V2")</f>
        <v>V2</v>
      </c>
      <c r="J66" s="5" t="str">
        <f>IFERROR(__xludf.DUMMYFUNCTION("""COMPUTED_VALUE"""),"JSON")</f>
        <v>JSON</v>
      </c>
      <c r="K66" s="5" t="str">
        <f>IFERROR(__xludf.DUMMYFUNCTION("""COMPUTED_VALUE"""),"Slot")</f>
        <v>Slot</v>
      </c>
      <c r="L66" s="5" t="str">
        <f>IFERROR(__xludf.DUMMYFUNCTION("""COMPUTED_VALUE"""),"Clone")</f>
        <v>Clone</v>
      </c>
      <c r="M66" s="5" t="str">
        <f>IFERROR(__xludf.DUMMYFUNCTION("""COMPUTED_VALUE"""),"Turbo Hot 40")</f>
        <v>Turbo Hot 40</v>
      </c>
      <c r="N66" s="5"/>
      <c r="O66" s="5"/>
      <c r="P66" s="12">
        <f>IFERROR(__xludf.DUMMYFUNCTION("""COMPUTED_VALUE"""),29.5)</f>
        <v>29.5</v>
      </c>
      <c r="Q66" s="13">
        <f>IFERROR(__xludf.DUMMYFUNCTION("""COMPUTED_VALUE"""),43948.0)</f>
        <v>43948</v>
      </c>
      <c r="R66" s="14"/>
      <c r="S66" s="13">
        <f>IFERROR(__xludf.DUMMYFUNCTION("""COMPUTED_VALUE"""),43948.0)</f>
        <v>43948</v>
      </c>
      <c r="T66" s="5" t="b">
        <f>IFERROR(__xludf.DUMMYFUNCTION("""COMPUTED_VALUE"""),TRUE)</f>
        <v>1</v>
      </c>
      <c r="U66" s="5" t="str">
        <f>IFERROR(__xludf.DUMMYFUNCTION("""COMPUTED_VALUE"""),"5x4")</f>
        <v>5x4</v>
      </c>
      <c r="V66" s="10" t="str">
        <f>IFERROR(__xludf.DUMMYFUNCTION("""COMPUTED_VALUE"""),"80")</f>
        <v>80</v>
      </c>
      <c r="W66" s="10" t="str">
        <f>IFERROR(__xludf.DUMMYFUNCTION("""COMPUTED_VALUE"""),"80")</f>
        <v>80</v>
      </c>
      <c r="X66" s="5">
        <f>IFERROR(__xludf.DUMMYFUNCTION("""COMPUTED_VALUE"""),96.584)</f>
        <v>96.584</v>
      </c>
      <c r="Y66" s="5" t="str">
        <f>IFERROR(__xludf.DUMMYFUNCTION("""COMPUTED_VALUE"""),"Low")</f>
        <v>Low</v>
      </c>
      <c r="Z66" s="5">
        <f>IFERROR(__xludf.DUMMYFUNCTION("""COMPUTED_VALUE"""),20.810000000000002)</f>
        <v>20.81</v>
      </c>
      <c r="AA66" s="12">
        <f>IFERROR(__xludf.DUMMYFUNCTION("""COMPUTED_VALUE"""),1000.0)</f>
        <v>1000</v>
      </c>
      <c r="AB66" s="5" t="str">
        <f>IFERROR(__xludf.DUMMYFUNCTION("""COMPUTED_VALUE"""),"/")</f>
        <v>/</v>
      </c>
      <c r="AC66" s="5" t="str">
        <f>IFERROR(__xludf.DUMMYFUNCTION("""COMPUTED_VALUE"""),"Scatter, Wild Symbol")</f>
        <v>Scatter, Wild Symbol</v>
      </c>
      <c r="AD66" s="5" t="str">
        <f>IFERROR(__xludf.DUMMYFUNCTION("""COMPUTED_VALUE"""),"0.8/80")</f>
        <v>0.8/80</v>
      </c>
      <c r="AE66" s="5"/>
      <c r="AF66" s="5"/>
      <c r="AG66" s="8">
        <f>IFERROR(__xludf.DUMMYFUNCTION("""COMPUTED_VALUE"""),46098.543854166666)</f>
        <v>46098.54385</v>
      </c>
      <c r="AH66" s="5" t="str">
        <f>IFERROR(__xludf.DUMMYFUNCTION("""COMPUTED_VALUE"""),"milutin.toskic@fazi.rs")</f>
        <v>milutin.toskic@fazi.rs</v>
      </c>
      <c r="AI66" s="5"/>
      <c r="AJ66" s="5"/>
      <c r="AK66" s="5">
        <f>IFERROR(__xludf.DUMMYFUNCTION("""COMPUTED_VALUE"""),80.0)</f>
        <v>80</v>
      </c>
      <c r="AL66" s="5" t="str">
        <f>IFERROR(__xludf.DUMMYFUNCTION("""COMPUTED_VALUE"""),"Yes")</f>
        <v>Yes</v>
      </c>
      <c r="AM66" s="5"/>
      <c r="AN66" s="7" t="str">
        <f>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AO66" s="5" t="str">
        <f>IFERROR(__xludf.DUMMYFUNCTION("""COMPUTED_VALUE"""),"Yes")</f>
        <v>Yes</v>
      </c>
      <c r="AP66" s="5" t="str">
        <f>IFERROR(__xludf.DUMMYFUNCTION("""COMPUTED_VALUE"""),"Yes")</f>
        <v>Yes</v>
      </c>
      <c r="AQ66" s="5" t="b">
        <f>IFERROR(__xludf.DUMMYFUNCTION("""COMPUTED_VALUE"""),TRUE)</f>
        <v>1</v>
      </c>
      <c r="AR66" s="5"/>
      <c r="AS66" s="5" t="str">
        <f>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AT66" s="5" t="str">
        <f>IFERROR(__xludf.DUMMYFUNCTION("""COMPUTED_VALUE"""),"No")</f>
        <v>No</v>
      </c>
      <c r="AU66" s="5" t="str">
        <f>IFERROR(__xludf.DUMMYFUNCTION("""COMPUTED_VALUE"""),"Fazi")</f>
        <v>Fazi</v>
      </c>
      <c r="AV66" s="5"/>
      <c r="AW66" s="5"/>
      <c r="AX66" s="5"/>
      <c r="AY66" s="5" t="str">
        <f>IFERROR(__xludf.DUMMYFUNCTION("""COMPUTED_VALUE"""),"87.5%, 89.5%, 91.5%, 93.5%, 94.5%, 95.5%, 96.5%")</f>
        <v>87.5%, 89.5%, 91.5%, 93.5%, 94.5%, 95.5%, 96.5%</v>
      </c>
      <c r="AZ66" s="5"/>
      <c r="BA66" s="5" t="str">
        <f>IFERROR(__xludf.DUMMYFUNCTION("""COMPUTED_VALUE"""),"")</f>
        <v/>
      </c>
      <c r="BB66" s="5"/>
      <c r="BC66" s="5" t="str">
        <f>IFERROR(__xludf.DUMMYFUNCTION("""COMPUTED_VALUE"""),"Foxi")</f>
        <v>Foxi</v>
      </c>
      <c r="BD66" s="7" t="str">
        <f>IFERROR(__xludf.DUMMYFUNCTION("""COMPUTED_VALUE"""),"https://gameserver-store-client-area.orbionlimited.com/Home/IntegrationGameLaunch/client-area?moneyType=0&amp;gameName=CrystalHot80&amp;platform=desktop&amp;languageCode=eng&amp;currency=EUR")</f>
        <v>https://gameserver-store-client-area.orbionlimited.com/Home/IntegrationGameLaunch/client-area?moneyType=0&amp;gameName=CrystalHot80&amp;platform=desktop&amp;languageCode=eng&amp;currency=EUR</v>
      </c>
      <c r="BE66" s="5" t="b">
        <f>IFERROR(__xludf.DUMMYFUNCTION("""COMPUTED_VALUE"""),TRUE)</f>
        <v>1</v>
      </c>
    </row>
    <row r="67">
      <c r="A67" s="5">
        <f>IFERROR(__xludf.DUMMYFUNCTION("""COMPUTED_VALUE"""),66.0)</f>
        <v>66</v>
      </c>
      <c r="B67" s="5">
        <f>IFERROR(__xludf.DUMMYFUNCTION("""COMPUTED_VALUE"""),65.0)</f>
        <v>65</v>
      </c>
      <c r="C67" s="5" t="str">
        <f>IFERROR(__xludf.DUMMYFUNCTION("""COMPUTED_VALUE"""),"Fazi")</f>
        <v>Fazi</v>
      </c>
      <c r="D67" s="5" t="str">
        <f>IFERROR(__xludf.DUMMYFUNCTION("""COMPUTED_VALUE"""),"Crystal Hot 40 gd")</f>
        <v>Crystal Hot 40 gd</v>
      </c>
      <c r="E67" s="5" t="str">
        <f>IFERROR(__xludf.DUMMYFUNCTION("""COMPUTED_VALUE"""),"V2")</f>
        <v>V2</v>
      </c>
      <c r="F67" s="5" t="str">
        <f>IFERROR(__xludf.DUMMYFUNCTION("""COMPUTED_VALUE"""),"CrystalHot40Gd")</f>
        <v>CrystalHot40Gd</v>
      </c>
      <c r="G67" s="5" t="str">
        <f>IFERROR(__xludf.DUMMYFUNCTION("""COMPUTED_VALUE"""),"Live")</f>
        <v>Live</v>
      </c>
      <c r="H67" s="5" t="str">
        <f>IFERROR(__xludf.DUMMYFUNCTION("""COMPUTED_VALUE"""),"Golden Palace")</f>
        <v>Golden Palace</v>
      </c>
      <c r="I67" s="5" t="str">
        <f>IFERROR(__xludf.DUMMYFUNCTION("""COMPUTED_VALUE"""),"V2")</f>
        <v>V2</v>
      </c>
      <c r="J67" s="5" t="str">
        <f>IFERROR(__xludf.DUMMYFUNCTION("""COMPUTED_VALUE"""),"Binary")</f>
        <v>Binary</v>
      </c>
      <c r="K67" s="5" t="str">
        <f>IFERROR(__xludf.DUMMYFUNCTION("""COMPUTED_VALUE"""),"Slot")</f>
        <v>Slot</v>
      </c>
      <c r="L67" s="5" t="str">
        <f>IFERROR(__xludf.DUMMYFUNCTION("""COMPUTED_VALUE"""),"Clone")</f>
        <v>Clone</v>
      </c>
      <c r="M67" s="5" t="str">
        <f>IFERROR(__xludf.DUMMYFUNCTION("""COMPUTED_VALUE"""),"Turbo Hot 40")</f>
        <v>Turbo Hot 40</v>
      </c>
      <c r="N67" s="5"/>
      <c r="O67" s="5"/>
      <c r="P67" s="12"/>
      <c r="Q67" s="13">
        <f>IFERROR(__xludf.DUMMYFUNCTION("""COMPUTED_VALUE"""),43831.0)</f>
        <v>43831</v>
      </c>
      <c r="R67" s="14"/>
      <c r="S67" s="13">
        <f>IFERROR(__xludf.DUMMYFUNCTION("""COMPUTED_VALUE"""),43831.0)</f>
        <v>43831</v>
      </c>
      <c r="T67" s="5"/>
      <c r="U67" s="5" t="str">
        <f>IFERROR(__xludf.DUMMYFUNCTION("""COMPUTED_VALUE"""),"5x4")</f>
        <v>5x4</v>
      </c>
      <c r="V67" s="10" t="str">
        <f>IFERROR(__xludf.DUMMYFUNCTION("""COMPUTED_VALUE"""),"40")</f>
        <v>40</v>
      </c>
      <c r="W67" s="10" t="str">
        <f>IFERROR(__xludf.DUMMYFUNCTION("""COMPUTED_VALUE"""),"40")</f>
        <v>40</v>
      </c>
      <c r="X67" s="5">
        <f>IFERROR(__xludf.DUMMYFUNCTION("""COMPUTED_VALUE"""),96.584)</f>
        <v>96.584</v>
      </c>
      <c r="Y67" s="5" t="str">
        <f>IFERROR(__xludf.DUMMYFUNCTION("""COMPUTED_VALUE"""),"Low")</f>
        <v>Low</v>
      </c>
      <c r="Z67" s="5">
        <f>IFERROR(__xludf.DUMMYFUNCTION("""COMPUTED_VALUE"""),16.73)</f>
        <v>16.73</v>
      </c>
      <c r="AA67" s="12">
        <f>IFERROR(__xludf.DUMMYFUNCTION("""COMPUTED_VALUE"""),1000.0)</f>
        <v>1000</v>
      </c>
      <c r="AB67" s="5" t="str">
        <f>IFERROR(__xludf.DUMMYFUNCTION("""COMPUTED_VALUE"""),"/")</f>
        <v>/</v>
      </c>
      <c r="AC67" s="5" t="str">
        <f>IFERROR(__xludf.DUMMYFUNCTION("""COMPUTED_VALUE"""),"Scatter, Wild Symbol")</f>
        <v>Scatter, Wild Symbol</v>
      </c>
      <c r="AD67" s="5"/>
      <c r="AE67" s="5"/>
      <c r="AF67" s="5"/>
      <c r="AG67" s="8">
        <f>IFERROR(__xludf.DUMMYFUNCTION("""COMPUTED_VALUE"""),46104.591990740744)</f>
        <v>46104.59199</v>
      </c>
      <c r="AH67" s="5" t="str">
        <f>IFERROR(__xludf.DUMMYFUNCTION("""COMPUTED_VALUE"""),"petra.ilic@fazi.rs")</f>
        <v>petra.ilic@fazi.rs</v>
      </c>
      <c r="AI67" s="5"/>
      <c r="AJ67" s="5"/>
      <c r="AK67" s="5">
        <f>IFERROR(__xludf.DUMMYFUNCTION("""COMPUTED_VALUE"""),40.0)</f>
        <v>40</v>
      </c>
      <c r="AL67" s="5"/>
      <c r="AM67" s="5"/>
      <c r="AN67" s="5"/>
      <c r="AO67" s="5"/>
      <c r="AP67" s="5"/>
      <c r="AQ67" s="5"/>
      <c r="AR67" s="5" t="b">
        <f>IFERROR(__xludf.DUMMYFUNCTION("""COMPUTED_VALUE"""),TRUE)</f>
        <v>1</v>
      </c>
      <c r="AS67" s="5"/>
      <c r="AT67" s="5"/>
      <c r="AU67" s="5" t="str">
        <f>IFERROR(__xludf.DUMMYFUNCTION("""COMPUTED_VALUE"""),"Fazi")</f>
        <v>Fazi</v>
      </c>
      <c r="AV67" s="5"/>
      <c r="AW67" s="5"/>
      <c r="AX67" s="5"/>
      <c r="AY67" s="5"/>
      <c r="AZ67" s="5"/>
      <c r="BA67" s="5" t="str">
        <f>IFERROR(__xludf.DUMMYFUNCTION("""COMPUTED_VALUE"""),"")</f>
        <v/>
      </c>
      <c r="BB67" s="5"/>
      <c r="BC67" s="5" t="str">
        <f>IFERROR(__xludf.DUMMYFUNCTION("""COMPUTED_VALUE"""),"Foxi")</f>
        <v>Foxi</v>
      </c>
      <c r="BD67" s="5" t="str">
        <f>IFERROR(__xludf.DUMMYFUNCTION("""COMPUTED_VALUE"""),"")</f>
        <v/>
      </c>
      <c r="BE67" s="5"/>
    </row>
    <row r="68">
      <c r="A68" s="5">
        <f>IFERROR(__xludf.DUMMYFUNCTION("""COMPUTED_VALUE"""),67.0)</f>
        <v>67</v>
      </c>
      <c r="B68" s="5">
        <f>IFERROR(__xludf.DUMMYFUNCTION("""COMPUTED_VALUE"""),66.0)</f>
        <v>66</v>
      </c>
      <c r="C68" s="5" t="str">
        <f>IFERROR(__xludf.DUMMYFUNCTION("""COMPUTED_VALUE"""),"Fazi")</f>
        <v>Fazi</v>
      </c>
      <c r="D68" s="5" t="str">
        <f>IFERROR(__xludf.DUMMYFUNCTION("""COMPUTED_VALUE"""),"Crystal Hot 40 Deluxe")</f>
        <v>Crystal Hot 40 Deluxe</v>
      </c>
      <c r="E68" s="5" t="str">
        <f>IFERROR(__xludf.DUMMYFUNCTION("""COMPUTED_VALUE"""),"V2")</f>
        <v>V2</v>
      </c>
      <c r="F68" s="5" t="str">
        <f>IFERROR(__xludf.DUMMYFUNCTION("""COMPUTED_VALUE"""),"CrystalHot40Deluxe")</f>
        <v>CrystalHot40Deluxe</v>
      </c>
      <c r="G68" s="5" t="str">
        <f>IFERROR(__xludf.DUMMYFUNCTION("""COMPUTED_VALUE"""),"Live")</f>
        <v>Live</v>
      </c>
      <c r="H68" s="5"/>
      <c r="I68" s="5" t="str">
        <f>IFERROR(__xludf.DUMMYFUNCTION("""COMPUTED_VALUE"""),"V2")</f>
        <v>V2</v>
      </c>
      <c r="J68" s="5" t="str">
        <f>IFERROR(__xludf.DUMMYFUNCTION("""COMPUTED_VALUE"""),"JSON")</f>
        <v>JSON</v>
      </c>
      <c r="K68" s="5" t="str">
        <f>IFERROR(__xludf.DUMMYFUNCTION("""COMPUTED_VALUE"""),"Slot")</f>
        <v>Slot</v>
      </c>
      <c r="L68" s="5" t="str">
        <f>IFERROR(__xludf.DUMMYFUNCTION("""COMPUTED_VALUE"""),"Clone")</f>
        <v>Clone</v>
      </c>
      <c r="M68" s="5" t="str">
        <f>IFERROR(__xludf.DUMMYFUNCTION("""COMPUTED_VALUE"""),"Turbo Hot 40")</f>
        <v>Turbo Hot 40</v>
      </c>
      <c r="N68" s="5"/>
      <c r="O68" s="5"/>
      <c r="P68" s="12">
        <f>IFERROR(__xludf.DUMMYFUNCTION("""COMPUTED_VALUE"""),28.8)</f>
        <v>28.8</v>
      </c>
      <c r="Q68" s="13">
        <f>IFERROR(__xludf.DUMMYFUNCTION("""COMPUTED_VALUE"""),43976.0)</f>
        <v>43976</v>
      </c>
      <c r="R68" s="14"/>
      <c r="S68" s="13">
        <f>IFERROR(__xludf.DUMMYFUNCTION("""COMPUTED_VALUE"""),43976.0)</f>
        <v>43976</v>
      </c>
      <c r="T68" s="5"/>
      <c r="U68" s="5" t="str">
        <f>IFERROR(__xludf.DUMMYFUNCTION("""COMPUTED_VALUE"""),"5x4")</f>
        <v>5x4</v>
      </c>
      <c r="V68" s="10" t="str">
        <f>IFERROR(__xludf.DUMMYFUNCTION("""COMPUTED_VALUE"""),"40")</f>
        <v>40</v>
      </c>
      <c r="W68" s="10" t="str">
        <f>IFERROR(__xludf.DUMMYFUNCTION("""COMPUTED_VALUE"""),"40")</f>
        <v>40</v>
      </c>
      <c r="X68" s="5">
        <f>IFERROR(__xludf.DUMMYFUNCTION("""COMPUTED_VALUE"""),96.433)</f>
        <v>96.433</v>
      </c>
      <c r="Y68" s="5" t="str">
        <f>IFERROR(__xludf.DUMMYFUNCTION("""COMPUTED_VALUE"""),"Low")</f>
        <v>Low</v>
      </c>
      <c r="Z68" s="5">
        <f>IFERROR(__xludf.DUMMYFUNCTION("""COMPUTED_VALUE"""),19.939999999999998)</f>
        <v>19.94</v>
      </c>
      <c r="AA68" s="12">
        <f>IFERROR(__xludf.DUMMYFUNCTION("""COMPUTED_VALUE"""),1000.0)</f>
        <v>1000</v>
      </c>
      <c r="AB68" s="5" t="str">
        <f>IFERROR(__xludf.DUMMYFUNCTION("""COMPUTED_VALUE"""),"/")</f>
        <v>/</v>
      </c>
      <c r="AC68" s="5" t="str">
        <f>IFERROR(__xludf.DUMMYFUNCTION("""COMPUTED_VALUE"""),"Scatter, Wild Symbol")</f>
        <v>Scatter, Wild Symbol</v>
      </c>
      <c r="AD68" s="5" t="str">
        <f>IFERROR(__xludf.DUMMYFUNCTION("""COMPUTED_VALUE"""),"0.4/40")</f>
        <v>0.4/40</v>
      </c>
      <c r="AE68" s="5"/>
      <c r="AF68" s="5"/>
      <c r="AG68" s="8">
        <f>IFERROR(__xludf.DUMMYFUNCTION("""COMPUTED_VALUE"""),46055.50922453704)</f>
        <v>46055.50922</v>
      </c>
      <c r="AH68" s="5" t="str">
        <f>IFERROR(__xludf.DUMMYFUNCTION("""COMPUTED_VALUE"""),"djordje.jankovic@fazi.rs")</f>
        <v>djordje.jankovic@fazi.rs</v>
      </c>
      <c r="AI68" s="5"/>
      <c r="AJ68" s="5"/>
      <c r="AK68" s="5">
        <f>IFERROR(__xludf.DUMMYFUNCTION("""COMPUTED_VALUE"""),40.0)</f>
        <v>40</v>
      </c>
      <c r="AL68" s="5" t="str">
        <f>IFERROR(__xludf.DUMMYFUNCTION("""COMPUTED_VALUE"""),"Yes")</f>
        <v>Yes</v>
      </c>
      <c r="AM68" s="5"/>
      <c r="AN68"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8" s="5" t="str">
        <f>IFERROR(__xludf.DUMMYFUNCTION("""COMPUTED_VALUE"""),"Yes")</f>
        <v>Yes</v>
      </c>
      <c r="AP68" s="5"/>
      <c r="AQ68" s="5" t="b">
        <f>IFERROR(__xludf.DUMMYFUNCTION("""COMPUTED_VALUE"""),TRUE)</f>
        <v>1</v>
      </c>
      <c r="AR68" s="5"/>
      <c r="AS68" s="5" t="str">
        <f>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AT68" s="5"/>
      <c r="AU68" s="5" t="str">
        <f>IFERROR(__xludf.DUMMYFUNCTION("""COMPUTED_VALUE"""),"Fazi")</f>
        <v>Fazi</v>
      </c>
      <c r="AV68" s="5"/>
      <c r="AW68" s="5"/>
      <c r="AX68" s="5"/>
      <c r="AY68" s="5"/>
      <c r="AZ68" s="5"/>
      <c r="BA68" s="5" t="str">
        <f>IFERROR(__xludf.DUMMYFUNCTION("""COMPUTED_VALUE"""),"")</f>
        <v/>
      </c>
      <c r="BB68" s="5"/>
      <c r="BC68" s="5" t="str">
        <f>IFERROR(__xludf.DUMMYFUNCTION("""COMPUTED_VALUE"""),"Foxi")</f>
        <v>Foxi</v>
      </c>
      <c r="BD68" s="7" t="str">
        <f>IFERROR(__xludf.DUMMYFUNCTION("""COMPUTED_VALUE"""),"https://gameserver-store-client-area.orbionlimited.com/Home/IntegrationGameLaunch/client-area?moneyType=0&amp;gameName=CrystalHot40Deluxe&amp;platform=desktop&amp;languageCode=eng&amp;currency=EUR")</f>
        <v>https://gameserver-store-client-area.orbionlimited.com/Home/IntegrationGameLaunch/client-area?moneyType=0&amp;gameName=CrystalHot40Deluxe&amp;platform=desktop&amp;languageCode=eng&amp;currency=EUR</v>
      </c>
      <c r="BE68" s="5" t="b">
        <f>IFERROR(__xludf.DUMMYFUNCTION("""COMPUTED_VALUE"""),TRUE)</f>
        <v>1</v>
      </c>
    </row>
    <row r="69">
      <c r="A69" s="5">
        <f>IFERROR(__xludf.DUMMYFUNCTION("""COMPUTED_VALUE"""),68.0)</f>
        <v>68</v>
      </c>
      <c r="B69" s="5">
        <f>IFERROR(__xludf.DUMMYFUNCTION("""COMPUTED_VALUE"""),67.0)</f>
        <v>67</v>
      </c>
      <c r="C69" s="5" t="str">
        <f>IFERROR(__xludf.DUMMYFUNCTION("""COMPUTED_VALUE"""),"Fazi")</f>
        <v>Fazi</v>
      </c>
      <c r="D69" s="5" t="str">
        <f>IFERROR(__xludf.DUMMYFUNCTION("""COMPUTED_VALUE"""),"Live Fazi Roulette")</f>
        <v>Live Fazi Roulette</v>
      </c>
      <c r="E69" s="5" t="str">
        <f>IFERROR(__xludf.DUMMYFUNCTION("""COMPUTED_VALUE"""),"V2")</f>
        <v>V2</v>
      </c>
      <c r="F69" s="5" t="str">
        <f>IFERROR(__xludf.DUMMYFUNCTION("""COMPUTED_VALUE"""),"LiveFaziRoulette")</f>
        <v>LiveFaziRoulette</v>
      </c>
      <c r="G69" s="5" t="str">
        <f>IFERROR(__xludf.DUMMYFUNCTION("""COMPUTED_VALUE"""),"Retired")</f>
        <v>Retired</v>
      </c>
      <c r="H69" s="5"/>
      <c r="I69" s="5" t="str">
        <f>IFERROR(__xludf.DUMMYFUNCTION("""COMPUTED_VALUE"""),"V2")</f>
        <v>V2</v>
      </c>
      <c r="J69" s="5" t="str">
        <f>IFERROR(__xludf.DUMMYFUNCTION("""COMPUTED_VALUE"""),"Binary")</f>
        <v>Binary</v>
      </c>
      <c r="K69" s="5" t="str">
        <f>IFERROR(__xludf.DUMMYFUNCTION("""COMPUTED_VALUE"""),"Live European Roulette")</f>
        <v>Live European Roulette</v>
      </c>
      <c r="L69" s="5"/>
      <c r="M69" s="5"/>
      <c r="N69" s="5"/>
      <c r="O69" s="5"/>
      <c r="P69" s="12"/>
      <c r="Q69" s="13">
        <f>IFERROR(__xludf.DUMMYFUNCTION("""COMPUTED_VALUE"""),43831.0)</f>
        <v>43831</v>
      </c>
      <c r="R69" s="14"/>
      <c r="S69" s="13">
        <f>IFERROR(__xludf.DUMMYFUNCTION("""COMPUTED_VALUE"""),43831.0)</f>
        <v>43831</v>
      </c>
      <c r="T69" s="5"/>
      <c r="U69" s="16"/>
      <c r="V69" s="10"/>
      <c r="W69" s="10"/>
      <c r="X69" s="11">
        <f>IFERROR(__xludf.DUMMYFUNCTION("""COMPUTED_VALUE"""),0.0)</f>
        <v>0</v>
      </c>
      <c r="Y69" s="17"/>
      <c r="Z69" s="5">
        <f>IFERROR(__xludf.DUMMYFUNCTION("""COMPUTED_VALUE"""),0.0)</f>
        <v>0</v>
      </c>
      <c r="AA69" s="12"/>
      <c r="AB69" s="5"/>
      <c r="AC69" s="18"/>
      <c r="AD69" s="5"/>
      <c r="AE69" s="5"/>
      <c r="AF69" s="5"/>
      <c r="AG69" s="8">
        <f>IFERROR(__xludf.DUMMYFUNCTION("""COMPUTED_VALUE"""),45699.59334490741)</f>
        <v>45699.59334</v>
      </c>
      <c r="AH69" s="5" t="str">
        <f>IFERROR(__xludf.DUMMYFUNCTION("""COMPUTED_VALUE"""),"nikola.antic@fazi.rs")</f>
        <v>nikola.antic@fazi.rs</v>
      </c>
      <c r="AI69" s="5"/>
      <c r="AJ69" s="5"/>
      <c r="AK69" s="5" t="str">
        <f>IFERROR(__xludf.DUMMYFUNCTION("""COMPUTED_VALUE"""),"NULL")</f>
        <v>NULL</v>
      </c>
      <c r="AL69" s="5" t="str">
        <f>IFERROR(__xludf.DUMMYFUNCTION("""COMPUTED_VALUE"""),"Yes")</f>
        <v>Yes</v>
      </c>
      <c r="AM69" s="5"/>
      <c r="AN69"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9" s="5"/>
      <c r="AP69" s="5"/>
      <c r="AQ69" s="5"/>
      <c r="AR69" s="5"/>
      <c r="AS69" s="5"/>
      <c r="AT69" s="5"/>
      <c r="AU69" s="5" t="str">
        <f>IFERROR(__xludf.DUMMYFUNCTION("""COMPUTED_VALUE"""),"Fazi")</f>
        <v>Fazi</v>
      </c>
      <c r="AV69" s="5"/>
      <c r="AW69" s="5"/>
      <c r="AX69" s="5"/>
      <c r="AY69" s="5"/>
      <c r="AZ69" s="5"/>
      <c r="BA69" s="5" t="str">
        <f>IFERROR(__xludf.DUMMYFUNCTION("""COMPUTED_VALUE"""),"")</f>
        <v/>
      </c>
      <c r="BB69" s="5"/>
      <c r="BC69" s="5" t="str">
        <f>IFERROR(__xludf.DUMMYFUNCTION("""COMPUTED_VALUE"""),"Foxi")</f>
        <v>Foxi</v>
      </c>
      <c r="BD69" s="7" t="str">
        <f>IFERROR(__xludf.DUMMYFUNCTION("""COMPUTED_VALUE"""),"https://gameserver-store-client-area.orbionlimited.com/Home/IntegrationGameLaunch/client-area?moneyType=0&amp;gameName=LiveFaziRoulette&amp;platform=desktop&amp;languageCode=eng&amp;currency=EUR")</f>
        <v>https://gameserver-store-client-area.orbionlimited.com/Home/IntegrationGameLaunch/client-area?moneyType=0&amp;gameName=LiveFaziRoulette&amp;platform=desktop&amp;languageCode=eng&amp;currency=EUR</v>
      </c>
      <c r="BE69" s="5"/>
    </row>
    <row r="70">
      <c r="A70" s="5">
        <f>IFERROR(__xludf.DUMMYFUNCTION("""COMPUTED_VALUE"""),69.0)</f>
        <v>69</v>
      </c>
      <c r="B70" s="5">
        <f>IFERROR(__xludf.DUMMYFUNCTION("""COMPUTED_VALUE"""),68.0)</f>
        <v>68</v>
      </c>
      <c r="C70" s="5" t="str">
        <f>IFERROR(__xludf.DUMMYFUNCTION("""COMPUTED_VALUE"""),"Fazi")</f>
        <v>Fazi</v>
      </c>
      <c r="D70" s="5" t="str">
        <f>IFERROR(__xludf.DUMMYFUNCTION("""COMPUTED_VALUE"""),"Golden Clover")</f>
        <v>Golden Clover</v>
      </c>
      <c r="E70" s="5"/>
      <c r="F70" s="5" t="str">
        <f>IFERROR(__xludf.DUMMYFUNCTION("""COMPUTED_VALUE"""),"GoldenClover")</f>
        <v>GoldenClover</v>
      </c>
      <c r="G70" s="5" t="str">
        <f>IFERROR(__xludf.DUMMYFUNCTION("""COMPUTED_VALUE"""),"Live")</f>
        <v>Live</v>
      </c>
      <c r="H70" s="5"/>
      <c r="I70" s="5"/>
      <c r="J70" s="5"/>
      <c r="K70" s="5" t="str">
        <f>IFERROR(__xludf.DUMMYFUNCTION("""COMPUTED_VALUE"""),"Slot")</f>
        <v>Slot</v>
      </c>
      <c r="L70" s="5"/>
      <c r="M70" s="5"/>
      <c r="N70" s="5"/>
      <c r="O70" s="5"/>
      <c r="P70" s="12"/>
      <c r="Q70" s="13">
        <f>IFERROR(__xludf.DUMMYFUNCTION("""COMPUTED_VALUE"""),43831.0)</f>
        <v>43831</v>
      </c>
      <c r="R70" s="14"/>
      <c r="S70" s="13">
        <f>IFERROR(__xludf.DUMMYFUNCTION("""COMPUTED_VALUE"""),43831.0)</f>
        <v>43831</v>
      </c>
      <c r="T70" s="5"/>
      <c r="U70" s="16"/>
      <c r="V70" s="10" t="str">
        <f>IFERROR(__xludf.DUMMYFUNCTION("""COMPUTED_VALUE"""),"50")</f>
        <v>50</v>
      </c>
      <c r="W70" s="10"/>
      <c r="X70" s="11">
        <f>IFERROR(__xludf.DUMMYFUNCTION("""COMPUTED_VALUE"""),0.0)</f>
        <v>0</v>
      </c>
      <c r="Y70" s="17"/>
      <c r="Z70" s="5">
        <f>IFERROR(__xludf.DUMMYFUNCTION("""COMPUTED_VALUE"""),0.0)</f>
        <v>0</v>
      </c>
      <c r="AA70" s="12"/>
      <c r="AB70" s="5"/>
      <c r="AC70" s="18"/>
      <c r="AD70" s="5"/>
      <c r="AE70" s="5"/>
      <c r="AF70" s="5"/>
      <c r="AG70" s="5"/>
      <c r="AH70" s="5"/>
      <c r="AI70" s="5"/>
      <c r="AJ70" s="5"/>
      <c r="AK70" s="5">
        <f>IFERROR(__xludf.DUMMYFUNCTION("""COMPUTED_VALUE"""),50.0)</f>
        <v>50</v>
      </c>
      <c r="AL70" s="5" t="str">
        <f>IFERROR(__xludf.DUMMYFUNCTION("""COMPUTED_VALUE"""),"Yes")</f>
        <v>Yes</v>
      </c>
      <c r="AM70" s="5"/>
      <c r="AN70" s="7" t="str">
        <f>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70" s="5"/>
      <c r="AP70" s="5"/>
      <c r="AQ70" s="5"/>
      <c r="AR70" s="5"/>
      <c r="AS70" s="5"/>
      <c r="AT70" s="5"/>
      <c r="AU70" s="5" t="str">
        <f>IFERROR(__xludf.DUMMYFUNCTION("""COMPUTED_VALUE"""),"Fazi")</f>
        <v>Fazi</v>
      </c>
      <c r="AV70" s="5"/>
      <c r="AW70" s="5"/>
      <c r="AX70" s="5"/>
      <c r="AY70" s="5"/>
      <c r="AZ70" s="5"/>
      <c r="BA70" s="5" t="str">
        <f>IFERROR(__xludf.DUMMYFUNCTION("""COMPUTED_VALUE"""),"")</f>
        <v/>
      </c>
      <c r="BB70" s="5"/>
      <c r="BC70" s="5" t="str">
        <f>IFERROR(__xludf.DUMMYFUNCTION("""COMPUTED_VALUE"""),"Foxi")</f>
        <v>Foxi</v>
      </c>
      <c r="BD70" s="7" t="str">
        <f>IFERROR(__xludf.DUMMYFUNCTION("""COMPUTED_VALUE"""),"https://gameserver-store-client-area.orbionlimited.com/Home/IntegrationGameLaunch/client-area?moneyType=0&amp;gameName=GoldenClover&amp;platform=desktop&amp;languageCode=eng&amp;currency=EUR")</f>
        <v>https://gameserver-store-client-area.orbionlimited.com/Home/IntegrationGameLaunch/client-area?moneyType=0&amp;gameName=GoldenClover&amp;platform=desktop&amp;languageCode=eng&amp;currency=EUR</v>
      </c>
      <c r="BE70" s="5"/>
    </row>
    <row r="71">
      <c r="A71" s="5">
        <f>IFERROR(__xludf.DUMMYFUNCTION("""COMPUTED_VALUE"""),70.0)</f>
        <v>70</v>
      </c>
      <c r="B71" s="5">
        <f>IFERROR(__xludf.DUMMYFUNCTION("""COMPUTED_VALUE"""),69.0)</f>
        <v>69</v>
      </c>
      <c r="C71" s="5" t="str">
        <f>IFERROR(__xludf.DUMMYFUNCTION("""COMPUTED_VALUE"""),"Fazi")</f>
        <v>Fazi</v>
      </c>
      <c r="D71" s="5" t="str">
        <f>IFERROR(__xludf.DUMMYFUNCTION("""COMPUTED_VALUE"""),"Crystal Hot 40 gd2")</f>
        <v>Crystal Hot 40 gd2</v>
      </c>
      <c r="E71" s="5" t="str">
        <f>IFERROR(__xludf.DUMMYFUNCTION("""COMPUTED_VALUE"""),"V2")</f>
        <v>V2</v>
      </c>
      <c r="F71" s="5" t="str">
        <f>IFERROR(__xludf.DUMMYFUNCTION("""COMPUTED_VALUE"""),"CrystalHot40Gd2")</f>
        <v>CrystalHot40Gd2</v>
      </c>
      <c r="G71" s="5" t="str">
        <f>IFERROR(__xludf.DUMMYFUNCTION("""COMPUTED_VALUE"""),"Live")</f>
        <v>Live</v>
      </c>
      <c r="H71" s="5" t="str">
        <f>IFERROR(__xludf.DUMMYFUNCTION("""COMPUTED_VALUE"""),"Golden Palace")</f>
        <v>Golden Palace</v>
      </c>
      <c r="I71" s="5" t="str">
        <f>IFERROR(__xludf.DUMMYFUNCTION("""COMPUTED_VALUE"""),"V2")</f>
        <v>V2</v>
      </c>
      <c r="J71" s="5" t="str">
        <f>IFERROR(__xludf.DUMMYFUNCTION("""COMPUTED_VALUE"""),"Binary")</f>
        <v>Binary</v>
      </c>
      <c r="K71" s="5" t="str">
        <f>IFERROR(__xludf.DUMMYFUNCTION("""COMPUTED_VALUE"""),"Slot")</f>
        <v>Slot</v>
      </c>
      <c r="L71" s="5" t="str">
        <f>IFERROR(__xludf.DUMMYFUNCTION("""COMPUTED_VALUE"""),"Clone")</f>
        <v>Clone</v>
      </c>
      <c r="M71" s="5" t="str">
        <f>IFERROR(__xludf.DUMMYFUNCTION("""COMPUTED_VALUE"""),"Turbo Hot 40")</f>
        <v>Turbo Hot 40</v>
      </c>
      <c r="N71" s="5"/>
      <c r="O71" s="5"/>
      <c r="P71" s="12"/>
      <c r="Q71" s="13">
        <f>IFERROR(__xludf.DUMMYFUNCTION("""COMPUTED_VALUE"""),43831.0)</f>
        <v>43831</v>
      </c>
      <c r="R71" s="14"/>
      <c r="S71" s="13">
        <f>IFERROR(__xludf.DUMMYFUNCTION("""COMPUTED_VALUE"""),43831.0)</f>
        <v>43831</v>
      </c>
      <c r="T71" s="5"/>
      <c r="U71" s="5" t="str">
        <f>IFERROR(__xludf.DUMMYFUNCTION("""COMPUTED_VALUE"""),"5x4")</f>
        <v>5x4</v>
      </c>
      <c r="V71" s="10" t="str">
        <f>IFERROR(__xludf.DUMMYFUNCTION("""COMPUTED_VALUE"""),"40")</f>
        <v>40</v>
      </c>
      <c r="W71" s="10" t="str">
        <f>IFERROR(__xludf.DUMMYFUNCTION("""COMPUTED_VALUE"""),"40")</f>
        <v>40</v>
      </c>
      <c r="X71" s="5">
        <f>IFERROR(__xludf.DUMMYFUNCTION("""COMPUTED_VALUE"""),96.584)</f>
        <v>96.584</v>
      </c>
      <c r="Y71" s="5" t="str">
        <f>IFERROR(__xludf.DUMMYFUNCTION("""COMPUTED_VALUE"""),"Low")</f>
        <v>Low</v>
      </c>
      <c r="Z71" s="5">
        <f>IFERROR(__xludf.DUMMYFUNCTION("""COMPUTED_VALUE"""),16.73)</f>
        <v>16.73</v>
      </c>
      <c r="AA71" s="12">
        <f>IFERROR(__xludf.DUMMYFUNCTION("""COMPUTED_VALUE"""),1000.0)</f>
        <v>1000</v>
      </c>
      <c r="AB71" s="5" t="str">
        <f>IFERROR(__xludf.DUMMYFUNCTION("""COMPUTED_VALUE"""),"/")</f>
        <v>/</v>
      </c>
      <c r="AC71" s="5" t="str">
        <f>IFERROR(__xludf.DUMMYFUNCTION("""COMPUTED_VALUE"""),"Scatter, Wild Symbol")</f>
        <v>Scatter, Wild Symbol</v>
      </c>
      <c r="AD71" s="5"/>
      <c r="AE71" s="5"/>
      <c r="AF71" s="5"/>
      <c r="AG71" s="8">
        <f>IFERROR(__xludf.DUMMYFUNCTION("""COMPUTED_VALUE"""),46104.591631944444)</f>
        <v>46104.59163</v>
      </c>
      <c r="AH71" s="5" t="str">
        <f>IFERROR(__xludf.DUMMYFUNCTION("""COMPUTED_VALUE"""),"petra.ilic@fazi.rs")</f>
        <v>petra.ilic@fazi.rs</v>
      </c>
      <c r="AI71" s="5"/>
      <c r="AJ71" s="5"/>
      <c r="AK71" s="5">
        <f>IFERROR(__xludf.DUMMYFUNCTION("""COMPUTED_VALUE"""),40.0)</f>
        <v>40</v>
      </c>
      <c r="AL71" s="5"/>
      <c r="AM71" s="5"/>
      <c r="AN71" s="5"/>
      <c r="AO71" s="5"/>
      <c r="AP71" s="5"/>
      <c r="AQ71" s="5"/>
      <c r="AR71" s="5" t="b">
        <f>IFERROR(__xludf.DUMMYFUNCTION("""COMPUTED_VALUE"""),TRUE)</f>
        <v>1</v>
      </c>
      <c r="AS71" s="5"/>
      <c r="AT71" s="5"/>
      <c r="AU71" s="5" t="str">
        <f>IFERROR(__xludf.DUMMYFUNCTION("""COMPUTED_VALUE"""),"Fazi")</f>
        <v>Fazi</v>
      </c>
      <c r="AV71" s="5"/>
      <c r="AW71" s="5"/>
      <c r="AX71" s="5"/>
      <c r="AY71" s="5"/>
      <c r="AZ71" s="5"/>
      <c r="BA71" s="5" t="str">
        <f>IFERROR(__xludf.DUMMYFUNCTION("""COMPUTED_VALUE"""),"")</f>
        <v/>
      </c>
      <c r="BB71" s="5"/>
      <c r="BC71" s="5" t="str">
        <f>IFERROR(__xludf.DUMMYFUNCTION("""COMPUTED_VALUE"""),"Foxi")</f>
        <v>Foxi</v>
      </c>
      <c r="BD71" s="5" t="str">
        <f>IFERROR(__xludf.DUMMYFUNCTION("""COMPUTED_VALUE"""),"")</f>
        <v/>
      </c>
      <c r="BE71" s="5"/>
    </row>
    <row r="72">
      <c r="A72" s="5">
        <f>IFERROR(__xludf.DUMMYFUNCTION("""COMPUTED_VALUE"""),71.0)</f>
        <v>71</v>
      </c>
      <c r="B72" s="5">
        <f>IFERROR(__xludf.DUMMYFUNCTION("""COMPUTED_VALUE"""),70.0)</f>
        <v>70</v>
      </c>
      <c r="C72" s="5" t="str">
        <f>IFERROR(__xludf.DUMMYFUNCTION("""COMPUTED_VALUE"""),"Fazi")</f>
        <v>Fazi</v>
      </c>
      <c r="D72" s="5" t="str">
        <f>IFERROR(__xludf.DUMMYFUNCTION("""COMPUTED_VALUE"""),"Crystal Win")</f>
        <v>Crystal Win</v>
      </c>
      <c r="E72" s="5"/>
      <c r="F72" s="5" t="str">
        <f>IFERROR(__xludf.DUMMYFUNCTION("""COMPUTED_VALUE"""),"CrystalWin")</f>
        <v>CrystalWin</v>
      </c>
      <c r="G72" s="5" t="str">
        <f>IFERROR(__xludf.DUMMYFUNCTION("""COMPUTED_VALUE"""),"Retired")</f>
        <v>Retired</v>
      </c>
      <c r="H72" s="5"/>
      <c r="I72" s="5" t="str">
        <f>IFERROR(__xludf.DUMMYFUNCTION("""COMPUTED_VALUE"""),"V2")</f>
        <v>V2</v>
      </c>
      <c r="J72" s="5"/>
      <c r="K72" s="5" t="str">
        <f>IFERROR(__xludf.DUMMYFUNCTION("""COMPUTED_VALUE"""),"Slot")</f>
        <v>Slot</v>
      </c>
      <c r="L72" s="5"/>
      <c r="M72" s="5"/>
      <c r="N72" s="5"/>
      <c r="O72" s="5"/>
      <c r="P72" s="12"/>
      <c r="Q72" s="13">
        <f>IFERROR(__xludf.DUMMYFUNCTION("""COMPUTED_VALUE"""),43831.0)</f>
        <v>43831</v>
      </c>
      <c r="R72" s="14"/>
      <c r="S72" s="13">
        <f>IFERROR(__xludf.DUMMYFUNCTION("""COMPUTED_VALUE"""),43831.0)</f>
        <v>43831</v>
      </c>
      <c r="T72" s="5"/>
      <c r="U72" s="16"/>
      <c r="V72" s="10" t="str">
        <f>IFERROR(__xludf.DUMMYFUNCTION("""COMPUTED_VALUE"""),"10")</f>
        <v>10</v>
      </c>
      <c r="W72" s="10"/>
      <c r="X72" s="11">
        <f>IFERROR(__xludf.DUMMYFUNCTION("""COMPUTED_VALUE"""),0.0)</f>
        <v>0</v>
      </c>
      <c r="Y72" s="17"/>
      <c r="Z72" s="5">
        <f>IFERROR(__xludf.DUMMYFUNCTION("""COMPUTED_VALUE"""),0.0)</f>
        <v>0</v>
      </c>
      <c r="AA72" s="12"/>
      <c r="AB72" s="5"/>
      <c r="AC72" s="18"/>
      <c r="AD72" s="5"/>
      <c r="AE72" s="5"/>
      <c r="AF72" s="5"/>
      <c r="AG72" s="8">
        <f>IFERROR(__xludf.DUMMYFUNCTION("""COMPUTED_VALUE"""),45699.595243055555)</f>
        <v>45699.59524</v>
      </c>
      <c r="AH72" s="5" t="str">
        <f>IFERROR(__xludf.DUMMYFUNCTION("""COMPUTED_VALUE"""),"milutin.toskic@fazi.rs")</f>
        <v>milutin.toskic@fazi.rs</v>
      </c>
      <c r="AI72" s="5"/>
      <c r="AJ72" s="5"/>
      <c r="AK72" s="5">
        <f>IFERROR(__xludf.DUMMYFUNCTION("""COMPUTED_VALUE"""),10.0)</f>
        <v>10</v>
      </c>
      <c r="AL72" s="5"/>
      <c r="AM72" s="5"/>
      <c r="AN72" s="5"/>
      <c r="AO72" s="5"/>
      <c r="AP72" s="5"/>
      <c r="AQ72" s="5"/>
      <c r="AR72" s="5"/>
      <c r="AS72" s="5"/>
      <c r="AT72" s="5"/>
      <c r="AU72" s="5" t="str">
        <f>IFERROR(__xludf.DUMMYFUNCTION("""COMPUTED_VALUE"""),"Fazi")</f>
        <v>Fazi</v>
      </c>
      <c r="AV72" s="5"/>
      <c r="AW72" s="5"/>
      <c r="AX72" s="5"/>
      <c r="AY72" s="5"/>
      <c r="AZ72" s="5"/>
      <c r="BA72" s="5" t="str">
        <f>IFERROR(__xludf.DUMMYFUNCTION("""COMPUTED_VALUE"""),"")</f>
        <v/>
      </c>
      <c r="BB72" s="5"/>
      <c r="BC72" s="5" t="str">
        <f>IFERROR(__xludf.DUMMYFUNCTION("""COMPUTED_VALUE"""),"Foxi")</f>
        <v>Foxi</v>
      </c>
      <c r="BD72" s="5" t="str">
        <f>IFERROR(__xludf.DUMMYFUNCTION("""COMPUTED_VALUE"""),"")</f>
        <v/>
      </c>
      <c r="BE72" s="5"/>
    </row>
    <row r="73">
      <c r="A73" s="5">
        <f>IFERROR(__xludf.DUMMYFUNCTION("""COMPUTED_VALUE"""),72.0)</f>
        <v>72</v>
      </c>
      <c r="B73" s="5">
        <f>IFERROR(__xludf.DUMMYFUNCTION("""COMPUTED_VALUE"""),71.0)</f>
        <v>71</v>
      </c>
      <c r="C73" s="5" t="str">
        <f>IFERROR(__xludf.DUMMYFUNCTION("""COMPUTED_VALUE"""),"Tiptop")</f>
        <v>Tiptop</v>
      </c>
      <c r="D73" s="5" t="str">
        <f>IFERROR(__xludf.DUMMYFUNCTION("""COMPUTED_VALUE"""),"Vegas Dice")</f>
        <v>Vegas Dice</v>
      </c>
      <c r="E73" s="5"/>
      <c r="F73" s="5" t="str">
        <f>IFERROR(__xludf.DUMMYFUNCTION("""COMPUTED_VALUE"""),"UnicornVegasDice")</f>
        <v>UnicornVegasDice</v>
      </c>
      <c r="G73" s="5" t="str">
        <f>IFERROR(__xludf.DUMMYFUNCTION("""COMPUTED_VALUE"""),"Live")</f>
        <v>Live</v>
      </c>
      <c r="H73" s="5"/>
      <c r="I73" s="5" t="str">
        <f>IFERROR(__xludf.DUMMYFUNCTION("""COMPUTED_VALUE"""),"TipTop")</f>
        <v>TipTop</v>
      </c>
      <c r="J73" s="5" t="str">
        <f>IFERROR(__xludf.DUMMYFUNCTION("""COMPUTED_VALUE"""),"JSON")</f>
        <v>JSON</v>
      </c>
      <c r="K73" s="5" t="str">
        <f>IFERROR(__xludf.DUMMYFUNCTION("""COMPUTED_VALUE"""),"Dice Slots")</f>
        <v>Dice Slots</v>
      </c>
      <c r="L73" s="5"/>
      <c r="M73" s="5"/>
      <c r="N73" s="5"/>
      <c r="O73" s="5"/>
      <c r="P73" s="12">
        <f>IFERROR(__xludf.DUMMYFUNCTION("""COMPUTED_VALUE"""),15.5)</f>
        <v>15.5</v>
      </c>
      <c r="Q73" s="13">
        <f>IFERROR(__xludf.DUMMYFUNCTION("""COMPUTED_VALUE"""),44371.0)</f>
        <v>44371</v>
      </c>
      <c r="R73" s="14"/>
      <c r="S73" s="13">
        <f>IFERROR(__xludf.DUMMYFUNCTION("""COMPUTED_VALUE"""),44371.0)</f>
        <v>44371</v>
      </c>
      <c r="T73" s="5"/>
      <c r="U73" s="5" t="str">
        <f>IFERROR(__xludf.DUMMYFUNCTION("""COMPUTED_VALUE"""),"5x3")</f>
        <v>5x3</v>
      </c>
      <c r="V73" s="10" t="str">
        <f>IFERROR(__xludf.DUMMYFUNCTION("""COMPUTED_VALUE"""),"5")</f>
        <v>5</v>
      </c>
      <c r="W73" s="10" t="str">
        <f>IFERROR(__xludf.DUMMYFUNCTION("""COMPUTED_VALUE"""),"5")</f>
        <v>5</v>
      </c>
      <c r="X73" s="11">
        <f>IFERROR(__xludf.DUMMYFUNCTION("""COMPUTED_VALUE"""),96.0)</f>
        <v>96</v>
      </c>
      <c r="Y73" s="5" t="str">
        <f>IFERROR(__xludf.DUMMYFUNCTION("""COMPUTED_VALUE"""),"Low")</f>
        <v>Low</v>
      </c>
      <c r="Z73" s="5">
        <f>IFERROR(__xludf.DUMMYFUNCTION("""COMPUTED_VALUE"""),10.5)</f>
        <v>10.5</v>
      </c>
      <c r="AA73" s="12">
        <f>IFERROR(__xludf.DUMMYFUNCTION("""COMPUTED_VALUE"""),1000.0)</f>
        <v>1000</v>
      </c>
      <c r="AB73" s="5"/>
      <c r="AC73" s="5"/>
      <c r="AD73" s="5" t="str">
        <f>IFERROR(__xludf.DUMMYFUNCTION("""COMPUTED_VALUE"""),"0.05/40")</f>
        <v>0.05/40</v>
      </c>
      <c r="AE73" s="5"/>
      <c r="AF73" s="5"/>
      <c r="AG73" s="8">
        <f>IFERROR(__xludf.DUMMYFUNCTION("""COMPUTED_VALUE"""),46190.539351851854)</f>
        <v>46190.53935</v>
      </c>
      <c r="AH73" s="5"/>
      <c r="AI73" s="5"/>
      <c r="AJ73" s="5"/>
      <c r="AK73" s="5">
        <f>IFERROR(__xludf.DUMMYFUNCTION("""COMPUTED_VALUE"""),5.0)</f>
        <v>5</v>
      </c>
      <c r="AL73" s="5" t="str">
        <f>IFERROR(__xludf.DUMMYFUNCTION("""COMPUTED_VALUE"""),"No")</f>
        <v>No</v>
      </c>
      <c r="AM73" s="5"/>
      <c r="AN73"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3" s="5"/>
      <c r="AP73" s="5"/>
      <c r="AQ73" s="5" t="b">
        <f>IFERROR(__xludf.DUMMYFUNCTION("""COMPUTED_VALUE"""),TRUE)</f>
        <v>1</v>
      </c>
      <c r="AR73" s="5"/>
      <c r="AS73" s="5" t="str">
        <f>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AT73" s="5"/>
      <c r="AU73" s="5" t="str">
        <f>IFERROR(__xludf.DUMMYFUNCTION("""COMPUTED_VALUE"""),"Fazi")</f>
        <v>Fazi</v>
      </c>
      <c r="AV73" s="5"/>
      <c r="AW73" s="5"/>
      <c r="AX73" s="5"/>
      <c r="AY73" s="5"/>
      <c r="AZ73" s="5"/>
      <c r="BA73" s="5"/>
      <c r="BB73" s="5" t="b">
        <f>IFERROR(__xludf.DUMMYFUNCTION("""COMPUTED_VALUE"""),TRUE)</f>
        <v>1</v>
      </c>
      <c r="BC73" s="5" t="str">
        <f>IFERROR(__xludf.DUMMYFUNCTION("""COMPUTED_VALUE"""),"Tiptop")</f>
        <v>Tiptop</v>
      </c>
      <c r="BD73" s="7" t="str">
        <f>IFERROR(__xludf.DUMMYFUNCTION("""COMPUTED_VALUE"""),"https://gameserver-store-client-area.orbionlimited.com/Home/IntegrationGameLaunch/client-area?moneyType=0&amp;gameName=UnicornVegasDice&amp;platform=desktop&amp;languageCode=eng&amp;currency=EUR")</f>
        <v>https://gameserver-store-client-area.orbionlimited.com/Home/IntegrationGameLaunch/client-area?moneyType=0&amp;gameName=UnicornVegasDice&amp;platform=desktop&amp;languageCode=eng&amp;currency=EUR</v>
      </c>
      <c r="BE73" s="5" t="b">
        <f>IFERROR(__xludf.DUMMYFUNCTION("""COMPUTED_VALUE"""),TRUE)</f>
        <v>1</v>
      </c>
    </row>
    <row r="74">
      <c r="A74" s="5">
        <f>IFERROR(__xludf.DUMMYFUNCTION("""COMPUTED_VALUE"""),73.0)</f>
        <v>73</v>
      </c>
      <c r="B74" s="5">
        <f>IFERROR(__xludf.DUMMYFUNCTION("""COMPUTED_VALUE"""),72.0)</f>
        <v>72</v>
      </c>
      <c r="C74" s="5" t="str">
        <f>IFERROR(__xludf.DUMMYFUNCTION("""COMPUTED_VALUE"""),"Fazi")</f>
        <v>Fazi</v>
      </c>
      <c r="D74" s="5" t="str">
        <f>IFERROR(__xludf.DUMMYFUNCTION("""COMPUTED_VALUE"""),"Book Of Mayan Gold")</f>
        <v>Book Of Mayan Gold</v>
      </c>
      <c r="E74" s="5" t="str">
        <f>IFERROR(__xludf.DUMMYFUNCTION("""COMPUTED_VALUE"""),"V2")</f>
        <v>V2</v>
      </c>
      <c r="F74" s="5" t="str">
        <f>IFERROR(__xludf.DUMMYFUNCTION("""COMPUTED_VALUE"""),"BookOfMayanGold")</f>
        <v>BookOfMayanGold</v>
      </c>
      <c r="G74" s="5" t="str">
        <f>IFERROR(__xludf.DUMMYFUNCTION("""COMPUTED_VALUE"""),"Live")</f>
        <v>Live</v>
      </c>
      <c r="H74" s="5"/>
      <c r="I74" s="5" t="str">
        <f>IFERROR(__xludf.DUMMYFUNCTION("""COMPUTED_VALUE"""),"V2")</f>
        <v>V2</v>
      </c>
      <c r="J74" s="5" t="str">
        <f>IFERROR(__xludf.DUMMYFUNCTION("""COMPUTED_VALUE"""),"Binary")</f>
        <v>Binary</v>
      </c>
      <c r="K74" s="5" t="str">
        <f>IFERROR(__xludf.DUMMYFUNCTION("""COMPUTED_VALUE"""),"Slot")</f>
        <v>Slot</v>
      </c>
      <c r="L74" s="5"/>
      <c r="M74" s="5"/>
      <c r="N74" s="5"/>
      <c r="O74" s="5"/>
      <c r="P74" s="12"/>
      <c r="Q74" s="13">
        <f>IFERROR(__xludf.DUMMYFUNCTION("""COMPUTED_VALUE"""),43831.0)</f>
        <v>43831</v>
      </c>
      <c r="R74" s="14"/>
      <c r="S74" s="13">
        <f>IFERROR(__xludf.DUMMYFUNCTION("""COMPUTED_VALUE"""),43831.0)</f>
        <v>43831</v>
      </c>
      <c r="T74" s="5"/>
      <c r="U74" s="16"/>
      <c r="V74" s="10" t="str">
        <f>IFERROR(__xludf.DUMMYFUNCTION("""COMPUTED_VALUE"""),"10")</f>
        <v>10</v>
      </c>
      <c r="W74" s="10"/>
      <c r="X74" s="11">
        <f>IFERROR(__xludf.DUMMYFUNCTION("""COMPUTED_VALUE"""),0.0)</f>
        <v>0</v>
      </c>
      <c r="Y74" s="17"/>
      <c r="Z74" s="5">
        <f>IFERROR(__xludf.DUMMYFUNCTION("""COMPUTED_VALUE"""),0.0)</f>
        <v>0</v>
      </c>
      <c r="AA74" s="12"/>
      <c r="AB74" s="5"/>
      <c r="AC74" s="18"/>
      <c r="AD74" s="5"/>
      <c r="AE74" s="5"/>
      <c r="AF74" s="5"/>
      <c r="AG74" s="5"/>
      <c r="AH74" s="5"/>
      <c r="AI74" s="5"/>
      <c r="AJ74" s="5"/>
      <c r="AK74" s="5" t="str">
        <f>IFERROR(__xludf.DUMMYFUNCTION("""COMPUTED_VALUE"""),"NULL")</f>
        <v>NULL</v>
      </c>
      <c r="AL74" s="5"/>
      <c r="AM74" s="5"/>
      <c r="AN74"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4" s="5"/>
      <c r="AP74" s="5"/>
      <c r="AQ74" s="5"/>
      <c r="AR74" s="5"/>
      <c r="AS74" s="5"/>
      <c r="AT74" s="5"/>
      <c r="AU74" s="5" t="str">
        <f>IFERROR(__xludf.DUMMYFUNCTION("""COMPUTED_VALUE"""),"Fazi")</f>
        <v>Fazi</v>
      </c>
      <c r="AV74" s="5"/>
      <c r="AW74" s="5"/>
      <c r="AX74" s="5"/>
      <c r="AY74" s="5"/>
      <c r="AZ74" s="5"/>
      <c r="BA74" s="5" t="str">
        <f>IFERROR(__xludf.DUMMYFUNCTION("""COMPUTED_VALUE"""),"")</f>
        <v/>
      </c>
      <c r="BB74" s="5"/>
      <c r="BC74" s="5" t="str">
        <f>IFERROR(__xludf.DUMMYFUNCTION("""COMPUTED_VALUE"""),"Foxi")</f>
        <v>Foxi</v>
      </c>
      <c r="BD74" s="7" t="str">
        <f>IFERROR(__xludf.DUMMYFUNCTION("""COMPUTED_VALUE"""),"https://gameserver-store-client-area.orbionlimited.com/Home/IntegrationGameLaunch/client-area?moneyType=0&amp;gameName=BookOfMayanGold&amp;platform=desktop&amp;languageCode=eng&amp;currency=EUR")</f>
        <v>https://gameserver-store-client-area.orbionlimited.com/Home/IntegrationGameLaunch/client-area?moneyType=0&amp;gameName=BookOfMayanGold&amp;platform=desktop&amp;languageCode=eng&amp;currency=EUR</v>
      </c>
      <c r="BE74" s="5"/>
    </row>
    <row r="75">
      <c r="A75" s="5">
        <f>IFERROR(__xludf.DUMMYFUNCTION("""COMPUTED_VALUE"""),74.0)</f>
        <v>74</v>
      </c>
      <c r="B75" s="5">
        <f>IFERROR(__xludf.DUMMYFUNCTION("""COMPUTED_VALUE"""),73.0)</f>
        <v>73</v>
      </c>
      <c r="C75" s="5" t="str">
        <f>IFERROR(__xludf.DUMMYFUNCTION("""COMPUTED_VALUE"""),"Fazi")</f>
        <v>Fazi</v>
      </c>
      <c r="D75" s="5" t="str">
        <f>IFERROR(__xludf.DUMMYFUNCTION("""COMPUTED_VALUE"""),"Bursting Hot 5")</f>
        <v>Bursting Hot 5</v>
      </c>
      <c r="E75" s="5" t="str">
        <f>IFERROR(__xludf.DUMMYFUNCTION("""COMPUTED_VALUE"""),"V2")</f>
        <v>V2</v>
      </c>
      <c r="F75" s="5" t="str">
        <f>IFERROR(__xludf.DUMMYFUNCTION("""COMPUTED_VALUE"""),"BurstingHot5")</f>
        <v>BurstingHot5</v>
      </c>
      <c r="G75" s="5" t="str">
        <f>IFERROR(__xludf.DUMMYFUNCTION("""COMPUTED_VALUE"""),"Retired")</f>
        <v>Retired</v>
      </c>
      <c r="H75" s="5"/>
      <c r="I75" s="5" t="str">
        <f>IFERROR(__xludf.DUMMYFUNCTION("""COMPUTED_VALUE"""),"V2")</f>
        <v>V2</v>
      </c>
      <c r="J75" s="5" t="str">
        <f>IFERROR(__xludf.DUMMYFUNCTION("""COMPUTED_VALUE"""),"Binary")</f>
        <v>Binary</v>
      </c>
      <c r="K75" s="5" t="str">
        <f>IFERROR(__xludf.DUMMYFUNCTION("""COMPUTED_VALUE"""),"Slot")</f>
        <v>Slot</v>
      </c>
      <c r="L75" s="5"/>
      <c r="M75" s="5"/>
      <c r="N75" s="5"/>
      <c r="O75" s="5"/>
      <c r="P75" s="12"/>
      <c r="Q75" s="13">
        <f>IFERROR(__xludf.DUMMYFUNCTION("""COMPUTED_VALUE"""),43831.0)</f>
        <v>43831</v>
      </c>
      <c r="R75" s="14"/>
      <c r="S75" s="13">
        <f>IFERROR(__xludf.DUMMYFUNCTION("""COMPUTED_VALUE"""),43831.0)</f>
        <v>43831</v>
      </c>
      <c r="T75" s="5"/>
      <c r="U75" s="5" t="str">
        <f>IFERROR(__xludf.DUMMYFUNCTION("""COMPUTED_VALUE"""),"5x3")</f>
        <v>5x3</v>
      </c>
      <c r="V75" s="10" t="str">
        <f>IFERROR(__xludf.DUMMYFUNCTION("""COMPUTED_VALUE"""),"5")</f>
        <v>5</v>
      </c>
      <c r="W75" s="10" t="str">
        <f>IFERROR(__xludf.DUMMYFUNCTION("""COMPUTED_VALUE"""),"5")</f>
        <v>5</v>
      </c>
      <c r="X75" s="5">
        <f>IFERROR(__xludf.DUMMYFUNCTION("""COMPUTED_VALUE"""),96.447)</f>
        <v>96.447</v>
      </c>
      <c r="Y75" s="5" t="str">
        <f>IFERROR(__xludf.DUMMYFUNCTION("""COMPUTED_VALUE"""),"Medium")</f>
        <v>Medium</v>
      </c>
      <c r="Z75" s="5">
        <f>IFERROR(__xludf.DUMMYFUNCTION("""COMPUTED_VALUE"""),14.510000000000002)</f>
        <v>14.51</v>
      </c>
      <c r="AA75" s="12">
        <f>IFERROR(__xludf.DUMMYFUNCTION("""COMPUTED_VALUE"""),1222.0)</f>
        <v>1222</v>
      </c>
      <c r="AB75" s="5">
        <f>IFERROR(__xludf.DUMMYFUNCTION("""COMPUTED_VALUE"""),4.0)</f>
        <v>4</v>
      </c>
      <c r="AC75" s="5" t="str">
        <f>IFERROR(__xludf.DUMMYFUNCTION("""COMPUTED_VALUE"""),"Scatter, Expanding Wild")</f>
        <v>Scatter, Expanding Wild</v>
      </c>
      <c r="AD75" s="5"/>
      <c r="AE75" s="5"/>
      <c r="AF75" s="5"/>
      <c r="AG75" s="8">
        <f>IFERROR(__xludf.DUMMYFUNCTION("""COMPUTED_VALUE"""),45699.595671296294)</f>
        <v>45699.59567</v>
      </c>
      <c r="AH75" s="5" t="str">
        <f>IFERROR(__xludf.DUMMYFUNCTION("""COMPUTED_VALUE"""),"milutin.toskic@fazi.rs")</f>
        <v>milutin.toskic@fazi.rs</v>
      </c>
      <c r="AI75" s="5"/>
      <c r="AJ75" s="5"/>
      <c r="AK75" s="5">
        <f>IFERROR(__xludf.DUMMYFUNCTION("""COMPUTED_VALUE"""),5.0)</f>
        <v>5</v>
      </c>
      <c r="AL75" s="5"/>
      <c r="AM75" s="5"/>
      <c r="AN75" s="5"/>
      <c r="AO75" s="5"/>
      <c r="AP75" s="5"/>
      <c r="AQ75" s="5"/>
      <c r="AR75" s="5"/>
      <c r="AS75" s="5"/>
      <c r="AT75" s="5"/>
      <c r="AU75" s="5" t="str">
        <f>IFERROR(__xludf.DUMMYFUNCTION("""COMPUTED_VALUE"""),"Fazi")</f>
        <v>Fazi</v>
      </c>
      <c r="AV75" s="5"/>
      <c r="AW75" s="5"/>
      <c r="AX75" s="5"/>
      <c r="AY75" s="5"/>
      <c r="AZ75" s="5"/>
      <c r="BA75" s="5" t="str">
        <f>IFERROR(__xludf.DUMMYFUNCTION("""COMPUTED_VALUE"""),"")</f>
        <v/>
      </c>
      <c r="BB75" s="5"/>
      <c r="BC75" s="5" t="str">
        <f>IFERROR(__xludf.DUMMYFUNCTION("""COMPUTED_VALUE"""),"Foxi")</f>
        <v>Foxi</v>
      </c>
      <c r="BD75" s="5" t="str">
        <f>IFERROR(__xludf.DUMMYFUNCTION("""COMPUTED_VALUE"""),"")</f>
        <v/>
      </c>
      <c r="BE75" s="5"/>
    </row>
    <row r="76">
      <c r="A76" s="5">
        <f>IFERROR(__xludf.DUMMYFUNCTION("""COMPUTED_VALUE"""),75.0)</f>
        <v>75</v>
      </c>
      <c r="B76" s="5">
        <f>IFERROR(__xludf.DUMMYFUNCTION("""COMPUTED_VALUE"""),74.0)</f>
        <v>74</v>
      </c>
      <c r="C76" s="5" t="str">
        <f>IFERROR(__xludf.DUMMYFUNCTION("""COMPUTED_VALUE"""),"Fazi")</f>
        <v>Fazi</v>
      </c>
      <c r="D76" s="5" t="str">
        <f>IFERROR(__xludf.DUMMYFUNCTION("""COMPUTED_VALUE"""),"Wild Hot 40")</f>
        <v>Wild Hot 40</v>
      </c>
      <c r="E76" s="5" t="str">
        <f>IFERROR(__xludf.DUMMYFUNCTION("""COMPUTED_VALUE"""),"V2")</f>
        <v>V2</v>
      </c>
      <c r="F76" s="5" t="str">
        <f>IFERROR(__xludf.DUMMYFUNCTION("""COMPUTED_VALUE"""),"WildHot40")</f>
        <v>WildHot40</v>
      </c>
      <c r="G76" s="5" t="str">
        <f>IFERROR(__xludf.DUMMYFUNCTION("""COMPUTED_VALUE"""),"Live")</f>
        <v>Live</v>
      </c>
      <c r="H76" s="5"/>
      <c r="I76" s="5" t="str">
        <f>IFERROR(__xludf.DUMMYFUNCTION("""COMPUTED_VALUE"""),"V2")</f>
        <v>V2</v>
      </c>
      <c r="J76" s="5" t="str">
        <f>IFERROR(__xludf.DUMMYFUNCTION("""COMPUTED_VALUE"""),"JSON")</f>
        <v>JSON</v>
      </c>
      <c r="K76" s="5" t="str">
        <f>IFERROR(__xludf.DUMMYFUNCTION("""COMPUTED_VALUE"""),"Slot")</f>
        <v>Slot</v>
      </c>
      <c r="L76" s="5" t="str">
        <f>IFERROR(__xludf.DUMMYFUNCTION("""COMPUTED_VALUE"""),"Clone")</f>
        <v>Clone</v>
      </c>
      <c r="M76" s="5" t="str">
        <f>IFERROR(__xludf.DUMMYFUNCTION("""COMPUTED_VALUE"""),"Turbo Hot 40")</f>
        <v>Turbo Hot 40</v>
      </c>
      <c r="N76" s="5"/>
      <c r="O76" s="5"/>
      <c r="P76" s="12">
        <f>IFERROR(__xludf.DUMMYFUNCTION("""COMPUTED_VALUE"""),27.7)</f>
        <v>27.7</v>
      </c>
      <c r="Q76" s="13">
        <f>IFERROR(__xludf.DUMMYFUNCTION("""COMPUTED_VALUE"""),43872.0)</f>
        <v>43872</v>
      </c>
      <c r="R76" s="14"/>
      <c r="S76" s="13">
        <f>IFERROR(__xludf.DUMMYFUNCTION("""COMPUTED_VALUE"""),43872.0)</f>
        <v>43872</v>
      </c>
      <c r="T76" s="5" t="b">
        <f>IFERROR(__xludf.DUMMYFUNCTION("""COMPUTED_VALUE"""),TRUE)</f>
        <v>1</v>
      </c>
      <c r="U76" s="5" t="str">
        <f>IFERROR(__xludf.DUMMYFUNCTION("""COMPUTED_VALUE"""),"5x4")</f>
        <v>5x4</v>
      </c>
      <c r="V76" s="10" t="str">
        <f>IFERROR(__xludf.DUMMYFUNCTION("""COMPUTED_VALUE"""),"40")</f>
        <v>40</v>
      </c>
      <c r="W76" s="10" t="str">
        <f>IFERROR(__xludf.DUMMYFUNCTION("""COMPUTED_VALUE"""),"40")</f>
        <v>40</v>
      </c>
      <c r="X76" s="5">
        <f>IFERROR(__xludf.DUMMYFUNCTION("""COMPUTED_VALUE"""),96.584)</f>
        <v>96.584</v>
      </c>
      <c r="Y76" s="5" t="str">
        <f>IFERROR(__xludf.DUMMYFUNCTION("""COMPUTED_VALUE"""),"Low")</f>
        <v>Low</v>
      </c>
      <c r="Z76" s="5">
        <f>IFERROR(__xludf.DUMMYFUNCTION("""COMPUTED_VALUE"""),16.73)</f>
        <v>16.73</v>
      </c>
      <c r="AA76" s="12">
        <f>IFERROR(__xludf.DUMMYFUNCTION("""COMPUTED_VALUE"""),1000.0)</f>
        <v>1000</v>
      </c>
      <c r="AB76" s="5" t="str">
        <f>IFERROR(__xludf.DUMMYFUNCTION("""COMPUTED_VALUE"""),"/")</f>
        <v>/</v>
      </c>
      <c r="AC76" s="5" t="str">
        <f>IFERROR(__xludf.DUMMYFUNCTION("""COMPUTED_VALUE"""),"Wild Symbol, Scatter")</f>
        <v>Wild Symbol, Scatter</v>
      </c>
      <c r="AD76" s="5" t="str">
        <f>IFERROR(__xludf.DUMMYFUNCTION("""COMPUTED_VALUE"""),"0.40/60")</f>
        <v>0.40/60</v>
      </c>
      <c r="AE76" s="5"/>
      <c r="AF76" s="5"/>
      <c r="AG76" s="8">
        <f>IFERROR(__xludf.DUMMYFUNCTION("""COMPUTED_VALUE"""),46056.45481481482)</f>
        <v>46056.45481</v>
      </c>
      <c r="AH76" s="5" t="str">
        <f>IFERROR(__xludf.DUMMYFUNCTION("""COMPUTED_VALUE"""),"aleksandar.trajkovic@fazi.rs")</f>
        <v>aleksandar.trajkovic@fazi.rs</v>
      </c>
      <c r="AI76" s="5"/>
      <c r="AJ76" s="5"/>
      <c r="AK76" s="5">
        <f>IFERROR(__xludf.DUMMYFUNCTION("""COMPUTED_VALUE"""),40.0)</f>
        <v>40</v>
      </c>
      <c r="AL76" s="5" t="str">
        <f>IFERROR(__xludf.DUMMYFUNCTION("""COMPUTED_VALUE"""),"Yes")</f>
        <v>Yes</v>
      </c>
      <c r="AM76" s="5"/>
      <c r="AN76" s="7" t="str">
        <f>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AO76" s="5" t="str">
        <f>IFERROR(__xludf.DUMMYFUNCTION("""COMPUTED_VALUE"""),"Yes")</f>
        <v>Yes</v>
      </c>
      <c r="AP76" s="5" t="str">
        <f>IFERROR(__xludf.DUMMYFUNCTION("""COMPUTED_VALUE"""),"Yes")</f>
        <v>Yes</v>
      </c>
      <c r="AQ76" s="5" t="b">
        <f>IFERROR(__xludf.DUMMYFUNCTION("""COMPUTED_VALUE"""),TRUE)</f>
        <v>1</v>
      </c>
      <c r="AR76" s="5"/>
      <c r="AS76" s="5" t="str">
        <f>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AT76" s="5"/>
      <c r="AU76" s="5" t="str">
        <f>IFERROR(__xludf.DUMMYFUNCTION("""COMPUTED_VALUE"""),"Fazi")</f>
        <v>Fazi</v>
      </c>
      <c r="AV76" s="5"/>
      <c r="AW76" s="5"/>
      <c r="AX76" s="5"/>
      <c r="AY76" s="5" t="str">
        <f>IFERROR(__xludf.DUMMYFUNCTION("""COMPUTED_VALUE"""),"87.5%, 89.5%, 91.5%, 93.5%, 94.5%, 95.5%, 96.5%")</f>
        <v>87.5%, 89.5%, 91.5%, 93.5%, 94.5%, 95.5%, 96.5%</v>
      </c>
      <c r="AZ76" s="5"/>
      <c r="BA76" s="5" t="str">
        <f>IFERROR(__xludf.DUMMYFUNCTION("""COMPUTED_VALUE"""),"")</f>
        <v/>
      </c>
      <c r="BB76" s="5"/>
      <c r="BC76" s="5" t="str">
        <f>IFERROR(__xludf.DUMMYFUNCTION("""COMPUTED_VALUE"""),"Foxi")</f>
        <v>Foxi</v>
      </c>
      <c r="BD76" s="7" t="str">
        <f>IFERROR(__xludf.DUMMYFUNCTION("""COMPUTED_VALUE"""),"https://gameserver-store-client-area.orbionlimited.com/Home/IntegrationGameLaunch/client-area?moneyType=0&amp;gameName=WildHot40&amp;platform=desktop&amp;languageCode=eng&amp;currency=EUR")</f>
        <v>https://gameserver-store-client-area.orbionlimited.com/Home/IntegrationGameLaunch/client-area?moneyType=0&amp;gameName=WildHot40&amp;platform=desktop&amp;languageCode=eng&amp;currency=EUR</v>
      </c>
      <c r="BE76" s="5" t="b">
        <f>IFERROR(__xludf.DUMMYFUNCTION("""COMPUTED_VALUE"""),TRUE)</f>
        <v>1</v>
      </c>
    </row>
    <row r="77">
      <c r="A77" s="5">
        <f>IFERROR(__xludf.DUMMYFUNCTION("""COMPUTED_VALUE"""),76.0)</f>
        <v>76</v>
      </c>
      <c r="B77" s="5">
        <f>IFERROR(__xludf.DUMMYFUNCTION("""COMPUTED_VALUE"""),75.0)</f>
        <v>75</v>
      </c>
      <c r="C77" s="5" t="str">
        <f>IFERROR(__xludf.DUMMYFUNCTION("""COMPUTED_VALUE"""),"Fazi")</f>
        <v>Fazi</v>
      </c>
      <c r="D77" s="5" t="str">
        <f>IFERROR(__xludf.DUMMYFUNCTION("""COMPUTED_VALUE"""),"Burning Ice Gd")</f>
        <v>Burning Ice Gd</v>
      </c>
      <c r="E77" s="5" t="str">
        <f>IFERROR(__xludf.DUMMYFUNCTION("""COMPUTED_VALUE"""),"V2")</f>
        <v>V2</v>
      </c>
      <c r="F77" s="5" t="str">
        <f>IFERROR(__xludf.DUMMYFUNCTION("""COMPUTED_VALUE"""),"BurningIceGd")</f>
        <v>BurningIceGd</v>
      </c>
      <c r="G77" s="5" t="str">
        <f>IFERROR(__xludf.DUMMYFUNCTION("""COMPUTED_VALUE"""),"Retired")</f>
        <v>Retired</v>
      </c>
      <c r="H77" s="5" t="str">
        <f>IFERROR(__xludf.DUMMYFUNCTION("""COMPUTED_VALUE"""),"Golden Palace")</f>
        <v>Golden Palace</v>
      </c>
      <c r="I77" s="5" t="str">
        <f>IFERROR(__xludf.DUMMYFUNCTION("""COMPUTED_VALUE"""),"V2")</f>
        <v>V2</v>
      </c>
      <c r="J77" s="5" t="str">
        <f>IFERROR(__xludf.DUMMYFUNCTION("""COMPUTED_VALUE"""),"Binary")</f>
        <v>Binary</v>
      </c>
      <c r="K77" s="5" t="str">
        <f>IFERROR(__xludf.DUMMYFUNCTION("""COMPUTED_VALUE"""),"Slot")</f>
        <v>Slot</v>
      </c>
      <c r="L77" s="5"/>
      <c r="M77" s="5"/>
      <c r="N77" s="5"/>
      <c r="O77" s="5"/>
      <c r="P77" s="12"/>
      <c r="Q77" s="13">
        <f>IFERROR(__xludf.DUMMYFUNCTION("""COMPUTED_VALUE"""),43831.0)</f>
        <v>43831</v>
      </c>
      <c r="R77" s="14"/>
      <c r="S77" s="13">
        <f>IFERROR(__xludf.DUMMYFUNCTION("""COMPUTED_VALUE"""),43831.0)</f>
        <v>43831</v>
      </c>
      <c r="T77" s="5"/>
      <c r="U77" s="16"/>
      <c r="V77" s="10" t="str">
        <f>IFERROR(__xludf.DUMMYFUNCTION("""COMPUTED_VALUE"""),"27")</f>
        <v>27</v>
      </c>
      <c r="W77" s="10"/>
      <c r="X77" s="11">
        <f>IFERROR(__xludf.DUMMYFUNCTION("""COMPUTED_VALUE"""),96.352)</f>
        <v>96.352</v>
      </c>
      <c r="Y77" s="17"/>
      <c r="Z77" s="5">
        <f>IFERROR(__xludf.DUMMYFUNCTION("""COMPUTED_VALUE"""),0.0)</f>
        <v>0</v>
      </c>
      <c r="AA77" s="12"/>
      <c r="AB77" s="5"/>
      <c r="AC77" s="18"/>
      <c r="AD77" s="5"/>
      <c r="AE77" s="5"/>
      <c r="AF77" s="5"/>
      <c r="AG77" s="8">
        <f>IFERROR(__xludf.DUMMYFUNCTION("""COMPUTED_VALUE"""),46104.5921875)</f>
        <v>46104.59219</v>
      </c>
      <c r="AH77" s="5" t="str">
        <f>IFERROR(__xludf.DUMMYFUNCTION("""COMPUTED_VALUE"""),"petra.ilic@fazi.rs")</f>
        <v>petra.ilic@fazi.rs</v>
      </c>
      <c r="AI77" s="5"/>
      <c r="AJ77" s="5"/>
      <c r="AK77" s="5">
        <f>IFERROR(__xludf.DUMMYFUNCTION("""COMPUTED_VALUE"""),1.0)</f>
        <v>1</v>
      </c>
      <c r="AL77" s="5"/>
      <c r="AM77" s="5"/>
      <c r="AN77" s="5"/>
      <c r="AO77" s="5"/>
      <c r="AP77" s="5"/>
      <c r="AQ77" s="5"/>
      <c r="AR77" s="5" t="b">
        <f>IFERROR(__xludf.DUMMYFUNCTION("""COMPUTED_VALUE"""),TRUE)</f>
        <v>1</v>
      </c>
      <c r="AS77" s="5"/>
      <c r="AT77" s="5"/>
      <c r="AU77" s="5" t="str">
        <f>IFERROR(__xludf.DUMMYFUNCTION("""COMPUTED_VALUE"""),"Fazi")</f>
        <v>Fazi</v>
      </c>
      <c r="AV77" s="5"/>
      <c r="AW77" s="5"/>
      <c r="AX77" s="5"/>
      <c r="AY77" s="5"/>
      <c r="AZ77" s="5"/>
      <c r="BA77" s="5" t="str">
        <f>IFERROR(__xludf.DUMMYFUNCTION("""COMPUTED_VALUE"""),"")</f>
        <v/>
      </c>
      <c r="BB77" s="5"/>
      <c r="BC77" s="5" t="str">
        <f>IFERROR(__xludf.DUMMYFUNCTION("""COMPUTED_VALUE"""),"Foxi")</f>
        <v>Foxi</v>
      </c>
      <c r="BD77" s="5" t="str">
        <f>IFERROR(__xludf.DUMMYFUNCTION("""COMPUTED_VALUE"""),"")</f>
        <v/>
      </c>
      <c r="BE77" s="5"/>
    </row>
    <row r="78">
      <c r="A78" s="5">
        <f>IFERROR(__xludf.DUMMYFUNCTION("""COMPUTED_VALUE"""),77.0)</f>
        <v>77</v>
      </c>
      <c r="B78" s="5">
        <f>IFERROR(__xludf.DUMMYFUNCTION("""COMPUTED_VALUE"""),76.0)</f>
        <v>76</v>
      </c>
      <c r="C78" s="5" t="str">
        <f>IFERROR(__xludf.DUMMYFUNCTION("""COMPUTED_VALUE"""),"Tiptop")</f>
        <v>Tiptop</v>
      </c>
      <c r="D78" s="5" t="str">
        <f>IFERROR(__xludf.DUMMYFUNCTION("""COMPUTED_VALUE"""),"Reel Dice")</f>
        <v>Reel Dice</v>
      </c>
      <c r="E78" s="5"/>
      <c r="F78" s="5" t="str">
        <f>IFERROR(__xludf.DUMMYFUNCTION("""COMPUTED_VALUE"""),"UnicornReelDice")</f>
        <v>UnicornReelDice</v>
      </c>
      <c r="G78" s="5" t="str">
        <f>IFERROR(__xludf.DUMMYFUNCTION("""COMPUTED_VALUE"""),"Live")</f>
        <v>Live</v>
      </c>
      <c r="H78" s="5"/>
      <c r="I78" s="5" t="str">
        <f>IFERROR(__xludf.DUMMYFUNCTION("""COMPUTED_VALUE"""),"TipTop")</f>
        <v>TipTop</v>
      </c>
      <c r="J78" s="5" t="str">
        <f>IFERROR(__xludf.DUMMYFUNCTION("""COMPUTED_VALUE"""),"JSON")</f>
        <v>JSON</v>
      </c>
      <c r="K78" s="5" t="str">
        <f>IFERROR(__xludf.DUMMYFUNCTION("""COMPUTED_VALUE"""),"Dice Slots")</f>
        <v>Dice Slots</v>
      </c>
      <c r="L78" s="5"/>
      <c r="M78" s="5"/>
      <c r="N78" s="5"/>
      <c r="O78" s="5"/>
      <c r="P78" s="12">
        <f>IFERROR(__xludf.DUMMYFUNCTION("""COMPUTED_VALUE"""),15.6)</f>
        <v>15.6</v>
      </c>
      <c r="Q78" s="13">
        <f>IFERROR(__xludf.DUMMYFUNCTION("""COMPUTED_VALUE"""),44371.0)</f>
        <v>44371</v>
      </c>
      <c r="R78" s="14"/>
      <c r="S78" s="13">
        <f>IFERROR(__xludf.DUMMYFUNCTION("""COMPUTED_VALUE"""),44371.0)</f>
        <v>44371</v>
      </c>
      <c r="T78" s="5"/>
      <c r="U78" s="5" t="str">
        <f>IFERROR(__xludf.DUMMYFUNCTION("""COMPUTED_VALUE"""),"5x3")</f>
        <v>5x3</v>
      </c>
      <c r="V78" s="10" t="str">
        <f>IFERROR(__xludf.DUMMYFUNCTION("""COMPUTED_VALUE"""),"5")</f>
        <v>5</v>
      </c>
      <c r="W78" s="10" t="str">
        <f>IFERROR(__xludf.DUMMYFUNCTION("""COMPUTED_VALUE"""),"5")</f>
        <v>5</v>
      </c>
      <c r="X78" s="5">
        <f>IFERROR(__xludf.DUMMYFUNCTION("""COMPUTED_VALUE"""),96.0)</f>
        <v>96</v>
      </c>
      <c r="Y78" s="5" t="str">
        <f>IFERROR(__xludf.DUMMYFUNCTION("""COMPUTED_VALUE"""),"Low")</f>
        <v>Low</v>
      </c>
      <c r="Z78" s="5">
        <f>IFERROR(__xludf.DUMMYFUNCTION("""COMPUTED_VALUE"""),9.2)</f>
        <v>9.2</v>
      </c>
      <c r="AA78" s="12">
        <f>IFERROR(__xludf.DUMMYFUNCTION("""COMPUTED_VALUE"""),1000.0)</f>
        <v>1000</v>
      </c>
      <c r="AB78" s="5"/>
      <c r="AC78" s="5"/>
      <c r="AD78" s="5" t="str">
        <f>IFERROR(__xludf.DUMMYFUNCTION("""COMPUTED_VALUE"""),"0.05/100")</f>
        <v>0.05/100</v>
      </c>
      <c r="AE78" s="5"/>
      <c r="AF78" s="5"/>
      <c r="AG78" s="8">
        <f>IFERROR(__xludf.DUMMYFUNCTION("""COMPUTED_VALUE"""),46190.53988425926)</f>
        <v>46190.53988</v>
      </c>
      <c r="AH78" s="5"/>
      <c r="AI78" s="5"/>
      <c r="AJ78" s="5"/>
      <c r="AK78" s="5">
        <f>IFERROR(__xludf.DUMMYFUNCTION("""COMPUTED_VALUE"""),5.0)</f>
        <v>5</v>
      </c>
      <c r="AL78" s="5" t="str">
        <f>IFERROR(__xludf.DUMMYFUNCTION("""COMPUTED_VALUE"""),"No")</f>
        <v>No</v>
      </c>
      <c r="AM78" s="5"/>
      <c r="AN78" s="7" t="str">
        <f>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AO78" s="5"/>
      <c r="AP78" s="5"/>
      <c r="AQ78" s="5" t="b">
        <f>IFERROR(__xludf.DUMMYFUNCTION("""COMPUTED_VALUE"""),TRUE)</f>
        <v>1</v>
      </c>
      <c r="AR78" s="5"/>
      <c r="AS78" s="5" t="str">
        <f>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AT78" s="5"/>
      <c r="AU78" s="5" t="str">
        <f>IFERROR(__xludf.DUMMYFUNCTION("""COMPUTED_VALUE"""),"Fazi")</f>
        <v>Fazi</v>
      </c>
      <c r="AV78" s="5"/>
      <c r="AW78" s="5"/>
      <c r="AX78" s="5"/>
      <c r="AY78" s="5"/>
      <c r="AZ78" s="5"/>
      <c r="BA78" s="5"/>
      <c r="BB78" s="5" t="b">
        <f>IFERROR(__xludf.DUMMYFUNCTION("""COMPUTED_VALUE"""),TRUE)</f>
        <v>1</v>
      </c>
      <c r="BC78" s="5" t="str">
        <f>IFERROR(__xludf.DUMMYFUNCTION("""COMPUTED_VALUE"""),"Tiptop")</f>
        <v>Tiptop</v>
      </c>
      <c r="BD78" s="7" t="str">
        <f>IFERROR(__xludf.DUMMYFUNCTION("""COMPUTED_VALUE"""),"https://gameserver-store-client-area.orbionlimited.com/Home/IntegrationGameLaunch/client-area?moneyType=0&amp;gameName=UnicornReelDice&amp;platform=desktop&amp;languageCode=eng&amp;currency=EUR")</f>
        <v>https://gameserver-store-client-area.orbionlimited.com/Home/IntegrationGameLaunch/client-area?moneyType=0&amp;gameName=UnicornReelDice&amp;platform=desktop&amp;languageCode=eng&amp;currency=EUR</v>
      </c>
      <c r="BE78" s="5" t="b">
        <f>IFERROR(__xludf.DUMMYFUNCTION("""COMPUTED_VALUE"""),TRUE)</f>
        <v>1</v>
      </c>
    </row>
    <row r="79">
      <c r="A79" s="5">
        <f>IFERROR(__xludf.DUMMYFUNCTION("""COMPUTED_VALUE"""),78.0)</f>
        <v>78</v>
      </c>
      <c r="B79" s="5">
        <f>IFERROR(__xludf.DUMMYFUNCTION("""COMPUTED_VALUE"""),77.0)</f>
        <v>77</v>
      </c>
      <c r="C79" s="5" t="str">
        <f>IFERROR(__xludf.DUMMYFUNCTION("""COMPUTED_VALUE"""),"Fazi")</f>
        <v>Fazi</v>
      </c>
      <c r="D79" s="5" t="str">
        <f>IFERROR(__xludf.DUMMYFUNCTION("""COMPUTED_VALUE"""),"Bursting Hot 40")</f>
        <v>Bursting Hot 40</v>
      </c>
      <c r="E79" s="5" t="str">
        <f>IFERROR(__xludf.DUMMYFUNCTION("""COMPUTED_VALUE"""),"V2")</f>
        <v>V2</v>
      </c>
      <c r="F79" s="5" t="str">
        <f>IFERROR(__xludf.DUMMYFUNCTION("""COMPUTED_VALUE"""),"BurstingHot40")</f>
        <v>BurstingHot40</v>
      </c>
      <c r="G79" s="5" t="str">
        <f>IFERROR(__xludf.DUMMYFUNCTION("""COMPUTED_VALUE"""),"Retired")</f>
        <v>Retired</v>
      </c>
      <c r="H79" s="5"/>
      <c r="I79" s="5" t="str">
        <f>IFERROR(__xludf.DUMMYFUNCTION("""COMPUTED_VALUE"""),"V2")</f>
        <v>V2</v>
      </c>
      <c r="J79" s="5" t="str">
        <f>IFERROR(__xludf.DUMMYFUNCTION("""COMPUTED_VALUE"""),"Binary")</f>
        <v>Binary</v>
      </c>
      <c r="K79" s="5" t="str">
        <f>IFERROR(__xludf.DUMMYFUNCTION("""COMPUTED_VALUE"""),"Slot")</f>
        <v>Slot</v>
      </c>
      <c r="L79" s="5" t="str">
        <f>IFERROR(__xludf.DUMMYFUNCTION("""COMPUTED_VALUE"""),"Clone")</f>
        <v>Clone</v>
      </c>
      <c r="M79" s="5" t="str">
        <f>IFERROR(__xludf.DUMMYFUNCTION("""COMPUTED_VALUE"""),"Bursting Hot 5")</f>
        <v>Bursting Hot 5</v>
      </c>
      <c r="N79" s="5"/>
      <c r="O79" s="5"/>
      <c r="P79" s="12"/>
      <c r="Q79" s="13">
        <f>IFERROR(__xludf.DUMMYFUNCTION("""COMPUTED_VALUE"""),43831.0)</f>
        <v>43831</v>
      </c>
      <c r="R79" s="14"/>
      <c r="S79" s="13">
        <f>IFERROR(__xludf.DUMMYFUNCTION("""COMPUTED_VALUE"""),43831.0)</f>
        <v>43831</v>
      </c>
      <c r="T79" s="5"/>
      <c r="U79" s="5" t="str">
        <f>IFERROR(__xludf.DUMMYFUNCTION("""COMPUTED_VALUE"""),"5x3")</f>
        <v>5x3</v>
      </c>
      <c r="V79" s="10" t="str">
        <f>IFERROR(__xludf.DUMMYFUNCTION("""COMPUTED_VALUE"""),"40")</f>
        <v>40</v>
      </c>
      <c r="W79" s="10" t="str">
        <f>IFERROR(__xludf.DUMMYFUNCTION("""COMPUTED_VALUE"""),"40")</f>
        <v>40</v>
      </c>
      <c r="X79" s="5">
        <f>IFERROR(__xludf.DUMMYFUNCTION("""COMPUTED_VALUE"""),96.53)</f>
        <v>96.53</v>
      </c>
      <c r="Y79" s="5" t="str">
        <f>IFERROR(__xludf.DUMMYFUNCTION("""COMPUTED_VALUE"""),"Low")</f>
        <v>Low</v>
      </c>
      <c r="Z79" s="5">
        <f>IFERROR(__xludf.DUMMYFUNCTION("""COMPUTED_VALUE"""),23.380000000000003)</f>
        <v>23.38</v>
      </c>
      <c r="AA79" s="12">
        <f>IFERROR(__xludf.DUMMYFUNCTION("""COMPUTED_VALUE"""),876.75)</f>
        <v>876.75</v>
      </c>
      <c r="AB79" s="5">
        <f>IFERROR(__xludf.DUMMYFUNCTION("""COMPUTED_VALUE"""),4.0)</f>
        <v>4</v>
      </c>
      <c r="AC79" s="5" t="str">
        <f>IFERROR(__xludf.DUMMYFUNCTION("""COMPUTED_VALUE"""),"Scatter, Expanding Wild")</f>
        <v>Scatter, Expanding Wild</v>
      </c>
      <c r="AD79" s="5"/>
      <c r="AE79" s="5"/>
      <c r="AF79" s="5"/>
      <c r="AG79" s="8">
        <f>IFERROR(__xludf.DUMMYFUNCTION("""COMPUTED_VALUE"""),45699.596180555556)</f>
        <v>45699.59618</v>
      </c>
      <c r="AH79" s="5" t="str">
        <f>IFERROR(__xludf.DUMMYFUNCTION("""COMPUTED_VALUE"""),"milutin.toskic@fazi.rs")</f>
        <v>milutin.toskic@fazi.rs</v>
      </c>
      <c r="AI79" s="5"/>
      <c r="AJ79" s="5"/>
      <c r="AK79" s="5">
        <f>IFERROR(__xludf.DUMMYFUNCTION("""COMPUTED_VALUE"""),40.0)</f>
        <v>40</v>
      </c>
      <c r="AL79" s="5"/>
      <c r="AM79" s="5"/>
      <c r="AN79" s="5"/>
      <c r="AO79" s="5"/>
      <c r="AP79" s="5"/>
      <c r="AQ79" s="5"/>
      <c r="AR79" s="5"/>
      <c r="AS79" s="5"/>
      <c r="AT79" s="5"/>
      <c r="AU79" s="5" t="str">
        <f>IFERROR(__xludf.DUMMYFUNCTION("""COMPUTED_VALUE"""),"Fazi")</f>
        <v>Fazi</v>
      </c>
      <c r="AV79" s="5"/>
      <c r="AW79" s="5"/>
      <c r="AX79" s="5"/>
      <c r="AY79" s="5"/>
      <c r="AZ79" s="5"/>
      <c r="BA79" s="5" t="str">
        <f>IFERROR(__xludf.DUMMYFUNCTION("""COMPUTED_VALUE"""),"")</f>
        <v/>
      </c>
      <c r="BB79" s="5"/>
      <c r="BC79" s="5" t="str">
        <f>IFERROR(__xludf.DUMMYFUNCTION("""COMPUTED_VALUE"""),"Foxi")</f>
        <v>Foxi</v>
      </c>
      <c r="BD79" s="5" t="str">
        <f>IFERROR(__xludf.DUMMYFUNCTION("""COMPUTED_VALUE"""),"")</f>
        <v/>
      </c>
      <c r="BE79" s="5"/>
    </row>
    <row r="80">
      <c r="A80" s="5">
        <f>IFERROR(__xludf.DUMMYFUNCTION("""COMPUTED_VALUE"""),79.0)</f>
        <v>79</v>
      </c>
      <c r="B80" s="5">
        <f>IFERROR(__xludf.DUMMYFUNCTION("""COMPUTED_VALUE"""),78.0)</f>
        <v>78</v>
      </c>
      <c r="C80" s="5" t="str">
        <f>IFERROR(__xludf.DUMMYFUNCTION("""COMPUTED_VALUE"""),"Fazi")</f>
        <v>Fazi</v>
      </c>
      <c r="D80" s="5" t="str">
        <f>IFERROR(__xludf.DUMMYFUNCTION("""COMPUTED_VALUE"""),"Buffalo Fortune")</f>
        <v>Buffalo Fortune</v>
      </c>
      <c r="E80" s="5"/>
      <c r="F80" s="5" t="str">
        <f>IFERROR(__xludf.DUMMYFUNCTION("""COMPUTED_VALUE"""),"BuffaloFortune")</f>
        <v>BuffaloFortune</v>
      </c>
      <c r="G80" s="5" t="str">
        <f>IFERROR(__xludf.DUMMYFUNCTION("""COMPUTED_VALUE"""),"Retired")</f>
        <v>Retired</v>
      </c>
      <c r="H80" s="5"/>
      <c r="I80" s="5" t="str">
        <f>IFERROR(__xludf.DUMMYFUNCTION("""COMPUTED_VALUE"""),"V3")</f>
        <v>V3</v>
      </c>
      <c r="J80" s="5" t="str">
        <f>IFERROR(__xludf.DUMMYFUNCTION("""COMPUTED_VALUE"""),"Binary")</f>
        <v>Binary</v>
      </c>
      <c r="K80" s="5" t="str">
        <f>IFERROR(__xludf.DUMMYFUNCTION("""COMPUTED_VALUE"""),"Slot")</f>
        <v>Slot</v>
      </c>
      <c r="L80" s="5" t="str">
        <f>IFERROR(__xludf.DUMMYFUNCTION("""COMPUTED_VALUE"""),"Clone")</f>
        <v>Clone</v>
      </c>
      <c r="M80" s="5" t="str">
        <f>IFERROR(__xludf.DUMMYFUNCTION("""COMPUTED_VALUE"""),"Lucky Twister")</f>
        <v>Lucky Twister</v>
      </c>
      <c r="N80" s="5"/>
      <c r="O80" s="5"/>
      <c r="P80" s="12">
        <f>IFERROR(__xludf.DUMMYFUNCTION("""COMPUTED_VALUE"""),47.5)</f>
        <v>47.5</v>
      </c>
      <c r="Q80" s="13">
        <f>IFERROR(__xludf.DUMMYFUNCTION("""COMPUTED_VALUE"""),44242.0)</f>
        <v>44242</v>
      </c>
      <c r="R80" s="14"/>
      <c r="S80" s="13">
        <f>IFERROR(__xludf.DUMMYFUNCTION("""COMPUTED_VALUE"""),44242.0)</f>
        <v>44242</v>
      </c>
      <c r="T80" s="5" t="b">
        <f>IFERROR(__xludf.DUMMYFUNCTION("""COMPUTED_VALUE"""),TRUE)</f>
        <v>1</v>
      </c>
      <c r="U80" s="5" t="str">
        <f>IFERROR(__xludf.DUMMYFUNCTION("""COMPUTED_VALUE"""),"6x5")</f>
        <v>6x5</v>
      </c>
      <c r="V80" s="10" t="str">
        <f>IFERROR(__xludf.DUMMYFUNCTION("""COMPUTED_VALUE"""),"10")</f>
        <v>10</v>
      </c>
      <c r="W80" s="10"/>
      <c r="X80" s="5">
        <f>IFERROR(__xludf.DUMMYFUNCTION("""COMPUTED_VALUE"""),96.249)</f>
        <v>96.249</v>
      </c>
      <c r="Y80" s="5" t="str">
        <f>IFERROR(__xludf.DUMMYFUNCTION("""COMPUTED_VALUE"""),"Low")</f>
        <v>Low</v>
      </c>
      <c r="Z80" s="5">
        <f>IFERROR(__xludf.DUMMYFUNCTION("""COMPUTED_VALUE"""),39.660000000000004)</f>
        <v>39.66</v>
      </c>
      <c r="AA80" s="12">
        <f>IFERROR(__xludf.DUMMYFUNCTION("""COMPUTED_VALUE"""),1000.0)</f>
        <v>1000</v>
      </c>
      <c r="AB80" s="5" t="str">
        <f>IFERROR(__xludf.DUMMYFUNCTION("""COMPUTED_VALUE"""),"/")</f>
        <v>/</v>
      </c>
      <c r="AC80" s="5" t="str">
        <f>IFERROR(__xludf.DUMMYFUNCTION("""COMPUTED_VALUE"""),"Cluster Win")</f>
        <v>Cluster Win</v>
      </c>
      <c r="AD80" s="5" t="str">
        <f>IFERROR(__xludf.DUMMYFUNCTION("""COMPUTED_VALUE"""),"0.1/40")</f>
        <v>0.1/40</v>
      </c>
      <c r="AE80" s="5"/>
      <c r="AF80" s="5"/>
      <c r="AG80" s="5"/>
      <c r="AH80" s="5"/>
      <c r="AI80" s="5"/>
      <c r="AJ80" s="5"/>
      <c r="AK80" s="5">
        <f>IFERROR(__xludf.DUMMYFUNCTION("""COMPUTED_VALUE"""),10.0)</f>
        <v>10</v>
      </c>
      <c r="AL80" s="5"/>
      <c r="AM80" s="5"/>
      <c r="AN80" s="5"/>
      <c r="AO80" s="5"/>
      <c r="AP80" s="5"/>
      <c r="AQ80" s="5"/>
      <c r="AR80" s="5"/>
      <c r="AS80" s="5"/>
      <c r="AT80" s="5"/>
      <c r="AU80" s="5" t="str">
        <f>IFERROR(__xludf.DUMMYFUNCTION("""COMPUTED_VALUE"""),"Fazi")</f>
        <v>Fazi</v>
      </c>
      <c r="AV80" s="5"/>
      <c r="AW80" s="5"/>
      <c r="AX80" s="5"/>
      <c r="AY80" s="5"/>
      <c r="AZ80" s="5"/>
      <c r="BA80" s="5" t="str">
        <f>IFERROR(__xludf.DUMMYFUNCTION("""COMPUTED_VALUE"""),"")</f>
        <v/>
      </c>
      <c r="BB80" s="5"/>
      <c r="BC80" s="5" t="str">
        <f>IFERROR(__xludf.DUMMYFUNCTION("""COMPUTED_VALUE"""),"Foxi")</f>
        <v>Foxi</v>
      </c>
      <c r="BD80" s="5" t="str">
        <f>IFERROR(__xludf.DUMMYFUNCTION("""COMPUTED_VALUE"""),"")</f>
        <v/>
      </c>
      <c r="BE80" s="5"/>
    </row>
    <row r="81">
      <c r="A81" s="5">
        <f>IFERROR(__xludf.DUMMYFUNCTION("""COMPUTED_VALUE"""),80.0)</f>
        <v>80</v>
      </c>
      <c r="B81" s="5">
        <f>IFERROR(__xludf.DUMMYFUNCTION("""COMPUTED_VALUE"""),79.0)</f>
        <v>79</v>
      </c>
      <c r="C81" s="5" t="str">
        <f>IFERROR(__xludf.DUMMYFUNCTION("""COMPUTED_VALUE"""),"Fazi")</f>
        <v>Fazi</v>
      </c>
      <c r="D81" s="5" t="str">
        <f>IFERROR(__xludf.DUMMYFUNCTION("""COMPUTED_VALUE"""),"Dolphin's Shine")</f>
        <v>Dolphin's Shine</v>
      </c>
      <c r="E81" s="5" t="str">
        <f>IFERROR(__xludf.DUMMYFUNCTION("""COMPUTED_VALUE"""),"V2")</f>
        <v>V2</v>
      </c>
      <c r="F81" s="5" t="str">
        <f>IFERROR(__xludf.DUMMYFUNCTION("""COMPUTED_VALUE"""),"DolphinsShine")</f>
        <v>DolphinsShine</v>
      </c>
      <c r="G81" s="5" t="str">
        <f>IFERROR(__xludf.DUMMYFUNCTION("""COMPUTED_VALUE"""),"Live")</f>
        <v>Live</v>
      </c>
      <c r="H81" s="5"/>
      <c r="I81" s="5" t="str">
        <f>IFERROR(__xludf.DUMMYFUNCTION("""COMPUTED_VALUE"""),"V2")</f>
        <v>V2</v>
      </c>
      <c r="J81" s="5" t="str">
        <f>IFERROR(__xludf.DUMMYFUNCTION("""COMPUTED_VALUE"""),"Binary")</f>
        <v>Binary</v>
      </c>
      <c r="K81" s="5" t="str">
        <f>IFERROR(__xludf.DUMMYFUNCTION("""COMPUTED_VALUE"""),"Slot")</f>
        <v>Slot</v>
      </c>
      <c r="L81" s="5"/>
      <c r="M81" s="5"/>
      <c r="N81" s="5"/>
      <c r="O81" s="5"/>
      <c r="P81" s="12">
        <f>IFERROR(__xludf.DUMMYFUNCTION("""COMPUTED_VALUE"""),27.9)</f>
        <v>27.9</v>
      </c>
      <c r="Q81" s="13">
        <f>IFERROR(__xludf.DUMMYFUNCTION("""COMPUTED_VALUE"""),44221.0)</f>
        <v>44221</v>
      </c>
      <c r="R81" s="14"/>
      <c r="S81" s="13">
        <f>IFERROR(__xludf.DUMMYFUNCTION("""COMPUTED_VALUE"""),44221.0)</f>
        <v>44221</v>
      </c>
      <c r="T81" s="5"/>
      <c r="U81" s="5" t="str">
        <f>IFERROR(__xludf.DUMMYFUNCTION("""COMPUTED_VALUE"""),"5x3")</f>
        <v>5x3</v>
      </c>
      <c r="V81" s="10" t="str">
        <f>IFERROR(__xludf.DUMMYFUNCTION("""COMPUTED_VALUE"""),"9")</f>
        <v>9</v>
      </c>
      <c r="W81" s="10" t="str">
        <f>IFERROR(__xludf.DUMMYFUNCTION("""COMPUTED_VALUE"""),"9")</f>
        <v>9</v>
      </c>
      <c r="X81" s="5">
        <f>IFERROR(__xludf.DUMMYFUNCTION("""COMPUTED_VALUE"""),96.17)</f>
        <v>96.17</v>
      </c>
      <c r="Y81" s="5" t="str">
        <f>IFERROR(__xludf.DUMMYFUNCTION("""COMPUTED_VALUE"""),"High")</f>
        <v>High</v>
      </c>
      <c r="Z81" s="5">
        <f>IFERROR(__xludf.DUMMYFUNCTION("""COMPUTED_VALUE"""),24.7)</f>
        <v>24.7</v>
      </c>
      <c r="AA81" s="12">
        <f>IFERROR(__xludf.DUMMYFUNCTION("""COMPUTED_VALUE"""),4319.0)</f>
        <v>4319</v>
      </c>
      <c r="AB81" s="5">
        <f>IFERROR(__xludf.DUMMYFUNCTION("""COMPUTED_VALUE"""),262.0)</f>
        <v>262</v>
      </c>
      <c r="AC81" s="5" t="str">
        <f>IFERROR(__xludf.DUMMYFUNCTION("""COMPUTED_VALUE"""),"Bonus Game with Multiplier, Wild Multiplier, Scatter")</f>
        <v>Bonus Game with Multiplier, Wild Multiplier, Scatter</v>
      </c>
      <c r="AD81" s="5" t="str">
        <f>IFERROR(__xludf.DUMMYFUNCTION("""COMPUTED_VALUE"""),"0.09/36")</f>
        <v>0.09/36</v>
      </c>
      <c r="AE81" s="5"/>
      <c r="AF81" s="5"/>
      <c r="AG81" s="8">
        <f>IFERROR(__xludf.DUMMYFUNCTION("""COMPUTED_VALUE"""),46162.492164351854)</f>
        <v>46162.49216</v>
      </c>
      <c r="AH81" s="5" t="str">
        <f>IFERROR(__xludf.DUMMYFUNCTION("""COMPUTED_VALUE"""),"petra.ilic@fazi.rs")</f>
        <v>petra.ilic@fazi.rs</v>
      </c>
      <c r="AI81" s="5"/>
      <c r="AJ81" s="5"/>
      <c r="AK81" s="5">
        <f>IFERROR(__xludf.DUMMYFUNCTION("""COMPUTED_VALUE"""),9.0)</f>
        <v>9</v>
      </c>
      <c r="AL81" s="5" t="str">
        <f>IFERROR(__xludf.DUMMYFUNCTION("""COMPUTED_VALUE"""),"Yes")</f>
        <v>Yes</v>
      </c>
      <c r="AM81" s="5"/>
      <c r="AN81" s="7" t="str">
        <f>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AO81" s="5"/>
      <c r="AP81" s="5"/>
      <c r="AQ81" s="5" t="b">
        <f>IFERROR(__xludf.DUMMYFUNCTION("""COMPUTED_VALUE"""),TRUE)</f>
        <v>1</v>
      </c>
      <c r="AR81" s="5"/>
      <c r="AS81" s="5" t="str">
        <f>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AT81" s="5"/>
      <c r="AU81" s="5" t="str">
        <f>IFERROR(__xludf.DUMMYFUNCTION("""COMPUTED_VALUE"""),"Fazi")</f>
        <v>Fazi</v>
      </c>
      <c r="AV81" s="5"/>
      <c r="AW81" s="5"/>
      <c r="AX81" s="5"/>
      <c r="AY81" s="5"/>
      <c r="AZ81" s="5"/>
      <c r="BA81" s="5"/>
      <c r="BB81" s="5"/>
      <c r="BC81" s="5" t="str">
        <f>IFERROR(__xludf.DUMMYFUNCTION("""COMPUTED_VALUE"""),"Foxi")</f>
        <v>Foxi</v>
      </c>
      <c r="BD81" s="7" t="str">
        <f>IFERROR(__xludf.DUMMYFUNCTION("""COMPUTED_VALUE"""),"https://gameserver-store-client-area.orbionlimited.com/Home/IntegrationGameLaunch/client-area?moneyType=0&amp;gameName=DolphinsShine&amp;platform=desktop&amp;languageCode=eng&amp;currency=EUR")</f>
        <v>https://gameserver-store-client-area.orbionlimited.com/Home/IntegrationGameLaunch/client-area?moneyType=0&amp;gameName=DolphinsShine&amp;platform=desktop&amp;languageCode=eng&amp;currency=EUR</v>
      </c>
      <c r="BE81" s="5" t="b">
        <f>IFERROR(__xludf.DUMMYFUNCTION("""COMPUTED_VALUE"""),TRUE)</f>
        <v>1</v>
      </c>
    </row>
    <row r="82">
      <c r="A82" s="5">
        <f>IFERROR(__xludf.DUMMYFUNCTION("""COMPUTED_VALUE"""),81.0)</f>
        <v>81</v>
      </c>
      <c r="B82" s="5">
        <f>IFERROR(__xludf.DUMMYFUNCTION("""COMPUTED_VALUE"""),80.0)</f>
        <v>80</v>
      </c>
      <c r="C82" s="5" t="str">
        <f>IFERROR(__xludf.DUMMYFUNCTION("""COMPUTED_VALUE"""),"Fazi")</f>
        <v>Fazi</v>
      </c>
      <c r="D82" s="5" t="str">
        <f>IFERROR(__xludf.DUMMYFUNCTION("""COMPUTED_VALUE"""),"Golden Crown")</f>
        <v>Golden Crown</v>
      </c>
      <c r="E82" s="5" t="str">
        <f>IFERROR(__xludf.DUMMYFUNCTION("""COMPUTED_VALUE"""),"V2")</f>
        <v>V2</v>
      </c>
      <c r="F82" s="5" t="str">
        <f>IFERROR(__xludf.DUMMYFUNCTION("""COMPUTED_VALUE"""),"GoldenCrown")</f>
        <v>GoldenCrown</v>
      </c>
      <c r="G82" s="5" t="str">
        <f>IFERROR(__xludf.DUMMYFUNCTION("""COMPUTED_VALUE"""),"Live")</f>
        <v>Live</v>
      </c>
      <c r="H82" s="5"/>
      <c r="I82" s="5" t="str">
        <f>IFERROR(__xludf.DUMMYFUNCTION("""COMPUTED_VALUE"""),"V2")</f>
        <v>V2</v>
      </c>
      <c r="J82" s="5" t="str">
        <f>IFERROR(__xludf.DUMMYFUNCTION("""COMPUTED_VALUE"""),"JSON")</f>
        <v>JSON</v>
      </c>
      <c r="K82" s="5" t="str">
        <f>IFERROR(__xludf.DUMMYFUNCTION("""COMPUTED_VALUE"""),"Slot")</f>
        <v>Slot</v>
      </c>
      <c r="L82" s="5"/>
      <c r="M82" s="5"/>
      <c r="N82" s="5"/>
      <c r="O82" s="5"/>
      <c r="P82" s="12">
        <f>IFERROR(__xludf.DUMMYFUNCTION("""COMPUTED_VALUE"""),46.2)</f>
        <v>46.2</v>
      </c>
      <c r="Q82" s="13">
        <f>IFERROR(__xludf.DUMMYFUNCTION("""COMPUTED_VALUE"""),44256.0)</f>
        <v>44256</v>
      </c>
      <c r="R82" s="14"/>
      <c r="S82" s="13">
        <f>IFERROR(__xludf.DUMMYFUNCTION("""COMPUTED_VALUE"""),44256.0)</f>
        <v>44256</v>
      </c>
      <c r="T82" s="5" t="b">
        <f>IFERROR(__xludf.DUMMYFUNCTION("""COMPUTED_VALUE"""),TRUE)</f>
        <v>1</v>
      </c>
      <c r="U82" s="5" t="str">
        <f>IFERROR(__xludf.DUMMYFUNCTION("""COMPUTED_VALUE"""),"5x3")</f>
        <v>5x3</v>
      </c>
      <c r="V82" s="10" t="str">
        <f>IFERROR(__xludf.DUMMYFUNCTION("""COMPUTED_VALUE"""),"10")</f>
        <v>10</v>
      </c>
      <c r="W82" s="10" t="str">
        <f>IFERROR(__xludf.DUMMYFUNCTION("""COMPUTED_VALUE"""),"10")</f>
        <v>10</v>
      </c>
      <c r="X82" s="5">
        <f>IFERROR(__xludf.DUMMYFUNCTION("""COMPUTED_VALUE"""),95.962)</f>
        <v>95.962</v>
      </c>
      <c r="Y82" s="5" t="str">
        <f>IFERROR(__xludf.DUMMYFUNCTION("""COMPUTED_VALUE"""),"Medium")</f>
        <v>Medium</v>
      </c>
      <c r="Z82" s="5">
        <f>IFERROR(__xludf.DUMMYFUNCTION("""COMPUTED_VALUE"""),14.63)</f>
        <v>14.63</v>
      </c>
      <c r="AA82" s="12">
        <f>IFERROR(__xludf.DUMMYFUNCTION("""COMPUTED_VALUE"""),1538.0)</f>
        <v>1538</v>
      </c>
      <c r="AB82" s="5">
        <f>IFERROR(__xludf.DUMMYFUNCTION("""COMPUTED_VALUE"""),4.0)</f>
        <v>4</v>
      </c>
      <c r="AC82" s="5" t="str">
        <f>IFERROR(__xludf.DUMMYFUNCTION("""COMPUTED_VALUE"""),"Scatter, Expanding Wild")</f>
        <v>Scatter, Expanding Wild</v>
      </c>
      <c r="AD82" s="5" t="str">
        <f>IFERROR(__xludf.DUMMYFUNCTION("""COMPUTED_VALUE"""),"0.1/40")</f>
        <v>0.1/40</v>
      </c>
      <c r="AE82" s="5"/>
      <c r="AF82" s="5"/>
      <c r="AG82" s="8">
        <f>IFERROR(__xludf.DUMMYFUNCTION("""COMPUTED_VALUE"""),46056.453101851854)</f>
        <v>46056.4531</v>
      </c>
      <c r="AH82" s="5" t="str">
        <f>IFERROR(__xludf.DUMMYFUNCTION("""COMPUTED_VALUE"""),"aleksandar.trajkovic@fazi.rs")</f>
        <v>aleksandar.trajkovic@fazi.rs</v>
      </c>
      <c r="AI82" s="5"/>
      <c r="AJ82" s="5"/>
      <c r="AK82" s="5">
        <f>IFERROR(__xludf.DUMMYFUNCTION("""COMPUTED_VALUE"""),10.0)</f>
        <v>10</v>
      </c>
      <c r="AL82" s="5" t="str">
        <f>IFERROR(__xludf.DUMMYFUNCTION("""COMPUTED_VALUE"""),"Yes")</f>
        <v>Yes</v>
      </c>
      <c r="AM82" s="5"/>
      <c r="AN82"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82" s="5" t="str">
        <f>IFERROR(__xludf.DUMMYFUNCTION("""COMPUTED_VALUE"""),"Yes")</f>
        <v>Yes</v>
      </c>
      <c r="AP82" s="5" t="str">
        <f>IFERROR(__xludf.DUMMYFUNCTION("""COMPUTED_VALUE"""),"Yes")</f>
        <v>Yes</v>
      </c>
      <c r="AQ82" s="5" t="b">
        <f>IFERROR(__xludf.DUMMYFUNCTION("""COMPUTED_VALUE"""),TRUE)</f>
        <v>1</v>
      </c>
      <c r="AR82" s="5"/>
      <c r="AS82" s="5" t="str">
        <f>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AT82" s="5"/>
      <c r="AU82" s="5" t="str">
        <f>IFERROR(__xludf.DUMMYFUNCTION("""COMPUTED_VALUE"""),"Fazi")</f>
        <v>Fazi</v>
      </c>
      <c r="AV82" s="5"/>
      <c r="AW82" s="5"/>
      <c r="AX82" s="5"/>
      <c r="AY82" s="5" t="str">
        <f>IFERROR(__xludf.DUMMYFUNCTION("""COMPUTED_VALUE"""),"87.5%, 89.5%, 91.5%, 93.5%, 94.5%, 95.5%, 96.5%")</f>
        <v>87.5%, 89.5%, 91.5%, 93.5%, 94.5%, 95.5%, 96.5%</v>
      </c>
      <c r="AZ82" s="5"/>
      <c r="BA82" s="5" t="str">
        <f>IFERROR(__xludf.DUMMYFUNCTION("""COMPUTED_VALUE"""),"")</f>
        <v/>
      </c>
      <c r="BB82" s="5"/>
      <c r="BC82" s="5" t="str">
        <f>IFERROR(__xludf.DUMMYFUNCTION("""COMPUTED_VALUE"""),"Foxi")</f>
        <v>Foxi</v>
      </c>
      <c r="BD82" s="7" t="str">
        <f>IFERROR(__xludf.DUMMYFUNCTION("""COMPUTED_VALUE"""),"https://gameserver-store-client-area.orbionlimited.com/Home/IntegrationGameLaunch/client-area?moneyType=0&amp;gameName=GoldenCrown&amp;platform=desktop&amp;languageCode=eng&amp;currency=EUR")</f>
        <v>https://gameserver-store-client-area.orbionlimited.com/Home/IntegrationGameLaunch/client-area?moneyType=0&amp;gameName=GoldenCrown&amp;platform=desktop&amp;languageCode=eng&amp;currency=EUR</v>
      </c>
      <c r="BE82" s="5" t="b">
        <f>IFERROR(__xludf.DUMMYFUNCTION("""COMPUTED_VALUE"""),TRUE)</f>
        <v>1</v>
      </c>
    </row>
    <row r="83">
      <c r="A83" s="5">
        <f>IFERROR(__xludf.DUMMYFUNCTION("""COMPUTED_VALUE"""),82.0)</f>
        <v>82</v>
      </c>
      <c r="B83" s="5">
        <f>IFERROR(__xludf.DUMMYFUNCTION("""COMPUTED_VALUE"""),81.0)</f>
        <v>81</v>
      </c>
      <c r="C83" s="5" t="str">
        <f>IFERROR(__xludf.DUMMYFUNCTION("""COMPUTED_VALUE"""),"Fazi")</f>
        <v>Fazi</v>
      </c>
      <c r="D83" s="5" t="str">
        <f>IFERROR(__xludf.DUMMYFUNCTION("""COMPUTED_VALUE"""),"Crystal Hot 40 1X")</f>
        <v>Crystal Hot 40 1X</v>
      </c>
      <c r="E83" s="5" t="str">
        <f>IFERROR(__xludf.DUMMYFUNCTION("""COMPUTED_VALUE"""),"V2")</f>
        <v>V2</v>
      </c>
      <c r="F83" s="5" t="str">
        <f>IFERROR(__xludf.DUMMYFUNCTION("""COMPUTED_VALUE"""),"CrystalHot401X")</f>
        <v>CrystalHot401X</v>
      </c>
      <c r="G83" s="5" t="str">
        <f>IFERROR(__xludf.DUMMYFUNCTION("""COMPUTED_VALUE"""),"Live")</f>
        <v>Live</v>
      </c>
      <c r="H83" s="5" t="str">
        <f>IFERROR(__xludf.DUMMYFUNCTION("""COMPUTED_VALUE"""),"1xbet1 - Chigwell")</f>
        <v>1xbet1 - Chigwell</v>
      </c>
      <c r="I83" s="5" t="str">
        <f>IFERROR(__xludf.DUMMYFUNCTION("""COMPUTED_VALUE"""),"V2")</f>
        <v>V2</v>
      </c>
      <c r="J83" s="5" t="str">
        <f>IFERROR(__xludf.DUMMYFUNCTION("""COMPUTED_VALUE"""),"Binary")</f>
        <v>Binary</v>
      </c>
      <c r="K83" s="5" t="str">
        <f>IFERROR(__xludf.DUMMYFUNCTION("""COMPUTED_VALUE"""),"Slot")</f>
        <v>Slot</v>
      </c>
      <c r="L83" s="5" t="str">
        <f>IFERROR(__xludf.DUMMYFUNCTION("""COMPUTED_VALUE"""),"Clone")</f>
        <v>Clone</v>
      </c>
      <c r="M83" s="5" t="str">
        <f>IFERROR(__xludf.DUMMYFUNCTION("""COMPUTED_VALUE"""),"Turbo Hot 40")</f>
        <v>Turbo Hot 40</v>
      </c>
      <c r="N83" s="5"/>
      <c r="O83" s="5"/>
      <c r="P83" s="12"/>
      <c r="Q83" s="13">
        <f>IFERROR(__xludf.DUMMYFUNCTION("""COMPUTED_VALUE"""),43831.0)</f>
        <v>43831</v>
      </c>
      <c r="R83" s="14"/>
      <c r="S83" s="13">
        <f>IFERROR(__xludf.DUMMYFUNCTION("""COMPUTED_VALUE"""),43831.0)</f>
        <v>43831</v>
      </c>
      <c r="T83" s="5"/>
      <c r="U83" s="5" t="str">
        <f>IFERROR(__xludf.DUMMYFUNCTION("""COMPUTED_VALUE"""),"5x4")</f>
        <v>5x4</v>
      </c>
      <c r="V83" s="10" t="str">
        <f>IFERROR(__xludf.DUMMYFUNCTION("""COMPUTED_VALUE"""),"40")</f>
        <v>40</v>
      </c>
      <c r="W83" s="10" t="str">
        <f>IFERROR(__xludf.DUMMYFUNCTION("""COMPUTED_VALUE"""),"40")</f>
        <v>40</v>
      </c>
      <c r="X83" s="5">
        <f>IFERROR(__xludf.DUMMYFUNCTION("""COMPUTED_VALUE"""),96.584)</f>
        <v>96.584</v>
      </c>
      <c r="Y83" s="5" t="str">
        <f>IFERROR(__xludf.DUMMYFUNCTION("""COMPUTED_VALUE"""),"Low")</f>
        <v>Low</v>
      </c>
      <c r="Z83" s="5">
        <f>IFERROR(__xludf.DUMMYFUNCTION("""COMPUTED_VALUE"""),16.73)</f>
        <v>16.73</v>
      </c>
      <c r="AA83" s="12">
        <f>IFERROR(__xludf.DUMMYFUNCTION("""COMPUTED_VALUE"""),1000.0)</f>
        <v>1000</v>
      </c>
      <c r="AB83" s="5" t="str">
        <f>IFERROR(__xludf.DUMMYFUNCTION("""COMPUTED_VALUE"""),"/")</f>
        <v>/</v>
      </c>
      <c r="AC83" s="5" t="str">
        <f>IFERROR(__xludf.DUMMYFUNCTION("""COMPUTED_VALUE"""),"Scatter, Wild Symbol")</f>
        <v>Scatter, Wild Symbol</v>
      </c>
      <c r="AD83" s="5"/>
      <c r="AE83" s="5"/>
      <c r="AF83" s="5"/>
      <c r="AG83" s="8">
        <f>IFERROR(__xludf.DUMMYFUNCTION("""COMPUTED_VALUE"""),46020.52690972222)</f>
        <v>46020.52691</v>
      </c>
      <c r="AH83" s="5" t="str">
        <f>IFERROR(__xludf.DUMMYFUNCTION("""COMPUTED_VALUE"""),"djordje.jankovic@fazi.rs")</f>
        <v>djordje.jankovic@fazi.rs</v>
      </c>
      <c r="AI83" s="5"/>
      <c r="AJ83" s="5"/>
      <c r="AK83" s="5">
        <f>IFERROR(__xludf.DUMMYFUNCTION("""COMPUTED_VALUE"""),40.0)</f>
        <v>40</v>
      </c>
      <c r="AL83" s="5" t="str">
        <f>IFERROR(__xludf.DUMMYFUNCTION("""COMPUTED_VALUE"""),"Yes")</f>
        <v>Yes</v>
      </c>
      <c r="AM83" s="5"/>
      <c r="AN83" s="5"/>
      <c r="AO83" s="5"/>
      <c r="AP83" s="5"/>
      <c r="AQ83" s="5"/>
      <c r="AR83" s="5" t="b">
        <f>IFERROR(__xludf.DUMMYFUNCTION("""COMPUTED_VALUE"""),TRUE)</f>
        <v>1</v>
      </c>
      <c r="AS83" s="5"/>
      <c r="AT83" s="5"/>
      <c r="AU83" s="5" t="str">
        <f>IFERROR(__xludf.DUMMYFUNCTION("""COMPUTED_VALUE"""),"Fazi")</f>
        <v>Fazi</v>
      </c>
      <c r="AV83" s="5"/>
      <c r="AW83" s="5"/>
      <c r="AX83" s="5"/>
      <c r="AY83" s="5"/>
      <c r="AZ83" s="5"/>
      <c r="BA83" s="5" t="str">
        <f>IFERROR(__xludf.DUMMYFUNCTION("""COMPUTED_VALUE"""),"")</f>
        <v/>
      </c>
      <c r="BB83" s="5"/>
      <c r="BC83" s="5" t="str">
        <f>IFERROR(__xludf.DUMMYFUNCTION("""COMPUTED_VALUE"""),"Foxi")</f>
        <v>Foxi</v>
      </c>
      <c r="BD83" s="5" t="str">
        <f>IFERROR(__xludf.DUMMYFUNCTION("""COMPUTED_VALUE"""),"")</f>
        <v/>
      </c>
      <c r="BE83" s="5"/>
    </row>
    <row r="84">
      <c r="A84" s="5">
        <f>IFERROR(__xludf.DUMMYFUNCTION("""COMPUTED_VALUE"""),83.0)</f>
        <v>83</v>
      </c>
      <c r="B84" s="5">
        <f>IFERROR(__xludf.DUMMYFUNCTION("""COMPUTED_VALUE"""),82.0)</f>
        <v>82</v>
      </c>
      <c r="C84" s="5" t="str">
        <f>IFERROR(__xludf.DUMMYFUNCTION("""COMPUTED_VALUE"""),"Redstone")</f>
        <v>Redstone</v>
      </c>
      <c r="D84" s="5" t="str">
        <f>IFERROR(__xludf.DUMMYFUNCTION("""COMPUTED_VALUE"""),"40 Wild Clover")</f>
        <v>40 Wild Clover</v>
      </c>
      <c r="E84" s="5" t="str">
        <f>IFERROR(__xludf.DUMMYFUNCTION("""COMPUTED_VALUE"""),"Redstone")</f>
        <v>Redstone</v>
      </c>
      <c r="F84" s="5" t="str">
        <f>IFERROR(__xludf.DUMMYFUNCTION("""COMPUTED_VALUE"""),"WildClover40")</f>
        <v>WildClover40</v>
      </c>
      <c r="G84" s="5" t="str">
        <f>IFERROR(__xludf.DUMMYFUNCTION("""COMPUTED_VALUE"""),"Live")</f>
        <v>Live</v>
      </c>
      <c r="H84" s="5"/>
      <c r="I84" s="5" t="str">
        <f>IFERROR(__xludf.DUMMYFUNCTION("""COMPUTED_VALUE"""),"Redstone")</f>
        <v>Redstone</v>
      </c>
      <c r="J84" s="5" t="str">
        <f>IFERROR(__xludf.DUMMYFUNCTION("""COMPUTED_VALUE"""),"JSON")</f>
        <v>JSON</v>
      </c>
      <c r="K84" s="5" t="str">
        <f>IFERROR(__xludf.DUMMYFUNCTION("""COMPUTED_VALUE"""),"Slot")</f>
        <v>Slot</v>
      </c>
      <c r="L84" s="5" t="str">
        <f>IFERROR(__xludf.DUMMYFUNCTION("""COMPUTED_VALUE"""),"Master")</f>
        <v>Master</v>
      </c>
      <c r="M84" s="5"/>
      <c r="N84" s="7" t="str">
        <f>IFERROR(__xludf.DUMMYFUNCTION("""COMPUTED_VALUE"""),"https://docs.google.com/document/d/1Uy4tt6hjEDARsEKbYmUXlmaGTBet09gC/edit?usp=drive_link&amp;ouid=107596163405648766688&amp;rtpof=true&amp;sd=true")</f>
        <v>https://docs.google.com/document/d/1Uy4tt6hjEDARsEKbYmUXlmaGTBet09gC/edit?usp=drive_link&amp;ouid=107596163405648766688&amp;rtpof=true&amp;sd=true</v>
      </c>
      <c r="O84" s="7" t="str">
        <f>IFERROR(__xludf.DUMMYFUNCTION("""COMPUTED_VALUE"""),"https://docs.google.com/document/d/1h3ldOOr6x6wyMw4LsEKfr6TQVCocTUMs/edit?usp=drive_link&amp;ouid=107596163405648766688&amp;rtpof=true&amp;sd=true")</f>
        <v>https://docs.google.com/document/d/1h3ldOOr6x6wyMw4LsEKfr6TQVCocTUMs/edit?usp=drive_link&amp;ouid=107596163405648766688&amp;rtpof=true&amp;sd=true</v>
      </c>
      <c r="P84" s="12">
        <f>IFERROR(__xludf.DUMMYFUNCTION("""COMPUTED_VALUE"""),9.73)</f>
        <v>9.73</v>
      </c>
      <c r="Q84" s="13">
        <f>IFERROR(__xludf.DUMMYFUNCTION("""COMPUTED_VALUE"""),44350.0)</f>
        <v>44350</v>
      </c>
      <c r="R84" s="14"/>
      <c r="S84" s="13">
        <f>IFERROR(__xludf.DUMMYFUNCTION("""COMPUTED_VALUE"""),44350.0)</f>
        <v>44350</v>
      </c>
      <c r="T84" s="5"/>
      <c r="U84" s="5" t="str">
        <f>IFERROR(__xludf.DUMMYFUNCTION("""COMPUTED_VALUE"""),"5x4")</f>
        <v>5x4</v>
      </c>
      <c r="V84" s="10" t="str">
        <f>IFERROR(__xludf.DUMMYFUNCTION("""COMPUTED_VALUE"""),"40")</f>
        <v>40</v>
      </c>
      <c r="W84" s="10" t="str">
        <f>IFERROR(__xludf.DUMMYFUNCTION("""COMPUTED_VALUE"""),"40")</f>
        <v>40</v>
      </c>
      <c r="X84" s="5">
        <f>IFERROR(__xludf.DUMMYFUNCTION("""COMPUTED_VALUE"""),95.32)</f>
        <v>95.32</v>
      </c>
      <c r="Y84" s="5" t="str">
        <f>IFERROR(__xludf.DUMMYFUNCTION("""COMPUTED_VALUE"""),"Medium")</f>
        <v>Medium</v>
      </c>
      <c r="Z84" s="5">
        <f>IFERROR(__xludf.DUMMYFUNCTION("""COMPUTED_VALUE"""),12.34)</f>
        <v>12.34</v>
      </c>
      <c r="AA84" s="12">
        <f>IFERROR(__xludf.DUMMYFUNCTION("""COMPUTED_VALUE"""),2000.0)</f>
        <v>2000</v>
      </c>
      <c r="AB84" s="5"/>
      <c r="AC84" s="5" t="str">
        <f>IFERROR(__xludf.DUMMYFUNCTION("""COMPUTED_VALUE"""),"Wild Symbol, Scatter, Bonus Game with Free Spins")</f>
        <v>Wild Symbol, Scatter, Bonus Game with Free Spins</v>
      </c>
      <c r="AD84" s="5" t="str">
        <f>IFERROR(__xludf.DUMMYFUNCTION("""COMPUTED_VALUE"""),"0.40/60")</f>
        <v>0.40/60</v>
      </c>
      <c r="AE84" s="5"/>
      <c r="AF84" s="5"/>
      <c r="AG84" s="8">
        <f>IFERROR(__xludf.DUMMYFUNCTION("""COMPUTED_VALUE"""),46157.3875)</f>
        <v>46157.3875</v>
      </c>
      <c r="AH84" s="5"/>
      <c r="AI84" s="5"/>
      <c r="AJ84" s="5"/>
      <c r="AK84" s="5">
        <f>IFERROR(__xludf.DUMMYFUNCTION("""COMPUTED_VALUE"""),1.0)</f>
        <v>1</v>
      </c>
      <c r="AL84" s="5" t="str">
        <f>IFERROR(__xludf.DUMMYFUNCTION("""COMPUTED_VALUE"""),"No")</f>
        <v>No</v>
      </c>
      <c r="AM84" s="5" t="str">
        <f>IFERROR(__xludf.DUMMYFUNCTION("""COMPUTED_VALUE"""),"No")</f>
        <v>No</v>
      </c>
      <c r="AN84" s="7" t="str">
        <f>IFERROR(__xludf.DUMMYFUNCTION("""COMPUTED_VALUE"""),"https://static.redstone.rs/games/40-wild-clover/")</f>
        <v>https://static.redstone.rs/games/40-wild-clover/</v>
      </c>
      <c r="AO84" s="5" t="str">
        <f>IFERROR(__xludf.DUMMYFUNCTION("""COMPUTED_VALUE"""),"No")</f>
        <v>No</v>
      </c>
      <c r="AP84" s="5" t="str">
        <f>IFERROR(__xludf.DUMMYFUNCTION("""COMPUTED_VALUE"""),"No")</f>
        <v>No</v>
      </c>
      <c r="AQ84" s="5" t="b">
        <f>IFERROR(__xludf.DUMMYFUNCTION("""COMPUTED_VALUE"""),TRUE)</f>
        <v>1</v>
      </c>
      <c r="AR84" s="5"/>
      <c r="AS84" s="5" t="str">
        <f>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AT84" s="5"/>
      <c r="AU84" s="5" t="str">
        <f>IFERROR(__xludf.DUMMYFUNCTION("""COMPUTED_VALUE"""),"Redstone")</f>
        <v>Redstone</v>
      </c>
      <c r="AV84" s="5"/>
      <c r="AW84" s="5"/>
      <c r="AX84" s="5"/>
      <c r="AY84" s="5"/>
      <c r="AZ84" s="5"/>
      <c r="BA84" s="5"/>
      <c r="BB84" s="5" t="b">
        <f>IFERROR(__xludf.DUMMYFUNCTION("""COMPUTED_VALUE"""),TRUE)</f>
        <v>1</v>
      </c>
      <c r="BC84" s="5" t="str">
        <f>IFERROR(__xludf.DUMMYFUNCTION("""COMPUTED_VALUE"""),"Redstone")</f>
        <v>Redstone</v>
      </c>
      <c r="BD84" s="7" t="str">
        <f>IFERROR(__xludf.DUMMYFUNCTION("""COMPUTED_VALUE"""),"https://static.redstone.rs/games/40-wild-clover/")</f>
        <v>https://static.redstone.rs/games/40-wild-clover/</v>
      </c>
      <c r="BE84" s="5" t="b">
        <f>IFERROR(__xludf.DUMMYFUNCTION("""COMPUTED_VALUE"""),TRUE)</f>
        <v>1</v>
      </c>
    </row>
    <row r="85">
      <c r="A85" s="5">
        <f>IFERROR(__xludf.DUMMYFUNCTION("""COMPUTED_VALUE"""),84.0)</f>
        <v>84</v>
      </c>
      <c r="B85" s="5">
        <f>IFERROR(__xludf.DUMMYFUNCTION("""COMPUTED_VALUE"""),83.0)</f>
        <v>83</v>
      </c>
      <c r="C85" s="5" t="str">
        <f>IFERROR(__xludf.DUMMYFUNCTION("""COMPUTED_VALUE"""),"Fazi")</f>
        <v>Fazi</v>
      </c>
      <c r="D85" s="5" t="str">
        <f>IFERROR(__xludf.DUMMYFUNCTION("""COMPUTED_VALUE"""),"Mystery Joker Hot")</f>
        <v>Mystery Joker Hot</v>
      </c>
      <c r="E85" s="5" t="str">
        <f>IFERROR(__xludf.DUMMYFUNCTION("""COMPUTED_VALUE"""),"V2")</f>
        <v>V2</v>
      </c>
      <c r="F85" s="5" t="str">
        <f>IFERROR(__xludf.DUMMYFUNCTION("""COMPUTED_VALUE"""),"MysteryJokerHot")</f>
        <v>MysteryJokerHot</v>
      </c>
      <c r="G85" s="5" t="str">
        <f>IFERROR(__xludf.DUMMYFUNCTION("""COMPUTED_VALUE"""),"Live")</f>
        <v>Live</v>
      </c>
      <c r="H85" s="5"/>
      <c r="I85" s="5" t="str">
        <f>IFERROR(__xludf.DUMMYFUNCTION("""COMPUTED_VALUE"""),"V2")</f>
        <v>V2</v>
      </c>
      <c r="J85" s="5" t="str">
        <f>IFERROR(__xludf.DUMMYFUNCTION("""COMPUTED_VALUE"""),"Binary")</f>
        <v>Binary</v>
      </c>
      <c r="K85" s="5" t="str">
        <f>IFERROR(__xludf.DUMMYFUNCTION("""COMPUTED_VALUE"""),"Slot")</f>
        <v>Slot</v>
      </c>
      <c r="L85" s="5"/>
      <c r="M85" s="5"/>
      <c r="N85" s="5"/>
      <c r="O85" s="5"/>
      <c r="P85" s="12">
        <f>IFERROR(__xludf.DUMMYFUNCTION("""COMPUTED_VALUE"""),28.2)</f>
        <v>28.2</v>
      </c>
      <c r="Q85" s="13">
        <f>IFERROR(__xludf.DUMMYFUNCTION("""COMPUTED_VALUE"""),44341.0)</f>
        <v>44341</v>
      </c>
      <c r="R85" s="14"/>
      <c r="S85" s="13">
        <f>IFERROR(__xludf.DUMMYFUNCTION("""COMPUTED_VALUE"""),44341.0)</f>
        <v>44341</v>
      </c>
      <c r="T85" s="5" t="b">
        <f>IFERROR(__xludf.DUMMYFUNCTION("""COMPUTED_VALUE"""),TRUE)</f>
        <v>1</v>
      </c>
      <c r="U85" s="5" t="str">
        <f>IFERROR(__xludf.DUMMYFUNCTION("""COMPUTED_VALUE"""),"3x3")</f>
        <v>3x3</v>
      </c>
      <c r="V85" s="10" t="str">
        <f>IFERROR(__xludf.DUMMYFUNCTION("""COMPUTED_VALUE"""),"27")</f>
        <v>27</v>
      </c>
      <c r="W85" s="10" t="str">
        <f>IFERROR(__xludf.DUMMYFUNCTION("""COMPUTED_VALUE"""),"27")</f>
        <v>27</v>
      </c>
      <c r="X85" s="5">
        <f>IFERROR(__xludf.DUMMYFUNCTION("""COMPUTED_VALUE"""),96.291)</f>
        <v>96.291</v>
      </c>
      <c r="Y85" s="5" t="str">
        <f>IFERROR(__xludf.DUMMYFUNCTION("""COMPUTED_VALUE"""),"Medium")</f>
        <v>Medium</v>
      </c>
      <c r="Z85" s="5">
        <f>IFERROR(__xludf.DUMMYFUNCTION("""COMPUTED_VALUE"""),7.95)</f>
        <v>7.95</v>
      </c>
      <c r="AA85" s="12">
        <f>IFERROR(__xludf.DUMMYFUNCTION("""COMPUTED_VALUE"""),540.0)</f>
        <v>540</v>
      </c>
      <c r="AB85" s="5"/>
      <c r="AC85" s="5" t="str">
        <f>IFERROR(__xludf.DUMMYFUNCTION("""COMPUTED_VALUE"""),"Wild Symbol, Respin, Win Multiplier")</f>
        <v>Wild Symbol, Respin, Win Multiplier</v>
      </c>
      <c r="AD85" s="5" t="str">
        <f>IFERROR(__xludf.DUMMYFUNCTION("""COMPUTED_VALUE"""),"0.1/50")</f>
        <v>0.1/50</v>
      </c>
      <c r="AE85" s="5"/>
      <c r="AF85" s="5"/>
      <c r="AG85" s="8">
        <f>IFERROR(__xludf.DUMMYFUNCTION("""COMPUTED_VALUE"""),46038.714375)</f>
        <v>46038.71438</v>
      </c>
      <c r="AH85" s="5" t="str">
        <f>IFERROR(__xludf.DUMMYFUNCTION("""COMPUTED_VALUE"""),"djordje.petrovic@fazi.rs")</f>
        <v>djordje.petrovic@fazi.rs</v>
      </c>
      <c r="AI85" s="5"/>
      <c r="AJ85" s="5"/>
      <c r="AK85" s="5">
        <f>IFERROR(__xludf.DUMMYFUNCTION("""COMPUTED_VALUE"""),1.0)</f>
        <v>1</v>
      </c>
      <c r="AL85" s="5" t="str">
        <f>IFERROR(__xludf.DUMMYFUNCTION("""COMPUTED_VALUE"""),"Yes")</f>
        <v>Yes</v>
      </c>
      <c r="AM85" s="5"/>
      <c r="AN85" s="7" t="str">
        <f>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AO85" s="5"/>
      <c r="AP85" s="5"/>
      <c r="AQ85" s="5" t="b">
        <f>IFERROR(__xludf.DUMMYFUNCTION("""COMPUTED_VALUE"""),TRUE)</f>
        <v>1</v>
      </c>
      <c r="AR85" s="5"/>
      <c r="AS85" s="5" t="str">
        <f>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AT85" s="5"/>
      <c r="AU85" s="5" t="str">
        <f>IFERROR(__xludf.DUMMYFUNCTION("""COMPUTED_VALUE"""),"Fazi")</f>
        <v>Fazi</v>
      </c>
      <c r="AV85" s="5"/>
      <c r="AW85" s="5"/>
      <c r="AX85" s="5"/>
      <c r="AY85" s="5"/>
      <c r="AZ85" s="5"/>
      <c r="BA85" s="5" t="str">
        <f>IFERROR(__xludf.DUMMYFUNCTION("""COMPUTED_VALUE"""),"")</f>
        <v/>
      </c>
      <c r="BB85" s="5"/>
      <c r="BC85" s="5" t="str">
        <f>IFERROR(__xludf.DUMMYFUNCTION("""COMPUTED_VALUE"""),"Foxi")</f>
        <v>Foxi</v>
      </c>
      <c r="BD85" s="7" t="str">
        <f>IFERROR(__xludf.DUMMYFUNCTION("""COMPUTED_VALUE"""),"https://gameserver-store-client-area.orbionlimited.com/Home/IntegrationGameLaunch/client-area?moneyType=0&amp;gameName=MysteryJokerHot&amp;platform=desktop&amp;languageCode=eng&amp;currency=EUR")</f>
        <v>https://gameserver-store-client-area.orbionlimited.com/Home/IntegrationGameLaunch/client-area?moneyType=0&amp;gameName=MysteryJokerHot&amp;platform=desktop&amp;languageCode=eng&amp;currency=EUR</v>
      </c>
      <c r="BE85" s="5" t="b">
        <f>IFERROR(__xludf.DUMMYFUNCTION("""COMPUTED_VALUE"""),TRUE)</f>
        <v>1</v>
      </c>
    </row>
    <row r="86">
      <c r="A86" s="5">
        <f>IFERROR(__xludf.DUMMYFUNCTION("""COMPUTED_VALUE"""),85.0)</f>
        <v>85</v>
      </c>
      <c r="B86" s="5">
        <f>IFERROR(__xludf.DUMMYFUNCTION("""COMPUTED_VALUE"""),84.0)</f>
        <v>84</v>
      </c>
      <c r="C86" s="5" t="str">
        <f>IFERROR(__xludf.DUMMYFUNCTION("""COMPUTED_VALUE"""),"Fazi")</f>
        <v>Fazi</v>
      </c>
      <c r="D86" s="5" t="str">
        <f>IFERROR(__xludf.DUMMYFUNCTION("""COMPUTED_VALUE"""),"Crystal Joker Hot")</f>
        <v>Crystal Joker Hot</v>
      </c>
      <c r="E86" s="5" t="str">
        <f>IFERROR(__xludf.DUMMYFUNCTION("""COMPUTED_VALUE"""),"V2")</f>
        <v>V2</v>
      </c>
      <c r="F86" s="5" t="str">
        <f>IFERROR(__xludf.DUMMYFUNCTION("""COMPUTED_VALUE"""),"CrystalJokerHot")</f>
        <v>CrystalJokerHot</v>
      </c>
      <c r="G86" s="5" t="str">
        <f>IFERROR(__xludf.DUMMYFUNCTION("""COMPUTED_VALUE"""),"Live")</f>
        <v>Live</v>
      </c>
      <c r="H86" s="5"/>
      <c r="I86" s="5" t="str">
        <f>IFERROR(__xludf.DUMMYFUNCTION("""COMPUTED_VALUE"""),"V2")</f>
        <v>V2</v>
      </c>
      <c r="J86" s="5" t="str">
        <f>IFERROR(__xludf.DUMMYFUNCTION("""COMPUTED_VALUE"""),"JSON")</f>
        <v>JSON</v>
      </c>
      <c r="K86" s="5" t="str">
        <f>IFERROR(__xludf.DUMMYFUNCTION("""COMPUTED_VALUE"""),"Slot")</f>
        <v>Slot</v>
      </c>
      <c r="L86" s="5" t="str">
        <f>IFERROR(__xludf.DUMMYFUNCTION("""COMPUTED_VALUE"""),"Clone")</f>
        <v>Clone</v>
      </c>
      <c r="M86" s="5" t="str">
        <f>IFERROR(__xludf.DUMMYFUNCTION("""COMPUTED_VALUE"""),"Turbo Hot 40")</f>
        <v>Turbo Hot 40</v>
      </c>
      <c r="N86" s="5"/>
      <c r="O86" s="5"/>
      <c r="P86" s="12">
        <f>IFERROR(__xludf.DUMMYFUNCTION("""COMPUTED_VALUE"""),23.2)</f>
        <v>23.2</v>
      </c>
      <c r="Q86" s="13">
        <f>IFERROR(__xludf.DUMMYFUNCTION("""COMPUTED_VALUE"""),44285.0)</f>
        <v>44285</v>
      </c>
      <c r="R86" s="14"/>
      <c r="S86" s="13">
        <f>IFERROR(__xludf.DUMMYFUNCTION("""COMPUTED_VALUE"""),44285.0)</f>
        <v>44285</v>
      </c>
      <c r="T86" s="5" t="b">
        <f>IFERROR(__xludf.DUMMYFUNCTION("""COMPUTED_VALUE"""),TRUE)</f>
        <v>1</v>
      </c>
      <c r="U86" s="5" t="str">
        <f>IFERROR(__xludf.DUMMYFUNCTION("""COMPUTED_VALUE"""),"5x4")</f>
        <v>5x4</v>
      </c>
      <c r="V86" s="10" t="str">
        <f>IFERROR(__xludf.DUMMYFUNCTION("""COMPUTED_VALUE"""),"40")</f>
        <v>40</v>
      </c>
      <c r="W86" s="10" t="str">
        <f>IFERROR(__xludf.DUMMYFUNCTION("""COMPUTED_VALUE"""),"40")</f>
        <v>40</v>
      </c>
      <c r="X86" s="5">
        <f>IFERROR(__xludf.DUMMYFUNCTION("""COMPUTED_VALUE"""),96.584)</f>
        <v>96.584</v>
      </c>
      <c r="Y86" s="5" t="str">
        <f>IFERROR(__xludf.DUMMYFUNCTION("""COMPUTED_VALUE"""),"Low")</f>
        <v>Low</v>
      </c>
      <c r="Z86" s="5">
        <f>IFERROR(__xludf.DUMMYFUNCTION("""COMPUTED_VALUE"""),16.73)</f>
        <v>16.73</v>
      </c>
      <c r="AA86" s="12">
        <f>IFERROR(__xludf.DUMMYFUNCTION("""COMPUTED_VALUE"""),1000.0)</f>
        <v>1000</v>
      </c>
      <c r="AB86" s="5" t="str">
        <f>IFERROR(__xludf.DUMMYFUNCTION("""COMPUTED_VALUE"""),"/")</f>
        <v>/</v>
      </c>
      <c r="AC86" s="5" t="str">
        <f>IFERROR(__xludf.DUMMYFUNCTION("""COMPUTED_VALUE"""),"Scatter, Wild Symbol")</f>
        <v>Scatter, Wild Symbol</v>
      </c>
      <c r="AD86" s="5" t="str">
        <f>IFERROR(__xludf.DUMMYFUNCTION("""COMPUTED_VALUE"""),"0.4/60")</f>
        <v>0.4/60</v>
      </c>
      <c r="AE86" s="5"/>
      <c r="AF86" s="5"/>
      <c r="AG86" s="8">
        <f>IFERROR(__xludf.DUMMYFUNCTION("""COMPUTED_VALUE"""),45876.50263888889)</f>
        <v>45876.50264</v>
      </c>
      <c r="AH86" s="5" t="str">
        <f>IFERROR(__xludf.DUMMYFUNCTION("""COMPUTED_VALUE"""),"marko.tepavac@fazi.rs")</f>
        <v>marko.tepavac@fazi.rs</v>
      </c>
      <c r="AI86" s="5"/>
      <c r="AJ86" s="5"/>
      <c r="AK86" s="5">
        <f>IFERROR(__xludf.DUMMYFUNCTION("""COMPUTED_VALUE"""),40.0)</f>
        <v>40</v>
      </c>
      <c r="AL86" s="5" t="str">
        <f>IFERROR(__xludf.DUMMYFUNCTION("""COMPUTED_VALUE"""),"Yes")</f>
        <v>Yes</v>
      </c>
      <c r="AM86" s="5"/>
      <c r="AN86" s="7" t="str">
        <f>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AO86" s="5" t="str">
        <f>IFERROR(__xludf.DUMMYFUNCTION("""COMPUTED_VALUE"""),"Yes")</f>
        <v>Yes</v>
      </c>
      <c r="AP86" s="5"/>
      <c r="AQ86" s="5" t="b">
        <f>IFERROR(__xludf.DUMMYFUNCTION("""COMPUTED_VALUE"""),TRUE)</f>
        <v>1</v>
      </c>
      <c r="AR86" s="5"/>
      <c r="AS86" s="5" t="str">
        <f>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AT86" s="5"/>
      <c r="AU86" s="5" t="str">
        <f>IFERROR(__xludf.DUMMYFUNCTION("""COMPUTED_VALUE"""),"Fazi")</f>
        <v>Fazi</v>
      </c>
      <c r="AV86" s="5"/>
      <c r="AW86" s="5"/>
      <c r="AX86" s="5"/>
      <c r="AY86" s="5"/>
      <c r="AZ86" s="5"/>
      <c r="BA86" s="5" t="str">
        <f>IFERROR(__xludf.DUMMYFUNCTION("""COMPUTED_VALUE"""),"")</f>
        <v/>
      </c>
      <c r="BB86" s="5"/>
      <c r="BC86" s="5" t="str">
        <f>IFERROR(__xludf.DUMMYFUNCTION("""COMPUTED_VALUE"""),"Foxi")</f>
        <v>Foxi</v>
      </c>
      <c r="BD86" s="7" t="str">
        <f>IFERROR(__xludf.DUMMYFUNCTION("""COMPUTED_VALUE"""),"https://gameserver-store-client-area.orbionlimited.com/Home/IntegrationGameLaunch/client-area?moneyType=0&amp;gameName=CrystalJokerHot&amp;platform=desktop&amp;languageCode=eng&amp;currency=EUR")</f>
        <v>https://gameserver-store-client-area.orbionlimited.com/Home/IntegrationGameLaunch/client-area?moneyType=0&amp;gameName=CrystalJokerHot&amp;platform=desktop&amp;languageCode=eng&amp;currency=EUR</v>
      </c>
      <c r="BE86" s="5" t="b">
        <f>IFERROR(__xludf.DUMMYFUNCTION("""COMPUTED_VALUE"""),TRUE)</f>
        <v>1</v>
      </c>
    </row>
    <row r="87">
      <c r="A87" s="5">
        <f>IFERROR(__xludf.DUMMYFUNCTION("""COMPUTED_VALUE"""),86.0)</f>
        <v>86</v>
      </c>
      <c r="B87" s="5">
        <f>IFERROR(__xludf.DUMMYFUNCTION("""COMPUTED_VALUE"""),85.0)</f>
        <v>85</v>
      </c>
      <c r="C87" s="5" t="str">
        <f>IFERROR(__xludf.DUMMYFUNCTION("""COMPUTED_VALUE"""),"Tiptop")</f>
        <v>Tiptop</v>
      </c>
      <c r="D87" s="5" t="str">
        <f>IFERROR(__xludf.DUMMYFUNCTION("""COMPUTED_VALUE"""),"Fruit Island")</f>
        <v>Fruit Island</v>
      </c>
      <c r="E87" s="5"/>
      <c r="F87" s="5" t="str">
        <f>IFERROR(__xludf.DUMMYFUNCTION("""COMPUTED_VALUE"""),"UnicornFruitIsland")</f>
        <v>UnicornFruitIsland</v>
      </c>
      <c r="G87" s="5" t="str">
        <f>IFERROR(__xludf.DUMMYFUNCTION("""COMPUTED_VALUE"""),"Live")</f>
        <v>Live</v>
      </c>
      <c r="H87" s="5"/>
      <c r="I87" s="5" t="str">
        <f>IFERROR(__xludf.DUMMYFUNCTION("""COMPUTED_VALUE"""),"TipTop")</f>
        <v>TipTop</v>
      </c>
      <c r="J87" s="5" t="str">
        <f>IFERROR(__xludf.DUMMYFUNCTION("""COMPUTED_VALUE"""),"JSON")</f>
        <v>JSON</v>
      </c>
      <c r="K87" s="5" t="str">
        <f>IFERROR(__xludf.DUMMYFUNCTION("""COMPUTED_VALUE"""),"Slot")</f>
        <v>Slot</v>
      </c>
      <c r="L87" s="5"/>
      <c r="M87" s="5"/>
      <c r="N87" s="5"/>
      <c r="O87" s="5"/>
      <c r="P87" s="12">
        <f>IFERROR(__xludf.DUMMYFUNCTION("""COMPUTED_VALUE"""),13.7)</f>
        <v>13.7</v>
      </c>
      <c r="Q87" s="13">
        <f>IFERROR(__xludf.DUMMYFUNCTION("""COMPUTED_VALUE"""),44343.0)</f>
        <v>44343</v>
      </c>
      <c r="R87" s="14"/>
      <c r="S87" s="13">
        <f>IFERROR(__xludf.DUMMYFUNCTION("""COMPUTED_VALUE"""),44343.0)</f>
        <v>44343</v>
      </c>
      <c r="T87" s="5"/>
      <c r="U87" s="5" t="str">
        <f>IFERROR(__xludf.DUMMYFUNCTION("""COMPUTED_VALUE"""),"5x3")</f>
        <v>5x3</v>
      </c>
      <c r="V87" s="10" t="str">
        <f>IFERROR(__xludf.DUMMYFUNCTION("""COMPUTED_VALUE"""),"5")</f>
        <v>5</v>
      </c>
      <c r="W87" s="10" t="str">
        <f>IFERROR(__xludf.DUMMYFUNCTION("""COMPUTED_VALUE"""),"5")</f>
        <v>5</v>
      </c>
      <c r="X87" s="5">
        <f>IFERROR(__xludf.DUMMYFUNCTION("""COMPUTED_VALUE"""),96.0)</f>
        <v>96</v>
      </c>
      <c r="Y87" s="5" t="str">
        <f>IFERROR(__xludf.DUMMYFUNCTION("""COMPUTED_VALUE"""),"Low")</f>
        <v>Low</v>
      </c>
      <c r="Z87" s="5">
        <f>IFERROR(__xludf.DUMMYFUNCTION("""COMPUTED_VALUE"""),10.5)</f>
        <v>10.5</v>
      </c>
      <c r="AA87" s="12">
        <f>IFERROR(__xludf.DUMMYFUNCTION("""COMPUTED_VALUE"""),1000.0)</f>
        <v>1000</v>
      </c>
      <c r="AB87" s="5"/>
      <c r="AC87" s="5"/>
      <c r="AD87" s="5" t="str">
        <f>IFERROR(__xludf.DUMMYFUNCTION("""COMPUTED_VALUE"""),"0.05/40")</f>
        <v>0.05/40</v>
      </c>
      <c r="AE87" s="5"/>
      <c r="AF87" s="5"/>
      <c r="AG87" s="8">
        <f>IFERROR(__xludf.DUMMYFUNCTION("""COMPUTED_VALUE"""),46197.448333333334)</f>
        <v>46197.44833</v>
      </c>
      <c r="AH87" s="5" t="str">
        <f>IFERROR(__xludf.DUMMYFUNCTION("""COMPUTED_VALUE"""),"selena.mihajlovic@fazi.rs")</f>
        <v>selena.mihajlovic@fazi.rs</v>
      </c>
      <c r="AI87" s="5"/>
      <c r="AJ87" s="5"/>
      <c r="AK87" s="5">
        <f>IFERROR(__xludf.DUMMYFUNCTION("""COMPUTED_VALUE"""),5.0)</f>
        <v>5</v>
      </c>
      <c r="AL87" s="5" t="str">
        <f>IFERROR(__xludf.DUMMYFUNCTION("""COMPUTED_VALUE"""),"No")</f>
        <v>No</v>
      </c>
      <c r="AM87" s="5"/>
      <c r="AN87" s="7" t="str">
        <f>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AO87" s="5"/>
      <c r="AP87" s="5"/>
      <c r="AQ87" s="5" t="b">
        <f>IFERROR(__xludf.DUMMYFUNCTION("""COMPUTED_VALUE"""),TRUE)</f>
        <v>1</v>
      </c>
      <c r="AR87" s="5"/>
      <c r="AS87" s="5" t="str">
        <f>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AT87" s="5"/>
      <c r="AU87" s="5" t="str">
        <f>IFERROR(__xludf.DUMMYFUNCTION("""COMPUTED_VALUE"""),"Fazi")</f>
        <v>Fazi</v>
      </c>
      <c r="AV87" s="5"/>
      <c r="AW87" s="5"/>
      <c r="AX87" s="5"/>
      <c r="AY87" s="5"/>
      <c r="AZ87" s="5"/>
      <c r="BA87" s="5"/>
      <c r="BB87" s="5" t="b">
        <f>IFERROR(__xludf.DUMMYFUNCTION("""COMPUTED_VALUE"""),TRUE)</f>
        <v>1</v>
      </c>
      <c r="BC87" s="5" t="str">
        <f>IFERROR(__xludf.DUMMYFUNCTION("""COMPUTED_VALUE"""),"Tiptop")</f>
        <v>Tiptop</v>
      </c>
      <c r="BD87" s="7" t="str">
        <f>IFERROR(__xludf.DUMMYFUNCTION("""COMPUTED_VALUE"""),"https://gameserver-store-client-area.orbionlimited.com/Home/IntegrationGameLaunch/client-area?moneyType=0&amp;gameName=UnicornFruitIsland&amp;platform=desktop&amp;languageCode=eng&amp;currency=EUR")</f>
        <v>https://gameserver-store-client-area.orbionlimited.com/Home/IntegrationGameLaunch/client-area?moneyType=0&amp;gameName=UnicornFruitIsland&amp;platform=desktop&amp;languageCode=eng&amp;currency=EUR</v>
      </c>
      <c r="BE87" s="5" t="b">
        <f>IFERROR(__xludf.DUMMYFUNCTION("""COMPUTED_VALUE"""),TRUE)</f>
        <v>1</v>
      </c>
    </row>
    <row r="88">
      <c r="A88" s="5">
        <f>IFERROR(__xludf.DUMMYFUNCTION("""COMPUTED_VALUE"""),87.0)</f>
        <v>87</v>
      </c>
      <c r="B88" s="5">
        <f>IFERROR(__xludf.DUMMYFUNCTION("""COMPUTED_VALUE"""),86.0)</f>
        <v>86</v>
      </c>
      <c r="C88" s="5" t="str">
        <f>IFERROR(__xludf.DUMMYFUNCTION("""COMPUTED_VALUE"""),"Fazi")</f>
        <v>Fazi</v>
      </c>
      <c r="D88" s="5" t="str">
        <f>IFERROR(__xludf.DUMMYFUNCTION("""COMPUTED_VALUE"""),"Fruity Joker Hot")</f>
        <v>Fruity Joker Hot</v>
      </c>
      <c r="E88" s="5" t="str">
        <f>IFERROR(__xludf.DUMMYFUNCTION("""COMPUTED_VALUE"""),"V2")</f>
        <v>V2</v>
      </c>
      <c r="F88" s="5" t="str">
        <f>IFERROR(__xludf.DUMMYFUNCTION("""COMPUTED_VALUE"""),"FruityJokerHot")</f>
        <v>FruityJokerHot</v>
      </c>
      <c r="G88" s="5" t="str">
        <f>IFERROR(__xludf.DUMMYFUNCTION("""COMPUTED_VALUE"""),"Live")</f>
        <v>Live</v>
      </c>
      <c r="H88" s="5"/>
      <c r="I88" s="5" t="str">
        <f>IFERROR(__xludf.DUMMYFUNCTION("""COMPUTED_VALUE"""),"V2")</f>
        <v>V2</v>
      </c>
      <c r="J88" s="5" t="str">
        <f>IFERROR(__xludf.DUMMYFUNCTION("""COMPUTED_VALUE"""),"JSON")</f>
        <v>JSON</v>
      </c>
      <c r="K88" s="5" t="str">
        <f>IFERROR(__xludf.DUMMYFUNCTION("""COMPUTED_VALUE"""),"Slot")</f>
        <v>Slot</v>
      </c>
      <c r="L88" s="5"/>
      <c r="M88" s="5"/>
      <c r="N88" s="5"/>
      <c r="O88" s="5"/>
      <c r="P88" s="12">
        <f>IFERROR(__xludf.DUMMYFUNCTION("""COMPUTED_VALUE"""),26.9)</f>
        <v>26.9</v>
      </c>
      <c r="Q88" s="13">
        <f>IFERROR(__xludf.DUMMYFUNCTION("""COMPUTED_VALUE"""),44312.0)</f>
        <v>44312</v>
      </c>
      <c r="R88" s="14"/>
      <c r="S88" s="13">
        <f>IFERROR(__xludf.DUMMYFUNCTION("""COMPUTED_VALUE"""),44312.0)</f>
        <v>44312</v>
      </c>
      <c r="T88" s="5"/>
      <c r="U88" s="5" t="str">
        <f>IFERROR(__xludf.DUMMYFUNCTION("""COMPUTED_VALUE"""),"5x3")</f>
        <v>5x3</v>
      </c>
      <c r="V88" s="10" t="str">
        <f>IFERROR(__xludf.DUMMYFUNCTION("""COMPUTED_VALUE"""),"20")</f>
        <v>20</v>
      </c>
      <c r="W88" s="10" t="str">
        <f>IFERROR(__xludf.DUMMYFUNCTION("""COMPUTED_VALUE"""),"20")</f>
        <v>20</v>
      </c>
      <c r="X88" s="5">
        <f>IFERROR(__xludf.DUMMYFUNCTION("""COMPUTED_VALUE"""),96.019)</f>
        <v>96.019</v>
      </c>
      <c r="Y88" s="5" t="str">
        <f>IFERROR(__xludf.DUMMYFUNCTION("""COMPUTED_VALUE"""),"Low")</f>
        <v>Low</v>
      </c>
      <c r="Z88" s="5">
        <f>IFERROR(__xludf.DUMMYFUNCTION("""COMPUTED_VALUE"""),19.77)</f>
        <v>19.77</v>
      </c>
      <c r="AA88" s="12">
        <f>IFERROR(__xludf.DUMMYFUNCTION("""COMPUTED_VALUE"""),1500.0)</f>
        <v>1500</v>
      </c>
      <c r="AB88" s="5" t="str">
        <f>IFERROR(__xludf.DUMMYFUNCTION("""COMPUTED_VALUE"""),"/")</f>
        <v>/</v>
      </c>
      <c r="AC88" s="5" t="str">
        <f>IFERROR(__xludf.DUMMYFUNCTION("""COMPUTED_VALUE"""),"Scatter, Wild Symbol")</f>
        <v>Scatter, Wild Symbol</v>
      </c>
      <c r="AD88" s="5" t="str">
        <f>IFERROR(__xludf.DUMMYFUNCTION("""COMPUTED_VALUE"""),"0.2/50")</f>
        <v>0.2/50</v>
      </c>
      <c r="AE88" s="5"/>
      <c r="AF88" s="5"/>
      <c r="AG88" s="8">
        <f>IFERROR(__xludf.DUMMYFUNCTION("""COMPUTED_VALUE"""),46100.424675925926)</f>
        <v>46100.42468</v>
      </c>
      <c r="AH88" s="5" t="str">
        <f>IFERROR(__xludf.DUMMYFUNCTION("""COMPUTED_VALUE"""),"milutin.toskic@fazi.rs")</f>
        <v>milutin.toskic@fazi.rs</v>
      </c>
      <c r="AI88" s="5"/>
      <c r="AJ88" s="5"/>
      <c r="AK88" s="5">
        <f>IFERROR(__xludf.DUMMYFUNCTION("""COMPUTED_VALUE"""),20.0)</f>
        <v>20</v>
      </c>
      <c r="AL88" s="5" t="str">
        <f>IFERROR(__xludf.DUMMYFUNCTION("""COMPUTED_VALUE"""),"Yes")</f>
        <v>Yes</v>
      </c>
      <c r="AM88" s="5"/>
      <c r="AN88" s="7" t="str">
        <f>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AO88" s="5" t="str">
        <f>IFERROR(__xludf.DUMMYFUNCTION("""COMPUTED_VALUE"""),"Yes")</f>
        <v>Yes</v>
      </c>
      <c r="AP88" s="5" t="str">
        <f>IFERROR(__xludf.DUMMYFUNCTION("""COMPUTED_VALUE"""),"Yes")</f>
        <v>Yes</v>
      </c>
      <c r="AQ88" s="5" t="b">
        <f>IFERROR(__xludf.DUMMYFUNCTION("""COMPUTED_VALUE"""),TRUE)</f>
        <v>1</v>
      </c>
      <c r="AR88" s="5"/>
      <c r="AS88" s="5" t="str">
        <f>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AT88" s="5" t="str">
        <f>IFERROR(__xludf.DUMMYFUNCTION("""COMPUTED_VALUE"""),"No")</f>
        <v>No</v>
      </c>
      <c r="AU88" s="5" t="str">
        <f>IFERROR(__xludf.DUMMYFUNCTION("""COMPUTED_VALUE"""),"Fazi")</f>
        <v>Fazi</v>
      </c>
      <c r="AV88" s="5"/>
      <c r="AW88" s="5"/>
      <c r="AX88" s="5"/>
      <c r="AY88" s="5"/>
      <c r="AZ88" s="5"/>
      <c r="BA88" s="5" t="str">
        <f>IFERROR(__xludf.DUMMYFUNCTION("""COMPUTED_VALUE"""),"")</f>
        <v/>
      </c>
      <c r="BB88" s="5"/>
      <c r="BC88" s="5" t="str">
        <f>IFERROR(__xludf.DUMMYFUNCTION("""COMPUTED_VALUE"""),"Foxi")</f>
        <v>Foxi</v>
      </c>
      <c r="BD88" s="7" t="str">
        <f>IFERROR(__xludf.DUMMYFUNCTION("""COMPUTED_VALUE"""),"https://gameserver-store-client-area.orbionlimited.com/Home/IntegrationGameLaunch/client-area?moneyType=0&amp;gameName=FruityJokerHot&amp;platform=desktop&amp;languageCode=eng&amp;currency=EUR")</f>
        <v>https://gameserver-store-client-area.orbionlimited.com/Home/IntegrationGameLaunch/client-area?moneyType=0&amp;gameName=FruityJokerHot&amp;platform=desktop&amp;languageCode=eng&amp;currency=EUR</v>
      </c>
      <c r="BE88" s="5" t="b">
        <f>IFERROR(__xludf.DUMMYFUNCTION("""COMPUTED_VALUE"""),TRUE)</f>
        <v>1</v>
      </c>
    </row>
    <row r="89">
      <c r="A89" s="5">
        <f>IFERROR(__xludf.DUMMYFUNCTION("""COMPUTED_VALUE"""),88.0)</f>
        <v>88</v>
      </c>
      <c r="B89" s="5">
        <f>IFERROR(__xludf.DUMMYFUNCTION("""COMPUTED_VALUE"""),87.0)</f>
        <v>87</v>
      </c>
      <c r="C89" s="5" t="str">
        <f>IFERROR(__xludf.DUMMYFUNCTION("""COMPUTED_VALUE"""),"Tiptop")</f>
        <v>Tiptop</v>
      </c>
      <c r="D89" s="5" t="str">
        <f>IFERROR(__xludf.DUMMYFUNCTION("""COMPUTED_VALUE"""),"Wild Paradice")</f>
        <v>Wild Paradice</v>
      </c>
      <c r="E89" s="5"/>
      <c r="F89" s="5" t="str">
        <f>IFERROR(__xludf.DUMMYFUNCTION("""COMPUTED_VALUE"""),"UnicornWildParadise")</f>
        <v>UnicornWildParadise</v>
      </c>
      <c r="G89" s="5" t="str">
        <f>IFERROR(__xludf.DUMMYFUNCTION("""COMPUTED_VALUE"""),"Live")</f>
        <v>Live</v>
      </c>
      <c r="H89" s="5"/>
      <c r="I89" s="5" t="str">
        <f>IFERROR(__xludf.DUMMYFUNCTION("""COMPUTED_VALUE"""),"TipTop")</f>
        <v>TipTop</v>
      </c>
      <c r="J89" s="5" t="str">
        <f>IFERROR(__xludf.DUMMYFUNCTION("""COMPUTED_VALUE"""),"JSON")</f>
        <v>JSON</v>
      </c>
      <c r="K89" s="5" t="str">
        <f>IFERROR(__xludf.DUMMYFUNCTION("""COMPUTED_VALUE"""),"Dice Slots")</f>
        <v>Dice Slots</v>
      </c>
      <c r="L89" s="5"/>
      <c r="M89" s="5"/>
      <c r="N89" s="5"/>
      <c r="O89" s="5"/>
      <c r="P89" s="12">
        <f>IFERROR(__xludf.DUMMYFUNCTION("""COMPUTED_VALUE"""),11.1)</f>
        <v>11.1</v>
      </c>
      <c r="Q89" s="13">
        <f>IFERROR(__xludf.DUMMYFUNCTION("""COMPUTED_VALUE"""),44585.0)</f>
        <v>44585</v>
      </c>
      <c r="R89" s="14"/>
      <c r="S89" s="13">
        <f>IFERROR(__xludf.DUMMYFUNCTION("""COMPUTED_VALUE"""),44585.0)</f>
        <v>44585</v>
      </c>
      <c r="T89" s="5"/>
      <c r="U89" s="5" t="str">
        <f>IFERROR(__xludf.DUMMYFUNCTION("""COMPUTED_VALUE"""),"5X3")</f>
        <v>5X3</v>
      </c>
      <c r="V89" s="10" t="str">
        <f>IFERROR(__xludf.DUMMYFUNCTION("""COMPUTED_VALUE"""),"10")</f>
        <v>10</v>
      </c>
      <c r="W89" s="10" t="str">
        <f>IFERROR(__xludf.DUMMYFUNCTION("""COMPUTED_VALUE"""),"10")</f>
        <v>10</v>
      </c>
      <c r="X89" s="5">
        <f>IFERROR(__xludf.DUMMYFUNCTION("""COMPUTED_VALUE"""),96.0)</f>
        <v>96</v>
      </c>
      <c r="Y89" s="5" t="str">
        <f>IFERROR(__xludf.DUMMYFUNCTION("""COMPUTED_VALUE"""),"Low")</f>
        <v>Low</v>
      </c>
      <c r="Z89" s="5">
        <f>IFERROR(__xludf.DUMMYFUNCTION("""COMPUTED_VALUE"""),26.12)</f>
        <v>26.12</v>
      </c>
      <c r="AA89" s="12">
        <f>IFERROR(__xludf.DUMMYFUNCTION("""COMPUTED_VALUE"""),1060.0)</f>
        <v>1060</v>
      </c>
      <c r="AB89" s="5"/>
      <c r="AC89" s="5" t="str">
        <f>IFERROR(__xludf.DUMMYFUNCTION("""COMPUTED_VALUE"""),"Expanding Wild")</f>
        <v>Expanding Wild</v>
      </c>
      <c r="AD89" s="5" t="str">
        <f>IFERROR(__xludf.DUMMYFUNCTION("""COMPUTED_VALUE"""),"0.1/100")</f>
        <v>0.1/100</v>
      </c>
      <c r="AE89" s="5"/>
      <c r="AF89" s="5"/>
      <c r="AG89" s="8">
        <f>IFERROR(__xludf.DUMMYFUNCTION("""COMPUTED_VALUE"""),46197.44866898148)</f>
        <v>46197.44867</v>
      </c>
      <c r="AH89" s="5" t="str">
        <f>IFERROR(__xludf.DUMMYFUNCTION("""COMPUTED_VALUE"""),"selena.mihajlovic@fazi.rs")</f>
        <v>selena.mihajlovic@fazi.rs</v>
      </c>
      <c r="AI89" s="5"/>
      <c r="AJ89" s="5"/>
      <c r="AK89" s="5">
        <f>IFERROR(__xludf.DUMMYFUNCTION("""COMPUTED_VALUE"""),10.0)</f>
        <v>10</v>
      </c>
      <c r="AL89" s="5" t="str">
        <f>IFERROR(__xludf.DUMMYFUNCTION("""COMPUTED_VALUE"""),"No")</f>
        <v>No</v>
      </c>
      <c r="AM89" s="5"/>
      <c r="AN89" s="7" t="str">
        <f>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AO89" s="5"/>
      <c r="AP89" s="5"/>
      <c r="AQ89" s="5" t="b">
        <f>IFERROR(__xludf.DUMMYFUNCTION("""COMPUTED_VALUE"""),TRUE)</f>
        <v>1</v>
      </c>
      <c r="AR89" s="5"/>
      <c r="AS89" s="5" t="str">
        <f>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AT89" s="5"/>
      <c r="AU89" s="5" t="str">
        <f>IFERROR(__xludf.DUMMYFUNCTION("""COMPUTED_VALUE"""),"Fazi")</f>
        <v>Fazi</v>
      </c>
      <c r="AV89" s="5"/>
      <c r="AW89" s="5"/>
      <c r="AX89" s="5"/>
      <c r="AY89" s="5"/>
      <c r="AZ89" s="5"/>
      <c r="BA89" s="5"/>
      <c r="BB89" s="5" t="b">
        <f>IFERROR(__xludf.DUMMYFUNCTION("""COMPUTED_VALUE"""),TRUE)</f>
        <v>1</v>
      </c>
      <c r="BC89" s="5" t="str">
        <f>IFERROR(__xludf.DUMMYFUNCTION("""COMPUTED_VALUE"""),"Tiptop")</f>
        <v>Tiptop</v>
      </c>
      <c r="BD89" s="7" t="str">
        <f>IFERROR(__xludf.DUMMYFUNCTION("""COMPUTED_VALUE"""),"https://gameserver-store-client-area.orbionlimited.com/Home/IntegrationGameLaunch/client-area?moneyType=0&amp;gameName=UnicornWildParadise&amp;platform=desktop&amp;languageCode=eng&amp;currency=EUR")</f>
        <v>https://gameserver-store-client-area.orbionlimited.com/Home/IntegrationGameLaunch/client-area?moneyType=0&amp;gameName=UnicornWildParadise&amp;platform=desktop&amp;languageCode=eng&amp;currency=EUR</v>
      </c>
      <c r="BE89" s="5" t="b">
        <f>IFERROR(__xludf.DUMMYFUNCTION("""COMPUTED_VALUE"""),TRUE)</f>
        <v>1</v>
      </c>
    </row>
    <row r="90">
      <c r="A90" s="5">
        <f>IFERROR(__xludf.DUMMYFUNCTION("""COMPUTED_VALUE"""),89.0)</f>
        <v>89</v>
      </c>
      <c r="B90" s="5">
        <f>IFERROR(__xludf.DUMMYFUNCTION("""COMPUTED_VALUE"""),88.0)</f>
        <v>88</v>
      </c>
      <c r="C90" s="5" t="str">
        <f>IFERROR(__xludf.DUMMYFUNCTION("""COMPUTED_VALUE"""),"Tiptop")</f>
        <v>Tiptop</v>
      </c>
      <c r="D90" s="5" t="str">
        <f>IFERROR(__xludf.DUMMYFUNCTION("""COMPUTED_VALUE"""),"Rainbow Sevens")</f>
        <v>Rainbow Sevens</v>
      </c>
      <c r="E90" s="5"/>
      <c r="F90" s="5" t="str">
        <f>IFERROR(__xludf.DUMMYFUNCTION("""COMPUTED_VALUE"""),"UnicornRainbowSevens")</f>
        <v>UnicornRainbowSevens</v>
      </c>
      <c r="G90" s="5" t="str">
        <f>IFERROR(__xludf.DUMMYFUNCTION("""COMPUTED_VALUE"""),"Live")</f>
        <v>Live</v>
      </c>
      <c r="H90" s="5"/>
      <c r="I90" s="5" t="str">
        <f>IFERROR(__xludf.DUMMYFUNCTION("""COMPUTED_VALUE"""),"TipTop")</f>
        <v>TipTop</v>
      </c>
      <c r="J90" s="5" t="str">
        <f>IFERROR(__xludf.DUMMYFUNCTION("""COMPUTED_VALUE"""),"JSON")</f>
        <v>JSON</v>
      </c>
      <c r="K90" s="5" t="str">
        <f>IFERROR(__xludf.DUMMYFUNCTION("""COMPUTED_VALUE"""),"Slot")</f>
        <v>Slot</v>
      </c>
      <c r="L90" s="5"/>
      <c r="M90" s="5"/>
      <c r="N90" s="5"/>
      <c r="O90" s="5"/>
      <c r="P90" s="12">
        <f>IFERROR(__xludf.DUMMYFUNCTION("""COMPUTED_VALUE"""),14.9)</f>
        <v>14.9</v>
      </c>
      <c r="Q90" s="13">
        <f>IFERROR(__xludf.DUMMYFUNCTION("""COMPUTED_VALUE"""),44396.0)</f>
        <v>44396</v>
      </c>
      <c r="R90" s="14"/>
      <c r="S90" s="13">
        <f>IFERROR(__xludf.DUMMYFUNCTION("""COMPUTED_VALUE"""),44396.0)</f>
        <v>44396</v>
      </c>
      <c r="T90" s="5"/>
      <c r="U90" s="5" t="str">
        <f>IFERROR(__xludf.DUMMYFUNCTION("""COMPUTED_VALUE"""),"5X3")</f>
        <v>5X3</v>
      </c>
      <c r="V90" s="10" t="str">
        <f>IFERROR(__xludf.DUMMYFUNCTION("""COMPUTED_VALUE"""),"5")</f>
        <v>5</v>
      </c>
      <c r="W90" s="10" t="str">
        <f>IFERROR(__xludf.DUMMYFUNCTION("""COMPUTED_VALUE"""),"5")</f>
        <v>5</v>
      </c>
      <c r="X90" s="5">
        <f>IFERROR(__xludf.DUMMYFUNCTION("""COMPUTED_VALUE"""),96.0)</f>
        <v>96</v>
      </c>
      <c r="Y90" s="5" t="str">
        <f>IFERROR(__xludf.DUMMYFUNCTION("""COMPUTED_VALUE"""),"Low")</f>
        <v>Low</v>
      </c>
      <c r="Z90" s="5">
        <f>IFERROR(__xludf.DUMMYFUNCTION("""COMPUTED_VALUE"""),9.2)</f>
        <v>9.2</v>
      </c>
      <c r="AA90" s="12">
        <f>IFERROR(__xludf.DUMMYFUNCTION("""COMPUTED_VALUE"""),1000.0)</f>
        <v>1000</v>
      </c>
      <c r="AB90" s="5"/>
      <c r="AC90" s="5"/>
      <c r="AD90" s="5" t="str">
        <f>IFERROR(__xludf.DUMMYFUNCTION("""COMPUTED_VALUE"""),"0.05/100")</f>
        <v>0.05/100</v>
      </c>
      <c r="AE90" s="5"/>
      <c r="AF90" s="5"/>
      <c r="AG90" s="8">
        <f>IFERROR(__xludf.DUMMYFUNCTION("""COMPUTED_VALUE"""),46190.54145833333)</f>
        <v>46190.54146</v>
      </c>
      <c r="AH90" s="5"/>
      <c r="AI90" s="5"/>
      <c r="AJ90" s="5"/>
      <c r="AK90" s="5">
        <f>IFERROR(__xludf.DUMMYFUNCTION("""COMPUTED_VALUE"""),5.0)</f>
        <v>5</v>
      </c>
      <c r="AL90" s="5" t="str">
        <f>IFERROR(__xludf.DUMMYFUNCTION("""COMPUTED_VALUE"""),"No")</f>
        <v>No</v>
      </c>
      <c r="AM90" s="5"/>
      <c r="AN90" s="7" t="str">
        <f>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AO90" s="5"/>
      <c r="AP90" s="5"/>
      <c r="AQ90" s="5" t="b">
        <f>IFERROR(__xludf.DUMMYFUNCTION("""COMPUTED_VALUE"""),TRUE)</f>
        <v>1</v>
      </c>
      <c r="AR90" s="5"/>
      <c r="AS90" s="5" t="str">
        <f>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AT90" s="5"/>
      <c r="AU90" s="5" t="str">
        <f>IFERROR(__xludf.DUMMYFUNCTION("""COMPUTED_VALUE"""),"Fazi")</f>
        <v>Fazi</v>
      </c>
      <c r="AV90" s="5"/>
      <c r="AW90" s="5"/>
      <c r="AX90" s="5"/>
      <c r="AY90" s="5"/>
      <c r="AZ90" s="5"/>
      <c r="BA90" s="5"/>
      <c r="BB90" s="5" t="b">
        <f>IFERROR(__xludf.DUMMYFUNCTION("""COMPUTED_VALUE"""),TRUE)</f>
        <v>1</v>
      </c>
      <c r="BC90" s="5" t="str">
        <f>IFERROR(__xludf.DUMMYFUNCTION("""COMPUTED_VALUE"""),"Tiptop")</f>
        <v>Tiptop</v>
      </c>
      <c r="BD90" s="7" t="str">
        <f>IFERROR(__xludf.DUMMYFUNCTION("""COMPUTED_VALUE"""),"https://gameserver-store-client-area.orbionlimited.com/Home/IntegrationGameLaunch/client-area?moneyType=0&amp;gameName=UnicornRainbowSevens&amp;platform=desktop&amp;languageCode=eng&amp;currency=EUR")</f>
        <v>https://gameserver-store-client-area.orbionlimited.com/Home/IntegrationGameLaunch/client-area?moneyType=0&amp;gameName=UnicornRainbowSevens&amp;platform=desktop&amp;languageCode=eng&amp;currency=EUR</v>
      </c>
      <c r="BE90" s="5" t="b">
        <f>IFERROR(__xludf.DUMMYFUNCTION("""COMPUTED_VALUE"""),TRUE)</f>
        <v>1</v>
      </c>
    </row>
    <row r="91">
      <c r="A91" s="5">
        <f>IFERROR(__xludf.DUMMYFUNCTION("""COMPUTED_VALUE"""),90.0)</f>
        <v>90</v>
      </c>
      <c r="B91" s="5">
        <f>IFERROR(__xludf.DUMMYFUNCTION("""COMPUTED_VALUE"""),89.0)</f>
        <v>89</v>
      </c>
      <c r="C91" s="5" t="str">
        <f>IFERROR(__xludf.DUMMYFUNCTION("""COMPUTED_VALUE"""),"Tiptop")</f>
        <v>Tiptop</v>
      </c>
      <c r="D91" s="5" t="str">
        <f>IFERROR(__xludf.DUMMYFUNCTION("""COMPUTED_VALUE"""),"Havana Dice")</f>
        <v>Havana Dice</v>
      </c>
      <c r="E91" s="5"/>
      <c r="F91" s="5" t="str">
        <f>IFERROR(__xludf.DUMMYFUNCTION("""COMPUTED_VALUE"""),"UnicornHavanaDice")</f>
        <v>UnicornHavanaDice</v>
      </c>
      <c r="G91" s="5" t="str">
        <f>IFERROR(__xludf.DUMMYFUNCTION("""COMPUTED_VALUE"""),"Live")</f>
        <v>Live</v>
      </c>
      <c r="H91" s="5"/>
      <c r="I91" s="5" t="str">
        <f>IFERROR(__xludf.DUMMYFUNCTION("""COMPUTED_VALUE"""),"TipTop")</f>
        <v>TipTop</v>
      </c>
      <c r="J91" s="5" t="str">
        <f>IFERROR(__xludf.DUMMYFUNCTION("""COMPUTED_VALUE"""),"JSON")</f>
        <v>JSON</v>
      </c>
      <c r="K91" s="5" t="str">
        <f>IFERROR(__xludf.DUMMYFUNCTION("""COMPUTED_VALUE"""),"Dice Slots")</f>
        <v>Dice Slots</v>
      </c>
      <c r="L91" s="5"/>
      <c r="M91" s="5"/>
      <c r="N91" s="5"/>
      <c r="O91" s="5"/>
      <c r="P91" s="12">
        <f>IFERROR(__xludf.DUMMYFUNCTION("""COMPUTED_VALUE"""),11.5)</f>
        <v>11.5</v>
      </c>
      <c r="Q91" s="13">
        <f>IFERROR(__xludf.DUMMYFUNCTION("""COMPUTED_VALUE"""),44606.0)</f>
        <v>44606</v>
      </c>
      <c r="R91" s="14"/>
      <c r="S91" s="13">
        <f>IFERROR(__xludf.DUMMYFUNCTION("""COMPUTED_VALUE"""),44606.0)</f>
        <v>44606</v>
      </c>
      <c r="T91" s="5"/>
      <c r="U91" s="5" t="str">
        <f>IFERROR(__xludf.DUMMYFUNCTION("""COMPUTED_VALUE"""),"5X3")</f>
        <v>5X3</v>
      </c>
      <c r="V91" s="10" t="str">
        <f>IFERROR(__xludf.DUMMYFUNCTION("""COMPUTED_VALUE"""),"10")</f>
        <v>10</v>
      </c>
      <c r="W91" s="10" t="str">
        <f>IFERROR(__xludf.DUMMYFUNCTION("""COMPUTED_VALUE"""),"10")</f>
        <v>10</v>
      </c>
      <c r="X91" s="5">
        <f>IFERROR(__xludf.DUMMYFUNCTION("""COMPUTED_VALUE"""),96.0)</f>
        <v>96</v>
      </c>
      <c r="Y91" s="5" t="str">
        <f>IFERROR(__xludf.DUMMYFUNCTION("""COMPUTED_VALUE"""),"Low")</f>
        <v>Low</v>
      </c>
      <c r="Z91" s="5">
        <f>IFERROR(__xludf.DUMMYFUNCTION("""COMPUTED_VALUE"""),12.79)</f>
        <v>12.79</v>
      </c>
      <c r="AA91" s="12">
        <f>IFERROR(__xludf.DUMMYFUNCTION("""COMPUTED_VALUE"""),2000.0)</f>
        <v>2000</v>
      </c>
      <c r="AB91" s="5"/>
      <c r="AC91" s="5" t="str">
        <f>IFERROR(__xludf.DUMMYFUNCTION("""COMPUTED_VALUE"""),"Wild Symbol")</f>
        <v>Wild Symbol</v>
      </c>
      <c r="AD91" s="5" t="str">
        <f>IFERROR(__xludf.DUMMYFUNCTION("""COMPUTED_VALUE"""),"0.1/100")</f>
        <v>0.1/100</v>
      </c>
      <c r="AE91" s="5"/>
      <c r="AF91" s="5"/>
      <c r="AG91" s="8">
        <f>IFERROR(__xludf.DUMMYFUNCTION("""COMPUTED_VALUE"""),46197.449155092596)</f>
        <v>46197.44916</v>
      </c>
      <c r="AH91" s="5" t="str">
        <f>IFERROR(__xludf.DUMMYFUNCTION("""COMPUTED_VALUE"""),"selena.mihajlovic@fazi.rs")</f>
        <v>selena.mihajlovic@fazi.rs</v>
      </c>
      <c r="AI91" s="5"/>
      <c r="AJ91" s="5"/>
      <c r="AK91" s="5">
        <f>IFERROR(__xludf.DUMMYFUNCTION("""COMPUTED_VALUE"""),10.0)</f>
        <v>10</v>
      </c>
      <c r="AL91" s="5" t="str">
        <f>IFERROR(__xludf.DUMMYFUNCTION("""COMPUTED_VALUE"""),"No")</f>
        <v>No</v>
      </c>
      <c r="AM91" s="5"/>
      <c r="AN91" s="7" t="str">
        <f>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AO91" s="5"/>
      <c r="AP91" s="5"/>
      <c r="AQ91" s="5" t="b">
        <f>IFERROR(__xludf.DUMMYFUNCTION("""COMPUTED_VALUE"""),TRUE)</f>
        <v>1</v>
      </c>
      <c r="AR91" s="5"/>
      <c r="AS91" s="5" t="str">
        <f>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AT91" s="5"/>
      <c r="AU91" s="5" t="str">
        <f>IFERROR(__xludf.DUMMYFUNCTION("""COMPUTED_VALUE"""),"Fazi")</f>
        <v>Fazi</v>
      </c>
      <c r="AV91" s="5"/>
      <c r="AW91" s="5"/>
      <c r="AX91" s="5"/>
      <c r="AY91" s="5"/>
      <c r="AZ91" s="5"/>
      <c r="BA91" s="5"/>
      <c r="BB91" s="5" t="b">
        <f>IFERROR(__xludf.DUMMYFUNCTION("""COMPUTED_VALUE"""),TRUE)</f>
        <v>1</v>
      </c>
      <c r="BC91" s="5" t="str">
        <f>IFERROR(__xludf.DUMMYFUNCTION("""COMPUTED_VALUE"""),"Tiptop")</f>
        <v>Tiptop</v>
      </c>
      <c r="BD91" s="7" t="str">
        <f>IFERROR(__xludf.DUMMYFUNCTION("""COMPUTED_VALUE"""),"https://gameserver-store-client-area.orbionlimited.com/Home/IntegrationGameLaunch/client-area?moneyType=0&amp;gameName=UnicornHavanaDice&amp;platform=desktop&amp;languageCode=eng&amp;currency=EUR")</f>
        <v>https://gameserver-store-client-area.orbionlimited.com/Home/IntegrationGameLaunch/client-area?moneyType=0&amp;gameName=UnicornHavanaDice&amp;platform=desktop&amp;languageCode=eng&amp;currency=EUR</v>
      </c>
      <c r="BE91" s="5" t="b">
        <f>IFERROR(__xludf.DUMMYFUNCTION("""COMPUTED_VALUE"""),TRUE)</f>
        <v>1</v>
      </c>
    </row>
    <row r="92">
      <c r="A92" s="5">
        <f>IFERROR(__xludf.DUMMYFUNCTION("""COMPUTED_VALUE"""),91.0)</f>
        <v>91</v>
      </c>
      <c r="B92" s="5">
        <f>IFERROR(__xludf.DUMMYFUNCTION("""COMPUTED_VALUE"""),90.0)</f>
        <v>90</v>
      </c>
      <c r="C92" s="5" t="str">
        <f>IFERROR(__xludf.DUMMYFUNCTION("""COMPUTED_VALUE"""),"Redstone")</f>
        <v>Redstone</v>
      </c>
      <c r="D92" s="5" t="str">
        <f>IFERROR(__xludf.DUMMYFUNCTION("""COMPUTED_VALUE"""),"Mayan Coins")</f>
        <v>Mayan Coins</v>
      </c>
      <c r="E92" s="5" t="str">
        <f>IFERROR(__xludf.DUMMYFUNCTION("""COMPUTED_VALUE"""),"Redstone")</f>
        <v>Redstone</v>
      </c>
      <c r="F92" s="5" t="str">
        <f>IFERROR(__xludf.DUMMYFUNCTION("""COMPUTED_VALUE"""),"MayanCoins")</f>
        <v>MayanCoins</v>
      </c>
      <c r="G92" s="5" t="str">
        <f>IFERROR(__xludf.DUMMYFUNCTION("""COMPUTED_VALUE"""),"Live")</f>
        <v>Live</v>
      </c>
      <c r="H92" s="5"/>
      <c r="I92" s="5" t="str">
        <f>IFERROR(__xludf.DUMMYFUNCTION("""COMPUTED_VALUE"""),"Redstone")</f>
        <v>Redstone</v>
      </c>
      <c r="J92" s="5" t="str">
        <f>IFERROR(__xludf.DUMMYFUNCTION("""COMPUTED_VALUE"""),"JSON")</f>
        <v>JSON</v>
      </c>
      <c r="K92" s="5" t="str">
        <f>IFERROR(__xludf.DUMMYFUNCTION("""COMPUTED_VALUE"""),"Slot")</f>
        <v>Slot</v>
      </c>
      <c r="L92" s="5" t="str">
        <f>IFERROR(__xludf.DUMMYFUNCTION("""COMPUTED_VALUE"""),"Master")</f>
        <v>Master</v>
      </c>
      <c r="M92" s="5"/>
      <c r="N92" s="7" t="str">
        <f>IFERROR(__xludf.DUMMYFUNCTION("""COMPUTED_VALUE"""),"https://docs.google.com/document/d/1mq8xqqryq1MA1Lb8eRerXA0Qu4oy9dK8/edit?usp=drive_link&amp;ouid=107596163405648766688&amp;rtpof=true&amp;sd=true")</f>
        <v>https://docs.google.com/document/d/1mq8xqqryq1MA1Lb8eRerXA0Qu4oy9dK8/edit?usp=drive_link&amp;ouid=107596163405648766688&amp;rtpof=true&amp;sd=true</v>
      </c>
      <c r="O92" s="7" t="str">
        <f>IFERROR(__xludf.DUMMYFUNCTION("""COMPUTED_VALUE"""),"https://docs.google.com/document/d/1f4hwx73fZvTmit9C3Wj6HjLYQHHt_GGS/edit?usp=drive_link&amp;ouid=107596163405648766688&amp;rtpof=true&amp;sd=true")</f>
        <v>https://docs.google.com/document/d/1f4hwx73fZvTmit9C3Wj6HjLYQHHt_GGS/edit?usp=drive_link&amp;ouid=107596163405648766688&amp;rtpof=true&amp;sd=true</v>
      </c>
      <c r="P92" s="12">
        <f>IFERROR(__xludf.DUMMYFUNCTION("""COMPUTED_VALUE"""),15.0)</f>
        <v>15</v>
      </c>
      <c r="Q92" s="13">
        <f>IFERROR(__xludf.DUMMYFUNCTION("""COMPUTED_VALUE"""),44669.0)</f>
        <v>44669</v>
      </c>
      <c r="R92" s="14"/>
      <c r="S92" s="13">
        <f>IFERROR(__xludf.DUMMYFUNCTION("""COMPUTED_VALUE"""),44669.0)</f>
        <v>44669</v>
      </c>
      <c r="T92" s="5"/>
      <c r="U92" s="5" t="str">
        <f>IFERROR(__xludf.DUMMYFUNCTION("""COMPUTED_VALUE"""),"5x3")</f>
        <v>5x3</v>
      </c>
      <c r="V92" s="10" t="str">
        <f>IFERROR(__xludf.DUMMYFUNCTION("""COMPUTED_VALUE"""),"10")</f>
        <v>10</v>
      </c>
      <c r="W92" s="10" t="str">
        <f>IFERROR(__xludf.DUMMYFUNCTION("""COMPUTED_VALUE"""),"10")</f>
        <v>10</v>
      </c>
      <c r="X92" s="5">
        <f>IFERROR(__xludf.DUMMYFUNCTION("""COMPUTED_VALUE"""),95.45)</f>
        <v>95.45</v>
      </c>
      <c r="Y92" s="5" t="str">
        <f>IFERROR(__xludf.DUMMYFUNCTION("""COMPUTED_VALUE"""),"Medium")</f>
        <v>Medium</v>
      </c>
      <c r="Z92" s="5">
        <f>IFERROR(__xludf.DUMMYFUNCTION("""COMPUTED_VALUE"""),12.54)</f>
        <v>12.54</v>
      </c>
      <c r="AA92" s="12">
        <f>IFERROR(__xludf.DUMMYFUNCTION("""COMPUTED_VALUE"""),1250.0)</f>
        <v>1250</v>
      </c>
      <c r="AB92" s="5"/>
      <c r="AC92" s="5" t="str">
        <f>IFERROR(__xludf.DUMMYFUNCTION("""COMPUTED_VALUE"""),"Hold and Win, Wild Symbol")</f>
        <v>Hold and Win, Wild Symbol</v>
      </c>
      <c r="AD92" s="5" t="str">
        <f>IFERROR(__xludf.DUMMYFUNCTION("""COMPUTED_VALUE"""),"0.10/40")</f>
        <v>0.10/40</v>
      </c>
      <c r="AE92" s="5"/>
      <c r="AF92" s="5"/>
      <c r="AG92" s="8">
        <f>IFERROR(__xludf.DUMMYFUNCTION("""COMPUTED_VALUE"""),46157.38763888889)</f>
        <v>46157.38764</v>
      </c>
      <c r="AH92" s="5"/>
      <c r="AI92" s="5"/>
      <c r="AJ92" s="5"/>
      <c r="AK92" s="5">
        <f>IFERROR(__xludf.DUMMYFUNCTION("""COMPUTED_VALUE"""),1.0)</f>
        <v>1</v>
      </c>
      <c r="AL92" s="5" t="str">
        <f>IFERROR(__xludf.DUMMYFUNCTION("""COMPUTED_VALUE"""),"No")</f>
        <v>No</v>
      </c>
      <c r="AM92" s="5" t="str">
        <f>IFERROR(__xludf.DUMMYFUNCTION("""COMPUTED_VALUE"""),"No")</f>
        <v>No</v>
      </c>
      <c r="AN92" s="7" t="str">
        <f>IFERROR(__xludf.DUMMYFUNCTION("""COMPUTED_VALUE"""),"https://static.redstone.rs/games/mayan-coins/")</f>
        <v>https://static.redstone.rs/games/mayan-coins/</v>
      </c>
      <c r="AO92" s="5" t="str">
        <f>IFERROR(__xludf.DUMMYFUNCTION("""COMPUTED_VALUE"""),"No")</f>
        <v>No</v>
      </c>
      <c r="AP92" s="5" t="str">
        <f>IFERROR(__xludf.DUMMYFUNCTION("""COMPUTED_VALUE"""),"No")</f>
        <v>No</v>
      </c>
      <c r="AQ92" s="5" t="b">
        <f>IFERROR(__xludf.DUMMYFUNCTION("""COMPUTED_VALUE"""),TRUE)</f>
        <v>1</v>
      </c>
      <c r="AR92" s="5"/>
      <c r="AS92" s="5" t="str">
        <f>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AT92" s="5"/>
      <c r="AU92" s="5" t="str">
        <f>IFERROR(__xludf.DUMMYFUNCTION("""COMPUTED_VALUE"""),"Redstone")</f>
        <v>Redstone</v>
      </c>
      <c r="AV92" s="5"/>
      <c r="AW92" s="5"/>
      <c r="AX92" s="5"/>
      <c r="AY92" s="5"/>
      <c r="AZ92" s="5"/>
      <c r="BA92" s="5"/>
      <c r="BB92" s="5" t="b">
        <f>IFERROR(__xludf.DUMMYFUNCTION("""COMPUTED_VALUE"""),TRUE)</f>
        <v>1</v>
      </c>
      <c r="BC92" s="5" t="str">
        <f>IFERROR(__xludf.DUMMYFUNCTION("""COMPUTED_VALUE"""),"Redstone")</f>
        <v>Redstone</v>
      </c>
      <c r="BD92" s="7" t="str">
        <f>IFERROR(__xludf.DUMMYFUNCTION("""COMPUTED_VALUE"""),"https://static.redstone.rs/games/mayan-coins/")</f>
        <v>https://static.redstone.rs/games/mayan-coins/</v>
      </c>
      <c r="BE92" s="5" t="b">
        <f>IFERROR(__xludf.DUMMYFUNCTION("""COMPUTED_VALUE"""),TRUE)</f>
        <v>1</v>
      </c>
    </row>
    <row r="93">
      <c r="A93" s="5">
        <f>IFERROR(__xludf.DUMMYFUNCTION("""COMPUTED_VALUE"""),92.0)</f>
        <v>92</v>
      </c>
      <c r="B93" s="5">
        <f>IFERROR(__xludf.DUMMYFUNCTION("""COMPUTED_VALUE"""),91.0)</f>
        <v>91</v>
      </c>
      <c r="C93" s="5" t="str">
        <f>IFERROR(__xludf.DUMMYFUNCTION("""COMPUTED_VALUE"""),"Redstone")</f>
        <v>Redstone</v>
      </c>
      <c r="D93" s="5" t="str">
        <f>IFERROR(__xludf.DUMMYFUNCTION("""COMPUTED_VALUE"""),"5 Clover Fire")</f>
        <v>5 Clover Fire</v>
      </c>
      <c r="E93" s="5" t="str">
        <f>IFERROR(__xludf.DUMMYFUNCTION("""COMPUTED_VALUE"""),"Redstone")</f>
        <v>Redstone</v>
      </c>
      <c r="F93" s="5" t="str">
        <f>IFERROR(__xludf.DUMMYFUNCTION("""COMPUTED_VALUE"""),"FireClover5")</f>
        <v>FireClover5</v>
      </c>
      <c r="G93" s="5" t="str">
        <f>IFERROR(__xludf.DUMMYFUNCTION("""COMPUTED_VALUE"""),"Live")</f>
        <v>Live</v>
      </c>
      <c r="H93" s="5"/>
      <c r="I93" s="5" t="str">
        <f>IFERROR(__xludf.DUMMYFUNCTION("""COMPUTED_VALUE"""),"Redstone")</f>
        <v>Redstone</v>
      </c>
      <c r="J93" s="5" t="str">
        <f>IFERROR(__xludf.DUMMYFUNCTION("""COMPUTED_VALUE"""),"JSON")</f>
        <v>JSON</v>
      </c>
      <c r="K93" s="5" t="str">
        <f>IFERROR(__xludf.DUMMYFUNCTION("""COMPUTED_VALUE"""),"Slot")</f>
        <v>Slot</v>
      </c>
      <c r="L93" s="5" t="str">
        <f>IFERROR(__xludf.DUMMYFUNCTION("""COMPUTED_VALUE"""),"Master")</f>
        <v>Master</v>
      </c>
      <c r="M93" s="5"/>
      <c r="N93" s="7" t="str">
        <f>IFERROR(__xludf.DUMMYFUNCTION("""COMPUTED_VALUE"""),"https://docs.google.com/document/d/1W6yZna9lcBlDEKAPvgpVg91_F4apPdmQ/edit?usp=drive_link&amp;ouid=107596163405648766688&amp;rtpof=true&amp;sd=true")</f>
        <v>https://docs.google.com/document/d/1W6yZna9lcBlDEKAPvgpVg91_F4apPdmQ/edit?usp=drive_link&amp;ouid=107596163405648766688&amp;rtpof=true&amp;sd=true</v>
      </c>
      <c r="O93" s="7" t="str">
        <f>IFERROR(__xludf.DUMMYFUNCTION("""COMPUTED_VALUE"""),"https://docs.google.com/document/d/1a-k-sqrXxJhyaIYI-IrLVx4jyIToz-pP/edit")</f>
        <v>https://docs.google.com/document/d/1a-k-sqrXxJhyaIYI-IrLVx4jyIToz-pP/edit</v>
      </c>
      <c r="P93" s="12">
        <f>IFERROR(__xludf.DUMMYFUNCTION("""COMPUTED_VALUE"""),8.7)</f>
        <v>8.7</v>
      </c>
      <c r="Q93" s="13">
        <f>IFERROR(__xludf.DUMMYFUNCTION("""COMPUTED_VALUE"""),44368.0)</f>
        <v>44368</v>
      </c>
      <c r="R93" s="14"/>
      <c r="S93" s="13">
        <f>IFERROR(__xludf.DUMMYFUNCTION("""COMPUTED_VALUE"""),44368.0)</f>
        <v>44368</v>
      </c>
      <c r="T93" s="5"/>
      <c r="U93" s="5" t="str">
        <f>IFERROR(__xludf.DUMMYFUNCTION("""COMPUTED_VALUE"""),"5x3")</f>
        <v>5x3</v>
      </c>
      <c r="V93" s="10" t="str">
        <f>IFERROR(__xludf.DUMMYFUNCTION("""COMPUTED_VALUE"""),"5")</f>
        <v>5</v>
      </c>
      <c r="W93" s="10" t="str">
        <f>IFERROR(__xludf.DUMMYFUNCTION("""COMPUTED_VALUE"""),"5")</f>
        <v>5</v>
      </c>
      <c r="X93" s="5">
        <f>IFERROR(__xludf.DUMMYFUNCTION("""COMPUTED_VALUE"""),96.45)</f>
        <v>96.45</v>
      </c>
      <c r="Y93" s="5" t="str">
        <f>IFERROR(__xludf.DUMMYFUNCTION("""COMPUTED_VALUE"""),"Medium")</f>
        <v>Medium</v>
      </c>
      <c r="Z93" s="5">
        <f>IFERROR(__xludf.DUMMYFUNCTION("""COMPUTED_VALUE"""),14.5)</f>
        <v>14.5</v>
      </c>
      <c r="AA93" s="12">
        <f>IFERROR(__xludf.DUMMYFUNCTION("""COMPUTED_VALUE"""),1222.0)</f>
        <v>1222</v>
      </c>
      <c r="AB93" s="5"/>
      <c r="AC93" s="5" t="str">
        <f>IFERROR(__xludf.DUMMYFUNCTION("""COMPUTED_VALUE"""),"Expanding Wild, Scatter")</f>
        <v>Expanding Wild, Scatter</v>
      </c>
      <c r="AD93" s="5" t="str">
        <f>IFERROR(__xludf.DUMMYFUNCTION("""COMPUTED_VALUE"""),"0.05/30")</f>
        <v>0.05/30</v>
      </c>
      <c r="AE93" s="5"/>
      <c r="AF93" s="5"/>
      <c r="AG93" s="8">
        <f>IFERROR(__xludf.DUMMYFUNCTION("""COMPUTED_VALUE"""),46212.48315972222)</f>
        <v>46212.48316</v>
      </c>
      <c r="AH93" s="5" t="str">
        <f>IFERROR(__xludf.DUMMYFUNCTION("""COMPUTED_VALUE"""),"selena.mihajlovic@fazi.rs")</f>
        <v>selena.mihajlovic@fazi.rs</v>
      </c>
      <c r="AI93" s="5"/>
      <c r="AJ93" s="5"/>
      <c r="AK93" s="5">
        <f>IFERROR(__xludf.DUMMYFUNCTION("""COMPUTED_VALUE"""),5.0)</f>
        <v>5</v>
      </c>
      <c r="AL93" s="5" t="str">
        <f>IFERROR(__xludf.DUMMYFUNCTION("""COMPUTED_VALUE"""),"No")</f>
        <v>No</v>
      </c>
      <c r="AM93" s="5" t="str">
        <f>IFERROR(__xludf.DUMMYFUNCTION("""COMPUTED_VALUE"""),"No")</f>
        <v>No</v>
      </c>
      <c r="AN93" s="7" t="str">
        <f>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AO93" s="5" t="str">
        <f>IFERROR(__xludf.DUMMYFUNCTION("""COMPUTED_VALUE"""),"No")</f>
        <v>No</v>
      </c>
      <c r="AP93" s="5" t="str">
        <f>IFERROR(__xludf.DUMMYFUNCTION("""COMPUTED_VALUE"""),"No")</f>
        <v>No</v>
      </c>
      <c r="AQ93" s="5" t="b">
        <f>IFERROR(__xludf.DUMMYFUNCTION("""COMPUTED_VALUE"""),TRUE)</f>
        <v>1</v>
      </c>
      <c r="AR93" s="5"/>
      <c r="AS93" s="5" t="str">
        <f>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AT93" s="5"/>
      <c r="AU93" s="5" t="str">
        <f>IFERROR(__xludf.DUMMYFUNCTION("""COMPUTED_VALUE"""),"Redstone")</f>
        <v>Redstone</v>
      </c>
      <c r="AV93" s="5"/>
      <c r="AW93" s="5"/>
      <c r="AX93" s="5"/>
      <c r="AY93" s="5"/>
      <c r="AZ93" s="5"/>
      <c r="BA93" s="5"/>
      <c r="BB93" s="5" t="b">
        <f>IFERROR(__xludf.DUMMYFUNCTION("""COMPUTED_VALUE"""),TRUE)</f>
        <v>1</v>
      </c>
      <c r="BC93" s="5" t="str">
        <f>IFERROR(__xludf.DUMMYFUNCTION("""COMPUTED_VALUE"""),"Redstone")</f>
        <v>Redstone</v>
      </c>
      <c r="BD93" s="7" t="str">
        <f>IFERROR(__xludf.DUMMYFUNCTION("""COMPUTED_VALUE"""),"https://gameserver-store-client-area.orbionlimited.com/Home/IntegrationGameLaunch/client-area?moneyType=0&amp;gameName=FireClover5&amp;platform=desktop&amp;languageCode=eng&amp;currency=EUR")</f>
        <v>https://gameserver-store-client-area.orbionlimited.com/Home/IntegrationGameLaunch/client-area?moneyType=0&amp;gameName=FireClover5&amp;platform=desktop&amp;languageCode=eng&amp;currency=EUR</v>
      </c>
      <c r="BE93" s="5" t="b">
        <f>IFERROR(__xludf.DUMMYFUNCTION("""COMPUTED_VALUE"""),TRUE)</f>
        <v>1</v>
      </c>
    </row>
    <row r="94">
      <c r="A94" s="5">
        <f>IFERROR(__xludf.DUMMYFUNCTION("""COMPUTED_VALUE"""),93.0)</f>
        <v>93</v>
      </c>
      <c r="B94" s="5">
        <f>IFERROR(__xludf.DUMMYFUNCTION("""COMPUTED_VALUE"""),92.0)</f>
        <v>92</v>
      </c>
      <c r="C94" s="5" t="str">
        <f>IFERROR(__xludf.DUMMYFUNCTION("""COMPUTED_VALUE"""),"Fazi")</f>
        <v>Fazi</v>
      </c>
      <c r="D94" s="5" t="str">
        <f>IFERROR(__xludf.DUMMYFUNCTION("""COMPUTED_VALUE"""),"Crystal Hot Yes")</f>
        <v>Crystal Hot Yes</v>
      </c>
      <c r="E94" s="5" t="str">
        <f>IFERROR(__xludf.DUMMYFUNCTION("""COMPUTED_VALUE"""),"V2")</f>
        <v>V2</v>
      </c>
      <c r="F94" s="5" t="str">
        <f>IFERROR(__xludf.DUMMYFUNCTION("""COMPUTED_VALUE"""),"CrystalHotAdmiral")</f>
        <v>CrystalHotAdmiral</v>
      </c>
      <c r="G94" s="5" t="str">
        <f>IFERROR(__xludf.DUMMYFUNCTION("""COMPUTED_VALUE"""),"Live")</f>
        <v>Live</v>
      </c>
      <c r="H94" s="5" t="str">
        <f>IFERROR(__xludf.DUMMYFUNCTION("""COMPUTED_VALUE"""),"AdmiralIt - Admiral Sport")</f>
        <v>AdmiralIt - Admiral Sport</v>
      </c>
      <c r="I94" s="5" t="str">
        <f>IFERROR(__xludf.DUMMYFUNCTION("""COMPUTED_VALUE"""),"V2")</f>
        <v>V2</v>
      </c>
      <c r="J94" s="5" t="str">
        <f>IFERROR(__xludf.DUMMYFUNCTION("""COMPUTED_VALUE"""),"Binary")</f>
        <v>Binary</v>
      </c>
      <c r="K94" s="5" t="str">
        <f>IFERROR(__xludf.DUMMYFUNCTION("""COMPUTED_VALUE"""),"Slot")</f>
        <v>Slot</v>
      </c>
      <c r="L94" s="5" t="str">
        <f>IFERROR(__xludf.DUMMYFUNCTION("""COMPUTED_VALUE"""),"Clone")</f>
        <v>Clone</v>
      </c>
      <c r="M94" s="5" t="str">
        <f>IFERROR(__xludf.DUMMYFUNCTION("""COMPUTED_VALUE"""),"Turbo Hot 40")</f>
        <v>Turbo Hot 40</v>
      </c>
      <c r="N94" s="5"/>
      <c r="O94" s="5"/>
      <c r="P94" s="12"/>
      <c r="Q94" s="13">
        <f>IFERROR(__xludf.DUMMYFUNCTION("""COMPUTED_VALUE"""),43831.0)</f>
        <v>43831</v>
      </c>
      <c r="R94" s="14"/>
      <c r="S94" s="13">
        <f>IFERROR(__xludf.DUMMYFUNCTION("""COMPUTED_VALUE"""),43831.0)</f>
        <v>43831</v>
      </c>
      <c r="T94" s="5"/>
      <c r="U94" s="5" t="str">
        <f>IFERROR(__xludf.DUMMYFUNCTION("""COMPUTED_VALUE"""),"5x4")</f>
        <v>5x4</v>
      </c>
      <c r="V94" s="10" t="str">
        <f>IFERROR(__xludf.DUMMYFUNCTION("""COMPUTED_VALUE"""),"40")</f>
        <v>40</v>
      </c>
      <c r="W94" s="10" t="str">
        <f>IFERROR(__xludf.DUMMYFUNCTION("""COMPUTED_VALUE"""),"40")</f>
        <v>40</v>
      </c>
      <c r="X94" s="5">
        <f>IFERROR(__xludf.DUMMYFUNCTION("""COMPUTED_VALUE"""),96.584)</f>
        <v>96.584</v>
      </c>
      <c r="Y94" s="5" t="str">
        <f>IFERROR(__xludf.DUMMYFUNCTION("""COMPUTED_VALUE"""),"Low")</f>
        <v>Low</v>
      </c>
      <c r="Z94" s="5">
        <f>IFERROR(__xludf.DUMMYFUNCTION("""COMPUTED_VALUE"""),16.73)</f>
        <v>16.73</v>
      </c>
      <c r="AA94" s="12">
        <f>IFERROR(__xludf.DUMMYFUNCTION("""COMPUTED_VALUE"""),1000.0)</f>
        <v>1000</v>
      </c>
      <c r="AB94" s="5" t="str">
        <f>IFERROR(__xludf.DUMMYFUNCTION("""COMPUTED_VALUE"""),"/")</f>
        <v>/</v>
      </c>
      <c r="AC94" s="5" t="str">
        <f>IFERROR(__xludf.DUMMYFUNCTION("""COMPUTED_VALUE"""),"Scatter, Wild Symbol")</f>
        <v>Scatter, Wild Symbol</v>
      </c>
      <c r="AD94" s="5"/>
      <c r="AE94" s="5"/>
      <c r="AF94" s="5"/>
      <c r="AG94" s="8">
        <f>IFERROR(__xludf.DUMMYFUNCTION("""COMPUTED_VALUE"""),46162.50015046296)</f>
        <v>46162.50015</v>
      </c>
      <c r="AH94" s="5" t="str">
        <f>IFERROR(__xludf.DUMMYFUNCTION("""COMPUTED_VALUE"""),"petra.ilic@fazi.rs")</f>
        <v>petra.ilic@fazi.rs</v>
      </c>
      <c r="AI94" s="5"/>
      <c r="AJ94" s="5"/>
      <c r="AK94" s="5">
        <f>IFERROR(__xludf.DUMMYFUNCTION("""COMPUTED_VALUE"""),40.0)</f>
        <v>40</v>
      </c>
      <c r="AL94" s="5" t="str">
        <f>IFERROR(__xludf.DUMMYFUNCTION("""COMPUTED_VALUE"""),"Yes")</f>
        <v>Yes</v>
      </c>
      <c r="AM94" s="5"/>
      <c r="AN94" s="5"/>
      <c r="AO94" s="5"/>
      <c r="AP94" s="5"/>
      <c r="AQ94" s="5"/>
      <c r="AR94" s="5" t="b">
        <f>IFERROR(__xludf.DUMMYFUNCTION("""COMPUTED_VALUE"""),TRUE)</f>
        <v>1</v>
      </c>
      <c r="AS94" s="5"/>
      <c r="AT94" s="5"/>
      <c r="AU94" s="5" t="str">
        <f>IFERROR(__xludf.DUMMYFUNCTION("""COMPUTED_VALUE"""),"Fazi")</f>
        <v>Fazi</v>
      </c>
      <c r="AV94" s="5"/>
      <c r="AW94" s="5"/>
      <c r="AX94" s="5"/>
      <c r="AY94" s="5"/>
      <c r="AZ94" s="5"/>
      <c r="BA94" s="5"/>
      <c r="BB94" s="5"/>
      <c r="BC94" s="5" t="str">
        <f>IFERROR(__xludf.DUMMYFUNCTION("""COMPUTED_VALUE"""),"Foxi")</f>
        <v>Foxi</v>
      </c>
      <c r="BD94" s="5" t="str">
        <f>IFERROR(__xludf.DUMMYFUNCTION("""COMPUTED_VALUE"""),"")</f>
        <v/>
      </c>
      <c r="BE94" s="5"/>
    </row>
    <row r="95">
      <c r="A95" s="5">
        <f>IFERROR(__xludf.DUMMYFUNCTION("""COMPUTED_VALUE"""),94.0)</f>
        <v>94</v>
      </c>
      <c r="B95" s="5">
        <f>IFERROR(__xludf.DUMMYFUNCTION("""COMPUTED_VALUE"""),93.0)</f>
        <v>93</v>
      </c>
      <c r="C95" s="5" t="str">
        <f>IFERROR(__xludf.DUMMYFUNCTION("""COMPUTED_VALUE"""),"Redstone")</f>
        <v>Redstone</v>
      </c>
      <c r="D95" s="5" t="str">
        <f>IFERROR(__xludf.DUMMYFUNCTION("""COMPUTED_VALUE"""),"10 Wild Crown")</f>
        <v>10 Wild Crown</v>
      </c>
      <c r="E95" s="5" t="str">
        <f>IFERROR(__xludf.DUMMYFUNCTION("""COMPUTED_VALUE"""),"Redstone")</f>
        <v>Redstone</v>
      </c>
      <c r="F95" s="5" t="str">
        <f>IFERROR(__xludf.DUMMYFUNCTION("""COMPUTED_VALUE"""),"WildCrown10")</f>
        <v>WildCrown10</v>
      </c>
      <c r="G95" s="5" t="str">
        <f>IFERROR(__xludf.DUMMYFUNCTION("""COMPUTED_VALUE"""),"Live")</f>
        <v>Live</v>
      </c>
      <c r="H95" s="5"/>
      <c r="I95" s="5" t="str">
        <f>IFERROR(__xludf.DUMMYFUNCTION("""COMPUTED_VALUE"""),"Redstone")</f>
        <v>Redstone</v>
      </c>
      <c r="J95" s="5" t="str">
        <f>IFERROR(__xludf.DUMMYFUNCTION("""COMPUTED_VALUE"""),"JSON")</f>
        <v>JSON</v>
      </c>
      <c r="K95" s="5" t="str">
        <f>IFERROR(__xludf.DUMMYFUNCTION("""COMPUTED_VALUE"""),"Slot")</f>
        <v>Slot</v>
      </c>
      <c r="L95" s="5" t="str">
        <f>IFERROR(__xludf.DUMMYFUNCTION("""COMPUTED_VALUE"""),"Master")</f>
        <v>Master</v>
      </c>
      <c r="M95" s="5"/>
      <c r="N95" s="7" t="str">
        <f>IFERROR(__xludf.DUMMYFUNCTION("""COMPUTED_VALUE"""),"https://docs.google.com/document/d/1Z50Fp4FF6DZh_40cGOxFXNzQViVYjCjD/edit?usp=drive_link&amp;ouid=107596163405648766688&amp;rtpof=true&amp;sd=true")</f>
        <v>https://docs.google.com/document/d/1Z50Fp4FF6DZh_40cGOxFXNzQViVYjCjD/edit?usp=drive_link&amp;ouid=107596163405648766688&amp;rtpof=true&amp;sd=true</v>
      </c>
      <c r="O95" s="7" t="str">
        <f>IFERROR(__xludf.DUMMYFUNCTION("""COMPUTED_VALUE"""),"https://docs.google.com/document/d/1uWE3sLTOc515kbSKJU7txNkRg8MstcLU/edit?usp=drive_link&amp;ouid=107596163405648766688&amp;rtpof=true&amp;sd=true")</f>
        <v>https://docs.google.com/document/d/1uWE3sLTOc515kbSKJU7txNkRg8MstcLU/edit?usp=drive_link&amp;ouid=107596163405648766688&amp;rtpof=true&amp;sd=true</v>
      </c>
      <c r="P95" s="12">
        <f>IFERROR(__xludf.DUMMYFUNCTION("""COMPUTED_VALUE"""),7.39)</f>
        <v>7.39</v>
      </c>
      <c r="Q95" s="13">
        <f>IFERROR(__xludf.DUMMYFUNCTION("""COMPUTED_VALUE"""),44398.0)</f>
        <v>44398</v>
      </c>
      <c r="R95" s="14"/>
      <c r="S95" s="13">
        <f>IFERROR(__xludf.DUMMYFUNCTION("""COMPUTED_VALUE"""),44398.0)</f>
        <v>44398</v>
      </c>
      <c r="T95" s="5"/>
      <c r="U95" s="5" t="str">
        <f>IFERROR(__xludf.DUMMYFUNCTION("""COMPUTED_VALUE"""),"5x3")</f>
        <v>5x3</v>
      </c>
      <c r="V95" s="10" t="str">
        <f>IFERROR(__xludf.DUMMYFUNCTION("""COMPUTED_VALUE"""),"10")</f>
        <v>10</v>
      </c>
      <c r="W95" s="10" t="str">
        <f>IFERROR(__xludf.DUMMYFUNCTION("""COMPUTED_VALUE"""),"10")</f>
        <v>10</v>
      </c>
      <c r="X95" s="5">
        <f>IFERROR(__xludf.DUMMYFUNCTION("""COMPUTED_VALUE"""),95.96)</f>
        <v>95.96</v>
      </c>
      <c r="Y95" s="5" t="str">
        <f>IFERROR(__xludf.DUMMYFUNCTION("""COMPUTED_VALUE"""),"Medium")</f>
        <v>Medium</v>
      </c>
      <c r="Z95" s="5">
        <f>IFERROR(__xludf.DUMMYFUNCTION("""COMPUTED_VALUE"""),14.63)</f>
        <v>14.63</v>
      </c>
      <c r="AA95" s="12">
        <f>IFERROR(__xludf.DUMMYFUNCTION("""COMPUTED_VALUE"""),1538.0)</f>
        <v>1538</v>
      </c>
      <c r="AB95" s="5"/>
      <c r="AC95" s="5" t="str">
        <f>IFERROR(__xludf.DUMMYFUNCTION("""COMPUTED_VALUE"""),"Expanding Wild, Scatter")</f>
        <v>Expanding Wild, Scatter</v>
      </c>
      <c r="AD95" s="5" t="str">
        <f>IFERROR(__xludf.DUMMYFUNCTION("""COMPUTED_VALUE"""),"0.10/40")</f>
        <v>0.10/40</v>
      </c>
      <c r="AE95" s="5"/>
      <c r="AF95" s="5"/>
      <c r="AG95" s="8">
        <f>IFERROR(__xludf.DUMMYFUNCTION("""COMPUTED_VALUE"""),46157.38799768518)</f>
        <v>46157.388</v>
      </c>
      <c r="AH95" s="5"/>
      <c r="AI95" s="5"/>
      <c r="AJ95" s="5"/>
      <c r="AK95" s="5">
        <f>IFERROR(__xludf.DUMMYFUNCTION("""COMPUTED_VALUE"""),1.0)</f>
        <v>1</v>
      </c>
      <c r="AL95" s="5" t="str">
        <f>IFERROR(__xludf.DUMMYFUNCTION("""COMPUTED_VALUE"""),"No")</f>
        <v>No</v>
      </c>
      <c r="AM95" s="5" t="str">
        <f>IFERROR(__xludf.DUMMYFUNCTION("""COMPUTED_VALUE"""),"No")</f>
        <v>No</v>
      </c>
      <c r="AN95" s="7" t="str">
        <f>IFERROR(__xludf.DUMMYFUNCTION("""COMPUTED_VALUE"""),"https://static.redstone.rs/games/10-wild-crown/")</f>
        <v>https://static.redstone.rs/games/10-wild-crown/</v>
      </c>
      <c r="AO95" s="5" t="str">
        <f>IFERROR(__xludf.DUMMYFUNCTION("""COMPUTED_VALUE"""),"No")</f>
        <v>No</v>
      </c>
      <c r="AP95" s="5" t="str">
        <f>IFERROR(__xludf.DUMMYFUNCTION("""COMPUTED_VALUE"""),"No")</f>
        <v>No</v>
      </c>
      <c r="AQ95" s="5" t="b">
        <f>IFERROR(__xludf.DUMMYFUNCTION("""COMPUTED_VALUE"""),TRUE)</f>
        <v>1</v>
      </c>
      <c r="AR95" s="5"/>
      <c r="AS95" s="5" t="str">
        <f>IFERROR(__xludf.DUMMYFUNCTION("""COMPUTED_VALUE"""),"Hot and explosive experience. Conquer luck and land up to 3 Expanding Wilds for massive wins. The Crown is yours!")</f>
        <v>Hot and explosive experience. Conquer luck and land up to 3 Expanding Wilds for massive wins. The Crown is yours!</v>
      </c>
      <c r="AT95" s="5"/>
      <c r="AU95" s="5" t="str">
        <f>IFERROR(__xludf.DUMMYFUNCTION("""COMPUTED_VALUE"""),"Redstone")</f>
        <v>Redstone</v>
      </c>
      <c r="AV95" s="5"/>
      <c r="AW95" s="5"/>
      <c r="AX95" s="5"/>
      <c r="AY95" s="5"/>
      <c r="AZ95" s="5"/>
      <c r="BA95" s="5"/>
      <c r="BB95" s="5" t="b">
        <f>IFERROR(__xludf.DUMMYFUNCTION("""COMPUTED_VALUE"""),TRUE)</f>
        <v>1</v>
      </c>
      <c r="BC95" s="5" t="str">
        <f>IFERROR(__xludf.DUMMYFUNCTION("""COMPUTED_VALUE"""),"Redstone")</f>
        <v>Redstone</v>
      </c>
      <c r="BD95" s="7" t="str">
        <f>IFERROR(__xludf.DUMMYFUNCTION("""COMPUTED_VALUE"""),"https://static.redstone.rs/games/10-wild-crown/")</f>
        <v>https://static.redstone.rs/games/10-wild-crown/</v>
      </c>
      <c r="BE95" s="5" t="b">
        <f>IFERROR(__xludf.DUMMYFUNCTION("""COMPUTED_VALUE"""),TRUE)</f>
        <v>1</v>
      </c>
    </row>
    <row r="96">
      <c r="A96" s="5">
        <f>IFERROR(__xludf.DUMMYFUNCTION("""COMPUTED_VALUE"""),95.0)</f>
        <v>95</v>
      </c>
      <c r="B96" s="5">
        <f>IFERROR(__xludf.DUMMYFUNCTION("""COMPUTED_VALUE"""),94.0)</f>
        <v>94</v>
      </c>
      <c r="C96" s="5" t="str">
        <f>IFERROR(__xludf.DUMMYFUNCTION("""COMPUTED_VALUE"""),"Tiptop")</f>
        <v>Tiptop</v>
      </c>
      <c r="D96" s="5" t="str">
        <f>IFERROR(__xludf.DUMMYFUNCTION("""COMPUTED_VALUE"""),"Casino Fruits")</f>
        <v>Casino Fruits</v>
      </c>
      <c r="E96" s="5"/>
      <c r="F96" s="5" t="str">
        <f>IFERROR(__xludf.DUMMYFUNCTION("""COMPUTED_VALUE"""),"UnicornCasinoFruits")</f>
        <v>UnicornCasinoFruits</v>
      </c>
      <c r="G96" s="5" t="str">
        <f>IFERROR(__xludf.DUMMYFUNCTION("""COMPUTED_VALUE"""),"Live")</f>
        <v>Live</v>
      </c>
      <c r="H96" s="5"/>
      <c r="I96" s="5" t="str">
        <f>IFERROR(__xludf.DUMMYFUNCTION("""COMPUTED_VALUE"""),"TipTop")</f>
        <v>TipTop</v>
      </c>
      <c r="J96" s="5" t="str">
        <f>IFERROR(__xludf.DUMMYFUNCTION("""COMPUTED_VALUE"""),"JSON")</f>
        <v>JSON</v>
      </c>
      <c r="K96" s="5" t="str">
        <f>IFERROR(__xludf.DUMMYFUNCTION("""COMPUTED_VALUE"""),"Slot")</f>
        <v>Slot</v>
      </c>
      <c r="L96" s="5"/>
      <c r="M96" s="5"/>
      <c r="N96" s="5"/>
      <c r="O96" s="5"/>
      <c r="P96" s="12">
        <f>IFERROR(__xludf.DUMMYFUNCTION("""COMPUTED_VALUE"""),12.7)</f>
        <v>12.7</v>
      </c>
      <c r="Q96" s="13">
        <f>IFERROR(__xludf.DUMMYFUNCTION("""COMPUTED_VALUE"""),44462.0)</f>
        <v>44462</v>
      </c>
      <c r="R96" s="14"/>
      <c r="S96" s="13">
        <f>IFERROR(__xludf.DUMMYFUNCTION("""COMPUTED_VALUE"""),44462.0)</f>
        <v>44462</v>
      </c>
      <c r="T96" s="5"/>
      <c r="U96" s="5" t="str">
        <f>IFERROR(__xludf.DUMMYFUNCTION("""COMPUTED_VALUE"""),"5X3")</f>
        <v>5X3</v>
      </c>
      <c r="V96" s="10" t="str">
        <f>IFERROR(__xludf.DUMMYFUNCTION("""COMPUTED_VALUE"""),"10")</f>
        <v>10</v>
      </c>
      <c r="W96" s="10" t="str">
        <f>IFERROR(__xludf.DUMMYFUNCTION("""COMPUTED_VALUE"""),"10")</f>
        <v>10</v>
      </c>
      <c r="X96" s="5">
        <f>IFERROR(__xludf.DUMMYFUNCTION("""COMPUTED_VALUE"""),96.0)</f>
        <v>96</v>
      </c>
      <c r="Y96" s="5" t="str">
        <f>IFERROR(__xludf.DUMMYFUNCTION("""COMPUTED_VALUE"""),"Low")</f>
        <v>Low</v>
      </c>
      <c r="Z96" s="5">
        <f>IFERROR(__xludf.DUMMYFUNCTION("""COMPUTED_VALUE"""),12.79)</f>
        <v>12.79</v>
      </c>
      <c r="AA96" s="12">
        <f>IFERROR(__xludf.DUMMYFUNCTION("""COMPUTED_VALUE"""),2000.0)</f>
        <v>2000</v>
      </c>
      <c r="AB96" s="5"/>
      <c r="AC96" s="5" t="str">
        <f>IFERROR(__xludf.DUMMYFUNCTION("""COMPUTED_VALUE"""),"Wild Symbol")</f>
        <v>Wild Symbol</v>
      </c>
      <c r="AD96" s="5" t="str">
        <f>IFERROR(__xludf.DUMMYFUNCTION("""COMPUTED_VALUE"""),"0.1/100")</f>
        <v>0.1/100</v>
      </c>
      <c r="AE96" s="5"/>
      <c r="AF96" s="5"/>
      <c r="AG96" s="8">
        <f>IFERROR(__xludf.DUMMYFUNCTION("""COMPUTED_VALUE"""),46197.44957175926)</f>
        <v>46197.44957</v>
      </c>
      <c r="AH96" s="5" t="str">
        <f>IFERROR(__xludf.DUMMYFUNCTION("""COMPUTED_VALUE"""),"selena.mihajlovic@fazi.rs")</f>
        <v>selena.mihajlovic@fazi.rs</v>
      </c>
      <c r="AI96" s="5"/>
      <c r="AJ96" s="5"/>
      <c r="AK96" s="5">
        <f>IFERROR(__xludf.DUMMYFUNCTION("""COMPUTED_VALUE"""),10.0)</f>
        <v>10</v>
      </c>
      <c r="AL96" s="5" t="str">
        <f>IFERROR(__xludf.DUMMYFUNCTION("""COMPUTED_VALUE"""),"No")</f>
        <v>No</v>
      </c>
      <c r="AM96" s="5"/>
      <c r="AN96" s="7" t="str">
        <f>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AO96" s="5"/>
      <c r="AP96" s="5"/>
      <c r="AQ96" s="5" t="b">
        <f>IFERROR(__xludf.DUMMYFUNCTION("""COMPUTED_VALUE"""),TRUE)</f>
        <v>1</v>
      </c>
      <c r="AR96" s="5"/>
      <c r="AS96" s="5" t="str">
        <f>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AT96" s="5"/>
      <c r="AU96" s="5" t="str">
        <f>IFERROR(__xludf.DUMMYFUNCTION("""COMPUTED_VALUE"""),"Fazi")</f>
        <v>Fazi</v>
      </c>
      <c r="AV96" s="5"/>
      <c r="AW96" s="5"/>
      <c r="AX96" s="5"/>
      <c r="AY96" s="5"/>
      <c r="AZ96" s="5"/>
      <c r="BA96" s="5"/>
      <c r="BB96" s="5" t="b">
        <f>IFERROR(__xludf.DUMMYFUNCTION("""COMPUTED_VALUE"""),TRUE)</f>
        <v>1</v>
      </c>
      <c r="BC96" s="5" t="str">
        <f>IFERROR(__xludf.DUMMYFUNCTION("""COMPUTED_VALUE"""),"Tiptop")</f>
        <v>Tiptop</v>
      </c>
      <c r="BD96" s="7" t="str">
        <f>IFERROR(__xludf.DUMMYFUNCTION("""COMPUTED_VALUE"""),"https://gameserver-store-client-area.orbionlimited.com/Home/IntegrationGameLaunch/client-area?moneyType=0&amp;gameName=UnicornCasinoFruits&amp;platform=desktop&amp;languageCode=eng&amp;currency=EUR")</f>
        <v>https://gameserver-store-client-area.orbionlimited.com/Home/IntegrationGameLaunch/client-area?moneyType=0&amp;gameName=UnicornCasinoFruits&amp;platform=desktop&amp;languageCode=eng&amp;currency=EUR</v>
      </c>
      <c r="BE96" s="5" t="b">
        <f>IFERROR(__xludf.DUMMYFUNCTION("""COMPUTED_VALUE"""),TRUE)</f>
        <v>1</v>
      </c>
    </row>
    <row r="97">
      <c r="A97" s="5">
        <f>IFERROR(__xludf.DUMMYFUNCTION("""COMPUTED_VALUE"""),96.0)</f>
        <v>96</v>
      </c>
      <c r="B97" s="5">
        <f>IFERROR(__xludf.DUMMYFUNCTION("""COMPUTED_VALUE"""),95.0)</f>
        <v>95</v>
      </c>
      <c r="C97" s="5" t="str">
        <f>IFERROR(__xludf.DUMMYFUNCTION("""COMPUTED_VALUE"""),"Tiptop")</f>
        <v>Tiptop</v>
      </c>
      <c r="D97" s="5" t="str">
        <f>IFERROR(__xludf.DUMMYFUNCTION("""COMPUTED_VALUE"""),"The Crown Fruit")</f>
        <v>The Crown Fruit</v>
      </c>
      <c r="E97" s="5"/>
      <c r="F97" s="5" t="str">
        <f>IFERROR(__xludf.DUMMYFUNCTION("""COMPUTED_VALUE"""),"UnicornTheCrownFruit")</f>
        <v>UnicornTheCrownFruit</v>
      </c>
      <c r="G97" s="5" t="str">
        <f>IFERROR(__xludf.DUMMYFUNCTION("""COMPUTED_VALUE"""),"Live")</f>
        <v>Live</v>
      </c>
      <c r="H97" s="5"/>
      <c r="I97" s="5" t="str">
        <f>IFERROR(__xludf.DUMMYFUNCTION("""COMPUTED_VALUE"""),"TipTop")</f>
        <v>TipTop</v>
      </c>
      <c r="J97" s="5" t="str">
        <f>IFERROR(__xludf.DUMMYFUNCTION("""COMPUTED_VALUE"""),"JSON")</f>
        <v>JSON</v>
      </c>
      <c r="K97" s="5" t="str">
        <f>IFERROR(__xludf.DUMMYFUNCTION("""COMPUTED_VALUE"""),"Slot")</f>
        <v>Slot</v>
      </c>
      <c r="L97" s="5"/>
      <c r="M97" s="5"/>
      <c r="N97" s="5"/>
      <c r="O97" s="5"/>
      <c r="P97" s="12">
        <f>IFERROR(__xludf.DUMMYFUNCTION("""COMPUTED_VALUE"""),12.7)</f>
        <v>12.7</v>
      </c>
      <c r="Q97" s="13">
        <f>IFERROR(__xludf.DUMMYFUNCTION("""COMPUTED_VALUE"""),44421.0)</f>
        <v>44421</v>
      </c>
      <c r="R97" s="14"/>
      <c r="S97" s="13">
        <f>IFERROR(__xludf.DUMMYFUNCTION("""COMPUTED_VALUE"""),44421.0)</f>
        <v>44421</v>
      </c>
      <c r="T97" s="5"/>
      <c r="U97" s="5" t="str">
        <f>IFERROR(__xludf.DUMMYFUNCTION("""COMPUTED_VALUE"""),"5X3")</f>
        <v>5X3</v>
      </c>
      <c r="V97" s="10" t="str">
        <f>IFERROR(__xludf.DUMMYFUNCTION("""COMPUTED_VALUE"""),"10")</f>
        <v>10</v>
      </c>
      <c r="W97" s="10" t="str">
        <f>IFERROR(__xludf.DUMMYFUNCTION("""COMPUTED_VALUE"""),"10")</f>
        <v>10</v>
      </c>
      <c r="X97" s="5">
        <f>IFERROR(__xludf.DUMMYFUNCTION("""COMPUTED_VALUE"""),96.0)</f>
        <v>96</v>
      </c>
      <c r="Y97" s="5" t="str">
        <f>IFERROR(__xludf.DUMMYFUNCTION("""COMPUTED_VALUE"""),"Low")</f>
        <v>Low</v>
      </c>
      <c r="Z97" s="5">
        <f>IFERROR(__xludf.DUMMYFUNCTION("""COMPUTED_VALUE"""),26.12)</f>
        <v>26.12</v>
      </c>
      <c r="AA97" s="12">
        <f>IFERROR(__xludf.DUMMYFUNCTION("""COMPUTED_VALUE"""),1060.0)</f>
        <v>1060</v>
      </c>
      <c r="AB97" s="5"/>
      <c r="AC97" s="5" t="str">
        <f>IFERROR(__xludf.DUMMYFUNCTION("""COMPUTED_VALUE"""),"Expanding Wild")</f>
        <v>Expanding Wild</v>
      </c>
      <c r="AD97" s="5" t="str">
        <f>IFERROR(__xludf.DUMMYFUNCTION("""COMPUTED_VALUE"""),"0.1/100")</f>
        <v>0.1/100</v>
      </c>
      <c r="AE97" s="5"/>
      <c r="AF97" s="5"/>
      <c r="AG97" s="8">
        <f>IFERROR(__xludf.DUMMYFUNCTION("""COMPUTED_VALUE"""),46197.44982638889)</f>
        <v>46197.44983</v>
      </c>
      <c r="AH97" s="5" t="str">
        <f>IFERROR(__xludf.DUMMYFUNCTION("""COMPUTED_VALUE"""),"selena.mihajlovic@fazi.rs")</f>
        <v>selena.mihajlovic@fazi.rs</v>
      </c>
      <c r="AI97" s="5"/>
      <c r="AJ97" s="5"/>
      <c r="AK97" s="5">
        <f>IFERROR(__xludf.DUMMYFUNCTION("""COMPUTED_VALUE"""),10.0)</f>
        <v>10</v>
      </c>
      <c r="AL97" s="5" t="str">
        <f>IFERROR(__xludf.DUMMYFUNCTION("""COMPUTED_VALUE"""),"No")</f>
        <v>No</v>
      </c>
      <c r="AM97" s="5"/>
      <c r="AN97" s="7" t="str">
        <f>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AO97" s="5"/>
      <c r="AP97" s="5"/>
      <c r="AQ97" s="5" t="b">
        <f>IFERROR(__xludf.DUMMYFUNCTION("""COMPUTED_VALUE"""),TRUE)</f>
        <v>1</v>
      </c>
      <c r="AR97" s="5"/>
      <c r="AS97" s="5" t="str">
        <f>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AT97" s="5"/>
      <c r="AU97" s="5" t="str">
        <f>IFERROR(__xludf.DUMMYFUNCTION("""COMPUTED_VALUE"""),"Fazi")</f>
        <v>Fazi</v>
      </c>
      <c r="AV97" s="5"/>
      <c r="AW97" s="5"/>
      <c r="AX97" s="5"/>
      <c r="AY97" s="5"/>
      <c r="AZ97" s="5"/>
      <c r="BA97" s="5"/>
      <c r="BB97" s="5" t="b">
        <f>IFERROR(__xludf.DUMMYFUNCTION("""COMPUTED_VALUE"""),TRUE)</f>
        <v>1</v>
      </c>
      <c r="BC97" s="5" t="str">
        <f>IFERROR(__xludf.DUMMYFUNCTION("""COMPUTED_VALUE"""),"Tiptop")</f>
        <v>Tiptop</v>
      </c>
      <c r="BD97" s="7" t="str">
        <f>IFERROR(__xludf.DUMMYFUNCTION("""COMPUTED_VALUE"""),"https://gameserver-store-client-area.orbionlimited.com/Home/IntegrationGameLaunch/client-area?moneyType=0&amp;gameName=UnicornTheCrownFruit&amp;platform=desktop&amp;languageCode=eng&amp;currency=EUR")</f>
        <v>https://gameserver-store-client-area.orbionlimited.com/Home/IntegrationGameLaunch/client-area?moneyType=0&amp;gameName=UnicornTheCrownFruit&amp;platform=desktop&amp;languageCode=eng&amp;currency=EUR</v>
      </c>
      <c r="BE97" s="5" t="b">
        <f>IFERROR(__xludf.DUMMYFUNCTION("""COMPUTED_VALUE"""),TRUE)</f>
        <v>1</v>
      </c>
    </row>
    <row r="98">
      <c r="A98" s="5">
        <f>IFERROR(__xludf.DUMMYFUNCTION("""COMPUTED_VALUE"""),97.0)</f>
        <v>97</v>
      </c>
      <c r="B98" s="5">
        <f>IFERROR(__xludf.DUMMYFUNCTION("""COMPUTED_VALUE"""),96.0)</f>
        <v>96</v>
      </c>
      <c r="C98" s="5" t="str">
        <f>IFERROR(__xludf.DUMMYFUNCTION("""COMPUTED_VALUE"""),"Redstone")</f>
        <v>Redstone</v>
      </c>
      <c r="D98" s="5" t="str">
        <f>IFERROR(__xludf.DUMMYFUNCTION("""COMPUTED_VALUE"""),"40 Wild Dice")</f>
        <v>40 Wild Dice</v>
      </c>
      <c r="E98" s="5" t="str">
        <f>IFERROR(__xludf.DUMMYFUNCTION("""COMPUTED_VALUE"""),"Redstone")</f>
        <v>Redstone</v>
      </c>
      <c r="F98" s="5" t="str">
        <f>IFERROR(__xludf.DUMMYFUNCTION("""COMPUTED_VALUE"""),"WildCloverDice40")</f>
        <v>WildCloverDice40</v>
      </c>
      <c r="G98" s="5" t="str">
        <f>IFERROR(__xludf.DUMMYFUNCTION("""COMPUTED_VALUE"""),"Live")</f>
        <v>Live</v>
      </c>
      <c r="H98" s="5"/>
      <c r="I98" s="5" t="str">
        <f>IFERROR(__xludf.DUMMYFUNCTION("""COMPUTED_VALUE"""),"Redstone")</f>
        <v>Redstone</v>
      </c>
      <c r="J98" s="5" t="str">
        <f>IFERROR(__xludf.DUMMYFUNCTION("""COMPUTED_VALUE"""),"JSON")</f>
        <v>JSON</v>
      </c>
      <c r="K98" s="5" t="str">
        <f>IFERROR(__xludf.DUMMYFUNCTION("""COMPUTED_VALUE"""),"Dice Slots")</f>
        <v>Dice Slots</v>
      </c>
      <c r="L98" s="5" t="str">
        <f>IFERROR(__xludf.DUMMYFUNCTION("""COMPUTED_VALUE""")," Clone")</f>
        <v> Clone</v>
      </c>
      <c r="M98" s="5" t="str">
        <f>IFERROR(__xludf.DUMMYFUNCTION("""COMPUTED_VALUE"""),"40 Wild Clover")</f>
        <v>40 Wild Clover</v>
      </c>
      <c r="N98" s="7" t="str">
        <f>IFERROR(__xludf.DUMMYFUNCTION("""COMPUTED_VALUE"""),"https://docs.google.com/document/d/1NYlpxxRJH491AIbshvguO-Dek5JfEaq3/edit?usp=drive_link&amp;ouid=107596163405648766688&amp;rtpof=true&amp;sd=true")</f>
        <v>https://docs.google.com/document/d/1NYlpxxRJH491AIbshvguO-Dek5JfEaq3/edit?usp=drive_link&amp;ouid=107596163405648766688&amp;rtpof=true&amp;sd=true</v>
      </c>
      <c r="O98" s="7" t="str">
        <f>IFERROR(__xludf.DUMMYFUNCTION("""COMPUTED_VALUE"""),"https://docs.google.com/document/d/1jTAe-G3pX4INF9Td2YQ1ubQZXahSBYKw/edit?usp=drive_link&amp;ouid=107596163405648766688&amp;rtpof=true&amp;sd=true")</f>
        <v>https://docs.google.com/document/d/1jTAe-G3pX4INF9Td2YQ1ubQZXahSBYKw/edit?usp=drive_link&amp;ouid=107596163405648766688&amp;rtpof=true&amp;sd=true</v>
      </c>
      <c r="P98" s="12">
        <f>IFERROR(__xludf.DUMMYFUNCTION("""COMPUTED_VALUE"""),9.25)</f>
        <v>9.25</v>
      </c>
      <c r="Q98" s="13">
        <f>IFERROR(__xludf.DUMMYFUNCTION("""COMPUTED_VALUE"""),44433.0)</f>
        <v>44433</v>
      </c>
      <c r="R98" s="14"/>
      <c r="S98" s="13">
        <f>IFERROR(__xludf.DUMMYFUNCTION("""COMPUTED_VALUE"""),44433.0)</f>
        <v>44433</v>
      </c>
      <c r="T98" s="5"/>
      <c r="U98" s="5" t="str">
        <f>IFERROR(__xludf.DUMMYFUNCTION("""COMPUTED_VALUE"""),"5x4")</f>
        <v>5x4</v>
      </c>
      <c r="V98" s="10" t="str">
        <f>IFERROR(__xludf.DUMMYFUNCTION("""COMPUTED_VALUE"""),"40")</f>
        <v>40</v>
      </c>
      <c r="W98" s="10" t="str">
        <f>IFERROR(__xludf.DUMMYFUNCTION("""COMPUTED_VALUE"""),"40")</f>
        <v>40</v>
      </c>
      <c r="X98" s="5">
        <f>IFERROR(__xludf.DUMMYFUNCTION("""COMPUTED_VALUE"""),95.32)</f>
        <v>95.32</v>
      </c>
      <c r="Y98" s="5" t="str">
        <f>IFERROR(__xludf.DUMMYFUNCTION("""COMPUTED_VALUE"""),"Medium")</f>
        <v>Medium</v>
      </c>
      <c r="Z98" s="5">
        <f>IFERROR(__xludf.DUMMYFUNCTION("""COMPUTED_VALUE"""),12.34)</f>
        <v>12.34</v>
      </c>
      <c r="AA98" s="12">
        <f>IFERROR(__xludf.DUMMYFUNCTION("""COMPUTED_VALUE"""),2000.0)</f>
        <v>2000</v>
      </c>
      <c r="AB98" s="5"/>
      <c r="AC98" s="5" t="str">
        <f>IFERROR(__xludf.DUMMYFUNCTION("""COMPUTED_VALUE"""),"Bonus Game with Free Spins, Wild Symbol, Scatter")</f>
        <v>Bonus Game with Free Spins, Wild Symbol, Scatter</v>
      </c>
      <c r="AD98" s="5" t="str">
        <f>IFERROR(__xludf.DUMMYFUNCTION("""COMPUTED_VALUE"""),"0.40/60")</f>
        <v>0.40/60</v>
      </c>
      <c r="AE98" s="5"/>
      <c r="AF98" s="5"/>
      <c r="AG98" s="8">
        <f>IFERROR(__xludf.DUMMYFUNCTION("""COMPUTED_VALUE"""),46157.445868055554)</f>
        <v>46157.44587</v>
      </c>
      <c r="AH98" s="5"/>
      <c r="AI98" s="5"/>
      <c r="AJ98" s="5"/>
      <c r="AK98" s="5">
        <f>IFERROR(__xludf.DUMMYFUNCTION("""COMPUTED_VALUE"""),1.0)</f>
        <v>1</v>
      </c>
      <c r="AL98" s="5" t="str">
        <f>IFERROR(__xludf.DUMMYFUNCTION("""COMPUTED_VALUE"""),"No")</f>
        <v>No</v>
      </c>
      <c r="AM98" s="5" t="str">
        <f>IFERROR(__xludf.DUMMYFUNCTION("""COMPUTED_VALUE"""),"No")</f>
        <v>No</v>
      </c>
      <c r="AN98" s="7" t="str">
        <f>IFERROR(__xludf.DUMMYFUNCTION("""COMPUTED_VALUE"""),"https://static.redstone.rs/games/40-wild-dice/")</f>
        <v>https://static.redstone.rs/games/40-wild-dice/</v>
      </c>
      <c r="AO98" s="5" t="str">
        <f>IFERROR(__xludf.DUMMYFUNCTION("""COMPUTED_VALUE"""),"No")</f>
        <v>No</v>
      </c>
      <c r="AP98" s="5" t="str">
        <f>IFERROR(__xludf.DUMMYFUNCTION("""COMPUTED_VALUE"""),"No")</f>
        <v>No</v>
      </c>
      <c r="AQ98" s="5" t="b">
        <f>IFERROR(__xludf.DUMMYFUNCTION("""COMPUTED_VALUE"""),TRUE)</f>
        <v>1</v>
      </c>
      <c r="AR98" s="5"/>
      <c r="AS98" s="5" t="str">
        <f>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AT98" s="5"/>
      <c r="AU98" s="5" t="str">
        <f>IFERROR(__xludf.DUMMYFUNCTION("""COMPUTED_VALUE"""),"Redstone")</f>
        <v>Redstone</v>
      </c>
      <c r="AV98" s="5"/>
      <c r="AW98" s="5"/>
      <c r="AX98" s="5"/>
      <c r="AY98" s="5"/>
      <c r="AZ98" s="5"/>
      <c r="BA98" s="5"/>
      <c r="BB98" s="5" t="b">
        <f>IFERROR(__xludf.DUMMYFUNCTION("""COMPUTED_VALUE"""),TRUE)</f>
        <v>1</v>
      </c>
      <c r="BC98" s="5" t="str">
        <f>IFERROR(__xludf.DUMMYFUNCTION("""COMPUTED_VALUE"""),"Redstone")</f>
        <v>Redstone</v>
      </c>
      <c r="BD98" s="7" t="str">
        <f>IFERROR(__xludf.DUMMYFUNCTION("""COMPUTED_VALUE"""),"https://static.redstone.rs/games/40-wild-dice/")</f>
        <v>https://static.redstone.rs/games/40-wild-dice/</v>
      </c>
      <c r="BE98" s="5" t="b">
        <f>IFERROR(__xludf.DUMMYFUNCTION("""COMPUTED_VALUE"""),TRUE)</f>
        <v>1</v>
      </c>
    </row>
    <row r="99">
      <c r="A99" s="5">
        <f>IFERROR(__xludf.DUMMYFUNCTION("""COMPUTED_VALUE"""),98.0)</f>
        <v>98</v>
      </c>
      <c r="B99" s="5">
        <f>IFERROR(__xludf.DUMMYFUNCTION("""COMPUTED_VALUE"""),97.0)</f>
        <v>97</v>
      </c>
      <c r="C99" s="5" t="str">
        <f>IFERROR(__xludf.DUMMYFUNCTION("""COMPUTED_VALUE"""),"Tiptop")</f>
        <v>Tiptop</v>
      </c>
      <c r="D99" s="5" t="str">
        <f>IFERROR(__xludf.DUMMYFUNCTION("""COMPUTED_VALUE"""),"Twenty Fruits")</f>
        <v>Twenty Fruits</v>
      </c>
      <c r="E99" s="5"/>
      <c r="F99" s="5" t="str">
        <f>IFERROR(__xludf.DUMMYFUNCTION("""COMPUTED_VALUE"""),"UnicornTwentyFruits")</f>
        <v>UnicornTwentyFruits</v>
      </c>
      <c r="G99" s="5" t="str">
        <f>IFERROR(__xludf.DUMMYFUNCTION("""COMPUTED_VALUE"""),"Live")</f>
        <v>Live</v>
      </c>
      <c r="H99" s="5"/>
      <c r="I99" s="5" t="str">
        <f>IFERROR(__xludf.DUMMYFUNCTION("""COMPUTED_VALUE"""),"TipTop")</f>
        <v>TipTop</v>
      </c>
      <c r="J99" s="5" t="str">
        <f>IFERROR(__xludf.DUMMYFUNCTION("""COMPUTED_VALUE"""),"JSON")</f>
        <v>JSON</v>
      </c>
      <c r="K99" s="5" t="str">
        <f>IFERROR(__xludf.DUMMYFUNCTION("""COMPUTED_VALUE"""),"Slot")</f>
        <v>Slot</v>
      </c>
      <c r="L99" s="5"/>
      <c r="M99" s="5"/>
      <c r="N99" s="5"/>
      <c r="O99" s="5"/>
      <c r="P99" s="12">
        <f>IFERROR(__xludf.DUMMYFUNCTION("""COMPUTED_VALUE"""),9.0)</f>
        <v>9</v>
      </c>
      <c r="Q99" s="13">
        <f>IFERROR(__xludf.DUMMYFUNCTION("""COMPUTED_VALUE"""),44519.0)</f>
        <v>44519</v>
      </c>
      <c r="R99" s="14"/>
      <c r="S99" s="13">
        <f>IFERROR(__xludf.DUMMYFUNCTION("""COMPUTED_VALUE"""),44519.0)</f>
        <v>44519</v>
      </c>
      <c r="T99" s="5"/>
      <c r="U99" s="5" t="str">
        <f>IFERROR(__xludf.DUMMYFUNCTION("""COMPUTED_VALUE"""),"5x4")</f>
        <v>5x4</v>
      </c>
      <c r="V99" s="10" t="str">
        <f>IFERROR(__xludf.DUMMYFUNCTION("""COMPUTED_VALUE"""),"20")</f>
        <v>20</v>
      </c>
      <c r="W99" s="10" t="str">
        <f>IFERROR(__xludf.DUMMYFUNCTION("""COMPUTED_VALUE"""),"20")</f>
        <v>20</v>
      </c>
      <c r="X99" s="5">
        <f>IFERROR(__xludf.DUMMYFUNCTION("""COMPUTED_VALUE"""),96.0)</f>
        <v>96</v>
      </c>
      <c r="Y99" s="5" t="str">
        <f>IFERROR(__xludf.DUMMYFUNCTION("""COMPUTED_VALUE"""),"Low")</f>
        <v>Low</v>
      </c>
      <c r="Z99" s="5">
        <f>IFERROR(__xludf.DUMMYFUNCTION("""COMPUTED_VALUE"""),11.7)</f>
        <v>11.7</v>
      </c>
      <c r="AA99" s="12">
        <f>IFERROR(__xludf.DUMMYFUNCTION("""COMPUTED_VALUE"""),5000.0)</f>
        <v>5000</v>
      </c>
      <c r="AB99" s="5"/>
      <c r="AC99" s="5"/>
      <c r="AD99" s="5" t="str">
        <f>IFERROR(__xludf.DUMMYFUNCTION("""COMPUTED_VALUE"""),"0.2/100")</f>
        <v>0.2/100</v>
      </c>
      <c r="AE99" s="5"/>
      <c r="AF99" s="5"/>
      <c r="AG99" s="8">
        <f>IFERROR(__xludf.DUMMYFUNCTION("""COMPUTED_VALUE"""),46197.450011574074)</f>
        <v>46197.45001</v>
      </c>
      <c r="AH99" s="5" t="str">
        <f>IFERROR(__xludf.DUMMYFUNCTION("""COMPUTED_VALUE"""),"selena.mihajlovic@fazi.rs")</f>
        <v>selena.mihajlovic@fazi.rs</v>
      </c>
      <c r="AI99" s="5"/>
      <c r="AJ99" s="5"/>
      <c r="AK99" s="5">
        <f>IFERROR(__xludf.DUMMYFUNCTION("""COMPUTED_VALUE"""),20.0)</f>
        <v>20</v>
      </c>
      <c r="AL99" s="5" t="str">
        <f>IFERROR(__xludf.DUMMYFUNCTION("""COMPUTED_VALUE"""),"No")</f>
        <v>No</v>
      </c>
      <c r="AM99" s="5"/>
      <c r="AN99" s="7" t="str">
        <f>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AO99" s="5"/>
      <c r="AP99" s="5"/>
      <c r="AQ99" s="5" t="b">
        <f>IFERROR(__xludf.DUMMYFUNCTION("""COMPUTED_VALUE"""),TRUE)</f>
        <v>1</v>
      </c>
      <c r="AR99" s="5"/>
      <c r="AS99" s="5" t="str">
        <f>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AT99" s="5"/>
      <c r="AU99" s="5" t="str">
        <f>IFERROR(__xludf.DUMMYFUNCTION("""COMPUTED_VALUE"""),"Fazi")</f>
        <v>Fazi</v>
      </c>
      <c r="AV99" s="5"/>
      <c r="AW99" s="5"/>
      <c r="AX99" s="5"/>
      <c r="AY99" s="5"/>
      <c r="AZ99" s="5"/>
      <c r="BA99" s="5"/>
      <c r="BB99" s="5" t="b">
        <f>IFERROR(__xludf.DUMMYFUNCTION("""COMPUTED_VALUE"""),TRUE)</f>
        <v>1</v>
      </c>
      <c r="BC99" s="5" t="str">
        <f>IFERROR(__xludf.DUMMYFUNCTION("""COMPUTED_VALUE"""),"Tiptop")</f>
        <v>Tiptop</v>
      </c>
      <c r="BD99" s="7" t="str">
        <f>IFERROR(__xludf.DUMMYFUNCTION("""COMPUTED_VALUE"""),"https://gameserver-store-client-area.orbionlimited.com/Home/IntegrationGameLaunch/client-area?moneyType=0&amp;gameName=UnicornTwentyFruits&amp;platform=desktop&amp;languageCode=eng&amp;currency=EUR")</f>
        <v>https://gameserver-store-client-area.orbionlimited.com/Home/IntegrationGameLaunch/client-area?moneyType=0&amp;gameName=UnicornTwentyFruits&amp;platform=desktop&amp;languageCode=eng&amp;currency=EUR</v>
      </c>
      <c r="BE99" s="5" t="b">
        <f>IFERROR(__xludf.DUMMYFUNCTION("""COMPUTED_VALUE"""),TRUE)</f>
        <v>1</v>
      </c>
    </row>
    <row r="100">
      <c r="A100" s="5">
        <f>IFERROR(__xludf.DUMMYFUNCTION("""COMPUTED_VALUE"""),99.0)</f>
        <v>99</v>
      </c>
      <c r="B100" s="5">
        <f>IFERROR(__xludf.DUMMYFUNCTION("""COMPUTED_VALUE"""),98.0)</f>
        <v>98</v>
      </c>
      <c r="C100" s="5" t="str">
        <f>IFERROR(__xludf.DUMMYFUNCTION("""COMPUTED_VALUE"""),"Tiptop")</f>
        <v>Tiptop</v>
      </c>
      <c r="D100" s="5" t="str">
        <f>IFERROR(__xludf.DUMMYFUNCTION("""COMPUTED_VALUE"""),"Twenty Dice")</f>
        <v>Twenty Dice</v>
      </c>
      <c r="E100" s="5"/>
      <c r="F100" s="5" t="str">
        <f>IFERROR(__xludf.DUMMYFUNCTION("""COMPUTED_VALUE"""),"UnicornTwentyDice")</f>
        <v>UnicornTwentyDice</v>
      </c>
      <c r="G100" s="5" t="str">
        <f>IFERROR(__xludf.DUMMYFUNCTION("""COMPUTED_VALUE"""),"Live")</f>
        <v>Live</v>
      </c>
      <c r="H100" s="5"/>
      <c r="I100" s="5" t="str">
        <f>IFERROR(__xludf.DUMMYFUNCTION("""COMPUTED_VALUE"""),"TipTop")</f>
        <v>TipTop</v>
      </c>
      <c r="J100" s="5" t="str">
        <f>IFERROR(__xludf.DUMMYFUNCTION("""COMPUTED_VALUE"""),"JSON")</f>
        <v>JSON</v>
      </c>
      <c r="K100" s="5" t="str">
        <f>IFERROR(__xludf.DUMMYFUNCTION("""COMPUTED_VALUE"""),"Dice Slots")</f>
        <v>Dice Slots</v>
      </c>
      <c r="L100" s="5"/>
      <c r="M100" s="5"/>
      <c r="N100" s="5"/>
      <c r="O100" s="5"/>
      <c r="P100" s="12">
        <f>IFERROR(__xludf.DUMMYFUNCTION("""COMPUTED_VALUE"""),9.0)</f>
        <v>9</v>
      </c>
      <c r="Q100" s="13">
        <f>IFERROR(__xludf.DUMMYFUNCTION("""COMPUTED_VALUE"""),44519.0)</f>
        <v>44519</v>
      </c>
      <c r="R100" s="14"/>
      <c r="S100" s="13">
        <f>IFERROR(__xludf.DUMMYFUNCTION("""COMPUTED_VALUE"""),44519.0)</f>
        <v>44519</v>
      </c>
      <c r="T100" s="5"/>
      <c r="U100" s="5" t="str">
        <f>IFERROR(__xludf.DUMMYFUNCTION("""COMPUTED_VALUE"""),"5x4")</f>
        <v>5x4</v>
      </c>
      <c r="V100" s="10" t="str">
        <f>IFERROR(__xludf.DUMMYFUNCTION("""COMPUTED_VALUE"""),"20")</f>
        <v>20</v>
      </c>
      <c r="W100" s="10" t="str">
        <f>IFERROR(__xludf.DUMMYFUNCTION("""COMPUTED_VALUE"""),"20")</f>
        <v>20</v>
      </c>
      <c r="X100" s="5">
        <f>IFERROR(__xludf.DUMMYFUNCTION("""COMPUTED_VALUE"""),96.0)</f>
        <v>96</v>
      </c>
      <c r="Y100" s="5" t="str">
        <f>IFERROR(__xludf.DUMMYFUNCTION("""COMPUTED_VALUE"""),"Low")</f>
        <v>Low</v>
      </c>
      <c r="Z100" s="5">
        <f>IFERROR(__xludf.DUMMYFUNCTION("""COMPUTED_VALUE"""),11.7)</f>
        <v>11.7</v>
      </c>
      <c r="AA100" s="12">
        <f>IFERROR(__xludf.DUMMYFUNCTION("""COMPUTED_VALUE"""),5000.0)</f>
        <v>5000</v>
      </c>
      <c r="AB100" s="5"/>
      <c r="AC100" s="5"/>
      <c r="AD100" s="5" t="str">
        <f>IFERROR(__xludf.DUMMYFUNCTION("""COMPUTED_VALUE"""),"0.2/100")</f>
        <v>0.2/100</v>
      </c>
      <c r="AE100" s="5"/>
      <c r="AF100" s="5"/>
      <c r="AG100" s="8">
        <f>IFERROR(__xludf.DUMMYFUNCTION("""COMPUTED_VALUE"""),46197.45019675926)</f>
        <v>46197.4502</v>
      </c>
      <c r="AH100" s="5" t="str">
        <f>IFERROR(__xludf.DUMMYFUNCTION("""COMPUTED_VALUE"""),"selena.mihajlovic@fazi.rs")</f>
        <v>selena.mihajlovic@fazi.rs</v>
      </c>
      <c r="AI100" s="5"/>
      <c r="AJ100" s="5"/>
      <c r="AK100" s="5">
        <f>IFERROR(__xludf.DUMMYFUNCTION("""COMPUTED_VALUE"""),20.0)</f>
        <v>20</v>
      </c>
      <c r="AL100" s="5" t="str">
        <f>IFERROR(__xludf.DUMMYFUNCTION("""COMPUTED_VALUE"""),"No")</f>
        <v>No</v>
      </c>
      <c r="AM100" s="5"/>
      <c r="AN100" s="7" t="str">
        <f>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AO100" s="5"/>
      <c r="AP100" s="5"/>
      <c r="AQ100" s="5" t="b">
        <f>IFERROR(__xludf.DUMMYFUNCTION("""COMPUTED_VALUE"""),TRUE)</f>
        <v>1</v>
      </c>
      <c r="AR100" s="5"/>
      <c r="AS100" s="5" t="str">
        <f>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AT100" s="5"/>
      <c r="AU100" s="5" t="str">
        <f>IFERROR(__xludf.DUMMYFUNCTION("""COMPUTED_VALUE"""),"Fazi")</f>
        <v>Fazi</v>
      </c>
      <c r="AV100" s="5"/>
      <c r="AW100" s="5"/>
      <c r="AX100" s="5"/>
      <c r="AY100" s="5"/>
      <c r="AZ100" s="5"/>
      <c r="BA100" s="5"/>
      <c r="BB100" s="5" t="b">
        <f>IFERROR(__xludf.DUMMYFUNCTION("""COMPUTED_VALUE"""),TRUE)</f>
        <v>1</v>
      </c>
      <c r="BC100" s="5" t="str">
        <f>IFERROR(__xludf.DUMMYFUNCTION("""COMPUTED_VALUE"""),"Tiptop")</f>
        <v>Tiptop</v>
      </c>
      <c r="BD100" s="7" t="str">
        <f>IFERROR(__xludf.DUMMYFUNCTION("""COMPUTED_VALUE"""),"https://gameserver-store-client-area.orbionlimited.com/Home/IntegrationGameLaunch/client-area?moneyType=0&amp;gameName=UnicornTwentyDice&amp;platform=desktop&amp;languageCode=eng&amp;currency=EUR")</f>
        <v>https://gameserver-store-client-area.orbionlimited.com/Home/IntegrationGameLaunch/client-area?moneyType=0&amp;gameName=UnicornTwentyDice&amp;platform=desktop&amp;languageCode=eng&amp;currency=EUR</v>
      </c>
      <c r="BE100" s="5" t="b">
        <f>IFERROR(__xludf.DUMMYFUNCTION("""COMPUTED_VALUE"""),TRUE)</f>
        <v>1</v>
      </c>
    </row>
    <row r="101">
      <c r="A101" s="5">
        <f>IFERROR(__xludf.DUMMYFUNCTION("""COMPUTED_VALUE"""),100.0)</f>
        <v>100</v>
      </c>
      <c r="B101" s="5">
        <f>IFERROR(__xludf.DUMMYFUNCTION("""COMPUTED_VALUE"""),99.0)</f>
        <v>99</v>
      </c>
      <c r="C101" s="5" t="str">
        <f>IFERROR(__xludf.DUMMYFUNCTION("""COMPUTED_VALUE"""),"Redstone")</f>
        <v>Redstone</v>
      </c>
      <c r="D101" s="5" t="str">
        <f>IFERROR(__xludf.DUMMYFUNCTION("""COMPUTED_VALUE"""),"5 Dice Fire")</f>
        <v>5 Dice Fire</v>
      </c>
      <c r="E101" s="5" t="str">
        <f>IFERROR(__xludf.DUMMYFUNCTION("""COMPUTED_VALUE"""),"Redstone")</f>
        <v>Redstone</v>
      </c>
      <c r="F101" s="5" t="str">
        <f>IFERROR(__xludf.DUMMYFUNCTION("""COMPUTED_VALUE"""),"FireCloverDice5")</f>
        <v>FireCloverDice5</v>
      </c>
      <c r="G101" s="5" t="str">
        <f>IFERROR(__xludf.DUMMYFUNCTION("""COMPUTED_VALUE"""),"Live")</f>
        <v>Live</v>
      </c>
      <c r="H101" s="5"/>
      <c r="I101" s="5" t="str">
        <f>IFERROR(__xludf.DUMMYFUNCTION("""COMPUTED_VALUE"""),"Redstone")</f>
        <v>Redstone</v>
      </c>
      <c r="J101" s="5" t="str">
        <f>IFERROR(__xludf.DUMMYFUNCTION("""COMPUTED_VALUE"""),"JSON")</f>
        <v>JSON</v>
      </c>
      <c r="K101" s="5" t="str">
        <f>IFERROR(__xludf.DUMMYFUNCTION("""COMPUTED_VALUE"""),"Dice Slots")</f>
        <v>Dice Slots</v>
      </c>
      <c r="L101" s="5" t="str">
        <f>IFERROR(__xludf.DUMMYFUNCTION("""COMPUTED_VALUE""")," Clone")</f>
        <v> Clone</v>
      </c>
      <c r="M101" s="5" t="str">
        <f>IFERROR(__xludf.DUMMYFUNCTION("""COMPUTED_VALUE"""),"5 Clover Fire")</f>
        <v>5 Clover Fire</v>
      </c>
      <c r="N101" s="7" t="str">
        <f>IFERROR(__xludf.DUMMYFUNCTION("""COMPUTED_VALUE"""),"https://docs.google.com/document/d/1xvhBFQylMfwPlUAxAQg05J1BzFnLy581/edit?usp=drive_link&amp;ouid=107596163405648766688&amp;rtpof=true&amp;sd=true")</f>
        <v>https://docs.google.com/document/d/1xvhBFQylMfwPlUAxAQg05J1BzFnLy581/edit?usp=drive_link&amp;ouid=107596163405648766688&amp;rtpof=true&amp;sd=true</v>
      </c>
      <c r="O101" s="7" t="str">
        <f>IFERROR(__xludf.DUMMYFUNCTION("""COMPUTED_VALUE"""),"https://docs.google.com/document/d/1o5-igOWhrvuBtMNzHLshyzuuLZgY5hE3/edit?usp=drive_link&amp;ouid=107596163405648766688&amp;rtpof=true&amp;sd=true")</f>
        <v>https://docs.google.com/document/d/1o5-igOWhrvuBtMNzHLshyzuuLZgY5hE3/edit?usp=drive_link&amp;ouid=107596163405648766688&amp;rtpof=true&amp;sd=true</v>
      </c>
      <c r="P101" s="12">
        <f>IFERROR(__xludf.DUMMYFUNCTION("""COMPUTED_VALUE"""),6.25)</f>
        <v>6.25</v>
      </c>
      <c r="Q101" s="13">
        <f>IFERROR(__xludf.DUMMYFUNCTION("""COMPUTED_VALUE"""),44439.0)</f>
        <v>44439</v>
      </c>
      <c r="R101" s="14"/>
      <c r="S101" s="13">
        <f>IFERROR(__xludf.DUMMYFUNCTION("""COMPUTED_VALUE"""),44439.0)</f>
        <v>44439</v>
      </c>
      <c r="T101" s="5"/>
      <c r="U101" s="5" t="str">
        <f>IFERROR(__xludf.DUMMYFUNCTION("""COMPUTED_VALUE"""),"5x3")</f>
        <v>5x3</v>
      </c>
      <c r="V101" s="10" t="str">
        <f>IFERROR(__xludf.DUMMYFUNCTION("""COMPUTED_VALUE"""),"5")</f>
        <v>5</v>
      </c>
      <c r="W101" s="10" t="str">
        <f>IFERROR(__xludf.DUMMYFUNCTION("""COMPUTED_VALUE"""),"5")</f>
        <v>5</v>
      </c>
      <c r="X101" s="5">
        <f>IFERROR(__xludf.DUMMYFUNCTION("""COMPUTED_VALUE"""),96.45)</f>
        <v>96.45</v>
      </c>
      <c r="Y101" s="5" t="str">
        <f>IFERROR(__xludf.DUMMYFUNCTION("""COMPUTED_VALUE"""),"Medium")</f>
        <v>Medium</v>
      </c>
      <c r="Z101" s="5">
        <f>IFERROR(__xludf.DUMMYFUNCTION("""COMPUTED_VALUE"""),14.5)</f>
        <v>14.5</v>
      </c>
      <c r="AA101" s="12">
        <f>IFERROR(__xludf.DUMMYFUNCTION("""COMPUTED_VALUE"""),1222.0)</f>
        <v>1222</v>
      </c>
      <c r="AB101" s="5"/>
      <c r="AC101" s="5" t="str">
        <f>IFERROR(__xludf.DUMMYFUNCTION("""COMPUTED_VALUE"""),"Expanding Wild, Scatter")</f>
        <v>Expanding Wild, Scatter</v>
      </c>
      <c r="AD101" s="5" t="str">
        <f>IFERROR(__xludf.DUMMYFUNCTION("""COMPUTED_VALUE"""),"0.05/30")</f>
        <v>0.05/30</v>
      </c>
      <c r="AE101" s="5"/>
      <c r="AF101" s="5"/>
      <c r="AG101" s="8">
        <f>IFERROR(__xludf.DUMMYFUNCTION("""COMPUTED_VALUE"""),46157.38814814815)</f>
        <v>46157.38815</v>
      </c>
      <c r="AH101" s="5"/>
      <c r="AI101" s="5"/>
      <c r="AJ101" s="5"/>
      <c r="AK101" s="5">
        <f>IFERROR(__xludf.DUMMYFUNCTION("""COMPUTED_VALUE"""),1.0)</f>
        <v>1</v>
      </c>
      <c r="AL101" s="5" t="str">
        <f>IFERROR(__xludf.DUMMYFUNCTION("""COMPUTED_VALUE"""),"No")</f>
        <v>No</v>
      </c>
      <c r="AM101" s="5" t="str">
        <f>IFERROR(__xludf.DUMMYFUNCTION("""COMPUTED_VALUE"""),"No")</f>
        <v>No</v>
      </c>
      <c r="AN101" s="7" t="str">
        <f>IFERROR(__xludf.DUMMYFUNCTION("""COMPUTED_VALUE"""),"https://static.redstone.rs/games/5-dice-fire/")</f>
        <v>https://static.redstone.rs/games/5-dice-fire/</v>
      </c>
      <c r="AO101" s="5" t="str">
        <f>IFERROR(__xludf.DUMMYFUNCTION("""COMPUTED_VALUE"""),"No")</f>
        <v>No</v>
      </c>
      <c r="AP101" s="5" t="str">
        <f>IFERROR(__xludf.DUMMYFUNCTION("""COMPUTED_VALUE"""),"No")</f>
        <v>No</v>
      </c>
      <c r="AQ101" s="5" t="b">
        <f>IFERROR(__xludf.DUMMYFUNCTION("""COMPUTED_VALUE"""),TRUE)</f>
        <v>1</v>
      </c>
      <c r="AR101" s="5"/>
      <c r="AS101" s="5" t="str">
        <f>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AT101" s="5"/>
      <c r="AU101" s="5" t="str">
        <f>IFERROR(__xludf.DUMMYFUNCTION("""COMPUTED_VALUE"""),"Redstone")</f>
        <v>Redstone</v>
      </c>
      <c r="AV101" s="5"/>
      <c r="AW101" s="5"/>
      <c r="AX101" s="5"/>
      <c r="AY101" s="5"/>
      <c r="AZ101" s="5"/>
      <c r="BA101" s="5"/>
      <c r="BB101" s="5" t="b">
        <f>IFERROR(__xludf.DUMMYFUNCTION("""COMPUTED_VALUE"""),TRUE)</f>
        <v>1</v>
      </c>
      <c r="BC101" s="5" t="str">
        <f>IFERROR(__xludf.DUMMYFUNCTION("""COMPUTED_VALUE"""),"Redstone")</f>
        <v>Redstone</v>
      </c>
      <c r="BD101" s="7" t="str">
        <f>IFERROR(__xludf.DUMMYFUNCTION("""COMPUTED_VALUE"""),"https://static.redstone.rs/games/5-dice-fire/")</f>
        <v>https://static.redstone.rs/games/5-dice-fire/</v>
      </c>
      <c r="BE101" s="5" t="b">
        <f>IFERROR(__xludf.DUMMYFUNCTION("""COMPUTED_VALUE"""),TRUE)</f>
        <v>1</v>
      </c>
    </row>
    <row r="102">
      <c r="A102" s="5">
        <f>IFERROR(__xludf.DUMMYFUNCTION("""COMPUTED_VALUE"""),101.0)</f>
        <v>101</v>
      </c>
      <c r="B102" s="5">
        <f>IFERROR(__xludf.DUMMYFUNCTION("""COMPUTED_VALUE"""),100.0)</f>
        <v>100</v>
      </c>
      <c r="C102" s="5" t="str">
        <f>IFERROR(__xludf.DUMMYFUNCTION("""COMPUTED_VALUE"""),"Fazi")</f>
        <v>Fazi</v>
      </c>
      <c r="D102" s="5" t="str">
        <f>IFERROR(__xludf.DUMMYFUNCTION("""COMPUTED_VALUE"""),"Wild Kingdom")</f>
        <v>Wild Kingdom</v>
      </c>
      <c r="E102" s="5" t="str">
        <f>IFERROR(__xludf.DUMMYFUNCTION("""COMPUTED_VALUE"""),"V2")</f>
        <v>V2</v>
      </c>
      <c r="F102" s="5" t="str">
        <f>IFERROR(__xludf.DUMMYFUNCTION("""COMPUTED_VALUE"""),"WildKingdom")</f>
        <v>WildKingdom</v>
      </c>
      <c r="G102" s="5" t="str">
        <f>IFERROR(__xludf.DUMMYFUNCTION("""COMPUTED_VALUE"""),"Live")</f>
        <v>Live</v>
      </c>
      <c r="H102" s="5"/>
      <c r="I102" s="5" t="str">
        <f>IFERROR(__xludf.DUMMYFUNCTION("""COMPUTED_VALUE"""),"V2")</f>
        <v>V2</v>
      </c>
      <c r="J102" s="5" t="str">
        <f>IFERROR(__xludf.DUMMYFUNCTION("""COMPUTED_VALUE"""),"Binary")</f>
        <v>Binary</v>
      </c>
      <c r="K102" s="5" t="str">
        <f>IFERROR(__xludf.DUMMYFUNCTION("""COMPUTED_VALUE"""),"Slot")</f>
        <v>Slot</v>
      </c>
      <c r="L102" s="5" t="str">
        <f>IFERROR(__xludf.DUMMYFUNCTION("""COMPUTED_VALUE"""),"Clone")</f>
        <v>Clone</v>
      </c>
      <c r="M102" s="5" t="str">
        <f>IFERROR(__xludf.DUMMYFUNCTION("""COMPUTED_VALUE"""),"Pyramid")</f>
        <v>Pyramid</v>
      </c>
      <c r="N102" s="5"/>
      <c r="O102" s="5"/>
      <c r="P102" s="12">
        <f>IFERROR(__xludf.DUMMYFUNCTION("""COMPUTED_VALUE"""),21.3)</f>
        <v>21.3</v>
      </c>
      <c r="Q102" s="13">
        <f>IFERROR(__xludf.DUMMYFUNCTION("""COMPUTED_VALUE"""),44364.0)</f>
        <v>44364</v>
      </c>
      <c r="R102" s="14"/>
      <c r="S102" s="13">
        <f>IFERROR(__xludf.DUMMYFUNCTION("""COMPUTED_VALUE"""),44364.0)</f>
        <v>44364</v>
      </c>
      <c r="T102" s="5" t="b">
        <f>IFERROR(__xludf.DUMMYFUNCTION("""COMPUTED_VALUE"""),TRUE)</f>
        <v>1</v>
      </c>
      <c r="U102" s="5" t="str">
        <f>IFERROR(__xludf.DUMMYFUNCTION("""COMPUTED_VALUE"""),"5x3")</f>
        <v>5x3</v>
      </c>
      <c r="V102" s="10" t="str">
        <f>IFERROR(__xludf.DUMMYFUNCTION("""COMPUTED_VALUE"""),"15")</f>
        <v>15</v>
      </c>
      <c r="W102" s="10" t="str">
        <f>IFERROR(__xludf.DUMMYFUNCTION("""COMPUTED_VALUE"""),"1,3,5,9,15")</f>
        <v>1,3,5,9,15</v>
      </c>
      <c r="X102" s="5">
        <f>IFERROR(__xludf.DUMMYFUNCTION("""COMPUTED_VALUE"""),96.142)</f>
        <v>96.142</v>
      </c>
      <c r="Y102" s="5" t="str">
        <f>IFERROR(__xludf.DUMMYFUNCTION("""COMPUTED_VALUE"""),"High")</f>
        <v>High</v>
      </c>
      <c r="Z102" s="5">
        <f>IFERROR(__xludf.DUMMYFUNCTION("""COMPUTED_VALUE"""),28.08)</f>
        <v>28.08</v>
      </c>
      <c r="AA102" s="12">
        <f>IFERROR(__xludf.DUMMYFUNCTION("""COMPUTED_VALUE"""),1530.0)</f>
        <v>1530</v>
      </c>
      <c r="AB102" s="5">
        <f>IFERROR(__xludf.DUMMYFUNCTION("""COMPUTED_VALUE"""),149.0)</f>
        <v>149</v>
      </c>
      <c r="AC102" s="5" t="str">
        <f>IFERROR(__xludf.DUMMYFUNCTION("""COMPUTED_VALUE"""),"Wild Symbol, Bonus Game with Free Spins, Respin, Sticky Wild")</f>
        <v>Wild Symbol, Bonus Game with Free Spins, Respin, Sticky Wild</v>
      </c>
      <c r="AD102" s="5" t="str">
        <f>IFERROR(__xludf.DUMMYFUNCTION("""COMPUTED_VALUE"""),"0.15/45")</f>
        <v>0.15/45</v>
      </c>
      <c r="AE102" s="5"/>
      <c r="AF102" s="5"/>
      <c r="AG102" s="5"/>
      <c r="AH102" s="5"/>
      <c r="AI102" s="5"/>
      <c r="AJ102" s="5"/>
      <c r="AK102" s="5">
        <f>IFERROR(__xludf.DUMMYFUNCTION("""COMPUTED_VALUE"""),15.0)</f>
        <v>15</v>
      </c>
      <c r="AL102" s="5" t="str">
        <f>IFERROR(__xludf.DUMMYFUNCTION("""COMPUTED_VALUE"""),"Yes")</f>
        <v>Yes</v>
      </c>
      <c r="AM102" s="5"/>
      <c r="AN102" s="7" t="str">
        <f>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AO102" s="5"/>
      <c r="AP102" s="5"/>
      <c r="AQ102" s="5" t="b">
        <f>IFERROR(__xludf.DUMMYFUNCTION("""COMPUTED_VALUE"""),TRUE)</f>
        <v>1</v>
      </c>
      <c r="AR102" s="5"/>
      <c r="AS102" s="5" t="str">
        <f>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AT102" s="5"/>
      <c r="AU102" s="5" t="str">
        <f>IFERROR(__xludf.DUMMYFUNCTION("""COMPUTED_VALUE"""),"Fazi")</f>
        <v>Fazi</v>
      </c>
      <c r="AV102" s="5"/>
      <c r="AW102" s="5"/>
      <c r="AX102" s="5"/>
      <c r="AY102" s="5"/>
      <c r="AZ102" s="5"/>
      <c r="BA102" s="5" t="str">
        <f>IFERROR(__xludf.DUMMYFUNCTION("""COMPUTED_VALUE"""),"")</f>
        <v/>
      </c>
      <c r="BB102" s="5"/>
      <c r="BC102" s="5" t="str">
        <f>IFERROR(__xludf.DUMMYFUNCTION("""COMPUTED_VALUE"""),"Foxi")</f>
        <v>Foxi</v>
      </c>
      <c r="BD102" s="7" t="str">
        <f>IFERROR(__xludf.DUMMYFUNCTION("""COMPUTED_VALUE"""),"https://gameserver-store-client-area.orbionlimited.com/Home/IntegrationGameLaunch/client-area?moneyType=0&amp;gameName=WildKingdom&amp;platform=desktop&amp;languageCode=eng&amp;currency=EUR")</f>
        <v>https://gameserver-store-client-area.orbionlimited.com/Home/IntegrationGameLaunch/client-area?moneyType=0&amp;gameName=WildKingdom&amp;platform=desktop&amp;languageCode=eng&amp;currency=EUR</v>
      </c>
      <c r="BE102" s="5" t="b">
        <f>IFERROR(__xludf.DUMMYFUNCTION("""COMPUTED_VALUE"""),TRUE)</f>
        <v>1</v>
      </c>
    </row>
    <row r="103">
      <c r="A103" s="5">
        <f>IFERROR(__xludf.DUMMYFUNCTION("""COMPUTED_VALUE"""),102.0)</f>
        <v>102</v>
      </c>
      <c r="B103" s="5">
        <f>IFERROR(__xludf.DUMMYFUNCTION("""COMPUTED_VALUE"""),101.0)</f>
        <v>101</v>
      </c>
      <c r="C103" s="5" t="str">
        <f>IFERROR(__xludf.DUMMYFUNCTION("""COMPUTED_VALUE"""),"Fazi")</f>
        <v>Fazi</v>
      </c>
      <c r="D103" s="5" t="str">
        <f>IFERROR(__xludf.DUMMYFUNCTION("""COMPUTED_VALUE"""),"Book Of Luxor Double")</f>
        <v>Book Of Luxor Double</v>
      </c>
      <c r="E103" s="5" t="str">
        <f>IFERROR(__xludf.DUMMYFUNCTION("""COMPUTED_VALUE"""),"V2")</f>
        <v>V2</v>
      </c>
      <c r="F103" s="5" t="str">
        <f>IFERROR(__xludf.DUMMYFUNCTION("""COMPUTED_VALUE"""),"BookOfLuxorDouble")</f>
        <v>BookOfLuxorDouble</v>
      </c>
      <c r="G103" s="5" t="str">
        <f>IFERROR(__xludf.DUMMYFUNCTION("""COMPUTED_VALUE"""),"Live")</f>
        <v>Live</v>
      </c>
      <c r="H103" s="5"/>
      <c r="I103" s="5" t="str">
        <f>IFERROR(__xludf.DUMMYFUNCTION("""COMPUTED_VALUE"""),"V2")</f>
        <v>V2</v>
      </c>
      <c r="J103" s="5" t="str">
        <f>IFERROR(__xludf.DUMMYFUNCTION("""COMPUTED_VALUE"""),"JSON")</f>
        <v>JSON</v>
      </c>
      <c r="K103" s="5" t="str">
        <f>IFERROR(__xludf.DUMMYFUNCTION("""COMPUTED_VALUE"""),"Slot")</f>
        <v>Slot</v>
      </c>
      <c r="L103" s="5"/>
      <c r="M103" s="5"/>
      <c r="N103" s="5"/>
      <c r="O103" s="5"/>
      <c r="P103" s="12">
        <f>IFERROR(__xludf.DUMMYFUNCTION("""COMPUTED_VALUE"""),40.4)</f>
        <v>40.4</v>
      </c>
      <c r="Q103" s="13">
        <f>IFERROR(__xludf.DUMMYFUNCTION("""COMPUTED_VALUE"""),44494.0)</f>
        <v>44494</v>
      </c>
      <c r="R103" s="14"/>
      <c r="S103" s="13">
        <f>IFERROR(__xludf.DUMMYFUNCTION("""COMPUTED_VALUE"""),44494.0)</f>
        <v>44494</v>
      </c>
      <c r="T103" s="5"/>
      <c r="U103" s="5" t="str">
        <f>IFERROR(__xludf.DUMMYFUNCTION("""COMPUTED_VALUE"""),"5x3")</f>
        <v>5x3</v>
      </c>
      <c r="V103" s="10" t="str">
        <f>IFERROR(__xludf.DUMMYFUNCTION("""COMPUTED_VALUE"""),"20")</f>
        <v>20</v>
      </c>
      <c r="W103" s="10" t="str">
        <f>IFERROR(__xludf.DUMMYFUNCTION("""COMPUTED_VALUE"""),"1,3,5,7,10")</f>
        <v>1,3,5,7,10</v>
      </c>
      <c r="X103" s="5">
        <f>IFERROR(__xludf.DUMMYFUNCTION("""COMPUTED_VALUE"""),96.201)</f>
        <v>96.201</v>
      </c>
      <c r="Y103" s="5" t="str">
        <f>IFERROR(__xludf.DUMMYFUNCTION("""COMPUTED_VALUE"""),"High")</f>
        <v>High</v>
      </c>
      <c r="Z103" s="5">
        <f>IFERROR(__xludf.DUMMYFUNCTION("""COMPUTED_VALUE"""),30.819999999999997)</f>
        <v>30.82</v>
      </c>
      <c r="AA103" s="12">
        <f>IFERROR(__xludf.DUMMYFUNCTION("""COMPUTED_VALUE"""),5456.0)</f>
        <v>5456</v>
      </c>
      <c r="AB103" s="5">
        <f>IFERROR(__xludf.DUMMYFUNCTION("""COMPUTED_VALUE"""),212.0)</f>
        <v>212</v>
      </c>
      <c r="AC103" s="5" t="str">
        <f>IFERROR(__xludf.DUMMYFUNCTION("""COMPUTED_VALUE"""),"Buy Bonus, Book Of Game, Bonus Game with Free Spins")</f>
        <v>Buy Bonus, Book Of Game, Bonus Game with Free Spins</v>
      </c>
      <c r="AD103" s="5" t="str">
        <f>IFERROR(__xludf.DUMMYFUNCTION("""COMPUTED_VALUE"""),"0.01/40")</f>
        <v>0.01/40</v>
      </c>
      <c r="AE103" s="5"/>
      <c r="AF103" s="5"/>
      <c r="AG103" s="8">
        <f>IFERROR(__xludf.DUMMYFUNCTION("""COMPUTED_VALUE"""),46056.45041666667)</f>
        <v>46056.45042</v>
      </c>
      <c r="AH103" s="5" t="str">
        <f>IFERROR(__xludf.DUMMYFUNCTION("""COMPUTED_VALUE"""),"aleksandar.trajkovic@fazi.rs")</f>
        <v>aleksandar.trajkovic@fazi.rs</v>
      </c>
      <c r="AI103" s="5"/>
      <c r="AJ103" s="5"/>
      <c r="AK103" s="5">
        <f>IFERROR(__xludf.DUMMYFUNCTION("""COMPUTED_VALUE"""),10.0)</f>
        <v>10</v>
      </c>
      <c r="AL103" s="5" t="str">
        <f>IFERROR(__xludf.DUMMYFUNCTION("""COMPUTED_VALUE"""),"Yes")</f>
        <v>Yes</v>
      </c>
      <c r="AM103" s="5"/>
      <c r="AN103" s="7" t="str">
        <f>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AO103" s="5" t="str">
        <f>IFERROR(__xludf.DUMMYFUNCTION("""COMPUTED_VALUE"""),"Yes")</f>
        <v>Yes</v>
      </c>
      <c r="AP103" s="5" t="str">
        <f>IFERROR(__xludf.DUMMYFUNCTION("""COMPUTED_VALUE"""),"Yes")</f>
        <v>Yes</v>
      </c>
      <c r="AQ103" s="5" t="b">
        <f>IFERROR(__xludf.DUMMYFUNCTION("""COMPUTED_VALUE"""),TRUE)</f>
        <v>1</v>
      </c>
      <c r="AR103" s="5"/>
      <c r="AS103" s="5" t="str">
        <f>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103" s="5"/>
      <c r="AU103" s="5" t="str">
        <f>IFERROR(__xludf.DUMMYFUNCTION("""COMPUTED_VALUE"""),"Fazi")</f>
        <v>Fazi</v>
      </c>
      <c r="AV103" s="5"/>
      <c r="AW103" s="5"/>
      <c r="AX103" s="5"/>
      <c r="AY103" s="5" t="str">
        <f>IFERROR(__xludf.DUMMYFUNCTION("""COMPUTED_VALUE"""),"87.5%, 89.5%, 91.5%, 93.5%, 94.5%, 95.5%, 96.5%")</f>
        <v>87.5%, 89.5%, 91.5%, 93.5%, 94.5%, 95.5%, 96.5%</v>
      </c>
      <c r="AZ103" s="5"/>
      <c r="BA103" s="5" t="str">
        <f>IFERROR(__xludf.DUMMYFUNCTION("""COMPUTED_VALUE"""),"116")</f>
        <v>116</v>
      </c>
      <c r="BB103" s="5"/>
      <c r="BC103" s="5" t="str">
        <f>IFERROR(__xludf.DUMMYFUNCTION("""COMPUTED_VALUE"""),"Foxi")</f>
        <v>Foxi</v>
      </c>
      <c r="BD103" s="7" t="str">
        <f>IFERROR(__xludf.DUMMYFUNCTION("""COMPUTED_VALUE"""),"https://gameserver-store-client-area.orbionlimited.com/Home/IntegrationGameLaunch/client-area?moneyType=0&amp;gameName=BookOfLuxorDouble&amp;platform=desktop&amp;languageCode=eng&amp;currency=EUR")</f>
        <v>https://gameserver-store-client-area.orbionlimited.com/Home/IntegrationGameLaunch/client-area?moneyType=0&amp;gameName=BookOfLuxorDouble&amp;platform=desktop&amp;languageCode=eng&amp;currency=EUR</v>
      </c>
      <c r="BE103" s="5" t="b">
        <f>IFERROR(__xludf.DUMMYFUNCTION("""COMPUTED_VALUE"""),TRUE)</f>
        <v>1</v>
      </c>
    </row>
    <row r="104">
      <c r="A104" s="5">
        <f>IFERROR(__xludf.DUMMYFUNCTION("""COMPUTED_VALUE"""),103.0)</f>
        <v>103</v>
      </c>
      <c r="B104" s="5">
        <f>IFERROR(__xludf.DUMMYFUNCTION("""COMPUTED_VALUE"""),102.0)</f>
        <v>102</v>
      </c>
      <c r="C104" s="5" t="str">
        <f>IFERROR(__xludf.DUMMYFUNCTION("""COMPUTED_VALUE"""),"Fazi")</f>
        <v>Fazi</v>
      </c>
      <c r="D104" s="5" t="str">
        <f>IFERROR(__xludf.DUMMYFUNCTION("""COMPUTED_VALUE"""),"Mega Cubes Deluxe")</f>
        <v>Mega Cubes Deluxe</v>
      </c>
      <c r="E104" s="5" t="str">
        <f>IFERROR(__xludf.DUMMYFUNCTION("""COMPUTED_VALUE"""),"V2")</f>
        <v>V2</v>
      </c>
      <c r="F104" s="5" t="str">
        <f>IFERROR(__xludf.DUMMYFUNCTION("""COMPUTED_VALUE"""),"MegaCubesDeluxe")</f>
        <v>MegaCubesDeluxe</v>
      </c>
      <c r="G104" s="5" t="str">
        <f>IFERROR(__xludf.DUMMYFUNCTION("""COMPUTED_VALUE"""),"Live")</f>
        <v>Live</v>
      </c>
      <c r="H104" s="5"/>
      <c r="I104" s="5" t="str">
        <f>IFERROR(__xludf.DUMMYFUNCTION("""COMPUTED_VALUE"""),"V2")</f>
        <v>V2</v>
      </c>
      <c r="J104" s="5" t="str">
        <f>IFERROR(__xludf.DUMMYFUNCTION("""COMPUTED_VALUE"""),"Binary")</f>
        <v>Binary</v>
      </c>
      <c r="K104" s="5" t="str">
        <f>IFERROR(__xludf.DUMMYFUNCTION("""COMPUTED_VALUE"""),"Slot")</f>
        <v>Slot</v>
      </c>
      <c r="L104" s="5"/>
      <c r="M104" s="5"/>
      <c r="N104" s="5"/>
      <c r="O104" s="5"/>
      <c r="P104" s="12">
        <f>IFERROR(__xludf.DUMMYFUNCTION("""COMPUTED_VALUE"""),15.5)</f>
        <v>15.5</v>
      </c>
      <c r="Q104" s="13">
        <f>IFERROR(__xludf.DUMMYFUNCTION("""COMPUTED_VALUE"""),44399.0)</f>
        <v>44399</v>
      </c>
      <c r="R104" s="14"/>
      <c r="S104" s="13">
        <f>IFERROR(__xludf.DUMMYFUNCTION("""COMPUTED_VALUE"""),44399.0)</f>
        <v>44399</v>
      </c>
      <c r="T104" s="5"/>
      <c r="U104" s="5" t="str">
        <f>IFERROR(__xludf.DUMMYFUNCTION("""COMPUTED_VALUE"""),"5x3")</f>
        <v>5x3</v>
      </c>
      <c r="V104" s="10" t="str">
        <f>IFERROR(__xludf.DUMMYFUNCTION("""COMPUTED_VALUE"""),"5")</f>
        <v>5</v>
      </c>
      <c r="W104" s="10" t="str">
        <f>IFERROR(__xludf.DUMMYFUNCTION("""COMPUTED_VALUE"""),"5")</f>
        <v>5</v>
      </c>
      <c r="X104" s="5">
        <f>IFERROR(__xludf.DUMMYFUNCTION("""COMPUTED_VALUE"""),95.485)</f>
        <v>95.485</v>
      </c>
      <c r="Y104" s="5" t="str">
        <f>IFERROR(__xludf.DUMMYFUNCTION("""COMPUTED_VALUE"""),"Medium")</f>
        <v>Medium</v>
      </c>
      <c r="Z104" s="5">
        <f>IFERROR(__xludf.DUMMYFUNCTION("""COMPUTED_VALUE"""),12.49)</f>
        <v>12.49</v>
      </c>
      <c r="AA104" s="12">
        <f>IFERROR(__xludf.DUMMYFUNCTION("""COMPUTED_VALUE"""),480.0)</f>
        <v>480</v>
      </c>
      <c r="AB104" s="5" t="str">
        <f>IFERROR(__xludf.DUMMYFUNCTION("""COMPUTED_VALUE"""),"/")</f>
        <v>/</v>
      </c>
      <c r="AC104" s="5" t="str">
        <f>IFERROR(__xludf.DUMMYFUNCTION("""COMPUTED_VALUE"""),"Scatter")</f>
        <v>Scatter</v>
      </c>
      <c r="AD104" s="5" t="str">
        <f>IFERROR(__xludf.DUMMYFUNCTION("""COMPUTED_VALUE"""),"0.05/30")</f>
        <v>0.05/30</v>
      </c>
      <c r="AE104" s="5"/>
      <c r="AF104" s="5"/>
      <c r="AG104" s="8">
        <f>IFERROR(__xludf.DUMMYFUNCTION("""COMPUTED_VALUE"""),46055.51113425926)</f>
        <v>46055.51113</v>
      </c>
      <c r="AH104" s="5" t="str">
        <f>IFERROR(__xludf.DUMMYFUNCTION("""COMPUTED_VALUE"""),"djordje.jankovic@fazi.rs")</f>
        <v>djordje.jankovic@fazi.rs</v>
      </c>
      <c r="AI104" s="5"/>
      <c r="AJ104" s="5"/>
      <c r="AK104" s="5">
        <f>IFERROR(__xludf.DUMMYFUNCTION("""COMPUTED_VALUE"""),5.0)</f>
        <v>5</v>
      </c>
      <c r="AL104" s="5" t="str">
        <f>IFERROR(__xludf.DUMMYFUNCTION("""COMPUTED_VALUE"""),"Yes")</f>
        <v>Yes</v>
      </c>
      <c r="AM104" s="5"/>
      <c r="AN104" s="7" t="str">
        <f>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AO104" s="5"/>
      <c r="AP104" s="5"/>
      <c r="AQ104" s="5" t="b">
        <f>IFERROR(__xludf.DUMMYFUNCTION("""COMPUTED_VALUE"""),TRUE)</f>
        <v>1</v>
      </c>
      <c r="AR104" s="5"/>
      <c r="AS104" s="5" t="str">
        <f>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AT104" s="5"/>
      <c r="AU104" s="5" t="str">
        <f>IFERROR(__xludf.DUMMYFUNCTION("""COMPUTED_VALUE"""),"Fazi")</f>
        <v>Fazi</v>
      </c>
      <c r="AV104" s="5"/>
      <c r="AW104" s="5"/>
      <c r="AX104" s="5"/>
      <c r="AY104" s="5"/>
      <c r="AZ104" s="5"/>
      <c r="BA104" s="5" t="str">
        <f>IFERROR(__xludf.DUMMYFUNCTION("""COMPUTED_VALUE"""),"")</f>
        <v/>
      </c>
      <c r="BB104" s="5"/>
      <c r="BC104" s="5" t="str">
        <f>IFERROR(__xludf.DUMMYFUNCTION("""COMPUTED_VALUE"""),"Foxi")</f>
        <v>Foxi</v>
      </c>
      <c r="BD104" s="7" t="str">
        <f>IFERROR(__xludf.DUMMYFUNCTION("""COMPUTED_VALUE"""),"https://gameserver-store-client-area.orbionlimited.com/Home/IntegrationGameLaunch/client-area?moneyType=0&amp;gameName=MegaCubesDeluxe&amp;platform=desktop&amp;languageCode=eng&amp;currency=EUR")</f>
        <v>https://gameserver-store-client-area.orbionlimited.com/Home/IntegrationGameLaunch/client-area?moneyType=0&amp;gameName=MegaCubesDeluxe&amp;platform=desktop&amp;languageCode=eng&amp;currency=EUR</v>
      </c>
      <c r="BE104" s="5" t="b">
        <f>IFERROR(__xludf.DUMMYFUNCTION("""COMPUTED_VALUE"""),TRUE)</f>
        <v>1</v>
      </c>
    </row>
    <row r="105">
      <c r="A105" s="5">
        <f>IFERROR(__xludf.DUMMYFUNCTION("""COMPUTED_VALUE"""),104.0)</f>
        <v>104</v>
      </c>
      <c r="B105" s="5">
        <f>IFERROR(__xludf.DUMMYFUNCTION("""COMPUTED_VALUE"""),103.0)</f>
        <v>103</v>
      </c>
      <c r="C105" s="5" t="str">
        <f>IFERROR(__xludf.DUMMYFUNCTION("""COMPUTED_VALUE"""),"Fazi")</f>
        <v>Fazi</v>
      </c>
      <c r="D105" s="5" t="str">
        <f>IFERROR(__xludf.DUMMYFUNCTION("""COMPUTED_VALUE"""),"Lolla's World")</f>
        <v>Lolla's World</v>
      </c>
      <c r="E105" s="5" t="str">
        <f>IFERROR(__xludf.DUMMYFUNCTION("""COMPUTED_VALUE"""),"V2")</f>
        <v>V2</v>
      </c>
      <c r="F105" s="5" t="str">
        <f>IFERROR(__xludf.DUMMYFUNCTION("""COMPUTED_VALUE"""),"LollasWorld")</f>
        <v>LollasWorld</v>
      </c>
      <c r="G105" s="5" t="str">
        <f>IFERROR(__xludf.DUMMYFUNCTION("""COMPUTED_VALUE"""),"Live")</f>
        <v>Live</v>
      </c>
      <c r="H105" s="5"/>
      <c r="I105" s="5" t="str">
        <f>IFERROR(__xludf.DUMMYFUNCTION("""COMPUTED_VALUE"""),"V2")</f>
        <v>V2</v>
      </c>
      <c r="J105" s="5" t="str">
        <f>IFERROR(__xludf.DUMMYFUNCTION("""COMPUTED_VALUE"""),"JSON")</f>
        <v>JSON</v>
      </c>
      <c r="K105" s="5" t="str">
        <f>IFERROR(__xludf.DUMMYFUNCTION("""COMPUTED_VALUE"""),"Slot")</f>
        <v>Slot</v>
      </c>
      <c r="L105" s="5"/>
      <c r="M105" s="5"/>
      <c r="N105" s="5"/>
      <c r="O105" s="5"/>
      <c r="P105" s="12">
        <f>IFERROR(__xludf.DUMMYFUNCTION("""COMPUTED_VALUE"""),29.3)</f>
        <v>29.3</v>
      </c>
      <c r="Q105" s="13">
        <f>IFERROR(__xludf.DUMMYFUNCTION("""COMPUTED_VALUE"""),44434.0)</f>
        <v>44434</v>
      </c>
      <c r="R105" s="14"/>
      <c r="S105" s="13">
        <f>IFERROR(__xludf.DUMMYFUNCTION("""COMPUTED_VALUE"""),44434.0)</f>
        <v>44434</v>
      </c>
      <c r="T105" s="5"/>
      <c r="U105" s="5" t="str">
        <f>IFERROR(__xludf.DUMMYFUNCTION("""COMPUTED_VALUE"""),"5x4")</f>
        <v>5x4</v>
      </c>
      <c r="V105" s="10" t="str">
        <f>IFERROR(__xludf.DUMMYFUNCTION("""COMPUTED_VALUE"""),"40")</f>
        <v>40</v>
      </c>
      <c r="W105" s="10" t="str">
        <f>IFERROR(__xludf.DUMMYFUNCTION("""COMPUTED_VALUE"""),"40")</f>
        <v>40</v>
      </c>
      <c r="X105" s="5">
        <f>IFERROR(__xludf.DUMMYFUNCTION("""COMPUTED_VALUE"""),95.479)</f>
        <v>95.479</v>
      </c>
      <c r="Y105" s="5" t="str">
        <f>IFERROR(__xludf.DUMMYFUNCTION("""COMPUTED_VALUE"""),"Medium")</f>
        <v>Medium</v>
      </c>
      <c r="Z105" s="5">
        <f>IFERROR(__xludf.DUMMYFUNCTION("""COMPUTED_VALUE"""),14.799999999999999)</f>
        <v>14.8</v>
      </c>
      <c r="AA105" s="12">
        <f>IFERROR(__xludf.DUMMYFUNCTION("""COMPUTED_VALUE"""),1000.0)</f>
        <v>1000</v>
      </c>
      <c r="AB105" s="5" t="str">
        <f>IFERROR(__xludf.DUMMYFUNCTION("""COMPUTED_VALUE"""),"/")</f>
        <v>/</v>
      </c>
      <c r="AC105" s="5" t="str">
        <f>IFERROR(__xludf.DUMMYFUNCTION("""COMPUTED_VALUE"""),"Scatter, Wild Symbol")</f>
        <v>Scatter, Wild Symbol</v>
      </c>
      <c r="AD105" s="5" t="str">
        <f>IFERROR(__xludf.DUMMYFUNCTION("""COMPUTED_VALUE"""),"0.4/60")</f>
        <v>0.4/60</v>
      </c>
      <c r="AE105" s="5"/>
      <c r="AF105" s="5"/>
      <c r="AG105" s="8">
        <f>IFERROR(__xludf.DUMMYFUNCTION("""COMPUTED_VALUE"""),46056.45359953704)</f>
        <v>46056.4536</v>
      </c>
      <c r="AH105" s="5" t="str">
        <f>IFERROR(__xludf.DUMMYFUNCTION("""COMPUTED_VALUE"""),"aleksandar.trajkovic@fazi.rs")</f>
        <v>aleksandar.trajkovic@fazi.rs</v>
      </c>
      <c r="AI105" s="5"/>
      <c r="AJ105" s="5"/>
      <c r="AK105" s="5">
        <f>IFERROR(__xludf.DUMMYFUNCTION("""COMPUTED_VALUE"""),40.0)</f>
        <v>40</v>
      </c>
      <c r="AL105" s="5" t="str">
        <f>IFERROR(__xludf.DUMMYFUNCTION("""COMPUTED_VALUE"""),"Yes")</f>
        <v>Yes</v>
      </c>
      <c r="AM105" s="5"/>
      <c r="AN105" s="7" t="str">
        <f>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AO105" s="5" t="str">
        <f>IFERROR(__xludf.DUMMYFUNCTION("""COMPUTED_VALUE"""),"Yes")</f>
        <v>Yes</v>
      </c>
      <c r="AP105" s="5" t="str">
        <f>IFERROR(__xludf.DUMMYFUNCTION("""COMPUTED_VALUE"""),"Yes")</f>
        <v>Yes</v>
      </c>
      <c r="AQ105" s="5" t="b">
        <f>IFERROR(__xludf.DUMMYFUNCTION("""COMPUTED_VALUE"""),TRUE)</f>
        <v>1</v>
      </c>
      <c r="AR105" s="5"/>
      <c r="AS105" s="5" t="str">
        <f>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AT105" s="5"/>
      <c r="AU105" s="5" t="str">
        <f>IFERROR(__xludf.DUMMYFUNCTION("""COMPUTED_VALUE"""),"Fazi")</f>
        <v>Fazi</v>
      </c>
      <c r="AV105" s="5"/>
      <c r="AW105" s="5"/>
      <c r="AX105" s="5"/>
      <c r="AY105" s="5" t="str">
        <f>IFERROR(__xludf.DUMMYFUNCTION("""COMPUTED_VALUE"""),"87.5%, 89.5%, 91.5%, 93.5%, 94.5%, 95.5%, 96.5%")</f>
        <v>87.5%, 89.5%, 91.5%, 93.5%, 94.5%, 95.5%, 96.5%</v>
      </c>
      <c r="AZ105" s="5"/>
      <c r="BA105" s="5" t="str">
        <f>IFERROR(__xludf.DUMMYFUNCTION("""COMPUTED_VALUE"""),"")</f>
        <v/>
      </c>
      <c r="BB105" s="5"/>
      <c r="BC105" s="5" t="str">
        <f>IFERROR(__xludf.DUMMYFUNCTION("""COMPUTED_VALUE"""),"Foxi")</f>
        <v>Foxi</v>
      </c>
      <c r="BD105" s="7" t="str">
        <f>IFERROR(__xludf.DUMMYFUNCTION("""COMPUTED_VALUE"""),"https://gameserver-store-client-area.orbionlimited.com/Home/IntegrationGameLaunch/client-area?moneyType=0&amp;gameName=LollasWorld&amp;platform=desktop&amp;languageCode=eng&amp;currency=EUR")</f>
        <v>https://gameserver-store-client-area.orbionlimited.com/Home/IntegrationGameLaunch/client-area?moneyType=0&amp;gameName=LollasWorld&amp;platform=desktop&amp;languageCode=eng&amp;currency=EUR</v>
      </c>
      <c r="BE105" s="5" t="b">
        <f>IFERROR(__xludf.DUMMYFUNCTION("""COMPUTED_VALUE"""),TRUE)</f>
        <v>1</v>
      </c>
    </row>
    <row r="106">
      <c r="A106" s="5">
        <f>IFERROR(__xludf.DUMMYFUNCTION("""COMPUTED_VALUE"""),105.0)</f>
        <v>105</v>
      </c>
      <c r="B106" s="5">
        <f>IFERROR(__xludf.DUMMYFUNCTION("""COMPUTED_VALUE"""),104.0)</f>
        <v>104</v>
      </c>
      <c r="C106" s="5" t="str">
        <f>IFERROR(__xludf.DUMMYFUNCTION("""COMPUTED_VALUE"""),"Redstone")</f>
        <v>Redstone</v>
      </c>
      <c r="D106" s="5" t="str">
        <f>IFERROR(__xludf.DUMMYFUNCTION("""COMPUTED_VALUE"""),"40 Clover Fire")</f>
        <v>40 Clover Fire</v>
      </c>
      <c r="E106" s="5" t="str">
        <f>IFERROR(__xludf.DUMMYFUNCTION("""COMPUTED_VALUE"""),"Redstone")</f>
        <v>Redstone</v>
      </c>
      <c r="F106" s="5" t="str">
        <f>IFERROR(__xludf.DUMMYFUNCTION("""COMPUTED_VALUE"""),"FireClover40")</f>
        <v>FireClover40</v>
      </c>
      <c r="G106" s="5" t="str">
        <f>IFERROR(__xludf.DUMMYFUNCTION("""COMPUTED_VALUE"""),"Live")</f>
        <v>Live</v>
      </c>
      <c r="H106" s="5"/>
      <c r="I106" s="5" t="str">
        <f>IFERROR(__xludf.DUMMYFUNCTION("""COMPUTED_VALUE"""),"Redstone")</f>
        <v>Redstone</v>
      </c>
      <c r="J106" s="5" t="str">
        <f>IFERROR(__xludf.DUMMYFUNCTION("""COMPUTED_VALUE"""),"JSON")</f>
        <v>JSON</v>
      </c>
      <c r="K106" s="5" t="str">
        <f>IFERROR(__xludf.DUMMYFUNCTION("""COMPUTED_VALUE"""),"Slot")</f>
        <v>Slot</v>
      </c>
      <c r="L106" s="5" t="str">
        <f>IFERROR(__xludf.DUMMYFUNCTION("""COMPUTED_VALUE"""),"Master")</f>
        <v>Master</v>
      </c>
      <c r="M106" s="5"/>
      <c r="N106" s="7" t="str">
        <f>IFERROR(__xludf.DUMMYFUNCTION("""COMPUTED_VALUE"""),"https://docs.google.com/document/d/134OvURJFj6vy5RZvoh-CfV3klcsPJgiz/edit?usp=drive_link&amp;ouid=107596163405648766688&amp;rtpof=true&amp;sd=true")</f>
        <v>https://docs.google.com/document/d/134OvURJFj6vy5RZvoh-CfV3klcsPJgiz/edit?usp=drive_link&amp;ouid=107596163405648766688&amp;rtpof=true&amp;sd=true</v>
      </c>
      <c r="O106" s="7" t="str">
        <f>IFERROR(__xludf.DUMMYFUNCTION("""COMPUTED_VALUE"""),"https://docs.google.com/document/d/1UeCqpU91M7Y1Yb7b65rSY0_PdJaQkUld/edit?usp=drive_link&amp;ouid=107596163405648766688&amp;rtpof=true&amp;sd=true")</f>
        <v>https://docs.google.com/document/d/1UeCqpU91M7Y1Yb7b65rSY0_PdJaQkUld/edit?usp=drive_link&amp;ouid=107596163405648766688&amp;rtpof=true&amp;sd=true</v>
      </c>
      <c r="P106" s="12">
        <f>IFERROR(__xludf.DUMMYFUNCTION("""COMPUTED_VALUE"""),8.56)</f>
        <v>8.56</v>
      </c>
      <c r="Q106" s="13">
        <f>IFERROR(__xludf.DUMMYFUNCTION("""COMPUTED_VALUE"""),44420.0)</f>
        <v>44420</v>
      </c>
      <c r="R106" s="14"/>
      <c r="S106" s="13">
        <f>IFERROR(__xludf.DUMMYFUNCTION("""COMPUTED_VALUE"""),44420.0)</f>
        <v>44420</v>
      </c>
      <c r="T106" s="5"/>
      <c r="U106" s="5" t="str">
        <f>IFERROR(__xludf.DUMMYFUNCTION("""COMPUTED_VALUE"""),"5x3")</f>
        <v>5x3</v>
      </c>
      <c r="V106" s="10" t="str">
        <f>IFERROR(__xludf.DUMMYFUNCTION("""COMPUTED_VALUE"""),"40")</f>
        <v>40</v>
      </c>
      <c r="W106" s="10" t="str">
        <f>IFERROR(__xludf.DUMMYFUNCTION("""COMPUTED_VALUE"""),"40")</f>
        <v>40</v>
      </c>
      <c r="X106" s="5">
        <f>IFERROR(__xludf.DUMMYFUNCTION("""COMPUTED_VALUE"""),96.53)</f>
        <v>96.53</v>
      </c>
      <c r="Y106" s="5" t="str">
        <f>IFERROR(__xludf.DUMMYFUNCTION("""COMPUTED_VALUE"""),"Low")</f>
        <v>Low</v>
      </c>
      <c r="Z106" s="5">
        <f>IFERROR(__xludf.DUMMYFUNCTION("""COMPUTED_VALUE"""),23.37)</f>
        <v>23.37</v>
      </c>
      <c r="AA106" s="12">
        <f>IFERROR(__xludf.DUMMYFUNCTION("""COMPUTED_VALUE"""),3507.0)</f>
        <v>3507</v>
      </c>
      <c r="AB106" s="5"/>
      <c r="AC106" s="5" t="str">
        <f>IFERROR(__xludf.DUMMYFUNCTION("""COMPUTED_VALUE"""),"Expanding Wild, Scatter")</f>
        <v>Expanding Wild, Scatter</v>
      </c>
      <c r="AD106" s="5" t="str">
        <f>IFERROR(__xludf.DUMMYFUNCTION("""COMPUTED_VALUE"""),"0.40/60")</f>
        <v>0.40/60</v>
      </c>
      <c r="AE106" s="5"/>
      <c r="AF106" s="5"/>
      <c r="AG106" s="8">
        <f>IFERROR(__xludf.DUMMYFUNCTION("""COMPUTED_VALUE"""),46157.44609953704)</f>
        <v>46157.4461</v>
      </c>
      <c r="AH106" s="5"/>
      <c r="AI106" s="5"/>
      <c r="AJ106" s="5"/>
      <c r="AK106" s="5">
        <f>IFERROR(__xludf.DUMMYFUNCTION("""COMPUTED_VALUE"""),1.0)</f>
        <v>1</v>
      </c>
      <c r="AL106" s="5" t="str">
        <f>IFERROR(__xludf.DUMMYFUNCTION("""COMPUTED_VALUE"""),"No")</f>
        <v>No</v>
      </c>
      <c r="AM106" s="5" t="str">
        <f>IFERROR(__xludf.DUMMYFUNCTION("""COMPUTED_VALUE"""),"No")</f>
        <v>No</v>
      </c>
      <c r="AN106" s="7" t="str">
        <f>IFERROR(__xludf.DUMMYFUNCTION("""COMPUTED_VALUE"""),"https://static.redstone.rs/games/40-clover-fire/")</f>
        <v>https://static.redstone.rs/games/40-clover-fire/</v>
      </c>
      <c r="AO106" s="5" t="str">
        <f>IFERROR(__xludf.DUMMYFUNCTION("""COMPUTED_VALUE"""),"No")</f>
        <v>No</v>
      </c>
      <c r="AP106" s="5" t="str">
        <f>IFERROR(__xludf.DUMMYFUNCTION("""COMPUTED_VALUE"""),"No")</f>
        <v>No</v>
      </c>
      <c r="AQ106" s="5" t="b">
        <f>IFERROR(__xludf.DUMMYFUNCTION("""COMPUTED_VALUE"""),TRUE)</f>
        <v>1</v>
      </c>
      <c r="AR106" s="5"/>
      <c r="AS106" s="5" t="str">
        <f>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AT106" s="5"/>
      <c r="AU106" s="5" t="str">
        <f>IFERROR(__xludf.DUMMYFUNCTION("""COMPUTED_VALUE"""),"Redstone")</f>
        <v>Redstone</v>
      </c>
      <c r="AV106" s="5"/>
      <c r="AW106" s="5"/>
      <c r="AX106" s="5"/>
      <c r="AY106" s="5"/>
      <c r="AZ106" s="5"/>
      <c r="BA106" s="5"/>
      <c r="BB106" s="5" t="b">
        <f>IFERROR(__xludf.DUMMYFUNCTION("""COMPUTED_VALUE"""),TRUE)</f>
        <v>1</v>
      </c>
      <c r="BC106" s="5" t="str">
        <f>IFERROR(__xludf.DUMMYFUNCTION("""COMPUTED_VALUE"""),"Redstone")</f>
        <v>Redstone</v>
      </c>
      <c r="BD106" s="7" t="str">
        <f>IFERROR(__xludf.DUMMYFUNCTION("""COMPUTED_VALUE"""),"https://static.redstone.rs/games/40-clover-fire/")</f>
        <v>https://static.redstone.rs/games/40-clover-fire/</v>
      </c>
      <c r="BE106" s="5" t="b">
        <f>IFERROR(__xludf.DUMMYFUNCTION("""COMPUTED_VALUE"""),TRUE)</f>
        <v>1</v>
      </c>
    </row>
    <row r="107">
      <c r="A107" s="5">
        <f>IFERROR(__xludf.DUMMYFUNCTION("""COMPUTED_VALUE"""),106.0)</f>
        <v>106</v>
      </c>
      <c r="B107" s="5">
        <f>IFERROR(__xludf.DUMMYFUNCTION("""COMPUTED_VALUE"""),105.0)</f>
        <v>105</v>
      </c>
      <c r="C107" s="5" t="str">
        <f>IFERROR(__xludf.DUMMYFUNCTION("""COMPUTED_VALUE"""),"Fazi")</f>
        <v>Fazi</v>
      </c>
      <c r="D107" s="5" t="str">
        <f>IFERROR(__xludf.DUMMYFUNCTION("""COMPUTED_VALUE"""),"Very Hot 5")</f>
        <v>Very Hot 5</v>
      </c>
      <c r="E107" s="5" t="str">
        <f>IFERROR(__xludf.DUMMYFUNCTION("""COMPUTED_VALUE"""),"V2")</f>
        <v>V2</v>
      </c>
      <c r="F107" s="5" t="str">
        <f>IFERROR(__xludf.DUMMYFUNCTION("""COMPUTED_VALUE"""),"VeryHot5")</f>
        <v>VeryHot5</v>
      </c>
      <c r="G107" s="5" t="str">
        <f>IFERROR(__xludf.DUMMYFUNCTION("""COMPUTED_VALUE"""),"Live")</f>
        <v>Live</v>
      </c>
      <c r="H107" s="5"/>
      <c r="I107" s="5" t="str">
        <f>IFERROR(__xludf.DUMMYFUNCTION("""COMPUTED_VALUE"""),"V2")</f>
        <v>V2</v>
      </c>
      <c r="J107" s="5" t="str">
        <f>IFERROR(__xludf.DUMMYFUNCTION("""COMPUTED_VALUE"""),"JSON")</f>
        <v>JSON</v>
      </c>
      <c r="K107" s="5" t="str">
        <f>IFERROR(__xludf.DUMMYFUNCTION("""COMPUTED_VALUE"""),"Slot")</f>
        <v>Slot</v>
      </c>
      <c r="L107" s="5" t="str">
        <f>IFERROR(__xludf.DUMMYFUNCTION("""COMPUTED_VALUE"""),"Clone")</f>
        <v>Clone</v>
      </c>
      <c r="M107" s="5" t="str">
        <f>IFERROR(__xludf.DUMMYFUNCTION("""COMPUTED_VALUE"""),"Bursting Hot 5")</f>
        <v>Bursting Hot 5</v>
      </c>
      <c r="N107" s="5"/>
      <c r="O107" s="5"/>
      <c r="P107" s="12">
        <f>IFERROR(__xludf.DUMMYFUNCTION("""COMPUTED_VALUE"""),17.3)</f>
        <v>17.3</v>
      </c>
      <c r="Q107" s="13">
        <f>IFERROR(__xludf.DUMMYFUNCTION("""COMPUTED_VALUE"""),44420.0)</f>
        <v>44420</v>
      </c>
      <c r="R107" s="14"/>
      <c r="S107" s="13">
        <f>IFERROR(__xludf.DUMMYFUNCTION("""COMPUTED_VALUE"""),44420.0)</f>
        <v>44420</v>
      </c>
      <c r="T107" s="5"/>
      <c r="U107" s="5" t="str">
        <f>IFERROR(__xludf.DUMMYFUNCTION("""COMPUTED_VALUE"""),"5x3")</f>
        <v>5x3</v>
      </c>
      <c r="V107" s="10" t="str">
        <f>IFERROR(__xludf.DUMMYFUNCTION("""COMPUTED_VALUE"""),"5")</f>
        <v>5</v>
      </c>
      <c r="W107" s="10" t="str">
        <f>IFERROR(__xludf.DUMMYFUNCTION("""COMPUTED_VALUE"""),"5")</f>
        <v>5</v>
      </c>
      <c r="X107" s="5">
        <f>IFERROR(__xludf.DUMMYFUNCTION("""COMPUTED_VALUE"""),96.447)</f>
        <v>96.447</v>
      </c>
      <c r="Y107" s="5" t="str">
        <f>IFERROR(__xludf.DUMMYFUNCTION("""COMPUTED_VALUE"""),"Medium")</f>
        <v>Medium</v>
      </c>
      <c r="Z107" s="5">
        <f>IFERROR(__xludf.DUMMYFUNCTION("""COMPUTED_VALUE"""),14.510000000000002)</f>
        <v>14.51</v>
      </c>
      <c r="AA107" s="12">
        <f>IFERROR(__xludf.DUMMYFUNCTION("""COMPUTED_VALUE"""),1222.0)</f>
        <v>1222</v>
      </c>
      <c r="AB107" s="5">
        <f>IFERROR(__xludf.DUMMYFUNCTION("""COMPUTED_VALUE"""),4.0)</f>
        <v>4</v>
      </c>
      <c r="AC107" s="5" t="str">
        <f>IFERROR(__xludf.DUMMYFUNCTION("""COMPUTED_VALUE"""),"Scatter, Expanding Wild")</f>
        <v>Scatter, Expanding Wild</v>
      </c>
      <c r="AD107" s="5" t="str">
        <f>IFERROR(__xludf.DUMMYFUNCTION("""COMPUTED_VALUE"""),"0.05/30")</f>
        <v>0.05/30</v>
      </c>
      <c r="AE107" s="5"/>
      <c r="AF107" s="5"/>
      <c r="AG107" s="8">
        <f>IFERROR(__xludf.DUMMYFUNCTION("""COMPUTED_VALUE"""),46056.45375)</f>
        <v>46056.45375</v>
      </c>
      <c r="AH107" s="5" t="str">
        <f>IFERROR(__xludf.DUMMYFUNCTION("""COMPUTED_VALUE"""),"aleksandar.trajkovic@fazi.rs")</f>
        <v>aleksandar.trajkovic@fazi.rs</v>
      </c>
      <c r="AI107" s="5"/>
      <c r="AJ107" s="5"/>
      <c r="AK107" s="5">
        <f>IFERROR(__xludf.DUMMYFUNCTION("""COMPUTED_VALUE"""),5.0)</f>
        <v>5</v>
      </c>
      <c r="AL107" s="5" t="str">
        <f>IFERROR(__xludf.DUMMYFUNCTION("""COMPUTED_VALUE"""),"Yes")</f>
        <v>Yes</v>
      </c>
      <c r="AM107" s="5"/>
      <c r="AN107" s="7" t="str">
        <f>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AO107" s="5" t="str">
        <f>IFERROR(__xludf.DUMMYFUNCTION("""COMPUTED_VALUE"""),"Yes")</f>
        <v>Yes</v>
      </c>
      <c r="AP107" s="5" t="str">
        <f>IFERROR(__xludf.DUMMYFUNCTION("""COMPUTED_VALUE"""),"Yes")</f>
        <v>Yes</v>
      </c>
      <c r="AQ107" s="5" t="b">
        <f>IFERROR(__xludf.DUMMYFUNCTION("""COMPUTED_VALUE"""),TRUE)</f>
        <v>1</v>
      </c>
      <c r="AR107" s="5"/>
      <c r="AS107" s="5" t="str">
        <f>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AT107" s="5"/>
      <c r="AU107" s="5" t="str">
        <f>IFERROR(__xludf.DUMMYFUNCTION("""COMPUTED_VALUE"""),"Fazi")</f>
        <v>Fazi</v>
      </c>
      <c r="AV107" s="5"/>
      <c r="AW107" s="5"/>
      <c r="AX107" s="5"/>
      <c r="AY107" s="5" t="str">
        <f>IFERROR(__xludf.DUMMYFUNCTION("""COMPUTED_VALUE"""),"87.5%, 89.5%, 91.5%, 93.5%, 94.5%, 95.5%, 96.5%")</f>
        <v>87.5%, 89.5%, 91.5%, 93.5%, 94.5%, 95.5%, 96.5%</v>
      </c>
      <c r="AZ107" s="5"/>
      <c r="BA107" s="5" t="str">
        <f>IFERROR(__xludf.DUMMYFUNCTION("""COMPUTED_VALUE"""),"")</f>
        <v/>
      </c>
      <c r="BB107" s="5"/>
      <c r="BC107" s="5" t="str">
        <f>IFERROR(__xludf.DUMMYFUNCTION("""COMPUTED_VALUE"""),"Foxi")</f>
        <v>Foxi</v>
      </c>
      <c r="BD107" s="7" t="str">
        <f>IFERROR(__xludf.DUMMYFUNCTION("""COMPUTED_VALUE"""),"https://gameserver-store-client-area.orbionlimited.com/Home/IntegrationGameLaunch/client-area?moneyType=0&amp;gameName=VeryHot5&amp;platform=desktop&amp;languageCode=eng&amp;currency=EUR")</f>
        <v>https://gameserver-store-client-area.orbionlimited.com/Home/IntegrationGameLaunch/client-area?moneyType=0&amp;gameName=VeryHot5&amp;platform=desktop&amp;languageCode=eng&amp;currency=EUR</v>
      </c>
      <c r="BE107" s="5" t="b">
        <f>IFERROR(__xludf.DUMMYFUNCTION("""COMPUTED_VALUE"""),TRUE)</f>
        <v>1</v>
      </c>
    </row>
    <row r="108">
      <c r="A108" s="5">
        <f>IFERROR(__xludf.DUMMYFUNCTION("""COMPUTED_VALUE"""),107.0)</f>
        <v>107</v>
      </c>
      <c r="B108" s="5">
        <f>IFERROR(__xludf.DUMMYFUNCTION("""COMPUTED_VALUE"""),106.0)</f>
        <v>106</v>
      </c>
      <c r="C108" s="5" t="str">
        <f>IFERROR(__xludf.DUMMYFUNCTION("""COMPUTED_VALUE"""),"Fazi")</f>
        <v>Fazi</v>
      </c>
      <c r="D108" s="5" t="str">
        <f>IFERROR(__xludf.DUMMYFUNCTION("""COMPUTED_VALUE"""),"Very Hot 40")</f>
        <v>Very Hot 40</v>
      </c>
      <c r="E108" s="5" t="str">
        <f>IFERROR(__xludf.DUMMYFUNCTION("""COMPUTED_VALUE"""),"V2")</f>
        <v>V2</v>
      </c>
      <c r="F108" s="5" t="str">
        <f>IFERROR(__xludf.DUMMYFUNCTION("""COMPUTED_VALUE"""),"VeryHot40")</f>
        <v>VeryHot40</v>
      </c>
      <c r="G108" s="5" t="str">
        <f>IFERROR(__xludf.DUMMYFUNCTION("""COMPUTED_VALUE"""),"Live")</f>
        <v>Live</v>
      </c>
      <c r="H108" s="5"/>
      <c r="I108" s="5" t="str">
        <f>IFERROR(__xludf.DUMMYFUNCTION("""COMPUTED_VALUE"""),"V2")</f>
        <v>V2</v>
      </c>
      <c r="J108" s="5" t="str">
        <f>IFERROR(__xludf.DUMMYFUNCTION("""COMPUTED_VALUE"""),"JSON")</f>
        <v>JSON</v>
      </c>
      <c r="K108" s="5" t="str">
        <f>IFERROR(__xludf.DUMMYFUNCTION("""COMPUTED_VALUE"""),"Slot")</f>
        <v>Slot</v>
      </c>
      <c r="L108" s="5" t="str">
        <f>IFERROR(__xludf.DUMMYFUNCTION("""COMPUTED_VALUE"""),"Clone")</f>
        <v>Clone</v>
      </c>
      <c r="M108" s="5" t="str">
        <f>IFERROR(__xludf.DUMMYFUNCTION("""COMPUTED_VALUE"""),"Bursting Hot 40")</f>
        <v>Bursting Hot 40</v>
      </c>
      <c r="N108" s="5"/>
      <c r="O108" s="5"/>
      <c r="P108" s="12">
        <f>IFERROR(__xludf.DUMMYFUNCTION("""COMPUTED_VALUE"""),17.4)</f>
        <v>17.4</v>
      </c>
      <c r="Q108" s="13">
        <f>IFERROR(__xludf.DUMMYFUNCTION("""COMPUTED_VALUE"""),44420.0)</f>
        <v>44420</v>
      </c>
      <c r="R108" s="14"/>
      <c r="S108" s="13">
        <f>IFERROR(__xludf.DUMMYFUNCTION("""COMPUTED_VALUE"""),44420.0)</f>
        <v>44420</v>
      </c>
      <c r="T108" s="5" t="b">
        <f>IFERROR(__xludf.DUMMYFUNCTION("""COMPUTED_VALUE"""),TRUE)</f>
        <v>1</v>
      </c>
      <c r="U108" s="5" t="str">
        <f>IFERROR(__xludf.DUMMYFUNCTION("""COMPUTED_VALUE"""),"5x3")</f>
        <v>5x3</v>
      </c>
      <c r="V108" s="10" t="str">
        <f>IFERROR(__xludf.DUMMYFUNCTION("""COMPUTED_VALUE"""),"40")</f>
        <v>40</v>
      </c>
      <c r="W108" s="10" t="str">
        <f>IFERROR(__xludf.DUMMYFUNCTION("""COMPUTED_VALUE"""),"40")</f>
        <v>40</v>
      </c>
      <c r="X108" s="5">
        <f>IFERROR(__xludf.DUMMYFUNCTION("""COMPUTED_VALUE"""),96.53)</f>
        <v>96.53</v>
      </c>
      <c r="Y108" s="5" t="str">
        <f>IFERROR(__xludf.DUMMYFUNCTION("""COMPUTED_VALUE"""),"Low")</f>
        <v>Low</v>
      </c>
      <c r="Z108" s="5">
        <f>IFERROR(__xludf.DUMMYFUNCTION("""COMPUTED_VALUE"""),23.380000000000003)</f>
        <v>23.38</v>
      </c>
      <c r="AA108" s="12">
        <f>IFERROR(__xludf.DUMMYFUNCTION("""COMPUTED_VALUE"""),876.75)</f>
        <v>876.75</v>
      </c>
      <c r="AB108" s="5">
        <f>IFERROR(__xludf.DUMMYFUNCTION("""COMPUTED_VALUE"""),4.0)</f>
        <v>4</v>
      </c>
      <c r="AC108" s="5" t="str">
        <f>IFERROR(__xludf.DUMMYFUNCTION("""COMPUTED_VALUE"""),"Scatter, Expanding Wild")</f>
        <v>Scatter, Expanding Wild</v>
      </c>
      <c r="AD108" s="5" t="str">
        <f>IFERROR(__xludf.DUMMYFUNCTION("""COMPUTED_VALUE"""),"0.4/60")</f>
        <v>0.4/60</v>
      </c>
      <c r="AE108" s="5"/>
      <c r="AF108" s="5"/>
      <c r="AG108" s="8">
        <f>IFERROR(__xludf.DUMMYFUNCTION("""COMPUTED_VALUE"""),46056.453831018516)</f>
        <v>46056.45383</v>
      </c>
      <c r="AH108" s="5" t="str">
        <f>IFERROR(__xludf.DUMMYFUNCTION("""COMPUTED_VALUE"""),"aleksandar.trajkovic@fazi.rs")</f>
        <v>aleksandar.trajkovic@fazi.rs</v>
      </c>
      <c r="AI108" s="5"/>
      <c r="AJ108" s="5"/>
      <c r="AK108" s="5">
        <f>IFERROR(__xludf.DUMMYFUNCTION("""COMPUTED_VALUE"""),40.0)</f>
        <v>40</v>
      </c>
      <c r="AL108" s="5" t="str">
        <f>IFERROR(__xludf.DUMMYFUNCTION("""COMPUTED_VALUE"""),"Yes")</f>
        <v>Yes</v>
      </c>
      <c r="AM108" s="5"/>
      <c r="AN108" s="7" t="str">
        <f>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AO108" s="5" t="str">
        <f>IFERROR(__xludf.DUMMYFUNCTION("""COMPUTED_VALUE"""),"Yes")</f>
        <v>Yes</v>
      </c>
      <c r="AP108" s="5" t="str">
        <f>IFERROR(__xludf.DUMMYFUNCTION("""COMPUTED_VALUE"""),"Yes")</f>
        <v>Yes</v>
      </c>
      <c r="AQ108" s="5" t="b">
        <f>IFERROR(__xludf.DUMMYFUNCTION("""COMPUTED_VALUE"""),TRUE)</f>
        <v>1</v>
      </c>
      <c r="AR108" s="5"/>
      <c r="AS108" s="5" t="str">
        <f>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AT108" s="5"/>
      <c r="AU108" s="5" t="str">
        <f>IFERROR(__xludf.DUMMYFUNCTION("""COMPUTED_VALUE"""),"Fazi")</f>
        <v>Fazi</v>
      </c>
      <c r="AV108" s="5"/>
      <c r="AW108" s="5"/>
      <c r="AX108" s="5"/>
      <c r="AY108" s="5" t="str">
        <f>IFERROR(__xludf.DUMMYFUNCTION("""COMPUTED_VALUE"""),"87.5%, 89.5%, 91.5%, 93.5%, 94.5%, 95.5%, 96.5%")</f>
        <v>87.5%, 89.5%, 91.5%, 93.5%, 94.5%, 95.5%, 96.5%</v>
      </c>
      <c r="AZ108" s="5"/>
      <c r="BA108" s="5" t="str">
        <f>IFERROR(__xludf.DUMMYFUNCTION("""COMPUTED_VALUE"""),"")</f>
        <v/>
      </c>
      <c r="BB108" s="5"/>
      <c r="BC108" s="5" t="str">
        <f>IFERROR(__xludf.DUMMYFUNCTION("""COMPUTED_VALUE"""),"Foxi")</f>
        <v>Foxi</v>
      </c>
      <c r="BD108" s="7" t="str">
        <f>IFERROR(__xludf.DUMMYFUNCTION("""COMPUTED_VALUE"""),"https://gameserver-store-client-area.orbionlimited.com/Home/IntegrationGameLaunch/client-area?moneyType=0&amp;gameName=VeryHot40&amp;platform=desktop&amp;languageCode=eng&amp;currency=EUR")</f>
        <v>https://gameserver-store-client-area.orbionlimited.com/Home/IntegrationGameLaunch/client-area?moneyType=0&amp;gameName=VeryHot40&amp;platform=desktop&amp;languageCode=eng&amp;currency=EUR</v>
      </c>
      <c r="BE108" s="5" t="b">
        <f>IFERROR(__xludf.DUMMYFUNCTION("""COMPUTED_VALUE"""),TRUE)</f>
        <v>1</v>
      </c>
    </row>
    <row r="109">
      <c r="A109" s="5">
        <f>IFERROR(__xludf.DUMMYFUNCTION("""COMPUTED_VALUE"""),108.0)</f>
        <v>108</v>
      </c>
      <c r="B109" s="5">
        <f>IFERROR(__xludf.DUMMYFUNCTION("""COMPUTED_VALUE"""),107.0)</f>
        <v>107</v>
      </c>
      <c r="C109" s="5" t="str">
        <f>IFERROR(__xludf.DUMMYFUNCTION("""COMPUTED_VALUE"""),"Fazi")</f>
        <v>Fazi</v>
      </c>
      <c r="D109" s="5" t="str">
        <f>IFERROR(__xludf.DUMMYFUNCTION("""COMPUTED_VALUE"""),"Jewels Beat")</f>
        <v>Jewels Beat</v>
      </c>
      <c r="E109" s="5" t="str">
        <f>IFERROR(__xludf.DUMMYFUNCTION("""COMPUTED_VALUE"""),"V2")</f>
        <v>V2</v>
      </c>
      <c r="F109" s="5" t="str">
        <f>IFERROR(__xludf.DUMMYFUNCTION("""COMPUTED_VALUE"""),"JewelsBeat")</f>
        <v>JewelsBeat</v>
      </c>
      <c r="G109" s="5" t="str">
        <f>IFERROR(__xludf.DUMMYFUNCTION("""COMPUTED_VALUE"""),"Live")</f>
        <v>Live</v>
      </c>
      <c r="H109" s="5"/>
      <c r="I109" s="5" t="str">
        <f>IFERROR(__xludf.DUMMYFUNCTION("""COMPUTED_VALUE"""),"V2")</f>
        <v>V2</v>
      </c>
      <c r="J109" s="5" t="str">
        <f>IFERROR(__xludf.DUMMYFUNCTION("""COMPUTED_VALUE"""),"Binary")</f>
        <v>Binary</v>
      </c>
      <c r="K109" s="5" t="str">
        <f>IFERROR(__xludf.DUMMYFUNCTION("""COMPUTED_VALUE"""),"Slot")</f>
        <v>Slot</v>
      </c>
      <c r="L109" s="5" t="str">
        <f>IFERROR(__xludf.DUMMYFUNCTION("""COMPUTED_VALUE"""),"Clone")</f>
        <v>Clone</v>
      </c>
      <c r="M109" s="5" t="str">
        <f>IFERROR(__xludf.DUMMYFUNCTION("""COMPUTED_VALUE"""),"Diamonds")</f>
        <v>Diamonds</v>
      </c>
      <c r="N109" s="5"/>
      <c r="O109" s="5"/>
      <c r="P109" s="12">
        <f>IFERROR(__xludf.DUMMYFUNCTION("""COMPUTED_VALUE"""),23.7)</f>
        <v>23.7</v>
      </c>
      <c r="Q109" s="13">
        <f>IFERROR(__xludf.DUMMYFUNCTION("""COMPUTED_VALUE"""),44561.0)</f>
        <v>44561</v>
      </c>
      <c r="R109" s="14"/>
      <c r="S109" s="13">
        <f>IFERROR(__xludf.DUMMYFUNCTION("""COMPUTED_VALUE"""),44561.0)</f>
        <v>44561</v>
      </c>
      <c r="T109" s="5"/>
      <c r="U109" s="5" t="str">
        <f>IFERROR(__xludf.DUMMYFUNCTION("""COMPUTED_VALUE"""),"5x3")</f>
        <v>5x3</v>
      </c>
      <c r="V109" s="10" t="str">
        <f>IFERROR(__xludf.DUMMYFUNCTION("""COMPUTED_VALUE"""),"10")</f>
        <v>10</v>
      </c>
      <c r="W109" s="10" t="str">
        <f>IFERROR(__xludf.DUMMYFUNCTION("""COMPUTED_VALUE"""),"1,3,5,7,10")</f>
        <v>1,3,5,7,10</v>
      </c>
      <c r="X109" s="5">
        <f>IFERROR(__xludf.DUMMYFUNCTION("""COMPUTED_VALUE"""),95.421)</f>
        <v>95.421</v>
      </c>
      <c r="Y109" s="5" t="str">
        <f>IFERROR(__xludf.DUMMYFUNCTION("""COMPUTED_VALUE"""),"Medium")</f>
        <v>Medium</v>
      </c>
      <c r="Z109" s="5">
        <f>IFERROR(__xludf.DUMMYFUNCTION("""COMPUTED_VALUE"""),15.82)</f>
        <v>15.82</v>
      </c>
      <c r="AA109" s="12">
        <f>IFERROR(__xludf.DUMMYFUNCTION("""COMPUTED_VALUE"""),5000.0)</f>
        <v>5000</v>
      </c>
      <c r="AB109" s="5" t="str">
        <f>IFERROR(__xludf.DUMMYFUNCTION("""COMPUTED_VALUE"""),"/")</f>
        <v>/</v>
      </c>
      <c r="AC109" s="5" t="str">
        <f>IFERROR(__xludf.DUMMYFUNCTION("""COMPUTED_VALUE"""),"Adjacent pays, Scatter")</f>
        <v>Adjacent pays, Scatter</v>
      </c>
      <c r="AD109" s="5" t="str">
        <f>IFERROR(__xludf.DUMMYFUNCTION("""COMPUTED_VALUE"""),"0.01/40")</f>
        <v>0.01/40</v>
      </c>
      <c r="AE109" s="5"/>
      <c r="AF109" s="5"/>
      <c r="AG109" s="8">
        <f>IFERROR(__xludf.DUMMYFUNCTION("""COMPUTED_VALUE"""),46055.51215277778)</f>
        <v>46055.51215</v>
      </c>
      <c r="AH109" s="5" t="str">
        <f>IFERROR(__xludf.DUMMYFUNCTION("""COMPUTED_VALUE"""),"djordje.jankovic@fazi.rs")</f>
        <v>djordje.jankovic@fazi.rs</v>
      </c>
      <c r="AI109" s="5"/>
      <c r="AJ109" s="5"/>
      <c r="AK109" s="5">
        <f>IFERROR(__xludf.DUMMYFUNCTION("""COMPUTED_VALUE"""),10.0)</f>
        <v>10</v>
      </c>
      <c r="AL109" s="5" t="str">
        <f>IFERROR(__xludf.DUMMYFUNCTION("""COMPUTED_VALUE"""),"Yes")</f>
        <v>Yes</v>
      </c>
      <c r="AM109" s="5"/>
      <c r="AN109" s="7" t="str">
        <f>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AO109" s="5"/>
      <c r="AP109" s="5"/>
      <c r="AQ109" s="5" t="b">
        <f>IFERROR(__xludf.DUMMYFUNCTION("""COMPUTED_VALUE"""),TRUE)</f>
        <v>1</v>
      </c>
      <c r="AR109" s="5"/>
      <c r="AS109" s="5" t="str">
        <f>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AT109" s="5"/>
      <c r="AU109" s="5" t="str">
        <f>IFERROR(__xludf.DUMMYFUNCTION("""COMPUTED_VALUE"""),"Fazi")</f>
        <v>Fazi</v>
      </c>
      <c r="AV109" s="5"/>
      <c r="AW109" s="5"/>
      <c r="AX109" s="5"/>
      <c r="AY109" s="5"/>
      <c r="AZ109" s="5"/>
      <c r="BA109" s="5" t="str">
        <f>IFERROR(__xludf.DUMMYFUNCTION("""COMPUTED_VALUE"""),"")</f>
        <v/>
      </c>
      <c r="BB109" s="5"/>
      <c r="BC109" s="5" t="str">
        <f>IFERROR(__xludf.DUMMYFUNCTION("""COMPUTED_VALUE"""),"Foxi")</f>
        <v>Foxi</v>
      </c>
      <c r="BD109" s="7" t="str">
        <f>IFERROR(__xludf.DUMMYFUNCTION("""COMPUTED_VALUE"""),"https://gameserver-store-client-area.orbionlimited.com/Home/IntegrationGameLaunch/client-area?moneyType=0&amp;gameName=JewelsBeat&amp;platform=desktop&amp;languageCode=eng&amp;currency=EUR")</f>
        <v>https://gameserver-store-client-area.orbionlimited.com/Home/IntegrationGameLaunch/client-area?moneyType=0&amp;gameName=JewelsBeat&amp;platform=desktop&amp;languageCode=eng&amp;currency=EUR</v>
      </c>
      <c r="BE109" s="5" t="b">
        <f>IFERROR(__xludf.DUMMYFUNCTION("""COMPUTED_VALUE"""),TRUE)</f>
        <v>1</v>
      </c>
    </row>
    <row r="110">
      <c r="A110" s="5">
        <f>IFERROR(__xludf.DUMMYFUNCTION("""COMPUTED_VALUE"""),109.0)</f>
        <v>109</v>
      </c>
      <c r="B110" s="5">
        <f>IFERROR(__xludf.DUMMYFUNCTION("""COMPUTED_VALUE"""),108.0)</f>
        <v>108</v>
      </c>
      <c r="C110" s="5" t="str">
        <f>IFERROR(__xludf.DUMMYFUNCTION("""COMPUTED_VALUE"""),"Fazi")</f>
        <v>Fazi</v>
      </c>
      <c r="D110" s="5" t="str">
        <f>IFERROR(__xludf.DUMMYFUNCTION("""COMPUTED_VALUE"""),"Heating Ice")</f>
        <v>Heating Ice</v>
      </c>
      <c r="E110" s="5" t="str">
        <f>IFERROR(__xludf.DUMMYFUNCTION("""COMPUTED_VALUE"""),"V2")</f>
        <v>V2</v>
      </c>
      <c r="F110" s="5" t="str">
        <f>IFERROR(__xludf.DUMMYFUNCTION("""COMPUTED_VALUE"""),"HeatingIce")</f>
        <v>HeatingIce</v>
      </c>
      <c r="G110" s="5" t="str">
        <f>IFERROR(__xludf.DUMMYFUNCTION("""COMPUTED_VALUE"""),"Live")</f>
        <v>Live</v>
      </c>
      <c r="H110" s="5"/>
      <c r="I110" s="5" t="str">
        <f>IFERROR(__xludf.DUMMYFUNCTION("""COMPUTED_VALUE"""),"V2")</f>
        <v>V2</v>
      </c>
      <c r="J110" s="5" t="str">
        <f>IFERROR(__xludf.DUMMYFUNCTION("""COMPUTED_VALUE"""),"Binary")</f>
        <v>Binary</v>
      </c>
      <c r="K110" s="5" t="str">
        <f>IFERROR(__xludf.DUMMYFUNCTION("""COMPUTED_VALUE"""),"Slot")</f>
        <v>Slot</v>
      </c>
      <c r="L110" s="5" t="str">
        <f>IFERROR(__xludf.DUMMYFUNCTION("""COMPUTED_VALUE"""),"Clone")</f>
        <v>Clone</v>
      </c>
      <c r="M110" s="5" t="str">
        <f>IFERROR(__xludf.DUMMYFUNCTION("""COMPUTED_VALUE"""),"Burning Ice")</f>
        <v>Burning Ice</v>
      </c>
      <c r="N110" s="5"/>
      <c r="O110" s="5"/>
      <c r="P110" s="12">
        <f>IFERROR(__xludf.DUMMYFUNCTION("""COMPUTED_VALUE"""),35.5)</f>
        <v>35.5</v>
      </c>
      <c r="Q110" s="13">
        <f>IFERROR(__xludf.DUMMYFUNCTION("""COMPUTED_VALUE"""),44561.0)</f>
        <v>44561</v>
      </c>
      <c r="R110" s="14"/>
      <c r="S110" s="13">
        <f>IFERROR(__xludf.DUMMYFUNCTION("""COMPUTED_VALUE"""),44561.0)</f>
        <v>44561</v>
      </c>
      <c r="T110" s="5" t="b">
        <f>IFERROR(__xludf.DUMMYFUNCTION("""COMPUTED_VALUE"""),TRUE)</f>
        <v>1</v>
      </c>
      <c r="U110" s="5" t="str">
        <f>IFERROR(__xludf.DUMMYFUNCTION("""COMPUTED_VALUE"""),"3x3")</f>
        <v>3x3</v>
      </c>
      <c r="V110" s="10" t="str">
        <f>IFERROR(__xludf.DUMMYFUNCTION("""COMPUTED_VALUE"""),"27")</f>
        <v>27</v>
      </c>
      <c r="W110" s="10" t="str">
        <f>IFERROR(__xludf.DUMMYFUNCTION("""COMPUTED_VALUE"""),"27")</f>
        <v>27</v>
      </c>
      <c r="X110" s="5">
        <f>IFERROR(__xludf.DUMMYFUNCTION("""COMPUTED_VALUE"""),96.352)</f>
        <v>96.352</v>
      </c>
      <c r="Y110" s="5" t="str">
        <f>IFERROR(__xludf.DUMMYFUNCTION("""COMPUTED_VALUE"""),"Medium")</f>
        <v>Medium</v>
      </c>
      <c r="Z110" s="5">
        <f>IFERROR(__xludf.DUMMYFUNCTION("""COMPUTED_VALUE"""),8.02)</f>
        <v>8.02</v>
      </c>
      <c r="AA110" s="12">
        <f>IFERROR(__xludf.DUMMYFUNCTION("""COMPUTED_VALUE"""),360.0)</f>
        <v>360</v>
      </c>
      <c r="AB110" s="5"/>
      <c r="AC110" s="5" t="str">
        <f>IFERROR(__xludf.DUMMYFUNCTION("""COMPUTED_VALUE"""),"Respin, Mystery symbol")</f>
        <v>Respin, Mystery symbol</v>
      </c>
      <c r="AD110" s="5" t="str">
        <f>IFERROR(__xludf.DUMMYFUNCTION("""COMPUTED_VALUE"""),"0.1/50")</f>
        <v>0.1/50</v>
      </c>
      <c r="AE110" s="5"/>
      <c r="AF110" s="5"/>
      <c r="AG110" s="5"/>
      <c r="AH110" s="5"/>
      <c r="AI110" s="5"/>
      <c r="AJ110" s="5"/>
      <c r="AK110" s="5">
        <f>IFERROR(__xludf.DUMMYFUNCTION("""COMPUTED_VALUE"""),1.0)</f>
        <v>1</v>
      </c>
      <c r="AL110" s="5" t="str">
        <f>IFERROR(__xludf.DUMMYFUNCTION("""COMPUTED_VALUE"""),"Yes")</f>
        <v>Yes</v>
      </c>
      <c r="AM110" s="5"/>
      <c r="AN110" s="7" t="str">
        <f>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AO110" s="5"/>
      <c r="AP110" s="5"/>
      <c r="AQ110" s="5" t="b">
        <f>IFERROR(__xludf.DUMMYFUNCTION("""COMPUTED_VALUE"""),TRUE)</f>
        <v>1</v>
      </c>
      <c r="AR110" s="5"/>
      <c r="AS110" s="5" t="str">
        <f>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AT110" s="5"/>
      <c r="AU110" s="5" t="str">
        <f>IFERROR(__xludf.DUMMYFUNCTION("""COMPUTED_VALUE"""),"Fazi")</f>
        <v>Fazi</v>
      </c>
      <c r="AV110" s="5"/>
      <c r="AW110" s="5"/>
      <c r="AX110" s="5"/>
      <c r="AY110" s="5"/>
      <c r="AZ110" s="5"/>
      <c r="BA110" s="5" t="str">
        <f>IFERROR(__xludf.DUMMYFUNCTION("""COMPUTED_VALUE"""),"")</f>
        <v/>
      </c>
      <c r="BB110" s="5"/>
      <c r="BC110" s="5" t="str">
        <f>IFERROR(__xludf.DUMMYFUNCTION("""COMPUTED_VALUE"""),"Foxi")</f>
        <v>Foxi</v>
      </c>
      <c r="BD110" s="7" t="str">
        <f>IFERROR(__xludf.DUMMYFUNCTION("""COMPUTED_VALUE"""),"https://gameserver-store-client-area.orbionlimited.com/Home/IntegrationGameLaunch/client-area?moneyType=0&amp;gameName=HeatingIce&amp;platform=desktop&amp;languageCode=eng&amp;currency=EUR")</f>
        <v>https://gameserver-store-client-area.orbionlimited.com/Home/IntegrationGameLaunch/client-area?moneyType=0&amp;gameName=HeatingIce&amp;platform=desktop&amp;languageCode=eng&amp;currency=EUR</v>
      </c>
      <c r="BE110" s="5" t="b">
        <f>IFERROR(__xludf.DUMMYFUNCTION("""COMPUTED_VALUE"""),TRUE)</f>
        <v>1</v>
      </c>
    </row>
    <row r="111">
      <c r="A111" s="5">
        <f>IFERROR(__xludf.DUMMYFUNCTION("""COMPUTED_VALUE"""),110.0)</f>
        <v>110</v>
      </c>
      <c r="B111" s="5">
        <f>IFERROR(__xludf.DUMMYFUNCTION("""COMPUTED_VALUE"""),109.0)</f>
        <v>109</v>
      </c>
      <c r="C111" s="5" t="str">
        <f>IFERROR(__xludf.DUMMYFUNCTION("""COMPUTED_VALUE"""),"Fazi")</f>
        <v>Fazi</v>
      </c>
      <c r="D111" s="5" t="str">
        <f>IFERROR(__xludf.DUMMYFUNCTION("""COMPUTED_VALUE"""),"Heating Ice Deluxe")</f>
        <v>Heating Ice Deluxe</v>
      </c>
      <c r="E111" s="5" t="str">
        <f>IFERROR(__xludf.DUMMYFUNCTION("""COMPUTED_VALUE"""),"V2")</f>
        <v>V2</v>
      </c>
      <c r="F111" s="5" t="str">
        <f>IFERROR(__xludf.DUMMYFUNCTION("""COMPUTED_VALUE"""),"HeatingIceDeluxe")</f>
        <v>HeatingIceDeluxe</v>
      </c>
      <c r="G111" s="5" t="str">
        <f>IFERROR(__xludf.DUMMYFUNCTION("""COMPUTED_VALUE"""),"Live")</f>
        <v>Live</v>
      </c>
      <c r="H111" s="5"/>
      <c r="I111" s="5" t="str">
        <f>IFERROR(__xludf.DUMMYFUNCTION("""COMPUTED_VALUE"""),"V2")</f>
        <v>V2</v>
      </c>
      <c r="J111" s="5" t="str">
        <f>IFERROR(__xludf.DUMMYFUNCTION("""COMPUTED_VALUE"""),"Binary")</f>
        <v>Binary</v>
      </c>
      <c r="K111" s="5" t="str">
        <f>IFERROR(__xludf.DUMMYFUNCTION("""COMPUTED_VALUE"""),"Slot")</f>
        <v>Slot</v>
      </c>
      <c r="L111" s="5" t="str">
        <f>IFERROR(__xludf.DUMMYFUNCTION("""COMPUTED_VALUE"""),"Clone")</f>
        <v>Clone</v>
      </c>
      <c r="M111" s="5" t="str">
        <f>IFERROR(__xludf.DUMMYFUNCTION("""COMPUTED_VALUE"""),"Burning Ice")</f>
        <v>Burning Ice</v>
      </c>
      <c r="N111" s="5"/>
      <c r="O111" s="5"/>
      <c r="P111" s="12">
        <f>IFERROR(__xludf.DUMMYFUNCTION("""COMPUTED_VALUE"""),38.4)</f>
        <v>38.4</v>
      </c>
      <c r="Q111" s="13">
        <f>IFERROR(__xludf.DUMMYFUNCTION("""COMPUTED_VALUE"""),44551.0)</f>
        <v>44551</v>
      </c>
      <c r="R111" s="14"/>
      <c r="S111" s="13">
        <f>IFERROR(__xludf.DUMMYFUNCTION("""COMPUTED_VALUE"""),44551.0)</f>
        <v>44551</v>
      </c>
      <c r="T111" s="5" t="b">
        <f>IFERROR(__xludf.DUMMYFUNCTION("""COMPUTED_VALUE"""),TRUE)</f>
        <v>1</v>
      </c>
      <c r="U111" s="5" t="str">
        <f>IFERROR(__xludf.DUMMYFUNCTION("""COMPUTED_VALUE"""),"3x3")</f>
        <v>3x3</v>
      </c>
      <c r="V111" s="10" t="str">
        <f>IFERROR(__xludf.DUMMYFUNCTION("""COMPUTED_VALUE"""),"27")</f>
        <v>27</v>
      </c>
      <c r="W111" s="10" t="str">
        <f>IFERROR(__xludf.DUMMYFUNCTION("""COMPUTED_VALUE"""),"27")</f>
        <v>27</v>
      </c>
      <c r="X111" s="5">
        <f>IFERROR(__xludf.DUMMYFUNCTION("""COMPUTED_VALUE"""),96.352)</f>
        <v>96.352</v>
      </c>
      <c r="Y111" s="5" t="str">
        <f>IFERROR(__xludf.DUMMYFUNCTION("""COMPUTED_VALUE"""),"Medium")</f>
        <v>Medium</v>
      </c>
      <c r="Z111" s="5">
        <f>IFERROR(__xludf.DUMMYFUNCTION("""COMPUTED_VALUE"""),8.02)</f>
        <v>8.02</v>
      </c>
      <c r="AA111" s="12">
        <f>IFERROR(__xludf.DUMMYFUNCTION("""COMPUTED_VALUE"""),360.0)</f>
        <v>360</v>
      </c>
      <c r="AB111" s="5"/>
      <c r="AC111" s="5" t="str">
        <f>IFERROR(__xludf.DUMMYFUNCTION("""COMPUTED_VALUE"""),"Respin, Mystery symbol")</f>
        <v>Respin, Mystery symbol</v>
      </c>
      <c r="AD111" s="5" t="str">
        <f>IFERROR(__xludf.DUMMYFUNCTION("""COMPUTED_VALUE"""),"0.1/50")</f>
        <v>0.1/50</v>
      </c>
      <c r="AE111" s="5"/>
      <c r="AF111" s="5"/>
      <c r="AG111" s="5"/>
      <c r="AH111" s="5"/>
      <c r="AI111" s="5"/>
      <c r="AJ111" s="5"/>
      <c r="AK111" s="5">
        <f>IFERROR(__xludf.DUMMYFUNCTION("""COMPUTED_VALUE"""),1.0)</f>
        <v>1</v>
      </c>
      <c r="AL111" s="5" t="str">
        <f>IFERROR(__xludf.DUMMYFUNCTION("""COMPUTED_VALUE"""),"Yes")</f>
        <v>Yes</v>
      </c>
      <c r="AM111" s="5"/>
      <c r="AN111" s="7" t="str">
        <f>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AO111" s="5"/>
      <c r="AP111" s="5"/>
      <c r="AQ111" s="5" t="b">
        <f>IFERROR(__xludf.DUMMYFUNCTION("""COMPUTED_VALUE"""),TRUE)</f>
        <v>1</v>
      </c>
      <c r="AR111" s="5"/>
      <c r="AS111" s="5" t="str">
        <f>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AT111" s="5"/>
      <c r="AU111" s="5" t="str">
        <f>IFERROR(__xludf.DUMMYFUNCTION("""COMPUTED_VALUE"""),"Fazi")</f>
        <v>Fazi</v>
      </c>
      <c r="AV111" s="5"/>
      <c r="AW111" s="5"/>
      <c r="AX111" s="5"/>
      <c r="AY111" s="5"/>
      <c r="AZ111" s="5"/>
      <c r="BA111" s="5" t="str">
        <f>IFERROR(__xludf.DUMMYFUNCTION("""COMPUTED_VALUE"""),"")</f>
        <v/>
      </c>
      <c r="BB111" s="5"/>
      <c r="BC111" s="5" t="str">
        <f>IFERROR(__xludf.DUMMYFUNCTION("""COMPUTED_VALUE"""),"Foxi")</f>
        <v>Foxi</v>
      </c>
      <c r="BD111" s="7" t="str">
        <f>IFERROR(__xludf.DUMMYFUNCTION("""COMPUTED_VALUE"""),"https://gameserver-store-client-area.orbionlimited.com/Home/IntegrationGameLaunch/client-area?moneyType=0&amp;gameName=HeatingIceDeluxe&amp;platform=desktop&amp;languageCode=eng&amp;currency=EUR")</f>
        <v>https://gameserver-store-client-area.orbionlimited.com/Home/IntegrationGameLaunch/client-area?moneyType=0&amp;gameName=HeatingIceDeluxe&amp;platform=desktop&amp;languageCode=eng&amp;currency=EUR</v>
      </c>
      <c r="BE111" s="5" t="b">
        <f>IFERROR(__xludf.DUMMYFUNCTION("""COMPUTED_VALUE"""),TRUE)</f>
        <v>1</v>
      </c>
    </row>
    <row r="112">
      <c r="A112" s="5">
        <f>IFERROR(__xludf.DUMMYFUNCTION("""COMPUTED_VALUE"""),111.0)</f>
        <v>111</v>
      </c>
      <c r="B112" s="5">
        <f>IFERROR(__xludf.DUMMYFUNCTION("""COMPUTED_VALUE"""),110.0)</f>
        <v>110</v>
      </c>
      <c r="C112" s="5" t="str">
        <f>IFERROR(__xludf.DUMMYFUNCTION("""COMPUTED_VALUE"""),"Fazi")</f>
        <v>Fazi</v>
      </c>
      <c r="D112" s="5" t="str">
        <f>IFERROR(__xludf.DUMMYFUNCTION("""COMPUTED_VALUE"""),"Fluo Dice 5")</f>
        <v>Fluo Dice 5</v>
      </c>
      <c r="E112" s="5" t="str">
        <f>IFERROR(__xludf.DUMMYFUNCTION("""COMPUTED_VALUE"""),"V2")</f>
        <v>V2</v>
      </c>
      <c r="F112" s="5" t="str">
        <f>IFERROR(__xludf.DUMMYFUNCTION("""COMPUTED_VALUE"""),"FluoDice5")</f>
        <v>FluoDice5</v>
      </c>
      <c r="G112" s="5" t="str">
        <f>IFERROR(__xludf.DUMMYFUNCTION("""COMPUTED_VALUE"""),"Live")</f>
        <v>Live</v>
      </c>
      <c r="H112" s="5"/>
      <c r="I112" s="5" t="str">
        <f>IFERROR(__xludf.DUMMYFUNCTION("""COMPUTED_VALUE"""),"V2")</f>
        <v>V2</v>
      </c>
      <c r="J112" s="5" t="str">
        <f>IFERROR(__xludf.DUMMYFUNCTION("""COMPUTED_VALUE"""),"Binary")</f>
        <v>Binary</v>
      </c>
      <c r="K112" s="5" t="str">
        <f>IFERROR(__xludf.DUMMYFUNCTION("""COMPUTED_VALUE"""),"Slot")</f>
        <v>Slot</v>
      </c>
      <c r="L112" s="5" t="str">
        <f>IFERROR(__xludf.DUMMYFUNCTION("""COMPUTED_VALUE"""),"Clone")</f>
        <v>Clone</v>
      </c>
      <c r="M112" s="5" t="str">
        <f>IFERROR(__xludf.DUMMYFUNCTION("""COMPUTED_VALUE"""),"Neon Hot 5")</f>
        <v>Neon Hot 5</v>
      </c>
      <c r="N112" s="5"/>
      <c r="O112" s="5"/>
      <c r="P112" s="12">
        <f>IFERROR(__xludf.DUMMYFUNCTION("""COMPUTED_VALUE"""),31.9)</f>
        <v>31.9</v>
      </c>
      <c r="Q112" s="13">
        <f>IFERROR(__xludf.DUMMYFUNCTION("""COMPUTED_VALUE"""),38544.0)</f>
        <v>38544</v>
      </c>
      <c r="R112" s="14"/>
      <c r="S112" s="13">
        <f>IFERROR(__xludf.DUMMYFUNCTION("""COMPUTED_VALUE"""),38544.0)</f>
        <v>38544</v>
      </c>
      <c r="T112" s="5"/>
      <c r="U112" s="5" t="str">
        <f>IFERROR(__xludf.DUMMYFUNCTION("""COMPUTED_VALUE"""),"5x3")</f>
        <v>5x3</v>
      </c>
      <c r="V112" s="10" t="str">
        <f>IFERROR(__xludf.DUMMYFUNCTION("""COMPUTED_VALUE"""),"5")</f>
        <v>5</v>
      </c>
      <c r="W112" s="10" t="str">
        <f>IFERROR(__xludf.DUMMYFUNCTION("""COMPUTED_VALUE"""),"5")</f>
        <v>5</v>
      </c>
      <c r="X112" s="5">
        <f>IFERROR(__xludf.DUMMYFUNCTION("""COMPUTED_VALUE"""),95.74)</f>
        <v>95.74</v>
      </c>
      <c r="Y112" s="5" t="str">
        <f>IFERROR(__xludf.DUMMYFUNCTION("""COMPUTED_VALUE"""),"Medium")</f>
        <v>Medium</v>
      </c>
      <c r="Z112" s="5">
        <f>IFERROR(__xludf.DUMMYFUNCTION("""COMPUTED_VALUE"""),12.55)</f>
        <v>12.55</v>
      </c>
      <c r="AA112" s="12">
        <f>IFERROR(__xludf.DUMMYFUNCTION("""COMPUTED_VALUE"""),1000.0)</f>
        <v>1000</v>
      </c>
      <c r="AB112" s="5" t="str">
        <f>IFERROR(__xludf.DUMMYFUNCTION("""COMPUTED_VALUE"""),"/")</f>
        <v>/</v>
      </c>
      <c r="AC112" s="5" t="str">
        <f>IFERROR(__xludf.DUMMYFUNCTION("""COMPUTED_VALUE"""),"Scatter")</f>
        <v>Scatter</v>
      </c>
      <c r="AD112" s="5" t="str">
        <f>IFERROR(__xludf.DUMMYFUNCTION("""COMPUTED_VALUE"""),"0.05/30")</f>
        <v>0.05/30</v>
      </c>
      <c r="AE112" s="5"/>
      <c r="AF112" s="5"/>
      <c r="AG112" s="8">
        <f>IFERROR(__xludf.DUMMYFUNCTION("""COMPUTED_VALUE"""),46055.51263888889)</f>
        <v>46055.51264</v>
      </c>
      <c r="AH112" s="5" t="str">
        <f>IFERROR(__xludf.DUMMYFUNCTION("""COMPUTED_VALUE"""),"djordje.jankovic@fazi.rs")</f>
        <v>djordje.jankovic@fazi.rs</v>
      </c>
      <c r="AI112" s="5"/>
      <c r="AJ112" s="5"/>
      <c r="AK112" s="5">
        <f>IFERROR(__xludf.DUMMYFUNCTION("""COMPUTED_VALUE"""),5.0)</f>
        <v>5</v>
      </c>
      <c r="AL112" s="5" t="str">
        <f>IFERROR(__xludf.DUMMYFUNCTION("""COMPUTED_VALUE"""),"Yes")</f>
        <v>Yes</v>
      </c>
      <c r="AM112" s="5"/>
      <c r="AN112" s="7" t="str">
        <f>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AO112" s="5"/>
      <c r="AP112" s="5"/>
      <c r="AQ112" s="5" t="b">
        <f>IFERROR(__xludf.DUMMYFUNCTION("""COMPUTED_VALUE"""),TRUE)</f>
        <v>1</v>
      </c>
      <c r="AR112" s="5"/>
      <c r="AS112" s="5" t="str">
        <f>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AT112" s="5"/>
      <c r="AU112" s="5" t="str">
        <f>IFERROR(__xludf.DUMMYFUNCTION("""COMPUTED_VALUE"""),"Fazi")</f>
        <v>Fazi</v>
      </c>
      <c r="AV112" s="5"/>
      <c r="AW112" s="5"/>
      <c r="AX112" s="5"/>
      <c r="AY112" s="5"/>
      <c r="AZ112" s="5"/>
      <c r="BA112" s="5" t="str">
        <f>IFERROR(__xludf.DUMMYFUNCTION("""COMPUTED_VALUE"""),"")</f>
        <v/>
      </c>
      <c r="BB112" s="5"/>
      <c r="BC112" s="5" t="str">
        <f>IFERROR(__xludf.DUMMYFUNCTION("""COMPUTED_VALUE"""),"Foxi")</f>
        <v>Foxi</v>
      </c>
      <c r="BD112" s="7" t="str">
        <f>IFERROR(__xludf.DUMMYFUNCTION("""COMPUTED_VALUE"""),"https://gameserver-store-client-area.orbionlimited.com/Home/IntegrationGameLaunch/client-area?moneyType=0&amp;gameName=FluoDice5&amp;platform=desktop&amp;languageCode=eng&amp;currency=EUR")</f>
        <v>https://gameserver-store-client-area.orbionlimited.com/Home/IntegrationGameLaunch/client-area?moneyType=0&amp;gameName=FluoDice5&amp;platform=desktop&amp;languageCode=eng&amp;currency=EUR</v>
      </c>
      <c r="BE112" s="5" t="b">
        <f>IFERROR(__xludf.DUMMYFUNCTION("""COMPUTED_VALUE"""),TRUE)</f>
        <v>1</v>
      </c>
    </row>
    <row r="113">
      <c r="A113" s="5">
        <f>IFERROR(__xludf.DUMMYFUNCTION("""COMPUTED_VALUE"""),112.0)</f>
        <v>112</v>
      </c>
      <c r="B113" s="5">
        <f>IFERROR(__xludf.DUMMYFUNCTION("""COMPUTED_VALUE"""),111.0)</f>
        <v>111</v>
      </c>
      <c r="C113" s="5" t="str">
        <f>IFERROR(__xludf.DUMMYFUNCTION("""COMPUTED_VALUE"""),"Fazi")</f>
        <v>Fazi</v>
      </c>
      <c r="D113" s="5" t="str">
        <f>IFERROR(__xludf.DUMMYFUNCTION("""COMPUTED_VALUE"""),"Fluo Hot 5")</f>
        <v>Fluo Hot 5</v>
      </c>
      <c r="E113" s="5" t="str">
        <f>IFERROR(__xludf.DUMMYFUNCTION("""COMPUTED_VALUE"""),"V2")</f>
        <v>V2</v>
      </c>
      <c r="F113" s="5" t="str">
        <f>IFERROR(__xludf.DUMMYFUNCTION("""COMPUTED_VALUE"""),"FluoHot5")</f>
        <v>FluoHot5</v>
      </c>
      <c r="G113" s="5" t="str">
        <f>IFERROR(__xludf.DUMMYFUNCTION("""COMPUTED_VALUE"""),"Live")</f>
        <v>Live</v>
      </c>
      <c r="H113" s="5"/>
      <c r="I113" s="5" t="str">
        <f>IFERROR(__xludf.DUMMYFUNCTION("""COMPUTED_VALUE"""),"V2")</f>
        <v>V2</v>
      </c>
      <c r="J113" s="5" t="str">
        <f>IFERROR(__xludf.DUMMYFUNCTION("""COMPUTED_VALUE"""),"Binary")</f>
        <v>Binary</v>
      </c>
      <c r="K113" s="5" t="str">
        <f>IFERROR(__xludf.DUMMYFUNCTION("""COMPUTED_VALUE"""),"Slot")</f>
        <v>Slot</v>
      </c>
      <c r="L113" s="5" t="str">
        <f>IFERROR(__xludf.DUMMYFUNCTION("""COMPUTED_VALUE"""),"Clone")</f>
        <v>Clone</v>
      </c>
      <c r="M113" s="5" t="str">
        <f>IFERROR(__xludf.DUMMYFUNCTION("""COMPUTED_VALUE"""),"Neon Hot 5")</f>
        <v>Neon Hot 5</v>
      </c>
      <c r="N113" s="5"/>
      <c r="O113" s="5"/>
      <c r="P113" s="12">
        <f>IFERROR(__xludf.DUMMYFUNCTION("""COMPUTED_VALUE"""),33.0)</f>
        <v>33</v>
      </c>
      <c r="Q113" s="13">
        <f>IFERROR(__xludf.DUMMYFUNCTION("""COMPUTED_VALUE"""),44561.0)</f>
        <v>44561</v>
      </c>
      <c r="R113" s="14"/>
      <c r="S113" s="13">
        <f>IFERROR(__xludf.DUMMYFUNCTION("""COMPUTED_VALUE"""),44561.0)</f>
        <v>44561</v>
      </c>
      <c r="T113" s="5"/>
      <c r="U113" s="5" t="str">
        <f>IFERROR(__xludf.DUMMYFUNCTION("""COMPUTED_VALUE"""),"5x3")</f>
        <v>5x3</v>
      </c>
      <c r="V113" s="10" t="str">
        <f>IFERROR(__xludf.DUMMYFUNCTION("""COMPUTED_VALUE"""),"5")</f>
        <v>5</v>
      </c>
      <c r="W113" s="10" t="str">
        <f>IFERROR(__xludf.DUMMYFUNCTION("""COMPUTED_VALUE"""),"5")</f>
        <v>5</v>
      </c>
      <c r="X113" s="5">
        <f>IFERROR(__xludf.DUMMYFUNCTION("""COMPUTED_VALUE"""),95.74)</f>
        <v>95.74</v>
      </c>
      <c r="Y113" s="5" t="str">
        <f>IFERROR(__xludf.DUMMYFUNCTION("""COMPUTED_VALUE"""),"Medium")</f>
        <v>Medium</v>
      </c>
      <c r="Z113" s="5">
        <f>IFERROR(__xludf.DUMMYFUNCTION("""COMPUTED_VALUE"""),12.55)</f>
        <v>12.55</v>
      </c>
      <c r="AA113" s="12">
        <f>IFERROR(__xludf.DUMMYFUNCTION("""COMPUTED_VALUE"""),1000.0)</f>
        <v>1000</v>
      </c>
      <c r="AB113" s="5" t="str">
        <f>IFERROR(__xludf.DUMMYFUNCTION("""COMPUTED_VALUE"""),"/")</f>
        <v>/</v>
      </c>
      <c r="AC113" s="5" t="str">
        <f>IFERROR(__xludf.DUMMYFUNCTION("""COMPUTED_VALUE"""),"Scatter")</f>
        <v>Scatter</v>
      </c>
      <c r="AD113" s="5" t="str">
        <f>IFERROR(__xludf.DUMMYFUNCTION("""COMPUTED_VALUE"""),"0.05/30")</f>
        <v>0.05/30</v>
      </c>
      <c r="AE113" s="5"/>
      <c r="AF113" s="5"/>
      <c r="AG113" s="8">
        <f>IFERROR(__xludf.DUMMYFUNCTION("""COMPUTED_VALUE"""),46055.51290509259)</f>
        <v>46055.51291</v>
      </c>
      <c r="AH113" s="5" t="str">
        <f>IFERROR(__xludf.DUMMYFUNCTION("""COMPUTED_VALUE"""),"djordje.jankovic@fazi.rs")</f>
        <v>djordje.jankovic@fazi.rs</v>
      </c>
      <c r="AI113" s="5"/>
      <c r="AJ113" s="5"/>
      <c r="AK113" s="5">
        <f>IFERROR(__xludf.DUMMYFUNCTION("""COMPUTED_VALUE"""),5.0)</f>
        <v>5</v>
      </c>
      <c r="AL113" s="5" t="str">
        <f>IFERROR(__xludf.DUMMYFUNCTION("""COMPUTED_VALUE"""),"Yes")</f>
        <v>Yes</v>
      </c>
      <c r="AM113" s="5"/>
      <c r="AN113" s="7" t="str">
        <f>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AO113" s="5"/>
      <c r="AP113" s="5"/>
      <c r="AQ113" s="5" t="b">
        <f>IFERROR(__xludf.DUMMYFUNCTION("""COMPUTED_VALUE"""),TRUE)</f>
        <v>1</v>
      </c>
      <c r="AR113" s="5"/>
      <c r="AS113" s="5" t="str">
        <f>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AT113" s="5"/>
      <c r="AU113" s="5" t="str">
        <f>IFERROR(__xludf.DUMMYFUNCTION("""COMPUTED_VALUE"""),"Fazi")</f>
        <v>Fazi</v>
      </c>
      <c r="AV113" s="5"/>
      <c r="AW113" s="5"/>
      <c r="AX113" s="5"/>
      <c r="AY113" s="5"/>
      <c r="AZ113" s="5"/>
      <c r="BA113" s="5" t="str">
        <f>IFERROR(__xludf.DUMMYFUNCTION("""COMPUTED_VALUE"""),"")</f>
        <v/>
      </c>
      <c r="BB113" s="5"/>
      <c r="BC113" s="5" t="str">
        <f>IFERROR(__xludf.DUMMYFUNCTION("""COMPUTED_VALUE"""),"Foxi")</f>
        <v>Foxi</v>
      </c>
      <c r="BD113" s="7" t="str">
        <f>IFERROR(__xludf.DUMMYFUNCTION("""COMPUTED_VALUE"""),"https://gameserver-store-client-area.orbionlimited.com/Home/IntegrationGameLaunch/client-area?moneyType=0&amp;gameName=FluoHot5&amp;platform=desktop&amp;languageCode=eng&amp;currency=EUR")</f>
        <v>https://gameserver-store-client-area.orbionlimited.com/Home/IntegrationGameLaunch/client-area?moneyType=0&amp;gameName=FluoHot5&amp;platform=desktop&amp;languageCode=eng&amp;currency=EUR</v>
      </c>
      <c r="BE113" s="5" t="b">
        <f>IFERROR(__xludf.DUMMYFUNCTION("""COMPUTED_VALUE"""),TRUE)</f>
        <v>1</v>
      </c>
    </row>
    <row r="114">
      <c r="A114" s="5">
        <f>IFERROR(__xludf.DUMMYFUNCTION("""COMPUTED_VALUE"""),113.0)</f>
        <v>113</v>
      </c>
      <c r="B114" s="5">
        <f>IFERROR(__xludf.DUMMYFUNCTION("""COMPUTED_VALUE"""),112.0)</f>
        <v>112</v>
      </c>
      <c r="C114" s="5" t="str">
        <f>IFERROR(__xludf.DUMMYFUNCTION("""COMPUTED_VALUE"""),"Fazi")</f>
        <v>Fazi</v>
      </c>
      <c r="D114" s="5" t="str">
        <f>IFERROR(__xludf.DUMMYFUNCTION("""COMPUTED_VALUE"""),"Heating Dice")</f>
        <v>Heating Dice</v>
      </c>
      <c r="E114" s="5" t="str">
        <f>IFERROR(__xludf.DUMMYFUNCTION("""COMPUTED_VALUE"""),"V2")</f>
        <v>V2</v>
      </c>
      <c r="F114" s="5" t="str">
        <f>IFERROR(__xludf.DUMMYFUNCTION("""COMPUTED_VALUE"""),"HeatingDice")</f>
        <v>HeatingDice</v>
      </c>
      <c r="G114" s="5" t="str">
        <f>IFERROR(__xludf.DUMMYFUNCTION("""COMPUTED_VALUE"""),"Live")</f>
        <v>Live</v>
      </c>
      <c r="H114" s="5"/>
      <c r="I114" s="5" t="str">
        <f>IFERROR(__xludf.DUMMYFUNCTION("""COMPUTED_VALUE"""),"V2")</f>
        <v>V2</v>
      </c>
      <c r="J114" s="5" t="str">
        <f>IFERROR(__xludf.DUMMYFUNCTION("""COMPUTED_VALUE"""),"Binary")</f>
        <v>Binary</v>
      </c>
      <c r="K114" s="5" t="str">
        <f>IFERROR(__xludf.DUMMYFUNCTION("""COMPUTED_VALUE"""),"Slot")</f>
        <v>Slot</v>
      </c>
      <c r="L114" s="5" t="str">
        <f>IFERROR(__xludf.DUMMYFUNCTION("""COMPUTED_VALUE"""),"Clone")</f>
        <v>Clone</v>
      </c>
      <c r="M114" s="5" t="str">
        <f>IFERROR(__xludf.DUMMYFUNCTION("""COMPUTED_VALUE"""),"Burning Ice")</f>
        <v>Burning Ice</v>
      </c>
      <c r="N114" s="5"/>
      <c r="O114" s="5"/>
      <c r="P114" s="12">
        <f>IFERROR(__xludf.DUMMYFUNCTION("""COMPUTED_VALUE"""),33.1)</f>
        <v>33.1</v>
      </c>
      <c r="Q114" s="13">
        <f>IFERROR(__xludf.DUMMYFUNCTION("""COMPUTED_VALUE"""),44561.0)</f>
        <v>44561</v>
      </c>
      <c r="R114" s="14"/>
      <c r="S114" s="13">
        <f>IFERROR(__xludf.DUMMYFUNCTION("""COMPUTED_VALUE"""),44561.0)</f>
        <v>44561</v>
      </c>
      <c r="T114" s="5" t="b">
        <f>IFERROR(__xludf.DUMMYFUNCTION("""COMPUTED_VALUE"""),TRUE)</f>
        <v>1</v>
      </c>
      <c r="U114" s="5" t="str">
        <f>IFERROR(__xludf.DUMMYFUNCTION("""COMPUTED_VALUE"""),"3x3")</f>
        <v>3x3</v>
      </c>
      <c r="V114" s="10" t="str">
        <f>IFERROR(__xludf.DUMMYFUNCTION("""COMPUTED_VALUE"""),"27")</f>
        <v>27</v>
      </c>
      <c r="W114" s="10" t="str">
        <f>IFERROR(__xludf.DUMMYFUNCTION("""COMPUTED_VALUE"""),"27")</f>
        <v>27</v>
      </c>
      <c r="X114" s="5">
        <f>IFERROR(__xludf.DUMMYFUNCTION("""COMPUTED_VALUE"""),96.352)</f>
        <v>96.352</v>
      </c>
      <c r="Y114" s="5" t="str">
        <f>IFERROR(__xludf.DUMMYFUNCTION("""COMPUTED_VALUE"""),"Medium")</f>
        <v>Medium</v>
      </c>
      <c r="Z114" s="5">
        <f>IFERROR(__xludf.DUMMYFUNCTION("""COMPUTED_VALUE"""),8.02)</f>
        <v>8.02</v>
      </c>
      <c r="AA114" s="12">
        <f>IFERROR(__xludf.DUMMYFUNCTION("""COMPUTED_VALUE"""),360.0)</f>
        <v>360</v>
      </c>
      <c r="AB114" s="5"/>
      <c r="AC114" s="5" t="str">
        <f>IFERROR(__xludf.DUMMYFUNCTION("""COMPUTED_VALUE"""),"Respin, Mystery symbol")</f>
        <v>Respin, Mystery symbol</v>
      </c>
      <c r="AD114" s="5" t="str">
        <f>IFERROR(__xludf.DUMMYFUNCTION("""COMPUTED_VALUE"""),"0.1/50")</f>
        <v>0.1/50</v>
      </c>
      <c r="AE114" s="5"/>
      <c r="AF114" s="5"/>
      <c r="AG114" s="5"/>
      <c r="AH114" s="5"/>
      <c r="AI114" s="5"/>
      <c r="AJ114" s="5"/>
      <c r="AK114" s="5">
        <f>IFERROR(__xludf.DUMMYFUNCTION("""COMPUTED_VALUE"""),1.0)</f>
        <v>1</v>
      </c>
      <c r="AL114" s="5" t="str">
        <f>IFERROR(__xludf.DUMMYFUNCTION("""COMPUTED_VALUE"""),"Yes")</f>
        <v>Yes</v>
      </c>
      <c r="AM114" s="5"/>
      <c r="AN114" s="7" t="str">
        <f>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AO114" s="5"/>
      <c r="AP114" s="5"/>
      <c r="AQ114" s="5" t="b">
        <f>IFERROR(__xludf.DUMMYFUNCTION("""COMPUTED_VALUE"""),TRUE)</f>
        <v>1</v>
      </c>
      <c r="AR114" s="5"/>
      <c r="AS114" s="5" t="str">
        <f>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AT114" s="5"/>
      <c r="AU114" s="5" t="str">
        <f>IFERROR(__xludf.DUMMYFUNCTION("""COMPUTED_VALUE"""),"Fazi")</f>
        <v>Fazi</v>
      </c>
      <c r="AV114" s="5"/>
      <c r="AW114" s="5"/>
      <c r="AX114" s="5"/>
      <c r="AY114" s="5"/>
      <c r="AZ114" s="5"/>
      <c r="BA114" s="5" t="str">
        <f>IFERROR(__xludf.DUMMYFUNCTION("""COMPUTED_VALUE"""),"")</f>
        <v/>
      </c>
      <c r="BB114" s="5"/>
      <c r="BC114" s="5" t="str">
        <f>IFERROR(__xludf.DUMMYFUNCTION("""COMPUTED_VALUE"""),"Foxi")</f>
        <v>Foxi</v>
      </c>
      <c r="BD114" s="7" t="str">
        <f>IFERROR(__xludf.DUMMYFUNCTION("""COMPUTED_VALUE"""),"https://gameserver-store-client-area.orbionlimited.com/Home/IntegrationGameLaunch/client-area?moneyType=0&amp;gameName=HeatingDice&amp;platform=desktop&amp;languageCode=eng&amp;currency=EUR")</f>
        <v>https://gameserver-store-client-area.orbionlimited.com/Home/IntegrationGameLaunch/client-area?moneyType=0&amp;gameName=HeatingDice&amp;platform=desktop&amp;languageCode=eng&amp;currency=EUR</v>
      </c>
      <c r="BE114" s="5" t="b">
        <f>IFERROR(__xludf.DUMMYFUNCTION("""COMPUTED_VALUE"""),TRUE)</f>
        <v>1</v>
      </c>
    </row>
    <row r="115">
      <c r="A115" s="5">
        <f>IFERROR(__xludf.DUMMYFUNCTION("""COMPUTED_VALUE"""),114.0)</f>
        <v>114</v>
      </c>
      <c r="B115" s="5">
        <f>IFERROR(__xludf.DUMMYFUNCTION("""COMPUTED_VALUE"""),113.0)</f>
        <v>113</v>
      </c>
      <c r="C115" s="5" t="str">
        <f>IFERROR(__xludf.DUMMYFUNCTION("""COMPUTED_VALUE"""),"Fazi")</f>
        <v>Fazi</v>
      </c>
      <c r="D115" s="5" t="str">
        <f>IFERROR(__xludf.DUMMYFUNCTION("""COMPUTED_VALUE"""),"Crystal Jewels")</f>
        <v>Crystal Jewels</v>
      </c>
      <c r="E115" s="5" t="str">
        <f>IFERROR(__xludf.DUMMYFUNCTION("""COMPUTED_VALUE"""),"V2")</f>
        <v>V2</v>
      </c>
      <c r="F115" s="5" t="str">
        <f>IFERROR(__xludf.DUMMYFUNCTION("""COMPUTED_VALUE"""),"CrystalJewels")</f>
        <v>CrystalJewels</v>
      </c>
      <c r="G115" s="5" t="str">
        <f>IFERROR(__xludf.DUMMYFUNCTION("""COMPUTED_VALUE"""),"Live")</f>
        <v>Live</v>
      </c>
      <c r="H115" s="5"/>
      <c r="I115" s="5" t="str">
        <f>IFERROR(__xludf.DUMMYFUNCTION("""COMPUTED_VALUE"""),"V2")</f>
        <v>V2</v>
      </c>
      <c r="J115" s="5" t="str">
        <f>IFERROR(__xludf.DUMMYFUNCTION("""COMPUTED_VALUE"""),"Binary")</f>
        <v>Binary</v>
      </c>
      <c r="K115" s="5" t="str">
        <f>IFERROR(__xludf.DUMMYFUNCTION("""COMPUTED_VALUE"""),"Slot")</f>
        <v>Slot</v>
      </c>
      <c r="L115" s="5" t="str">
        <f>IFERROR(__xludf.DUMMYFUNCTION("""COMPUTED_VALUE"""),"Clone")</f>
        <v>Clone</v>
      </c>
      <c r="M115" s="5" t="str">
        <f>IFERROR(__xludf.DUMMYFUNCTION("""COMPUTED_VALUE"""),"Star Runner")</f>
        <v>Star Runner</v>
      </c>
      <c r="N115" s="5"/>
      <c r="O115" s="5"/>
      <c r="P115" s="12">
        <f>IFERROR(__xludf.DUMMYFUNCTION("""COMPUTED_VALUE"""),30.8)</f>
        <v>30.8</v>
      </c>
      <c r="Q115" s="13">
        <f>IFERROR(__xludf.DUMMYFUNCTION("""COMPUTED_VALUE"""),44434.0)</f>
        <v>44434</v>
      </c>
      <c r="R115" s="14"/>
      <c r="S115" s="13">
        <f>IFERROR(__xludf.DUMMYFUNCTION("""COMPUTED_VALUE"""),44434.0)</f>
        <v>44434</v>
      </c>
      <c r="T115" s="5" t="b">
        <f>IFERROR(__xludf.DUMMYFUNCTION("""COMPUTED_VALUE"""),TRUE)</f>
        <v>1</v>
      </c>
      <c r="U115" s="5" t="str">
        <f>IFERROR(__xludf.DUMMYFUNCTION("""COMPUTED_VALUE"""),"5x3")</f>
        <v>5x3</v>
      </c>
      <c r="V115" s="10" t="str">
        <f>IFERROR(__xludf.DUMMYFUNCTION("""COMPUTED_VALUE"""),"10")</f>
        <v>10</v>
      </c>
      <c r="W115" s="10" t="str">
        <f>IFERROR(__xludf.DUMMYFUNCTION("""COMPUTED_VALUE"""),"1,3,5,7,10")</f>
        <v>1,3,5,7,10</v>
      </c>
      <c r="X115" s="5">
        <f>IFERROR(__xludf.DUMMYFUNCTION("""COMPUTED_VALUE"""),96.077)</f>
        <v>96.077</v>
      </c>
      <c r="Y115" s="5" t="str">
        <f>IFERROR(__xludf.DUMMYFUNCTION("""COMPUTED_VALUE"""),"Medium")</f>
        <v>Medium</v>
      </c>
      <c r="Z115" s="5">
        <f>IFERROR(__xludf.DUMMYFUNCTION("""COMPUTED_VALUE"""),19.54)</f>
        <v>19.54</v>
      </c>
      <c r="AA115" s="12">
        <f>IFERROR(__xludf.DUMMYFUNCTION("""COMPUTED_VALUE"""),598.0)</f>
        <v>598</v>
      </c>
      <c r="AB115" s="5">
        <f>IFERROR(__xludf.DUMMYFUNCTION("""COMPUTED_VALUE"""),11.0)</f>
        <v>11</v>
      </c>
      <c r="AC115" s="5" t="str">
        <f>IFERROR(__xludf.DUMMYFUNCTION("""COMPUTED_VALUE"""),"Wild Symbol, Respin, Bothways")</f>
        <v>Wild Symbol, Respin, Bothways</v>
      </c>
      <c r="AD115" s="5" t="str">
        <f>IFERROR(__xludf.DUMMYFUNCTION("""COMPUTED_VALUE"""),"0.01/40")</f>
        <v>0.01/40</v>
      </c>
      <c r="AE115" s="5"/>
      <c r="AF115" s="5"/>
      <c r="AG115" s="5"/>
      <c r="AH115" s="5"/>
      <c r="AI115" s="5"/>
      <c r="AJ115" s="5"/>
      <c r="AK115" s="5">
        <f>IFERROR(__xludf.DUMMYFUNCTION("""COMPUTED_VALUE"""),10.0)</f>
        <v>10</v>
      </c>
      <c r="AL115" s="5" t="str">
        <f>IFERROR(__xludf.DUMMYFUNCTION("""COMPUTED_VALUE"""),"Yes")</f>
        <v>Yes</v>
      </c>
      <c r="AM115" s="5"/>
      <c r="AN115" s="7" t="str">
        <f>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AO115" s="5"/>
      <c r="AP115" s="5"/>
      <c r="AQ115" s="5" t="b">
        <f>IFERROR(__xludf.DUMMYFUNCTION("""COMPUTED_VALUE"""),TRUE)</f>
        <v>1</v>
      </c>
      <c r="AR115" s="5"/>
      <c r="AS115" s="5" t="str">
        <f>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AT115" s="5"/>
      <c r="AU115" s="5" t="str">
        <f>IFERROR(__xludf.DUMMYFUNCTION("""COMPUTED_VALUE"""),"Fazi")</f>
        <v>Fazi</v>
      </c>
      <c r="AV115" s="5"/>
      <c r="AW115" s="5"/>
      <c r="AX115" s="5"/>
      <c r="AY115" s="5"/>
      <c r="AZ115" s="5"/>
      <c r="BA115" s="5" t="str">
        <f>IFERROR(__xludf.DUMMYFUNCTION("""COMPUTED_VALUE"""),"")</f>
        <v/>
      </c>
      <c r="BB115" s="5"/>
      <c r="BC115" s="5" t="str">
        <f>IFERROR(__xludf.DUMMYFUNCTION("""COMPUTED_VALUE"""),"Foxi")</f>
        <v>Foxi</v>
      </c>
      <c r="BD115" s="7" t="str">
        <f>IFERROR(__xludf.DUMMYFUNCTION("""COMPUTED_VALUE"""),"https://gameserver-store-client-area.orbionlimited.com/Home/IntegrationGameLaunch/client-area?moneyType=0&amp;gameName=CrystalJewels&amp;platform=desktop&amp;languageCode=eng&amp;currency=EUR")</f>
        <v>https://gameserver-store-client-area.orbionlimited.com/Home/IntegrationGameLaunch/client-area?moneyType=0&amp;gameName=CrystalJewels&amp;platform=desktop&amp;languageCode=eng&amp;currency=EUR</v>
      </c>
      <c r="BE115" s="5" t="b">
        <f>IFERROR(__xludf.DUMMYFUNCTION("""COMPUTED_VALUE"""),TRUE)</f>
        <v>1</v>
      </c>
    </row>
    <row r="116">
      <c r="A116" s="5">
        <f>IFERROR(__xludf.DUMMYFUNCTION("""COMPUTED_VALUE"""),115.0)</f>
        <v>115</v>
      </c>
      <c r="B116" s="5">
        <f>IFERROR(__xludf.DUMMYFUNCTION("""COMPUTED_VALUE"""),114.0)</f>
        <v>114</v>
      </c>
      <c r="C116" s="5" t="str">
        <f>IFERROR(__xludf.DUMMYFUNCTION("""COMPUTED_VALUE"""),"Redstone")</f>
        <v>Redstone</v>
      </c>
      <c r="D116" s="5" t="str">
        <f>IFERROR(__xludf.DUMMYFUNCTION("""COMPUTED_VALUE"""),"50 Wild Cash")</f>
        <v>50 Wild Cash</v>
      </c>
      <c r="E116" s="5" t="str">
        <f>IFERROR(__xludf.DUMMYFUNCTION("""COMPUTED_VALUE"""),"Redstone")</f>
        <v>Redstone</v>
      </c>
      <c r="F116" s="5" t="str">
        <f>IFERROR(__xludf.DUMMYFUNCTION("""COMPUTED_VALUE"""),"WildClover506")</f>
        <v>WildClover506</v>
      </c>
      <c r="G116" s="5" t="str">
        <f>IFERROR(__xludf.DUMMYFUNCTION("""COMPUTED_VALUE"""),"Live")</f>
        <v>Live</v>
      </c>
      <c r="H116" s="5"/>
      <c r="I116" s="5" t="str">
        <f>IFERROR(__xludf.DUMMYFUNCTION("""COMPUTED_VALUE"""),"Redstone")</f>
        <v>Redstone</v>
      </c>
      <c r="J116" s="5" t="str">
        <f>IFERROR(__xludf.DUMMYFUNCTION("""COMPUTED_VALUE"""),"JSON")</f>
        <v>JSON</v>
      </c>
      <c r="K116" s="5" t="str">
        <f>IFERROR(__xludf.DUMMYFUNCTION("""COMPUTED_VALUE"""),"Slot")</f>
        <v>Slot</v>
      </c>
      <c r="L116" s="5" t="str">
        <f>IFERROR(__xludf.DUMMYFUNCTION("""COMPUTED_VALUE"""),"Master")</f>
        <v>Master</v>
      </c>
      <c r="M116" s="5"/>
      <c r="N116" s="7" t="str">
        <f>IFERROR(__xludf.DUMMYFUNCTION("""COMPUTED_VALUE"""),"https://docs.google.com/document/d/1hethQ-7BhyW7C1czw_h-bGgzvJVp0qmK/edit?usp=drive_link&amp;ouid=107596163405648766688&amp;rtpof=true&amp;sd=true")</f>
        <v>https://docs.google.com/document/d/1hethQ-7BhyW7C1czw_h-bGgzvJVp0qmK/edit?usp=drive_link&amp;ouid=107596163405648766688&amp;rtpof=true&amp;sd=true</v>
      </c>
      <c r="O116" s="7" t="str">
        <f>IFERROR(__xludf.DUMMYFUNCTION("""COMPUTED_VALUE"""),"https://docs.google.com/document/d/1ztiv_8kAahTieT52oxOwMehAb_szRHvc/edit?usp=drive_link&amp;ouid=107596163405648766688&amp;rtpof=true&amp;sd=true")</f>
        <v>https://docs.google.com/document/d/1ztiv_8kAahTieT52oxOwMehAb_szRHvc/edit?usp=drive_link&amp;ouid=107596163405648766688&amp;rtpof=true&amp;sd=true</v>
      </c>
      <c r="P116" s="12">
        <f>IFERROR(__xludf.DUMMYFUNCTION("""COMPUTED_VALUE"""),7.02)</f>
        <v>7.02</v>
      </c>
      <c r="Q116" s="13">
        <f>IFERROR(__xludf.DUMMYFUNCTION("""COMPUTED_VALUE"""),44462.0)</f>
        <v>44462</v>
      </c>
      <c r="R116" s="14"/>
      <c r="S116" s="13">
        <f>IFERROR(__xludf.DUMMYFUNCTION("""COMPUTED_VALUE"""),44462.0)</f>
        <v>44462</v>
      </c>
      <c r="T116" s="5"/>
      <c r="U116" s="5" t="str">
        <f>IFERROR(__xludf.DUMMYFUNCTION("""COMPUTED_VALUE"""),"6x4")</f>
        <v>6x4</v>
      </c>
      <c r="V116" s="10" t="str">
        <f>IFERROR(__xludf.DUMMYFUNCTION("""COMPUTED_VALUE"""),"50")</f>
        <v>50</v>
      </c>
      <c r="W116" s="10" t="str">
        <f>IFERROR(__xludf.DUMMYFUNCTION("""COMPUTED_VALUE"""),"50")</f>
        <v>50</v>
      </c>
      <c r="X116" s="5">
        <f>IFERROR(__xludf.DUMMYFUNCTION("""COMPUTED_VALUE"""),95.26)</f>
        <v>95.26</v>
      </c>
      <c r="Y116" s="5" t="str">
        <f>IFERROR(__xludf.DUMMYFUNCTION("""COMPUTED_VALUE"""),"Medium")</f>
        <v>Medium</v>
      </c>
      <c r="Z116" s="5">
        <f>IFERROR(__xludf.DUMMYFUNCTION("""COMPUTED_VALUE"""),13.33)</f>
        <v>13.33</v>
      </c>
      <c r="AA116" s="12">
        <f>IFERROR(__xludf.DUMMYFUNCTION("""COMPUTED_VALUE"""),2500.0)</f>
        <v>2500</v>
      </c>
      <c r="AB116" s="5"/>
      <c r="AC116" s="5" t="str">
        <f>IFERROR(__xludf.DUMMYFUNCTION("""COMPUTED_VALUE"""),"Bonus Game with Free Spins, Special Wild, Scatter")</f>
        <v>Bonus Game with Free Spins, Special Wild, Scatter</v>
      </c>
      <c r="AD116" s="5" t="str">
        <f>IFERROR(__xludf.DUMMYFUNCTION("""COMPUTED_VALUE"""),"0.5/75")</f>
        <v>0.5/75</v>
      </c>
      <c r="AE116" s="5"/>
      <c r="AF116" s="5"/>
      <c r="AG116" s="8">
        <f>IFERROR(__xludf.DUMMYFUNCTION("""COMPUTED_VALUE"""),46190.38800925926)</f>
        <v>46190.38801</v>
      </c>
      <c r="AH116" s="5"/>
      <c r="AI116" s="5"/>
      <c r="AJ116" s="5"/>
      <c r="AK116" s="5">
        <f>IFERROR(__xludf.DUMMYFUNCTION("""COMPUTED_VALUE"""),1.0)</f>
        <v>1</v>
      </c>
      <c r="AL116" s="5" t="str">
        <f>IFERROR(__xludf.DUMMYFUNCTION("""COMPUTED_VALUE"""),"No")</f>
        <v>No</v>
      </c>
      <c r="AM116" s="5" t="str">
        <f>IFERROR(__xludf.DUMMYFUNCTION("""COMPUTED_VALUE"""),"No")</f>
        <v>No</v>
      </c>
      <c r="AN116" s="7" t="str">
        <f>IFERROR(__xludf.DUMMYFUNCTION("""COMPUTED_VALUE"""),"https://static.redstone.rs/games/50-wild-cash/")</f>
        <v>https://static.redstone.rs/games/50-wild-cash/</v>
      </c>
      <c r="AO116" s="5" t="str">
        <f>IFERROR(__xludf.DUMMYFUNCTION("""COMPUTED_VALUE"""),"No")</f>
        <v>No</v>
      </c>
      <c r="AP116" s="5" t="str">
        <f>IFERROR(__xludf.DUMMYFUNCTION("""COMPUTED_VALUE"""),"No")</f>
        <v>No</v>
      </c>
      <c r="AQ116" s="5" t="b">
        <f>IFERROR(__xludf.DUMMYFUNCTION("""COMPUTED_VALUE"""),TRUE)</f>
        <v>1</v>
      </c>
      <c r="AR116" s="5"/>
      <c r="AS116" s="5" t="str">
        <f>IFERROR(__xludf.DUMMYFUNCTION("""COMPUTED_VALUE"""),"Wild Pots full of gold! With a little bit of luck you can land full reels of stacked Wild Pots for massive wins. Free Games symbols trigger Free Spins feature. ")</f>
        <v>Wild Pots full of gold! With a little bit of luck you can land full reels of stacked Wild Pots for massive wins. Free Games symbols trigger Free Spins feature. </v>
      </c>
      <c r="AT116" s="5"/>
      <c r="AU116" s="5" t="str">
        <f>IFERROR(__xludf.DUMMYFUNCTION("""COMPUTED_VALUE"""),"Redstone")</f>
        <v>Redstone</v>
      </c>
      <c r="AV116" s="5"/>
      <c r="AW116" s="5"/>
      <c r="AX116" s="5"/>
      <c r="AY116" s="5"/>
      <c r="AZ116" s="5"/>
      <c r="BA116" s="5"/>
      <c r="BB116" s="5" t="b">
        <f>IFERROR(__xludf.DUMMYFUNCTION("""COMPUTED_VALUE"""),TRUE)</f>
        <v>1</v>
      </c>
      <c r="BC116" s="5" t="str">
        <f>IFERROR(__xludf.DUMMYFUNCTION("""COMPUTED_VALUE"""),"Redstone")</f>
        <v>Redstone</v>
      </c>
      <c r="BD116" s="7" t="str">
        <f>IFERROR(__xludf.DUMMYFUNCTION("""COMPUTED_VALUE"""),"https://static.redstone.rs/games/50-wild-cash/")</f>
        <v>https://static.redstone.rs/games/50-wild-cash/</v>
      </c>
      <c r="BE116" s="5" t="b">
        <f>IFERROR(__xludf.DUMMYFUNCTION("""COMPUTED_VALUE"""),TRUE)</f>
        <v>1</v>
      </c>
    </row>
    <row r="117">
      <c r="A117" s="5">
        <f>IFERROR(__xludf.DUMMYFUNCTION("""COMPUTED_VALUE"""),116.0)</f>
        <v>116</v>
      </c>
      <c r="B117" s="5">
        <f>IFERROR(__xludf.DUMMYFUNCTION("""COMPUTED_VALUE"""),115.0)</f>
        <v>115</v>
      </c>
      <c r="C117" s="5" t="str">
        <f>IFERROR(__xludf.DUMMYFUNCTION("""COMPUTED_VALUE"""),"Fazi")</f>
        <v>Fazi</v>
      </c>
      <c r="D117" s="5" t="str">
        <f>IFERROR(__xludf.DUMMYFUNCTION("""COMPUTED_VALUE"""),"Twinkling Hot 80")</f>
        <v>Twinkling Hot 80</v>
      </c>
      <c r="E117" s="5" t="str">
        <f>IFERROR(__xludf.DUMMYFUNCTION("""COMPUTED_VALUE"""),"V2")</f>
        <v>V2</v>
      </c>
      <c r="F117" s="5" t="str">
        <f>IFERROR(__xludf.DUMMYFUNCTION("""COMPUTED_VALUE"""),"TwinklingHot80")</f>
        <v>TwinklingHot80</v>
      </c>
      <c r="G117" s="5" t="str">
        <f>IFERROR(__xludf.DUMMYFUNCTION("""COMPUTED_VALUE"""),"Live")</f>
        <v>Live</v>
      </c>
      <c r="H117" s="5"/>
      <c r="I117" s="5" t="str">
        <f>IFERROR(__xludf.DUMMYFUNCTION("""COMPUTED_VALUE"""),"V2")</f>
        <v>V2</v>
      </c>
      <c r="J117" s="5" t="str">
        <f>IFERROR(__xludf.DUMMYFUNCTION("""COMPUTED_VALUE"""),"JSON")</f>
        <v>JSON</v>
      </c>
      <c r="K117" s="5" t="str">
        <f>IFERROR(__xludf.DUMMYFUNCTION("""COMPUTED_VALUE"""),"Slot")</f>
        <v>Slot</v>
      </c>
      <c r="L117" s="5" t="str">
        <f>IFERROR(__xludf.DUMMYFUNCTION("""COMPUTED_VALUE"""),"Clone")</f>
        <v>Clone</v>
      </c>
      <c r="M117" s="5" t="str">
        <f>IFERROR(__xludf.DUMMYFUNCTION("""COMPUTED_VALUE"""),"Twinkling Hot 80")</f>
        <v>Twinkling Hot 80</v>
      </c>
      <c r="N117" s="5"/>
      <c r="O117" s="5"/>
      <c r="P117" s="12">
        <f>IFERROR(__xludf.DUMMYFUNCTION("""COMPUTED_VALUE"""),27.6)</f>
        <v>27.6</v>
      </c>
      <c r="Q117" s="13">
        <f>IFERROR(__xludf.DUMMYFUNCTION("""COMPUTED_VALUE"""),44390.0)</f>
        <v>44390</v>
      </c>
      <c r="R117" s="14"/>
      <c r="S117" s="13">
        <f>IFERROR(__xludf.DUMMYFUNCTION("""COMPUTED_VALUE"""),44390.0)</f>
        <v>44390</v>
      </c>
      <c r="T117" s="5" t="b">
        <f>IFERROR(__xludf.DUMMYFUNCTION("""COMPUTED_VALUE"""),TRUE)</f>
        <v>1</v>
      </c>
      <c r="U117" s="5" t="str">
        <f>IFERROR(__xludf.DUMMYFUNCTION("""COMPUTED_VALUE"""),"5x3")</f>
        <v>5x3</v>
      </c>
      <c r="V117" s="10" t="str">
        <f>IFERROR(__xludf.DUMMYFUNCTION("""COMPUTED_VALUE"""),"80")</f>
        <v>80</v>
      </c>
      <c r="W117" s="10" t="str">
        <f>IFERROR(__xludf.DUMMYFUNCTION("""COMPUTED_VALUE"""),"80")</f>
        <v>80</v>
      </c>
      <c r="X117" s="5">
        <f>IFERROR(__xludf.DUMMYFUNCTION("""COMPUTED_VALUE"""),95.656)</f>
        <v>95.656</v>
      </c>
      <c r="Y117" s="5" t="str">
        <f>IFERROR(__xludf.DUMMYFUNCTION("""COMPUTED_VALUE"""),"Low")</f>
        <v>Low</v>
      </c>
      <c r="Z117" s="5">
        <f>IFERROR(__xludf.DUMMYFUNCTION("""COMPUTED_VALUE"""),17.87)</f>
        <v>17.87</v>
      </c>
      <c r="AA117" s="12">
        <f>IFERROR(__xludf.DUMMYFUNCTION("""COMPUTED_VALUE"""),200.0)</f>
        <v>200</v>
      </c>
      <c r="AB117" s="5" t="str">
        <f>IFERROR(__xludf.DUMMYFUNCTION("""COMPUTED_VALUE"""),"/")</f>
        <v>/</v>
      </c>
      <c r="AC117" s="5" t="str">
        <f>IFERROR(__xludf.DUMMYFUNCTION("""COMPUTED_VALUE"""),"Scatter")</f>
        <v>Scatter</v>
      </c>
      <c r="AD117" s="5" t="str">
        <f>IFERROR(__xludf.DUMMYFUNCTION("""COMPUTED_VALUE"""),"0.8/80")</f>
        <v>0.8/80</v>
      </c>
      <c r="AE117" s="5"/>
      <c r="AF117" s="5"/>
      <c r="AG117" s="8">
        <f>IFERROR(__xludf.DUMMYFUNCTION("""COMPUTED_VALUE"""),46104.426099537035)</f>
        <v>46104.4261</v>
      </c>
      <c r="AH117" s="5" t="str">
        <f>IFERROR(__xludf.DUMMYFUNCTION("""COMPUTED_VALUE"""),"marko.tepavac@fazi.rs")</f>
        <v>marko.tepavac@fazi.rs</v>
      </c>
      <c r="AI117" s="5"/>
      <c r="AJ117" s="5"/>
      <c r="AK117" s="5">
        <f>IFERROR(__xludf.DUMMYFUNCTION("""COMPUTED_VALUE"""),80.0)</f>
        <v>80</v>
      </c>
      <c r="AL117" s="5" t="str">
        <f>IFERROR(__xludf.DUMMYFUNCTION("""COMPUTED_VALUE"""),"Yes")</f>
        <v>Yes</v>
      </c>
      <c r="AM117" s="5"/>
      <c r="AN117" s="7" t="str">
        <f>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AO117" s="5" t="str">
        <f>IFERROR(__xludf.DUMMYFUNCTION("""COMPUTED_VALUE"""),"Yes")</f>
        <v>Yes</v>
      </c>
      <c r="AP117" s="5" t="str">
        <f>IFERROR(__xludf.DUMMYFUNCTION("""COMPUTED_VALUE"""),"Yes")</f>
        <v>Yes</v>
      </c>
      <c r="AQ117" s="5" t="b">
        <f>IFERROR(__xludf.DUMMYFUNCTION("""COMPUTED_VALUE"""),TRUE)</f>
        <v>1</v>
      </c>
      <c r="AR117" s="5"/>
      <c r="AS117" s="5" t="str">
        <f>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AT117" s="5" t="str">
        <f>IFERROR(__xludf.DUMMYFUNCTION("""COMPUTED_VALUE"""),"No")</f>
        <v>No</v>
      </c>
      <c r="AU117" s="5" t="str">
        <f>IFERROR(__xludf.DUMMYFUNCTION("""COMPUTED_VALUE"""),"Fazi")</f>
        <v>Fazi</v>
      </c>
      <c r="AV117" s="5"/>
      <c r="AW117" s="5"/>
      <c r="AX117" s="5"/>
      <c r="AY117" s="5"/>
      <c r="AZ117" s="5"/>
      <c r="BA117" s="5" t="str">
        <f>IFERROR(__xludf.DUMMYFUNCTION("""COMPUTED_VALUE"""),"")</f>
        <v/>
      </c>
      <c r="BB117" s="5"/>
      <c r="BC117" s="5" t="str">
        <f>IFERROR(__xludf.DUMMYFUNCTION("""COMPUTED_VALUE"""),"Foxi")</f>
        <v>Foxi</v>
      </c>
      <c r="BD117" s="7" t="str">
        <f>IFERROR(__xludf.DUMMYFUNCTION("""COMPUTED_VALUE"""),"https://gameserver-store-client-area.orbionlimited.com/Home/IntegrationGameLaunch/client-area?moneyType=0&amp;gameName=TwinklingHot80&amp;platform=desktop&amp;languageCode=eng&amp;currency=EUR")</f>
        <v>https://gameserver-store-client-area.orbionlimited.com/Home/IntegrationGameLaunch/client-area?moneyType=0&amp;gameName=TwinklingHot80&amp;platform=desktop&amp;languageCode=eng&amp;currency=EUR</v>
      </c>
      <c r="BE117" s="5" t="b">
        <f>IFERROR(__xludf.DUMMYFUNCTION("""COMPUTED_VALUE"""),TRUE)</f>
        <v>1</v>
      </c>
    </row>
    <row r="118">
      <c r="A118" s="5">
        <f>IFERROR(__xludf.DUMMYFUNCTION("""COMPUTED_VALUE"""),117.0)</f>
        <v>117</v>
      </c>
      <c r="B118" s="5">
        <f>IFERROR(__xludf.DUMMYFUNCTION("""COMPUTED_VALUE"""),116.0)</f>
        <v>116</v>
      </c>
      <c r="C118" s="5" t="str">
        <f>IFERROR(__xludf.DUMMYFUNCTION("""COMPUTED_VALUE"""),"Tiptop")</f>
        <v>Tiptop</v>
      </c>
      <c r="D118" s="5" t="str">
        <f>IFERROR(__xludf.DUMMYFUNCTION("""COMPUTED_VALUE"""),"Island Respins")</f>
        <v>Island Respins</v>
      </c>
      <c r="E118" s="5"/>
      <c r="F118" s="5" t="str">
        <f>IFERROR(__xludf.DUMMYFUNCTION("""COMPUTED_VALUE"""),"UnicornIslandRespins")</f>
        <v>UnicornIslandRespins</v>
      </c>
      <c r="G118" s="5" t="str">
        <f>IFERROR(__xludf.DUMMYFUNCTION("""COMPUTED_VALUE"""),"Live")</f>
        <v>Live</v>
      </c>
      <c r="H118" s="5"/>
      <c r="I118" s="5" t="str">
        <f>IFERROR(__xludf.DUMMYFUNCTION("""COMPUTED_VALUE"""),"TipTop")</f>
        <v>TipTop</v>
      </c>
      <c r="J118" s="5" t="str">
        <f>IFERROR(__xludf.DUMMYFUNCTION("""COMPUTED_VALUE"""),"JSON")</f>
        <v>JSON</v>
      </c>
      <c r="K118" s="5" t="str">
        <f>IFERROR(__xludf.DUMMYFUNCTION("""COMPUTED_VALUE"""),"Slot")</f>
        <v>Slot</v>
      </c>
      <c r="L118" s="5"/>
      <c r="M118" s="5"/>
      <c r="N118" s="5"/>
      <c r="O118" s="5"/>
      <c r="P118" s="12">
        <f>IFERROR(__xludf.DUMMYFUNCTION("""COMPUTED_VALUE"""),12.4)</f>
        <v>12.4</v>
      </c>
      <c r="Q118" s="13">
        <f>IFERROR(__xludf.DUMMYFUNCTION("""COMPUTED_VALUE"""),44796.0)</f>
        <v>44796</v>
      </c>
      <c r="R118" s="14"/>
      <c r="S118" s="13">
        <f>IFERROR(__xludf.DUMMYFUNCTION("""COMPUTED_VALUE"""),44796.0)</f>
        <v>44796</v>
      </c>
      <c r="T118" s="5"/>
      <c r="U118" s="5" t="str">
        <f>IFERROR(__xludf.DUMMYFUNCTION("""COMPUTED_VALUE"""),"5X3")</f>
        <v>5X3</v>
      </c>
      <c r="V118" s="10" t="str">
        <f>IFERROR(__xludf.DUMMYFUNCTION("""COMPUTED_VALUE"""),"10")</f>
        <v>10</v>
      </c>
      <c r="W118" s="10" t="str">
        <f>IFERROR(__xludf.DUMMYFUNCTION("""COMPUTED_VALUE"""),"10")</f>
        <v>10</v>
      </c>
      <c r="X118" s="5">
        <f>IFERROR(__xludf.DUMMYFUNCTION("""COMPUTED_VALUE"""),96.0)</f>
        <v>96</v>
      </c>
      <c r="Y118" s="5" t="str">
        <f>IFERROR(__xludf.DUMMYFUNCTION("""COMPUTED_VALUE"""),"Medium")</f>
        <v>Medium</v>
      </c>
      <c r="Z118" s="5">
        <f>IFERROR(__xludf.DUMMYFUNCTION("""COMPUTED_VALUE"""),12.55)</f>
        <v>12.55</v>
      </c>
      <c r="AA118" s="12">
        <f>IFERROR(__xludf.DUMMYFUNCTION("""COMPUTED_VALUE"""),5000.0)</f>
        <v>5000</v>
      </c>
      <c r="AB118" s="5"/>
      <c r="AC118" s="5" t="str">
        <f>IFERROR(__xludf.DUMMYFUNCTION("""COMPUTED_VALUE"""),"Respin, TipTop Feature - Island Respins")</f>
        <v>Respin, TipTop Feature - Island Respins</v>
      </c>
      <c r="AD118" s="5" t="str">
        <f>IFERROR(__xludf.DUMMYFUNCTION("""COMPUTED_VALUE"""),"0.1/100")</f>
        <v>0.1/100</v>
      </c>
      <c r="AE118" s="5"/>
      <c r="AF118" s="5"/>
      <c r="AG118" s="8">
        <f>IFERROR(__xludf.DUMMYFUNCTION("""COMPUTED_VALUE"""),46197.4503587963)</f>
        <v>46197.45036</v>
      </c>
      <c r="AH118" s="5" t="str">
        <f>IFERROR(__xludf.DUMMYFUNCTION("""COMPUTED_VALUE"""),"selena.mihajlovic@fazi.rs")</f>
        <v>selena.mihajlovic@fazi.rs</v>
      </c>
      <c r="AI118" s="5"/>
      <c r="AJ118" s="5"/>
      <c r="AK118" s="5">
        <f>IFERROR(__xludf.DUMMYFUNCTION("""COMPUTED_VALUE"""),10.0)</f>
        <v>10</v>
      </c>
      <c r="AL118" s="5" t="str">
        <f>IFERROR(__xludf.DUMMYFUNCTION("""COMPUTED_VALUE"""),"No")</f>
        <v>No</v>
      </c>
      <c r="AM118" s="5"/>
      <c r="AN118" s="7" t="str">
        <f>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AO118" s="5"/>
      <c r="AP118" s="5"/>
      <c r="AQ118" s="5" t="b">
        <f>IFERROR(__xludf.DUMMYFUNCTION("""COMPUTED_VALUE"""),TRUE)</f>
        <v>1</v>
      </c>
      <c r="AR118" s="5"/>
      <c r="AS118" s="5" t="str">
        <f>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AT118" s="5"/>
      <c r="AU118" s="5" t="str">
        <f>IFERROR(__xludf.DUMMYFUNCTION("""COMPUTED_VALUE"""),"Fazi")</f>
        <v>Fazi</v>
      </c>
      <c r="AV118" s="5"/>
      <c r="AW118" s="5"/>
      <c r="AX118" s="5"/>
      <c r="AY118" s="5"/>
      <c r="AZ118" s="5"/>
      <c r="BA118" s="5"/>
      <c r="BB118" s="5" t="b">
        <f>IFERROR(__xludf.DUMMYFUNCTION("""COMPUTED_VALUE"""),TRUE)</f>
        <v>1</v>
      </c>
      <c r="BC118" s="5" t="str">
        <f>IFERROR(__xludf.DUMMYFUNCTION("""COMPUTED_VALUE"""),"Tiptop")</f>
        <v>Tiptop</v>
      </c>
      <c r="BD118" s="7" t="str">
        <f>IFERROR(__xludf.DUMMYFUNCTION("""COMPUTED_VALUE"""),"https://gameserver-store-client-area.orbionlimited.com/Home/IntegrationGameLaunch/client-area?moneyType=0&amp;gameName=UnicornIslandRespins&amp;platform=desktop&amp;languageCode=eng&amp;currency=EUR")</f>
        <v>https://gameserver-store-client-area.orbionlimited.com/Home/IntegrationGameLaunch/client-area?moneyType=0&amp;gameName=UnicornIslandRespins&amp;platform=desktop&amp;languageCode=eng&amp;currency=EUR</v>
      </c>
      <c r="BE118" s="5" t="b">
        <f>IFERROR(__xludf.DUMMYFUNCTION("""COMPUTED_VALUE"""),TRUE)</f>
        <v>1</v>
      </c>
    </row>
    <row r="119">
      <c r="A119" s="5">
        <f>IFERROR(__xludf.DUMMYFUNCTION("""COMPUTED_VALUE"""),118.0)</f>
        <v>118</v>
      </c>
      <c r="B119" s="5">
        <f>IFERROR(__xludf.DUMMYFUNCTION("""COMPUTED_VALUE"""),117.0)</f>
        <v>117</v>
      </c>
      <c r="C119" s="5" t="str">
        <f>IFERROR(__xludf.DUMMYFUNCTION("""COMPUTED_VALUE"""),"Tiptop")</f>
        <v>Tiptop</v>
      </c>
      <c r="D119" s="5" t="str">
        <f>IFERROR(__xludf.DUMMYFUNCTION("""COMPUTED_VALUE"""),"Unicorn Dice Respins")</f>
        <v>Unicorn Dice Respins</v>
      </c>
      <c r="E119" s="5"/>
      <c r="F119" s="5" t="str">
        <f>IFERROR(__xludf.DUMMYFUNCTION("""COMPUTED_VALUE"""),"UnicornDiceRespins")</f>
        <v>UnicornDiceRespins</v>
      </c>
      <c r="G119" s="5" t="str">
        <f>IFERROR(__xludf.DUMMYFUNCTION("""COMPUTED_VALUE"""),"Retired")</f>
        <v>Retired</v>
      </c>
      <c r="H119" s="5"/>
      <c r="I119" s="5" t="str">
        <f>IFERROR(__xludf.DUMMYFUNCTION("""COMPUTED_VALUE"""),"TipTop")</f>
        <v>TipTop</v>
      </c>
      <c r="J119" s="5"/>
      <c r="K119" s="5" t="str">
        <f>IFERROR(__xludf.DUMMYFUNCTION("""COMPUTED_VALUE"""),"Slot")</f>
        <v>Slot</v>
      </c>
      <c r="L119" s="5"/>
      <c r="M119" s="5"/>
      <c r="N119" s="5"/>
      <c r="O119" s="5"/>
      <c r="P119" s="12"/>
      <c r="Q119" s="13">
        <f>IFERROR(__xludf.DUMMYFUNCTION("""COMPUTED_VALUE"""),43831.0)</f>
        <v>43831</v>
      </c>
      <c r="R119" s="14"/>
      <c r="S119" s="13">
        <f>IFERROR(__xludf.DUMMYFUNCTION("""COMPUTED_VALUE"""),43831.0)</f>
        <v>43831</v>
      </c>
      <c r="T119" s="5"/>
      <c r="U119" s="16"/>
      <c r="V119" s="10"/>
      <c r="W119" s="10"/>
      <c r="X119" s="11">
        <f>IFERROR(__xludf.DUMMYFUNCTION("""COMPUTED_VALUE"""),0.0)</f>
        <v>0</v>
      </c>
      <c r="Y119" s="17"/>
      <c r="Z119" s="5">
        <f>IFERROR(__xludf.DUMMYFUNCTION("""COMPUTED_VALUE"""),0.0)</f>
        <v>0</v>
      </c>
      <c r="AA119" s="12"/>
      <c r="AB119" s="5"/>
      <c r="AC119" s="18"/>
      <c r="AD119" s="5"/>
      <c r="AE119" s="5"/>
      <c r="AF119" s="5"/>
      <c r="AG119" s="8">
        <f>IFERROR(__xludf.DUMMYFUNCTION("""COMPUTED_VALUE"""),46213.3806712963)</f>
        <v>46213.38067</v>
      </c>
      <c r="AH119" s="5"/>
      <c r="AI119" s="5"/>
      <c r="AJ119" s="5"/>
      <c r="AK119" s="5" t="str">
        <f>IFERROR(__xludf.DUMMYFUNCTION("""COMPUTED_VALUE"""),"NULL")</f>
        <v>NULL</v>
      </c>
      <c r="AL119" s="5"/>
      <c r="AM119" s="5"/>
      <c r="AN119" s="5"/>
      <c r="AO119" s="5"/>
      <c r="AP119" s="5"/>
      <c r="AQ119" s="5"/>
      <c r="AR119" s="5"/>
      <c r="AS119" s="5"/>
      <c r="AT119" s="5"/>
      <c r="AU119" s="5" t="str">
        <f>IFERROR(__xludf.DUMMYFUNCTION("""COMPUTED_VALUE"""),"Fazi")</f>
        <v>Fazi</v>
      </c>
      <c r="AV119" s="5"/>
      <c r="AW119" s="5"/>
      <c r="AX119" s="5"/>
      <c r="AY119" s="5"/>
      <c r="AZ119" s="5"/>
      <c r="BA119" s="5"/>
      <c r="BB119" s="5"/>
      <c r="BC119" s="5" t="str">
        <f>IFERROR(__xludf.DUMMYFUNCTION("""COMPUTED_VALUE"""),"Tiptop")</f>
        <v>Tiptop</v>
      </c>
      <c r="BD119" s="5"/>
      <c r="BE119" s="5"/>
    </row>
    <row r="120">
      <c r="A120" s="5">
        <f>IFERROR(__xludf.DUMMYFUNCTION("""COMPUTED_VALUE"""),119.0)</f>
        <v>119</v>
      </c>
      <c r="B120" s="5">
        <f>IFERROR(__xludf.DUMMYFUNCTION("""COMPUTED_VALUE"""),118.0)</f>
        <v>118</v>
      </c>
      <c r="C120" s="5" t="str">
        <f>IFERROR(__xludf.DUMMYFUNCTION("""COMPUTED_VALUE"""),"Redstone")</f>
        <v>Redstone</v>
      </c>
      <c r="D120" s="5" t="str">
        <f>IFERROR(__xludf.DUMMYFUNCTION("""COMPUTED_VALUE"""),"Lost Book")</f>
        <v>Lost Book</v>
      </c>
      <c r="E120" s="5" t="str">
        <f>IFERROR(__xludf.DUMMYFUNCTION("""COMPUTED_VALUE"""),"Redstone")</f>
        <v>Redstone</v>
      </c>
      <c r="F120" s="5" t="str">
        <f>IFERROR(__xludf.DUMMYFUNCTION("""COMPUTED_VALUE"""),"LostBook")</f>
        <v>LostBook</v>
      </c>
      <c r="G120" s="5" t="str">
        <f>IFERROR(__xludf.DUMMYFUNCTION("""COMPUTED_VALUE"""),"Live")</f>
        <v>Live</v>
      </c>
      <c r="H120" s="5"/>
      <c r="I120" s="5" t="str">
        <f>IFERROR(__xludf.DUMMYFUNCTION("""COMPUTED_VALUE"""),"Redstone")</f>
        <v>Redstone</v>
      </c>
      <c r="J120" s="5" t="str">
        <f>IFERROR(__xludf.DUMMYFUNCTION("""COMPUTED_VALUE"""),"JSON")</f>
        <v>JSON</v>
      </c>
      <c r="K120" s="5" t="str">
        <f>IFERROR(__xludf.DUMMYFUNCTION("""COMPUTED_VALUE"""),"Slot")</f>
        <v>Slot</v>
      </c>
      <c r="L120" s="5" t="str">
        <f>IFERROR(__xludf.DUMMYFUNCTION("""COMPUTED_VALUE"""),"Master")</f>
        <v>Master</v>
      </c>
      <c r="M120" s="5"/>
      <c r="N120" s="7" t="str">
        <f>IFERROR(__xludf.DUMMYFUNCTION("""COMPUTED_VALUE"""),"https://docs.google.com/document/d/1gUX7LG55yGx6j3tAxRhlcmJiDfTj2tUl/edit?usp=drive_link&amp;ouid=107596163405648766688&amp;rtpof=true&amp;sd=true")</f>
        <v>https://docs.google.com/document/d/1gUX7LG55yGx6j3tAxRhlcmJiDfTj2tUl/edit?usp=drive_link&amp;ouid=107596163405648766688&amp;rtpof=true&amp;sd=true</v>
      </c>
      <c r="O120" s="7" t="str">
        <f>IFERROR(__xludf.DUMMYFUNCTION("""COMPUTED_VALUE"""),"https://docs.google.com/document/d/1hJ7uzVuMAnWzme7nHV7odsYNjxqkNDWu/edit?usp=drive_link&amp;ouid=107596163405648766688&amp;rtpof=true&amp;sd=true")</f>
        <v>https://docs.google.com/document/d/1hJ7uzVuMAnWzme7nHV7odsYNjxqkNDWu/edit?usp=drive_link&amp;ouid=107596163405648766688&amp;rtpof=true&amp;sd=true</v>
      </c>
      <c r="P120" s="12">
        <f>IFERROR(__xludf.DUMMYFUNCTION("""COMPUTED_VALUE"""),12.0)</f>
        <v>12</v>
      </c>
      <c r="Q120" s="13">
        <f>IFERROR(__xludf.DUMMYFUNCTION("""COMPUTED_VALUE"""),44522.0)</f>
        <v>44522</v>
      </c>
      <c r="R120" s="14"/>
      <c r="S120" s="13">
        <f>IFERROR(__xludf.DUMMYFUNCTION("""COMPUTED_VALUE"""),44522.0)</f>
        <v>44522</v>
      </c>
      <c r="T120" s="5"/>
      <c r="U120" s="5" t="str">
        <f>IFERROR(__xludf.DUMMYFUNCTION("""COMPUTED_VALUE"""),"5x3")</f>
        <v>5x3</v>
      </c>
      <c r="V120" s="10" t="str">
        <f>IFERROR(__xludf.DUMMYFUNCTION("""COMPUTED_VALUE"""),"10")</f>
        <v>10</v>
      </c>
      <c r="W120" s="10" t="str">
        <f>IFERROR(__xludf.DUMMYFUNCTION("""COMPUTED_VALUE"""),"10")</f>
        <v>10</v>
      </c>
      <c r="X120" s="11">
        <f>IFERROR(__xludf.DUMMYFUNCTION("""COMPUTED_VALUE"""),96.2)</f>
        <v>96.2</v>
      </c>
      <c r="Y120" s="5" t="str">
        <f>IFERROR(__xludf.DUMMYFUNCTION("""COMPUTED_VALUE"""),"High")</f>
        <v>High</v>
      </c>
      <c r="Z120" s="5">
        <f>IFERROR(__xludf.DUMMYFUNCTION("""COMPUTED_VALUE"""),12.34)</f>
        <v>12.34</v>
      </c>
      <c r="AA120" s="12">
        <f>IFERROR(__xludf.DUMMYFUNCTION("""COMPUTED_VALUE"""),5512.0)</f>
        <v>5512</v>
      </c>
      <c r="AB120" s="5"/>
      <c r="AC120" s="5" t="str">
        <f>IFERROR(__xludf.DUMMYFUNCTION("""COMPUTED_VALUE"""),"Bonus Game with Free Spins, Wild Symbol, Scatter")</f>
        <v>Bonus Game with Free Spins, Wild Symbol, Scatter</v>
      </c>
      <c r="AD120" s="5" t="str">
        <f>IFERROR(__xludf.DUMMYFUNCTION("""COMPUTED_VALUE"""),"0.10/40")</f>
        <v>0.10/40</v>
      </c>
      <c r="AE120" s="5"/>
      <c r="AF120" s="5"/>
      <c r="AG120" s="8">
        <f>IFERROR(__xludf.DUMMYFUNCTION("""COMPUTED_VALUE"""),46157.478159722225)</f>
        <v>46157.47816</v>
      </c>
      <c r="AH120" s="5"/>
      <c r="AI120" s="5"/>
      <c r="AJ120" s="5"/>
      <c r="AK120" s="5">
        <f>IFERROR(__xludf.DUMMYFUNCTION("""COMPUTED_VALUE"""),1.0)</f>
        <v>1</v>
      </c>
      <c r="AL120" s="5" t="str">
        <f>IFERROR(__xludf.DUMMYFUNCTION("""COMPUTED_VALUE"""),"No")</f>
        <v>No</v>
      </c>
      <c r="AM120" s="5" t="str">
        <f>IFERROR(__xludf.DUMMYFUNCTION("""COMPUTED_VALUE"""),"No")</f>
        <v>No</v>
      </c>
      <c r="AN120" s="7" t="str">
        <f>IFERROR(__xludf.DUMMYFUNCTION("""COMPUTED_VALUE"""),"https://static.redstone.rs/games/lost-book/")</f>
        <v>https://static.redstone.rs/games/lost-book/</v>
      </c>
      <c r="AO120" s="5" t="str">
        <f>IFERROR(__xludf.DUMMYFUNCTION("""COMPUTED_VALUE"""),"No")</f>
        <v>No</v>
      </c>
      <c r="AP120" s="5" t="str">
        <f>IFERROR(__xludf.DUMMYFUNCTION("""COMPUTED_VALUE"""),"No")</f>
        <v>No</v>
      </c>
      <c r="AQ120" s="5" t="b">
        <f>IFERROR(__xludf.DUMMYFUNCTION("""COMPUTED_VALUE"""),TRUE)</f>
        <v>1</v>
      </c>
      <c r="AR120" s="5"/>
      <c r="AS120" s="5" t="str">
        <f>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AT120" s="5"/>
      <c r="AU120" s="5" t="str">
        <f>IFERROR(__xludf.DUMMYFUNCTION("""COMPUTED_VALUE"""),"Redstone")</f>
        <v>Redstone</v>
      </c>
      <c r="AV120" s="5"/>
      <c r="AW120" s="5"/>
      <c r="AX120" s="5"/>
      <c r="AY120" s="5"/>
      <c r="AZ120" s="5"/>
      <c r="BA120" s="5"/>
      <c r="BB120" s="5" t="b">
        <f>IFERROR(__xludf.DUMMYFUNCTION("""COMPUTED_VALUE"""),TRUE)</f>
        <v>1</v>
      </c>
      <c r="BC120" s="5" t="str">
        <f>IFERROR(__xludf.DUMMYFUNCTION("""COMPUTED_VALUE"""),"Redstone")</f>
        <v>Redstone</v>
      </c>
      <c r="BD120" s="7" t="str">
        <f>IFERROR(__xludf.DUMMYFUNCTION("""COMPUTED_VALUE"""),"https://static.redstone.rs/games/lost-book/")</f>
        <v>https://static.redstone.rs/games/lost-book/</v>
      </c>
      <c r="BE120" s="5" t="b">
        <f>IFERROR(__xludf.DUMMYFUNCTION("""COMPUTED_VALUE"""),TRUE)</f>
        <v>1</v>
      </c>
    </row>
    <row r="121">
      <c r="A121" s="5">
        <f>IFERROR(__xludf.DUMMYFUNCTION("""COMPUTED_VALUE"""),120.0)</f>
        <v>120</v>
      </c>
      <c r="B121" s="5">
        <f>IFERROR(__xludf.DUMMYFUNCTION("""COMPUTED_VALUE"""),119.0)</f>
        <v>119</v>
      </c>
      <c r="C121" s="5" t="str">
        <f>IFERROR(__xludf.DUMMYFUNCTION("""COMPUTED_VALUE"""),"Fazi")</f>
        <v>Fazi</v>
      </c>
      <c r="D121" s="5" t="str">
        <f>IFERROR(__xludf.DUMMYFUNCTION("""COMPUTED_VALUE"""),"Bursting Hot 40 Mozzart")</f>
        <v>Bursting Hot 40 Mozzart</v>
      </c>
      <c r="E121" s="5" t="str">
        <f>IFERROR(__xludf.DUMMYFUNCTION("""COMPUTED_VALUE"""),"V2")</f>
        <v>V2</v>
      </c>
      <c r="F121" s="5" t="str">
        <f>IFERROR(__xludf.DUMMYFUNCTION("""COMPUTED_VALUE"""),"BurstingHot40Mozzart")</f>
        <v>BurstingHot40Mozzart</v>
      </c>
      <c r="G121" s="5" t="str">
        <f>IFERROR(__xludf.DUMMYFUNCTION("""COMPUTED_VALUE"""),"Live")</f>
        <v>Live</v>
      </c>
      <c r="H121" s="5" t="str">
        <f>IFERROR(__xludf.DUMMYFUNCTION("""COMPUTED_VALUE"""),"MozzartBet
MozzartBetRS
MozzartKE
Mozzartbet Services")</f>
        <v>MozzartBet
MozzartBetRS
MozzartKE
Mozzartbet Services</v>
      </c>
      <c r="I121" s="5" t="str">
        <f>IFERROR(__xludf.DUMMYFUNCTION("""COMPUTED_VALUE"""),"V2")</f>
        <v>V2</v>
      </c>
      <c r="J121" s="5" t="str">
        <f>IFERROR(__xludf.DUMMYFUNCTION("""COMPUTED_VALUE"""),"Binary")</f>
        <v>Binary</v>
      </c>
      <c r="K121" s="5" t="str">
        <f>IFERROR(__xludf.DUMMYFUNCTION("""COMPUTED_VALUE"""),"Slot")</f>
        <v>Slot</v>
      </c>
      <c r="L121" s="5" t="str">
        <f>IFERROR(__xludf.DUMMYFUNCTION("""COMPUTED_VALUE"""),"Clone")</f>
        <v>Clone</v>
      </c>
      <c r="M121" s="5" t="str">
        <f>IFERROR(__xludf.DUMMYFUNCTION("""COMPUTED_VALUE"""),"Bursting Hot 40")</f>
        <v>Bursting Hot 40</v>
      </c>
      <c r="N121" s="5"/>
      <c r="O121" s="5"/>
      <c r="P121" s="12"/>
      <c r="Q121" s="13">
        <f>IFERROR(__xludf.DUMMYFUNCTION("""COMPUTED_VALUE"""),43831.0)</f>
        <v>43831</v>
      </c>
      <c r="R121" s="14"/>
      <c r="S121" s="13">
        <f>IFERROR(__xludf.DUMMYFUNCTION("""COMPUTED_VALUE"""),43831.0)</f>
        <v>43831</v>
      </c>
      <c r="T121" s="5"/>
      <c r="U121" s="5" t="str">
        <f>IFERROR(__xludf.DUMMYFUNCTION("""COMPUTED_VALUE"""),"5x3")</f>
        <v>5x3</v>
      </c>
      <c r="V121" s="10" t="str">
        <f>IFERROR(__xludf.DUMMYFUNCTION("""COMPUTED_VALUE"""),"40")</f>
        <v>40</v>
      </c>
      <c r="W121" s="10" t="str">
        <f>IFERROR(__xludf.DUMMYFUNCTION("""COMPUTED_VALUE"""),"40")</f>
        <v>40</v>
      </c>
      <c r="X121" s="11">
        <f>IFERROR(__xludf.DUMMYFUNCTION("""COMPUTED_VALUE"""),96.53)</f>
        <v>96.53</v>
      </c>
      <c r="Y121" s="5" t="str">
        <f>IFERROR(__xludf.DUMMYFUNCTION("""COMPUTED_VALUE"""),"Low")</f>
        <v>Low</v>
      </c>
      <c r="Z121" s="5">
        <f>IFERROR(__xludf.DUMMYFUNCTION("""COMPUTED_VALUE"""),23.380000000000003)</f>
        <v>23.38</v>
      </c>
      <c r="AA121" s="12">
        <f>IFERROR(__xludf.DUMMYFUNCTION("""COMPUTED_VALUE"""),876.75)</f>
        <v>876.75</v>
      </c>
      <c r="AB121" s="5">
        <f>IFERROR(__xludf.DUMMYFUNCTION("""COMPUTED_VALUE"""),4.0)</f>
        <v>4</v>
      </c>
      <c r="AC121" s="5" t="str">
        <f>IFERROR(__xludf.DUMMYFUNCTION("""COMPUTED_VALUE"""),"Scatter, Expanding Wild")</f>
        <v>Scatter, Expanding Wild</v>
      </c>
      <c r="AD121" s="5"/>
      <c r="AE121" s="5"/>
      <c r="AF121" s="5"/>
      <c r="AG121" s="8">
        <f>IFERROR(__xludf.DUMMYFUNCTION("""COMPUTED_VALUE"""),46020.51789351852)</f>
        <v>46020.51789</v>
      </c>
      <c r="AH121" s="5" t="str">
        <f>IFERROR(__xludf.DUMMYFUNCTION("""COMPUTED_VALUE"""),"djordje.jankovic@fazi.rs")</f>
        <v>djordje.jankovic@fazi.rs</v>
      </c>
      <c r="AI121" s="5"/>
      <c r="AJ121" s="5"/>
      <c r="AK121" s="5">
        <f>IFERROR(__xludf.DUMMYFUNCTION("""COMPUTED_VALUE"""),40.0)</f>
        <v>40</v>
      </c>
      <c r="AL121" s="5" t="str">
        <f>IFERROR(__xludf.DUMMYFUNCTION("""COMPUTED_VALUE"""),"Yes")</f>
        <v>Yes</v>
      </c>
      <c r="AM121" s="5"/>
      <c r="AN121" s="5"/>
      <c r="AO121" s="5"/>
      <c r="AP121" s="5"/>
      <c r="AQ121" s="5"/>
      <c r="AR121" s="5" t="b">
        <f>IFERROR(__xludf.DUMMYFUNCTION("""COMPUTED_VALUE"""),TRUE)</f>
        <v>1</v>
      </c>
      <c r="AS121" s="5"/>
      <c r="AT121" s="5"/>
      <c r="AU121" s="5" t="str">
        <f>IFERROR(__xludf.DUMMYFUNCTION("""COMPUTED_VALUE"""),"Fazi")</f>
        <v>Fazi</v>
      </c>
      <c r="AV121" s="5"/>
      <c r="AW121" s="5"/>
      <c r="AX121" s="5"/>
      <c r="AY121" s="5"/>
      <c r="AZ121" s="5"/>
      <c r="BA121" s="5" t="str">
        <f>IFERROR(__xludf.DUMMYFUNCTION("""COMPUTED_VALUE"""),"")</f>
        <v/>
      </c>
      <c r="BB121" s="5"/>
      <c r="BC121" s="5" t="str">
        <f>IFERROR(__xludf.DUMMYFUNCTION("""COMPUTED_VALUE"""),"Foxi")</f>
        <v>Foxi</v>
      </c>
      <c r="BD121" s="5" t="str">
        <f>IFERROR(__xludf.DUMMYFUNCTION("""COMPUTED_VALUE"""),"")</f>
        <v/>
      </c>
      <c r="BE121" s="5"/>
    </row>
    <row r="122">
      <c r="A122" s="5">
        <f>IFERROR(__xludf.DUMMYFUNCTION("""COMPUTED_VALUE"""),121.0)</f>
        <v>121</v>
      </c>
      <c r="B122" s="5">
        <f>IFERROR(__xludf.DUMMYFUNCTION("""COMPUTED_VALUE"""),120.0)</f>
        <v>120</v>
      </c>
      <c r="C122" s="5" t="str">
        <f>IFERROR(__xludf.DUMMYFUNCTION("""COMPUTED_VALUE"""),"Fazi")</f>
        <v>Fazi</v>
      </c>
      <c r="D122" s="5" t="str">
        <f>IFERROR(__xludf.DUMMYFUNCTION("""COMPUTED_VALUE"""),"Maxbet Crown")</f>
        <v>Maxbet Crown</v>
      </c>
      <c r="E122" s="5" t="str">
        <f>IFERROR(__xludf.DUMMYFUNCTION("""COMPUTED_VALUE"""),"V2")</f>
        <v>V2</v>
      </c>
      <c r="F122" s="5" t="str">
        <f>IFERROR(__xludf.DUMMYFUNCTION("""COMPUTED_VALUE"""),"GoldenCrownMaxbet")</f>
        <v>GoldenCrownMaxbet</v>
      </c>
      <c r="G122" s="5" t="str">
        <f>IFERROR(__xludf.DUMMYFUNCTION("""COMPUTED_VALUE"""),"Live")</f>
        <v>Live</v>
      </c>
      <c r="H122" s="5" t="str">
        <f>IFERROR(__xludf.DUMMYFUNCTION("""COMPUTED_VALUE"""),"MaxBet - Dan Plus International")</f>
        <v>MaxBet - Dan Plus International</v>
      </c>
      <c r="I122" s="5" t="str">
        <f>IFERROR(__xludf.DUMMYFUNCTION("""COMPUTED_VALUE"""),"V2")</f>
        <v>V2</v>
      </c>
      <c r="J122" s="5" t="str">
        <f>IFERROR(__xludf.DUMMYFUNCTION("""COMPUTED_VALUE"""),"Binary")</f>
        <v>Binary</v>
      </c>
      <c r="K122" s="5" t="str">
        <f>IFERROR(__xludf.DUMMYFUNCTION("""COMPUTED_VALUE"""),"Slot")</f>
        <v>Slot</v>
      </c>
      <c r="L122" s="5"/>
      <c r="M122" s="5"/>
      <c r="N122" s="5"/>
      <c r="O122" s="5"/>
      <c r="P122" s="12"/>
      <c r="Q122" s="13">
        <f>IFERROR(__xludf.DUMMYFUNCTION("""COMPUTED_VALUE"""),43831.0)</f>
        <v>43831</v>
      </c>
      <c r="R122" s="14"/>
      <c r="S122" s="13">
        <f>IFERROR(__xludf.DUMMYFUNCTION("""COMPUTED_VALUE"""),43831.0)</f>
        <v>43831</v>
      </c>
      <c r="T122" s="5"/>
      <c r="U122" s="5" t="str">
        <f>IFERROR(__xludf.DUMMYFUNCTION("""COMPUTED_VALUE"""),"5x3")</f>
        <v>5x3</v>
      </c>
      <c r="V122" s="10" t="str">
        <f>IFERROR(__xludf.DUMMYFUNCTION("""COMPUTED_VALUE"""),"10")</f>
        <v>10</v>
      </c>
      <c r="W122" s="10" t="str">
        <f>IFERROR(__xludf.DUMMYFUNCTION("""COMPUTED_VALUE"""),"10")</f>
        <v>10</v>
      </c>
      <c r="X122" s="11">
        <f>IFERROR(__xludf.DUMMYFUNCTION("""COMPUTED_VALUE"""),95.962)</f>
        <v>95.962</v>
      </c>
      <c r="Y122" s="5" t="str">
        <f>IFERROR(__xludf.DUMMYFUNCTION("""COMPUTED_VALUE"""),"Medium")</f>
        <v>Medium</v>
      </c>
      <c r="Z122" s="5">
        <f>IFERROR(__xludf.DUMMYFUNCTION("""COMPUTED_VALUE"""),14.63)</f>
        <v>14.63</v>
      </c>
      <c r="AA122" s="12">
        <f>IFERROR(__xludf.DUMMYFUNCTION("""COMPUTED_VALUE"""),1538.0)</f>
        <v>1538</v>
      </c>
      <c r="AB122" s="5"/>
      <c r="AC122" s="18"/>
      <c r="AD122" s="5" t="str">
        <f>IFERROR(__xludf.DUMMYFUNCTION("""COMPUTED_VALUE"""),"0.1/40")</f>
        <v>0.1/40</v>
      </c>
      <c r="AE122" s="5"/>
      <c r="AF122" s="5"/>
      <c r="AG122" s="8">
        <f>IFERROR(__xludf.DUMMYFUNCTION("""COMPUTED_VALUE"""),46169.4734375)</f>
        <v>46169.47344</v>
      </c>
      <c r="AH122" s="5" t="str">
        <f>IFERROR(__xludf.DUMMYFUNCTION("""COMPUTED_VALUE"""),"petra.ilic@fazi.rs")</f>
        <v>petra.ilic@fazi.rs</v>
      </c>
      <c r="AI122" s="5"/>
      <c r="AJ122" s="5"/>
      <c r="AK122" s="5">
        <f>IFERROR(__xludf.DUMMYFUNCTION("""COMPUTED_VALUE"""),10.0)</f>
        <v>10</v>
      </c>
      <c r="AL122" s="5" t="str">
        <f>IFERROR(__xludf.DUMMYFUNCTION("""COMPUTED_VALUE"""),"Yes")</f>
        <v>Yes</v>
      </c>
      <c r="AM122" s="5"/>
      <c r="AN122" s="5"/>
      <c r="AO122" s="5"/>
      <c r="AP122" s="5"/>
      <c r="AQ122" s="5"/>
      <c r="AR122" s="5" t="b">
        <f>IFERROR(__xludf.DUMMYFUNCTION("""COMPUTED_VALUE"""),TRUE)</f>
        <v>1</v>
      </c>
      <c r="AS122" s="5"/>
      <c r="AT122" s="5"/>
      <c r="AU122" s="5" t="str">
        <f>IFERROR(__xludf.DUMMYFUNCTION("""COMPUTED_VALUE"""),"Fazi")</f>
        <v>Fazi</v>
      </c>
      <c r="AV122" s="5"/>
      <c r="AW122" s="5"/>
      <c r="AX122" s="5"/>
      <c r="AY122" s="5"/>
      <c r="AZ122" s="5"/>
      <c r="BA122" s="5"/>
      <c r="BB122" s="5"/>
      <c r="BC122" s="5" t="str">
        <f>IFERROR(__xludf.DUMMYFUNCTION("""COMPUTED_VALUE"""),"Foxi")</f>
        <v>Foxi</v>
      </c>
      <c r="BD122" s="5" t="str">
        <f>IFERROR(__xludf.DUMMYFUNCTION("""COMPUTED_VALUE"""),"")</f>
        <v/>
      </c>
      <c r="BE122" s="5"/>
    </row>
    <row r="123">
      <c r="A123" s="5">
        <f>IFERROR(__xludf.DUMMYFUNCTION("""COMPUTED_VALUE"""),122.0)</f>
        <v>122</v>
      </c>
      <c r="B123" s="5">
        <f>IFERROR(__xludf.DUMMYFUNCTION("""COMPUTED_VALUE"""),121.0)</f>
        <v>121</v>
      </c>
      <c r="C123" s="5" t="str">
        <f>IFERROR(__xludf.DUMMYFUNCTION("""COMPUTED_VALUE"""),"Redstone")</f>
        <v>Redstone</v>
      </c>
      <c r="D123" s="5" t="str">
        <f>IFERROR(__xludf.DUMMYFUNCTION("""COMPUTED_VALUE"""),"Fire Dice 40")</f>
        <v>Fire Dice 40</v>
      </c>
      <c r="E123" s="5" t="str">
        <f>IFERROR(__xludf.DUMMYFUNCTION("""COMPUTED_VALUE"""),"Redstone")</f>
        <v>Redstone</v>
      </c>
      <c r="F123" s="5" t="str">
        <f>IFERROR(__xludf.DUMMYFUNCTION("""COMPUTED_VALUE"""),"FireDice40")</f>
        <v>FireDice40</v>
      </c>
      <c r="G123" s="5" t="str">
        <f>IFERROR(__xludf.DUMMYFUNCTION("""COMPUTED_VALUE"""),"Live")</f>
        <v>Live</v>
      </c>
      <c r="H123" s="5"/>
      <c r="I123" s="5" t="str">
        <f>IFERROR(__xludf.DUMMYFUNCTION("""COMPUTED_VALUE"""),"Redstone")</f>
        <v>Redstone</v>
      </c>
      <c r="J123" s="5" t="str">
        <f>IFERROR(__xludf.DUMMYFUNCTION("""COMPUTED_VALUE"""),"JSON")</f>
        <v>JSON</v>
      </c>
      <c r="K123" s="5" t="str">
        <f>IFERROR(__xludf.DUMMYFUNCTION("""COMPUTED_VALUE"""),"Dice Slots")</f>
        <v>Dice Slots</v>
      </c>
      <c r="L123" s="5" t="str">
        <f>IFERROR(__xludf.DUMMYFUNCTION("""COMPUTED_VALUE""")," Clone")</f>
        <v> Clone</v>
      </c>
      <c r="M123" s="5" t="str">
        <f>IFERROR(__xludf.DUMMYFUNCTION("""COMPUTED_VALUE"""),"40 Clover Fire")</f>
        <v>40 Clover Fire</v>
      </c>
      <c r="N123" s="7" t="str">
        <f>IFERROR(__xludf.DUMMYFUNCTION("""COMPUTED_VALUE"""),"https://docs.google.com/document/d/1MJ3lFrASukAREOdpS2C0i7nDu4-kGpJk/edit?usp=drive_link&amp;ouid=107596163405648766688&amp;rtpof=true&amp;sd=true")</f>
        <v>https://docs.google.com/document/d/1MJ3lFrASukAREOdpS2C0i7nDu4-kGpJk/edit?usp=drive_link&amp;ouid=107596163405648766688&amp;rtpof=true&amp;sd=true</v>
      </c>
      <c r="O123" s="7" t="str">
        <f>IFERROR(__xludf.DUMMYFUNCTION("""COMPUTED_VALUE"""),"https://docs.google.com/document/d/1Bmk7HWKas2YhSSQsbvIW7F9KZLsVT-9m/edit?usp=drive_link&amp;ouid=107596163405648766688&amp;rtpof=true&amp;sd=true")</f>
        <v>https://docs.google.com/document/d/1Bmk7HWKas2YhSSQsbvIW7F9KZLsVT-9m/edit?usp=drive_link&amp;ouid=107596163405648766688&amp;rtpof=true&amp;sd=true</v>
      </c>
      <c r="P123" s="12">
        <f>IFERROR(__xludf.DUMMYFUNCTION("""COMPUTED_VALUE"""),7.03)</f>
        <v>7.03</v>
      </c>
      <c r="Q123" s="13">
        <f>IFERROR(__xludf.DUMMYFUNCTION("""COMPUTED_VALUE"""),44438.0)</f>
        <v>44438</v>
      </c>
      <c r="R123" s="14"/>
      <c r="S123" s="13">
        <f>IFERROR(__xludf.DUMMYFUNCTION("""COMPUTED_VALUE"""),44438.0)</f>
        <v>44438</v>
      </c>
      <c r="T123" s="5"/>
      <c r="U123" s="5" t="str">
        <f>IFERROR(__xludf.DUMMYFUNCTION("""COMPUTED_VALUE"""),"5x3")</f>
        <v>5x3</v>
      </c>
      <c r="V123" s="10" t="str">
        <f>IFERROR(__xludf.DUMMYFUNCTION("""COMPUTED_VALUE"""),"40")</f>
        <v>40</v>
      </c>
      <c r="W123" s="10" t="str">
        <f>IFERROR(__xludf.DUMMYFUNCTION("""COMPUTED_VALUE"""),"40")</f>
        <v>40</v>
      </c>
      <c r="X123" s="11">
        <f>IFERROR(__xludf.DUMMYFUNCTION("""COMPUTED_VALUE"""),96.53)</f>
        <v>96.53</v>
      </c>
      <c r="Y123" s="5" t="str">
        <f>IFERROR(__xludf.DUMMYFUNCTION("""COMPUTED_VALUE"""),"Low")</f>
        <v>Low</v>
      </c>
      <c r="Z123" s="5">
        <f>IFERROR(__xludf.DUMMYFUNCTION("""COMPUTED_VALUE"""),23.38)</f>
        <v>23.38</v>
      </c>
      <c r="AA123" s="12">
        <f>IFERROR(__xludf.DUMMYFUNCTION("""COMPUTED_VALUE"""),3507.0)</f>
        <v>3507</v>
      </c>
      <c r="AB123" s="5"/>
      <c r="AC123" s="5" t="str">
        <f>IFERROR(__xludf.DUMMYFUNCTION("""COMPUTED_VALUE"""),"Expanding Wild, Scatter")</f>
        <v>Expanding Wild, Scatter</v>
      </c>
      <c r="AD123" s="5" t="str">
        <f>IFERROR(__xludf.DUMMYFUNCTION("""COMPUTED_VALUE"""),"0.40/60")</f>
        <v>0.40/60</v>
      </c>
      <c r="AE123" s="5"/>
      <c r="AF123" s="5"/>
      <c r="AG123" s="8">
        <f>IFERROR(__xludf.DUMMYFUNCTION("""COMPUTED_VALUE"""),46157.44626157408)</f>
        <v>46157.44626</v>
      </c>
      <c r="AH123" s="5"/>
      <c r="AI123" s="5"/>
      <c r="AJ123" s="5"/>
      <c r="AK123" s="5">
        <f>IFERROR(__xludf.DUMMYFUNCTION("""COMPUTED_VALUE"""),40.0)</f>
        <v>40</v>
      </c>
      <c r="AL123" s="5" t="str">
        <f>IFERROR(__xludf.DUMMYFUNCTION("""COMPUTED_VALUE"""),"No")</f>
        <v>No</v>
      </c>
      <c r="AM123" s="5" t="str">
        <f>IFERROR(__xludf.DUMMYFUNCTION("""COMPUTED_VALUE"""),"No")</f>
        <v>No</v>
      </c>
      <c r="AN123" s="7" t="str">
        <f>IFERROR(__xludf.DUMMYFUNCTION("""COMPUTED_VALUE"""),"https://static.redstone.rs/games/40-dice-fire/")</f>
        <v>https://static.redstone.rs/games/40-dice-fire/</v>
      </c>
      <c r="AO123" s="5" t="str">
        <f>IFERROR(__xludf.DUMMYFUNCTION("""COMPUTED_VALUE"""),"No")</f>
        <v>No</v>
      </c>
      <c r="AP123" s="5" t="str">
        <f>IFERROR(__xludf.DUMMYFUNCTION("""COMPUTED_VALUE"""),"No")</f>
        <v>No</v>
      </c>
      <c r="AQ123" s="5" t="b">
        <f>IFERROR(__xludf.DUMMYFUNCTION("""COMPUTED_VALUE"""),TRUE)</f>
        <v>1</v>
      </c>
      <c r="AR123" s="5"/>
      <c r="AS123" s="5" t="str">
        <f>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AT123" s="5"/>
      <c r="AU123" s="5" t="str">
        <f>IFERROR(__xludf.DUMMYFUNCTION("""COMPUTED_VALUE"""),"Redstone")</f>
        <v>Redstone</v>
      </c>
      <c r="AV123" s="5"/>
      <c r="AW123" s="5"/>
      <c r="AX123" s="5"/>
      <c r="AY123" s="5"/>
      <c r="AZ123" s="5"/>
      <c r="BA123" s="5"/>
      <c r="BB123" s="5" t="b">
        <f>IFERROR(__xludf.DUMMYFUNCTION("""COMPUTED_VALUE"""),TRUE)</f>
        <v>1</v>
      </c>
      <c r="BC123" s="5" t="str">
        <f>IFERROR(__xludf.DUMMYFUNCTION("""COMPUTED_VALUE"""),"Redstone")</f>
        <v>Redstone</v>
      </c>
      <c r="BD123" s="7" t="str">
        <f>IFERROR(__xludf.DUMMYFUNCTION("""COMPUTED_VALUE"""),"https://static.redstone.rs/games/40-dice-fire/")</f>
        <v>https://static.redstone.rs/games/40-dice-fire/</v>
      </c>
      <c r="BE123" s="5" t="b">
        <f>IFERROR(__xludf.DUMMYFUNCTION("""COMPUTED_VALUE"""),TRUE)</f>
        <v>1</v>
      </c>
    </row>
    <row r="124">
      <c r="A124" s="5">
        <f>IFERROR(__xludf.DUMMYFUNCTION("""COMPUTED_VALUE"""),123.0)</f>
        <v>123</v>
      </c>
      <c r="B124" s="5">
        <f>IFERROR(__xludf.DUMMYFUNCTION("""COMPUTED_VALUE"""),122.0)</f>
        <v>122</v>
      </c>
      <c r="C124" s="5" t="str">
        <f>IFERROR(__xludf.DUMMYFUNCTION("""COMPUTED_VALUE"""),"Tiptop")</f>
        <v>Tiptop</v>
      </c>
      <c r="D124" s="5" t="str">
        <f>IFERROR(__xludf.DUMMYFUNCTION("""COMPUTED_VALUE"""),"Unicorn The Stolen Book")</f>
        <v>Unicorn The Stolen Book</v>
      </c>
      <c r="E124" s="5"/>
      <c r="F124" s="5" t="str">
        <f>IFERROR(__xludf.DUMMYFUNCTION("""COMPUTED_VALUE"""),"UnicornTheStolenBook")</f>
        <v>UnicornTheStolenBook</v>
      </c>
      <c r="G124" s="5" t="str">
        <f>IFERROR(__xludf.DUMMYFUNCTION("""COMPUTED_VALUE"""),"Retired")</f>
        <v>Retired</v>
      </c>
      <c r="H124" s="5"/>
      <c r="I124" s="5" t="str">
        <f>IFERROR(__xludf.DUMMYFUNCTION("""COMPUTED_VALUE"""),"TipTop")</f>
        <v>TipTop</v>
      </c>
      <c r="J124" s="5"/>
      <c r="K124" s="5" t="str">
        <f>IFERROR(__xludf.DUMMYFUNCTION("""COMPUTED_VALUE"""),"Slot")</f>
        <v>Slot</v>
      </c>
      <c r="L124" s="5"/>
      <c r="M124" s="5"/>
      <c r="N124" s="5"/>
      <c r="O124" s="5"/>
      <c r="P124" s="12"/>
      <c r="Q124" s="13">
        <f>IFERROR(__xludf.DUMMYFUNCTION("""COMPUTED_VALUE"""),43831.0)</f>
        <v>43831</v>
      </c>
      <c r="R124" s="14"/>
      <c r="S124" s="13">
        <f>IFERROR(__xludf.DUMMYFUNCTION("""COMPUTED_VALUE"""),43831.0)</f>
        <v>43831</v>
      </c>
      <c r="T124" s="5"/>
      <c r="U124" s="16"/>
      <c r="V124" s="10"/>
      <c r="W124" s="10"/>
      <c r="X124" s="11">
        <f>IFERROR(__xludf.DUMMYFUNCTION("""COMPUTED_VALUE"""),0.0)</f>
        <v>0</v>
      </c>
      <c r="Y124" s="17"/>
      <c r="Z124" s="5">
        <f>IFERROR(__xludf.DUMMYFUNCTION("""COMPUTED_VALUE"""),0.0)</f>
        <v>0</v>
      </c>
      <c r="AA124" s="12"/>
      <c r="AB124" s="5"/>
      <c r="AC124" s="18"/>
      <c r="AD124" s="5"/>
      <c r="AE124" s="5"/>
      <c r="AF124" s="5"/>
      <c r="AG124" s="8">
        <f>IFERROR(__xludf.DUMMYFUNCTION("""COMPUTED_VALUE"""),46213.380428240744)</f>
        <v>46213.38043</v>
      </c>
      <c r="AH124" s="5"/>
      <c r="AI124" s="5"/>
      <c r="AJ124" s="5"/>
      <c r="AK124" s="5" t="str">
        <f>IFERROR(__xludf.DUMMYFUNCTION("""COMPUTED_VALUE"""),"#N/A")</f>
        <v>#N/A</v>
      </c>
      <c r="AL124" s="5"/>
      <c r="AM124" s="5"/>
      <c r="AN124" s="5"/>
      <c r="AO124" s="5"/>
      <c r="AP124" s="5"/>
      <c r="AQ124" s="5"/>
      <c r="AR124" s="5"/>
      <c r="AS124" s="5"/>
      <c r="AT124" s="5"/>
      <c r="AU124" s="5" t="str">
        <f>IFERROR(__xludf.DUMMYFUNCTION("""COMPUTED_VALUE"""),"Fazi")</f>
        <v>Fazi</v>
      </c>
      <c r="AV124" s="5"/>
      <c r="AW124" s="5"/>
      <c r="AX124" s="5"/>
      <c r="AY124" s="5"/>
      <c r="AZ124" s="5"/>
      <c r="BA124" s="5"/>
      <c r="BB124" s="5"/>
      <c r="BC124" s="5" t="str">
        <f>IFERROR(__xludf.DUMMYFUNCTION("""COMPUTED_VALUE"""),"Tiptop")</f>
        <v>Tiptop</v>
      </c>
      <c r="BD124" s="5"/>
      <c r="BE124" s="5"/>
    </row>
    <row r="125">
      <c r="A125" s="5">
        <f>IFERROR(__xludf.DUMMYFUNCTION("""COMPUTED_VALUE"""),124.0)</f>
        <v>124</v>
      </c>
      <c r="B125" s="5">
        <f>IFERROR(__xludf.DUMMYFUNCTION("""COMPUTED_VALUE"""),123.0)</f>
        <v>123</v>
      </c>
      <c r="C125" s="5" t="str">
        <f>IFERROR(__xludf.DUMMYFUNCTION("""COMPUTED_VALUE"""),"Fazi")</f>
        <v>Fazi</v>
      </c>
      <c r="D125" s="5" t="str">
        <f>IFERROR(__xludf.DUMMYFUNCTION("""COMPUTED_VALUE"""),"Lucky Brilliants")</f>
        <v>Lucky Brilliants</v>
      </c>
      <c r="E125" s="5" t="str">
        <f>IFERROR(__xludf.DUMMYFUNCTION("""COMPUTED_VALUE"""),"V2")</f>
        <v>V2</v>
      </c>
      <c r="F125" s="5" t="str">
        <f>IFERROR(__xludf.DUMMYFUNCTION("""COMPUTED_VALUE"""),"LuckyBrilliants")</f>
        <v>LuckyBrilliants</v>
      </c>
      <c r="G125" s="5" t="str">
        <f>IFERROR(__xludf.DUMMYFUNCTION("""COMPUTED_VALUE"""),"Live")</f>
        <v>Live</v>
      </c>
      <c r="H125" s="5"/>
      <c r="I125" s="5" t="str">
        <f>IFERROR(__xludf.DUMMYFUNCTION("""COMPUTED_VALUE"""),"V2")</f>
        <v>V2</v>
      </c>
      <c r="J125" s="5" t="str">
        <f>IFERROR(__xludf.DUMMYFUNCTION("""COMPUTED_VALUE"""),"Binary")</f>
        <v>Binary</v>
      </c>
      <c r="K125" s="5" t="str">
        <f>IFERROR(__xludf.DUMMYFUNCTION("""COMPUTED_VALUE"""),"Slot")</f>
        <v>Slot</v>
      </c>
      <c r="L125" s="5" t="str">
        <f>IFERROR(__xludf.DUMMYFUNCTION("""COMPUTED_VALUE"""),"Clone")</f>
        <v>Clone</v>
      </c>
      <c r="M125" s="5" t="str">
        <f>IFERROR(__xludf.DUMMYFUNCTION("""COMPUTED_VALUE"""),"Twinkling Hot 5")</f>
        <v>Twinkling Hot 5</v>
      </c>
      <c r="N125" s="5"/>
      <c r="O125" s="5"/>
      <c r="P125" s="12">
        <f>IFERROR(__xludf.DUMMYFUNCTION("""COMPUTED_VALUE"""),12.9)</f>
        <v>12.9</v>
      </c>
      <c r="Q125" s="13">
        <f>IFERROR(__xludf.DUMMYFUNCTION("""COMPUTED_VALUE"""),44452.0)</f>
        <v>44452</v>
      </c>
      <c r="R125" s="14"/>
      <c r="S125" s="13">
        <f>IFERROR(__xludf.DUMMYFUNCTION("""COMPUTED_VALUE"""),44452.0)</f>
        <v>44452</v>
      </c>
      <c r="T125" s="5"/>
      <c r="U125" s="5" t="str">
        <f>IFERROR(__xludf.DUMMYFUNCTION("""COMPUTED_VALUE"""),"5x3")</f>
        <v>5x3</v>
      </c>
      <c r="V125" s="10" t="str">
        <f>IFERROR(__xludf.DUMMYFUNCTION("""COMPUTED_VALUE"""),"20")</f>
        <v>20</v>
      </c>
      <c r="W125" s="10" t="str">
        <f>IFERROR(__xludf.DUMMYFUNCTION("""COMPUTED_VALUE"""),"20")</f>
        <v>20</v>
      </c>
      <c r="X125" s="5">
        <f>IFERROR(__xludf.DUMMYFUNCTION("""COMPUTED_VALUE"""),95.656)</f>
        <v>95.656</v>
      </c>
      <c r="Y125" s="5" t="str">
        <f>IFERROR(__xludf.DUMMYFUNCTION("""COMPUTED_VALUE"""),"Low")</f>
        <v>Low</v>
      </c>
      <c r="Z125" s="5">
        <f>IFERROR(__xludf.DUMMYFUNCTION("""COMPUTED_VALUE"""),17.080000000000002)</f>
        <v>17.08</v>
      </c>
      <c r="AA125" s="12">
        <f>IFERROR(__xludf.DUMMYFUNCTION("""COMPUTED_VALUE"""),250.0)</f>
        <v>250</v>
      </c>
      <c r="AB125" s="5" t="str">
        <f>IFERROR(__xludf.DUMMYFUNCTION("""COMPUTED_VALUE"""),"/")</f>
        <v>/</v>
      </c>
      <c r="AC125" s="5" t="str">
        <f>IFERROR(__xludf.DUMMYFUNCTION("""COMPUTED_VALUE"""),"Scatter")</f>
        <v>Scatter</v>
      </c>
      <c r="AD125" s="5" t="str">
        <f>IFERROR(__xludf.DUMMYFUNCTION("""COMPUTED_VALUE"""),"0.2/50")</f>
        <v>0.2/50</v>
      </c>
      <c r="AE125" s="5"/>
      <c r="AF125" s="5"/>
      <c r="AG125" s="8">
        <f>IFERROR(__xludf.DUMMYFUNCTION("""COMPUTED_VALUE"""),46055.51322916667)</f>
        <v>46055.51323</v>
      </c>
      <c r="AH125" s="5" t="str">
        <f>IFERROR(__xludf.DUMMYFUNCTION("""COMPUTED_VALUE"""),"djordje.jankovic@fazi.rs")</f>
        <v>djordje.jankovic@fazi.rs</v>
      </c>
      <c r="AI125" s="5"/>
      <c r="AJ125" s="5"/>
      <c r="AK125" s="5">
        <f>IFERROR(__xludf.DUMMYFUNCTION("""COMPUTED_VALUE"""),20.0)</f>
        <v>20</v>
      </c>
      <c r="AL125" s="5" t="str">
        <f>IFERROR(__xludf.DUMMYFUNCTION("""COMPUTED_VALUE"""),"Yes")</f>
        <v>Yes</v>
      </c>
      <c r="AM125" s="5"/>
      <c r="AN125" s="7" t="str">
        <f>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AO125" s="5"/>
      <c r="AP125" s="5"/>
      <c r="AQ125" s="5" t="b">
        <f>IFERROR(__xludf.DUMMYFUNCTION("""COMPUTED_VALUE"""),TRUE)</f>
        <v>1</v>
      </c>
      <c r="AR125" s="5"/>
      <c r="AS125" s="5" t="str">
        <f>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AT125" s="5"/>
      <c r="AU125" s="5" t="str">
        <f>IFERROR(__xludf.DUMMYFUNCTION("""COMPUTED_VALUE"""),"Fazi")</f>
        <v>Fazi</v>
      </c>
      <c r="AV125" s="5"/>
      <c r="AW125" s="5"/>
      <c r="AX125" s="5"/>
      <c r="AY125" s="5"/>
      <c r="AZ125" s="5"/>
      <c r="BA125" s="5" t="str">
        <f>IFERROR(__xludf.DUMMYFUNCTION("""COMPUTED_VALUE"""),"")</f>
        <v/>
      </c>
      <c r="BB125" s="5"/>
      <c r="BC125" s="5" t="str">
        <f>IFERROR(__xludf.DUMMYFUNCTION("""COMPUTED_VALUE"""),"Foxi")</f>
        <v>Foxi</v>
      </c>
      <c r="BD125" s="7" t="str">
        <f>IFERROR(__xludf.DUMMYFUNCTION("""COMPUTED_VALUE"""),"https://gameserver-store-client-area.orbionlimited.com/Home/IntegrationGameLaunch/client-area?moneyType=0&amp;gameName=LuckyBrilliants&amp;platform=desktop&amp;languageCode=eng&amp;currency=EUR")</f>
        <v>https://gameserver-store-client-area.orbionlimited.com/Home/IntegrationGameLaunch/client-area?moneyType=0&amp;gameName=LuckyBrilliants&amp;platform=desktop&amp;languageCode=eng&amp;currency=EUR</v>
      </c>
      <c r="BE125" s="5" t="b">
        <f>IFERROR(__xludf.DUMMYFUNCTION("""COMPUTED_VALUE"""),TRUE)</f>
        <v>1</v>
      </c>
    </row>
    <row r="126">
      <c r="A126" s="5">
        <f>IFERROR(__xludf.DUMMYFUNCTION("""COMPUTED_VALUE"""),125.0)</f>
        <v>125</v>
      </c>
      <c r="B126" s="5">
        <f>IFERROR(__xludf.DUMMYFUNCTION("""COMPUTED_VALUE"""),124.0)</f>
        <v>124</v>
      </c>
      <c r="C126" s="5" t="str">
        <f>IFERROR(__xludf.DUMMYFUNCTION("""COMPUTED_VALUE"""),"Fazi")</f>
        <v>Fazi</v>
      </c>
      <c r="D126" s="5" t="str">
        <f>IFERROR(__xludf.DUMMYFUNCTION("""COMPUTED_VALUE"""),"Crystal Hot 40 Soccer")</f>
        <v>Crystal Hot 40 Soccer</v>
      </c>
      <c r="E126" s="5" t="str">
        <f>IFERROR(__xludf.DUMMYFUNCTION("""COMPUTED_VALUE"""),"V2")</f>
        <v>V2</v>
      </c>
      <c r="F126" s="5" t="str">
        <f>IFERROR(__xludf.DUMMYFUNCTION("""COMPUTED_VALUE"""),"CrystalHot40Soccer")</f>
        <v>CrystalHot40Soccer</v>
      </c>
      <c r="G126" s="5" t="str">
        <f>IFERROR(__xludf.DUMMYFUNCTION("""COMPUTED_VALUE"""),"Live")</f>
        <v>Live</v>
      </c>
      <c r="H126" s="5" t="str">
        <f>IFERROR(__xludf.DUMMYFUNCTION("""COMPUTED_VALUE"""),"Soccer - Phuket")</f>
        <v>Soccer - Phuket</v>
      </c>
      <c r="I126" s="5" t="str">
        <f>IFERROR(__xludf.DUMMYFUNCTION("""COMPUTED_VALUE"""),"V2")</f>
        <v>V2</v>
      </c>
      <c r="J126" s="5" t="str">
        <f>IFERROR(__xludf.DUMMYFUNCTION("""COMPUTED_VALUE"""),"Binary")</f>
        <v>Binary</v>
      </c>
      <c r="K126" s="5" t="str">
        <f>IFERROR(__xludf.DUMMYFUNCTION("""COMPUTED_VALUE"""),"Slot")</f>
        <v>Slot</v>
      </c>
      <c r="L126" s="5"/>
      <c r="M126" s="5"/>
      <c r="N126" s="5"/>
      <c r="O126" s="5"/>
      <c r="P126" s="12"/>
      <c r="Q126" s="13">
        <f>IFERROR(__xludf.DUMMYFUNCTION("""COMPUTED_VALUE"""),43831.0)</f>
        <v>43831</v>
      </c>
      <c r="R126" s="14"/>
      <c r="S126" s="13">
        <f>IFERROR(__xludf.DUMMYFUNCTION("""COMPUTED_VALUE"""),43831.0)</f>
        <v>43831</v>
      </c>
      <c r="T126" s="5"/>
      <c r="U126" s="5" t="str">
        <f>IFERROR(__xludf.DUMMYFUNCTION("""COMPUTED_VALUE"""),"5x4")</f>
        <v>5x4</v>
      </c>
      <c r="V126" s="10" t="str">
        <f>IFERROR(__xludf.DUMMYFUNCTION("""COMPUTED_VALUE"""),"40")</f>
        <v>40</v>
      </c>
      <c r="W126" s="10" t="str">
        <f>IFERROR(__xludf.DUMMYFUNCTION("""COMPUTED_VALUE"""),"40")</f>
        <v>40</v>
      </c>
      <c r="X126" s="5">
        <f>IFERROR(__xludf.DUMMYFUNCTION("""COMPUTED_VALUE"""),96.584)</f>
        <v>96.584</v>
      </c>
      <c r="Y126" s="5" t="str">
        <f>IFERROR(__xludf.DUMMYFUNCTION("""COMPUTED_VALUE"""),"Low")</f>
        <v>Low</v>
      </c>
      <c r="Z126" s="5">
        <f>IFERROR(__xludf.DUMMYFUNCTION("""COMPUTED_VALUE"""),16.73)</f>
        <v>16.73</v>
      </c>
      <c r="AA126" s="12">
        <f>IFERROR(__xludf.DUMMYFUNCTION("""COMPUTED_VALUE"""),1000.0)</f>
        <v>1000</v>
      </c>
      <c r="AB126" s="5" t="str">
        <f>IFERROR(__xludf.DUMMYFUNCTION("""COMPUTED_VALUE"""),"/")</f>
        <v>/</v>
      </c>
      <c r="AC126" s="5" t="str">
        <f>IFERROR(__xludf.DUMMYFUNCTION("""COMPUTED_VALUE"""),"Scatter, Wild Symbol")</f>
        <v>Scatter, Wild Symbol</v>
      </c>
      <c r="AD126" s="5"/>
      <c r="AE126" s="5"/>
      <c r="AF126" s="5"/>
      <c r="AG126" s="8">
        <f>IFERROR(__xludf.DUMMYFUNCTION("""COMPUTED_VALUE"""),46020.52625)</f>
        <v>46020.52625</v>
      </c>
      <c r="AH126" s="5" t="str">
        <f>IFERROR(__xludf.DUMMYFUNCTION("""COMPUTED_VALUE"""),"djordje.jankovic@fazi.rs")</f>
        <v>djordje.jankovic@fazi.rs</v>
      </c>
      <c r="AI126" s="5"/>
      <c r="AJ126" s="5"/>
      <c r="AK126" s="5">
        <f>IFERROR(__xludf.DUMMYFUNCTION("""COMPUTED_VALUE"""),40.0)</f>
        <v>40</v>
      </c>
      <c r="AL126" s="5" t="str">
        <f>IFERROR(__xludf.DUMMYFUNCTION("""COMPUTED_VALUE"""),"Yes")</f>
        <v>Yes</v>
      </c>
      <c r="AM126" s="5"/>
      <c r="AN126" s="5"/>
      <c r="AO126" s="5"/>
      <c r="AP126" s="5"/>
      <c r="AQ126" s="5"/>
      <c r="AR126" s="5" t="b">
        <f>IFERROR(__xludf.DUMMYFUNCTION("""COMPUTED_VALUE"""),TRUE)</f>
        <v>1</v>
      </c>
      <c r="AS126" s="5"/>
      <c r="AT126" s="5"/>
      <c r="AU126" s="5" t="str">
        <f>IFERROR(__xludf.DUMMYFUNCTION("""COMPUTED_VALUE"""),"Fazi")</f>
        <v>Fazi</v>
      </c>
      <c r="AV126" s="5"/>
      <c r="AW126" s="5"/>
      <c r="AX126" s="5"/>
      <c r="AY126" s="5"/>
      <c r="AZ126" s="5"/>
      <c r="BA126" s="5" t="str">
        <f>IFERROR(__xludf.DUMMYFUNCTION("""COMPUTED_VALUE"""),"")</f>
        <v/>
      </c>
      <c r="BB126" s="5"/>
      <c r="BC126" s="5" t="str">
        <f>IFERROR(__xludf.DUMMYFUNCTION("""COMPUTED_VALUE"""),"Foxi")</f>
        <v>Foxi</v>
      </c>
      <c r="BD126" s="5" t="str">
        <f>IFERROR(__xludf.DUMMYFUNCTION("""COMPUTED_VALUE"""),"")</f>
        <v/>
      </c>
      <c r="BE126" s="5"/>
    </row>
    <row r="127">
      <c r="A127" s="5">
        <f>IFERROR(__xludf.DUMMYFUNCTION("""COMPUTED_VALUE"""),126.0)</f>
        <v>126</v>
      </c>
      <c r="B127" s="5">
        <f>IFERROR(__xludf.DUMMYFUNCTION("""COMPUTED_VALUE"""),125.0)</f>
        <v>125</v>
      </c>
      <c r="C127" s="5" t="str">
        <f>IFERROR(__xludf.DUMMYFUNCTION("""COMPUTED_VALUE"""),"Fazi")</f>
        <v>Fazi</v>
      </c>
      <c r="D127" s="5" t="str">
        <f>IFERROR(__xludf.DUMMYFUNCTION("""COMPUTED_VALUE"""),"Bursting Hot 5 Admiral")</f>
        <v>Bursting Hot 5 Admiral</v>
      </c>
      <c r="E127" s="5" t="str">
        <f>IFERROR(__xludf.DUMMYFUNCTION("""COMPUTED_VALUE"""),"V2")</f>
        <v>V2</v>
      </c>
      <c r="F127" s="5" t="str">
        <f>IFERROR(__xludf.DUMMYFUNCTION("""COMPUTED_VALUE"""),"BurstingHot5Admiral")</f>
        <v>BurstingHot5Admiral</v>
      </c>
      <c r="G127" s="5" t="str">
        <f>IFERROR(__xludf.DUMMYFUNCTION("""COMPUTED_VALUE"""),"Live")</f>
        <v>Live</v>
      </c>
      <c r="H127" s="5" t="str">
        <f>IFERROR(__xludf.DUMMYFUNCTION("""COMPUTED_VALUE"""),"Millennium Bet - Zbet.rs")</f>
        <v>Millennium Bet - Zbet.rs</v>
      </c>
      <c r="I127" s="5" t="str">
        <f>IFERROR(__xludf.DUMMYFUNCTION("""COMPUTED_VALUE"""),"V2")</f>
        <v>V2</v>
      </c>
      <c r="J127" s="5" t="str">
        <f>IFERROR(__xludf.DUMMYFUNCTION("""COMPUTED_VALUE"""),"Binary")</f>
        <v>Binary</v>
      </c>
      <c r="K127" s="5" t="str">
        <f>IFERROR(__xludf.DUMMYFUNCTION("""COMPUTED_VALUE"""),"Slot")</f>
        <v>Slot</v>
      </c>
      <c r="L127" s="5"/>
      <c r="M127" s="5"/>
      <c r="N127" s="5"/>
      <c r="O127" s="5"/>
      <c r="P127" s="12"/>
      <c r="Q127" s="13">
        <f>IFERROR(__xludf.DUMMYFUNCTION("""COMPUTED_VALUE"""),43831.0)</f>
        <v>43831</v>
      </c>
      <c r="R127" s="14"/>
      <c r="S127" s="13">
        <f>IFERROR(__xludf.DUMMYFUNCTION("""COMPUTED_VALUE"""),43831.0)</f>
        <v>43831</v>
      </c>
      <c r="T127" s="5"/>
      <c r="U127" s="5" t="str">
        <f>IFERROR(__xludf.DUMMYFUNCTION("""COMPUTED_VALUE"""),"5x3")</f>
        <v>5x3</v>
      </c>
      <c r="V127" s="10" t="str">
        <f>IFERROR(__xludf.DUMMYFUNCTION("""COMPUTED_VALUE"""),"5")</f>
        <v>5</v>
      </c>
      <c r="W127" s="10" t="str">
        <f>IFERROR(__xludf.DUMMYFUNCTION("""COMPUTED_VALUE"""),"5")</f>
        <v>5</v>
      </c>
      <c r="X127" s="11">
        <f>IFERROR(__xludf.DUMMYFUNCTION("""COMPUTED_VALUE"""),96.447)</f>
        <v>96.447</v>
      </c>
      <c r="Y127" s="5" t="str">
        <f>IFERROR(__xludf.DUMMYFUNCTION("""COMPUTED_VALUE"""),"Medium")</f>
        <v>Medium</v>
      </c>
      <c r="Z127" s="5">
        <f>IFERROR(__xludf.DUMMYFUNCTION("""COMPUTED_VALUE"""),14.51)</f>
        <v>14.51</v>
      </c>
      <c r="AA127" s="12">
        <f>IFERROR(__xludf.DUMMYFUNCTION("""COMPUTED_VALUE"""),1222.0)</f>
        <v>1222</v>
      </c>
      <c r="AB127" s="5"/>
      <c r="AC127" s="18"/>
      <c r="AD127" s="5"/>
      <c r="AE127" s="5"/>
      <c r="AF127" s="5"/>
      <c r="AG127" s="8">
        <f>IFERROR(__xludf.DUMMYFUNCTION("""COMPUTED_VALUE"""),46055.47418981481)</f>
        <v>46055.47419</v>
      </c>
      <c r="AH127" s="5" t="str">
        <f>IFERROR(__xludf.DUMMYFUNCTION("""COMPUTED_VALUE"""),"djordje.jankovic@fazi.rs")</f>
        <v>djordje.jankovic@fazi.rs</v>
      </c>
      <c r="AI127" s="5"/>
      <c r="AJ127" s="5"/>
      <c r="AK127" s="5" t="str">
        <f>IFERROR(__xludf.DUMMYFUNCTION("""COMPUTED_VALUE"""),"NULL")</f>
        <v>NULL</v>
      </c>
      <c r="AL127" s="5" t="str">
        <f>IFERROR(__xludf.DUMMYFUNCTION("""COMPUTED_VALUE"""),"Yes")</f>
        <v>Yes</v>
      </c>
      <c r="AM127" s="5"/>
      <c r="AN127" s="5"/>
      <c r="AO127" s="5"/>
      <c r="AP127" s="5"/>
      <c r="AQ127" s="5"/>
      <c r="AR127" s="5" t="b">
        <f>IFERROR(__xludf.DUMMYFUNCTION("""COMPUTED_VALUE"""),TRUE)</f>
        <v>1</v>
      </c>
      <c r="AS127" s="5"/>
      <c r="AT127" s="5"/>
      <c r="AU127" s="5" t="str">
        <f>IFERROR(__xludf.DUMMYFUNCTION("""COMPUTED_VALUE"""),"Fazi")</f>
        <v>Fazi</v>
      </c>
      <c r="AV127" s="5"/>
      <c r="AW127" s="5"/>
      <c r="AX127" s="5"/>
      <c r="AY127" s="5"/>
      <c r="AZ127" s="5"/>
      <c r="BA127" s="5" t="str">
        <f>IFERROR(__xludf.DUMMYFUNCTION("""COMPUTED_VALUE"""),"")</f>
        <v/>
      </c>
      <c r="BB127" s="5"/>
      <c r="BC127" s="5" t="str">
        <f>IFERROR(__xludf.DUMMYFUNCTION("""COMPUTED_VALUE"""),"Foxi")</f>
        <v>Foxi</v>
      </c>
      <c r="BD127" s="5" t="str">
        <f>IFERROR(__xludf.DUMMYFUNCTION("""COMPUTED_VALUE"""),"")</f>
        <v/>
      </c>
      <c r="BE127" s="5"/>
    </row>
    <row r="128">
      <c r="A128" s="5">
        <f>IFERROR(__xludf.DUMMYFUNCTION("""COMPUTED_VALUE"""),127.0)</f>
        <v>127</v>
      </c>
      <c r="B128" s="5">
        <f>IFERROR(__xludf.DUMMYFUNCTION("""COMPUTED_VALUE"""),126.0)</f>
        <v>126</v>
      </c>
      <c r="C128" s="5" t="str">
        <f>IFERROR(__xludf.DUMMYFUNCTION("""COMPUTED_VALUE"""),"Fazi")</f>
        <v>Fazi</v>
      </c>
      <c r="D128" s="5" t="str">
        <f>IFERROR(__xludf.DUMMYFUNCTION("""COMPUTED_VALUE"""),"Golden Crown 20 BalkanBet")</f>
        <v>Golden Crown 20 BalkanBet</v>
      </c>
      <c r="E128" s="5" t="str">
        <f>IFERROR(__xludf.DUMMYFUNCTION("""COMPUTED_VALUE"""),"V2")</f>
        <v>V2</v>
      </c>
      <c r="F128" s="5" t="str">
        <f>IFERROR(__xludf.DUMMYFUNCTION("""COMPUTED_VALUE"""),"GoldenCrown20BalkanBet")</f>
        <v>GoldenCrown20BalkanBet</v>
      </c>
      <c r="G128" s="5" t="str">
        <f>IFERROR(__xludf.DUMMYFUNCTION("""COMPUTED_VALUE"""),"Live")</f>
        <v>Live</v>
      </c>
      <c r="H128" s="5" t="str">
        <f>IFERROR(__xludf.DUMMYFUNCTION("""COMPUTED_VALUE"""),"Balkan Bet")</f>
        <v>Balkan Bet</v>
      </c>
      <c r="I128" s="5" t="str">
        <f>IFERROR(__xludf.DUMMYFUNCTION("""COMPUTED_VALUE"""),"V2")</f>
        <v>V2</v>
      </c>
      <c r="J128" s="5" t="str">
        <f>IFERROR(__xludf.DUMMYFUNCTION("""COMPUTED_VALUE"""),"Binary")</f>
        <v>Binary</v>
      </c>
      <c r="K128" s="5" t="str">
        <f>IFERROR(__xludf.DUMMYFUNCTION("""COMPUTED_VALUE"""),"Slot")</f>
        <v>Slot</v>
      </c>
      <c r="L128" s="5"/>
      <c r="M128" s="5"/>
      <c r="N128" s="5"/>
      <c r="O128" s="5"/>
      <c r="P128" s="12"/>
      <c r="Q128" s="13">
        <f>IFERROR(__xludf.DUMMYFUNCTION("""COMPUTED_VALUE"""),43831.0)</f>
        <v>43831</v>
      </c>
      <c r="R128" s="14"/>
      <c r="S128" s="13">
        <f>IFERROR(__xludf.DUMMYFUNCTION("""COMPUTED_VALUE"""),43831.0)</f>
        <v>43831</v>
      </c>
      <c r="T128" s="5"/>
      <c r="U128" s="16"/>
      <c r="V128" s="10" t="str">
        <f>IFERROR(__xludf.DUMMYFUNCTION("""COMPUTED_VALUE"""),"20")</f>
        <v>20</v>
      </c>
      <c r="W128" s="10"/>
      <c r="X128" s="11">
        <f>IFERROR(__xludf.DUMMYFUNCTION("""COMPUTED_VALUE"""),95.962)</f>
        <v>95.962</v>
      </c>
      <c r="Y128" s="17"/>
      <c r="Z128" s="5">
        <f>IFERROR(__xludf.DUMMYFUNCTION("""COMPUTED_VALUE"""),0.0)</f>
        <v>0</v>
      </c>
      <c r="AA128" s="12"/>
      <c r="AB128" s="5"/>
      <c r="AC128" s="18"/>
      <c r="AD128" s="5"/>
      <c r="AE128" s="5"/>
      <c r="AF128" s="5"/>
      <c r="AG128" s="8">
        <f>IFERROR(__xludf.DUMMYFUNCTION("""COMPUTED_VALUE"""),46020.52564814815)</f>
        <v>46020.52565</v>
      </c>
      <c r="AH128" s="5" t="str">
        <f>IFERROR(__xludf.DUMMYFUNCTION("""COMPUTED_VALUE"""),"djordje.jankovic@fazi.rs")</f>
        <v>djordje.jankovic@fazi.rs</v>
      </c>
      <c r="AI128" s="5"/>
      <c r="AJ128" s="5"/>
      <c r="AK128" s="5" t="str">
        <f>IFERROR(__xludf.DUMMYFUNCTION("""COMPUTED_VALUE"""),"NULL")</f>
        <v>NULL</v>
      </c>
      <c r="AL128" s="5" t="str">
        <f>IFERROR(__xludf.DUMMYFUNCTION("""COMPUTED_VALUE"""),"Yes")</f>
        <v>Yes</v>
      </c>
      <c r="AM128" s="5"/>
      <c r="AN128" s="5"/>
      <c r="AO128" s="5"/>
      <c r="AP128" s="5"/>
      <c r="AQ128" s="5"/>
      <c r="AR128" s="5" t="b">
        <f>IFERROR(__xludf.DUMMYFUNCTION("""COMPUTED_VALUE"""),TRUE)</f>
        <v>1</v>
      </c>
      <c r="AS128" s="5"/>
      <c r="AT128" s="5"/>
      <c r="AU128" s="5" t="str">
        <f>IFERROR(__xludf.DUMMYFUNCTION("""COMPUTED_VALUE"""),"Fazi")</f>
        <v>Fazi</v>
      </c>
      <c r="AV128" s="5"/>
      <c r="AW128" s="5"/>
      <c r="AX128" s="5"/>
      <c r="AY128" s="5"/>
      <c r="AZ128" s="5"/>
      <c r="BA128" s="5" t="str">
        <f>IFERROR(__xludf.DUMMYFUNCTION("""COMPUTED_VALUE"""),"")</f>
        <v/>
      </c>
      <c r="BB128" s="5"/>
      <c r="BC128" s="5" t="str">
        <f>IFERROR(__xludf.DUMMYFUNCTION("""COMPUTED_VALUE"""),"Foxi")</f>
        <v>Foxi</v>
      </c>
      <c r="BD128" s="5" t="str">
        <f>IFERROR(__xludf.DUMMYFUNCTION("""COMPUTED_VALUE"""),"")</f>
        <v/>
      </c>
      <c r="BE128" s="5"/>
    </row>
    <row r="129">
      <c r="A129" s="5">
        <f>IFERROR(__xludf.DUMMYFUNCTION("""COMPUTED_VALUE"""),128.0)</f>
        <v>128</v>
      </c>
      <c r="B129" s="5">
        <f>IFERROR(__xludf.DUMMYFUNCTION("""COMPUTED_VALUE"""),127.0)</f>
        <v>127</v>
      </c>
      <c r="C129" s="5" t="str">
        <f>IFERROR(__xludf.DUMMYFUNCTION("""COMPUTED_VALUE"""),"Fazi")</f>
        <v>Fazi</v>
      </c>
      <c r="D129" s="5" t="str">
        <f>IFERROR(__xludf.DUMMYFUNCTION("""COMPUTED_VALUE"""),"Wild Hot 40 Meridian")</f>
        <v>Wild Hot 40 Meridian</v>
      </c>
      <c r="E129" s="5" t="str">
        <f>IFERROR(__xludf.DUMMYFUNCTION("""COMPUTED_VALUE"""),"V2")</f>
        <v>V2</v>
      </c>
      <c r="F129" s="5" t="str">
        <f>IFERROR(__xludf.DUMMYFUNCTION("""COMPUTED_VALUE"""),"WildHot40Meridian")</f>
        <v>WildHot40Meridian</v>
      </c>
      <c r="G129" s="5" t="str">
        <f>IFERROR(__xludf.DUMMYFUNCTION("""COMPUTED_VALUE"""),"Live")</f>
        <v>Live</v>
      </c>
      <c r="H129" s="5" t="str">
        <f>IFERROR(__xludf.DUMMYFUNCTION("""COMPUTED_VALUE"""),"Meridian Tech")</f>
        <v>Meridian Tech</v>
      </c>
      <c r="I129" s="5" t="str">
        <f>IFERROR(__xludf.DUMMYFUNCTION("""COMPUTED_VALUE"""),"V2")</f>
        <v>V2</v>
      </c>
      <c r="J129" s="5" t="str">
        <f>IFERROR(__xludf.DUMMYFUNCTION("""COMPUTED_VALUE"""),"Binary")</f>
        <v>Binary</v>
      </c>
      <c r="K129" s="5" t="str">
        <f>IFERROR(__xludf.DUMMYFUNCTION("""COMPUTED_VALUE"""),"Slot")</f>
        <v>Slot</v>
      </c>
      <c r="L129" s="5"/>
      <c r="M129" s="5"/>
      <c r="N129" s="5"/>
      <c r="O129" s="5"/>
      <c r="P129" s="12"/>
      <c r="Q129" s="13">
        <f>IFERROR(__xludf.DUMMYFUNCTION("""COMPUTED_VALUE"""),43831.0)</f>
        <v>43831</v>
      </c>
      <c r="R129" s="14"/>
      <c r="S129" s="13">
        <f>IFERROR(__xludf.DUMMYFUNCTION("""COMPUTED_VALUE"""),43831.0)</f>
        <v>43831</v>
      </c>
      <c r="T129" s="5"/>
      <c r="U129" s="16"/>
      <c r="V129" s="10" t="str">
        <f>IFERROR(__xludf.DUMMYFUNCTION("""COMPUTED_VALUE"""),"40")</f>
        <v>40</v>
      </c>
      <c r="W129" s="10"/>
      <c r="X129" s="11">
        <f>IFERROR(__xludf.DUMMYFUNCTION("""COMPUTED_VALUE"""),96.584)</f>
        <v>96.584</v>
      </c>
      <c r="Y129" s="17"/>
      <c r="Z129" s="5">
        <f>IFERROR(__xludf.DUMMYFUNCTION("""COMPUTED_VALUE"""),0.0)</f>
        <v>0</v>
      </c>
      <c r="AA129" s="12"/>
      <c r="AB129" s="5"/>
      <c r="AC129" s="18"/>
      <c r="AD129" s="5"/>
      <c r="AE129" s="5"/>
      <c r="AF129" s="5"/>
      <c r="AG129" s="8">
        <f>IFERROR(__xludf.DUMMYFUNCTION("""COMPUTED_VALUE"""),46020.52553240741)</f>
        <v>46020.52553</v>
      </c>
      <c r="AH129" s="5" t="str">
        <f>IFERROR(__xludf.DUMMYFUNCTION("""COMPUTED_VALUE"""),"djordje.jankovic@fazi.rs")</f>
        <v>djordje.jankovic@fazi.rs</v>
      </c>
      <c r="AI129" s="5"/>
      <c r="AJ129" s="5"/>
      <c r="AK129" s="5" t="str">
        <f>IFERROR(__xludf.DUMMYFUNCTION("""COMPUTED_VALUE"""),"NULL")</f>
        <v>NULL</v>
      </c>
      <c r="AL129" s="5" t="str">
        <f>IFERROR(__xludf.DUMMYFUNCTION("""COMPUTED_VALUE"""),"Yes")</f>
        <v>Yes</v>
      </c>
      <c r="AM129" s="5"/>
      <c r="AN129" s="5"/>
      <c r="AO129" s="5"/>
      <c r="AP129" s="5"/>
      <c r="AQ129" s="5"/>
      <c r="AR129" s="5" t="b">
        <f>IFERROR(__xludf.DUMMYFUNCTION("""COMPUTED_VALUE"""),TRUE)</f>
        <v>1</v>
      </c>
      <c r="AS129" s="5"/>
      <c r="AT129" s="5"/>
      <c r="AU129" s="5" t="str">
        <f>IFERROR(__xludf.DUMMYFUNCTION("""COMPUTED_VALUE"""),"Fazi")</f>
        <v>Fazi</v>
      </c>
      <c r="AV129" s="5"/>
      <c r="AW129" s="5"/>
      <c r="AX129" s="5"/>
      <c r="AY129" s="5"/>
      <c r="AZ129" s="5"/>
      <c r="BA129" s="5" t="str">
        <f>IFERROR(__xludf.DUMMYFUNCTION("""COMPUTED_VALUE"""),"")</f>
        <v/>
      </c>
      <c r="BB129" s="5"/>
      <c r="BC129" s="5" t="str">
        <f>IFERROR(__xludf.DUMMYFUNCTION("""COMPUTED_VALUE"""),"Foxi")</f>
        <v>Foxi</v>
      </c>
      <c r="BD129" s="5" t="str">
        <f>IFERROR(__xludf.DUMMYFUNCTION("""COMPUTED_VALUE"""),"")</f>
        <v/>
      </c>
      <c r="BE129" s="5"/>
    </row>
    <row r="130">
      <c r="A130" s="5">
        <f>IFERROR(__xludf.DUMMYFUNCTION("""COMPUTED_VALUE"""),129.0)</f>
        <v>129</v>
      </c>
      <c r="B130" s="5">
        <f>IFERROR(__xludf.DUMMYFUNCTION("""COMPUTED_VALUE"""),128.0)</f>
        <v>128</v>
      </c>
      <c r="C130" s="5" t="str">
        <f>IFERROR(__xludf.DUMMYFUNCTION("""COMPUTED_VALUE"""),"Fazi")</f>
        <v>Fazi</v>
      </c>
      <c r="D130" s="5" t="str">
        <f>IFERROR(__xludf.DUMMYFUNCTION("""COMPUTED_VALUE"""),"Crystal Hot 40 Free")</f>
        <v>Crystal Hot 40 Free</v>
      </c>
      <c r="E130" s="5" t="str">
        <f>IFERROR(__xludf.DUMMYFUNCTION("""COMPUTED_VALUE"""),"V2")</f>
        <v>V2</v>
      </c>
      <c r="F130" s="5" t="str">
        <f>IFERROR(__xludf.DUMMYFUNCTION("""COMPUTED_VALUE"""),"CrystalHot40Free")</f>
        <v>CrystalHot40Free</v>
      </c>
      <c r="G130" s="5" t="str">
        <f>IFERROR(__xludf.DUMMYFUNCTION("""COMPUTED_VALUE"""),"Live")</f>
        <v>Live</v>
      </c>
      <c r="H130" s="5"/>
      <c r="I130" s="5" t="str">
        <f>IFERROR(__xludf.DUMMYFUNCTION("""COMPUTED_VALUE"""),"V2")</f>
        <v>V2</v>
      </c>
      <c r="J130" s="5" t="str">
        <f>IFERROR(__xludf.DUMMYFUNCTION("""COMPUTED_VALUE"""),"JSON")</f>
        <v>JSON</v>
      </c>
      <c r="K130" s="5" t="str">
        <f>IFERROR(__xludf.DUMMYFUNCTION("""COMPUTED_VALUE"""),"Slot")</f>
        <v>Slot</v>
      </c>
      <c r="L130" s="5"/>
      <c r="M130" s="5"/>
      <c r="N130" s="5"/>
      <c r="O130" s="5"/>
      <c r="P130" s="12">
        <f>IFERROR(__xludf.DUMMYFUNCTION("""COMPUTED_VALUE"""),32.9)</f>
        <v>32.9</v>
      </c>
      <c r="Q130" s="13">
        <f>IFERROR(__xludf.DUMMYFUNCTION("""COMPUTED_VALUE"""),44487.0)</f>
        <v>44487</v>
      </c>
      <c r="R130" s="14"/>
      <c r="S130" s="13">
        <f>IFERROR(__xludf.DUMMYFUNCTION("""COMPUTED_VALUE"""),44487.0)</f>
        <v>44487</v>
      </c>
      <c r="T130" s="5"/>
      <c r="U130" s="5" t="str">
        <f>IFERROR(__xludf.DUMMYFUNCTION("""COMPUTED_VALUE"""),"5x4")</f>
        <v>5x4</v>
      </c>
      <c r="V130" s="10" t="str">
        <f>IFERROR(__xludf.DUMMYFUNCTION("""COMPUTED_VALUE"""),"40")</f>
        <v>40</v>
      </c>
      <c r="W130" s="10" t="str">
        <f>IFERROR(__xludf.DUMMYFUNCTION("""COMPUTED_VALUE"""),"40")</f>
        <v>40</v>
      </c>
      <c r="X130" s="5">
        <f>IFERROR(__xludf.DUMMYFUNCTION("""COMPUTED_VALUE"""),96.024)</f>
        <v>96.024</v>
      </c>
      <c r="Y130" s="5" t="str">
        <f>IFERROR(__xludf.DUMMYFUNCTION("""COMPUTED_VALUE"""),"Low")</f>
        <v>Low</v>
      </c>
      <c r="Z130" s="5">
        <f>IFERROR(__xludf.DUMMYFUNCTION("""COMPUTED_VALUE"""),17.23)</f>
        <v>17.23</v>
      </c>
      <c r="AA130" s="12">
        <f>IFERROR(__xludf.DUMMYFUNCTION("""COMPUTED_VALUE"""),1046.0)</f>
        <v>1046</v>
      </c>
      <c r="AB130" s="5">
        <f>IFERROR(__xludf.DUMMYFUNCTION("""COMPUTED_VALUE"""),152.0)</f>
        <v>152</v>
      </c>
      <c r="AC130" s="5" t="str">
        <f>IFERROR(__xludf.DUMMYFUNCTION("""COMPUTED_VALUE"""),"Buy Bonus, Wild Symbol, Bonus Game with Free Spins")</f>
        <v>Buy Bonus, Wild Symbol, Bonus Game with Free Spins</v>
      </c>
      <c r="AD130" s="5" t="str">
        <f>IFERROR(__xludf.DUMMYFUNCTION("""COMPUTED_VALUE"""),"0.4/60")</f>
        <v>0.4/60</v>
      </c>
      <c r="AE130" s="5"/>
      <c r="AF130" s="5"/>
      <c r="AG130" s="8">
        <f>IFERROR(__xludf.DUMMYFUNCTION("""COMPUTED_VALUE"""),46112.6249537037)</f>
        <v>46112.62495</v>
      </c>
      <c r="AH130" s="5" t="str">
        <f>IFERROR(__xludf.DUMMYFUNCTION("""COMPUTED_VALUE"""),"marko.tepavac@fazi.rs")</f>
        <v>marko.tepavac@fazi.rs</v>
      </c>
      <c r="AI130" s="5"/>
      <c r="AJ130" s="5"/>
      <c r="AK130" s="5">
        <f>IFERROR(__xludf.DUMMYFUNCTION("""COMPUTED_VALUE"""),40.0)</f>
        <v>40</v>
      </c>
      <c r="AL130" s="5" t="str">
        <f>IFERROR(__xludf.DUMMYFUNCTION("""COMPUTED_VALUE"""),"Yes")</f>
        <v>Yes</v>
      </c>
      <c r="AM130" s="5"/>
      <c r="AN130" s="7" t="str">
        <f>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AO130" s="5" t="str">
        <f>IFERROR(__xludf.DUMMYFUNCTION("""COMPUTED_VALUE"""),"Yes")</f>
        <v>Yes</v>
      </c>
      <c r="AP130" s="5" t="str">
        <f>IFERROR(__xludf.DUMMYFUNCTION("""COMPUTED_VALUE"""),"Yes")</f>
        <v>Yes</v>
      </c>
      <c r="AQ130" s="5" t="b">
        <f>IFERROR(__xludf.DUMMYFUNCTION("""COMPUTED_VALUE"""),TRUE)</f>
        <v>1</v>
      </c>
      <c r="AR130" s="5"/>
      <c r="AS130" s="5" t="str">
        <f>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AT130" s="5"/>
      <c r="AU130" s="5" t="str">
        <f>IFERROR(__xludf.DUMMYFUNCTION("""COMPUTED_VALUE"""),"Fazi")</f>
        <v>Fazi</v>
      </c>
      <c r="AV130" s="5"/>
      <c r="AW130" s="5"/>
      <c r="AX130" s="5"/>
      <c r="AY130" s="5" t="str">
        <f>IFERROR(__xludf.DUMMYFUNCTION("""COMPUTED_VALUE"""),"87.5%, 89.5%, 91.5%, 93.5%, 94.5%, 95.5%, 96.5%")</f>
        <v>87.5%, 89.5%, 91.5%, 93.5%, 94.5%, 95.5%, 96.5%</v>
      </c>
      <c r="AZ130" s="5"/>
      <c r="BA130" s="5" t="str">
        <f>IFERROR(__xludf.DUMMYFUNCTION("""COMPUTED_VALUE"""),"30, 42, 63")</f>
        <v>30, 42, 63</v>
      </c>
      <c r="BB130" s="5"/>
      <c r="BC130" s="5" t="str">
        <f>IFERROR(__xludf.DUMMYFUNCTION("""COMPUTED_VALUE"""),"Foxi")</f>
        <v>Foxi</v>
      </c>
      <c r="BD130" s="7" t="str">
        <f>IFERROR(__xludf.DUMMYFUNCTION("""COMPUTED_VALUE"""),"https://gameserver-store-client-area.orbionlimited.com/Home/IntegrationGameLaunch/client-area?moneyType=0&amp;gameName=CrystalHot40Free&amp;platform=desktop&amp;languageCode=eng&amp;currency=EUR")</f>
        <v>https://gameserver-store-client-area.orbionlimited.com/Home/IntegrationGameLaunch/client-area?moneyType=0&amp;gameName=CrystalHot40Free&amp;platform=desktop&amp;languageCode=eng&amp;currency=EUR</v>
      </c>
      <c r="BE130" s="5" t="b">
        <f>IFERROR(__xludf.DUMMYFUNCTION("""COMPUTED_VALUE"""),TRUE)</f>
        <v>1</v>
      </c>
    </row>
    <row r="131">
      <c r="A131" s="5">
        <f>IFERROR(__xludf.DUMMYFUNCTION("""COMPUTED_VALUE"""),130.0)</f>
        <v>130</v>
      </c>
      <c r="B131" s="5">
        <f>IFERROR(__xludf.DUMMYFUNCTION("""COMPUTED_VALUE"""),129.0)</f>
        <v>129</v>
      </c>
      <c r="C131" s="5" t="str">
        <f>IFERROR(__xludf.DUMMYFUNCTION("""COMPUTED_VALUE"""),"Fazi")</f>
        <v>Fazi</v>
      </c>
      <c r="D131" s="5" t="str">
        <f>IFERROR(__xludf.DUMMYFUNCTION("""COMPUTED_VALUE"""),"Planet Hot 40")</f>
        <v>Planet Hot 40</v>
      </c>
      <c r="E131" s="5" t="str">
        <f>IFERROR(__xludf.DUMMYFUNCTION("""COMPUTED_VALUE"""),"V2")</f>
        <v>V2</v>
      </c>
      <c r="F131" s="5" t="str">
        <f>IFERROR(__xludf.DUMMYFUNCTION("""COMPUTED_VALUE"""),"CrystalHot40Pw")</f>
        <v>CrystalHot40Pw</v>
      </c>
      <c r="G131" s="5" t="str">
        <f>IFERROR(__xludf.DUMMYFUNCTION("""COMPUTED_VALUE"""),"Live")</f>
        <v>Live</v>
      </c>
      <c r="H131" s="5" t="str">
        <f>IFERROR(__xludf.DUMMYFUNCTION("""COMPUTED_VALUE"""),"PlanetWinITA - SKS365 Malta")</f>
        <v>PlanetWinITA - SKS365 Malta</v>
      </c>
      <c r="I131" s="5" t="str">
        <f>IFERROR(__xludf.DUMMYFUNCTION("""COMPUTED_VALUE"""),"V2")</f>
        <v>V2</v>
      </c>
      <c r="J131" s="5" t="str">
        <f>IFERROR(__xludf.DUMMYFUNCTION("""COMPUTED_VALUE"""),"Binary")</f>
        <v>Binary</v>
      </c>
      <c r="K131" s="5" t="str">
        <f>IFERROR(__xludf.DUMMYFUNCTION("""COMPUTED_VALUE"""),"Slot")</f>
        <v>Slot</v>
      </c>
      <c r="L131" s="5" t="str">
        <f>IFERROR(__xludf.DUMMYFUNCTION("""COMPUTED_VALUE"""),"Clone")</f>
        <v>Clone</v>
      </c>
      <c r="M131" s="5" t="str">
        <f>IFERROR(__xludf.DUMMYFUNCTION("""COMPUTED_VALUE"""),"Turbo Hot 40")</f>
        <v>Turbo Hot 40</v>
      </c>
      <c r="N131" s="5"/>
      <c r="O131" s="5"/>
      <c r="P131" s="12"/>
      <c r="Q131" s="13">
        <f>IFERROR(__xludf.DUMMYFUNCTION("""COMPUTED_VALUE"""),43831.0)</f>
        <v>43831</v>
      </c>
      <c r="R131" s="14"/>
      <c r="S131" s="13">
        <f>IFERROR(__xludf.DUMMYFUNCTION("""COMPUTED_VALUE"""),43831.0)</f>
        <v>43831</v>
      </c>
      <c r="T131" s="5"/>
      <c r="U131" s="5" t="str">
        <f>IFERROR(__xludf.DUMMYFUNCTION("""COMPUTED_VALUE"""),"5x4")</f>
        <v>5x4</v>
      </c>
      <c r="V131" s="10" t="str">
        <f>IFERROR(__xludf.DUMMYFUNCTION("""COMPUTED_VALUE"""),"40")</f>
        <v>40</v>
      </c>
      <c r="W131" s="10" t="str">
        <f>IFERROR(__xludf.DUMMYFUNCTION("""COMPUTED_VALUE"""),"40")</f>
        <v>40</v>
      </c>
      <c r="X131" s="5">
        <f>IFERROR(__xludf.DUMMYFUNCTION("""COMPUTED_VALUE"""),96.584)</f>
        <v>96.584</v>
      </c>
      <c r="Y131" s="5" t="str">
        <f>IFERROR(__xludf.DUMMYFUNCTION("""COMPUTED_VALUE"""),"Low")</f>
        <v>Low</v>
      </c>
      <c r="Z131" s="5">
        <f>IFERROR(__xludf.DUMMYFUNCTION("""COMPUTED_VALUE"""),16.73)</f>
        <v>16.73</v>
      </c>
      <c r="AA131" s="12">
        <f>IFERROR(__xludf.DUMMYFUNCTION("""COMPUTED_VALUE"""),1000.0)</f>
        <v>1000</v>
      </c>
      <c r="AB131" s="5" t="str">
        <f>IFERROR(__xludf.DUMMYFUNCTION("""COMPUTED_VALUE"""),"/")</f>
        <v>/</v>
      </c>
      <c r="AC131" s="5" t="str">
        <f>IFERROR(__xludf.DUMMYFUNCTION("""COMPUTED_VALUE"""),"Scatter, Wild Symbol")</f>
        <v>Scatter, Wild Symbol</v>
      </c>
      <c r="AD131" s="5"/>
      <c r="AE131" s="5"/>
      <c r="AF131" s="5"/>
      <c r="AG131" s="8">
        <f>IFERROR(__xludf.DUMMYFUNCTION("""COMPUTED_VALUE"""),46162.49863425926)</f>
        <v>46162.49863</v>
      </c>
      <c r="AH131" s="5" t="str">
        <f>IFERROR(__xludf.DUMMYFUNCTION("""COMPUTED_VALUE"""),"petra.ilic@fazi.rs")</f>
        <v>petra.ilic@fazi.rs</v>
      </c>
      <c r="AI131" s="5"/>
      <c r="AJ131" s="5"/>
      <c r="AK131" s="5">
        <f>IFERROR(__xludf.DUMMYFUNCTION("""COMPUTED_VALUE"""),40.0)</f>
        <v>40</v>
      </c>
      <c r="AL131" s="5" t="str">
        <f>IFERROR(__xludf.DUMMYFUNCTION("""COMPUTED_VALUE"""),"Yes")</f>
        <v>Yes</v>
      </c>
      <c r="AM131" s="5"/>
      <c r="AN131" s="5"/>
      <c r="AO131" s="5"/>
      <c r="AP131" s="5"/>
      <c r="AQ131" s="5"/>
      <c r="AR131" s="5" t="b">
        <f>IFERROR(__xludf.DUMMYFUNCTION("""COMPUTED_VALUE"""),TRUE)</f>
        <v>1</v>
      </c>
      <c r="AS131" s="5"/>
      <c r="AT131" s="5"/>
      <c r="AU131" s="5" t="str">
        <f>IFERROR(__xludf.DUMMYFUNCTION("""COMPUTED_VALUE"""),"Fazi")</f>
        <v>Fazi</v>
      </c>
      <c r="AV131" s="5"/>
      <c r="AW131" s="5"/>
      <c r="AX131" s="5"/>
      <c r="AY131" s="5"/>
      <c r="AZ131" s="5"/>
      <c r="BA131" s="5"/>
      <c r="BB131" s="5"/>
      <c r="BC131" s="5" t="str">
        <f>IFERROR(__xludf.DUMMYFUNCTION("""COMPUTED_VALUE"""),"Foxi")</f>
        <v>Foxi</v>
      </c>
      <c r="BD131" s="5" t="str">
        <f>IFERROR(__xludf.DUMMYFUNCTION("""COMPUTED_VALUE"""),"")</f>
        <v/>
      </c>
      <c r="BE131" s="5"/>
    </row>
    <row r="132">
      <c r="A132" s="5">
        <f>IFERROR(__xludf.DUMMYFUNCTION("""COMPUTED_VALUE"""),132.0)</f>
        <v>132</v>
      </c>
      <c r="B132" s="5">
        <f>IFERROR(__xludf.DUMMYFUNCTION("""COMPUTED_VALUE"""),131.0)</f>
        <v>131</v>
      </c>
      <c r="C132" s="5" t="str">
        <f>IFERROR(__xludf.DUMMYFUNCTION("""COMPUTED_VALUE"""),"Fazi")</f>
        <v>Fazi</v>
      </c>
      <c r="D132" s="5" t="str">
        <f>IFERROR(__xludf.DUMMYFUNCTION("""COMPUTED_VALUE"""),"El Grande Toro")</f>
        <v>El Grande Toro</v>
      </c>
      <c r="E132" s="5" t="str">
        <f>IFERROR(__xludf.DUMMYFUNCTION("""COMPUTED_VALUE"""),"V2")</f>
        <v>V2</v>
      </c>
      <c r="F132" s="5" t="str">
        <f>IFERROR(__xludf.DUMMYFUNCTION("""COMPUTED_VALUE"""),"ElGrandeToro")</f>
        <v>ElGrandeToro</v>
      </c>
      <c r="G132" s="5" t="str">
        <f>IFERROR(__xludf.DUMMYFUNCTION("""COMPUTED_VALUE"""),"Live")</f>
        <v>Live</v>
      </c>
      <c r="H132" s="5"/>
      <c r="I132" s="5" t="str">
        <f>IFERROR(__xludf.DUMMYFUNCTION("""COMPUTED_VALUE"""),"V2")</f>
        <v>V2</v>
      </c>
      <c r="J132" s="5" t="str">
        <f>IFERROR(__xludf.DUMMYFUNCTION("""COMPUTED_VALUE"""),"Binary")</f>
        <v>Binary</v>
      </c>
      <c r="K132" s="5" t="str">
        <f>IFERROR(__xludf.DUMMYFUNCTION("""COMPUTED_VALUE"""),"Slot")</f>
        <v>Slot</v>
      </c>
      <c r="L132" s="5"/>
      <c r="M132" s="5"/>
      <c r="N132" s="5"/>
      <c r="O132" s="5"/>
      <c r="P132" s="12">
        <f>IFERROR(__xludf.DUMMYFUNCTION("""COMPUTED_VALUE"""),38.9)</f>
        <v>38.9</v>
      </c>
      <c r="Q132" s="13">
        <f>IFERROR(__xludf.DUMMYFUNCTION("""COMPUTED_VALUE"""),44515.0)</f>
        <v>44515</v>
      </c>
      <c r="R132" s="14"/>
      <c r="S132" s="13">
        <f>IFERROR(__xludf.DUMMYFUNCTION("""COMPUTED_VALUE"""),44515.0)</f>
        <v>44515</v>
      </c>
      <c r="T132" s="5" t="b">
        <f>IFERROR(__xludf.DUMMYFUNCTION("""COMPUTED_VALUE"""),TRUE)</f>
        <v>1</v>
      </c>
      <c r="U132" s="5" t="str">
        <f>IFERROR(__xludf.DUMMYFUNCTION("""COMPUTED_VALUE"""),"5x3")</f>
        <v>5x3</v>
      </c>
      <c r="V132" s="10" t="str">
        <f>IFERROR(__xludf.DUMMYFUNCTION("""COMPUTED_VALUE"""),"10")</f>
        <v>10</v>
      </c>
      <c r="W132" s="10" t="str">
        <f>IFERROR(__xludf.DUMMYFUNCTION("""COMPUTED_VALUE"""),"10")</f>
        <v>10</v>
      </c>
      <c r="X132" s="5">
        <f>IFERROR(__xludf.DUMMYFUNCTION("""COMPUTED_VALUE"""),96.016)</f>
        <v>96.016</v>
      </c>
      <c r="Y132" s="5" t="str">
        <f>IFERROR(__xludf.DUMMYFUNCTION("""COMPUTED_VALUE"""),"High")</f>
        <v>High</v>
      </c>
      <c r="Z132" s="5">
        <f>IFERROR(__xludf.DUMMYFUNCTION("""COMPUTED_VALUE"""),31.330000000000002)</f>
        <v>31.33</v>
      </c>
      <c r="AA132" s="12">
        <f>IFERROR(__xludf.DUMMYFUNCTION("""COMPUTED_VALUE"""),3755.0)</f>
        <v>3755</v>
      </c>
      <c r="AB132" s="5">
        <f>IFERROR(__xludf.DUMMYFUNCTION("""COMPUTED_VALUE"""),248.0)</f>
        <v>248</v>
      </c>
      <c r="AC132" s="5" t="str">
        <f>IFERROR(__xludf.DUMMYFUNCTION("""COMPUTED_VALUE"""),"Buy Bonus, Sticky Wild, Wild Symbol, Bonus Game with Free Spins")</f>
        <v>Buy Bonus, Sticky Wild, Wild Symbol, Bonus Game with Free Spins</v>
      </c>
      <c r="AD132" s="5" t="str">
        <f>IFERROR(__xludf.DUMMYFUNCTION("""COMPUTED_VALUE"""),"0.1/50")</f>
        <v>0.1/50</v>
      </c>
      <c r="AE132" s="5"/>
      <c r="AF132" s="5"/>
      <c r="AG132" s="8">
        <f>IFERROR(__xludf.DUMMYFUNCTION("""COMPUTED_VALUE"""),45967.56563657407)</f>
        <v>45967.56564</v>
      </c>
      <c r="AH132" s="5" t="str">
        <f>IFERROR(__xludf.DUMMYFUNCTION("""COMPUTED_VALUE"""),"djordje.petrovic@fazi.rs")</f>
        <v>djordje.petrovic@fazi.rs</v>
      </c>
      <c r="AI132" s="5"/>
      <c r="AJ132" s="5"/>
      <c r="AK132" s="5">
        <f>IFERROR(__xludf.DUMMYFUNCTION("""COMPUTED_VALUE"""),10.0)</f>
        <v>10</v>
      </c>
      <c r="AL132" s="5" t="str">
        <f>IFERROR(__xludf.DUMMYFUNCTION("""COMPUTED_VALUE"""),"Yes")</f>
        <v>Yes</v>
      </c>
      <c r="AM132" s="5"/>
      <c r="AN132" s="7" t="str">
        <f>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AO132" s="5"/>
      <c r="AP132" s="5"/>
      <c r="AQ132" s="5" t="b">
        <f>IFERROR(__xludf.DUMMYFUNCTION("""COMPUTED_VALUE"""),TRUE)</f>
        <v>1</v>
      </c>
      <c r="AR132" s="5"/>
      <c r="AS132" s="5" t="str">
        <f>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AT132" s="5"/>
      <c r="AU132" s="5" t="str">
        <f>IFERROR(__xludf.DUMMYFUNCTION("""COMPUTED_VALUE"""),"Fazi")</f>
        <v>Fazi</v>
      </c>
      <c r="AV132" s="5"/>
      <c r="AW132" s="5"/>
      <c r="AX132" s="5"/>
      <c r="AY132" s="5"/>
      <c r="AZ132" s="5"/>
      <c r="BA132" s="5" t="str">
        <f>IFERROR(__xludf.DUMMYFUNCTION("""COMPUTED_VALUE"""),"102")</f>
        <v>102</v>
      </c>
      <c r="BB132" s="5"/>
      <c r="BC132" s="5" t="str">
        <f>IFERROR(__xludf.DUMMYFUNCTION("""COMPUTED_VALUE"""),"Foxi")</f>
        <v>Foxi</v>
      </c>
      <c r="BD132" s="7" t="str">
        <f>IFERROR(__xludf.DUMMYFUNCTION("""COMPUTED_VALUE"""),"https://gameserver-store-client-area.orbionlimited.com/Home/IntegrationGameLaunch/client-area?moneyType=0&amp;gameName=ElGrandeToro&amp;platform=desktop&amp;languageCode=eng&amp;currency=EUR")</f>
        <v>https://gameserver-store-client-area.orbionlimited.com/Home/IntegrationGameLaunch/client-area?moneyType=0&amp;gameName=ElGrandeToro&amp;platform=desktop&amp;languageCode=eng&amp;currency=EUR</v>
      </c>
      <c r="BE132" s="5" t="b">
        <f>IFERROR(__xludf.DUMMYFUNCTION("""COMPUTED_VALUE"""),TRUE)</f>
        <v>1</v>
      </c>
    </row>
    <row r="133">
      <c r="A133" s="5">
        <f>IFERROR(__xludf.DUMMYFUNCTION("""COMPUTED_VALUE"""),133.0)</f>
        <v>133</v>
      </c>
      <c r="B133" s="5">
        <f>IFERROR(__xludf.DUMMYFUNCTION("""COMPUTED_VALUE"""),132.0)</f>
        <v>132</v>
      </c>
      <c r="C133" s="5" t="str">
        <f>IFERROR(__xludf.DUMMYFUNCTION("""COMPUTED_VALUE"""),"Tiptop")</f>
        <v>Tiptop</v>
      </c>
      <c r="D133" s="5" t="str">
        <f>IFERROR(__xludf.DUMMYFUNCTION("""COMPUTED_VALUE"""),"Great Whale")</f>
        <v>Great Whale</v>
      </c>
      <c r="E133" s="5"/>
      <c r="F133" s="5" t="str">
        <f>IFERROR(__xludf.DUMMYFUNCTION("""COMPUTED_VALUE"""),"UnicornGreatWhale")</f>
        <v>UnicornGreatWhale</v>
      </c>
      <c r="G133" s="5" t="str">
        <f>IFERROR(__xludf.DUMMYFUNCTION("""COMPUTED_VALUE"""),"Live")</f>
        <v>Live</v>
      </c>
      <c r="H133" s="5"/>
      <c r="I133" s="5" t="str">
        <f>IFERROR(__xludf.DUMMYFUNCTION("""COMPUTED_VALUE"""),"TipTop")</f>
        <v>TipTop</v>
      </c>
      <c r="J133" s="5" t="str">
        <f>IFERROR(__xludf.DUMMYFUNCTION("""COMPUTED_VALUE"""),"JSON")</f>
        <v>JSON</v>
      </c>
      <c r="K133" s="5" t="str">
        <f>IFERROR(__xludf.DUMMYFUNCTION("""COMPUTED_VALUE"""),"Slot")</f>
        <v>Slot</v>
      </c>
      <c r="L133" s="5"/>
      <c r="M133" s="5"/>
      <c r="N133" s="5"/>
      <c r="O133" s="5"/>
      <c r="P133" s="12">
        <f>IFERROR(__xludf.DUMMYFUNCTION("""COMPUTED_VALUE"""),23.7)</f>
        <v>23.7</v>
      </c>
      <c r="Q133" s="13">
        <f>IFERROR(__xludf.DUMMYFUNCTION("""COMPUTED_VALUE"""),44670.0)</f>
        <v>44670</v>
      </c>
      <c r="R133" s="14"/>
      <c r="S133" s="13">
        <f>IFERROR(__xludf.DUMMYFUNCTION("""COMPUTED_VALUE"""),44670.0)</f>
        <v>44670</v>
      </c>
      <c r="T133" s="5"/>
      <c r="U133" s="5" t="str">
        <f>IFERROR(__xludf.DUMMYFUNCTION("""COMPUTED_VALUE"""),"5X3")</f>
        <v>5X3</v>
      </c>
      <c r="V133" s="10" t="str">
        <f>IFERROR(__xludf.DUMMYFUNCTION("""COMPUTED_VALUE"""),"5")</f>
        <v>5</v>
      </c>
      <c r="W133" s="10" t="str">
        <f>IFERROR(__xludf.DUMMYFUNCTION("""COMPUTED_VALUE"""),"5")</f>
        <v>5</v>
      </c>
      <c r="X133" s="5">
        <f>IFERROR(__xludf.DUMMYFUNCTION("""COMPUTED_VALUE"""),96.0)</f>
        <v>96</v>
      </c>
      <c r="Y133" s="5" t="str">
        <f>IFERROR(__xludf.DUMMYFUNCTION("""COMPUTED_VALUE"""),"High")</f>
        <v>High</v>
      </c>
      <c r="Z133" s="5">
        <f>IFERROR(__xludf.DUMMYFUNCTION("""COMPUTED_VALUE"""),19.8)</f>
        <v>19.8</v>
      </c>
      <c r="AA133" s="12">
        <f>IFERROR(__xludf.DUMMYFUNCTION("""COMPUTED_VALUE"""),7500.0)</f>
        <v>7500</v>
      </c>
      <c r="AB133" s="5"/>
      <c r="AC133" s="5" t="str">
        <f>IFERROR(__xludf.DUMMYFUNCTION("""COMPUTED_VALUE"""),"Bonus Game with Sticky Wild")</f>
        <v>Bonus Game with Sticky Wild</v>
      </c>
      <c r="AD133" s="5" t="str">
        <f>IFERROR(__xludf.DUMMYFUNCTION("""COMPUTED_VALUE"""),"0.05/100")</f>
        <v>0.05/100</v>
      </c>
      <c r="AE133" s="5"/>
      <c r="AF133" s="5"/>
      <c r="AG133" s="8">
        <f>IFERROR(__xludf.DUMMYFUNCTION("""COMPUTED_VALUE"""),46197.451006944444)</f>
        <v>46197.45101</v>
      </c>
      <c r="AH133" s="5" t="str">
        <f>IFERROR(__xludf.DUMMYFUNCTION("""COMPUTED_VALUE"""),"selena.mihajlovic@fazi.rs")</f>
        <v>selena.mihajlovic@fazi.rs</v>
      </c>
      <c r="AI133" s="5"/>
      <c r="AJ133" s="5"/>
      <c r="AK133" s="5">
        <f>IFERROR(__xludf.DUMMYFUNCTION("""COMPUTED_VALUE"""),5.0)</f>
        <v>5</v>
      </c>
      <c r="AL133" s="5" t="str">
        <f>IFERROR(__xludf.DUMMYFUNCTION("""COMPUTED_VALUE"""),"No")</f>
        <v>No</v>
      </c>
      <c r="AM133" s="5"/>
      <c r="AN133" s="7" t="str">
        <f>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AO133" s="5"/>
      <c r="AP133" s="5"/>
      <c r="AQ133" s="5" t="b">
        <f>IFERROR(__xludf.DUMMYFUNCTION("""COMPUTED_VALUE"""),TRUE)</f>
        <v>1</v>
      </c>
      <c r="AR133" s="5"/>
      <c r="AS133" s="5" t="str">
        <f>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AT133" s="5"/>
      <c r="AU133" s="5" t="str">
        <f>IFERROR(__xludf.DUMMYFUNCTION("""COMPUTED_VALUE"""),"Fazi")</f>
        <v>Fazi</v>
      </c>
      <c r="AV133" s="5"/>
      <c r="AW133" s="5"/>
      <c r="AX133" s="5"/>
      <c r="AY133" s="5"/>
      <c r="AZ133" s="5"/>
      <c r="BA133" s="5"/>
      <c r="BB133" s="5" t="b">
        <f>IFERROR(__xludf.DUMMYFUNCTION("""COMPUTED_VALUE"""),TRUE)</f>
        <v>1</v>
      </c>
      <c r="BC133" s="5" t="str">
        <f>IFERROR(__xludf.DUMMYFUNCTION("""COMPUTED_VALUE"""),"Tiptop")</f>
        <v>Tiptop</v>
      </c>
      <c r="BD133" s="7" t="str">
        <f>IFERROR(__xludf.DUMMYFUNCTION("""COMPUTED_VALUE"""),"https://gameserver-store-client-area.orbionlimited.com/Home/IntegrationGameLaunch/client-area?moneyType=0&amp;gameName=UnicornGreatWhale&amp;platform=desktop&amp;languageCode=eng&amp;currency=EUR")</f>
        <v>https://gameserver-store-client-area.orbionlimited.com/Home/IntegrationGameLaunch/client-area?moneyType=0&amp;gameName=UnicornGreatWhale&amp;platform=desktop&amp;languageCode=eng&amp;currency=EUR</v>
      </c>
      <c r="BE133" s="5" t="b">
        <f>IFERROR(__xludf.DUMMYFUNCTION("""COMPUTED_VALUE"""),TRUE)</f>
        <v>1</v>
      </c>
    </row>
    <row r="134">
      <c r="A134" s="5">
        <f>IFERROR(__xludf.DUMMYFUNCTION("""COMPUTED_VALUE"""),134.0)</f>
        <v>134</v>
      </c>
      <c r="B134" s="5">
        <f>IFERROR(__xludf.DUMMYFUNCTION("""COMPUTED_VALUE"""),133.0)</f>
        <v>133</v>
      </c>
      <c r="C134" s="5" t="str">
        <f>IFERROR(__xludf.DUMMYFUNCTION("""COMPUTED_VALUE"""),"Fazi")</f>
        <v>Fazi</v>
      </c>
      <c r="D134" s="5" t="str">
        <f>IFERROR(__xludf.DUMMYFUNCTION("""COMPUTED_VALUE"""),"Winning Stars")</f>
        <v>Winning Stars</v>
      </c>
      <c r="E134" s="5" t="str">
        <f>IFERROR(__xludf.DUMMYFUNCTION("""COMPUTED_VALUE"""),"V2")</f>
        <v>V2</v>
      </c>
      <c r="F134" s="5" t="str">
        <f>IFERROR(__xludf.DUMMYFUNCTION("""COMPUTED_VALUE"""),"WinningStars")</f>
        <v>WinningStars</v>
      </c>
      <c r="G134" s="5" t="str">
        <f>IFERROR(__xludf.DUMMYFUNCTION("""COMPUTED_VALUE"""),"Live")</f>
        <v>Live</v>
      </c>
      <c r="H134" s="5"/>
      <c r="I134" s="5" t="str">
        <f>IFERROR(__xludf.DUMMYFUNCTION("""COMPUTED_VALUE"""),"V2")</f>
        <v>V2</v>
      </c>
      <c r="J134" s="5" t="str">
        <f>IFERROR(__xludf.DUMMYFUNCTION("""COMPUTED_VALUE"""),"Binary")</f>
        <v>Binary</v>
      </c>
      <c r="K134" s="5" t="str">
        <f>IFERROR(__xludf.DUMMYFUNCTION("""COMPUTED_VALUE"""),"Slot")</f>
        <v>Slot</v>
      </c>
      <c r="L134" s="5" t="str">
        <f>IFERROR(__xludf.DUMMYFUNCTION("""COMPUTED_VALUE"""),"Clone")</f>
        <v>Clone</v>
      </c>
      <c r="M134" s="5" t="str">
        <f>IFERROR(__xludf.DUMMYFUNCTION("""COMPUTED_VALUE"""),"Hot Stars")</f>
        <v>Hot Stars</v>
      </c>
      <c r="N134" s="5"/>
      <c r="O134" s="5"/>
      <c r="P134" s="12">
        <f>IFERROR(__xludf.DUMMYFUNCTION("""COMPUTED_VALUE"""),26.0)</f>
        <v>26</v>
      </c>
      <c r="Q134" s="13">
        <f>IFERROR(__xludf.DUMMYFUNCTION("""COMPUTED_VALUE"""),44531.0)</f>
        <v>44531</v>
      </c>
      <c r="R134" s="14"/>
      <c r="S134" s="13">
        <f>IFERROR(__xludf.DUMMYFUNCTION("""COMPUTED_VALUE"""),44531.0)</f>
        <v>44531</v>
      </c>
      <c r="T134" s="5" t="b">
        <f>IFERROR(__xludf.DUMMYFUNCTION("""COMPUTED_VALUE"""),TRUE)</f>
        <v>1</v>
      </c>
      <c r="U134" s="5" t="str">
        <f>IFERROR(__xludf.DUMMYFUNCTION("""COMPUTED_VALUE"""),"5x3")</f>
        <v>5x3</v>
      </c>
      <c r="V134" s="10" t="str">
        <f>IFERROR(__xludf.DUMMYFUNCTION("""COMPUTED_VALUE"""),"10")</f>
        <v>10</v>
      </c>
      <c r="W134" s="10" t="str">
        <f>IFERROR(__xludf.DUMMYFUNCTION("""COMPUTED_VALUE"""),"10")</f>
        <v>10</v>
      </c>
      <c r="X134" s="5">
        <f>IFERROR(__xludf.DUMMYFUNCTION("""COMPUTED_VALUE"""),95.544)</f>
        <v>95.544</v>
      </c>
      <c r="Y134" s="5" t="str">
        <f>IFERROR(__xludf.DUMMYFUNCTION("""COMPUTED_VALUE"""),"Medium")</f>
        <v>Medium</v>
      </c>
      <c r="Z134" s="5">
        <f>IFERROR(__xludf.DUMMYFUNCTION("""COMPUTED_VALUE"""),13.020000000000001)</f>
        <v>13.02</v>
      </c>
      <c r="AA134" s="12">
        <f>IFERROR(__xludf.DUMMYFUNCTION("""COMPUTED_VALUE"""),1611.0)</f>
        <v>1611</v>
      </c>
      <c r="AB134" s="5">
        <f>IFERROR(__xludf.DUMMYFUNCTION("""COMPUTED_VALUE"""),18.0)</f>
        <v>18</v>
      </c>
      <c r="AC134" s="5" t="str">
        <f>IFERROR(__xludf.DUMMYFUNCTION("""COMPUTED_VALUE"""),"Expanding Wild, Respin, Bothways")</f>
        <v>Expanding Wild, Respin, Bothways</v>
      </c>
      <c r="AD134" s="5" t="str">
        <f>IFERROR(__xludf.DUMMYFUNCTION("""COMPUTED_VALUE"""),"0.10/40")</f>
        <v>0.10/40</v>
      </c>
      <c r="AE134" s="5"/>
      <c r="AF134" s="5"/>
      <c r="AG134" s="5"/>
      <c r="AH134" s="5"/>
      <c r="AI134" s="5"/>
      <c r="AJ134" s="5"/>
      <c r="AK134" s="5">
        <f>IFERROR(__xludf.DUMMYFUNCTION("""COMPUTED_VALUE"""),10.0)</f>
        <v>10</v>
      </c>
      <c r="AL134" s="5" t="str">
        <f>IFERROR(__xludf.DUMMYFUNCTION("""COMPUTED_VALUE"""),"Yes")</f>
        <v>Yes</v>
      </c>
      <c r="AM134" s="5"/>
      <c r="AN134" s="7" t="str">
        <f>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AO134" s="5"/>
      <c r="AP134" s="5"/>
      <c r="AQ134" s="5" t="b">
        <f>IFERROR(__xludf.DUMMYFUNCTION("""COMPUTED_VALUE"""),TRUE)</f>
        <v>1</v>
      </c>
      <c r="AR134" s="5"/>
      <c r="AS134" s="5" t="str">
        <f>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AT134" s="5"/>
      <c r="AU134" s="5" t="str">
        <f>IFERROR(__xludf.DUMMYFUNCTION("""COMPUTED_VALUE"""),"Fazi")</f>
        <v>Fazi</v>
      </c>
      <c r="AV134" s="5"/>
      <c r="AW134" s="5"/>
      <c r="AX134" s="5"/>
      <c r="AY134" s="5"/>
      <c r="AZ134" s="5"/>
      <c r="BA134" s="5" t="str">
        <f>IFERROR(__xludf.DUMMYFUNCTION("""COMPUTED_VALUE"""),"")</f>
        <v/>
      </c>
      <c r="BB134" s="5"/>
      <c r="BC134" s="5" t="str">
        <f>IFERROR(__xludf.DUMMYFUNCTION("""COMPUTED_VALUE"""),"Foxi")</f>
        <v>Foxi</v>
      </c>
      <c r="BD134" s="7" t="str">
        <f>IFERROR(__xludf.DUMMYFUNCTION("""COMPUTED_VALUE"""),"https://gameserver-store-client-area.orbionlimited.com/Home/IntegrationGameLaunch/client-area?moneyType=0&amp;gameName=WinningStars&amp;platform=desktop&amp;languageCode=eng&amp;currency=EUR")</f>
        <v>https://gameserver-store-client-area.orbionlimited.com/Home/IntegrationGameLaunch/client-area?moneyType=0&amp;gameName=WinningStars&amp;platform=desktop&amp;languageCode=eng&amp;currency=EUR</v>
      </c>
      <c r="BE134" s="5" t="b">
        <f>IFERROR(__xludf.DUMMYFUNCTION("""COMPUTED_VALUE"""),TRUE)</f>
        <v>1</v>
      </c>
    </row>
    <row r="135">
      <c r="A135" s="5">
        <f>IFERROR(__xludf.DUMMYFUNCTION("""COMPUTED_VALUE"""),135.0)</f>
        <v>135</v>
      </c>
      <c r="B135" s="5">
        <f>IFERROR(__xludf.DUMMYFUNCTION("""COMPUTED_VALUE"""),134.0)</f>
        <v>134</v>
      </c>
      <c r="C135" s="5" t="str">
        <f>IFERROR(__xludf.DUMMYFUNCTION("""COMPUTED_VALUE"""),"Fazi")</f>
        <v>Fazi</v>
      </c>
      <c r="D135" s="5" t="str">
        <f>IFERROR(__xludf.DUMMYFUNCTION("""COMPUTED_VALUE"""),"Big Buddha")</f>
        <v>Big Buddha</v>
      </c>
      <c r="E135" s="5" t="str">
        <f>IFERROR(__xludf.DUMMYFUNCTION("""COMPUTED_VALUE"""),"V2")</f>
        <v>V2</v>
      </c>
      <c r="F135" s="5" t="str">
        <f>IFERROR(__xludf.DUMMYFUNCTION("""COMPUTED_VALUE"""),"BigBuddha")</f>
        <v>BigBuddha</v>
      </c>
      <c r="G135" s="5" t="str">
        <f>IFERROR(__xludf.DUMMYFUNCTION("""COMPUTED_VALUE"""),"Live")</f>
        <v>Live</v>
      </c>
      <c r="H135" s="5"/>
      <c r="I135" s="5" t="str">
        <f>IFERROR(__xludf.DUMMYFUNCTION("""COMPUTED_VALUE"""),"V2")</f>
        <v>V2</v>
      </c>
      <c r="J135" s="5" t="str">
        <f>IFERROR(__xludf.DUMMYFUNCTION("""COMPUTED_VALUE"""),"Binary")</f>
        <v>Binary</v>
      </c>
      <c r="K135" s="5" t="str">
        <f>IFERROR(__xludf.DUMMYFUNCTION("""COMPUTED_VALUE"""),"Slot")</f>
        <v>Slot</v>
      </c>
      <c r="L135" s="5"/>
      <c r="M135" s="5"/>
      <c r="N135" s="5"/>
      <c r="O135" s="5"/>
      <c r="P135" s="12"/>
      <c r="Q135" s="13">
        <f>IFERROR(__xludf.DUMMYFUNCTION("""COMPUTED_VALUE"""),44531.0)</f>
        <v>44531</v>
      </c>
      <c r="R135" s="14"/>
      <c r="S135" s="13">
        <f>IFERROR(__xludf.DUMMYFUNCTION("""COMPUTED_VALUE"""),44531.0)</f>
        <v>44531</v>
      </c>
      <c r="T135" s="5"/>
      <c r="U135" s="5" t="str">
        <f>IFERROR(__xludf.DUMMYFUNCTION("""COMPUTED_VALUE"""),"5x3")</f>
        <v>5x3</v>
      </c>
      <c r="V135" s="10" t="str">
        <f>IFERROR(__xludf.DUMMYFUNCTION("""COMPUTED_VALUE"""),"20")</f>
        <v>20</v>
      </c>
      <c r="W135" s="10" t="str">
        <f>IFERROR(__xludf.DUMMYFUNCTION("""COMPUTED_VALUE"""),"20")</f>
        <v>20</v>
      </c>
      <c r="X135" s="5">
        <f>IFERROR(__xludf.DUMMYFUNCTION("""COMPUTED_VALUE"""),95.951)</f>
        <v>95.951</v>
      </c>
      <c r="Y135" s="5" t="str">
        <f>IFERROR(__xludf.DUMMYFUNCTION("""COMPUTED_VALUE"""),"Medium")</f>
        <v>Medium</v>
      </c>
      <c r="Z135" s="5">
        <f>IFERROR(__xludf.DUMMYFUNCTION("""COMPUTED_VALUE"""),9.69)</f>
        <v>9.69</v>
      </c>
      <c r="AA135" s="12">
        <f>IFERROR(__xludf.DUMMYFUNCTION("""COMPUTED_VALUE"""),1005.0)</f>
        <v>1005</v>
      </c>
      <c r="AB135" s="5">
        <f>IFERROR(__xludf.DUMMYFUNCTION("""COMPUTED_VALUE"""),51.0)</f>
        <v>51</v>
      </c>
      <c r="AC135" s="5" t="str">
        <f>IFERROR(__xludf.DUMMYFUNCTION("""COMPUTED_VALUE"""),"Scatter, Wild Symbol, Exploding Wild")</f>
        <v>Scatter, Wild Symbol, Exploding Wild</v>
      </c>
      <c r="AD135" s="5"/>
      <c r="AE135" s="5"/>
      <c r="AF135" s="5"/>
      <c r="AG135" s="5"/>
      <c r="AH135" s="5"/>
      <c r="AI135" s="5"/>
      <c r="AJ135" s="5"/>
      <c r="AK135" s="5">
        <f>IFERROR(__xludf.DUMMYFUNCTION("""COMPUTED_VALUE"""),20.0)</f>
        <v>20</v>
      </c>
      <c r="AL135" s="5" t="str">
        <f>IFERROR(__xludf.DUMMYFUNCTION("""COMPUTED_VALUE"""),"Yes")</f>
        <v>Yes</v>
      </c>
      <c r="AM135" s="5"/>
      <c r="AN135" s="5"/>
      <c r="AO135" s="5"/>
      <c r="AP135" s="5"/>
      <c r="AQ135" s="5"/>
      <c r="AR135" s="5"/>
      <c r="AS135" s="5"/>
      <c r="AT135" s="5"/>
      <c r="AU135" s="5" t="str">
        <f>IFERROR(__xludf.DUMMYFUNCTION("""COMPUTED_VALUE"""),"Fazi")</f>
        <v>Fazi</v>
      </c>
      <c r="AV135" s="5"/>
      <c r="AW135" s="5"/>
      <c r="AX135" s="5"/>
      <c r="AY135" s="5"/>
      <c r="AZ135" s="5"/>
      <c r="BA135" s="5" t="str">
        <f>IFERROR(__xludf.DUMMYFUNCTION("""COMPUTED_VALUE"""),"")</f>
        <v/>
      </c>
      <c r="BB135" s="5"/>
      <c r="BC135" s="5" t="str">
        <f>IFERROR(__xludf.DUMMYFUNCTION("""COMPUTED_VALUE"""),"Foxi")</f>
        <v>Foxi</v>
      </c>
      <c r="BD135" s="5" t="str">
        <f>IFERROR(__xludf.DUMMYFUNCTION("""COMPUTED_VALUE"""),"")</f>
        <v/>
      </c>
      <c r="BE135" s="5"/>
    </row>
    <row r="136">
      <c r="A136" s="5">
        <f>IFERROR(__xludf.DUMMYFUNCTION("""COMPUTED_VALUE"""),136.0)</f>
        <v>136</v>
      </c>
      <c r="B136" s="5">
        <f>IFERROR(__xludf.DUMMYFUNCTION("""COMPUTED_VALUE"""),135.0)</f>
        <v>135</v>
      </c>
      <c r="C136" s="5" t="str">
        <f>IFERROR(__xludf.DUMMYFUNCTION("""COMPUTED_VALUE"""),"Fazi")</f>
        <v>Fazi</v>
      </c>
      <c r="D136" s="5" t="str">
        <f>IFERROR(__xludf.DUMMYFUNCTION("""COMPUTED_VALUE"""),"Crystal Hot 100")</f>
        <v>Crystal Hot 100</v>
      </c>
      <c r="E136" s="5" t="str">
        <f>IFERROR(__xludf.DUMMYFUNCTION("""COMPUTED_VALUE"""),"V2")</f>
        <v>V2</v>
      </c>
      <c r="F136" s="5" t="str">
        <f>IFERROR(__xludf.DUMMYFUNCTION("""COMPUTED_VALUE"""),"CrystalHot100")</f>
        <v>CrystalHot100</v>
      </c>
      <c r="G136" s="5" t="str">
        <f>IFERROR(__xludf.DUMMYFUNCTION("""COMPUTED_VALUE"""),"Live")</f>
        <v>Live</v>
      </c>
      <c r="H136" s="5"/>
      <c r="I136" s="5" t="str">
        <f>IFERROR(__xludf.DUMMYFUNCTION("""COMPUTED_VALUE"""),"V2")</f>
        <v>V2</v>
      </c>
      <c r="J136" s="5" t="str">
        <f>IFERROR(__xludf.DUMMYFUNCTION("""COMPUTED_VALUE"""),"JSON")</f>
        <v>JSON</v>
      </c>
      <c r="K136" s="5" t="str">
        <f>IFERROR(__xludf.DUMMYFUNCTION("""COMPUTED_VALUE"""),"Slot")</f>
        <v>Slot</v>
      </c>
      <c r="L136" s="5" t="str">
        <f>IFERROR(__xludf.DUMMYFUNCTION("""COMPUTED_VALUE"""),"Clone")</f>
        <v>Clone</v>
      </c>
      <c r="M136" s="5" t="str">
        <f>IFERROR(__xludf.DUMMYFUNCTION("""COMPUTED_VALUE"""),"Crystal Hot 40")</f>
        <v>Crystal Hot 40</v>
      </c>
      <c r="N136" s="5"/>
      <c r="O136" s="5"/>
      <c r="P136" s="12">
        <f>IFERROR(__xludf.DUMMYFUNCTION("""COMPUTED_VALUE"""),30.8)</f>
        <v>30.8</v>
      </c>
      <c r="Q136" s="13">
        <f>IFERROR(__xludf.DUMMYFUNCTION("""COMPUTED_VALUE"""),44480.0)</f>
        <v>44480</v>
      </c>
      <c r="R136" s="14"/>
      <c r="S136" s="13">
        <f>IFERROR(__xludf.DUMMYFUNCTION("""COMPUTED_VALUE"""),44480.0)</f>
        <v>44480</v>
      </c>
      <c r="T136" s="5" t="b">
        <f>IFERROR(__xludf.DUMMYFUNCTION("""COMPUTED_VALUE"""),TRUE)</f>
        <v>1</v>
      </c>
      <c r="U136" s="5" t="str">
        <f>IFERROR(__xludf.DUMMYFUNCTION("""COMPUTED_VALUE"""),"5x4")</f>
        <v>5x4</v>
      </c>
      <c r="V136" s="10" t="str">
        <f>IFERROR(__xludf.DUMMYFUNCTION("""COMPUTED_VALUE"""),"100")</f>
        <v>100</v>
      </c>
      <c r="W136" s="10" t="str">
        <f>IFERROR(__xludf.DUMMYFUNCTION("""COMPUTED_VALUE"""),"100")</f>
        <v>100</v>
      </c>
      <c r="X136" s="5">
        <f>IFERROR(__xludf.DUMMYFUNCTION("""COMPUTED_VALUE"""),96.584)</f>
        <v>96.584</v>
      </c>
      <c r="Y136" s="5" t="str">
        <f>IFERROR(__xludf.DUMMYFUNCTION("""COMPUTED_VALUE"""),"Low")</f>
        <v>Low</v>
      </c>
      <c r="Z136" s="5">
        <f>IFERROR(__xludf.DUMMYFUNCTION("""COMPUTED_VALUE"""),20.810000000000002)</f>
        <v>20.81</v>
      </c>
      <c r="AA136" s="12">
        <f>IFERROR(__xludf.DUMMYFUNCTION("""COMPUTED_VALUE"""),1000.0)</f>
        <v>1000</v>
      </c>
      <c r="AB136" s="5" t="str">
        <f>IFERROR(__xludf.DUMMYFUNCTION("""COMPUTED_VALUE"""),"/")</f>
        <v>/</v>
      </c>
      <c r="AC136" s="5" t="str">
        <f>IFERROR(__xludf.DUMMYFUNCTION("""COMPUTED_VALUE"""),"Wild Symbol, Scatter")</f>
        <v>Wild Symbol, Scatter</v>
      </c>
      <c r="AD136" s="5" t="str">
        <f>IFERROR(__xludf.DUMMYFUNCTION("""COMPUTED_VALUE"""),"1/100")</f>
        <v>1/100</v>
      </c>
      <c r="AE136" s="5"/>
      <c r="AF136" s="5"/>
      <c r="AG136" s="8">
        <f>IFERROR(__xludf.DUMMYFUNCTION("""COMPUTED_VALUE"""),46100.621099537035)</f>
        <v>46100.6211</v>
      </c>
      <c r="AH136" s="5" t="str">
        <f>IFERROR(__xludf.DUMMYFUNCTION("""COMPUTED_VALUE"""),"milutin.toskic@fazi.rs")</f>
        <v>milutin.toskic@fazi.rs</v>
      </c>
      <c r="AI136" s="5"/>
      <c r="AJ136" s="5"/>
      <c r="AK136" s="5">
        <f>IFERROR(__xludf.DUMMYFUNCTION("""COMPUTED_VALUE"""),100.0)</f>
        <v>100</v>
      </c>
      <c r="AL136" s="5" t="str">
        <f>IFERROR(__xludf.DUMMYFUNCTION("""COMPUTED_VALUE"""),"Yes")</f>
        <v>Yes</v>
      </c>
      <c r="AM136" s="5"/>
      <c r="AN136" s="7" t="str">
        <f>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AO136" s="5" t="str">
        <f>IFERROR(__xludf.DUMMYFUNCTION("""COMPUTED_VALUE"""),"Yes")</f>
        <v>Yes</v>
      </c>
      <c r="AP136" s="5" t="str">
        <f>IFERROR(__xludf.DUMMYFUNCTION("""COMPUTED_VALUE"""),"Yes")</f>
        <v>Yes</v>
      </c>
      <c r="AQ136" s="5" t="b">
        <f>IFERROR(__xludf.DUMMYFUNCTION("""COMPUTED_VALUE"""),TRUE)</f>
        <v>1</v>
      </c>
      <c r="AR136" s="5"/>
      <c r="AS136" s="5" t="str">
        <f>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AT136" s="5"/>
      <c r="AU136" s="5" t="str">
        <f>IFERROR(__xludf.DUMMYFUNCTION("""COMPUTED_VALUE"""),"Fazi")</f>
        <v>Fazi</v>
      </c>
      <c r="AV136" s="5"/>
      <c r="AW136" s="5"/>
      <c r="AX136" s="5"/>
      <c r="AY136" s="5" t="str">
        <f>IFERROR(__xludf.DUMMYFUNCTION("""COMPUTED_VALUE"""),"87.5%, 89.5%, 91.5%, 93.5%, 94.5%, 95.5%, 96.5%")</f>
        <v>87.5%, 89.5%, 91.5%, 93.5%, 94.5%, 95.5%, 96.5%</v>
      </c>
      <c r="AZ136" s="5"/>
      <c r="BA136" s="5" t="str">
        <f>IFERROR(__xludf.DUMMYFUNCTION("""COMPUTED_VALUE"""),"")</f>
        <v/>
      </c>
      <c r="BB136" s="5"/>
      <c r="BC136" s="5" t="str">
        <f>IFERROR(__xludf.DUMMYFUNCTION("""COMPUTED_VALUE"""),"Foxi")</f>
        <v>Foxi</v>
      </c>
      <c r="BD136" s="7" t="str">
        <f>IFERROR(__xludf.DUMMYFUNCTION("""COMPUTED_VALUE"""),"https://gameserver-store-client-area.orbionlimited.com/Home/IntegrationGameLaunch/client-area?moneyType=0&amp;gameName=CrystalHot100&amp;platform=desktop&amp;languageCode=eng&amp;currency=EUR")</f>
        <v>https://gameserver-store-client-area.orbionlimited.com/Home/IntegrationGameLaunch/client-area?moneyType=0&amp;gameName=CrystalHot100&amp;platform=desktop&amp;languageCode=eng&amp;currency=EUR</v>
      </c>
      <c r="BE136" s="5" t="b">
        <f>IFERROR(__xludf.DUMMYFUNCTION("""COMPUTED_VALUE"""),TRUE)</f>
        <v>1</v>
      </c>
    </row>
    <row r="137">
      <c r="A137" s="5">
        <f>IFERROR(__xludf.DUMMYFUNCTION("""COMPUTED_VALUE"""),137.0)</f>
        <v>137</v>
      </c>
      <c r="B137" s="5">
        <f>IFERROR(__xludf.DUMMYFUNCTION("""COMPUTED_VALUE"""),136.0)</f>
        <v>136</v>
      </c>
      <c r="C137" s="5" t="str">
        <f>IFERROR(__xludf.DUMMYFUNCTION("""COMPUTED_VALUE"""),"Fazi")</f>
        <v>Fazi</v>
      </c>
      <c r="D137" s="5" t="str">
        <f>IFERROR(__xludf.DUMMYFUNCTION("""COMPUTED_VALUE"""),"Turbo Hot 80")</f>
        <v>Turbo Hot 80</v>
      </c>
      <c r="E137" s="5" t="str">
        <f>IFERROR(__xludf.DUMMYFUNCTION("""COMPUTED_VALUE"""),"V2")</f>
        <v>V2</v>
      </c>
      <c r="F137" s="5" t="str">
        <f>IFERROR(__xludf.DUMMYFUNCTION("""COMPUTED_VALUE"""),"TurboHot80")</f>
        <v>TurboHot80</v>
      </c>
      <c r="G137" s="5" t="str">
        <f>IFERROR(__xludf.DUMMYFUNCTION("""COMPUTED_VALUE"""),"Live")</f>
        <v>Live</v>
      </c>
      <c r="H137" s="5"/>
      <c r="I137" s="5" t="str">
        <f>IFERROR(__xludf.DUMMYFUNCTION("""COMPUTED_VALUE"""),"V2")</f>
        <v>V2</v>
      </c>
      <c r="J137" s="5" t="str">
        <f>IFERROR(__xludf.DUMMYFUNCTION("""COMPUTED_VALUE"""),"JSON")</f>
        <v>JSON</v>
      </c>
      <c r="K137" s="5" t="str">
        <f>IFERROR(__xludf.DUMMYFUNCTION("""COMPUTED_VALUE"""),"Slot")</f>
        <v>Slot</v>
      </c>
      <c r="L137" s="5" t="str">
        <f>IFERROR(__xludf.DUMMYFUNCTION("""COMPUTED_VALUE"""),"Clone")</f>
        <v>Clone</v>
      </c>
      <c r="M137" s="5" t="str">
        <f>IFERROR(__xludf.DUMMYFUNCTION("""COMPUTED_VALUE"""),"Turbo Hot 40")</f>
        <v>Turbo Hot 40</v>
      </c>
      <c r="N137" s="5"/>
      <c r="O137" s="5"/>
      <c r="P137" s="12">
        <f>IFERROR(__xludf.DUMMYFUNCTION("""COMPUTED_VALUE"""),22.6)</f>
        <v>22.6</v>
      </c>
      <c r="Q137" s="13">
        <f>IFERROR(__xludf.DUMMYFUNCTION("""COMPUTED_VALUE"""),44503.0)</f>
        <v>44503</v>
      </c>
      <c r="R137" s="14"/>
      <c r="S137" s="13">
        <f>IFERROR(__xludf.DUMMYFUNCTION("""COMPUTED_VALUE"""),44503.0)</f>
        <v>44503</v>
      </c>
      <c r="T137" s="5" t="b">
        <f>IFERROR(__xludf.DUMMYFUNCTION("""COMPUTED_VALUE"""),TRUE)</f>
        <v>1</v>
      </c>
      <c r="U137" s="5" t="str">
        <f>IFERROR(__xludf.DUMMYFUNCTION("""COMPUTED_VALUE"""),"5x4")</f>
        <v>5x4</v>
      </c>
      <c r="V137" s="10" t="str">
        <f>IFERROR(__xludf.DUMMYFUNCTION("""COMPUTED_VALUE"""),"80")</f>
        <v>80</v>
      </c>
      <c r="W137" s="10" t="str">
        <f>IFERROR(__xludf.DUMMYFUNCTION("""COMPUTED_VALUE"""),"80")</f>
        <v>80</v>
      </c>
      <c r="X137" s="5">
        <f>IFERROR(__xludf.DUMMYFUNCTION("""COMPUTED_VALUE"""),96.584)</f>
        <v>96.584</v>
      </c>
      <c r="Y137" s="5" t="str">
        <f>IFERROR(__xludf.DUMMYFUNCTION("""COMPUTED_VALUE"""),"Low")</f>
        <v>Low</v>
      </c>
      <c r="Z137" s="5">
        <f>IFERROR(__xludf.DUMMYFUNCTION("""COMPUTED_VALUE"""),20.810000000000002)</f>
        <v>20.81</v>
      </c>
      <c r="AA137" s="12">
        <f>IFERROR(__xludf.DUMMYFUNCTION("""COMPUTED_VALUE"""),1000.0)</f>
        <v>1000</v>
      </c>
      <c r="AB137" s="5" t="str">
        <f>IFERROR(__xludf.DUMMYFUNCTION("""COMPUTED_VALUE"""),"/")</f>
        <v>/</v>
      </c>
      <c r="AC137" s="5" t="str">
        <f>IFERROR(__xludf.DUMMYFUNCTION("""COMPUTED_VALUE"""),"Wild Symbol, Scatter")</f>
        <v>Wild Symbol, Scatter</v>
      </c>
      <c r="AD137" s="5" t="str">
        <f>IFERROR(__xludf.DUMMYFUNCTION("""COMPUTED_VALUE"""),"0.8/80")</f>
        <v>0.8/80</v>
      </c>
      <c r="AE137" s="5"/>
      <c r="AF137" s="5"/>
      <c r="AG137" s="8">
        <f>IFERROR(__xludf.DUMMYFUNCTION("""COMPUTED_VALUE"""),46083.683657407404)</f>
        <v>46083.68366</v>
      </c>
      <c r="AH137" s="5" t="str">
        <f>IFERROR(__xludf.DUMMYFUNCTION("""COMPUTED_VALUE"""),"milutin.toskic@fazi.rs")</f>
        <v>milutin.toskic@fazi.rs</v>
      </c>
      <c r="AI137" s="5"/>
      <c r="AJ137" s="5"/>
      <c r="AK137" s="5">
        <f>IFERROR(__xludf.DUMMYFUNCTION("""COMPUTED_VALUE"""),80.0)</f>
        <v>80</v>
      </c>
      <c r="AL137" s="5" t="str">
        <f>IFERROR(__xludf.DUMMYFUNCTION("""COMPUTED_VALUE"""),"Yes")</f>
        <v>Yes</v>
      </c>
      <c r="AM137" s="5"/>
      <c r="AN137" s="7" t="str">
        <f>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AO137" s="5" t="str">
        <f>IFERROR(__xludf.DUMMYFUNCTION("""COMPUTED_VALUE"""),"Yes")</f>
        <v>Yes</v>
      </c>
      <c r="AP137" s="5"/>
      <c r="AQ137" s="5" t="b">
        <f>IFERROR(__xludf.DUMMYFUNCTION("""COMPUTED_VALUE"""),TRUE)</f>
        <v>1</v>
      </c>
      <c r="AR137" s="5"/>
      <c r="AS137" s="5" t="str">
        <f>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AT137" s="5"/>
      <c r="AU137" s="5" t="str">
        <f>IFERROR(__xludf.DUMMYFUNCTION("""COMPUTED_VALUE"""),"Fazi")</f>
        <v>Fazi</v>
      </c>
      <c r="AV137" s="5"/>
      <c r="AW137" s="5"/>
      <c r="AX137" s="5"/>
      <c r="AY137" s="5"/>
      <c r="AZ137" s="5"/>
      <c r="BA137" s="5" t="str">
        <f>IFERROR(__xludf.DUMMYFUNCTION("""COMPUTED_VALUE"""),"")</f>
        <v/>
      </c>
      <c r="BB137" s="5"/>
      <c r="BC137" s="5" t="str">
        <f>IFERROR(__xludf.DUMMYFUNCTION("""COMPUTED_VALUE"""),"Foxi")</f>
        <v>Foxi</v>
      </c>
      <c r="BD137" s="7" t="str">
        <f>IFERROR(__xludf.DUMMYFUNCTION("""COMPUTED_VALUE"""),"https://gameserver-store-client-area.orbionlimited.com/Home/IntegrationGameLaunch/client-area?moneyType=0&amp;gameName=TurboHot80&amp;platform=desktop&amp;languageCode=eng&amp;currency=EUR")</f>
        <v>https://gameserver-store-client-area.orbionlimited.com/Home/IntegrationGameLaunch/client-area?moneyType=0&amp;gameName=TurboHot80&amp;platform=desktop&amp;languageCode=eng&amp;currency=EUR</v>
      </c>
      <c r="BE137" s="5" t="b">
        <f>IFERROR(__xludf.DUMMYFUNCTION("""COMPUTED_VALUE"""),TRUE)</f>
        <v>1</v>
      </c>
    </row>
    <row r="138">
      <c r="A138" s="5">
        <f>IFERROR(__xludf.DUMMYFUNCTION("""COMPUTED_VALUE"""),138.0)</f>
        <v>138</v>
      </c>
      <c r="B138" s="5">
        <f>IFERROR(__xludf.DUMMYFUNCTION("""COMPUTED_VALUE"""),137.0)</f>
        <v>137</v>
      </c>
      <c r="C138" s="5" t="str">
        <f>IFERROR(__xludf.DUMMYFUNCTION("""COMPUTED_VALUE"""),"Fazi")</f>
        <v>Fazi</v>
      </c>
      <c r="D138" s="5" t="str">
        <f>IFERROR(__xludf.DUMMYFUNCTION("""COMPUTED_VALUE"""),"Seven Classic Slot")</f>
        <v>Seven Classic Slot</v>
      </c>
      <c r="E138" s="5" t="str">
        <f>IFERROR(__xludf.DUMMYFUNCTION("""COMPUTED_VALUE"""),"V2")</f>
        <v>V2</v>
      </c>
      <c r="F138" s="5" t="str">
        <f>IFERROR(__xludf.DUMMYFUNCTION("""COMPUTED_VALUE"""),"SevenClassicHot")</f>
        <v>SevenClassicHot</v>
      </c>
      <c r="G138" s="5" t="str">
        <f>IFERROR(__xludf.DUMMYFUNCTION("""COMPUTED_VALUE"""),"Live")</f>
        <v>Live</v>
      </c>
      <c r="H138" s="5"/>
      <c r="I138" s="5" t="str">
        <f>IFERROR(__xludf.DUMMYFUNCTION("""COMPUTED_VALUE"""),"V2")</f>
        <v>V2</v>
      </c>
      <c r="J138" s="5" t="str">
        <f>IFERROR(__xludf.DUMMYFUNCTION("""COMPUTED_VALUE"""),"Binary")</f>
        <v>Binary</v>
      </c>
      <c r="K138" s="5" t="str">
        <f>IFERROR(__xludf.DUMMYFUNCTION("""COMPUTED_VALUE"""),"Slot")</f>
        <v>Slot</v>
      </c>
      <c r="L138" s="5"/>
      <c r="M138" s="5"/>
      <c r="N138" s="5"/>
      <c r="O138" s="5"/>
      <c r="P138" s="12">
        <f>IFERROR(__xludf.DUMMYFUNCTION("""COMPUTED_VALUE"""),17.0)</f>
        <v>17</v>
      </c>
      <c r="Q138" s="13">
        <f>IFERROR(__xludf.DUMMYFUNCTION("""COMPUTED_VALUE"""),44547.0)</f>
        <v>44547</v>
      </c>
      <c r="R138" s="14"/>
      <c r="S138" s="13">
        <f>IFERROR(__xludf.DUMMYFUNCTION("""COMPUTED_VALUE"""),44547.0)</f>
        <v>44547</v>
      </c>
      <c r="T138" s="5"/>
      <c r="U138" s="5" t="str">
        <f>IFERROR(__xludf.DUMMYFUNCTION("""COMPUTED_VALUE"""),"5x3")</f>
        <v>5x3</v>
      </c>
      <c r="V138" s="10" t="str">
        <f>IFERROR(__xludf.DUMMYFUNCTION("""COMPUTED_VALUE"""),"20")</f>
        <v>20</v>
      </c>
      <c r="W138" s="10" t="str">
        <f>IFERROR(__xludf.DUMMYFUNCTION("""COMPUTED_VALUE"""),"1,3,5,9,10,20")</f>
        <v>1,3,5,9,10,20</v>
      </c>
      <c r="X138" s="5">
        <f>IFERROR(__xludf.DUMMYFUNCTION("""COMPUTED_VALUE"""),96.134)</f>
        <v>96.134</v>
      </c>
      <c r="Y138" s="5" t="str">
        <f>IFERROR(__xludf.DUMMYFUNCTION("""COMPUTED_VALUE"""),"High")</f>
        <v>High</v>
      </c>
      <c r="Z138" s="5">
        <f>IFERROR(__xludf.DUMMYFUNCTION("""COMPUTED_VALUE"""),26.950000000000003)</f>
        <v>26.95</v>
      </c>
      <c r="AA138" s="12">
        <f>IFERROR(__xludf.DUMMYFUNCTION("""COMPUTED_VALUE"""),4200.0)</f>
        <v>4200</v>
      </c>
      <c r="AB138" s="5">
        <f>IFERROR(__xludf.DUMMYFUNCTION("""COMPUTED_VALUE"""),190.0)</f>
        <v>190</v>
      </c>
      <c r="AC138" s="5" t="str">
        <f>IFERROR(__xludf.DUMMYFUNCTION("""COMPUTED_VALUE"""),"Wild Symbol, Bonus Game with Free Spins")</f>
        <v>Wild Symbol, Bonus Game with Free Spins</v>
      </c>
      <c r="AD138" s="5" t="str">
        <f>IFERROR(__xludf.DUMMYFUNCTION("""COMPUTED_VALUE"""),"0.2/80")</f>
        <v>0.2/80</v>
      </c>
      <c r="AE138" s="5"/>
      <c r="AF138" s="5"/>
      <c r="AG138" s="8">
        <f>IFERROR(__xludf.DUMMYFUNCTION("""COMPUTED_VALUE"""),46162.4927662037)</f>
        <v>46162.49277</v>
      </c>
      <c r="AH138" s="5" t="str">
        <f>IFERROR(__xludf.DUMMYFUNCTION("""COMPUTED_VALUE"""),"petra.ilic@fazi.rs")</f>
        <v>petra.ilic@fazi.rs</v>
      </c>
      <c r="AI138" s="5"/>
      <c r="AJ138" s="5"/>
      <c r="AK138" s="5">
        <f>IFERROR(__xludf.DUMMYFUNCTION("""COMPUTED_VALUE"""),20.0)</f>
        <v>20</v>
      </c>
      <c r="AL138" s="5" t="str">
        <f>IFERROR(__xludf.DUMMYFUNCTION("""COMPUTED_VALUE"""),"Yes")</f>
        <v>Yes</v>
      </c>
      <c r="AM138" s="5"/>
      <c r="AN138" s="7" t="str">
        <f>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AO138" s="5"/>
      <c r="AP138" s="5"/>
      <c r="AQ138" s="5" t="b">
        <f>IFERROR(__xludf.DUMMYFUNCTION("""COMPUTED_VALUE"""),TRUE)</f>
        <v>1</v>
      </c>
      <c r="AR138" s="5"/>
      <c r="AS138" s="5" t="str">
        <f>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AT138" s="5"/>
      <c r="AU138" s="5" t="str">
        <f>IFERROR(__xludf.DUMMYFUNCTION("""COMPUTED_VALUE"""),"Fazi")</f>
        <v>Fazi</v>
      </c>
      <c r="AV138" s="5"/>
      <c r="AW138" s="5"/>
      <c r="AX138" s="5"/>
      <c r="AY138" s="5"/>
      <c r="AZ138" s="5"/>
      <c r="BA138" s="5"/>
      <c r="BB138" s="5"/>
      <c r="BC138" s="5" t="str">
        <f>IFERROR(__xludf.DUMMYFUNCTION("""COMPUTED_VALUE"""),"Foxi")</f>
        <v>Foxi</v>
      </c>
      <c r="BD138" s="7" t="str">
        <f>IFERROR(__xludf.DUMMYFUNCTION("""COMPUTED_VALUE"""),"https://gameserver-store-client-area.orbionlimited.com/Home/IntegrationGameLaunch/client-area?moneyType=0&amp;gameName=SevenClassicHot&amp;platform=desktop&amp;languageCode=eng&amp;currency=EUR")</f>
        <v>https://gameserver-store-client-area.orbionlimited.com/Home/IntegrationGameLaunch/client-area?moneyType=0&amp;gameName=SevenClassicHot&amp;platform=desktop&amp;languageCode=eng&amp;currency=EUR</v>
      </c>
      <c r="BE138" s="5" t="b">
        <f>IFERROR(__xludf.DUMMYFUNCTION("""COMPUTED_VALUE"""),TRUE)</f>
        <v>1</v>
      </c>
    </row>
    <row r="139">
      <c r="A139" s="5">
        <f>IFERROR(__xludf.DUMMYFUNCTION("""COMPUTED_VALUE"""),139.0)</f>
        <v>139</v>
      </c>
      <c r="B139" s="5">
        <f>IFERROR(__xludf.DUMMYFUNCTION("""COMPUTED_VALUE"""),138.0)</f>
        <v>138</v>
      </c>
      <c r="C139" s="5" t="str">
        <f>IFERROR(__xludf.DUMMYFUNCTION("""COMPUTED_VALUE"""),"Fazi")</f>
        <v>Fazi</v>
      </c>
      <c r="D139" s="5" t="str">
        <f>IFERROR(__xludf.DUMMYFUNCTION("""COMPUTED_VALUE"""),"Turbo Hot 100")</f>
        <v>Turbo Hot 100</v>
      </c>
      <c r="E139" s="5" t="str">
        <f>IFERROR(__xludf.DUMMYFUNCTION("""COMPUTED_VALUE"""),"V2")</f>
        <v>V2</v>
      </c>
      <c r="F139" s="5" t="str">
        <f>IFERROR(__xludf.DUMMYFUNCTION("""COMPUTED_VALUE"""),"TurboHot100")</f>
        <v>TurboHot100</v>
      </c>
      <c r="G139" s="5" t="str">
        <f>IFERROR(__xludf.DUMMYFUNCTION("""COMPUTED_VALUE"""),"Live")</f>
        <v>Live</v>
      </c>
      <c r="H139" s="5"/>
      <c r="I139" s="5" t="str">
        <f>IFERROR(__xludf.DUMMYFUNCTION("""COMPUTED_VALUE"""),"V2")</f>
        <v>V2</v>
      </c>
      <c r="J139" s="5" t="str">
        <f>IFERROR(__xludf.DUMMYFUNCTION("""COMPUTED_VALUE"""),"JSON")</f>
        <v>JSON</v>
      </c>
      <c r="K139" s="5" t="str">
        <f>IFERROR(__xludf.DUMMYFUNCTION("""COMPUTED_VALUE"""),"Slot")</f>
        <v>Slot</v>
      </c>
      <c r="L139" s="5" t="str">
        <f>IFERROR(__xludf.DUMMYFUNCTION("""COMPUTED_VALUE"""),"Clone")</f>
        <v>Clone</v>
      </c>
      <c r="M139" s="5" t="str">
        <f>IFERROR(__xludf.DUMMYFUNCTION("""COMPUTED_VALUE"""),"Turbo Hot 40")</f>
        <v>Turbo Hot 40</v>
      </c>
      <c r="N139" s="5"/>
      <c r="O139" s="5"/>
      <c r="P139" s="12">
        <f>IFERROR(__xludf.DUMMYFUNCTION("""COMPUTED_VALUE"""),22.5)</f>
        <v>22.5</v>
      </c>
      <c r="Q139" s="13">
        <f>IFERROR(__xludf.DUMMYFUNCTION("""COMPUTED_VALUE"""),44524.0)</f>
        <v>44524</v>
      </c>
      <c r="R139" s="14"/>
      <c r="S139" s="13">
        <f>IFERROR(__xludf.DUMMYFUNCTION("""COMPUTED_VALUE"""),44524.0)</f>
        <v>44524</v>
      </c>
      <c r="T139" s="5" t="b">
        <f>IFERROR(__xludf.DUMMYFUNCTION("""COMPUTED_VALUE"""),TRUE)</f>
        <v>1</v>
      </c>
      <c r="U139" s="5" t="str">
        <f>IFERROR(__xludf.DUMMYFUNCTION("""COMPUTED_VALUE"""),"5x4")</f>
        <v>5x4</v>
      </c>
      <c r="V139" s="10" t="str">
        <f>IFERROR(__xludf.DUMMYFUNCTION("""COMPUTED_VALUE"""),"100")</f>
        <v>100</v>
      </c>
      <c r="W139" s="10" t="str">
        <f>IFERROR(__xludf.DUMMYFUNCTION("""COMPUTED_VALUE"""),"100")</f>
        <v>100</v>
      </c>
      <c r="X139" s="5">
        <f>IFERROR(__xludf.DUMMYFUNCTION("""COMPUTED_VALUE"""),96.584)</f>
        <v>96.584</v>
      </c>
      <c r="Y139" s="5" t="str">
        <f>IFERROR(__xludf.DUMMYFUNCTION("""COMPUTED_VALUE"""),"Low")</f>
        <v>Low</v>
      </c>
      <c r="Z139" s="5">
        <f>IFERROR(__xludf.DUMMYFUNCTION("""COMPUTED_VALUE"""),20.810000000000002)</f>
        <v>20.81</v>
      </c>
      <c r="AA139" s="12">
        <f>IFERROR(__xludf.DUMMYFUNCTION("""COMPUTED_VALUE"""),1000.0)</f>
        <v>1000</v>
      </c>
      <c r="AB139" s="5" t="str">
        <f>IFERROR(__xludf.DUMMYFUNCTION("""COMPUTED_VALUE"""),"/")</f>
        <v>/</v>
      </c>
      <c r="AC139" s="5" t="str">
        <f>IFERROR(__xludf.DUMMYFUNCTION("""COMPUTED_VALUE"""),"Wild Symbol, Scatter")</f>
        <v>Wild Symbol, Scatter</v>
      </c>
      <c r="AD139" s="5" t="str">
        <f>IFERROR(__xludf.DUMMYFUNCTION("""COMPUTED_VALUE"""),"1/100")</f>
        <v>1/100</v>
      </c>
      <c r="AE139" s="5"/>
      <c r="AF139" s="5"/>
      <c r="AG139" s="8">
        <f>IFERROR(__xludf.DUMMYFUNCTION("""COMPUTED_VALUE"""),46083.68400462963)</f>
        <v>46083.684</v>
      </c>
      <c r="AH139" s="5" t="str">
        <f>IFERROR(__xludf.DUMMYFUNCTION("""COMPUTED_VALUE"""),"milutin.toskic@fazi.rs")</f>
        <v>milutin.toskic@fazi.rs</v>
      </c>
      <c r="AI139" s="5"/>
      <c r="AJ139" s="5"/>
      <c r="AK139" s="5">
        <f>IFERROR(__xludf.DUMMYFUNCTION("""COMPUTED_VALUE"""),100.0)</f>
        <v>100</v>
      </c>
      <c r="AL139" s="5" t="str">
        <f>IFERROR(__xludf.DUMMYFUNCTION("""COMPUTED_VALUE"""),"Yes")</f>
        <v>Yes</v>
      </c>
      <c r="AM139" s="5"/>
      <c r="AN139" s="7" t="str">
        <f>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AO139" s="5" t="str">
        <f>IFERROR(__xludf.DUMMYFUNCTION("""COMPUTED_VALUE"""),"Yes")</f>
        <v>Yes</v>
      </c>
      <c r="AP139" s="5"/>
      <c r="AQ139" s="5" t="b">
        <f>IFERROR(__xludf.DUMMYFUNCTION("""COMPUTED_VALUE"""),TRUE)</f>
        <v>1</v>
      </c>
      <c r="AR139" s="5"/>
      <c r="AS139" s="5" t="str">
        <f>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AT139" s="5"/>
      <c r="AU139" s="5" t="str">
        <f>IFERROR(__xludf.DUMMYFUNCTION("""COMPUTED_VALUE"""),"Fazi")</f>
        <v>Fazi</v>
      </c>
      <c r="AV139" s="5"/>
      <c r="AW139" s="5"/>
      <c r="AX139" s="5"/>
      <c r="AY139" s="5"/>
      <c r="AZ139" s="5"/>
      <c r="BA139" s="5" t="str">
        <f>IFERROR(__xludf.DUMMYFUNCTION("""COMPUTED_VALUE"""),"")</f>
        <v/>
      </c>
      <c r="BB139" s="5"/>
      <c r="BC139" s="5" t="str">
        <f>IFERROR(__xludf.DUMMYFUNCTION("""COMPUTED_VALUE"""),"Foxi")</f>
        <v>Foxi</v>
      </c>
      <c r="BD139" s="7" t="str">
        <f>IFERROR(__xludf.DUMMYFUNCTION("""COMPUTED_VALUE"""),"https://gameserver-store-client-area.orbionlimited.com/Home/IntegrationGameLaunch/client-area?moneyType=0&amp;gameName=TurboHot100&amp;platform=desktop&amp;languageCode=eng&amp;currency=EUR")</f>
        <v>https://gameserver-store-client-area.orbionlimited.com/Home/IntegrationGameLaunch/client-area?moneyType=0&amp;gameName=TurboHot100&amp;platform=desktop&amp;languageCode=eng&amp;currency=EUR</v>
      </c>
      <c r="BE139" s="5" t="b">
        <f>IFERROR(__xludf.DUMMYFUNCTION("""COMPUTED_VALUE"""),TRUE)</f>
        <v>1</v>
      </c>
    </row>
    <row r="140">
      <c r="A140" s="5">
        <f>IFERROR(__xludf.DUMMYFUNCTION("""COMPUTED_VALUE"""),140.0)</f>
        <v>140</v>
      </c>
      <c r="B140" s="5">
        <f>IFERROR(__xludf.DUMMYFUNCTION("""COMPUTED_VALUE"""),139.0)</f>
        <v>139</v>
      </c>
      <c r="C140" s="5" t="str">
        <f>IFERROR(__xludf.DUMMYFUNCTION("""COMPUTED_VALUE"""),"Fazi")</f>
        <v>Fazi</v>
      </c>
      <c r="D140" s="5" t="str">
        <f>IFERROR(__xludf.DUMMYFUNCTION("""COMPUTED_VALUE"""),"Bonus Bells")</f>
        <v>Bonus Bells</v>
      </c>
      <c r="E140" s="5" t="str">
        <f>IFERROR(__xludf.DUMMYFUNCTION("""COMPUTED_VALUE"""),"V4-1")</f>
        <v>V4-1</v>
      </c>
      <c r="F140" s="5" t="str">
        <f>IFERROR(__xludf.DUMMYFUNCTION("""COMPUTED_VALUE"""),"BonusBells")</f>
        <v>BonusBells</v>
      </c>
      <c r="G140" s="5" t="str">
        <f>IFERROR(__xludf.DUMMYFUNCTION("""COMPUTED_VALUE"""),"Live")</f>
        <v>Live</v>
      </c>
      <c r="H140" s="5"/>
      <c r="I140" s="5" t="str">
        <f>IFERROR(__xludf.DUMMYFUNCTION("""COMPUTED_VALUE"""),"V4")</f>
        <v>V4</v>
      </c>
      <c r="J140" s="5" t="str">
        <f>IFERROR(__xludf.DUMMYFUNCTION("""COMPUTED_VALUE"""),"JSON")</f>
        <v>JSON</v>
      </c>
      <c r="K140" s="5" t="str">
        <f>IFERROR(__xludf.DUMMYFUNCTION("""COMPUTED_VALUE"""),"Slot")</f>
        <v>Slot</v>
      </c>
      <c r="L140" s="5"/>
      <c r="M140" s="5"/>
      <c r="N140" s="5"/>
      <c r="O140" s="5"/>
      <c r="P140" s="12">
        <f>IFERROR(__xludf.DUMMYFUNCTION("""COMPUTED_VALUE"""),231.0)</f>
        <v>231</v>
      </c>
      <c r="Q140" s="13">
        <f>IFERROR(__xludf.DUMMYFUNCTION("""COMPUTED_VALUE"""),44880.0)</f>
        <v>44880</v>
      </c>
      <c r="R140" s="14"/>
      <c r="S140" s="13">
        <f>IFERROR(__xludf.DUMMYFUNCTION("""COMPUTED_VALUE"""),44880.0)</f>
        <v>44880</v>
      </c>
      <c r="T140" s="5" t="b">
        <f>IFERROR(__xludf.DUMMYFUNCTION("""COMPUTED_VALUE"""),TRUE)</f>
        <v>1</v>
      </c>
      <c r="U140" s="5" t="str">
        <f>IFERROR(__xludf.DUMMYFUNCTION("""COMPUTED_VALUE"""),"5x3")</f>
        <v>5x3</v>
      </c>
      <c r="V140" s="10" t="str">
        <f>IFERROR(__xludf.DUMMYFUNCTION("""COMPUTED_VALUE"""),"10")</f>
        <v>10</v>
      </c>
      <c r="W140" s="10" t="str">
        <f>IFERROR(__xludf.DUMMYFUNCTION("""COMPUTED_VALUE"""),"10")</f>
        <v>10</v>
      </c>
      <c r="X140" s="5">
        <f>IFERROR(__xludf.DUMMYFUNCTION("""COMPUTED_VALUE"""),96.247)</f>
        <v>96.247</v>
      </c>
      <c r="Y140" s="5" t="str">
        <f>IFERROR(__xludf.DUMMYFUNCTION("""COMPUTED_VALUE"""),"High")</f>
        <v>High</v>
      </c>
      <c r="Z140" s="5">
        <f>IFERROR(__xludf.DUMMYFUNCTION("""COMPUTED_VALUE"""),12.636)</f>
        <v>12.636</v>
      </c>
      <c r="AA140" s="12">
        <f>IFERROR(__xludf.DUMMYFUNCTION("""COMPUTED_VALUE"""),12104.0)</f>
        <v>12104</v>
      </c>
      <c r="AB140" s="5">
        <f>IFERROR(__xludf.DUMMYFUNCTION("""COMPUTED_VALUE"""),309.0)</f>
        <v>309</v>
      </c>
      <c r="AC140" s="5" t="str">
        <f>IFERROR(__xludf.DUMMYFUNCTION("""COMPUTED_VALUE"""),"Buy Bonus, Wild Symbol, Expanding Wild, Bonus Game with Free Spins")</f>
        <v>Buy Bonus, Wild Symbol, Expanding Wild, Bonus Game with Free Spins</v>
      </c>
      <c r="AD140" s="5" t="str">
        <f>IFERROR(__xludf.DUMMYFUNCTION("""COMPUTED_VALUE"""),"0.1/40")</f>
        <v>0.1/40</v>
      </c>
      <c r="AE140" s="5"/>
      <c r="AF140" s="5"/>
      <c r="AG140" s="8">
        <f>IFERROR(__xludf.DUMMYFUNCTION("""COMPUTED_VALUE"""),46162.4184375)</f>
        <v>46162.41844</v>
      </c>
      <c r="AH140" s="5" t="str">
        <f>IFERROR(__xludf.DUMMYFUNCTION("""COMPUTED_VALUE"""),"djordje.petrovic@fazi.rs")</f>
        <v>djordje.petrovic@fazi.rs</v>
      </c>
      <c r="AI140" s="5"/>
      <c r="AJ140" s="5"/>
      <c r="AK140" s="5">
        <f>IFERROR(__xludf.DUMMYFUNCTION("""COMPUTED_VALUE"""),10.0)</f>
        <v>10</v>
      </c>
      <c r="AL140" s="5" t="str">
        <f>IFERROR(__xludf.DUMMYFUNCTION("""COMPUTED_VALUE"""),"Yes")</f>
        <v>Yes</v>
      </c>
      <c r="AM140" s="5"/>
      <c r="AN140" s="7" t="str">
        <f>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AO140" s="5" t="str">
        <f>IFERROR(__xludf.DUMMYFUNCTION("""COMPUTED_VALUE"""),"Yes")</f>
        <v>Yes</v>
      </c>
      <c r="AP140" s="5" t="str">
        <f>IFERROR(__xludf.DUMMYFUNCTION("""COMPUTED_VALUE"""),"Yes")</f>
        <v>Yes</v>
      </c>
      <c r="AQ140" s="5" t="b">
        <f>IFERROR(__xludf.DUMMYFUNCTION("""COMPUTED_VALUE"""),TRUE)</f>
        <v>1</v>
      </c>
      <c r="AR140" s="5"/>
      <c r="AS140" s="5" t="str">
        <f>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AT140" s="5" t="str">
        <f>IFERROR(__xludf.DUMMYFUNCTION("""COMPUTED_VALUE"""),"Yes")</f>
        <v>Yes</v>
      </c>
      <c r="AU140" s="5" t="str">
        <f>IFERROR(__xludf.DUMMYFUNCTION("""COMPUTED_VALUE"""),"Fazi")</f>
        <v>Fazi</v>
      </c>
      <c r="AV140" s="5"/>
      <c r="AW140" s="5"/>
      <c r="AX140" s="5"/>
      <c r="AY140" s="5"/>
      <c r="AZ140" s="5"/>
      <c r="BA140" s="5">
        <f>IFERROR(__xludf.DUMMYFUNCTION("""COMPUTED_VALUE"""),86.0)</f>
        <v>86</v>
      </c>
      <c r="BB140" s="5"/>
      <c r="BC140" s="5" t="str">
        <f>IFERROR(__xludf.DUMMYFUNCTION("""COMPUTED_VALUE"""),"Foxi")</f>
        <v>Foxi</v>
      </c>
      <c r="BD140" s="7" t="str">
        <f>IFERROR(__xludf.DUMMYFUNCTION("""COMPUTED_VALUE"""),"https://gameserver-store-client-area.orbionlimited.com/Home/IntegrationGameLaunch/client-area?moneyType=0&amp;gameName=BonusBells&amp;platform=desktop&amp;languageCode=eng&amp;currency=EUR")</f>
        <v>https://gameserver-store-client-area.orbionlimited.com/Home/IntegrationGameLaunch/client-area?moneyType=0&amp;gameName=BonusBells&amp;platform=desktop&amp;languageCode=eng&amp;currency=EUR</v>
      </c>
      <c r="BE140" s="5" t="b">
        <f>IFERROR(__xludf.DUMMYFUNCTION("""COMPUTED_VALUE"""),TRUE)</f>
        <v>1</v>
      </c>
    </row>
    <row r="141">
      <c r="A141" s="5">
        <f>IFERROR(__xludf.DUMMYFUNCTION("""COMPUTED_VALUE"""),141.0)</f>
        <v>141</v>
      </c>
      <c r="B141" s="5">
        <f>IFERROR(__xludf.DUMMYFUNCTION("""COMPUTED_VALUE"""),140.0)</f>
        <v>140</v>
      </c>
      <c r="C141" s="5" t="str">
        <f>IFERROR(__xludf.DUMMYFUNCTION("""COMPUTED_VALUE"""),"Fazi")</f>
        <v>Fazi</v>
      </c>
      <c r="D141" s="5" t="str">
        <f>IFERROR(__xludf.DUMMYFUNCTION("""COMPUTED_VALUE"""),"Fruity Hot")</f>
        <v>Fruity Hot</v>
      </c>
      <c r="E141" s="5" t="str">
        <f>IFERROR(__xludf.DUMMYFUNCTION("""COMPUTED_VALUE"""),"V2")</f>
        <v>V2</v>
      </c>
      <c r="F141" s="5" t="str">
        <f>IFERROR(__xludf.DUMMYFUNCTION("""COMPUTED_VALUE"""),"FruityHot")</f>
        <v>FruityHot</v>
      </c>
      <c r="G141" s="5" t="str">
        <f>IFERROR(__xludf.DUMMYFUNCTION("""COMPUTED_VALUE"""),"Live")</f>
        <v>Live</v>
      </c>
      <c r="H141" s="5"/>
      <c r="I141" s="5" t="str">
        <f>IFERROR(__xludf.DUMMYFUNCTION("""COMPUTED_VALUE"""),"V2")</f>
        <v>V2</v>
      </c>
      <c r="J141" s="5" t="str">
        <f>IFERROR(__xludf.DUMMYFUNCTION("""COMPUTED_VALUE"""),"JSON")</f>
        <v>JSON</v>
      </c>
      <c r="K141" s="5" t="str">
        <f>IFERROR(__xludf.DUMMYFUNCTION("""COMPUTED_VALUE"""),"Slot")</f>
        <v>Slot</v>
      </c>
      <c r="L141" s="5" t="str">
        <f>IFERROR(__xludf.DUMMYFUNCTION("""COMPUTED_VALUE"""),"Clone")</f>
        <v>Clone</v>
      </c>
      <c r="M141" s="5" t="str">
        <f>IFERROR(__xludf.DUMMYFUNCTION("""COMPUTED_VALUE"""),"Fruits and Stars")</f>
        <v>Fruits and Stars</v>
      </c>
      <c r="N141" s="5"/>
      <c r="O141" s="5"/>
      <c r="P141" s="12">
        <f>IFERROR(__xludf.DUMMYFUNCTION("""COMPUTED_VALUE"""),13.9)</f>
        <v>13.9</v>
      </c>
      <c r="Q141" s="13">
        <f>IFERROR(__xludf.DUMMYFUNCTION("""COMPUTED_VALUE"""),44539.0)</f>
        <v>44539</v>
      </c>
      <c r="R141" s="14"/>
      <c r="S141" s="13">
        <f>IFERROR(__xludf.DUMMYFUNCTION("""COMPUTED_VALUE"""),44539.0)</f>
        <v>44539</v>
      </c>
      <c r="T141" s="5"/>
      <c r="U141" s="5" t="str">
        <f>IFERROR(__xludf.DUMMYFUNCTION("""COMPUTED_VALUE"""),"5x3")</f>
        <v>5x3</v>
      </c>
      <c r="V141" s="10" t="str">
        <f>IFERROR(__xludf.DUMMYFUNCTION("""COMPUTED_VALUE"""),"20")</f>
        <v>20</v>
      </c>
      <c r="W141" s="10" t="str">
        <f>IFERROR(__xludf.DUMMYFUNCTION("""COMPUTED_VALUE"""),"1,3,5,9,10,15,20")</f>
        <v>1,3,5,9,10,15,20</v>
      </c>
      <c r="X141" s="5">
        <f>IFERROR(__xludf.DUMMYFUNCTION("""COMPUTED_VALUE"""),95.79)</f>
        <v>95.79</v>
      </c>
      <c r="Y141" s="5" t="str">
        <f>IFERROR(__xludf.DUMMYFUNCTION("""COMPUTED_VALUE"""),"Low")</f>
        <v>Low</v>
      </c>
      <c r="Z141" s="5">
        <f>IFERROR(__xludf.DUMMYFUNCTION("""COMPUTED_VALUE"""),16.189999999999998)</f>
        <v>16.19</v>
      </c>
      <c r="AA141" s="12">
        <f>IFERROR(__xludf.DUMMYFUNCTION("""COMPUTED_VALUE"""),1000.0)</f>
        <v>1000</v>
      </c>
      <c r="AB141" s="5" t="str">
        <f>IFERROR(__xludf.DUMMYFUNCTION("""COMPUTED_VALUE"""),"/")</f>
        <v>/</v>
      </c>
      <c r="AC141" s="5" t="str">
        <f>IFERROR(__xludf.DUMMYFUNCTION("""COMPUTED_VALUE"""),"Wild Symbol, Scatter")</f>
        <v>Wild Symbol, Scatter</v>
      </c>
      <c r="AD141" s="5" t="str">
        <f>IFERROR(__xludf.DUMMYFUNCTION("""COMPUTED_VALUE"""),"0.2/50")</f>
        <v>0.2/50</v>
      </c>
      <c r="AE141" s="5"/>
      <c r="AF141" s="5"/>
      <c r="AG141" s="8">
        <f>IFERROR(__xludf.DUMMYFUNCTION("""COMPUTED_VALUE"""),46104.4262962963)</f>
        <v>46104.4263</v>
      </c>
      <c r="AH141" s="5" t="str">
        <f>IFERROR(__xludf.DUMMYFUNCTION("""COMPUTED_VALUE"""),"marko.tepavac@fazi.rs")</f>
        <v>marko.tepavac@fazi.rs</v>
      </c>
      <c r="AI141" s="5"/>
      <c r="AJ141" s="5"/>
      <c r="AK141" s="5">
        <f>IFERROR(__xludf.DUMMYFUNCTION("""COMPUTED_VALUE"""),20.0)</f>
        <v>20</v>
      </c>
      <c r="AL141" s="5" t="str">
        <f>IFERROR(__xludf.DUMMYFUNCTION("""COMPUTED_VALUE"""),"Yes")</f>
        <v>Yes</v>
      </c>
      <c r="AM141" s="5"/>
      <c r="AN141" s="7" t="str">
        <f>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AO141" s="5" t="str">
        <f>IFERROR(__xludf.DUMMYFUNCTION("""COMPUTED_VALUE"""),"Yes")</f>
        <v>Yes</v>
      </c>
      <c r="AP141" s="5" t="str">
        <f>IFERROR(__xludf.DUMMYFUNCTION("""COMPUTED_VALUE"""),"Yes")</f>
        <v>Yes</v>
      </c>
      <c r="AQ141" s="5" t="b">
        <f>IFERROR(__xludf.DUMMYFUNCTION("""COMPUTED_VALUE"""),TRUE)</f>
        <v>1</v>
      </c>
      <c r="AR141" s="5"/>
      <c r="AS141"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41" s="5" t="str">
        <f>IFERROR(__xludf.DUMMYFUNCTION("""COMPUTED_VALUE"""),"No")</f>
        <v>No</v>
      </c>
      <c r="AU141" s="5" t="str">
        <f>IFERROR(__xludf.DUMMYFUNCTION("""COMPUTED_VALUE"""),"Fazi")</f>
        <v>Fazi</v>
      </c>
      <c r="AV141" s="5"/>
      <c r="AW141" s="5"/>
      <c r="AX141" s="5"/>
      <c r="AY141" s="5" t="str">
        <f>IFERROR(__xludf.DUMMYFUNCTION("""COMPUTED_VALUE"""),"87.5%, 89.5%, 91.5%, 93.5%, 94.5%, 95.5%, 96.5%")</f>
        <v>87.5%, 89.5%, 91.5%, 93.5%, 94.5%, 95.5%, 96.5%</v>
      </c>
      <c r="AZ141" s="5"/>
      <c r="BA141" s="5" t="str">
        <f>IFERROR(__xludf.DUMMYFUNCTION("""COMPUTED_VALUE"""),"")</f>
        <v/>
      </c>
      <c r="BB141" s="5"/>
      <c r="BC141" s="5" t="str">
        <f>IFERROR(__xludf.DUMMYFUNCTION("""COMPUTED_VALUE"""),"Foxi")</f>
        <v>Foxi</v>
      </c>
      <c r="BD141" s="7" t="str">
        <f>IFERROR(__xludf.DUMMYFUNCTION("""COMPUTED_VALUE"""),"https://gameserver-store-client-area.orbionlimited.com/Home/IntegrationGameLaunch/client-area?moneyType=0&amp;gameName=FruityHot&amp;platform=desktop&amp;languageCode=eng&amp;currency=EUR")</f>
        <v>https://gameserver-store-client-area.orbionlimited.com/Home/IntegrationGameLaunch/client-area?moneyType=0&amp;gameName=FruityHot&amp;platform=desktop&amp;languageCode=eng&amp;currency=EUR</v>
      </c>
      <c r="BE141" s="5" t="b">
        <f>IFERROR(__xludf.DUMMYFUNCTION("""COMPUTED_VALUE"""),TRUE)</f>
        <v>1</v>
      </c>
    </row>
    <row r="142">
      <c r="A142" s="5">
        <f>IFERROR(__xludf.DUMMYFUNCTION("""COMPUTED_VALUE"""),142.0)</f>
        <v>142</v>
      </c>
      <c r="B142" s="5">
        <f>IFERROR(__xludf.DUMMYFUNCTION("""COMPUTED_VALUE"""),141.0)</f>
        <v>141</v>
      </c>
      <c r="C142" s="5" t="str">
        <f>IFERROR(__xludf.DUMMYFUNCTION("""COMPUTED_VALUE"""),"Redstone")</f>
        <v>Redstone</v>
      </c>
      <c r="D142" s="5" t="str">
        <f>IFERROR(__xludf.DUMMYFUNCTION("""COMPUTED_VALUE"""),"Action Hot 40")</f>
        <v>Action Hot 40</v>
      </c>
      <c r="E142" s="5" t="str">
        <f>IFERROR(__xludf.DUMMYFUNCTION("""COMPUTED_VALUE"""),"Redstone")</f>
        <v>Redstone</v>
      </c>
      <c r="F142" s="5" t="str">
        <f>IFERROR(__xludf.DUMMYFUNCTION("""COMPUTED_VALUE"""),"ActionHot40")</f>
        <v>ActionHot40</v>
      </c>
      <c r="G142" s="5" t="str">
        <f>IFERROR(__xludf.DUMMYFUNCTION("""COMPUTED_VALUE"""),"Live")</f>
        <v>Live</v>
      </c>
      <c r="H142" s="5"/>
      <c r="I142" s="5" t="str">
        <f>IFERROR(__xludf.DUMMYFUNCTION("""COMPUTED_VALUE"""),"Redstone")</f>
        <v>Redstone</v>
      </c>
      <c r="J142" s="5" t="str">
        <f>IFERROR(__xludf.DUMMYFUNCTION("""COMPUTED_VALUE"""),"JSON")</f>
        <v>JSON</v>
      </c>
      <c r="K142" s="5" t="str">
        <f>IFERROR(__xludf.DUMMYFUNCTION("""COMPUTED_VALUE"""),"Slot")</f>
        <v>Slot</v>
      </c>
      <c r="L142" s="5" t="str">
        <f>IFERROR(__xludf.DUMMYFUNCTION("""COMPUTED_VALUE"""),"Master")</f>
        <v>Master</v>
      </c>
      <c r="M142" s="5"/>
      <c r="N142" s="7" t="str">
        <f>IFERROR(__xludf.DUMMYFUNCTION("""COMPUTED_VALUE"""),"https://docs.google.com/document/d/1nwnNzfl7oxEDxlJw4311vi-yBfC_ahNs/edit?usp=drive_link&amp;ouid=107596163405648766688&amp;rtpof=true&amp;sd=true")</f>
        <v>https://docs.google.com/document/d/1nwnNzfl7oxEDxlJw4311vi-yBfC_ahNs/edit?usp=drive_link&amp;ouid=107596163405648766688&amp;rtpof=true&amp;sd=true</v>
      </c>
      <c r="O142" s="7" t="str">
        <f>IFERROR(__xludf.DUMMYFUNCTION("""COMPUTED_VALUE"""),"https://docs.google.com/document/d/18iFKQdk7iCjneYcv34WRQOkNafpeBq1O/edit?usp=drive_link&amp;ouid=107596163405648766688&amp;rtpof=true&amp;sd=true")</f>
        <v>https://docs.google.com/document/d/18iFKQdk7iCjneYcv34WRQOkNafpeBq1O/edit?usp=drive_link&amp;ouid=107596163405648766688&amp;rtpof=true&amp;sd=true</v>
      </c>
      <c r="P142" s="12">
        <f>IFERROR(__xludf.DUMMYFUNCTION("""COMPUTED_VALUE"""),9.3)</f>
        <v>9.3</v>
      </c>
      <c r="Q142" s="13">
        <f>IFERROR(__xludf.DUMMYFUNCTION("""COMPUTED_VALUE"""),44588.0)</f>
        <v>44588</v>
      </c>
      <c r="R142" s="14"/>
      <c r="S142" s="13">
        <f>IFERROR(__xludf.DUMMYFUNCTION("""COMPUTED_VALUE"""),44588.0)</f>
        <v>44588</v>
      </c>
      <c r="T142" s="5"/>
      <c r="U142" s="5" t="str">
        <f>IFERROR(__xludf.DUMMYFUNCTION("""COMPUTED_VALUE"""),"5x4")</f>
        <v>5x4</v>
      </c>
      <c r="V142" s="10" t="str">
        <f>IFERROR(__xludf.DUMMYFUNCTION("""COMPUTED_VALUE"""),"40")</f>
        <v>40</v>
      </c>
      <c r="W142" s="10" t="str">
        <f>IFERROR(__xludf.DUMMYFUNCTION("""COMPUTED_VALUE"""),"40")</f>
        <v>40</v>
      </c>
      <c r="X142" s="5">
        <f>IFERROR(__xludf.DUMMYFUNCTION("""COMPUTED_VALUE"""),96.58)</f>
        <v>96.58</v>
      </c>
      <c r="Y142" s="5" t="str">
        <f>IFERROR(__xludf.DUMMYFUNCTION("""COMPUTED_VALUE"""),"Low")</f>
        <v>Low</v>
      </c>
      <c r="Z142" s="5">
        <f>IFERROR(__xludf.DUMMYFUNCTION("""COMPUTED_VALUE"""),16.725)</f>
        <v>16.725</v>
      </c>
      <c r="AA142" s="12">
        <f>IFERROR(__xludf.DUMMYFUNCTION("""COMPUTED_VALUE"""),1000.0)</f>
        <v>1000</v>
      </c>
      <c r="AB142" s="5"/>
      <c r="AC142" s="5" t="str">
        <f>IFERROR(__xludf.DUMMYFUNCTION("""COMPUTED_VALUE"""),"Scatter, Special Wild")</f>
        <v>Scatter, Special Wild</v>
      </c>
      <c r="AD142" s="5" t="str">
        <f>IFERROR(__xludf.DUMMYFUNCTION("""COMPUTED_VALUE"""),"0.40/60")</f>
        <v>0.40/60</v>
      </c>
      <c r="AE142" s="5"/>
      <c r="AF142" s="5"/>
      <c r="AG142" s="8">
        <f>IFERROR(__xludf.DUMMYFUNCTION("""COMPUTED_VALUE"""),46157.446377314816)</f>
        <v>46157.44638</v>
      </c>
      <c r="AH142" s="5"/>
      <c r="AI142" s="5"/>
      <c r="AJ142" s="5"/>
      <c r="AK142" s="5">
        <f>IFERROR(__xludf.DUMMYFUNCTION("""COMPUTED_VALUE"""),1.0)</f>
        <v>1</v>
      </c>
      <c r="AL142" s="5" t="str">
        <f>IFERROR(__xludf.DUMMYFUNCTION("""COMPUTED_VALUE"""),"No")</f>
        <v>No</v>
      </c>
      <c r="AM142" s="5" t="str">
        <f>IFERROR(__xludf.DUMMYFUNCTION("""COMPUTED_VALUE"""),"No")</f>
        <v>No</v>
      </c>
      <c r="AN142" s="7" t="str">
        <f>IFERROR(__xludf.DUMMYFUNCTION("""COMPUTED_VALUE"""),"https://static.redstone.rs/games/action-hot-40/")</f>
        <v>https://static.redstone.rs/games/action-hot-40/</v>
      </c>
      <c r="AO142" s="5" t="str">
        <f>IFERROR(__xludf.DUMMYFUNCTION("""COMPUTED_VALUE"""),"No")</f>
        <v>No</v>
      </c>
      <c r="AP142" s="5" t="str">
        <f>IFERROR(__xludf.DUMMYFUNCTION("""COMPUTED_VALUE"""),"No")</f>
        <v>No</v>
      </c>
      <c r="AQ142" s="5" t="b">
        <f>IFERROR(__xludf.DUMMYFUNCTION("""COMPUTED_VALUE"""),TRUE)</f>
        <v>1</v>
      </c>
      <c r="AR142" s="5"/>
      <c r="AS142" s="5" t="str">
        <f>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AT142" s="5"/>
      <c r="AU142" s="5" t="str">
        <f>IFERROR(__xludf.DUMMYFUNCTION("""COMPUTED_VALUE"""),"Redstone")</f>
        <v>Redstone</v>
      </c>
      <c r="AV142" s="5"/>
      <c r="AW142" s="5"/>
      <c r="AX142" s="5"/>
      <c r="AY142" s="5"/>
      <c r="AZ142" s="5"/>
      <c r="BA142" s="5"/>
      <c r="BB142" s="5" t="b">
        <f>IFERROR(__xludf.DUMMYFUNCTION("""COMPUTED_VALUE"""),TRUE)</f>
        <v>1</v>
      </c>
      <c r="BC142" s="5" t="str">
        <f>IFERROR(__xludf.DUMMYFUNCTION("""COMPUTED_VALUE"""),"Redstone")</f>
        <v>Redstone</v>
      </c>
      <c r="BD142" s="7" t="str">
        <f>IFERROR(__xludf.DUMMYFUNCTION("""COMPUTED_VALUE"""),"https://static.redstone.rs/games/action-hot-40/")</f>
        <v>https://static.redstone.rs/games/action-hot-40/</v>
      </c>
      <c r="BE142" s="5" t="b">
        <f>IFERROR(__xludf.DUMMYFUNCTION("""COMPUTED_VALUE"""),TRUE)</f>
        <v>1</v>
      </c>
    </row>
    <row r="143">
      <c r="A143" s="5">
        <f>IFERROR(__xludf.DUMMYFUNCTION("""COMPUTED_VALUE"""),143.0)</f>
        <v>143</v>
      </c>
      <c r="B143" s="5">
        <f>IFERROR(__xludf.DUMMYFUNCTION("""COMPUTED_VALUE"""),142.0)</f>
        <v>142</v>
      </c>
      <c r="C143" s="5" t="str">
        <f>IFERROR(__xludf.DUMMYFUNCTION("""COMPUTED_VALUE"""),"Fazi")</f>
        <v>Fazi</v>
      </c>
      <c r="D143" s="5" t="str">
        <f>IFERROR(__xludf.DUMMYFUNCTION("""COMPUTED_VALUE"""),"Turbo Pinn 40")</f>
        <v>Turbo Pinn 40</v>
      </c>
      <c r="E143" s="5" t="str">
        <f>IFERROR(__xludf.DUMMYFUNCTION("""COMPUTED_VALUE"""),"V2")</f>
        <v>V2</v>
      </c>
      <c r="F143" s="5" t="str">
        <f>IFERROR(__xludf.DUMMYFUNCTION("""COMPUTED_VALUE"""),"TurboPinn40")</f>
        <v>TurboPinn40</v>
      </c>
      <c r="G143" s="5" t="str">
        <f>IFERROR(__xludf.DUMMYFUNCTION("""COMPUTED_VALUE"""),"Live")</f>
        <v>Live</v>
      </c>
      <c r="H143" s="5" t="str">
        <f>IFERROR(__xludf.DUMMYFUNCTION("""COMPUTED_VALUE"""),"Pinbet")</f>
        <v>Pinbet</v>
      </c>
      <c r="I143" s="5" t="str">
        <f>IFERROR(__xludf.DUMMYFUNCTION("""COMPUTED_VALUE"""),"V2")</f>
        <v>V2</v>
      </c>
      <c r="J143" s="5" t="str">
        <f>IFERROR(__xludf.DUMMYFUNCTION("""COMPUTED_VALUE"""),"Binary")</f>
        <v>Binary</v>
      </c>
      <c r="K143" s="5" t="str">
        <f>IFERROR(__xludf.DUMMYFUNCTION("""COMPUTED_VALUE"""),"Slot")</f>
        <v>Slot</v>
      </c>
      <c r="L143" s="5"/>
      <c r="M143" s="5" t="str">
        <f>IFERROR(__xludf.DUMMYFUNCTION("""COMPUTED_VALUE"""),"Turbo Hot 40")</f>
        <v>Turbo Hot 40</v>
      </c>
      <c r="N143" s="5"/>
      <c r="O143" s="5"/>
      <c r="P143" s="12"/>
      <c r="Q143" s="13">
        <f>IFERROR(__xludf.DUMMYFUNCTION("""COMPUTED_VALUE"""),43831.0)</f>
        <v>43831</v>
      </c>
      <c r="R143" s="14"/>
      <c r="S143" s="13">
        <f>IFERROR(__xludf.DUMMYFUNCTION("""COMPUTED_VALUE"""),43831.0)</f>
        <v>43831</v>
      </c>
      <c r="T143" s="5"/>
      <c r="U143" s="16"/>
      <c r="V143" s="10" t="str">
        <f>IFERROR(__xludf.DUMMYFUNCTION("""COMPUTED_VALUE"""),"40")</f>
        <v>40</v>
      </c>
      <c r="W143" s="10"/>
      <c r="X143" s="11">
        <f>IFERROR(__xludf.DUMMYFUNCTION("""COMPUTED_VALUE"""),96.584)</f>
        <v>96.584</v>
      </c>
      <c r="Y143" s="17"/>
      <c r="Z143" s="5">
        <f>IFERROR(__xludf.DUMMYFUNCTION("""COMPUTED_VALUE"""),0.0)</f>
        <v>0</v>
      </c>
      <c r="AA143" s="12"/>
      <c r="AB143" s="5"/>
      <c r="AC143" s="18"/>
      <c r="AD143" s="5"/>
      <c r="AE143" s="5"/>
      <c r="AF143" s="5"/>
      <c r="AG143" s="8">
        <f>IFERROR(__xludf.DUMMYFUNCTION("""COMPUTED_VALUE"""),46057.41428240741)</f>
        <v>46057.41428</v>
      </c>
      <c r="AH143" s="5" t="str">
        <f>IFERROR(__xludf.DUMMYFUNCTION("""COMPUTED_VALUE"""),"petra.ilic@fazi.rs")</f>
        <v>petra.ilic@fazi.rs</v>
      </c>
      <c r="AI143" s="5"/>
      <c r="AJ143" s="5"/>
      <c r="AK143" s="5" t="str">
        <f>IFERROR(__xludf.DUMMYFUNCTION("""COMPUTED_VALUE"""),"NULL")</f>
        <v>NULL</v>
      </c>
      <c r="AL143" s="5" t="str">
        <f>IFERROR(__xludf.DUMMYFUNCTION("""COMPUTED_VALUE"""),"Yes")</f>
        <v>Yes</v>
      </c>
      <c r="AM143" s="5"/>
      <c r="AN143" s="5"/>
      <c r="AO143" s="5"/>
      <c r="AP143" s="5"/>
      <c r="AQ143" s="5"/>
      <c r="AR143" s="5" t="b">
        <f>IFERROR(__xludf.DUMMYFUNCTION("""COMPUTED_VALUE"""),TRUE)</f>
        <v>1</v>
      </c>
      <c r="AS143" s="5"/>
      <c r="AT143" s="5"/>
      <c r="AU143" s="5" t="str">
        <f>IFERROR(__xludf.DUMMYFUNCTION("""COMPUTED_VALUE"""),"Fazi")</f>
        <v>Fazi</v>
      </c>
      <c r="AV143" s="5"/>
      <c r="AW143" s="5"/>
      <c r="AX143" s="5"/>
      <c r="AY143" s="5"/>
      <c r="AZ143" s="5"/>
      <c r="BA143" s="5" t="str">
        <f>IFERROR(__xludf.DUMMYFUNCTION("""COMPUTED_VALUE"""),"")</f>
        <v/>
      </c>
      <c r="BB143" s="5"/>
      <c r="BC143" s="5" t="str">
        <f>IFERROR(__xludf.DUMMYFUNCTION("""COMPUTED_VALUE"""),"Foxi")</f>
        <v>Foxi</v>
      </c>
      <c r="BD143" s="5" t="str">
        <f>IFERROR(__xludf.DUMMYFUNCTION("""COMPUTED_VALUE"""),"")</f>
        <v/>
      </c>
      <c r="BE143" s="5"/>
    </row>
    <row r="144">
      <c r="A144" s="5">
        <f>IFERROR(__xludf.DUMMYFUNCTION("""COMPUTED_VALUE"""),144.0)</f>
        <v>144</v>
      </c>
      <c r="B144" s="5">
        <f>IFERROR(__xludf.DUMMYFUNCTION("""COMPUTED_VALUE"""),143.0)</f>
        <v>143</v>
      </c>
      <c r="C144" s="5" t="str">
        <f>IFERROR(__xludf.DUMMYFUNCTION("""COMPUTED_VALUE"""),"Fazi")</f>
        <v>Fazi</v>
      </c>
      <c r="D144" s="5" t="str">
        <f>IFERROR(__xludf.DUMMYFUNCTION("""COMPUTED_VALUE"""),"Stars of Oktagon")</f>
        <v>Stars of Oktagon</v>
      </c>
      <c r="E144" s="5"/>
      <c r="F144" s="5" t="str">
        <f>IFERROR(__xludf.DUMMYFUNCTION("""COMPUTED_VALUE"""),"StarsOfOktagon")</f>
        <v>StarsOfOktagon</v>
      </c>
      <c r="G144" s="5" t="str">
        <f>IFERROR(__xludf.DUMMYFUNCTION("""COMPUTED_VALUE"""),"Live")</f>
        <v>Live</v>
      </c>
      <c r="H144" s="5" t="str">
        <f>IFERROR(__xludf.DUMMYFUNCTION("""COMPUTED_VALUE"""),"Oktagon - Alphapex")</f>
        <v>Oktagon - Alphapex</v>
      </c>
      <c r="I144" s="5" t="str">
        <f>IFERROR(__xludf.DUMMYFUNCTION("""COMPUTED_VALUE"""),"V2")</f>
        <v>V2</v>
      </c>
      <c r="J144" s="5"/>
      <c r="K144" s="5" t="str">
        <f>IFERROR(__xludf.DUMMYFUNCTION("""COMPUTED_VALUE"""),"Slot")</f>
        <v>Slot</v>
      </c>
      <c r="L144" s="5"/>
      <c r="M144" s="5" t="str">
        <f>IFERROR(__xludf.DUMMYFUNCTION("""COMPUTED_VALUE"""),"Fruits and Stars")</f>
        <v>Fruits and Stars</v>
      </c>
      <c r="N144" s="5"/>
      <c r="O144" s="5"/>
      <c r="P144" s="12"/>
      <c r="Q144" s="13">
        <f>IFERROR(__xludf.DUMMYFUNCTION("""COMPUTED_VALUE"""),43831.0)</f>
        <v>43831</v>
      </c>
      <c r="R144" s="14"/>
      <c r="S144" s="13">
        <f>IFERROR(__xludf.DUMMYFUNCTION("""COMPUTED_VALUE"""),43831.0)</f>
        <v>43831</v>
      </c>
      <c r="T144" s="5"/>
      <c r="U144" s="16"/>
      <c r="V144" s="10" t="str">
        <f>IFERROR(__xludf.DUMMYFUNCTION("""COMPUTED_VALUE"""),"40")</f>
        <v>40</v>
      </c>
      <c r="W144" s="10"/>
      <c r="X144" s="11">
        <f>IFERROR(__xludf.DUMMYFUNCTION("""COMPUTED_VALUE"""),95.79)</f>
        <v>95.79</v>
      </c>
      <c r="Y144" s="17"/>
      <c r="Z144" s="5">
        <f>IFERROR(__xludf.DUMMYFUNCTION("""COMPUTED_VALUE"""),0.0)</f>
        <v>0</v>
      </c>
      <c r="AA144" s="12"/>
      <c r="AB144" s="5"/>
      <c r="AC144" s="18"/>
      <c r="AD144" s="5"/>
      <c r="AE144" s="5"/>
      <c r="AF144" s="5"/>
      <c r="AG144" s="8">
        <f>IFERROR(__xludf.DUMMYFUNCTION("""COMPUTED_VALUE"""),46057.41471064815)</f>
        <v>46057.41471</v>
      </c>
      <c r="AH144" s="5" t="str">
        <f>IFERROR(__xludf.DUMMYFUNCTION("""COMPUTED_VALUE"""),"petra.ilic@fazi.rs")</f>
        <v>petra.ilic@fazi.rs</v>
      </c>
      <c r="AI144" s="5"/>
      <c r="AJ144" s="5"/>
      <c r="AK144" s="5" t="str">
        <f>IFERROR(__xludf.DUMMYFUNCTION("""COMPUTED_VALUE"""),"NULL")</f>
        <v>NULL</v>
      </c>
      <c r="AL144" s="5" t="str">
        <f>IFERROR(__xludf.DUMMYFUNCTION("""COMPUTED_VALUE"""),"Yes")</f>
        <v>Yes</v>
      </c>
      <c r="AM144" s="5"/>
      <c r="AN144" s="5"/>
      <c r="AO144" s="5"/>
      <c r="AP144" s="5"/>
      <c r="AQ144" s="5"/>
      <c r="AR144" s="5" t="b">
        <f>IFERROR(__xludf.DUMMYFUNCTION("""COMPUTED_VALUE"""),TRUE)</f>
        <v>1</v>
      </c>
      <c r="AS144" s="5"/>
      <c r="AT144" s="5"/>
      <c r="AU144" s="5" t="str">
        <f>IFERROR(__xludf.DUMMYFUNCTION("""COMPUTED_VALUE"""),"Fazi")</f>
        <v>Fazi</v>
      </c>
      <c r="AV144" s="5"/>
      <c r="AW144" s="5"/>
      <c r="AX144" s="5"/>
      <c r="AY144" s="5"/>
      <c r="AZ144" s="5"/>
      <c r="BA144" s="5" t="str">
        <f>IFERROR(__xludf.DUMMYFUNCTION("""COMPUTED_VALUE"""),"")</f>
        <v/>
      </c>
      <c r="BB144" s="5"/>
      <c r="BC144" s="5" t="str">
        <f>IFERROR(__xludf.DUMMYFUNCTION("""COMPUTED_VALUE"""),"Foxi")</f>
        <v>Foxi</v>
      </c>
      <c r="BD144" s="5" t="str">
        <f>IFERROR(__xludf.DUMMYFUNCTION("""COMPUTED_VALUE"""),"")</f>
        <v/>
      </c>
      <c r="BE144" s="5"/>
    </row>
    <row r="145">
      <c r="A145" s="5">
        <f>IFERROR(__xludf.DUMMYFUNCTION("""COMPUTED_VALUE"""),145.0)</f>
        <v>145</v>
      </c>
      <c r="B145" s="5">
        <f>IFERROR(__xludf.DUMMYFUNCTION("""COMPUTED_VALUE"""),144.0)</f>
        <v>144</v>
      </c>
      <c r="C145" s="5" t="str">
        <f>IFERROR(__xludf.DUMMYFUNCTION("""COMPUTED_VALUE"""),"Fazi")</f>
        <v>Fazi</v>
      </c>
      <c r="D145" s="5" t="str">
        <f>IFERROR(__xludf.DUMMYFUNCTION("""COMPUTED_VALUE"""),"Eye Of Tut")</f>
        <v>Eye Of Tut</v>
      </c>
      <c r="E145" s="5" t="str">
        <f>IFERROR(__xludf.DUMMYFUNCTION("""COMPUTED_VALUE"""),"V2")</f>
        <v>V2</v>
      </c>
      <c r="F145" s="5" t="str">
        <f>IFERROR(__xludf.DUMMYFUNCTION("""COMPUTED_VALUE"""),"EyeOfTut")</f>
        <v>EyeOfTut</v>
      </c>
      <c r="G145" s="5" t="str">
        <f>IFERROR(__xludf.DUMMYFUNCTION("""COMPUTED_VALUE"""),"Live")</f>
        <v>Live</v>
      </c>
      <c r="H145" s="5"/>
      <c r="I145" s="5" t="str">
        <f>IFERROR(__xludf.DUMMYFUNCTION("""COMPUTED_VALUE"""),"V2")</f>
        <v>V2</v>
      </c>
      <c r="J145" s="5" t="str">
        <f>IFERROR(__xludf.DUMMYFUNCTION("""COMPUTED_VALUE"""),"Binary")</f>
        <v>Binary</v>
      </c>
      <c r="K145" s="5" t="str">
        <f>IFERROR(__xludf.DUMMYFUNCTION("""COMPUTED_VALUE"""),"Slot")</f>
        <v>Slot</v>
      </c>
      <c r="L145" s="5" t="str">
        <f>IFERROR(__xludf.DUMMYFUNCTION("""COMPUTED_VALUE"""),"Clone")</f>
        <v>Clone</v>
      </c>
      <c r="M145" s="5" t="str">
        <f>IFERROR(__xludf.DUMMYFUNCTION("""COMPUTED_VALUE"""),"Pyramid")</f>
        <v>Pyramid</v>
      </c>
      <c r="N145" s="5"/>
      <c r="O145" s="5"/>
      <c r="P145" s="12">
        <f>IFERROR(__xludf.DUMMYFUNCTION("""COMPUTED_VALUE"""),38.2)</f>
        <v>38.2</v>
      </c>
      <c r="Q145" s="13">
        <f>IFERROR(__xludf.DUMMYFUNCTION("""COMPUTED_VALUE"""),44742.0)</f>
        <v>44742</v>
      </c>
      <c r="R145" s="14"/>
      <c r="S145" s="13">
        <f>IFERROR(__xludf.DUMMYFUNCTION("""COMPUTED_VALUE"""),44742.0)</f>
        <v>44742</v>
      </c>
      <c r="T145" s="5"/>
      <c r="U145" s="5" t="str">
        <f>IFERROR(__xludf.DUMMYFUNCTION("""COMPUTED_VALUE"""),"5x3")</f>
        <v>5x3</v>
      </c>
      <c r="V145" s="10" t="str">
        <f>IFERROR(__xludf.DUMMYFUNCTION("""COMPUTED_VALUE"""),"15")</f>
        <v>15</v>
      </c>
      <c r="W145" s="10" t="str">
        <f>IFERROR(__xludf.DUMMYFUNCTION("""COMPUTED_VALUE"""),"15")</f>
        <v>15</v>
      </c>
      <c r="X145" s="5">
        <f>IFERROR(__xludf.DUMMYFUNCTION("""COMPUTED_VALUE"""),96.142)</f>
        <v>96.142</v>
      </c>
      <c r="Y145" s="5" t="str">
        <f>IFERROR(__xludf.DUMMYFUNCTION("""COMPUTED_VALUE"""),"High")</f>
        <v>High</v>
      </c>
      <c r="Z145" s="5">
        <f>IFERROR(__xludf.DUMMYFUNCTION("""COMPUTED_VALUE"""),28.08)</f>
        <v>28.08</v>
      </c>
      <c r="AA145" s="12">
        <f>IFERROR(__xludf.DUMMYFUNCTION("""COMPUTED_VALUE"""),1530.0)</f>
        <v>1530</v>
      </c>
      <c r="AB145" s="5">
        <f>IFERROR(__xludf.DUMMYFUNCTION("""COMPUTED_VALUE"""),149.0)</f>
        <v>149</v>
      </c>
      <c r="AC145" s="5" t="str">
        <f>IFERROR(__xludf.DUMMYFUNCTION("""COMPUTED_VALUE"""),"Wild Symbol, Bonus Game with Free Spins, Sticky Wild")</f>
        <v>Wild Symbol, Bonus Game with Free Spins, Sticky Wild</v>
      </c>
      <c r="AD145" s="5" t="str">
        <f>IFERROR(__xludf.DUMMYFUNCTION("""COMPUTED_VALUE"""),"0.01/45")</f>
        <v>0.01/45</v>
      </c>
      <c r="AE145" s="5"/>
      <c r="AF145" s="5"/>
      <c r="AG145" s="8">
        <f>IFERROR(__xludf.DUMMYFUNCTION("""COMPUTED_VALUE"""),46055.51540509259)</f>
        <v>46055.51541</v>
      </c>
      <c r="AH145" s="5" t="str">
        <f>IFERROR(__xludf.DUMMYFUNCTION("""COMPUTED_VALUE"""),"djordje.jankovic@fazi.rs")</f>
        <v>djordje.jankovic@fazi.rs</v>
      </c>
      <c r="AI145" s="5"/>
      <c r="AJ145" s="5"/>
      <c r="AK145" s="5">
        <f>IFERROR(__xludf.DUMMYFUNCTION("""COMPUTED_VALUE"""),15.0)</f>
        <v>15</v>
      </c>
      <c r="AL145" s="5" t="str">
        <f>IFERROR(__xludf.DUMMYFUNCTION("""COMPUTED_VALUE"""),"Yes")</f>
        <v>Yes</v>
      </c>
      <c r="AM145" s="5"/>
      <c r="AN145" s="7" t="str">
        <f>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AO145" s="5"/>
      <c r="AP145" s="5"/>
      <c r="AQ145" s="5" t="b">
        <f>IFERROR(__xludf.DUMMYFUNCTION("""COMPUTED_VALUE"""),TRUE)</f>
        <v>1</v>
      </c>
      <c r="AR145" s="5"/>
      <c r="AS145" s="5" t="str">
        <f>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AT145" s="5"/>
      <c r="AU145" s="5" t="str">
        <f>IFERROR(__xludf.DUMMYFUNCTION("""COMPUTED_VALUE"""),"Fazi")</f>
        <v>Fazi</v>
      </c>
      <c r="AV145" s="5"/>
      <c r="AW145" s="5"/>
      <c r="AX145" s="5"/>
      <c r="AY145" s="5"/>
      <c r="AZ145" s="5"/>
      <c r="BA145" s="5" t="str">
        <f>IFERROR(__xludf.DUMMYFUNCTION("""COMPUTED_VALUE"""),"")</f>
        <v/>
      </c>
      <c r="BB145" s="5"/>
      <c r="BC145" s="5" t="str">
        <f>IFERROR(__xludf.DUMMYFUNCTION("""COMPUTED_VALUE"""),"Foxi")</f>
        <v>Foxi</v>
      </c>
      <c r="BD145" s="7" t="str">
        <f>IFERROR(__xludf.DUMMYFUNCTION("""COMPUTED_VALUE"""),"https://gameserver-store-client-area.orbionlimited.com/Home/IntegrationGameLaunch/client-area?moneyType=0&amp;gameName=EyeOfTut&amp;platform=desktop&amp;languageCode=eng&amp;currency=EUR")</f>
        <v>https://gameserver-store-client-area.orbionlimited.com/Home/IntegrationGameLaunch/client-area?moneyType=0&amp;gameName=EyeOfTut&amp;platform=desktop&amp;languageCode=eng&amp;currency=EUR</v>
      </c>
      <c r="BE145" s="5" t="b">
        <f>IFERROR(__xludf.DUMMYFUNCTION("""COMPUTED_VALUE"""),TRUE)</f>
        <v>1</v>
      </c>
    </row>
    <row r="146">
      <c r="A146" s="5">
        <f>IFERROR(__xludf.DUMMYFUNCTION("""COMPUTED_VALUE"""),146.0)</f>
        <v>146</v>
      </c>
      <c r="B146" s="5">
        <f>IFERROR(__xludf.DUMMYFUNCTION("""COMPUTED_VALUE"""),145.0)</f>
        <v>145</v>
      </c>
      <c r="C146" s="5" t="str">
        <f>IFERROR(__xludf.DUMMYFUNCTION("""COMPUTED_VALUE"""),"Fazi")</f>
        <v>Fazi</v>
      </c>
      <c r="D146" s="5" t="str">
        <f>IFERROR(__xludf.DUMMYFUNCTION("""COMPUTED_VALUE"""),"Fruity Win 40")</f>
        <v>Fruity Win 40</v>
      </c>
      <c r="E146" s="5" t="str">
        <f>IFERROR(__xludf.DUMMYFUNCTION("""COMPUTED_VALUE"""),"V2")</f>
        <v>V2</v>
      </c>
      <c r="F146" s="5" t="str">
        <f>IFERROR(__xludf.DUMMYFUNCTION("""COMPUTED_VALUE"""),"FruityWin40")</f>
        <v>FruityWin40</v>
      </c>
      <c r="G146" s="5" t="str">
        <f>IFERROR(__xludf.DUMMYFUNCTION("""COMPUTED_VALUE"""),"Live")</f>
        <v>Live</v>
      </c>
      <c r="H146" s="5"/>
      <c r="I146" s="5" t="str">
        <f>IFERROR(__xludf.DUMMYFUNCTION("""COMPUTED_VALUE"""),"V2")</f>
        <v>V2</v>
      </c>
      <c r="J146" s="5" t="str">
        <f>IFERROR(__xludf.DUMMYFUNCTION("""COMPUTED_VALUE"""),"JSON")</f>
        <v>JSON</v>
      </c>
      <c r="K146" s="5" t="str">
        <f>IFERROR(__xludf.DUMMYFUNCTION("""COMPUTED_VALUE"""),"Slot")</f>
        <v>Slot</v>
      </c>
      <c r="L146" s="5" t="str">
        <f>IFERROR(__xludf.DUMMYFUNCTION("""COMPUTED_VALUE"""),"Clone")</f>
        <v>Clone</v>
      </c>
      <c r="M146" s="5" t="str">
        <f>IFERROR(__xludf.DUMMYFUNCTION("""COMPUTED_VALUE"""),"Turbo Hot 40")</f>
        <v>Turbo Hot 40</v>
      </c>
      <c r="N146" s="5"/>
      <c r="O146" s="5"/>
      <c r="P146" s="12">
        <f>IFERROR(__xludf.DUMMYFUNCTION("""COMPUTED_VALUE"""),26.5)</f>
        <v>26.5</v>
      </c>
      <c r="Q146" s="13">
        <f>IFERROR(__xludf.DUMMYFUNCTION("""COMPUTED_VALUE"""),44606.0)</f>
        <v>44606</v>
      </c>
      <c r="R146" s="14"/>
      <c r="S146" s="13">
        <f>IFERROR(__xludf.DUMMYFUNCTION("""COMPUTED_VALUE"""),44606.0)</f>
        <v>44606</v>
      </c>
      <c r="T146" s="5" t="b">
        <f>IFERROR(__xludf.DUMMYFUNCTION("""COMPUTED_VALUE"""),TRUE)</f>
        <v>1</v>
      </c>
      <c r="U146" s="5" t="str">
        <f>IFERROR(__xludf.DUMMYFUNCTION("""COMPUTED_VALUE"""),"5x4")</f>
        <v>5x4</v>
      </c>
      <c r="V146" s="10" t="str">
        <f>IFERROR(__xludf.DUMMYFUNCTION("""COMPUTED_VALUE"""),"40")</f>
        <v>40</v>
      </c>
      <c r="W146" s="10" t="str">
        <f>IFERROR(__xludf.DUMMYFUNCTION("""COMPUTED_VALUE"""),"40")</f>
        <v>40</v>
      </c>
      <c r="X146" s="5">
        <f>IFERROR(__xludf.DUMMYFUNCTION("""COMPUTED_VALUE"""),96.584)</f>
        <v>96.584</v>
      </c>
      <c r="Y146" s="5" t="str">
        <f>IFERROR(__xludf.DUMMYFUNCTION("""COMPUTED_VALUE"""),"Low")</f>
        <v>Low</v>
      </c>
      <c r="Z146" s="5">
        <f>IFERROR(__xludf.DUMMYFUNCTION("""COMPUTED_VALUE"""),16.73)</f>
        <v>16.73</v>
      </c>
      <c r="AA146" s="12">
        <f>IFERROR(__xludf.DUMMYFUNCTION("""COMPUTED_VALUE"""),1000.0)</f>
        <v>1000</v>
      </c>
      <c r="AB146" s="5" t="str">
        <f>IFERROR(__xludf.DUMMYFUNCTION("""COMPUTED_VALUE"""),"/")</f>
        <v>/</v>
      </c>
      <c r="AC146" s="5" t="str">
        <f>IFERROR(__xludf.DUMMYFUNCTION("""COMPUTED_VALUE"""),"Expanding Wild, Scatter")</f>
        <v>Expanding Wild, Scatter</v>
      </c>
      <c r="AD146" s="5" t="str">
        <f>IFERROR(__xludf.DUMMYFUNCTION("""COMPUTED_VALUE"""),"0.4/60")</f>
        <v>0.4/60</v>
      </c>
      <c r="AE146" s="5"/>
      <c r="AF146" s="5"/>
      <c r="AG146" s="8">
        <f>IFERROR(__xludf.DUMMYFUNCTION("""COMPUTED_VALUE"""),46101.61541666667)</f>
        <v>46101.61542</v>
      </c>
      <c r="AH146" s="5" t="str">
        <f>IFERROR(__xludf.DUMMYFUNCTION("""COMPUTED_VALUE"""),"milutin.toskic@fazi.rs")</f>
        <v>milutin.toskic@fazi.rs</v>
      </c>
      <c r="AI146" s="5"/>
      <c r="AJ146" s="5"/>
      <c r="AK146" s="5">
        <f>IFERROR(__xludf.DUMMYFUNCTION("""COMPUTED_VALUE"""),40.0)</f>
        <v>40</v>
      </c>
      <c r="AL146" s="5" t="str">
        <f>IFERROR(__xludf.DUMMYFUNCTION("""COMPUTED_VALUE"""),"Yes")</f>
        <v>Yes</v>
      </c>
      <c r="AM146" s="5"/>
      <c r="AN146" s="7" t="str">
        <f>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AO146" s="5" t="str">
        <f>IFERROR(__xludf.DUMMYFUNCTION("""COMPUTED_VALUE"""),"Yes")</f>
        <v>Yes</v>
      </c>
      <c r="AP146" s="5" t="str">
        <f>IFERROR(__xludf.DUMMYFUNCTION("""COMPUTED_VALUE"""),"Yes")</f>
        <v>Yes</v>
      </c>
      <c r="AQ146" s="5" t="b">
        <f>IFERROR(__xludf.DUMMYFUNCTION("""COMPUTED_VALUE"""),TRUE)</f>
        <v>1</v>
      </c>
      <c r="AR146" s="5"/>
      <c r="AS146"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46" s="5" t="str">
        <f>IFERROR(__xludf.DUMMYFUNCTION("""COMPUTED_VALUE"""),"No")</f>
        <v>No</v>
      </c>
      <c r="AU146" s="5" t="str">
        <f>IFERROR(__xludf.DUMMYFUNCTION("""COMPUTED_VALUE"""),"Fazi")</f>
        <v>Fazi</v>
      </c>
      <c r="AV146" s="5"/>
      <c r="AW146" s="5"/>
      <c r="AX146" s="5"/>
      <c r="AY146" s="5" t="str">
        <f>IFERROR(__xludf.DUMMYFUNCTION("""COMPUTED_VALUE"""),"87.5%, 89.5%, 91.5%, 93.5%, 94.5%, 95.5%, 96.5%")</f>
        <v>87.5%, 89.5%, 91.5%, 93.5%, 94.5%, 95.5%, 96.5%</v>
      </c>
      <c r="AZ146" s="5"/>
      <c r="BA146" s="5" t="str">
        <f>IFERROR(__xludf.DUMMYFUNCTION("""COMPUTED_VALUE"""),"")</f>
        <v/>
      </c>
      <c r="BB146" s="5"/>
      <c r="BC146" s="5" t="str">
        <f>IFERROR(__xludf.DUMMYFUNCTION("""COMPUTED_VALUE"""),"Foxi")</f>
        <v>Foxi</v>
      </c>
      <c r="BD146" s="7" t="str">
        <f>IFERROR(__xludf.DUMMYFUNCTION("""COMPUTED_VALUE"""),"https://gameserver-store-client-area.orbionlimited.com/Home/IntegrationGameLaunch/client-area?moneyType=0&amp;gameName=FruityWin40&amp;platform=desktop&amp;languageCode=eng&amp;currency=EUR")</f>
        <v>https://gameserver-store-client-area.orbionlimited.com/Home/IntegrationGameLaunch/client-area?moneyType=0&amp;gameName=FruityWin40&amp;platform=desktop&amp;languageCode=eng&amp;currency=EUR</v>
      </c>
      <c r="BE146" s="5" t="b">
        <f>IFERROR(__xludf.DUMMYFUNCTION("""COMPUTED_VALUE"""),TRUE)</f>
        <v>1</v>
      </c>
    </row>
    <row r="147">
      <c r="A147" s="5">
        <f>IFERROR(__xludf.DUMMYFUNCTION("""COMPUTED_VALUE"""),147.0)</f>
        <v>147</v>
      </c>
      <c r="B147" s="5">
        <f>IFERROR(__xludf.DUMMYFUNCTION("""COMPUTED_VALUE"""),146.0)</f>
        <v>146</v>
      </c>
      <c r="C147" s="5" t="str">
        <f>IFERROR(__xludf.DUMMYFUNCTION("""COMPUTED_VALUE"""),"Redstone")</f>
        <v>Redstone</v>
      </c>
      <c r="D147" s="5" t="str">
        <f>IFERROR(__xludf.DUMMYFUNCTION("""COMPUTED_VALUE"""),"Action Hot 20")</f>
        <v>Action Hot 20</v>
      </c>
      <c r="E147" s="5" t="str">
        <f>IFERROR(__xludf.DUMMYFUNCTION("""COMPUTED_VALUE"""),"Redstone")</f>
        <v>Redstone</v>
      </c>
      <c r="F147" s="5" t="str">
        <f>IFERROR(__xludf.DUMMYFUNCTION("""COMPUTED_VALUE"""),"ActionHot20")</f>
        <v>ActionHot20</v>
      </c>
      <c r="G147" s="5" t="str">
        <f>IFERROR(__xludf.DUMMYFUNCTION("""COMPUTED_VALUE"""),"Live")</f>
        <v>Live</v>
      </c>
      <c r="H147" s="5"/>
      <c r="I147" s="5" t="str">
        <f>IFERROR(__xludf.DUMMYFUNCTION("""COMPUTED_VALUE"""),"Redstone")</f>
        <v>Redstone</v>
      </c>
      <c r="J147" s="5" t="str">
        <f>IFERROR(__xludf.DUMMYFUNCTION("""COMPUTED_VALUE"""),"JSON")</f>
        <v>JSON</v>
      </c>
      <c r="K147" s="5" t="str">
        <f>IFERROR(__xludf.DUMMYFUNCTION("""COMPUTED_VALUE"""),"Slot")</f>
        <v>Slot</v>
      </c>
      <c r="L147" s="5" t="str">
        <f>IFERROR(__xludf.DUMMYFUNCTION("""COMPUTED_VALUE"""),"Master")</f>
        <v>Master</v>
      </c>
      <c r="M147" s="5"/>
      <c r="N147" s="7" t="str">
        <f>IFERROR(__xludf.DUMMYFUNCTION("""COMPUTED_VALUE"""),"https://docs.google.com/document/d/1I70szBKiznP9PJN0ObllSPE8NEvHilKj/edit?usp=drive_link&amp;ouid=107596163405648766688&amp;rtpof=true&amp;sd=true")</f>
        <v>https://docs.google.com/document/d/1I70szBKiznP9PJN0ObllSPE8NEvHilKj/edit?usp=drive_link&amp;ouid=107596163405648766688&amp;rtpof=true&amp;sd=true</v>
      </c>
      <c r="O147" s="7" t="str">
        <f>IFERROR(__xludf.DUMMYFUNCTION("""COMPUTED_VALUE"""),"https://docs.google.com/document/d/1WNid3PmWjnfKjctAJN3sdrKWqZpmswUe/edit?usp=drive_link&amp;ouid=107596163405648766688&amp;rtpof=true&amp;sd=true")</f>
        <v>https://docs.google.com/document/d/1WNid3PmWjnfKjctAJN3sdrKWqZpmswUe/edit?usp=drive_link&amp;ouid=107596163405648766688&amp;rtpof=true&amp;sd=true</v>
      </c>
      <c r="P147" s="12">
        <f>IFERROR(__xludf.DUMMYFUNCTION("""COMPUTED_VALUE"""),9.3)</f>
        <v>9.3</v>
      </c>
      <c r="Q147" s="13">
        <f>IFERROR(__xludf.DUMMYFUNCTION("""COMPUTED_VALUE"""),44588.0)</f>
        <v>44588</v>
      </c>
      <c r="R147" s="14"/>
      <c r="S147" s="13">
        <f>IFERROR(__xludf.DUMMYFUNCTION("""COMPUTED_VALUE"""),44588.0)</f>
        <v>44588</v>
      </c>
      <c r="T147" s="5"/>
      <c r="U147" s="5" t="str">
        <f>IFERROR(__xludf.DUMMYFUNCTION("""COMPUTED_VALUE"""),"5x3")</f>
        <v>5x3</v>
      </c>
      <c r="V147" s="10" t="str">
        <f>IFERROR(__xludf.DUMMYFUNCTION("""COMPUTED_VALUE"""),"20")</f>
        <v>20</v>
      </c>
      <c r="W147" s="10" t="str">
        <f>IFERROR(__xludf.DUMMYFUNCTION("""COMPUTED_VALUE"""),"20")</f>
        <v>20</v>
      </c>
      <c r="X147" s="5">
        <f>IFERROR(__xludf.DUMMYFUNCTION("""COMPUTED_VALUE"""),95.79)</f>
        <v>95.79</v>
      </c>
      <c r="Y147" s="5" t="str">
        <f>IFERROR(__xludf.DUMMYFUNCTION("""COMPUTED_VALUE"""),"Low")</f>
        <v>Low</v>
      </c>
      <c r="Z147" s="5">
        <f>IFERROR(__xludf.DUMMYFUNCTION("""COMPUTED_VALUE"""),17.45)</f>
        <v>17.45</v>
      </c>
      <c r="AA147" s="12">
        <f>IFERROR(__xludf.DUMMYFUNCTION("""COMPUTED_VALUE"""),1000.0)</f>
        <v>1000</v>
      </c>
      <c r="AB147" s="5"/>
      <c r="AC147" s="5" t="str">
        <f>IFERROR(__xludf.DUMMYFUNCTION("""COMPUTED_VALUE"""),"Scatter, Special Wild")</f>
        <v>Scatter, Special Wild</v>
      </c>
      <c r="AD147" s="5" t="str">
        <f>IFERROR(__xludf.DUMMYFUNCTION("""COMPUTED_VALUE"""),"0.20/50")</f>
        <v>0.20/50</v>
      </c>
      <c r="AE147" s="5"/>
      <c r="AF147" s="5"/>
      <c r="AG147" s="8">
        <f>IFERROR(__xludf.DUMMYFUNCTION("""COMPUTED_VALUE"""),46157.44658564815)</f>
        <v>46157.44659</v>
      </c>
      <c r="AH147" s="5"/>
      <c r="AI147" s="5"/>
      <c r="AJ147" s="5"/>
      <c r="AK147" s="5">
        <f>IFERROR(__xludf.DUMMYFUNCTION("""COMPUTED_VALUE"""),1.0)</f>
        <v>1</v>
      </c>
      <c r="AL147" s="5" t="str">
        <f>IFERROR(__xludf.DUMMYFUNCTION("""COMPUTED_VALUE"""),"No")</f>
        <v>No</v>
      </c>
      <c r="AM147" s="5" t="str">
        <f>IFERROR(__xludf.DUMMYFUNCTION("""COMPUTED_VALUE"""),"No")</f>
        <v>No</v>
      </c>
      <c r="AN147" s="7" t="str">
        <f>IFERROR(__xludf.DUMMYFUNCTION("""COMPUTED_VALUE"""),"https://static.redstone.rs/games/action-hot-20/")</f>
        <v>https://static.redstone.rs/games/action-hot-20/</v>
      </c>
      <c r="AO147" s="5" t="str">
        <f>IFERROR(__xludf.DUMMYFUNCTION("""COMPUTED_VALUE"""),"No")</f>
        <v>No</v>
      </c>
      <c r="AP147" s="5" t="str">
        <f>IFERROR(__xludf.DUMMYFUNCTION("""COMPUTED_VALUE"""),"No")</f>
        <v>No</v>
      </c>
      <c r="AQ147" s="5" t="b">
        <f>IFERROR(__xludf.DUMMYFUNCTION("""COMPUTED_VALUE"""),TRUE)</f>
        <v>1</v>
      </c>
      <c r="AR147" s="5"/>
      <c r="AS147" s="5" t="str">
        <f>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AT147" s="5"/>
      <c r="AU147" s="5" t="str">
        <f>IFERROR(__xludf.DUMMYFUNCTION("""COMPUTED_VALUE"""),"Redstone")</f>
        <v>Redstone</v>
      </c>
      <c r="AV147" s="5"/>
      <c r="AW147" s="5"/>
      <c r="AX147" s="5"/>
      <c r="AY147" s="5"/>
      <c r="AZ147" s="5"/>
      <c r="BA147" s="5"/>
      <c r="BB147" s="5" t="b">
        <f>IFERROR(__xludf.DUMMYFUNCTION("""COMPUTED_VALUE"""),TRUE)</f>
        <v>1</v>
      </c>
      <c r="BC147" s="5" t="str">
        <f>IFERROR(__xludf.DUMMYFUNCTION("""COMPUTED_VALUE"""),"Redstone")</f>
        <v>Redstone</v>
      </c>
      <c r="BD147" s="7" t="str">
        <f>IFERROR(__xludf.DUMMYFUNCTION("""COMPUTED_VALUE"""),"https://static.redstone.rs/games/action-hot-20/")</f>
        <v>https://static.redstone.rs/games/action-hot-20/</v>
      </c>
      <c r="BE147" s="5" t="b">
        <f>IFERROR(__xludf.DUMMYFUNCTION("""COMPUTED_VALUE"""),TRUE)</f>
        <v>1</v>
      </c>
    </row>
    <row r="148">
      <c r="A148" s="5">
        <f>IFERROR(__xludf.DUMMYFUNCTION("""COMPUTED_VALUE"""),148.0)</f>
        <v>148</v>
      </c>
      <c r="B148" s="5">
        <f>IFERROR(__xludf.DUMMYFUNCTION("""COMPUTED_VALUE"""),147.0)</f>
        <v>147</v>
      </c>
      <c r="C148" s="5"/>
      <c r="D148" s="5" t="str">
        <f>IFERROR(__xludf.DUMMYFUNCTION("""COMPUTED_VALUE"""),"Joker Queen")</f>
        <v>Joker Queen</v>
      </c>
      <c r="E148" s="5"/>
      <c r="F148" s="5" t="str">
        <f>IFERROR(__xludf.DUMMYFUNCTION("""COMPUTED_VALUE"""),"JokerQueen")</f>
        <v>JokerQueen</v>
      </c>
      <c r="G148" s="5" t="str">
        <f>IFERROR(__xludf.DUMMYFUNCTION("""COMPUTED_VALUE"""),"Live")</f>
        <v>Live</v>
      </c>
      <c r="H148" s="5"/>
      <c r="I148" s="5"/>
      <c r="J148" s="5"/>
      <c r="K148" s="5" t="str">
        <f>IFERROR(__xludf.DUMMYFUNCTION("""COMPUTED_VALUE"""),"Slot")</f>
        <v>Slot</v>
      </c>
      <c r="L148" s="5"/>
      <c r="M148" s="5"/>
      <c r="N148" s="5"/>
      <c r="O148" s="5"/>
      <c r="P148" s="12"/>
      <c r="Q148" s="13">
        <f>IFERROR(__xludf.DUMMYFUNCTION("""COMPUTED_VALUE"""),43831.0)</f>
        <v>43831</v>
      </c>
      <c r="R148" s="14"/>
      <c r="S148" s="13">
        <f>IFERROR(__xludf.DUMMYFUNCTION("""COMPUTED_VALUE"""),43831.0)</f>
        <v>43831</v>
      </c>
      <c r="T148" s="5"/>
      <c r="U148" s="16"/>
      <c r="V148" s="10" t="str">
        <f>IFERROR(__xludf.DUMMYFUNCTION("""COMPUTED_VALUE"""),"5")</f>
        <v>5</v>
      </c>
      <c r="W148" s="10"/>
      <c r="X148" s="11">
        <f>IFERROR(__xludf.DUMMYFUNCTION("""COMPUTED_VALUE"""),0.0)</f>
        <v>0</v>
      </c>
      <c r="Y148" s="17"/>
      <c r="Z148" s="5">
        <f>IFERROR(__xludf.DUMMYFUNCTION("""COMPUTED_VALUE"""),0.0)</f>
        <v>0</v>
      </c>
      <c r="AA148" s="12"/>
      <c r="AB148" s="5"/>
      <c r="AC148" s="18"/>
      <c r="AD148" s="5"/>
      <c r="AE148" s="5"/>
      <c r="AF148" s="5"/>
      <c r="AG148" s="5"/>
      <c r="AH148" s="5"/>
      <c r="AI148" s="5"/>
      <c r="AJ148" s="5"/>
      <c r="AK148" s="5" t="str">
        <f>IFERROR(__xludf.DUMMYFUNCTION("""COMPUTED_VALUE"""),"NULL")</f>
        <v>NULL</v>
      </c>
      <c r="AL148" s="5"/>
      <c r="AM148" s="5"/>
      <c r="AN148" s="5"/>
      <c r="AO148" s="5"/>
      <c r="AP148" s="5"/>
      <c r="AQ148" s="5"/>
      <c r="AR148" s="5"/>
      <c r="AS148" s="5"/>
      <c r="AT148" s="5"/>
      <c r="AU148" s="5"/>
      <c r="AV148" s="5"/>
      <c r="AW148" s="5"/>
      <c r="AX148" s="5"/>
      <c r="AY148" s="5"/>
      <c r="AZ148" s="5"/>
      <c r="BA148" s="5" t="str">
        <f>IFERROR(__xludf.DUMMYFUNCTION("""COMPUTED_VALUE"""),"")</f>
        <v/>
      </c>
      <c r="BB148" s="5"/>
      <c r="BC148" s="5"/>
      <c r="BD148" s="5"/>
      <c r="BE148" s="5"/>
    </row>
    <row r="149">
      <c r="A149" s="5">
        <f>IFERROR(__xludf.DUMMYFUNCTION("""COMPUTED_VALUE"""),149.0)</f>
        <v>149</v>
      </c>
      <c r="B149" s="5">
        <f>IFERROR(__xludf.DUMMYFUNCTION("""COMPUTED_VALUE"""),148.0)</f>
        <v>148</v>
      </c>
      <c r="C149" s="5" t="str">
        <f>IFERROR(__xludf.DUMMYFUNCTION("""COMPUTED_VALUE"""),"Fazi")</f>
        <v>Fazi</v>
      </c>
      <c r="D149" s="5" t="str">
        <f>IFERROR(__xludf.DUMMYFUNCTION("""COMPUTED_VALUE"""),"Roulette On Demand")</f>
        <v>Roulette On Demand</v>
      </c>
      <c r="E149" s="5"/>
      <c r="F149" s="5" t="str">
        <f>IFERROR(__xludf.DUMMYFUNCTION("""COMPUTED_VALUE"""),"RouletteOnDemand")</f>
        <v>RouletteOnDemand</v>
      </c>
      <c r="G149" s="5" t="str">
        <f>IFERROR(__xludf.DUMMYFUNCTION("""COMPUTED_VALUE"""),"Live")</f>
        <v>Live</v>
      </c>
      <c r="H149" s="5"/>
      <c r="I149" s="5"/>
      <c r="J149" s="5"/>
      <c r="K149" s="5" t="str">
        <f>IFERROR(__xludf.DUMMYFUNCTION("""COMPUTED_VALUE"""),"Roulette")</f>
        <v>Roulette</v>
      </c>
      <c r="L149" s="5"/>
      <c r="M149" s="5"/>
      <c r="N149" s="5"/>
      <c r="O149" s="5"/>
      <c r="P149" s="12"/>
      <c r="Q149" s="13">
        <f>IFERROR(__xludf.DUMMYFUNCTION("""COMPUTED_VALUE"""),43831.0)</f>
        <v>43831</v>
      </c>
      <c r="R149" s="14"/>
      <c r="S149" s="13">
        <f>IFERROR(__xludf.DUMMYFUNCTION("""COMPUTED_VALUE"""),43831.0)</f>
        <v>43831</v>
      </c>
      <c r="T149" s="5"/>
      <c r="U149" s="16"/>
      <c r="V149" s="10"/>
      <c r="W149" s="10"/>
      <c r="X149" s="11">
        <f>IFERROR(__xludf.DUMMYFUNCTION("""COMPUTED_VALUE"""),0.0)</f>
        <v>0</v>
      </c>
      <c r="Y149" s="17"/>
      <c r="Z149" s="5">
        <f>IFERROR(__xludf.DUMMYFUNCTION("""COMPUTED_VALUE"""),0.0)</f>
        <v>0</v>
      </c>
      <c r="AA149" s="12"/>
      <c r="AB149" s="5"/>
      <c r="AC149" s="18"/>
      <c r="AD149" s="5"/>
      <c r="AE149" s="5"/>
      <c r="AF149" s="5"/>
      <c r="AG149" s="5"/>
      <c r="AH149" s="5"/>
      <c r="AI149" s="5"/>
      <c r="AJ149" s="5"/>
      <c r="AK149" s="5" t="str">
        <f>IFERROR(__xludf.DUMMYFUNCTION("""COMPUTED_VALUE"""),"#N/A")</f>
        <v>#N/A</v>
      </c>
      <c r="AL149" s="5"/>
      <c r="AM149" s="5"/>
      <c r="AN149" s="5"/>
      <c r="AO149" s="5"/>
      <c r="AP149" s="5"/>
      <c r="AQ149" s="5"/>
      <c r="AR149" s="5"/>
      <c r="AS149" s="5"/>
      <c r="AT149" s="5"/>
      <c r="AU149" s="5" t="str">
        <f>IFERROR(__xludf.DUMMYFUNCTION("""COMPUTED_VALUE"""),"Fazi")</f>
        <v>Fazi</v>
      </c>
      <c r="AV149" s="5"/>
      <c r="AW149" s="5"/>
      <c r="AX149" s="5"/>
      <c r="AY149" s="5"/>
      <c r="AZ149" s="5"/>
      <c r="BA149" s="5" t="str">
        <f>IFERROR(__xludf.DUMMYFUNCTION("""COMPUTED_VALUE"""),"")</f>
        <v/>
      </c>
      <c r="BB149" s="5"/>
      <c r="BC149" s="5" t="str">
        <f>IFERROR(__xludf.DUMMYFUNCTION("""COMPUTED_VALUE"""),"Foxi")</f>
        <v>Foxi</v>
      </c>
      <c r="BD149" s="5" t="str">
        <f>IFERROR(__xludf.DUMMYFUNCTION("""COMPUTED_VALUE"""),"")</f>
        <v/>
      </c>
      <c r="BE149" s="5"/>
    </row>
    <row r="150">
      <c r="A150" s="5">
        <f>IFERROR(__xludf.DUMMYFUNCTION("""COMPUTED_VALUE"""),150.0)</f>
        <v>150</v>
      </c>
      <c r="B150" s="5">
        <f>IFERROR(__xludf.DUMMYFUNCTION("""COMPUTED_VALUE"""),149.0)</f>
        <v>149</v>
      </c>
      <c r="C150" s="5" t="str">
        <f>IFERROR(__xludf.DUMMYFUNCTION("""COMPUTED_VALUE"""),"Fazi")</f>
        <v>Fazi</v>
      </c>
      <c r="D150" s="5" t="str">
        <f>IFERROR(__xludf.DUMMYFUNCTION("""COMPUTED_VALUE"""),"Olimp Hot")</f>
        <v>Olimp Hot</v>
      </c>
      <c r="E150" s="5" t="str">
        <f>IFERROR(__xludf.DUMMYFUNCTION("""COMPUTED_VALUE"""),"V2")</f>
        <v>V2</v>
      </c>
      <c r="F150" s="5" t="str">
        <f>IFERROR(__xludf.DUMMYFUNCTION("""COMPUTED_VALUE"""),"OlimpHot")</f>
        <v>OlimpHot</v>
      </c>
      <c r="G150" s="5" t="str">
        <f>IFERROR(__xludf.DUMMYFUNCTION("""COMPUTED_VALUE"""),"Live")</f>
        <v>Live</v>
      </c>
      <c r="H150" s="5" t="str">
        <f>IFERROR(__xludf.DUMMYFUNCTION("""COMPUTED_VALUE"""),"Olimp Kladionice - In Export")</f>
        <v>Olimp Kladionice - In Export</v>
      </c>
      <c r="I150" s="5" t="str">
        <f>IFERROR(__xludf.DUMMYFUNCTION("""COMPUTED_VALUE"""),"V2")</f>
        <v>V2</v>
      </c>
      <c r="J150" s="5" t="str">
        <f>IFERROR(__xludf.DUMMYFUNCTION("""COMPUTED_VALUE"""),"Binary")</f>
        <v>Binary</v>
      </c>
      <c r="K150" s="5" t="str">
        <f>IFERROR(__xludf.DUMMYFUNCTION("""COMPUTED_VALUE"""),"Slot")</f>
        <v>Slot</v>
      </c>
      <c r="L150" s="5"/>
      <c r="M150" s="5" t="str">
        <f>IFERROR(__xludf.DUMMYFUNCTION("""COMPUTED_VALUE"""),"Crystal Hot 80")</f>
        <v>Crystal Hot 80</v>
      </c>
      <c r="N150" s="5"/>
      <c r="O150" s="5"/>
      <c r="P150" s="12"/>
      <c r="Q150" s="13">
        <f>IFERROR(__xludf.DUMMYFUNCTION("""COMPUTED_VALUE"""),43831.0)</f>
        <v>43831</v>
      </c>
      <c r="R150" s="14"/>
      <c r="S150" s="13">
        <f>IFERROR(__xludf.DUMMYFUNCTION("""COMPUTED_VALUE"""),43831.0)</f>
        <v>43831</v>
      </c>
      <c r="T150" s="5"/>
      <c r="U150" s="16"/>
      <c r="V150" s="10" t="str">
        <f>IFERROR(__xludf.DUMMYFUNCTION("""COMPUTED_VALUE"""),"80")</f>
        <v>80</v>
      </c>
      <c r="W150" s="10"/>
      <c r="X150" s="11">
        <f>IFERROR(__xludf.DUMMYFUNCTION("""COMPUTED_VALUE"""),96.584)</f>
        <v>96.584</v>
      </c>
      <c r="Y150" s="17"/>
      <c r="Z150" s="5">
        <f>IFERROR(__xludf.DUMMYFUNCTION("""COMPUTED_VALUE"""),0.0)</f>
        <v>0</v>
      </c>
      <c r="AA150" s="12"/>
      <c r="AB150" s="5"/>
      <c r="AC150" s="18"/>
      <c r="AD150" s="5"/>
      <c r="AE150" s="5"/>
      <c r="AF150" s="5"/>
      <c r="AG150" s="8">
        <f>IFERROR(__xludf.DUMMYFUNCTION("""COMPUTED_VALUE"""),46057.414976851855)</f>
        <v>46057.41498</v>
      </c>
      <c r="AH150" s="5" t="str">
        <f>IFERROR(__xludf.DUMMYFUNCTION("""COMPUTED_VALUE"""),"petra.ilic@fazi.rs")</f>
        <v>petra.ilic@fazi.rs</v>
      </c>
      <c r="AI150" s="5"/>
      <c r="AJ150" s="5"/>
      <c r="AK150" s="5">
        <f>IFERROR(__xludf.DUMMYFUNCTION("""COMPUTED_VALUE"""),80.0)</f>
        <v>80</v>
      </c>
      <c r="AL150" s="5" t="str">
        <f>IFERROR(__xludf.DUMMYFUNCTION("""COMPUTED_VALUE"""),"Yes")</f>
        <v>Yes</v>
      </c>
      <c r="AM150" s="5"/>
      <c r="AN150" s="5"/>
      <c r="AO150" s="5"/>
      <c r="AP150" s="5"/>
      <c r="AQ150" s="5"/>
      <c r="AR150" s="5" t="b">
        <f>IFERROR(__xludf.DUMMYFUNCTION("""COMPUTED_VALUE"""),TRUE)</f>
        <v>1</v>
      </c>
      <c r="AS150" s="5"/>
      <c r="AT150" s="5"/>
      <c r="AU150" s="5" t="str">
        <f>IFERROR(__xludf.DUMMYFUNCTION("""COMPUTED_VALUE"""),"Fazi")</f>
        <v>Fazi</v>
      </c>
      <c r="AV150" s="5"/>
      <c r="AW150" s="5"/>
      <c r="AX150" s="5"/>
      <c r="AY150" s="5"/>
      <c r="AZ150" s="5"/>
      <c r="BA150" s="5" t="str">
        <f>IFERROR(__xludf.DUMMYFUNCTION("""COMPUTED_VALUE"""),"")</f>
        <v/>
      </c>
      <c r="BB150" s="5"/>
      <c r="BC150" s="5" t="str">
        <f>IFERROR(__xludf.DUMMYFUNCTION("""COMPUTED_VALUE"""),"Foxi")</f>
        <v>Foxi</v>
      </c>
      <c r="BD150" s="5" t="str">
        <f>IFERROR(__xludf.DUMMYFUNCTION("""COMPUTED_VALUE"""),"")</f>
        <v/>
      </c>
      <c r="BE150" s="5"/>
    </row>
    <row r="151">
      <c r="A151" s="5">
        <f>IFERROR(__xludf.DUMMYFUNCTION("""COMPUTED_VALUE"""),151.0)</f>
        <v>151</v>
      </c>
      <c r="B151" s="5">
        <f>IFERROR(__xludf.DUMMYFUNCTION("""COMPUTED_VALUE"""),150.0)</f>
        <v>150</v>
      </c>
      <c r="C151" s="5" t="str">
        <f>IFERROR(__xludf.DUMMYFUNCTION("""COMPUTED_VALUE"""),"Redstone")</f>
        <v>Redstone</v>
      </c>
      <c r="D151" s="5" t="str">
        <f>IFERROR(__xludf.DUMMYFUNCTION("""COMPUTED_VALUE"""),"40 Cash Bells")</f>
        <v>40 Cash Bells</v>
      </c>
      <c r="E151" s="5" t="str">
        <f>IFERROR(__xludf.DUMMYFUNCTION("""COMPUTED_VALUE"""),"Redstone")</f>
        <v>Redstone</v>
      </c>
      <c r="F151" s="5" t="str">
        <f>IFERROR(__xludf.DUMMYFUNCTION("""COMPUTED_VALUE"""),"CashBells40")</f>
        <v>CashBells40</v>
      </c>
      <c r="G151" s="5" t="str">
        <f>IFERROR(__xludf.DUMMYFUNCTION("""COMPUTED_VALUE"""),"Live")</f>
        <v>Live</v>
      </c>
      <c r="H151" s="5"/>
      <c r="I151" s="5" t="str">
        <f>IFERROR(__xludf.DUMMYFUNCTION("""COMPUTED_VALUE"""),"Redstone")</f>
        <v>Redstone</v>
      </c>
      <c r="J151" s="5" t="str">
        <f>IFERROR(__xludf.DUMMYFUNCTION("""COMPUTED_VALUE"""),"JSON")</f>
        <v>JSON</v>
      </c>
      <c r="K151" s="5" t="str">
        <f>IFERROR(__xludf.DUMMYFUNCTION("""COMPUTED_VALUE"""),"Slot")</f>
        <v>Slot</v>
      </c>
      <c r="L151" s="5" t="str">
        <f>IFERROR(__xludf.DUMMYFUNCTION("""COMPUTED_VALUE"""),"Master")</f>
        <v>Master</v>
      </c>
      <c r="M151" s="5"/>
      <c r="N151" s="7" t="str">
        <f>IFERROR(__xludf.DUMMYFUNCTION("""COMPUTED_VALUE"""),"https://docs.google.com/document/d/1CyErVCulJFeM4crdjcdYPGw9WRRQG_bT/edit?usp=drive_link&amp;ouid=107596163405648766688&amp;rtpof=true&amp;sd=true")</f>
        <v>https://docs.google.com/document/d/1CyErVCulJFeM4crdjcdYPGw9WRRQG_bT/edit?usp=drive_link&amp;ouid=107596163405648766688&amp;rtpof=true&amp;sd=true</v>
      </c>
      <c r="O151" s="7" t="str">
        <f>IFERROR(__xludf.DUMMYFUNCTION("""COMPUTED_VALUE"""),"https://docs.google.com/document/d/1HKXxFgVjWiTtUnMBPA35r0ReKfgvUw3E/edit?usp=drive_link&amp;ouid=107596163405648766688&amp;rtpof=true&amp;sd=true")</f>
        <v>https://docs.google.com/document/d/1HKXxFgVjWiTtUnMBPA35r0ReKfgvUw3E/edit?usp=drive_link&amp;ouid=107596163405648766688&amp;rtpof=true&amp;sd=true</v>
      </c>
      <c r="P151" s="12">
        <f>IFERROR(__xludf.DUMMYFUNCTION("""COMPUTED_VALUE"""),8.4)</f>
        <v>8.4</v>
      </c>
      <c r="Q151" s="13">
        <f>IFERROR(__xludf.DUMMYFUNCTION("""COMPUTED_VALUE"""),44602.0)</f>
        <v>44602</v>
      </c>
      <c r="R151" s="14"/>
      <c r="S151" s="13">
        <f>IFERROR(__xludf.DUMMYFUNCTION("""COMPUTED_VALUE"""),44602.0)</f>
        <v>44602</v>
      </c>
      <c r="T151" s="5"/>
      <c r="U151" s="5" t="str">
        <f>IFERROR(__xludf.DUMMYFUNCTION("""COMPUTED_VALUE"""),"6x4")</f>
        <v>6x4</v>
      </c>
      <c r="V151" s="10" t="str">
        <f>IFERROR(__xludf.DUMMYFUNCTION("""COMPUTED_VALUE"""),"40")</f>
        <v>40</v>
      </c>
      <c r="W151" s="10" t="str">
        <f>IFERROR(__xludf.DUMMYFUNCTION("""COMPUTED_VALUE"""),"40")</f>
        <v>40</v>
      </c>
      <c r="X151" s="11">
        <f>IFERROR(__xludf.DUMMYFUNCTION("""COMPUTED_VALUE"""),95.41)</f>
        <v>95.41</v>
      </c>
      <c r="Y151" s="5" t="str">
        <f>IFERROR(__xludf.DUMMYFUNCTION("""COMPUTED_VALUE"""),"Medium")</f>
        <v>Medium</v>
      </c>
      <c r="Z151" s="5">
        <f>IFERROR(__xludf.DUMMYFUNCTION("""COMPUTED_VALUE"""),13.33)</f>
        <v>13.33</v>
      </c>
      <c r="AA151" s="12">
        <f>IFERROR(__xludf.DUMMYFUNCTION("""COMPUTED_VALUE"""),2400.0)</f>
        <v>2400</v>
      </c>
      <c r="AB151" s="5"/>
      <c r="AC151" s="5" t="str">
        <f>IFERROR(__xludf.DUMMYFUNCTION("""COMPUTED_VALUE"""),"Bonus Game with Free Spins, Scatter, Special Wild")</f>
        <v>Bonus Game with Free Spins, Scatter, Special Wild</v>
      </c>
      <c r="AD151" s="5" t="str">
        <f>IFERROR(__xludf.DUMMYFUNCTION("""COMPUTED_VALUE"""),"0.40/60")</f>
        <v>0.40/60</v>
      </c>
      <c r="AE151" s="5"/>
      <c r="AF151" s="5"/>
      <c r="AG151" s="8">
        <f>IFERROR(__xludf.DUMMYFUNCTION("""COMPUTED_VALUE"""),46157.44679398148)</f>
        <v>46157.44679</v>
      </c>
      <c r="AH151" s="5"/>
      <c r="AI151" s="5"/>
      <c r="AJ151" s="5"/>
      <c r="AK151" s="5">
        <f>IFERROR(__xludf.DUMMYFUNCTION("""COMPUTED_VALUE"""),1.0)</f>
        <v>1</v>
      </c>
      <c r="AL151" s="5" t="str">
        <f>IFERROR(__xludf.DUMMYFUNCTION("""COMPUTED_VALUE"""),"No")</f>
        <v>No</v>
      </c>
      <c r="AM151" s="5" t="str">
        <f>IFERROR(__xludf.DUMMYFUNCTION("""COMPUTED_VALUE"""),"No")</f>
        <v>No</v>
      </c>
      <c r="AN151" s="7" t="str">
        <f>IFERROR(__xludf.DUMMYFUNCTION("""COMPUTED_VALUE"""),"https://static.redstone.rs/games/40-cash-bells/")</f>
        <v>https://static.redstone.rs/games/40-cash-bells/</v>
      </c>
      <c r="AO151" s="5" t="str">
        <f>IFERROR(__xludf.DUMMYFUNCTION("""COMPUTED_VALUE"""),"No")</f>
        <v>No</v>
      </c>
      <c r="AP151" s="5" t="str">
        <f>IFERROR(__xludf.DUMMYFUNCTION("""COMPUTED_VALUE"""),"No")</f>
        <v>No</v>
      </c>
      <c r="AQ151" s="5" t="b">
        <f>IFERROR(__xludf.DUMMYFUNCTION("""COMPUTED_VALUE"""),TRUE)</f>
        <v>1</v>
      </c>
      <c r="AR151" s="5"/>
      <c r="AS151" s="5" t="str">
        <f>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AT151" s="5"/>
      <c r="AU151" s="5" t="str">
        <f>IFERROR(__xludf.DUMMYFUNCTION("""COMPUTED_VALUE"""),"Redstone")</f>
        <v>Redstone</v>
      </c>
      <c r="AV151" s="5"/>
      <c r="AW151" s="5"/>
      <c r="AX151" s="5"/>
      <c r="AY151" s="5"/>
      <c r="AZ151" s="5"/>
      <c r="BA151" s="5"/>
      <c r="BB151" s="5" t="b">
        <f>IFERROR(__xludf.DUMMYFUNCTION("""COMPUTED_VALUE"""),TRUE)</f>
        <v>1</v>
      </c>
      <c r="BC151" s="5" t="str">
        <f>IFERROR(__xludf.DUMMYFUNCTION("""COMPUTED_VALUE"""),"Redstone")</f>
        <v>Redstone</v>
      </c>
      <c r="BD151" s="7" t="str">
        <f>IFERROR(__xludf.DUMMYFUNCTION("""COMPUTED_VALUE"""),"https://static.redstone.rs/games/40-cash-bells/")</f>
        <v>https://static.redstone.rs/games/40-cash-bells/</v>
      </c>
      <c r="BE151" s="5" t="b">
        <f>IFERROR(__xludf.DUMMYFUNCTION("""COMPUTED_VALUE"""),TRUE)</f>
        <v>1</v>
      </c>
    </row>
    <row r="152">
      <c r="A152" s="5">
        <f>IFERROR(__xludf.DUMMYFUNCTION("""COMPUTED_VALUE"""),152.0)</f>
        <v>152</v>
      </c>
      <c r="B152" s="5">
        <f>IFERROR(__xludf.DUMMYFUNCTION("""COMPUTED_VALUE"""),151.0)</f>
        <v>151</v>
      </c>
      <c r="C152" s="5" t="str">
        <f>IFERROR(__xludf.DUMMYFUNCTION("""COMPUTED_VALUE"""),"Redstone")</f>
        <v>Redstone</v>
      </c>
      <c r="D152" s="5" t="str">
        <f>IFERROR(__xludf.DUMMYFUNCTION("""COMPUTED_VALUE"""),"Simply Runner")</f>
        <v>Simply Runner</v>
      </c>
      <c r="E152" s="5"/>
      <c r="F152" s="5" t="str">
        <f>IFERROR(__xludf.DUMMYFUNCTION("""COMPUTED_VALUE"""),"SimplyRunner")</f>
        <v>SimplyRunner</v>
      </c>
      <c r="G152" s="5" t="str">
        <f>IFERROR(__xludf.DUMMYFUNCTION("""COMPUTED_VALUE"""),"Planned")</f>
        <v>Planned</v>
      </c>
      <c r="H152" s="5"/>
      <c r="I152" s="5" t="str">
        <f>IFERROR(__xludf.DUMMYFUNCTION("""COMPUTED_VALUE"""),"Redstone")</f>
        <v>Redstone</v>
      </c>
      <c r="J152" s="5" t="str">
        <f>IFERROR(__xludf.DUMMYFUNCTION("""COMPUTED_VALUE"""),"JSON")</f>
        <v>JSON</v>
      </c>
      <c r="K152" s="5" t="str">
        <f>IFERROR(__xludf.DUMMYFUNCTION("""COMPUTED_VALUE"""),"Slot")</f>
        <v>Slot</v>
      </c>
      <c r="L152" s="5"/>
      <c r="M152" s="5"/>
      <c r="N152" s="5"/>
      <c r="O152" s="5"/>
      <c r="P152" s="12"/>
      <c r="Q152" s="13">
        <f>IFERROR(__xludf.DUMMYFUNCTION("""COMPUTED_VALUE"""),43831.0)</f>
        <v>43831</v>
      </c>
      <c r="R152" s="14"/>
      <c r="S152" s="13">
        <f>IFERROR(__xludf.DUMMYFUNCTION("""COMPUTED_VALUE"""),43831.0)</f>
        <v>43831</v>
      </c>
      <c r="T152" s="5"/>
      <c r="U152" s="16"/>
      <c r="V152" s="10"/>
      <c r="W152" s="10"/>
      <c r="X152" s="11">
        <f>IFERROR(__xludf.DUMMYFUNCTION("""COMPUTED_VALUE"""),0.0)</f>
        <v>0</v>
      </c>
      <c r="Y152" s="17"/>
      <c r="Z152" s="5">
        <f>IFERROR(__xludf.DUMMYFUNCTION("""COMPUTED_VALUE"""),0.0)</f>
        <v>0</v>
      </c>
      <c r="AA152" s="12"/>
      <c r="AB152" s="5"/>
      <c r="AC152" s="18"/>
      <c r="AD152" s="5"/>
      <c r="AE152" s="5"/>
      <c r="AF152" s="5"/>
      <c r="AG152" s="8">
        <f>IFERROR(__xludf.DUMMYFUNCTION("""COMPUTED_VALUE"""),46157.47226851852)</f>
        <v>46157.47227</v>
      </c>
      <c r="AH152" s="5"/>
      <c r="AI152" s="5"/>
      <c r="AJ152" s="5"/>
      <c r="AK152" s="5" t="str">
        <f>IFERROR(__xludf.DUMMYFUNCTION("""COMPUTED_VALUE"""),"#N/A")</f>
        <v>#N/A</v>
      </c>
      <c r="AL152" s="5" t="str">
        <f>IFERROR(__xludf.DUMMYFUNCTION("""COMPUTED_VALUE"""),"No")</f>
        <v>No</v>
      </c>
      <c r="AM152" s="5"/>
      <c r="AN152" s="5"/>
      <c r="AO152" s="5"/>
      <c r="AP152" s="5"/>
      <c r="AQ152" s="5"/>
      <c r="AR152" s="5"/>
      <c r="AS152" s="5"/>
      <c r="AT152" s="5"/>
      <c r="AU152" s="5" t="str">
        <f>IFERROR(__xludf.DUMMYFUNCTION("""COMPUTED_VALUE"""),"Redstone")</f>
        <v>Redstone</v>
      </c>
      <c r="AV152" s="5"/>
      <c r="AW152" s="5"/>
      <c r="AX152" s="5"/>
      <c r="AY152" s="5"/>
      <c r="AZ152" s="5"/>
      <c r="BA152" s="5"/>
      <c r="BB152" s="5"/>
      <c r="BC152" s="5" t="str">
        <f>IFERROR(__xludf.DUMMYFUNCTION("""COMPUTED_VALUE"""),"Redstone")</f>
        <v>Redstone</v>
      </c>
      <c r="BD152" s="5"/>
      <c r="BE152" s="5"/>
    </row>
    <row r="153">
      <c r="A153" s="5">
        <f>IFERROR(__xludf.DUMMYFUNCTION("""COMPUTED_VALUE"""),153.0)</f>
        <v>153</v>
      </c>
      <c r="B153" s="5">
        <f>IFERROR(__xludf.DUMMYFUNCTION("""COMPUTED_VALUE"""),152.0)</f>
        <v>152</v>
      </c>
      <c r="C153" s="5" t="str">
        <f>IFERROR(__xludf.DUMMYFUNCTION("""COMPUTED_VALUE"""),"Tiptop")</f>
        <v>Tiptop</v>
      </c>
      <c r="D153" s="5" t="str">
        <f>IFERROR(__xludf.DUMMYFUNCTION("""COMPUTED_VALUE"""),"20 Mega Flames")</f>
        <v>20 Mega Flames</v>
      </c>
      <c r="E153" s="5"/>
      <c r="F153" s="5" t="str">
        <f>IFERROR(__xludf.DUMMYFUNCTION("""COMPUTED_VALUE"""),"Unicorn20MegaFlames")</f>
        <v>Unicorn20MegaFlames</v>
      </c>
      <c r="G153" s="5" t="str">
        <f>IFERROR(__xludf.DUMMYFUNCTION("""COMPUTED_VALUE"""),"Live")</f>
        <v>Live</v>
      </c>
      <c r="H153" s="5"/>
      <c r="I153" s="5" t="str">
        <f>IFERROR(__xludf.DUMMYFUNCTION("""COMPUTED_VALUE"""),"TipTop")</f>
        <v>TipTop</v>
      </c>
      <c r="J153" s="5" t="str">
        <f>IFERROR(__xludf.DUMMYFUNCTION("""COMPUTED_VALUE"""),"JSON")</f>
        <v>JSON</v>
      </c>
      <c r="K153" s="5" t="str">
        <f>IFERROR(__xludf.DUMMYFUNCTION("""COMPUTED_VALUE"""),"Slot")</f>
        <v>Slot</v>
      </c>
      <c r="L153" s="5"/>
      <c r="M153" s="5"/>
      <c r="N153" s="5"/>
      <c r="O153" s="5"/>
      <c r="P153" s="12">
        <f>IFERROR(__xludf.DUMMYFUNCTION("""COMPUTED_VALUE"""),22.2)</f>
        <v>22.2</v>
      </c>
      <c r="Q153" s="13">
        <f>IFERROR(__xludf.DUMMYFUNCTION("""COMPUTED_VALUE"""),44649.0)</f>
        <v>44649</v>
      </c>
      <c r="R153" s="14"/>
      <c r="S153" s="13">
        <f>IFERROR(__xludf.DUMMYFUNCTION("""COMPUTED_VALUE"""),44649.0)</f>
        <v>44649</v>
      </c>
      <c r="T153" s="5"/>
      <c r="U153" s="5" t="str">
        <f>IFERROR(__xludf.DUMMYFUNCTION("""COMPUTED_VALUE"""),"5X3")</f>
        <v>5X3</v>
      </c>
      <c r="V153" s="10" t="str">
        <f>IFERROR(__xludf.DUMMYFUNCTION("""COMPUTED_VALUE"""),"20")</f>
        <v>20</v>
      </c>
      <c r="W153" s="10" t="str">
        <f>IFERROR(__xludf.DUMMYFUNCTION("""COMPUTED_VALUE"""),"20")</f>
        <v>20</v>
      </c>
      <c r="X153" s="5">
        <f>IFERROR(__xludf.DUMMYFUNCTION("""COMPUTED_VALUE"""),96.0)</f>
        <v>96</v>
      </c>
      <c r="Y153" s="5" t="str">
        <f>IFERROR(__xludf.DUMMYFUNCTION("""COMPUTED_VALUE"""),"Low")</f>
        <v>Low</v>
      </c>
      <c r="Z153" s="5">
        <f>IFERROR(__xludf.DUMMYFUNCTION("""COMPUTED_VALUE"""),30.07)</f>
        <v>30.07</v>
      </c>
      <c r="AA153" s="12">
        <f>IFERROR(__xludf.DUMMYFUNCTION("""COMPUTED_VALUE"""),200.0)</f>
        <v>200</v>
      </c>
      <c r="AB153" s="5"/>
      <c r="AC153" s="5"/>
      <c r="AD153" s="5" t="str">
        <f>IFERROR(__xludf.DUMMYFUNCTION("""COMPUTED_VALUE"""),"0.2/100")</f>
        <v>0.2/100</v>
      </c>
      <c r="AE153" s="5"/>
      <c r="AF153" s="5"/>
      <c r="AG153" s="8">
        <f>IFERROR(__xludf.DUMMYFUNCTION("""COMPUTED_VALUE"""),46197.45150462963)</f>
        <v>46197.4515</v>
      </c>
      <c r="AH153" s="5" t="str">
        <f>IFERROR(__xludf.DUMMYFUNCTION("""COMPUTED_VALUE"""),"selena.mihajlovic@fazi.rs")</f>
        <v>selena.mihajlovic@fazi.rs</v>
      </c>
      <c r="AI153" s="5"/>
      <c r="AJ153" s="5"/>
      <c r="AK153" s="5">
        <f>IFERROR(__xludf.DUMMYFUNCTION("""COMPUTED_VALUE"""),20.0)</f>
        <v>20</v>
      </c>
      <c r="AL153" s="5" t="str">
        <f>IFERROR(__xludf.DUMMYFUNCTION("""COMPUTED_VALUE"""),"No")</f>
        <v>No</v>
      </c>
      <c r="AM153" s="5"/>
      <c r="AN153" s="7" t="str">
        <f>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AO153" s="5"/>
      <c r="AP153" s="5"/>
      <c r="AQ153" s="5" t="b">
        <f>IFERROR(__xludf.DUMMYFUNCTION("""COMPUTED_VALUE"""),TRUE)</f>
        <v>1</v>
      </c>
      <c r="AR153" s="5"/>
      <c r="AS153" s="5" t="str">
        <f>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AT153" s="5"/>
      <c r="AU153" s="5" t="str">
        <f>IFERROR(__xludf.DUMMYFUNCTION("""COMPUTED_VALUE"""),"Fazi")</f>
        <v>Fazi</v>
      </c>
      <c r="AV153" s="5"/>
      <c r="AW153" s="5"/>
      <c r="AX153" s="5"/>
      <c r="AY153" s="5"/>
      <c r="AZ153" s="5"/>
      <c r="BA153" s="5"/>
      <c r="BB153" s="5" t="b">
        <f>IFERROR(__xludf.DUMMYFUNCTION("""COMPUTED_VALUE"""),TRUE)</f>
        <v>1</v>
      </c>
      <c r="BC153" s="5" t="str">
        <f>IFERROR(__xludf.DUMMYFUNCTION("""COMPUTED_VALUE"""),"Tiptop")</f>
        <v>Tiptop</v>
      </c>
      <c r="BD153" s="7" t="str">
        <f>IFERROR(__xludf.DUMMYFUNCTION("""COMPUTED_VALUE"""),"https://gameserver-store-client-area.orbionlimited.com/Home/IntegrationGameLaunch/client-area?moneyType=0&amp;gameName=Unicorn20MegaFlames&amp;platform=desktop&amp;languageCode=eng&amp;currency=EUR")</f>
        <v>https://gameserver-store-client-area.orbionlimited.com/Home/IntegrationGameLaunch/client-area?moneyType=0&amp;gameName=Unicorn20MegaFlames&amp;platform=desktop&amp;languageCode=eng&amp;currency=EUR</v>
      </c>
      <c r="BE153" s="5" t="b">
        <f>IFERROR(__xludf.DUMMYFUNCTION("""COMPUTED_VALUE"""),TRUE)</f>
        <v>1</v>
      </c>
    </row>
    <row r="154">
      <c r="A154" s="5">
        <f>IFERROR(__xludf.DUMMYFUNCTION("""COMPUTED_VALUE"""),154.0)</f>
        <v>154</v>
      </c>
      <c r="B154" s="5">
        <f>IFERROR(__xludf.DUMMYFUNCTION("""COMPUTED_VALUE"""),153.0)</f>
        <v>153</v>
      </c>
      <c r="C154" s="5" t="str">
        <f>IFERROR(__xludf.DUMMYFUNCTION("""COMPUTED_VALUE"""),"Fazi")</f>
        <v>Fazi</v>
      </c>
      <c r="D154" s="5" t="str">
        <f>IFERROR(__xludf.DUMMYFUNCTION("""COMPUTED_VALUE"""),"Very Hot 20")</f>
        <v>Very Hot 20</v>
      </c>
      <c r="E154" s="5" t="str">
        <f>IFERROR(__xludf.DUMMYFUNCTION("""COMPUTED_VALUE"""),"V2")</f>
        <v>V2</v>
      </c>
      <c r="F154" s="5" t="str">
        <f>IFERROR(__xludf.DUMMYFUNCTION("""COMPUTED_VALUE"""),"VeryHot20")</f>
        <v>VeryHot20</v>
      </c>
      <c r="G154" s="5" t="str">
        <f>IFERROR(__xludf.DUMMYFUNCTION("""COMPUTED_VALUE"""),"Live")</f>
        <v>Live</v>
      </c>
      <c r="H154" s="5"/>
      <c r="I154" s="5" t="str">
        <f>IFERROR(__xludf.DUMMYFUNCTION("""COMPUTED_VALUE"""),"V2")</f>
        <v>V2</v>
      </c>
      <c r="J154" s="5" t="str">
        <f>IFERROR(__xludf.DUMMYFUNCTION("""COMPUTED_VALUE"""),"JSON")</f>
        <v>JSON</v>
      </c>
      <c r="K154" s="5" t="str">
        <f>IFERROR(__xludf.DUMMYFUNCTION("""COMPUTED_VALUE"""),"Slot")</f>
        <v>Slot</v>
      </c>
      <c r="L154" s="5" t="str">
        <f>IFERROR(__xludf.DUMMYFUNCTION("""COMPUTED_VALUE"""),"Clone")</f>
        <v>Clone</v>
      </c>
      <c r="M154" s="5" t="str">
        <f>IFERROR(__xludf.DUMMYFUNCTION("""COMPUTED_VALUE"""),"Very Hot 5")</f>
        <v>Very Hot 5</v>
      </c>
      <c r="N154" s="5"/>
      <c r="O154" s="5"/>
      <c r="P154" s="12">
        <f>IFERROR(__xludf.DUMMYFUNCTION("""COMPUTED_VALUE"""),17.3)</f>
        <v>17.3</v>
      </c>
      <c r="Q154" s="13">
        <f>IFERROR(__xludf.DUMMYFUNCTION("""COMPUTED_VALUE"""),44613.0)</f>
        <v>44613</v>
      </c>
      <c r="R154" s="14"/>
      <c r="S154" s="13">
        <f>IFERROR(__xludf.DUMMYFUNCTION("""COMPUTED_VALUE"""),44613.0)</f>
        <v>44613</v>
      </c>
      <c r="T154" s="5" t="b">
        <f>IFERROR(__xludf.DUMMYFUNCTION("""COMPUTED_VALUE"""),TRUE)</f>
        <v>1</v>
      </c>
      <c r="U154" s="5" t="str">
        <f>IFERROR(__xludf.DUMMYFUNCTION("""COMPUTED_VALUE"""),"5x3")</f>
        <v>5x3</v>
      </c>
      <c r="V154" s="10" t="str">
        <f>IFERROR(__xludf.DUMMYFUNCTION("""COMPUTED_VALUE"""),"20")</f>
        <v>20</v>
      </c>
      <c r="W154" s="10" t="str">
        <f>IFERROR(__xludf.DUMMYFUNCTION("""COMPUTED_VALUE"""),"20")</f>
        <v>20</v>
      </c>
      <c r="X154" s="5">
        <f>IFERROR(__xludf.DUMMYFUNCTION("""COMPUTED_VALUE"""),96.504)</f>
        <v>96.504</v>
      </c>
      <c r="Y154" s="5" t="str">
        <f>IFERROR(__xludf.DUMMYFUNCTION("""COMPUTED_VALUE"""),"Medium")</f>
        <v>Medium</v>
      </c>
      <c r="Z154" s="5">
        <f>IFERROR(__xludf.DUMMYFUNCTION("""COMPUTED_VALUE"""),21.75)</f>
        <v>21.75</v>
      </c>
      <c r="AA154" s="12">
        <f>IFERROR(__xludf.DUMMYFUNCTION("""COMPUTED_VALUE"""),1231.5)</f>
        <v>1231.5</v>
      </c>
      <c r="AB154" s="5">
        <f>IFERROR(__xludf.DUMMYFUNCTION("""COMPUTED_VALUE"""),4.0)</f>
        <v>4</v>
      </c>
      <c r="AC154" s="5" t="str">
        <f>IFERROR(__xludf.DUMMYFUNCTION("""COMPUTED_VALUE"""),"Scatter, Expanding Wild")</f>
        <v>Scatter, Expanding Wild</v>
      </c>
      <c r="AD154" s="5" t="str">
        <f>IFERROR(__xludf.DUMMYFUNCTION("""COMPUTED_VALUE"""),"0.2/50")</f>
        <v>0.2/50</v>
      </c>
      <c r="AE154" s="5"/>
      <c r="AF154" s="5"/>
      <c r="AG154" s="8">
        <f>IFERROR(__xludf.DUMMYFUNCTION("""COMPUTED_VALUE"""),46104.42653935185)</f>
        <v>46104.42654</v>
      </c>
      <c r="AH154" s="5" t="str">
        <f>IFERROR(__xludf.DUMMYFUNCTION("""COMPUTED_VALUE"""),"marko.tepavac@fazi.rs")</f>
        <v>marko.tepavac@fazi.rs</v>
      </c>
      <c r="AI154" s="5"/>
      <c r="AJ154" s="5"/>
      <c r="AK154" s="5">
        <f>IFERROR(__xludf.DUMMYFUNCTION("""COMPUTED_VALUE"""),20.0)</f>
        <v>20</v>
      </c>
      <c r="AL154" s="5" t="str">
        <f>IFERROR(__xludf.DUMMYFUNCTION("""COMPUTED_VALUE"""),"Yes")</f>
        <v>Yes</v>
      </c>
      <c r="AM154" s="5"/>
      <c r="AN154" s="7" t="str">
        <f>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AO154" s="5" t="str">
        <f>IFERROR(__xludf.DUMMYFUNCTION("""COMPUTED_VALUE"""),"Yes")</f>
        <v>Yes</v>
      </c>
      <c r="AP154" s="5" t="str">
        <f>IFERROR(__xludf.DUMMYFUNCTION("""COMPUTED_VALUE"""),"Yes")</f>
        <v>Yes</v>
      </c>
      <c r="AQ154" s="5" t="b">
        <f>IFERROR(__xludf.DUMMYFUNCTION("""COMPUTED_VALUE"""),TRUE)</f>
        <v>1</v>
      </c>
      <c r="AR154" s="5"/>
      <c r="AS154" s="5" t="str">
        <f>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AT154" s="5" t="str">
        <f>IFERROR(__xludf.DUMMYFUNCTION("""COMPUTED_VALUE"""),"No")</f>
        <v>No</v>
      </c>
      <c r="AU154" s="5" t="str">
        <f>IFERROR(__xludf.DUMMYFUNCTION("""COMPUTED_VALUE"""),"Fazi")</f>
        <v>Fazi</v>
      </c>
      <c r="AV154" s="5"/>
      <c r="AW154" s="5"/>
      <c r="AX154" s="5"/>
      <c r="AY154" s="5" t="str">
        <f>IFERROR(__xludf.DUMMYFUNCTION("""COMPUTED_VALUE"""),"87.5%, 89.5%, 91.5%, 93.5%, 94.5%, 95.5%, 96.5%")</f>
        <v>87.5%, 89.5%, 91.5%, 93.5%, 94.5%, 95.5%, 96.5%</v>
      </c>
      <c r="AZ154" s="5"/>
      <c r="BA154" s="5" t="str">
        <f>IFERROR(__xludf.DUMMYFUNCTION("""COMPUTED_VALUE"""),"")</f>
        <v/>
      </c>
      <c r="BB154" s="5"/>
      <c r="BC154" s="5" t="str">
        <f>IFERROR(__xludf.DUMMYFUNCTION("""COMPUTED_VALUE"""),"Foxi")</f>
        <v>Foxi</v>
      </c>
      <c r="BD154" s="7" t="str">
        <f>IFERROR(__xludf.DUMMYFUNCTION("""COMPUTED_VALUE"""),"https://gameserver-store-client-area.orbionlimited.com/Home/IntegrationGameLaunch/client-area?moneyType=0&amp;gameName=VeryHot20&amp;platform=desktop&amp;languageCode=eng&amp;currency=EUR")</f>
        <v>https://gameserver-store-client-area.orbionlimited.com/Home/IntegrationGameLaunch/client-area?moneyType=0&amp;gameName=VeryHot20&amp;platform=desktop&amp;languageCode=eng&amp;currency=EUR</v>
      </c>
      <c r="BE154" s="5" t="b">
        <f>IFERROR(__xludf.DUMMYFUNCTION("""COMPUTED_VALUE"""),TRUE)</f>
        <v>1</v>
      </c>
    </row>
    <row r="155">
      <c r="A155" s="5">
        <f>IFERROR(__xludf.DUMMYFUNCTION("""COMPUTED_VALUE"""),155.0)</f>
        <v>155</v>
      </c>
      <c r="B155" s="5">
        <f>IFERROR(__xludf.DUMMYFUNCTION("""COMPUTED_VALUE"""),154.0)</f>
        <v>154</v>
      </c>
      <c r="C155" s="5" t="str">
        <f>IFERROR(__xludf.DUMMYFUNCTION("""COMPUTED_VALUE"""),"Fazi")</f>
        <v>Fazi</v>
      </c>
      <c r="D155" s="5" t="str">
        <f>IFERROR(__xludf.DUMMYFUNCTION("""COMPUTED_VALUE"""),"King Of Thunder")</f>
        <v>King Of Thunder</v>
      </c>
      <c r="E155" s="5" t="str">
        <f>IFERROR(__xludf.DUMMYFUNCTION("""COMPUTED_VALUE"""),"V4-1")</f>
        <v>V4-1</v>
      </c>
      <c r="F155" s="5" t="str">
        <f>IFERROR(__xludf.DUMMYFUNCTION("""COMPUTED_VALUE"""),"KingOfThunder")</f>
        <v>KingOfThunder</v>
      </c>
      <c r="G155" s="5" t="str">
        <f>IFERROR(__xludf.DUMMYFUNCTION("""COMPUTED_VALUE"""),"Live")</f>
        <v>Live</v>
      </c>
      <c r="H155" s="5"/>
      <c r="I155" s="5" t="str">
        <f>IFERROR(__xludf.DUMMYFUNCTION("""COMPUTED_VALUE"""),"V4")</f>
        <v>V4</v>
      </c>
      <c r="J155" s="5" t="str">
        <f>IFERROR(__xludf.DUMMYFUNCTION("""COMPUTED_VALUE"""),"JSON")</f>
        <v>JSON</v>
      </c>
      <c r="K155" s="5" t="str">
        <f>IFERROR(__xludf.DUMMYFUNCTION("""COMPUTED_VALUE"""),"Slot")</f>
        <v>Slot</v>
      </c>
      <c r="L155" s="5"/>
      <c r="M155" s="5"/>
      <c r="N155" s="5"/>
      <c r="O155" s="5"/>
      <c r="P155" s="12">
        <f>IFERROR(__xludf.DUMMYFUNCTION("""COMPUTED_VALUE"""),77.3)</f>
        <v>77.3</v>
      </c>
      <c r="Q155" s="13">
        <f>IFERROR(__xludf.DUMMYFUNCTION("""COMPUTED_VALUE"""),44911.0)</f>
        <v>44911</v>
      </c>
      <c r="R155" s="14"/>
      <c r="S155" s="13">
        <f>IFERROR(__xludf.DUMMYFUNCTION("""COMPUTED_VALUE"""),44911.0)</f>
        <v>44911</v>
      </c>
      <c r="T155" s="5" t="b">
        <f>IFERROR(__xludf.DUMMYFUNCTION("""COMPUTED_VALUE"""),TRUE)</f>
        <v>1</v>
      </c>
      <c r="U155" s="5" t="str">
        <f>IFERROR(__xludf.DUMMYFUNCTION("""COMPUTED_VALUE"""),"5x3")</f>
        <v>5x3</v>
      </c>
      <c r="V155" s="10" t="str">
        <f>IFERROR(__xludf.DUMMYFUNCTION("""COMPUTED_VALUE"""),"10")</f>
        <v>10</v>
      </c>
      <c r="W155" s="10" t="str">
        <f>IFERROR(__xludf.DUMMYFUNCTION("""COMPUTED_VALUE"""),"10")</f>
        <v>10</v>
      </c>
      <c r="X155" s="5">
        <f>IFERROR(__xludf.DUMMYFUNCTION("""COMPUTED_VALUE"""),96.214)</f>
        <v>96.214</v>
      </c>
      <c r="Y155" s="5" t="str">
        <f>IFERROR(__xludf.DUMMYFUNCTION("""COMPUTED_VALUE"""),"Medium")</f>
        <v>Medium</v>
      </c>
      <c r="Z155" s="5">
        <f>IFERROR(__xludf.DUMMYFUNCTION("""COMPUTED_VALUE"""),15.02)</f>
        <v>15.02</v>
      </c>
      <c r="AA155" s="12">
        <f>IFERROR(__xludf.DUMMYFUNCTION("""COMPUTED_VALUE"""),1656.0)</f>
        <v>1656</v>
      </c>
      <c r="AB155" s="5">
        <f>IFERROR(__xludf.DUMMYFUNCTION("""COMPUTED_VALUE"""),202.0)</f>
        <v>202</v>
      </c>
      <c r="AC155" s="5" t="str">
        <f>IFERROR(__xludf.DUMMYFUNCTION("""COMPUTED_VALUE"""),"Buy Bonus, Shifting Wild, Bonus Game with Free Spins")</f>
        <v>Buy Bonus, Shifting Wild, Bonus Game with Free Spins</v>
      </c>
      <c r="AD155" s="5" t="str">
        <f>IFERROR(__xludf.DUMMYFUNCTION("""COMPUTED_VALUE"""),"0.1/40")</f>
        <v>0.1/40</v>
      </c>
      <c r="AE155" s="5"/>
      <c r="AF155" s="5"/>
      <c r="AG155" s="8">
        <f>IFERROR(__xludf.DUMMYFUNCTION("""COMPUTED_VALUE"""),46162.418807870374)</f>
        <v>46162.41881</v>
      </c>
      <c r="AH155" s="5" t="str">
        <f>IFERROR(__xludf.DUMMYFUNCTION("""COMPUTED_VALUE"""),"djordje.petrovic@fazi.rs")</f>
        <v>djordje.petrovic@fazi.rs</v>
      </c>
      <c r="AI155" s="5"/>
      <c r="AJ155" s="5"/>
      <c r="AK155" s="5">
        <f>IFERROR(__xludf.DUMMYFUNCTION("""COMPUTED_VALUE"""),10.0)</f>
        <v>10</v>
      </c>
      <c r="AL155" s="5" t="str">
        <f>IFERROR(__xludf.DUMMYFUNCTION("""COMPUTED_VALUE"""),"Yes")</f>
        <v>Yes</v>
      </c>
      <c r="AM155" s="5"/>
      <c r="AN155" s="7" t="str">
        <f>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AO155" s="5" t="str">
        <f>IFERROR(__xludf.DUMMYFUNCTION("""COMPUTED_VALUE"""),"Yes")</f>
        <v>Yes</v>
      </c>
      <c r="AP155" s="5" t="str">
        <f>IFERROR(__xludf.DUMMYFUNCTION("""COMPUTED_VALUE"""),"Yes")</f>
        <v>Yes</v>
      </c>
      <c r="AQ155" s="5" t="b">
        <f>IFERROR(__xludf.DUMMYFUNCTION("""COMPUTED_VALUE"""),TRUE)</f>
        <v>1</v>
      </c>
      <c r="AR155" s="5"/>
      <c r="AS155" s="5" t="str">
        <f>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AT155" s="5" t="str">
        <f>IFERROR(__xludf.DUMMYFUNCTION("""COMPUTED_VALUE"""),"Yes")</f>
        <v>Yes</v>
      </c>
      <c r="AU155" s="5" t="str">
        <f>IFERROR(__xludf.DUMMYFUNCTION("""COMPUTED_VALUE"""),"Fazi")</f>
        <v>Fazi</v>
      </c>
      <c r="AV155" s="5"/>
      <c r="AW15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55" s="5"/>
      <c r="AY155" s="5"/>
      <c r="AZ155" s="5"/>
      <c r="BA155" s="5">
        <f>IFERROR(__xludf.DUMMYFUNCTION("""COMPUTED_VALUE"""),70.0)</f>
        <v>70</v>
      </c>
      <c r="BB155" s="5"/>
      <c r="BC155" s="5" t="str">
        <f>IFERROR(__xludf.DUMMYFUNCTION("""COMPUTED_VALUE"""),"Foxi")</f>
        <v>Foxi</v>
      </c>
      <c r="BD155" s="7" t="str">
        <f>IFERROR(__xludf.DUMMYFUNCTION("""COMPUTED_VALUE"""),"https://gameserver-store-client-area.orbionlimited.com/Home/IntegrationGameLaunch/client-area?moneyType=0&amp;gameName=KingOfThunder&amp;platform=desktop&amp;languageCode=eng&amp;currency=EUR")</f>
        <v>https://gameserver-store-client-area.orbionlimited.com/Home/IntegrationGameLaunch/client-area?moneyType=0&amp;gameName=KingOfThunder&amp;platform=desktop&amp;languageCode=eng&amp;currency=EUR</v>
      </c>
      <c r="BE155" s="5" t="b">
        <f>IFERROR(__xludf.DUMMYFUNCTION("""COMPUTED_VALUE"""),TRUE)</f>
        <v>1</v>
      </c>
    </row>
    <row r="156">
      <c r="A156" s="5">
        <f>IFERROR(__xludf.DUMMYFUNCTION("""COMPUTED_VALUE"""),156.0)</f>
        <v>156</v>
      </c>
      <c r="B156" s="5">
        <f>IFERROR(__xludf.DUMMYFUNCTION("""COMPUTED_VALUE"""),155.0)</f>
        <v>155</v>
      </c>
      <c r="C156" s="5" t="str">
        <f>IFERROR(__xludf.DUMMYFUNCTION("""COMPUTED_VALUE"""),"Fazi")</f>
        <v>Fazi</v>
      </c>
      <c r="D156" s="5" t="str">
        <f>IFERROR(__xludf.DUMMYFUNCTION("""COMPUTED_VALUE"""),"Book Of Spells 2")</f>
        <v>Book Of Spells 2</v>
      </c>
      <c r="E156" s="5" t="str">
        <f>IFERROR(__xludf.DUMMYFUNCTION("""COMPUTED_VALUE"""),"V2")</f>
        <v>V2</v>
      </c>
      <c r="F156" s="5" t="str">
        <f>IFERROR(__xludf.DUMMYFUNCTION("""COMPUTED_VALUE"""),"BookOfSpells2")</f>
        <v>BookOfSpells2</v>
      </c>
      <c r="G156" s="5" t="str">
        <f>IFERROR(__xludf.DUMMYFUNCTION("""COMPUTED_VALUE"""),"Live")</f>
        <v>Live</v>
      </c>
      <c r="H156" s="5"/>
      <c r="I156" s="5" t="str">
        <f>IFERROR(__xludf.DUMMYFUNCTION("""COMPUTED_VALUE"""),"V2")</f>
        <v>V2</v>
      </c>
      <c r="J156" s="5" t="str">
        <f>IFERROR(__xludf.DUMMYFUNCTION("""COMPUTED_VALUE"""),"JSON")</f>
        <v>JSON</v>
      </c>
      <c r="K156" s="5" t="str">
        <f>IFERROR(__xludf.DUMMYFUNCTION("""COMPUTED_VALUE"""),"Slot")</f>
        <v>Slot</v>
      </c>
      <c r="L156" s="5" t="str">
        <f>IFERROR(__xludf.DUMMYFUNCTION("""COMPUTED_VALUE"""),"Clone")</f>
        <v>Clone</v>
      </c>
      <c r="M156" s="5" t="str">
        <f>IFERROR(__xludf.DUMMYFUNCTION("""COMPUTED_VALUE"""),"Book of Spells")</f>
        <v>Book of Spells</v>
      </c>
      <c r="N156" s="5"/>
      <c r="O156" s="5"/>
      <c r="P156" s="12">
        <f>IFERROR(__xludf.DUMMYFUNCTION("""COMPUTED_VALUE"""),31.1)</f>
        <v>31.1</v>
      </c>
      <c r="Q156" s="13">
        <f>IFERROR(__xludf.DUMMYFUNCTION("""COMPUTED_VALUE"""),44759.0)</f>
        <v>44759</v>
      </c>
      <c r="R156" s="14"/>
      <c r="S156" s="13">
        <f>IFERROR(__xludf.DUMMYFUNCTION("""COMPUTED_VALUE"""),44759.0)</f>
        <v>44759</v>
      </c>
      <c r="T156" s="5"/>
      <c r="U156" s="5" t="str">
        <f>IFERROR(__xludf.DUMMYFUNCTION("""COMPUTED_VALUE"""),"5x3")</f>
        <v>5x3</v>
      </c>
      <c r="V156" s="10" t="str">
        <f>IFERROR(__xludf.DUMMYFUNCTION("""COMPUTED_VALUE"""),"10")</f>
        <v>10</v>
      </c>
      <c r="W156" s="10" t="str">
        <f>IFERROR(__xludf.DUMMYFUNCTION("""COMPUTED_VALUE"""),"1,3,5,7,10")</f>
        <v>1,3,5,7,10</v>
      </c>
      <c r="X156" s="5">
        <f>IFERROR(__xludf.DUMMYFUNCTION("""COMPUTED_VALUE"""),96.064)</f>
        <v>96.064</v>
      </c>
      <c r="Y156" s="5" t="str">
        <f>IFERROR(__xludf.DUMMYFUNCTION("""COMPUTED_VALUE"""),"High")</f>
        <v>High</v>
      </c>
      <c r="Z156" s="5">
        <f>IFERROR(__xludf.DUMMYFUNCTION("""COMPUTED_VALUE"""),31.47)</f>
        <v>31.47</v>
      </c>
      <c r="AA156" s="12">
        <f>IFERROR(__xludf.DUMMYFUNCTION("""COMPUTED_VALUE"""),5512.0)</f>
        <v>5512</v>
      </c>
      <c r="AB156" s="5">
        <f>IFERROR(__xludf.DUMMYFUNCTION("""COMPUTED_VALUE"""),212.0)</f>
        <v>212</v>
      </c>
      <c r="AC156" s="5" t="str">
        <f>IFERROR(__xludf.DUMMYFUNCTION("""COMPUTED_VALUE"""),"Buy Bonus, Book Of Game, Expanding Wild, Bonus Game with Free Spins")</f>
        <v>Buy Bonus, Book Of Game, Expanding Wild, Bonus Game with Free Spins</v>
      </c>
      <c r="AD156" s="5" t="str">
        <f>IFERROR(__xludf.DUMMYFUNCTION("""COMPUTED_VALUE"""),"0.01/40")</f>
        <v>0.01/40</v>
      </c>
      <c r="AE156" s="5"/>
      <c r="AF156" s="5"/>
      <c r="AG156" s="8">
        <f>IFERROR(__xludf.DUMMYFUNCTION("""COMPUTED_VALUE"""),46083.6844212963)</f>
        <v>46083.68442</v>
      </c>
      <c r="AH156" s="5" t="str">
        <f>IFERROR(__xludf.DUMMYFUNCTION("""COMPUTED_VALUE"""),"milutin.toskic@fazi.rs")</f>
        <v>milutin.toskic@fazi.rs</v>
      </c>
      <c r="AI156" s="5"/>
      <c r="AJ156" s="5"/>
      <c r="AK156" s="5">
        <f>IFERROR(__xludf.DUMMYFUNCTION("""COMPUTED_VALUE"""),10.0)</f>
        <v>10</v>
      </c>
      <c r="AL156" s="5" t="str">
        <f>IFERROR(__xludf.DUMMYFUNCTION("""COMPUTED_VALUE"""),"Yes")</f>
        <v>Yes</v>
      </c>
      <c r="AM156" s="5"/>
      <c r="AN156" s="7" t="str">
        <f>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AO156" s="5" t="str">
        <f>IFERROR(__xludf.DUMMYFUNCTION("""COMPUTED_VALUE"""),"Yes")</f>
        <v>Yes</v>
      </c>
      <c r="AP156" s="5"/>
      <c r="AQ156" s="5" t="b">
        <f>IFERROR(__xludf.DUMMYFUNCTION("""COMPUTED_VALUE"""),TRUE)</f>
        <v>1</v>
      </c>
      <c r="AR156" s="5"/>
      <c r="AS156" s="5" t="str">
        <f>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AT156" s="5"/>
      <c r="AU156" s="5" t="str">
        <f>IFERROR(__xludf.DUMMYFUNCTION("""COMPUTED_VALUE"""),"Fazi")</f>
        <v>Fazi</v>
      </c>
      <c r="AV156" s="5"/>
      <c r="AW156" s="5"/>
      <c r="AX156" s="5"/>
      <c r="AY156" s="5"/>
      <c r="AZ156" s="5"/>
      <c r="BA156" s="5" t="str">
        <f>IFERROR(__xludf.DUMMYFUNCTION("""COMPUTED_VALUE"""),"110")</f>
        <v>110</v>
      </c>
      <c r="BB156" s="5"/>
      <c r="BC156" s="5" t="str">
        <f>IFERROR(__xludf.DUMMYFUNCTION("""COMPUTED_VALUE"""),"Foxi")</f>
        <v>Foxi</v>
      </c>
      <c r="BD156" s="7" t="str">
        <f>IFERROR(__xludf.DUMMYFUNCTION("""COMPUTED_VALUE"""),"https://gameserver-store-client-area.orbionlimited.com/Home/IntegrationGameLaunch/client-area?moneyType=0&amp;gameName=BookOfSpells2&amp;platform=desktop&amp;languageCode=eng&amp;currency=EUR")</f>
        <v>https://gameserver-store-client-area.orbionlimited.com/Home/IntegrationGameLaunch/client-area?moneyType=0&amp;gameName=BookOfSpells2&amp;platform=desktop&amp;languageCode=eng&amp;currency=EUR</v>
      </c>
      <c r="BE156" s="5" t="b">
        <f>IFERROR(__xludf.DUMMYFUNCTION("""COMPUTED_VALUE"""),TRUE)</f>
        <v>1</v>
      </c>
    </row>
    <row r="157">
      <c r="A157" s="5">
        <f>IFERROR(__xludf.DUMMYFUNCTION("""COMPUTED_VALUE"""),157.0)</f>
        <v>157</v>
      </c>
      <c r="B157" s="5">
        <f>IFERROR(__xludf.DUMMYFUNCTION("""COMPUTED_VALUE"""),156.0)</f>
        <v>156</v>
      </c>
      <c r="C157" s="5" t="str">
        <f>IFERROR(__xludf.DUMMYFUNCTION("""COMPUTED_VALUE"""),"Fazi")</f>
        <v>Fazi</v>
      </c>
      <c r="D157" s="5" t="str">
        <f>IFERROR(__xludf.DUMMYFUNCTION("""COMPUTED_VALUE"""),"Crystal Hot 40 Max")</f>
        <v>Crystal Hot 40 Max</v>
      </c>
      <c r="E157" s="5" t="str">
        <f>IFERROR(__xludf.DUMMYFUNCTION("""COMPUTED_VALUE"""),"V2")</f>
        <v>V2</v>
      </c>
      <c r="F157" s="5" t="str">
        <f>IFERROR(__xludf.DUMMYFUNCTION("""COMPUTED_VALUE"""),"CrystalHot40Max")</f>
        <v>CrystalHot40Max</v>
      </c>
      <c r="G157" s="5" t="str">
        <f>IFERROR(__xludf.DUMMYFUNCTION("""COMPUTED_VALUE"""),"Live")</f>
        <v>Live</v>
      </c>
      <c r="H157" s="5"/>
      <c r="I157" s="5" t="str">
        <f>IFERROR(__xludf.DUMMYFUNCTION("""COMPUTED_VALUE"""),"V2")</f>
        <v>V2</v>
      </c>
      <c r="J157" s="5" t="str">
        <f>IFERROR(__xludf.DUMMYFUNCTION("""COMPUTED_VALUE"""),"Binary")</f>
        <v>Binary</v>
      </c>
      <c r="K157" s="5" t="str">
        <f>IFERROR(__xludf.DUMMYFUNCTION("""COMPUTED_VALUE"""),"Slot")</f>
        <v>Slot</v>
      </c>
      <c r="L157" s="5"/>
      <c r="M157" s="5"/>
      <c r="N157" s="5"/>
      <c r="O157" s="5"/>
      <c r="P157" s="12">
        <f>IFERROR(__xludf.DUMMYFUNCTION("""COMPUTED_VALUE"""),32.7)</f>
        <v>32.7</v>
      </c>
      <c r="Q157" s="13">
        <f>IFERROR(__xludf.DUMMYFUNCTION("""COMPUTED_VALUE"""),44679.0)</f>
        <v>44679</v>
      </c>
      <c r="R157" s="14"/>
      <c r="S157" s="13">
        <f>IFERROR(__xludf.DUMMYFUNCTION("""COMPUTED_VALUE"""),44679.0)</f>
        <v>44679</v>
      </c>
      <c r="T157" s="5" t="b">
        <f>IFERROR(__xludf.DUMMYFUNCTION("""COMPUTED_VALUE"""),TRUE)</f>
        <v>1</v>
      </c>
      <c r="U157" s="5" t="str">
        <f>IFERROR(__xludf.DUMMYFUNCTION("""COMPUTED_VALUE"""),"5x4")</f>
        <v>5x4</v>
      </c>
      <c r="V157" s="10" t="str">
        <f>IFERROR(__xludf.DUMMYFUNCTION("""COMPUTED_VALUE"""),"40")</f>
        <v>40</v>
      </c>
      <c r="W157" s="10" t="str">
        <f>IFERROR(__xludf.DUMMYFUNCTION("""COMPUTED_VALUE"""),"40")</f>
        <v>40</v>
      </c>
      <c r="X157" s="5">
        <f>IFERROR(__xludf.DUMMYFUNCTION("""COMPUTED_VALUE"""),96.031)</f>
        <v>96.031</v>
      </c>
      <c r="Y157" s="5" t="str">
        <f>IFERROR(__xludf.DUMMYFUNCTION("""COMPUTED_VALUE"""),"Low")</f>
        <v>Low</v>
      </c>
      <c r="Z157" s="5">
        <f>IFERROR(__xludf.DUMMYFUNCTION("""COMPUTED_VALUE"""),14.280000000000001)</f>
        <v>14.28</v>
      </c>
      <c r="AA157" s="12">
        <f>IFERROR(__xludf.DUMMYFUNCTION("""COMPUTED_VALUE"""),1000.0)</f>
        <v>1000</v>
      </c>
      <c r="AB157" s="5">
        <f>IFERROR(__xludf.DUMMYFUNCTION("""COMPUTED_VALUE"""),6.0)</f>
        <v>6</v>
      </c>
      <c r="AC157" s="5" t="str">
        <f>IFERROR(__xludf.DUMMYFUNCTION("""COMPUTED_VALUE"""),"Wild Symbol, Scatter, Expanding Wild")</f>
        <v>Wild Symbol, Scatter, Expanding Wild</v>
      </c>
      <c r="AD157" s="5" t="str">
        <f>IFERROR(__xludf.DUMMYFUNCTION("""COMPUTED_VALUE"""),"0.4/60")</f>
        <v>0.4/60</v>
      </c>
      <c r="AE157" s="5"/>
      <c r="AF157" s="5"/>
      <c r="AG157" s="5"/>
      <c r="AH157" s="5"/>
      <c r="AI157" s="5"/>
      <c r="AJ157" s="5"/>
      <c r="AK157" s="5">
        <f>IFERROR(__xludf.DUMMYFUNCTION("""COMPUTED_VALUE"""),40.0)</f>
        <v>40</v>
      </c>
      <c r="AL157" s="5" t="str">
        <f>IFERROR(__xludf.DUMMYFUNCTION("""COMPUTED_VALUE"""),"Yes")</f>
        <v>Yes</v>
      </c>
      <c r="AM157" s="5"/>
      <c r="AN157" s="7" t="str">
        <f>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AO157" s="5"/>
      <c r="AP157" s="5"/>
      <c r="AQ157" s="5" t="b">
        <f>IFERROR(__xludf.DUMMYFUNCTION("""COMPUTED_VALUE"""),TRUE)</f>
        <v>1</v>
      </c>
      <c r="AR157" s="5"/>
      <c r="AS157" s="5" t="str">
        <f>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157" s="5"/>
      <c r="AU157" s="5" t="str">
        <f>IFERROR(__xludf.DUMMYFUNCTION("""COMPUTED_VALUE"""),"Fazi")</f>
        <v>Fazi</v>
      </c>
      <c r="AV157" s="5"/>
      <c r="AW157" s="5"/>
      <c r="AX157" s="5"/>
      <c r="AY157" s="5"/>
      <c r="AZ157" s="5"/>
      <c r="BA157" s="5" t="str">
        <f>IFERROR(__xludf.DUMMYFUNCTION("""COMPUTED_VALUE"""),"")</f>
        <v/>
      </c>
      <c r="BB157" s="5"/>
      <c r="BC157" s="5" t="str">
        <f>IFERROR(__xludf.DUMMYFUNCTION("""COMPUTED_VALUE"""),"Foxi")</f>
        <v>Foxi</v>
      </c>
      <c r="BD157" s="7" t="str">
        <f>IFERROR(__xludf.DUMMYFUNCTION("""COMPUTED_VALUE"""),"https://gameserver-store-client-area.orbionlimited.com/Home/IntegrationGameLaunch/client-area?moneyType=0&amp;gameName=CrystalHot40Max&amp;platform=desktop&amp;languageCode=eng&amp;currency=EUR")</f>
        <v>https://gameserver-store-client-area.orbionlimited.com/Home/IntegrationGameLaunch/client-area?moneyType=0&amp;gameName=CrystalHot40Max&amp;platform=desktop&amp;languageCode=eng&amp;currency=EUR</v>
      </c>
      <c r="BE157" s="5" t="b">
        <f>IFERROR(__xludf.DUMMYFUNCTION("""COMPUTED_VALUE"""),TRUE)</f>
        <v>1</v>
      </c>
    </row>
    <row r="158">
      <c r="A158" s="5">
        <f>IFERROR(__xludf.DUMMYFUNCTION("""COMPUTED_VALUE"""),158.0)</f>
        <v>158</v>
      </c>
      <c r="B158" s="5">
        <f>IFERROR(__xludf.DUMMYFUNCTION("""COMPUTED_VALUE"""),157.0)</f>
        <v>157</v>
      </c>
      <c r="C158" s="5" t="str">
        <f>IFERROR(__xludf.DUMMYFUNCTION("""COMPUTED_VALUE"""),"Fazi")</f>
        <v>Fazi</v>
      </c>
      <c r="D158" s="5" t="str">
        <f>IFERROR(__xludf.DUMMYFUNCTION("""COMPUTED_VALUE"""),"King Of My Castle Dice")</f>
        <v>King Of My Castle Dice</v>
      </c>
      <c r="E158" s="5" t="str">
        <f>IFERROR(__xludf.DUMMYFUNCTION("""COMPUTED_VALUE"""),"V2")</f>
        <v>V2</v>
      </c>
      <c r="F158" s="5" t="str">
        <f>IFERROR(__xludf.DUMMYFUNCTION("""COMPUTED_VALUE"""),"KingOfMyCastleDice")</f>
        <v>KingOfMyCastleDice</v>
      </c>
      <c r="G158" s="5" t="str">
        <f>IFERROR(__xludf.DUMMYFUNCTION("""COMPUTED_VALUE"""),"Live")</f>
        <v>Live</v>
      </c>
      <c r="H158" s="5" t="str">
        <f>IFERROR(__xludf.DUMMYFUNCTION("""COMPUTED_VALUE"""),"Gaming1 - Ice Elite")</f>
        <v>Gaming1 - Ice Elite</v>
      </c>
      <c r="I158" s="5" t="str">
        <f>IFERROR(__xludf.DUMMYFUNCTION("""COMPUTED_VALUE"""),"V2")</f>
        <v>V2</v>
      </c>
      <c r="J158" s="5" t="str">
        <f>IFERROR(__xludf.DUMMYFUNCTION("""COMPUTED_VALUE"""),"Binary")</f>
        <v>Binary</v>
      </c>
      <c r="K158" s="5" t="str">
        <f>IFERROR(__xludf.DUMMYFUNCTION("""COMPUTED_VALUE"""),"Slot")</f>
        <v>Slot</v>
      </c>
      <c r="L158" s="5" t="str">
        <f>IFERROR(__xludf.DUMMYFUNCTION("""COMPUTED_VALUE"""),"Clone")</f>
        <v>Clone</v>
      </c>
      <c r="M158" s="5" t="str">
        <f>IFERROR(__xludf.DUMMYFUNCTION("""COMPUTED_VALUE"""),"Viking Gold")</f>
        <v>Viking Gold</v>
      </c>
      <c r="N158" s="5"/>
      <c r="O158" s="5"/>
      <c r="P158" s="12"/>
      <c r="Q158" s="13">
        <f>IFERROR(__xludf.DUMMYFUNCTION("""COMPUTED_VALUE"""),43831.0)</f>
        <v>43831</v>
      </c>
      <c r="R158" s="14"/>
      <c r="S158" s="13">
        <f>IFERROR(__xludf.DUMMYFUNCTION("""COMPUTED_VALUE"""),43831.0)</f>
        <v>43831</v>
      </c>
      <c r="T158" s="5"/>
      <c r="U158" s="5" t="str">
        <f>IFERROR(__xludf.DUMMYFUNCTION("""COMPUTED_VALUE"""),"5x3")</f>
        <v>5x3</v>
      </c>
      <c r="V158" s="10" t="str">
        <f>IFERROR(__xludf.DUMMYFUNCTION("""COMPUTED_VALUE"""),"20")</f>
        <v>20</v>
      </c>
      <c r="W158" s="10" t="str">
        <f>IFERROR(__xludf.DUMMYFUNCTION("""COMPUTED_VALUE"""),"20")</f>
        <v>20</v>
      </c>
      <c r="X158" s="5">
        <f>IFERROR(__xludf.DUMMYFUNCTION("""COMPUTED_VALUE"""),95.952)</f>
        <v>95.952</v>
      </c>
      <c r="Y158" s="5" t="str">
        <f>IFERROR(__xludf.DUMMYFUNCTION("""COMPUTED_VALUE"""),"Medium")</f>
        <v>Medium</v>
      </c>
      <c r="Z158" s="5">
        <f>IFERROR(__xludf.DUMMYFUNCTION("""COMPUTED_VALUE"""),43.769999999999996)</f>
        <v>43.77</v>
      </c>
      <c r="AA158" s="12">
        <f>IFERROR(__xludf.DUMMYFUNCTION("""COMPUTED_VALUE"""),3910.0)</f>
        <v>3910</v>
      </c>
      <c r="AB158" s="5">
        <f>IFERROR(__xludf.DUMMYFUNCTION("""COMPUTED_VALUE"""),147.0)</f>
        <v>147</v>
      </c>
      <c r="AC158" s="5" t="str">
        <f>IFERROR(__xludf.DUMMYFUNCTION("""COMPUTED_VALUE"""),"Cascade Game, Wild Symbol, Increasing Multiplier, Bonus Game with Multiplier")</f>
        <v>Cascade Game, Wild Symbol, Increasing Multiplier, Bonus Game with Multiplier</v>
      </c>
      <c r="AD158" s="5"/>
      <c r="AE158" s="5"/>
      <c r="AF158" s="5"/>
      <c r="AG158" s="8">
        <f>IFERROR(__xludf.DUMMYFUNCTION("""COMPUTED_VALUE"""),46020.524664351855)</f>
        <v>46020.52466</v>
      </c>
      <c r="AH158" s="5" t="str">
        <f>IFERROR(__xludf.DUMMYFUNCTION("""COMPUTED_VALUE"""),"djordje.jankovic@fazi.rs")</f>
        <v>djordje.jankovic@fazi.rs</v>
      </c>
      <c r="AI158" s="5"/>
      <c r="AJ158" s="5"/>
      <c r="AK158" s="5">
        <f>IFERROR(__xludf.DUMMYFUNCTION("""COMPUTED_VALUE"""),20.0)</f>
        <v>20</v>
      </c>
      <c r="AL158" s="5" t="str">
        <f>IFERROR(__xludf.DUMMYFUNCTION("""COMPUTED_VALUE"""),"Yes")</f>
        <v>Yes</v>
      </c>
      <c r="AM158" s="5"/>
      <c r="AN158" s="5"/>
      <c r="AO158" s="5"/>
      <c r="AP158" s="5"/>
      <c r="AQ158" s="5"/>
      <c r="AR158" s="5" t="b">
        <f>IFERROR(__xludf.DUMMYFUNCTION("""COMPUTED_VALUE"""),TRUE)</f>
        <v>1</v>
      </c>
      <c r="AS158" s="5"/>
      <c r="AT158" s="5"/>
      <c r="AU158" s="5" t="str">
        <f>IFERROR(__xludf.DUMMYFUNCTION("""COMPUTED_VALUE"""),"Fazi")</f>
        <v>Fazi</v>
      </c>
      <c r="AV158" s="5"/>
      <c r="AW158" s="5"/>
      <c r="AX158" s="5"/>
      <c r="AY158" s="5"/>
      <c r="AZ158" s="5"/>
      <c r="BA158" s="5" t="str">
        <f>IFERROR(__xludf.DUMMYFUNCTION("""COMPUTED_VALUE"""),"")</f>
        <v/>
      </c>
      <c r="BB158" s="5"/>
      <c r="BC158" s="5" t="str">
        <f>IFERROR(__xludf.DUMMYFUNCTION("""COMPUTED_VALUE"""),"Foxi")</f>
        <v>Foxi</v>
      </c>
      <c r="BD158" s="5" t="str">
        <f>IFERROR(__xludf.DUMMYFUNCTION("""COMPUTED_VALUE"""),"")</f>
        <v/>
      </c>
      <c r="BE158" s="5"/>
    </row>
    <row r="159">
      <c r="A159" s="5">
        <f>IFERROR(__xludf.DUMMYFUNCTION("""COMPUTED_VALUE"""),159.0)</f>
        <v>159</v>
      </c>
      <c r="B159" s="5">
        <f>IFERROR(__xludf.DUMMYFUNCTION("""COMPUTED_VALUE"""),158.0)</f>
        <v>158</v>
      </c>
      <c r="C159" s="5" t="str">
        <f>IFERROR(__xludf.DUMMYFUNCTION("""COMPUTED_VALUE"""),"Fazi")</f>
        <v>Fazi</v>
      </c>
      <c r="D159" s="5" t="str">
        <f>IFERROR(__xludf.DUMMYFUNCTION("""COMPUTED_VALUE"""),"King Of My Castle")</f>
        <v>King Of My Castle</v>
      </c>
      <c r="E159" s="5" t="str">
        <f>IFERROR(__xludf.DUMMYFUNCTION("""COMPUTED_VALUE"""),"V2")</f>
        <v>V2</v>
      </c>
      <c r="F159" s="5" t="str">
        <f>IFERROR(__xludf.DUMMYFUNCTION("""COMPUTED_VALUE"""),"KingOfMyCastle")</f>
        <v>KingOfMyCastle</v>
      </c>
      <c r="G159" s="5" t="str">
        <f>IFERROR(__xludf.DUMMYFUNCTION("""COMPUTED_VALUE"""),"Live")</f>
        <v>Live</v>
      </c>
      <c r="H159" s="5" t="str">
        <f>IFERROR(__xludf.DUMMYFUNCTION("""COMPUTED_VALUE"""),"Golden Palace")</f>
        <v>Golden Palace</v>
      </c>
      <c r="I159" s="5" t="str">
        <f>IFERROR(__xludf.DUMMYFUNCTION("""COMPUTED_VALUE"""),"V2")</f>
        <v>V2</v>
      </c>
      <c r="J159" s="5" t="str">
        <f>IFERROR(__xludf.DUMMYFUNCTION("""COMPUTED_VALUE"""),"Binary")</f>
        <v>Binary</v>
      </c>
      <c r="K159" s="5" t="str">
        <f>IFERROR(__xludf.DUMMYFUNCTION("""COMPUTED_VALUE"""),"Slot")</f>
        <v>Slot</v>
      </c>
      <c r="L159" s="5" t="str">
        <f>IFERROR(__xludf.DUMMYFUNCTION("""COMPUTED_VALUE"""),"Clone")</f>
        <v>Clone</v>
      </c>
      <c r="M159" s="5" t="str">
        <f>IFERROR(__xludf.DUMMYFUNCTION("""COMPUTED_VALUE"""),"Turbo Hot 40")</f>
        <v>Turbo Hot 40</v>
      </c>
      <c r="N159" s="5"/>
      <c r="O159" s="5"/>
      <c r="P159" s="12"/>
      <c r="Q159" s="13">
        <f>IFERROR(__xludf.DUMMYFUNCTION("""COMPUTED_VALUE"""),43831.0)</f>
        <v>43831</v>
      </c>
      <c r="R159" s="14"/>
      <c r="S159" s="13">
        <f>IFERROR(__xludf.DUMMYFUNCTION("""COMPUTED_VALUE"""),43831.0)</f>
        <v>43831</v>
      </c>
      <c r="T159" s="5"/>
      <c r="U159" s="5" t="str">
        <f>IFERROR(__xludf.DUMMYFUNCTION("""COMPUTED_VALUE"""),"5x4")</f>
        <v>5x4</v>
      </c>
      <c r="V159" s="10" t="str">
        <f>IFERROR(__xludf.DUMMYFUNCTION("""COMPUTED_VALUE"""),"40")</f>
        <v>40</v>
      </c>
      <c r="W159" s="10" t="str">
        <f>IFERROR(__xludf.DUMMYFUNCTION("""COMPUTED_VALUE"""),"40")</f>
        <v>40</v>
      </c>
      <c r="X159" s="5">
        <f>IFERROR(__xludf.DUMMYFUNCTION("""COMPUTED_VALUE"""),96.584)</f>
        <v>96.584</v>
      </c>
      <c r="Y159" s="5" t="str">
        <f>IFERROR(__xludf.DUMMYFUNCTION("""COMPUTED_VALUE"""),"Low")</f>
        <v>Low</v>
      </c>
      <c r="Z159" s="5">
        <f>IFERROR(__xludf.DUMMYFUNCTION("""COMPUTED_VALUE"""),16.73)</f>
        <v>16.73</v>
      </c>
      <c r="AA159" s="12">
        <f>IFERROR(__xludf.DUMMYFUNCTION("""COMPUTED_VALUE"""),1000.0)</f>
        <v>1000</v>
      </c>
      <c r="AB159" s="5" t="str">
        <f>IFERROR(__xludf.DUMMYFUNCTION("""COMPUTED_VALUE"""),"/")</f>
        <v>/</v>
      </c>
      <c r="AC159" s="5" t="str">
        <f>IFERROR(__xludf.DUMMYFUNCTION("""COMPUTED_VALUE"""),"Wild Symbol, Scatter")</f>
        <v>Wild Symbol, Scatter</v>
      </c>
      <c r="AD159" s="5"/>
      <c r="AE159" s="5"/>
      <c r="AF159" s="5"/>
      <c r="AG159" s="8">
        <f>IFERROR(__xludf.DUMMYFUNCTION("""COMPUTED_VALUE"""),46104.59032407407)</f>
        <v>46104.59032</v>
      </c>
      <c r="AH159" s="5" t="str">
        <f>IFERROR(__xludf.DUMMYFUNCTION("""COMPUTED_VALUE"""),"petra.ilic@fazi.rs")</f>
        <v>petra.ilic@fazi.rs</v>
      </c>
      <c r="AI159" s="5"/>
      <c r="AJ159" s="5"/>
      <c r="AK159" s="5">
        <f>IFERROR(__xludf.DUMMYFUNCTION("""COMPUTED_VALUE"""),40.0)</f>
        <v>40</v>
      </c>
      <c r="AL159" s="5"/>
      <c r="AM159" s="5"/>
      <c r="AN159" s="5"/>
      <c r="AO159" s="5"/>
      <c r="AP159" s="5"/>
      <c r="AQ159" s="5"/>
      <c r="AR159" s="5" t="b">
        <f>IFERROR(__xludf.DUMMYFUNCTION("""COMPUTED_VALUE"""),TRUE)</f>
        <v>1</v>
      </c>
      <c r="AS159" s="5"/>
      <c r="AT159" s="5"/>
      <c r="AU159" s="5" t="str">
        <f>IFERROR(__xludf.DUMMYFUNCTION("""COMPUTED_VALUE"""),"Fazi")</f>
        <v>Fazi</v>
      </c>
      <c r="AV159" s="5"/>
      <c r="AW159" s="5"/>
      <c r="AX159" s="5"/>
      <c r="AY159" s="5"/>
      <c r="AZ159" s="5"/>
      <c r="BA159" s="5" t="str">
        <f>IFERROR(__xludf.DUMMYFUNCTION("""COMPUTED_VALUE"""),"")</f>
        <v/>
      </c>
      <c r="BB159" s="5"/>
      <c r="BC159" s="5" t="str">
        <f>IFERROR(__xludf.DUMMYFUNCTION("""COMPUTED_VALUE"""),"Foxi")</f>
        <v>Foxi</v>
      </c>
      <c r="BD159" s="5" t="str">
        <f>IFERROR(__xludf.DUMMYFUNCTION("""COMPUTED_VALUE"""),"")</f>
        <v/>
      </c>
      <c r="BE159" s="5"/>
    </row>
    <row r="160">
      <c r="A160" s="5">
        <f>IFERROR(__xludf.DUMMYFUNCTION("""COMPUTED_VALUE"""),160.0)</f>
        <v>160</v>
      </c>
      <c r="B160" s="5">
        <f>IFERROR(__xludf.DUMMYFUNCTION("""COMPUTED_VALUE"""),159.0)</f>
        <v>159</v>
      </c>
      <c r="C160" s="5" t="str">
        <f>IFERROR(__xludf.DUMMYFUNCTION("""COMPUTED_VALUE"""),"Fazi")</f>
        <v>Fazi</v>
      </c>
      <c r="D160" s="5" t="str">
        <f>IFERROR(__xludf.DUMMYFUNCTION("""COMPUTED_VALUE"""),"Fruity Win 20")</f>
        <v>Fruity Win 20</v>
      </c>
      <c r="E160" s="5" t="str">
        <f>IFERROR(__xludf.DUMMYFUNCTION("""COMPUTED_VALUE"""),"V2")</f>
        <v>V2</v>
      </c>
      <c r="F160" s="5" t="str">
        <f>IFERROR(__xludf.DUMMYFUNCTION("""COMPUTED_VALUE"""),"FruityWin20")</f>
        <v>FruityWin20</v>
      </c>
      <c r="G160" s="5" t="str">
        <f>IFERROR(__xludf.DUMMYFUNCTION("""COMPUTED_VALUE"""),"Live")</f>
        <v>Live</v>
      </c>
      <c r="H160" s="5"/>
      <c r="I160" s="5" t="str">
        <f>IFERROR(__xludf.DUMMYFUNCTION("""COMPUTED_VALUE"""),"V2")</f>
        <v>V2</v>
      </c>
      <c r="J160" s="5" t="str">
        <f>IFERROR(__xludf.DUMMYFUNCTION("""COMPUTED_VALUE"""),"JSON")</f>
        <v>JSON</v>
      </c>
      <c r="K160" s="5" t="str">
        <f>IFERROR(__xludf.DUMMYFUNCTION("""COMPUTED_VALUE"""),"Slot")</f>
        <v>Slot</v>
      </c>
      <c r="L160" s="5" t="str">
        <f>IFERROR(__xludf.DUMMYFUNCTION("""COMPUTED_VALUE"""),"Clone")</f>
        <v>Clone</v>
      </c>
      <c r="M160" s="5" t="str">
        <f>IFERROR(__xludf.DUMMYFUNCTION("""COMPUTED_VALUE"""),"Fruity Win 40")</f>
        <v>Fruity Win 40</v>
      </c>
      <c r="N160" s="5"/>
      <c r="O160" s="5"/>
      <c r="P160" s="12">
        <f>IFERROR(__xludf.DUMMYFUNCTION("""COMPUTED_VALUE"""),29.2)</f>
        <v>29.2</v>
      </c>
      <c r="Q160" s="13">
        <f>IFERROR(__xludf.DUMMYFUNCTION("""COMPUTED_VALUE"""),44693.0)</f>
        <v>44693</v>
      </c>
      <c r="R160" s="14"/>
      <c r="S160" s="13">
        <f>IFERROR(__xludf.DUMMYFUNCTION("""COMPUTED_VALUE"""),44693.0)</f>
        <v>44693</v>
      </c>
      <c r="T160" s="5" t="b">
        <f>IFERROR(__xludf.DUMMYFUNCTION("""COMPUTED_VALUE"""),TRUE)</f>
        <v>1</v>
      </c>
      <c r="U160" s="5" t="str">
        <f>IFERROR(__xludf.DUMMYFUNCTION("""COMPUTED_VALUE"""),"5x4")</f>
        <v>5x4</v>
      </c>
      <c r="V160" s="10" t="str">
        <f>IFERROR(__xludf.DUMMYFUNCTION("""COMPUTED_VALUE"""),"20")</f>
        <v>20</v>
      </c>
      <c r="W160" s="10" t="str">
        <f>IFERROR(__xludf.DUMMYFUNCTION("""COMPUTED_VALUE"""),"20")</f>
        <v>20</v>
      </c>
      <c r="X160" s="5">
        <f>IFERROR(__xludf.DUMMYFUNCTION("""COMPUTED_VALUE"""),96.584)</f>
        <v>96.584</v>
      </c>
      <c r="Y160" s="5" t="str">
        <f>IFERROR(__xludf.DUMMYFUNCTION("""COMPUTED_VALUE"""),"Low")</f>
        <v>Low</v>
      </c>
      <c r="Z160" s="5">
        <f>IFERROR(__xludf.DUMMYFUNCTION("""COMPUTED_VALUE"""),16.73)</f>
        <v>16.73</v>
      </c>
      <c r="AA160" s="12">
        <f>IFERROR(__xludf.DUMMYFUNCTION("""COMPUTED_VALUE"""),1000.0)</f>
        <v>1000</v>
      </c>
      <c r="AB160" s="5" t="str">
        <f>IFERROR(__xludf.DUMMYFUNCTION("""COMPUTED_VALUE"""),"/")</f>
        <v>/</v>
      </c>
      <c r="AC160" s="5" t="str">
        <f>IFERROR(__xludf.DUMMYFUNCTION("""COMPUTED_VALUE"""),"Wild Symbol, Scatter")</f>
        <v>Wild Symbol, Scatter</v>
      </c>
      <c r="AD160" s="5" t="str">
        <f>IFERROR(__xludf.DUMMYFUNCTION("""COMPUTED_VALUE"""),"0.4/60")</f>
        <v>0.4/60</v>
      </c>
      <c r="AE160" s="5"/>
      <c r="AF160" s="5"/>
      <c r="AG160" s="8">
        <f>IFERROR(__xludf.DUMMYFUNCTION("""COMPUTED_VALUE"""),46101.61576388889)</f>
        <v>46101.61576</v>
      </c>
      <c r="AH160" s="5" t="str">
        <f>IFERROR(__xludf.DUMMYFUNCTION("""COMPUTED_VALUE"""),"milutin.toskic@fazi.rs")</f>
        <v>milutin.toskic@fazi.rs</v>
      </c>
      <c r="AI160" s="5"/>
      <c r="AJ160" s="5"/>
      <c r="AK160" s="5">
        <f>IFERROR(__xludf.DUMMYFUNCTION("""COMPUTED_VALUE"""),20.0)</f>
        <v>20</v>
      </c>
      <c r="AL160" s="5" t="str">
        <f>IFERROR(__xludf.DUMMYFUNCTION("""COMPUTED_VALUE"""),"Yes")</f>
        <v>Yes</v>
      </c>
      <c r="AM160" s="5"/>
      <c r="AN160" s="7" t="str">
        <f>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AO160" s="5" t="str">
        <f>IFERROR(__xludf.DUMMYFUNCTION("""COMPUTED_VALUE"""),"Yes")</f>
        <v>Yes</v>
      </c>
      <c r="AP160" s="5" t="str">
        <f>IFERROR(__xludf.DUMMYFUNCTION("""COMPUTED_VALUE"""),"Yes")</f>
        <v>Yes</v>
      </c>
      <c r="AQ160" s="5" t="b">
        <f>IFERROR(__xludf.DUMMYFUNCTION("""COMPUTED_VALUE"""),TRUE)</f>
        <v>1</v>
      </c>
      <c r="AR160" s="5"/>
      <c r="AS160" s="5" t="str">
        <f>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60" s="5" t="str">
        <f>IFERROR(__xludf.DUMMYFUNCTION("""COMPUTED_VALUE"""),"No")</f>
        <v>No</v>
      </c>
      <c r="AU160" s="5" t="str">
        <f>IFERROR(__xludf.DUMMYFUNCTION("""COMPUTED_VALUE"""),"Fazi")</f>
        <v>Fazi</v>
      </c>
      <c r="AV160" s="5"/>
      <c r="AW160" s="5"/>
      <c r="AX160" s="5"/>
      <c r="AY160" s="5" t="str">
        <f>IFERROR(__xludf.DUMMYFUNCTION("""COMPUTED_VALUE"""),"87.5%, 89.5%, 91.5%, 93.5%, 94.5%, 95.5%, 96.5%")</f>
        <v>87.5%, 89.5%, 91.5%, 93.5%, 94.5%, 95.5%, 96.5%</v>
      </c>
      <c r="AZ160" s="5"/>
      <c r="BA160" s="5" t="str">
        <f>IFERROR(__xludf.DUMMYFUNCTION("""COMPUTED_VALUE"""),"")</f>
        <v/>
      </c>
      <c r="BB160" s="5"/>
      <c r="BC160" s="5" t="str">
        <f>IFERROR(__xludf.DUMMYFUNCTION("""COMPUTED_VALUE"""),"Foxi")</f>
        <v>Foxi</v>
      </c>
      <c r="BD160" s="7" t="str">
        <f>IFERROR(__xludf.DUMMYFUNCTION("""COMPUTED_VALUE"""),"https://gameserver-store-client-area.orbionlimited.com/Home/IntegrationGameLaunch/client-area?moneyType=0&amp;gameName=FruityWin20&amp;platform=desktop&amp;languageCode=eng&amp;currency=EUR")</f>
        <v>https://gameserver-store-client-area.orbionlimited.com/Home/IntegrationGameLaunch/client-area?moneyType=0&amp;gameName=FruityWin20&amp;platform=desktop&amp;languageCode=eng&amp;currency=EUR</v>
      </c>
      <c r="BE160" s="5" t="b">
        <f>IFERROR(__xludf.DUMMYFUNCTION("""COMPUTED_VALUE"""),TRUE)</f>
        <v>1</v>
      </c>
    </row>
    <row r="161">
      <c r="A161" s="5">
        <f>IFERROR(__xludf.DUMMYFUNCTION("""COMPUTED_VALUE"""),161.0)</f>
        <v>161</v>
      </c>
      <c r="B161" s="5">
        <f>IFERROR(__xludf.DUMMYFUNCTION("""COMPUTED_VALUE"""),160.0)</f>
        <v>160</v>
      </c>
      <c r="C161" s="5" t="str">
        <f>IFERROR(__xludf.DUMMYFUNCTION("""COMPUTED_VALUE"""),"Fazi")</f>
        <v>Fazi</v>
      </c>
      <c r="D161" s="5" t="str">
        <f>IFERROR(__xludf.DUMMYFUNCTION("""COMPUTED_VALUE"""),"Fruity Hot 5")</f>
        <v>Fruity Hot 5</v>
      </c>
      <c r="E161" s="5" t="str">
        <f>IFERROR(__xludf.DUMMYFUNCTION("""COMPUTED_VALUE"""),"V2")</f>
        <v>V2</v>
      </c>
      <c r="F161" s="5" t="str">
        <f>IFERROR(__xludf.DUMMYFUNCTION("""COMPUTED_VALUE"""),"FruityHot5")</f>
        <v>FruityHot5</v>
      </c>
      <c r="G161" s="5" t="str">
        <f>IFERROR(__xludf.DUMMYFUNCTION("""COMPUTED_VALUE"""),"Live")</f>
        <v>Live</v>
      </c>
      <c r="H161" s="5"/>
      <c r="I161" s="5" t="str">
        <f>IFERROR(__xludf.DUMMYFUNCTION("""COMPUTED_VALUE"""),"V2")</f>
        <v>V2</v>
      </c>
      <c r="J161" s="5" t="str">
        <f>IFERROR(__xludf.DUMMYFUNCTION("""COMPUTED_VALUE"""),"JSON")</f>
        <v>JSON</v>
      </c>
      <c r="K161" s="5" t="str">
        <f>IFERROR(__xludf.DUMMYFUNCTION("""COMPUTED_VALUE"""),"Slot")</f>
        <v>Slot</v>
      </c>
      <c r="L161" s="5" t="str">
        <f>IFERROR(__xludf.DUMMYFUNCTION("""COMPUTED_VALUE"""),"Clone")</f>
        <v>Clone</v>
      </c>
      <c r="M161" s="5" t="str">
        <f>IFERROR(__xludf.DUMMYFUNCTION("""COMPUTED_VALUE"""),"Fruity Hot")</f>
        <v>Fruity Hot</v>
      </c>
      <c r="N161" s="5"/>
      <c r="O161" s="5"/>
      <c r="P161" s="12">
        <f>IFERROR(__xludf.DUMMYFUNCTION("""COMPUTED_VALUE"""),14.4)</f>
        <v>14.4</v>
      </c>
      <c r="Q161" s="13">
        <f>IFERROR(__xludf.DUMMYFUNCTION("""COMPUTED_VALUE"""),44623.0)</f>
        <v>44623</v>
      </c>
      <c r="R161" s="14"/>
      <c r="S161" s="13">
        <f>IFERROR(__xludf.DUMMYFUNCTION("""COMPUTED_VALUE"""),44623.0)</f>
        <v>44623</v>
      </c>
      <c r="T161" s="5" t="b">
        <f>IFERROR(__xludf.DUMMYFUNCTION("""COMPUTED_VALUE"""),TRUE)</f>
        <v>1</v>
      </c>
      <c r="U161" s="5" t="str">
        <f>IFERROR(__xludf.DUMMYFUNCTION("""COMPUTED_VALUE"""),"5x3")</f>
        <v>5x3</v>
      </c>
      <c r="V161" s="10" t="str">
        <f>IFERROR(__xludf.DUMMYFUNCTION("""COMPUTED_VALUE"""),"5")</f>
        <v>5</v>
      </c>
      <c r="W161" s="10" t="str">
        <f>IFERROR(__xludf.DUMMYFUNCTION("""COMPUTED_VALUE"""),"5")</f>
        <v>5</v>
      </c>
      <c r="X161" s="5">
        <f>IFERROR(__xludf.DUMMYFUNCTION("""COMPUTED_VALUE"""),95.79)</f>
        <v>95.79</v>
      </c>
      <c r="Y161" s="5" t="str">
        <f>IFERROR(__xludf.DUMMYFUNCTION("""COMPUTED_VALUE"""),"Low")</f>
        <v>Low</v>
      </c>
      <c r="Z161" s="5">
        <f>IFERROR(__xludf.DUMMYFUNCTION("""COMPUTED_VALUE"""),12.847)</f>
        <v>12.847</v>
      </c>
      <c r="AA161" s="12">
        <f>IFERROR(__xludf.DUMMYFUNCTION("""COMPUTED_VALUE"""),1000.0)</f>
        <v>1000</v>
      </c>
      <c r="AB161" s="5" t="str">
        <f>IFERROR(__xludf.DUMMYFUNCTION("""COMPUTED_VALUE"""),"/")</f>
        <v>/</v>
      </c>
      <c r="AC161" s="5" t="str">
        <f>IFERROR(__xludf.DUMMYFUNCTION("""COMPUTED_VALUE"""),"Wild Symbol, Scatter")</f>
        <v>Wild Symbol, Scatter</v>
      </c>
      <c r="AD161" s="5" t="str">
        <f>IFERROR(__xludf.DUMMYFUNCTION("""COMPUTED_VALUE"""),"0.05/30")</f>
        <v>0.05/30</v>
      </c>
      <c r="AE161" s="5"/>
      <c r="AF161" s="5"/>
      <c r="AG161" s="8">
        <f>IFERROR(__xludf.DUMMYFUNCTION("""COMPUTED_VALUE"""),46006.42884259259)</f>
        <v>46006.42884</v>
      </c>
      <c r="AH161" s="5" t="str">
        <f>IFERROR(__xludf.DUMMYFUNCTION("""COMPUTED_VALUE"""),"milutin.toskic@fazi.rs")</f>
        <v>milutin.toskic@fazi.rs</v>
      </c>
      <c r="AI161" s="5"/>
      <c r="AJ161" s="5"/>
      <c r="AK161" s="5">
        <f>IFERROR(__xludf.DUMMYFUNCTION("""COMPUTED_VALUE"""),5.0)</f>
        <v>5</v>
      </c>
      <c r="AL161" s="5" t="str">
        <f>IFERROR(__xludf.DUMMYFUNCTION("""COMPUTED_VALUE"""),"Yes")</f>
        <v>Yes</v>
      </c>
      <c r="AM161" s="5"/>
      <c r="AN161" s="7" t="str">
        <f>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AO161" s="5" t="str">
        <f>IFERROR(__xludf.DUMMYFUNCTION("""COMPUTED_VALUE"""),"Yes")</f>
        <v>Yes</v>
      </c>
      <c r="AP161" s="5" t="str">
        <f>IFERROR(__xludf.DUMMYFUNCTION("""COMPUTED_VALUE"""),"Yes")</f>
        <v>Yes</v>
      </c>
      <c r="AQ161" s="5" t="b">
        <f>IFERROR(__xludf.DUMMYFUNCTION("""COMPUTED_VALUE"""),TRUE)</f>
        <v>1</v>
      </c>
      <c r="AR161" s="5"/>
      <c r="AS161" s="5" t="str">
        <f>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61" s="5"/>
      <c r="AU161" s="5" t="str">
        <f>IFERROR(__xludf.DUMMYFUNCTION("""COMPUTED_VALUE"""),"Fazi")</f>
        <v>Fazi</v>
      </c>
      <c r="AV161" s="5"/>
      <c r="AW161" s="5"/>
      <c r="AX161" s="5"/>
      <c r="AY161" s="5"/>
      <c r="AZ161" s="5"/>
      <c r="BA161" s="5" t="str">
        <f>IFERROR(__xludf.DUMMYFUNCTION("""COMPUTED_VALUE"""),"")</f>
        <v/>
      </c>
      <c r="BB161" s="5"/>
      <c r="BC161" s="5" t="str">
        <f>IFERROR(__xludf.DUMMYFUNCTION("""COMPUTED_VALUE"""),"Foxi")</f>
        <v>Foxi</v>
      </c>
      <c r="BD161" s="7" t="str">
        <f>IFERROR(__xludf.DUMMYFUNCTION("""COMPUTED_VALUE"""),"https://gameserver-store-client-area.orbionlimited.com/Home/IntegrationGameLaunch/client-area?moneyType=0&amp;gameName=FruityHot5&amp;platform=desktop&amp;languageCode=eng&amp;currency=EUR")</f>
        <v>https://gameserver-store-client-area.orbionlimited.com/Home/IntegrationGameLaunch/client-area?moneyType=0&amp;gameName=FruityHot5&amp;platform=desktop&amp;languageCode=eng&amp;currency=EUR</v>
      </c>
      <c r="BE161" s="5" t="b">
        <f>IFERROR(__xludf.DUMMYFUNCTION("""COMPUTED_VALUE"""),TRUE)</f>
        <v>1</v>
      </c>
    </row>
    <row r="162">
      <c r="A162" s="5">
        <f>IFERROR(__xludf.DUMMYFUNCTION("""COMPUTED_VALUE"""),162.0)</f>
        <v>162</v>
      </c>
      <c r="B162" s="5">
        <f>IFERROR(__xludf.DUMMYFUNCTION("""COMPUTED_VALUE"""),161.0)</f>
        <v>161</v>
      </c>
      <c r="C162" s="5" t="str">
        <f>IFERROR(__xludf.DUMMYFUNCTION("""COMPUTED_VALUE"""),"Fazi")</f>
        <v>Fazi</v>
      </c>
      <c r="D162" s="5" t="str">
        <f>IFERROR(__xludf.DUMMYFUNCTION("""COMPUTED_VALUE"""),"Giga Hot 40")</f>
        <v>Giga Hot 40</v>
      </c>
      <c r="E162" s="5" t="str">
        <f>IFERROR(__xludf.DUMMYFUNCTION("""COMPUTED_VALUE"""),"V2")</f>
        <v>V2</v>
      </c>
      <c r="F162" s="5" t="str">
        <f>IFERROR(__xludf.DUMMYFUNCTION("""COMPUTED_VALUE"""),"GigaHot40")</f>
        <v>GigaHot40</v>
      </c>
      <c r="G162" s="5" t="str">
        <f>IFERROR(__xludf.DUMMYFUNCTION("""COMPUTED_VALUE"""),"Live")</f>
        <v>Live</v>
      </c>
      <c r="H162" s="5"/>
      <c r="I162" s="5" t="str">
        <f>IFERROR(__xludf.DUMMYFUNCTION("""COMPUTED_VALUE"""),"V2")</f>
        <v>V2</v>
      </c>
      <c r="J162" s="5" t="str">
        <f>IFERROR(__xludf.DUMMYFUNCTION("""COMPUTED_VALUE"""),"Binary")</f>
        <v>Binary</v>
      </c>
      <c r="K162" s="5" t="str">
        <f>IFERROR(__xludf.DUMMYFUNCTION("""COMPUTED_VALUE"""),"Slot")</f>
        <v>Slot</v>
      </c>
      <c r="L162" s="5" t="str">
        <f>IFERROR(__xludf.DUMMYFUNCTION("""COMPUTED_VALUE"""),"Clone")</f>
        <v>Clone</v>
      </c>
      <c r="M162" s="5" t="str">
        <f>IFERROR(__xludf.DUMMYFUNCTION("""COMPUTED_VALUE"""),"Wild Hot 40")</f>
        <v>Wild Hot 40</v>
      </c>
      <c r="N162" s="5"/>
      <c r="O162" s="5"/>
      <c r="P162" s="12">
        <f>IFERROR(__xludf.DUMMYFUNCTION("""COMPUTED_VALUE"""),3.3)</f>
        <v>3.3</v>
      </c>
      <c r="Q162" s="13">
        <f>IFERROR(__xludf.DUMMYFUNCTION("""COMPUTED_VALUE"""),44714.0)</f>
        <v>44714</v>
      </c>
      <c r="R162" s="14"/>
      <c r="S162" s="13">
        <f>IFERROR(__xludf.DUMMYFUNCTION("""COMPUTED_VALUE"""),44714.0)</f>
        <v>44714</v>
      </c>
      <c r="T162" s="5" t="b">
        <f>IFERROR(__xludf.DUMMYFUNCTION("""COMPUTED_VALUE"""),TRUE)</f>
        <v>1</v>
      </c>
      <c r="U162" s="5" t="str">
        <f>IFERROR(__xludf.DUMMYFUNCTION("""COMPUTED_VALUE"""),"5x4")</f>
        <v>5x4</v>
      </c>
      <c r="V162" s="10" t="str">
        <f>IFERROR(__xludf.DUMMYFUNCTION("""COMPUTED_VALUE"""),"40")</f>
        <v>40</v>
      </c>
      <c r="W162" s="10" t="str">
        <f>IFERROR(__xludf.DUMMYFUNCTION("""COMPUTED_VALUE"""),"40")</f>
        <v>40</v>
      </c>
      <c r="X162" s="5">
        <f>IFERROR(__xludf.DUMMYFUNCTION("""COMPUTED_VALUE"""),96.584)</f>
        <v>96.584</v>
      </c>
      <c r="Y162" s="5" t="str">
        <f>IFERROR(__xludf.DUMMYFUNCTION("""COMPUTED_VALUE"""),"Low")</f>
        <v>Low</v>
      </c>
      <c r="Z162" s="5">
        <f>IFERROR(__xludf.DUMMYFUNCTION("""COMPUTED_VALUE"""),16.725)</f>
        <v>16.725</v>
      </c>
      <c r="AA162" s="12">
        <f>IFERROR(__xludf.DUMMYFUNCTION("""COMPUTED_VALUE"""),1000.0)</f>
        <v>1000</v>
      </c>
      <c r="AB162" s="5" t="str">
        <f>IFERROR(__xludf.DUMMYFUNCTION("""COMPUTED_VALUE"""),"/")</f>
        <v>/</v>
      </c>
      <c r="AC162" s="5" t="str">
        <f>IFERROR(__xludf.DUMMYFUNCTION("""COMPUTED_VALUE"""),"Wild Symbol, Scatter")</f>
        <v>Wild Symbol, Scatter</v>
      </c>
      <c r="AD162" s="5" t="str">
        <f>IFERROR(__xludf.DUMMYFUNCTION("""COMPUTED_VALUE"""),"0.4/60")</f>
        <v>0.4/60</v>
      </c>
      <c r="AE162" s="5"/>
      <c r="AF162" s="5"/>
      <c r="AG162" s="8">
        <f>IFERROR(__xludf.DUMMYFUNCTION("""COMPUTED_VALUE"""),46064.6571412037)</f>
        <v>46064.65714</v>
      </c>
      <c r="AH162" s="5" t="str">
        <f>IFERROR(__xludf.DUMMYFUNCTION("""COMPUTED_VALUE"""),"aleksandar.trajkovic@fazi.rs")</f>
        <v>aleksandar.trajkovic@fazi.rs</v>
      </c>
      <c r="AI162" s="5"/>
      <c r="AJ162" s="5"/>
      <c r="AK162" s="5">
        <f>IFERROR(__xludf.DUMMYFUNCTION("""COMPUTED_VALUE"""),40.0)</f>
        <v>40</v>
      </c>
      <c r="AL162" s="5" t="str">
        <f>IFERROR(__xludf.DUMMYFUNCTION("""COMPUTED_VALUE"""),"Yes")</f>
        <v>Yes</v>
      </c>
      <c r="AM162" s="5"/>
      <c r="AN162" s="7" t="str">
        <f>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AO162" s="5"/>
      <c r="AP162" s="5"/>
      <c r="AQ162" s="5" t="b">
        <f>IFERROR(__xludf.DUMMYFUNCTION("""COMPUTED_VALUE"""),TRUE)</f>
        <v>1</v>
      </c>
      <c r="AR162" s="5"/>
      <c r="AS162" s="5" t="str">
        <f>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AT162" s="5"/>
      <c r="AU162" s="5" t="str">
        <f>IFERROR(__xludf.DUMMYFUNCTION("""COMPUTED_VALUE"""),"Fazi")</f>
        <v>Fazi</v>
      </c>
      <c r="AV162" s="5"/>
      <c r="AW162" s="5"/>
      <c r="AX162" s="5"/>
      <c r="AY162" s="5"/>
      <c r="AZ162" s="5"/>
      <c r="BA162" s="5" t="str">
        <f>IFERROR(__xludf.DUMMYFUNCTION("""COMPUTED_VALUE"""),"")</f>
        <v/>
      </c>
      <c r="BB162" s="5"/>
      <c r="BC162" s="5" t="str">
        <f>IFERROR(__xludf.DUMMYFUNCTION("""COMPUTED_VALUE"""),"Foxi")</f>
        <v>Foxi</v>
      </c>
      <c r="BD162" s="7" t="str">
        <f>IFERROR(__xludf.DUMMYFUNCTION("""COMPUTED_VALUE"""),"https://gameserver-store-client-area.orbionlimited.com/Home/IntegrationGameLaunch/client-area?moneyType=0&amp;gameName=GigaHot40&amp;platform=desktop&amp;languageCode=eng&amp;currency=EUR")</f>
        <v>https://gameserver-store-client-area.orbionlimited.com/Home/IntegrationGameLaunch/client-area?moneyType=0&amp;gameName=GigaHot40&amp;platform=desktop&amp;languageCode=eng&amp;currency=EUR</v>
      </c>
      <c r="BE162" s="5" t="b">
        <f>IFERROR(__xludf.DUMMYFUNCTION("""COMPUTED_VALUE"""),TRUE)</f>
        <v>1</v>
      </c>
    </row>
    <row r="163">
      <c r="A163" s="5">
        <f>IFERROR(__xludf.DUMMYFUNCTION("""COMPUTED_VALUE"""),163.0)</f>
        <v>163</v>
      </c>
      <c r="B163" s="5">
        <f>IFERROR(__xludf.DUMMYFUNCTION("""COMPUTED_VALUE"""),162.0)</f>
        <v>162</v>
      </c>
      <c r="C163" s="5" t="str">
        <f>IFERROR(__xludf.DUMMYFUNCTION("""COMPUTED_VALUE"""),"Tiptop")</f>
        <v>Tiptop</v>
      </c>
      <c r="D163" s="5" t="str">
        <f>IFERROR(__xludf.DUMMYFUNCTION("""COMPUTED_VALUE"""),"Da Vinci's Fruits")</f>
        <v>Da Vinci's Fruits</v>
      </c>
      <c r="E163" s="5"/>
      <c r="F163" s="5" t="str">
        <f>IFERROR(__xludf.DUMMYFUNCTION("""COMPUTED_VALUE"""),"UnicornDaVincisFruits")</f>
        <v>UnicornDaVincisFruits</v>
      </c>
      <c r="G163" s="5" t="str">
        <f>IFERROR(__xludf.DUMMYFUNCTION("""COMPUTED_VALUE"""),"Live")</f>
        <v>Live</v>
      </c>
      <c r="H163" s="5"/>
      <c r="I163" s="5" t="str">
        <f>IFERROR(__xludf.DUMMYFUNCTION("""COMPUTED_VALUE"""),"TipTop")</f>
        <v>TipTop</v>
      </c>
      <c r="J163" s="5" t="str">
        <f>IFERROR(__xludf.DUMMYFUNCTION("""COMPUTED_VALUE"""),"JSON")</f>
        <v>JSON</v>
      </c>
      <c r="K163" s="5" t="str">
        <f>IFERROR(__xludf.DUMMYFUNCTION("""COMPUTED_VALUE"""),"Slot")</f>
        <v>Slot</v>
      </c>
      <c r="L163" s="5"/>
      <c r="M163" s="5"/>
      <c r="N163" s="5"/>
      <c r="O163" s="5"/>
      <c r="P163" s="12">
        <f>IFERROR(__xludf.DUMMYFUNCTION("""COMPUTED_VALUE"""),14.7)</f>
        <v>14.7</v>
      </c>
      <c r="Q163" s="13">
        <f>IFERROR(__xludf.DUMMYFUNCTION("""COMPUTED_VALUE"""),44707.0)</f>
        <v>44707</v>
      </c>
      <c r="R163" s="14"/>
      <c r="S163" s="13">
        <f>IFERROR(__xludf.DUMMYFUNCTION("""COMPUTED_VALUE"""),44707.0)</f>
        <v>44707</v>
      </c>
      <c r="T163" s="5"/>
      <c r="U163" s="5" t="str">
        <f>IFERROR(__xludf.DUMMYFUNCTION("""COMPUTED_VALUE"""),"5X3")</f>
        <v>5X3</v>
      </c>
      <c r="V163" s="10" t="str">
        <f>IFERROR(__xludf.DUMMYFUNCTION("""COMPUTED_VALUE"""),"5")</f>
        <v>5</v>
      </c>
      <c r="W163" s="10" t="str">
        <f>IFERROR(__xludf.DUMMYFUNCTION("""COMPUTED_VALUE"""),"5")</f>
        <v>5</v>
      </c>
      <c r="X163" s="5">
        <f>IFERROR(__xludf.DUMMYFUNCTION("""COMPUTED_VALUE"""),96.0)</f>
        <v>96</v>
      </c>
      <c r="Y163" s="5" t="str">
        <f>IFERROR(__xludf.DUMMYFUNCTION("""COMPUTED_VALUE"""),"Low")</f>
        <v>Low</v>
      </c>
      <c r="Z163" s="5">
        <f>IFERROR(__xludf.DUMMYFUNCTION("""COMPUTED_VALUE"""),10.5)</f>
        <v>10.5</v>
      </c>
      <c r="AA163" s="12">
        <f>IFERROR(__xludf.DUMMYFUNCTION("""COMPUTED_VALUE"""),1000.0)</f>
        <v>1000</v>
      </c>
      <c r="AB163" s="5"/>
      <c r="AC163" s="5"/>
      <c r="AD163" s="5" t="str">
        <f>IFERROR(__xludf.DUMMYFUNCTION("""COMPUTED_VALUE"""),"0.05/100")</f>
        <v>0.05/100</v>
      </c>
      <c r="AE163" s="5"/>
      <c r="AF163" s="5"/>
      <c r="AG163" s="8">
        <f>IFERROR(__xludf.DUMMYFUNCTION("""COMPUTED_VALUE"""),46197.45178240741)</f>
        <v>46197.45178</v>
      </c>
      <c r="AH163" s="5" t="str">
        <f>IFERROR(__xludf.DUMMYFUNCTION("""COMPUTED_VALUE"""),"selena.mihajlovic@fazi.rs")</f>
        <v>selena.mihajlovic@fazi.rs</v>
      </c>
      <c r="AI163" s="5"/>
      <c r="AJ163" s="5"/>
      <c r="AK163" s="5">
        <f>IFERROR(__xludf.DUMMYFUNCTION("""COMPUTED_VALUE"""),5.0)</f>
        <v>5</v>
      </c>
      <c r="AL163" s="5" t="str">
        <f>IFERROR(__xludf.DUMMYFUNCTION("""COMPUTED_VALUE"""),"No")</f>
        <v>No</v>
      </c>
      <c r="AM163" s="5"/>
      <c r="AN163" s="7" t="str">
        <f>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AO163" s="5"/>
      <c r="AP163" s="5"/>
      <c r="AQ163" s="5" t="b">
        <f>IFERROR(__xludf.DUMMYFUNCTION("""COMPUTED_VALUE"""),TRUE)</f>
        <v>1</v>
      </c>
      <c r="AR163" s="5"/>
      <c r="AS163" s="5" t="str">
        <f>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AT163" s="5"/>
      <c r="AU163" s="5" t="str">
        <f>IFERROR(__xludf.DUMMYFUNCTION("""COMPUTED_VALUE"""),"Fazi")</f>
        <v>Fazi</v>
      </c>
      <c r="AV163" s="5"/>
      <c r="AW163" s="5"/>
      <c r="AX163" s="5"/>
      <c r="AY163" s="5"/>
      <c r="AZ163" s="5"/>
      <c r="BA163" s="5"/>
      <c r="BB163" s="5" t="b">
        <f>IFERROR(__xludf.DUMMYFUNCTION("""COMPUTED_VALUE"""),TRUE)</f>
        <v>1</v>
      </c>
      <c r="BC163" s="5" t="str">
        <f>IFERROR(__xludf.DUMMYFUNCTION("""COMPUTED_VALUE"""),"Tiptop")</f>
        <v>Tiptop</v>
      </c>
      <c r="BD163" s="7" t="str">
        <f>IFERROR(__xludf.DUMMYFUNCTION("""COMPUTED_VALUE"""),"https://gameserver-store-client-area.orbionlimited.com/Home/IntegrationGameLaunch/client-area?moneyType=0&amp;gameName=UnicornDaVincisFruits&amp;platform=desktop&amp;languageCode=eng&amp;currency=EUR")</f>
        <v>https://gameserver-store-client-area.orbionlimited.com/Home/IntegrationGameLaunch/client-area?moneyType=0&amp;gameName=UnicornDaVincisFruits&amp;platform=desktop&amp;languageCode=eng&amp;currency=EUR</v>
      </c>
      <c r="BE163" s="5" t="b">
        <f>IFERROR(__xludf.DUMMYFUNCTION("""COMPUTED_VALUE"""),TRUE)</f>
        <v>1</v>
      </c>
    </row>
    <row r="164">
      <c r="A164" s="5">
        <f>IFERROR(__xludf.DUMMYFUNCTION("""COMPUTED_VALUE"""),164.0)</f>
        <v>164</v>
      </c>
      <c r="B164" s="5">
        <f>IFERROR(__xludf.DUMMYFUNCTION("""COMPUTED_VALUE"""),163.0)</f>
        <v>163</v>
      </c>
      <c r="C164" s="5" t="str">
        <f>IFERROR(__xludf.DUMMYFUNCTION("""COMPUTED_VALUE"""),"Tiptop")</f>
        <v>Tiptop</v>
      </c>
      <c r="D164" s="5" t="str">
        <f>IFERROR(__xludf.DUMMYFUNCTION("""COMPUTED_VALUE"""),"Fruit Magic")</f>
        <v>Fruit Magic</v>
      </c>
      <c r="E164" s="5"/>
      <c r="F164" s="5" t="str">
        <f>IFERROR(__xludf.DUMMYFUNCTION("""COMPUTED_VALUE"""),"UnicornFruitMagic")</f>
        <v>UnicornFruitMagic</v>
      </c>
      <c r="G164" s="5" t="str">
        <f>IFERROR(__xludf.DUMMYFUNCTION("""COMPUTED_VALUE"""),"Live")</f>
        <v>Live</v>
      </c>
      <c r="H164" s="5"/>
      <c r="I164" s="5" t="str">
        <f>IFERROR(__xludf.DUMMYFUNCTION("""COMPUTED_VALUE"""),"TipTop")</f>
        <v>TipTop</v>
      </c>
      <c r="J164" s="5" t="str">
        <f>IFERROR(__xludf.DUMMYFUNCTION("""COMPUTED_VALUE"""),"JSON")</f>
        <v>JSON</v>
      </c>
      <c r="K164" s="5" t="str">
        <f>IFERROR(__xludf.DUMMYFUNCTION("""COMPUTED_VALUE"""),"Slot")</f>
        <v>Slot</v>
      </c>
      <c r="L164" s="5"/>
      <c r="M164" s="5"/>
      <c r="N164" s="5"/>
      <c r="O164" s="5"/>
      <c r="P164" s="12">
        <f>IFERROR(__xludf.DUMMYFUNCTION("""COMPUTED_VALUE"""),12.4)</f>
        <v>12.4</v>
      </c>
      <c r="Q164" s="13">
        <f>IFERROR(__xludf.DUMMYFUNCTION("""COMPUTED_VALUE"""),44726.0)</f>
        <v>44726</v>
      </c>
      <c r="R164" s="14"/>
      <c r="S164" s="13">
        <f>IFERROR(__xludf.DUMMYFUNCTION("""COMPUTED_VALUE"""),44726.0)</f>
        <v>44726</v>
      </c>
      <c r="T164" s="5"/>
      <c r="U164" s="5" t="str">
        <f>IFERROR(__xludf.DUMMYFUNCTION("""COMPUTED_VALUE"""),"5X3")</f>
        <v>5X3</v>
      </c>
      <c r="V164" s="10" t="str">
        <f>IFERROR(__xludf.DUMMYFUNCTION("""COMPUTED_VALUE"""),"10")</f>
        <v>10</v>
      </c>
      <c r="W164" s="10" t="str">
        <f>IFERROR(__xludf.DUMMYFUNCTION("""COMPUTED_VALUE"""),"10")</f>
        <v>10</v>
      </c>
      <c r="X164" s="5">
        <f>IFERROR(__xludf.DUMMYFUNCTION("""COMPUTED_VALUE"""),96.0)</f>
        <v>96</v>
      </c>
      <c r="Y164" s="5" t="str">
        <f>IFERROR(__xludf.DUMMYFUNCTION("""COMPUTED_VALUE"""),"Low")</f>
        <v>Low</v>
      </c>
      <c r="Z164" s="5">
        <f>IFERROR(__xludf.DUMMYFUNCTION("""COMPUTED_VALUE"""),26.12)</f>
        <v>26.12</v>
      </c>
      <c r="AA164" s="12">
        <f>IFERROR(__xludf.DUMMYFUNCTION("""COMPUTED_VALUE"""),1060.0)</f>
        <v>1060</v>
      </c>
      <c r="AB164" s="5"/>
      <c r="AC164" s="5" t="str">
        <f>IFERROR(__xludf.DUMMYFUNCTION("""COMPUTED_VALUE"""),"Expanding Wild")</f>
        <v>Expanding Wild</v>
      </c>
      <c r="AD164" s="5" t="str">
        <f>IFERROR(__xludf.DUMMYFUNCTION("""COMPUTED_VALUE"""),"0.1/100")</f>
        <v>0.1/100</v>
      </c>
      <c r="AE164" s="5"/>
      <c r="AF164" s="5"/>
      <c r="AG164" s="8">
        <f>IFERROR(__xludf.DUMMYFUNCTION("""COMPUTED_VALUE"""),46197.45196759259)</f>
        <v>46197.45197</v>
      </c>
      <c r="AH164" s="5" t="str">
        <f>IFERROR(__xludf.DUMMYFUNCTION("""COMPUTED_VALUE"""),"selena.mihajlovic@fazi.rs")</f>
        <v>selena.mihajlovic@fazi.rs</v>
      </c>
      <c r="AI164" s="5"/>
      <c r="AJ164" s="5"/>
      <c r="AK164" s="5">
        <f>IFERROR(__xludf.DUMMYFUNCTION("""COMPUTED_VALUE"""),10.0)</f>
        <v>10</v>
      </c>
      <c r="AL164" s="5" t="str">
        <f>IFERROR(__xludf.DUMMYFUNCTION("""COMPUTED_VALUE"""),"No")</f>
        <v>No</v>
      </c>
      <c r="AM164" s="5"/>
      <c r="AN164" s="7" t="str">
        <f>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AO164" s="5"/>
      <c r="AP164" s="5"/>
      <c r="AQ164" s="5" t="b">
        <f>IFERROR(__xludf.DUMMYFUNCTION("""COMPUTED_VALUE"""),TRUE)</f>
        <v>1</v>
      </c>
      <c r="AR164" s="5"/>
      <c r="AS164" s="5" t="str">
        <f>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AT164" s="5"/>
      <c r="AU164" s="5" t="str">
        <f>IFERROR(__xludf.DUMMYFUNCTION("""COMPUTED_VALUE"""),"Fazi")</f>
        <v>Fazi</v>
      </c>
      <c r="AV164" s="5"/>
      <c r="AW164" s="5"/>
      <c r="AX164" s="5"/>
      <c r="AY164" s="5"/>
      <c r="AZ164" s="5"/>
      <c r="BA164" s="5"/>
      <c r="BB164" s="5" t="b">
        <f>IFERROR(__xludf.DUMMYFUNCTION("""COMPUTED_VALUE"""),TRUE)</f>
        <v>1</v>
      </c>
      <c r="BC164" s="5" t="str">
        <f>IFERROR(__xludf.DUMMYFUNCTION("""COMPUTED_VALUE"""),"Tiptop")</f>
        <v>Tiptop</v>
      </c>
      <c r="BD164" s="7" t="str">
        <f>IFERROR(__xludf.DUMMYFUNCTION("""COMPUTED_VALUE"""),"https://gameserver-store-client-area.orbionlimited.com/Home/IntegrationGameLaunch/client-area?moneyType=0&amp;gameName=UnicornFruitMagic&amp;platform=desktop&amp;languageCode=eng&amp;currency=EUR")</f>
        <v>https://gameserver-store-client-area.orbionlimited.com/Home/IntegrationGameLaunch/client-area?moneyType=0&amp;gameName=UnicornFruitMagic&amp;platform=desktop&amp;languageCode=eng&amp;currency=EUR</v>
      </c>
      <c r="BE164" s="5" t="b">
        <f>IFERROR(__xludf.DUMMYFUNCTION("""COMPUTED_VALUE"""),TRUE)</f>
        <v>1</v>
      </c>
    </row>
    <row r="165">
      <c r="A165" s="5">
        <f>IFERROR(__xludf.DUMMYFUNCTION("""COMPUTED_VALUE"""),165.0)</f>
        <v>165</v>
      </c>
      <c r="B165" s="5">
        <f>IFERROR(__xludf.DUMMYFUNCTION("""COMPUTED_VALUE"""),164.0)</f>
        <v>164</v>
      </c>
      <c r="C165" s="5" t="str">
        <f>IFERROR(__xludf.DUMMYFUNCTION("""COMPUTED_VALUE"""),"Tiptop")</f>
        <v>Tiptop</v>
      </c>
      <c r="D165" s="5" t="str">
        <f>IFERROR(__xludf.DUMMYFUNCTION("""COMPUTED_VALUE"""),"Money Standard")</f>
        <v>Money Standard</v>
      </c>
      <c r="E165" s="5"/>
      <c r="F165" s="5" t="str">
        <f>IFERROR(__xludf.DUMMYFUNCTION("""COMPUTED_VALUE"""),"UnicornMoneyStandard")</f>
        <v>UnicornMoneyStandard</v>
      </c>
      <c r="G165" s="5" t="str">
        <f>IFERROR(__xludf.DUMMYFUNCTION("""COMPUTED_VALUE"""),"Live")</f>
        <v>Live</v>
      </c>
      <c r="H165" s="5"/>
      <c r="I165" s="5" t="str">
        <f>IFERROR(__xludf.DUMMYFUNCTION("""COMPUTED_VALUE"""),"TipTop")</f>
        <v>TipTop</v>
      </c>
      <c r="J165" s="5" t="str">
        <f>IFERROR(__xludf.DUMMYFUNCTION("""COMPUTED_VALUE"""),"JSON")</f>
        <v>JSON</v>
      </c>
      <c r="K165" s="5" t="str">
        <f>IFERROR(__xludf.DUMMYFUNCTION("""COMPUTED_VALUE"""),"Slot")</f>
        <v>Slot</v>
      </c>
      <c r="L165" s="5"/>
      <c r="M165" s="5"/>
      <c r="N165" s="5"/>
      <c r="O165" s="5"/>
      <c r="P165" s="12">
        <f>IFERROR(__xludf.DUMMYFUNCTION("""COMPUTED_VALUE"""),9.5)</f>
        <v>9.5</v>
      </c>
      <c r="Q165" s="13">
        <f>IFERROR(__xludf.DUMMYFUNCTION("""COMPUTED_VALUE"""),44747.0)</f>
        <v>44747</v>
      </c>
      <c r="R165" s="14"/>
      <c r="S165" s="13">
        <f>IFERROR(__xludf.DUMMYFUNCTION("""COMPUTED_VALUE"""),44747.0)</f>
        <v>44747</v>
      </c>
      <c r="T165" s="5"/>
      <c r="U165" s="5" t="str">
        <f>IFERROR(__xludf.DUMMYFUNCTION("""COMPUTED_VALUE"""),"5X4")</f>
        <v>5X4</v>
      </c>
      <c r="V165" s="10" t="str">
        <f>IFERROR(__xludf.DUMMYFUNCTION("""COMPUTED_VALUE"""),"20")</f>
        <v>20</v>
      </c>
      <c r="W165" s="10" t="str">
        <f>IFERROR(__xludf.DUMMYFUNCTION("""COMPUTED_VALUE"""),"20")</f>
        <v>20</v>
      </c>
      <c r="X165" s="5">
        <f>IFERROR(__xludf.DUMMYFUNCTION("""COMPUTED_VALUE"""),96.0)</f>
        <v>96</v>
      </c>
      <c r="Y165" s="5" t="str">
        <f>IFERROR(__xludf.DUMMYFUNCTION("""COMPUTED_VALUE"""),"Low")</f>
        <v>Low</v>
      </c>
      <c r="Z165" s="5">
        <f>IFERROR(__xludf.DUMMYFUNCTION("""COMPUTED_VALUE"""),11.7)</f>
        <v>11.7</v>
      </c>
      <c r="AA165" s="12">
        <f>IFERROR(__xludf.DUMMYFUNCTION("""COMPUTED_VALUE"""),5000.0)</f>
        <v>5000</v>
      </c>
      <c r="AB165" s="5"/>
      <c r="AC165" s="5"/>
      <c r="AD165" s="5" t="str">
        <f>IFERROR(__xludf.DUMMYFUNCTION("""COMPUTED_VALUE"""),"0.2/100")</f>
        <v>0.2/100</v>
      </c>
      <c r="AE165" s="5"/>
      <c r="AF165" s="5"/>
      <c r="AG165" s="8">
        <f>IFERROR(__xludf.DUMMYFUNCTION("""COMPUTED_VALUE"""),46197.45209490741)</f>
        <v>46197.45209</v>
      </c>
      <c r="AH165" s="5" t="str">
        <f>IFERROR(__xludf.DUMMYFUNCTION("""COMPUTED_VALUE"""),"selena.mihajlovic@fazi.rs")</f>
        <v>selena.mihajlovic@fazi.rs</v>
      </c>
      <c r="AI165" s="5"/>
      <c r="AJ165" s="5"/>
      <c r="AK165" s="5">
        <f>IFERROR(__xludf.DUMMYFUNCTION("""COMPUTED_VALUE"""),20.0)</f>
        <v>20</v>
      </c>
      <c r="AL165" s="5" t="str">
        <f>IFERROR(__xludf.DUMMYFUNCTION("""COMPUTED_VALUE"""),"No")</f>
        <v>No</v>
      </c>
      <c r="AM165" s="5"/>
      <c r="AN165" s="7" t="str">
        <f>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AO165" s="5"/>
      <c r="AP165" s="5"/>
      <c r="AQ165" s="5" t="b">
        <f>IFERROR(__xludf.DUMMYFUNCTION("""COMPUTED_VALUE"""),TRUE)</f>
        <v>1</v>
      </c>
      <c r="AR165" s="5"/>
      <c r="AS165" s="5" t="str">
        <f>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AT165" s="5"/>
      <c r="AU165" s="5" t="str">
        <f>IFERROR(__xludf.DUMMYFUNCTION("""COMPUTED_VALUE"""),"Fazi")</f>
        <v>Fazi</v>
      </c>
      <c r="AV165" s="5"/>
      <c r="AW165" s="5"/>
      <c r="AX165" s="5"/>
      <c r="AY165" s="5"/>
      <c r="AZ165" s="5"/>
      <c r="BA165" s="5"/>
      <c r="BB165" s="5" t="b">
        <f>IFERROR(__xludf.DUMMYFUNCTION("""COMPUTED_VALUE"""),TRUE)</f>
        <v>1</v>
      </c>
      <c r="BC165" s="5" t="str">
        <f>IFERROR(__xludf.DUMMYFUNCTION("""COMPUTED_VALUE"""),"Tiptop")</f>
        <v>Tiptop</v>
      </c>
      <c r="BD165" s="7" t="str">
        <f>IFERROR(__xludf.DUMMYFUNCTION("""COMPUTED_VALUE"""),"https://gameserver-store-client-area.orbionlimited.com/Home/IntegrationGameLaunch/client-area?moneyType=0&amp;gameName=UnicornMoneyStandard&amp;platform=desktop&amp;languageCode=eng&amp;currency=EUR")</f>
        <v>https://gameserver-store-client-area.orbionlimited.com/Home/IntegrationGameLaunch/client-area?moneyType=0&amp;gameName=UnicornMoneyStandard&amp;platform=desktop&amp;languageCode=eng&amp;currency=EUR</v>
      </c>
      <c r="BE165" s="5" t="b">
        <f>IFERROR(__xludf.DUMMYFUNCTION("""COMPUTED_VALUE"""),TRUE)</f>
        <v>1</v>
      </c>
    </row>
    <row r="166">
      <c r="A166" s="5">
        <f>IFERROR(__xludf.DUMMYFUNCTION("""COMPUTED_VALUE"""),166.0)</f>
        <v>166</v>
      </c>
      <c r="B166" s="5">
        <f>IFERROR(__xludf.DUMMYFUNCTION("""COMPUTED_VALUE"""),165.0)</f>
        <v>165</v>
      </c>
      <c r="C166" s="5" t="str">
        <f>IFERROR(__xludf.DUMMYFUNCTION("""COMPUTED_VALUE"""),"Redstone")</f>
        <v>Redstone</v>
      </c>
      <c r="D166" s="5" t="str">
        <f>IFERROR(__xludf.DUMMYFUNCTION("""COMPUTED_VALUE"""),"10 Wild Diamond")</f>
        <v>10 Wild Diamond</v>
      </c>
      <c r="E166" s="5" t="str">
        <f>IFERROR(__xludf.DUMMYFUNCTION("""COMPUTED_VALUE"""),"Redstone")</f>
        <v>Redstone</v>
      </c>
      <c r="F166" s="5" t="str">
        <f>IFERROR(__xludf.DUMMYFUNCTION("""COMPUTED_VALUE"""),"WildDiamond10")</f>
        <v>WildDiamond10</v>
      </c>
      <c r="G166" s="5" t="str">
        <f>IFERROR(__xludf.DUMMYFUNCTION("""COMPUTED_VALUE"""),"Live")</f>
        <v>Live</v>
      </c>
      <c r="H166" s="5"/>
      <c r="I166" s="5" t="str">
        <f>IFERROR(__xludf.DUMMYFUNCTION("""COMPUTED_VALUE"""),"Redstone")</f>
        <v>Redstone</v>
      </c>
      <c r="J166" s="5" t="str">
        <f>IFERROR(__xludf.DUMMYFUNCTION("""COMPUTED_VALUE"""),"JSON")</f>
        <v>JSON</v>
      </c>
      <c r="K166" s="5" t="str">
        <f>IFERROR(__xludf.DUMMYFUNCTION("""COMPUTED_VALUE"""),"Slot")</f>
        <v>Slot</v>
      </c>
      <c r="L166" s="5" t="str">
        <f>IFERROR(__xludf.DUMMYFUNCTION("""COMPUTED_VALUE""")," Clone")</f>
        <v> Clone</v>
      </c>
      <c r="M166" s="5" t="str">
        <f>IFERROR(__xludf.DUMMYFUNCTION("""COMPUTED_VALUE"""),"10 Wild Crown")</f>
        <v>10 Wild Crown</v>
      </c>
      <c r="N166" s="7" t="str">
        <f>IFERROR(__xludf.DUMMYFUNCTION("""COMPUTED_VALUE"""),"https://docs.google.com/document/d/1lhnxNwHSO0QNRkNdhECb9Bi16w892Bip/edit?usp=drive_link&amp;ouid=107596163405648766688&amp;rtpof=true&amp;sd=true")</f>
        <v>https://docs.google.com/document/d/1lhnxNwHSO0QNRkNdhECb9Bi16w892Bip/edit?usp=drive_link&amp;ouid=107596163405648766688&amp;rtpof=true&amp;sd=true</v>
      </c>
      <c r="O166" s="7" t="str">
        <f>IFERROR(__xludf.DUMMYFUNCTION("""COMPUTED_VALUE"""),"https://docs.google.com/document/d/1SwHALhIgoYMx1a02Y-AvihYWtrIoigje/edit?usp=drive_link&amp;ouid=107596163405648766688&amp;rtpof=true&amp;sd=true")</f>
        <v>https://docs.google.com/document/d/1SwHALhIgoYMx1a02Y-AvihYWtrIoigje/edit?usp=drive_link&amp;ouid=107596163405648766688&amp;rtpof=true&amp;sd=true</v>
      </c>
      <c r="P166" s="12">
        <f>IFERROR(__xludf.DUMMYFUNCTION("""COMPUTED_VALUE"""),7.39)</f>
        <v>7.39</v>
      </c>
      <c r="Q166" s="13">
        <f>IFERROR(__xludf.DUMMYFUNCTION("""COMPUTED_VALUE"""),44699.0)</f>
        <v>44699</v>
      </c>
      <c r="R166" s="14"/>
      <c r="S166" s="13">
        <f>IFERROR(__xludf.DUMMYFUNCTION("""COMPUTED_VALUE"""),44699.0)</f>
        <v>44699</v>
      </c>
      <c r="T166" s="5"/>
      <c r="U166" s="5" t="str">
        <f>IFERROR(__xludf.DUMMYFUNCTION("""COMPUTED_VALUE"""),"5x3")</f>
        <v>5x3</v>
      </c>
      <c r="V166" s="10" t="str">
        <f>IFERROR(__xludf.DUMMYFUNCTION("""COMPUTED_VALUE"""),"10")</f>
        <v>10</v>
      </c>
      <c r="W166" s="10" t="str">
        <f>IFERROR(__xludf.DUMMYFUNCTION("""COMPUTED_VALUE"""),"10")</f>
        <v>10</v>
      </c>
      <c r="X166" s="5">
        <f>IFERROR(__xludf.DUMMYFUNCTION("""COMPUTED_VALUE"""),95.96)</f>
        <v>95.96</v>
      </c>
      <c r="Y166" s="5" t="str">
        <f>IFERROR(__xludf.DUMMYFUNCTION("""COMPUTED_VALUE"""),"Medium")</f>
        <v>Medium</v>
      </c>
      <c r="Z166" s="5">
        <f>IFERROR(__xludf.DUMMYFUNCTION("""COMPUTED_VALUE"""),14.63)</f>
        <v>14.63</v>
      </c>
      <c r="AA166" s="12">
        <f>IFERROR(__xludf.DUMMYFUNCTION("""COMPUTED_VALUE"""),1538.0)</f>
        <v>1538</v>
      </c>
      <c r="AB166" s="5"/>
      <c r="AC166" s="5" t="str">
        <f>IFERROR(__xludf.DUMMYFUNCTION("""COMPUTED_VALUE"""),"Expanding Wild, Scatter")</f>
        <v>Expanding Wild, Scatter</v>
      </c>
      <c r="AD166" s="5" t="str">
        <f>IFERROR(__xludf.DUMMYFUNCTION("""COMPUTED_VALUE"""),"0.10/40")</f>
        <v>0.10/40</v>
      </c>
      <c r="AE166" s="5"/>
      <c r="AF166" s="5"/>
      <c r="AG166" s="8">
        <f>IFERROR(__xludf.DUMMYFUNCTION("""COMPUTED_VALUE"""),46157.446909722225)</f>
        <v>46157.44691</v>
      </c>
      <c r="AH166" s="5"/>
      <c r="AI166" s="5"/>
      <c r="AJ166" s="5"/>
      <c r="AK166" s="5">
        <f>IFERROR(__xludf.DUMMYFUNCTION("""COMPUTED_VALUE"""),1.0)</f>
        <v>1</v>
      </c>
      <c r="AL166" s="5" t="str">
        <f>IFERROR(__xludf.DUMMYFUNCTION("""COMPUTED_VALUE"""),"No")</f>
        <v>No</v>
      </c>
      <c r="AM166" s="5" t="str">
        <f>IFERROR(__xludf.DUMMYFUNCTION("""COMPUTED_VALUE"""),"No")</f>
        <v>No</v>
      </c>
      <c r="AN166" s="7" t="str">
        <f>IFERROR(__xludf.DUMMYFUNCTION("""COMPUTED_VALUE"""),"https://static.redstone.rs/games/10-wild-diamond/")</f>
        <v>https://static.redstone.rs/games/10-wild-diamond/</v>
      </c>
      <c r="AO166" s="5" t="str">
        <f>IFERROR(__xludf.DUMMYFUNCTION("""COMPUTED_VALUE"""),"No")</f>
        <v>No</v>
      </c>
      <c r="AP166" s="5" t="str">
        <f>IFERROR(__xludf.DUMMYFUNCTION("""COMPUTED_VALUE"""),"No")</f>
        <v>No</v>
      </c>
      <c r="AQ166" s="5" t="b">
        <f>IFERROR(__xludf.DUMMYFUNCTION("""COMPUTED_VALUE"""),TRUE)</f>
        <v>1</v>
      </c>
      <c r="AR166" s="5"/>
      <c r="AS166" s="5" t="str">
        <f>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AT166" s="5"/>
      <c r="AU166" s="5" t="str">
        <f>IFERROR(__xludf.DUMMYFUNCTION("""COMPUTED_VALUE"""),"Redstone")</f>
        <v>Redstone</v>
      </c>
      <c r="AV166" s="5"/>
      <c r="AW166" s="5"/>
      <c r="AX166" s="5"/>
      <c r="AY166" s="5"/>
      <c r="AZ166" s="5"/>
      <c r="BA166" s="5"/>
      <c r="BB166" s="5" t="b">
        <f>IFERROR(__xludf.DUMMYFUNCTION("""COMPUTED_VALUE"""),TRUE)</f>
        <v>1</v>
      </c>
      <c r="BC166" s="5" t="str">
        <f>IFERROR(__xludf.DUMMYFUNCTION("""COMPUTED_VALUE"""),"Redstone")</f>
        <v>Redstone</v>
      </c>
      <c r="BD166" s="7" t="str">
        <f>IFERROR(__xludf.DUMMYFUNCTION("""COMPUTED_VALUE"""),"https://static.redstone.rs/games/10-wild-diamond/")</f>
        <v>https://static.redstone.rs/games/10-wild-diamond/</v>
      </c>
      <c r="BE166" s="5" t="b">
        <f>IFERROR(__xludf.DUMMYFUNCTION("""COMPUTED_VALUE"""),TRUE)</f>
        <v>1</v>
      </c>
    </row>
    <row r="167">
      <c r="A167" s="5">
        <f>IFERROR(__xludf.DUMMYFUNCTION("""COMPUTED_VALUE"""),167.0)</f>
        <v>167</v>
      </c>
      <c r="B167" s="5">
        <f>IFERROR(__xludf.DUMMYFUNCTION("""COMPUTED_VALUE"""),166.0)</f>
        <v>166</v>
      </c>
      <c r="C167" s="5" t="str">
        <f>IFERROR(__xludf.DUMMYFUNCTION("""COMPUTED_VALUE"""),"Tiptop")</f>
        <v>Tiptop</v>
      </c>
      <c r="D167" s="5" t="str">
        <f>IFERROR(__xludf.DUMMYFUNCTION("""COMPUTED_VALUE"""),"Mini Mega Cash")</f>
        <v>Mini Mega Cash</v>
      </c>
      <c r="E167" s="5"/>
      <c r="F167" s="5" t="str">
        <f>IFERROR(__xludf.DUMMYFUNCTION("""COMPUTED_VALUE"""),"UnicornMiniMegaCash")</f>
        <v>UnicornMiniMegaCash</v>
      </c>
      <c r="G167" s="5" t="str">
        <f>IFERROR(__xludf.DUMMYFUNCTION("""COMPUTED_VALUE"""),"Live")</f>
        <v>Live</v>
      </c>
      <c r="H167" s="5"/>
      <c r="I167" s="5" t="str">
        <f>IFERROR(__xludf.DUMMYFUNCTION("""COMPUTED_VALUE"""),"TipTop")</f>
        <v>TipTop</v>
      </c>
      <c r="J167" s="5" t="str">
        <f>IFERROR(__xludf.DUMMYFUNCTION("""COMPUTED_VALUE"""),"JSON")</f>
        <v>JSON</v>
      </c>
      <c r="K167" s="5" t="str">
        <f>IFERROR(__xludf.DUMMYFUNCTION("""COMPUTED_VALUE"""),"Slot")</f>
        <v>Slot</v>
      </c>
      <c r="L167" s="5"/>
      <c r="M167" s="5"/>
      <c r="N167" s="5"/>
      <c r="O167" s="5"/>
      <c r="P167" s="12">
        <f>IFERROR(__xludf.DUMMYFUNCTION("""COMPUTED_VALUE"""),11.9)</f>
        <v>11.9</v>
      </c>
      <c r="Q167" s="13">
        <f>IFERROR(__xludf.DUMMYFUNCTION("""COMPUTED_VALUE"""),44768.0)</f>
        <v>44768</v>
      </c>
      <c r="R167" s="14"/>
      <c r="S167" s="13">
        <f>IFERROR(__xludf.DUMMYFUNCTION("""COMPUTED_VALUE"""),44768.0)</f>
        <v>44768</v>
      </c>
      <c r="T167" s="5"/>
      <c r="U167" s="5" t="str">
        <f>IFERROR(__xludf.DUMMYFUNCTION("""COMPUTED_VALUE"""),"5X3")</f>
        <v>5X3</v>
      </c>
      <c r="V167" s="10" t="str">
        <f>IFERROR(__xludf.DUMMYFUNCTION("""COMPUTED_VALUE"""),"10")</f>
        <v>10</v>
      </c>
      <c r="W167" s="10" t="str">
        <f>IFERROR(__xludf.DUMMYFUNCTION("""COMPUTED_VALUE"""),"10")</f>
        <v>10</v>
      </c>
      <c r="X167" s="5">
        <f>IFERROR(__xludf.DUMMYFUNCTION("""COMPUTED_VALUE"""),96.0)</f>
        <v>96</v>
      </c>
      <c r="Y167" s="5" t="str">
        <f>IFERROR(__xludf.DUMMYFUNCTION("""COMPUTED_VALUE"""),"Low")</f>
        <v>Low</v>
      </c>
      <c r="Z167" s="5">
        <f>IFERROR(__xludf.DUMMYFUNCTION("""COMPUTED_VALUE"""),21.22)</f>
        <v>21.22</v>
      </c>
      <c r="AA167" s="12">
        <f>IFERROR(__xludf.DUMMYFUNCTION("""COMPUTED_VALUE"""),5000.0)</f>
        <v>5000</v>
      </c>
      <c r="AB167" s="5"/>
      <c r="AC167" s="5" t="str">
        <f>IFERROR(__xludf.DUMMYFUNCTION("""COMPUTED_VALUE"""),"Scatter")</f>
        <v>Scatter</v>
      </c>
      <c r="AD167" s="5" t="str">
        <f>IFERROR(__xludf.DUMMYFUNCTION("""COMPUTED_VALUE"""),"0.1/100")</f>
        <v>0.1/100</v>
      </c>
      <c r="AE167" s="5"/>
      <c r="AF167" s="5"/>
      <c r="AG167" s="8">
        <f>IFERROR(__xludf.DUMMYFUNCTION("""COMPUTED_VALUE"""),46197.45226851852)</f>
        <v>46197.45227</v>
      </c>
      <c r="AH167" s="5" t="str">
        <f>IFERROR(__xludf.DUMMYFUNCTION("""COMPUTED_VALUE"""),"selena.mihajlovic@fazi.rs")</f>
        <v>selena.mihajlovic@fazi.rs</v>
      </c>
      <c r="AI167" s="5"/>
      <c r="AJ167" s="5"/>
      <c r="AK167" s="5">
        <f>IFERROR(__xludf.DUMMYFUNCTION("""COMPUTED_VALUE"""),10.0)</f>
        <v>10</v>
      </c>
      <c r="AL167" s="5" t="str">
        <f>IFERROR(__xludf.DUMMYFUNCTION("""COMPUTED_VALUE"""),"No")</f>
        <v>No</v>
      </c>
      <c r="AM167" s="5"/>
      <c r="AN167" s="7" t="str">
        <f>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AO167" s="5"/>
      <c r="AP167" s="5"/>
      <c r="AQ167" s="5" t="b">
        <f>IFERROR(__xludf.DUMMYFUNCTION("""COMPUTED_VALUE"""),TRUE)</f>
        <v>1</v>
      </c>
      <c r="AR167" s="5"/>
      <c r="AS167" s="5" t="str">
        <f>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AT167" s="5"/>
      <c r="AU167" s="5" t="str">
        <f>IFERROR(__xludf.DUMMYFUNCTION("""COMPUTED_VALUE"""),"Fazi")</f>
        <v>Fazi</v>
      </c>
      <c r="AV167" s="5"/>
      <c r="AW167" s="5"/>
      <c r="AX167" s="5"/>
      <c r="AY167" s="5"/>
      <c r="AZ167" s="5"/>
      <c r="BA167" s="5"/>
      <c r="BB167" s="5" t="b">
        <f>IFERROR(__xludf.DUMMYFUNCTION("""COMPUTED_VALUE"""),TRUE)</f>
        <v>1</v>
      </c>
      <c r="BC167" s="5" t="str">
        <f>IFERROR(__xludf.DUMMYFUNCTION("""COMPUTED_VALUE"""),"Tiptop")</f>
        <v>Tiptop</v>
      </c>
      <c r="BD167" s="7" t="str">
        <f>IFERROR(__xludf.DUMMYFUNCTION("""COMPUTED_VALUE"""),"https://gameserver-store-client-area.orbionlimited.com/Home/IntegrationGameLaunch/client-area?moneyType=0&amp;gameName=UnicornMiniMegaCash&amp;platform=desktop&amp;languageCode=eng&amp;currency=EUR")</f>
        <v>https://gameserver-store-client-area.orbionlimited.com/Home/IntegrationGameLaunch/client-area?moneyType=0&amp;gameName=UnicornMiniMegaCash&amp;platform=desktop&amp;languageCode=eng&amp;currency=EUR</v>
      </c>
      <c r="BE167" s="5" t="b">
        <f>IFERROR(__xludf.DUMMYFUNCTION("""COMPUTED_VALUE"""),TRUE)</f>
        <v>1</v>
      </c>
    </row>
    <row r="168">
      <c r="A168" s="5">
        <f>IFERROR(__xludf.DUMMYFUNCTION("""COMPUTED_VALUE"""),168.0)</f>
        <v>168</v>
      </c>
      <c r="B168" s="5">
        <f>IFERROR(__xludf.DUMMYFUNCTION("""COMPUTED_VALUE"""),167.0)</f>
        <v>167</v>
      </c>
      <c r="C168" s="5" t="str">
        <f>IFERROR(__xludf.DUMMYFUNCTION("""COMPUTED_VALUE"""),"Fazi")</f>
        <v>Fazi</v>
      </c>
      <c r="D168" s="5" t="str">
        <f>IFERROR(__xludf.DUMMYFUNCTION("""COMPUTED_VALUE"""),"Fruity Face")</f>
        <v>Fruity Face</v>
      </c>
      <c r="E168" s="5" t="str">
        <f>IFERROR(__xludf.DUMMYFUNCTION("""COMPUTED_VALUE"""),"V2")</f>
        <v>V2</v>
      </c>
      <c r="F168" s="5" t="str">
        <f>IFERROR(__xludf.DUMMYFUNCTION("""COMPUTED_VALUE"""),"FruityFace")</f>
        <v>FruityFace</v>
      </c>
      <c r="G168" s="5" t="str">
        <f>IFERROR(__xludf.DUMMYFUNCTION("""COMPUTED_VALUE"""),"Live")</f>
        <v>Live</v>
      </c>
      <c r="H168" s="5"/>
      <c r="I168" s="5" t="str">
        <f>IFERROR(__xludf.DUMMYFUNCTION("""COMPUTED_VALUE"""),"V2")</f>
        <v>V2</v>
      </c>
      <c r="J168" s="5" t="str">
        <f>IFERROR(__xludf.DUMMYFUNCTION("""COMPUTED_VALUE"""),"Binary")</f>
        <v>Binary</v>
      </c>
      <c r="K168" s="5" t="str">
        <f>IFERROR(__xludf.DUMMYFUNCTION("""COMPUTED_VALUE"""),"Slot")</f>
        <v>Slot</v>
      </c>
      <c r="L168" s="5"/>
      <c r="M168" s="5"/>
      <c r="N168" s="5"/>
      <c r="O168" s="5"/>
      <c r="P168" s="12">
        <f>IFERROR(__xludf.DUMMYFUNCTION("""COMPUTED_VALUE"""),18.8)</f>
        <v>18.8</v>
      </c>
      <c r="Q168" s="13">
        <f>IFERROR(__xludf.DUMMYFUNCTION("""COMPUTED_VALUE"""),44719.0)</f>
        <v>44719</v>
      </c>
      <c r="R168" s="14"/>
      <c r="S168" s="13">
        <f>IFERROR(__xludf.DUMMYFUNCTION("""COMPUTED_VALUE"""),44719.0)</f>
        <v>44719</v>
      </c>
      <c r="T168" s="5" t="b">
        <f>IFERROR(__xludf.DUMMYFUNCTION("""COMPUTED_VALUE"""),TRUE)</f>
        <v>1</v>
      </c>
      <c r="U168" s="5" t="str">
        <f>IFERROR(__xludf.DUMMYFUNCTION("""COMPUTED_VALUE"""),"5x3")</f>
        <v>5x3</v>
      </c>
      <c r="V168" s="10" t="str">
        <f>IFERROR(__xludf.DUMMYFUNCTION("""COMPUTED_VALUE"""),"5")</f>
        <v>5</v>
      </c>
      <c r="W168" s="10" t="str">
        <f>IFERROR(__xludf.DUMMYFUNCTION("""COMPUTED_VALUE"""),"5")</f>
        <v>5</v>
      </c>
      <c r="X168" s="5">
        <f>IFERROR(__xludf.DUMMYFUNCTION("""COMPUTED_VALUE"""),96.25)</f>
        <v>96.25</v>
      </c>
      <c r="Y168" s="5" t="str">
        <f>IFERROR(__xludf.DUMMYFUNCTION("""COMPUTED_VALUE"""),"Medium")</f>
        <v>Medium</v>
      </c>
      <c r="Z168" s="5">
        <f>IFERROR(__xludf.DUMMYFUNCTION("""COMPUTED_VALUE"""),10.459999999999999)</f>
        <v>10.46</v>
      </c>
      <c r="AA168" s="12">
        <f>IFERROR(__xludf.DUMMYFUNCTION("""COMPUTED_VALUE"""),1040.0)</f>
        <v>1040</v>
      </c>
      <c r="AB168" s="5" t="str">
        <f>IFERROR(__xludf.DUMMYFUNCTION("""COMPUTED_VALUE"""),"/")</f>
        <v>/</v>
      </c>
      <c r="AC168" s="5"/>
      <c r="AD168" s="5" t="str">
        <f>IFERROR(__xludf.DUMMYFUNCTION("""COMPUTED_VALUE"""),"0.05/30")</f>
        <v>0.05/30</v>
      </c>
      <c r="AE168" s="5"/>
      <c r="AF168" s="5"/>
      <c r="AG168" s="5"/>
      <c r="AH168" s="5"/>
      <c r="AI168" s="5"/>
      <c r="AJ168" s="5"/>
      <c r="AK168" s="5">
        <f>IFERROR(__xludf.DUMMYFUNCTION("""COMPUTED_VALUE"""),5.0)</f>
        <v>5</v>
      </c>
      <c r="AL168" s="5" t="str">
        <f>IFERROR(__xludf.DUMMYFUNCTION("""COMPUTED_VALUE"""),"Yes")</f>
        <v>Yes</v>
      </c>
      <c r="AM168" s="5"/>
      <c r="AN168" s="7" t="str">
        <f>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AO168" s="5"/>
      <c r="AP168" s="5"/>
      <c r="AQ168" s="5" t="b">
        <f>IFERROR(__xludf.DUMMYFUNCTION("""COMPUTED_VALUE"""),TRUE)</f>
        <v>1</v>
      </c>
      <c r="AR168" s="5"/>
      <c r="AS168" s="5" t="str">
        <f>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AT168" s="5"/>
      <c r="AU168" s="5" t="str">
        <f>IFERROR(__xludf.DUMMYFUNCTION("""COMPUTED_VALUE"""),"Fazi")</f>
        <v>Fazi</v>
      </c>
      <c r="AV168" s="5"/>
      <c r="AW168" s="5"/>
      <c r="AX168" s="5"/>
      <c r="AY168" s="5"/>
      <c r="AZ168" s="5"/>
      <c r="BA168" s="5" t="str">
        <f>IFERROR(__xludf.DUMMYFUNCTION("""COMPUTED_VALUE"""),"")</f>
        <v/>
      </c>
      <c r="BB168" s="5"/>
      <c r="BC168" s="5" t="str">
        <f>IFERROR(__xludf.DUMMYFUNCTION("""COMPUTED_VALUE"""),"Foxi")</f>
        <v>Foxi</v>
      </c>
      <c r="BD168" s="7" t="str">
        <f>IFERROR(__xludf.DUMMYFUNCTION("""COMPUTED_VALUE"""),"https://gameserver-store-client-area.orbionlimited.com/Home/IntegrationGameLaunch/client-area?moneyType=0&amp;gameName=FruityFace&amp;platform=desktop&amp;languageCode=eng&amp;currency=EUR")</f>
        <v>https://gameserver-store-client-area.orbionlimited.com/Home/IntegrationGameLaunch/client-area?moneyType=0&amp;gameName=FruityFace&amp;platform=desktop&amp;languageCode=eng&amp;currency=EUR</v>
      </c>
      <c r="BE168" s="5" t="b">
        <f>IFERROR(__xludf.DUMMYFUNCTION("""COMPUTED_VALUE"""),TRUE)</f>
        <v>1</v>
      </c>
    </row>
    <row r="169">
      <c r="A169" s="5">
        <f>IFERROR(__xludf.DUMMYFUNCTION("""COMPUTED_VALUE"""),169.0)</f>
        <v>169</v>
      </c>
      <c r="B169" s="5">
        <f>IFERROR(__xludf.DUMMYFUNCTION("""COMPUTED_VALUE"""),168.0)</f>
        <v>168</v>
      </c>
      <c r="C169" s="5" t="str">
        <f>IFERROR(__xludf.DUMMYFUNCTION("""COMPUTED_VALUE"""),"Redstone")</f>
        <v>Redstone</v>
      </c>
      <c r="D169" s="5" t="str">
        <f>IFERROR(__xludf.DUMMYFUNCTION("""COMPUTED_VALUE"""),"5 Wild Heart")</f>
        <v>5 Wild Heart</v>
      </c>
      <c r="E169" s="5" t="str">
        <f>IFERROR(__xludf.DUMMYFUNCTION("""COMPUTED_VALUE"""),"Redstone")</f>
        <v>Redstone</v>
      </c>
      <c r="F169" s="5" t="str">
        <f>IFERROR(__xludf.DUMMYFUNCTION("""COMPUTED_VALUE"""),"WildHeart5")</f>
        <v>WildHeart5</v>
      </c>
      <c r="G169" s="5" t="str">
        <f>IFERROR(__xludf.DUMMYFUNCTION("""COMPUTED_VALUE"""),"Live")</f>
        <v>Live</v>
      </c>
      <c r="H169" s="5"/>
      <c r="I169" s="5" t="str">
        <f>IFERROR(__xludf.DUMMYFUNCTION("""COMPUTED_VALUE"""),"Redstone")</f>
        <v>Redstone</v>
      </c>
      <c r="J169" s="5" t="str">
        <f>IFERROR(__xludf.DUMMYFUNCTION("""COMPUTED_VALUE"""),"JSON")</f>
        <v>JSON</v>
      </c>
      <c r="K169" s="5" t="str">
        <f>IFERROR(__xludf.DUMMYFUNCTION("""COMPUTED_VALUE"""),"Slot")</f>
        <v>Slot</v>
      </c>
      <c r="L169" s="5" t="str">
        <f>IFERROR(__xludf.DUMMYFUNCTION("""COMPUTED_VALUE""")," Clone")</f>
        <v> Clone</v>
      </c>
      <c r="M169" s="5" t="str">
        <f>IFERROR(__xludf.DUMMYFUNCTION("""COMPUTED_VALUE"""),"5 Clover Fire")</f>
        <v>5 Clover Fire</v>
      </c>
      <c r="N169" s="7" t="str">
        <f>IFERROR(__xludf.DUMMYFUNCTION("""COMPUTED_VALUE"""),"https://docs.google.com/document/d/1CFAxxeOYIm8nYNAV6SbqnXJxfqQo4KjA/edit?usp=drive_link&amp;ouid=107596163405648766688&amp;rtpof=true&amp;sd=true")</f>
        <v>https://docs.google.com/document/d/1CFAxxeOYIm8nYNAV6SbqnXJxfqQo4KjA/edit?usp=drive_link&amp;ouid=107596163405648766688&amp;rtpof=true&amp;sd=true</v>
      </c>
      <c r="O169" s="7" t="str">
        <f>IFERROR(__xludf.DUMMYFUNCTION("""COMPUTED_VALUE"""),"https://docs.google.com/document/d/1yrDTw_s-LHjdBDnRcPJ85sWW6-bjGyoX/edit?usp=drive_link&amp;ouid=107596163405648766688&amp;rtpof=true&amp;sd=true")</f>
        <v>https://docs.google.com/document/d/1yrDTw_s-LHjdBDnRcPJ85sWW6-bjGyoX/edit?usp=drive_link&amp;ouid=107596163405648766688&amp;rtpof=true&amp;sd=true</v>
      </c>
      <c r="P169" s="12">
        <f>IFERROR(__xludf.DUMMYFUNCTION("""COMPUTED_VALUE"""),8.7)</f>
        <v>8.7</v>
      </c>
      <c r="Q169" s="13">
        <f>IFERROR(__xludf.DUMMYFUNCTION("""COMPUTED_VALUE"""),44718.0)</f>
        <v>44718</v>
      </c>
      <c r="R169" s="14"/>
      <c r="S169" s="13">
        <f>IFERROR(__xludf.DUMMYFUNCTION("""COMPUTED_VALUE"""),44718.0)</f>
        <v>44718</v>
      </c>
      <c r="T169" s="5"/>
      <c r="U169" s="5" t="str">
        <f>IFERROR(__xludf.DUMMYFUNCTION("""COMPUTED_VALUE"""),"5x3")</f>
        <v>5x3</v>
      </c>
      <c r="V169" s="10" t="str">
        <f>IFERROR(__xludf.DUMMYFUNCTION("""COMPUTED_VALUE"""),"5")</f>
        <v>5</v>
      </c>
      <c r="W169" s="10" t="str">
        <f>IFERROR(__xludf.DUMMYFUNCTION("""COMPUTED_VALUE"""),"5")</f>
        <v>5</v>
      </c>
      <c r="X169" s="5">
        <f>IFERROR(__xludf.DUMMYFUNCTION("""COMPUTED_VALUE"""),96.45)</f>
        <v>96.45</v>
      </c>
      <c r="Y169" s="5" t="str">
        <f>IFERROR(__xludf.DUMMYFUNCTION("""COMPUTED_VALUE"""),"Medium")</f>
        <v>Medium</v>
      </c>
      <c r="Z169" s="5">
        <f>IFERROR(__xludf.DUMMYFUNCTION("""COMPUTED_VALUE"""),14.5)</f>
        <v>14.5</v>
      </c>
      <c r="AA169" s="12">
        <f>IFERROR(__xludf.DUMMYFUNCTION("""COMPUTED_VALUE"""),1222.0)</f>
        <v>1222</v>
      </c>
      <c r="AB169" s="5"/>
      <c r="AC169" s="5" t="str">
        <f>IFERROR(__xludf.DUMMYFUNCTION("""COMPUTED_VALUE"""),"Expanding Wild, Scatter")</f>
        <v>Expanding Wild, Scatter</v>
      </c>
      <c r="AD169" s="5" t="str">
        <f>IFERROR(__xludf.DUMMYFUNCTION("""COMPUTED_VALUE"""),"0.05/30")</f>
        <v>0.05/30</v>
      </c>
      <c r="AE169" s="5"/>
      <c r="AF169" s="5"/>
      <c r="AG169" s="8">
        <f>IFERROR(__xludf.DUMMYFUNCTION("""COMPUTED_VALUE"""),46157.477800925924)</f>
        <v>46157.4778</v>
      </c>
      <c r="AH169" s="5"/>
      <c r="AI169" s="5"/>
      <c r="AJ169" s="5"/>
      <c r="AK169" s="5">
        <f>IFERROR(__xludf.DUMMYFUNCTION("""COMPUTED_VALUE"""),1.0)</f>
        <v>1</v>
      </c>
      <c r="AL169" s="5" t="str">
        <f>IFERROR(__xludf.DUMMYFUNCTION("""COMPUTED_VALUE"""),"No")</f>
        <v>No</v>
      </c>
      <c r="AM169" s="5" t="str">
        <f>IFERROR(__xludf.DUMMYFUNCTION("""COMPUTED_VALUE"""),"No")</f>
        <v>No</v>
      </c>
      <c r="AN169" s="7" t="str">
        <f>IFERROR(__xludf.DUMMYFUNCTION("""COMPUTED_VALUE"""),"https://static.redstone.rs/games/5-wild-heart/")</f>
        <v>https://static.redstone.rs/games/5-wild-heart/</v>
      </c>
      <c r="AO169" s="5" t="str">
        <f>IFERROR(__xludf.DUMMYFUNCTION("""COMPUTED_VALUE"""),"No")</f>
        <v>No</v>
      </c>
      <c r="AP169" s="5" t="str">
        <f>IFERROR(__xludf.DUMMYFUNCTION("""COMPUTED_VALUE"""),"No")</f>
        <v>No</v>
      </c>
      <c r="AQ169" s="5" t="b">
        <f>IFERROR(__xludf.DUMMYFUNCTION("""COMPUTED_VALUE"""),TRUE)</f>
        <v>1</v>
      </c>
      <c r="AR169" s="5"/>
      <c r="AS169" s="5" t="str">
        <f>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AT169" s="5"/>
      <c r="AU169" s="5" t="str">
        <f>IFERROR(__xludf.DUMMYFUNCTION("""COMPUTED_VALUE"""),"Redstone")</f>
        <v>Redstone</v>
      </c>
      <c r="AV169" s="5"/>
      <c r="AW169" s="5"/>
      <c r="AX169" s="5"/>
      <c r="AY169" s="5"/>
      <c r="AZ169" s="5"/>
      <c r="BA169" s="5"/>
      <c r="BB169" s="5" t="b">
        <f>IFERROR(__xludf.DUMMYFUNCTION("""COMPUTED_VALUE"""),TRUE)</f>
        <v>1</v>
      </c>
      <c r="BC169" s="5" t="str">
        <f>IFERROR(__xludf.DUMMYFUNCTION("""COMPUTED_VALUE"""),"Redstone")</f>
        <v>Redstone</v>
      </c>
      <c r="BD169" s="7" t="str">
        <f>IFERROR(__xludf.DUMMYFUNCTION("""COMPUTED_VALUE"""),"https://static.redstone.rs/games/5-wild-heart/")</f>
        <v>https://static.redstone.rs/games/5-wild-heart/</v>
      </c>
      <c r="BE169" s="5" t="b">
        <f>IFERROR(__xludf.DUMMYFUNCTION("""COMPUTED_VALUE"""),TRUE)</f>
        <v>1</v>
      </c>
    </row>
    <row r="170">
      <c r="A170" s="5">
        <f>IFERROR(__xludf.DUMMYFUNCTION("""COMPUTED_VALUE"""),170.0)</f>
        <v>170</v>
      </c>
      <c r="B170" s="5">
        <f>IFERROR(__xludf.DUMMYFUNCTION("""COMPUTED_VALUE"""),169.0)</f>
        <v>169</v>
      </c>
      <c r="C170" s="5" t="str">
        <f>IFERROR(__xludf.DUMMYFUNCTION("""COMPUTED_VALUE"""),"Fazi")</f>
        <v>Fazi</v>
      </c>
      <c r="D170" s="5" t="str">
        <f>IFERROR(__xludf.DUMMYFUNCTION("""COMPUTED_VALUE"""),"Classic Lucky Spin")</f>
        <v>Classic Lucky Spin</v>
      </c>
      <c r="E170" s="5" t="str">
        <f>IFERROR(__xludf.DUMMYFUNCTION("""COMPUTED_VALUE"""),"V2")</f>
        <v>V2</v>
      </c>
      <c r="F170" s="5" t="str">
        <f>IFERROR(__xludf.DUMMYFUNCTION("""COMPUTED_VALUE"""),"ClassicLuckySpin")</f>
        <v>ClassicLuckySpin</v>
      </c>
      <c r="G170" s="5" t="str">
        <f>IFERROR(__xludf.DUMMYFUNCTION("""COMPUTED_VALUE"""),"Live")</f>
        <v>Live</v>
      </c>
      <c r="H170" s="5"/>
      <c r="I170" s="5" t="str">
        <f>IFERROR(__xludf.DUMMYFUNCTION("""COMPUTED_VALUE"""),"V2")</f>
        <v>V2</v>
      </c>
      <c r="J170" s="5" t="str">
        <f>IFERROR(__xludf.DUMMYFUNCTION("""COMPUTED_VALUE"""),"JSON")</f>
        <v>JSON</v>
      </c>
      <c r="K170" s="5" t="str">
        <f>IFERROR(__xludf.DUMMYFUNCTION("""COMPUTED_VALUE"""),"Slot")</f>
        <v>Slot</v>
      </c>
      <c r="L170" s="5" t="str">
        <f>IFERROR(__xludf.DUMMYFUNCTION("""COMPUTED_VALUE"""),"Clone")</f>
        <v>Clone</v>
      </c>
      <c r="M170" s="5" t="str">
        <f>IFERROR(__xludf.DUMMYFUNCTION("""COMPUTED_VALUE"""),"Triple Hot")</f>
        <v>Triple Hot</v>
      </c>
      <c r="N170" s="5"/>
      <c r="O170" s="5"/>
      <c r="P170" s="12">
        <f>IFERROR(__xludf.DUMMYFUNCTION("""COMPUTED_VALUE"""),45.3)</f>
        <v>45.3</v>
      </c>
      <c r="Q170" s="13">
        <f>IFERROR(__xludf.DUMMYFUNCTION("""COMPUTED_VALUE"""),44727.0)</f>
        <v>44727</v>
      </c>
      <c r="R170" s="14"/>
      <c r="S170" s="13">
        <f>IFERROR(__xludf.DUMMYFUNCTION("""COMPUTED_VALUE"""),44727.0)</f>
        <v>44727</v>
      </c>
      <c r="T170" s="5"/>
      <c r="U170" s="5" t="str">
        <f>IFERROR(__xludf.DUMMYFUNCTION("""COMPUTED_VALUE"""),"3x3")</f>
        <v>3x3</v>
      </c>
      <c r="V170" s="10" t="str">
        <f>IFERROR(__xludf.DUMMYFUNCTION("""COMPUTED_VALUE"""),"5")</f>
        <v>5</v>
      </c>
      <c r="W170" s="10" t="str">
        <f>IFERROR(__xludf.DUMMYFUNCTION("""COMPUTED_VALUE"""),"5")</f>
        <v>5</v>
      </c>
      <c r="X170" s="5">
        <f>IFERROR(__xludf.DUMMYFUNCTION("""COMPUTED_VALUE"""),95.513)</f>
        <v>95.513</v>
      </c>
      <c r="Y170" s="5" t="str">
        <f>IFERROR(__xludf.DUMMYFUNCTION("""COMPUTED_VALUE"""),"Low")</f>
        <v>Low</v>
      </c>
      <c r="Z170" s="5">
        <f>IFERROR(__xludf.DUMMYFUNCTION("""COMPUTED_VALUE"""),6.510000000000001)</f>
        <v>6.51</v>
      </c>
      <c r="AA170" s="12">
        <f>IFERROR(__xludf.DUMMYFUNCTION("""COMPUTED_VALUE"""),60.0)</f>
        <v>60</v>
      </c>
      <c r="AB170" s="5" t="str">
        <f>IFERROR(__xludf.DUMMYFUNCTION("""COMPUTED_VALUE"""),"/")</f>
        <v>/</v>
      </c>
      <c r="AC170" s="5"/>
      <c r="AD170" s="5" t="str">
        <f>IFERROR(__xludf.DUMMYFUNCTION("""COMPUTED_VALUE"""),"0.05/30")</f>
        <v>0.05/30</v>
      </c>
      <c r="AE170" s="5"/>
      <c r="AF170" s="5"/>
      <c r="AG170" s="8">
        <f>IFERROR(__xludf.DUMMYFUNCTION("""COMPUTED_VALUE"""),46055.51724537037)</f>
        <v>46055.51725</v>
      </c>
      <c r="AH170" s="5" t="str">
        <f>IFERROR(__xludf.DUMMYFUNCTION("""COMPUTED_VALUE"""),"djordje.jankovic@fazi.rs")</f>
        <v>djordje.jankovic@fazi.rs</v>
      </c>
      <c r="AI170" s="5"/>
      <c r="AJ170" s="5"/>
      <c r="AK170" s="5">
        <f>IFERROR(__xludf.DUMMYFUNCTION("""COMPUTED_VALUE"""),5.0)</f>
        <v>5</v>
      </c>
      <c r="AL170" s="5" t="str">
        <f>IFERROR(__xludf.DUMMYFUNCTION("""COMPUTED_VALUE"""),"Yes")</f>
        <v>Yes</v>
      </c>
      <c r="AM170" s="5"/>
      <c r="AN170" s="7" t="str">
        <f>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AO170" s="5" t="str">
        <f>IFERROR(__xludf.DUMMYFUNCTION("""COMPUTED_VALUE"""),"Yes")</f>
        <v>Yes</v>
      </c>
      <c r="AP170" s="5" t="str">
        <f>IFERROR(__xludf.DUMMYFUNCTION("""COMPUTED_VALUE"""),"Yes")</f>
        <v>Yes</v>
      </c>
      <c r="AQ170" s="5" t="b">
        <f>IFERROR(__xludf.DUMMYFUNCTION("""COMPUTED_VALUE"""),TRUE)</f>
        <v>1</v>
      </c>
      <c r="AR170" s="5"/>
      <c r="AS170" s="5" t="str">
        <f>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AT170" s="5"/>
      <c r="AU170" s="5" t="str">
        <f>IFERROR(__xludf.DUMMYFUNCTION("""COMPUTED_VALUE"""),"Fazi")</f>
        <v>Fazi</v>
      </c>
      <c r="AV170" s="5"/>
      <c r="AW170" s="5"/>
      <c r="AX170" s="5"/>
      <c r="AY170" s="5"/>
      <c r="AZ170" s="5"/>
      <c r="BA170" s="5" t="str">
        <f>IFERROR(__xludf.DUMMYFUNCTION("""COMPUTED_VALUE"""),"")</f>
        <v/>
      </c>
      <c r="BB170" s="5"/>
      <c r="BC170" s="5" t="str">
        <f>IFERROR(__xludf.DUMMYFUNCTION("""COMPUTED_VALUE"""),"Foxi")</f>
        <v>Foxi</v>
      </c>
      <c r="BD170" s="7" t="str">
        <f>IFERROR(__xludf.DUMMYFUNCTION("""COMPUTED_VALUE"""),"https://gameserver-store-client-area.orbionlimited.com/Home/IntegrationGameLaunch/client-area?moneyType=0&amp;gameName=ClassicLuckySpin&amp;platform=desktop&amp;languageCode=eng&amp;currency=EUR")</f>
        <v>https://gameserver-store-client-area.orbionlimited.com/Home/IntegrationGameLaunch/client-area?moneyType=0&amp;gameName=ClassicLuckySpin&amp;platform=desktop&amp;languageCode=eng&amp;currency=EUR</v>
      </c>
      <c r="BE170" s="5" t="b">
        <f>IFERROR(__xludf.DUMMYFUNCTION("""COMPUTED_VALUE"""),TRUE)</f>
        <v>1</v>
      </c>
    </row>
    <row r="171">
      <c r="A171" s="5">
        <f>IFERROR(__xludf.DUMMYFUNCTION("""COMPUTED_VALUE"""),171.0)</f>
        <v>171</v>
      </c>
      <c r="B171" s="5">
        <f>IFERROR(__xludf.DUMMYFUNCTION("""COMPUTED_VALUE"""),170.0)</f>
        <v>170</v>
      </c>
      <c r="C171" s="5" t="str">
        <f>IFERROR(__xludf.DUMMYFUNCTION("""COMPUTED_VALUE"""),"Tiptop")</f>
        <v>Tiptop</v>
      </c>
      <c r="D171" s="5" t="str">
        <f>IFERROR(__xludf.DUMMYFUNCTION("""COMPUTED_VALUE"""),"20 Dice Flames")</f>
        <v>20 Dice Flames</v>
      </c>
      <c r="E171" s="5"/>
      <c r="F171" s="5" t="str">
        <f>IFERROR(__xludf.DUMMYFUNCTION("""COMPUTED_VALUE"""),"Unicorn20DiceFlames")</f>
        <v>Unicorn20DiceFlames</v>
      </c>
      <c r="G171" s="5" t="str">
        <f>IFERROR(__xludf.DUMMYFUNCTION("""COMPUTED_VALUE"""),"Live")</f>
        <v>Live</v>
      </c>
      <c r="H171" s="5"/>
      <c r="I171" s="5" t="str">
        <f>IFERROR(__xludf.DUMMYFUNCTION("""COMPUTED_VALUE"""),"TipTop")</f>
        <v>TipTop</v>
      </c>
      <c r="J171" s="5" t="str">
        <f>IFERROR(__xludf.DUMMYFUNCTION("""COMPUTED_VALUE"""),"JSON")</f>
        <v>JSON</v>
      </c>
      <c r="K171" s="5" t="str">
        <f>IFERROR(__xludf.DUMMYFUNCTION("""COMPUTED_VALUE"""),"Dice Slots")</f>
        <v>Dice Slots</v>
      </c>
      <c r="L171" s="5"/>
      <c r="M171" s="5"/>
      <c r="N171" s="5"/>
      <c r="O171" s="5"/>
      <c r="P171" s="12">
        <f>IFERROR(__xludf.DUMMYFUNCTION("""COMPUTED_VALUE"""),13.2)</f>
        <v>13.2</v>
      </c>
      <c r="Q171" s="13">
        <f>IFERROR(__xludf.DUMMYFUNCTION("""COMPUTED_VALUE"""),44735.0)</f>
        <v>44735</v>
      </c>
      <c r="R171" s="14"/>
      <c r="S171" s="13">
        <f>IFERROR(__xludf.DUMMYFUNCTION("""COMPUTED_VALUE"""),44735.0)</f>
        <v>44735</v>
      </c>
      <c r="T171" s="5"/>
      <c r="U171" s="5" t="str">
        <f>IFERROR(__xludf.DUMMYFUNCTION("""COMPUTED_VALUE"""),"5X3")</f>
        <v>5X3</v>
      </c>
      <c r="V171" s="10" t="str">
        <f>IFERROR(__xludf.DUMMYFUNCTION("""COMPUTED_VALUE"""),"20")</f>
        <v>20</v>
      </c>
      <c r="W171" s="10" t="str">
        <f>IFERROR(__xludf.DUMMYFUNCTION("""COMPUTED_VALUE"""),"20")</f>
        <v>20</v>
      </c>
      <c r="X171" s="5">
        <f>IFERROR(__xludf.DUMMYFUNCTION("""COMPUTED_VALUE"""),96.0)</f>
        <v>96</v>
      </c>
      <c r="Y171" s="5" t="str">
        <f>IFERROR(__xludf.DUMMYFUNCTION("""COMPUTED_VALUE"""),"Low")</f>
        <v>Low</v>
      </c>
      <c r="Z171" s="5">
        <f>IFERROR(__xludf.DUMMYFUNCTION("""COMPUTED_VALUE"""),30.07)</f>
        <v>30.07</v>
      </c>
      <c r="AA171" s="12">
        <f>IFERROR(__xludf.DUMMYFUNCTION("""COMPUTED_VALUE"""),200.0)</f>
        <v>200</v>
      </c>
      <c r="AB171" s="5"/>
      <c r="AC171" s="5"/>
      <c r="AD171" s="5" t="str">
        <f>IFERROR(__xludf.DUMMYFUNCTION("""COMPUTED_VALUE"""),"0.2/100")</f>
        <v>0.2/100</v>
      </c>
      <c r="AE171" s="5"/>
      <c r="AF171" s="5"/>
      <c r="AG171" s="8">
        <f>IFERROR(__xludf.DUMMYFUNCTION("""COMPUTED_VALUE"""),46197.45290509259)</f>
        <v>46197.45291</v>
      </c>
      <c r="AH171" s="5" t="str">
        <f>IFERROR(__xludf.DUMMYFUNCTION("""COMPUTED_VALUE"""),"selena.mihajlovic@fazi.rs")</f>
        <v>selena.mihajlovic@fazi.rs</v>
      </c>
      <c r="AI171" s="5"/>
      <c r="AJ171" s="5"/>
      <c r="AK171" s="5">
        <f>IFERROR(__xludf.DUMMYFUNCTION("""COMPUTED_VALUE"""),20.0)</f>
        <v>20</v>
      </c>
      <c r="AL171" s="5" t="str">
        <f>IFERROR(__xludf.DUMMYFUNCTION("""COMPUTED_VALUE"""),"No")</f>
        <v>No</v>
      </c>
      <c r="AM171" s="5"/>
      <c r="AN171" s="7" t="str">
        <f>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AO171" s="5"/>
      <c r="AP171" s="5"/>
      <c r="AQ171" s="5" t="b">
        <f>IFERROR(__xludf.DUMMYFUNCTION("""COMPUTED_VALUE"""),TRUE)</f>
        <v>1</v>
      </c>
      <c r="AR171" s="5"/>
      <c r="AS171" s="5" t="str">
        <f>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AT171" s="5"/>
      <c r="AU171" s="5" t="str">
        <f>IFERROR(__xludf.DUMMYFUNCTION("""COMPUTED_VALUE"""),"Fazi")</f>
        <v>Fazi</v>
      </c>
      <c r="AV171" s="5"/>
      <c r="AW171" s="5"/>
      <c r="AX171" s="5"/>
      <c r="AY171" s="5"/>
      <c r="AZ171" s="5"/>
      <c r="BA171" s="5"/>
      <c r="BB171" s="5" t="b">
        <f>IFERROR(__xludf.DUMMYFUNCTION("""COMPUTED_VALUE"""),TRUE)</f>
        <v>1</v>
      </c>
      <c r="BC171" s="5" t="str">
        <f>IFERROR(__xludf.DUMMYFUNCTION("""COMPUTED_VALUE"""),"Tiptop")</f>
        <v>Tiptop</v>
      </c>
      <c r="BD171" s="7" t="str">
        <f>IFERROR(__xludf.DUMMYFUNCTION("""COMPUTED_VALUE"""),"https://gameserver-store-client-area.orbionlimited.com/Home/IntegrationGameLaunch/client-area?moneyType=0&amp;gameName=Unicorn20DiceFlames&amp;platform=desktop&amp;languageCode=eng&amp;currency=EUR")</f>
        <v>https://gameserver-store-client-area.orbionlimited.com/Home/IntegrationGameLaunch/client-area?moneyType=0&amp;gameName=Unicorn20DiceFlames&amp;platform=desktop&amp;languageCode=eng&amp;currency=EUR</v>
      </c>
      <c r="BE171" s="5" t="b">
        <f>IFERROR(__xludf.DUMMYFUNCTION("""COMPUTED_VALUE"""),TRUE)</f>
        <v>1</v>
      </c>
    </row>
    <row r="172">
      <c r="A172" s="5">
        <f>IFERROR(__xludf.DUMMYFUNCTION("""COMPUTED_VALUE"""),172.0)</f>
        <v>172</v>
      </c>
      <c r="B172" s="5">
        <f>IFERROR(__xludf.DUMMYFUNCTION("""COMPUTED_VALUE"""),171.0)</f>
        <v>171</v>
      </c>
      <c r="C172" s="5" t="str">
        <f>IFERROR(__xludf.DUMMYFUNCTION("""COMPUTED_VALUE"""),"Fazi")</f>
        <v>Fazi</v>
      </c>
      <c r="D172" s="5" t="str">
        <f>IFERROR(__xludf.DUMMYFUNCTION("""COMPUTED_VALUE"""),"Volcano Hot 40")</f>
        <v>Volcano Hot 40</v>
      </c>
      <c r="E172" s="5" t="str">
        <f>IFERROR(__xludf.DUMMYFUNCTION("""COMPUTED_VALUE"""),"V2")</f>
        <v>V2</v>
      </c>
      <c r="F172" s="5" t="str">
        <f>IFERROR(__xludf.DUMMYFUNCTION("""COMPUTED_VALUE"""),"VolcanoHot40")</f>
        <v>VolcanoHot40</v>
      </c>
      <c r="G172" s="5" t="str">
        <f>IFERROR(__xludf.DUMMYFUNCTION("""COMPUTED_VALUE"""),"Live")</f>
        <v>Live</v>
      </c>
      <c r="H172" s="5" t="str">
        <f>IFERROR(__xludf.DUMMYFUNCTION("""COMPUTED_VALUE"""),"VolcanoMe - Vezuv")</f>
        <v>VolcanoMe - Vezuv</v>
      </c>
      <c r="I172" s="5" t="str">
        <f>IFERROR(__xludf.DUMMYFUNCTION("""COMPUTED_VALUE"""),"V2")</f>
        <v>V2</v>
      </c>
      <c r="J172" s="5" t="str">
        <f>IFERROR(__xludf.DUMMYFUNCTION("""COMPUTED_VALUE"""),"Binary")</f>
        <v>Binary</v>
      </c>
      <c r="K172" s="5" t="str">
        <f>IFERROR(__xludf.DUMMYFUNCTION("""COMPUTED_VALUE"""),"Slot")</f>
        <v>Slot</v>
      </c>
      <c r="L172" s="5"/>
      <c r="M172" s="5" t="str">
        <f>IFERROR(__xludf.DUMMYFUNCTION("""COMPUTED_VALUE"""),"Turbo Hot 40")</f>
        <v>Turbo Hot 40</v>
      </c>
      <c r="N172" s="5"/>
      <c r="O172" s="5"/>
      <c r="P172" s="12"/>
      <c r="Q172" s="13">
        <f>IFERROR(__xludf.DUMMYFUNCTION("""COMPUTED_VALUE"""),43831.0)</f>
        <v>43831</v>
      </c>
      <c r="R172" s="14"/>
      <c r="S172" s="13">
        <f>IFERROR(__xludf.DUMMYFUNCTION("""COMPUTED_VALUE"""),43831.0)</f>
        <v>43831</v>
      </c>
      <c r="T172" s="5"/>
      <c r="U172" s="16"/>
      <c r="V172" s="10" t="str">
        <f>IFERROR(__xludf.DUMMYFUNCTION("""COMPUTED_VALUE"""),"40")</f>
        <v>40</v>
      </c>
      <c r="W172" s="10"/>
      <c r="X172" s="11">
        <f>IFERROR(__xludf.DUMMYFUNCTION("""COMPUTED_VALUE"""),96.584)</f>
        <v>96.584</v>
      </c>
      <c r="Y172" s="17"/>
      <c r="Z172" s="5">
        <f>IFERROR(__xludf.DUMMYFUNCTION("""COMPUTED_VALUE"""),0.0)</f>
        <v>0</v>
      </c>
      <c r="AA172" s="12"/>
      <c r="AB172" s="5"/>
      <c r="AC172" s="18"/>
      <c r="AD172" s="5"/>
      <c r="AE172" s="5"/>
      <c r="AF172" s="5"/>
      <c r="AG172" s="8">
        <f>IFERROR(__xludf.DUMMYFUNCTION("""COMPUTED_VALUE"""),46057.4152662037)</f>
        <v>46057.41527</v>
      </c>
      <c r="AH172" s="5" t="str">
        <f>IFERROR(__xludf.DUMMYFUNCTION("""COMPUTED_VALUE"""),"petra.ilic@fazi.rs")</f>
        <v>petra.ilic@fazi.rs</v>
      </c>
      <c r="AI172" s="5"/>
      <c r="AJ172" s="5"/>
      <c r="AK172" s="5">
        <f>IFERROR(__xludf.DUMMYFUNCTION("""COMPUTED_VALUE"""),40.0)</f>
        <v>40</v>
      </c>
      <c r="AL172" s="5" t="str">
        <f>IFERROR(__xludf.DUMMYFUNCTION("""COMPUTED_VALUE"""),"Yes")</f>
        <v>Yes</v>
      </c>
      <c r="AM172" s="5"/>
      <c r="AN172" s="5"/>
      <c r="AO172" s="5"/>
      <c r="AP172" s="5"/>
      <c r="AQ172" s="5"/>
      <c r="AR172" s="5" t="b">
        <f>IFERROR(__xludf.DUMMYFUNCTION("""COMPUTED_VALUE"""),TRUE)</f>
        <v>1</v>
      </c>
      <c r="AS172" s="5"/>
      <c r="AT172" s="5"/>
      <c r="AU172" s="5" t="str">
        <f>IFERROR(__xludf.DUMMYFUNCTION("""COMPUTED_VALUE"""),"Fazi")</f>
        <v>Fazi</v>
      </c>
      <c r="AV172" s="5"/>
      <c r="AW172" s="5"/>
      <c r="AX172" s="5"/>
      <c r="AY172" s="5"/>
      <c r="AZ172" s="5"/>
      <c r="BA172" s="5" t="str">
        <f>IFERROR(__xludf.DUMMYFUNCTION("""COMPUTED_VALUE"""),"")</f>
        <v/>
      </c>
      <c r="BB172" s="5"/>
      <c r="BC172" s="5" t="str">
        <f>IFERROR(__xludf.DUMMYFUNCTION("""COMPUTED_VALUE"""),"Foxi")</f>
        <v>Foxi</v>
      </c>
      <c r="BD172" s="5" t="str">
        <f>IFERROR(__xludf.DUMMYFUNCTION("""COMPUTED_VALUE"""),"")</f>
        <v/>
      </c>
      <c r="BE172" s="5"/>
    </row>
    <row r="173">
      <c r="A173" s="5">
        <f>IFERROR(__xludf.DUMMYFUNCTION("""COMPUTED_VALUE"""),173.0)</f>
        <v>173</v>
      </c>
      <c r="B173" s="5">
        <f>IFERROR(__xludf.DUMMYFUNCTION("""COMPUTED_VALUE"""),172.0)</f>
        <v>172</v>
      </c>
      <c r="C173" s="5" t="str">
        <f>IFERROR(__xludf.DUMMYFUNCTION("""COMPUTED_VALUE"""),"Fazi")</f>
        <v>Fazi</v>
      </c>
      <c r="D173" s="5" t="str">
        <f>IFERROR(__xludf.DUMMYFUNCTION("""COMPUTED_VALUE"""),"Zabranjeno Voce")</f>
        <v>Zabranjeno Voce</v>
      </c>
      <c r="E173" s="5" t="str">
        <f>IFERROR(__xludf.DUMMYFUNCTION("""COMPUTED_VALUE"""),"V2")</f>
        <v>V2</v>
      </c>
      <c r="F173" s="5" t="str">
        <f>IFERROR(__xludf.DUMMYFUNCTION("""COMPUTED_VALUE"""),"ZabranjenoVoce")</f>
        <v>ZabranjenoVoce</v>
      </c>
      <c r="G173" s="5" t="str">
        <f>IFERROR(__xludf.DUMMYFUNCTION("""COMPUTED_VALUE"""),"Live")</f>
        <v>Live</v>
      </c>
      <c r="H173" s="5" t="str">
        <f>IFERROR(__xludf.DUMMYFUNCTION("""COMPUTED_VALUE"""),"VolcanoMe - Vezuv")</f>
        <v>VolcanoMe - Vezuv</v>
      </c>
      <c r="I173" s="5" t="str">
        <f>IFERROR(__xludf.DUMMYFUNCTION("""COMPUTED_VALUE"""),"V2")</f>
        <v>V2</v>
      </c>
      <c r="J173" s="5" t="str">
        <f>IFERROR(__xludf.DUMMYFUNCTION("""COMPUTED_VALUE"""),"Binary")</f>
        <v>Binary</v>
      </c>
      <c r="K173" s="5" t="str">
        <f>IFERROR(__xludf.DUMMYFUNCTION("""COMPUTED_VALUE"""),"Slot")</f>
        <v>Slot</v>
      </c>
      <c r="L173" s="5" t="str">
        <f>IFERROR(__xludf.DUMMYFUNCTION("""COMPUTED_VALUE"""),"Clone")</f>
        <v>Clone</v>
      </c>
      <c r="M173" s="5" t="str">
        <f>IFERROR(__xludf.DUMMYFUNCTION("""COMPUTED_VALUE"""),"Lollas World")</f>
        <v>Lollas World</v>
      </c>
      <c r="N173" s="5"/>
      <c r="O173" s="5"/>
      <c r="P173" s="12"/>
      <c r="Q173" s="13">
        <f>IFERROR(__xludf.DUMMYFUNCTION("""COMPUTED_VALUE"""),43831.0)</f>
        <v>43831</v>
      </c>
      <c r="R173" s="14"/>
      <c r="S173" s="13">
        <f>IFERROR(__xludf.DUMMYFUNCTION("""COMPUTED_VALUE"""),43831.0)</f>
        <v>43831</v>
      </c>
      <c r="T173" s="5"/>
      <c r="U173" s="5" t="str">
        <f>IFERROR(__xludf.DUMMYFUNCTION("""COMPUTED_VALUE"""),"5x4")</f>
        <v>5x4</v>
      </c>
      <c r="V173" s="10" t="str">
        <f>IFERROR(__xludf.DUMMYFUNCTION("""COMPUTED_VALUE"""),"40")</f>
        <v>40</v>
      </c>
      <c r="W173" s="10" t="str">
        <f>IFERROR(__xludf.DUMMYFUNCTION("""COMPUTED_VALUE"""),"40")</f>
        <v>40</v>
      </c>
      <c r="X173" s="5">
        <f>IFERROR(__xludf.DUMMYFUNCTION("""COMPUTED_VALUE"""),95.479)</f>
        <v>95.479</v>
      </c>
      <c r="Y173" s="5" t="str">
        <f>IFERROR(__xludf.DUMMYFUNCTION("""COMPUTED_VALUE"""),"Medium")</f>
        <v>Medium</v>
      </c>
      <c r="Z173" s="5">
        <f>IFERROR(__xludf.DUMMYFUNCTION("""COMPUTED_VALUE"""),14.799999999999999)</f>
        <v>14.8</v>
      </c>
      <c r="AA173" s="12">
        <f>IFERROR(__xludf.DUMMYFUNCTION("""COMPUTED_VALUE"""),1000.0)</f>
        <v>1000</v>
      </c>
      <c r="AB173" s="5" t="str">
        <f>IFERROR(__xludf.DUMMYFUNCTION("""COMPUTED_VALUE"""),"/")</f>
        <v>/</v>
      </c>
      <c r="AC173" s="5" t="str">
        <f>IFERROR(__xludf.DUMMYFUNCTION("""COMPUTED_VALUE"""),"Scatter, Wild Symbol")</f>
        <v>Scatter, Wild Symbol</v>
      </c>
      <c r="AD173" s="5"/>
      <c r="AE173" s="5"/>
      <c r="AF173" s="5"/>
      <c r="AG173" s="8">
        <f>IFERROR(__xludf.DUMMYFUNCTION("""COMPUTED_VALUE"""),46020.5243287037)</f>
        <v>46020.52433</v>
      </c>
      <c r="AH173" s="5" t="str">
        <f>IFERROR(__xludf.DUMMYFUNCTION("""COMPUTED_VALUE"""),"djordje.jankovic@fazi.rs")</f>
        <v>djordje.jankovic@fazi.rs</v>
      </c>
      <c r="AI173" s="5"/>
      <c r="AJ173" s="5"/>
      <c r="AK173" s="5">
        <f>IFERROR(__xludf.DUMMYFUNCTION("""COMPUTED_VALUE"""),40.0)</f>
        <v>40</v>
      </c>
      <c r="AL173" s="5" t="str">
        <f>IFERROR(__xludf.DUMMYFUNCTION("""COMPUTED_VALUE"""),"Yes")</f>
        <v>Yes</v>
      </c>
      <c r="AM173" s="5"/>
      <c r="AN173" s="5"/>
      <c r="AO173" s="5"/>
      <c r="AP173" s="5"/>
      <c r="AQ173" s="5"/>
      <c r="AR173" s="5" t="b">
        <f>IFERROR(__xludf.DUMMYFUNCTION("""COMPUTED_VALUE"""),TRUE)</f>
        <v>1</v>
      </c>
      <c r="AS173" s="5"/>
      <c r="AT173" s="5"/>
      <c r="AU173" s="5" t="str">
        <f>IFERROR(__xludf.DUMMYFUNCTION("""COMPUTED_VALUE"""),"Fazi")</f>
        <v>Fazi</v>
      </c>
      <c r="AV173" s="5"/>
      <c r="AW173" s="5"/>
      <c r="AX173" s="5"/>
      <c r="AY173" s="5"/>
      <c r="AZ173" s="5"/>
      <c r="BA173" s="5" t="str">
        <f>IFERROR(__xludf.DUMMYFUNCTION("""COMPUTED_VALUE"""),"")</f>
        <v/>
      </c>
      <c r="BB173" s="5"/>
      <c r="BC173" s="5" t="str">
        <f>IFERROR(__xludf.DUMMYFUNCTION("""COMPUTED_VALUE"""),"Foxi")</f>
        <v>Foxi</v>
      </c>
      <c r="BD173" s="5" t="str">
        <f>IFERROR(__xludf.DUMMYFUNCTION("""COMPUTED_VALUE"""),"")</f>
        <v/>
      </c>
      <c r="BE173" s="5"/>
    </row>
    <row r="174">
      <c r="A174" s="5">
        <f>IFERROR(__xludf.DUMMYFUNCTION("""COMPUTED_VALUE"""),174.0)</f>
        <v>174</v>
      </c>
      <c r="B174" s="5">
        <f>IFERROR(__xludf.DUMMYFUNCTION("""COMPUTED_VALUE"""),173.0)</f>
        <v>173</v>
      </c>
      <c r="C174" s="5" t="str">
        <f>IFERROR(__xludf.DUMMYFUNCTION("""COMPUTED_VALUE"""),"Tiptop")</f>
        <v>Tiptop</v>
      </c>
      <c r="D174" s="5" t="str">
        <f>IFERROR(__xludf.DUMMYFUNCTION("""COMPUTED_VALUE"""),"Unicorn Surfin Heat")</f>
        <v>Unicorn Surfin Heat</v>
      </c>
      <c r="E174" s="5"/>
      <c r="F174" s="5" t="str">
        <f>IFERROR(__xludf.DUMMYFUNCTION("""COMPUTED_VALUE"""),"UnicornSurfinHeat")</f>
        <v>UnicornSurfinHeat</v>
      </c>
      <c r="G174" s="5" t="str">
        <f>IFERROR(__xludf.DUMMYFUNCTION("""COMPUTED_VALUE"""),"Retired")</f>
        <v>Retired</v>
      </c>
      <c r="H174" s="5"/>
      <c r="I174" s="5" t="str">
        <f>IFERROR(__xludf.DUMMYFUNCTION("""COMPUTED_VALUE"""),"TipTop")</f>
        <v>TipTop</v>
      </c>
      <c r="J174" s="5" t="str">
        <f>IFERROR(__xludf.DUMMYFUNCTION("""COMPUTED_VALUE"""),"JSON")</f>
        <v>JSON</v>
      </c>
      <c r="K174" s="5" t="str">
        <f>IFERROR(__xludf.DUMMYFUNCTION("""COMPUTED_VALUE"""),"Slot")</f>
        <v>Slot</v>
      </c>
      <c r="L174" s="5"/>
      <c r="M174" s="5"/>
      <c r="N174" s="5"/>
      <c r="O174" s="5"/>
      <c r="P174" s="12"/>
      <c r="Q174" s="13">
        <f>IFERROR(__xludf.DUMMYFUNCTION("""COMPUTED_VALUE"""),43831.0)</f>
        <v>43831</v>
      </c>
      <c r="R174" s="14"/>
      <c r="S174" s="13">
        <f>IFERROR(__xludf.DUMMYFUNCTION("""COMPUTED_VALUE"""),43831.0)</f>
        <v>43831</v>
      </c>
      <c r="T174" s="5"/>
      <c r="U174" s="16"/>
      <c r="V174" s="10" t="str">
        <f>IFERROR(__xludf.DUMMYFUNCTION("""COMPUTED_VALUE"""),"10")</f>
        <v>10</v>
      </c>
      <c r="W174" s="10"/>
      <c r="X174" s="11">
        <f>IFERROR(__xludf.DUMMYFUNCTION("""COMPUTED_VALUE"""),0.0)</f>
        <v>0</v>
      </c>
      <c r="Y174" s="17"/>
      <c r="Z174" s="5">
        <f>IFERROR(__xludf.DUMMYFUNCTION("""COMPUTED_VALUE"""),0.0)</f>
        <v>0</v>
      </c>
      <c r="AA174" s="12"/>
      <c r="AB174" s="5"/>
      <c r="AC174" s="18"/>
      <c r="AD174" s="5"/>
      <c r="AE174" s="5"/>
      <c r="AF174" s="5"/>
      <c r="AG174" s="8">
        <f>IFERROR(__xludf.DUMMYFUNCTION("""COMPUTED_VALUE"""),46213.38078703704)</f>
        <v>46213.38079</v>
      </c>
      <c r="AH174" s="5"/>
      <c r="AI174" s="5"/>
      <c r="AJ174" s="5"/>
      <c r="AK174" s="5" t="str">
        <f>IFERROR(__xludf.DUMMYFUNCTION("""COMPUTED_VALUE"""),"NULL")</f>
        <v>NULL</v>
      </c>
      <c r="AL174" s="5"/>
      <c r="AM174" s="5"/>
      <c r="AN174" s="5"/>
      <c r="AO174" s="5"/>
      <c r="AP174" s="5"/>
      <c r="AQ174" s="5"/>
      <c r="AR174" s="5"/>
      <c r="AS174" s="5"/>
      <c r="AT174" s="5"/>
      <c r="AU174" s="5" t="str">
        <f>IFERROR(__xludf.DUMMYFUNCTION("""COMPUTED_VALUE"""),"Fazi")</f>
        <v>Fazi</v>
      </c>
      <c r="AV174" s="5"/>
      <c r="AW174" s="5"/>
      <c r="AX174" s="5"/>
      <c r="AY174" s="5"/>
      <c r="AZ174" s="5"/>
      <c r="BA174" s="5"/>
      <c r="BB174" s="5"/>
      <c r="BC174" s="5" t="str">
        <f>IFERROR(__xludf.DUMMYFUNCTION("""COMPUTED_VALUE"""),"Tiptop")</f>
        <v>Tiptop</v>
      </c>
      <c r="BD174" s="5"/>
      <c r="BE174" s="5"/>
    </row>
    <row r="175">
      <c r="A175" s="5">
        <f>IFERROR(__xludf.DUMMYFUNCTION("""COMPUTED_VALUE"""),175.0)</f>
        <v>175</v>
      </c>
      <c r="B175" s="5">
        <f>IFERROR(__xludf.DUMMYFUNCTION("""COMPUTED_VALUE"""),174.0)</f>
        <v>174</v>
      </c>
      <c r="C175" s="5" t="str">
        <f>IFERROR(__xludf.DUMMYFUNCTION("""COMPUTED_VALUE"""),"Fazi")</f>
        <v>Fazi</v>
      </c>
      <c r="D175" s="5" t="str">
        <f>IFERROR(__xludf.DUMMYFUNCTION("""COMPUTED_VALUE"""),"Wild Joker Hot")</f>
        <v>Wild Joker Hot</v>
      </c>
      <c r="E175" s="5" t="str">
        <f>IFERROR(__xludf.DUMMYFUNCTION("""COMPUTED_VALUE"""),"V2")</f>
        <v>V2</v>
      </c>
      <c r="F175" s="5" t="str">
        <f>IFERROR(__xludf.DUMMYFUNCTION("""COMPUTED_VALUE"""),"WildJokerHot")</f>
        <v>WildJokerHot</v>
      </c>
      <c r="G175" s="5" t="str">
        <f>IFERROR(__xludf.DUMMYFUNCTION("""COMPUTED_VALUE"""),"Live")</f>
        <v>Live</v>
      </c>
      <c r="H175" s="5"/>
      <c r="I175" s="5" t="str">
        <f>IFERROR(__xludf.DUMMYFUNCTION("""COMPUTED_VALUE"""),"V2")</f>
        <v>V2</v>
      </c>
      <c r="J175" s="5" t="str">
        <f>IFERROR(__xludf.DUMMYFUNCTION("""COMPUTED_VALUE"""),"JSON")</f>
        <v>JSON</v>
      </c>
      <c r="K175" s="5" t="str">
        <f>IFERROR(__xludf.DUMMYFUNCTION("""COMPUTED_VALUE"""),"Slot")</f>
        <v>Slot</v>
      </c>
      <c r="L175" s="5"/>
      <c r="M175" s="5"/>
      <c r="N175" s="5"/>
      <c r="O175" s="5"/>
      <c r="P175" s="12">
        <f>IFERROR(__xludf.DUMMYFUNCTION("""COMPUTED_VALUE"""),38.8)</f>
        <v>38.8</v>
      </c>
      <c r="Q175" s="13">
        <f>IFERROR(__xludf.DUMMYFUNCTION("""COMPUTED_VALUE"""),44798.0)</f>
        <v>44798</v>
      </c>
      <c r="R175" s="14"/>
      <c r="S175" s="13">
        <f>IFERROR(__xludf.DUMMYFUNCTION("""COMPUTED_VALUE"""),44798.0)</f>
        <v>44798</v>
      </c>
      <c r="T175" s="5"/>
      <c r="U175" s="5" t="str">
        <f>IFERROR(__xludf.DUMMYFUNCTION("""COMPUTED_VALUE"""),"5x3")</f>
        <v>5x3</v>
      </c>
      <c r="V175" s="10" t="str">
        <f>IFERROR(__xludf.DUMMYFUNCTION("""COMPUTED_VALUE"""),"10")</f>
        <v>10</v>
      </c>
      <c r="W175" s="10" t="str">
        <f>IFERROR(__xludf.DUMMYFUNCTION("""COMPUTED_VALUE"""),"10")</f>
        <v>10</v>
      </c>
      <c r="X175" s="5">
        <f>IFERROR(__xludf.DUMMYFUNCTION("""COMPUTED_VALUE"""),96.124)</f>
        <v>96.124</v>
      </c>
      <c r="Y175" s="5" t="str">
        <f>IFERROR(__xludf.DUMMYFUNCTION("""COMPUTED_VALUE"""),"Medium")</f>
        <v>Medium</v>
      </c>
      <c r="Z175" s="5">
        <f>IFERROR(__xludf.DUMMYFUNCTION("""COMPUTED_VALUE"""),17.810000000000002)</f>
        <v>17.81</v>
      </c>
      <c r="AA175" s="12">
        <f>IFERROR(__xludf.DUMMYFUNCTION("""COMPUTED_VALUE"""),3092.0)</f>
        <v>3092</v>
      </c>
      <c r="AB175" s="5">
        <f>IFERROR(__xludf.DUMMYFUNCTION("""COMPUTED_VALUE"""),5.0)</f>
        <v>5</v>
      </c>
      <c r="AC175" s="5" t="str">
        <f>IFERROR(__xludf.DUMMYFUNCTION("""COMPUTED_VALUE"""),"Scatter, Wild Symbol, Wild Multiplier")</f>
        <v>Scatter, Wild Symbol, Wild Multiplier</v>
      </c>
      <c r="AD175" s="5" t="str">
        <f>IFERROR(__xludf.DUMMYFUNCTION("""COMPUTED_VALUE"""),"0.10/40")</f>
        <v>0.10/40</v>
      </c>
      <c r="AE175" s="5"/>
      <c r="AF175" s="5"/>
      <c r="AG175" s="8">
        <f>IFERROR(__xludf.DUMMYFUNCTION("""COMPUTED_VALUE"""),46056.45537037037)</f>
        <v>46056.45537</v>
      </c>
      <c r="AH175" s="5" t="str">
        <f>IFERROR(__xludf.DUMMYFUNCTION("""COMPUTED_VALUE"""),"aleksandar.trajkovic@fazi.rs")</f>
        <v>aleksandar.trajkovic@fazi.rs</v>
      </c>
      <c r="AI175" s="5"/>
      <c r="AJ175" s="5"/>
      <c r="AK175" s="5">
        <f>IFERROR(__xludf.DUMMYFUNCTION("""COMPUTED_VALUE"""),10.0)</f>
        <v>10</v>
      </c>
      <c r="AL175" s="5" t="str">
        <f>IFERROR(__xludf.DUMMYFUNCTION("""COMPUTED_VALUE"""),"Yes")</f>
        <v>Yes</v>
      </c>
      <c r="AM175" s="5"/>
      <c r="AN175" s="7" t="str">
        <f>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AO175" s="5" t="str">
        <f>IFERROR(__xludf.DUMMYFUNCTION("""COMPUTED_VALUE"""),"Yes")</f>
        <v>Yes</v>
      </c>
      <c r="AP175" s="5" t="str">
        <f>IFERROR(__xludf.DUMMYFUNCTION("""COMPUTED_VALUE"""),"Yes")</f>
        <v>Yes</v>
      </c>
      <c r="AQ175" s="5" t="b">
        <f>IFERROR(__xludf.DUMMYFUNCTION("""COMPUTED_VALUE"""),TRUE)</f>
        <v>1</v>
      </c>
      <c r="AR175" s="5"/>
      <c r="AS175" s="5" t="str">
        <f>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AT175" s="5"/>
      <c r="AU175" s="5" t="str">
        <f>IFERROR(__xludf.DUMMYFUNCTION("""COMPUTED_VALUE"""),"Fazi")</f>
        <v>Fazi</v>
      </c>
      <c r="AV175" s="5"/>
      <c r="AW175" s="5"/>
      <c r="AX175" s="5"/>
      <c r="AY175" s="5" t="str">
        <f>IFERROR(__xludf.DUMMYFUNCTION("""COMPUTED_VALUE"""),"87.5%, 89.5%, 91.5%, 93.5%, 94.5%, 95.5%, 96.5%")</f>
        <v>87.5%, 89.5%, 91.5%, 93.5%, 94.5%, 95.5%, 96.5%</v>
      </c>
      <c r="AZ175" s="5"/>
      <c r="BA175" s="5" t="str">
        <f>IFERROR(__xludf.DUMMYFUNCTION("""COMPUTED_VALUE"""),"")</f>
        <v/>
      </c>
      <c r="BB175" s="5"/>
      <c r="BC175" s="5" t="str">
        <f>IFERROR(__xludf.DUMMYFUNCTION("""COMPUTED_VALUE"""),"Foxi")</f>
        <v>Foxi</v>
      </c>
      <c r="BD175" s="7" t="str">
        <f>IFERROR(__xludf.DUMMYFUNCTION("""COMPUTED_VALUE"""),"https://gameserver-store-client-area.orbionlimited.com/Home/IntegrationGameLaunch/client-area?moneyType=0&amp;gameName=WildJokerHot&amp;platform=desktop&amp;languageCode=eng&amp;currency=EUR")</f>
        <v>https://gameserver-store-client-area.orbionlimited.com/Home/IntegrationGameLaunch/client-area?moneyType=0&amp;gameName=WildJokerHot&amp;platform=desktop&amp;languageCode=eng&amp;currency=EUR</v>
      </c>
      <c r="BE175" s="5" t="b">
        <f>IFERROR(__xludf.DUMMYFUNCTION("""COMPUTED_VALUE"""),TRUE)</f>
        <v>1</v>
      </c>
    </row>
    <row r="176">
      <c r="A176" s="5">
        <f>IFERROR(__xludf.DUMMYFUNCTION("""COMPUTED_VALUE"""),176.0)</f>
        <v>176</v>
      </c>
      <c r="B176" s="5">
        <f>IFERROR(__xludf.DUMMYFUNCTION("""COMPUTED_VALUE"""),175.0)</f>
        <v>175</v>
      </c>
      <c r="C176" s="5" t="str">
        <f>IFERROR(__xludf.DUMMYFUNCTION("""COMPUTED_VALUE"""),"Redstone")</f>
        <v>Redstone</v>
      </c>
      <c r="D176" s="5" t="str">
        <f>IFERROR(__xludf.DUMMYFUNCTION("""COMPUTED_VALUE"""),"10 Wild Dice")</f>
        <v>10 Wild Dice</v>
      </c>
      <c r="E176" s="5" t="str">
        <f>IFERROR(__xludf.DUMMYFUNCTION("""COMPUTED_VALUE"""),"Redstone")</f>
        <v>Redstone</v>
      </c>
      <c r="F176" s="5" t="str">
        <f>IFERROR(__xludf.DUMMYFUNCTION("""COMPUTED_VALUE"""),"WildDice10")</f>
        <v>WildDice10</v>
      </c>
      <c r="G176" s="5" t="str">
        <f>IFERROR(__xludf.DUMMYFUNCTION("""COMPUTED_VALUE"""),"Live")</f>
        <v>Live</v>
      </c>
      <c r="H176" s="5"/>
      <c r="I176" s="5" t="str">
        <f>IFERROR(__xludf.DUMMYFUNCTION("""COMPUTED_VALUE"""),"Redstone")</f>
        <v>Redstone</v>
      </c>
      <c r="J176" s="5" t="str">
        <f>IFERROR(__xludf.DUMMYFUNCTION("""COMPUTED_VALUE"""),"JSON")</f>
        <v>JSON</v>
      </c>
      <c r="K176" s="5" t="str">
        <f>IFERROR(__xludf.DUMMYFUNCTION("""COMPUTED_VALUE"""),"Slot")</f>
        <v>Slot</v>
      </c>
      <c r="L176" s="5" t="str">
        <f>IFERROR(__xludf.DUMMYFUNCTION("""COMPUTED_VALUE""")," Clone")</f>
        <v> Clone</v>
      </c>
      <c r="M176" s="5" t="str">
        <f>IFERROR(__xludf.DUMMYFUNCTION("""COMPUTED_VALUE"""),"10 Wild Crown")</f>
        <v>10 Wild Crown</v>
      </c>
      <c r="N176" s="7" t="str">
        <f>IFERROR(__xludf.DUMMYFUNCTION("""COMPUTED_VALUE"""),"https://docs.google.com/document/d/1GFgTEmo88EJNNTrmzAJSqmEZoh735-y2/edit?usp=drive_link&amp;ouid=107596163405648766688&amp;rtpof=true&amp;sd=true")</f>
        <v>https://docs.google.com/document/d/1GFgTEmo88EJNNTrmzAJSqmEZoh735-y2/edit?usp=drive_link&amp;ouid=107596163405648766688&amp;rtpof=true&amp;sd=true</v>
      </c>
      <c r="O176" s="7" t="str">
        <f>IFERROR(__xludf.DUMMYFUNCTION("""COMPUTED_VALUE"""),"https://docs.google.com/document/d/1DFnKS4tOtiSdA6ISE_dYMHPCHPfa41sU/edit?usp=drive_link&amp;ouid=107596163405648766688&amp;rtpof=true&amp;sd=true")</f>
        <v>https://docs.google.com/document/d/1DFnKS4tOtiSdA6ISE_dYMHPCHPfa41sU/edit?usp=drive_link&amp;ouid=107596163405648766688&amp;rtpof=true&amp;sd=true</v>
      </c>
      <c r="P176" s="12">
        <f>IFERROR(__xludf.DUMMYFUNCTION("""COMPUTED_VALUE"""),7.8)</f>
        <v>7.8</v>
      </c>
      <c r="Q176" s="13">
        <f>IFERROR(__xludf.DUMMYFUNCTION("""COMPUTED_VALUE"""),44761.0)</f>
        <v>44761</v>
      </c>
      <c r="R176" s="14"/>
      <c r="S176" s="13">
        <f>IFERROR(__xludf.DUMMYFUNCTION("""COMPUTED_VALUE"""),44761.0)</f>
        <v>44761</v>
      </c>
      <c r="T176" s="5"/>
      <c r="U176" s="5" t="str">
        <f>IFERROR(__xludf.DUMMYFUNCTION("""COMPUTED_VALUE"""),"5x3")</f>
        <v>5x3</v>
      </c>
      <c r="V176" s="10" t="str">
        <f>IFERROR(__xludf.DUMMYFUNCTION("""COMPUTED_VALUE"""),"10")</f>
        <v>10</v>
      </c>
      <c r="W176" s="10" t="str">
        <f>IFERROR(__xludf.DUMMYFUNCTION("""COMPUTED_VALUE"""),"10")</f>
        <v>10</v>
      </c>
      <c r="X176" s="5">
        <f>IFERROR(__xludf.DUMMYFUNCTION("""COMPUTED_VALUE"""),95.96)</f>
        <v>95.96</v>
      </c>
      <c r="Y176" s="5" t="str">
        <f>IFERROR(__xludf.DUMMYFUNCTION("""COMPUTED_VALUE"""),"Medium")</f>
        <v>Medium</v>
      </c>
      <c r="Z176" s="5">
        <f>IFERROR(__xludf.DUMMYFUNCTION("""COMPUTED_VALUE"""),14.63)</f>
        <v>14.63</v>
      </c>
      <c r="AA176" s="12">
        <f>IFERROR(__xludf.DUMMYFUNCTION("""COMPUTED_VALUE"""),1538.0)</f>
        <v>1538</v>
      </c>
      <c r="AB176" s="5"/>
      <c r="AC176" s="5" t="str">
        <f>IFERROR(__xludf.DUMMYFUNCTION("""COMPUTED_VALUE"""),"Expanding Wild, Scatter")</f>
        <v>Expanding Wild, Scatter</v>
      </c>
      <c r="AD176" s="5" t="str">
        <f>IFERROR(__xludf.DUMMYFUNCTION("""COMPUTED_VALUE"""),"0.10/40")</f>
        <v>0.10/40</v>
      </c>
      <c r="AE176" s="5"/>
      <c r="AF176" s="5"/>
      <c r="AG176" s="8">
        <f>IFERROR(__xludf.DUMMYFUNCTION("""COMPUTED_VALUE"""),46157.44702546296)</f>
        <v>46157.44703</v>
      </c>
      <c r="AH176" s="5"/>
      <c r="AI176" s="5"/>
      <c r="AJ176" s="5"/>
      <c r="AK176" s="5">
        <f>IFERROR(__xludf.DUMMYFUNCTION("""COMPUTED_VALUE"""),1.0)</f>
        <v>1</v>
      </c>
      <c r="AL176" s="5" t="str">
        <f>IFERROR(__xludf.DUMMYFUNCTION("""COMPUTED_VALUE"""),"No")</f>
        <v>No</v>
      </c>
      <c r="AM176" s="5" t="str">
        <f>IFERROR(__xludf.DUMMYFUNCTION("""COMPUTED_VALUE"""),"No")</f>
        <v>No</v>
      </c>
      <c r="AN176" s="7" t="str">
        <f>IFERROR(__xludf.DUMMYFUNCTION("""COMPUTED_VALUE"""),"https://static.redstone.rs/games/10-wild-dice/")</f>
        <v>https://static.redstone.rs/games/10-wild-dice/</v>
      </c>
      <c r="AO176" s="5" t="str">
        <f>IFERROR(__xludf.DUMMYFUNCTION("""COMPUTED_VALUE"""),"No")</f>
        <v>No</v>
      </c>
      <c r="AP176" s="5" t="str">
        <f>IFERROR(__xludf.DUMMYFUNCTION("""COMPUTED_VALUE"""),"No")</f>
        <v>No</v>
      </c>
      <c r="AQ176" s="5" t="b">
        <f>IFERROR(__xludf.DUMMYFUNCTION("""COMPUTED_VALUE"""),TRUE)</f>
        <v>1</v>
      </c>
      <c r="AR176" s="5"/>
      <c r="AS176" s="5" t="str">
        <f>IFERROR(__xludf.DUMMYFUNCTION("""COMPUTED_VALUE"""),"It's time to roll the dice. So, spin for victory and get a chance to win big in REDSTONE's latest release 10 Wild Dice.")</f>
        <v>It's time to roll the dice. So, spin for victory and get a chance to win big in REDSTONE's latest release 10 Wild Dice.</v>
      </c>
      <c r="AT176" s="5"/>
      <c r="AU176" s="5" t="str">
        <f>IFERROR(__xludf.DUMMYFUNCTION("""COMPUTED_VALUE"""),"Redstone")</f>
        <v>Redstone</v>
      </c>
      <c r="AV176" s="5"/>
      <c r="AW176" s="5"/>
      <c r="AX176" s="5"/>
      <c r="AY176" s="5"/>
      <c r="AZ176" s="5"/>
      <c r="BA176" s="5"/>
      <c r="BB176" s="5" t="b">
        <f>IFERROR(__xludf.DUMMYFUNCTION("""COMPUTED_VALUE"""),TRUE)</f>
        <v>1</v>
      </c>
      <c r="BC176" s="5" t="str">
        <f>IFERROR(__xludf.DUMMYFUNCTION("""COMPUTED_VALUE"""),"Redstone")</f>
        <v>Redstone</v>
      </c>
      <c r="BD176" s="7" t="str">
        <f>IFERROR(__xludf.DUMMYFUNCTION("""COMPUTED_VALUE"""),"https://static.redstone.rs/games/10-wild-dice/")</f>
        <v>https://static.redstone.rs/games/10-wild-dice/</v>
      </c>
      <c r="BE176" s="5" t="b">
        <f>IFERROR(__xludf.DUMMYFUNCTION("""COMPUTED_VALUE"""),TRUE)</f>
        <v>1</v>
      </c>
    </row>
    <row r="177">
      <c r="A177" s="5">
        <f>IFERROR(__xludf.DUMMYFUNCTION("""COMPUTED_VALUE"""),177.0)</f>
        <v>177</v>
      </c>
      <c r="B177" s="5">
        <f>IFERROR(__xludf.DUMMYFUNCTION("""COMPUTED_VALUE"""),176.0)</f>
        <v>176</v>
      </c>
      <c r="C177" s="5" t="str">
        <f>IFERROR(__xludf.DUMMYFUNCTION("""COMPUTED_VALUE"""),"Fazi")</f>
        <v>Fazi</v>
      </c>
      <c r="D177" s="5" t="str">
        <f>IFERROR(__xludf.DUMMYFUNCTION("""COMPUTED_VALUE"""),"Heating Fruits")</f>
        <v>Heating Fruits</v>
      </c>
      <c r="E177" s="5" t="str">
        <f>IFERROR(__xludf.DUMMYFUNCTION("""COMPUTED_VALUE"""),"V2")</f>
        <v>V2</v>
      </c>
      <c r="F177" s="5" t="str">
        <f>IFERROR(__xludf.DUMMYFUNCTION("""COMPUTED_VALUE"""),"HeatingFruits")</f>
        <v>HeatingFruits</v>
      </c>
      <c r="G177" s="5" t="str">
        <f>IFERROR(__xludf.DUMMYFUNCTION("""COMPUTED_VALUE"""),"Live")</f>
        <v>Live</v>
      </c>
      <c r="H177" s="5"/>
      <c r="I177" s="5" t="str">
        <f>IFERROR(__xludf.DUMMYFUNCTION("""COMPUTED_VALUE"""),"V2")</f>
        <v>V2</v>
      </c>
      <c r="J177" s="5" t="str">
        <f>IFERROR(__xludf.DUMMYFUNCTION("""COMPUTED_VALUE"""),"Binary")</f>
        <v>Binary</v>
      </c>
      <c r="K177" s="5" t="str">
        <f>IFERROR(__xludf.DUMMYFUNCTION("""COMPUTED_VALUE"""),"Slot")</f>
        <v>Slot</v>
      </c>
      <c r="L177" s="5"/>
      <c r="M177" s="5"/>
      <c r="N177" s="5"/>
      <c r="O177" s="5"/>
      <c r="P177" s="12">
        <f>IFERROR(__xludf.DUMMYFUNCTION("""COMPUTED_VALUE"""),34.0)</f>
        <v>34</v>
      </c>
      <c r="Q177" s="13">
        <f>IFERROR(__xludf.DUMMYFUNCTION("""COMPUTED_VALUE"""),44887.0)</f>
        <v>44887</v>
      </c>
      <c r="R177" s="14"/>
      <c r="S177" s="13">
        <f>IFERROR(__xludf.DUMMYFUNCTION("""COMPUTED_VALUE"""),44887.0)</f>
        <v>44887</v>
      </c>
      <c r="T177" s="5"/>
      <c r="U177" s="5" t="str">
        <f>IFERROR(__xludf.DUMMYFUNCTION("""COMPUTED_VALUE"""),"5x4")</f>
        <v>5x4</v>
      </c>
      <c r="V177" s="10" t="str">
        <f>IFERROR(__xludf.DUMMYFUNCTION("""COMPUTED_VALUE"""),"40")</f>
        <v>40</v>
      </c>
      <c r="W177" s="10" t="str">
        <f>IFERROR(__xludf.DUMMYFUNCTION("""COMPUTED_VALUE"""),"40")</f>
        <v>40</v>
      </c>
      <c r="X177" s="5">
        <f>IFERROR(__xludf.DUMMYFUNCTION("""COMPUTED_VALUE"""),96.261)</f>
        <v>96.261</v>
      </c>
      <c r="Y177" s="5" t="str">
        <f>IFERROR(__xludf.DUMMYFUNCTION("""COMPUTED_VALUE"""),"Medium")</f>
        <v>Medium</v>
      </c>
      <c r="Z177" s="5">
        <f>IFERROR(__xludf.DUMMYFUNCTION("""COMPUTED_VALUE"""),12.1)</f>
        <v>12.1</v>
      </c>
      <c r="AA177" s="12">
        <f>IFERROR(__xludf.DUMMYFUNCTION("""COMPUTED_VALUE"""),1000.0)</f>
        <v>1000</v>
      </c>
      <c r="AB177" s="5">
        <f>IFERROR(__xludf.DUMMYFUNCTION("""COMPUTED_VALUE"""),5.0)</f>
        <v>5</v>
      </c>
      <c r="AC177" s="5"/>
      <c r="AD177" s="5" t="str">
        <f>IFERROR(__xludf.DUMMYFUNCTION("""COMPUTED_VALUE"""),"0.4/60")</f>
        <v>0.4/60</v>
      </c>
      <c r="AE177" s="5"/>
      <c r="AF177" s="5"/>
      <c r="AG177" s="8">
        <f>IFERROR(__xludf.DUMMYFUNCTION("""COMPUTED_VALUE"""),46055.51806712963)</f>
        <v>46055.51807</v>
      </c>
      <c r="AH177" s="5" t="str">
        <f>IFERROR(__xludf.DUMMYFUNCTION("""COMPUTED_VALUE"""),"djordje.jankovic@fazi.rs")</f>
        <v>djordje.jankovic@fazi.rs</v>
      </c>
      <c r="AI177" s="5"/>
      <c r="AJ177" s="5"/>
      <c r="AK177" s="5">
        <f>IFERROR(__xludf.DUMMYFUNCTION("""COMPUTED_VALUE"""),40.0)</f>
        <v>40</v>
      </c>
      <c r="AL177" s="5" t="str">
        <f>IFERROR(__xludf.DUMMYFUNCTION("""COMPUTED_VALUE"""),"Yes")</f>
        <v>Yes</v>
      </c>
      <c r="AM177" s="5"/>
      <c r="AN177" s="7" t="str">
        <f>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AO177" s="5"/>
      <c r="AP177" s="5"/>
      <c r="AQ177" s="5" t="b">
        <f>IFERROR(__xludf.DUMMYFUNCTION("""COMPUTED_VALUE"""),TRUE)</f>
        <v>1</v>
      </c>
      <c r="AR177" s="5"/>
      <c r="AS177" s="5" t="str">
        <f>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AT177" s="5"/>
      <c r="AU177" s="5" t="str">
        <f>IFERROR(__xludf.DUMMYFUNCTION("""COMPUTED_VALUE"""),"Fazi")</f>
        <v>Fazi</v>
      </c>
      <c r="AV177" s="5"/>
      <c r="AW177" s="5"/>
      <c r="AX177" s="5"/>
      <c r="AY177" s="5"/>
      <c r="AZ177" s="5"/>
      <c r="BA177" s="5" t="str">
        <f>IFERROR(__xludf.DUMMYFUNCTION("""COMPUTED_VALUE"""),"")</f>
        <v/>
      </c>
      <c r="BB177" s="5"/>
      <c r="BC177" s="5" t="str">
        <f>IFERROR(__xludf.DUMMYFUNCTION("""COMPUTED_VALUE"""),"Foxi")</f>
        <v>Foxi</v>
      </c>
      <c r="BD177" s="7" t="str">
        <f>IFERROR(__xludf.DUMMYFUNCTION("""COMPUTED_VALUE"""),"https://gameserver-store-client-area.orbionlimited.com/Home/IntegrationGameLaunch/client-area?moneyType=0&amp;gameName=HeatingFruits&amp;platform=desktop&amp;languageCode=eng&amp;currency=EUR")</f>
        <v>https://gameserver-store-client-area.orbionlimited.com/Home/IntegrationGameLaunch/client-area?moneyType=0&amp;gameName=HeatingFruits&amp;platform=desktop&amp;languageCode=eng&amp;currency=EUR</v>
      </c>
      <c r="BE177" s="5" t="b">
        <f>IFERROR(__xludf.DUMMYFUNCTION("""COMPUTED_VALUE"""),TRUE)</f>
        <v>1</v>
      </c>
    </row>
    <row r="178">
      <c r="A178" s="5">
        <f>IFERROR(__xludf.DUMMYFUNCTION("""COMPUTED_VALUE"""),178.0)</f>
        <v>178</v>
      </c>
      <c r="B178" s="5">
        <f>IFERROR(__xludf.DUMMYFUNCTION("""COMPUTED_VALUE"""),177.0)</f>
        <v>177</v>
      </c>
      <c r="C178" s="5"/>
      <c r="D178" s="5" t="str">
        <f>IFERROR(__xludf.DUMMYFUNCTION("""COMPUTED_VALUE"""),"Extra Flames 10")</f>
        <v>Extra Flames 10</v>
      </c>
      <c r="E178" s="5"/>
      <c r="F178" s="5" t="str">
        <f>IFERROR(__xludf.DUMMYFUNCTION("""COMPUTED_VALUE"""),"ExtraFlames10")</f>
        <v>ExtraFlames10</v>
      </c>
      <c r="G178" s="5" t="str">
        <f>IFERROR(__xludf.DUMMYFUNCTION("""COMPUTED_VALUE"""),"Live")</f>
        <v>Live</v>
      </c>
      <c r="H178" s="5"/>
      <c r="I178" s="5"/>
      <c r="J178" s="5"/>
      <c r="K178" s="5" t="str">
        <f>IFERROR(__xludf.DUMMYFUNCTION("""COMPUTED_VALUE"""),"Slot")</f>
        <v>Slot</v>
      </c>
      <c r="L178" s="5"/>
      <c r="M178" s="5"/>
      <c r="N178" s="5"/>
      <c r="O178" s="5"/>
      <c r="P178" s="12"/>
      <c r="Q178" s="13">
        <f>IFERROR(__xludf.DUMMYFUNCTION("""COMPUTED_VALUE"""),43831.0)</f>
        <v>43831</v>
      </c>
      <c r="R178" s="14"/>
      <c r="S178" s="13">
        <f>IFERROR(__xludf.DUMMYFUNCTION("""COMPUTED_VALUE"""),43831.0)</f>
        <v>43831</v>
      </c>
      <c r="T178" s="5"/>
      <c r="U178" s="16"/>
      <c r="V178" s="10" t="str">
        <f>IFERROR(__xludf.DUMMYFUNCTION("""COMPUTED_VALUE"""),"10")</f>
        <v>10</v>
      </c>
      <c r="W178" s="10"/>
      <c r="X178" s="11">
        <f>IFERROR(__xludf.DUMMYFUNCTION("""COMPUTED_VALUE"""),0.0)</f>
        <v>0</v>
      </c>
      <c r="Y178" s="17"/>
      <c r="Z178" s="5">
        <f>IFERROR(__xludf.DUMMYFUNCTION("""COMPUTED_VALUE"""),0.0)</f>
        <v>0</v>
      </c>
      <c r="AA178" s="12"/>
      <c r="AB178" s="5"/>
      <c r="AC178" s="18"/>
      <c r="AD178" s="5"/>
      <c r="AE178" s="5"/>
      <c r="AF178" s="5"/>
      <c r="AG178" s="5"/>
      <c r="AH178" s="5"/>
      <c r="AI178" s="5"/>
      <c r="AJ178" s="5"/>
      <c r="AK178" s="5">
        <f>IFERROR(__xludf.DUMMYFUNCTION("""COMPUTED_VALUE"""),10.0)</f>
        <v>10</v>
      </c>
      <c r="AL178" s="5" t="str">
        <f>IFERROR(__xludf.DUMMYFUNCTION("""COMPUTED_VALUE"""),"Yes")</f>
        <v>Yes</v>
      </c>
      <c r="AM178" s="5"/>
      <c r="AN178" s="5"/>
      <c r="AO178" s="5"/>
      <c r="AP178" s="5"/>
      <c r="AQ178" s="5"/>
      <c r="AR178" s="5"/>
      <c r="AS178" s="5"/>
      <c r="AT178" s="5"/>
      <c r="AU178" s="5"/>
      <c r="AV178" s="5"/>
      <c r="AW178" s="5"/>
      <c r="AX178" s="5"/>
      <c r="AY178" s="5"/>
      <c r="AZ178" s="5"/>
      <c r="BA178" s="5" t="str">
        <f>IFERROR(__xludf.DUMMYFUNCTION("""COMPUTED_VALUE"""),"")</f>
        <v/>
      </c>
      <c r="BB178" s="5"/>
      <c r="BC178" s="5"/>
      <c r="BD178" s="5"/>
      <c r="BE178" s="5"/>
    </row>
    <row r="179">
      <c r="A179" s="5">
        <f>IFERROR(__xludf.DUMMYFUNCTION("""COMPUTED_VALUE"""),179.0)</f>
        <v>179</v>
      </c>
      <c r="B179" s="5">
        <f>IFERROR(__xludf.DUMMYFUNCTION("""COMPUTED_VALUE"""),178.0)</f>
        <v>178</v>
      </c>
      <c r="C179" s="5" t="str">
        <f>IFERROR(__xludf.DUMMYFUNCTION("""COMPUTED_VALUE"""),"Redstone")</f>
        <v>Redstone</v>
      </c>
      <c r="D179" s="5" t="str">
        <f>IFERROR(__xludf.DUMMYFUNCTION("""COMPUTED_VALUE"""),"Book Of Ibis")</f>
        <v>Book Of Ibis</v>
      </c>
      <c r="E179" s="5" t="str">
        <f>IFERROR(__xludf.DUMMYFUNCTION("""COMPUTED_VALUE"""),"Redstone")</f>
        <v>Redstone</v>
      </c>
      <c r="F179" s="5" t="str">
        <f>IFERROR(__xludf.DUMMYFUNCTION("""COMPUTED_VALUE"""),"BookOfIbis")</f>
        <v>BookOfIbis</v>
      </c>
      <c r="G179" s="5" t="str">
        <f>IFERROR(__xludf.DUMMYFUNCTION("""COMPUTED_VALUE"""),"Live")</f>
        <v>Live</v>
      </c>
      <c r="H179" s="5"/>
      <c r="I179" s="5" t="str">
        <f>IFERROR(__xludf.DUMMYFUNCTION("""COMPUTED_VALUE"""),"Redstone")</f>
        <v>Redstone</v>
      </c>
      <c r="J179" s="5" t="str">
        <f>IFERROR(__xludf.DUMMYFUNCTION("""COMPUTED_VALUE"""),"JSON")</f>
        <v>JSON</v>
      </c>
      <c r="K179" s="5" t="str">
        <f>IFERROR(__xludf.DUMMYFUNCTION("""COMPUTED_VALUE"""),"Slot")</f>
        <v>Slot</v>
      </c>
      <c r="L179" s="5" t="str">
        <f>IFERROR(__xludf.DUMMYFUNCTION("""COMPUTED_VALUE""")," Clone")</f>
        <v> Clone</v>
      </c>
      <c r="M179" s="5" t="str">
        <f>IFERROR(__xludf.DUMMYFUNCTION("""COMPUTED_VALUE"""),"Lost Book")</f>
        <v>Lost Book</v>
      </c>
      <c r="N179" s="7" t="str">
        <f>IFERROR(__xludf.DUMMYFUNCTION("""COMPUTED_VALUE"""),"https://docs.google.com/document/d/1MivnwLSbu2QueQOrF8UNz9NMC6gxsLlN/edit?usp=drive_link&amp;ouid=107596163405648766688&amp;rtpof=true&amp;sd=true")</f>
        <v>https://docs.google.com/document/d/1MivnwLSbu2QueQOrF8UNz9NMC6gxsLlN/edit?usp=drive_link&amp;ouid=107596163405648766688&amp;rtpof=true&amp;sd=true</v>
      </c>
      <c r="O179" s="7" t="str">
        <f>IFERROR(__xludf.DUMMYFUNCTION("""COMPUTED_VALUE"""),"https://docs.google.com/document/d/1qt2u8fQ-xA0ELDkx6NartD2WsSj2h-it/edit?usp=drive_link&amp;ouid=107596163405648766688&amp;rtpof=true&amp;sd=true")</f>
        <v>https://docs.google.com/document/d/1qt2u8fQ-xA0ELDkx6NartD2WsSj2h-it/edit?usp=drive_link&amp;ouid=107596163405648766688&amp;rtpof=true&amp;sd=true</v>
      </c>
      <c r="P179" s="12">
        <f>IFERROR(__xludf.DUMMYFUNCTION("""COMPUTED_VALUE"""),13.9)</f>
        <v>13.9</v>
      </c>
      <c r="Q179" s="13">
        <f>IFERROR(__xludf.DUMMYFUNCTION("""COMPUTED_VALUE"""),44791.0)</f>
        <v>44791</v>
      </c>
      <c r="R179" s="14"/>
      <c r="S179" s="13">
        <f>IFERROR(__xludf.DUMMYFUNCTION("""COMPUTED_VALUE"""),44791.0)</f>
        <v>44791</v>
      </c>
      <c r="T179" s="5"/>
      <c r="U179" s="5" t="str">
        <f>IFERROR(__xludf.DUMMYFUNCTION("""COMPUTED_VALUE"""),"5x3")</f>
        <v>5x3</v>
      </c>
      <c r="V179" s="10" t="str">
        <f>IFERROR(__xludf.DUMMYFUNCTION("""COMPUTED_VALUE"""),"10")</f>
        <v>10</v>
      </c>
      <c r="W179" s="10" t="str">
        <f>IFERROR(__xludf.DUMMYFUNCTION("""COMPUTED_VALUE"""),"10")</f>
        <v>10</v>
      </c>
      <c r="X179" s="5">
        <f>IFERROR(__xludf.DUMMYFUNCTION("""COMPUTED_VALUE"""),96.2)</f>
        <v>96.2</v>
      </c>
      <c r="Y179" s="5" t="str">
        <f>IFERROR(__xludf.DUMMYFUNCTION("""COMPUTED_VALUE"""),"High")</f>
        <v>High</v>
      </c>
      <c r="Z179" s="5">
        <f>IFERROR(__xludf.DUMMYFUNCTION("""COMPUTED_VALUE"""),12.34)</f>
        <v>12.34</v>
      </c>
      <c r="AA179" s="12">
        <f>IFERROR(__xludf.DUMMYFUNCTION("""COMPUTED_VALUE"""),5512.0)</f>
        <v>5512</v>
      </c>
      <c r="AB179" s="5"/>
      <c r="AC179" s="5" t="str">
        <f>IFERROR(__xludf.DUMMYFUNCTION("""COMPUTED_VALUE"""),"Bonus Game with Free Spins, Scatter, Expanding Wild")</f>
        <v>Bonus Game with Free Spins, Scatter, Expanding Wild</v>
      </c>
      <c r="AD179" s="5" t="str">
        <f>IFERROR(__xludf.DUMMYFUNCTION("""COMPUTED_VALUE"""),"0.10/40")</f>
        <v>0.10/40</v>
      </c>
      <c r="AE179" s="5"/>
      <c r="AF179" s="5"/>
      <c r="AG179" s="8">
        <f>IFERROR(__xludf.DUMMYFUNCTION("""COMPUTED_VALUE"""),46157.447175925925)</f>
        <v>46157.44718</v>
      </c>
      <c r="AH179" s="5"/>
      <c r="AI179" s="5"/>
      <c r="AJ179" s="5"/>
      <c r="AK179" s="5">
        <f>IFERROR(__xludf.DUMMYFUNCTION("""COMPUTED_VALUE"""),10.0)</f>
        <v>10</v>
      </c>
      <c r="AL179" s="5" t="str">
        <f>IFERROR(__xludf.DUMMYFUNCTION("""COMPUTED_VALUE"""),"No")</f>
        <v>No</v>
      </c>
      <c r="AM179" s="5" t="str">
        <f>IFERROR(__xludf.DUMMYFUNCTION("""COMPUTED_VALUE"""),"No")</f>
        <v>No</v>
      </c>
      <c r="AN179" s="7" t="str">
        <f>IFERROR(__xludf.DUMMYFUNCTION("""COMPUTED_VALUE"""),"https://static.redstone.rs/games/book-of-ibis/")</f>
        <v>https://static.redstone.rs/games/book-of-ibis/</v>
      </c>
      <c r="AO179" s="5" t="str">
        <f>IFERROR(__xludf.DUMMYFUNCTION("""COMPUTED_VALUE"""),"No")</f>
        <v>No</v>
      </c>
      <c r="AP179" s="5" t="str">
        <f>IFERROR(__xludf.DUMMYFUNCTION("""COMPUTED_VALUE"""),"No")</f>
        <v>No</v>
      </c>
      <c r="AQ179" s="5" t="b">
        <f>IFERROR(__xludf.DUMMYFUNCTION("""COMPUTED_VALUE"""),TRUE)</f>
        <v>1</v>
      </c>
      <c r="AR179" s="5"/>
      <c r="AS179" s="5" t="str">
        <f>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AT179" s="5"/>
      <c r="AU179" s="5" t="str">
        <f>IFERROR(__xludf.DUMMYFUNCTION("""COMPUTED_VALUE"""),"Redstone")</f>
        <v>Redstone</v>
      </c>
      <c r="AV179" s="5"/>
      <c r="AW179" s="5"/>
      <c r="AX179" s="5"/>
      <c r="AY179" s="5"/>
      <c r="AZ179" s="5"/>
      <c r="BA179" s="5"/>
      <c r="BB179" s="5" t="b">
        <f>IFERROR(__xludf.DUMMYFUNCTION("""COMPUTED_VALUE"""),TRUE)</f>
        <v>1</v>
      </c>
      <c r="BC179" s="5" t="str">
        <f>IFERROR(__xludf.DUMMYFUNCTION("""COMPUTED_VALUE"""),"Redstone")</f>
        <v>Redstone</v>
      </c>
      <c r="BD179" s="7" t="str">
        <f>IFERROR(__xludf.DUMMYFUNCTION("""COMPUTED_VALUE"""),"https://static.redstone.rs/games/book-of-ibis/")</f>
        <v>https://static.redstone.rs/games/book-of-ibis/</v>
      </c>
      <c r="BE179" s="5" t="b">
        <f>IFERROR(__xludf.DUMMYFUNCTION("""COMPUTED_VALUE"""),TRUE)</f>
        <v>1</v>
      </c>
    </row>
    <row r="180">
      <c r="A180" s="5">
        <f>IFERROR(__xludf.DUMMYFUNCTION("""COMPUTED_VALUE"""),180.0)</f>
        <v>180</v>
      </c>
      <c r="B180" s="5">
        <f>IFERROR(__xludf.DUMMYFUNCTION("""COMPUTED_VALUE"""),179.0)</f>
        <v>179</v>
      </c>
      <c r="C180" s="5" t="str">
        <f>IFERROR(__xludf.DUMMYFUNCTION("""COMPUTED_VALUE"""),"Redstone")</f>
        <v>Redstone</v>
      </c>
      <c r="D180" s="5" t="str">
        <f>IFERROR(__xludf.DUMMYFUNCTION("""COMPUTED_VALUE"""),"Clover Coin")</f>
        <v>Clover Coin</v>
      </c>
      <c r="E180" s="5" t="str">
        <f>IFERROR(__xludf.DUMMYFUNCTION("""COMPUTED_VALUE"""),"Redstone")</f>
        <v>Redstone</v>
      </c>
      <c r="F180" s="5" t="str">
        <f>IFERROR(__xludf.DUMMYFUNCTION("""COMPUTED_VALUE"""),"CloverCoin")</f>
        <v>CloverCoin</v>
      </c>
      <c r="G180" s="5" t="str">
        <f>IFERROR(__xludf.DUMMYFUNCTION("""COMPUTED_VALUE"""),"Live")</f>
        <v>Live</v>
      </c>
      <c r="H180" s="5"/>
      <c r="I180" s="5" t="str">
        <f>IFERROR(__xludf.DUMMYFUNCTION("""COMPUTED_VALUE"""),"Redstone")</f>
        <v>Redstone</v>
      </c>
      <c r="J180" s="5" t="str">
        <f>IFERROR(__xludf.DUMMYFUNCTION("""COMPUTED_VALUE"""),"JSON")</f>
        <v>JSON</v>
      </c>
      <c r="K180" s="5" t="str">
        <f>IFERROR(__xludf.DUMMYFUNCTION("""COMPUTED_VALUE"""),"Slot")</f>
        <v>Slot</v>
      </c>
      <c r="L180" s="5" t="str">
        <f>IFERROR(__xludf.DUMMYFUNCTION("""COMPUTED_VALUE""")," Clone")</f>
        <v> Clone</v>
      </c>
      <c r="M180" s="5" t="str">
        <f>IFERROR(__xludf.DUMMYFUNCTION("""COMPUTED_VALUE"""),"Mayan Coins")</f>
        <v>Mayan Coins</v>
      </c>
      <c r="N180" s="7" t="str">
        <f>IFERROR(__xludf.DUMMYFUNCTION("""COMPUTED_VALUE"""),"https://docs.google.com/document/d/14aPa2HfOnXmUmLJGS13FiqvIHOpYGrPI/edit?usp=drive_link&amp;ouid=107596163405648766688&amp;rtpof=true&amp;sd=true")</f>
        <v>https://docs.google.com/document/d/14aPa2HfOnXmUmLJGS13FiqvIHOpYGrPI/edit?usp=drive_link&amp;ouid=107596163405648766688&amp;rtpof=true&amp;sd=true</v>
      </c>
      <c r="O180" s="7" t="str">
        <f>IFERROR(__xludf.DUMMYFUNCTION("""COMPUTED_VALUE"""),"https://docs.google.com/document/d/1P9j-AAe4GCAxkE2GQcnFdtiXIolt7YNE/edit?usp=drive_link&amp;ouid=107596163405648766688&amp;rtpof=true&amp;sd=true")</f>
        <v>https://docs.google.com/document/d/1P9j-AAe4GCAxkE2GQcnFdtiXIolt7YNE/edit?usp=drive_link&amp;ouid=107596163405648766688&amp;rtpof=true&amp;sd=true</v>
      </c>
      <c r="P180" s="12">
        <f>IFERROR(__xludf.DUMMYFUNCTION("""COMPUTED_VALUE"""),11.9)</f>
        <v>11.9</v>
      </c>
      <c r="Q180" s="13">
        <f>IFERROR(__xludf.DUMMYFUNCTION("""COMPUTED_VALUE"""),44810.0)</f>
        <v>44810</v>
      </c>
      <c r="R180" s="14"/>
      <c r="S180" s="13">
        <f>IFERROR(__xludf.DUMMYFUNCTION("""COMPUTED_VALUE"""),44810.0)</f>
        <v>44810</v>
      </c>
      <c r="T180" s="5"/>
      <c r="U180" s="5" t="str">
        <f>IFERROR(__xludf.DUMMYFUNCTION("""COMPUTED_VALUE"""),"5x3")</f>
        <v>5x3</v>
      </c>
      <c r="V180" s="10" t="str">
        <f>IFERROR(__xludf.DUMMYFUNCTION("""COMPUTED_VALUE"""),"10")</f>
        <v>10</v>
      </c>
      <c r="W180" s="10" t="str">
        <f>IFERROR(__xludf.DUMMYFUNCTION("""COMPUTED_VALUE"""),"10")</f>
        <v>10</v>
      </c>
      <c r="X180" s="5">
        <f>IFERROR(__xludf.DUMMYFUNCTION("""COMPUTED_VALUE"""),94.45)</f>
        <v>94.45</v>
      </c>
      <c r="Y180" s="5" t="str">
        <f>IFERROR(__xludf.DUMMYFUNCTION("""COMPUTED_VALUE"""),"Medium")</f>
        <v>Medium</v>
      </c>
      <c r="Z180" s="5">
        <f>IFERROR(__xludf.DUMMYFUNCTION("""COMPUTED_VALUE"""),12.54)</f>
        <v>12.54</v>
      </c>
      <c r="AA180" s="12">
        <f>IFERROR(__xludf.DUMMYFUNCTION("""COMPUTED_VALUE"""),1250.0)</f>
        <v>1250</v>
      </c>
      <c r="AB180" s="5"/>
      <c r="AC180" s="5" t="str">
        <f>IFERROR(__xludf.DUMMYFUNCTION("""COMPUTED_VALUE"""),"Bonus Game with Free Spins, Wild Symbol")</f>
        <v>Bonus Game with Free Spins, Wild Symbol</v>
      </c>
      <c r="AD180" s="5" t="str">
        <f>IFERROR(__xludf.DUMMYFUNCTION("""COMPUTED_VALUE"""),"0.10/40")</f>
        <v>0.10/40</v>
      </c>
      <c r="AE180" s="5"/>
      <c r="AF180" s="5"/>
      <c r="AG180" s="8">
        <f>IFERROR(__xludf.DUMMYFUNCTION("""COMPUTED_VALUE"""),46157.44736111111)</f>
        <v>46157.44736</v>
      </c>
      <c r="AH180" s="5"/>
      <c r="AI180" s="5"/>
      <c r="AJ180" s="5"/>
      <c r="AK180" s="5">
        <f>IFERROR(__xludf.DUMMYFUNCTION("""COMPUTED_VALUE"""),1.0)</f>
        <v>1</v>
      </c>
      <c r="AL180" s="5" t="str">
        <f>IFERROR(__xludf.DUMMYFUNCTION("""COMPUTED_VALUE"""),"No")</f>
        <v>No</v>
      </c>
      <c r="AM180" s="5" t="str">
        <f>IFERROR(__xludf.DUMMYFUNCTION("""COMPUTED_VALUE"""),"No")</f>
        <v>No</v>
      </c>
      <c r="AN180" s="7" t="str">
        <f>IFERROR(__xludf.DUMMYFUNCTION("""COMPUTED_VALUE"""),"https://static.redstone.rs/games/clover-coin/")</f>
        <v>https://static.redstone.rs/games/clover-coin/</v>
      </c>
      <c r="AO180" s="5" t="str">
        <f>IFERROR(__xludf.DUMMYFUNCTION("""COMPUTED_VALUE"""),"No")</f>
        <v>No</v>
      </c>
      <c r="AP180" s="5" t="str">
        <f>IFERROR(__xludf.DUMMYFUNCTION("""COMPUTED_VALUE"""),"No")</f>
        <v>No</v>
      </c>
      <c r="AQ180" s="5" t="b">
        <f>IFERROR(__xludf.DUMMYFUNCTION("""COMPUTED_VALUE"""),TRUE)</f>
        <v>1</v>
      </c>
      <c r="AR180" s="5"/>
      <c r="AS180" s="5" t="str">
        <f>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AT180" s="5"/>
      <c r="AU180" s="5" t="str">
        <f>IFERROR(__xludf.DUMMYFUNCTION("""COMPUTED_VALUE"""),"Redstone")</f>
        <v>Redstone</v>
      </c>
      <c r="AV180" s="5"/>
      <c r="AW180" s="5"/>
      <c r="AX180" s="5"/>
      <c r="AY180" s="5"/>
      <c r="AZ180" s="5"/>
      <c r="BA180" s="5"/>
      <c r="BB180" s="5" t="b">
        <f>IFERROR(__xludf.DUMMYFUNCTION("""COMPUTED_VALUE"""),TRUE)</f>
        <v>1</v>
      </c>
      <c r="BC180" s="5" t="str">
        <f>IFERROR(__xludf.DUMMYFUNCTION("""COMPUTED_VALUE"""),"Redstone")</f>
        <v>Redstone</v>
      </c>
      <c r="BD180" s="7" t="str">
        <f>IFERROR(__xludf.DUMMYFUNCTION("""COMPUTED_VALUE"""),"https://static.redstone.rs/games/clover-coin/")</f>
        <v>https://static.redstone.rs/games/clover-coin/</v>
      </c>
      <c r="BE180" s="5" t="b">
        <f>IFERROR(__xludf.DUMMYFUNCTION("""COMPUTED_VALUE"""),TRUE)</f>
        <v>1</v>
      </c>
    </row>
    <row r="181">
      <c r="A181" s="5">
        <f>IFERROR(__xludf.DUMMYFUNCTION("""COMPUTED_VALUE"""),181.0)</f>
        <v>181</v>
      </c>
      <c r="B181" s="5">
        <f>IFERROR(__xludf.DUMMYFUNCTION("""COMPUTED_VALUE"""),180.0)</f>
        <v>180</v>
      </c>
      <c r="C181" s="5" t="str">
        <f>IFERROR(__xludf.DUMMYFUNCTION("""COMPUTED_VALUE"""),"Fazi")</f>
        <v>Fazi</v>
      </c>
      <c r="D181" s="5" t="str">
        <f>IFERROR(__xludf.DUMMYFUNCTION("""COMPUTED_VALUE"""),"Admiral Hot 5")</f>
        <v>Admiral Hot 5</v>
      </c>
      <c r="E181" s="5" t="str">
        <f>IFERROR(__xludf.DUMMYFUNCTION("""COMPUTED_VALUE"""),"V2")</f>
        <v>V2</v>
      </c>
      <c r="F181" s="5" t="str">
        <f>IFERROR(__xludf.DUMMYFUNCTION("""COMPUTED_VALUE"""),"AdmiralHot5")</f>
        <v>AdmiralHot5</v>
      </c>
      <c r="G181" s="5" t="str">
        <f>IFERROR(__xludf.DUMMYFUNCTION("""COMPUTED_VALUE"""),"Live")</f>
        <v>Live</v>
      </c>
      <c r="H181" s="5" t="str">
        <f>IFERROR(__xludf.DUMMYFUNCTION("""COMPUTED_VALUE"""),"AdmiralHR - Interigre")</f>
        <v>AdmiralHR - Interigre</v>
      </c>
      <c r="I181" s="5" t="str">
        <f>IFERROR(__xludf.DUMMYFUNCTION("""COMPUTED_VALUE"""),"V2")</f>
        <v>V2</v>
      </c>
      <c r="J181" s="5" t="str">
        <f>IFERROR(__xludf.DUMMYFUNCTION("""COMPUTED_VALUE"""),"Binary")</f>
        <v>Binary</v>
      </c>
      <c r="K181" s="5" t="str">
        <f>IFERROR(__xludf.DUMMYFUNCTION("""COMPUTED_VALUE"""),"Slot")</f>
        <v>Slot</v>
      </c>
      <c r="L181" s="5" t="str">
        <f>IFERROR(__xludf.DUMMYFUNCTION("""COMPUTED_VALUE"""),"Clone")</f>
        <v>Clone</v>
      </c>
      <c r="M181" s="5" t="str">
        <f>IFERROR(__xludf.DUMMYFUNCTION("""COMPUTED_VALUE"""),"Bursting Hot 5")</f>
        <v>Bursting Hot 5</v>
      </c>
      <c r="N181" s="5"/>
      <c r="O181" s="5"/>
      <c r="P181" s="12"/>
      <c r="Q181" s="13">
        <f>IFERROR(__xludf.DUMMYFUNCTION("""COMPUTED_VALUE"""),43831.0)</f>
        <v>43831</v>
      </c>
      <c r="R181" s="14"/>
      <c r="S181" s="13">
        <f>IFERROR(__xludf.DUMMYFUNCTION("""COMPUTED_VALUE"""),43831.0)</f>
        <v>43831</v>
      </c>
      <c r="T181" s="5"/>
      <c r="U181" s="5" t="str">
        <f>IFERROR(__xludf.DUMMYFUNCTION("""COMPUTED_VALUE"""),"5x3")</f>
        <v>5x3</v>
      </c>
      <c r="V181" s="10" t="str">
        <f>IFERROR(__xludf.DUMMYFUNCTION("""COMPUTED_VALUE"""),"5")</f>
        <v>5</v>
      </c>
      <c r="W181" s="10" t="str">
        <f>IFERROR(__xludf.DUMMYFUNCTION("""COMPUTED_VALUE"""),"5")</f>
        <v>5</v>
      </c>
      <c r="X181" s="5">
        <f>IFERROR(__xludf.DUMMYFUNCTION("""COMPUTED_VALUE"""),96.447)</f>
        <v>96.447</v>
      </c>
      <c r="Y181" s="5" t="str">
        <f>IFERROR(__xludf.DUMMYFUNCTION("""COMPUTED_VALUE"""),"Medium")</f>
        <v>Medium</v>
      </c>
      <c r="Z181" s="5">
        <f>IFERROR(__xludf.DUMMYFUNCTION("""COMPUTED_VALUE"""),14.510000000000002)</f>
        <v>14.51</v>
      </c>
      <c r="AA181" s="12">
        <f>IFERROR(__xludf.DUMMYFUNCTION("""COMPUTED_VALUE"""),1222.0)</f>
        <v>1222</v>
      </c>
      <c r="AB181" s="5">
        <f>IFERROR(__xludf.DUMMYFUNCTION("""COMPUTED_VALUE"""),4.0)</f>
        <v>4</v>
      </c>
      <c r="AC181" s="5" t="str">
        <f>IFERROR(__xludf.DUMMYFUNCTION("""COMPUTED_VALUE"""),"Expanding Wild, Scatter")</f>
        <v>Expanding Wild, Scatter</v>
      </c>
      <c r="AD181" s="5"/>
      <c r="AE181" s="5"/>
      <c r="AF181" s="5"/>
      <c r="AG181" s="8">
        <f>IFERROR(__xludf.DUMMYFUNCTION("""COMPUTED_VALUE"""),46020.52337962963)</f>
        <v>46020.52338</v>
      </c>
      <c r="AH181" s="5" t="str">
        <f>IFERROR(__xludf.DUMMYFUNCTION("""COMPUTED_VALUE"""),"djordje.jankovic@fazi.rs")</f>
        <v>djordje.jankovic@fazi.rs</v>
      </c>
      <c r="AI181" s="5"/>
      <c r="AJ181" s="5"/>
      <c r="AK181" s="5">
        <f>IFERROR(__xludf.DUMMYFUNCTION("""COMPUTED_VALUE"""),5.0)</f>
        <v>5</v>
      </c>
      <c r="AL181" s="5" t="str">
        <f>IFERROR(__xludf.DUMMYFUNCTION("""COMPUTED_VALUE"""),"Yes")</f>
        <v>Yes</v>
      </c>
      <c r="AM181" s="5"/>
      <c r="AN181" s="5"/>
      <c r="AO181" s="5"/>
      <c r="AP181" s="5"/>
      <c r="AQ181" s="5"/>
      <c r="AR181" s="5" t="b">
        <f>IFERROR(__xludf.DUMMYFUNCTION("""COMPUTED_VALUE"""),TRUE)</f>
        <v>1</v>
      </c>
      <c r="AS181" s="5"/>
      <c r="AT181" s="5"/>
      <c r="AU181" s="5" t="str">
        <f>IFERROR(__xludf.DUMMYFUNCTION("""COMPUTED_VALUE"""),"Fazi")</f>
        <v>Fazi</v>
      </c>
      <c r="AV181" s="5"/>
      <c r="AW181" s="5"/>
      <c r="AX181" s="5"/>
      <c r="AY181" s="5"/>
      <c r="AZ181" s="5"/>
      <c r="BA181" s="5" t="str">
        <f>IFERROR(__xludf.DUMMYFUNCTION("""COMPUTED_VALUE"""),"")</f>
        <v/>
      </c>
      <c r="BB181" s="5"/>
      <c r="BC181" s="5" t="str">
        <f>IFERROR(__xludf.DUMMYFUNCTION("""COMPUTED_VALUE"""),"Foxi")</f>
        <v>Foxi</v>
      </c>
      <c r="BD181" s="5" t="str">
        <f>IFERROR(__xludf.DUMMYFUNCTION("""COMPUTED_VALUE"""),"")</f>
        <v/>
      </c>
      <c r="BE181" s="5"/>
    </row>
    <row r="182">
      <c r="A182" s="5">
        <f>IFERROR(__xludf.DUMMYFUNCTION("""COMPUTED_VALUE"""),182.0)</f>
        <v>182</v>
      </c>
      <c r="B182" s="5">
        <f>IFERROR(__xludf.DUMMYFUNCTION("""COMPUTED_VALUE"""),181.0)</f>
        <v>181</v>
      </c>
      <c r="C182" s="5" t="str">
        <f>IFERROR(__xludf.DUMMYFUNCTION("""COMPUTED_VALUE"""),"Fazi")</f>
        <v>Fazi</v>
      </c>
      <c r="D182" s="5" t="str">
        <f>IFERROR(__xludf.DUMMYFUNCTION("""COMPUTED_VALUE"""),"Arena Hot 40")</f>
        <v>Arena Hot 40</v>
      </c>
      <c r="E182" s="5" t="str">
        <f>IFERROR(__xludf.DUMMYFUNCTION("""COMPUTED_VALUE"""),"V2")</f>
        <v>V2</v>
      </c>
      <c r="F182" s="5" t="str">
        <f>IFERROR(__xludf.DUMMYFUNCTION("""COMPUTED_VALUE"""),"ArenaHot40")</f>
        <v>ArenaHot40</v>
      </c>
      <c r="G182" s="5" t="str">
        <f>IFERROR(__xludf.DUMMYFUNCTION("""COMPUTED_VALUE"""),"Live")</f>
        <v>Live</v>
      </c>
      <c r="H182" s="5" t="str">
        <f>IFERROR(__xludf.DUMMYFUNCTION("""COMPUTED_VALUE"""),"ArenaHR - Super Igra")</f>
        <v>ArenaHR - Super Igra</v>
      </c>
      <c r="I182" s="5" t="str">
        <f>IFERROR(__xludf.DUMMYFUNCTION("""COMPUTED_VALUE"""),"V2")</f>
        <v>V2</v>
      </c>
      <c r="J182" s="5" t="str">
        <f>IFERROR(__xludf.DUMMYFUNCTION("""COMPUTED_VALUE"""),"Binary")</f>
        <v>Binary</v>
      </c>
      <c r="K182" s="5" t="str">
        <f>IFERROR(__xludf.DUMMYFUNCTION("""COMPUTED_VALUE"""),"Slot")</f>
        <v>Slot</v>
      </c>
      <c r="L182" s="5"/>
      <c r="M182" s="5" t="str">
        <f>IFERROR(__xludf.DUMMYFUNCTION("""COMPUTED_VALUE"""),"Turbo Hot 40")</f>
        <v>Turbo Hot 40</v>
      </c>
      <c r="N182" s="5"/>
      <c r="O182" s="5"/>
      <c r="P182" s="12"/>
      <c r="Q182" s="13">
        <f>IFERROR(__xludf.DUMMYFUNCTION("""COMPUTED_VALUE"""),43831.0)</f>
        <v>43831</v>
      </c>
      <c r="R182" s="14"/>
      <c r="S182" s="13">
        <f>IFERROR(__xludf.DUMMYFUNCTION("""COMPUTED_VALUE"""),43831.0)</f>
        <v>43831</v>
      </c>
      <c r="T182" s="5"/>
      <c r="U182" s="5" t="str">
        <f>IFERROR(__xludf.DUMMYFUNCTION("""COMPUTED_VALUE"""),"5x4")</f>
        <v>5x4</v>
      </c>
      <c r="V182" s="10" t="str">
        <f>IFERROR(__xludf.DUMMYFUNCTION("""COMPUTED_VALUE"""),"40")</f>
        <v>40</v>
      </c>
      <c r="W182" s="10" t="str">
        <f>IFERROR(__xludf.DUMMYFUNCTION("""COMPUTED_VALUE"""),"40")</f>
        <v>40</v>
      </c>
      <c r="X182" s="5">
        <f>IFERROR(__xludf.DUMMYFUNCTION("""COMPUTED_VALUE"""),96.584)</f>
        <v>96.584</v>
      </c>
      <c r="Y182" s="5" t="str">
        <f>IFERROR(__xludf.DUMMYFUNCTION("""COMPUTED_VALUE"""),"Low")</f>
        <v>Low</v>
      </c>
      <c r="Z182" s="5">
        <f>IFERROR(__xludf.DUMMYFUNCTION("""COMPUTED_VALUE"""),16.73)</f>
        <v>16.73</v>
      </c>
      <c r="AA182" s="12">
        <f>IFERROR(__xludf.DUMMYFUNCTION("""COMPUTED_VALUE"""),1000.0)</f>
        <v>1000</v>
      </c>
      <c r="AB182" s="5" t="str">
        <f>IFERROR(__xludf.DUMMYFUNCTION("""COMPUTED_VALUE"""),"/")</f>
        <v>/</v>
      </c>
      <c r="AC182" s="5" t="str">
        <f>IFERROR(__xludf.DUMMYFUNCTION("""COMPUTED_VALUE"""),"Wild Symbol, Scatter")</f>
        <v>Wild Symbol, Scatter</v>
      </c>
      <c r="AD182" s="5"/>
      <c r="AE182" s="5"/>
      <c r="AF182" s="5"/>
      <c r="AG182" s="8">
        <f>IFERROR(__xludf.DUMMYFUNCTION("""COMPUTED_VALUE"""),46057.41547453704)</f>
        <v>46057.41547</v>
      </c>
      <c r="AH182" s="5" t="str">
        <f>IFERROR(__xludf.DUMMYFUNCTION("""COMPUTED_VALUE"""),"petra.ilic@fazi.rs")</f>
        <v>petra.ilic@fazi.rs</v>
      </c>
      <c r="AI182" s="5"/>
      <c r="AJ182" s="5"/>
      <c r="AK182" s="5">
        <f>IFERROR(__xludf.DUMMYFUNCTION("""COMPUTED_VALUE"""),40.0)</f>
        <v>40</v>
      </c>
      <c r="AL182" s="5" t="str">
        <f>IFERROR(__xludf.DUMMYFUNCTION("""COMPUTED_VALUE"""),"Yes")</f>
        <v>Yes</v>
      </c>
      <c r="AM182" s="5"/>
      <c r="AN182" s="5"/>
      <c r="AO182" s="5"/>
      <c r="AP182" s="5"/>
      <c r="AQ182" s="5"/>
      <c r="AR182" s="5" t="b">
        <f>IFERROR(__xludf.DUMMYFUNCTION("""COMPUTED_VALUE"""),TRUE)</f>
        <v>1</v>
      </c>
      <c r="AS182" s="5"/>
      <c r="AT182" s="5"/>
      <c r="AU182" s="5" t="str">
        <f>IFERROR(__xludf.DUMMYFUNCTION("""COMPUTED_VALUE"""),"Fazi")</f>
        <v>Fazi</v>
      </c>
      <c r="AV182" s="5"/>
      <c r="AW182" s="5"/>
      <c r="AX182" s="5"/>
      <c r="AY182" s="5"/>
      <c r="AZ182" s="5"/>
      <c r="BA182" s="5" t="str">
        <f>IFERROR(__xludf.DUMMYFUNCTION("""COMPUTED_VALUE"""),"")</f>
        <v/>
      </c>
      <c r="BB182" s="5"/>
      <c r="BC182" s="5" t="str">
        <f>IFERROR(__xludf.DUMMYFUNCTION("""COMPUTED_VALUE"""),"Foxi")</f>
        <v>Foxi</v>
      </c>
      <c r="BD182" s="5" t="str">
        <f>IFERROR(__xludf.DUMMYFUNCTION("""COMPUTED_VALUE"""),"")</f>
        <v/>
      </c>
      <c r="BE182" s="5"/>
    </row>
    <row r="183">
      <c r="A183" s="5">
        <f>IFERROR(__xludf.DUMMYFUNCTION("""COMPUTED_VALUE"""),183.0)</f>
        <v>183</v>
      </c>
      <c r="B183" s="5">
        <f>IFERROR(__xludf.DUMMYFUNCTION("""COMPUTED_VALUE"""),182.0)</f>
        <v>182</v>
      </c>
      <c r="C183" s="5" t="str">
        <f>IFERROR(__xludf.DUMMYFUNCTION("""COMPUTED_VALUE"""),"Fazi")</f>
        <v>Fazi</v>
      </c>
      <c r="D183" s="5" t="str">
        <f>IFERROR(__xludf.DUMMYFUNCTION("""COMPUTED_VALUE"""),"Germania Hot 40")</f>
        <v>Germania Hot 40</v>
      </c>
      <c r="E183" s="5" t="str">
        <f>IFERROR(__xludf.DUMMYFUNCTION("""COMPUTED_VALUE"""),"V2")</f>
        <v>V2</v>
      </c>
      <c r="F183" s="5" t="str">
        <f>IFERROR(__xludf.DUMMYFUNCTION("""COMPUTED_VALUE"""),"GermaniaHot40")</f>
        <v>GermaniaHot40</v>
      </c>
      <c r="G183" s="5" t="str">
        <f>IFERROR(__xludf.DUMMYFUNCTION("""COMPUTED_VALUE"""),"Live")</f>
        <v>Live</v>
      </c>
      <c r="H183" s="5" t="str">
        <f>IFERROR(__xludf.DUMMYFUNCTION("""COMPUTED_VALUE"""),"GermaniaSport")</f>
        <v>GermaniaSport</v>
      </c>
      <c r="I183" s="5" t="str">
        <f>IFERROR(__xludf.DUMMYFUNCTION("""COMPUTED_VALUE"""),"V2")</f>
        <v>V2</v>
      </c>
      <c r="J183" s="5" t="str">
        <f>IFERROR(__xludf.DUMMYFUNCTION("""COMPUTED_VALUE"""),"Binary")</f>
        <v>Binary</v>
      </c>
      <c r="K183" s="5" t="str">
        <f>IFERROR(__xludf.DUMMYFUNCTION("""COMPUTED_VALUE"""),"Slot")</f>
        <v>Slot</v>
      </c>
      <c r="L183" s="5" t="str">
        <f>IFERROR(__xludf.DUMMYFUNCTION("""COMPUTED_VALUE"""),"Clone")</f>
        <v>Clone</v>
      </c>
      <c r="M183" s="5" t="str">
        <f>IFERROR(__xludf.DUMMYFUNCTION("""COMPUTED_VALUE"""),"Bursting Hot 5")</f>
        <v>Bursting Hot 5</v>
      </c>
      <c r="N183" s="5"/>
      <c r="O183" s="5"/>
      <c r="P183" s="12"/>
      <c r="Q183" s="13">
        <f>IFERROR(__xludf.DUMMYFUNCTION("""COMPUTED_VALUE"""),43831.0)</f>
        <v>43831</v>
      </c>
      <c r="R183" s="14"/>
      <c r="S183" s="13">
        <f>IFERROR(__xludf.DUMMYFUNCTION("""COMPUTED_VALUE"""),43831.0)</f>
        <v>43831</v>
      </c>
      <c r="T183" s="5"/>
      <c r="U183" s="5" t="str">
        <f>IFERROR(__xludf.DUMMYFUNCTION("""COMPUTED_VALUE"""),"5x3")</f>
        <v>5x3</v>
      </c>
      <c r="V183" s="10" t="str">
        <f>IFERROR(__xludf.DUMMYFUNCTION("""COMPUTED_VALUE"""),"40")</f>
        <v>40</v>
      </c>
      <c r="W183" s="10" t="str">
        <f>IFERROR(__xludf.DUMMYFUNCTION("""COMPUTED_VALUE"""),"40")</f>
        <v>40</v>
      </c>
      <c r="X183" s="5">
        <f>IFERROR(__xludf.DUMMYFUNCTION("""COMPUTED_VALUE"""),96.53)</f>
        <v>96.53</v>
      </c>
      <c r="Y183" s="5" t="str">
        <f>IFERROR(__xludf.DUMMYFUNCTION("""COMPUTED_VALUE"""),"Low")</f>
        <v>Low</v>
      </c>
      <c r="Z183" s="5">
        <f>IFERROR(__xludf.DUMMYFUNCTION("""COMPUTED_VALUE"""),23.380000000000003)</f>
        <v>23.38</v>
      </c>
      <c r="AA183" s="12">
        <f>IFERROR(__xludf.DUMMYFUNCTION("""COMPUTED_VALUE"""),876.75)</f>
        <v>876.75</v>
      </c>
      <c r="AB183" s="5">
        <f>IFERROR(__xludf.DUMMYFUNCTION("""COMPUTED_VALUE"""),4.0)</f>
        <v>4</v>
      </c>
      <c r="AC183" s="5" t="str">
        <f>IFERROR(__xludf.DUMMYFUNCTION("""COMPUTED_VALUE"""),"Expanding Wild, Scatter")</f>
        <v>Expanding Wild, Scatter</v>
      </c>
      <c r="AD183" s="5"/>
      <c r="AE183" s="5"/>
      <c r="AF183" s="5"/>
      <c r="AG183" s="8">
        <f>IFERROR(__xludf.DUMMYFUNCTION("""COMPUTED_VALUE"""),45995.59237268518)</f>
        <v>45995.59237</v>
      </c>
      <c r="AH183" s="5" t="str">
        <f>IFERROR(__xludf.DUMMYFUNCTION("""COMPUTED_VALUE"""),"djordje.jankovic@fazi.rs")</f>
        <v>djordje.jankovic@fazi.rs</v>
      </c>
      <c r="AI183" s="5"/>
      <c r="AJ183" s="5"/>
      <c r="AK183" s="5">
        <f>IFERROR(__xludf.DUMMYFUNCTION("""COMPUTED_VALUE"""),40.0)</f>
        <v>40</v>
      </c>
      <c r="AL183" s="5" t="str">
        <f>IFERROR(__xludf.DUMMYFUNCTION("""COMPUTED_VALUE"""),"Yes")</f>
        <v>Yes</v>
      </c>
      <c r="AM183" s="5"/>
      <c r="AN183" s="5"/>
      <c r="AO183" s="5"/>
      <c r="AP183" s="5"/>
      <c r="AQ183" s="5"/>
      <c r="AR183" s="5" t="b">
        <f>IFERROR(__xludf.DUMMYFUNCTION("""COMPUTED_VALUE"""),TRUE)</f>
        <v>1</v>
      </c>
      <c r="AS183" s="5"/>
      <c r="AT183" s="5"/>
      <c r="AU183" s="5" t="str">
        <f>IFERROR(__xludf.DUMMYFUNCTION("""COMPUTED_VALUE"""),"Fazi")</f>
        <v>Fazi</v>
      </c>
      <c r="AV183" s="5"/>
      <c r="AW183" s="5"/>
      <c r="AX183" s="5"/>
      <c r="AY183" s="5"/>
      <c r="AZ183" s="5"/>
      <c r="BA183" s="5" t="str">
        <f>IFERROR(__xludf.DUMMYFUNCTION("""COMPUTED_VALUE"""),"")</f>
        <v/>
      </c>
      <c r="BB183" s="5"/>
      <c r="BC183" s="5" t="str">
        <f>IFERROR(__xludf.DUMMYFUNCTION("""COMPUTED_VALUE"""),"Foxi")</f>
        <v>Foxi</v>
      </c>
      <c r="BD183" s="5" t="str">
        <f>IFERROR(__xludf.DUMMYFUNCTION("""COMPUTED_VALUE"""),"")</f>
        <v/>
      </c>
      <c r="BE183" s="5"/>
    </row>
    <row r="184">
      <c r="A184" s="5">
        <f>IFERROR(__xludf.DUMMYFUNCTION("""COMPUTED_VALUE"""),184.0)</f>
        <v>184</v>
      </c>
      <c r="B184" s="5">
        <f>IFERROR(__xludf.DUMMYFUNCTION("""COMPUTED_VALUE"""),183.0)</f>
        <v>183</v>
      </c>
      <c r="C184" s="5" t="str">
        <f>IFERROR(__xludf.DUMMYFUNCTION("""COMPUTED_VALUE"""),"Fazi")</f>
        <v>Fazi</v>
      </c>
      <c r="D184" s="5" t="str">
        <f>IFERROR(__xludf.DUMMYFUNCTION("""COMPUTED_VALUE"""),"WinXtip")</f>
        <v>WinXtip</v>
      </c>
      <c r="E184" s="5" t="str">
        <f>IFERROR(__xludf.DUMMYFUNCTION("""COMPUTED_VALUE"""),"V2")</f>
        <v>V2</v>
      </c>
      <c r="F184" s="5" t="str">
        <f>IFERROR(__xludf.DUMMYFUNCTION("""COMPUTED_VALUE"""),"WinXtip")</f>
        <v>WinXtip</v>
      </c>
      <c r="G184" s="5" t="str">
        <f>IFERROR(__xludf.DUMMYFUNCTION("""COMPUTED_VALUE"""),"Live")</f>
        <v>Live</v>
      </c>
      <c r="H184" s="5" t="str">
        <f>IFERROR(__xludf.DUMMYFUNCTION("""COMPUTED_VALUE"""),"Oryx gaming")</f>
        <v>Oryx gaming</v>
      </c>
      <c r="I184" s="5" t="str">
        <f>IFERROR(__xludf.DUMMYFUNCTION("""COMPUTED_VALUE"""),"V2")</f>
        <v>V2</v>
      </c>
      <c r="J184" s="5" t="str">
        <f>IFERROR(__xludf.DUMMYFUNCTION("""COMPUTED_VALUE"""),"Binary")</f>
        <v>Binary</v>
      </c>
      <c r="K184" s="5" t="str">
        <f>IFERROR(__xludf.DUMMYFUNCTION("""COMPUTED_VALUE"""),"Slot")</f>
        <v>Slot</v>
      </c>
      <c r="L184" s="5" t="str">
        <f>IFERROR(__xludf.DUMMYFUNCTION("""COMPUTED_VALUE"""),"Clone")</f>
        <v>Clone</v>
      </c>
      <c r="M184" s="5" t="str">
        <f>IFERROR(__xludf.DUMMYFUNCTION("""COMPUTED_VALUE"""),"Golden Crown")</f>
        <v>Golden Crown</v>
      </c>
      <c r="N184" s="5"/>
      <c r="O184" s="5"/>
      <c r="P184" s="12"/>
      <c r="Q184" s="13">
        <f>IFERROR(__xludf.DUMMYFUNCTION("""COMPUTED_VALUE"""),43831.0)</f>
        <v>43831</v>
      </c>
      <c r="R184" s="14"/>
      <c r="S184" s="13">
        <f>IFERROR(__xludf.DUMMYFUNCTION("""COMPUTED_VALUE"""),43831.0)</f>
        <v>43831</v>
      </c>
      <c r="T184" s="5"/>
      <c r="U184" s="16"/>
      <c r="V184" s="10" t="str">
        <f>IFERROR(__xludf.DUMMYFUNCTION("""COMPUTED_VALUE"""),"10")</f>
        <v>10</v>
      </c>
      <c r="W184" s="10"/>
      <c r="X184" s="11">
        <f>IFERROR(__xludf.DUMMYFUNCTION("""COMPUTED_VALUE"""),95.962)</f>
        <v>95.962</v>
      </c>
      <c r="Y184" s="17"/>
      <c r="Z184" s="5">
        <f>IFERROR(__xludf.DUMMYFUNCTION("""COMPUTED_VALUE"""),0.0)</f>
        <v>0</v>
      </c>
      <c r="AA184" s="12"/>
      <c r="AB184" s="5"/>
      <c r="AC184" s="18"/>
      <c r="AD184" s="5"/>
      <c r="AE184" s="5"/>
      <c r="AF184" s="5"/>
      <c r="AG184" s="8">
        <f>IFERROR(__xludf.DUMMYFUNCTION("""COMPUTED_VALUE"""),46020.52310185185)</f>
        <v>46020.5231</v>
      </c>
      <c r="AH184" s="5" t="str">
        <f>IFERROR(__xludf.DUMMYFUNCTION("""COMPUTED_VALUE"""),"djordje.jankovic@fazi.rs")</f>
        <v>djordje.jankovic@fazi.rs</v>
      </c>
      <c r="AI184" s="5"/>
      <c r="AJ184" s="5"/>
      <c r="AK184" s="5" t="str">
        <f>IFERROR(__xludf.DUMMYFUNCTION("""COMPUTED_VALUE"""),"NULL")</f>
        <v>NULL</v>
      </c>
      <c r="AL184" s="5" t="str">
        <f>IFERROR(__xludf.DUMMYFUNCTION("""COMPUTED_VALUE"""),"Yes")</f>
        <v>Yes</v>
      </c>
      <c r="AM184" s="5"/>
      <c r="AN184" s="5"/>
      <c r="AO184" s="5"/>
      <c r="AP184" s="5"/>
      <c r="AQ184" s="5"/>
      <c r="AR184" s="5" t="b">
        <f>IFERROR(__xludf.DUMMYFUNCTION("""COMPUTED_VALUE"""),TRUE)</f>
        <v>1</v>
      </c>
      <c r="AS184" s="5"/>
      <c r="AT184" s="5"/>
      <c r="AU184" s="5" t="str">
        <f>IFERROR(__xludf.DUMMYFUNCTION("""COMPUTED_VALUE"""),"Fazi")</f>
        <v>Fazi</v>
      </c>
      <c r="AV184" s="5"/>
      <c r="AW184" s="5"/>
      <c r="AX184" s="5"/>
      <c r="AY184" s="5"/>
      <c r="AZ184" s="5"/>
      <c r="BA184" s="5" t="str">
        <f>IFERROR(__xludf.DUMMYFUNCTION("""COMPUTED_VALUE"""),"")</f>
        <v/>
      </c>
      <c r="BB184" s="5"/>
      <c r="BC184" s="5" t="str">
        <f>IFERROR(__xludf.DUMMYFUNCTION("""COMPUTED_VALUE"""),"Foxi")</f>
        <v>Foxi</v>
      </c>
      <c r="BD184" s="5" t="str">
        <f>IFERROR(__xludf.DUMMYFUNCTION("""COMPUTED_VALUE"""),"")</f>
        <v/>
      </c>
      <c r="BE184" s="5"/>
    </row>
    <row r="185">
      <c r="A185" s="5">
        <f>IFERROR(__xludf.DUMMYFUNCTION("""COMPUTED_VALUE"""),185.0)</f>
        <v>185</v>
      </c>
      <c r="B185" s="5">
        <f>IFERROR(__xludf.DUMMYFUNCTION("""COMPUTED_VALUE"""),184.0)</f>
        <v>184</v>
      </c>
      <c r="C185" s="5" t="str">
        <f>IFERROR(__xludf.DUMMYFUNCTION("""COMPUTED_VALUE"""),"Fazi")</f>
        <v>Fazi</v>
      </c>
      <c r="D185" s="5" t="str">
        <f>IFERROR(__xludf.DUMMYFUNCTION("""COMPUTED_VALUE"""),"Psk Hot 40")</f>
        <v>Psk Hot 40</v>
      </c>
      <c r="E185" s="5" t="str">
        <f>IFERROR(__xludf.DUMMYFUNCTION("""COMPUTED_VALUE"""),"V2")</f>
        <v>V2</v>
      </c>
      <c r="F185" s="5" t="str">
        <f>IFERROR(__xludf.DUMMYFUNCTION("""COMPUTED_VALUE"""),"PskHot40")</f>
        <v>PskHot40</v>
      </c>
      <c r="G185" s="5" t="str">
        <f>IFERROR(__xludf.DUMMYFUNCTION("""COMPUTED_VALUE"""),"Live")</f>
        <v>Live</v>
      </c>
      <c r="H185" s="5" t="str">
        <f>IFERROR(__xludf.DUMMYFUNCTION("""COMPUTED_VALUE"""),"PSK - Hattrick PSK")</f>
        <v>PSK - Hattrick PSK</v>
      </c>
      <c r="I185" s="5" t="str">
        <f>IFERROR(__xludf.DUMMYFUNCTION("""COMPUTED_VALUE"""),"V2")</f>
        <v>V2</v>
      </c>
      <c r="J185" s="5" t="str">
        <f>IFERROR(__xludf.DUMMYFUNCTION("""COMPUTED_VALUE"""),"Binary")</f>
        <v>Binary</v>
      </c>
      <c r="K185" s="5" t="str">
        <f>IFERROR(__xludf.DUMMYFUNCTION("""COMPUTED_VALUE"""),"Slot")</f>
        <v>Slot</v>
      </c>
      <c r="L185" s="5" t="str">
        <f>IFERROR(__xludf.DUMMYFUNCTION("""COMPUTED_VALUE"""),"Clone")</f>
        <v>Clone</v>
      </c>
      <c r="M185" s="5" t="str">
        <f>IFERROR(__xludf.DUMMYFUNCTION("""COMPUTED_VALUE"""),"Turbo Hot 40")</f>
        <v>Turbo Hot 40</v>
      </c>
      <c r="N185" s="5"/>
      <c r="O185" s="5"/>
      <c r="P185" s="12"/>
      <c r="Q185" s="13">
        <f>IFERROR(__xludf.DUMMYFUNCTION("""COMPUTED_VALUE"""),43831.0)</f>
        <v>43831</v>
      </c>
      <c r="R185" s="14"/>
      <c r="S185" s="13">
        <f>IFERROR(__xludf.DUMMYFUNCTION("""COMPUTED_VALUE"""),43831.0)</f>
        <v>43831</v>
      </c>
      <c r="T185" s="5"/>
      <c r="U185" s="5" t="str">
        <f>IFERROR(__xludf.DUMMYFUNCTION("""COMPUTED_VALUE"""),"5x4")</f>
        <v>5x4</v>
      </c>
      <c r="V185" s="10" t="str">
        <f>IFERROR(__xludf.DUMMYFUNCTION("""COMPUTED_VALUE"""),"40")</f>
        <v>40</v>
      </c>
      <c r="W185" s="10" t="str">
        <f>IFERROR(__xludf.DUMMYFUNCTION("""COMPUTED_VALUE"""),"40")</f>
        <v>40</v>
      </c>
      <c r="X185" s="5">
        <f>IFERROR(__xludf.DUMMYFUNCTION("""COMPUTED_VALUE"""),96.584)</f>
        <v>96.584</v>
      </c>
      <c r="Y185" s="5" t="str">
        <f>IFERROR(__xludf.DUMMYFUNCTION("""COMPUTED_VALUE"""),"Low")</f>
        <v>Low</v>
      </c>
      <c r="Z185" s="5">
        <f>IFERROR(__xludf.DUMMYFUNCTION("""COMPUTED_VALUE"""),16.73)</f>
        <v>16.73</v>
      </c>
      <c r="AA185" s="12">
        <f>IFERROR(__xludf.DUMMYFUNCTION("""COMPUTED_VALUE"""),1000.0)</f>
        <v>1000</v>
      </c>
      <c r="AB185" s="5" t="str">
        <f>IFERROR(__xludf.DUMMYFUNCTION("""COMPUTED_VALUE"""),"/")</f>
        <v>/</v>
      </c>
      <c r="AC185" s="5" t="str">
        <f>IFERROR(__xludf.DUMMYFUNCTION("""COMPUTED_VALUE"""),"Wild Symbol, Scatter")</f>
        <v>Wild Symbol, Scatter</v>
      </c>
      <c r="AD185" s="5"/>
      <c r="AE185" s="5"/>
      <c r="AF185" s="5"/>
      <c r="AG185" s="8">
        <f>IFERROR(__xludf.DUMMYFUNCTION("""COMPUTED_VALUE"""),45995.59224537037)</f>
        <v>45995.59225</v>
      </c>
      <c r="AH185" s="5" t="str">
        <f>IFERROR(__xludf.DUMMYFUNCTION("""COMPUTED_VALUE"""),"djordje.jankovic@fazi.rs")</f>
        <v>djordje.jankovic@fazi.rs</v>
      </c>
      <c r="AI185" s="5"/>
      <c r="AJ185" s="5"/>
      <c r="AK185" s="5">
        <f>IFERROR(__xludf.DUMMYFUNCTION("""COMPUTED_VALUE"""),40.0)</f>
        <v>40</v>
      </c>
      <c r="AL185" s="5" t="str">
        <f>IFERROR(__xludf.DUMMYFUNCTION("""COMPUTED_VALUE"""),"Yes")</f>
        <v>Yes</v>
      </c>
      <c r="AM185" s="5"/>
      <c r="AN185" s="5"/>
      <c r="AO185" s="5"/>
      <c r="AP185" s="5"/>
      <c r="AQ185" s="5"/>
      <c r="AR185" s="5" t="b">
        <f>IFERROR(__xludf.DUMMYFUNCTION("""COMPUTED_VALUE"""),TRUE)</f>
        <v>1</v>
      </c>
      <c r="AS185" s="5"/>
      <c r="AT185" s="5"/>
      <c r="AU185" s="5" t="str">
        <f>IFERROR(__xludf.DUMMYFUNCTION("""COMPUTED_VALUE"""),"Fazi")</f>
        <v>Fazi</v>
      </c>
      <c r="AV185" s="5"/>
      <c r="AW185" s="5"/>
      <c r="AX185" s="5"/>
      <c r="AY185" s="5"/>
      <c r="AZ185" s="5"/>
      <c r="BA185" s="5" t="str">
        <f>IFERROR(__xludf.DUMMYFUNCTION("""COMPUTED_VALUE"""),"")</f>
        <v/>
      </c>
      <c r="BB185" s="5"/>
      <c r="BC185" s="5" t="str">
        <f>IFERROR(__xludf.DUMMYFUNCTION("""COMPUTED_VALUE"""),"Foxi")</f>
        <v>Foxi</v>
      </c>
      <c r="BD185" s="5" t="str">
        <f>IFERROR(__xludf.DUMMYFUNCTION("""COMPUTED_VALUE"""),"")</f>
        <v/>
      </c>
      <c r="BE185" s="5"/>
    </row>
    <row r="186">
      <c r="A186" s="5">
        <f>IFERROR(__xludf.DUMMYFUNCTION("""COMPUTED_VALUE"""),186.0)</f>
        <v>186</v>
      </c>
      <c r="B186" s="5">
        <f>IFERROR(__xludf.DUMMYFUNCTION("""COMPUTED_VALUE"""),185.0)</f>
        <v>185</v>
      </c>
      <c r="C186" s="5" t="str">
        <f>IFERROR(__xludf.DUMMYFUNCTION("""COMPUTED_VALUE"""),"Fazi")</f>
        <v>Fazi</v>
      </c>
      <c r="D186" s="5" t="str">
        <f>IFERROR(__xludf.DUMMYFUNCTION("""COMPUTED_VALUE"""),"Super Casino Crown")</f>
        <v>Super Casino Crown</v>
      </c>
      <c r="E186" s="5" t="str">
        <f>IFERROR(__xludf.DUMMYFUNCTION("""COMPUTED_VALUE"""),"V2")</f>
        <v>V2</v>
      </c>
      <c r="F186" s="5" t="str">
        <f>IFERROR(__xludf.DUMMYFUNCTION("""COMPUTED_VALUE"""),"SuperCasinoCrown")</f>
        <v>SuperCasinoCrown</v>
      </c>
      <c r="G186" s="5" t="str">
        <f>IFERROR(__xludf.DUMMYFUNCTION("""COMPUTED_VALUE"""),"Live")</f>
        <v>Live</v>
      </c>
      <c r="H186" s="5" t="str">
        <f>IFERROR(__xludf.DUMMYFUNCTION("""COMPUTED_VALUE"""),"SuperSport")</f>
        <v>SuperSport</v>
      </c>
      <c r="I186" s="5" t="str">
        <f>IFERROR(__xludf.DUMMYFUNCTION("""COMPUTED_VALUE"""),"V2")</f>
        <v>V2</v>
      </c>
      <c r="J186" s="5" t="str">
        <f>IFERROR(__xludf.DUMMYFUNCTION("""COMPUTED_VALUE"""),"Binary")</f>
        <v>Binary</v>
      </c>
      <c r="K186" s="5" t="str">
        <f>IFERROR(__xludf.DUMMYFUNCTION("""COMPUTED_VALUE"""),"Slot")</f>
        <v>Slot</v>
      </c>
      <c r="L186" s="5" t="str">
        <f>IFERROR(__xludf.DUMMYFUNCTION("""COMPUTED_VALUE"""),"Clone")</f>
        <v>Clone</v>
      </c>
      <c r="M186" s="5" t="str">
        <f>IFERROR(__xludf.DUMMYFUNCTION("""COMPUTED_VALUE"""),"Golden Crown")</f>
        <v>Golden Crown</v>
      </c>
      <c r="N186" s="5"/>
      <c r="O186" s="5"/>
      <c r="P186" s="12"/>
      <c r="Q186" s="13">
        <f>IFERROR(__xludf.DUMMYFUNCTION("""COMPUTED_VALUE"""),45582.0)</f>
        <v>45582</v>
      </c>
      <c r="R186" s="14"/>
      <c r="S186" s="13">
        <f>IFERROR(__xludf.DUMMYFUNCTION("""COMPUTED_VALUE"""),45582.0)</f>
        <v>45582</v>
      </c>
      <c r="T186" s="5"/>
      <c r="U186" s="5" t="str">
        <f>IFERROR(__xludf.DUMMYFUNCTION("""COMPUTED_VALUE"""),"5x3")</f>
        <v>5x3</v>
      </c>
      <c r="V186" s="10" t="str">
        <f>IFERROR(__xludf.DUMMYFUNCTION("""COMPUTED_VALUE"""),"10")</f>
        <v>10</v>
      </c>
      <c r="W186" s="10" t="str">
        <f>IFERROR(__xludf.DUMMYFUNCTION("""COMPUTED_VALUE"""),"10")</f>
        <v>10</v>
      </c>
      <c r="X186" s="5">
        <f>IFERROR(__xludf.DUMMYFUNCTION("""COMPUTED_VALUE"""),95.962)</f>
        <v>95.962</v>
      </c>
      <c r="Y186" s="5" t="str">
        <f>IFERROR(__xludf.DUMMYFUNCTION("""COMPUTED_VALUE"""),"Medium")</f>
        <v>Medium</v>
      </c>
      <c r="Z186" s="5">
        <f>IFERROR(__xludf.DUMMYFUNCTION("""COMPUTED_VALUE"""),14.63)</f>
        <v>14.63</v>
      </c>
      <c r="AA186" s="12">
        <f>IFERROR(__xludf.DUMMYFUNCTION("""COMPUTED_VALUE"""),1538.0)</f>
        <v>1538</v>
      </c>
      <c r="AB186" s="5">
        <f>IFERROR(__xludf.DUMMYFUNCTION("""COMPUTED_VALUE"""),4.0)</f>
        <v>4</v>
      </c>
      <c r="AC186" s="5" t="str">
        <f>IFERROR(__xludf.DUMMYFUNCTION("""COMPUTED_VALUE"""),"Expanding Wild, Scatter")</f>
        <v>Expanding Wild, Scatter</v>
      </c>
      <c r="AD186" s="5"/>
      <c r="AE186" s="5"/>
      <c r="AF186" s="5"/>
      <c r="AG186" s="8">
        <f>IFERROR(__xludf.DUMMYFUNCTION("""COMPUTED_VALUE"""),45995.591990740744)</f>
        <v>45995.59199</v>
      </c>
      <c r="AH186" s="5" t="str">
        <f>IFERROR(__xludf.DUMMYFUNCTION("""COMPUTED_VALUE"""),"djordje.jankovic@fazi.rs")</f>
        <v>djordje.jankovic@fazi.rs</v>
      </c>
      <c r="AI186" s="5"/>
      <c r="AJ186" s="5"/>
      <c r="AK186" s="5">
        <f>IFERROR(__xludf.DUMMYFUNCTION("""COMPUTED_VALUE"""),10.0)</f>
        <v>10</v>
      </c>
      <c r="AL186" s="5" t="str">
        <f>IFERROR(__xludf.DUMMYFUNCTION("""COMPUTED_VALUE"""),"Yes")</f>
        <v>Yes</v>
      </c>
      <c r="AM186" s="5"/>
      <c r="AN186" s="5"/>
      <c r="AO186" s="5"/>
      <c r="AP186" s="5"/>
      <c r="AQ186" s="5"/>
      <c r="AR186" s="5" t="b">
        <f>IFERROR(__xludf.DUMMYFUNCTION("""COMPUTED_VALUE"""),TRUE)</f>
        <v>1</v>
      </c>
      <c r="AS186" s="5"/>
      <c r="AT186" s="5"/>
      <c r="AU186" s="5" t="str">
        <f>IFERROR(__xludf.DUMMYFUNCTION("""COMPUTED_VALUE"""),"Fazi")</f>
        <v>Fazi</v>
      </c>
      <c r="AV186" s="5"/>
      <c r="AW186" s="5"/>
      <c r="AX186" s="5"/>
      <c r="AY186" s="5"/>
      <c r="AZ186" s="5"/>
      <c r="BA186" s="5" t="str">
        <f>IFERROR(__xludf.DUMMYFUNCTION("""COMPUTED_VALUE"""),"")</f>
        <v/>
      </c>
      <c r="BB186" s="5"/>
      <c r="BC186" s="5" t="str">
        <f>IFERROR(__xludf.DUMMYFUNCTION("""COMPUTED_VALUE"""),"Foxi")</f>
        <v>Foxi</v>
      </c>
      <c r="BD186" s="5" t="str">
        <f>IFERROR(__xludf.DUMMYFUNCTION("""COMPUTED_VALUE"""),"")</f>
        <v/>
      </c>
      <c r="BE186" s="5"/>
    </row>
    <row r="187">
      <c r="A187" s="5">
        <f>IFERROR(__xludf.DUMMYFUNCTION("""COMPUTED_VALUE"""),187.0)</f>
        <v>187</v>
      </c>
      <c r="B187" s="5">
        <f>IFERROR(__xludf.DUMMYFUNCTION("""COMPUTED_VALUE"""),186.0)</f>
        <v>186</v>
      </c>
      <c r="C187" s="5" t="str">
        <f>IFERROR(__xludf.DUMMYFUNCTION("""COMPUTED_VALUE"""),"Fazi")</f>
        <v>Fazi</v>
      </c>
      <c r="D187" s="5" t="str">
        <f>IFERROR(__xludf.DUMMYFUNCTION("""COMPUTED_VALUE"""),"Top Hot 20")</f>
        <v>Top Hot 20</v>
      </c>
      <c r="E187" s="5" t="str">
        <f>IFERROR(__xludf.DUMMYFUNCTION("""COMPUTED_VALUE"""),"V2")</f>
        <v>V2</v>
      </c>
      <c r="F187" s="5" t="str">
        <f>IFERROR(__xludf.DUMMYFUNCTION("""COMPUTED_VALUE"""),"TopHot20")</f>
        <v>TopHot20</v>
      </c>
      <c r="G187" s="5" t="str">
        <f>IFERROR(__xludf.DUMMYFUNCTION("""COMPUTED_VALUE"""),"Live")</f>
        <v>Live</v>
      </c>
      <c r="H187" s="5" t="str">
        <f>IFERROR(__xludf.DUMMYFUNCTION("""COMPUTED_VALUE"""),"Oryx gaming")</f>
        <v>Oryx gaming</v>
      </c>
      <c r="I187" s="5" t="str">
        <f>IFERROR(__xludf.DUMMYFUNCTION("""COMPUTED_VALUE"""),"V2")</f>
        <v>V2</v>
      </c>
      <c r="J187" s="5" t="str">
        <f>IFERROR(__xludf.DUMMYFUNCTION("""COMPUTED_VALUE"""),"Binary")</f>
        <v>Binary</v>
      </c>
      <c r="K187" s="5" t="str">
        <f>IFERROR(__xludf.DUMMYFUNCTION("""COMPUTED_VALUE"""),"Slot")</f>
        <v>Slot</v>
      </c>
      <c r="L187" s="5" t="str">
        <f>IFERROR(__xludf.DUMMYFUNCTION("""COMPUTED_VALUE"""),"Clone")</f>
        <v>Clone</v>
      </c>
      <c r="M187" s="5" t="str">
        <f>IFERROR(__xludf.DUMMYFUNCTION("""COMPUTED_VALUE"""),"Very Hot 20")</f>
        <v>Very Hot 20</v>
      </c>
      <c r="N187" s="5"/>
      <c r="O187" s="5"/>
      <c r="P187" s="12"/>
      <c r="Q187" s="13">
        <f>IFERROR(__xludf.DUMMYFUNCTION("""COMPUTED_VALUE"""),43831.0)</f>
        <v>43831</v>
      </c>
      <c r="R187" s="14"/>
      <c r="S187" s="13">
        <f>IFERROR(__xludf.DUMMYFUNCTION("""COMPUTED_VALUE"""),43831.0)</f>
        <v>43831</v>
      </c>
      <c r="T187" s="5"/>
      <c r="U187" s="5" t="str">
        <f>IFERROR(__xludf.DUMMYFUNCTION("""COMPUTED_VALUE"""),"5x3")</f>
        <v>5x3</v>
      </c>
      <c r="V187" s="10" t="str">
        <f>IFERROR(__xludf.DUMMYFUNCTION("""COMPUTED_VALUE"""),"20")</f>
        <v>20</v>
      </c>
      <c r="W187" s="10" t="str">
        <f>IFERROR(__xludf.DUMMYFUNCTION("""COMPUTED_VALUE"""),"20")</f>
        <v>20</v>
      </c>
      <c r="X187" s="5">
        <f>IFERROR(__xludf.DUMMYFUNCTION("""COMPUTED_VALUE"""),96.504)</f>
        <v>96.504</v>
      </c>
      <c r="Y187" s="5" t="str">
        <f>IFERROR(__xludf.DUMMYFUNCTION("""COMPUTED_VALUE"""),"Medium")</f>
        <v>Medium</v>
      </c>
      <c r="Z187" s="5">
        <f>IFERROR(__xludf.DUMMYFUNCTION("""COMPUTED_VALUE"""),21.75)</f>
        <v>21.75</v>
      </c>
      <c r="AA187" s="12">
        <f>IFERROR(__xludf.DUMMYFUNCTION("""COMPUTED_VALUE"""),1231.5)</f>
        <v>1231.5</v>
      </c>
      <c r="AB187" s="5">
        <f>IFERROR(__xludf.DUMMYFUNCTION("""COMPUTED_VALUE"""),4.0)</f>
        <v>4</v>
      </c>
      <c r="AC187" s="5" t="str">
        <f>IFERROR(__xludf.DUMMYFUNCTION("""COMPUTED_VALUE"""),"Expanding Wild, Scatter")</f>
        <v>Expanding Wild, Scatter</v>
      </c>
      <c r="AD187" s="5"/>
      <c r="AE187" s="5"/>
      <c r="AF187" s="5"/>
      <c r="AG187" s="8">
        <f>IFERROR(__xludf.DUMMYFUNCTION("""COMPUTED_VALUE"""),46020.521828703706)</f>
        <v>46020.52183</v>
      </c>
      <c r="AH187" s="5" t="str">
        <f>IFERROR(__xludf.DUMMYFUNCTION("""COMPUTED_VALUE"""),"djordje.jankovic@fazi.rs")</f>
        <v>djordje.jankovic@fazi.rs</v>
      </c>
      <c r="AI187" s="5"/>
      <c r="AJ187" s="5"/>
      <c r="AK187" s="5">
        <f>IFERROR(__xludf.DUMMYFUNCTION("""COMPUTED_VALUE"""),20.0)</f>
        <v>20</v>
      </c>
      <c r="AL187" s="5" t="str">
        <f>IFERROR(__xludf.DUMMYFUNCTION("""COMPUTED_VALUE"""),"Yes")</f>
        <v>Yes</v>
      </c>
      <c r="AM187" s="5"/>
      <c r="AN187" s="5"/>
      <c r="AO187" s="5"/>
      <c r="AP187" s="5"/>
      <c r="AQ187" s="5"/>
      <c r="AR187" s="5" t="b">
        <f>IFERROR(__xludf.DUMMYFUNCTION("""COMPUTED_VALUE"""),TRUE)</f>
        <v>1</v>
      </c>
      <c r="AS187" s="5"/>
      <c r="AT187" s="5"/>
      <c r="AU187" s="5" t="str">
        <f>IFERROR(__xludf.DUMMYFUNCTION("""COMPUTED_VALUE"""),"Fazi")</f>
        <v>Fazi</v>
      </c>
      <c r="AV187" s="5"/>
      <c r="AW187" s="5"/>
      <c r="AX187" s="5"/>
      <c r="AY187" s="5"/>
      <c r="AZ187" s="5"/>
      <c r="BA187" s="5" t="str">
        <f>IFERROR(__xludf.DUMMYFUNCTION("""COMPUTED_VALUE"""),"")</f>
        <v/>
      </c>
      <c r="BB187" s="5"/>
      <c r="BC187" s="5" t="str">
        <f>IFERROR(__xludf.DUMMYFUNCTION("""COMPUTED_VALUE"""),"Foxi")</f>
        <v>Foxi</v>
      </c>
      <c r="BD187" s="5" t="str">
        <f>IFERROR(__xludf.DUMMYFUNCTION("""COMPUTED_VALUE"""),"")</f>
        <v/>
      </c>
      <c r="BE187" s="5"/>
    </row>
    <row r="188">
      <c r="A188" s="5">
        <f>IFERROR(__xludf.DUMMYFUNCTION("""COMPUTED_VALUE"""),188.0)</f>
        <v>188</v>
      </c>
      <c r="B188" s="5">
        <f>IFERROR(__xludf.DUMMYFUNCTION("""COMPUTED_VALUE"""),187.0)</f>
        <v>187</v>
      </c>
      <c r="C188" s="5" t="str">
        <f>IFERROR(__xludf.DUMMYFUNCTION("""COMPUTED_VALUE"""),"Fazi")</f>
        <v>Fazi</v>
      </c>
      <c r="D188" s="5" t="str">
        <f>IFERROR(__xludf.DUMMYFUNCTION("""COMPUTED_VALUE"""),"Pari Hot 40")</f>
        <v>Pari Hot 40</v>
      </c>
      <c r="E188" s="5" t="str">
        <f>IFERROR(__xludf.DUMMYFUNCTION("""COMPUTED_VALUE"""),"V2")</f>
        <v>V2</v>
      </c>
      <c r="F188" s="5" t="str">
        <f>IFERROR(__xludf.DUMMYFUNCTION("""COMPUTED_VALUE"""),"PariHot40")</f>
        <v>PariHot40</v>
      </c>
      <c r="G188" s="5" t="str">
        <f>IFERROR(__xludf.DUMMYFUNCTION("""COMPUTED_VALUE"""),"Live")</f>
        <v>Live</v>
      </c>
      <c r="H188" s="5" t="str">
        <f>IFERROR(__xludf.DUMMYFUNCTION("""COMPUTED_VALUE"""),"Parimatch - Sport Global Pari")</f>
        <v>Parimatch - Sport Global Pari</v>
      </c>
      <c r="I188" s="5" t="str">
        <f>IFERROR(__xludf.DUMMYFUNCTION("""COMPUTED_VALUE"""),"V2")</f>
        <v>V2</v>
      </c>
      <c r="J188" s="5" t="str">
        <f>IFERROR(__xludf.DUMMYFUNCTION("""COMPUTED_VALUE"""),"Binary")</f>
        <v>Binary</v>
      </c>
      <c r="K188" s="5" t="str">
        <f>IFERROR(__xludf.DUMMYFUNCTION("""COMPUTED_VALUE"""),"Slot")</f>
        <v>Slot</v>
      </c>
      <c r="L188" s="5" t="str">
        <f>IFERROR(__xludf.DUMMYFUNCTION("""COMPUTED_VALUE"""),"Clone")</f>
        <v>Clone</v>
      </c>
      <c r="M188" s="5" t="str">
        <f>IFERROR(__xludf.DUMMYFUNCTION("""COMPUTED_VALUE"""),"Turbo Hot 40")</f>
        <v>Turbo Hot 40</v>
      </c>
      <c r="N188" s="5"/>
      <c r="O188" s="5"/>
      <c r="P188" s="12"/>
      <c r="Q188" s="13">
        <f>IFERROR(__xludf.DUMMYFUNCTION("""COMPUTED_VALUE"""),43831.0)</f>
        <v>43831</v>
      </c>
      <c r="R188" s="14"/>
      <c r="S188" s="13">
        <f>IFERROR(__xludf.DUMMYFUNCTION("""COMPUTED_VALUE"""),43831.0)</f>
        <v>43831</v>
      </c>
      <c r="T188" s="5"/>
      <c r="U188" s="5" t="str">
        <f>IFERROR(__xludf.DUMMYFUNCTION("""COMPUTED_VALUE"""),"5x4")</f>
        <v>5x4</v>
      </c>
      <c r="V188" s="10" t="str">
        <f>IFERROR(__xludf.DUMMYFUNCTION("""COMPUTED_VALUE"""),"40")</f>
        <v>40</v>
      </c>
      <c r="W188" s="10" t="str">
        <f>IFERROR(__xludf.DUMMYFUNCTION("""COMPUTED_VALUE"""),"40")</f>
        <v>40</v>
      </c>
      <c r="X188" s="5">
        <f>IFERROR(__xludf.DUMMYFUNCTION("""COMPUTED_VALUE"""),96.584)</f>
        <v>96.584</v>
      </c>
      <c r="Y188" s="5" t="str">
        <f>IFERROR(__xludf.DUMMYFUNCTION("""COMPUTED_VALUE"""),"Low")</f>
        <v>Low</v>
      </c>
      <c r="Z188" s="5">
        <f>IFERROR(__xludf.DUMMYFUNCTION("""COMPUTED_VALUE"""),16.725)</f>
        <v>16.725</v>
      </c>
      <c r="AA188" s="12">
        <f>IFERROR(__xludf.DUMMYFUNCTION("""COMPUTED_VALUE"""),1000.0)</f>
        <v>1000</v>
      </c>
      <c r="AB188" s="5" t="str">
        <f>IFERROR(__xludf.DUMMYFUNCTION("""COMPUTED_VALUE"""),"/")</f>
        <v>/</v>
      </c>
      <c r="AC188" s="5" t="str">
        <f>IFERROR(__xludf.DUMMYFUNCTION("""COMPUTED_VALUE"""),"Wild Symbol, Scatter")</f>
        <v>Wild Symbol, Scatter</v>
      </c>
      <c r="AD188" s="5"/>
      <c r="AE188" s="5"/>
      <c r="AF188" s="5"/>
      <c r="AG188" s="8">
        <f>IFERROR(__xludf.DUMMYFUNCTION("""COMPUTED_VALUE"""),45995.59174768518)</f>
        <v>45995.59175</v>
      </c>
      <c r="AH188" s="5" t="str">
        <f>IFERROR(__xludf.DUMMYFUNCTION("""COMPUTED_VALUE"""),"djordje.jankovic@fazi.rs")</f>
        <v>djordje.jankovic@fazi.rs</v>
      </c>
      <c r="AI188" s="5"/>
      <c r="AJ188" s="5"/>
      <c r="AK188" s="5">
        <f>IFERROR(__xludf.DUMMYFUNCTION("""COMPUTED_VALUE"""),40.0)</f>
        <v>40</v>
      </c>
      <c r="AL188" s="5" t="str">
        <f>IFERROR(__xludf.DUMMYFUNCTION("""COMPUTED_VALUE"""),"Yes")</f>
        <v>Yes</v>
      </c>
      <c r="AM188" s="5"/>
      <c r="AN188" s="5"/>
      <c r="AO188" s="5"/>
      <c r="AP188" s="5"/>
      <c r="AQ188" s="5"/>
      <c r="AR188" s="5" t="b">
        <f>IFERROR(__xludf.DUMMYFUNCTION("""COMPUTED_VALUE"""),TRUE)</f>
        <v>1</v>
      </c>
      <c r="AS188" s="5"/>
      <c r="AT188" s="5"/>
      <c r="AU188" s="5" t="str">
        <f>IFERROR(__xludf.DUMMYFUNCTION("""COMPUTED_VALUE"""),"Fazi")</f>
        <v>Fazi</v>
      </c>
      <c r="AV188" s="5"/>
      <c r="AW188" s="5"/>
      <c r="AX188" s="5"/>
      <c r="AY188" s="5"/>
      <c r="AZ188" s="5"/>
      <c r="BA188" s="5" t="str">
        <f>IFERROR(__xludf.DUMMYFUNCTION("""COMPUTED_VALUE"""),"")</f>
        <v/>
      </c>
      <c r="BB188" s="5"/>
      <c r="BC188" s="5" t="str">
        <f>IFERROR(__xludf.DUMMYFUNCTION("""COMPUTED_VALUE"""),"Foxi")</f>
        <v>Foxi</v>
      </c>
      <c r="BD188" s="5" t="str">
        <f>IFERROR(__xludf.DUMMYFUNCTION("""COMPUTED_VALUE"""),"")</f>
        <v/>
      </c>
      <c r="BE188" s="5"/>
    </row>
    <row r="189">
      <c r="A189" s="5">
        <f>IFERROR(__xludf.DUMMYFUNCTION("""COMPUTED_VALUE"""),189.0)</f>
        <v>189</v>
      </c>
      <c r="B189" s="5">
        <f>IFERROR(__xludf.DUMMYFUNCTION("""COMPUTED_VALUE"""),188.0)</f>
        <v>188</v>
      </c>
      <c r="C189" s="5" t="str">
        <f>IFERROR(__xludf.DUMMYFUNCTION("""COMPUTED_VALUE"""),"Fazi")</f>
        <v>Fazi</v>
      </c>
      <c r="D189" s="5" t="str">
        <f>IFERROR(__xludf.DUMMYFUNCTION("""COMPUTED_VALUE"""),"Power Of The Great")</f>
        <v>Power Of The Great</v>
      </c>
      <c r="E189" s="5" t="str">
        <f>IFERROR(__xludf.DUMMYFUNCTION("""COMPUTED_VALUE"""),"V2")</f>
        <v>V2</v>
      </c>
      <c r="F189" s="5" t="str">
        <f>IFERROR(__xludf.DUMMYFUNCTION("""COMPUTED_VALUE"""),"PowerOfTheGreat")</f>
        <v>PowerOfTheGreat</v>
      </c>
      <c r="G189" s="5" t="str">
        <f>IFERROR(__xludf.DUMMYFUNCTION("""COMPUTED_VALUE"""),"Live")</f>
        <v>Live</v>
      </c>
      <c r="H189" s="5"/>
      <c r="I189" s="5" t="str">
        <f>IFERROR(__xludf.DUMMYFUNCTION("""COMPUTED_VALUE"""),"V2")</f>
        <v>V2</v>
      </c>
      <c r="J189" s="5" t="str">
        <f>IFERROR(__xludf.DUMMYFUNCTION("""COMPUTED_VALUE"""),"Binary")</f>
        <v>Binary</v>
      </c>
      <c r="K189" s="5" t="str">
        <f>IFERROR(__xludf.DUMMYFUNCTION("""COMPUTED_VALUE"""),"Slot")</f>
        <v>Slot</v>
      </c>
      <c r="L189" s="5" t="str">
        <f>IFERROR(__xludf.DUMMYFUNCTION("""COMPUTED_VALUE"""),"Clone")</f>
        <v>Clone</v>
      </c>
      <c r="M189" s="5" t="str">
        <f>IFERROR(__xludf.DUMMYFUNCTION("""COMPUTED_VALUE"""),"Viking Gold")</f>
        <v>Viking Gold</v>
      </c>
      <c r="N189" s="5"/>
      <c r="O189" s="5"/>
      <c r="P189" s="12">
        <f>IFERROR(__xludf.DUMMYFUNCTION("""COMPUTED_VALUE"""),34.7)</f>
        <v>34.7</v>
      </c>
      <c r="Q189" s="13">
        <f>IFERROR(__xludf.DUMMYFUNCTION("""COMPUTED_VALUE"""),44875.0)</f>
        <v>44875</v>
      </c>
      <c r="R189" s="14"/>
      <c r="S189" s="13">
        <f>IFERROR(__xludf.DUMMYFUNCTION("""COMPUTED_VALUE"""),44875.0)</f>
        <v>44875</v>
      </c>
      <c r="T189" s="5"/>
      <c r="U189" s="5" t="str">
        <f>IFERROR(__xludf.DUMMYFUNCTION("""COMPUTED_VALUE"""),"5x3")</f>
        <v>5x3</v>
      </c>
      <c r="V189" s="10" t="str">
        <f>IFERROR(__xludf.DUMMYFUNCTION("""COMPUTED_VALUE"""),"20")</f>
        <v>20</v>
      </c>
      <c r="W189" s="10" t="str">
        <f>IFERROR(__xludf.DUMMYFUNCTION("""COMPUTED_VALUE"""),"20")</f>
        <v>20</v>
      </c>
      <c r="X189" s="5">
        <f>IFERROR(__xludf.DUMMYFUNCTION("""COMPUTED_VALUE"""),95.952)</f>
        <v>95.952</v>
      </c>
      <c r="Y189" s="5" t="str">
        <f>IFERROR(__xludf.DUMMYFUNCTION("""COMPUTED_VALUE"""),"Medium")</f>
        <v>Medium</v>
      </c>
      <c r="Z189" s="5">
        <f>IFERROR(__xludf.DUMMYFUNCTION("""COMPUTED_VALUE"""),43.769999999999996)</f>
        <v>43.77</v>
      </c>
      <c r="AA189" s="12">
        <f>IFERROR(__xludf.DUMMYFUNCTION("""COMPUTED_VALUE"""),3910.0)</f>
        <v>3910</v>
      </c>
      <c r="AB189" s="5">
        <f>IFERROR(__xludf.DUMMYFUNCTION("""COMPUTED_VALUE"""),147.0)</f>
        <v>147</v>
      </c>
      <c r="AC189" s="5" t="str">
        <f>IFERROR(__xludf.DUMMYFUNCTION("""COMPUTED_VALUE"""),"Wild Symbol, Bonus Game with Free Spins, Cascade Game, Increasing Multiplier")</f>
        <v>Wild Symbol, Bonus Game with Free Spins, Cascade Game, Increasing Multiplier</v>
      </c>
      <c r="AD189" s="5" t="str">
        <f>IFERROR(__xludf.DUMMYFUNCTION("""COMPUTED_VALUE"""),"0.2/50")</f>
        <v>0.2/50</v>
      </c>
      <c r="AE189" s="5"/>
      <c r="AF189" s="5"/>
      <c r="AG189" s="8">
        <f>IFERROR(__xludf.DUMMYFUNCTION("""COMPUTED_VALUE"""),46055.51834490741)</f>
        <v>46055.51834</v>
      </c>
      <c r="AH189" s="5" t="str">
        <f>IFERROR(__xludf.DUMMYFUNCTION("""COMPUTED_VALUE"""),"djordje.jankovic@fazi.rs")</f>
        <v>djordje.jankovic@fazi.rs</v>
      </c>
      <c r="AI189" s="5"/>
      <c r="AJ189" s="5"/>
      <c r="AK189" s="5">
        <f>IFERROR(__xludf.DUMMYFUNCTION("""COMPUTED_VALUE"""),20.0)</f>
        <v>20</v>
      </c>
      <c r="AL189" s="5" t="str">
        <f>IFERROR(__xludf.DUMMYFUNCTION("""COMPUTED_VALUE"""),"Yes")</f>
        <v>Yes</v>
      </c>
      <c r="AM189" s="5"/>
      <c r="AN189" s="7" t="str">
        <f>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AO189" s="5"/>
      <c r="AP189" s="5"/>
      <c r="AQ189" s="5" t="b">
        <f>IFERROR(__xludf.DUMMYFUNCTION("""COMPUTED_VALUE"""),TRUE)</f>
        <v>1</v>
      </c>
      <c r="AR189" s="5"/>
      <c r="AS189" s="5" t="str">
        <f>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AT189" s="5"/>
      <c r="AU189" s="5" t="str">
        <f>IFERROR(__xludf.DUMMYFUNCTION("""COMPUTED_VALUE"""),"Fazi")</f>
        <v>Fazi</v>
      </c>
      <c r="AV189" s="5"/>
      <c r="AW189" s="5"/>
      <c r="AX189" s="5"/>
      <c r="AY189" s="5"/>
      <c r="AZ189" s="5"/>
      <c r="BA189" s="5" t="str">
        <f>IFERROR(__xludf.DUMMYFUNCTION("""COMPUTED_VALUE"""),"")</f>
        <v/>
      </c>
      <c r="BB189" s="5"/>
      <c r="BC189" s="5" t="str">
        <f>IFERROR(__xludf.DUMMYFUNCTION("""COMPUTED_VALUE"""),"Foxi")</f>
        <v>Foxi</v>
      </c>
      <c r="BD189" s="7" t="str">
        <f>IFERROR(__xludf.DUMMYFUNCTION("""COMPUTED_VALUE"""),"https://gameserver-store-client-area.orbionlimited.com/Home/IntegrationGameLaunch/client-area?moneyType=0&amp;gameName=PowerOfTheGreat&amp;platform=desktop&amp;languageCode=eng&amp;currency=EUR")</f>
        <v>https://gameserver-store-client-area.orbionlimited.com/Home/IntegrationGameLaunch/client-area?moneyType=0&amp;gameName=PowerOfTheGreat&amp;platform=desktop&amp;languageCode=eng&amp;currency=EUR</v>
      </c>
      <c r="BE189" s="5" t="b">
        <f>IFERROR(__xludf.DUMMYFUNCTION("""COMPUTED_VALUE"""),TRUE)</f>
        <v>1</v>
      </c>
    </row>
    <row r="190">
      <c r="A190" s="5">
        <f>IFERROR(__xludf.DUMMYFUNCTION("""COMPUTED_VALUE"""),190.0)</f>
        <v>190</v>
      </c>
      <c r="B190" s="5">
        <f>IFERROR(__xludf.DUMMYFUNCTION("""COMPUTED_VALUE"""),189.0)</f>
        <v>189</v>
      </c>
      <c r="C190" s="5" t="str">
        <f>IFERROR(__xludf.DUMMYFUNCTION("""COMPUTED_VALUE"""),"Tiptop")</f>
        <v>Tiptop</v>
      </c>
      <c r="D190" s="5" t="str">
        <f>IFERROR(__xludf.DUMMYFUNCTION("""COMPUTED_VALUE"""),"40 Mega Flames")</f>
        <v>40 Mega Flames</v>
      </c>
      <c r="E190" s="5"/>
      <c r="F190" s="5" t="str">
        <f>IFERROR(__xludf.DUMMYFUNCTION("""COMPUTED_VALUE"""),"Unicorn40MegaFlames")</f>
        <v>Unicorn40MegaFlames</v>
      </c>
      <c r="G190" s="5" t="str">
        <f>IFERROR(__xludf.DUMMYFUNCTION("""COMPUTED_VALUE"""),"Live")</f>
        <v>Live</v>
      </c>
      <c r="H190" s="5"/>
      <c r="I190" s="5" t="str">
        <f>IFERROR(__xludf.DUMMYFUNCTION("""COMPUTED_VALUE"""),"TipTop")</f>
        <v>TipTop</v>
      </c>
      <c r="J190" s="5" t="str">
        <f>IFERROR(__xludf.DUMMYFUNCTION("""COMPUTED_VALUE"""),"JSON")</f>
        <v>JSON</v>
      </c>
      <c r="K190" s="5" t="str">
        <f>IFERROR(__xludf.DUMMYFUNCTION("""COMPUTED_VALUE"""),"Slot")</f>
        <v>Slot</v>
      </c>
      <c r="L190" s="5"/>
      <c r="M190" s="5"/>
      <c r="N190" s="5"/>
      <c r="O190" s="5"/>
      <c r="P190" s="12">
        <f>IFERROR(__xludf.DUMMYFUNCTION("""COMPUTED_VALUE"""),12.9)</f>
        <v>12.9</v>
      </c>
      <c r="Q190" s="13">
        <f>IFERROR(__xludf.DUMMYFUNCTION("""COMPUTED_VALUE"""),44824.0)</f>
        <v>44824</v>
      </c>
      <c r="R190" s="14"/>
      <c r="S190" s="13">
        <f>IFERROR(__xludf.DUMMYFUNCTION("""COMPUTED_VALUE"""),44824.0)</f>
        <v>44824</v>
      </c>
      <c r="T190" s="5"/>
      <c r="U190" s="5" t="str">
        <f>IFERROR(__xludf.DUMMYFUNCTION("""COMPUTED_VALUE"""),"5X4")</f>
        <v>5X4</v>
      </c>
      <c r="V190" s="10" t="str">
        <f>IFERROR(__xludf.DUMMYFUNCTION("""COMPUTED_VALUE"""),"40")</f>
        <v>40</v>
      </c>
      <c r="W190" s="10" t="str">
        <f>IFERROR(__xludf.DUMMYFUNCTION("""COMPUTED_VALUE"""),"40")</f>
        <v>40</v>
      </c>
      <c r="X190" s="5">
        <f>IFERROR(__xludf.DUMMYFUNCTION("""COMPUTED_VALUE"""),96.0)</f>
        <v>96</v>
      </c>
      <c r="Y190" s="5" t="str">
        <f>IFERROR(__xludf.DUMMYFUNCTION("""COMPUTED_VALUE"""),"Low")</f>
        <v>Low</v>
      </c>
      <c r="Z190" s="5">
        <f>IFERROR(__xludf.DUMMYFUNCTION("""COMPUTED_VALUE"""),21.4)</f>
        <v>21.4</v>
      </c>
      <c r="AA190" s="12">
        <f>IFERROR(__xludf.DUMMYFUNCTION("""COMPUTED_VALUE"""),2000.0)</f>
        <v>2000</v>
      </c>
      <c r="AB190" s="5"/>
      <c r="AC190" s="5" t="str">
        <f>IFERROR(__xludf.DUMMYFUNCTION("""COMPUTED_VALUE"""),"Scatter")</f>
        <v>Scatter</v>
      </c>
      <c r="AD190" s="5" t="str">
        <f>IFERROR(__xludf.DUMMYFUNCTION("""COMPUTED_VALUE"""),"0.4/100")</f>
        <v>0.4/100</v>
      </c>
      <c r="AE190" s="5"/>
      <c r="AF190" s="5"/>
      <c r="AG190" s="8">
        <f>IFERROR(__xludf.DUMMYFUNCTION("""COMPUTED_VALUE"""),46197.453310185185)</f>
        <v>46197.45331</v>
      </c>
      <c r="AH190" s="5" t="str">
        <f>IFERROR(__xludf.DUMMYFUNCTION("""COMPUTED_VALUE"""),"selena.mihajlovic@fazi.rs")</f>
        <v>selena.mihajlovic@fazi.rs</v>
      </c>
      <c r="AI190" s="5"/>
      <c r="AJ190" s="5"/>
      <c r="AK190" s="5">
        <f>IFERROR(__xludf.DUMMYFUNCTION("""COMPUTED_VALUE"""),40.0)</f>
        <v>40</v>
      </c>
      <c r="AL190" s="5" t="str">
        <f>IFERROR(__xludf.DUMMYFUNCTION("""COMPUTED_VALUE"""),"No")</f>
        <v>No</v>
      </c>
      <c r="AM190" s="5"/>
      <c r="AN190" s="7" t="str">
        <f>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AO190" s="5"/>
      <c r="AP190" s="5"/>
      <c r="AQ190" s="5" t="b">
        <f>IFERROR(__xludf.DUMMYFUNCTION("""COMPUTED_VALUE"""),TRUE)</f>
        <v>1</v>
      </c>
      <c r="AR190" s="5"/>
      <c r="AS190" s="5" t="str">
        <f>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AT190" s="5"/>
      <c r="AU190" s="5" t="str">
        <f>IFERROR(__xludf.DUMMYFUNCTION("""COMPUTED_VALUE"""),"Fazi")</f>
        <v>Fazi</v>
      </c>
      <c r="AV190" s="5"/>
      <c r="AW190" s="5"/>
      <c r="AX190" s="5"/>
      <c r="AY190" s="5"/>
      <c r="AZ190" s="5"/>
      <c r="BA190" s="5"/>
      <c r="BB190" s="5" t="b">
        <f>IFERROR(__xludf.DUMMYFUNCTION("""COMPUTED_VALUE"""),TRUE)</f>
        <v>1</v>
      </c>
      <c r="BC190" s="5" t="str">
        <f>IFERROR(__xludf.DUMMYFUNCTION("""COMPUTED_VALUE"""),"Tiptop")</f>
        <v>Tiptop</v>
      </c>
      <c r="BD190" s="7" t="str">
        <f>IFERROR(__xludf.DUMMYFUNCTION("""COMPUTED_VALUE"""),"https://gameserver-store-client-area.orbionlimited.com/Home/IntegrationGameLaunch/client-area?moneyType=0&amp;gameName=Unicorn40MegaFlames&amp;platform=desktop&amp;languageCode=eng&amp;currency=EUR")</f>
        <v>https://gameserver-store-client-area.orbionlimited.com/Home/IntegrationGameLaunch/client-area?moneyType=0&amp;gameName=Unicorn40MegaFlames&amp;platform=desktop&amp;languageCode=eng&amp;currency=EUR</v>
      </c>
      <c r="BE190" s="5" t="b">
        <f>IFERROR(__xludf.DUMMYFUNCTION("""COMPUTED_VALUE"""),TRUE)</f>
        <v>1</v>
      </c>
    </row>
    <row r="191">
      <c r="A191" s="5">
        <f>IFERROR(__xludf.DUMMYFUNCTION("""COMPUTED_VALUE"""),191.0)</f>
        <v>191</v>
      </c>
      <c r="B191" s="5">
        <f>IFERROR(__xludf.DUMMYFUNCTION("""COMPUTED_VALUE"""),190.0)</f>
        <v>190</v>
      </c>
      <c r="C191" s="5" t="str">
        <f>IFERROR(__xludf.DUMMYFUNCTION("""COMPUTED_VALUE"""),"Tiptop")</f>
        <v>Tiptop</v>
      </c>
      <c r="D191" s="5" t="str">
        <f>IFERROR(__xludf.DUMMYFUNCTION("""COMPUTED_VALUE"""),"40 Dice Flames")</f>
        <v>40 Dice Flames</v>
      </c>
      <c r="E191" s="5"/>
      <c r="F191" s="5" t="str">
        <f>IFERROR(__xludf.DUMMYFUNCTION("""COMPUTED_VALUE"""),"Unicorn40DiceFlames")</f>
        <v>Unicorn40DiceFlames</v>
      </c>
      <c r="G191" s="5" t="str">
        <f>IFERROR(__xludf.DUMMYFUNCTION("""COMPUTED_VALUE"""),"Live")</f>
        <v>Live</v>
      </c>
      <c r="H191" s="5"/>
      <c r="I191" s="5" t="str">
        <f>IFERROR(__xludf.DUMMYFUNCTION("""COMPUTED_VALUE"""),"TipTop")</f>
        <v>TipTop</v>
      </c>
      <c r="J191" s="5" t="str">
        <f>IFERROR(__xludf.DUMMYFUNCTION("""COMPUTED_VALUE"""),"JSON")</f>
        <v>JSON</v>
      </c>
      <c r="K191" s="5" t="str">
        <f>IFERROR(__xludf.DUMMYFUNCTION("""COMPUTED_VALUE"""),"Dice Slots")</f>
        <v>Dice Slots</v>
      </c>
      <c r="L191" s="5"/>
      <c r="M191" s="5"/>
      <c r="N191" s="5"/>
      <c r="O191" s="5"/>
      <c r="P191" s="12">
        <f>IFERROR(__xludf.DUMMYFUNCTION("""COMPUTED_VALUE"""),13.6)</f>
        <v>13.6</v>
      </c>
      <c r="Q191" s="13">
        <f>IFERROR(__xludf.DUMMYFUNCTION("""COMPUTED_VALUE"""),44859.0)</f>
        <v>44859</v>
      </c>
      <c r="R191" s="14"/>
      <c r="S191" s="13">
        <f>IFERROR(__xludf.DUMMYFUNCTION("""COMPUTED_VALUE"""),44859.0)</f>
        <v>44859</v>
      </c>
      <c r="T191" s="5"/>
      <c r="U191" s="5" t="str">
        <f>IFERROR(__xludf.DUMMYFUNCTION("""COMPUTED_VALUE"""),"5X4")</f>
        <v>5X4</v>
      </c>
      <c r="V191" s="10" t="str">
        <f>IFERROR(__xludf.DUMMYFUNCTION("""COMPUTED_VALUE"""),"40")</f>
        <v>40</v>
      </c>
      <c r="W191" s="10" t="str">
        <f>IFERROR(__xludf.DUMMYFUNCTION("""COMPUTED_VALUE"""),"40")</f>
        <v>40</v>
      </c>
      <c r="X191" s="5">
        <f>IFERROR(__xludf.DUMMYFUNCTION("""COMPUTED_VALUE"""),96.0)</f>
        <v>96</v>
      </c>
      <c r="Y191" s="5" t="str">
        <f>IFERROR(__xludf.DUMMYFUNCTION("""COMPUTED_VALUE"""),"Low")</f>
        <v>Low</v>
      </c>
      <c r="Z191" s="5">
        <f>IFERROR(__xludf.DUMMYFUNCTION("""COMPUTED_VALUE"""),21.4)</f>
        <v>21.4</v>
      </c>
      <c r="AA191" s="12">
        <f>IFERROR(__xludf.DUMMYFUNCTION("""COMPUTED_VALUE"""),2000.0)</f>
        <v>2000</v>
      </c>
      <c r="AB191" s="5"/>
      <c r="AC191" s="5" t="str">
        <f>IFERROR(__xludf.DUMMYFUNCTION("""COMPUTED_VALUE"""),"Scatter")</f>
        <v>Scatter</v>
      </c>
      <c r="AD191" s="5" t="str">
        <f>IFERROR(__xludf.DUMMYFUNCTION("""COMPUTED_VALUE"""),"0.4/100")</f>
        <v>0.4/100</v>
      </c>
      <c r="AE191" s="5"/>
      <c r="AF191" s="5"/>
      <c r="AG191" s="8">
        <f>IFERROR(__xludf.DUMMYFUNCTION("""COMPUTED_VALUE"""),46197.4534375)</f>
        <v>46197.45344</v>
      </c>
      <c r="AH191" s="5" t="str">
        <f>IFERROR(__xludf.DUMMYFUNCTION("""COMPUTED_VALUE"""),"selena.mihajlovic@fazi.rs")</f>
        <v>selena.mihajlovic@fazi.rs</v>
      </c>
      <c r="AI191" s="5"/>
      <c r="AJ191" s="5"/>
      <c r="AK191" s="5">
        <f>IFERROR(__xludf.DUMMYFUNCTION("""COMPUTED_VALUE"""),40.0)</f>
        <v>40</v>
      </c>
      <c r="AL191" s="5" t="str">
        <f>IFERROR(__xludf.DUMMYFUNCTION("""COMPUTED_VALUE"""),"No")</f>
        <v>No</v>
      </c>
      <c r="AM191" s="5"/>
      <c r="AN191" s="7" t="str">
        <f>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AO191" s="5"/>
      <c r="AP191" s="5"/>
      <c r="AQ191" s="5" t="b">
        <f>IFERROR(__xludf.DUMMYFUNCTION("""COMPUTED_VALUE"""),TRUE)</f>
        <v>1</v>
      </c>
      <c r="AR191" s="5"/>
      <c r="AS191" s="5" t="str">
        <f>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AT191" s="5"/>
      <c r="AU191" s="5" t="str">
        <f>IFERROR(__xludf.DUMMYFUNCTION("""COMPUTED_VALUE"""),"Fazi")</f>
        <v>Fazi</v>
      </c>
      <c r="AV191" s="5"/>
      <c r="AW191" s="5"/>
      <c r="AX191" s="5"/>
      <c r="AY191" s="5"/>
      <c r="AZ191" s="5"/>
      <c r="BA191" s="5"/>
      <c r="BB191" s="5" t="b">
        <f>IFERROR(__xludf.DUMMYFUNCTION("""COMPUTED_VALUE"""),TRUE)</f>
        <v>1</v>
      </c>
      <c r="BC191" s="5" t="str">
        <f>IFERROR(__xludf.DUMMYFUNCTION("""COMPUTED_VALUE"""),"Tiptop")</f>
        <v>Tiptop</v>
      </c>
      <c r="BD191" s="7" t="str">
        <f>IFERROR(__xludf.DUMMYFUNCTION("""COMPUTED_VALUE"""),"https://gameserver-store-client-area.orbionlimited.com/Home/IntegrationGameLaunch/client-area?moneyType=0&amp;gameName=Unicorn40DiceFlames&amp;platform=desktop&amp;languageCode=eng&amp;currency=EUR")</f>
        <v>https://gameserver-store-client-area.orbionlimited.com/Home/IntegrationGameLaunch/client-area?moneyType=0&amp;gameName=Unicorn40DiceFlames&amp;platform=desktop&amp;languageCode=eng&amp;currency=EUR</v>
      </c>
      <c r="BE191" s="5" t="b">
        <f>IFERROR(__xludf.DUMMYFUNCTION("""COMPUTED_VALUE"""),TRUE)</f>
        <v>1</v>
      </c>
    </row>
    <row r="192">
      <c r="A192" s="5">
        <f>IFERROR(__xludf.DUMMYFUNCTION("""COMPUTED_VALUE"""),192.0)</f>
        <v>192</v>
      </c>
      <c r="B192" s="5">
        <f>IFERROR(__xludf.DUMMYFUNCTION("""COMPUTED_VALUE"""),191.0)</f>
        <v>191</v>
      </c>
      <c r="C192" s="5" t="str">
        <f>IFERROR(__xludf.DUMMYFUNCTION("""COMPUTED_VALUE"""),"Redstone")</f>
        <v>Redstone</v>
      </c>
      <c r="D192" s="5" t="str">
        <f>IFERROR(__xludf.DUMMYFUNCTION("""COMPUTED_VALUE"""),"Heat Classic 5")</f>
        <v>Heat Classic 5</v>
      </c>
      <c r="E192" s="5" t="str">
        <f>IFERROR(__xludf.DUMMYFUNCTION("""COMPUTED_VALUE"""),"Redstone")</f>
        <v>Redstone</v>
      </c>
      <c r="F192" s="5" t="str">
        <f>IFERROR(__xludf.DUMMYFUNCTION("""COMPUTED_VALUE"""),"HeatClassic5")</f>
        <v>HeatClassic5</v>
      </c>
      <c r="G192" s="5" t="str">
        <f>IFERROR(__xludf.DUMMYFUNCTION("""COMPUTED_VALUE"""),"Live")</f>
        <v>Live</v>
      </c>
      <c r="H192" s="5"/>
      <c r="I192" s="5" t="str">
        <f>IFERROR(__xludf.DUMMYFUNCTION("""COMPUTED_VALUE"""),"Redstone")</f>
        <v>Redstone</v>
      </c>
      <c r="J192" s="5" t="str">
        <f>IFERROR(__xludf.DUMMYFUNCTION("""COMPUTED_VALUE"""),"JSON")</f>
        <v>JSON</v>
      </c>
      <c r="K192" s="5" t="str">
        <f>IFERROR(__xludf.DUMMYFUNCTION("""COMPUTED_VALUE"""),"Slot")</f>
        <v>Slot</v>
      </c>
      <c r="L192" s="5" t="str">
        <f>IFERROR(__xludf.DUMMYFUNCTION("""COMPUTED_VALUE"""),"Master")</f>
        <v>Master</v>
      </c>
      <c r="M192" s="5"/>
      <c r="N192" s="7" t="str">
        <f>IFERROR(__xludf.DUMMYFUNCTION("""COMPUTED_VALUE"""),"https://docs.google.com/document/d/1cDh7kaMF1Gk9vxVOneSDdYzfVvqIeA4l/edit?usp=drive_link&amp;ouid=107596163405648766688&amp;rtpof=true&amp;sd=true")</f>
        <v>https://docs.google.com/document/d/1cDh7kaMF1Gk9vxVOneSDdYzfVvqIeA4l/edit?usp=drive_link&amp;ouid=107596163405648766688&amp;rtpof=true&amp;sd=true</v>
      </c>
      <c r="O192" s="7" t="str">
        <f>IFERROR(__xludf.DUMMYFUNCTION("""COMPUTED_VALUE"""),"https://docs.google.com/document/d/1NMkfRF8FQvCOJiqleoPSFcu-P1GHuxJx/edit?usp=drive_link&amp;ouid=107596163405648766688&amp;rtpof=true&amp;sd=true")</f>
        <v>https://docs.google.com/document/d/1NMkfRF8FQvCOJiqleoPSFcu-P1GHuxJx/edit?usp=drive_link&amp;ouid=107596163405648766688&amp;rtpof=true&amp;sd=true</v>
      </c>
      <c r="P192" s="12">
        <f>IFERROR(__xludf.DUMMYFUNCTION("""COMPUTED_VALUE"""),6.5)</f>
        <v>6.5</v>
      </c>
      <c r="Q192" s="13">
        <f>IFERROR(__xludf.DUMMYFUNCTION("""COMPUTED_VALUE"""),44866.0)</f>
        <v>44866</v>
      </c>
      <c r="R192" s="14"/>
      <c r="S192" s="13">
        <f>IFERROR(__xludf.DUMMYFUNCTION("""COMPUTED_VALUE"""),44866.0)</f>
        <v>44866</v>
      </c>
      <c r="T192" s="5"/>
      <c r="U192" s="5" t="str">
        <f>IFERROR(__xludf.DUMMYFUNCTION("""COMPUTED_VALUE"""),"3x3")</f>
        <v>3x3</v>
      </c>
      <c r="V192" s="10" t="str">
        <f>IFERROR(__xludf.DUMMYFUNCTION("""COMPUTED_VALUE"""),"5")</f>
        <v>5</v>
      </c>
      <c r="W192" s="10" t="str">
        <f>IFERROR(__xludf.DUMMYFUNCTION("""COMPUTED_VALUE"""),"5")</f>
        <v>5</v>
      </c>
      <c r="X192" s="5">
        <f>IFERROR(__xludf.DUMMYFUNCTION("""COMPUTED_VALUE"""),95.95)</f>
        <v>95.95</v>
      </c>
      <c r="Y192" s="5" t="str">
        <f>IFERROR(__xludf.DUMMYFUNCTION("""COMPUTED_VALUE"""),"Medium")</f>
        <v>Medium</v>
      </c>
      <c r="Z192" s="5">
        <f>IFERROR(__xludf.DUMMYFUNCTION("""COMPUTED_VALUE"""),8.63)</f>
        <v>8.63</v>
      </c>
      <c r="AA192" s="12">
        <f>IFERROR(__xludf.DUMMYFUNCTION("""COMPUTED_VALUE"""),60.0)</f>
        <v>60</v>
      </c>
      <c r="AB192" s="5"/>
      <c r="AC192" s="18"/>
      <c r="AD192" s="5" t="str">
        <f>IFERROR(__xludf.DUMMYFUNCTION("""COMPUTED_VALUE"""),"0.05/30")</f>
        <v>0.05/30</v>
      </c>
      <c r="AE192" s="5"/>
      <c r="AF192" s="5"/>
      <c r="AG192" s="8">
        <f>IFERROR(__xludf.DUMMYFUNCTION("""COMPUTED_VALUE"""),46157.44752314815)</f>
        <v>46157.44752</v>
      </c>
      <c r="AH192" s="5"/>
      <c r="AI192" s="5"/>
      <c r="AJ192" s="5"/>
      <c r="AK192" s="5">
        <f>IFERROR(__xludf.DUMMYFUNCTION("""COMPUTED_VALUE"""),1.0)</f>
        <v>1</v>
      </c>
      <c r="AL192" s="5" t="str">
        <f>IFERROR(__xludf.DUMMYFUNCTION("""COMPUTED_VALUE"""),"No")</f>
        <v>No</v>
      </c>
      <c r="AM192" s="5" t="str">
        <f>IFERROR(__xludf.DUMMYFUNCTION("""COMPUTED_VALUE"""),"No")</f>
        <v>No</v>
      </c>
      <c r="AN192" s="7" t="str">
        <f>IFERROR(__xludf.DUMMYFUNCTION("""COMPUTED_VALUE"""),"https://static.redstone.rs/games/heat-classic-5/")</f>
        <v>https://static.redstone.rs/games/heat-classic-5/</v>
      </c>
      <c r="AO192" s="5" t="str">
        <f>IFERROR(__xludf.DUMMYFUNCTION("""COMPUTED_VALUE"""),"No")</f>
        <v>No</v>
      </c>
      <c r="AP192" s="5" t="str">
        <f>IFERROR(__xludf.DUMMYFUNCTION("""COMPUTED_VALUE"""),"No")</f>
        <v>No</v>
      </c>
      <c r="AQ192" s="5" t="b">
        <f>IFERROR(__xludf.DUMMYFUNCTION("""COMPUTED_VALUE"""),TRUE)</f>
        <v>1</v>
      </c>
      <c r="AR192" s="5"/>
      <c r="AS192" s="5" t="str">
        <f>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AT192" s="5"/>
      <c r="AU192" s="5" t="str">
        <f>IFERROR(__xludf.DUMMYFUNCTION("""COMPUTED_VALUE"""),"Redstone")</f>
        <v>Redstone</v>
      </c>
      <c r="AV192" s="5"/>
      <c r="AW192" s="5"/>
      <c r="AX192" s="5"/>
      <c r="AY192" s="5"/>
      <c r="AZ192" s="5"/>
      <c r="BA192" s="5"/>
      <c r="BB192" s="5" t="b">
        <f>IFERROR(__xludf.DUMMYFUNCTION("""COMPUTED_VALUE"""),TRUE)</f>
        <v>1</v>
      </c>
      <c r="BC192" s="5" t="str">
        <f>IFERROR(__xludf.DUMMYFUNCTION("""COMPUTED_VALUE"""),"Redstone")</f>
        <v>Redstone</v>
      </c>
      <c r="BD192" s="7" t="str">
        <f>IFERROR(__xludf.DUMMYFUNCTION("""COMPUTED_VALUE"""),"https://static.redstone.rs/games/heat-classic-5/")</f>
        <v>https://static.redstone.rs/games/heat-classic-5/</v>
      </c>
      <c r="BE192" s="5" t="b">
        <f>IFERROR(__xludf.DUMMYFUNCTION("""COMPUTED_VALUE"""),TRUE)</f>
        <v>1</v>
      </c>
    </row>
    <row r="193">
      <c r="A193" s="5">
        <f>IFERROR(__xludf.DUMMYFUNCTION("""COMPUTED_VALUE"""),193.0)</f>
        <v>193</v>
      </c>
      <c r="B193" s="5">
        <f>IFERROR(__xludf.DUMMYFUNCTION("""COMPUTED_VALUE"""),192.0)</f>
        <v>192</v>
      </c>
      <c r="C193" s="5" t="str">
        <f>IFERROR(__xludf.DUMMYFUNCTION("""COMPUTED_VALUE"""),"Fazi")</f>
        <v>Fazi</v>
      </c>
      <c r="D193" s="5" t="str">
        <f>IFERROR(__xludf.DUMMYFUNCTION("""COMPUTED_VALUE"""),"Wild Hot 40 Halloween")</f>
        <v>Wild Hot 40 Halloween</v>
      </c>
      <c r="E193" s="5" t="str">
        <f>IFERROR(__xludf.DUMMYFUNCTION("""COMPUTED_VALUE"""),"V2")</f>
        <v>V2</v>
      </c>
      <c r="F193" s="5" t="str">
        <f>IFERROR(__xludf.DUMMYFUNCTION("""COMPUTED_VALUE"""),"WildHot40Halloween")</f>
        <v>WildHot40Halloween</v>
      </c>
      <c r="G193" s="5" t="str">
        <f>IFERROR(__xludf.DUMMYFUNCTION("""COMPUTED_VALUE"""),"Live")</f>
        <v>Live</v>
      </c>
      <c r="H193" s="5"/>
      <c r="I193" s="5" t="str">
        <f>IFERROR(__xludf.DUMMYFUNCTION("""COMPUTED_VALUE"""),"V2")</f>
        <v>V2</v>
      </c>
      <c r="J193" s="5" t="str">
        <f>IFERROR(__xludf.DUMMYFUNCTION("""COMPUTED_VALUE"""),"JSON")</f>
        <v>JSON</v>
      </c>
      <c r="K193" s="5" t="str">
        <f>IFERROR(__xludf.DUMMYFUNCTION("""COMPUTED_VALUE"""),"Slot")</f>
        <v>Slot</v>
      </c>
      <c r="L193" s="5" t="str">
        <f>IFERROR(__xludf.DUMMYFUNCTION("""COMPUTED_VALUE"""),"Clone")</f>
        <v>Clone</v>
      </c>
      <c r="M193" s="5" t="str">
        <f>IFERROR(__xludf.DUMMYFUNCTION("""COMPUTED_VALUE"""),"Turbo Hot 40")</f>
        <v>Turbo Hot 40</v>
      </c>
      <c r="N193" s="5"/>
      <c r="O193" s="5"/>
      <c r="P193" s="12"/>
      <c r="Q193" s="13">
        <f>IFERROR(__xludf.DUMMYFUNCTION("""COMPUTED_VALUE"""),43831.0)</f>
        <v>43831</v>
      </c>
      <c r="R193" s="14"/>
      <c r="S193" s="13">
        <f>IFERROR(__xludf.DUMMYFUNCTION("""COMPUTED_VALUE"""),43831.0)</f>
        <v>43831</v>
      </c>
      <c r="T193" s="5"/>
      <c r="U193" s="5" t="str">
        <f>IFERROR(__xludf.DUMMYFUNCTION("""COMPUTED_VALUE"""),"5x4")</f>
        <v>5x4</v>
      </c>
      <c r="V193" s="10" t="str">
        <f>IFERROR(__xludf.DUMMYFUNCTION("""COMPUTED_VALUE"""),"40")</f>
        <v>40</v>
      </c>
      <c r="W193" s="10" t="str">
        <f>IFERROR(__xludf.DUMMYFUNCTION("""COMPUTED_VALUE"""),"40")</f>
        <v>40</v>
      </c>
      <c r="X193" s="5">
        <f>IFERROR(__xludf.DUMMYFUNCTION("""COMPUTED_VALUE"""),96.584)</f>
        <v>96.584</v>
      </c>
      <c r="Y193" s="5" t="str">
        <f>IFERROR(__xludf.DUMMYFUNCTION("""COMPUTED_VALUE"""),"Low")</f>
        <v>Low</v>
      </c>
      <c r="Z193" s="5">
        <f>IFERROR(__xludf.DUMMYFUNCTION("""COMPUTED_VALUE"""),16.73)</f>
        <v>16.73</v>
      </c>
      <c r="AA193" s="12">
        <f>IFERROR(__xludf.DUMMYFUNCTION("""COMPUTED_VALUE"""),1000.0)</f>
        <v>1000</v>
      </c>
      <c r="AB193" s="5" t="str">
        <f>IFERROR(__xludf.DUMMYFUNCTION("""COMPUTED_VALUE"""),"/")</f>
        <v>/</v>
      </c>
      <c r="AC193" s="5" t="str">
        <f>IFERROR(__xludf.DUMMYFUNCTION("""COMPUTED_VALUE"""),"Wild Symbol, Scatter")</f>
        <v>Wild Symbol, Scatter</v>
      </c>
      <c r="AD193" s="5"/>
      <c r="AE193" s="5"/>
      <c r="AF193" s="5"/>
      <c r="AG193" s="8">
        <f>IFERROR(__xludf.DUMMYFUNCTION("""COMPUTED_VALUE"""),46063.529594907406)</f>
        <v>46063.52959</v>
      </c>
      <c r="AH193" s="5" t="str">
        <f>IFERROR(__xludf.DUMMYFUNCTION("""COMPUTED_VALUE"""),"petra.ilic@fazi.rs")</f>
        <v>petra.ilic@fazi.rs</v>
      </c>
      <c r="AI193" s="5"/>
      <c r="AJ193" s="5"/>
      <c r="AK193" s="5">
        <f>IFERROR(__xludf.DUMMYFUNCTION("""COMPUTED_VALUE"""),40.0)</f>
        <v>40</v>
      </c>
      <c r="AL193" s="5"/>
      <c r="AM193" s="5"/>
      <c r="AN193" s="5"/>
      <c r="AO193" s="5" t="str">
        <f>IFERROR(__xludf.DUMMYFUNCTION("""COMPUTED_VALUE"""),"Yes")</f>
        <v>Yes</v>
      </c>
      <c r="AP193" s="5" t="str">
        <f>IFERROR(__xludf.DUMMYFUNCTION("""COMPUTED_VALUE"""),"Yes")</f>
        <v>Yes</v>
      </c>
      <c r="AQ193" s="5"/>
      <c r="AR193" s="5"/>
      <c r="AS193" s="5"/>
      <c r="AT193" s="5"/>
      <c r="AU193" s="5" t="str">
        <f>IFERROR(__xludf.DUMMYFUNCTION("""COMPUTED_VALUE"""),"Fazi")</f>
        <v>Fazi</v>
      </c>
      <c r="AV193" s="5"/>
      <c r="AW193" s="5"/>
      <c r="AX193" s="5"/>
      <c r="AY193" s="5" t="str">
        <f>IFERROR(__xludf.DUMMYFUNCTION("""COMPUTED_VALUE"""),"87.5%, 89.5%, 91.5%, 93.5%, 94.5%, 95.5%, 96.5%")</f>
        <v>87.5%, 89.5%, 91.5%, 93.5%, 94.5%, 95.5%, 96.5%</v>
      </c>
      <c r="AZ193" s="5"/>
      <c r="BA193" s="5" t="str">
        <f>IFERROR(__xludf.DUMMYFUNCTION("""COMPUTED_VALUE"""),"")</f>
        <v/>
      </c>
      <c r="BB193" s="5"/>
      <c r="BC193" s="5" t="str">
        <f>IFERROR(__xludf.DUMMYFUNCTION("""COMPUTED_VALUE"""),"Foxi")</f>
        <v>Foxi</v>
      </c>
      <c r="BD193" s="5" t="str">
        <f>IFERROR(__xludf.DUMMYFUNCTION("""COMPUTED_VALUE"""),"")</f>
        <v/>
      </c>
      <c r="BE193" s="5"/>
    </row>
    <row r="194">
      <c r="A194" s="5">
        <f>IFERROR(__xludf.DUMMYFUNCTION("""COMPUTED_VALUE"""),194.0)</f>
        <v>194</v>
      </c>
      <c r="B194" s="5">
        <f>IFERROR(__xludf.DUMMYFUNCTION("""COMPUTED_VALUE"""),193.0)</f>
        <v>193</v>
      </c>
      <c r="C194" s="5" t="str">
        <f>IFERROR(__xludf.DUMMYFUNCTION("""COMPUTED_VALUE"""),"Fazi")</f>
        <v>Fazi</v>
      </c>
      <c r="D194" s="5" t="str">
        <f>IFERROR(__xludf.DUMMYFUNCTION("""COMPUTED_VALUE"""),"Crystal Hot 40 Halloween")</f>
        <v>Crystal Hot 40 Halloween</v>
      </c>
      <c r="E194" s="5" t="str">
        <f>IFERROR(__xludf.DUMMYFUNCTION("""COMPUTED_VALUE"""),"V2")</f>
        <v>V2</v>
      </c>
      <c r="F194" s="5" t="str">
        <f>IFERROR(__xludf.DUMMYFUNCTION("""COMPUTED_VALUE"""),"CrystalHot40Halloween")</f>
        <v>CrystalHot40Halloween</v>
      </c>
      <c r="G194" s="5" t="str">
        <f>IFERROR(__xludf.DUMMYFUNCTION("""COMPUTED_VALUE"""),"Live")</f>
        <v>Live</v>
      </c>
      <c r="H194" s="5"/>
      <c r="I194" s="5" t="str">
        <f>IFERROR(__xludf.DUMMYFUNCTION("""COMPUTED_VALUE"""),"V2")</f>
        <v>V2</v>
      </c>
      <c r="J194" s="5" t="str">
        <f>IFERROR(__xludf.DUMMYFUNCTION("""COMPUTED_VALUE"""),"Binary")</f>
        <v>Binary</v>
      </c>
      <c r="K194" s="5" t="str">
        <f>IFERROR(__xludf.DUMMYFUNCTION("""COMPUTED_VALUE"""),"Slot")</f>
        <v>Slot</v>
      </c>
      <c r="L194" s="5" t="str">
        <f>IFERROR(__xludf.DUMMYFUNCTION("""COMPUTED_VALUE"""),"Clone")</f>
        <v>Clone</v>
      </c>
      <c r="M194" s="5" t="str">
        <f>IFERROR(__xludf.DUMMYFUNCTION("""COMPUTED_VALUE"""),"Turbo Hot 40")</f>
        <v>Turbo Hot 40</v>
      </c>
      <c r="N194" s="5"/>
      <c r="O194" s="5"/>
      <c r="P194" s="12"/>
      <c r="Q194" s="13">
        <f>IFERROR(__xludf.DUMMYFUNCTION("""COMPUTED_VALUE"""),43831.0)</f>
        <v>43831</v>
      </c>
      <c r="R194" s="14"/>
      <c r="S194" s="13">
        <f>IFERROR(__xludf.DUMMYFUNCTION("""COMPUTED_VALUE"""),43831.0)</f>
        <v>43831</v>
      </c>
      <c r="T194" s="5"/>
      <c r="U194" s="5" t="str">
        <f>IFERROR(__xludf.DUMMYFUNCTION("""COMPUTED_VALUE"""),"5x4")</f>
        <v>5x4</v>
      </c>
      <c r="V194" s="10" t="str">
        <f>IFERROR(__xludf.DUMMYFUNCTION("""COMPUTED_VALUE"""),"40")</f>
        <v>40</v>
      </c>
      <c r="W194" s="10" t="str">
        <f>IFERROR(__xludf.DUMMYFUNCTION("""COMPUTED_VALUE"""),"40")</f>
        <v>40</v>
      </c>
      <c r="X194" s="5">
        <f>IFERROR(__xludf.DUMMYFUNCTION("""COMPUTED_VALUE"""),96.584)</f>
        <v>96.584</v>
      </c>
      <c r="Y194" s="5" t="str">
        <f>IFERROR(__xludf.DUMMYFUNCTION("""COMPUTED_VALUE"""),"Low")</f>
        <v>Low</v>
      </c>
      <c r="Z194" s="5">
        <f>IFERROR(__xludf.DUMMYFUNCTION("""COMPUTED_VALUE"""),16.73)</f>
        <v>16.73</v>
      </c>
      <c r="AA194" s="12">
        <f>IFERROR(__xludf.DUMMYFUNCTION("""COMPUTED_VALUE"""),1000.0)</f>
        <v>1000</v>
      </c>
      <c r="AB194" s="5" t="str">
        <f>IFERROR(__xludf.DUMMYFUNCTION("""COMPUTED_VALUE"""),"/")</f>
        <v>/</v>
      </c>
      <c r="AC194" s="5" t="str">
        <f>IFERROR(__xludf.DUMMYFUNCTION("""COMPUTED_VALUE"""),"Scatter, Wild Symbol")</f>
        <v>Scatter, Wild Symbol</v>
      </c>
      <c r="AD194" s="5"/>
      <c r="AE194" s="5"/>
      <c r="AF194" s="5"/>
      <c r="AG194" s="5"/>
      <c r="AH194" s="5"/>
      <c r="AI194" s="5"/>
      <c r="AJ194" s="5"/>
      <c r="AK194" s="5">
        <f>IFERROR(__xludf.DUMMYFUNCTION("""COMPUTED_VALUE"""),40.0)</f>
        <v>40</v>
      </c>
      <c r="AL194" s="5"/>
      <c r="AM194" s="5"/>
      <c r="AN194" s="5"/>
      <c r="AO194" s="5"/>
      <c r="AP194" s="5"/>
      <c r="AQ194" s="5"/>
      <c r="AR194" s="5"/>
      <c r="AS194" s="5"/>
      <c r="AT194" s="5"/>
      <c r="AU194" s="5" t="str">
        <f>IFERROR(__xludf.DUMMYFUNCTION("""COMPUTED_VALUE"""),"Fazi")</f>
        <v>Fazi</v>
      </c>
      <c r="AV194" s="5"/>
      <c r="AW194" s="5"/>
      <c r="AX194" s="5"/>
      <c r="AY194" s="5"/>
      <c r="AZ194" s="5"/>
      <c r="BA194" s="5" t="str">
        <f>IFERROR(__xludf.DUMMYFUNCTION("""COMPUTED_VALUE"""),"")</f>
        <v/>
      </c>
      <c r="BB194" s="5"/>
      <c r="BC194" s="5" t="str">
        <f>IFERROR(__xludf.DUMMYFUNCTION("""COMPUTED_VALUE"""),"Foxi")</f>
        <v>Foxi</v>
      </c>
      <c r="BD194" s="5" t="str">
        <f>IFERROR(__xludf.DUMMYFUNCTION("""COMPUTED_VALUE"""),"")</f>
        <v/>
      </c>
      <c r="BE194" s="5"/>
    </row>
    <row r="195">
      <c r="A195" s="5">
        <f>IFERROR(__xludf.DUMMYFUNCTION("""COMPUTED_VALUE"""),195.0)</f>
        <v>195</v>
      </c>
      <c r="B195" s="5">
        <f>IFERROR(__xludf.DUMMYFUNCTION("""COMPUTED_VALUE"""),194.0)</f>
        <v>194</v>
      </c>
      <c r="C195" s="5" t="str">
        <f>IFERROR(__xludf.DUMMYFUNCTION("""COMPUTED_VALUE"""),"Fazi")</f>
        <v>Fazi</v>
      </c>
      <c r="D195" s="5" t="str">
        <f>IFERROR(__xludf.DUMMYFUNCTION("""COMPUTED_VALUE"""),"Very Hot 40 Dice")</f>
        <v>Very Hot 40 Dice</v>
      </c>
      <c r="E195" s="5" t="str">
        <f>IFERROR(__xludf.DUMMYFUNCTION("""COMPUTED_VALUE"""),"V2")</f>
        <v>V2</v>
      </c>
      <c r="F195" s="5" t="str">
        <f>IFERROR(__xludf.DUMMYFUNCTION("""COMPUTED_VALUE"""),"VeryHot40Dice")</f>
        <v>VeryHot40Dice</v>
      </c>
      <c r="G195" s="5" t="str">
        <f>IFERROR(__xludf.DUMMYFUNCTION("""COMPUTED_VALUE"""),"Live")</f>
        <v>Live</v>
      </c>
      <c r="H195" s="5"/>
      <c r="I195" s="5" t="str">
        <f>IFERROR(__xludf.DUMMYFUNCTION("""COMPUTED_VALUE"""),"V2")</f>
        <v>V2</v>
      </c>
      <c r="J195" s="5" t="str">
        <f>IFERROR(__xludf.DUMMYFUNCTION("""COMPUTED_VALUE"""),"Binary")</f>
        <v>Binary</v>
      </c>
      <c r="K195" s="5" t="str">
        <f>IFERROR(__xludf.DUMMYFUNCTION("""COMPUTED_VALUE"""),"Slot")</f>
        <v>Slot</v>
      </c>
      <c r="L195" s="5" t="str">
        <f>IFERROR(__xludf.DUMMYFUNCTION("""COMPUTED_VALUE"""),"Clone")</f>
        <v>Clone</v>
      </c>
      <c r="M195" s="5" t="str">
        <f>IFERROR(__xludf.DUMMYFUNCTION("""COMPUTED_VALUE"""),"Bursting Hot 40")</f>
        <v>Bursting Hot 40</v>
      </c>
      <c r="N195" s="5"/>
      <c r="O195" s="5"/>
      <c r="P195" s="12">
        <f>IFERROR(__xludf.DUMMYFUNCTION("""COMPUTED_VALUE"""),17.4)</f>
        <v>17.4</v>
      </c>
      <c r="Q195" s="13">
        <f>IFERROR(__xludf.DUMMYFUNCTION("""COMPUTED_VALUE"""),44839.0)</f>
        <v>44839</v>
      </c>
      <c r="R195" s="14"/>
      <c r="S195" s="13">
        <f>IFERROR(__xludf.DUMMYFUNCTION("""COMPUTED_VALUE"""),44839.0)</f>
        <v>44839</v>
      </c>
      <c r="T195" s="5"/>
      <c r="U195" s="5" t="str">
        <f>IFERROR(__xludf.DUMMYFUNCTION("""COMPUTED_VALUE"""),"5x3")</f>
        <v>5x3</v>
      </c>
      <c r="V195" s="10" t="str">
        <f>IFERROR(__xludf.DUMMYFUNCTION("""COMPUTED_VALUE"""),"40")</f>
        <v>40</v>
      </c>
      <c r="W195" s="10" t="str">
        <f>IFERROR(__xludf.DUMMYFUNCTION("""COMPUTED_VALUE"""),"40")</f>
        <v>40</v>
      </c>
      <c r="X195" s="5">
        <f>IFERROR(__xludf.DUMMYFUNCTION("""COMPUTED_VALUE"""),96.53)</f>
        <v>96.53</v>
      </c>
      <c r="Y195" s="5" t="str">
        <f>IFERROR(__xludf.DUMMYFUNCTION("""COMPUTED_VALUE"""),"Low")</f>
        <v>Low</v>
      </c>
      <c r="Z195" s="5">
        <f>IFERROR(__xludf.DUMMYFUNCTION("""COMPUTED_VALUE"""),23.380000000000003)</f>
        <v>23.38</v>
      </c>
      <c r="AA195" s="12">
        <f>IFERROR(__xludf.DUMMYFUNCTION("""COMPUTED_VALUE"""),876.75)</f>
        <v>876.75</v>
      </c>
      <c r="AB195" s="5">
        <f>IFERROR(__xludf.DUMMYFUNCTION("""COMPUTED_VALUE"""),4.0)</f>
        <v>4</v>
      </c>
      <c r="AC195" s="5" t="str">
        <f>IFERROR(__xludf.DUMMYFUNCTION("""COMPUTED_VALUE"""),"Expanding Wild, Scatter")</f>
        <v>Expanding Wild, Scatter</v>
      </c>
      <c r="AD195" s="5" t="str">
        <f>IFERROR(__xludf.DUMMYFUNCTION("""COMPUTED_VALUE"""),"0.4/60")</f>
        <v>0.4/60</v>
      </c>
      <c r="AE195" s="5"/>
      <c r="AF195" s="5"/>
      <c r="AG195" s="8">
        <f>IFERROR(__xludf.DUMMYFUNCTION("""COMPUTED_VALUE"""),46055.51899305556)</f>
        <v>46055.51899</v>
      </c>
      <c r="AH195" s="5" t="str">
        <f>IFERROR(__xludf.DUMMYFUNCTION("""COMPUTED_VALUE"""),"djordje.jankovic@fazi.rs")</f>
        <v>djordje.jankovic@fazi.rs</v>
      </c>
      <c r="AI195" s="5"/>
      <c r="AJ195" s="5"/>
      <c r="AK195" s="5">
        <f>IFERROR(__xludf.DUMMYFUNCTION("""COMPUTED_VALUE"""),40.0)</f>
        <v>40</v>
      </c>
      <c r="AL195" s="5" t="str">
        <f>IFERROR(__xludf.DUMMYFUNCTION("""COMPUTED_VALUE"""),"Yes")</f>
        <v>Yes</v>
      </c>
      <c r="AM195" s="5"/>
      <c r="AN195" s="7" t="str">
        <f>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AO195" s="5"/>
      <c r="AP195" s="5"/>
      <c r="AQ195" s="5" t="b">
        <f>IFERROR(__xludf.DUMMYFUNCTION("""COMPUTED_VALUE"""),TRUE)</f>
        <v>1</v>
      </c>
      <c r="AR195" s="5"/>
      <c r="AS195" s="5" t="str">
        <f>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AT195" s="5"/>
      <c r="AU195" s="5" t="str">
        <f>IFERROR(__xludf.DUMMYFUNCTION("""COMPUTED_VALUE"""),"Fazi")</f>
        <v>Fazi</v>
      </c>
      <c r="AV195" s="5"/>
      <c r="AW195" s="5"/>
      <c r="AX195" s="5"/>
      <c r="AY195" s="5"/>
      <c r="AZ195" s="5"/>
      <c r="BA195" s="5" t="str">
        <f>IFERROR(__xludf.DUMMYFUNCTION("""COMPUTED_VALUE"""),"")</f>
        <v/>
      </c>
      <c r="BB195" s="5"/>
      <c r="BC195" s="5" t="str">
        <f>IFERROR(__xludf.DUMMYFUNCTION("""COMPUTED_VALUE"""),"Foxi")</f>
        <v>Foxi</v>
      </c>
      <c r="BD195" s="7" t="str">
        <f>IFERROR(__xludf.DUMMYFUNCTION("""COMPUTED_VALUE"""),"https://gameserver-store-client-area.orbionlimited.com/Home/IntegrationGameLaunch/client-area?moneyType=0&amp;gameName=VeryHot40Dice&amp;platform=desktop&amp;languageCode=eng&amp;currency=EUR")</f>
        <v>https://gameserver-store-client-area.orbionlimited.com/Home/IntegrationGameLaunch/client-area?moneyType=0&amp;gameName=VeryHot40Dice&amp;platform=desktop&amp;languageCode=eng&amp;currency=EUR</v>
      </c>
      <c r="BE195" s="5" t="b">
        <f>IFERROR(__xludf.DUMMYFUNCTION("""COMPUTED_VALUE"""),TRUE)</f>
        <v>1</v>
      </c>
    </row>
    <row r="196">
      <c r="A196" s="5">
        <f>IFERROR(__xludf.DUMMYFUNCTION("""COMPUTED_VALUE"""),196.0)</f>
        <v>196</v>
      </c>
      <c r="B196" s="5">
        <f>IFERROR(__xludf.DUMMYFUNCTION("""COMPUTED_VALUE"""),195.0)</f>
        <v>195</v>
      </c>
      <c r="C196" s="5" t="str">
        <f>IFERROR(__xludf.DUMMYFUNCTION("""COMPUTED_VALUE"""),"Fazi")</f>
        <v>Fazi</v>
      </c>
      <c r="D196" s="5" t="str">
        <f>IFERROR(__xludf.DUMMYFUNCTION("""COMPUTED_VALUE"""),"Wild Lucky Clover")</f>
        <v>Wild Lucky Clover</v>
      </c>
      <c r="E196" s="5" t="str">
        <f>IFERROR(__xludf.DUMMYFUNCTION("""COMPUTED_VALUE"""),"V2")</f>
        <v>V2</v>
      </c>
      <c r="F196" s="5" t="str">
        <f>IFERROR(__xludf.DUMMYFUNCTION("""COMPUTED_VALUE"""),"WildLuckyClover")</f>
        <v>WildLuckyClover</v>
      </c>
      <c r="G196" s="5" t="str">
        <f>IFERROR(__xludf.DUMMYFUNCTION("""COMPUTED_VALUE"""),"Live")</f>
        <v>Live</v>
      </c>
      <c r="H196" s="5"/>
      <c r="I196" s="5" t="str">
        <f>IFERROR(__xludf.DUMMYFUNCTION("""COMPUTED_VALUE"""),"V2")</f>
        <v>V2</v>
      </c>
      <c r="J196" s="5" t="str">
        <f>IFERROR(__xludf.DUMMYFUNCTION("""COMPUTED_VALUE"""),"JSON")</f>
        <v>JSON</v>
      </c>
      <c r="K196" s="5" t="str">
        <f>IFERROR(__xludf.DUMMYFUNCTION("""COMPUTED_VALUE"""),"Slot")</f>
        <v>Slot</v>
      </c>
      <c r="L196" s="5"/>
      <c r="M196" s="5"/>
      <c r="N196" s="5"/>
      <c r="O196" s="5"/>
      <c r="P196" s="12">
        <f>IFERROR(__xludf.DUMMYFUNCTION("""COMPUTED_VALUE"""),31.2)</f>
        <v>31.2</v>
      </c>
      <c r="Q196" s="13">
        <f>IFERROR(__xludf.DUMMYFUNCTION("""COMPUTED_VALUE"""),44833.0)</f>
        <v>44833</v>
      </c>
      <c r="R196" s="14"/>
      <c r="S196" s="13">
        <f>IFERROR(__xludf.DUMMYFUNCTION("""COMPUTED_VALUE"""),44833.0)</f>
        <v>44833</v>
      </c>
      <c r="T196" s="5" t="b">
        <f>IFERROR(__xludf.DUMMYFUNCTION("""COMPUTED_VALUE"""),TRUE)</f>
        <v>1</v>
      </c>
      <c r="U196" s="5" t="str">
        <f>IFERROR(__xludf.DUMMYFUNCTION("""COMPUTED_VALUE"""),"5x4")</f>
        <v>5x4</v>
      </c>
      <c r="V196" s="10" t="str">
        <f>IFERROR(__xludf.DUMMYFUNCTION("""COMPUTED_VALUE"""),"40")</f>
        <v>40</v>
      </c>
      <c r="W196" s="10" t="str">
        <f>IFERROR(__xludf.DUMMYFUNCTION("""COMPUTED_VALUE"""),"40")</f>
        <v>40</v>
      </c>
      <c r="X196" s="5">
        <f>IFERROR(__xludf.DUMMYFUNCTION("""COMPUTED_VALUE"""),96.291)</f>
        <v>96.291</v>
      </c>
      <c r="Y196" s="5" t="str">
        <f>IFERROR(__xludf.DUMMYFUNCTION("""COMPUTED_VALUE"""),"Medium")</f>
        <v>Medium</v>
      </c>
      <c r="Z196" s="5">
        <f>IFERROR(__xludf.DUMMYFUNCTION("""COMPUTED_VALUE"""),12.67)</f>
        <v>12.67</v>
      </c>
      <c r="AA196" s="12">
        <f>IFERROR(__xludf.DUMMYFUNCTION("""COMPUTED_VALUE"""),1043.0)</f>
        <v>1043</v>
      </c>
      <c r="AB196" s="5">
        <f>IFERROR(__xludf.DUMMYFUNCTION("""COMPUTED_VALUE"""),199.0)</f>
        <v>199</v>
      </c>
      <c r="AC196" s="5" t="str">
        <f>IFERROR(__xludf.DUMMYFUNCTION("""COMPUTED_VALUE"""),"Buy Bonus, Bonus Game with Free Spins, Converting Wild, Wild Symbol")</f>
        <v>Buy Bonus, Bonus Game with Free Spins, Converting Wild, Wild Symbol</v>
      </c>
      <c r="AD196" s="5" t="str">
        <f>IFERROR(__xludf.DUMMYFUNCTION("""COMPUTED_VALUE"""),"0.40/60")</f>
        <v>0.40/60</v>
      </c>
      <c r="AE196" s="5"/>
      <c r="AF196" s="5"/>
      <c r="AG196" s="8">
        <f>IFERROR(__xludf.DUMMYFUNCTION("""COMPUTED_VALUE"""),46101.616111111114)</f>
        <v>46101.61611</v>
      </c>
      <c r="AH196" s="5" t="str">
        <f>IFERROR(__xludf.DUMMYFUNCTION("""COMPUTED_VALUE"""),"milutin.toskic@fazi.rs")</f>
        <v>milutin.toskic@fazi.rs</v>
      </c>
      <c r="AI196" s="5"/>
      <c r="AJ196" s="5"/>
      <c r="AK196" s="5">
        <f>IFERROR(__xludf.DUMMYFUNCTION("""COMPUTED_VALUE"""),40.0)</f>
        <v>40</v>
      </c>
      <c r="AL196" s="5" t="str">
        <f>IFERROR(__xludf.DUMMYFUNCTION("""COMPUTED_VALUE"""),"Yes")</f>
        <v>Yes</v>
      </c>
      <c r="AM196" s="5"/>
      <c r="AN196" s="7" t="str">
        <f>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AO196" s="5" t="str">
        <f>IFERROR(__xludf.DUMMYFUNCTION("""COMPUTED_VALUE"""),"Yes")</f>
        <v>Yes</v>
      </c>
      <c r="AP196" s="5" t="str">
        <f>IFERROR(__xludf.DUMMYFUNCTION("""COMPUTED_VALUE"""),"Yes")</f>
        <v>Yes</v>
      </c>
      <c r="AQ196" s="5" t="b">
        <f>IFERROR(__xludf.DUMMYFUNCTION("""COMPUTED_VALUE"""),TRUE)</f>
        <v>1</v>
      </c>
      <c r="AR196" s="5"/>
      <c r="AS196" s="5" t="str">
        <f>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AT196" s="5" t="str">
        <f>IFERROR(__xludf.DUMMYFUNCTION("""COMPUTED_VALUE"""),"No")</f>
        <v>No</v>
      </c>
      <c r="AU196" s="5" t="str">
        <f>IFERROR(__xludf.DUMMYFUNCTION("""COMPUTED_VALUE"""),"Fazi")</f>
        <v>Fazi</v>
      </c>
      <c r="AV196" s="5"/>
      <c r="AW196" s="5"/>
      <c r="AX196" s="5"/>
      <c r="AY196" s="5" t="str">
        <f>IFERROR(__xludf.DUMMYFUNCTION("""COMPUTED_VALUE"""),"87.5%, 89.5%, 91.5%, 93.5%, 94.5%, 95.5%, 96.5%")</f>
        <v>87.5%, 89.5%, 91.5%, 93.5%, 94.5%, 95.5%, 96.5%</v>
      </c>
      <c r="AZ196" s="5"/>
      <c r="BA196" s="5" t="str">
        <f>IFERROR(__xludf.DUMMYFUNCTION("""COMPUTED_VALUE"""),"58, 83, 124")</f>
        <v>58, 83, 124</v>
      </c>
      <c r="BB196" s="5"/>
      <c r="BC196" s="5" t="str">
        <f>IFERROR(__xludf.DUMMYFUNCTION("""COMPUTED_VALUE"""),"Foxi")</f>
        <v>Foxi</v>
      </c>
      <c r="BD196" s="7" t="str">
        <f>IFERROR(__xludf.DUMMYFUNCTION("""COMPUTED_VALUE"""),"https://gameserver-store-client-area.orbionlimited.com/Home/IntegrationGameLaunch/client-area?moneyType=0&amp;gameName=WildLuckyClover&amp;platform=desktop&amp;languageCode=eng&amp;currency=EUR")</f>
        <v>https://gameserver-store-client-area.orbionlimited.com/Home/IntegrationGameLaunch/client-area?moneyType=0&amp;gameName=WildLuckyClover&amp;platform=desktop&amp;languageCode=eng&amp;currency=EUR</v>
      </c>
      <c r="BE196" s="5" t="b">
        <f>IFERROR(__xludf.DUMMYFUNCTION("""COMPUTED_VALUE"""),TRUE)</f>
        <v>1</v>
      </c>
    </row>
    <row r="197">
      <c r="A197" s="5">
        <f>IFERROR(__xludf.DUMMYFUNCTION("""COMPUTED_VALUE"""),197.0)</f>
        <v>197</v>
      </c>
      <c r="B197" s="5">
        <f>IFERROR(__xludf.DUMMYFUNCTION("""COMPUTED_VALUE"""),196.0)</f>
        <v>196</v>
      </c>
      <c r="C197" s="5" t="str">
        <f>IFERROR(__xludf.DUMMYFUNCTION("""COMPUTED_VALUE"""),"Fazi")</f>
        <v>Fazi</v>
      </c>
      <c r="D197" s="5" t="str">
        <f>IFERROR(__xludf.DUMMYFUNCTION("""COMPUTED_VALUE"""),"Fruits And Stars 20 Deluxe")</f>
        <v>Fruits And Stars 20 Deluxe</v>
      </c>
      <c r="E197" s="5" t="str">
        <f>IFERROR(__xludf.DUMMYFUNCTION("""COMPUTED_VALUE"""),"V4-1")</f>
        <v>V4-1</v>
      </c>
      <c r="F197" s="5" t="str">
        <f>IFERROR(__xludf.DUMMYFUNCTION("""COMPUTED_VALUE"""),"FruitsAndStars20Deluxe")</f>
        <v>FruitsAndStars20Deluxe</v>
      </c>
      <c r="G197" s="5" t="str">
        <f>IFERROR(__xludf.DUMMYFUNCTION("""COMPUTED_VALUE"""),"Live")</f>
        <v>Live</v>
      </c>
      <c r="H197" s="5"/>
      <c r="I197" s="5" t="str">
        <f>IFERROR(__xludf.DUMMYFUNCTION("""COMPUTED_VALUE"""),"V4")</f>
        <v>V4</v>
      </c>
      <c r="J197" s="5" t="str">
        <f>IFERROR(__xludf.DUMMYFUNCTION("""COMPUTED_VALUE"""),"JSON")</f>
        <v>JSON</v>
      </c>
      <c r="K197" s="5" t="str">
        <f>IFERROR(__xludf.DUMMYFUNCTION("""COMPUTED_VALUE"""),"Slot")</f>
        <v>Slot</v>
      </c>
      <c r="L197" s="5" t="str">
        <f>IFERROR(__xludf.DUMMYFUNCTION("""COMPUTED_VALUE"""),"Clone")</f>
        <v>Clone</v>
      </c>
      <c r="M197" s="5" t="str">
        <f>IFERROR(__xludf.DUMMYFUNCTION("""COMPUTED_VALUE"""),"Fruits and Stars")</f>
        <v>Fruits and Stars</v>
      </c>
      <c r="N197" s="5"/>
      <c r="O197" s="5"/>
      <c r="P197" s="12">
        <f>IFERROR(__xludf.DUMMYFUNCTION("""COMPUTED_VALUE"""),11.5)</f>
        <v>11.5</v>
      </c>
      <c r="Q197" s="13">
        <f>IFERROR(__xludf.DUMMYFUNCTION("""COMPUTED_VALUE"""),44978.0)</f>
        <v>44978</v>
      </c>
      <c r="R197" s="14"/>
      <c r="S197" s="13">
        <f>IFERROR(__xludf.DUMMYFUNCTION("""COMPUTED_VALUE"""),44978.0)</f>
        <v>44978</v>
      </c>
      <c r="T197" s="5" t="b">
        <f>IFERROR(__xludf.DUMMYFUNCTION("""COMPUTED_VALUE"""),TRUE)</f>
        <v>1</v>
      </c>
      <c r="U197" s="5" t="str">
        <f>IFERROR(__xludf.DUMMYFUNCTION("""COMPUTED_VALUE"""),"5x3")</f>
        <v>5x3</v>
      </c>
      <c r="V197" s="10" t="str">
        <f>IFERROR(__xludf.DUMMYFUNCTION("""COMPUTED_VALUE"""),"20")</f>
        <v>20</v>
      </c>
      <c r="W197" s="10" t="str">
        <f>IFERROR(__xludf.DUMMYFUNCTION("""COMPUTED_VALUE"""),"20")</f>
        <v>20</v>
      </c>
      <c r="X197" s="5">
        <f>IFERROR(__xludf.DUMMYFUNCTION("""COMPUTED_VALUE"""),96.5)</f>
        <v>96.5</v>
      </c>
      <c r="Y197" s="5" t="str">
        <f>IFERROR(__xludf.DUMMYFUNCTION("""COMPUTED_VALUE"""),"Low")</f>
        <v>Low</v>
      </c>
      <c r="Z197" s="5">
        <f>IFERROR(__xludf.DUMMYFUNCTION("""COMPUTED_VALUE"""),17.481)</f>
        <v>17.481</v>
      </c>
      <c r="AA197" s="12">
        <f>IFERROR(__xludf.DUMMYFUNCTION("""COMPUTED_VALUE"""),1000.0)</f>
        <v>1000</v>
      </c>
      <c r="AB197" s="5" t="str">
        <f>IFERROR(__xludf.DUMMYFUNCTION("""COMPUTED_VALUE"""),"/")</f>
        <v>/</v>
      </c>
      <c r="AC197" s="5" t="str">
        <f>IFERROR(__xludf.DUMMYFUNCTION("""COMPUTED_VALUE"""),"Scatter, Wild Symbol")</f>
        <v>Scatter, Wild Symbol</v>
      </c>
      <c r="AD197" s="5" t="str">
        <f>IFERROR(__xludf.DUMMYFUNCTION("""COMPUTED_VALUE"""),"0.2/50")</f>
        <v>0.2/50</v>
      </c>
      <c r="AE197" s="5"/>
      <c r="AF197" s="5"/>
      <c r="AG197" s="8">
        <f>IFERROR(__xludf.DUMMYFUNCTION("""COMPUTED_VALUE"""),46162.42105324074)</f>
        <v>46162.42105</v>
      </c>
      <c r="AH197" s="5" t="str">
        <f>IFERROR(__xludf.DUMMYFUNCTION("""COMPUTED_VALUE"""),"djordje.petrovic@fazi.rs")</f>
        <v>djordje.petrovic@fazi.rs</v>
      </c>
      <c r="AI197" s="5"/>
      <c r="AJ197" s="5"/>
      <c r="AK197" s="5">
        <f>IFERROR(__xludf.DUMMYFUNCTION("""COMPUTED_VALUE"""),20.0)</f>
        <v>20</v>
      </c>
      <c r="AL197" s="5" t="str">
        <f>IFERROR(__xludf.DUMMYFUNCTION("""COMPUTED_VALUE"""),"Yes")</f>
        <v>Yes</v>
      </c>
      <c r="AM197" s="5"/>
      <c r="AN197" s="7" t="str">
        <f>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AO197" s="5" t="str">
        <f>IFERROR(__xludf.DUMMYFUNCTION("""COMPUTED_VALUE"""),"Yes")</f>
        <v>Yes</v>
      </c>
      <c r="AP197" s="5" t="str">
        <f>IFERROR(__xludf.DUMMYFUNCTION("""COMPUTED_VALUE"""),"Yes")</f>
        <v>Yes</v>
      </c>
      <c r="AQ197" s="5" t="b">
        <f>IFERROR(__xludf.DUMMYFUNCTION("""COMPUTED_VALUE"""),TRUE)</f>
        <v>1</v>
      </c>
      <c r="AR197" s="5"/>
      <c r="AS197" s="5" t="str">
        <f>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AT197" s="5" t="str">
        <f>IFERROR(__xludf.DUMMYFUNCTION("""COMPUTED_VALUE"""),"Yes")</f>
        <v>Yes</v>
      </c>
      <c r="AU197" s="5" t="str">
        <f>IFERROR(__xludf.DUMMYFUNCTION("""COMPUTED_VALUE"""),"Fazi")</f>
        <v>Fazi</v>
      </c>
      <c r="AV197" s="5"/>
      <c r="AW197"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97" s="5"/>
      <c r="AY197" s="5"/>
      <c r="AZ197" s="5"/>
      <c r="BA197" s="5"/>
      <c r="BB197" s="5"/>
      <c r="BC197" s="5" t="str">
        <f>IFERROR(__xludf.DUMMYFUNCTION("""COMPUTED_VALUE"""),"Foxi")</f>
        <v>Foxi</v>
      </c>
      <c r="BD197" s="7" t="str">
        <f>IFERROR(__xludf.DUMMYFUNCTION("""COMPUTED_VALUE"""),"https://gameserver-store-client-area.orbionlimited.com/Home/IntegrationGameLaunch/client-area?moneyType=0&amp;gameName=FruitsAndStars20Deluxe&amp;platform=desktop&amp;languageCode=eng&amp;currency=EUR")</f>
        <v>https://gameserver-store-client-area.orbionlimited.com/Home/IntegrationGameLaunch/client-area?moneyType=0&amp;gameName=FruitsAndStars20Deluxe&amp;platform=desktop&amp;languageCode=eng&amp;currency=EUR</v>
      </c>
      <c r="BE197" s="5" t="b">
        <f>IFERROR(__xludf.DUMMYFUNCTION("""COMPUTED_VALUE"""),TRUE)</f>
        <v>1</v>
      </c>
    </row>
    <row r="198">
      <c r="A198" s="5">
        <f>IFERROR(__xludf.DUMMYFUNCTION("""COMPUTED_VALUE"""),198.0)</f>
        <v>198</v>
      </c>
      <c r="B198" s="5">
        <f>IFERROR(__xludf.DUMMYFUNCTION("""COMPUTED_VALUE"""),197.0)</f>
        <v>197</v>
      </c>
      <c r="C198" s="5" t="str">
        <f>IFERROR(__xludf.DUMMYFUNCTION("""COMPUTED_VALUE"""),"Fazi")</f>
        <v>Fazi</v>
      </c>
      <c r="D198" s="5" t="str">
        <f>IFERROR(__xludf.DUMMYFUNCTION("""COMPUTED_VALUE"""),"Very Hot 40 Respin")</f>
        <v>Very Hot 40 Respin</v>
      </c>
      <c r="E198" s="5" t="str">
        <f>IFERROR(__xludf.DUMMYFUNCTION("""COMPUTED_VALUE"""),"V2")</f>
        <v>V2</v>
      </c>
      <c r="F198" s="5" t="str">
        <f>IFERROR(__xludf.DUMMYFUNCTION("""COMPUTED_VALUE"""),"VeryHot40Respin")</f>
        <v>VeryHot40Respin</v>
      </c>
      <c r="G198" s="5" t="str">
        <f>IFERROR(__xludf.DUMMYFUNCTION("""COMPUTED_VALUE"""),"Live")</f>
        <v>Live</v>
      </c>
      <c r="H198" s="5"/>
      <c r="I198" s="5" t="str">
        <f>IFERROR(__xludf.DUMMYFUNCTION("""COMPUTED_VALUE"""),"V2")</f>
        <v>V2</v>
      </c>
      <c r="J198" s="5" t="str">
        <f>IFERROR(__xludf.DUMMYFUNCTION("""COMPUTED_VALUE"""),"Binary")</f>
        <v>Binary</v>
      </c>
      <c r="K198" s="5" t="str">
        <f>IFERROR(__xludf.DUMMYFUNCTION("""COMPUTED_VALUE"""),"Slot")</f>
        <v>Slot</v>
      </c>
      <c r="L198" s="5"/>
      <c r="M198" s="5"/>
      <c r="N198" s="5"/>
      <c r="O198" s="5"/>
      <c r="P198" s="12">
        <f>IFERROR(__xludf.DUMMYFUNCTION("""COMPUTED_VALUE"""),25.2)</f>
        <v>25.2</v>
      </c>
      <c r="Q198" s="13">
        <f>IFERROR(__xludf.DUMMYFUNCTION("""COMPUTED_VALUE"""),44847.0)</f>
        <v>44847</v>
      </c>
      <c r="R198" s="14"/>
      <c r="S198" s="13">
        <f>IFERROR(__xludf.DUMMYFUNCTION("""COMPUTED_VALUE"""),44847.0)</f>
        <v>44847</v>
      </c>
      <c r="T198" s="5"/>
      <c r="U198" s="5" t="str">
        <f>IFERROR(__xludf.DUMMYFUNCTION("""COMPUTED_VALUE"""),"5x3")</f>
        <v>5x3</v>
      </c>
      <c r="V198" s="10" t="str">
        <f>IFERROR(__xludf.DUMMYFUNCTION("""COMPUTED_VALUE"""),"40")</f>
        <v>40</v>
      </c>
      <c r="W198" s="10" t="str">
        <f>IFERROR(__xludf.DUMMYFUNCTION("""COMPUTED_VALUE"""),"40")</f>
        <v>40</v>
      </c>
      <c r="X198" s="5">
        <f>IFERROR(__xludf.DUMMYFUNCTION("""COMPUTED_VALUE"""),96.342)</f>
        <v>96.342</v>
      </c>
      <c r="Y198" s="5" t="str">
        <f>IFERROR(__xludf.DUMMYFUNCTION("""COMPUTED_VALUE"""),"Medium")</f>
        <v>Medium</v>
      </c>
      <c r="Z198" s="5">
        <f>IFERROR(__xludf.DUMMYFUNCTION("""COMPUTED_VALUE"""),21.45)</f>
        <v>21.45</v>
      </c>
      <c r="AA198" s="12">
        <f>IFERROR(__xludf.DUMMYFUNCTION("""COMPUTED_VALUE"""),1744.0)</f>
        <v>1744</v>
      </c>
      <c r="AB198" s="5">
        <f>IFERROR(__xludf.DUMMYFUNCTION("""COMPUTED_VALUE"""),10.0)</f>
        <v>10</v>
      </c>
      <c r="AC198" s="5" t="str">
        <f>IFERROR(__xludf.DUMMYFUNCTION("""COMPUTED_VALUE"""),"Scatter, Expanding Wild, Respin")</f>
        <v>Scatter, Expanding Wild, Respin</v>
      </c>
      <c r="AD198" s="5" t="str">
        <f>IFERROR(__xludf.DUMMYFUNCTION("""COMPUTED_VALUE"""),"0.4/60")</f>
        <v>0.4/60</v>
      </c>
      <c r="AE198" s="5"/>
      <c r="AF198" s="5"/>
      <c r="AG198" s="8">
        <f>IFERROR(__xludf.DUMMYFUNCTION("""COMPUTED_VALUE"""),46055.519212962965)</f>
        <v>46055.51921</v>
      </c>
      <c r="AH198" s="5" t="str">
        <f>IFERROR(__xludf.DUMMYFUNCTION("""COMPUTED_VALUE"""),"djordje.jankovic@fazi.rs")</f>
        <v>djordje.jankovic@fazi.rs</v>
      </c>
      <c r="AI198" s="5"/>
      <c r="AJ198" s="5"/>
      <c r="AK198" s="5">
        <f>IFERROR(__xludf.DUMMYFUNCTION("""COMPUTED_VALUE"""),40.0)</f>
        <v>40</v>
      </c>
      <c r="AL198" s="5" t="str">
        <f>IFERROR(__xludf.DUMMYFUNCTION("""COMPUTED_VALUE"""),"Yes")</f>
        <v>Yes</v>
      </c>
      <c r="AM198" s="5"/>
      <c r="AN198" s="7" t="str">
        <f>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AO198" s="5"/>
      <c r="AP198" s="5"/>
      <c r="AQ198" s="5" t="b">
        <f>IFERROR(__xludf.DUMMYFUNCTION("""COMPUTED_VALUE"""),TRUE)</f>
        <v>1</v>
      </c>
      <c r="AR198" s="5"/>
      <c r="AS198" s="5" t="str">
        <f>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AT198" s="5"/>
      <c r="AU198" s="5" t="str">
        <f>IFERROR(__xludf.DUMMYFUNCTION("""COMPUTED_VALUE"""),"Fazi")</f>
        <v>Fazi</v>
      </c>
      <c r="AV198" s="5"/>
      <c r="AW198" s="5"/>
      <c r="AX198" s="5"/>
      <c r="AY198" s="5"/>
      <c r="AZ198" s="5"/>
      <c r="BA198" s="5" t="str">
        <f>IFERROR(__xludf.DUMMYFUNCTION("""COMPUTED_VALUE"""),"")</f>
        <v/>
      </c>
      <c r="BB198" s="5"/>
      <c r="BC198" s="5" t="str">
        <f>IFERROR(__xludf.DUMMYFUNCTION("""COMPUTED_VALUE"""),"Foxi")</f>
        <v>Foxi</v>
      </c>
      <c r="BD198" s="7" t="str">
        <f>IFERROR(__xludf.DUMMYFUNCTION("""COMPUTED_VALUE"""),"https://gameserver-store-client-area.orbionlimited.com/Home/IntegrationGameLaunch/client-area?moneyType=0&amp;gameName=VeryHot40Respin&amp;platform=desktop&amp;languageCode=eng&amp;currency=EUR")</f>
        <v>https://gameserver-store-client-area.orbionlimited.com/Home/IntegrationGameLaunch/client-area?moneyType=0&amp;gameName=VeryHot40Respin&amp;platform=desktop&amp;languageCode=eng&amp;currency=EUR</v>
      </c>
      <c r="BE198" s="5" t="b">
        <f>IFERROR(__xludf.DUMMYFUNCTION("""COMPUTED_VALUE"""),TRUE)</f>
        <v>1</v>
      </c>
    </row>
    <row r="199">
      <c r="A199" s="5">
        <f>IFERROR(__xludf.DUMMYFUNCTION("""COMPUTED_VALUE"""),199.0)</f>
        <v>199</v>
      </c>
      <c r="B199" s="5">
        <f>IFERROR(__xludf.DUMMYFUNCTION("""COMPUTED_VALUE"""),198.0)</f>
        <v>198</v>
      </c>
      <c r="C199" s="5" t="str">
        <f>IFERROR(__xludf.DUMMYFUNCTION("""COMPUTED_VALUE"""),"Redstone")</f>
        <v>Redstone</v>
      </c>
      <c r="D199" s="5" t="str">
        <f>IFERROR(__xludf.DUMMYFUNCTION("""COMPUTED_VALUE"""),"Book Of Dread")</f>
        <v>Book Of Dread</v>
      </c>
      <c r="E199" s="5" t="str">
        <f>IFERROR(__xludf.DUMMYFUNCTION("""COMPUTED_VALUE"""),"Redstone")</f>
        <v>Redstone</v>
      </c>
      <c r="F199" s="5" t="str">
        <f>IFERROR(__xludf.DUMMYFUNCTION("""COMPUTED_VALUE"""),"BookOfDread")</f>
        <v>BookOfDread</v>
      </c>
      <c r="G199" s="5" t="str">
        <f>IFERROR(__xludf.DUMMYFUNCTION("""COMPUTED_VALUE"""),"Live")</f>
        <v>Live</v>
      </c>
      <c r="H199" s="5"/>
      <c r="I199" s="5" t="str">
        <f>IFERROR(__xludf.DUMMYFUNCTION("""COMPUTED_VALUE"""),"Redstone")</f>
        <v>Redstone</v>
      </c>
      <c r="J199" s="5" t="str">
        <f>IFERROR(__xludf.DUMMYFUNCTION("""COMPUTED_VALUE"""),"JSON")</f>
        <v>JSON</v>
      </c>
      <c r="K199" s="5" t="str">
        <f>IFERROR(__xludf.DUMMYFUNCTION("""COMPUTED_VALUE"""),"Slot")</f>
        <v>Slot</v>
      </c>
      <c r="L199" s="5" t="str">
        <f>IFERROR(__xludf.DUMMYFUNCTION("""COMPUTED_VALUE"""),"Master")</f>
        <v>Master</v>
      </c>
      <c r="M199" s="5"/>
      <c r="N199" s="7" t="str">
        <f>IFERROR(__xludf.DUMMYFUNCTION("""COMPUTED_VALUE"""),"https://docs.google.com/document/d/1VNqF32o_m9--56Cn7BCeuFYPW_6L_fHn/edit?usp=drive_link&amp;ouid=107596163405648766688&amp;rtpof=true&amp;sd=true")</f>
        <v>https://docs.google.com/document/d/1VNqF32o_m9--56Cn7BCeuFYPW_6L_fHn/edit?usp=drive_link&amp;ouid=107596163405648766688&amp;rtpof=true&amp;sd=true</v>
      </c>
      <c r="O199" s="7" t="str">
        <f>IFERROR(__xludf.DUMMYFUNCTION("""COMPUTED_VALUE"""),"https://docs.google.com/document/d/1xxoKQXYlaMHZTqDBiQqslbsvJiiOhLpz/edit?usp=drive_link&amp;ouid=107596163405648766688&amp;rtpof=true&amp;sd=true")</f>
        <v>https://docs.google.com/document/d/1xxoKQXYlaMHZTqDBiQqslbsvJiiOhLpz/edit?usp=drive_link&amp;ouid=107596163405648766688&amp;rtpof=true&amp;sd=true</v>
      </c>
      <c r="P199" s="12">
        <f>IFERROR(__xludf.DUMMYFUNCTION("""COMPUTED_VALUE"""),15.0)</f>
        <v>15</v>
      </c>
      <c r="Q199" s="13">
        <f>IFERROR(__xludf.DUMMYFUNCTION("""COMPUTED_VALUE"""),44846.0)</f>
        <v>44846</v>
      </c>
      <c r="R199" s="14"/>
      <c r="S199" s="13">
        <f>IFERROR(__xludf.DUMMYFUNCTION("""COMPUTED_VALUE"""),44846.0)</f>
        <v>44846</v>
      </c>
      <c r="T199" s="5"/>
      <c r="U199" s="5" t="str">
        <f>IFERROR(__xludf.DUMMYFUNCTION("""COMPUTED_VALUE"""),"5x3")</f>
        <v>5x3</v>
      </c>
      <c r="V199" s="10" t="str">
        <f>IFERROR(__xludf.DUMMYFUNCTION("""COMPUTED_VALUE"""),"10")</f>
        <v>10</v>
      </c>
      <c r="W199" s="10" t="str">
        <f>IFERROR(__xludf.DUMMYFUNCTION("""COMPUTED_VALUE"""),"10")</f>
        <v>10</v>
      </c>
      <c r="X199" s="5">
        <f>IFERROR(__xludf.DUMMYFUNCTION("""COMPUTED_VALUE"""),96.2)</f>
        <v>96.2</v>
      </c>
      <c r="Y199" s="5" t="str">
        <f>IFERROR(__xludf.DUMMYFUNCTION("""COMPUTED_VALUE"""),"High")</f>
        <v>High</v>
      </c>
      <c r="Z199" s="5">
        <f>IFERROR(__xludf.DUMMYFUNCTION("""COMPUTED_VALUE"""),30.81)</f>
        <v>30.81</v>
      </c>
      <c r="AA199" s="12">
        <f>IFERROR(__xludf.DUMMYFUNCTION("""COMPUTED_VALUE"""),5456.0)</f>
        <v>5456</v>
      </c>
      <c r="AB199" s="5"/>
      <c r="AC199" s="5" t="str">
        <f>IFERROR(__xludf.DUMMYFUNCTION("""COMPUTED_VALUE"""),"Wild Symbol, Bonus Game with Free Spins, Expanding Wild")</f>
        <v>Wild Symbol, Bonus Game with Free Spins, Expanding Wild</v>
      </c>
      <c r="AD199" s="5" t="str">
        <f>IFERROR(__xludf.DUMMYFUNCTION("""COMPUTED_VALUE"""),"0.10/40")</f>
        <v>0.10/40</v>
      </c>
      <c r="AE199" s="5"/>
      <c r="AF199" s="5"/>
      <c r="AG199" s="8">
        <f>IFERROR(__xludf.DUMMYFUNCTION("""COMPUTED_VALUE"""),46157.44761574074)</f>
        <v>46157.44762</v>
      </c>
      <c r="AH199" s="5"/>
      <c r="AI199" s="5"/>
      <c r="AJ199" s="5"/>
      <c r="AK199" s="5">
        <f>IFERROR(__xludf.DUMMYFUNCTION("""COMPUTED_VALUE"""),1.0)</f>
        <v>1</v>
      </c>
      <c r="AL199" s="5" t="str">
        <f>IFERROR(__xludf.DUMMYFUNCTION("""COMPUTED_VALUE"""),"No")</f>
        <v>No</v>
      </c>
      <c r="AM199" s="5" t="str">
        <f>IFERROR(__xludf.DUMMYFUNCTION("""COMPUTED_VALUE"""),"No")</f>
        <v>No</v>
      </c>
      <c r="AN199" s="7" t="str">
        <f>IFERROR(__xludf.DUMMYFUNCTION("""COMPUTED_VALUE"""),"https://static.redstone.rs/games/book-of-dread/")</f>
        <v>https://static.redstone.rs/games/book-of-dread/</v>
      </c>
      <c r="AO199" s="5" t="str">
        <f>IFERROR(__xludf.DUMMYFUNCTION("""COMPUTED_VALUE"""),"No")</f>
        <v>No</v>
      </c>
      <c r="AP199" s="5" t="str">
        <f>IFERROR(__xludf.DUMMYFUNCTION("""COMPUTED_VALUE"""),"No")</f>
        <v>No</v>
      </c>
      <c r="AQ199" s="5" t="b">
        <f>IFERROR(__xludf.DUMMYFUNCTION("""COMPUTED_VALUE"""),TRUE)</f>
        <v>1</v>
      </c>
      <c r="AR199" s="5"/>
      <c r="AS199" s="5" t="str">
        <f>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AT199" s="5"/>
      <c r="AU199" s="5" t="str">
        <f>IFERROR(__xludf.DUMMYFUNCTION("""COMPUTED_VALUE"""),"Redstone")</f>
        <v>Redstone</v>
      </c>
      <c r="AV199" s="5"/>
      <c r="AW199" s="5"/>
      <c r="AX199" s="5"/>
      <c r="AY199" s="5"/>
      <c r="AZ199" s="5"/>
      <c r="BA199" s="5"/>
      <c r="BB199" s="5" t="b">
        <f>IFERROR(__xludf.DUMMYFUNCTION("""COMPUTED_VALUE"""),TRUE)</f>
        <v>1</v>
      </c>
      <c r="BC199" s="5" t="str">
        <f>IFERROR(__xludf.DUMMYFUNCTION("""COMPUTED_VALUE"""),"Redstone")</f>
        <v>Redstone</v>
      </c>
      <c r="BD199" s="7" t="str">
        <f>IFERROR(__xludf.DUMMYFUNCTION("""COMPUTED_VALUE"""),"https://static.redstone.rs/games/book-of-dread/")</f>
        <v>https://static.redstone.rs/games/book-of-dread/</v>
      </c>
      <c r="BE199" s="5" t="b">
        <f>IFERROR(__xludf.DUMMYFUNCTION("""COMPUTED_VALUE"""),TRUE)</f>
        <v>1</v>
      </c>
    </row>
    <row r="200">
      <c r="A200" s="5">
        <f>IFERROR(__xludf.DUMMYFUNCTION("""COMPUTED_VALUE"""),200.0)</f>
        <v>200</v>
      </c>
      <c r="B200" s="5">
        <f>IFERROR(__xludf.DUMMYFUNCTION("""COMPUTED_VALUE"""),199.0)</f>
        <v>199</v>
      </c>
      <c r="C200" s="5" t="str">
        <f>IFERROR(__xludf.DUMMYFUNCTION("""COMPUTED_VALUE"""),"Redstone")</f>
        <v>Redstone</v>
      </c>
      <c r="D200" s="5" t="str">
        <f>IFERROR(__xludf.DUMMYFUNCTION("""COMPUTED_VALUE"""),"10 Wild Pumpkin")</f>
        <v>10 Wild Pumpkin</v>
      </c>
      <c r="E200" s="5" t="str">
        <f>IFERROR(__xludf.DUMMYFUNCTION("""COMPUTED_VALUE"""),"Redstone")</f>
        <v>Redstone</v>
      </c>
      <c r="F200" s="5" t="str">
        <f>IFERROR(__xludf.DUMMYFUNCTION("""COMPUTED_VALUE"""),"WildPumpkin10")</f>
        <v>WildPumpkin10</v>
      </c>
      <c r="G200" s="5" t="str">
        <f>IFERROR(__xludf.DUMMYFUNCTION("""COMPUTED_VALUE"""),"Live")</f>
        <v>Live</v>
      </c>
      <c r="H200" s="5"/>
      <c r="I200" s="5" t="str">
        <f>IFERROR(__xludf.DUMMYFUNCTION("""COMPUTED_VALUE"""),"Redstone")</f>
        <v>Redstone</v>
      </c>
      <c r="J200" s="5" t="str">
        <f>IFERROR(__xludf.DUMMYFUNCTION("""COMPUTED_VALUE"""),"JSON")</f>
        <v>JSON</v>
      </c>
      <c r="K200" s="5" t="str">
        <f>IFERROR(__xludf.DUMMYFUNCTION("""COMPUTED_VALUE"""),"Slot")</f>
        <v>Slot</v>
      </c>
      <c r="L200" s="5" t="str">
        <f>IFERROR(__xludf.DUMMYFUNCTION("""COMPUTED_VALUE""")," Clone")</f>
        <v> Clone</v>
      </c>
      <c r="M200" s="5" t="str">
        <f>IFERROR(__xludf.DUMMYFUNCTION("""COMPUTED_VALUE"""),"10 Wild Crown")</f>
        <v>10 Wild Crown</v>
      </c>
      <c r="N200" s="7" t="str">
        <f>IFERROR(__xludf.DUMMYFUNCTION("""COMPUTED_VALUE"""),"https://docs.google.com/document/d/1m3xk6ar59rXJEwU_BOJnc6s3k2cwRZ_o/edit?usp=drive_link&amp;ouid=107596163405648766688&amp;rtpof=true&amp;sd=true")</f>
        <v>https://docs.google.com/document/d/1m3xk6ar59rXJEwU_BOJnc6s3k2cwRZ_o/edit?usp=drive_link&amp;ouid=107596163405648766688&amp;rtpof=true&amp;sd=true</v>
      </c>
      <c r="O200" s="7" t="str">
        <f>IFERROR(__xludf.DUMMYFUNCTION("""COMPUTED_VALUE"""),"https://docs.google.com/document/d/1bLFVaEPJXVXgIFdQ624LMlKjIAvfMl3r/edit?usp=drive_link&amp;ouid=107596163405648766688&amp;rtpof=true&amp;sd=true")</f>
        <v>https://docs.google.com/document/d/1bLFVaEPJXVXgIFdQ624LMlKjIAvfMl3r/edit?usp=drive_link&amp;ouid=107596163405648766688&amp;rtpof=true&amp;sd=true</v>
      </c>
      <c r="P200" s="12">
        <f>IFERROR(__xludf.DUMMYFUNCTION("""COMPUTED_VALUE"""),6.7)</f>
        <v>6.7</v>
      </c>
      <c r="Q200" s="13">
        <f>IFERROR(__xludf.DUMMYFUNCTION("""COMPUTED_VALUE"""),44831.0)</f>
        <v>44831</v>
      </c>
      <c r="R200" s="14"/>
      <c r="S200" s="13">
        <f>IFERROR(__xludf.DUMMYFUNCTION("""COMPUTED_VALUE"""),44831.0)</f>
        <v>44831</v>
      </c>
      <c r="T200" s="5"/>
      <c r="U200" s="5" t="str">
        <f>IFERROR(__xludf.DUMMYFUNCTION("""COMPUTED_VALUE"""),"5x3")</f>
        <v>5x3</v>
      </c>
      <c r="V200" s="10" t="str">
        <f>IFERROR(__xludf.DUMMYFUNCTION("""COMPUTED_VALUE"""),"10")</f>
        <v>10</v>
      </c>
      <c r="W200" s="10" t="str">
        <f>IFERROR(__xludf.DUMMYFUNCTION("""COMPUTED_VALUE"""),"10")</f>
        <v>10</v>
      </c>
      <c r="X200" s="5">
        <f>IFERROR(__xludf.DUMMYFUNCTION("""COMPUTED_VALUE"""),95.96)</f>
        <v>95.96</v>
      </c>
      <c r="Y200" s="5" t="str">
        <f>IFERROR(__xludf.DUMMYFUNCTION("""COMPUTED_VALUE"""),"Medium")</f>
        <v>Medium</v>
      </c>
      <c r="Z200" s="5">
        <f>IFERROR(__xludf.DUMMYFUNCTION("""COMPUTED_VALUE"""),14.63)</f>
        <v>14.63</v>
      </c>
      <c r="AA200" s="12">
        <f>IFERROR(__xludf.DUMMYFUNCTION("""COMPUTED_VALUE"""),1538.0)</f>
        <v>1538</v>
      </c>
      <c r="AB200" s="5"/>
      <c r="AC200" s="5" t="str">
        <f>IFERROR(__xludf.DUMMYFUNCTION("""COMPUTED_VALUE"""),"Expanding Wild, Scatter")</f>
        <v>Expanding Wild, Scatter</v>
      </c>
      <c r="AD200" s="5" t="str">
        <f>IFERROR(__xludf.DUMMYFUNCTION("""COMPUTED_VALUE"""),"0.10/40")</f>
        <v>0.10/40</v>
      </c>
      <c r="AE200" s="5"/>
      <c r="AF200" s="5"/>
      <c r="AG200" s="8">
        <f>IFERROR(__xludf.DUMMYFUNCTION("""COMPUTED_VALUE"""),46212.48940972222)</f>
        <v>46212.48941</v>
      </c>
      <c r="AH200" s="5" t="str">
        <f>IFERROR(__xludf.DUMMYFUNCTION("""COMPUTED_VALUE"""),"selena.mihajlovic@fazi.rs")</f>
        <v>selena.mihajlovic@fazi.rs</v>
      </c>
      <c r="AI200" s="5"/>
      <c r="AJ200" s="5"/>
      <c r="AK200" s="5">
        <f>IFERROR(__xludf.DUMMYFUNCTION("""COMPUTED_VALUE"""),1.0)</f>
        <v>1</v>
      </c>
      <c r="AL200" s="5" t="str">
        <f>IFERROR(__xludf.DUMMYFUNCTION("""COMPUTED_VALUE"""),"No")</f>
        <v>No</v>
      </c>
      <c r="AM200" s="5" t="str">
        <f>IFERROR(__xludf.DUMMYFUNCTION("""COMPUTED_VALUE"""),"No")</f>
        <v>No</v>
      </c>
      <c r="AN200" s="7" t="str">
        <f>IFERROR(__xludf.DUMMYFUNCTION("""COMPUTED_VALUE"""),"https://static.redstone.rs/games/10-wild-pumpkin/")</f>
        <v>https://static.redstone.rs/games/10-wild-pumpkin/</v>
      </c>
      <c r="AO200" s="5" t="str">
        <f>IFERROR(__xludf.DUMMYFUNCTION("""COMPUTED_VALUE"""),"No")</f>
        <v>No</v>
      </c>
      <c r="AP200" s="5" t="str">
        <f>IFERROR(__xludf.DUMMYFUNCTION("""COMPUTED_VALUE"""),"No")</f>
        <v>No</v>
      </c>
      <c r="AQ200" s="5" t="b">
        <f>IFERROR(__xludf.DUMMYFUNCTION("""COMPUTED_VALUE"""),TRUE)</f>
        <v>1</v>
      </c>
      <c r="AR200" s="5"/>
      <c r="AS200" s="5" t="str">
        <f>IFERROR(__xludf.DUMMYFUNCTION("""COMPUTED_VALUE"""),"’Tis the spooky season. Land up to 3 expanding Wild Pumpkins for massive wins on up to 10 lines. ")</f>
        <v>’Tis the spooky season. Land up to 3 expanding Wild Pumpkins for massive wins on up to 10 lines. </v>
      </c>
      <c r="AT200" s="5"/>
      <c r="AU200" s="5" t="str">
        <f>IFERROR(__xludf.DUMMYFUNCTION("""COMPUTED_VALUE"""),"Redstone")</f>
        <v>Redstone</v>
      </c>
      <c r="AV200" s="5"/>
      <c r="AW200" s="5"/>
      <c r="AX200" s="5"/>
      <c r="AY200" s="5"/>
      <c r="AZ200" s="5"/>
      <c r="BA200" s="5"/>
      <c r="BB200" s="5" t="b">
        <f>IFERROR(__xludf.DUMMYFUNCTION("""COMPUTED_VALUE"""),TRUE)</f>
        <v>1</v>
      </c>
      <c r="BC200" s="5" t="str">
        <f>IFERROR(__xludf.DUMMYFUNCTION("""COMPUTED_VALUE"""),"Redstone")</f>
        <v>Redstone</v>
      </c>
      <c r="BD200" s="7" t="str">
        <f>IFERROR(__xludf.DUMMYFUNCTION("""COMPUTED_VALUE"""),"https://static.redstone.rs/games/10-wild-pumpkin/")</f>
        <v>https://static.redstone.rs/games/10-wild-pumpkin/</v>
      </c>
      <c r="BE200" s="5" t="b">
        <f>IFERROR(__xludf.DUMMYFUNCTION("""COMPUTED_VALUE"""),TRUE)</f>
        <v>1</v>
      </c>
    </row>
    <row r="201">
      <c r="A201" s="5">
        <f>IFERROR(__xludf.DUMMYFUNCTION("""COMPUTED_VALUE"""),201.0)</f>
        <v>201</v>
      </c>
      <c r="B201" s="5">
        <f>IFERROR(__xludf.DUMMYFUNCTION("""COMPUTED_VALUE"""),200.0)</f>
        <v>200</v>
      </c>
      <c r="C201" s="5" t="str">
        <f>IFERROR(__xludf.DUMMYFUNCTION("""COMPUTED_VALUE"""),"Fazi")</f>
        <v>Fazi</v>
      </c>
      <c r="D201" s="5" t="str">
        <f>IFERROR(__xludf.DUMMYFUNCTION("""COMPUTED_VALUE"""),"African Treasure")</f>
        <v>African Treasure</v>
      </c>
      <c r="E201" s="5" t="str">
        <f>IFERROR(__xludf.DUMMYFUNCTION("""COMPUTED_VALUE"""),"V2")</f>
        <v>V2</v>
      </c>
      <c r="F201" s="5" t="str">
        <f>IFERROR(__xludf.DUMMYFUNCTION("""COMPUTED_VALUE"""),"AfricanTreasure")</f>
        <v>AfricanTreasure</v>
      </c>
      <c r="G201" s="5" t="str">
        <f>IFERROR(__xludf.DUMMYFUNCTION("""COMPUTED_VALUE"""),"Live")</f>
        <v>Live</v>
      </c>
      <c r="H201" s="5"/>
      <c r="I201" s="5" t="str">
        <f>IFERROR(__xludf.DUMMYFUNCTION("""COMPUTED_VALUE"""),"V2")</f>
        <v>V2</v>
      </c>
      <c r="J201" s="5" t="str">
        <f>IFERROR(__xludf.DUMMYFUNCTION("""COMPUTED_VALUE"""),"Binary")</f>
        <v>Binary</v>
      </c>
      <c r="K201" s="5" t="str">
        <f>IFERROR(__xludf.DUMMYFUNCTION("""COMPUTED_VALUE"""),"Slot")</f>
        <v>Slot</v>
      </c>
      <c r="L201" s="5" t="str">
        <f>IFERROR(__xludf.DUMMYFUNCTION("""COMPUTED_VALUE"""),"Clone")</f>
        <v>Clone</v>
      </c>
      <c r="M201" s="5" t="str">
        <f>IFERROR(__xludf.DUMMYFUNCTION("""COMPUTED_VALUE"""),"Juicy Hot")</f>
        <v>Juicy Hot</v>
      </c>
      <c r="N201" s="5"/>
      <c r="O201" s="5"/>
      <c r="P201" s="12">
        <f>IFERROR(__xludf.DUMMYFUNCTION("""COMPUTED_VALUE"""),6.0)</f>
        <v>6</v>
      </c>
      <c r="Q201" s="13">
        <f>IFERROR(__xludf.DUMMYFUNCTION("""COMPUTED_VALUE"""),44922.0)</f>
        <v>44922</v>
      </c>
      <c r="R201" s="14"/>
      <c r="S201" s="13">
        <f>IFERROR(__xludf.DUMMYFUNCTION("""COMPUTED_VALUE"""),44922.0)</f>
        <v>44922</v>
      </c>
      <c r="T201" s="5" t="b">
        <f>IFERROR(__xludf.DUMMYFUNCTION("""COMPUTED_VALUE"""),TRUE)</f>
        <v>1</v>
      </c>
      <c r="U201" s="5" t="str">
        <f>IFERROR(__xludf.DUMMYFUNCTION("""COMPUTED_VALUE"""),"5x3")</f>
        <v>5x3</v>
      </c>
      <c r="V201" s="10" t="str">
        <f>IFERROR(__xludf.DUMMYFUNCTION("""COMPUTED_VALUE"""),"5")</f>
        <v>5</v>
      </c>
      <c r="W201" s="10" t="str">
        <f>IFERROR(__xludf.DUMMYFUNCTION("""COMPUTED_VALUE"""),"5")</f>
        <v>5</v>
      </c>
      <c r="X201" s="5">
        <f>IFERROR(__xludf.DUMMYFUNCTION("""COMPUTED_VALUE"""),96.521)</f>
        <v>96.521</v>
      </c>
      <c r="Y201" s="5" t="str">
        <f>IFERROR(__xludf.DUMMYFUNCTION("""COMPUTED_VALUE"""),"Medium")</f>
        <v>Medium</v>
      </c>
      <c r="Z201" s="5">
        <f>IFERROR(__xludf.DUMMYFUNCTION("""COMPUTED_VALUE"""),13.01)</f>
        <v>13.01</v>
      </c>
      <c r="AA201" s="12">
        <f>IFERROR(__xludf.DUMMYFUNCTION("""COMPUTED_VALUE"""),1000.0)</f>
        <v>1000</v>
      </c>
      <c r="AB201" s="5" t="str">
        <f>IFERROR(__xludf.DUMMYFUNCTION("""COMPUTED_VALUE"""),"/")</f>
        <v>/</v>
      </c>
      <c r="AC201" s="5" t="str">
        <f>IFERROR(__xludf.DUMMYFUNCTION("""COMPUTED_VALUE"""),"Scatter")</f>
        <v>Scatter</v>
      </c>
      <c r="AD201" s="5" t="str">
        <f>IFERROR(__xludf.DUMMYFUNCTION("""COMPUTED_VALUE"""),"0.05/50")</f>
        <v>0.05/50</v>
      </c>
      <c r="AE201" s="5"/>
      <c r="AF201" s="5"/>
      <c r="AG201" s="5"/>
      <c r="AH201" s="5"/>
      <c r="AI201" s="5"/>
      <c r="AJ201" s="5"/>
      <c r="AK201" s="5">
        <f>IFERROR(__xludf.DUMMYFUNCTION("""COMPUTED_VALUE"""),5.0)</f>
        <v>5</v>
      </c>
      <c r="AL201" s="5" t="str">
        <f>IFERROR(__xludf.DUMMYFUNCTION("""COMPUTED_VALUE"""),"Yes")</f>
        <v>Yes</v>
      </c>
      <c r="AM201" s="5"/>
      <c r="AN201" s="7" t="str">
        <f>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AO201" s="5"/>
      <c r="AP201" s="5"/>
      <c r="AQ201" s="5" t="b">
        <f>IFERROR(__xludf.DUMMYFUNCTION("""COMPUTED_VALUE"""),TRUE)</f>
        <v>1</v>
      </c>
      <c r="AR201" s="5"/>
      <c r="AS201" s="5" t="str">
        <f>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AT201" s="5"/>
      <c r="AU201" s="5" t="str">
        <f>IFERROR(__xludf.DUMMYFUNCTION("""COMPUTED_VALUE"""),"Fazi")</f>
        <v>Fazi</v>
      </c>
      <c r="AV201" s="5"/>
      <c r="AW201" s="5"/>
      <c r="AX201" s="5"/>
      <c r="AY201" s="5"/>
      <c r="AZ201" s="5"/>
      <c r="BA201" s="5" t="str">
        <f>IFERROR(__xludf.DUMMYFUNCTION("""COMPUTED_VALUE"""),"")</f>
        <v/>
      </c>
      <c r="BB201" s="5"/>
      <c r="BC201" s="5" t="str">
        <f>IFERROR(__xludf.DUMMYFUNCTION("""COMPUTED_VALUE"""),"Foxi")</f>
        <v>Foxi</v>
      </c>
      <c r="BD201" s="7" t="str">
        <f>IFERROR(__xludf.DUMMYFUNCTION("""COMPUTED_VALUE"""),"https://gameserver-store-client-area.orbionlimited.com/Home/IntegrationGameLaunch/client-area?moneyType=0&amp;gameName=AfricanTreasure&amp;platform=desktop&amp;languageCode=eng&amp;currency=EUR")</f>
        <v>https://gameserver-store-client-area.orbionlimited.com/Home/IntegrationGameLaunch/client-area?moneyType=0&amp;gameName=AfricanTreasure&amp;platform=desktop&amp;languageCode=eng&amp;currency=EUR</v>
      </c>
      <c r="BE201" s="5" t="b">
        <f>IFERROR(__xludf.DUMMYFUNCTION("""COMPUTED_VALUE"""),TRUE)</f>
        <v>1</v>
      </c>
    </row>
    <row r="202">
      <c r="A202" s="5">
        <f>IFERROR(__xludf.DUMMYFUNCTION("""COMPUTED_VALUE"""),202.0)</f>
        <v>202</v>
      </c>
      <c r="B202" s="5">
        <f>IFERROR(__xludf.DUMMYFUNCTION("""COMPUTED_VALUE"""),201.0)</f>
        <v>201</v>
      </c>
      <c r="C202" s="5" t="str">
        <f>IFERROR(__xludf.DUMMYFUNCTION("""COMPUTED_VALUE"""),"Tiptop")</f>
        <v>Tiptop</v>
      </c>
      <c r="D202" s="5" t="str">
        <f>IFERROR(__xludf.DUMMYFUNCTION("""COMPUTED_VALUE"""),"Da Vinci's Dice")</f>
        <v>Da Vinci's Dice</v>
      </c>
      <c r="E202" s="5"/>
      <c r="F202" s="5" t="str">
        <f>IFERROR(__xludf.DUMMYFUNCTION("""COMPUTED_VALUE"""),"UnicornDaVincisDice")</f>
        <v>UnicornDaVincisDice</v>
      </c>
      <c r="G202" s="5" t="str">
        <f>IFERROR(__xludf.DUMMYFUNCTION("""COMPUTED_VALUE"""),"Live")</f>
        <v>Live</v>
      </c>
      <c r="H202" s="5"/>
      <c r="I202" s="5" t="str">
        <f>IFERROR(__xludf.DUMMYFUNCTION("""COMPUTED_VALUE"""),"TipTop")</f>
        <v>TipTop</v>
      </c>
      <c r="J202" s="5" t="str">
        <f>IFERROR(__xludf.DUMMYFUNCTION("""COMPUTED_VALUE"""),"JSON")</f>
        <v>JSON</v>
      </c>
      <c r="K202" s="5" t="str">
        <f>IFERROR(__xludf.DUMMYFUNCTION("""COMPUTED_VALUE"""),"Dice Slots")</f>
        <v>Dice Slots</v>
      </c>
      <c r="L202" s="5"/>
      <c r="M202" s="5"/>
      <c r="N202" s="5"/>
      <c r="O202" s="5"/>
      <c r="P202" s="12">
        <f>IFERROR(__xludf.DUMMYFUNCTION("""COMPUTED_VALUE"""),10.7)</f>
        <v>10.7</v>
      </c>
      <c r="Q202" s="13">
        <f>IFERROR(__xludf.DUMMYFUNCTION("""COMPUTED_VALUE"""),44845.0)</f>
        <v>44845</v>
      </c>
      <c r="R202" s="14"/>
      <c r="S202" s="13">
        <f>IFERROR(__xludf.DUMMYFUNCTION("""COMPUTED_VALUE"""),44845.0)</f>
        <v>44845</v>
      </c>
      <c r="T202" s="5"/>
      <c r="U202" s="5" t="str">
        <f>IFERROR(__xludf.DUMMYFUNCTION("""COMPUTED_VALUE"""),"5X3")</f>
        <v>5X3</v>
      </c>
      <c r="V202" s="10" t="str">
        <f>IFERROR(__xludf.DUMMYFUNCTION("""COMPUTED_VALUE"""),"5")</f>
        <v>5</v>
      </c>
      <c r="W202" s="10" t="str">
        <f>IFERROR(__xludf.DUMMYFUNCTION("""COMPUTED_VALUE"""),"5")</f>
        <v>5</v>
      </c>
      <c r="X202" s="5">
        <f>IFERROR(__xludf.DUMMYFUNCTION("""COMPUTED_VALUE"""),96.0)</f>
        <v>96</v>
      </c>
      <c r="Y202" s="5" t="str">
        <f>IFERROR(__xludf.DUMMYFUNCTION("""COMPUTED_VALUE"""),"Low")</f>
        <v>Low</v>
      </c>
      <c r="Z202" s="5">
        <f>IFERROR(__xludf.DUMMYFUNCTION("""COMPUTED_VALUE"""),10.5)</f>
        <v>10.5</v>
      </c>
      <c r="AA202" s="12">
        <f>IFERROR(__xludf.DUMMYFUNCTION("""COMPUTED_VALUE"""),1000.0)</f>
        <v>1000</v>
      </c>
      <c r="AB202" s="5"/>
      <c r="AC202" s="5"/>
      <c r="AD202" s="5" t="str">
        <f>IFERROR(__xludf.DUMMYFUNCTION("""COMPUTED_VALUE"""),"0.1/100")</f>
        <v>0.1/100</v>
      </c>
      <c r="AE202" s="5"/>
      <c r="AF202" s="5"/>
      <c r="AG202" s="8">
        <f>IFERROR(__xludf.DUMMYFUNCTION("""COMPUTED_VALUE"""),46197.453622685185)</f>
        <v>46197.45362</v>
      </c>
      <c r="AH202" s="5" t="str">
        <f>IFERROR(__xludf.DUMMYFUNCTION("""COMPUTED_VALUE"""),"selena.mihajlovic@fazi.rs")</f>
        <v>selena.mihajlovic@fazi.rs</v>
      </c>
      <c r="AI202" s="5"/>
      <c r="AJ202" s="5"/>
      <c r="AK202" s="5">
        <f>IFERROR(__xludf.DUMMYFUNCTION("""COMPUTED_VALUE"""),5.0)</f>
        <v>5</v>
      </c>
      <c r="AL202" s="5" t="str">
        <f>IFERROR(__xludf.DUMMYFUNCTION("""COMPUTED_VALUE"""),"No")</f>
        <v>No</v>
      </c>
      <c r="AM202" s="5"/>
      <c r="AN202" s="7" t="str">
        <f>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AO202" s="5"/>
      <c r="AP202" s="5"/>
      <c r="AQ202" s="5" t="b">
        <f>IFERROR(__xludf.DUMMYFUNCTION("""COMPUTED_VALUE"""),TRUE)</f>
        <v>1</v>
      </c>
      <c r="AR202" s="5"/>
      <c r="AS202" s="5" t="str">
        <f>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AT202" s="5"/>
      <c r="AU202" s="5" t="str">
        <f>IFERROR(__xludf.DUMMYFUNCTION("""COMPUTED_VALUE"""),"Fazi")</f>
        <v>Fazi</v>
      </c>
      <c r="AV202" s="5"/>
      <c r="AW202" s="5"/>
      <c r="AX202" s="5"/>
      <c r="AY202" s="5"/>
      <c r="AZ202" s="5"/>
      <c r="BA202" s="5"/>
      <c r="BB202" s="5" t="b">
        <f>IFERROR(__xludf.DUMMYFUNCTION("""COMPUTED_VALUE"""),TRUE)</f>
        <v>1</v>
      </c>
      <c r="BC202" s="5" t="str">
        <f>IFERROR(__xludf.DUMMYFUNCTION("""COMPUTED_VALUE"""),"Tiptop")</f>
        <v>Tiptop</v>
      </c>
      <c r="BD202" s="7" t="str">
        <f>IFERROR(__xludf.DUMMYFUNCTION("""COMPUTED_VALUE"""),"https://gameserver-store-client-area.orbionlimited.com/Home/IntegrationGameLaunch/client-area?moneyType=0&amp;gameName=UnicornDaVincisDice&amp;platform=desktop&amp;languageCode=eng&amp;currency=EUR")</f>
        <v>https://gameserver-store-client-area.orbionlimited.com/Home/IntegrationGameLaunch/client-area?moneyType=0&amp;gameName=UnicornDaVincisDice&amp;platform=desktop&amp;languageCode=eng&amp;currency=EUR</v>
      </c>
      <c r="BE202" s="5" t="b">
        <f>IFERROR(__xludf.DUMMYFUNCTION("""COMPUTED_VALUE"""),TRUE)</f>
        <v>1</v>
      </c>
    </row>
    <row r="203">
      <c r="A203" s="5">
        <f>IFERROR(__xludf.DUMMYFUNCTION("""COMPUTED_VALUE"""),203.0)</f>
        <v>203</v>
      </c>
      <c r="B203" s="5">
        <f>IFERROR(__xludf.DUMMYFUNCTION("""COMPUTED_VALUE"""),202.0)</f>
        <v>202</v>
      </c>
      <c r="C203" s="5" t="str">
        <f>IFERROR(__xludf.DUMMYFUNCTION("""COMPUTED_VALUE"""),"Tiptop")</f>
        <v>Tiptop</v>
      </c>
      <c r="D203" s="5" t="str">
        <f>IFERROR(__xludf.DUMMYFUNCTION("""COMPUTED_VALUE"""),"Winter Fruits")</f>
        <v>Winter Fruits</v>
      </c>
      <c r="E203" s="5"/>
      <c r="F203" s="5" t="str">
        <f>IFERROR(__xludf.DUMMYFUNCTION("""COMPUTED_VALUE"""),"UnicornWinterFruits")</f>
        <v>UnicornWinterFruits</v>
      </c>
      <c r="G203" s="5" t="str">
        <f>IFERROR(__xludf.DUMMYFUNCTION("""COMPUTED_VALUE"""),"Live")</f>
        <v>Live</v>
      </c>
      <c r="H203" s="5"/>
      <c r="I203" s="5" t="str">
        <f>IFERROR(__xludf.DUMMYFUNCTION("""COMPUTED_VALUE"""),"TipTop")</f>
        <v>TipTop</v>
      </c>
      <c r="J203" s="5" t="str">
        <f>IFERROR(__xludf.DUMMYFUNCTION("""COMPUTED_VALUE"""),"JSON")</f>
        <v>JSON</v>
      </c>
      <c r="K203" s="5" t="str">
        <f>IFERROR(__xludf.DUMMYFUNCTION("""COMPUTED_VALUE"""),"Slot")</f>
        <v>Slot</v>
      </c>
      <c r="L203" s="5"/>
      <c r="M203" s="5"/>
      <c r="N203" s="5"/>
      <c r="O203" s="5"/>
      <c r="P203" s="12">
        <f>IFERROR(__xludf.DUMMYFUNCTION("""COMPUTED_VALUE"""),12.3)</f>
        <v>12.3</v>
      </c>
      <c r="Q203" s="13">
        <f>IFERROR(__xludf.DUMMYFUNCTION("""COMPUTED_VALUE"""),44873.0)</f>
        <v>44873</v>
      </c>
      <c r="R203" s="14"/>
      <c r="S203" s="13">
        <f>IFERROR(__xludf.DUMMYFUNCTION("""COMPUTED_VALUE"""),44873.0)</f>
        <v>44873</v>
      </c>
      <c r="T203" s="5"/>
      <c r="U203" s="5" t="str">
        <f>IFERROR(__xludf.DUMMYFUNCTION("""COMPUTED_VALUE"""),"5X4")</f>
        <v>5X4</v>
      </c>
      <c r="V203" s="10" t="str">
        <f>IFERROR(__xludf.DUMMYFUNCTION("""COMPUTED_VALUE"""),"40")</f>
        <v>40</v>
      </c>
      <c r="W203" s="10" t="str">
        <f>IFERROR(__xludf.DUMMYFUNCTION("""COMPUTED_VALUE"""),"40")</f>
        <v>40</v>
      </c>
      <c r="X203" s="5">
        <f>IFERROR(__xludf.DUMMYFUNCTION("""COMPUTED_VALUE"""),96.0)</f>
        <v>96</v>
      </c>
      <c r="Y203" s="5" t="str">
        <f>IFERROR(__xludf.DUMMYFUNCTION("""COMPUTED_VALUE"""),"Low")</f>
        <v>Low</v>
      </c>
      <c r="Z203" s="5">
        <f>IFERROR(__xludf.DUMMYFUNCTION("""COMPUTED_VALUE"""),11.91)</f>
        <v>11.91</v>
      </c>
      <c r="AA203" s="12">
        <f>IFERROR(__xludf.DUMMYFUNCTION("""COMPUTED_VALUE"""),1000.0)</f>
        <v>1000</v>
      </c>
      <c r="AB203" s="5"/>
      <c r="AC203" s="5" t="str">
        <f>IFERROR(__xludf.DUMMYFUNCTION("""COMPUTED_VALUE"""),"Wild Symbol, Scatter")</f>
        <v>Wild Symbol, Scatter</v>
      </c>
      <c r="AD203" s="5" t="str">
        <f>IFERROR(__xludf.DUMMYFUNCTION("""COMPUTED_VALUE"""),"0.4/100")</f>
        <v>0.4/100</v>
      </c>
      <c r="AE203" s="5"/>
      <c r="AF203" s="5"/>
      <c r="AG203" s="8">
        <f>IFERROR(__xludf.DUMMYFUNCTION("""COMPUTED_VALUE"""),46197.45391203704)</f>
        <v>46197.45391</v>
      </c>
      <c r="AH203" s="5" t="str">
        <f>IFERROR(__xludf.DUMMYFUNCTION("""COMPUTED_VALUE"""),"selena.mihajlovic@fazi.rs")</f>
        <v>selena.mihajlovic@fazi.rs</v>
      </c>
      <c r="AI203" s="5"/>
      <c r="AJ203" s="5"/>
      <c r="AK203" s="5">
        <f>IFERROR(__xludf.DUMMYFUNCTION("""COMPUTED_VALUE"""),40.0)</f>
        <v>40</v>
      </c>
      <c r="AL203" s="5" t="str">
        <f>IFERROR(__xludf.DUMMYFUNCTION("""COMPUTED_VALUE"""),"No")</f>
        <v>No</v>
      </c>
      <c r="AM203" s="5"/>
      <c r="AN203" s="7" t="str">
        <f>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AO203" s="5"/>
      <c r="AP203" s="5"/>
      <c r="AQ203" s="5" t="b">
        <f>IFERROR(__xludf.DUMMYFUNCTION("""COMPUTED_VALUE"""),TRUE)</f>
        <v>1</v>
      </c>
      <c r="AR203" s="5"/>
      <c r="AS203" s="5" t="str">
        <f>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AT203" s="5"/>
      <c r="AU203" s="5" t="str">
        <f>IFERROR(__xludf.DUMMYFUNCTION("""COMPUTED_VALUE"""),"Fazi")</f>
        <v>Fazi</v>
      </c>
      <c r="AV203" s="5"/>
      <c r="AW203" s="5"/>
      <c r="AX203" s="5"/>
      <c r="AY203" s="5"/>
      <c r="AZ203" s="5"/>
      <c r="BA203" s="5"/>
      <c r="BB203" s="5" t="b">
        <f>IFERROR(__xludf.DUMMYFUNCTION("""COMPUTED_VALUE"""),TRUE)</f>
        <v>1</v>
      </c>
      <c r="BC203" s="5" t="str">
        <f>IFERROR(__xludf.DUMMYFUNCTION("""COMPUTED_VALUE"""),"Tiptop")</f>
        <v>Tiptop</v>
      </c>
      <c r="BD203" s="7" t="str">
        <f>IFERROR(__xludf.DUMMYFUNCTION("""COMPUTED_VALUE"""),"https://gameserver-store-client-area.orbionlimited.com/Home/IntegrationGameLaunch/client-area?moneyType=0&amp;gameName=UnicornWinterFruits&amp;platform=desktop&amp;languageCode=eng&amp;currency=EUR")</f>
        <v>https://gameserver-store-client-area.orbionlimited.com/Home/IntegrationGameLaunch/client-area?moneyType=0&amp;gameName=UnicornWinterFruits&amp;platform=desktop&amp;languageCode=eng&amp;currency=EUR</v>
      </c>
      <c r="BE203" s="5" t="b">
        <f>IFERROR(__xludf.DUMMYFUNCTION("""COMPUTED_VALUE"""),TRUE)</f>
        <v>1</v>
      </c>
    </row>
    <row r="204">
      <c r="A204" s="5">
        <f>IFERROR(__xludf.DUMMYFUNCTION("""COMPUTED_VALUE"""),204.0)</f>
        <v>204</v>
      </c>
      <c r="B204" s="5">
        <f>IFERROR(__xludf.DUMMYFUNCTION("""COMPUTED_VALUE"""),203.0)</f>
        <v>203</v>
      </c>
      <c r="C204" s="5" t="str">
        <f>IFERROR(__xludf.DUMMYFUNCTION("""COMPUTED_VALUE"""),"Fazi")</f>
        <v>Fazi</v>
      </c>
      <c r="D204" s="5" t="str">
        <f>IFERROR(__xludf.DUMMYFUNCTION("""COMPUTED_VALUE"""),"Crystal Hot 40 Christmas")</f>
        <v>Crystal Hot 40 Christmas</v>
      </c>
      <c r="E204" s="5" t="str">
        <f>IFERROR(__xludf.DUMMYFUNCTION("""COMPUTED_VALUE"""),"V2")</f>
        <v>V2</v>
      </c>
      <c r="F204" s="5" t="str">
        <f>IFERROR(__xludf.DUMMYFUNCTION("""COMPUTED_VALUE"""),"CrystalHot40Christmas")</f>
        <v>CrystalHot40Christmas</v>
      </c>
      <c r="G204" s="5" t="str">
        <f>IFERROR(__xludf.DUMMYFUNCTION("""COMPUTED_VALUE"""),"Live")</f>
        <v>Live</v>
      </c>
      <c r="H204" s="5"/>
      <c r="I204" s="5" t="str">
        <f>IFERROR(__xludf.DUMMYFUNCTION("""COMPUTED_VALUE"""),"V2")</f>
        <v>V2</v>
      </c>
      <c r="J204" s="5" t="str">
        <f>IFERROR(__xludf.DUMMYFUNCTION("""COMPUTED_VALUE"""),"Binary")</f>
        <v>Binary</v>
      </c>
      <c r="K204" s="5" t="str">
        <f>IFERROR(__xludf.DUMMYFUNCTION("""COMPUTED_VALUE"""),"Slot")</f>
        <v>Slot</v>
      </c>
      <c r="L204" s="5" t="str">
        <f>IFERROR(__xludf.DUMMYFUNCTION("""COMPUTED_VALUE"""),"Clone")</f>
        <v>Clone</v>
      </c>
      <c r="M204" s="5" t="str">
        <f>IFERROR(__xludf.DUMMYFUNCTION("""COMPUTED_VALUE"""),"Turbo Hot 40")</f>
        <v>Turbo Hot 40</v>
      </c>
      <c r="N204" s="5"/>
      <c r="O204" s="5"/>
      <c r="P204" s="12"/>
      <c r="Q204" s="13">
        <f>IFERROR(__xludf.DUMMYFUNCTION("""COMPUTED_VALUE"""),43831.0)</f>
        <v>43831</v>
      </c>
      <c r="R204" s="14"/>
      <c r="S204" s="13">
        <f>IFERROR(__xludf.DUMMYFUNCTION("""COMPUTED_VALUE"""),43831.0)</f>
        <v>43831</v>
      </c>
      <c r="T204" s="5"/>
      <c r="U204" s="5" t="str">
        <f>IFERROR(__xludf.DUMMYFUNCTION("""COMPUTED_VALUE"""),"5x4")</f>
        <v>5x4</v>
      </c>
      <c r="V204" s="10" t="str">
        <f>IFERROR(__xludf.DUMMYFUNCTION("""COMPUTED_VALUE"""),"40")</f>
        <v>40</v>
      </c>
      <c r="W204" s="10" t="str">
        <f>IFERROR(__xludf.DUMMYFUNCTION("""COMPUTED_VALUE"""),"40")</f>
        <v>40</v>
      </c>
      <c r="X204" s="5">
        <f>IFERROR(__xludf.DUMMYFUNCTION("""COMPUTED_VALUE"""),96.584)</f>
        <v>96.584</v>
      </c>
      <c r="Y204" s="5" t="str">
        <f>IFERROR(__xludf.DUMMYFUNCTION("""COMPUTED_VALUE"""),"Low")</f>
        <v>Low</v>
      </c>
      <c r="Z204" s="5">
        <f>IFERROR(__xludf.DUMMYFUNCTION("""COMPUTED_VALUE"""),16.73)</f>
        <v>16.73</v>
      </c>
      <c r="AA204" s="12">
        <f>IFERROR(__xludf.DUMMYFUNCTION("""COMPUTED_VALUE"""),1000.0)</f>
        <v>1000</v>
      </c>
      <c r="AB204" s="5" t="str">
        <f>IFERROR(__xludf.DUMMYFUNCTION("""COMPUTED_VALUE"""),"/")</f>
        <v>/</v>
      </c>
      <c r="AC204" s="5" t="str">
        <f>IFERROR(__xludf.DUMMYFUNCTION("""COMPUTED_VALUE"""),"Scatter, Wild Symbol")</f>
        <v>Scatter, Wild Symbol</v>
      </c>
      <c r="AD204" s="5"/>
      <c r="AE204" s="5"/>
      <c r="AF204" s="5"/>
      <c r="AG204" s="5"/>
      <c r="AH204" s="5"/>
      <c r="AI204" s="5"/>
      <c r="AJ204" s="5"/>
      <c r="AK204" s="5">
        <f>IFERROR(__xludf.DUMMYFUNCTION("""COMPUTED_VALUE"""),40.0)</f>
        <v>40</v>
      </c>
      <c r="AL204" s="5"/>
      <c r="AM204" s="5"/>
      <c r="AN204" s="5"/>
      <c r="AO204" s="5"/>
      <c r="AP204" s="5"/>
      <c r="AQ204" s="5"/>
      <c r="AR204" s="5"/>
      <c r="AS204" s="5"/>
      <c r="AT204" s="5"/>
      <c r="AU204" s="5" t="str">
        <f>IFERROR(__xludf.DUMMYFUNCTION("""COMPUTED_VALUE"""),"Fazi")</f>
        <v>Fazi</v>
      </c>
      <c r="AV204" s="5"/>
      <c r="AW204" s="5"/>
      <c r="AX204" s="5"/>
      <c r="AY204" s="5"/>
      <c r="AZ204" s="5"/>
      <c r="BA204" s="5" t="str">
        <f>IFERROR(__xludf.DUMMYFUNCTION("""COMPUTED_VALUE"""),"")</f>
        <v/>
      </c>
      <c r="BB204" s="5"/>
      <c r="BC204" s="5" t="str">
        <f>IFERROR(__xludf.DUMMYFUNCTION("""COMPUTED_VALUE"""),"Foxi")</f>
        <v>Foxi</v>
      </c>
      <c r="BD204" s="5" t="str">
        <f>IFERROR(__xludf.DUMMYFUNCTION("""COMPUTED_VALUE"""),"")</f>
        <v/>
      </c>
      <c r="BE204" s="5"/>
    </row>
    <row r="205">
      <c r="A205" s="5">
        <f>IFERROR(__xludf.DUMMYFUNCTION("""COMPUTED_VALUE"""),205.0)</f>
        <v>205</v>
      </c>
      <c r="B205" s="5">
        <f>IFERROR(__xludf.DUMMYFUNCTION("""COMPUTED_VALUE"""),204.0)</f>
        <v>204</v>
      </c>
      <c r="C205" s="5" t="str">
        <f>IFERROR(__xludf.DUMMYFUNCTION("""COMPUTED_VALUE"""),"Fazi")</f>
        <v>Fazi</v>
      </c>
      <c r="D205" s="5" t="str">
        <f>IFERROR(__xludf.DUMMYFUNCTION("""COMPUTED_VALUE"""),"Fruits And Stars Christmas")</f>
        <v>Fruits And Stars Christmas</v>
      </c>
      <c r="E205" s="5" t="str">
        <f>IFERROR(__xludf.DUMMYFUNCTION("""COMPUTED_VALUE"""),"V2")</f>
        <v>V2</v>
      </c>
      <c r="F205" s="5" t="str">
        <f>IFERROR(__xludf.DUMMYFUNCTION("""COMPUTED_VALUE"""),"FruitsAndStarsChristmas")</f>
        <v>FruitsAndStarsChristmas</v>
      </c>
      <c r="G205" s="5" t="str">
        <f>IFERROR(__xludf.DUMMYFUNCTION("""COMPUTED_VALUE"""),"Live")</f>
        <v>Live</v>
      </c>
      <c r="H205" s="5"/>
      <c r="I205" s="5" t="str">
        <f>IFERROR(__xludf.DUMMYFUNCTION("""COMPUTED_VALUE"""),"V2")</f>
        <v>V2</v>
      </c>
      <c r="J205" s="5" t="str">
        <f>IFERROR(__xludf.DUMMYFUNCTION("""COMPUTED_VALUE"""),"JSON")</f>
        <v>JSON</v>
      </c>
      <c r="K205" s="5" t="str">
        <f>IFERROR(__xludf.DUMMYFUNCTION("""COMPUTED_VALUE"""),"Slot")</f>
        <v>Slot</v>
      </c>
      <c r="L205" s="5" t="str">
        <f>IFERROR(__xludf.DUMMYFUNCTION("""COMPUTED_VALUE"""),"Clone")</f>
        <v>Clone</v>
      </c>
      <c r="M205" s="5" t="str">
        <f>IFERROR(__xludf.DUMMYFUNCTION("""COMPUTED_VALUE"""),"Fruits and Stars")</f>
        <v>Fruits and Stars</v>
      </c>
      <c r="N205" s="5"/>
      <c r="O205" s="5"/>
      <c r="P205" s="12"/>
      <c r="Q205" s="13">
        <f>IFERROR(__xludf.DUMMYFUNCTION("""COMPUTED_VALUE"""),43831.0)</f>
        <v>43831</v>
      </c>
      <c r="R205" s="14"/>
      <c r="S205" s="13">
        <f>IFERROR(__xludf.DUMMYFUNCTION("""COMPUTED_VALUE"""),43831.0)</f>
        <v>43831</v>
      </c>
      <c r="T205" s="5"/>
      <c r="U205" s="5" t="str">
        <f>IFERROR(__xludf.DUMMYFUNCTION("""COMPUTED_VALUE"""),"5x3")</f>
        <v>5x3</v>
      </c>
      <c r="V205" s="10" t="str">
        <f>IFERROR(__xludf.DUMMYFUNCTION("""COMPUTED_VALUE"""),"20")</f>
        <v>20</v>
      </c>
      <c r="W205" s="10" t="str">
        <f>IFERROR(__xludf.DUMMYFUNCTION("""COMPUTED_VALUE"""),"1,3,5,7,10,20")</f>
        <v>1,3,5,7,10,20</v>
      </c>
      <c r="X205" s="5">
        <f>IFERROR(__xludf.DUMMYFUNCTION("""COMPUTED_VALUE"""),95.79)</f>
        <v>95.79</v>
      </c>
      <c r="Y205" s="5" t="str">
        <f>IFERROR(__xludf.DUMMYFUNCTION("""COMPUTED_VALUE"""),"Low")</f>
        <v>Low</v>
      </c>
      <c r="Z205" s="5">
        <f>IFERROR(__xludf.DUMMYFUNCTION("""COMPUTED_VALUE"""),17.45)</f>
        <v>17.45</v>
      </c>
      <c r="AA205" s="12">
        <f>IFERROR(__xludf.DUMMYFUNCTION("""COMPUTED_VALUE"""),1000.0)</f>
        <v>1000</v>
      </c>
      <c r="AB205" s="5" t="str">
        <f>IFERROR(__xludf.DUMMYFUNCTION("""COMPUTED_VALUE"""),"/")</f>
        <v>/</v>
      </c>
      <c r="AC205" s="5" t="str">
        <f>IFERROR(__xludf.DUMMYFUNCTION("""COMPUTED_VALUE"""),"Wild Symbol, Scatter")</f>
        <v>Wild Symbol, Scatter</v>
      </c>
      <c r="AD205" s="5"/>
      <c r="AE205" s="5"/>
      <c r="AF205" s="5"/>
      <c r="AG205" s="8">
        <f>IFERROR(__xludf.DUMMYFUNCTION("""COMPUTED_VALUE"""),46101.616574074076)</f>
        <v>46101.61657</v>
      </c>
      <c r="AH205" s="5" t="str">
        <f>IFERROR(__xludf.DUMMYFUNCTION("""COMPUTED_VALUE"""),"milutin.toskic@fazi.rs")</f>
        <v>milutin.toskic@fazi.rs</v>
      </c>
      <c r="AI205" s="5"/>
      <c r="AJ205" s="5"/>
      <c r="AK205" s="5">
        <f>IFERROR(__xludf.DUMMYFUNCTION("""COMPUTED_VALUE"""),20.0)</f>
        <v>20</v>
      </c>
      <c r="AL205" s="5" t="str">
        <f>IFERROR(__xludf.DUMMYFUNCTION("""COMPUTED_VALUE"""),"Yes")</f>
        <v>Yes</v>
      </c>
      <c r="AM205" s="5"/>
      <c r="AN205" s="5"/>
      <c r="AO205" s="5" t="str">
        <f>IFERROR(__xludf.DUMMYFUNCTION("""COMPUTED_VALUE"""),"Yes")</f>
        <v>Yes</v>
      </c>
      <c r="AP205" s="5" t="str">
        <f>IFERROR(__xludf.DUMMYFUNCTION("""COMPUTED_VALUE"""),"Yes")</f>
        <v>Yes</v>
      </c>
      <c r="AQ205" s="5"/>
      <c r="AR205" s="5"/>
      <c r="AS205" s="5"/>
      <c r="AT205" s="5" t="str">
        <f>IFERROR(__xludf.DUMMYFUNCTION("""COMPUTED_VALUE"""),"No")</f>
        <v>No</v>
      </c>
      <c r="AU205" s="5" t="str">
        <f>IFERROR(__xludf.DUMMYFUNCTION("""COMPUTED_VALUE"""),"Fazi")</f>
        <v>Fazi</v>
      </c>
      <c r="AV205" s="5"/>
      <c r="AW205" s="5"/>
      <c r="AX205" s="5"/>
      <c r="AY205" s="5" t="str">
        <f>IFERROR(__xludf.DUMMYFUNCTION("""COMPUTED_VALUE"""),"87.5%, 89.5%, 91.5%, 93.5%, 94.5%, 95.5%, 96.5%")</f>
        <v>87.5%, 89.5%, 91.5%, 93.5%, 94.5%, 95.5%, 96.5%</v>
      </c>
      <c r="AZ205" s="5"/>
      <c r="BA205" s="5" t="str">
        <f>IFERROR(__xludf.DUMMYFUNCTION("""COMPUTED_VALUE"""),"")</f>
        <v/>
      </c>
      <c r="BB205" s="5"/>
      <c r="BC205" s="5" t="str">
        <f>IFERROR(__xludf.DUMMYFUNCTION("""COMPUTED_VALUE"""),"Foxi")</f>
        <v>Foxi</v>
      </c>
      <c r="BD205" s="5" t="str">
        <f>IFERROR(__xludf.DUMMYFUNCTION("""COMPUTED_VALUE"""),"")</f>
        <v/>
      </c>
      <c r="BE205" s="5"/>
    </row>
    <row r="206">
      <c r="A206" s="5">
        <f>IFERROR(__xludf.DUMMYFUNCTION("""COMPUTED_VALUE"""),206.0)</f>
        <v>206</v>
      </c>
      <c r="B206" s="5">
        <f>IFERROR(__xludf.DUMMYFUNCTION("""COMPUTED_VALUE"""),205.0)</f>
        <v>205</v>
      </c>
      <c r="C206" s="5" t="str">
        <f>IFERROR(__xludf.DUMMYFUNCTION("""COMPUTED_VALUE"""),"Fazi")</f>
        <v>Fazi</v>
      </c>
      <c r="D206" s="5" t="str">
        <f>IFERROR(__xludf.DUMMYFUNCTION("""COMPUTED_VALUE"""),"Hot Stars Christmas")</f>
        <v>Hot Stars Christmas</v>
      </c>
      <c r="E206" s="5" t="str">
        <f>IFERROR(__xludf.DUMMYFUNCTION("""COMPUTED_VALUE"""),"V2")</f>
        <v>V2</v>
      </c>
      <c r="F206" s="5" t="str">
        <f>IFERROR(__xludf.DUMMYFUNCTION("""COMPUTED_VALUE"""),"HotStarsChristmas")</f>
        <v>HotStarsChristmas</v>
      </c>
      <c r="G206" s="5" t="str">
        <f>IFERROR(__xludf.DUMMYFUNCTION("""COMPUTED_VALUE"""),"Live")</f>
        <v>Live</v>
      </c>
      <c r="H206" s="5"/>
      <c r="I206" s="5" t="str">
        <f>IFERROR(__xludf.DUMMYFUNCTION("""COMPUTED_VALUE"""),"V2")</f>
        <v>V2</v>
      </c>
      <c r="J206" s="5" t="str">
        <f>IFERROR(__xludf.DUMMYFUNCTION("""COMPUTED_VALUE"""),"Binary")</f>
        <v>Binary</v>
      </c>
      <c r="K206" s="5" t="str">
        <f>IFERROR(__xludf.DUMMYFUNCTION("""COMPUTED_VALUE"""),"Slot")</f>
        <v>Slot</v>
      </c>
      <c r="L206" s="5" t="str">
        <f>IFERROR(__xludf.DUMMYFUNCTION("""COMPUTED_VALUE"""),"Clone")</f>
        <v>Clone</v>
      </c>
      <c r="M206" s="5" t="str">
        <f>IFERROR(__xludf.DUMMYFUNCTION("""COMPUTED_VALUE"""),"Hot Stars")</f>
        <v>Hot Stars</v>
      </c>
      <c r="N206" s="5"/>
      <c r="O206" s="5"/>
      <c r="P206" s="12"/>
      <c r="Q206" s="13">
        <f>IFERROR(__xludf.DUMMYFUNCTION("""COMPUTED_VALUE"""),43831.0)</f>
        <v>43831</v>
      </c>
      <c r="R206" s="14"/>
      <c r="S206" s="13">
        <f>IFERROR(__xludf.DUMMYFUNCTION("""COMPUTED_VALUE"""),43831.0)</f>
        <v>43831</v>
      </c>
      <c r="T206" s="5"/>
      <c r="U206" s="5" t="str">
        <f>IFERROR(__xludf.DUMMYFUNCTION("""COMPUTED_VALUE"""),"5x3")</f>
        <v>5x3</v>
      </c>
      <c r="V206" s="10" t="str">
        <f>IFERROR(__xludf.DUMMYFUNCTION("""COMPUTED_VALUE"""),"10")</f>
        <v>10</v>
      </c>
      <c r="W206" s="10" t="str">
        <f>IFERROR(__xludf.DUMMYFUNCTION("""COMPUTED_VALUE"""),"1,3,5,7,10")</f>
        <v>1,3,5,7,10</v>
      </c>
      <c r="X206" s="5">
        <f>IFERROR(__xludf.DUMMYFUNCTION("""COMPUTED_VALUE"""),95.544)</f>
        <v>95.544</v>
      </c>
      <c r="Y206" s="5" t="str">
        <f>IFERROR(__xludf.DUMMYFUNCTION("""COMPUTED_VALUE"""),"Medium")</f>
        <v>Medium</v>
      </c>
      <c r="Z206" s="5">
        <f>IFERROR(__xludf.DUMMYFUNCTION("""COMPUTED_VALUE"""),13.020000000000001)</f>
        <v>13.02</v>
      </c>
      <c r="AA206" s="12">
        <f>IFERROR(__xludf.DUMMYFUNCTION("""COMPUTED_VALUE"""),1611.0)</f>
        <v>1611</v>
      </c>
      <c r="AB206" s="5">
        <f>IFERROR(__xludf.DUMMYFUNCTION("""COMPUTED_VALUE"""),18.0)</f>
        <v>18</v>
      </c>
      <c r="AC206" s="5" t="str">
        <f>IFERROR(__xludf.DUMMYFUNCTION("""COMPUTED_VALUE"""),"Expanding Wild, Respin, Bothways")</f>
        <v>Expanding Wild, Respin, Bothways</v>
      </c>
      <c r="AD206" s="5"/>
      <c r="AE206" s="5"/>
      <c r="AF206" s="5"/>
      <c r="AG206" s="5"/>
      <c r="AH206" s="5"/>
      <c r="AI206" s="5"/>
      <c r="AJ206" s="5"/>
      <c r="AK206" s="5">
        <f>IFERROR(__xludf.DUMMYFUNCTION("""COMPUTED_VALUE"""),10.0)</f>
        <v>10</v>
      </c>
      <c r="AL206" s="5"/>
      <c r="AM206" s="5"/>
      <c r="AN206" s="5"/>
      <c r="AO206" s="5"/>
      <c r="AP206" s="5"/>
      <c r="AQ206" s="5"/>
      <c r="AR206" s="5"/>
      <c r="AS206" s="5"/>
      <c r="AT206" s="5"/>
      <c r="AU206" s="5" t="str">
        <f>IFERROR(__xludf.DUMMYFUNCTION("""COMPUTED_VALUE"""),"Fazi")</f>
        <v>Fazi</v>
      </c>
      <c r="AV206" s="5"/>
      <c r="AW206" s="5"/>
      <c r="AX206" s="5"/>
      <c r="AY206" s="5"/>
      <c r="AZ206" s="5"/>
      <c r="BA206" s="5" t="str">
        <f>IFERROR(__xludf.DUMMYFUNCTION("""COMPUTED_VALUE"""),"")</f>
        <v/>
      </c>
      <c r="BB206" s="5"/>
      <c r="BC206" s="5" t="str">
        <f>IFERROR(__xludf.DUMMYFUNCTION("""COMPUTED_VALUE"""),"Foxi")</f>
        <v>Foxi</v>
      </c>
      <c r="BD206" s="5" t="str">
        <f>IFERROR(__xludf.DUMMYFUNCTION("""COMPUTED_VALUE"""),"")</f>
        <v/>
      </c>
      <c r="BE206" s="5"/>
    </row>
    <row r="207">
      <c r="A207" s="5">
        <f>IFERROR(__xludf.DUMMYFUNCTION("""COMPUTED_VALUE"""),207.0)</f>
        <v>207</v>
      </c>
      <c r="B207" s="5">
        <f>IFERROR(__xludf.DUMMYFUNCTION("""COMPUTED_VALUE"""),206.0)</f>
        <v>206</v>
      </c>
      <c r="C207" s="5" t="str">
        <f>IFERROR(__xludf.DUMMYFUNCTION("""COMPUTED_VALUE"""),"Fazi")</f>
        <v>Fazi</v>
      </c>
      <c r="D207" s="5" t="str">
        <f>IFERROR(__xludf.DUMMYFUNCTION("""COMPUTED_VALUE"""),"Turbo Hot 40 Christmas")</f>
        <v>Turbo Hot 40 Christmas</v>
      </c>
      <c r="E207" s="5" t="str">
        <f>IFERROR(__xludf.DUMMYFUNCTION("""COMPUTED_VALUE"""),"V2")</f>
        <v>V2</v>
      </c>
      <c r="F207" s="5" t="str">
        <f>IFERROR(__xludf.DUMMYFUNCTION("""COMPUTED_VALUE"""),"TurboHot40Christmas")</f>
        <v>TurboHot40Christmas</v>
      </c>
      <c r="G207" s="5" t="str">
        <f>IFERROR(__xludf.DUMMYFUNCTION("""COMPUTED_VALUE"""),"Live")</f>
        <v>Live</v>
      </c>
      <c r="H207" s="5"/>
      <c r="I207" s="5" t="str">
        <f>IFERROR(__xludf.DUMMYFUNCTION("""COMPUTED_VALUE"""),"V2")</f>
        <v>V2</v>
      </c>
      <c r="J207" s="5" t="str">
        <f>IFERROR(__xludf.DUMMYFUNCTION("""COMPUTED_VALUE"""),"Binary")</f>
        <v>Binary</v>
      </c>
      <c r="K207" s="5" t="str">
        <f>IFERROR(__xludf.DUMMYFUNCTION("""COMPUTED_VALUE"""),"Slot")</f>
        <v>Slot</v>
      </c>
      <c r="L207" s="5" t="str">
        <f>IFERROR(__xludf.DUMMYFUNCTION("""COMPUTED_VALUE"""),"Clone")</f>
        <v>Clone</v>
      </c>
      <c r="M207" s="5" t="str">
        <f>IFERROR(__xludf.DUMMYFUNCTION("""COMPUTED_VALUE"""),"Turbo Hot 40")</f>
        <v>Turbo Hot 40</v>
      </c>
      <c r="N207" s="5"/>
      <c r="O207" s="5"/>
      <c r="P207" s="12"/>
      <c r="Q207" s="13">
        <f>IFERROR(__xludf.DUMMYFUNCTION("""COMPUTED_VALUE"""),43831.0)</f>
        <v>43831</v>
      </c>
      <c r="R207" s="14"/>
      <c r="S207" s="13">
        <f>IFERROR(__xludf.DUMMYFUNCTION("""COMPUTED_VALUE"""),43831.0)</f>
        <v>43831</v>
      </c>
      <c r="T207" s="5"/>
      <c r="U207" s="5" t="str">
        <f>IFERROR(__xludf.DUMMYFUNCTION("""COMPUTED_VALUE"""),"5x4")</f>
        <v>5x4</v>
      </c>
      <c r="V207" s="10" t="str">
        <f>IFERROR(__xludf.DUMMYFUNCTION("""COMPUTED_VALUE"""),"40")</f>
        <v>40</v>
      </c>
      <c r="W207" s="10" t="str">
        <f>IFERROR(__xludf.DUMMYFUNCTION("""COMPUTED_VALUE"""),"40")</f>
        <v>40</v>
      </c>
      <c r="X207" s="5">
        <f>IFERROR(__xludf.DUMMYFUNCTION("""COMPUTED_VALUE"""),96.584)</f>
        <v>96.584</v>
      </c>
      <c r="Y207" s="5" t="str">
        <f>IFERROR(__xludf.DUMMYFUNCTION("""COMPUTED_VALUE"""),"Low")</f>
        <v>Low</v>
      </c>
      <c r="Z207" s="5">
        <f>IFERROR(__xludf.DUMMYFUNCTION("""COMPUTED_VALUE"""),16.73)</f>
        <v>16.73</v>
      </c>
      <c r="AA207" s="12">
        <f>IFERROR(__xludf.DUMMYFUNCTION("""COMPUTED_VALUE"""),1000.0)</f>
        <v>1000</v>
      </c>
      <c r="AB207" s="5" t="str">
        <f>IFERROR(__xludf.DUMMYFUNCTION("""COMPUTED_VALUE"""),"/")</f>
        <v>/</v>
      </c>
      <c r="AC207" s="5" t="str">
        <f>IFERROR(__xludf.DUMMYFUNCTION("""COMPUTED_VALUE"""),"Wild Symbol, Scatter")</f>
        <v>Wild Symbol, Scatter</v>
      </c>
      <c r="AD207" s="5"/>
      <c r="AE207" s="5"/>
      <c r="AF207" s="5"/>
      <c r="AG207" s="5"/>
      <c r="AH207" s="5"/>
      <c r="AI207" s="5"/>
      <c r="AJ207" s="5"/>
      <c r="AK207" s="5">
        <f>IFERROR(__xludf.DUMMYFUNCTION("""COMPUTED_VALUE"""),40.0)</f>
        <v>40</v>
      </c>
      <c r="AL207" s="5"/>
      <c r="AM207" s="5"/>
      <c r="AN207" s="5"/>
      <c r="AO207" s="5"/>
      <c r="AP207" s="5"/>
      <c r="AQ207" s="5"/>
      <c r="AR207" s="5"/>
      <c r="AS207" s="5"/>
      <c r="AT207" s="5"/>
      <c r="AU207" s="5" t="str">
        <f>IFERROR(__xludf.DUMMYFUNCTION("""COMPUTED_VALUE"""),"Fazi")</f>
        <v>Fazi</v>
      </c>
      <c r="AV207" s="5"/>
      <c r="AW207" s="5"/>
      <c r="AX207" s="5"/>
      <c r="AY207" s="5"/>
      <c r="AZ207" s="5"/>
      <c r="BA207" s="5" t="str">
        <f>IFERROR(__xludf.DUMMYFUNCTION("""COMPUTED_VALUE"""),"")</f>
        <v/>
      </c>
      <c r="BB207" s="5"/>
      <c r="BC207" s="5" t="str">
        <f>IFERROR(__xludf.DUMMYFUNCTION("""COMPUTED_VALUE"""),"Foxi")</f>
        <v>Foxi</v>
      </c>
      <c r="BD207" s="5" t="str">
        <f>IFERROR(__xludf.DUMMYFUNCTION("""COMPUTED_VALUE"""),"")</f>
        <v/>
      </c>
      <c r="BE207" s="5"/>
    </row>
    <row r="208">
      <c r="A208" s="5">
        <f>IFERROR(__xludf.DUMMYFUNCTION("""COMPUTED_VALUE"""),208.0)</f>
        <v>208</v>
      </c>
      <c r="B208" s="5">
        <f>IFERROR(__xludf.DUMMYFUNCTION("""COMPUTED_VALUE"""),207.0)</f>
        <v>207</v>
      </c>
      <c r="C208" s="5" t="str">
        <f>IFERROR(__xludf.DUMMYFUNCTION("""COMPUTED_VALUE"""),"Fazi")</f>
        <v>Fazi</v>
      </c>
      <c r="D208" s="5" t="str">
        <f>IFERROR(__xludf.DUMMYFUNCTION("""COMPUTED_VALUE"""),"Retro 7 Hot Christmas")</f>
        <v>Retro 7 Hot Christmas</v>
      </c>
      <c r="E208" s="5" t="str">
        <f>IFERROR(__xludf.DUMMYFUNCTION("""COMPUTED_VALUE"""),"V2")</f>
        <v>V2</v>
      </c>
      <c r="F208" s="5" t="str">
        <f>IFERROR(__xludf.DUMMYFUNCTION("""COMPUTED_VALUE"""),"Retro7HotChristmas")</f>
        <v>Retro7HotChristmas</v>
      </c>
      <c r="G208" s="5" t="str">
        <f>IFERROR(__xludf.DUMMYFUNCTION("""COMPUTED_VALUE"""),"Live")</f>
        <v>Live</v>
      </c>
      <c r="H208" s="5"/>
      <c r="I208" s="5" t="str">
        <f>IFERROR(__xludf.DUMMYFUNCTION("""COMPUTED_VALUE"""),"V2")</f>
        <v>V2</v>
      </c>
      <c r="J208" s="5" t="str">
        <f>IFERROR(__xludf.DUMMYFUNCTION("""COMPUTED_VALUE"""),"Binary")</f>
        <v>Binary</v>
      </c>
      <c r="K208" s="5" t="str">
        <f>IFERROR(__xludf.DUMMYFUNCTION("""COMPUTED_VALUE"""),"Slot")</f>
        <v>Slot</v>
      </c>
      <c r="L208" s="5" t="str">
        <f>IFERROR(__xludf.DUMMYFUNCTION("""COMPUTED_VALUE"""),"Clone")</f>
        <v>Clone</v>
      </c>
      <c r="M208" s="5" t="str">
        <f>IFERROR(__xludf.DUMMYFUNCTION("""COMPUTED_VALUE"""),"Retro 7 Hot Christmas")</f>
        <v>Retro 7 Hot Christmas</v>
      </c>
      <c r="N208" s="5"/>
      <c r="O208" s="5"/>
      <c r="P208" s="12"/>
      <c r="Q208" s="13">
        <f>IFERROR(__xludf.DUMMYFUNCTION("""COMPUTED_VALUE"""),43831.0)</f>
        <v>43831</v>
      </c>
      <c r="R208" s="14"/>
      <c r="S208" s="13">
        <f>IFERROR(__xludf.DUMMYFUNCTION("""COMPUTED_VALUE"""),43831.0)</f>
        <v>43831</v>
      </c>
      <c r="T208" s="5"/>
      <c r="U208" s="5" t="str">
        <f>IFERROR(__xludf.DUMMYFUNCTION("""COMPUTED_VALUE"""),"3x3")</f>
        <v>3x3</v>
      </c>
      <c r="V208" s="10" t="str">
        <f>IFERROR(__xludf.DUMMYFUNCTION("""COMPUTED_VALUE"""),"5")</f>
        <v>5</v>
      </c>
      <c r="W208" s="10" t="str">
        <f>IFERROR(__xludf.DUMMYFUNCTION("""COMPUTED_VALUE"""),"5")</f>
        <v>5</v>
      </c>
      <c r="X208" s="5">
        <f>IFERROR(__xludf.DUMMYFUNCTION("""COMPUTED_VALUE"""),95.513)</f>
        <v>95.513</v>
      </c>
      <c r="Y208" s="5" t="str">
        <f>IFERROR(__xludf.DUMMYFUNCTION("""COMPUTED_VALUE"""),"Low")</f>
        <v>Low</v>
      </c>
      <c r="Z208" s="5">
        <f>IFERROR(__xludf.DUMMYFUNCTION("""COMPUTED_VALUE"""),6.510000000000001)</f>
        <v>6.51</v>
      </c>
      <c r="AA208" s="12">
        <f>IFERROR(__xludf.DUMMYFUNCTION("""COMPUTED_VALUE"""),60.0)</f>
        <v>60</v>
      </c>
      <c r="AB208" s="5" t="str">
        <f>IFERROR(__xludf.DUMMYFUNCTION("""COMPUTED_VALUE"""),"/")</f>
        <v>/</v>
      </c>
      <c r="AC208" s="5"/>
      <c r="AD208" s="5"/>
      <c r="AE208" s="5"/>
      <c r="AF208" s="5"/>
      <c r="AG208" s="5"/>
      <c r="AH208" s="5"/>
      <c r="AI208" s="5"/>
      <c r="AJ208" s="5"/>
      <c r="AK208" s="5">
        <f>IFERROR(__xludf.DUMMYFUNCTION("""COMPUTED_VALUE"""),5.0)</f>
        <v>5</v>
      </c>
      <c r="AL208" s="5"/>
      <c r="AM208" s="5"/>
      <c r="AN208" s="5"/>
      <c r="AO208" s="5"/>
      <c r="AP208" s="5"/>
      <c r="AQ208" s="5"/>
      <c r="AR208" s="5"/>
      <c r="AS208" s="5"/>
      <c r="AT208" s="5"/>
      <c r="AU208" s="5" t="str">
        <f>IFERROR(__xludf.DUMMYFUNCTION("""COMPUTED_VALUE"""),"Fazi")</f>
        <v>Fazi</v>
      </c>
      <c r="AV208" s="5"/>
      <c r="AW208" s="5"/>
      <c r="AX208" s="5"/>
      <c r="AY208" s="5"/>
      <c r="AZ208" s="5"/>
      <c r="BA208" s="5" t="str">
        <f>IFERROR(__xludf.DUMMYFUNCTION("""COMPUTED_VALUE"""),"")</f>
        <v/>
      </c>
      <c r="BB208" s="5"/>
      <c r="BC208" s="5" t="str">
        <f>IFERROR(__xludf.DUMMYFUNCTION("""COMPUTED_VALUE"""),"Foxi")</f>
        <v>Foxi</v>
      </c>
      <c r="BD208" s="5" t="str">
        <f>IFERROR(__xludf.DUMMYFUNCTION("""COMPUTED_VALUE"""),"")</f>
        <v/>
      </c>
      <c r="BE208" s="5"/>
    </row>
    <row r="209">
      <c r="A209" s="5">
        <f>IFERROR(__xludf.DUMMYFUNCTION("""COMPUTED_VALUE"""),209.0)</f>
        <v>209</v>
      </c>
      <c r="B209" s="5">
        <f>IFERROR(__xludf.DUMMYFUNCTION("""COMPUTED_VALUE"""),208.0)</f>
        <v>208</v>
      </c>
      <c r="C209" s="5" t="str">
        <f>IFERROR(__xludf.DUMMYFUNCTION("""COMPUTED_VALUE"""),"Fazi")</f>
        <v>Fazi</v>
      </c>
      <c r="D209" s="5" t="str">
        <f>IFERROR(__xludf.DUMMYFUNCTION("""COMPUTED_VALUE"""),"Fruits And Stars 40 Christmas")</f>
        <v>Fruits And Stars 40 Christmas</v>
      </c>
      <c r="E209" s="5" t="str">
        <f>IFERROR(__xludf.DUMMYFUNCTION("""COMPUTED_VALUE"""),"V2")</f>
        <v>V2</v>
      </c>
      <c r="F209" s="5" t="str">
        <f>IFERROR(__xludf.DUMMYFUNCTION("""COMPUTED_VALUE"""),"FruitsAndStars40Christmas")</f>
        <v>FruitsAndStars40Christmas</v>
      </c>
      <c r="G209" s="5" t="str">
        <f>IFERROR(__xludf.DUMMYFUNCTION("""COMPUTED_VALUE"""),"Live")</f>
        <v>Live</v>
      </c>
      <c r="H209" s="5"/>
      <c r="I209" s="5" t="str">
        <f>IFERROR(__xludf.DUMMYFUNCTION("""COMPUTED_VALUE"""),"V2")</f>
        <v>V2</v>
      </c>
      <c r="J209" s="5" t="str">
        <f>IFERROR(__xludf.DUMMYFUNCTION("""COMPUTED_VALUE"""),"Binary")</f>
        <v>Binary</v>
      </c>
      <c r="K209" s="5" t="str">
        <f>IFERROR(__xludf.DUMMYFUNCTION("""COMPUTED_VALUE"""),"Slot")</f>
        <v>Slot</v>
      </c>
      <c r="L209" s="5" t="str">
        <f>IFERROR(__xludf.DUMMYFUNCTION("""COMPUTED_VALUE"""),"Clone")</f>
        <v>Clone</v>
      </c>
      <c r="M209" s="5" t="str">
        <f>IFERROR(__xludf.DUMMYFUNCTION("""COMPUTED_VALUE"""),"Fruits and Stars")</f>
        <v>Fruits and Stars</v>
      </c>
      <c r="N209" s="5"/>
      <c r="O209" s="5"/>
      <c r="P209" s="12"/>
      <c r="Q209" s="13">
        <f>IFERROR(__xludf.DUMMYFUNCTION("""COMPUTED_VALUE"""),43831.0)</f>
        <v>43831</v>
      </c>
      <c r="R209" s="14"/>
      <c r="S209" s="13">
        <f>IFERROR(__xludf.DUMMYFUNCTION("""COMPUTED_VALUE"""),43831.0)</f>
        <v>43831</v>
      </c>
      <c r="T209" s="5"/>
      <c r="U209" s="5" t="str">
        <f>IFERROR(__xludf.DUMMYFUNCTION("""COMPUTED_VALUE"""),"5x3")</f>
        <v>5x3</v>
      </c>
      <c r="V209" s="10" t="str">
        <f>IFERROR(__xludf.DUMMYFUNCTION("""COMPUTED_VALUE"""),"40")</f>
        <v>40</v>
      </c>
      <c r="W209" s="10" t="str">
        <f>IFERROR(__xludf.DUMMYFUNCTION("""COMPUTED_VALUE"""),"40")</f>
        <v>40</v>
      </c>
      <c r="X209" s="5">
        <f>IFERROR(__xludf.DUMMYFUNCTION("""COMPUTED_VALUE"""),95.79)</f>
        <v>95.79</v>
      </c>
      <c r="Y209" s="5" t="str">
        <f>IFERROR(__xludf.DUMMYFUNCTION("""COMPUTED_VALUE"""),"Low")</f>
        <v>Low</v>
      </c>
      <c r="Z209" s="5">
        <f>IFERROR(__xludf.DUMMYFUNCTION("""COMPUTED_VALUE"""),18.240000000000002)</f>
        <v>18.24</v>
      </c>
      <c r="AA209" s="12">
        <f>IFERROR(__xludf.DUMMYFUNCTION("""COMPUTED_VALUE"""),1000.0)</f>
        <v>1000</v>
      </c>
      <c r="AB209" s="5" t="str">
        <f>IFERROR(__xludf.DUMMYFUNCTION("""COMPUTED_VALUE"""),"/")</f>
        <v>/</v>
      </c>
      <c r="AC209" s="5" t="str">
        <f>IFERROR(__xludf.DUMMYFUNCTION("""COMPUTED_VALUE"""),"Wild Symbol, Scatter")</f>
        <v>Wild Symbol, Scatter</v>
      </c>
      <c r="AD209" s="5"/>
      <c r="AE209" s="5"/>
      <c r="AF209" s="5"/>
      <c r="AG209" s="5"/>
      <c r="AH209" s="5"/>
      <c r="AI209" s="5"/>
      <c r="AJ209" s="5"/>
      <c r="AK209" s="5">
        <f>IFERROR(__xludf.DUMMYFUNCTION("""COMPUTED_VALUE"""),40.0)</f>
        <v>40</v>
      </c>
      <c r="AL209" s="5"/>
      <c r="AM209" s="5"/>
      <c r="AN209" s="5"/>
      <c r="AO209" s="5"/>
      <c r="AP209" s="5"/>
      <c r="AQ209" s="5"/>
      <c r="AR209" s="5"/>
      <c r="AS209" s="5"/>
      <c r="AT209" s="5"/>
      <c r="AU209" s="5" t="str">
        <f>IFERROR(__xludf.DUMMYFUNCTION("""COMPUTED_VALUE"""),"Fazi")</f>
        <v>Fazi</v>
      </c>
      <c r="AV209" s="5"/>
      <c r="AW209" s="5"/>
      <c r="AX209" s="5"/>
      <c r="AY209" s="5"/>
      <c r="AZ209" s="5"/>
      <c r="BA209" s="5" t="str">
        <f>IFERROR(__xludf.DUMMYFUNCTION("""COMPUTED_VALUE"""),"")</f>
        <v/>
      </c>
      <c r="BB209" s="5"/>
      <c r="BC209" s="5" t="str">
        <f>IFERROR(__xludf.DUMMYFUNCTION("""COMPUTED_VALUE"""),"Foxi")</f>
        <v>Foxi</v>
      </c>
      <c r="BD209" s="5" t="str">
        <f>IFERROR(__xludf.DUMMYFUNCTION("""COMPUTED_VALUE"""),"")</f>
        <v/>
      </c>
      <c r="BE209" s="5"/>
    </row>
    <row r="210">
      <c r="A210" s="5">
        <f>IFERROR(__xludf.DUMMYFUNCTION("""COMPUTED_VALUE"""),210.0)</f>
        <v>210</v>
      </c>
      <c r="B210" s="5">
        <f>IFERROR(__xludf.DUMMYFUNCTION("""COMPUTED_VALUE"""),209.0)</f>
        <v>209</v>
      </c>
      <c r="C210" s="5" t="str">
        <f>IFERROR(__xludf.DUMMYFUNCTION("""COMPUTED_VALUE"""),"Fazi")</f>
        <v>Fazi</v>
      </c>
      <c r="D210" s="5" t="str">
        <f>IFERROR(__xludf.DUMMYFUNCTION("""COMPUTED_VALUE"""),"Twinkling Hot 40 Christmas")</f>
        <v>Twinkling Hot 40 Christmas</v>
      </c>
      <c r="E210" s="5" t="str">
        <f>IFERROR(__xludf.DUMMYFUNCTION("""COMPUTED_VALUE"""),"V2")</f>
        <v>V2</v>
      </c>
      <c r="F210" s="5" t="str">
        <f>IFERROR(__xludf.DUMMYFUNCTION("""COMPUTED_VALUE"""),"TwinklingHot40Christmas")</f>
        <v>TwinklingHot40Christmas</v>
      </c>
      <c r="G210" s="5" t="str">
        <f>IFERROR(__xludf.DUMMYFUNCTION("""COMPUTED_VALUE"""),"Live")</f>
        <v>Live</v>
      </c>
      <c r="H210" s="5"/>
      <c r="I210" s="5" t="str">
        <f>IFERROR(__xludf.DUMMYFUNCTION("""COMPUTED_VALUE"""),"V2")</f>
        <v>V2</v>
      </c>
      <c r="J210" s="5" t="str">
        <f>IFERROR(__xludf.DUMMYFUNCTION("""COMPUTED_VALUE"""),"Binary")</f>
        <v>Binary</v>
      </c>
      <c r="K210" s="5" t="str">
        <f>IFERROR(__xludf.DUMMYFUNCTION("""COMPUTED_VALUE"""),"Slot")</f>
        <v>Slot</v>
      </c>
      <c r="L210" s="5" t="str">
        <f>IFERROR(__xludf.DUMMYFUNCTION("""COMPUTED_VALUE"""),"Clone")</f>
        <v>Clone</v>
      </c>
      <c r="M210" s="5" t="str">
        <f>IFERROR(__xludf.DUMMYFUNCTION("""COMPUTED_VALUE"""),"Twinkling Hot 40")</f>
        <v>Twinkling Hot 40</v>
      </c>
      <c r="N210" s="5"/>
      <c r="O210" s="5"/>
      <c r="P210" s="12"/>
      <c r="Q210" s="13">
        <f>IFERROR(__xludf.DUMMYFUNCTION("""COMPUTED_VALUE"""),43831.0)</f>
        <v>43831</v>
      </c>
      <c r="R210" s="14"/>
      <c r="S210" s="13">
        <f>IFERROR(__xludf.DUMMYFUNCTION("""COMPUTED_VALUE"""),43831.0)</f>
        <v>43831</v>
      </c>
      <c r="T210" s="5"/>
      <c r="U210" s="5" t="str">
        <f>IFERROR(__xludf.DUMMYFUNCTION("""COMPUTED_VALUE"""),"5x3")</f>
        <v>5x3</v>
      </c>
      <c r="V210" s="10" t="str">
        <f>IFERROR(__xludf.DUMMYFUNCTION("""COMPUTED_VALUE"""),"40")</f>
        <v>40</v>
      </c>
      <c r="W210" s="10" t="str">
        <f>IFERROR(__xludf.DUMMYFUNCTION("""COMPUTED_VALUE"""),"40")</f>
        <v>40</v>
      </c>
      <c r="X210" s="5">
        <f>IFERROR(__xludf.DUMMYFUNCTION("""COMPUTED_VALUE"""),95.656)</f>
        <v>95.656</v>
      </c>
      <c r="Y210" s="5" t="str">
        <f>IFERROR(__xludf.DUMMYFUNCTION("""COMPUTED_VALUE"""),"Low")</f>
        <v>Low</v>
      </c>
      <c r="Z210" s="5">
        <f>IFERROR(__xludf.DUMMYFUNCTION("""COMPUTED_VALUE"""),17.87)</f>
        <v>17.87</v>
      </c>
      <c r="AA210" s="12">
        <f>IFERROR(__xludf.DUMMYFUNCTION("""COMPUTED_VALUE"""),200.0)</f>
        <v>200</v>
      </c>
      <c r="AB210" s="5" t="str">
        <f>IFERROR(__xludf.DUMMYFUNCTION("""COMPUTED_VALUE"""),"/")</f>
        <v>/</v>
      </c>
      <c r="AC210" s="5" t="str">
        <f>IFERROR(__xludf.DUMMYFUNCTION("""COMPUTED_VALUE"""),"Scatter")</f>
        <v>Scatter</v>
      </c>
      <c r="AD210" s="5"/>
      <c r="AE210" s="5"/>
      <c r="AF210" s="5"/>
      <c r="AG210" s="5"/>
      <c r="AH210" s="5"/>
      <c r="AI210" s="5"/>
      <c r="AJ210" s="5"/>
      <c r="AK210" s="5">
        <f>IFERROR(__xludf.DUMMYFUNCTION("""COMPUTED_VALUE"""),40.0)</f>
        <v>40</v>
      </c>
      <c r="AL210" s="5"/>
      <c r="AM210" s="5"/>
      <c r="AN210" s="5"/>
      <c r="AO210" s="5"/>
      <c r="AP210" s="5"/>
      <c r="AQ210" s="5"/>
      <c r="AR210" s="5"/>
      <c r="AS210" s="5"/>
      <c r="AT210" s="5"/>
      <c r="AU210" s="5" t="str">
        <f>IFERROR(__xludf.DUMMYFUNCTION("""COMPUTED_VALUE"""),"Fazi")</f>
        <v>Fazi</v>
      </c>
      <c r="AV210" s="5"/>
      <c r="AW210" s="5"/>
      <c r="AX210" s="5"/>
      <c r="AY210" s="5"/>
      <c r="AZ210" s="5"/>
      <c r="BA210" s="5" t="str">
        <f>IFERROR(__xludf.DUMMYFUNCTION("""COMPUTED_VALUE"""),"")</f>
        <v/>
      </c>
      <c r="BB210" s="5"/>
      <c r="BC210" s="5" t="str">
        <f>IFERROR(__xludf.DUMMYFUNCTION("""COMPUTED_VALUE"""),"Foxi")</f>
        <v>Foxi</v>
      </c>
      <c r="BD210" s="5" t="str">
        <f>IFERROR(__xludf.DUMMYFUNCTION("""COMPUTED_VALUE"""),"")</f>
        <v/>
      </c>
      <c r="BE210" s="5"/>
    </row>
    <row r="211">
      <c r="A211" s="5">
        <f>IFERROR(__xludf.DUMMYFUNCTION("""COMPUTED_VALUE"""),211.0)</f>
        <v>211</v>
      </c>
      <c r="B211" s="5">
        <f>IFERROR(__xludf.DUMMYFUNCTION("""COMPUTED_VALUE"""),210.0)</f>
        <v>210</v>
      </c>
      <c r="C211" s="5" t="str">
        <f>IFERROR(__xludf.DUMMYFUNCTION("""COMPUTED_VALUE"""),"Fazi")</f>
        <v>Fazi</v>
      </c>
      <c r="D211" s="5" t="str">
        <f>IFERROR(__xludf.DUMMYFUNCTION("""COMPUTED_VALUE"""),"Golden Crown Christmas")</f>
        <v>Golden Crown Christmas</v>
      </c>
      <c r="E211" s="5" t="str">
        <f>IFERROR(__xludf.DUMMYFUNCTION("""COMPUTED_VALUE"""),"V2")</f>
        <v>V2</v>
      </c>
      <c r="F211" s="5" t="str">
        <f>IFERROR(__xludf.DUMMYFUNCTION("""COMPUTED_VALUE"""),"GoldenCrownChristmas")</f>
        <v>GoldenCrownChristmas</v>
      </c>
      <c r="G211" s="5" t="str">
        <f>IFERROR(__xludf.DUMMYFUNCTION("""COMPUTED_VALUE"""),"Live")</f>
        <v>Live</v>
      </c>
      <c r="H211" s="5"/>
      <c r="I211" s="5" t="str">
        <f>IFERROR(__xludf.DUMMYFUNCTION("""COMPUTED_VALUE"""),"V2")</f>
        <v>V2</v>
      </c>
      <c r="J211" s="5" t="str">
        <f>IFERROR(__xludf.DUMMYFUNCTION("""COMPUTED_VALUE"""),"Binary")</f>
        <v>Binary</v>
      </c>
      <c r="K211" s="5" t="str">
        <f>IFERROR(__xludf.DUMMYFUNCTION("""COMPUTED_VALUE"""),"Slot")</f>
        <v>Slot</v>
      </c>
      <c r="L211" s="5" t="str">
        <f>IFERROR(__xludf.DUMMYFUNCTION("""COMPUTED_VALUE"""),"Clone")</f>
        <v>Clone</v>
      </c>
      <c r="M211" s="5" t="str">
        <f>IFERROR(__xludf.DUMMYFUNCTION("""COMPUTED_VALUE"""),"Golden Crown")</f>
        <v>Golden Crown</v>
      </c>
      <c r="N211" s="5"/>
      <c r="O211" s="5"/>
      <c r="P211" s="12"/>
      <c r="Q211" s="13">
        <f>IFERROR(__xludf.DUMMYFUNCTION("""COMPUTED_VALUE"""),43831.0)</f>
        <v>43831</v>
      </c>
      <c r="R211" s="14"/>
      <c r="S211" s="13">
        <f>IFERROR(__xludf.DUMMYFUNCTION("""COMPUTED_VALUE"""),43831.0)</f>
        <v>43831</v>
      </c>
      <c r="T211" s="5"/>
      <c r="U211" s="5" t="str">
        <f>IFERROR(__xludf.DUMMYFUNCTION("""COMPUTED_VALUE"""),"5x3")</f>
        <v>5x3</v>
      </c>
      <c r="V211" s="10" t="str">
        <f>IFERROR(__xludf.DUMMYFUNCTION("""COMPUTED_VALUE"""),"10")</f>
        <v>10</v>
      </c>
      <c r="W211" s="10" t="str">
        <f>IFERROR(__xludf.DUMMYFUNCTION("""COMPUTED_VALUE"""),"10")</f>
        <v>10</v>
      </c>
      <c r="X211" s="5">
        <f>IFERROR(__xludf.DUMMYFUNCTION("""COMPUTED_VALUE"""),95.962)</f>
        <v>95.962</v>
      </c>
      <c r="Y211" s="5" t="str">
        <f>IFERROR(__xludf.DUMMYFUNCTION("""COMPUTED_VALUE"""),"Medium")</f>
        <v>Medium</v>
      </c>
      <c r="Z211" s="5">
        <f>IFERROR(__xludf.DUMMYFUNCTION("""COMPUTED_VALUE"""),14.63)</f>
        <v>14.63</v>
      </c>
      <c r="AA211" s="12">
        <f>IFERROR(__xludf.DUMMYFUNCTION("""COMPUTED_VALUE"""),1538.0)</f>
        <v>1538</v>
      </c>
      <c r="AB211" s="5">
        <f>IFERROR(__xludf.DUMMYFUNCTION("""COMPUTED_VALUE"""),4.0)</f>
        <v>4</v>
      </c>
      <c r="AC211" s="5" t="str">
        <f>IFERROR(__xludf.DUMMYFUNCTION("""COMPUTED_VALUE"""),"Scatter, Expanding Wild")</f>
        <v>Scatter, Expanding Wild</v>
      </c>
      <c r="AD211" s="5"/>
      <c r="AE211" s="5"/>
      <c r="AF211" s="5"/>
      <c r="AG211" s="8">
        <f>IFERROR(__xludf.DUMMYFUNCTION("""COMPUTED_VALUE"""),46198.52127314815)</f>
        <v>46198.52127</v>
      </c>
      <c r="AH211" s="5" t="str">
        <f>IFERROR(__xludf.DUMMYFUNCTION("""COMPUTED_VALUE"""),"selena.mihajlovic@fazi.rs")</f>
        <v>selena.mihajlovic@fazi.rs</v>
      </c>
      <c r="AI211" s="5"/>
      <c r="AJ211" s="5"/>
      <c r="AK211" s="5">
        <f>IFERROR(__xludf.DUMMYFUNCTION("""COMPUTED_VALUE"""),10.0)</f>
        <v>10</v>
      </c>
      <c r="AL211" s="5"/>
      <c r="AM211" s="5"/>
      <c r="AN211" s="5"/>
      <c r="AO211" s="5"/>
      <c r="AP211" s="5"/>
      <c r="AQ211" s="5"/>
      <c r="AR211" s="5"/>
      <c r="AS211" s="5"/>
      <c r="AT211" s="5"/>
      <c r="AU211" s="5" t="str">
        <f>IFERROR(__xludf.DUMMYFUNCTION("""COMPUTED_VALUE"""),"Fazi")</f>
        <v>Fazi</v>
      </c>
      <c r="AV211" s="5"/>
      <c r="AW211" s="5"/>
      <c r="AX211" s="5"/>
      <c r="AY211" s="5"/>
      <c r="AZ211" s="5"/>
      <c r="BA211" s="5"/>
      <c r="BB211" s="5"/>
      <c r="BC211" s="5" t="str">
        <f>IFERROR(__xludf.DUMMYFUNCTION("""COMPUTED_VALUE"""),"Foxi")</f>
        <v>Foxi</v>
      </c>
      <c r="BD211" s="7" t="str">
        <f>IFERROR(__xludf.DUMMYFUNCTION("""COMPUTED_VALUE"""),"https://gameserver-store-client-area.orbionlimited.com/Home/IntegrationGameLaunch/client-area?moneyType=0&amp;gameName=GoldenCrownChristmas&amp;platform=desktop&amp;languageCode=eng&amp;currency=EUR")</f>
        <v>https://gameserver-store-client-area.orbionlimited.com/Home/IntegrationGameLaunch/client-area?moneyType=0&amp;gameName=GoldenCrownChristmas&amp;platform=desktop&amp;languageCode=eng&amp;currency=EUR</v>
      </c>
      <c r="BE211" s="5"/>
    </row>
    <row r="212">
      <c r="A212" s="5">
        <f>IFERROR(__xludf.DUMMYFUNCTION("""COMPUTED_VALUE"""),212.0)</f>
        <v>212</v>
      </c>
      <c r="B212" s="5">
        <f>IFERROR(__xludf.DUMMYFUNCTION("""COMPUTED_VALUE"""),211.0)</f>
        <v>211</v>
      </c>
      <c r="C212" s="5" t="str">
        <f>IFERROR(__xludf.DUMMYFUNCTION("""COMPUTED_VALUE"""),"Fazi")</f>
        <v>Fazi</v>
      </c>
      <c r="D212" s="5" t="str">
        <f>IFERROR(__xludf.DUMMYFUNCTION("""COMPUTED_VALUE"""),"Lollas World Christmas")</f>
        <v>Lollas World Christmas</v>
      </c>
      <c r="E212" s="5" t="str">
        <f>IFERROR(__xludf.DUMMYFUNCTION("""COMPUTED_VALUE"""),"V2")</f>
        <v>V2</v>
      </c>
      <c r="F212" s="5" t="str">
        <f>IFERROR(__xludf.DUMMYFUNCTION("""COMPUTED_VALUE"""),"LollasWorldChristmas")</f>
        <v>LollasWorldChristmas</v>
      </c>
      <c r="G212" s="5" t="str">
        <f>IFERROR(__xludf.DUMMYFUNCTION("""COMPUTED_VALUE"""),"Live")</f>
        <v>Live</v>
      </c>
      <c r="H212" s="5"/>
      <c r="I212" s="5" t="str">
        <f>IFERROR(__xludf.DUMMYFUNCTION("""COMPUTED_VALUE"""),"V2")</f>
        <v>V2</v>
      </c>
      <c r="J212" s="5" t="str">
        <f>IFERROR(__xludf.DUMMYFUNCTION("""COMPUTED_VALUE"""),"Binary")</f>
        <v>Binary</v>
      </c>
      <c r="K212" s="5" t="str">
        <f>IFERROR(__xludf.DUMMYFUNCTION("""COMPUTED_VALUE"""),"Slot")</f>
        <v>Slot</v>
      </c>
      <c r="L212" s="5" t="str">
        <f>IFERROR(__xludf.DUMMYFUNCTION("""COMPUTED_VALUE"""),"Clone")</f>
        <v>Clone</v>
      </c>
      <c r="M212" s="5" t="str">
        <f>IFERROR(__xludf.DUMMYFUNCTION("""COMPUTED_VALUE"""),"Lollas World")</f>
        <v>Lollas World</v>
      </c>
      <c r="N212" s="5"/>
      <c r="O212" s="5"/>
      <c r="P212" s="12"/>
      <c r="Q212" s="13">
        <f>IFERROR(__xludf.DUMMYFUNCTION("""COMPUTED_VALUE"""),43831.0)</f>
        <v>43831</v>
      </c>
      <c r="R212" s="14"/>
      <c r="S212" s="13">
        <f>IFERROR(__xludf.DUMMYFUNCTION("""COMPUTED_VALUE"""),43831.0)</f>
        <v>43831</v>
      </c>
      <c r="T212" s="5"/>
      <c r="U212" s="5" t="str">
        <f>IFERROR(__xludf.DUMMYFUNCTION("""COMPUTED_VALUE"""),"5x4")</f>
        <v>5x4</v>
      </c>
      <c r="V212" s="10" t="str">
        <f>IFERROR(__xludf.DUMMYFUNCTION("""COMPUTED_VALUE"""),"40")</f>
        <v>40</v>
      </c>
      <c r="W212" s="10" t="str">
        <f>IFERROR(__xludf.DUMMYFUNCTION("""COMPUTED_VALUE"""),"40")</f>
        <v>40</v>
      </c>
      <c r="X212" s="5">
        <f>IFERROR(__xludf.DUMMYFUNCTION("""COMPUTED_VALUE"""),95.479)</f>
        <v>95.479</v>
      </c>
      <c r="Y212" s="5" t="str">
        <f>IFERROR(__xludf.DUMMYFUNCTION("""COMPUTED_VALUE"""),"Medium")</f>
        <v>Medium</v>
      </c>
      <c r="Z212" s="5">
        <f>IFERROR(__xludf.DUMMYFUNCTION("""COMPUTED_VALUE"""),14.799999999999999)</f>
        <v>14.8</v>
      </c>
      <c r="AA212" s="12">
        <f>IFERROR(__xludf.DUMMYFUNCTION("""COMPUTED_VALUE"""),1000.0)</f>
        <v>1000</v>
      </c>
      <c r="AB212" s="5" t="str">
        <f>IFERROR(__xludf.DUMMYFUNCTION("""COMPUTED_VALUE"""),"/")</f>
        <v>/</v>
      </c>
      <c r="AC212" s="5" t="str">
        <f>IFERROR(__xludf.DUMMYFUNCTION("""COMPUTED_VALUE"""),"Scatter, Wild Symbol")</f>
        <v>Scatter, Wild Symbol</v>
      </c>
      <c r="AD212" s="5"/>
      <c r="AE212" s="5"/>
      <c r="AF212" s="5"/>
      <c r="AG212" s="5"/>
      <c r="AH212" s="5"/>
      <c r="AI212" s="5"/>
      <c r="AJ212" s="5"/>
      <c r="AK212" s="5">
        <f>IFERROR(__xludf.DUMMYFUNCTION("""COMPUTED_VALUE"""),40.0)</f>
        <v>40</v>
      </c>
      <c r="AL212" s="5"/>
      <c r="AM212" s="5"/>
      <c r="AN212" s="5"/>
      <c r="AO212" s="5"/>
      <c r="AP212" s="5"/>
      <c r="AQ212" s="5"/>
      <c r="AR212" s="5"/>
      <c r="AS212" s="5"/>
      <c r="AT212" s="5"/>
      <c r="AU212" s="5" t="str">
        <f>IFERROR(__xludf.DUMMYFUNCTION("""COMPUTED_VALUE"""),"Fazi")</f>
        <v>Fazi</v>
      </c>
      <c r="AV212" s="5"/>
      <c r="AW212" s="5"/>
      <c r="AX212" s="5"/>
      <c r="AY212" s="5"/>
      <c r="AZ212" s="5"/>
      <c r="BA212" s="5" t="str">
        <f>IFERROR(__xludf.DUMMYFUNCTION("""COMPUTED_VALUE"""),"")</f>
        <v/>
      </c>
      <c r="BB212" s="5"/>
      <c r="BC212" s="5" t="str">
        <f>IFERROR(__xludf.DUMMYFUNCTION("""COMPUTED_VALUE"""),"Foxi")</f>
        <v>Foxi</v>
      </c>
      <c r="BD212" s="5" t="str">
        <f>IFERROR(__xludf.DUMMYFUNCTION("""COMPUTED_VALUE"""),"")</f>
        <v/>
      </c>
      <c r="BE212" s="5"/>
    </row>
    <row r="213">
      <c r="A213" s="5">
        <f>IFERROR(__xludf.DUMMYFUNCTION("""COMPUTED_VALUE"""),213.0)</f>
        <v>213</v>
      </c>
      <c r="B213" s="5">
        <f>IFERROR(__xludf.DUMMYFUNCTION("""COMPUTED_VALUE"""),212.0)</f>
        <v>212</v>
      </c>
      <c r="C213" s="5" t="str">
        <f>IFERROR(__xludf.DUMMYFUNCTION("""COMPUTED_VALUE"""),"Fazi")</f>
        <v>Fazi</v>
      </c>
      <c r="D213" s="5" t="str">
        <f>IFERROR(__xludf.DUMMYFUNCTION("""COMPUTED_VALUE"""),"Wild Hot 40 Christmas")</f>
        <v>Wild Hot 40 Christmas</v>
      </c>
      <c r="E213" s="5" t="str">
        <f>IFERROR(__xludf.DUMMYFUNCTION("""COMPUTED_VALUE"""),"V2")</f>
        <v>V2</v>
      </c>
      <c r="F213" s="5" t="str">
        <f>IFERROR(__xludf.DUMMYFUNCTION("""COMPUTED_VALUE"""),"WildHot40Christmas")</f>
        <v>WildHot40Christmas</v>
      </c>
      <c r="G213" s="5" t="str">
        <f>IFERROR(__xludf.DUMMYFUNCTION("""COMPUTED_VALUE"""),"Live")</f>
        <v>Live</v>
      </c>
      <c r="H213" s="5"/>
      <c r="I213" s="5" t="str">
        <f>IFERROR(__xludf.DUMMYFUNCTION("""COMPUTED_VALUE"""),"V2")</f>
        <v>V2</v>
      </c>
      <c r="J213" s="5" t="str">
        <f>IFERROR(__xludf.DUMMYFUNCTION("""COMPUTED_VALUE"""),"Binary")</f>
        <v>Binary</v>
      </c>
      <c r="K213" s="5" t="str">
        <f>IFERROR(__xludf.DUMMYFUNCTION("""COMPUTED_VALUE"""),"Slot")</f>
        <v>Slot</v>
      </c>
      <c r="L213" s="5" t="str">
        <f>IFERROR(__xludf.DUMMYFUNCTION("""COMPUTED_VALUE"""),"Clone")</f>
        <v>Clone</v>
      </c>
      <c r="M213" s="5" t="str">
        <f>IFERROR(__xludf.DUMMYFUNCTION("""COMPUTED_VALUE"""),"Turbo Hot 40")</f>
        <v>Turbo Hot 40</v>
      </c>
      <c r="N213" s="5"/>
      <c r="O213" s="5"/>
      <c r="P213" s="12"/>
      <c r="Q213" s="13">
        <f>IFERROR(__xludf.DUMMYFUNCTION("""COMPUTED_VALUE"""),43831.0)</f>
        <v>43831</v>
      </c>
      <c r="R213" s="14"/>
      <c r="S213" s="13">
        <f>IFERROR(__xludf.DUMMYFUNCTION("""COMPUTED_VALUE"""),43831.0)</f>
        <v>43831</v>
      </c>
      <c r="T213" s="5"/>
      <c r="U213" s="5" t="str">
        <f>IFERROR(__xludf.DUMMYFUNCTION("""COMPUTED_VALUE"""),"5x4")</f>
        <v>5x4</v>
      </c>
      <c r="V213" s="10" t="str">
        <f>IFERROR(__xludf.DUMMYFUNCTION("""COMPUTED_VALUE"""),"40")</f>
        <v>40</v>
      </c>
      <c r="W213" s="10" t="str">
        <f>IFERROR(__xludf.DUMMYFUNCTION("""COMPUTED_VALUE"""),"40")</f>
        <v>40</v>
      </c>
      <c r="X213" s="5">
        <f>IFERROR(__xludf.DUMMYFUNCTION("""COMPUTED_VALUE"""),96.584)</f>
        <v>96.584</v>
      </c>
      <c r="Y213" s="5" t="str">
        <f>IFERROR(__xludf.DUMMYFUNCTION("""COMPUTED_VALUE"""),"Low")</f>
        <v>Low</v>
      </c>
      <c r="Z213" s="5">
        <f>IFERROR(__xludf.DUMMYFUNCTION("""COMPUTED_VALUE"""),16.73)</f>
        <v>16.73</v>
      </c>
      <c r="AA213" s="12">
        <f>IFERROR(__xludf.DUMMYFUNCTION("""COMPUTED_VALUE"""),1000.0)</f>
        <v>1000</v>
      </c>
      <c r="AB213" s="5" t="str">
        <f>IFERROR(__xludf.DUMMYFUNCTION("""COMPUTED_VALUE"""),"/")</f>
        <v>/</v>
      </c>
      <c r="AC213" s="5" t="str">
        <f>IFERROR(__xludf.DUMMYFUNCTION("""COMPUTED_VALUE"""),"Wild Symbol, Scatter")</f>
        <v>Wild Symbol, Scatter</v>
      </c>
      <c r="AD213" s="5"/>
      <c r="AE213" s="5"/>
      <c r="AF213" s="5"/>
      <c r="AG213" s="5"/>
      <c r="AH213" s="5"/>
      <c r="AI213" s="5"/>
      <c r="AJ213" s="5"/>
      <c r="AK213" s="5">
        <f>IFERROR(__xludf.DUMMYFUNCTION("""COMPUTED_VALUE"""),40.0)</f>
        <v>40</v>
      </c>
      <c r="AL213" s="5"/>
      <c r="AM213" s="5"/>
      <c r="AN213" s="5"/>
      <c r="AO213" s="5"/>
      <c r="AP213" s="5"/>
      <c r="AQ213" s="5"/>
      <c r="AR213" s="5"/>
      <c r="AS213" s="5"/>
      <c r="AT213" s="5"/>
      <c r="AU213" s="5" t="str">
        <f>IFERROR(__xludf.DUMMYFUNCTION("""COMPUTED_VALUE"""),"Fazi")</f>
        <v>Fazi</v>
      </c>
      <c r="AV213" s="5"/>
      <c r="AW213" s="5"/>
      <c r="AX213" s="5"/>
      <c r="AY213" s="5"/>
      <c r="AZ213" s="5"/>
      <c r="BA213" s="5" t="str">
        <f>IFERROR(__xludf.DUMMYFUNCTION("""COMPUTED_VALUE"""),"")</f>
        <v/>
      </c>
      <c r="BB213" s="5"/>
      <c r="BC213" s="5" t="str">
        <f>IFERROR(__xludf.DUMMYFUNCTION("""COMPUTED_VALUE"""),"Foxi")</f>
        <v>Foxi</v>
      </c>
      <c r="BD213" s="5" t="str">
        <f>IFERROR(__xludf.DUMMYFUNCTION("""COMPUTED_VALUE"""),"")</f>
        <v/>
      </c>
      <c r="BE213" s="5"/>
    </row>
    <row r="214">
      <c r="A214" s="5">
        <f>IFERROR(__xludf.DUMMYFUNCTION("""COMPUTED_VALUE"""),214.0)</f>
        <v>214</v>
      </c>
      <c r="B214" s="5">
        <f>IFERROR(__xludf.DUMMYFUNCTION("""COMPUTED_VALUE"""),213.0)</f>
        <v>213</v>
      </c>
      <c r="C214" s="5" t="str">
        <f>IFERROR(__xludf.DUMMYFUNCTION("""COMPUTED_VALUE"""),"Fazi")</f>
        <v>Fazi</v>
      </c>
      <c r="D214" s="5" t="str">
        <f>IFERROR(__xludf.DUMMYFUNCTION("""COMPUTED_VALUE"""),"Very Hot 5 Christmas")</f>
        <v>Very Hot 5 Christmas</v>
      </c>
      <c r="E214" s="5" t="str">
        <f>IFERROR(__xludf.DUMMYFUNCTION("""COMPUTED_VALUE"""),"V2")</f>
        <v>V2</v>
      </c>
      <c r="F214" s="5" t="str">
        <f>IFERROR(__xludf.DUMMYFUNCTION("""COMPUTED_VALUE"""),"VeryHot5Christmas")</f>
        <v>VeryHot5Christmas</v>
      </c>
      <c r="G214" s="5" t="str">
        <f>IFERROR(__xludf.DUMMYFUNCTION("""COMPUTED_VALUE"""),"Live")</f>
        <v>Live</v>
      </c>
      <c r="H214" s="5"/>
      <c r="I214" s="5" t="str">
        <f>IFERROR(__xludf.DUMMYFUNCTION("""COMPUTED_VALUE"""),"V2")</f>
        <v>V2</v>
      </c>
      <c r="J214" s="5" t="str">
        <f>IFERROR(__xludf.DUMMYFUNCTION("""COMPUTED_VALUE"""),"Binary")</f>
        <v>Binary</v>
      </c>
      <c r="K214" s="5" t="str">
        <f>IFERROR(__xludf.DUMMYFUNCTION("""COMPUTED_VALUE"""),"Slot")</f>
        <v>Slot</v>
      </c>
      <c r="L214" s="5" t="str">
        <f>IFERROR(__xludf.DUMMYFUNCTION("""COMPUTED_VALUE"""),"Clone")</f>
        <v>Clone</v>
      </c>
      <c r="M214" s="5" t="str">
        <f>IFERROR(__xludf.DUMMYFUNCTION("""COMPUTED_VALUE"""),"Bursting Hot 5")</f>
        <v>Bursting Hot 5</v>
      </c>
      <c r="N214" s="5"/>
      <c r="O214" s="5"/>
      <c r="P214" s="12"/>
      <c r="Q214" s="13">
        <f>IFERROR(__xludf.DUMMYFUNCTION("""COMPUTED_VALUE"""),43831.0)</f>
        <v>43831</v>
      </c>
      <c r="R214" s="14"/>
      <c r="S214" s="13">
        <f>IFERROR(__xludf.DUMMYFUNCTION("""COMPUTED_VALUE"""),43831.0)</f>
        <v>43831</v>
      </c>
      <c r="T214" s="5"/>
      <c r="U214" s="5" t="str">
        <f>IFERROR(__xludf.DUMMYFUNCTION("""COMPUTED_VALUE"""),"5x3")</f>
        <v>5x3</v>
      </c>
      <c r="V214" s="10" t="str">
        <f>IFERROR(__xludf.DUMMYFUNCTION("""COMPUTED_VALUE"""),"5")</f>
        <v>5</v>
      </c>
      <c r="W214" s="10" t="str">
        <f>IFERROR(__xludf.DUMMYFUNCTION("""COMPUTED_VALUE"""),"5")</f>
        <v>5</v>
      </c>
      <c r="X214" s="5">
        <f>IFERROR(__xludf.DUMMYFUNCTION("""COMPUTED_VALUE"""),96.447)</f>
        <v>96.447</v>
      </c>
      <c r="Y214" s="5" t="str">
        <f>IFERROR(__xludf.DUMMYFUNCTION("""COMPUTED_VALUE"""),"Medium")</f>
        <v>Medium</v>
      </c>
      <c r="Z214" s="5">
        <f>IFERROR(__xludf.DUMMYFUNCTION("""COMPUTED_VALUE"""),14.510000000000002)</f>
        <v>14.51</v>
      </c>
      <c r="AA214" s="12">
        <f>IFERROR(__xludf.DUMMYFUNCTION("""COMPUTED_VALUE"""),1222.0)</f>
        <v>1222</v>
      </c>
      <c r="AB214" s="5">
        <f>IFERROR(__xludf.DUMMYFUNCTION("""COMPUTED_VALUE"""),4.0)</f>
        <v>4</v>
      </c>
      <c r="AC214" s="5" t="str">
        <f>IFERROR(__xludf.DUMMYFUNCTION("""COMPUTED_VALUE"""),"Expanding Wild, Scatter")</f>
        <v>Expanding Wild, Scatter</v>
      </c>
      <c r="AD214" s="5"/>
      <c r="AE214" s="5"/>
      <c r="AF214" s="5"/>
      <c r="AG214" s="8">
        <f>IFERROR(__xludf.DUMMYFUNCTION("""COMPUTED_VALUE"""),46198.521585648145)</f>
        <v>46198.52159</v>
      </c>
      <c r="AH214" s="5" t="str">
        <f>IFERROR(__xludf.DUMMYFUNCTION("""COMPUTED_VALUE"""),"selena.mihajlovic@fazi.rs")</f>
        <v>selena.mihajlovic@fazi.rs</v>
      </c>
      <c r="AI214" s="5"/>
      <c r="AJ214" s="5"/>
      <c r="AK214" s="5">
        <f>IFERROR(__xludf.DUMMYFUNCTION("""COMPUTED_VALUE"""),5.0)</f>
        <v>5</v>
      </c>
      <c r="AL214" s="5"/>
      <c r="AM214" s="5"/>
      <c r="AN214" s="5"/>
      <c r="AO214" s="5"/>
      <c r="AP214" s="5"/>
      <c r="AQ214" s="5"/>
      <c r="AR214" s="5"/>
      <c r="AS214" s="5"/>
      <c r="AT214" s="5"/>
      <c r="AU214" s="5" t="str">
        <f>IFERROR(__xludf.DUMMYFUNCTION("""COMPUTED_VALUE"""),"Fazi")</f>
        <v>Fazi</v>
      </c>
      <c r="AV214" s="5"/>
      <c r="AW214" s="5"/>
      <c r="AX214" s="5"/>
      <c r="AY214" s="5"/>
      <c r="AZ214" s="5"/>
      <c r="BA214" s="5"/>
      <c r="BB214" s="5"/>
      <c r="BC214" s="5" t="str">
        <f>IFERROR(__xludf.DUMMYFUNCTION("""COMPUTED_VALUE"""),"Foxi")</f>
        <v>Foxi</v>
      </c>
      <c r="BD214" s="7" t="str">
        <f>IFERROR(__xludf.DUMMYFUNCTION("""COMPUTED_VALUE"""),"https://gameserver-store-client-area.orbionlimited.com/Home/IntegrationGameLaunch/client-area?moneyType=0&amp;gameName=VeryHot5Christmas&amp;platform=desktop&amp;languageCode=eng&amp;currency=EUR")</f>
        <v>https://gameserver-store-client-area.orbionlimited.com/Home/IntegrationGameLaunch/client-area?moneyType=0&amp;gameName=VeryHot5Christmas&amp;platform=desktop&amp;languageCode=eng&amp;currency=EUR</v>
      </c>
      <c r="BE214" s="5"/>
    </row>
    <row r="215">
      <c r="A215" s="5">
        <f>IFERROR(__xludf.DUMMYFUNCTION("""COMPUTED_VALUE"""),215.0)</f>
        <v>215</v>
      </c>
      <c r="B215" s="5">
        <f>IFERROR(__xludf.DUMMYFUNCTION("""COMPUTED_VALUE"""),214.0)</f>
        <v>214</v>
      </c>
      <c r="C215" s="5" t="str">
        <f>IFERROR(__xludf.DUMMYFUNCTION("""COMPUTED_VALUE"""),"Fazi")</f>
        <v>Fazi</v>
      </c>
      <c r="D215" s="5" t="str">
        <f>IFERROR(__xludf.DUMMYFUNCTION("""COMPUTED_VALUE"""),"Very Hot 40 Christmas")</f>
        <v>Very Hot 40 Christmas</v>
      </c>
      <c r="E215" s="5" t="str">
        <f>IFERROR(__xludf.DUMMYFUNCTION("""COMPUTED_VALUE"""),"V2")</f>
        <v>V2</v>
      </c>
      <c r="F215" s="5" t="str">
        <f>IFERROR(__xludf.DUMMYFUNCTION("""COMPUTED_VALUE"""),"VeryHot40Christmas")</f>
        <v>VeryHot40Christmas</v>
      </c>
      <c r="G215" s="5" t="str">
        <f>IFERROR(__xludf.DUMMYFUNCTION("""COMPUTED_VALUE"""),"Live")</f>
        <v>Live</v>
      </c>
      <c r="H215" s="5"/>
      <c r="I215" s="5" t="str">
        <f>IFERROR(__xludf.DUMMYFUNCTION("""COMPUTED_VALUE"""),"V2")</f>
        <v>V2</v>
      </c>
      <c r="J215" s="5" t="str">
        <f>IFERROR(__xludf.DUMMYFUNCTION("""COMPUTED_VALUE"""),"Binary")</f>
        <v>Binary</v>
      </c>
      <c r="K215" s="5" t="str">
        <f>IFERROR(__xludf.DUMMYFUNCTION("""COMPUTED_VALUE"""),"Slot")</f>
        <v>Slot</v>
      </c>
      <c r="L215" s="5" t="str">
        <f>IFERROR(__xludf.DUMMYFUNCTION("""COMPUTED_VALUE"""),"Clone")</f>
        <v>Clone</v>
      </c>
      <c r="M215" s="5" t="str">
        <f>IFERROR(__xludf.DUMMYFUNCTION("""COMPUTED_VALUE"""),"Bursting Hot 40")</f>
        <v>Bursting Hot 40</v>
      </c>
      <c r="N215" s="5"/>
      <c r="O215" s="5"/>
      <c r="P215" s="12"/>
      <c r="Q215" s="13">
        <f>IFERROR(__xludf.DUMMYFUNCTION("""COMPUTED_VALUE"""),43831.0)</f>
        <v>43831</v>
      </c>
      <c r="R215" s="14"/>
      <c r="S215" s="13">
        <f>IFERROR(__xludf.DUMMYFUNCTION("""COMPUTED_VALUE"""),43831.0)</f>
        <v>43831</v>
      </c>
      <c r="T215" s="5"/>
      <c r="U215" s="5" t="str">
        <f>IFERROR(__xludf.DUMMYFUNCTION("""COMPUTED_VALUE"""),"5x3")</f>
        <v>5x3</v>
      </c>
      <c r="V215" s="10" t="str">
        <f>IFERROR(__xludf.DUMMYFUNCTION("""COMPUTED_VALUE"""),"40")</f>
        <v>40</v>
      </c>
      <c r="W215" s="10" t="str">
        <f>IFERROR(__xludf.DUMMYFUNCTION("""COMPUTED_VALUE"""),"40")</f>
        <v>40</v>
      </c>
      <c r="X215" s="5">
        <f>IFERROR(__xludf.DUMMYFUNCTION("""COMPUTED_VALUE"""),96.53)</f>
        <v>96.53</v>
      </c>
      <c r="Y215" s="5" t="str">
        <f>IFERROR(__xludf.DUMMYFUNCTION("""COMPUTED_VALUE"""),"Low")</f>
        <v>Low</v>
      </c>
      <c r="Z215" s="5">
        <f>IFERROR(__xludf.DUMMYFUNCTION("""COMPUTED_VALUE"""),23.380000000000003)</f>
        <v>23.38</v>
      </c>
      <c r="AA215" s="12">
        <f>IFERROR(__xludf.DUMMYFUNCTION("""COMPUTED_VALUE"""),876.75)</f>
        <v>876.75</v>
      </c>
      <c r="AB215" s="5">
        <f>IFERROR(__xludf.DUMMYFUNCTION("""COMPUTED_VALUE"""),4.0)</f>
        <v>4</v>
      </c>
      <c r="AC215" s="5" t="str">
        <f>IFERROR(__xludf.DUMMYFUNCTION("""COMPUTED_VALUE"""),"Scatter, Expanding Wild")</f>
        <v>Scatter, Expanding Wild</v>
      </c>
      <c r="AD215" s="5"/>
      <c r="AE215" s="5"/>
      <c r="AF215" s="5"/>
      <c r="AG215" s="5"/>
      <c r="AH215" s="5"/>
      <c r="AI215" s="5"/>
      <c r="AJ215" s="5"/>
      <c r="AK215" s="5">
        <f>IFERROR(__xludf.DUMMYFUNCTION("""COMPUTED_VALUE"""),40.0)</f>
        <v>40</v>
      </c>
      <c r="AL215" s="5"/>
      <c r="AM215" s="5"/>
      <c r="AN215" s="5"/>
      <c r="AO215" s="5"/>
      <c r="AP215" s="5"/>
      <c r="AQ215" s="5"/>
      <c r="AR215" s="5"/>
      <c r="AS215" s="5"/>
      <c r="AT215" s="5"/>
      <c r="AU215" s="5" t="str">
        <f>IFERROR(__xludf.DUMMYFUNCTION("""COMPUTED_VALUE"""),"Fazi")</f>
        <v>Fazi</v>
      </c>
      <c r="AV215" s="5"/>
      <c r="AW215" s="5"/>
      <c r="AX215" s="5"/>
      <c r="AY215" s="5"/>
      <c r="AZ215" s="5"/>
      <c r="BA215" s="5" t="str">
        <f>IFERROR(__xludf.DUMMYFUNCTION("""COMPUTED_VALUE"""),"")</f>
        <v/>
      </c>
      <c r="BB215" s="5"/>
      <c r="BC215" s="5" t="str">
        <f>IFERROR(__xludf.DUMMYFUNCTION("""COMPUTED_VALUE"""),"Foxi")</f>
        <v>Foxi</v>
      </c>
      <c r="BD215" s="5" t="str">
        <f>IFERROR(__xludf.DUMMYFUNCTION("""COMPUTED_VALUE"""),"")</f>
        <v/>
      </c>
      <c r="BE215" s="5"/>
    </row>
    <row r="216">
      <c r="A216" s="5">
        <f>IFERROR(__xludf.DUMMYFUNCTION("""COMPUTED_VALUE"""),216.0)</f>
        <v>216</v>
      </c>
      <c r="B216" s="5">
        <f>IFERROR(__xludf.DUMMYFUNCTION("""COMPUTED_VALUE"""),215.0)</f>
        <v>215</v>
      </c>
      <c r="C216" s="5" t="str">
        <f>IFERROR(__xludf.DUMMYFUNCTION("""COMPUTED_VALUE"""),"Redstone")</f>
        <v>Redstone</v>
      </c>
      <c r="D216" s="5" t="str">
        <f>IFERROR(__xludf.DUMMYFUNCTION("""COMPUTED_VALUE"""),"5 Crown Fire")</f>
        <v>5 Crown Fire</v>
      </c>
      <c r="E216" s="5" t="str">
        <f>IFERROR(__xludf.DUMMYFUNCTION("""COMPUTED_VALUE"""),"Redstone")</f>
        <v>Redstone</v>
      </c>
      <c r="F216" s="5" t="str">
        <f>IFERROR(__xludf.DUMMYFUNCTION("""COMPUTED_VALUE"""),"CrownFire5")</f>
        <v>CrownFire5</v>
      </c>
      <c r="G216" s="5" t="str">
        <f>IFERROR(__xludf.DUMMYFUNCTION("""COMPUTED_VALUE"""),"Live")</f>
        <v>Live</v>
      </c>
      <c r="H216" s="5"/>
      <c r="I216" s="5" t="str">
        <f>IFERROR(__xludf.DUMMYFUNCTION("""COMPUTED_VALUE"""),"Redstone")</f>
        <v>Redstone</v>
      </c>
      <c r="J216" s="5" t="str">
        <f>IFERROR(__xludf.DUMMYFUNCTION("""COMPUTED_VALUE"""),"JSON")</f>
        <v>JSON</v>
      </c>
      <c r="K216" s="5" t="str">
        <f>IFERROR(__xludf.DUMMYFUNCTION("""COMPUTED_VALUE"""),"Slot")</f>
        <v>Slot</v>
      </c>
      <c r="L216" s="5" t="str">
        <f>IFERROR(__xludf.DUMMYFUNCTION("""COMPUTED_VALUE""")," Clone")</f>
        <v> Clone</v>
      </c>
      <c r="M216" s="5" t="str">
        <f>IFERROR(__xludf.DUMMYFUNCTION("""COMPUTED_VALUE"""),"5 Clover Fire")</f>
        <v>5 Clover Fire</v>
      </c>
      <c r="N216" s="7" t="str">
        <f>IFERROR(__xludf.DUMMYFUNCTION("""COMPUTED_VALUE"""),"https://docs.google.com/document/d/1fDWyZ7abUTboXh9dpo8Ipp9KfenSXeH9/edit?usp=drive_link&amp;ouid=107596163405648766688&amp;rtpof=true&amp;sd=true")</f>
        <v>https://docs.google.com/document/d/1fDWyZ7abUTboXh9dpo8Ipp9KfenSXeH9/edit?usp=drive_link&amp;ouid=107596163405648766688&amp;rtpof=true&amp;sd=true</v>
      </c>
      <c r="O216" s="7" t="str">
        <f>IFERROR(__xludf.DUMMYFUNCTION("""COMPUTED_VALUE"""),"https://docs.google.com/document/d/1SpmLw2SDEhPZa5TzK3I3v6VPCx7Ett_4/edit?usp=drive_link&amp;ouid=107596163405648766688&amp;rtpof=true&amp;sd=true")</f>
        <v>https://docs.google.com/document/d/1SpmLw2SDEhPZa5TzK3I3v6VPCx7Ett_4/edit?usp=drive_link&amp;ouid=107596163405648766688&amp;rtpof=true&amp;sd=true</v>
      </c>
      <c r="P216" s="12">
        <f>IFERROR(__xludf.DUMMYFUNCTION("""COMPUTED_VALUE"""),6.5)</f>
        <v>6.5</v>
      </c>
      <c r="Q216" s="13">
        <f>IFERROR(__xludf.DUMMYFUNCTION("""COMPUTED_VALUE"""),44889.0)</f>
        <v>44889</v>
      </c>
      <c r="R216" s="14"/>
      <c r="S216" s="13">
        <f>IFERROR(__xludf.DUMMYFUNCTION("""COMPUTED_VALUE"""),44889.0)</f>
        <v>44889</v>
      </c>
      <c r="T216" s="5"/>
      <c r="U216" s="5" t="str">
        <f>IFERROR(__xludf.DUMMYFUNCTION("""COMPUTED_VALUE"""),"5x3")</f>
        <v>5x3</v>
      </c>
      <c r="V216" s="10" t="str">
        <f>IFERROR(__xludf.DUMMYFUNCTION("""COMPUTED_VALUE"""),"5")</f>
        <v>5</v>
      </c>
      <c r="W216" s="10" t="str">
        <f>IFERROR(__xludf.DUMMYFUNCTION("""COMPUTED_VALUE"""),"5")</f>
        <v>5</v>
      </c>
      <c r="X216" s="5">
        <f>IFERROR(__xludf.DUMMYFUNCTION("""COMPUTED_VALUE"""),96.45)</f>
        <v>96.45</v>
      </c>
      <c r="Y216" s="5" t="str">
        <f>IFERROR(__xludf.DUMMYFUNCTION("""COMPUTED_VALUE"""),"Medium")</f>
        <v>Medium</v>
      </c>
      <c r="Z216" s="5">
        <f>IFERROR(__xludf.DUMMYFUNCTION("""COMPUTED_VALUE"""),14.5)</f>
        <v>14.5</v>
      </c>
      <c r="AA216" s="12">
        <f>IFERROR(__xludf.DUMMYFUNCTION("""COMPUTED_VALUE"""),1222.0)</f>
        <v>1222</v>
      </c>
      <c r="AB216" s="5"/>
      <c r="AC216" s="5" t="str">
        <f>IFERROR(__xludf.DUMMYFUNCTION("""COMPUTED_VALUE"""),"Expanding Wild, Scatter")</f>
        <v>Expanding Wild, Scatter</v>
      </c>
      <c r="AD216" s="5" t="str">
        <f>IFERROR(__xludf.DUMMYFUNCTION("""COMPUTED_VALUE"""),"0.05/30")</f>
        <v>0.05/30</v>
      </c>
      <c r="AE216" s="5"/>
      <c r="AF216" s="5"/>
      <c r="AG216" s="8">
        <f>IFERROR(__xludf.DUMMYFUNCTION("""COMPUTED_VALUE"""),46157.44789351852)</f>
        <v>46157.44789</v>
      </c>
      <c r="AH216" s="5"/>
      <c r="AI216" s="5"/>
      <c r="AJ216" s="5"/>
      <c r="AK216" s="5">
        <f>IFERROR(__xludf.DUMMYFUNCTION("""COMPUTED_VALUE"""),1.0)</f>
        <v>1</v>
      </c>
      <c r="AL216" s="5" t="str">
        <f>IFERROR(__xludf.DUMMYFUNCTION("""COMPUTED_VALUE"""),"No")</f>
        <v>No</v>
      </c>
      <c r="AM216" s="5" t="str">
        <f>IFERROR(__xludf.DUMMYFUNCTION("""COMPUTED_VALUE"""),"No")</f>
        <v>No</v>
      </c>
      <c r="AN216" s="7" t="str">
        <f>IFERROR(__xludf.DUMMYFUNCTION("""COMPUTED_VALUE"""),"https://static.redstone.rs/games/5-crown-fire/")</f>
        <v>https://static.redstone.rs/games/5-crown-fire/</v>
      </c>
      <c r="AO216" s="5" t="str">
        <f>IFERROR(__xludf.DUMMYFUNCTION("""COMPUTED_VALUE"""),"No")</f>
        <v>No</v>
      </c>
      <c r="AP216" s="5" t="str">
        <f>IFERROR(__xludf.DUMMYFUNCTION("""COMPUTED_VALUE"""),"No")</f>
        <v>No</v>
      </c>
      <c r="AQ216" s="5" t="b">
        <f>IFERROR(__xludf.DUMMYFUNCTION("""COMPUTED_VALUE"""),TRUE)</f>
        <v>1</v>
      </c>
      <c r="AR216" s="5"/>
      <c r="AS216" s="5" t="str">
        <f>IFERROR(__xludf.DUMMYFUNCTION("""COMPUTED_VALUE"""),"Royal games give royal wins! Find your lucky crown and feel the power of fruits with new 5 lined game.")</f>
        <v>Royal games give royal wins! Find your lucky crown and feel the power of fruits with new 5 lined game.</v>
      </c>
      <c r="AT216" s="5"/>
      <c r="AU216" s="5" t="str">
        <f>IFERROR(__xludf.DUMMYFUNCTION("""COMPUTED_VALUE"""),"Redstone")</f>
        <v>Redstone</v>
      </c>
      <c r="AV216" s="5"/>
      <c r="AW216" s="5"/>
      <c r="AX216" s="5"/>
      <c r="AY216" s="5"/>
      <c r="AZ216" s="5"/>
      <c r="BA216" s="5"/>
      <c r="BB216" s="5" t="b">
        <f>IFERROR(__xludf.DUMMYFUNCTION("""COMPUTED_VALUE"""),TRUE)</f>
        <v>1</v>
      </c>
      <c r="BC216" s="5" t="str">
        <f>IFERROR(__xludf.DUMMYFUNCTION("""COMPUTED_VALUE"""),"Redstone")</f>
        <v>Redstone</v>
      </c>
      <c r="BD216" s="7" t="str">
        <f>IFERROR(__xludf.DUMMYFUNCTION("""COMPUTED_VALUE"""),"https://static.redstone.rs/games/5-crown-fire/")</f>
        <v>https://static.redstone.rs/games/5-crown-fire/</v>
      </c>
      <c r="BE216" s="5" t="b">
        <f>IFERROR(__xludf.DUMMYFUNCTION("""COMPUTED_VALUE"""),TRUE)</f>
        <v>1</v>
      </c>
    </row>
    <row r="217">
      <c r="A217" s="5">
        <f>IFERROR(__xludf.DUMMYFUNCTION("""COMPUTED_VALUE"""),217.0)</f>
        <v>217</v>
      </c>
      <c r="B217" s="5">
        <f>IFERROR(__xludf.DUMMYFUNCTION("""COMPUTED_VALUE"""),216.0)</f>
        <v>216</v>
      </c>
      <c r="C217" s="5"/>
      <c r="D217" s="5" t="str">
        <f>IFERROR(__xludf.DUMMYFUNCTION("""COMPUTED_VALUE"""),"Shining Presents")</f>
        <v>Shining Presents</v>
      </c>
      <c r="E217" s="5"/>
      <c r="F217" s="5" t="str">
        <f>IFERROR(__xludf.DUMMYFUNCTION("""COMPUTED_VALUE"""),"ShiningPresents")</f>
        <v>ShiningPresents</v>
      </c>
      <c r="G217" s="5" t="str">
        <f>IFERROR(__xludf.DUMMYFUNCTION("""COMPUTED_VALUE"""),"Live")</f>
        <v>Live</v>
      </c>
      <c r="H217" s="5"/>
      <c r="I217" s="5"/>
      <c r="J217" s="5"/>
      <c r="K217" s="5" t="str">
        <f>IFERROR(__xludf.DUMMYFUNCTION("""COMPUTED_VALUE"""),"Slot")</f>
        <v>Slot</v>
      </c>
      <c r="L217" s="5"/>
      <c r="M217" s="5"/>
      <c r="N217" s="5"/>
      <c r="O217" s="5"/>
      <c r="P217" s="12"/>
      <c r="Q217" s="13">
        <f>IFERROR(__xludf.DUMMYFUNCTION("""COMPUTED_VALUE"""),43831.0)</f>
        <v>43831</v>
      </c>
      <c r="R217" s="14"/>
      <c r="S217" s="13">
        <f>IFERROR(__xludf.DUMMYFUNCTION("""COMPUTED_VALUE"""),43831.0)</f>
        <v>43831</v>
      </c>
      <c r="T217" s="5"/>
      <c r="U217" s="16"/>
      <c r="V217" s="10" t="str">
        <f>IFERROR(__xludf.DUMMYFUNCTION("""COMPUTED_VALUE"""),"10")</f>
        <v>10</v>
      </c>
      <c r="W217" s="10"/>
      <c r="X217" s="11">
        <f>IFERROR(__xludf.DUMMYFUNCTION("""COMPUTED_VALUE"""),0.0)</f>
        <v>0</v>
      </c>
      <c r="Y217" s="17"/>
      <c r="Z217" s="5">
        <f>IFERROR(__xludf.DUMMYFUNCTION("""COMPUTED_VALUE"""),0.0)</f>
        <v>0</v>
      </c>
      <c r="AA217" s="12"/>
      <c r="AB217" s="5"/>
      <c r="AC217" s="18"/>
      <c r="AD217" s="5"/>
      <c r="AE217" s="5"/>
      <c r="AF217" s="5"/>
      <c r="AG217" s="5"/>
      <c r="AH217" s="5"/>
      <c r="AI217" s="5"/>
      <c r="AJ217" s="5"/>
      <c r="AK217" s="5" t="str">
        <f>IFERROR(__xludf.DUMMYFUNCTION("""COMPUTED_VALUE"""),"NULL")</f>
        <v>NULL</v>
      </c>
      <c r="AL217" s="5" t="str">
        <f>IFERROR(__xludf.DUMMYFUNCTION("""COMPUTED_VALUE"""),"Yes")</f>
        <v>Yes</v>
      </c>
      <c r="AM217" s="5"/>
      <c r="AN217" s="5"/>
      <c r="AO217" s="5"/>
      <c r="AP217" s="5"/>
      <c r="AQ217" s="5"/>
      <c r="AR217" s="5"/>
      <c r="AS217" s="5"/>
      <c r="AT217" s="5"/>
      <c r="AU217" s="5"/>
      <c r="AV217" s="5"/>
      <c r="AW217" s="5"/>
      <c r="AX217" s="5"/>
      <c r="AY217" s="5"/>
      <c r="AZ217" s="5"/>
      <c r="BA217" s="5" t="str">
        <f>IFERROR(__xludf.DUMMYFUNCTION("""COMPUTED_VALUE"""),"")</f>
        <v/>
      </c>
      <c r="BB217" s="5"/>
      <c r="BC217" s="5"/>
      <c r="BD217" s="5"/>
      <c r="BE217" s="5"/>
    </row>
    <row r="218">
      <c r="A218" s="5">
        <f>IFERROR(__xludf.DUMMYFUNCTION("""COMPUTED_VALUE"""),218.0)</f>
        <v>218</v>
      </c>
      <c r="B218" s="5">
        <f>IFERROR(__xludf.DUMMYFUNCTION("""COMPUTED_VALUE"""),217.0)</f>
        <v>217</v>
      </c>
      <c r="C218" s="5" t="str">
        <f>IFERROR(__xludf.DUMMYFUNCTION("""COMPUTED_VALUE"""),"Redstone")</f>
        <v>Redstone</v>
      </c>
      <c r="D218" s="5" t="str">
        <f>IFERROR(__xludf.DUMMYFUNCTION("""COMPUTED_VALUE"""),"10 Wild Santa")</f>
        <v>10 Wild Santa</v>
      </c>
      <c r="E218" s="5" t="str">
        <f>IFERROR(__xludf.DUMMYFUNCTION("""COMPUTED_VALUE"""),"Redstone")</f>
        <v>Redstone</v>
      </c>
      <c r="F218" s="5" t="str">
        <f>IFERROR(__xludf.DUMMYFUNCTION("""COMPUTED_VALUE"""),"WildSanta10")</f>
        <v>WildSanta10</v>
      </c>
      <c r="G218" s="5" t="str">
        <f>IFERROR(__xludf.DUMMYFUNCTION("""COMPUTED_VALUE"""),"Live")</f>
        <v>Live</v>
      </c>
      <c r="H218" s="5"/>
      <c r="I218" s="5" t="str">
        <f>IFERROR(__xludf.DUMMYFUNCTION("""COMPUTED_VALUE"""),"Redstone")</f>
        <v>Redstone</v>
      </c>
      <c r="J218" s="5" t="str">
        <f>IFERROR(__xludf.DUMMYFUNCTION("""COMPUTED_VALUE"""),"JSON")</f>
        <v>JSON</v>
      </c>
      <c r="K218" s="5" t="str">
        <f>IFERROR(__xludf.DUMMYFUNCTION("""COMPUTED_VALUE"""),"Slot")</f>
        <v>Slot</v>
      </c>
      <c r="L218" s="5" t="str">
        <f>IFERROR(__xludf.DUMMYFUNCTION("""COMPUTED_VALUE""")," Clone")</f>
        <v> Clone</v>
      </c>
      <c r="M218" s="5" t="str">
        <f>IFERROR(__xludf.DUMMYFUNCTION("""COMPUTED_VALUE"""),"10 Wild Crown")</f>
        <v>10 Wild Crown</v>
      </c>
      <c r="N218" s="7" t="str">
        <f>IFERROR(__xludf.DUMMYFUNCTION("""COMPUTED_VALUE"""),"https://docs.google.com/document/d/1ii0_QkxaCFxXavCrS8KNhdx3kzW9zbwY/edit?usp=drive_link&amp;ouid=107596163405648766688&amp;rtpof=true&amp;sd=true")</f>
        <v>https://docs.google.com/document/d/1ii0_QkxaCFxXavCrS8KNhdx3kzW9zbwY/edit?usp=drive_link&amp;ouid=107596163405648766688&amp;rtpof=true&amp;sd=true</v>
      </c>
      <c r="O218" s="7" t="str">
        <f>IFERROR(__xludf.DUMMYFUNCTION("""COMPUTED_VALUE"""),"https://docs.google.com/document/d/1txtwr-pAHX9QQRScOW9XMiBsl6PAZZkH/edit?usp=drive_link&amp;ouid=107596163405648766688&amp;rtpof=true&amp;sd=true")</f>
        <v>https://docs.google.com/document/d/1txtwr-pAHX9QQRScOW9XMiBsl6PAZZkH/edit?usp=drive_link&amp;ouid=107596163405648766688&amp;rtpof=true&amp;sd=true</v>
      </c>
      <c r="P218" s="12">
        <f>IFERROR(__xludf.DUMMYFUNCTION("""COMPUTED_VALUE"""),8.5)</f>
        <v>8.5</v>
      </c>
      <c r="Q218" s="13">
        <f>IFERROR(__xludf.DUMMYFUNCTION("""COMPUTED_VALUE"""),44901.0)</f>
        <v>44901</v>
      </c>
      <c r="R218" s="14"/>
      <c r="S218" s="13">
        <f>IFERROR(__xludf.DUMMYFUNCTION("""COMPUTED_VALUE"""),44901.0)</f>
        <v>44901</v>
      </c>
      <c r="T218" s="5"/>
      <c r="U218" s="5" t="str">
        <f>IFERROR(__xludf.DUMMYFUNCTION("""COMPUTED_VALUE"""),"5x3")</f>
        <v>5x3</v>
      </c>
      <c r="V218" s="10" t="str">
        <f>IFERROR(__xludf.DUMMYFUNCTION("""COMPUTED_VALUE"""),"10")</f>
        <v>10</v>
      </c>
      <c r="W218" s="10" t="str">
        <f>IFERROR(__xludf.DUMMYFUNCTION("""COMPUTED_VALUE"""),"10")</f>
        <v>10</v>
      </c>
      <c r="X218" s="5">
        <f>IFERROR(__xludf.DUMMYFUNCTION("""COMPUTED_VALUE"""),95.96)</f>
        <v>95.96</v>
      </c>
      <c r="Y218" s="5" t="str">
        <f>IFERROR(__xludf.DUMMYFUNCTION("""COMPUTED_VALUE"""),"Medium")</f>
        <v>Medium</v>
      </c>
      <c r="Z218" s="5">
        <f>IFERROR(__xludf.DUMMYFUNCTION("""COMPUTED_VALUE"""),14.63)</f>
        <v>14.63</v>
      </c>
      <c r="AA218" s="12">
        <f>IFERROR(__xludf.DUMMYFUNCTION("""COMPUTED_VALUE"""),1538.0)</f>
        <v>1538</v>
      </c>
      <c r="AB218" s="5"/>
      <c r="AC218" s="5" t="str">
        <f>IFERROR(__xludf.DUMMYFUNCTION("""COMPUTED_VALUE"""),"Expanding Wild, Scatter")</f>
        <v>Expanding Wild, Scatter</v>
      </c>
      <c r="AD218" s="5" t="str">
        <f>IFERROR(__xludf.DUMMYFUNCTION("""COMPUTED_VALUE"""),"0.10/40")</f>
        <v>0.10/40</v>
      </c>
      <c r="AE218" s="5"/>
      <c r="AF218" s="5"/>
      <c r="AG218" s="8">
        <f>IFERROR(__xludf.DUMMYFUNCTION("""COMPUTED_VALUE"""),46157.44800925926)</f>
        <v>46157.44801</v>
      </c>
      <c r="AH218" s="5"/>
      <c r="AI218" s="5"/>
      <c r="AJ218" s="5"/>
      <c r="AK218" s="5">
        <f>IFERROR(__xludf.DUMMYFUNCTION("""COMPUTED_VALUE"""),1.0)</f>
        <v>1</v>
      </c>
      <c r="AL218" s="5" t="str">
        <f>IFERROR(__xludf.DUMMYFUNCTION("""COMPUTED_VALUE"""),"No")</f>
        <v>No</v>
      </c>
      <c r="AM218" s="5" t="str">
        <f>IFERROR(__xludf.DUMMYFUNCTION("""COMPUTED_VALUE"""),"No")</f>
        <v>No</v>
      </c>
      <c r="AN218" s="7" t="str">
        <f>IFERROR(__xludf.DUMMYFUNCTION("""COMPUTED_VALUE"""),"https://static.redstone.rs/games/10-wild-santa/")</f>
        <v>https://static.redstone.rs/games/10-wild-santa/</v>
      </c>
      <c r="AO218" s="5" t="str">
        <f>IFERROR(__xludf.DUMMYFUNCTION("""COMPUTED_VALUE"""),"No")</f>
        <v>No</v>
      </c>
      <c r="AP218" s="5" t="str">
        <f>IFERROR(__xludf.DUMMYFUNCTION("""COMPUTED_VALUE"""),"No")</f>
        <v>No</v>
      </c>
      <c r="AQ218" s="5" t="b">
        <f>IFERROR(__xludf.DUMMYFUNCTION("""COMPUTED_VALUE"""),TRUE)</f>
        <v>1</v>
      </c>
      <c r="AR218" s="5"/>
      <c r="AS218" s="5" t="str">
        <f>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AT218" s="5"/>
      <c r="AU218" s="5" t="str">
        <f>IFERROR(__xludf.DUMMYFUNCTION("""COMPUTED_VALUE"""),"Redstone")</f>
        <v>Redstone</v>
      </c>
      <c r="AV218" s="5"/>
      <c r="AW218" s="5"/>
      <c r="AX218" s="5"/>
      <c r="AY218" s="5"/>
      <c r="AZ218" s="5"/>
      <c r="BA218" s="5"/>
      <c r="BB218" s="5" t="b">
        <f>IFERROR(__xludf.DUMMYFUNCTION("""COMPUTED_VALUE"""),TRUE)</f>
        <v>1</v>
      </c>
      <c r="BC218" s="5" t="str">
        <f>IFERROR(__xludf.DUMMYFUNCTION("""COMPUTED_VALUE"""),"Redstone")</f>
        <v>Redstone</v>
      </c>
      <c r="BD218" s="7" t="str">
        <f>IFERROR(__xludf.DUMMYFUNCTION("""COMPUTED_VALUE"""),"https://static.redstone.rs/games/10-wild-santa/")</f>
        <v>https://static.redstone.rs/games/10-wild-santa/</v>
      </c>
      <c r="BE218" s="5" t="b">
        <f>IFERROR(__xludf.DUMMYFUNCTION("""COMPUTED_VALUE"""),TRUE)</f>
        <v>1</v>
      </c>
    </row>
    <row r="219">
      <c r="A219" s="5">
        <f>IFERROR(__xludf.DUMMYFUNCTION("""COMPUTED_VALUE"""),219.0)</f>
        <v>219</v>
      </c>
      <c r="B219" s="5">
        <f>IFERROR(__xludf.DUMMYFUNCTION("""COMPUTED_VALUE"""),218.0)</f>
        <v>218</v>
      </c>
      <c r="C219" s="5" t="str">
        <f>IFERROR(__xludf.DUMMYFUNCTION("""COMPUTED_VALUE"""),"Tiptop")</f>
        <v>Tiptop</v>
      </c>
      <c r="D219" s="5" t="str">
        <f>IFERROR(__xludf.DUMMYFUNCTION("""COMPUTED_VALUE"""),"Fast Fruits")</f>
        <v>Fast Fruits</v>
      </c>
      <c r="E219" s="5"/>
      <c r="F219" s="5" t="str">
        <f>IFERROR(__xludf.DUMMYFUNCTION("""COMPUTED_VALUE"""),"UnicornFastFruits")</f>
        <v>UnicornFastFruits</v>
      </c>
      <c r="G219" s="5" t="str">
        <f>IFERROR(__xludf.DUMMYFUNCTION("""COMPUTED_VALUE"""),"Live")</f>
        <v>Live</v>
      </c>
      <c r="H219" s="5"/>
      <c r="I219" s="5" t="str">
        <f>IFERROR(__xludf.DUMMYFUNCTION("""COMPUTED_VALUE"""),"TipTop")</f>
        <v>TipTop</v>
      </c>
      <c r="J219" s="5" t="str">
        <f>IFERROR(__xludf.DUMMYFUNCTION("""COMPUTED_VALUE"""),"JSON")</f>
        <v>JSON</v>
      </c>
      <c r="K219" s="5" t="str">
        <f>IFERROR(__xludf.DUMMYFUNCTION("""COMPUTED_VALUE"""),"Slot")</f>
        <v>Slot</v>
      </c>
      <c r="L219" s="5"/>
      <c r="M219" s="5"/>
      <c r="N219" s="5"/>
      <c r="O219" s="5"/>
      <c r="P219" s="12">
        <f>IFERROR(__xludf.DUMMYFUNCTION("""COMPUTED_VALUE"""),13.4)</f>
        <v>13.4</v>
      </c>
      <c r="Q219" s="13">
        <f>IFERROR(__xludf.DUMMYFUNCTION("""COMPUTED_VALUE"""),44887.0)</f>
        <v>44887</v>
      </c>
      <c r="R219" s="14"/>
      <c r="S219" s="13">
        <f>IFERROR(__xludf.DUMMYFUNCTION("""COMPUTED_VALUE"""),44887.0)</f>
        <v>44887</v>
      </c>
      <c r="T219" s="5"/>
      <c r="U219" s="5" t="str">
        <f>IFERROR(__xludf.DUMMYFUNCTION("""COMPUTED_VALUE"""),"5X3")</f>
        <v>5X3</v>
      </c>
      <c r="V219" s="10" t="str">
        <f>IFERROR(__xludf.DUMMYFUNCTION("""COMPUTED_VALUE"""),"10")</f>
        <v>10</v>
      </c>
      <c r="W219" s="10" t="str">
        <f>IFERROR(__xludf.DUMMYFUNCTION("""COMPUTED_VALUE"""),"10")</f>
        <v>10</v>
      </c>
      <c r="X219" s="5">
        <f>IFERROR(__xludf.DUMMYFUNCTION("""COMPUTED_VALUE"""),96.0)</f>
        <v>96</v>
      </c>
      <c r="Y219" s="5" t="str">
        <f>IFERROR(__xludf.DUMMYFUNCTION("""COMPUTED_VALUE"""),"Low")</f>
        <v>Low</v>
      </c>
      <c r="Z219" s="5">
        <f>IFERROR(__xludf.DUMMYFUNCTION("""COMPUTED_VALUE"""),10.24)</f>
        <v>10.24</v>
      </c>
      <c r="AA219" s="12">
        <f>IFERROR(__xludf.DUMMYFUNCTION("""COMPUTED_VALUE"""),1000.0)</f>
        <v>1000</v>
      </c>
      <c r="AB219" s="5"/>
      <c r="AC219" s="5"/>
      <c r="AD219" s="5" t="str">
        <f>IFERROR(__xludf.DUMMYFUNCTION("""COMPUTED_VALUE"""),"0.1/100")</f>
        <v>0.1/100</v>
      </c>
      <c r="AE219" s="5"/>
      <c r="AF219" s="5"/>
      <c r="AG219" s="8">
        <f>IFERROR(__xludf.DUMMYFUNCTION("""COMPUTED_VALUE"""),46197.45427083333)</f>
        <v>46197.45427</v>
      </c>
      <c r="AH219" s="5" t="str">
        <f>IFERROR(__xludf.DUMMYFUNCTION("""COMPUTED_VALUE"""),"selena.mihajlovic@fazi.rs")</f>
        <v>selena.mihajlovic@fazi.rs</v>
      </c>
      <c r="AI219" s="5"/>
      <c r="AJ219" s="5"/>
      <c r="AK219" s="5">
        <f>IFERROR(__xludf.DUMMYFUNCTION("""COMPUTED_VALUE"""),10.0)</f>
        <v>10</v>
      </c>
      <c r="AL219" s="5" t="str">
        <f>IFERROR(__xludf.DUMMYFUNCTION("""COMPUTED_VALUE"""),"No")</f>
        <v>No</v>
      </c>
      <c r="AM219" s="5"/>
      <c r="AN219" s="7" t="str">
        <f>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AO219" s="5"/>
      <c r="AP219" s="5"/>
      <c r="AQ219" s="5" t="b">
        <f>IFERROR(__xludf.DUMMYFUNCTION("""COMPUTED_VALUE"""),TRUE)</f>
        <v>1</v>
      </c>
      <c r="AR219" s="5"/>
      <c r="AS219" s="5" t="str">
        <f>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AT219" s="5"/>
      <c r="AU219" s="5" t="str">
        <f>IFERROR(__xludf.DUMMYFUNCTION("""COMPUTED_VALUE"""),"Fazi")</f>
        <v>Fazi</v>
      </c>
      <c r="AV219" s="5"/>
      <c r="AW219" s="5"/>
      <c r="AX219" s="5"/>
      <c r="AY219" s="5"/>
      <c r="AZ219" s="5"/>
      <c r="BA219" s="5"/>
      <c r="BB219" s="5" t="b">
        <f>IFERROR(__xludf.DUMMYFUNCTION("""COMPUTED_VALUE"""),TRUE)</f>
        <v>1</v>
      </c>
      <c r="BC219" s="5" t="str">
        <f>IFERROR(__xludf.DUMMYFUNCTION("""COMPUTED_VALUE"""),"Tiptop")</f>
        <v>Tiptop</v>
      </c>
      <c r="BD219" s="7" t="str">
        <f>IFERROR(__xludf.DUMMYFUNCTION("""COMPUTED_VALUE"""),"https://gameserver-store-client-area.orbionlimited.com/Home/IntegrationGameLaunch/client-area?moneyType=0&amp;gameName=UnicornFastFruits&amp;platform=desktop&amp;languageCode=eng&amp;currency=EUR")</f>
        <v>https://gameserver-store-client-area.orbionlimited.com/Home/IntegrationGameLaunch/client-area?moneyType=0&amp;gameName=UnicornFastFruits&amp;platform=desktop&amp;languageCode=eng&amp;currency=EUR</v>
      </c>
      <c r="BE219" s="5" t="b">
        <f>IFERROR(__xludf.DUMMYFUNCTION("""COMPUTED_VALUE"""),TRUE)</f>
        <v>1</v>
      </c>
    </row>
    <row r="220">
      <c r="A220" s="5">
        <f>IFERROR(__xludf.DUMMYFUNCTION("""COMPUTED_VALUE"""),220.0)</f>
        <v>220</v>
      </c>
      <c r="B220" s="5">
        <f>IFERROR(__xludf.DUMMYFUNCTION("""COMPUTED_VALUE"""),219.0)</f>
        <v>219</v>
      </c>
      <c r="C220" s="5" t="str">
        <f>IFERROR(__xludf.DUMMYFUNCTION("""COMPUTED_VALUE"""),"Tiptop")</f>
        <v>Tiptop</v>
      </c>
      <c r="D220" s="5" t="str">
        <f>IFERROR(__xludf.DUMMYFUNCTION("""COMPUTED_VALUE"""),"Money Standard Wild")</f>
        <v>Money Standard Wild</v>
      </c>
      <c r="E220" s="5"/>
      <c r="F220" s="5" t="str">
        <f>IFERROR(__xludf.DUMMYFUNCTION("""COMPUTED_VALUE"""),"UnicornMoneyStandardWild")</f>
        <v>UnicornMoneyStandardWild</v>
      </c>
      <c r="G220" s="5" t="str">
        <f>IFERROR(__xludf.DUMMYFUNCTION("""COMPUTED_VALUE"""),"Live")</f>
        <v>Live</v>
      </c>
      <c r="H220" s="5"/>
      <c r="I220" s="5" t="str">
        <f>IFERROR(__xludf.DUMMYFUNCTION("""COMPUTED_VALUE"""),"TipTop")</f>
        <v>TipTop</v>
      </c>
      <c r="J220" s="5" t="str">
        <f>IFERROR(__xludf.DUMMYFUNCTION("""COMPUTED_VALUE"""),"JSON")</f>
        <v>JSON</v>
      </c>
      <c r="K220" s="5" t="str">
        <f>IFERROR(__xludf.DUMMYFUNCTION("""COMPUTED_VALUE"""),"Slot")</f>
        <v>Slot</v>
      </c>
      <c r="L220" s="5"/>
      <c r="M220" s="5"/>
      <c r="N220" s="5"/>
      <c r="O220" s="5"/>
      <c r="P220" s="12">
        <f>IFERROR(__xludf.DUMMYFUNCTION("""COMPUTED_VALUE"""),14.6)</f>
        <v>14.6</v>
      </c>
      <c r="Q220" s="13">
        <f>IFERROR(__xludf.DUMMYFUNCTION("""COMPUTED_VALUE"""),44901.0)</f>
        <v>44901</v>
      </c>
      <c r="R220" s="14"/>
      <c r="S220" s="13">
        <f>IFERROR(__xludf.DUMMYFUNCTION("""COMPUTED_VALUE"""),44901.0)</f>
        <v>44901</v>
      </c>
      <c r="T220" s="5"/>
      <c r="U220" s="5" t="str">
        <f>IFERROR(__xludf.DUMMYFUNCTION("""COMPUTED_VALUE"""),"5X4")</f>
        <v>5X4</v>
      </c>
      <c r="V220" s="10" t="str">
        <f>IFERROR(__xludf.DUMMYFUNCTION("""COMPUTED_VALUE"""),"20")</f>
        <v>20</v>
      </c>
      <c r="W220" s="10" t="str">
        <f>IFERROR(__xludf.DUMMYFUNCTION("""COMPUTED_VALUE"""),"20")</f>
        <v>20</v>
      </c>
      <c r="X220" s="5">
        <f>IFERROR(__xludf.DUMMYFUNCTION("""COMPUTED_VALUE"""),96.0)</f>
        <v>96</v>
      </c>
      <c r="Y220" s="5" t="str">
        <f>IFERROR(__xludf.DUMMYFUNCTION("""COMPUTED_VALUE"""),"Medium")</f>
        <v>Medium</v>
      </c>
      <c r="Z220" s="5">
        <f>IFERROR(__xludf.DUMMYFUNCTION("""COMPUTED_VALUE"""),10.94)</f>
        <v>10.94</v>
      </c>
      <c r="AA220" s="12">
        <f>IFERROR(__xludf.DUMMYFUNCTION("""COMPUTED_VALUE"""),5000.0)</f>
        <v>5000</v>
      </c>
      <c r="AB220" s="5"/>
      <c r="AC220" s="5" t="str">
        <f>IFERROR(__xludf.DUMMYFUNCTION("""COMPUTED_VALUE"""),"Wild Symbol")</f>
        <v>Wild Symbol</v>
      </c>
      <c r="AD220" s="5" t="str">
        <f>IFERROR(__xludf.DUMMYFUNCTION("""COMPUTED_VALUE"""),"0.2/100")</f>
        <v>0.2/100</v>
      </c>
      <c r="AE220" s="5"/>
      <c r="AF220" s="5"/>
      <c r="AG220" s="8">
        <f>IFERROR(__xludf.DUMMYFUNCTION("""COMPUTED_VALUE"""),46197.45465277778)</f>
        <v>46197.45465</v>
      </c>
      <c r="AH220" s="5" t="str">
        <f>IFERROR(__xludf.DUMMYFUNCTION("""COMPUTED_VALUE"""),"selena.mihajlovic@fazi.rs")</f>
        <v>selena.mihajlovic@fazi.rs</v>
      </c>
      <c r="AI220" s="5"/>
      <c r="AJ220" s="5"/>
      <c r="AK220" s="5">
        <f>IFERROR(__xludf.DUMMYFUNCTION("""COMPUTED_VALUE"""),20.0)</f>
        <v>20</v>
      </c>
      <c r="AL220" s="5" t="str">
        <f>IFERROR(__xludf.DUMMYFUNCTION("""COMPUTED_VALUE"""),"No")</f>
        <v>No</v>
      </c>
      <c r="AM220" s="5"/>
      <c r="AN220" s="7" t="str">
        <f>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AO220" s="5"/>
      <c r="AP220" s="5"/>
      <c r="AQ220" s="5" t="b">
        <f>IFERROR(__xludf.DUMMYFUNCTION("""COMPUTED_VALUE"""),TRUE)</f>
        <v>1</v>
      </c>
      <c r="AR220" s="5"/>
      <c r="AS220" s="5" t="str">
        <f>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AT220" s="5"/>
      <c r="AU220" s="5" t="str">
        <f>IFERROR(__xludf.DUMMYFUNCTION("""COMPUTED_VALUE"""),"Fazi")</f>
        <v>Fazi</v>
      </c>
      <c r="AV220" s="5"/>
      <c r="AW220" s="5"/>
      <c r="AX220" s="5"/>
      <c r="AY220" s="5"/>
      <c r="AZ220" s="5"/>
      <c r="BA220" s="5"/>
      <c r="BB220" s="5" t="b">
        <f>IFERROR(__xludf.DUMMYFUNCTION("""COMPUTED_VALUE"""),TRUE)</f>
        <v>1</v>
      </c>
      <c r="BC220" s="5" t="str">
        <f>IFERROR(__xludf.DUMMYFUNCTION("""COMPUTED_VALUE"""),"Tiptop")</f>
        <v>Tiptop</v>
      </c>
      <c r="BD220" s="7" t="str">
        <f>IFERROR(__xludf.DUMMYFUNCTION("""COMPUTED_VALUE"""),"https://gameserver-store-client-area.orbionlimited.com/Home/IntegrationGameLaunch/client-area?moneyType=0&amp;gameName=UnicornMoneyStandardWild&amp;platform=desktop&amp;languageCode=eng&amp;currency=EUR")</f>
        <v>https://gameserver-store-client-area.orbionlimited.com/Home/IntegrationGameLaunch/client-area?moneyType=0&amp;gameName=UnicornMoneyStandardWild&amp;platform=desktop&amp;languageCode=eng&amp;currency=EUR</v>
      </c>
      <c r="BE220" s="5" t="b">
        <f>IFERROR(__xludf.DUMMYFUNCTION("""COMPUTED_VALUE"""),TRUE)</f>
        <v>1</v>
      </c>
    </row>
    <row r="221">
      <c r="A221" s="5">
        <f>IFERROR(__xludf.DUMMYFUNCTION("""COMPUTED_VALUE"""),221.0)</f>
        <v>221</v>
      </c>
      <c r="B221" s="5">
        <f>IFERROR(__xludf.DUMMYFUNCTION("""COMPUTED_VALUE"""),220.0)</f>
        <v>220</v>
      </c>
      <c r="C221" s="5" t="str">
        <f>IFERROR(__xludf.DUMMYFUNCTION("""COMPUTED_VALUE"""),"Fazi")</f>
        <v>Fazi</v>
      </c>
      <c r="D221" s="5" t="str">
        <f>IFERROR(__xludf.DUMMYFUNCTION("""COMPUTED_VALUE"""),"Wild Hot 40 Blow")</f>
        <v>Wild Hot 40 Blow</v>
      </c>
      <c r="E221" s="5" t="str">
        <f>IFERROR(__xludf.DUMMYFUNCTION("""COMPUTED_VALUE"""),"V2")</f>
        <v>V2</v>
      </c>
      <c r="F221" s="5" t="str">
        <f>IFERROR(__xludf.DUMMYFUNCTION("""COMPUTED_VALUE"""),"WildHot40Blow")</f>
        <v>WildHot40Blow</v>
      </c>
      <c r="G221" s="5" t="str">
        <f>IFERROR(__xludf.DUMMYFUNCTION("""COMPUTED_VALUE"""),"Live")</f>
        <v>Live</v>
      </c>
      <c r="H221" s="5"/>
      <c r="I221" s="5" t="str">
        <f>IFERROR(__xludf.DUMMYFUNCTION("""COMPUTED_VALUE"""),"V2")</f>
        <v>V2</v>
      </c>
      <c r="J221" s="5" t="str">
        <f>IFERROR(__xludf.DUMMYFUNCTION("""COMPUTED_VALUE"""),"JSON")</f>
        <v>JSON</v>
      </c>
      <c r="K221" s="5" t="str">
        <f>IFERROR(__xludf.DUMMYFUNCTION("""COMPUTED_VALUE"""),"Slot")</f>
        <v>Slot</v>
      </c>
      <c r="L221" s="5"/>
      <c r="M221" s="5"/>
      <c r="N221" s="5"/>
      <c r="O221" s="5"/>
      <c r="P221" s="12">
        <f>IFERROR(__xludf.DUMMYFUNCTION("""COMPUTED_VALUE"""),35.0)</f>
        <v>35</v>
      </c>
      <c r="Q221" s="13">
        <f>IFERROR(__xludf.DUMMYFUNCTION("""COMPUTED_VALUE"""),44910.0)</f>
        <v>44910</v>
      </c>
      <c r="R221" s="14"/>
      <c r="S221" s="13">
        <f>IFERROR(__xludf.DUMMYFUNCTION("""COMPUTED_VALUE"""),44910.0)</f>
        <v>44910</v>
      </c>
      <c r="T221" s="5" t="b">
        <f>IFERROR(__xludf.DUMMYFUNCTION("""COMPUTED_VALUE"""),TRUE)</f>
        <v>1</v>
      </c>
      <c r="U221" s="5" t="str">
        <f>IFERROR(__xludf.DUMMYFUNCTION("""COMPUTED_VALUE"""),"5x4")</f>
        <v>5x4</v>
      </c>
      <c r="V221" s="10" t="str">
        <f>IFERROR(__xludf.DUMMYFUNCTION("""COMPUTED_VALUE"""),"40")</f>
        <v>40</v>
      </c>
      <c r="W221" s="10" t="str">
        <f>IFERROR(__xludf.DUMMYFUNCTION("""COMPUTED_VALUE"""),"40")</f>
        <v>40</v>
      </c>
      <c r="X221" s="5">
        <f>IFERROR(__xludf.DUMMYFUNCTION("""COMPUTED_VALUE"""),96.269)</f>
        <v>96.269</v>
      </c>
      <c r="Y221" s="5" t="str">
        <f>IFERROR(__xludf.DUMMYFUNCTION("""COMPUTED_VALUE"""),"Medium")</f>
        <v>Medium</v>
      </c>
      <c r="Z221" s="5">
        <f>IFERROR(__xludf.DUMMYFUNCTION("""COMPUTED_VALUE"""),13.88)</f>
        <v>13.88</v>
      </c>
      <c r="AA221" s="12">
        <f>IFERROR(__xludf.DUMMYFUNCTION("""COMPUTED_VALUE"""),1000.0)</f>
        <v>1000</v>
      </c>
      <c r="AB221" s="5">
        <f>IFERROR(__xludf.DUMMYFUNCTION("""COMPUTED_VALUE"""),35.0)</f>
        <v>35</v>
      </c>
      <c r="AC221" s="5" t="str">
        <f>IFERROR(__xludf.DUMMYFUNCTION("""COMPUTED_VALUE"""),"Wild Symbol, Scatter, Exploding Wild")</f>
        <v>Wild Symbol, Scatter, Exploding Wild</v>
      </c>
      <c r="AD221" s="5" t="str">
        <f>IFERROR(__xludf.DUMMYFUNCTION("""COMPUTED_VALUE"""),"0.40/60")</f>
        <v>0.40/60</v>
      </c>
      <c r="AE221" s="5"/>
      <c r="AF221" s="5"/>
      <c r="AG221" s="8">
        <f>IFERROR(__xludf.DUMMYFUNCTION("""COMPUTED_VALUE"""),46056.45491898148)</f>
        <v>46056.45492</v>
      </c>
      <c r="AH221" s="5" t="str">
        <f>IFERROR(__xludf.DUMMYFUNCTION("""COMPUTED_VALUE"""),"aleksandar.trajkovic@fazi.rs")</f>
        <v>aleksandar.trajkovic@fazi.rs</v>
      </c>
      <c r="AI221" s="5"/>
      <c r="AJ221" s="5"/>
      <c r="AK221" s="5">
        <f>IFERROR(__xludf.DUMMYFUNCTION("""COMPUTED_VALUE"""),40.0)</f>
        <v>40</v>
      </c>
      <c r="AL221" s="5" t="str">
        <f>IFERROR(__xludf.DUMMYFUNCTION("""COMPUTED_VALUE"""),"Yes")</f>
        <v>Yes</v>
      </c>
      <c r="AM221" s="5"/>
      <c r="AN221" s="7" t="str">
        <f>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AO221" s="5" t="str">
        <f>IFERROR(__xludf.DUMMYFUNCTION("""COMPUTED_VALUE"""),"Yes")</f>
        <v>Yes</v>
      </c>
      <c r="AP221" s="5" t="str">
        <f>IFERROR(__xludf.DUMMYFUNCTION("""COMPUTED_VALUE"""),"Yes")</f>
        <v>Yes</v>
      </c>
      <c r="AQ221" s="5" t="b">
        <f>IFERROR(__xludf.DUMMYFUNCTION("""COMPUTED_VALUE"""),TRUE)</f>
        <v>1</v>
      </c>
      <c r="AR221" s="5"/>
      <c r="AS221" s="5" t="str">
        <f>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AT221" s="5"/>
      <c r="AU221" s="5" t="str">
        <f>IFERROR(__xludf.DUMMYFUNCTION("""COMPUTED_VALUE"""),"Fazi")</f>
        <v>Fazi</v>
      </c>
      <c r="AV221" s="5"/>
      <c r="AW221" s="5"/>
      <c r="AX221" s="5"/>
      <c r="AY221" s="5" t="str">
        <f>IFERROR(__xludf.DUMMYFUNCTION("""COMPUTED_VALUE"""),"87.5%, 89.5%, 91.5%, 93.5%, 94.5%, 95.5%, 96.5%")</f>
        <v>87.5%, 89.5%, 91.5%, 93.5%, 94.5%, 95.5%, 96.5%</v>
      </c>
      <c r="AZ221" s="5"/>
      <c r="BA221" s="5" t="str">
        <f>IFERROR(__xludf.DUMMYFUNCTION("""COMPUTED_VALUE"""),"")</f>
        <v/>
      </c>
      <c r="BB221" s="5"/>
      <c r="BC221" s="5" t="str">
        <f>IFERROR(__xludf.DUMMYFUNCTION("""COMPUTED_VALUE"""),"Foxi")</f>
        <v>Foxi</v>
      </c>
      <c r="BD221" s="7" t="str">
        <f>IFERROR(__xludf.DUMMYFUNCTION("""COMPUTED_VALUE"""),"https://gameserver-store-client-area.orbionlimited.com/Home/IntegrationGameLaunch/client-area?moneyType=0&amp;gameName=WildHot40Blow&amp;platform=desktop&amp;languageCode=eng&amp;currency=EUR")</f>
        <v>https://gameserver-store-client-area.orbionlimited.com/Home/IntegrationGameLaunch/client-area?moneyType=0&amp;gameName=WildHot40Blow&amp;platform=desktop&amp;languageCode=eng&amp;currency=EUR</v>
      </c>
      <c r="BE221" s="5" t="b">
        <f>IFERROR(__xludf.DUMMYFUNCTION("""COMPUTED_VALUE"""),TRUE)</f>
        <v>1</v>
      </c>
    </row>
    <row r="222">
      <c r="A222" s="5">
        <f>IFERROR(__xludf.DUMMYFUNCTION("""COMPUTED_VALUE"""),222.0)</f>
        <v>222</v>
      </c>
      <c r="B222" s="5">
        <f>IFERROR(__xludf.DUMMYFUNCTION("""COMPUTED_VALUE"""),221.0)</f>
        <v>221</v>
      </c>
      <c r="C222" s="5" t="str">
        <f>IFERROR(__xludf.DUMMYFUNCTION("""COMPUTED_VALUE"""),"Tiptop")</f>
        <v>Tiptop</v>
      </c>
      <c r="D222" s="5" t="str">
        <f>IFERROR(__xludf.DUMMYFUNCTION("""COMPUTED_VALUE"""),"Dice Mega Cash")</f>
        <v>Dice Mega Cash</v>
      </c>
      <c r="E222" s="5"/>
      <c r="F222" s="5" t="str">
        <f>IFERROR(__xludf.DUMMYFUNCTION("""COMPUTED_VALUE"""),"UnicornDiceMegaCash")</f>
        <v>UnicornDiceMegaCash</v>
      </c>
      <c r="G222" s="5" t="str">
        <f>IFERROR(__xludf.DUMMYFUNCTION("""COMPUTED_VALUE"""),"Live")</f>
        <v>Live</v>
      </c>
      <c r="H222" s="5"/>
      <c r="I222" s="5" t="str">
        <f>IFERROR(__xludf.DUMMYFUNCTION("""COMPUTED_VALUE"""),"TipTop")</f>
        <v>TipTop</v>
      </c>
      <c r="J222" s="5" t="str">
        <f>IFERROR(__xludf.DUMMYFUNCTION("""COMPUTED_VALUE"""),"JSON")</f>
        <v>JSON</v>
      </c>
      <c r="K222" s="5" t="str">
        <f>IFERROR(__xludf.DUMMYFUNCTION("""COMPUTED_VALUE"""),"Dice Slots")</f>
        <v>Dice Slots</v>
      </c>
      <c r="L222" s="5"/>
      <c r="M222" s="5"/>
      <c r="N222" s="5"/>
      <c r="O222" s="5"/>
      <c r="P222" s="12">
        <f>IFERROR(__xludf.DUMMYFUNCTION("""COMPUTED_VALUE"""),12.7)</f>
        <v>12.7</v>
      </c>
      <c r="Q222" s="13">
        <f>IFERROR(__xludf.DUMMYFUNCTION("""COMPUTED_VALUE"""),44950.0)</f>
        <v>44950</v>
      </c>
      <c r="R222" s="14"/>
      <c r="S222" s="13">
        <f>IFERROR(__xludf.DUMMYFUNCTION("""COMPUTED_VALUE"""),44950.0)</f>
        <v>44950</v>
      </c>
      <c r="T222" s="5" t="b">
        <f>IFERROR(__xludf.DUMMYFUNCTION("""COMPUTED_VALUE"""),TRUE)</f>
        <v>1</v>
      </c>
      <c r="U222" s="5" t="str">
        <f>IFERROR(__xludf.DUMMYFUNCTION("""COMPUTED_VALUE"""),"5X3")</f>
        <v>5X3</v>
      </c>
      <c r="V222" s="10" t="str">
        <f>IFERROR(__xludf.DUMMYFUNCTION("""COMPUTED_VALUE"""),"10")</f>
        <v>10</v>
      </c>
      <c r="W222" s="10" t="str">
        <f>IFERROR(__xludf.DUMMYFUNCTION("""COMPUTED_VALUE"""),"10")</f>
        <v>10</v>
      </c>
      <c r="X222" s="5">
        <f>IFERROR(__xludf.DUMMYFUNCTION("""COMPUTED_VALUE"""),96.0)</f>
        <v>96</v>
      </c>
      <c r="Y222" s="5" t="str">
        <f>IFERROR(__xludf.DUMMYFUNCTION("""COMPUTED_VALUE"""),"Low")</f>
        <v>Low</v>
      </c>
      <c r="Z222" s="5">
        <f>IFERROR(__xludf.DUMMYFUNCTION("""COMPUTED_VALUE"""),21.22)</f>
        <v>21.22</v>
      </c>
      <c r="AA222" s="12">
        <f>IFERROR(__xludf.DUMMYFUNCTION("""COMPUTED_VALUE"""),5000.0)</f>
        <v>5000</v>
      </c>
      <c r="AB222" s="5"/>
      <c r="AC222" s="5" t="str">
        <f>IFERROR(__xludf.DUMMYFUNCTION("""COMPUTED_VALUE"""),"Scatter")</f>
        <v>Scatter</v>
      </c>
      <c r="AD222" s="5" t="str">
        <f>IFERROR(__xludf.DUMMYFUNCTION("""COMPUTED_VALUE"""),"0.1/100")</f>
        <v>0.1/100</v>
      </c>
      <c r="AE222" s="5"/>
      <c r="AF222" s="5"/>
      <c r="AG222" s="8">
        <f>IFERROR(__xludf.DUMMYFUNCTION("""COMPUTED_VALUE"""),46197.45637731482)</f>
        <v>46197.45638</v>
      </c>
      <c r="AH222" s="5" t="str">
        <f>IFERROR(__xludf.DUMMYFUNCTION("""COMPUTED_VALUE"""),"selena.mihajlovic@fazi.rs")</f>
        <v>selena.mihajlovic@fazi.rs</v>
      </c>
      <c r="AI222" s="5"/>
      <c r="AJ222" s="5"/>
      <c r="AK222" s="5">
        <f>IFERROR(__xludf.DUMMYFUNCTION("""COMPUTED_VALUE"""),10.0)</f>
        <v>10</v>
      </c>
      <c r="AL222" s="5" t="str">
        <f>IFERROR(__xludf.DUMMYFUNCTION("""COMPUTED_VALUE"""),"No")</f>
        <v>No</v>
      </c>
      <c r="AM222" s="5"/>
      <c r="AN222" s="7" t="str">
        <f>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AO222" s="5"/>
      <c r="AP222" s="5"/>
      <c r="AQ222" s="5" t="b">
        <f>IFERROR(__xludf.DUMMYFUNCTION("""COMPUTED_VALUE"""),TRUE)</f>
        <v>1</v>
      </c>
      <c r="AR222" s="5"/>
      <c r="AS222" s="5" t="str">
        <f>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AT222" s="5"/>
      <c r="AU222" s="5" t="str">
        <f>IFERROR(__xludf.DUMMYFUNCTION("""COMPUTED_VALUE"""),"Fazi")</f>
        <v>Fazi</v>
      </c>
      <c r="AV222" s="5"/>
      <c r="AW222" s="5"/>
      <c r="AX222" s="5"/>
      <c r="AY222" s="5"/>
      <c r="AZ222" s="5"/>
      <c r="BA222" s="5"/>
      <c r="BB222" s="5" t="b">
        <f>IFERROR(__xludf.DUMMYFUNCTION("""COMPUTED_VALUE"""),TRUE)</f>
        <v>1</v>
      </c>
      <c r="BC222" s="5" t="str">
        <f>IFERROR(__xludf.DUMMYFUNCTION("""COMPUTED_VALUE"""),"Tiptop")</f>
        <v>Tiptop</v>
      </c>
      <c r="BD222" s="7" t="str">
        <f>IFERROR(__xludf.DUMMYFUNCTION("""COMPUTED_VALUE"""),"https://gameserver-store-client-area.orbionlimited.com/Home/IntegrationGameLaunch/client-area?moneyType=0&amp;gameName=UnicornDiceMegaCash&amp;platform=desktop&amp;languageCode=eng&amp;currency=EUR")</f>
        <v>https://gameserver-store-client-area.orbionlimited.com/Home/IntegrationGameLaunch/client-area?moneyType=0&amp;gameName=UnicornDiceMegaCash&amp;platform=desktop&amp;languageCode=eng&amp;currency=EUR</v>
      </c>
      <c r="BE222" s="5" t="b">
        <f>IFERROR(__xludf.DUMMYFUNCTION("""COMPUTED_VALUE"""),TRUE)</f>
        <v>1</v>
      </c>
    </row>
    <row r="223">
      <c r="A223" s="5">
        <f>IFERROR(__xludf.DUMMYFUNCTION("""COMPUTED_VALUE"""),223.0)</f>
        <v>223</v>
      </c>
      <c r="B223" s="5">
        <f>IFERROR(__xludf.DUMMYFUNCTION("""COMPUTED_VALUE"""),222.0)</f>
        <v>222</v>
      </c>
      <c r="C223" s="5" t="str">
        <f>IFERROR(__xludf.DUMMYFUNCTION("""COMPUTED_VALUE"""),"Tiptop")</f>
        <v>Tiptop</v>
      </c>
      <c r="D223" s="5" t="str">
        <f>IFERROR(__xludf.DUMMYFUNCTION("""COMPUTED_VALUE"""),"40 Hot Strike")</f>
        <v>40 Hot Strike</v>
      </c>
      <c r="E223" s="5"/>
      <c r="F223" s="5" t="str">
        <f>IFERROR(__xludf.DUMMYFUNCTION("""COMPUTED_VALUE"""),"Unicorn40HotStrike")</f>
        <v>Unicorn40HotStrike</v>
      </c>
      <c r="G223" s="5" t="str">
        <f>IFERROR(__xludf.DUMMYFUNCTION("""COMPUTED_VALUE"""),"Live")</f>
        <v>Live</v>
      </c>
      <c r="H223" s="5"/>
      <c r="I223" s="5" t="str">
        <f>IFERROR(__xludf.DUMMYFUNCTION("""COMPUTED_VALUE"""),"TipTop")</f>
        <v>TipTop</v>
      </c>
      <c r="J223" s="5" t="str">
        <f>IFERROR(__xludf.DUMMYFUNCTION("""COMPUTED_VALUE"""),"JSON")</f>
        <v>JSON</v>
      </c>
      <c r="K223" s="5" t="str">
        <f>IFERROR(__xludf.DUMMYFUNCTION("""COMPUTED_VALUE"""),"Slot")</f>
        <v>Slot</v>
      </c>
      <c r="L223" s="5"/>
      <c r="M223" s="5"/>
      <c r="N223" s="5"/>
      <c r="O223" s="5"/>
      <c r="P223" s="12">
        <f>IFERROR(__xludf.DUMMYFUNCTION("""COMPUTED_VALUE"""),12.8)</f>
        <v>12.8</v>
      </c>
      <c r="Q223" s="13">
        <f>IFERROR(__xludf.DUMMYFUNCTION("""COMPUTED_VALUE"""),44957.0)</f>
        <v>44957</v>
      </c>
      <c r="R223" s="14"/>
      <c r="S223" s="13">
        <f>IFERROR(__xludf.DUMMYFUNCTION("""COMPUTED_VALUE"""),44957.0)</f>
        <v>44957</v>
      </c>
      <c r="T223" s="5" t="b">
        <f>IFERROR(__xludf.DUMMYFUNCTION("""COMPUTED_VALUE"""),TRUE)</f>
        <v>1</v>
      </c>
      <c r="U223" s="5" t="str">
        <f>IFERROR(__xludf.DUMMYFUNCTION("""COMPUTED_VALUE"""),"5X4")</f>
        <v>5X4</v>
      </c>
      <c r="V223" s="10" t="str">
        <f>IFERROR(__xludf.DUMMYFUNCTION("""COMPUTED_VALUE"""),"40")</f>
        <v>40</v>
      </c>
      <c r="W223" s="10" t="str">
        <f>IFERROR(__xludf.DUMMYFUNCTION("""COMPUTED_VALUE"""),"40")</f>
        <v>40</v>
      </c>
      <c r="X223" s="5">
        <f>IFERROR(__xludf.DUMMYFUNCTION("""COMPUTED_VALUE"""),96.0)</f>
        <v>96</v>
      </c>
      <c r="Y223" s="5" t="str">
        <f>IFERROR(__xludf.DUMMYFUNCTION("""COMPUTED_VALUE"""),"Low")</f>
        <v>Low</v>
      </c>
      <c r="Z223" s="5">
        <f>IFERROR(__xludf.DUMMYFUNCTION("""COMPUTED_VALUE"""),11.91)</f>
        <v>11.91</v>
      </c>
      <c r="AA223" s="12">
        <f>IFERROR(__xludf.DUMMYFUNCTION("""COMPUTED_VALUE"""),1000.0)</f>
        <v>1000</v>
      </c>
      <c r="AB223" s="5"/>
      <c r="AC223" s="5" t="str">
        <f>IFERROR(__xludf.DUMMYFUNCTION("""COMPUTED_VALUE"""),"Wild Symbol, Scatter")</f>
        <v>Wild Symbol, Scatter</v>
      </c>
      <c r="AD223" s="5" t="str">
        <f>IFERROR(__xludf.DUMMYFUNCTION("""COMPUTED_VALUE"""),"0.4/100")</f>
        <v>0.4/100</v>
      </c>
      <c r="AE223" s="5"/>
      <c r="AF223" s="5"/>
      <c r="AG223" s="8">
        <f>IFERROR(__xludf.DUMMYFUNCTION("""COMPUTED_VALUE"""),46197.45653935185)</f>
        <v>46197.45654</v>
      </c>
      <c r="AH223" s="5" t="str">
        <f>IFERROR(__xludf.DUMMYFUNCTION("""COMPUTED_VALUE"""),"selena.mihajlovic@fazi.rs")</f>
        <v>selena.mihajlovic@fazi.rs</v>
      </c>
      <c r="AI223" s="5"/>
      <c r="AJ223" s="5"/>
      <c r="AK223" s="5">
        <f>IFERROR(__xludf.DUMMYFUNCTION("""COMPUTED_VALUE"""),40.0)</f>
        <v>40</v>
      </c>
      <c r="AL223" s="5" t="str">
        <f>IFERROR(__xludf.DUMMYFUNCTION("""COMPUTED_VALUE"""),"No")</f>
        <v>No</v>
      </c>
      <c r="AM223" s="5"/>
      <c r="AN223" s="7" t="str">
        <f>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AO223" s="5"/>
      <c r="AP223" s="5"/>
      <c r="AQ223" s="5" t="b">
        <f>IFERROR(__xludf.DUMMYFUNCTION("""COMPUTED_VALUE"""),TRUE)</f>
        <v>1</v>
      </c>
      <c r="AR223" s="5"/>
      <c r="AS223" s="5" t="str">
        <f>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AT223" s="5"/>
      <c r="AU223" s="5" t="str">
        <f>IFERROR(__xludf.DUMMYFUNCTION("""COMPUTED_VALUE"""),"Fazi")</f>
        <v>Fazi</v>
      </c>
      <c r="AV223" s="5"/>
      <c r="AW223" s="5"/>
      <c r="AX223" s="5"/>
      <c r="AY223" s="5"/>
      <c r="AZ223" s="5"/>
      <c r="BA223" s="5"/>
      <c r="BB223" s="5" t="b">
        <f>IFERROR(__xludf.DUMMYFUNCTION("""COMPUTED_VALUE"""),TRUE)</f>
        <v>1</v>
      </c>
      <c r="BC223" s="5" t="str">
        <f>IFERROR(__xludf.DUMMYFUNCTION("""COMPUTED_VALUE"""),"Tiptop")</f>
        <v>Tiptop</v>
      </c>
      <c r="BD223" s="7" t="str">
        <f>IFERROR(__xludf.DUMMYFUNCTION("""COMPUTED_VALUE"""),"https://gameserver-store-client-area.orbionlimited.com/Home/IntegrationGameLaunch/client-area?moneyType=0&amp;gameName=Unicorn40HotStrike&amp;platform=desktop&amp;languageCode=eng&amp;currency=EUR")</f>
        <v>https://gameserver-store-client-area.orbionlimited.com/Home/IntegrationGameLaunch/client-area?moneyType=0&amp;gameName=Unicorn40HotStrike&amp;platform=desktop&amp;languageCode=eng&amp;currency=EUR</v>
      </c>
      <c r="BE223" s="5" t="b">
        <f>IFERROR(__xludf.DUMMYFUNCTION("""COMPUTED_VALUE"""),TRUE)</f>
        <v>1</v>
      </c>
    </row>
    <row r="224">
      <c r="A224" s="5">
        <f>IFERROR(__xludf.DUMMYFUNCTION("""COMPUTED_VALUE"""),224.0)</f>
        <v>224</v>
      </c>
      <c r="B224" s="5">
        <f>IFERROR(__xludf.DUMMYFUNCTION("""COMPUTED_VALUE"""),223.0)</f>
        <v>223</v>
      </c>
      <c r="C224" s="5" t="str">
        <f>IFERROR(__xludf.DUMMYFUNCTION("""COMPUTED_VALUE"""),"Redstone")</f>
        <v>Redstone</v>
      </c>
      <c r="D224" s="5" t="str">
        <f>IFERROR(__xludf.DUMMYFUNCTION("""COMPUTED_VALUE"""),"Shining Rush")</f>
        <v>Shining Rush</v>
      </c>
      <c r="E224" s="5"/>
      <c r="F224" s="5" t="str">
        <f>IFERROR(__xludf.DUMMYFUNCTION("""COMPUTED_VALUE"""),"ShiningRush")</f>
        <v>ShiningRush</v>
      </c>
      <c r="G224" s="5" t="str">
        <f>IFERROR(__xludf.DUMMYFUNCTION("""COMPUTED_VALUE"""),"Retired")</f>
        <v>Retired</v>
      </c>
      <c r="H224" s="5"/>
      <c r="I224" s="5" t="str">
        <f>IFERROR(__xludf.DUMMYFUNCTION("""COMPUTED_VALUE"""),"Redstone")</f>
        <v>Redstone</v>
      </c>
      <c r="J224" s="5" t="str">
        <f>IFERROR(__xludf.DUMMYFUNCTION("""COMPUTED_VALUE"""),"JSON")</f>
        <v>JSON</v>
      </c>
      <c r="K224" s="5" t="str">
        <f>IFERROR(__xludf.DUMMYFUNCTION("""COMPUTED_VALUE"""),"Slot")</f>
        <v>Slot</v>
      </c>
      <c r="L224" s="5"/>
      <c r="M224" s="5"/>
      <c r="N224" s="5"/>
      <c r="O224" s="5"/>
      <c r="P224" s="12"/>
      <c r="Q224" s="13">
        <f>IFERROR(__xludf.DUMMYFUNCTION("""COMPUTED_VALUE"""),44986.0)</f>
        <v>44986</v>
      </c>
      <c r="R224" s="14"/>
      <c r="S224" s="13">
        <f>IFERROR(__xludf.DUMMYFUNCTION("""COMPUTED_VALUE"""),44986.0)</f>
        <v>44986</v>
      </c>
      <c r="T224" s="5" t="b">
        <f>IFERROR(__xludf.DUMMYFUNCTION("""COMPUTED_VALUE"""),TRUE)</f>
        <v>1</v>
      </c>
      <c r="U224" s="5" t="str">
        <f>IFERROR(__xludf.DUMMYFUNCTION("""COMPUTED_VALUE"""),"5x4")</f>
        <v>5x4</v>
      </c>
      <c r="V224" s="10" t="str">
        <f>IFERROR(__xludf.DUMMYFUNCTION("""COMPUTED_VALUE"""),"10")</f>
        <v>10</v>
      </c>
      <c r="W224" s="10" t="str">
        <f>IFERROR(__xludf.DUMMYFUNCTION("""COMPUTED_VALUE"""),"10")</f>
        <v>10</v>
      </c>
      <c r="X224" s="5">
        <f>IFERROR(__xludf.DUMMYFUNCTION("""COMPUTED_VALUE"""),94.89)</f>
        <v>94.89</v>
      </c>
      <c r="Y224" s="5" t="str">
        <f>IFERROR(__xludf.DUMMYFUNCTION("""COMPUTED_VALUE"""),"High")</f>
        <v>High</v>
      </c>
      <c r="Z224" s="5">
        <f>IFERROR(__xludf.DUMMYFUNCTION("""COMPUTED_VALUE"""),12.540000000000001)</f>
        <v>12.54</v>
      </c>
      <c r="AA224" s="12">
        <f>IFERROR(__xludf.DUMMYFUNCTION("""COMPUTED_VALUE"""),1250.0)</f>
        <v>1250</v>
      </c>
      <c r="AB224" s="5"/>
      <c r="AC224" s="18"/>
      <c r="AD224" s="5"/>
      <c r="AE224" s="5"/>
      <c r="AF224" s="5"/>
      <c r="AG224" s="8">
        <f>IFERROR(__xludf.DUMMYFUNCTION("""COMPUTED_VALUE"""),46142.45681712963)</f>
        <v>46142.45682</v>
      </c>
      <c r="AH224" s="5"/>
      <c r="AI224" s="5"/>
      <c r="AJ224" s="5"/>
      <c r="AK224" s="5">
        <f>IFERROR(__xludf.DUMMYFUNCTION("""COMPUTED_VALUE"""),10.0)</f>
        <v>10</v>
      </c>
      <c r="AL224" s="5"/>
      <c r="AM224" s="5"/>
      <c r="AN224" s="5"/>
      <c r="AO224" s="5"/>
      <c r="AP224" s="5"/>
      <c r="AQ224" s="5"/>
      <c r="AR224" s="5"/>
      <c r="AS224" s="5"/>
      <c r="AT224" s="5"/>
      <c r="AU224" s="5" t="str">
        <f>IFERROR(__xludf.DUMMYFUNCTION("""COMPUTED_VALUE"""),"Redstone")</f>
        <v>Redstone</v>
      </c>
      <c r="AV224" s="5"/>
      <c r="AW224" s="5"/>
      <c r="AX224" s="5"/>
      <c r="AY224" s="5"/>
      <c r="AZ224" s="5"/>
      <c r="BA224" s="5"/>
      <c r="BB224" s="5"/>
      <c r="BC224" s="5" t="str">
        <f>IFERROR(__xludf.DUMMYFUNCTION("""COMPUTED_VALUE"""),"Redstone")</f>
        <v>Redstone</v>
      </c>
      <c r="BD224" s="5"/>
      <c r="BE224" s="5"/>
    </row>
    <row r="225">
      <c r="A225" s="5">
        <f>IFERROR(__xludf.DUMMYFUNCTION("""COMPUTED_VALUE"""),225.0)</f>
        <v>225</v>
      </c>
      <c r="B225" s="5">
        <f>IFERROR(__xludf.DUMMYFUNCTION("""COMPUTED_VALUE"""),224.0)</f>
        <v>224</v>
      </c>
      <c r="C225" s="5" t="str">
        <f>IFERROR(__xludf.DUMMYFUNCTION("""COMPUTED_VALUE"""),"Fazi")</f>
        <v>Fazi</v>
      </c>
      <c r="D225" s="5" t="str">
        <f>IFERROR(__xludf.DUMMYFUNCTION("""COMPUTED_VALUE"""),"Golden Explosion")</f>
        <v>Golden Explosion</v>
      </c>
      <c r="E225" s="5" t="str">
        <f>IFERROR(__xludf.DUMMYFUNCTION("""COMPUTED_VALUE"""),"V2")</f>
        <v>V2</v>
      </c>
      <c r="F225" s="5" t="str">
        <f>IFERROR(__xludf.DUMMYFUNCTION("""COMPUTED_VALUE"""),"GoldenExplosion")</f>
        <v>GoldenExplosion</v>
      </c>
      <c r="G225" s="5" t="str">
        <f>IFERROR(__xludf.DUMMYFUNCTION("""COMPUTED_VALUE"""),"Live")</f>
        <v>Live</v>
      </c>
      <c r="H225" s="5"/>
      <c r="I225" s="5" t="str">
        <f>IFERROR(__xludf.DUMMYFUNCTION("""COMPUTED_VALUE"""),"V2")</f>
        <v>V2</v>
      </c>
      <c r="J225" s="5" t="str">
        <f>IFERROR(__xludf.DUMMYFUNCTION("""COMPUTED_VALUE"""),"JSON")</f>
        <v>JSON</v>
      </c>
      <c r="K225" s="5" t="str">
        <f>IFERROR(__xludf.DUMMYFUNCTION("""COMPUTED_VALUE"""),"Slot")</f>
        <v>Slot</v>
      </c>
      <c r="L225" s="5"/>
      <c r="M225" s="5"/>
      <c r="N225" s="5"/>
      <c r="O225" s="5"/>
      <c r="P225" s="12">
        <f>IFERROR(__xludf.DUMMYFUNCTION("""COMPUTED_VALUE"""),26.0)</f>
        <v>26</v>
      </c>
      <c r="Q225" s="13">
        <f>IFERROR(__xludf.DUMMYFUNCTION("""COMPUTED_VALUE"""),44992.0)</f>
        <v>44992</v>
      </c>
      <c r="R225" s="14"/>
      <c r="S225" s="13">
        <f>IFERROR(__xludf.DUMMYFUNCTION("""COMPUTED_VALUE"""),44992.0)</f>
        <v>44992</v>
      </c>
      <c r="T225" s="5" t="b">
        <f>IFERROR(__xludf.DUMMYFUNCTION("""COMPUTED_VALUE"""),TRUE)</f>
        <v>1</v>
      </c>
      <c r="U225" s="5" t="str">
        <f>IFERROR(__xludf.DUMMYFUNCTION("""COMPUTED_VALUE"""),"5x3")</f>
        <v>5x3</v>
      </c>
      <c r="V225" s="10" t="str">
        <f>IFERROR(__xludf.DUMMYFUNCTION("""COMPUTED_VALUE"""),"10")</f>
        <v>10</v>
      </c>
      <c r="W225" s="10" t="str">
        <f>IFERROR(__xludf.DUMMYFUNCTION("""COMPUTED_VALUE"""),"10")</f>
        <v>10</v>
      </c>
      <c r="X225" s="5">
        <f>IFERROR(__xludf.DUMMYFUNCTION("""COMPUTED_VALUE"""),96.597)</f>
        <v>96.597</v>
      </c>
      <c r="Y225" s="5" t="str">
        <f>IFERROR(__xludf.DUMMYFUNCTION("""COMPUTED_VALUE"""),"High")</f>
        <v>High</v>
      </c>
      <c r="Z225" s="5">
        <f>IFERROR(__xludf.DUMMYFUNCTION("""COMPUTED_VALUE"""),14.16)</f>
        <v>14.16</v>
      </c>
      <c r="AA225" s="12">
        <f>IFERROR(__xludf.DUMMYFUNCTION("""COMPUTED_VALUE"""),8250.0)</f>
        <v>8250</v>
      </c>
      <c r="AB225" s="5">
        <f>IFERROR(__xludf.DUMMYFUNCTION("""COMPUTED_VALUE"""),5.0)</f>
        <v>5</v>
      </c>
      <c r="AC225" s="5" t="str">
        <f>IFERROR(__xludf.DUMMYFUNCTION("""COMPUTED_VALUE"""),"Expanding Wild, Wild Multiplier, Scatter")</f>
        <v>Expanding Wild, Wild Multiplier, Scatter</v>
      </c>
      <c r="AD225" s="5" t="str">
        <f>IFERROR(__xludf.DUMMYFUNCTION("""COMPUTED_VALUE"""),"0.1/40")</f>
        <v>0.1/40</v>
      </c>
      <c r="AE225" s="5"/>
      <c r="AF225" s="5"/>
      <c r="AG225" s="8">
        <f>IFERROR(__xludf.DUMMYFUNCTION("""COMPUTED_VALUE"""),46101.61699074074)</f>
        <v>46101.61699</v>
      </c>
      <c r="AH225" s="5" t="str">
        <f>IFERROR(__xludf.DUMMYFUNCTION("""COMPUTED_VALUE"""),"milutin.toskic@fazi.rs")</f>
        <v>milutin.toskic@fazi.rs</v>
      </c>
      <c r="AI225" s="5"/>
      <c r="AJ225" s="5"/>
      <c r="AK225" s="5">
        <f>IFERROR(__xludf.DUMMYFUNCTION("""COMPUTED_VALUE"""),10.0)</f>
        <v>10</v>
      </c>
      <c r="AL225" s="5" t="str">
        <f>IFERROR(__xludf.DUMMYFUNCTION("""COMPUTED_VALUE"""),"Yes")</f>
        <v>Yes</v>
      </c>
      <c r="AM225" s="5"/>
      <c r="AN225" s="7" t="str">
        <f>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AO225" s="5" t="str">
        <f>IFERROR(__xludf.DUMMYFUNCTION("""COMPUTED_VALUE"""),"Yes")</f>
        <v>Yes</v>
      </c>
      <c r="AP225" s="5" t="str">
        <f>IFERROR(__xludf.DUMMYFUNCTION("""COMPUTED_VALUE"""),"Yes")</f>
        <v>Yes</v>
      </c>
      <c r="AQ225" s="5" t="b">
        <f>IFERROR(__xludf.DUMMYFUNCTION("""COMPUTED_VALUE"""),TRUE)</f>
        <v>1</v>
      </c>
      <c r="AR225" s="5"/>
      <c r="AS225" s="5" t="str">
        <f>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AT225" s="5" t="str">
        <f>IFERROR(__xludf.DUMMYFUNCTION("""COMPUTED_VALUE"""),"No")</f>
        <v>No</v>
      </c>
      <c r="AU225" s="5" t="str">
        <f>IFERROR(__xludf.DUMMYFUNCTION("""COMPUTED_VALUE"""),"Fazi")</f>
        <v>Fazi</v>
      </c>
      <c r="AV225" s="5"/>
      <c r="AW225" s="5"/>
      <c r="AX225" s="5"/>
      <c r="AY225" s="5"/>
      <c r="AZ225" s="5"/>
      <c r="BA225" s="5" t="str">
        <f>IFERROR(__xludf.DUMMYFUNCTION("""COMPUTED_VALUE"""),"")</f>
        <v/>
      </c>
      <c r="BB225" s="5"/>
      <c r="BC225" s="5" t="str">
        <f>IFERROR(__xludf.DUMMYFUNCTION("""COMPUTED_VALUE"""),"Foxi")</f>
        <v>Foxi</v>
      </c>
      <c r="BD225" s="7" t="str">
        <f>IFERROR(__xludf.DUMMYFUNCTION("""COMPUTED_VALUE"""),"https://gameserver-store-client-area.orbionlimited.com/Home/IntegrationGameLaunch/client-area?moneyType=0&amp;gameName=GoldenExplosion&amp;platform=desktop&amp;languageCode=eng&amp;currency=EUR")</f>
        <v>https://gameserver-store-client-area.orbionlimited.com/Home/IntegrationGameLaunch/client-area?moneyType=0&amp;gameName=GoldenExplosion&amp;platform=desktop&amp;languageCode=eng&amp;currency=EUR</v>
      </c>
      <c r="BE225" s="5" t="b">
        <f>IFERROR(__xludf.DUMMYFUNCTION("""COMPUTED_VALUE"""),TRUE)</f>
        <v>1</v>
      </c>
    </row>
    <row r="226">
      <c r="A226" s="5">
        <f>IFERROR(__xludf.DUMMYFUNCTION("""COMPUTED_VALUE"""),226.0)</f>
        <v>226</v>
      </c>
      <c r="B226" s="5">
        <f>IFERROR(__xludf.DUMMYFUNCTION("""COMPUTED_VALUE"""),225.0)</f>
        <v>225</v>
      </c>
      <c r="C226" s="5" t="str">
        <f>IFERROR(__xludf.DUMMYFUNCTION("""COMPUTED_VALUE"""),"Fazi")</f>
        <v>Fazi</v>
      </c>
      <c r="D226" s="5" t="str">
        <f>IFERROR(__xludf.DUMMYFUNCTION("""COMPUTED_VALUE"""),"Very Hot 5 Extreme")</f>
        <v>Very Hot 5 Extreme</v>
      </c>
      <c r="E226" s="5" t="str">
        <f>IFERROR(__xludf.DUMMYFUNCTION("""COMPUTED_VALUE"""),"V4-1")</f>
        <v>V4-1</v>
      </c>
      <c r="F226" s="5" t="str">
        <f>IFERROR(__xludf.DUMMYFUNCTION("""COMPUTED_VALUE"""),"VeryHot5Extreme")</f>
        <v>VeryHot5Extreme</v>
      </c>
      <c r="G226" s="5" t="str">
        <f>IFERROR(__xludf.DUMMYFUNCTION("""COMPUTED_VALUE"""),"Live")</f>
        <v>Live</v>
      </c>
      <c r="H226" s="5"/>
      <c r="I226" s="5" t="str">
        <f>IFERROR(__xludf.DUMMYFUNCTION("""COMPUTED_VALUE"""),"V4")</f>
        <v>V4</v>
      </c>
      <c r="J226" s="5" t="str">
        <f>IFERROR(__xludf.DUMMYFUNCTION("""COMPUTED_VALUE"""),"JSON")</f>
        <v>JSON</v>
      </c>
      <c r="K226" s="5" t="str">
        <f>IFERROR(__xludf.DUMMYFUNCTION("""COMPUTED_VALUE"""),"Slot")</f>
        <v>Slot</v>
      </c>
      <c r="L226" s="5"/>
      <c r="M226" s="5"/>
      <c r="N226" s="5"/>
      <c r="O226" s="5"/>
      <c r="P226" s="12">
        <f>IFERROR(__xludf.DUMMYFUNCTION("""COMPUTED_VALUE"""),14.5)</f>
        <v>14.5</v>
      </c>
      <c r="Q226" s="13">
        <f>IFERROR(__xludf.DUMMYFUNCTION("""COMPUTED_VALUE"""),45002.0)</f>
        <v>45002</v>
      </c>
      <c r="R226" s="14"/>
      <c r="S226" s="13">
        <f>IFERROR(__xludf.DUMMYFUNCTION("""COMPUTED_VALUE"""),45002.0)</f>
        <v>45002</v>
      </c>
      <c r="T226" s="5" t="b">
        <f>IFERROR(__xludf.DUMMYFUNCTION("""COMPUTED_VALUE"""),TRUE)</f>
        <v>1</v>
      </c>
      <c r="U226" s="5" t="str">
        <f>IFERROR(__xludf.DUMMYFUNCTION("""COMPUTED_VALUE"""),"5x3")</f>
        <v>5x3</v>
      </c>
      <c r="V226" s="10" t="str">
        <f>IFERROR(__xludf.DUMMYFUNCTION("""COMPUTED_VALUE"""),"5")</f>
        <v>5</v>
      </c>
      <c r="W226" s="10" t="str">
        <f>IFERROR(__xludf.DUMMYFUNCTION("""COMPUTED_VALUE"""),"5")</f>
        <v>5</v>
      </c>
      <c r="X226" s="5">
        <f>IFERROR(__xludf.DUMMYFUNCTION("""COMPUTED_VALUE"""),96.453)</f>
        <v>96.453</v>
      </c>
      <c r="Y226" s="5" t="str">
        <f>IFERROR(__xludf.DUMMYFUNCTION("""COMPUTED_VALUE"""),"Medium")</f>
        <v>Medium</v>
      </c>
      <c r="Z226" s="5">
        <f>IFERROR(__xludf.DUMMYFUNCTION("""COMPUTED_VALUE"""),14.23)</f>
        <v>14.23</v>
      </c>
      <c r="AA226" s="12">
        <f>IFERROR(__xludf.DUMMYFUNCTION("""COMPUTED_VALUE"""),2624.0)</f>
        <v>2624</v>
      </c>
      <c r="AB226" s="5">
        <f>IFERROR(__xludf.DUMMYFUNCTION("""COMPUTED_VALUE"""),6.0)</f>
        <v>6</v>
      </c>
      <c r="AC226" s="5" t="str">
        <f>IFERROR(__xludf.DUMMYFUNCTION("""COMPUTED_VALUE"""),"Expanding Wild, Wild Multiplier, Scatter")</f>
        <v>Expanding Wild, Wild Multiplier, Scatter</v>
      </c>
      <c r="AD226" s="5" t="str">
        <f>IFERROR(__xludf.DUMMYFUNCTION("""COMPUTED_VALUE"""),"0.05/30")</f>
        <v>0.05/30</v>
      </c>
      <c r="AE226" s="5"/>
      <c r="AF226" s="5"/>
      <c r="AG226" s="8">
        <f>IFERROR(__xludf.DUMMYFUNCTION("""COMPUTED_VALUE"""),46162.422002314815)</f>
        <v>46162.422</v>
      </c>
      <c r="AH226" s="5" t="str">
        <f>IFERROR(__xludf.DUMMYFUNCTION("""COMPUTED_VALUE"""),"djordje.petrovic@fazi.rs")</f>
        <v>djordje.petrovic@fazi.rs</v>
      </c>
      <c r="AI226" s="5"/>
      <c r="AJ226" s="5"/>
      <c r="AK226" s="5">
        <f>IFERROR(__xludf.DUMMYFUNCTION("""COMPUTED_VALUE"""),5.0)</f>
        <v>5</v>
      </c>
      <c r="AL226" s="5" t="str">
        <f>IFERROR(__xludf.DUMMYFUNCTION("""COMPUTED_VALUE"""),"Yes")</f>
        <v>Yes</v>
      </c>
      <c r="AM226" s="5"/>
      <c r="AN226" s="7" t="str">
        <f>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AO226" s="5" t="str">
        <f>IFERROR(__xludf.DUMMYFUNCTION("""COMPUTED_VALUE"""),"Yes")</f>
        <v>Yes</v>
      </c>
      <c r="AP226" s="5" t="str">
        <f>IFERROR(__xludf.DUMMYFUNCTION("""COMPUTED_VALUE"""),"Yes")</f>
        <v>Yes</v>
      </c>
      <c r="AQ226" s="5" t="b">
        <f>IFERROR(__xludf.DUMMYFUNCTION("""COMPUTED_VALUE"""),TRUE)</f>
        <v>1</v>
      </c>
      <c r="AR226" s="5"/>
      <c r="AS226" s="5" t="str">
        <f>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AT226" s="5" t="str">
        <f>IFERROR(__xludf.DUMMYFUNCTION("""COMPUTED_VALUE"""),"Yes")</f>
        <v>Yes</v>
      </c>
      <c r="AU226" s="5" t="str">
        <f>IFERROR(__xludf.DUMMYFUNCTION("""COMPUTED_VALUE"""),"Fazi")</f>
        <v>Fazi</v>
      </c>
      <c r="AV226" s="5"/>
      <c r="AW226"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26" s="5"/>
      <c r="AY226" s="5" t="str">
        <f>IFERROR(__xludf.DUMMYFUNCTION("""COMPUTED_VALUE"""),"87.5%, 89.5%, 91.5%, 93.5%, 94.5%, 95.5%, 96.5%")</f>
        <v>87.5%, 89.5%, 91.5%, 93.5%, 94.5%, 95.5%, 96.5%</v>
      </c>
      <c r="AZ226" s="5"/>
      <c r="BA226" s="5"/>
      <c r="BB226" s="5"/>
      <c r="BC226" s="5" t="str">
        <f>IFERROR(__xludf.DUMMYFUNCTION("""COMPUTED_VALUE"""),"Foxi")</f>
        <v>Foxi</v>
      </c>
      <c r="BD226" s="7" t="str">
        <f>IFERROR(__xludf.DUMMYFUNCTION("""COMPUTED_VALUE"""),"https://gameserver-store-client-area.orbionlimited.com/Home/IntegrationGameLaunch/client-area?moneyType=0&amp;gameName=VeryHot5Extreme&amp;platform=desktop&amp;languageCode=eng&amp;currency=EUR")</f>
        <v>https://gameserver-store-client-area.orbionlimited.com/Home/IntegrationGameLaunch/client-area?moneyType=0&amp;gameName=VeryHot5Extreme&amp;platform=desktop&amp;languageCode=eng&amp;currency=EUR</v>
      </c>
      <c r="BE226" s="5" t="b">
        <f>IFERROR(__xludf.DUMMYFUNCTION("""COMPUTED_VALUE"""),TRUE)</f>
        <v>1</v>
      </c>
    </row>
    <row r="227">
      <c r="A227" s="5">
        <f>IFERROR(__xludf.DUMMYFUNCTION("""COMPUTED_VALUE"""),227.0)</f>
        <v>227</v>
      </c>
      <c r="B227" s="5">
        <f>IFERROR(__xludf.DUMMYFUNCTION("""COMPUTED_VALUE"""),226.0)</f>
        <v>226</v>
      </c>
      <c r="C227" s="5" t="str">
        <f>IFERROR(__xludf.DUMMYFUNCTION("""COMPUTED_VALUE"""),"Fazi")</f>
        <v>Fazi</v>
      </c>
      <c r="D227" s="5" t="str">
        <f>IFERROR(__xludf.DUMMYFUNCTION("""COMPUTED_VALUE"""),"Pixel Hot 40")</f>
        <v>Pixel Hot 40</v>
      </c>
      <c r="E227" s="5" t="str">
        <f>IFERROR(__xludf.DUMMYFUNCTION("""COMPUTED_VALUE"""),"V2")</f>
        <v>V2</v>
      </c>
      <c r="F227" s="5" t="str">
        <f>IFERROR(__xludf.DUMMYFUNCTION("""COMPUTED_VALUE"""),"PixelHot40")</f>
        <v>PixelHot40</v>
      </c>
      <c r="G227" s="5" t="str">
        <f>IFERROR(__xludf.DUMMYFUNCTION("""COMPUTED_VALUE"""),"Live")</f>
        <v>Live</v>
      </c>
      <c r="H227" s="5"/>
      <c r="I227" s="5" t="str">
        <f>IFERROR(__xludf.DUMMYFUNCTION("""COMPUTED_VALUE"""),"V2")</f>
        <v>V2</v>
      </c>
      <c r="J227" s="5" t="str">
        <f>IFERROR(__xludf.DUMMYFUNCTION("""COMPUTED_VALUE"""),"Binary")</f>
        <v>Binary</v>
      </c>
      <c r="K227" s="5" t="str">
        <f>IFERROR(__xludf.DUMMYFUNCTION("""COMPUTED_VALUE"""),"Slot")</f>
        <v>Slot</v>
      </c>
      <c r="L227" s="5"/>
      <c r="M227" s="5"/>
      <c r="N227" s="5"/>
      <c r="O227" s="5"/>
      <c r="P227" s="12">
        <f>IFERROR(__xludf.DUMMYFUNCTION("""COMPUTED_VALUE"""),5.5)</f>
        <v>5.5</v>
      </c>
      <c r="Q227" s="13">
        <f>IFERROR(__xludf.DUMMYFUNCTION("""COMPUTED_VALUE"""),45001.0)</f>
        <v>45001</v>
      </c>
      <c r="R227" s="14"/>
      <c r="S227" s="13">
        <f>IFERROR(__xludf.DUMMYFUNCTION("""COMPUTED_VALUE"""),45001.0)</f>
        <v>45001</v>
      </c>
      <c r="T227" s="5" t="b">
        <f>IFERROR(__xludf.DUMMYFUNCTION("""COMPUTED_VALUE"""),TRUE)</f>
        <v>1</v>
      </c>
      <c r="U227" s="5" t="str">
        <f>IFERROR(__xludf.DUMMYFUNCTION("""COMPUTED_VALUE"""),"5x4")</f>
        <v>5x4</v>
      </c>
      <c r="V227" s="10" t="str">
        <f>IFERROR(__xludf.DUMMYFUNCTION("""COMPUTED_VALUE"""),"40")</f>
        <v>40</v>
      </c>
      <c r="W227" s="10" t="str">
        <f>IFERROR(__xludf.DUMMYFUNCTION("""COMPUTED_VALUE"""),"40")</f>
        <v>40</v>
      </c>
      <c r="X227" s="5">
        <f>IFERROR(__xludf.DUMMYFUNCTION("""COMPUTED_VALUE"""),96.584)</f>
        <v>96.584</v>
      </c>
      <c r="Y227" s="5" t="str">
        <f>IFERROR(__xludf.DUMMYFUNCTION("""COMPUTED_VALUE"""),"Low")</f>
        <v>Low</v>
      </c>
      <c r="Z227" s="5">
        <f>IFERROR(__xludf.DUMMYFUNCTION("""COMPUTED_VALUE"""),16.73)</f>
        <v>16.73</v>
      </c>
      <c r="AA227" s="12">
        <f>IFERROR(__xludf.DUMMYFUNCTION("""COMPUTED_VALUE"""),1000.0)</f>
        <v>1000</v>
      </c>
      <c r="AB227" s="5" t="str">
        <f>IFERROR(__xludf.DUMMYFUNCTION("""COMPUTED_VALUE"""),"/")</f>
        <v>/</v>
      </c>
      <c r="AC227" s="5" t="str">
        <f>IFERROR(__xludf.DUMMYFUNCTION("""COMPUTED_VALUE"""),"Wild Symbol, Scatter")</f>
        <v>Wild Symbol, Scatter</v>
      </c>
      <c r="AD227" s="5" t="str">
        <f>IFERROR(__xludf.DUMMYFUNCTION("""COMPUTED_VALUE"""),"0.4/60")</f>
        <v>0.4/60</v>
      </c>
      <c r="AE227" s="5"/>
      <c r="AF227" s="5"/>
      <c r="AG227" s="5"/>
      <c r="AH227" s="5"/>
      <c r="AI227" s="5"/>
      <c r="AJ227" s="5"/>
      <c r="AK227" s="5">
        <f>IFERROR(__xludf.DUMMYFUNCTION("""COMPUTED_VALUE"""),40.0)</f>
        <v>40</v>
      </c>
      <c r="AL227" s="5" t="str">
        <f>IFERROR(__xludf.DUMMYFUNCTION("""COMPUTED_VALUE"""),"Yes")</f>
        <v>Yes</v>
      </c>
      <c r="AM227" s="5"/>
      <c r="AN227" s="7" t="str">
        <f>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AO227" s="5"/>
      <c r="AP227" s="5"/>
      <c r="AQ227" s="5" t="b">
        <f>IFERROR(__xludf.DUMMYFUNCTION("""COMPUTED_VALUE"""),TRUE)</f>
        <v>1</v>
      </c>
      <c r="AR227" s="5"/>
      <c r="AS227" s="5" t="str">
        <f>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AT227" s="5"/>
      <c r="AU227" s="5" t="str">
        <f>IFERROR(__xludf.DUMMYFUNCTION("""COMPUTED_VALUE"""),"Fazi")</f>
        <v>Fazi</v>
      </c>
      <c r="AV227" s="5"/>
      <c r="AW227" s="5"/>
      <c r="AX227" s="5"/>
      <c r="AY227" s="5"/>
      <c r="AZ227" s="5"/>
      <c r="BA227" s="5" t="str">
        <f>IFERROR(__xludf.DUMMYFUNCTION("""COMPUTED_VALUE"""),"")</f>
        <v/>
      </c>
      <c r="BB227" s="5"/>
      <c r="BC227" s="5" t="str">
        <f>IFERROR(__xludf.DUMMYFUNCTION("""COMPUTED_VALUE"""),"Foxi")</f>
        <v>Foxi</v>
      </c>
      <c r="BD227" s="7" t="str">
        <f>IFERROR(__xludf.DUMMYFUNCTION("""COMPUTED_VALUE"""),"https://gameserver-store-client-area.orbionlimited.com/Home/IntegrationGameLaunch/client-area?moneyType=0&amp;gameName=PixelHot40&amp;platform=desktop&amp;languageCode=eng&amp;currency=EUR")</f>
        <v>https://gameserver-store-client-area.orbionlimited.com/Home/IntegrationGameLaunch/client-area?moneyType=0&amp;gameName=PixelHot40&amp;platform=desktop&amp;languageCode=eng&amp;currency=EUR</v>
      </c>
      <c r="BE227" s="5" t="b">
        <f>IFERROR(__xludf.DUMMYFUNCTION("""COMPUTED_VALUE"""),TRUE)</f>
        <v>1</v>
      </c>
    </row>
    <row r="228">
      <c r="A228" s="5">
        <f>IFERROR(__xludf.DUMMYFUNCTION("""COMPUTED_VALUE"""),228.0)</f>
        <v>228</v>
      </c>
      <c r="B228" s="5">
        <f>IFERROR(__xludf.DUMMYFUNCTION("""COMPUTED_VALUE"""),227.0)</f>
        <v>227</v>
      </c>
      <c r="C228" s="5" t="str">
        <f>IFERROR(__xludf.DUMMYFUNCTION("""COMPUTED_VALUE"""),"Tiptop")</f>
        <v>Tiptop</v>
      </c>
      <c r="D228" s="5" t="str">
        <f>IFERROR(__xludf.DUMMYFUNCTION("""COMPUTED_VALUE"""),"40 Hot Strike Dice")</f>
        <v>40 Hot Strike Dice</v>
      </c>
      <c r="E228" s="5"/>
      <c r="F228" s="5" t="str">
        <f>IFERROR(__xludf.DUMMYFUNCTION("""COMPUTED_VALUE"""),"Unicorn40HotStrikeDice")</f>
        <v>Unicorn40HotStrikeDice</v>
      </c>
      <c r="G228" s="5" t="str">
        <f>IFERROR(__xludf.DUMMYFUNCTION("""COMPUTED_VALUE"""),"Live")</f>
        <v>Live</v>
      </c>
      <c r="H228" s="5"/>
      <c r="I228" s="5" t="str">
        <f>IFERROR(__xludf.DUMMYFUNCTION("""COMPUTED_VALUE"""),"TipTop")</f>
        <v>TipTop</v>
      </c>
      <c r="J228" s="5" t="str">
        <f>IFERROR(__xludf.DUMMYFUNCTION("""COMPUTED_VALUE"""),"JSON")</f>
        <v>JSON</v>
      </c>
      <c r="K228" s="5" t="str">
        <f>IFERROR(__xludf.DUMMYFUNCTION("""COMPUTED_VALUE"""),"Dice Slots")</f>
        <v>Dice Slots</v>
      </c>
      <c r="L228" s="5"/>
      <c r="M228" s="5"/>
      <c r="N228" s="5"/>
      <c r="O228" s="5"/>
      <c r="P228" s="12">
        <f>IFERROR(__xludf.DUMMYFUNCTION("""COMPUTED_VALUE"""),11.8)</f>
        <v>11.8</v>
      </c>
      <c r="Q228" s="13">
        <f>IFERROR(__xludf.DUMMYFUNCTION("""COMPUTED_VALUE"""),44980.0)</f>
        <v>44980</v>
      </c>
      <c r="R228" s="14"/>
      <c r="S228" s="13">
        <f>IFERROR(__xludf.DUMMYFUNCTION("""COMPUTED_VALUE"""),44980.0)</f>
        <v>44980</v>
      </c>
      <c r="T228" s="5" t="b">
        <f>IFERROR(__xludf.DUMMYFUNCTION("""COMPUTED_VALUE"""),TRUE)</f>
        <v>1</v>
      </c>
      <c r="U228" s="5" t="str">
        <f>IFERROR(__xludf.DUMMYFUNCTION("""COMPUTED_VALUE"""),"5X4")</f>
        <v>5X4</v>
      </c>
      <c r="V228" s="10" t="str">
        <f>IFERROR(__xludf.DUMMYFUNCTION("""COMPUTED_VALUE"""),"40")</f>
        <v>40</v>
      </c>
      <c r="W228" s="10" t="str">
        <f>IFERROR(__xludf.DUMMYFUNCTION("""COMPUTED_VALUE"""),"40")</f>
        <v>40</v>
      </c>
      <c r="X228" s="5">
        <f>IFERROR(__xludf.DUMMYFUNCTION("""COMPUTED_VALUE"""),96.0)</f>
        <v>96</v>
      </c>
      <c r="Y228" s="5" t="str">
        <f>IFERROR(__xludf.DUMMYFUNCTION("""COMPUTED_VALUE"""),"Low")</f>
        <v>Low</v>
      </c>
      <c r="Z228" s="5">
        <f>IFERROR(__xludf.DUMMYFUNCTION("""COMPUTED_VALUE"""),11.91)</f>
        <v>11.91</v>
      </c>
      <c r="AA228" s="12">
        <f>IFERROR(__xludf.DUMMYFUNCTION("""COMPUTED_VALUE"""),1000.0)</f>
        <v>1000</v>
      </c>
      <c r="AB228" s="5"/>
      <c r="AC228" s="5" t="str">
        <f>IFERROR(__xludf.DUMMYFUNCTION("""COMPUTED_VALUE"""),"Wild Symbol, Scatter")</f>
        <v>Wild Symbol, Scatter</v>
      </c>
      <c r="AD228" s="5" t="str">
        <f>IFERROR(__xludf.DUMMYFUNCTION("""COMPUTED_VALUE"""),"0.4/100")</f>
        <v>0.4/100</v>
      </c>
      <c r="AE228" s="5"/>
      <c r="AF228" s="5"/>
      <c r="AG228" s="8">
        <f>IFERROR(__xludf.DUMMYFUNCTION("""COMPUTED_VALUE"""),46197.45674768519)</f>
        <v>46197.45675</v>
      </c>
      <c r="AH228" s="5" t="str">
        <f>IFERROR(__xludf.DUMMYFUNCTION("""COMPUTED_VALUE"""),"selena.mihajlovic@fazi.rs")</f>
        <v>selena.mihajlovic@fazi.rs</v>
      </c>
      <c r="AI228" s="5"/>
      <c r="AJ228" s="5"/>
      <c r="AK228" s="5">
        <f>IFERROR(__xludf.DUMMYFUNCTION("""COMPUTED_VALUE"""),40.0)</f>
        <v>40</v>
      </c>
      <c r="AL228" s="5" t="str">
        <f>IFERROR(__xludf.DUMMYFUNCTION("""COMPUTED_VALUE"""),"No")</f>
        <v>No</v>
      </c>
      <c r="AM228" s="5"/>
      <c r="AN228" s="7" t="str">
        <f>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AO228" s="5"/>
      <c r="AP228" s="5"/>
      <c r="AQ228" s="5" t="b">
        <f>IFERROR(__xludf.DUMMYFUNCTION("""COMPUTED_VALUE"""),TRUE)</f>
        <v>1</v>
      </c>
      <c r="AR228" s="5"/>
      <c r="AS228" s="5" t="str">
        <f>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AT228" s="5"/>
      <c r="AU228" s="5" t="str">
        <f>IFERROR(__xludf.DUMMYFUNCTION("""COMPUTED_VALUE"""),"Fazi")</f>
        <v>Fazi</v>
      </c>
      <c r="AV228" s="5"/>
      <c r="AW228" s="5"/>
      <c r="AX228" s="5"/>
      <c r="AY228" s="5"/>
      <c r="AZ228" s="5"/>
      <c r="BA228" s="5"/>
      <c r="BB228" s="5" t="b">
        <f>IFERROR(__xludf.DUMMYFUNCTION("""COMPUTED_VALUE"""),TRUE)</f>
        <v>1</v>
      </c>
      <c r="BC228" s="5" t="str">
        <f>IFERROR(__xludf.DUMMYFUNCTION("""COMPUTED_VALUE"""),"Tiptop")</f>
        <v>Tiptop</v>
      </c>
      <c r="BD228" s="7" t="str">
        <f>IFERROR(__xludf.DUMMYFUNCTION("""COMPUTED_VALUE"""),"https://gameserver-store-client-area.orbionlimited.com/Home/IntegrationGameLaunch/client-area?moneyType=0&amp;gameName=Unicorn40HotStrikeDice&amp;platform=desktop&amp;languageCode=eng&amp;currency=EUR")</f>
        <v>https://gameserver-store-client-area.orbionlimited.com/Home/IntegrationGameLaunch/client-area?moneyType=0&amp;gameName=Unicorn40HotStrikeDice&amp;platform=desktop&amp;languageCode=eng&amp;currency=EUR</v>
      </c>
      <c r="BE228" s="5" t="b">
        <f>IFERROR(__xludf.DUMMYFUNCTION("""COMPUTED_VALUE"""),TRUE)</f>
        <v>1</v>
      </c>
    </row>
    <row r="229">
      <c r="A229" s="5">
        <f>IFERROR(__xludf.DUMMYFUNCTION("""COMPUTED_VALUE"""),229.0)</f>
        <v>229</v>
      </c>
      <c r="B229" s="5">
        <f>IFERROR(__xludf.DUMMYFUNCTION("""COMPUTED_VALUE"""),228.0)</f>
        <v>228</v>
      </c>
      <c r="C229" s="5" t="str">
        <f>IFERROR(__xludf.DUMMYFUNCTION("""COMPUTED_VALUE"""),"Tiptop")</f>
        <v>Tiptop</v>
      </c>
      <c r="D229" s="5" t="str">
        <f>IFERROR(__xludf.DUMMYFUNCTION("""COMPUTED_VALUE"""),"20 Hot Strike")</f>
        <v>20 Hot Strike</v>
      </c>
      <c r="E229" s="5"/>
      <c r="F229" s="5" t="str">
        <f>IFERROR(__xludf.DUMMYFUNCTION("""COMPUTED_VALUE"""),"Unicorn20HotStrike")</f>
        <v>Unicorn20HotStrike</v>
      </c>
      <c r="G229" s="5" t="str">
        <f>IFERROR(__xludf.DUMMYFUNCTION("""COMPUTED_VALUE"""),"Live")</f>
        <v>Live</v>
      </c>
      <c r="H229" s="5"/>
      <c r="I229" s="5" t="str">
        <f>IFERROR(__xludf.DUMMYFUNCTION("""COMPUTED_VALUE"""),"TipTop")</f>
        <v>TipTop</v>
      </c>
      <c r="J229" s="5" t="str">
        <f>IFERROR(__xludf.DUMMYFUNCTION("""COMPUTED_VALUE"""),"JSON")</f>
        <v>JSON</v>
      </c>
      <c r="K229" s="5" t="str">
        <f>IFERROR(__xludf.DUMMYFUNCTION("""COMPUTED_VALUE"""),"Slot")</f>
        <v>Slot</v>
      </c>
      <c r="L229" s="5"/>
      <c r="M229" s="5"/>
      <c r="N229" s="5"/>
      <c r="O229" s="5"/>
      <c r="P229" s="12">
        <f>IFERROR(__xludf.DUMMYFUNCTION("""COMPUTED_VALUE"""),13.2)</f>
        <v>13.2</v>
      </c>
      <c r="Q229" s="13">
        <f>IFERROR(__xludf.DUMMYFUNCTION("""COMPUTED_VALUE"""),44985.0)</f>
        <v>44985</v>
      </c>
      <c r="R229" s="14"/>
      <c r="S229" s="13">
        <f>IFERROR(__xludf.DUMMYFUNCTION("""COMPUTED_VALUE"""),44985.0)</f>
        <v>44985</v>
      </c>
      <c r="T229" s="5" t="b">
        <f>IFERROR(__xludf.DUMMYFUNCTION("""COMPUTED_VALUE"""),TRUE)</f>
        <v>1</v>
      </c>
      <c r="U229" s="5" t="str">
        <f>IFERROR(__xludf.DUMMYFUNCTION("""COMPUTED_VALUE"""),"5X3")</f>
        <v>5X3</v>
      </c>
      <c r="V229" s="10" t="str">
        <f>IFERROR(__xludf.DUMMYFUNCTION("""COMPUTED_VALUE"""),"20")</f>
        <v>20</v>
      </c>
      <c r="W229" s="10" t="str">
        <f>IFERROR(__xludf.DUMMYFUNCTION("""COMPUTED_VALUE"""),"20")</f>
        <v>20</v>
      </c>
      <c r="X229" s="5">
        <f>IFERROR(__xludf.DUMMYFUNCTION("""COMPUTED_VALUE"""),96.0)</f>
        <v>96</v>
      </c>
      <c r="Y229" s="5" t="str">
        <f>IFERROR(__xludf.DUMMYFUNCTION("""COMPUTED_VALUE"""),"Low")</f>
        <v>Low</v>
      </c>
      <c r="Z229" s="5">
        <f>IFERROR(__xludf.DUMMYFUNCTION("""COMPUTED_VALUE"""),14.62)</f>
        <v>14.62</v>
      </c>
      <c r="AA229" s="12">
        <f>IFERROR(__xludf.DUMMYFUNCTION("""COMPUTED_VALUE"""),800.0)</f>
        <v>800</v>
      </c>
      <c r="AB229" s="5"/>
      <c r="AC229" s="5" t="str">
        <f>IFERROR(__xludf.DUMMYFUNCTION("""COMPUTED_VALUE"""),"Wild Symbol, Scatter")</f>
        <v>Wild Symbol, Scatter</v>
      </c>
      <c r="AD229" s="5" t="str">
        <f>IFERROR(__xludf.DUMMYFUNCTION("""COMPUTED_VALUE"""),"0.2/100")</f>
        <v>0.2/100</v>
      </c>
      <c r="AE229" s="5"/>
      <c r="AF229" s="5"/>
      <c r="AG229" s="8">
        <f>IFERROR(__xludf.DUMMYFUNCTION("""COMPUTED_VALUE"""),46197.45690972222)</f>
        <v>46197.45691</v>
      </c>
      <c r="AH229" s="5" t="str">
        <f>IFERROR(__xludf.DUMMYFUNCTION("""COMPUTED_VALUE"""),"selena.mihajlovic@fazi.rs")</f>
        <v>selena.mihajlovic@fazi.rs</v>
      </c>
      <c r="AI229" s="5"/>
      <c r="AJ229" s="5"/>
      <c r="AK229" s="5">
        <f>IFERROR(__xludf.DUMMYFUNCTION("""COMPUTED_VALUE"""),20.0)</f>
        <v>20</v>
      </c>
      <c r="AL229" s="5" t="str">
        <f>IFERROR(__xludf.DUMMYFUNCTION("""COMPUTED_VALUE"""),"No")</f>
        <v>No</v>
      </c>
      <c r="AM229" s="5"/>
      <c r="AN229" s="7" t="str">
        <f>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AO229" s="5"/>
      <c r="AP229" s="5"/>
      <c r="AQ229" s="5" t="b">
        <f>IFERROR(__xludf.DUMMYFUNCTION("""COMPUTED_VALUE"""),TRUE)</f>
        <v>1</v>
      </c>
      <c r="AR229" s="5"/>
      <c r="AS229" s="5" t="str">
        <f>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AT229" s="5"/>
      <c r="AU229" s="5" t="str">
        <f>IFERROR(__xludf.DUMMYFUNCTION("""COMPUTED_VALUE"""),"Fazi")</f>
        <v>Fazi</v>
      </c>
      <c r="AV229" s="5"/>
      <c r="AW229" s="5"/>
      <c r="AX229" s="5"/>
      <c r="AY229" s="5"/>
      <c r="AZ229" s="5"/>
      <c r="BA229" s="5"/>
      <c r="BB229" s="5" t="b">
        <f>IFERROR(__xludf.DUMMYFUNCTION("""COMPUTED_VALUE"""),TRUE)</f>
        <v>1</v>
      </c>
      <c r="BC229" s="5" t="str">
        <f>IFERROR(__xludf.DUMMYFUNCTION("""COMPUTED_VALUE"""),"Tiptop")</f>
        <v>Tiptop</v>
      </c>
      <c r="BD229" s="7" t="str">
        <f>IFERROR(__xludf.DUMMYFUNCTION("""COMPUTED_VALUE"""),"https://gameserver-store-client-area.orbionlimited.com/Home/IntegrationGameLaunch/client-area?moneyType=0&amp;gameName=Unicorn20HotStrike&amp;platform=desktop&amp;languageCode=eng&amp;currency=EUR")</f>
        <v>https://gameserver-store-client-area.orbionlimited.com/Home/IntegrationGameLaunch/client-area?moneyType=0&amp;gameName=Unicorn20HotStrike&amp;platform=desktop&amp;languageCode=eng&amp;currency=EUR</v>
      </c>
      <c r="BE229" s="5" t="b">
        <f>IFERROR(__xludf.DUMMYFUNCTION("""COMPUTED_VALUE"""),TRUE)</f>
        <v>1</v>
      </c>
    </row>
    <row r="230">
      <c r="A230" s="5">
        <f>IFERROR(__xludf.DUMMYFUNCTION("""COMPUTED_VALUE"""),230.0)</f>
        <v>230</v>
      </c>
      <c r="B230" s="5">
        <f>IFERROR(__xludf.DUMMYFUNCTION("""COMPUTED_VALUE"""),229.0)</f>
        <v>229</v>
      </c>
      <c r="C230" s="5" t="str">
        <f>IFERROR(__xludf.DUMMYFUNCTION("""COMPUTED_VALUE"""),"Redstone")</f>
        <v>Redstone</v>
      </c>
      <c r="D230" s="5" t="str">
        <f>IFERROR(__xludf.DUMMYFUNCTION("""COMPUTED_VALUE"""),"20 Fire Cash")</f>
        <v>20 Fire Cash</v>
      </c>
      <c r="E230" s="5" t="str">
        <f>IFERROR(__xludf.DUMMYFUNCTION("""COMPUTED_VALUE"""),"Redstone")</f>
        <v>Redstone</v>
      </c>
      <c r="F230" s="5" t="str">
        <f>IFERROR(__xludf.DUMMYFUNCTION("""COMPUTED_VALUE"""),"FireCash20")</f>
        <v>FireCash20</v>
      </c>
      <c r="G230" s="5" t="str">
        <f>IFERROR(__xludf.DUMMYFUNCTION("""COMPUTED_VALUE"""),"Live")</f>
        <v>Live</v>
      </c>
      <c r="H230" s="5"/>
      <c r="I230" s="5" t="str">
        <f>IFERROR(__xludf.DUMMYFUNCTION("""COMPUTED_VALUE"""),"Redstone")</f>
        <v>Redstone</v>
      </c>
      <c r="J230" s="5" t="str">
        <f>IFERROR(__xludf.DUMMYFUNCTION("""COMPUTED_VALUE"""),"JSON")</f>
        <v>JSON</v>
      </c>
      <c r="K230" s="5" t="str">
        <f>IFERROR(__xludf.DUMMYFUNCTION("""COMPUTED_VALUE"""),"Slot")</f>
        <v>Slot</v>
      </c>
      <c r="L230" s="5" t="str">
        <f>IFERROR(__xludf.DUMMYFUNCTION("""COMPUTED_VALUE"""),"Master")</f>
        <v>Master</v>
      </c>
      <c r="M230" s="5"/>
      <c r="N230" s="7" t="str">
        <f>IFERROR(__xludf.DUMMYFUNCTION("""COMPUTED_VALUE"""),"https://docs.google.com/document/d/1dRme9Y9ZCWbSWakSwsLt31xwA12AH3_l/edit?usp=drive_link&amp;ouid=107596163405648766688&amp;rtpof=true&amp;sd=true")</f>
        <v>https://docs.google.com/document/d/1dRme9Y9ZCWbSWakSwsLt31xwA12AH3_l/edit?usp=drive_link&amp;ouid=107596163405648766688&amp;rtpof=true&amp;sd=true</v>
      </c>
      <c r="O230" s="7" t="str">
        <f>IFERROR(__xludf.DUMMYFUNCTION("""COMPUTED_VALUE"""),"https://docs.google.com/document/d/1UeKapwW5j_iL8jkPhskA_IB-etulcFA5/edit?usp=drive_link&amp;ouid=107596163405648766688&amp;rtpof=true&amp;sd=true")</f>
        <v>https://docs.google.com/document/d/1UeKapwW5j_iL8jkPhskA_IB-etulcFA5/edit?usp=drive_link&amp;ouid=107596163405648766688&amp;rtpof=true&amp;sd=true</v>
      </c>
      <c r="P230" s="12">
        <f>IFERROR(__xludf.DUMMYFUNCTION("""COMPUTED_VALUE"""),6.5)</f>
        <v>6.5</v>
      </c>
      <c r="Q230" s="13">
        <f>IFERROR(__xludf.DUMMYFUNCTION("""COMPUTED_VALUE"""),44958.0)</f>
        <v>44958</v>
      </c>
      <c r="R230" s="14"/>
      <c r="S230" s="13">
        <f>IFERROR(__xludf.DUMMYFUNCTION("""COMPUTED_VALUE"""),44958.0)</f>
        <v>44958</v>
      </c>
      <c r="T230" s="5" t="b">
        <f>IFERROR(__xludf.DUMMYFUNCTION("""COMPUTED_VALUE"""),TRUE)</f>
        <v>1</v>
      </c>
      <c r="U230" s="5" t="str">
        <f>IFERROR(__xludf.DUMMYFUNCTION("""COMPUTED_VALUE"""),"5x3")</f>
        <v>5x3</v>
      </c>
      <c r="V230" s="10" t="str">
        <f>IFERROR(__xludf.DUMMYFUNCTION("""COMPUTED_VALUE"""),"20")</f>
        <v>20</v>
      </c>
      <c r="W230" s="10" t="str">
        <f>IFERROR(__xludf.DUMMYFUNCTION("""COMPUTED_VALUE"""),"20")</f>
        <v>20</v>
      </c>
      <c r="X230" s="5">
        <f>IFERROR(__xludf.DUMMYFUNCTION("""COMPUTED_VALUE"""),96.47)</f>
        <v>96.47</v>
      </c>
      <c r="Y230" s="5" t="str">
        <f>IFERROR(__xludf.DUMMYFUNCTION("""COMPUTED_VALUE"""),"Medium")</f>
        <v>Medium</v>
      </c>
      <c r="Z230" s="5">
        <f>IFERROR(__xludf.DUMMYFUNCTION("""COMPUTED_VALUE"""),17.73)</f>
        <v>17.73</v>
      </c>
      <c r="AA230" s="12">
        <f>IFERROR(__xludf.DUMMYFUNCTION("""COMPUTED_VALUE"""),1000.0)</f>
        <v>1000</v>
      </c>
      <c r="AB230" s="5"/>
      <c r="AC230" s="5" t="str">
        <f>IFERROR(__xludf.DUMMYFUNCTION("""COMPUTED_VALUE"""),"Special Wild, Scatter")</f>
        <v>Special Wild, Scatter</v>
      </c>
      <c r="AD230" s="5" t="str">
        <f>IFERROR(__xludf.DUMMYFUNCTION("""COMPUTED_VALUE"""),"0.02/50")</f>
        <v>0.02/50</v>
      </c>
      <c r="AE230" s="5"/>
      <c r="AF230" s="5"/>
      <c r="AG230" s="8">
        <f>IFERROR(__xludf.DUMMYFUNCTION("""COMPUTED_VALUE"""),46157.476689814815)</f>
        <v>46157.47669</v>
      </c>
      <c r="AH230" s="5"/>
      <c r="AI230" s="5"/>
      <c r="AJ230" s="5"/>
      <c r="AK230" s="5">
        <f>IFERROR(__xludf.DUMMYFUNCTION("""COMPUTED_VALUE"""),1.0)</f>
        <v>1</v>
      </c>
      <c r="AL230" s="5" t="str">
        <f>IFERROR(__xludf.DUMMYFUNCTION("""COMPUTED_VALUE"""),"No")</f>
        <v>No</v>
      </c>
      <c r="AM230" s="5" t="str">
        <f>IFERROR(__xludf.DUMMYFUNCTION("""COMPUTED_VALUE"""),"No")</f>
        <v>No</v>
      </c>
      <c r="AN230" s="7" t="str">
        <f>IFERROR(__xludf.DUMMYFUNCTION("""COMPUTED_VALUE"""),"https://static.redstone.rs/games/20-fire-cash/")</f>
        <v>https://static.redstone.rs/games/20-fire-cash/</v>
      </c>
      <c r="AO230" s="5" t="str">
        <f>IFERROR(__xludf.DUMMYFUNCTION("""COMPUTED_VALUE"""),"No")</f>
        <v>No</v>
      </c>
      <c r="AP230" s="5" t="str">
        <f>IFERROR(__xludf.DUMMYFUNCTION("""COMPUTED_VALUE"""),"No")</f>
        <v>No</v>
      </c>
      <c r="AQ230" s="5" t="b">
        <f>IFERROR(__xludf.DUMMYFUNCTION("""COMPUTED_VALUE"""),TRUE)</f>
        <v>1</v>
      </c>
      <c r="AR230" s="5"/>
      <c r="AS230" s="5" t="str">
        <f>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AT230" s="5"/>
      <c r="AU230" s="5" t="str">
        <f>IFERROR(__xludf.DUMMYFUNCTION("""COMPUTED_VALUE"""),"Redstone")</f>
        <v>Redstone</v>
      </c>
      <c r="AV230" s="5"/>
      <c r="AW230" s="5"/>
      <c r="AX230" s="5"/>
      <c r="AY230" s="5"/>
      <c r="AZ230" s="5"/>
      <c r="BA230" s="5"/>
      <c r="BB230" s="5" t="b">
        <f>IFERROR(__xludf.DUMMYFUNCTION("""COMPUTED_VALUE"""),TRUE)</f>
        <v>1</v>
      </c>
      <c r="BC230" s="5" t="str">
        <f>IFERROR(__xludf.DUMMYFUNCTION("""COMPUTED_VALUE"""),"Redstone")</f>
        <v>Redstone</v>
      </c>
      <c r="BD230" s="7" t="str">
        <f>IFERROR(__xludf.DUMMYFUNCTION("""COMPUTED_VALUE"""),"https://static.redstone.rs/games/20-fire-cash/")</f>
        <v>https://static.redstone.rs/games/20-fire-cash/</v>
      </c>
      <c r="BE230" s="5" t="b">
        <f>IFERROR(__xludf.DUMMYFUNCTION("""COMPUTED_VALUE"""),TRUE)</f>
        <v>1</v>
      </c>
    </row>
    <row r="231">
      <c r="A231" s="5">
        <f>IFERROR(__xludf.DUMMYFUNCTION("""COMPUTED_VALUE"""),231.0)</f>
        <v>231</v>
      </c>
      <c r="B231" s="5">
        <f>IFERROR(__xludf.DUMMYFUNCTION("""COMPUTED_VALUE"""),230.0)</f>
        <v>230</v>
      </c>
      <c r="C231" s="5" t="str">
        <f>IFERROR(__xludf.DUMMYFUNCTION("""COMPUTED_VALUE"""),"Tiptop")</f>
        <v>Tiptop</v>
      </c>
      <c r="D231" s="5" t="str">
        <f>IFERROR(__xludf.DUMMYFUNCTION("""COMPUTED_VALUE"""),"Coyote Sevens")</f>
        <v>Coyote Sevens</v>
      </c>
      <c r="E231" s="5"/>
      <c r="F231" s="5" t="str">
        <f>IFERROR(__xludf.DUMMYFUNCTION("""COMPUTED_VALUE"""),"UnicornCoyoteSevens")</f>
        <v>UnicornCoyoteSevens</v>
      </c>
      <c r="G231" s="5" t="str">
        <f>IFERROR(__xludf.DUMMYFUNCTION("""COMPUTED_VALUE"""),"Live")</f>
        <v>Live</v>
      </c>
      <c r="H231" s="5"/>
      <c r="I231" s="5" t="str">
        <f>IFERROR(__xludf.DUMMYFUNCTION("""COMPUTED_VALUE"""),"TipTop")</f>
        <v>TipTop</v>
      </c>
      <c r="J231" s="5" t="str">
        <f>IFERROR(__xludf.DUMMYFUNCTION("""COMPUTED_VALUE"""),"JSON")</f>
        <v>JSON</v>
      </c>
      <c r="K231" s="5" t="str">
        <f>IFERROR(__xludf.DUMMYFUNCTION("""COMPUTED_VALUE"""),"Slot")</f>
        <v>Slot</v>
      </c>
      <c r="L231" s="5"/>
      <c r="M231" s="5"/>
      <c r="N231" s="5"/>
      <c r="O231" s="5"/>
      <c r="P231" s="12">
        <f>IFERROR(__xludf.DUMMYFUNCTION("""COMPUTED_VALUE"""),11.1)</f>
        <v>11.1</v>
      </c>
      <c r="Q231" s="13">
        <f>IFERROR(__xludf.DUMMYFUNCTION("""COMPUTED_VALUE"""),44971.0)</f>
        <v>44971</v>
      </c>
      <c r="R231" s="14"/>
      <c r="S231" s="13">
        <f>IFERROR(__xludf.DUMMYFUNCTION("""COMPUTED_VALUE"""),44971.0)</f>
        <v>44971</v>
      </c>
      <c r="T231" s="5" t="b">
        <f>IFERROR(__xludf.DUMMYFUNCTION("""COMPUTED_VALUE"""),TRUE)</f>
        <v>1</v>
      </c>
      <c r="U231" s="5" t="str">
        <f>IFERROR(__xludf.DUMMYFUNCTION("""COMPUTED_VALUE"""),"5X3")</f>
        <v>5X3</v>
      </c>
      <c r="V231" s="10" t="str">
        <f>IFERROR(__xludf.DUMMYFUNCTION("""COMPUTED_VALUE"""),"5")</f>
        <v>5</v>
      </c>
      <c r="W231" s="10" t="str">
        <f>IFERROR(__xludf.DUMMYFUNCTION("""COMPUTED_VALUE"""),"5")</f>
        <v>5</v>
      </c>
      <c r="X231" s="5">
        <f>IFERROR(__xludf.DUMMYFUNCTION("""COMPUTED_VALUE"""),96.0)</f>
        <v>96</v>
      </c>
      <c r="Y231" s="5" t="str">
        <f>IFERROR(__xludf.DUMMYFUNCTION("""COMPUTED_VALUE"""),"Medium")</f>
        <v>Medium</v>
      </c>
      <c r="Z231" s="5">
        <f>IFERROR(__xludf.DUMMYFUNCTION("""COMPUTED_VALUE"""),10.1)</f>
        <v>10.1</v>
      </c>
      <c r="AA231" s="12">
        <f>IFERROR(__xludf.DUMMYFUNCTION("""COMPUTED_VALUE"""),1000.0)</f>
        <v>1000</v>
      </c>
      <c r="AB231" s="5"/>
      <c r="AC231" s="5"/>
      <c r="AD231" s="5" t="str">
        <f>IFERROR(__xludf.DUMMYFUNCTION("""COMPUTED_VALUE"""),"0.05/100")</f>
        <v>0.05/100</v>
      </c>
      <c r="AE231" s="5"/>
      <c r="AF231" s="5"/>
      <c r="AG231" s="8">
        <f>IFERROR(__xludf.DUMMYFUNCTION("""COMPUTED_VALUE"""),46197.45704861111)</f>
        <v>46197.45705</v>
      </c>
      <c r="AH231" s="5" t="str">
        <f>IFERROR(__xludf.DUMMYFUNCTION("""COMPUTED_VALUE"""),"selena.mihajlovic@fazi.rs")</f>
        <v>selena.mihajlovic@fazi.rs</v>
      </c>
      <c r="AI231" s="5"/>
      <c r="AJ231" s="5"/>
      <c r="AK231" s="5">
        <f>IFERROR(__xludf.DUMMYFUNCTION("""COMPUTED_VALUE"""),5.0)</f>
        <v>5</v>
      </c>
      <c r="AL231" s="5" t="str">
        <f>IFERROR(__xludf.DUMMYFUNCTION("""COMPUTED_VALUE"""),"No")</f>
        <v>No</v>
      </c>
      <c r="AM231" s="5"/>
      <c r="AN231" s="7" t="str">
        <f>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AO231" s="5"/>
      <c r="AP231" s="5"/>
      <c r="AQ231" s="5" t="b">
        <f>IFERROR(__xludf.DUMMYFUNCTION("""COMPUTED_VALUE"""),TRUE)</f>
        <v>1</v>
      </c>
      <c r="AR231" s="5"/>
      <c r="AS231" s="5" t="str">
        <f>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AT231" s="5"/>
      <c r="AU231" s="5" t="str">
        <f>IFERROR(__xludf.DUMMYFUNCTION("""COMPUTED_VALUE"""),"Fazi")</f>
        <v>Fazi</v>
      </c>
      <c r="AV231" s="5"/>
      <c r="AW231" s="5"/>
      <c r="AX231" s="5"/>
      <c r="AY231" s="5"/>
      <c r="AZ231" s="5"/>
      <c r="BA231" s="5"/>
      <c r="BB231" s="5" t="b">
        <f>IFERROR(__xludf.DUMMYFUNCTION("""COMPUTED_VALUE"""),TRUE)</f>
        <v>1</v>
      </c>
      <c r="BC231" s="5" t="str">
        <f>IFERROR(__xludf.DUMMYFUNCTION("""COMPUTED_VALUE"""),"Tiptop")</f>
        <v>Tiptop</v>
      </c>
      <c r="BD231" s="7" t="str">
        <f>IFERROR(__xludf.DUMMYFUNCTION("""COMPUTED_VALUE"""),"https://gameserver-store-client-area.orbionlimited.com/Home/IntegrationGameLaunch/client-area?moneyType=0&amp;gameName=UnicornCoyoteSevens&amp;platform=desktop&amp;languageCode=eng&amp;currency=EUR")</f>
        <v>https://gameserver-store-client-area.orbionlimited.com/Home/IntegrationGameLaunch/client-area?moneyType=0&amp;gameName=UnicornCoyoteSevens&amp;platform=desktop&amp;languageCode=eng&amp;currency=EUR</v>
      </c>
      <c r="BE231" s="5" t="b">
        <f>IFERROR(__xludf.DUMMYFUNCTION("""COMPUTED_VALUE"""),TRUE)</f>
        <v>1</v>
      </c>
    </row>
    <row r="232">
      <c r="A232" s="5">
        <f>IFERROR(__xludf.DUMMYFUNCTION("""COMPUTED_VALUE"""),232.0)</f>
        <v>232</v>
      </c>
      <c r="B232" s="5">
        <f>IFERROR(__xludf.DUMMYFUNCTION("""COMPUTED_VALUE"""),231.0)</f>
        <v>231</v>
      </c>
      <c r="C232" s="5" t="str">
        <f>IFERROR(__xludf.DUMMYFUNCTION("""COMPUTED_VALUE"""),"Fazi")</f>
        <v>Fazi</v>
      </c>
      <c r="D232" s="5" t="str">
        <f>IFERROR(__xludf.DUMMYFUNCTION("""COMPUTED_VALUE"""),"Epic Fire 40")</f>
        <v>Epic Fire 40</v>
      </c>
      <c r="E232" s="5" t="str">
        <f>IFERROR(__xludf.DUMMYFUNCTION("""COMPUTED_VALUE"""),"V2")</f>
        <v>V2</v>
      </c>
      <c r="F232" s="5" t="str">
        <f>IFERROR(__xludf.DUMMYFUNCTION("""COMPUTED_VALUE"""),"EpicFire40")</f>
        <v>EpicFire40</v>
      </c>
      <c r="G232" s="5" t="str">
        <f>IFERROR(__xludf.DUMMYFUNCTION("""COMPUTED_VALUE"""),"Live")</f>
        <v>Live</v>
      </c>
      <c r="H232" s="5"/>
      <c r="I232" s="5" t="str">
        <f>IFERROR(__xludf.DUMMYFUNCTION("""COMPUTED_VALUE"""),"V2")</f>
        <v>V2</v>
      </c>
      <c r="J232" s="5" t="str">
        <f>IFERROR(__xludf.DUMMYFUNCTION("""COMPUTED_VALUE"""),"JSON")</f>
        <v>JSON</v>
      </c>
      <c r="K232" s="5" t="str">
        <f>IFERROR(__xludf.DUMMYFUNCTION("""COMPUTED_VALUE"""),"Slot")</f>
        <v>Slot</v>
      </c>
      <c r="L232" s="5"/>
      <c r="M232" s="5"/>
      <c r="N232" s="5"/>
      <c r="O232" s="5"/>
      <c r="P232" s="12">
        <f>IFERROR(__xludf.DUMMYFUNCTION("""COMPUTED_VALUE"""),28.3)</f>
        <v>28.3</v>
      </c>
      <c r="Q232" s="13">
        <f>IFERROR(__xludf.DUMMYFUNCTION("""COMPUTED_VALUE"""),45132.0)</f>
        <v>45132</v>
      </c>
      <c r="R232" s="14"/>
      <c r="S232" s="13">
        <f>IFERROR(__xludf.DUMMYFUNCTION("""COMPUTED_VALUE"""),45132.0)</f>
        <v>45132</v>
      </c>
      <c r="T232" s="5" t="b">
        <f>IFERROR(__xludf.DUMMYFUNCTION("""COMPUTED_VALUE"""),TRUE)</f>
        <v>1</v>
      </c>
      <c r="U232" s="5" t="str">
        <f>IFERROR(__xludf.DUMMYFUNCTION("""COMPUTED_VALUE"""),"5x4")</f>
        <v>5x4</v>
      </c>
      <c r="V232" s="10" t="str">
        <f>IFERROR(__xludf.DUMMYFUNCTION("""COMPUTED_VALUE"""),"40")</f>
        <v>40</v>
      </c>
      <c r="W232" s="10" t="str">
        <f>IFERROR(__xludf.DUMMYFUNCTION("""COMPUTED_VALUE"""),"40")</f>
        <v>40</v>
      </c>
      <c r="X232" s="5">
        <f>IFERROR(__xludf.DUMMYFUNCTION("""COMPUTED_VALUE"""),96.507)</f>
        <v>96.507</v>
      </c>
      <c r="Y232" s="5" t="str">
        <f>IFERROR(__xludf.DUMMYFUNCTION("""COMPUTED_VALUE"""),"Medium")</f>
        <v>Medium</v>
      </c>
      <c r="Z232" s="5">
        <f>IFERROR(__xludf.DUMMYFUNCTION("""COMPUTED_VALUE"""),14.93)</f>
        <v>14.93</v>
      </c>
      <c r="AA232" s="12">
        <f>IFERROR(__xludf.DUMMYFUNCTION("""COMPUTED_VALUE"""),1000.0)</f>
        <v>1000</v>
      </c>
      <c r="AB232" s="5"/>
      <c r="AC232" s="5" t="str">
        <f>IFERROR(__xludf.DUMMYFUNCTION("""COMPUTED_VALUE"""),"Wild Symbol, Scatter")</f>
        <v>Wild Symbol, Scatter</v>
      </c>
      <c r="AD232" s="5" t="str">
        <f>IFERROR(__xludf.DUMMYFUNCTION("""COMPUTED_VALUE"""),"0.4/60")</f>
        <v>0.4/60</v>
      </c>
      <c r="AE232" s="5"/>
      <c r="AF232" s="5"/>
      <c r="AG232" s="8">
        <f>IFERROR(__xludf.DUMMYFUNCTION("""COMPUTED_VALUE"""),46104.42697916667)</f>
        <v>46104.42698</v>
      </c>
      <c r="AH232" s="5" t="str">
        <f>IFERROR(__xludf.DUMMYFUNCTION("""COMPUTED_VALUE"""),"marko.tepavac@fazi.rs")</f>
        <v>marko.tepavac@fazi.rs</v>
      </c>
      <c r="AI232" s="5"/>
      <c r="AJ232" s="5"/>
      <c r="AK232" s="5">
        <f>IFERROR(__xludf.DUMMYFUNCTION("""COMPUTED_VALUE"""),40.0)</f>
        <v>40</v>
      </c>
      <c r="AL232" s="5" t="str">
        <f>IFERROR(__xludf.DUMMYFUNCTION("""COMPUTED_VALUE"""),"Yes")</f>
        <v>Yes</v>
      </c>
      <c r="AM232" s="5"/>
      <c r="AN232" s="7" t="str">
        <f>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AO232" s="5" t="str">
        <f>IFERROR(__xludf.DUMMYFUNCTION("""COMPUTED_VALUE"""),"Yes")</f>
        <v>Yes</v>
      </c>
      <c r="AP232" s="5" t="str">
        <f>IFERROR(__xludf.DUMMYFUNCTION("""COMPUTED_VALUE"""),"Yes")</f>
        <v>Yes</v>
      </c>
      <c r="AQ232" s="5" t="b">
        <f>IFERROR(__xludf.DUMMYFUNCTION("""COMPUTED_VALUE"""),TRUE)</f>
        <v>1</v>
      </c>
      <c r="AR232" s="5"/>
      <c r="AS232" s="5" t="str">
        <f>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AT232" s="5" t="str">
        <f>IFERROR(__xludf.DUMMYFUNCTION("""COMPUTED_VALUE"""),"No")</f>
        <v>No</v>
      </c>
      <c r="AU232" s="5" t="str">
        <f>IFERROR(__xludf.DUMMYFUNCTION("""COMPUTED_VALUE"""),"Fazi")</f>
        <v>Fazi</v>
      </c>
      <c r="AV232" s="5"/>
      <c r="AW232" s="5"/>
      <c r="AX232" s="5"/>
      <c r="AY232" s="5"/>
      <c r="AZ232" s="5"/>
      <c r="BA232" s="5" t="str">
        <f>IFERROR(__xludf.DUMMYFUNCTION("""COMPUTED_VALUE"""),"")</f>
        <v/>
      </c>
      <c r="BB232" s="5"/>
      <c r="BC232" s="5" t="str">
        <f>IFERROR(__xludf.DUMMYFUNCTION("""COMPUTED_VALUE"""),"Foxi")</f>
        <v>Foxi</v>
      </c>
      <c r="BD232" s="7" t="str">
        <f>IFERROR(__xludf.DUMMYFUNCTION("""COMPUTED_VALUE"""),"https://gameserver-store-client-area.orbionlimited.com/Home/IntegrationGameLaunch/client-area?moneyType=0&amp;gameName=EpicFire40&amp;platform=desktop&amp;languageCode=eng&amp;currency=EUR")</f>
        <v>https://gameserver-store-client-area.orbionlimited.com/Home/IntegrationGameLaunch/client-area?moneyType=0&amp;gameName=EpicFire40&amp;platform=desktop&amp;languageCode=eng&amp;currency=EUR</v>
      </c>
      <c r="BE232" s="5" t="b">
        <f>IFERROR(__xludf.DUMMYFUNCTION("""COMPUTED_VALUE"""),TRUE)</f>
        <v>1</v>
      </c>
    </row>
    <row r="233">
      <c r="A233" s="5">
        <f>IFERROR(__xludf.DUMMYFUNCTION("""COMPUTED_VALUE"""),233.0)</f>
        <v>233</v>
      </c>
      <c r="B233" s="5">
        <f>IFERROR(__xludf.DUMMYFUNCTION("""COMPUTED_VALUE"""),232.0)</f>
        <v>232</v>
      </c>
      <c r="C233" s="5" t="str">
        <f>IFERROR(__xludf.DUMMYFUNCTION("""COMPUTED_VALUE"""),"Fazi")</f>
        <v>Fazi</v>
      </c>
      <c r="D233" s="5" t="str">
        <f>IFERROR(__xludf.DUMMYFUNCTION("""COMPUTED_VALUE"""),"Golden Crown 40")</f>
        <v>Golden Crown 40</v>
      </c>
      <c r="E233" s="5" t="str">
        <f>IFERROR(__xludf.DUMMYFUNCTION("""COMPUTED_VALUE"""),"V2")</f>
        <v>V2</v>
      </c>
      <c r="F233" s="5" t="str">
        <f>IFERROR(__xludf.DUMMYFUNCTION("""COMPUTED_VALUE"""),"GoldenCrown40")</f>
        <v>GoldenCrown40</v>
      </c>
      <c r="G233" s="5" t="str">
        <f>IFERROR(__xludf.DUMMYFUNCTION("""COMPUTED_VALUE"""),"Live")</f>
        <v>Live</v>
      </c>
      <c r="H233" s="5"/>
      <c r="I233" s="5" t="str">
        <f>IFERROR(__xludf.DUMMYFUNCTION("""COMPUTED_VALUE"""),"V2")</f>
        <v>V2</v>
      </c>
      <c r="J233" s="5" t="str">
        <f>IFERROR(__xludf.DUMMYFUNCTION("""COMPUTED_VALUE"""),"JSON")</f>
        <v>JSON</v>
      </c>
      <c r="K233" s="5" t="str">
        <f>IFERROR(__xludf.DUMMYFUNCTION("""COMPUTED_VALUE"""),"Slot")</f>
        <v>Slot</v>
      </c>
      <c r="L233" s="5" t="str">
        <f>IFERROR(__xludf.DUMMYFUNCTION("""COMPUTED_VALUE"""),"Clone")</f>
        <v>Clone</v>
      </c>
      <c r="M233" s="5" t="str">
        <f>IFERROR(__xludf.DUMMYFUNCTION("""COMPUTED_VALUE"""),"Golden Crown")</f>
        <v>Golden Crown</v>
      </c>
      <c r="N233" s="5"/>
      <c r="O233" s="5"/>
      <c r="P233" s="12">
        <f>IFERROR(__xludf.DUMMYFUNCTION("""COMPUTED_VALUE"""),19.0)</f>
        <v>19</v>
      </c>
      <c r="Q233" s="13">
        <f>IFERROR(__xludf.DUMMYFUNCTION("""COMPUTED_VALUE"""),45027.0)</f>
        <v>45027</v>
      </c>
      <c r="R233" s="14"/>
      <c r="S233" s="13">
        <f>IFERROR(__xludf.DUMMYFUNCTION("""COMPUTED_VALUE"""),45027.0)</f>
        <v>45027</v>
      </c>
      <c r="T233" s="5" t="b">
        <f>IFERROR(__xludf.DUMMYFUNCTION("""COMPUTED_VALUE"""),TRUE)</f>
        <v>1</v>
      </c>
      <c r="U233" s="5" t="str">
        <f>IFERROR(__xludf.DUMMYFUNCTION("""COMPUTED_VALUE"""),"5x3")</f>
        <v>5x3</v>
      </c>
      <c r="V233" s="10" t="str">
        <f>IFERROR(__xludf.DUMMYFUNCTION("""COMPUTED_VALUE"""),"40")</f>
        <v>40</v>
      </c>
      <c r="W233" s="10" t="str">
        <f>IFERROR(__xludf.DUMMYFUNCTION("""COMPUTED_VALUE"""),"40")</f>
        <v>40</v>
      </c>
      <c r="X233" s="5">
        <f>IFERROR(__xludf.DUMMYFUNCTION("""COMPUTED_VALUE"""),95.962)</f>
        <v>95.962</v>
      </c>
      <c r="Y233" s="5" t="str">
        <f>IFERROR(__xludf.DUMMYFUNCTION("""COMPUTED_VALUE"""),"Medium")</f>
        <v>Medium</v>
      </c>
      <c r="Z233" s="5">
        <f>IFERROR(__xludf.DUMMYFUNCTION("""COMPUTED_VALUE"""),18.35)</f>
        <v>18.35</v>
      </c>
      <c r="AA233" s="12">
        <f>IFERROR(__xludf.DUMMYFUNCTION("""COMPUTED_VALUE"""),1420.25)</f>
        <v>1420.25</v>
      </c>
      <c r="AB233" s="5">
        <f>IFERROR(__xludf.DUMMYFUNCTION("""COMPUTED_VALUE"""),4.0)</f>
        <v>4</v>
      </c>
      <c r="AC233" s="5" t="str">
        <f>IFERROR(__xludf.DUMMYFUNCTION("""COMPUTED_VALUE"""),"Scatter, Expanding Wild")</f>
        <v>Scatter, Expanding Wild</v>
      </c>
      <c r="AD233" s="5" t="str">
        <f>IFERROR(__xludf.DUMMYFUNCTION("""COMPUTED_VALUE"""),"0.4/50")</f>
        <v>0.4/50</v>
      </c>
      <c r="AE233" s="5"/>
      <c r="AF233" s="5"/>
      <c r="AG233" s="8">
        <f>IFERROR(__xludf.DUMMYFUNCTION("""COMPUTED_VALUE"""),46104.42728009259)</f>
        <v>46104.42728</v>
      </c>
      <c r="AH233" s="5" t="str">
        <f>IFERROR(__xludf.DUMMYFUNCTION("""COMPUTED_VALUE"""),"marko.tepavac@fazi.rs")</f>
        <v>marko.tepavac@fazi.rs</v>
      </c>
      <c r="AI233" s="5"/>
      <c r="AJ233" s="5"/>
      <c r="AK233" s="5">
        <f>IFERROR(__xludf.DUMMYFUNCTION("""COMPUTED_VALUE"""),40.0)</f>
        <v>40</v>
      </c>
      <c r="AL233" s="5" t="str">
        <f>IFERROR(__xludf.DUMMYFUNCTION("""COMPUTED_VALUE"""),"Yes")</f>
        <v>Yes</v>
      </c>
      <c r="AM233" s="5"/>
      <c r="AN233"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233" s="5" t="str">
        <f>IFERROR(__xludf.DUMMYFUNCTION("""COMPUTED_VALUE"""),"Yes")</f>
        <v>Yes</v>
      </c>
      <c r="AP233" s="5" t="str">
        <f>IFERROR(__xludf.DUMMYFUNCTION("""COMPUTED_VALUE"""),"Yes")</f>
        <v>Yes</v>
      </c>
      <c r="AQ233" s="5" t="b">
        <f>IFERROR(__xludf.DUMMYFUNCTION("""COMPUTED_VALUE"""),TRUE)</f>
        <v>1</v>
      </c>
      <c r="AR233" s="5"/>
      <c r="AS233" s="5" t="str">
        <f>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AT233" s="5" t="str">
        <f>IFERROR(__xludf.DUMMYFUNCTION("""COMPUTED_VALUE"""),"No")</f>
        <v>No</v>
      </c>
      <c r="AU233" s="5" t="str">
        <f>IFERROR(__xludf.DUMMYFUNCTION("""COMPUTED_VALUE"""),"Fazi")</f>
        <v>Fazi</v>
      </c>
      <c r="AV233" s="5"/>
      <c r="AW233" s="5"/>
      <c r="AX233" s="5"/>
      <c r="AY233" s="5" t="str">
        <f>IFERROR(__xludf.DUMMYFUNCTION("""COMPUTED_VALUE"""),"87.5%, 89.5%, 91.5%, 93.5%, 94.5%, 95.5%, 96.5%")</f>
        <v>87.5%, 89.5%, 91.5%, 93.5%, 94.5%, 95.5%, 96.5%</v>
      </c>
      <c r="AZ233" s="5"/>
      <c r="BA233" s="5" t="str">
        <f>IFERROR(__xludf.DUMMYFUNCTION("""COMPUTED_VALUE"""),"")</f>
        <v/>
      </c>
      <c r="BB233" s="5"/>
      <c r="BC233" s="5" t="str">
        <f>IFERROR(__xludf.DUMMYFUNCTION("""COMPUTED_VALUE"""),"Foxi")</f>
        <v>Foxi</v>
      </c>
      <c r="BD233" s="7" t="str">
        <f>IFERROR(__xludf.DUMMYFUNCTION("""COMPUTED_VALUE"""),"https://gameserver-store-client-area.orbionlimited.com/Home/IntegrationGameLaunch/client-area?moneyType=0&amp;gameName=GoldenCrown40&amp;platform=desktop&amp;languageCode=eng&amp;currency=EUR")</f>
        <v>https://gameserver-store-client-area.orbionlimited.com/Home/IntegrationGameLaunch/client-area?moneyType=0&amp;gameName=GoldenCrown40&amp;platform=desktop&amp;languageCode=eng&amp;currency=EUR</v>
      </c>
      <c r="BE233" s="5" t="b">
        <f>IFERROR(__xludf.DUMMYFUNCTION("""COMPUTED_VALUE"""),TRUE)</f>
        <v>1</v>
      </c>
    </row>
    <row r="234">
      <c r="A234" s="5">
        <f>IFERROR(__xludf.DUMMYFUNCTION("""COMPUTED_VALUE"""),234.0)</f>
        <v>234</v>
      </c>
      <c r="B234" s="5">
        <f>IFERROR(__xludf.DUMMYFUNCTION("""COMPUTED_VALUE"""),233.0)</f>
        <v>233</v>
      </c>
      <c r="C234" s="5" t="str">
        <f>IFERROR(__xludf.DUMMYFUNCTION("""COMPUTED_VALUE"""),"Tiptop")</f>
        <v>Tiptop</v>
      </c>
      <c r="D234" s="5" t="str">
        <f>IFERROR(__xludf.DUMMYFUNCTION("""COMPUTED_VALUE"""),"Coyote Dice")</f>
        <v>Coyote Dice</v>
      </c>
      <c r="E234" s="5"/>
      <c r="F234" s="5" t="str">
        <f>IFERROR(__xludf.DUMMYFUNCTION("""COMPUTED_VALUE"""),"UnicornCoyoteDice")</f>
        <v>UnicornCoyoteDice</v>
      </c>
      <c r="G234" s="5" t="str">
        <f>IFERROR(__xludf.DUMMYFUNCTION("""COMPUTED_VALUE"""),"Live")</f>
        <v>Live</v>
      </c>
      <c r="H234" s="5"/>
      <c r="I234" s="5" t="str">
        <f>IFERROR(__xludf.DUMMYFUNCTION("""COMPUTED_VALUE"""),"TipTop")</f>
        <v>TipTop</v>
      </c>
      <c r="J234" s="5" t="str">
        <f>IFERROR(__xludf.DUMMYFUNCTION("""COMPUTED_VALUE"""),"JSON")</f>
        <v>JSON</v>
      </c>
      <c r="K234" s="5" t="str">
        <f>IFERROR(__xludf.DUMMYFUNCTION("""COMPUTED_VALUE"""),"Dice Slots")</f>
        <v>Dice Slots</v>
      </c>
      <c r="L234" s="5"/>
      <c r="M234" s="5"/>
      <c r="N234" s="5"/>
      <c r="O234" s="5"/>
      <c r="P234" s="12">
        <f>IFERROR(__xludf.DUMMYFUNCTION("""COMPUTED_VALUE"""),11.1)</f>
        <v>11.1</v>
      </c>
      <c r="Q234" s="13">
        <f>IFERROR(__xludf.DUMMYFUNCTION("""COMPUTED_VALUE"""),44999.0)</f>
        <v>44999</v>
      </c>
      <c r="R234" s="14"/>
      <c r="S234" s="13">
        <f>IFERROR(__xludf.DUMMYFUNCTION("""COMPUTED_VALUE"""),44999.0)</f>
        <v>44999</v>
      </c>
      <c r="T234" s="5" t="b">
        <f>IFERROR(__xludf.DUMMYFUNCTION("""COMPUTED_VALUE"""),TRUE)</f>
        <v>1</v>
      </c>
      <c r="U234" s="5" t="str">
        <f>IFERROR(__xludf.DUMMYFUNCTION("""COMPUTED_VALUE"""),"5X3")</f>
        <v>5X3</v>
      </c>
      <c r="V234" s="10" t="str">
        <f>IFERROR(__xludf.DUMMYFUNCTION("""COMPUTED_VALUE"""),"5")</f>
        <v>5</v>
      </c>
      <c r="W234" s="10" t="str">
        <f>IFERROR(__xludf.DUMMYFUNCTION("""COMPUTED_VALUE"""),"5")</f>
        <v>5</v>
      </c>
      <c r="X234" s="5">
        <f>IFERROR(__xludf.DUMMYFUNCTION("""COMPUTED_VALUE"""),96.0)</f>
        <v>96</v>
      </c>
      <c r="Y234" s="5" t="str">
        <f>IFERROR(__xludf.DUMMYFUNCTION("""COMPUTED_VALUE"""),"Medium")</f>
        <v>Medium</v>
      </c>
      <c r="Z234" s="5">
        <f>IFERROR(__xludf.DUMMYFUNCTION("""COMPUTED_VALUE"""),10.1)</f>
        <v>10.1</v>
      </c>
      <c r="AA234" s="12">
        <f>IFERROR(__xludf.DUMMYFUNCTION("""COMPUTED_VALUE"""),1000.0)</f>
        <v>1000</v>
      </c>
      <c r="AB234" s="5"/>
      <c r="AC234" s="5"/>
      <c r="AD234" s="5" t="str">
        <f>IFERROR(__xludf.DUMMYFUNCTION("""COMPUTED_VALUE"""),"0.05/100")</f>
        <v>0.05/100</v>
      </c>
      <c r="AE234" s="5"/>
      <c r="AF234" s="5"/>
      <c r="AG234" s="8">
        <f>IFERROR(__xludf.DUMMYFUNCTION("""COMPUTED_VALUE"""),46197.457233796296)</f>
        <v>46197.45723</v>
      </c>
      <c r="AH234" s="5" t="str">
        <f>IFERROR(__xludf.DUMMYFUNCTION("""COMPUTED_VALUE"""),"selena.mihajlovic@fazi.rs")</f>
        <v>selena.mihajlovic@fazi.rs</v>
      </c>
      <c r="AI234" s="5"/>
      <c r="AJ234" s="5"/>
      <c r="AK234" s="5">
        <f>IFERROR(__xludf.DUMMYFUNCTION("""COMPUTED_VALUE"""),5.0)</f>
        <v>5</v>
      </c>
      <c r="AL234" s="5" t="str">
        <f>IFERROR(__xludf.DUMMYFUNCTION("""COMPUTED_VALUE"""),"No")</f>
        <v>No</v>
      </c>
      <c r="AM234" s="5"/>
      <c r="AN234" s="7" t="str">
        <f>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AO234" s="5"/>
      <c r="AP234" s="5"/>
      <c r="AQ234" s="5" t="b">
        <f>IFERROR(__xludf.DUMMYFUNCTION("""COMPUTED_VALUE"""),TRUE)</f>
        <v>1</v>
      </c>
      <c r="AR234" s="5"/>
      <c r="AS234" s="5" t="str">
        <f>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AT234" s="5"/>
      <c r="AU234" s="5" t="str">
        <f>IFERROR(__xludf.DUMMYFUNCTION("""COMPUTED_VALUE"""),"Fazi")</f>
        <v>Fazi</v>
      </c>
      <c r="AV234" s="5"/>
      <c r="AW234" s="5"/>
      <c r="AX234" s="5"/>
      <c r="AY234" s="5"/>
      <c r="AZ234" s="5"/>
      <c r="BA234" s="5"/>
      <c r="BB234" s="5" t="b">
        <f>IFERROR(__xludf.DUMMYFUNCTION("""COMPUTED_VALUE"""),TRUE)</f>
        <v>1</v>
      </c>
      <c r="BC234" s="5" t="str">
        <f>IFERROR(__xludf.DUMMYFUNCTION("""COMPUTED_VALUE"""),"Tiptop")</f>
        <v>Tiptop</v>
      </c>
      <c r="BD234" s="7" t="str">
        <f>IFERROR(__xludf.DUMMYFUNCTION("""COMPUTED_VALUE"""),"https://gameserver-store-client-area.orbionlimited.com/Home/IntegrationGameLaunch/client-area?moneyType=0&amp;gameName=UnicornCoyoteDice&amp;platform=desktop&amp;languageCode=eng&amp;currency=EUR")</f>
        <v>https://gameserver-store-client-area.orbionlimited.com/Home/IntegrationGameLaunch/client-area?moneyType=0&amp;gameName=UnicornCoyoteDice&amp;platform=desktop&amp;languageCode=eng&amp;currency=EUR</v>
      </c>
      <c r="BE234" s="5" t="b">
        <f>IFERROR(__xludf.DUMMYFUNCTION("""COMPUTED_VALUE"""),TRUE)</f>
        <v>1</v>
      </c>
    </row>
    <row r="235">
      <c r="A235" s="5">
        <f>IFERROR(__xludf.DUMMYFUNCTION("""COMPUTED_VALUE"""),235.0)</f>
        <v>235</v>
      </c>
      <c r="B235" s="5">
        <f>IFERROR(__xludf.DUMMYFUNCTION("""COMPUTED_VALUE"""),234.0)</f>
        <v>234</v>
      </c>
      <c r="C235" s="5" t="str">
        <f>IFERROR(__xludf.DUMMYFUNCTION("""COMPUTED_VALUE"""),"Fazi")</f>
        <v>Fazi</v>
      </c>
      <c r="D235" s="5" t="str">
        <f>IFERROR(__xludf.DUMMYFUNCTION("""COMPUTED_VALUE"""),"Wild 27")</f>
        <v>Wild 27</v>
      </c>
      <c r="E235" s="5" t="str">
        <f>IFERROR(__xludf.DUMMYFUNCTION("""COMPUTED_VALUE"""),"V4-1")</f>
        <v>V4-1</v>
      </c>
      <c r="F235" s="5" t="str">
        <f>IFERROR(__xludf.DUMMYFUNCTION("""COMPUTED_VALUE"""),"Wild27")</f>
        <v>Wild27</v>
      </c>
      <c r="G235" s="5" t="str">
        <f>IFERROR(__xludf.DUMMYFUNCTION("""COMPUTED_VALUE"""),"Live")</f>
        <v>Live</v>
      </c>
      <c r="H235" s="5"/>
      <c r="I235" s="5" t="str">
        <f>IFERROR(__xludf.DUMMYFUNCTION("""COMPUTED_VALUE"""),"V4")</f>
        <v>V4</v>
      </c>
      <c r="J235" s="5" t="str">
        <f>IFERROR(__xludf.DUMMYFUNCTION("""COMPUTED_VALUE"""),"JSON")</f>
        <v>JSON</v>
      </c>
      <c r="K235" s="5" t="str">
        <f>IFERROR(__xludf.DUMMYFUNCTION("""COMPUTED_VALUE"""),"Slot")</f>
        <v>Slot</v>
      </c>
      <c r="L235" s="5"/>
      <c r="M235" s="5"/>
      <c r="N235" s="5"/>
      <c r="O235" s="5"/>
      <c r="P235" s="12">
        <f>IFERROR(__xludf.DUMMYFUNCTION("""COMPUTED_VALUE"""),11.2)</f>
        <v>11.2</v>
      </c>
      <c r="Q235" s="13">
        <f>IFERROR(__xludf.DUMMYFUNCTION("""COMPUTED_VALUE"""),45050.0)</f>
        <v>45050</v>
      </c>
      <c r="R235" s="14"/>
      <c r="S235" s="13">
        <f>IFERROR(__xludf.DUMMYFUNCTION("""COMPUTED_VALUE"""),45050.0)</f>
        <v>45050</v>
      </c>
      <c r="T235" s="5" t="b">
        <f>IFERROR(__xludf.DUMMYFUNCTION("""COMPUTED_VALUE"""),TRUE)</f>
        <v>1</v>
      </c>
      <c r="U235" s="5" t="str">
        <f>IFERROR(__xludf.DUMMYFUNCTION("""COMPUTED_VALUE"""),"3x3")</f>
        <v>3x3</v>
      </c>
      <c r="V235" s="10" t="str">
        <f>IFERROR(__xludf.DUMMYFUNCTION("""COMPUTED_VALUE"""),"27")</f>
        <v>27</v>
      </c>
      <c r="W235" s="10" t="str">
        <f>IFERROR(__xludf.DUMMYFUNCTION("""COMPUTED_VALUE"""),"27")</f>
        <v>27</v>
      </c>
      <c r="X235" s="5">
        <f>IFERROR(__xludf.DUMMYFUNCTION("""COMPUTED_VALUE"""),96.24)</f>
        <v>96.24</v>
      </c>
      <c r="Y235" s="5" t="str">
        <f>IFERROR(__xludf.DUMMYFUNCTION("""COMPUTED_VALUE"""),"Low")</f>
        <v>Low</v>
      </c>
      <c r="Z235" s="5">
        <f>IFERROR(__xludf.DUMMYFUNCTION("""COMPUTED_VALUE"""),6.58)</f>
        <v>6.58</v>
      </c>
      <c r="AA235" s="12">
        <f>IFERROR(__xludf.DUMMYFUNCTION("""COMPUTED_VALUE"""),108.0)</f>
        <v>108</v>
      </c>
      <c r="AB235" s="5" t="str">
        <f>IFERROR(__xludf.DUMMYFUNCTION("""COMPUTED_VALUE"""),"/")</f>
        <v>/</v>
      </c>
      <c r="AC235" s="5" t="str">
        <f>IFERROR(__xludf.DUMMYFUNCTION("""COMPUTED_VALUE"""),"Win Multiplier")</f>
        <v>Win Multiplier</v>
      </c>
      <c r="AD235" s="5" t="str">
        <f>IFERROR(__xludf.DUMMYFUNCTION("""COMPUTED_VALUE"""),"0.1/40")</f>
        <v>0.1/40</v>
      </c>
      <c r="AE235" s="5"/>
      <c r="AF235" s="5"/>
      <c r="AG235" s="8">
        <f>IFERROR(__xludf.DUMMYFUNCTION("""COMPUTED_VALUE"""),46162.42402777778)</f>
        <v>46162.42403</v>
      </c>
      <c r="AH235" s="5" t="str">
        <f>IFERROR(__xludf.DUMMYFUNCTION("""COMPUTED_VALUE"""),"djordje.petrovic@fazi.rs")</f>
        <v>djordje.petrovic@fazi.rs</v>
      </c>
      <c r="AI235" s="5"/>
      <c r="AJ235" s="5"/>
      <c r="AK235" s="5">
        <f>IFERROR(__xludf.DUMMYFUNCTION("""COMPUTED_VALUE"""),1.0)</f>
        <v>1</v>
      </c>
      <c r="AL235" s="5" t="str">
        <f>IFERROR(__xludf.DUMMYFUNCTION("""COMPUTED_VALUE"""),"Yes")</f>
        <v>Yes</v>
      </c>
      <c r="AM235" s="5"/>
      <c r="AN235" s="7" t="str">
        <f>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AO235" s="5" t="str">
        <f>IFERROR(__xludf.DUMMYFUNCTION("""COMPUTED_VALUE"""),"Yes")</f>
        <v>Yes</v>
      </c>
      <c r="AP235" s="5" t="str">
        <f>IFERROR(__xludf.DUMMYFUNCTION("""COMPUTED_VALUE"""),"Yes")</f>
        <v>Yes</v>
      </c>
      <c r="AQ235" s="5" t="b">
        <f>IFERROR(__xludf.DUMMYFUNCTION("""COMPUTED_VALUE"""),TRUE)</f>
        <v>1</v>
      </c>
      <c r="AR235" s="5"/>
      <c r="AS235" s="5" t="str">
        <f>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AT235" s="5" t="str">
        <f>IFERROR(__xludf.DUMMYFUNCTION("""COMPUTED_VALUE"""),"Yes")</f>
        <v>Yes</v>
      </c>
      <c r="AU235" s="5" t="str">
        <f>IFERROR(__xludf.DUMMYFUNCTION("""COMPUTED_VALUE"""),"Fazi")</f>
        <v>Fazi</v>
      </c>
      <c r="AV235" s="5"/>
      <c r="AW23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35" s="5"/>
      <c r="AY235" s="5" t="str">
        <f>IFERROR(__xludf.DUMMYFUNCTION("""COMPUTED_VALUE"""),"87.5%, 89.5%, 91.5%, 93.5%, 94.5%, 95.5%, 96.5%")</f>
        <v>87.5%, 89.5%, 91.5%, 93.5%, 94.5%, 95.5%, 96.5%</v>
      </c>
      <c r="AZ235" s="5"/>
      <c r="BA235" s="5"/>
      <c r="BB235" s="5"/>
      <c r="BC235" s="5" t="str">
        <f>IFERROR(__xludf.DUMMYFUNCTION("""COMPUTED_VALUE"""),"Foxi")</f>
        <v>Foxi</v>
      </c>
      <c r="BD235" s="7" t="str">
        <f>IFERROR(__xludf.DUMMYFUNCTION("""COMPUTED_VALUE"""),"https://gameserver-store-client-area.orbionlimited.com/Home/IntegrationGameLaunch/client-area?moneyType=0&amp;gameName=Wild27&amp;platform=desktop&amp;languageCode=eng&amp;currency=EUR")</f>
        <v>https://gameserver-store-client-area.orbionlimited.com/Home/IntegrationGameLaunch/client-area?moneyType=0&amp;gameName=Wild27&amp;platform=desktop&amp;languageCode=eng&amp;currency=EUR</v>
      </c>
      <c r="BE235" s="5" t="b">
        <f>IFERROR(__xludf.DUMMYFUNCTION("""COMPUTED_VALUE"""),TRUE)</f>
        <v>1</v>
      </c>
    </row>
    <row r="236">
      <c r="A236" s="5">
        <f>IFERROR(__xludf.DUMMYFUNCTION("""COMPUTED_VALUE"""),236.0)</f>
        <v>236</v>
      </c>
      <c r="B236" s="5">
        <f>IFERROR(__xludf.DUMMYFUNCTION("""COMPUTED_VALUE"""),235.0)</f>
        <v>235</v>
      </c>
      <c r="C236" s="5" t="str">
        <f>IFERROR(__xludf.DUMMYFUNCTION("""COMPUTED_VALUE"""),"Tiptop")</f>
        <v>Tiptop</v>
      </c>
      <c r="D236" s="5" t="str">
        <f>IFERROR(__xludf.DUMMYFUNCTION("""COMPUTED_VALUE"""),"Fruit Wild Lines")</f>
        <v>Fruit Wild Lines</v>
      </c>
      <c r="E236" s="5"/>
      <c r="F236" s="5" t="str">
        <f>IFERROR(__xludf.DUMMYFUNCTION("""COMPUTED_VALUE"""),"UnicornFruitWildLines")</f>
        <v>UnicornFruitWildLines</v>
      </c>
      <c r="G236" s="5" t="str">
        <f>IFERROR(__xludf.DUMMYFUNCTION("""COMPUTED_VALUE"""),"Live")</f>
        <v>Live</v>
      </c>
      <c r="H236" s="5"/>
      <c r="I236" s="5" t="str">
        <f>IFERROR(__xludf.DUMMYFUNCTION("""COMPUTED_VALUE"""),"TipTop")</f>
        <v>TipTop</v>
      </c>
      <c r="J236" s="5" t="str">
        <f>IFERROR(__xludf.DUMMYFUNCTION("""COMPUTED_VALUE"""),"JSON")</f>
        <v>JSON</v>
      </c>
      <c r="K236" s="5" t="str">
        <f>IFERROR(__xludf.DUMMYFUNCTION("""COMPUTED_VALUE"""),"Slot")</f>
        <v>Slot</v>
      </c>
      <c r="L236" s="5"/>
      <c r="M236" s="5"/>
      <c r="N236" s="5"/>
      <c r="O236" s="5"/>
      <c r="P236" s="12">
        <f>IFERROR(__xludf.DUMMYFUNCTION("""COMPUTED_VALUE"""),13.9)</f>
        <v>13.9</v>
      </c>
      <c r="Q236" s="13">
        <f>IFERROR(__xludf.DUMMYFUNCTION("""COMPUTED_VALUE"""),45076.0)</f>
        <v>45076</v>
      </c>
      <c r="R236" s="14"/>
      <c r="S236" s="13">
        <f>IFERROR(__xludf.DUMMYFUNCTION("""COMPUTED_VALUE"""),45076.0)</f>
        <v>45076</v>
      </c>
      <c r="T236" s="5"/>
      <c r="U236" s="5" t="str">
        <f>IFERROR(__xludf.DUMMYFUNCTION("""COMPUTED_VALUE"""),"5X3")</f>
        <v>5X3</v>
      </c>
      <c r="V236" s="10" t="str">
        <f>IFERROR(__xludf.DUMMYFUNCTION("""COMPUTED_VALUE"""),"10")</f>
        <v>10</v>
      </c>
      <c r="W236" s="10" t="str">
        <f>IFERROR(__xludf.DUMMYFUNCTION("""COMPUTED_VALUE"""),"10")</f>
        <v>10</v>
      </c>
      <c r="X236" s="5">
        <f>IFERROR(__xludf.DUMMYFUNCTION("""COMPUTED_VALUE"""),96.0)</f>
        <v>96</v>
      </c>
      <c r="Y236" s="5" t="str">
        <f>IFERROR(__xludf.DUMMYFUNCTION("""COMPUTED_VALUE"""),"High")</f>
        <v>High</v>
      </c>
      <c r="Z236" s="5">
        <f>IFERROR(__xludf.DUMMYFUNCTION("""COMPUTED_VALUE"""),9.46)</f>
        <v>9.46</v>
      </c>
      <c r="AA236" s="12">
        <f>IFERROR(__xludf.DUMMYFUNCTION("""COMPUTED_VALUE"""),1000.0)</f>
        <v>1000</v>
      </c>
      <c r="AB236" s="5"/>
      <c r="AC236" s="5" t="str">
        <f>IFERROR(__xludf.DUMMYFUNCTION("""COMPUTED_VALUE"""),"Converting Wild")</f>
        <v>Converting Wild</v>
      </c>
      <c r="AD236" s="5" t="str">
        <f>IFERROR(__xludf.DUMMYFUNCTION("""COMPUTED_VALUE"""),"0.1/100")</f>
        <v>0.1/100</v>
      </c>
      <c r="AE236" s="5"/>
      <c r="AF236" s="5"/>
      <c r="AG236" s="8">
        <f>IFERROR(__xludf.DUMMYFUNCTION("""COMPUTED_VALUE"""),46197.458645833336)</f>
        <v>46197.45865</v>
      </c>
      <c r="AH236" s="5" t="str">
        <f>IFERROR(__xludf.DUMMYFUNCTION("""COMPUTED_VALUE"""),"selena.mihajlovic@fazi.rs")</f>
        <v>selena.mihajlovic@fazi.rs</v>
      </c>
      <c r="AI236" s="5"/>
      <c r="AJ236" s="5"/>
      <c r="AK236" s="5">
        <f>IFERROR(__xludf.DUMMYFUNCTION("""COMPUTED_VALUE"""),10.0)</f>
        <v>10</v>
      </c>
      <c r="AL236" s="5" t="str">
        <f>IFERROR(__xludf.DUMMYFUNCTION("""COMPUTED_VALUE"""),"No")</f>
        <v>No</v>
      </c>
      <c r="AM236" s="5"/>
      <c r="AN236" s="7" t="str">
        <f>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AO236" s="5"/>
      <c r="AP236" s="5"/>
      <c r="AQ236" s="5" t="b">
        <f>IFERROR(__xludf.DUMMYFUNCTION("""COMPUTED_VALUE"""),TRUE)</f>
        <v>1</v>
      </c>
      <c r="AR236" s="5"/>
      <c r="AS236" s="5" t="str">
        <f>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AT236" s="5"/>
      <c r="AU236" s="5" t="str">
        <f>IFERROR(__xludf.DUMMYFUNCTION("""COMPUTED_VALUE"""),"Fazi")</f>
        <v>Fazi</v>
      </c>
      <c r="AV236" s="5"/>
      <c r="AW236" s="5"/>
      <c r="AX236" s="5"/>
      <c r="AY236" s="5"/>
      <c r="AZ236" s="5"/>
      <c r="BA236" s="5"/>
      <c r="BB236" s="5" t="b">
        <f>IFERROR(__xludf.DUMMYFUNCTION("""COMPUTED_VALUE"""),TRUE)</f>
        <v>1</v>
      </c>
      <c r="BC236" s="5" t="str">
        <f>IFERROR(__xludf.DUMMYFUNCTION("""COMPUTED_VALUE"""),"Tiptop")</f>
        <v>Tiptop</v>
      </c>
      <c r="BD236" s="7" t="str">
        <f>IFERROR(__xludf.DUMMYFUNCTION("""COMPUTED_VALUE"""),"https://gameserver-store-client-area.orbionlimited.com/Home/IntegrationGameLaunch/client-area?moneyType=0&amp;gameName=UnicornFruitWildLines&amp;platform=desktop&amp;languageCode=eng&amp;currency=EUR")</f>
        <v>https://gameserver-store-client-area.orbionlimited.com/Home/IntegrationGameLaunch/client-area?moneyType=0&amp;gameName=UnicornFruitWildLines&amp;platform=desktop&amp;languageCode=eng&amp;currency=EUR</v>
      </c>
      <c r="BE236" s="5" t="b">
        <f>IFERROR(__xludf.DUMMYFUNCTION("""COMPUTED_VALUE"""),TRUE)</f>
        <v>1</v>
      </c>
    </row>
    <row r="237">
      <c r="A237" s="5">
        <f>IFERROR(__xludf.DUMMYFUNCTION("""COMPUTED_VALUE"""),237.0)</f>
        <v>237</v>
      </c>
      <c r="B237" s="5">
        <f>IFERROR(__xludf.DUMMYFUNCTION("""COMPUTED_VALUE"""),236.0)</f>
        <v>236</v>
      </c>
      <c r="C237" s="5" t="str">
        <f>IFERROR(__xludf.DUMMYFUNCTION("""COMPUTED_VALUE"""),"Redstone")</f>
        <v>Redstone</v>
      </c>
      <c r="D237" s="5" t="str">
        <f>IFERROR(__xludf.DUMMYFUNCTION("""COMPUTED_VALUE"""),"40 Fire Cash")</f>
        <v>40 Fire Cash</v>
      </c>
      <c r="E237" s="5" t="str">
        <f>IFERROR(__xludf.DUMMYFUNCTION("""COMPUTED_VALUE"""),"Redstone")</f>
        <v>Redstone</v>
      </c>
      <c r="F237" s="5" t="str">
        <f>IFERROR(__xludf.DUMMYFUNCTION("""COMPUTED_VALUE"""),"FireCash40")</f>
        <v>FireCash40</v>
      </c>
      <c r="G237" s="5" t="str">
        <f>IFERROR(__xludf.DUMMYFUNCTION("""COMPUTED_VALUE"""),"Live")</f>
        <v>Live</v>
      </c>
      <c r="H237" s="5"/>
      <c r="I237" s="5" t="str">
        <f>IFERROR(__xludf.DUMMYFUNCTION("""COMPUTED_VALUE"""),"Redstone")</f>
        <v>Redstone</v>
      </c>
      <c r="J237" s="5" t="str">
        <f>IFERROR(__xludf.DUMMYFUNCTION("""COMPUTED_VALUE"""),"JSON")</f>
        <v>JSON</v>
      </c>
      <c r="K237" s="5" t="str">
        <f>IFERROR(__xludf.DUMMYFUNCTION("""COMPUTED_VALUE"""),"Slot")</f>
        <v>Slot</v>
      </c>
      <c r="L237" s="5" t="str">
        <f>IFERROR(__xludf.DUMMYFUNCTION("""COMPUTED_VALUE"""),"Master")</f>
        <v>Master</v>
      </c>
      <c r="M237" s="5"/>
      <c r="N237" s="7" t="str">
        <f>IFERROR(__xludf.DUMMYFUNCTION("""COMPUTED_VALUE"""),"https://docs.google.com/document/d/111SmKqSJn2i3j0x3Z04f2x68NQoWe0BE/edit?usp=drive_link&amp;ouid=107596163405648766688&amp;rtpof=true&amp;sd=true")</f>
        <v>https://docs.google.com/document/d/111SmKqSJn2i3j0x3Z04f2x68NQoWe0BE/edit?usp=drive_link&amp;ouid=107596163405648766688&amp;rtpof=true&amp;sd=true</v>
      </c>
      <c r="O237" s="7" t="str">
        <f>IFERROR(__xludf.DUMMYFUNCTION("""COMPUTED_VALUE"""),"https://docs.google.com/document/d/1EX4ZT-c4JC-13yZUX_DJVYP7rGc7gfJq/edit?usp=drive_link&amp;ouid=107596163405648766688&amp;rtpof=true&amp;sd=true")</f>
        <v>https://docs.google.com/document/d/1EX4ZT-c4JC-13yZUX_DJVYP7rGc7gfJq/edit?usp=drive_link&amp;ouid=107596163405648766688&amp;rtpof=true&amp;sd=true</v>
      </c>
      <c r="P237" s="12">
        <f>IFERROR(__xludf.DUMMYFUNCTION("""COMPUTED_VALUE"""),7.3)</f>
        <v>7.3</v>
      </c>
      <c r="Q237" s="13">
        <f>IFERROR(__xludf.DUMMYFUNCTION("""COMPUTED_VALUE"""),45021.0)</f>
        <v>45021</v>
      </c>
      <c r="R237" s="14"/>
      <c r="S237" s="13">
        <f>IFERROR(__xludf.DUMMYFUNCTION("""COMPUTED_VALUE"""),45021.0)</f>
        <v>45021</v>
      </c>
      <c r="T237" s="5" t="b">
        <f>IFERROR(__xludf.DUMMYFUNCTION("""COMPUTED_VALUE"""),TRUE)</f>
        <v>1</v>
      </c>
      <c r="U237" s="5" t="str">
        <f>IFERROR(__xludf.DUMMYFUNCTION("""COMPUTED_VALUE"""),"5x4")</f>
        <v>5x4</v>
      </c>
      <c r="V237" s="10" t="str">
        <f>IFERROR(__xludf.DUMMYFUNCTION("""COMPUTED_VALUE"""),"40")</f>
        <v>40</v>
      </c>
      <c r="W237" s="10" t="str">
        <f>IFERROR(__xludf.DUMMYFUNCTION("""COMPUTED_VALUE"""),"40")</f>
        <v>40</v>
      </c>
      <c r="X237" s="5">
        <f>IFERROR(__xludf.DUMMYFUNCTION("""COMPUTED_VALUE"""),96.23)</f>
        <v>96.23</v>
      </c>
      <c r="Y237" s="5" t="str">
        <f>IFERROR(__xludf.DUMMYFUNCTION("""COMPUTED_VALUE"""),"Medium")</f>
        <v>Medium</v>
      </c>
      <c r="Z237" s="5">
        <f>IFERROR(__xludf.DUMMYFUNCTION("""COMPUTED_VALUE"""),16.93)</f>
        <v>16.93</v>
      </c>
      <c r="AA237" s="12">
        <f>IFERROR(__xludf.DUMMYFUNCTION("""COMPUTED_VALUE"""),1000.0)</f>
        <v>1000</v>
      </c>
      <c r="AB237" s="5"/>
      <c r="AC237" s="5" t="str">
        <f>IFERROR(__xludf.DUMMYFUNCTION("""COMPUTED_VALUE"""),"Special Wild, Scatter, Wild Symbol")</f>
        <v>Special Wild, Scatter, Wild Symbol</v>
      </c>
      <c r="AD237" s="5" t="str">
        <f>IFERROR(__xludf.DUMMYFUNCTION("""COMPUTED_VALUE"""),"0.40/60")</f>
        <v>0.40/60</v>
      </c>
      <c r="AE237" s="5"/>
      <c r="AF237" s="5"/>
      <c r="AG237" s="8">
        <f>IFERROR(__xludf.DUMMYFUNCTION("""COMPUTED_VALUE"""),46157.476377314815)</f>
        <v>46157.47638</v>
      </c>
      <c r="AH237" s="5"/>
      <c r="AI237" s="5"/>
      <c r="AJ237" s="5"/>
      <c r="AK237" s="5">
        <f>IFERROR(__xludf.DUMMYFUNCTION("""COMPUTED_VALUE"""),1.0)</f>
        <v>1</v>
      </c>
      <c r="AL237" s="5" t="str">
        <f>IFERROR(__xludf.DUMMYFUNCTION("""COMPUTED_VALUE"""),"No")</f>
        <v>No</v>
      </c>
      <c r="AM237" s="5" t="str">
        <f>IFERROR(__xludf.DUMMYFUNCTION("""COMPUTED_VALUE"""),"No")</f>
        <v>No</v>
      </c>
      <c r="AN237" s="7" t="str">
        <f>IFERROR(__xludf.DUMMYFUNCTION("""COMPUTED_VALUE"""),"https://static.redstone.rs/games/40-fire-cash/")</f>
        <v>https://static.redstone.rs/games/40-fire-cash/</v>
      </c>
      <c r="AO237" s="5" t="str">
        <f>IFERROR(__xludf.DUMMYFUNCTION("""COMPUTED_VALUE"""),"No")</f>
        <v>No</v>
      </c>
      <c r="AP237" s="5" t="str">
        <f>IFERROR(__xludf.DUMMYFUNCTION("""COMPUTED_VALUE"""),"No")</f>
        <v>No</v>
      </c>
      <c r="AQ237" s="5" t="b">
        <f>IFERROR(__xludf.DUMMYFUNCTION("""COMPUTED_VALUE"""),TRUE)</f>
        <v>1</v>
      </c>
      <c r="AR237" s="5"/>
      <c r="AS237" s="5" t="str">
        <f>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AT237" s="5"/>
      <c r="AU237" s="5" t="str">
        <f>IFERROR(__xludf.DUMMYFUNCTION("""COMPUTED_VALUE"""),"Redstone")</f>
        <v>Redstone</v>
      </c>
      <c r="AV237" s="5"/>
      <c r="AW237" s="5"/>
      <c r="AX237" s="5"/>
      <c r="AY237" s="5"/>
      <c r="AZ237" s="5"/>
      <c r="BA237" s="5"/>
      <c r="BB237" s="5" t="b">
        <f>IFERROR(__xludf.DUMMYFUNCTION("""COMPUTED_VALUE"""),TRUE)</f>
        <v>1</v>
      </c>
      <c r="BC237" s="5" t="str">
        <f>IFERROR(__xludf.DUMMYFUNCTION("""COMPUTED_VALUE"""),"Redstone")</f>
        <v>Redstone</v>
      </c>
      <c r="BD237" s="7" t="str">
        <f>IFERROR(__xludf.DUMMYFUNCTION("""COMPUTED_VALUE"""),"https://static.redstone.rs/games/40-fire-cash/")</f>
        <v>https://static.redstone.rs/games/40-fire-cash/</v>
      </c>
      <c r="BE237" s="5" t="b">
        <f>IFERROR(__xludf.DUMMYFUNCTION("""COMPUTED_VALUE"""),TRUE)</f>
        <v>1</v>
      </c>
    </row>
    <row r="238">
      <c r="A238" s="5">
        <f>IFERROR(__xludf.DUMMYFUNCTION("""COMPUTED_VALUE"""),238.0)</f>
        <v>238</v>
      </c>
      <c r="B238" s="5">
        <f>IFERROR(__xludf.DUMMYFUNCTION("""COMPUTED_VALUE"""),237.0)</f>
        <v>237</v>
      </c>
      <c r="C238" s="5" t="str">
        <f>IFERROR(__xludf.DUMMYFUNCTION("""COMPUTED_VALUE"""),"Fazi")</f>
        <v>Fazi</v>
      </c>
      <c r="D238" s="5" t="str">
        <f>IFERROR(__xludf.DUMMYFUNCTION("""COMPUTED_VALUE"""),"Wild Hot 40 Free Spins")</f>
        <v>Wild Hot 40 Free Spins</v>
      </c>
      <c r="E238" s="5" t="str">
        <f>IFERROR(__xludf.DUMMYFUNCTION("""COMPUTED_VALUE"""),"V2")</f>
        <v>V2</v>
      </c>
      <c r="F238" s="5" t="str">
        <f>IFERROR(__xludf.DUMMYFUNCTION("""COMPUTED_VALUE"""),"WildHot40FreeSpins")</f>
        <v>WildHot40FreeSpins</v>
      </c>
      <c r="G238" s="5" t="str">
        <f>IFERROR(__xludf.DUMMYFUNCTION("""COMPUTED_VALUE"""),"Live")</f>
        <v>Live</v>
      </c>
      <c r="H238" s="5"/>
      <c r="I238" s="5" t="str">
        <f>IFERROR(__xludf.DUMMYFUNCTION("""COMPUTED_VALUE"""),"V2")</f>
        <v>V2</v>
      </c>
      <c r="J238" s="5" t="str">
        <f>IFERROR(__xludf.DUMMYFUNCTION("""COMPUTED_VALUE"""),"JSON")</f>
        <v>JSON</v>
      </c>
      <c r="K238" s="5" t="str">
        <f>IFERROR(__xludf.DUMMYFUNCTION("""COMPUTED_VALUE"""),"Slot")</f>
        <v>Slot</v>
      </c>
      <c r="L238" s="5" t="str">
        <f>IFERROR(__xludf.DUMMYFUNCTION("""COMPUTED_VALUE"""),"Clone")</f>
        <v>Clone</v>
      </c>
      <c r="M238" s="5" t="str">
        <f>IFERROR(__xludf.DUMMYFUNCTION("""COMPUTED_VALUE"""),"Crystal Hot 40 Free")</f>
        <v>Crystal Hot 40 Free</v>
      </c>
      <c r="N238" s="5"/>
      <c r="O238" s="5"/>
      <c r="P238" s="12">
        <f>IFERROR(__xludf.DUMMYFUNCTION("""COMPUTED_VALUE"""),32.9)</f>
        <v>32.9</v>
      </c>
      <c r="Q238" s="13">
        <f>IFERROR(__xludf.DUMMYFUNCTION("""COMPUTED_VALUE"""),45043.0)</f>
        <v>45043</v>
      </c>
      <c r="R238" s="14"/>
      <c r="S238" s="13">
        <f>IFERROR(__xludf.DUMMYFUNCTION("""COMPUTED_VALUE"""),45043.0)</f>
        <v>45043</v>
      </c>
      <c r="T238" s="5" t="b">
        <f>IFERROR(__xludf.DUMMYFUNCTION("""COMPUTED_VALUE"""),TRUE)</f>
        <v>1</v>
      </c>
      <c r="U238" s="5" t="str">
        <f>IFERROR(__xludf.DUMMYFUNCTION("""COMPUTED_VALUE"""),"5x4")</f>
        <v>5x4</v>
      </c>
      <c r="V238" s="10" t="str">
        <f>IFERROR(__xludf.DUMMYFUNCTION("""COMPUTED_VALUE"""),"40")</f>
        <v>40</v>
      </c>
      <c r="W238" s="10" t="str">
        <f>IFERROR(__xludf.DUMMYFUNCTION("""COMPUTED_VALUE"""),"40")</f>
        <v>40</v>
      </c>
      <c r="X238" s="5">
        <f>IFERROR(__xludf.DUMMYFUNCTION("""COMPUTED_VALUE"""),96.024)</f>
        <v>96.024</v>
      </c>
      <c r="Y238" s="5" t="str">
        <f>IFERROR(__xludf.DUMMYFUNCTION("""COMPUTED_VALUE"""),"Low")</f>
        <v>Low</v>
      </c>
      <c r="Z238" s="5">
        <f>IFERROR(__xludf.DUMMYFUNCTION("""COMPUTED_VALUE"""),17.23)</f>
        <v>17.23</v>
      </c>
      <c r="AA238" s="12">
        <f>IFERROR(__xludf.DUMMYFUNCTION("""COMPUTED_VALUE"""),1046.0)</f>
        <v>1046</v>
      </c>
      <c r="AB238" s="5">
        <f>IFERROR(__xludf.DUMMYFUNCTION("""COMPUTED_VALUE"""),152.0)</f>
        <v>152</v>
      </c>
      <c r="AC238" s="5" t="str">
        <f>IFERROR(__xludf.DUMMYFUNCTION("""COMPUTED_VALUE"""),"Buy Bonus, Wild Symbol, Bonus Game with Free Spins")</f>
        <v>Buy Bonus, Wild Symbol, Bonus Game with Free Spins</v>
      </c>
      <c r="AD238" s="5" t="str">
        <f>IFERROR(__xludf.DUMMYFUNCTION("""COMPUTED_VALUE"""),"0.4/60")</f>
        <v>0.4/60</v>
      </c>
      <c r="AE238" s="5"/>
      <c r="AF238" s="5"/>
      <c r="AG238" s="8">
        <f>IFERROR(__xludf.DUMMYFUNCTION("""COMPUTED_VALUE"""),46140.64842592592)</f>
        <v>46140.64843</v>
      </c>
      <c r="AH238" s="5" t="str">
        <f>IFERROR(__xludf.DUMMYFUNCTION("""COMPUTED_VALUE"""),"djordje.petrovic@fazi.rs")</f>
        <v>djordje.petrovic@fazi.rs</v>
      </c>
      <c r="AI238" s="5"/>
      <c r="AJ238" s="5"/>
      <c r="AK238" s="5">
        <f>IFERROR(__xludf.DUMMYFUNCTION("""COMPUTED_VALUE"""),40.0)</f>
        <v>40</v>
      </c>
      <c r="AL238" s="5" t="str">
        <f>IFERROR(__xludf.DUMMYFUNCTION("""COMPUTED_VALUE"""),"Yes")</f>
        <v>Yes</v>
      </c>
      <c r="AM238" s="5"/>
      <c r="AN238" s="7" t="str">
        <f>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AO238" s="5" t="str">
        <f>IFERROR(__xludf.DUMMYFUNCTION("""COMPUTED_VALUE"""),"Yes")</f>
        <v>Yes</v>
      </c>
      <c r="AP238" s="5" t="str">
        <f>IFERROR(__xludf.DUMMYFUNCTION("""COMPUTED_VALUE"""),"Yes")</f>
        <v>Yes</v>
      </c>
      <c r="AQ238" s="5" t="b">
        <f>IFERROR(__xludf.DUMMYFUNCTION("""COMPUTED_VALUE"""),TRUE)</f>
        <v>1</v>
      </c>
      <c r="AR238" s="5"/>
      <c r="AS238" s="5" t="str">
        <f>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AT238" s="5" t="str">
        <f>IFERROR(__xludf.DUMMYFUNCTION("""COMPUTED_VALUE"""),"Yes")</f>
        <v>Yes</v>
      </c>
      <c r="AU238" s="5" t="str">
        <f>IFERROR(__xludf.DUMMYFUNCTION("""COMPUTED_VALUE"""),"Fazi")</f>
        <v>Fazi</v>
      </c>
      <c r="AV238" s="5"/>
      <c r="AW238" s="5"/>
      <c r="AX238" s="5"/>
      <c r="AY238" s="5" t="str">
        <f>IFERROR(__xludf.DUMMYFUNCTION("""COMPUTED_VALUE"""),"87.5%, 89.5%, 91.5%, 93.5%, 94.5%, 95.5%, 96.5%")</f>
        <v>87.5%, 89.5%, 91.5%, 93.5%, 94.5%, 95.5%, 96.5%</v>
      </c>
      <c r="AZ238" s="5"/>
      <c r="BA238" s="5" t="str">
        <f>IFERROR(__xludf.DUMMYFUNCTION("""COMPUTED_VALUE"""),"30, 42, 63")</f>
        <v>30, 42, 63</v>
      </c>
      <c r="BB238" s="5" t="b">
        <f>IFERROR(__xludf.DUMMYFUNCTION("""COMPUTED_VALUE"""),TRUE)</f>
        <v>1</v>
      </c>
      <c r="BC238" s="5" t="str">
        <f>IFERROR(__xludf.DUMMYFUNCTION("""COMPUTED_VALUE"""),"Foxi")</f>
        <v>Foxi</v>
      </c>
      <c r="BD238" s="7" t="str">
        <f>IFERROR(__xludf.DUMMYFUNCTION("""COMPUTED_VALUE"""),"https://gameserver-store-client-area.orbionlimited.com/Home/IntegrationGameLaunch/client-area?moneyType=0&amp;gameName=WildHot40FreeSpins&amp;platform=desktop&amp;languageCode=eng&amp;currency=EUR")</f>
        <v>https://gameserver-store-client-area.orbionlimited.com/Home/IntegrationGameLaunch/client-area?moneyType=0&amp;gameName=WildHot40FreeSpins&amp;platform=desktop&amp;languageCode=eng&amp;currency=EUR</v>
      </c>
      <c r="BE238" s="5" t="b">
        <f>IFERROR(__xludf.DUMMYFUNCTION("""COMPUTED_VALUE"""),TRUE)</f>
        <v>1</v>
      </c>
    </row>
    <row r="239">
      <c r="A239" s="5">
        <f>IFERROR(__xludf.DUMMYFUNCTION("""COMPUTED_VALUE"""),239.0)</f>
        <v>239</v>
      </c>
      <c r="B239" s="5">
        <f>IFERROR(__xludf.DUMMYFUNCTION("""COMPUTED_VALUE"""),238.0)</f>
        <v>238</v>
      </c>
      <c r="C239" s="5" t="str">
        <f>IFERROR(__xludf.DUMMYFUNCTION("""COMPUTED_VALUE"""),"Tiptop")</f>
        <v>Tiptop</v>
      </c>
      <c r="D239" s="5" t="str">
        <f>IFERROR(__xludf.DUMMYFUNCTION("""COMPUTED_VALUE"""),"Money Standard Dice")</f>
        <v>Money Standard Dice</v>
      </c>
      <c r="E239" s="5"/>
      <c r="F239" s="5" t="str">
        <f>IFERROR(__xludf.DUMMYFUNCTION("""COMPUTED_VALUE"""),"UnicornMoneyStandardDice")</f>
        <v>UnicornMoneyStandardDice</v>
      </c>
      <c r="G239" s="5" t="str">
        <f>IFERROR(__xludf.DUMMYFUNCTION("""COMPUTED_VALUE"""),"Live")</f>
        <v>Live</v>
      </c>
      <c r="H239" s="5"/>
      <c r="I239" s="5" t="str">
        <f>IFERROR(__xludf.DUMMYFUNCTION("""COMPUTED_VALUE"""),"TipTop")</f>
        <v>TipTop</v>
      </c>
      <c r="J239" s="5" t="str">
        <f>IFERROR(__xludf.DUMMYFUNCTION("""COMPUTED_VALUE"""),"JSON")</f>
        <v>JSON</v>
      </c>
      <c r="K239" s="5" t="str">
        <f>IFERROR(__xludf.DUMMYFUNCTION("""COMPUTED_VALUE"""),"Dice Slots")</f>
        <v>Dice Slots</v>
      </c>
      <c r="L239" s="5"/>
      <c r="M239" s="5"/>
      <c r="N239" s="5"/>
      <c r="O239" s="5"/>
      <c r="P239" s="12">
        <f>IFERROR(__xludf.DUMMYFUNCTION("""COMPUTED_VALUE"""),14.8)</f>
        <v>14.8</v>
      </c>
      <c r="Q239" s="13">
        <f>IFERROR(__xludf.DUMMYFUNCTION("""COMPUTED_VALUE"""),45041.0)</f>
        <v>45041</v>
      </c>
      <c r="R239" s="14"/>
      <c r="S239" s="13">
        <f>IFERROR(__xludf.DUMMYFUNCTION("""COMPUTED_VALUE"""),45041.0)</f>
        <v>45041</v>
      </c>
      <c r="T239" s="5" t="b">
        <f>IFERROR(__xludf.DUMMYFUNCTION("""COMPUTED_VALUE"""),TRUE)</f>
        <v>1</v>
      </c>
      <c r="U239" s="5" t="str">
        <f>IFERROR(__xludf.DUMMYFUNCTION("""COMPUTED_VALUE"""),"5X4")</f>
        <v>5X4</v>
      </c>
      <c r="V239" s="10" t="str">
        <f>IFERROR(__xludf.DUMMYFUNCTION("""COMPUTED_VALUE"""),"20")</f>
        <v>20</v>
      </c>
      <c r="W239" s="10" t="str">
        <f>IFERROR(__xludf.DUMMYFUNCTION("""COMPUTED_VALUE"""),"20")</f>
        <v>20</v>
      </c>
      <c r="X239" s="5">
        <f>IFERROR(__xludf.DUMMYFUNCTION("""COMPUTED_VALUE"""),96.0)</f>
        <v>96</v>
      </c>
      <c r="Y239" s="5" t="str">
        <f>IFERROR(__xludf.DUMMYFUNCTION("""COMPUTED_VALUE"""),"Low")</f>
        <v>Low</v>
      </c>
      <c r="Z239" s="5">
        <f>IFERROR(__xludf.DUMMYFUNCTION("""COMPUTED_VALUE"""),11.7)</f>
        <v>11.7</v>
      </c>
      <c r="AA239" s="12">
        <f>IFERROR(__xludf.DUMMYFUNCTION("""COMPUTED_VALUE"""),5000.0)</f>
        <v>5000</v>
      </c>
      <c r="AB239" s="5"/>
      <c r="AC239" s="5"/>
      <c r="AD239" s="5" t="str">
        <f>IFERROR(__xludf.DUMMYFUNCTION("""COMPUTED_VALUE"""),"0.2/100")</f>
        <v>0.2/100</v>
      </c>
      <c r="AE239" s="5"/>
      <c r="AF239" s="5"/>
      <c r="AG239" s="8">
        <f>IFERROR(__xludf.DUMMYFUNCTION("""COMPUTED_VALUE"""),46197.45898148148)</f>
        <v>46197.45898</v>
      </c>
      <c r="AH239" s="5" t="str">
        <f>IFERROR(__xludf.DUMMYFUNCTION("""COMPUTED_VALUE"""),"selena.mihajlovic@fazi.rs")</f>
        <v>selena.mihajlovic@fazi.rs</v>
      </c>
      <c r="AI239" s="5"/>
      <c r="AJ239" s="5"/>
      <c r="AK239" s="5">
        <f>IFERROR(__xludf.DUMMYFUNCTION("""COMPUTED_VALUE"""),20.0)</f>
        <v>20</v>
      </c>
      <c r="AL239" s="5" t="str">
        <f>IFERROR(__xludf.DUMMYFUNCTION("""COMPUTED_VALUE"""),"No")</f>
        <v>No</v>
      </c>
      <c r="AM239" s="5"/>
      <c r="AN239" s="7" t="str">
        <f>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AO239" s="5"/>
      <c r="AP239" s="5"/>
      <c r="AQ239" s="5" t="b">
        <f>IFERROR(__xludf.DUMMYFUNCTION("""COMPUTED_VALUE"""),TRUE)</f>
        <v>1</v>
      </c>
      <c r="AR239" s="5"/>
      <c r="AS239" s="5" t="str">
        <f>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AT239" s="5"/>
      <c r="AU239" s="5" t="str">
        <f>IFERROR(__xludf.DUMMYFUNCTION("""COMPUTED_VALUE"""),"Fazi")</f>
        <v>Fazi</v>
      </c>
      <c r="AV239" s="5"/>
      <c r="AW239" s="5"/>
      <c r="AX239" s="5"/>
      <c r="AY239" s="5"/>
      <c r="AZ239" s="5"/>
      <c r="BA239" s="5"/>
      <c r="BB239" s="5" t="b">
        <f>IFERROR(__xludf.DUMMYFUNCTION("""COMPUTED_VALUE"""),TRUE)</f>
        <v>1</v>
      </c>
      <c r="BC239" s="5" t="str">
        <f>IFERROR(__xludf.DUMMYFUNCTION("""COMPUTED_VALUE"""),"Tiptop")</f>
        <v>Tiptop</v>
      </c>
      <c r="BD239" s="7" t="str">
        <f>IFERROR(__xludf.DUMMYFUNCTION("""COMPUTED_VALUE"""),"https://gameserver-store-client-area.orbionlimited.com/Home/IntegrationGameLaunch/client-area?moneyType=0&amp;gameName=UnicornMoneyStandardDice&amp;platform=desktop&amp;languageCode=eng&amp;currency=EUR")</f>
        <v>https://gameserver-store-client-area.orbionlimited.com/Home/IntegrationGameLaunch/client-area?moneyType=0&amp;gameName=UnicornMoneyStandardDice&amp;platform=desktop&amp;languageCode=eng&amp;currency=EUR</v>
      </c>
      <c r="BE239" s="5" t="b">
        <f>IFERROR(__xludf.DUMMYFUNCTION("""COMPUTED_VALUE"""),TRUE)</f>
        <v>1</v>
      </c>
    </row>
    <row r="240">
      <c r="A240" s="5">
        <f>IFERROR(__xludf.DUMMYFUNCTION("""COMPUTED_VALUE"""),240.0)</f>
        <v>240</v>
      </c>
      <c r="B240" s="5">
        <f>IFERROR(__xludf.DUMMYFUNCTION("""COMPUTED_VALUE"""),239.0)</f>
        <v>239</v>
      </c>
      <c r="C240" s="5" t="str">
        <f>IFERROR(__xludf.DUMMYFUNCTION("""COMPUTED_VALUE"""),"Tiptop")</f>
        <v>Tiptop</v>
      </c>
      <c r="D240" s="5" t="str">
        <f>IFERROR(__xludf.DUMMYFUNCTION("""COMPUTED_VALUE"""),"Double Wild Dice")</f>
        <v>Double Wild Dice</v>
      </c>
      <c r="E240" s="5"/>
      <c r="F240" s="5" t="str">
        <f>IFERROR(__xludf.DUMMYFUNCTION("""COMPUTED_VALUE"""),"UnicornDoubleWildDice")</f>
        <v>UnicornDoubleWildDice</v>
      </c>
      <c r="G240" s="5" t="str">
        <f>IFERROR(__xludf.DUMMYFUNCTION("""COMPUTED_VALUE"""),"Live")</f>
        <v>Live</v>
      </c>
      <c r="H240" s="5"/>
      <c r="I240" s="5" t="str">
        <f>IFERROR(__xludf.DUMMYFUNCTION("""COMPUTED_VALUE"""),"TipTop")</f>
        <v>TipTop</v>
      </c>
      <c r="J240" s="5" t="str">
        <f>IFERROR(__xludf.DUMMYFUNCTION("""COMPUTED_VALUE"""),"JSON")</f>
        <v>JSON</v>
      </c>
      <c r="K240" s="5" t="str">
        <f>IFERROR(__xludf.DUMMYFUNCTION("""COMPUTED_VALUE"""),"Dice Slots")</f>
        <v>Dice Slots</v>
      </c>
      <c r="L240" s="5"/>
      <c r="M240" s="5"/>
      <c r="N240" s="5"/>
      <c r="O240" s="5"/>
      <c r="P240" s="12">
        <f>IFERROR(__xludf.DUMMYFUNCTION("""COMPUTED_VALUE"""),10.3)</f>
        <v>10.3</v>
      </c>
      <c r="Q240" s="13">
        <f>IFERROR(__xludf.DUMMYFUNCTION("""COMPUTED_VALUE"""),45085.0)</f>
        <v>45085</v>
      </c>
      <c r="R240" s="14"/>
      <c r="S240" s="13">
        <f>IFERROR(__xludf.DUMMYFUNCTION("""COMPUTED_VALUE"""),45085.0)</f>
        <v>45085</v>
      </c>
      <c r="T240" s="5" t="b">
        <f>IFERROR(__xludf.DUMMYFUNCTION("""COMPUTED_VALUE"""),TRUE)</f>
        <v>1</v>
      </c>
      <c r="U240" s="5" t="str">
        <f>IFERROR(__xludf.DUMMYFUNCTION("""COMPUTED_VALUE"""),"5X3")</f>
        <v>5X3</v>
      </c>
      <c r="V240" s="10" t="str">
        <f>IFERROR(__xludf.DUMMYFUNCTION("""COMPUTED_VALUE"""),"20")</f>
        <v>20</v>
      </c>
      <c r="W240" s="10" t="str">
        <f>IFERROR(__xludf.DUMMYFUNCTION("""COMPUTED_VALUE"""),"20")</f>
        <v>20</v>
      </c>
      <c r="X240" s="5">
        <f>IFERROR(__xludf.DUMMYFUNCTION("""COMPUTED_VALUE"""),96.0)</f>
        <v>96</v>
      </c>
      <c r="Y240" s="5" t="str">
        <f>IFERROR(__xludf.DUMMYFUNCTION("""COMPUTED_VALUE"""),"Low")</f>
        <v>Low</v>
      </c>
      <c r="Z240" s="5">
        <f>IFERROR(__xludf.DUMMYFUNCTION("""COMPUTED_VALUE"""),14.62)</f>
        <v>14.62</v>
      </c>
      <c r="AA240" s="12">
        <f>IFERROR(__xludf.DUMMYFUNCTION("""COMPUTED_VALUE"""),800.0)</f>
        <v>800</v>
      </c>
      <c r="AB240" s="5"/>
      <c r="AC240" s="5" t="str">
        <f>IFERROR(__xludf.DUMMYFUNCTION("""COMPUTED_VALUE"""),"Wild Symbol, Scatter")</f>
        <v>Wild Symbol, Scatter</v>
      </c>
      <c r="AD240" s="5" t="str">
        <f>IFERROR(__xludf.DUMMYFUNCTION("""COMPUTED_VALUE"""),"0.2/100")</f>
        <v>0.2/100</v>
      </c>
      <c r="AE240" s="5"/>
      <c r="AF240" s="5"/>
      <c r="AG240" s="8">
        <f>IFERROR(__xludf.DUMMYFUNCTION("""COMPUTED_VALUE"""),46197.45952546296)</f>
        <v>46197.45953</v>
      </c>
      <c r="AH240" s="5" t="str">
        <f>IFERROR(__xludf.DUMMYFUNCTION("""COMPUTED_VALUE"""),"selena.mihajlovic@fazi.rs")</f>
        <v>selena.mihajlovic@fazi.rs</v>
      </c>
      <c r="AI240" s="5"/>
      <c r="AJ240" s="5"/>
      <c r="AK240" s="5">
        <f>IFERROR(__xludf.DUMMYFUNCTION("""COMPUTED_VALUE"""),20.0)</f>
        <v>20</v>
      </c>
      <c r="AL240" s="5" t="str">
        <f>IFERROR(__xludf.DUMMYFUNCTION("""COMPUTED_VALUE"""),"No")</f>
        <v>No</v>
      </c>
      <c r="AM240" s="5"/>
      <c r="AN240" s="7" t="str">
        <f>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AO240" s="5"/>
      <c r="AP240" s="5"/>
      <c r="AQ240" s="5" t="b">
        <f>IFERROR(__xludf.DUMMYFUNCTION("""COMPUTED_VALUE"""),TRUE)</f>
        <v>1</v>
      </c>
      <c r="AR240" s="5"/>
      <c r="AS240" s="5" t="str">
        <f>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AT240" s="5"/>
      <c r="AU240" s="5" t="str">
        <f>IFERROR(__xludf.DUMMYFUNCTION("""COMPUTED_VALUE"""),"Fazi")</f>
        <v>Fazi</v>
      </c>
      <c r="AV240" s="5"/>
      <c r="AW240" s="5"/>
      <c r="AX240" s="5"/>
      <c r="AY240" s="5"/>
      <c r="AZ240" s="5"/>
      <c r="BA240" s="5"/>
      <c r="BB240" s="5" t="b">
        <f>IFERROR(__xludf.DUMMYFUNCTION("""COMPUTED_VALUE"""),TRUE)</f>
        <v>1</v>
      </c>
      <c r="BC240" s="5" t="str">
        <f>IFERROR(__xludf.DUMMYFUNCTION("""COMPUTED_VALUE"""),"Tiptop")</f>
        <v>Tiptop</v>
      </c>
      <c r="BD240" s="7" t="str">
        <f>IFERROR(__xludf.DUMMYFUNCTION("""COMPUTED_VALUE"""),"https://gameserver-store-client-area.orbionlimited.com/Home/IntegrationGameLaunch/client-area?moneyType=0&amp;gameName=UnicornDoubleWildDice&amp;platform=desktop&amp;languageCode=eng&amp;currency=EUR")</f>
        <v>https://gameserver-store-client-area.orbionlimited.com/Home/IntegrationGameLaunch/client-area?moneyType=0&amp;gameName=UnicornDoubleWildDice&amp;platform=desktop&amp;languageCode=eng&amp;currency=EUR</v>
      </c>
      <c r="BE240" s="5" t="b">
        <f>IFERROR(__xludf.DUMMYFUNCTION("""COMPUTED_VALUE"""),TRUE)</f>
        <v>1</v>
      </c>
    </row>
    <row r="241">
      <c r="A241" s="5">
        <f>IFERROR(__xludf.DUMMYFUNCTION("""COMPUTED_VALUE"""),241.0)</f>
        <v>241</v>
      </c>
      <c r="B241" s="5">
        <f>IFERROR(__xludf.DUMMYFUNCTION("""COMPUTED_VALUE"""),240.0)</f>
        <v>240</v>
      </c>
      <c r="C241" s="5" t="str">
        <f>IFERROR(__xludf.DUMMYFUNCTION("""COMPUTED_VALUE"""),"Fazi")</f>
        <v>Fazi</v>
      </c>
      <c r="D241" s="5" t="str">
        <f>IFERROR(__xludf.DUMMYFUNCTION("""COMPUTED_VALUE"""),"Pirates Fazi")</f>
        <v>Pirates Fazi</v>
      </c>
      <c r="E241" s="5" t="str">
        <f>IFERROR(__xludf.DUMMYFUNCTION("""COMPUTED_VALUE"""),"V4-1")</f>
        <v>V4-1</v>
      </c>
      <c r="F241" s="5" t="str">
        <f>IFERROR(__xludf.DUMMYFUNCTION("""COMPUTED_VALUE"""),"PiratesFazi")</f>
        <v>PiratesFazi</v>
      </c>
      <c r="G241" s="5" t="str">
        <f>IFERROR(__xludf.DUMMYFUNCTION("""COMPUTED_VALUE"""),"Live")</f>
        <v>Live</v>
      </c>
      <c r="H241" s="5"/>
      <c r="I241" s="5" t="str">
        <f>IFERROR(__xludf.DUMMYFUNCTION("""COMPUTED_VALUE"""),"V4")</f>
        <v>V4</v>
      </c>
      <c r="J241" s="5" t="str">
        <f>IFERROR(__xludf.DUMMYFUNCTION("""COMPUTED_VALUE"""),"JSON")</f>
        <v>JSON</v>
      </c>
      <c r="K241" s="5" t="str">
        <f>IFERROR(__xludf.DUMMYFUNCTION("""COMPUTED_VALUE"""),"Slot")</f>
        <v>Slot</v>
      </c>
      <c r="L241" s="5" t="str">
        <f>IFERROR(__xludf.DUMMYFUNCTION("""COMPUTED_VALUE"""),"Clone")</f>
        <v>Clone</v>
      </c>
      <c r="M241" s="5" t="str">
        <f>IFERROR(__xludf.DUMMYFUNCTION("""COMPUTED_VALUE"""),"Pyramid")</f>
        <v>Pyramid</v>
      </c>
      <c r="N241" s="5"/>
      <c r="O241" s="5"/>
      <c r="P241" s="12">
        <f>IFERROR(__xludf.DUMMYFUNCTION("""COMPUTED_VALUE"""),9.0)</f>
        <v>9</v>
      </c>
      <c r="Q241" s="13">
        <f>IFERROR(__xludf.DUMMYFUNCTION("""COMPUTED_VALUE"""),45092.0)</f>
        <v>45092</v>
      </c>
      <c r="R241" s="14"/>
      <c r="S241" s="13">
        <f>IFERROR(__xludf.DUMMYFUNCTION("""COMPUTED_VALUE"""),45092.0)</f>
        <v>45092</v>
      </c>
      <c r="T241" s="5" t="b">
        <f>IFERROR(__xludf.DUMMYFUNCTION("""COMPUTED_VALUE"""),TRUE)</f>
        <v>1</v>
      </c>
      <c r="U241" s="5" t="str">
        <f>IFERROR(__xludf.DUMMYFUNCTION("""COMPUTED_VALUE"""),"5x4")</f>
        <v>5x4</v>
      </c>
      <c r="V241" s="10" t="str">
        <f>IFERROR(__xludf.DUMMYFUNCTION("""COMPUTED_VALUE"""),"40")</f>
        <v>40</v>
      </c>
      <c r="W241" s="10" t="str">
        <f>IFERROR(__xludf.DUMMYFUNCTION("""COMPUTED_VALUE"""),"40")</f>
        <v>40</v>
      </c>
      <c r="X241" s="5">
        <f>IFERROR(__xludf.DUMMYFUNCTION("""COMPUTED_VALUE"""),96.477)</f>
        <v>96.477</v>
      </c>
      <c r="Y241" s="5" t="str">
        <f>IFERROR(__xludf.DUMMYFUNCTION("""COMPUTED_VALUE"""),"Medium")</f>
        <v>Medium</v>
      </c>
      <c r="Z241" s="5">
        <f>IFERROR(__xludf.DUMMYFUNCTION("""COMPUTED_VALUE"""),21.11)</f>
        <v>21.11</v>
      </c>
      <c r="AA241" s="12">
        <f>IFERROR(__xludf.DUMMYFUNCTION("""COMPUTED_VALUE"""),750.0)</f>
        <v>750</v>
      </c>
      <c r="AB241" s="5">
        <f>IFERROR(__xludf.DUMMYFUNCTION("""COMPUTED_VALUE"""),28.0)</f>
        <v>28</v>
      </c>
      <c r="AC241" s="5" t="str">
        <f>IFERROR(__xludf.DUMMYFUNCTION("""COMPUTED_VALUE"""),"Exploding Wild")</f>
        <v>Exploding Wild</v>
      </c>
      <c r="AD241" s="5" t="str">
        <f>IFERROR(__xludf.DUMMYFUNCTION("""COMPUTED_VALUE"""),"0.4/40")</f>
        <v>0.4/40</v>
      </c>
      <c r="AE241" s="5"/>
      <c r="AF241" s="5"/>
      <c r="AG241" s="8">
        <f>IFERROR(__xludf.DUMMYFUNCTION("""COMPUTED_VALUE"""),46197.53611111111)</f>
        <v>46197.53611</v>
      </c>
      <c r="AH241" s="5" t="str">
        <f>IFERROR(__xludf.DUMMYFUNCTION("""COMPUTED_VALUE"""),"selena.mihajlovic@fazi.rs")</f>
        <v>selena.mihajlovic@fazi.rs</v>
      </c>
      <c r="AI241" s="5"/>
      <c r="AJ241" s="5"/>
      <c r="AK241" s="5">
        <f>IFERROR(__xludf.DUMMYFUNCTION("""COMPUTED_VALUE"""),40.0)</f>
        <v>40</v>
      </c>
      <c r="AL241" s="5" t="str">
        <f>IFERROR(__xludf.DUMMYFUNCTION("""COMPUTED_VALUE"""),"Yes")</f>
        <v>Yes</v>
      </c>
      <c r="AM241" s="5"/>
      <c r="AN241" s="7" t="str">
        <f>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241" s="5" t="str">
        <f>IFERROR(__xludf.DUMMYFUNCTION("""COMPUTED_VALUE"""),"Yes")</f>
        <v>Yes</v>
      </c>
      <c r="AP241" s="5" t="str">
        <f>IFERROR(__xludf.DUMMYFUNCTION("""COMPUTED_VALUE"""),"Yes")</f>
        <v>Yes</v>
      </c>
      <c r="AQ241" s="5" t="b">
        <f>IFERROR(__xludf.DUMMYFUNCTION("""COMPUTED_VALUE"""),TRUE)</f>
        <v>1</v>
      </c>
      <c r="AR241" s="5"/>
      <c r="AS241" s="5" t="str">
        <f>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AT241" s="5" t="str">
        <f>IFERROR(__xludf.DUMMYFUNCTION("""COMPUTED_VALUE"""),"No")</f>
        <v>No</v>
      </c>
      <c r="AU241" s="5" t="str">
        <f>IFERROR(__xludf.DUMMYFUNCTION("""COMPUTED_VALUE"""),"Fazi")</f>
        <v>Fazi</v>
      </c>
      <c r="AV241" s="5"/>
      <c r="AW241" s="5"/>
      <c r="AX241" s="5"/>
      <c r="AY241" s="5"/>
      <c r="AZ241" s="5"/>
      <c r="BA241" s="5"/>
      <c r="BB241" s="5" t="b">
        <f>IFERROR(__xludf.DUMMYFUNCTION("""COMPUTED_VALUE"""),TRUE)</f>
        <v>1</v>
      </c>
      <c r="BC241" s="5" t="str">
        <f>IFERROR(__xludf.DUMMYFUNCTION("""COMPUTED_VALUE"""),"Foxi")</f>
        <v>Foxi</v>
      </c>
      <c r="BD241" s="7" t="str">
        <f>IFERROR(__xludf.DUMMYFUNCTION("""COMPUTED_VALUE"""),"https://gameserver-store-client-area.orbionlimited.com/Home/IntegrationGameLaunch/client-area?moneyType=0&amp;gameName=PiratesFazi&amp;platform=desktop&amp;languageCode=eng&amp;currency=EUR")</f>
        <v>https://gameserver-store-client-area.orbionlimited.com/Home/IntegrationGameLaunch/client-area?moneyType=0&amp;gameName=PiratesFazi&amp;platform=desktop&amp;languageCode=eng&amp;currency=EUR</v>
      </c>
      <c r="BE241" s="5" t="b">
        <f>IFERROR(__xludf.DUMMYFUNCTION("""COMPUTED_VALUE"""),FALSE)</f>
        <v>0</v>
      </c>
    </row>
    <row r="242">
      <c r="A242" s="5">
        <f>IFERROR(__xludf.DUMMYFUNCTION("""COMPUTED_VALUE"""),242.0)</f>
        <v>242</v>
      </c>
      <c r="B242" s="5">
        <f>IFERROR(__xludf.DUMMYFUNCTION("""COMPUTED_VALUE"""),241.0)</f>
        <v>241</v>
      </c>
      <c r="C242" s="5" t="str">
        <f>IFERROR(__xludf.DUMMYFUNCTION("""COMPUTED_VALUE"""),"Redstone")</f>
        <v>Redstone</v>
      </c>
      <c r="D242" s="5" t="str">
        <f>IFERROR(__xludf.DUMMYFUNCTION("""COMPUTED_VALUE"""),"Super Lucky")</f>
        <v>Super Lucky</v>
      </c>
      <c r="E242" s="5" t="str">
        <f>IFERROR(__xludf.DUMMYFUNCTION("""COMPUTED_VALUE"""),"Redstone")</f>
        <v>Redstone</v>
      </c>
      <c r="F242" s="5" t="str">
        <f>IFERROR(__xludf.DUMMYFUNCTION("""COMPUTED_VALUE"""),"SuperLucky")</f>
        <v>SuperLucky</v>
      </c>
      <c r="G242" s="5" t="str">
        <f>IFERROR(__xludf.DUMMYFUNCTION("""COMPUTED_VALUE"""),"Live")</f>
        <v>Live</v>
      </c>
      <c r="H242" s="5"/>
      <c r="I242" s="5" t="str">
        <f>IFERROR(__xludf.DUMMYFUNCTION("""COMPUTED_VALUE"""),"Redstone")</f>
        <v>Redstone</v>
      </c>
      <c r="J242" s="5" t="str">
        <f>IFERROR(__xludf.DUMMYFUNCTION("""COMPUTED_VALUE"""),"JSON")</f>
        <v>JSON</v>
      </c>
      <c r="K242" s="5" t="str">
        <f>IFERROR(__xludf.DUMMYFUNCTION("""COMPUTED_VALUE"""),"Slot")</f>
        <v>Slot</v>
      </c>
      <c r="L242" s="5" t="str">
        <f>IFERROR(__xludf.DUMMYFUNCTION("""COMPUTED_VALUE"""),"Master")</f>
        <v>Master</v>
      </c>
      <c r="M242" s="5"/>
      <c r="N242" s="7" t="str">
        <f>IFERROR(__xludf.DUMMYFUNCTION("""COMPUTED_VALUE"""),"https://docs.google.com/document/d/1unGyD9fIdvSZ12VhaMcxyRt9peTuo-fU/edit?usp=drive_link&amp;ouid=107596163405648766688&amp;rtpof=true&amp;sd=true")</f>
        <v>https://docs.google.com/document/d/1unGyD9fIdvSZ12VhaMcxyRt9peTuo-fU/edit?usp=drive_link&amp;ouid=107596163405648766688&amp;rtpof=true&amp;sd=true</v>
      </c>
      <c r="O242" s="7" t="str">
        <f>IFERROR(__xludf.DUMMYFUNCTION("""COMPUTED_VALUE"""),"https://docs.google.com/document/d/1Y_P7lHz3H_xjUFJ7tySSjnjMgUHbSWMi/edit?usp=drive_link&amp;ouid=107596163405648766688&amp;rtpof=true&amp;sd=true")</f>
        <v>https://docs.google.com/document/d/1Y_P7lHz3H_xjUFJ7tySSjnjMgUHbSWMi/edit?usp=drive_link&amp;ouid=107596163405648766688&amp;rtpof=true&amp;sd=true</v>
      </c>
      <c r="P242" s="12">
        <f>IFERROR(__xludf.DUMMYFUNCTION("""COMPUTED_VALUE"""),10.9)</f>
        <v>10.9</v>
      </c>
      <c r="Q242" s="13">
        <f>IFERROR(__xludf.DUMMYFUNCTION("""COMPUTED_VALUE"""),45049.0)</f>
        <v>45049</v>
      </c>
      <c r="R242" s="14"/>
      <c r="S242" s="13">
        <f>IFERROR(__xludf.DUMMYFUNCTION("""COMPUTED_VALUE"""),45049.0)</f>
        <v>45049</v>
      </c>
      <c r="T242" s="5"/>
      <c r="U242" s="5" t="str">
        <f>IFERROR(__xludf.DUMMYFUNCTION("""COMPUTED_VALUE"""),"5x3")</f>
        <v>5x3</v>
      </c>
      <c r="V242" s="10" t="str">
        <f>IFERROR(__xludf.DUMMYFUNCTION("""COMPUTED_VALUE"""),"5")</f>
        <v>5</v>
      </c>
      <c r="W242" s="10" t="str">
        <f>IFERROR(__xludf.DUMMYFUNCTION("""COMPUTED_VALUE"""),"5")</f>
        <v>5</v>
      </c>
      <c r="X242" s="5">
        <f>IFERROR(__xludf.DUMMYFUNCTION("""COMPUTED_VALUE"""),95.45)</f>
        <v>95.45</v>
      </c>
      <c r="Y242" s="5" t="str">
        <f>IFERROR(__xludf.DUMMYFUNCTION("""COMPUTED_VALUE"""),"High")</f>
        <v>High</v>
      </c>
      <c r="Z242" s="5">
        <f>IFERROR(__xludf.DUMMYFUNCTION("""COMPUTED_VALUE"""),12.54)</f>
        <v>12.54</v>
      </c>
      <c r="AA242" s="12">
        <f>IFERROR(__xludf.DUMMYFUNCTION("""COMPUTED_VALUE"""),1250.0)</f>
        <v>1250</v>
      </c>
      <c r="AB242" s="5"/>
      <c r="AC242" s="5" t="str">
        <f>IFERROR(__xludf.DUMMYFUNCTION("""COMPUTED_VALUE"""),"Hold and Win, Wild Symbol")</f>
        <v>Hold and Win, Wild Symbol</v>
      </c>
      <c r="AD242" s="5" t="str">
        <f>IFERROR(__xludf.DUMMYFUNCTION("""COMPUTED_VALUE"""),"0.10/40")</f>
        <v>0.10/40</v>
      </c>
      <c r="AE242" s="5"/>
      <c r="AF242" s="5"/>
      <c r="AG242" s="8">
        <f>IFERROR(__xludf.DUMMYFUNCTION("""COMPUTED_VALUE"""),46157.47603009259)</f>
        <v>46157.47603</v>
      </c>
      <c r="AH242" s="5"/>
      <c r="AI242" s="5"/>
      <c r="AJ242" s="5"/>
      <c r="AK242" s="5">
        <f>IFERROR(__xludf.DUMMYFUNCTION("""COMPUTED_VALUE"""),1.0)</f>
        <v>1</v>
      </c>
      <c r="AL242" s="5" t="str">
        <f>IFERROR(__xludf.DUMMYFUNCTION("""COMPUTED_VALUE"""),"No")</f>
        <v>No</v>
      </c>
      <c r="AM242" s="5" t="str">
        <f>IFERROR(__xludf.DUMMYFUNCTION("""COMPUTED_VALUE"""),"No")</f>
        <v>No</v>
      </c>
      <c r="AN242" s="7" t="str">
        <f>IFERROR(__xludf.DUMMYFUNCTION("""COMPUTED_VALUE"""),"https://static.redstone.rs/games/super-lucky/")</f>
        <v>https://static.redstone.rs/games/super-lucky/</v>
      </c>
      <c r="AO242" s="5" t="str">
        <f>IFERROR(__xludf.DUMMYFUNCTION("""COMPUTED_VALUE"""),"No")</f>
        <v>No</v>
      </c>
      <c r="AP242" s="5" t="str">
        <f>IFERROR(__xludf.DUMMYFUNCTION("""COMPUTED_VALUE"""),"No")</f>
        <v>No</v>
      </c>
      <c r="AQ242" s="5" t="b">
        <f>IFERROR(__xludf.DUMMYFUNCTION("""COMPUTED_VALUE"""),TRUE)</f>
        <v>1</v>
      </c>
      <c r="AR242" s="5"/>
      <c r="AS242" s="5" t="str">
        <f>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AT242" s="5"/>
      <c r="AU242" s="5" t="str">
        <f>IFERROR(__xludf.DUMMYFUNCTION("""COMPUTED_VALUE"""),"Redstone")</f>
        <v>Redstone</v>
      </c>
      <c r="AV242" s="5"/>
      <c r="AW242" s="5"/>
      <c r="AX242" s="5"/>
      <c r="AY242" s="5"/>
      <c r="AZ242" s="5"/>
      <c r="BA242" s="5"/>
      <c r="BB242" s="5" t="b">
        <f>IFERROR(__xludf.DUMMYFUNCTION("""COMPUTED_VALUE"""),TRUE)</f>
        <v>1</v>
      </c>
      <c r="BC242" s="5" t="str">
        <f>IFERROR(__xludf.DUMMYFUNCTION("""COMPUTED_VALUE"""),"Redstone")</f>
        <v>Redstone</v>
      </c>
      <c r="BD242" s="7" t="str">
        <f>IFERROR(__xludf.DUMMYFUNCTION("""COMPUTED_VALUE"""),"https://static.redstone.rs/games/super-lucky/")</f>
        <v>https://static.redstone.rs/games/super-lucky/</v>
      </c>
      <c r="BE242" s="5" t="b">
        <f>IFERROR(__xludf.DUMMYFUNCTION("""COMPUTED_VALUE"""),TRUE)</f>
        <v>1</v>
      </c>
    </row>
    <row r="243">
      <c r="A243" s="5">
        <f>IFERROR(__xludf.DUMMYFUNCTION("""COMPUTED_VALUE"""),243.0)</f>
        <v>243</v>
      </c>
      <c r="B243" s="5">
        <f>IFERROR(__xludf.DUMMYFUNCTION("""COMPUTED_VALUE"""),242.0)</f>
        <v>242</v>
      </c>
      <c r="C243" s="5" t="str">
        <f>IFERROR(__xludf.DUMMYFUNCTION("""COMPUTED_VALUE"""),"Fazi")</f>
        <v>Fazi</v>
      </c>
      <c r="D243" s="5" t="str">
        <f>IFERROR(__xludf.DUMMYFUNCTION("""COMPUTED_VALUE"""),"Epic Clover 40")</f>
        <v>Epic Clover 40</v>
      </c>
      <c r="E243" s="5" t="str">
        <f>IFERROR(__xludf.DUMMYFUNCTION("""COMPUTED_VALUE"""),"V2")</f>
        <v>V2</v>
      </c>
      <c r="F243" s="5" t="str">
        <f>IFERROR(__xludf.DUMMYFUNCTION("""COMPUTED_VALUE"""),"EpicClover40")</f>
        <v>EpicClover40</v>
      </c>
      <c r="G243" s="5" t="str">
        <f>IFERROR(__xludf.DUMMYFUNCTION("""COMPUTED_VALUE"""),"Live")</f>
        <v>Live</v>
      </c>
      <c r="H243" s="5"/>
      <c r="I243" s="5" t="str">
        <f>IFERROR(__xludf.DUMMYFUNCTION("""COMPUTED_VALUE"""),"V2")</f>
        <v>V2</v>
      </c>
      <c r="J243" s="5" t="str">
        <f>IFERROR(__xludf.DUMMYFUNCTION("""COMPUTED_VALUE"""),"JSON")</f>
        <v>JSON</v>
      </c>
      <c r="K243" s="5" t="str">
        <f>IFERROR(__xludf.DUMMYFUNCTION("""COMPUTED_VALUE"""),"Slot")</f>
        <v>Slot</v>
      </c>
      <c r="L243" s="5"/>
      <c r="M243" s="5"/>
      <c r="N243" s="5"/>
      <c r="O243" s="5"/>
      <c r="P243" s="12">
        <f>IFERROR(__xludf.DUMMYFUNCTION("""COMPUTED_VALUE"""),27.0)</f>
        <v>27</v>
      </c>
      <c r="Q243" s="13">
        <f>IFERROR(__xludf.DUMMYFUNCTION("""COMPUTED_VALUE"""),45113.0)</f>
        <v>45113</v>
      </c>
      <c r="R243" s="14"/>
      <c r="S243" s="13">
        <f>IFERROR(__xludf.DUMMYFUNCTION("""COMPUTED_VALUE"""),45113.0)</f>
        <v>45113</v>
      </c>
      <c r="T243" s="5" t="b">
        <f>IFERROR(__xludf.DUMMYFUNCTION("""COMPUTED_VALUE"""),TRUE)</f>
        <v>1</v>
      </c>
      <c r="U243" s="5" t="str">
        <f>IFERROR(__xludf.DUMMYFUNCTION("""COMPUTED_VALUE"""),"5x4")</f>
        <v>5x4</v>
      </c>
      <c r="V243" s="10" t="str">
        <f>IFERROR(__xludf.DUMMYFUNCTION("""COMPUTED_VALUE"""),"40")</f>
        <v>40</v>
      </c>
      <c r="W243" s="10" t="str">
        <f>IFERROR(__xludf.DUMMYFUNCTION("""COMPUTED_VALUE"""),"40")</f>
        <v>40</v>
      </c>
      <c r="X243" s="5">
        <f>IFERROR(__xludf.DUMMYFUNCTION("""COMPUTED_VALUE"""),96.502)</f>
        <v>96.502</v>
      </c>
      <c r="Y243" s="5" t="str">
        <f>IFERROR(__xludf.DUMMYFUNCTION("""COMPUTED_VALUE"""),"Medium")</f>
        <v>Medium</v>
      </c>
      <c r="Z243" s="5">
        <f>IFERROR(__xludf.DUMMYFUNCTION("""COMPUTED_VALUE"""),11.600000000000001)</f>
        <v>11.6</v>
      </c>
      <c r="AA243" s="12">
        <f>IFERROR(__xludf.DUMMYFUNCTION("""COMPUTED_VALUE"""),3000.0)</f>
        <v>3000</v>
      </c>
      <c r="AB243" s="5">
        <f>IFERROR(__xludf.DUMMYFUNCTION("""COMPUTED_VALUE"""),4.0)</f>
        <v>4</v>
      </c>
      <c r="AC243" s="5" t="str">
        <f>IFERROR(__xludf.DUMMYFUNCTION("""COMPUTED_VALUE"""),"Scatter, Expanding Wild")</f>
        <v>Scatter, Expanding Wild</v>
      </c>
      <c r="AD243" s="5" t="str">
        <f>IFERROR(__xludf.DUMMYFUNCTION("""COMPUTED_VALUE"""),"0.4/60")</f>
        <v>0.4/60</v>
      </c>
      <c r="AE243" s="5"/>
      <c r="AF243" s="5"/>
      <c r="AG243" s="8">
        <f>IFERROR(__xludf.DUMMYFUNCTION("""COMPUTED_VALUE"""),46112.3852662037)</f>
        <v>46112.38527</v>
      </c>
      <c r="AH243" s="5" t="str">
        <f>IFERROR(__xludf.DUMMYFUNCTION("""COMPUTED_VALUE"""),"milutin.toskic@fazi.rs")</f>
        <v>milutin.toskic@fazi.rs</v>
      </c>
      <c r="AI243" s="5"/>
      <c r="AJ243" s="5"/>
      <c r="AK243" s="5">
        <f>IFERROR(__xludf.DUMMYFUNCTION("""COMPUTED_VALUE"""),40.0)</f>
        <v>40</v>
      </c>
      <c r="AL243" s="5" t="str">
        <f>IFERROR(__xludf.DUMMYFUNCTION("""COMPUTED_VALUE"""),"Yes")</f>
        <v>Yes</v>
      </c>
      <c r="AM243" s="5"/>
      <c r="AN243" s="7" t="str">
        <f>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AO243" s="5" t="str">
        <f>IFERROR(__xludf.DUMMYFUNCTION("""COMPUTED_VALUE"""),"Yes")</f>
        <v>Yes</v>
      </c>
      <c r="AP243" s="5" t="str">
        <f>IFERROR(__xludf.DUMMYFUNCTION("""COMPUTED_VALUE"""),"Yes")</f>
        <v>Yes</v>
      </c>
      <c r="AQ243" s="5" t="b">
        <f>IFERROR(__xludf.DUMMYFUNCTION("""COMPUTED_VALUE"""),TRUE)</f>
        <v>1</v>
      </c>
      <c r="AR243" s="5"/>
      <c r="AS243" s="5" t="str">
        <f>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AT243" s="5" t="str">
        <f>IFERROR(__xludf.DUMMYFUNCTION("""COMPUTED_VALUE"""),"Yes")</f>
        <v>Yes</v>
      </c>
      <c r="AU243" s="5" t="str">
        <f>IFERROR(__xludf.DUMMYFUNCTION("""COMPUTED_VALUE"""),"Fazi")</f>
        <v>Fazi</v>
      </c>
      <c r="AV243" s="5"/>
      <c r="AW243" s="5"/>
      <c r="AX243" s="5"/>
      <c r="AY243" s="5" t="str">
        <f>IFERROR(__xludf.DUMMYFUNCTION("""COMPUTED_VALUE"""),"87.5%, 89.5%, 91.5%, 93.5%, 94.5%, 95.5%, 96.5%")</f>
        <v>87.5%, 89.5%, 91.5%, 93.5%, 94.5%, 95.5%, 96.5%</v>
      </c>
      <c r="AZ243" s="5"/>
      <c r="BA243" s="5"/>
      <c r="BB243" s="5"/>
      <c r="BC243" s="5" t="str">
        <f>IFERROR(__xludf.DUMMYFUNCTION("""COMPUTED_VALUE"""),"Foxi")</f>
        <v>Foxi</v>
      </c>
      <c r="BD243" s="7" t="str">
        <f>IFERROR(__xludf.DUMMYFUNCTION("""COMPUTED_VALUE"""),"https://gameserver-store-client-area.orbionlimited.com/Home/IntegrationGameLaunch/client-area?moneyType=0&amp;gameName=EpicClover40&amp;platform=desktop&amp;languageCode=eng&amp;currency=EUR")</f>
        <v>https://gameserver-store-client-area.orbionlimited.com/Home/IntegrationGameLaunch/client-area?moneyType=0&amp;gameName=EpicClover40&amp;platform=desktop&amp;languageCode=eng&amp;currency=EUR</v>
      </c>
      <c r="BE243" s="5" t="b">
        <f>IFERROR(__xludf.DUMMYFUNCTION("""COMPUTED_VALUE"""),TRUE)</f>
        <v>1</v>
      </c>
    </row>
    <row r="244">
      <c r="A244" s="5">
        <f>IFERROR(__xludf.DUMMYFUNCTION("""COMPUTED_VALUE"""),244.0)</f>
        <v>244</v>
      </c>
      <c r="B244" s="5">
        <f>IFERROR(__xludf.DUMMYFUNCTION("""COMPUTED_VALUE"""),243.0)</f>
        <v>243</v>
      </c>
      <c r="C244" s="5" t="str">
        <f>IFERROR(__xludf.DUMMYFUNCTION("""COMPUTED_VALUE"""),"Fazi")</f>
        <v>Fazi</v>
      </c>
      <c r="D244" s="5" t="str">
        <f>IFERROR(__xludf.DUMMYFUNCTION("""COMPUTED_VALUE"""),"Wild Lucky Clover 2")</f>
        <v>Wild Lucky Clover 2</v>
      </c>
      <c r="E244" s="5" t="str">
        <f>IFERROR(__xludf.DUMMYFUNCTION("""COMPUTED_VALUE"""),"V2")</f>
        <v>V2</v>
      </c>
      <c r="F244" s="5" t="str">
        <f>IFERROR(__xludf.DUMMYFUNCTION("""COMPUTED_VALUE"""),"WildLuckyClover2")</f>
        <v>WildLuckyClover2</v>
      </c>
      <c r="G244" s="5" t="str">
        <f>IFERROR(__xludf.DUMMYFUNCTION("""COMPUTED_VALUE"""),"Live")</f>
        <v>Live</v>
      </c>
      <c r="H244" s="5"/>
      <c r="I244" s="5" t="str">
        <f>IFERROR(__xludf.DUMMYFUNCTION("""COMPUTED_VALUE"""),"V2")</f>
        <v>V2</v>
      </c>
      <c r="J244" s="5" t="str">
        <f>IFERROR(__xludf.DUMMYFUNCTION("""COMPUTED_VALUE"""),"JSON")</f>
        <v>JSON</v>
      </c>
      <c r="K244" s="5" t="str">
        <f>IFERROR(__xludf.DUMMYFUNCTION("""COMPUTED_VALUE"""),"Slot")</f>
        <v>Slot</v>
      </c>
      <c r="L244" s="5"/>
      <c r="M244" s="5"/>
      <c r="N244" s="5"/>
      <c r="O244" s="5"/>
      <c r="P244" s="12">
        <f>IFERROR(__xludf.DUMMYFUNCTION("""COMPUTED_VALUE"""),31.5)</f>
        <v>31.5</v>
      </c>
      <c r="Q244" s="13">
        <f>IFERROR(__xludf.DUMMYFUNCTION("""COMPUTED_VALUE"""),45076.0)</f>
        <v>45076</v>
      </c>
      <c r="R244" s="14"/>
      <c r="S244" s="13">
        <f>IFERROR(__xludf.DUMMYFUNCTION("""COMPUTED_VALUE"""),45076.0)</f>
        <v>45076</v>
      </c>
      <c r="T244" s="5" t="b">
        <f>IFERROR(__xludf.DUMMYFUNCTION("""COMPUTED_VALUE"""),TRUE)</f>
        <v>1</v>
      </c>
      <c r="U244" s="5" t="str">
        <f>IFERROR(__xludf.DUMMYFUNCTION("""COMPUTED_VALUE"""),"5x4")</f>
        <v>5x4</v>
      </c>
      <c r="V244" s="10" t="str">
        <f>IFERROR(__xludf.DUMMYFUNCTION("""COMPUTED_VALUE"""),"40")</f>
        <v>40</v>
      </c>
      <c r="W244" s="10" t="str">
        <f>IFERROR(__xludf.DUMMYFUNCTION("""COMPUTED_VALUE"""),"40")</f>
        <v>40</v>
      </c>
      <c r="X244" s="5">
        <f>IFERROR(__xludf.DUMMYFUNCTION("""COMPUTED_VALUE"""),96.395)</f>
        <v>96.395</v>
      </c>
      <c r="Y244" s="5" t="str">
        <f>IFERROR(__xludf.DUMMYFUNCTION("""COMPUTED_VALUE"""),"Medium")</f>
        <v>Medium</v>
      </c>
      <c r="Z244" s="5">
        <f>IFERROR(__xludf.DUMMYFUNCTION("""COMPUTED_VALUE"""),12.629999999999999)</f>
        <v>12.63</v>
      </c>
      <c r="AA244" s="12">
        <f>IFERROR(__xludf.DUMMYFUNCTION("""COMPUTED_VALUE"""),2501.0)</f>
        <v>2501</v>
      </c>
      <c r="AB244" s="5">
        <f>IFERROR(__xludf.DUMMYFUNCTION("""COMPUTED_VALUE"""),210.0)</f>
        <v>210</v>
      </c>
      <c r="AC244" s="5" t="str">
        <f>IFERROR(__xludf.DUMMYFUNCTION("""COMPUTED_VALUE"""),"Buy Bonus, Bonus Game with Free Spins, Converting Wild, Wild Symbol, Wild Multiplier")</f>
        <v>Buy Bonus, Bonus Game with Free Spins, Converting Wild, Wild Symbol, Wild Multiplier</v>
      </c>
      <c r="AD244" s="5" t="str">
        <f>IFERROR(__xludf.DUMMYFUNCTION("""COMPUTED_VALUE"""),"0.4/60")</f>
        <v>0.4/60</v>
      </c>
      <c r="AE244" s="5"/>
      <c r="AF244" s="5"/>
      <c r="AG244" s="8">
        <f>IFERROR(__xludf.DUMMYFUNCTION("""COMPUTED_VALUE"""),46055.52070601852)</f>
        <v>46055.52071</v>
      </c>
      <c r="AH244" s="5" t="str">
        <f>IFERROR(__xludf.DUMMYFUNCTION("""COMPUTED_VALUE"""),"djordje.jankovic@fazi.rs")</f>
        <v>djordje.jankovic@fazi.rs</v>
      </c>
      <c r="AI244" s="5"/>
      <c r="AJ244" s="5"/>
      <c r="AK244" s="5">
        <f>IFERROR(__xludf.DUMMYFUNCTION("""COMPUTED_VALUE"""),40.0)</f>
        <v>40</v>
      </c>
      <c r="AL244" s="5" t="str">
        <f>IFERROR(__xludf.DUMMYFUNCTION("""COMPUTED_VALUE"""),"Yes")</f>
        <v>Yes</v>
      </c>
      <c r="AM244" s="5"/>
      <c r="AN244" s="7" t="str">
        <f>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AO244" s="5" t="str">
        <f>IFERROR(__xludf.DUMMYFUNCTION("""COMPUTED_VALUE"""),"Yes")</f>
        <v>Yes</v>
      </c>
      <c r="AP244" s="5" t="str">
        <f>IFERROR(__xludf.DUMMYFUNCTION("""COMPUTED_VALUE"""),"Yes")</f>
        <v>Yes</v>
      </c>
      <c r="AQ244" s="5" t="b">
        <f>IFERROR(__xludf.DUMMYFUNCTION("""COMPUTED_VALUE"""),TRUE)</f>
        <v>1</v>
      </c>
      <c r="AR244" s="5"/>
      <c r="AS244" s="5" t="str">
        <f>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AT244" s="5"/>
      <c r="AU244" s="5" t="str">
        <f>IFERROR(__xludf.DUMMYFUNCTION("""COMPUTED_VALUE"""),"Fazi")</f>
        <v>Fazi</v>
      </c>
      <c r="AV244" s="5"/>
      <c r="AW244" s="5"/>
      <c r="AX244" s="5"/>
      <c r="AY244" s="5"/>
      <c r="AZ244" s="5"/>
      <c r="BA244" s="5" t="str">
        <f>IFERROR(__xludf.DUMMYFUNCTION("""COMPUTED_VALUE"""),"68, 97, 145")</f>
        <v>68, 97, 145</v>
      </c>
      <c r="BB244" s="5"/>
      <c r="BC244" s="5" t="str">
        <f>IFERROR(__xludf.DUMMYFUNCTION("""COMPUTED_VALUE"""),"Foxi")</f>
        <v>Foxi</v>
      </c>
      <c r="BD244" s="7" t="str">
        <f>IFERROR(__xludf.DUMMYFUNCTION("""COMPUTED_VALUE"""),"https://gameserver-store-client-area.orbionlimited.com/Home/IntegrationGameLaunch/client-area?moneyType=0&amp;gameName=WildLuckyClover2&amp;platform=desktop&amp;languageCode=eng&amp;currency=EUR")</f>
        <v>https://gameserver-store-client-area.orbionlimited.com/Home/IntegrationGameLaunch/client-area?moneyType=0&amp;gameName=WildLuckyClover2&amp;platform=desktop&amp;languageCode=eng&amp;currency=EUR</v>
      </c>
      <c r="BE244" s="5" t="b">
        <f>IFERROR(__xludf.DUMMYFUNCTION("""COMPUTED_VALUE"""),TRUE)</f>
        <v>1</v>
      </c>
    </row>
    <row r="245">
      <c r="A245" s="5">
        <f>IFERROR(__xludf.DUMMYFUNCTION("""COMPUTED_VALUE"""),245.0)</f>
        <v>245</v>
      </c>
      <c r="B245" s="5">
        <f>IFERROR(__xludf.DUMMYFUNCTION("""COMPUTED_VALUE"""),244.0)</f>
        <v>244</v>
      </c>
      <c r="C245" s="5" t="str">
        <f>IFERROR(__xludf.DUMMYFUNCTION("""COMPUTED_VALUE"""),"Tiptop")</f>
        <v>Tiptop</v>
      </c>
      <c r="D245" s="5" t="str">
        <f>IFERROR(__xludf.DUMMYFUNCTION("""COMPUTED_VALUE"""),"40 Fruit Reels")</f>
        <v>40 Fruit Reels</v>
      </c>
      <c r="E245" s="5"/>
      <c r="F245" s="5" t="str">
        <f>IFERROR(__xludf.DUMMYFUNCTION("""COMPUTED_VALUE"""),"Unicorn40FruitReels")</f>
        <v>Unicorn40FruitReels</v>
      </c>
      <c r="G245" s="5" t="str">
        <f>IFERROR(__xludf.DUMMYFUNCTION("""COMPUTED_VALUE"""),"Live")</f>
        <v>Live</v>
      </c>
      <c r="H245" s="5"/>
      <c r="I245" s="5" t="str">
        <f>IFERROR(__xludf.DUMMYFUNCTION("""COMPUTED_VALUE"""),"TipTop")</f>
        <v>TipTop</v>
      </c>
      <c r="J245" s="5" t="str">
        <f>IFERROR(__xludf.DUMMYFUNCTION("""COMPUTED_VALUE"""),"JSON")</f>
        <v>JSON</v>
      </c>
      <c r="K245" s="5" t="str">
        <f>IFERROR(__xludf.DUMMYFUNCTION("""COMPUTED_VALUE"""),"Slot")</f>
        <v>Slot</v>
      </c>
      <c r="L245" s="5"/>
      <c r="M245" s="5"/>
      <c r="N245" s="5"/>
      <c r="O245" s="5"/>
      <c r="P245" s="12">
        <f>IFERROR(__xludf.DUMMYFUNCTION("""COMPUTED_VALUE"""),9.5)</f>
        <v>9.5</v>
      </c>
      <c r="Q245" s="13">
        <f>IFERROR(__xludf.DUMMYFUNCTION("""COMPUTED_VALUE"""),45062.0)</f>
        <v>45062</v>
      </c>
      <c r="R245" s="14"/>
      <c r="S245" s="13">
        <f>IFERROR(__xludf.DUMMYFUNCTION("""COMPUTED_VALUE"""),45062.0)</f>
        <v>45062</v>
      </c>
      <c r="T245" s="5"/>
      <c r="U245" s="5" t="str">
        <f>IFERROR(__xludf.DUMMYFUNCTION("""COMPUTED_VALUE"""),"5X4")</f>
        <v>5X4</v>
      </c>
      <c r="V245" s="10" t="str">
        <f>IFERROR(__xludf.DUMMYFUNCTION("""COMPUTED_VALUE"""),"40")</f>
        <v>40</v>
      </c>
      <c r="W245" s="10" t="str">
        <f>IFERROR(__xludf.DUMMYFUNCTION("""COMPUTED_VALUE"""),"40")</f>
        <v>40</v>
      </c>
      <c r="X245" s="5">
        <f>IFERROR(__xludf.DUMMYFUNCTION("""COMPUTED_VALUE"""),96.0)</f>
        <v>96</v>
      </c>
      <c r="Y245" s="5" t="str">
        <f>IFERROR(__xludf.DUMMYFUNCTION("""COMPUTED_VALUE"""),"Low")</f>
        <v>Low</v>
      </c>
      <c r="Z245" s="5">
        <f>IFERROR(__xludf.DUMMYFUNCTION("""COMPUTED_VALUE"""),11.65)</f>
        <v>11.65</v>
      </c>
      <c r="AA245" s="12">
        <f>IFERROR(__xludf.DUMMYFUNCTION("""COMPUTED_VALUE"""),5000.0)</f>
        <v>5000</v>
      </c>
      <c r="AB245" s="5"/>
      <c r="AC245" s="5"/>
      <c r="AD245" s="5" t="str">
        <f>IFERROR(__xludf.DUMMYFUNCTION("""COMPUTED_VALUE"""),"0.4/100")</f>
        <v>0.4/100</v>
      </c>
      <c r="AE245" s="5"/>
      <c r="AF245" s="5"/>
      <c r="AG245" s="8">
        <f>IFERROR(__xludf.DUMMYFUNCTION("""COMPUTED_VALUE"""),46197.459756944445)</f>
        <v>46197.45976</v>
      </c>
      <c r="AH245" s="5" t="str">
        <f>IFERROR(__xludf.DUMMYFUNCTION("""COMPUTED_VALUE"""),"selena.mihajlovic@fazi.rs")</f>
        <v>selena.mihajlovic@fazi.rs</v>
      </c>
      <c r="AI245" s="5"/>
      <c r="AJ245" s="5"/>
      <c r="AK245" s="5">
        <f>IFERROR(__xludf.DUMMYFUNCTION("""COMPUTED_VALUE"""),40.0)</f>
        <v>40</v>
      </c>
      <c r="AL245" s="5" t="str">
        <f>IFERROR(__xludf.DUMMYFUNCTION("""COMPUTED_VALUE"""),"No")</f>
        <v>No</v>
      </c>
      <c r="AM245" s="5"/>
      <c r="AN245" s="7" t="str">
        <f>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AO245" s="5"/>
      <c r="AP245" s="5"/>
      <c r="AQ245" s="5" t="b">
        <f>IFERROR(__xludf.DUMMYFUNCTION("""COMPUTED_VALUE"""),TRUE)</f>
        <v>1</v>
      </c>
      <c r="AR245" s="5"/>
      <c r="AS245" s="5" t="str">
        <f>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AT245" s="5"/>
      <c r="AU245" s="5" t="str">
        <f>IFERROR(__xludf.DUMMYFUNCTION("""COMPUTED_VALUE"""),"Fazi")</f>
        <v>Fazi</v>
      </c>
      <c r="AV245" s="5"/>
      <c r="AW245" s="5"/>
      <c r="AX245" s="5"/>
      <c r="AY245" s="5"/>
      <c r="AZ245" s="5"/>
      <c r="BA245" s="5"/>
      <c r="BB245" s="5" t="b">
        <f>IFERROR(__xludf.DUMMYFUNCTION("""COMPUTED_VALUE"""),TRUE)</f>
        <v>1</v>
      </c>
      <c r="BC245" s="5" t="str">
        <f>IFERROR(__xludf.DUMMYFUNCTION("""COMPUTED_VALUE"""),"Tiptop")</f>
        <v>Tiptop</v>
      </c>
      <c r="BD245" s="7" t="str">
        <f>IFERROR(__xludf.DUMMYFUNCTION("""COMPUTED_VALUE"""),"https://gameserver-store-client-area.orbionlimited.com/Home/IntegrationGameLaunch/client-area?moneyType=0&amp;gameName=Unicorn40FruitReels&amp;platform=desktop&amp;languageCode=eng&amp;currency=EUR")</f>
        <v>https://gameserver-store-client-area.orbionlimited.com/Home/IntegrationGameLaunch/client-area?moneyType=0&amp;gameName=Unicorn40FruitReels&amp;platform=desktop&amp;languageCode=eng&amp;currency=EUR</v>
      </c>
      <c r="BE245" s="5" t="b">
        <f>IFERROR(__xludf.DUMMYFUNCTION("""COMPUTED_VALUE"""),TRUE)</f>
        <v>1</v>
      </c>
    </row>
    <row r="246">
      <c r="A246" s="5">
        <f>IFERROR(__xludf.DUMMYFUNCTION("""COMPUTED_VALUE"""),246.0)</f>
        <v>246</v>
      </c>
      <c r="B246" s="5">
        <f>IFERROR(__xludf.DUMMYFUNCTION("""COMPUTED_VALUE"""),245.0)</f>
        <v>245</v>
      </c>
      <c r="C246" s="5" t="str">
        <f>IFERROR(__xludf.DUMMYFUNCTION("""COMPUTED_VALUE"""),"Fazi")</f>
        <v>Fazi</v>
      </c>
      <c r="D246" s="5" t="str">
        <f>IFERROR(__xludf.DUMMYFUNCTION("""COMPUTED_VALUE"""),"Epic Crown 10")</f>
        <v>Epic Crown 10</v>
      </c>
      <c r="E246" s="5" t="str">
        <f>IFERROR(__xludf.DUMMYFUNCTION("""COMPUTED_VALUE"""),"V2")</f>
        <v>V2</v>
      </c>
      <c r="F246" s="5" t="str">
        <f>IFERROR(__xludf.DUMMYFUNCTION("""COMPUTED_VALUE"""),"EpicCrown10")</f>
        <v>EpicCrown10</v>
      </c>
      <c r="G246" s="5" t="str">
        <f>IFERROR(__xludf.DUMMYFUNCTION("""COMPUTED_VALUE"""),"Live")</f>
        <v>Live</v>
      </c>
      <c r="H246" s="5"/>
      <c r="I246" s="5" t="str">
        <f>IFERROR(__xludf.DUMMYFUNCTION("""COMPUTED_VALUE"""),"V2")</f>
        <v>V2</v>
      </c>
      <c r="J246" s="5" t="str">
        <f>IFERROR(__xludf.DUMMYFUNCTION("""COMPUTED_VALUE"""),"JSON")</f>
        <v>JSON</v>
      </c>
      <c r="K246" s="5" t="str">
        <f>IFERROR(__xludf.DUMMYFUNCTION("""COMPUTED_VALUE"""),"Slot")</f>
        <v>Slot</v>
      </c>
      <c r="L246" s="5" t="str">
        <f>IFERROR(__xludf.DUMMYFUNCTION("""COMPUTED_VALUE"""),"Clone")</f>
        <v>Clone</v>
      </c>
      <c r="M246" s="5" t="str">
        <f>IFERROR(__xludf.DUMMYFUNCTION("""COMPUTED_VALUE"""),"Golden Crown")</f>
        <v>Golden Crown</v>
      </c>
      <c r="N246" s="5"/>
      <c r="O246" s="5"/>
      <c r="P246" s="12">
        <f>IFERROR(__xludf.DUMMYFUNCTION("""COMPUTED_VALUE"""),23.7)</f>
        <v>23.7</v>
      </c>
      <c r="Q246" s="13">
        <f>IFERROR(__xludf.DUMMYFUNCTION("""COMPUTED_VALUE"""),45314.0)</f>
        <v>45314</v>
      </c>
      <c r="R246" s="14"/>
      <c r="S246" s="13">
        <f>IFERROR(__xludf.DUMMYFUNCTION("""COMPUTED_VALUE"""),45314.0)</f>
        <v>45314</v>
      </c>
      <c r="T246" s="5" t="b">
        <f>IFERROR(__xludf.DUMMYFUNCTION("""COMPUTED_VALUE"""),TRUE)</f>
        <v>1</v>
      </c>
      <c r="U246" s="5" t="str">
        <f>IFERROR(__xludf.DUMMYFUNCTION("""COMPUTED_VALUE"""),"5x3")</f>
        <v>5x3</v>
      </c>
      <c r="V246" s="10" t="str">
        <f>IFERROR(__xludf.DUMMYFUNCTION("""COMPUTED_VALUE"""),"10")</f>
        <v>10</v>
      </c>
      <c r="W246" s="10" t="str">
        <f>IFERROR(__xludf.DUMMYFUNCTION("""COMPUTED_VALUE"""),"10")</f>
        <v>10</v>
      </c>
      <c r="X246" s="5">
        <f>IFERROR(__xludf.DUMMYFUNCTION("""COMPUTED_VALUE"""),95.962)</f>
        <v>95.962</v>
      </c>
      <c r="Y246" s="5" t="str">
        <f>IFERROR(__xludf.DUMMYFUNCTION("""COMPUTED_VALUE"""),"Medium")</f>
        <v>Medium</v>
      </c>
      <c r="Z246" s="5">
        <f>IFERROR(__xludf.DUMMYFUNCTION("""COMPUTED_VALUE"""),14.63)</f>
        <v>14.63</v>
      </c>
      <c r="AA246" s="12">
        <f>IFERROR(__xludf.DUMMYFUNCTION("""COMPUTED_VALUE"""),1538.0)</f>
        <v>1538</v>
      </c>
      <c r="AB246" s="5">
        <f>IFERROR(__xludf.DUMMYFUNCTION("""COMPUTED_VALUE"""),4.0)</f>
        <v>4</v>
      </c>
      <c r="AC246" s="5" t="str">
        <f>IFERROR(__xludf.DUMMYFUNCTION("""COMPUTED_VALUE"""),"Scatter, Expanding Wild")</f>
        <v>Scatter, Expanding Wild</v>
      </c>
      <c r="AD246" s="5" t="str">
        <f>IFERROR(__xludf.DUMMYFUNCTION("""COMPUTED_VALUE"""),"0.1/50")</f>
        <v>0.1/50</v>
      </c>
      <c r="AE246" s="5"/>
      <c r="AF246" s="5"/>
      <c r="AG246" s="8">
        <f>IFERROR(__xludf.DUMMYFUNCTION("""COMPUTED_VALUE"""),46112.386724537035)</f>
        <v>46112.38672</v>
      </c>
      <c r="AH246" s="5" t="str">
        <f>IFERROR(__xludf.DUMMYFUNCTION("""COMPUTED_VALUE"""),"milutin.toskic@fazi.rs")</f>
        <v>milutin.toskic@fazi.rs</v>
      </c>
      <c r="AI246" s="5"/>
      <c r="AJ246" s="5"/>
      <c r="AK246" s="5">
        <f>IFERROR(__xludf.DUMMYFUNCTION("""COMPUTED_VALUE"""),10.0)</f>
        <v>10</v>
      </c>
      <c r="AL246" s="5" t="str">
        <f>IFERROR(__xludf.DUMMYFUNCTION("""COMPUTED_VALUE"""),"Yes")</f>
        <v>Yes</v>
      </c>
      <c r="AM246" s="5"/>
      <c r="AN246" s="7" t="str">
        <f>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AO246" s="5" t="str">
        <f>IFERROR(__xludf.DUMMYFUNCTION("""COMPUTED_VALUE"""),"Yes")</f>
        <v>Yes</v>
      </c>
      <c r="AP246" s="5" t="str">
        <f>IFERROR(__xludf.DUMMYFUNCTION("""COMPUTED_VALUE"""),"Yes")</f>
        <v>Yes</v>
      </c>
      <c r="AQ246" s="5" t="b">
        <f>IFERROR(__xludf.DUMMYFUNCTION("""COMPUTED_VALUE"""),TRUE)</f>
        <v>1</v>
      </c>
      <c r="AR246" s="5"/>
      <c r="AS246" s="5" t="str">
        <f>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AT246" s="5"/>
      <c r="AU246" s="5" t="str">
        <f>IFERROR(__xludf.DUMMYFUNCTION("""COMPUTED_VALUE"""),"Fazi")</f>
        <v>Fazi</v>
      </c>
      <c r="AV246" s="5"/>
      <c r="AW246" s="5"/>
      <c r="AX246" s="5"/>
      <c r="AY246" s="5" t="str">
        <f>IFERROR(__xludf.DUMMYFUNCTION("""COMPUTED_VALUE"""),"87.5%, 89.5%, 91.5%, 93.5%, 94.5%, 95.5%, 96.5%")</f>
        <v>87.5%, 89.5%, 91.5%, 93.5%, 94.5%, 95.5%, 96.5%</v>
      </c>
      <c r="AZ246" s="5"/>
      <c r="BA246" s="5"/>
      <c r="BB246" s="5"/>
      <c r="BC246" s="5" t="str">
        <f>IFERROR(__xludf.DUMMYFUNCTION("""COMPUTED_VALUE"""),"Foxi")</f>
        <v>Foxi</v>
      </c>
      <c r="BD246" s="7" t="str">
        <f>IFERROR(__xludf.DUMMYFUNCTION("""COMPUTED_VALUE"""),"https://gameserver-store-client-area.orbionlimited.com/Home/IntegrationGameLaunch/client-area?moneyType=0&amp;gameName=EpicCrown10&amp;platform=desktop&amp;languageCode=eng&amp;currency=EUR")</f>
        <v>https://gameserver-store-client-area.orbionlimited.com/Home/IntegrationGameLaunch/client-area?moneyType=0&amp;gameName=EpicCrown10&amp;platform=desktop&amp;languageCode=eng&amp;currency=EUR</v>
      </c>
      <c r="BE246" s="5" t="b">
        <f>IFERROR(__xludf.DUMMYFUNCTION("""COMPUTED_VALUE"""),TRUE)</f>
        <v>1</v>
      </c>
    </row>
    <row r="247">
      <c r="A247" s="5">
        <f>IFERROR(__xludf.DUMMYFUNCTION("""COMPUTED_VALUE"""),247.0)</f>
        <v>247</v>
      </c>
      <c r="B247" s="5">
        <f>IFERROR(__xludf.DUMMYFUNCTION("""COMPUTED_VALUE"""),246.0)</f>
        <v>246</v>
      </c>
      <c r="C247" s="5" t="str">
        <f>IFERROR(__xludf.DUMMYFUNCTION("""COMPUTED_VALUE"""),"Fazi")</f>
        <v>Fazi</v>
      </c>
      <c r="D247" s="5" t="str">
        <f>IFERROR(__xludf.DUMMYFUNCTION("""COMPUTED_VALUE"""),"Joker Triple Double")</f>
        <v>Joker Triple Double</v>
      </c>
      <c r="E247" s="5" t="str">
        <f>IFERROR(__xludf.DUMMYFUNCTION("""COMPUTED_VALUE"""),"V4-1")</f>
        <v>V4-1</v>
      </c>
      <c r="F247" s="5" t="str">
        <f>IFERROR(__xludf.DUMMYFUNCTION("""COMPUTED_VALUE"""),"JokerTripleDouble")</f>
        <v>JokerTripleDouble</v>
      </c>
      <c r="G247" s="5" t="str">
        <f>IFERROR(__xludf.DUMMYFUNCTION("""COMPUTED_VALUE"""),"Live")</f>
        <v>Live</v>
      </c>
      <c r="H247" s="5"/>
      <c r="I247" s="5" t="str">
        <f>IFERROR(__xludf.DUMMYFUNCTION("""COMPUTED_VALUE"""),"V4")</f>
        <v>V4</v>
      </c>
      <c r="J247" s="5" t="str">
        <f>IFERROR(__xludf.DUMMYFUNCTION("""COMPUTED_VALUE"""),"JSON")</f>
        <v>JSON</v>
      </c>
      <c r="K247" s="5" t="str">
        <f>IFERROR(__xludf.DUMMYFUNCTION("""COMPUTED_VALUE"""),"Slot")</f>
        <v>Slot</v>
      </c>
      <c r="L247" s="5"/>
      <c r="M247" s="5"/>
      <c r="N247" s="5"/>
      <c r="O247" s="5"/>
      <c r="P247" s="12">
        <f>IFERROR(__xludf.DUMMYFUNCTION("""COMPUTED_VALUE"""),9.5)</f>
        <v>9.5</v>
      </c>
      <c r="Q247" s="13">
        <f>IFERROR(__xludf.DUMMYFUNCTION("""COMPUTED_VALUE"""),45148.0)</f>
        <v>45148</v>
      </c>
      <c r="R247" s="14"/>
      <c r="S247" s="13">
        <f>IFERROR(__xludf.DUMMYFUNCTION("""COMPUTED_VALUE"""),45148.0)</f>
        <v>45148</v>
      </c>
      <c r="T247" s="5" t="b">
        <f>IFERROR(__xludf.DUMMYFUNCTION("""COMPUTED_VALUE"""),TRUE)</f>
        <v>1</v>
      </c>
      <c r="U247" s="5" t="str">
        <f>IFERROR(__xludf.DUMMYFUNCTION("""COMPUTED_VALUE"""),"3x3")</f>
        <v>3x3</v>
      </c>
      <c r="V247" s="10" t="str">
        <f>IFERROR(__xludf.DUMMYFUNCTION("""COMPUTED_VALUE"""),"5")</f>
        <v>5</v>
      </c>
      <c r="W247" s="10" t="str">
        <f>IFERROR(__xludf.DUMMYFUNCTION("""COMPUTED_VALUE"""),"5")</f>
        <v>5</v>
      </c>
      <c r="X247" s="5">
        <f>IFERROR(__xludf.DUMMYFUNCTION("""COMPUTED_VALUE"""),96.5)</f>
        <v>96.5</v>
      </c>
      <c r="Y247" s="5" t="str">
        <f>IFERROR(__xludf.DUMMYFUNCTION("""COMPUTED_VALUE"""),"Medium")</f>
        <v>Medium</v>
      </c>
      <c r="Z247" s="5">
        <f>IFERROR(__xludf.DUMMYFUNCTION("""COMPUTED_VALUE"""),7.03)</f>
        <v>7.03</v>
      </c>
      <c r="AA247" s="12">
        <f>IFERROR(__xludf.DUMMYFUNCTION("""COMPUTED_VALUE"""),1590.0)</f>
        <v>1590</v>
      </c>
      <c r="AB247" s="5">
        <f>IFERROR(__xludf.DUMMYFUNCTION("""COMPUTED_VALUE"""),34.0)</f>
        <v>34</v>
      </c>
      <c r="AC247" s="5" t="str">
        <f>IFERROR(__xludf.DUMMYFUNCTION("""COMPUTED_VALUE"""),"Respin, Sticky Wild, Win Multiplier")</f>
        <v>Respin, Sticky Wild, Win Multiplier</v>
      </c>
      <c r="AD247" s="5" t="str">
        <f>IFERROR(__xludf.DUMMYFUNCTION("""COMPUTED_VALUE"""),"0.5/50")</f>
        <v>0.5/50</v>
      </c>
      <c r="AE247" s="5"/>
      <c r="AF247" s="5"/>
      <c r="AG247" s="8">
        <f>IFERROR(__xludf.DUMMYFUNCTION("""COMPUTED_VALUE"""),46162.42591435185)</f>
        <v>46162.42591</v>
      </c>
      <c r="AH247" s="5" t="str">
        <f>IFERROR(__xludf.DUMMYFUNCTION("""COMPUTED_VALUE"""),"djordje.petrovic@fazi.rs")</f>
        <v>djordje.petrovic@fazi.rs</v>
      </c>
      <c r="AI247" s="5"/>
      <c r="AJ247" s="5"/>
      <c r="AK247" s="5">
        <f>IFERROR(__xludf.DUMMYFUNCTION("""COMPUTED_VALUE"""),5.0)</f>
        <v>5</v>
      </c>
      <c r="AL247" s="5" t="str">
        <f>IFERROR(__xludf.DUMMYFUNCTION("""COMPUTED_VALUE"""),"Yes")</f>
        <v>Yes</v>
      </c>
      <c r="AM247" s="5"/>
      <c r="AN247" s="7" t="str">
        <f>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AO247" s="5" t="str">
        <f>IFERROR(__xludf.DUMMYFUNCTION("""COMPUTED_VALUE"""),"Yes")</f>
        <v>Yes</v>
      </c>
      <c r="AP247" s="5" t="str">
        <f>IFERROR(__xludf.DUMMYFUNCTION("""COMPUTED_VALUE"""),"Yes")</f>
        <v>Yes</v>
      </c>
      <c r="AQ247" s="5" t="b">
        <f>IFERROR(__xludf.DUMMYFUNCTION("""COMPUTED_VALUE"""),TRUE)</f>
        <v>1</v>
      </c>
      <c r="AR247" s="5"/>
      <c r="AS247" s="5" t="str">
        <f>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AT247" s="5" t="str">
        <f>IFERROR(__xludf.DUMMYFUNCTION("""COMPUTED_VALUE"""),"Yes")</f>
        <v>Yes</v>
      </c>
      <c r="AU247" s="5" t="str">
        <f>IFERROR(__xludf.DUMMYFUNCTION("""COMPUTED_VALUE"""),"Fazi")</f>
        <v>Fazi</v>
      </c>
      <c r="AV247" s="5"/>
      <c r="AW247"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47" s="5"/>
      <c r="AY247" s="5" t="str">
        <f>IFERROR(__xludf.DUMMYFUNCTION("""COMPUTED_VALUE"""),"87.5%, 89.5%, 91.5%, 93.5%, 94.5%, 95.5%, 96.5%")</f>
        <v>87.5%, 89.5%, 91.5%, 93.5%, 94.5%, 95.5%, 96.5%</v>
      </c>
      <c r="AZ247" s="5"/>
      <c r="BA247" s="5"/>
      <c r="BB247" s="5"/>
      <c r="BC247" s="5" t="str">
        <f>IFERROR(__xludf.DUMMYFUNCTION("""COMPUTED_VALUE"""),"Foxi")</f>
        <v>Foxi</v>
      </c>
      <c r="BD247" s="7" t="str">
        <f>IFERROR(__xludf.DUMMYFUNCTION("""COMPUTED_VALUE"""),"https://gameserver-store-client-area.orbionlimited.com/Home/IntegrationGameLaunch/client-area?moneyType=0&amp;gameName=JokerTripleDouble&amp;platform=desktop&amp;languageCode=eng&amp;currency=EUR")</f>
        <v>https://gameserver-store-client-area.orbionlimited.com/Home/IntegrationGameLaunch/client-area?moneyType=0&amp;gameName=JokerTripleDouble&amp;platform=desktop&amp;languageCode=eng&amp;currency=EUR</v>
      </c>
      <c r="BE247" s="5" t="b">
        <f>IFERROR(__xludf.DUMMYFUNCTION("""COMPUTED_VALUE"""),TRUE)</f>
        <v>1</v>
      </c>
    </row>
    <row r="248">
      <c r="A248" s="5">
        <f>IFERROR(__xludf.DUMMYFUNCTION("""COMPUTED_VALUE"""),248.0)</f>
        <v>248</v>
      </c>
      <c r="B248" s="5">
        <f>IFERROR(__xludf.DUMMYFUNCTION("""COMPUTED_VALUE"""),247.0)</f>
        <v>247</v>
      </c>
      <c r="C248" s="5" t="str">
        <f>IFERROR(__xludf.DUMMYFUNCTION("""COMPUTED_VALUE"""),"Redstone")</f>
        <v>Redstone</v>
      </c>
      <c r="D248" s="5" t="str">
        <f>IFERROR(__xludf.DUMMYFUNCTION("""COMPUTED_VALUE"""),"Heat Double")</f>
        <v>Heat Double</v>
      </c>
      <c r="E248" s="5" t="str">
        <f>IFERROR(__xludf.DUMMYFUNCTION("""COMPUTED_VALUE"""),"Redstone")</f>
        <v>Redstone</v>
      </c>
      <c r="F248" s="5" t="str">
        <f>IFERROR(__xludf.DUMMYFUNCTION("""COMPUTED_VALUE"""),"HeatDouble")</f>
        <v>HeatDouble</v>
      </c>
      <c r="G248" s="5" t="str">
        <f>IFERROR(__xludf.DUMMYFUNCTION("""COMPUTED_VALUE"""),"Live")</f>
        <v>Live</v>
      </c>
      <c r="H248" s="5"/>
      <c r="I248" s="5" t="str">
        <f>IFERROR(__xludf.DUMMYFUNCTION("""COMPUTED_VALUE"""),"Redstone")</f>
        <v>Redstone</v>
      </c>
      <c r="J248" s="5" t="str">
        <f>IFERROR(__xludf.DUMMYFUNCTION("""COMPUTED_VALUE"""),"JSON")</f>
        <v>JSON</v>
      </c>
      <c r="K248" s="5" t="str">
        <f>IFERROR(__xludf.DUMMYFUNCTION("""COMPUTED_VALUE"""),"Slot")</f>
        <v>Slot</v>
      </c>
      <c r="L248" s="5" t="str">
        <f>IFERROR(__xludf.DUMMYFUNCTION("""COMPUTED_VALUE"""),"Master")</f>
        <v>Master</v>
      </c>
      <c r="M248" s="5"/>
      <c r="N248" s="7" t="str">
        <f>IFERROR(__xludf.DUMMYFUNCTION("""COMPUTED_VALUE"""),"https://docs.google.com/document/d/12wJkghBsZEm-qAvIyc60s4oCbhRi_Kwe/edit?usp=drive_link&amp;ouid=107596163405648766688&amp;rtpof=true&amp;sd=true")</f>
        <v>https://docs.google.com/document/d/12wJkghBsZEm-qAvIyc60s4oCbhRi_Kwe/edit?usp=drive_link&amp;ouid=107596163405648766688&amp;rtpof=true&amp;sd=true</v>
      </c>
      <c r="O248" s="7" t="str">
        <f>IFERROR(__xludf.DUMMYFUNCTION("""COMPUTED_VALUE"""),"https://docs.google.com/document/d/1W7xAXul48Vs8maiVUeKLt8R0JKrL7yRh/edit?usp=drive_link&amp;ouid=107596163405648766688&amp;rtpof=true&amp;sd=true")</f>
        <v>https://docs.google.com/document/d/1W7xAXul48Vs8maiVUeKLt8R0JKrL7yRh/edit?usp=drive_link&amp;ouid=107596163405648766688&amp;rtpof=true&amp;sd=true</v>
      </c>
      <c r="P248" s="12">
        <f>IFERROR(__xludf.DUMMYFUNCTION("""COMPUTED_VALUE"""),10.9)</f>
        <v>10.9</v>
      </c>
      <c r="Q248" s="13">
        <f>IFERROR(__xludf.DUMMYFUNCTION("""COMPUTED_VALUE"""),45089.0)</f>
        <v>45089</v>
      </c>
      <c r="R248" s="14"/>
      <c r="S248" s="13">
        <f>IFERROR(__xludf.DUMMYFUNCTION("""COMPUTED_VALUE"""),45089.0)</f>
        <v>45089</v>
      </c>
      <c r="T248" s="5" t="b">
        <f>IFERROR(__xludf.DUMMYFUNCTION("""COMPUTED_VALUE"""),TRUE)</f>
        <v>1</v>
      </c>
      <c r="U248" s="5" t="str">
        <f>IFERROR(__xludf.DUMMYFUNCTION("""COMPUTED_VALUE"""),"3x3")</f>
        <v>3x3</v>
      </c>
      <c r="V248" s="10" t="str">
        <f>IFERROR(__xludf.DUMMYFUNCTION("""COMPUTED_VALUE"""),"5")</f>
        <v>5</v>
      </c>
      <c r="W248" s="10" t="str">
        <f>IFERROR(__xludf.DUMMYFUNCTION("""COMPUTED_VALUE"""),"5")</f>
        <v>5</v>
      </c>
      <c r="X248" s="5">
        <f>IFERROR(__xludf.DUMMYFUNCTION("""COMPUTED_VALUE"""),96.33)</f>
        <v>96.33</v>
      </c>
      <c r="Y248" s="5" t="str">
        <f>IFERROR(__xludf.DUMMYFUNCTION("""COMPUTED_VALUE"""),"Low")</f>
        <v>Low</v>
      </c>
      <c r="Z248" s="5">
        <f>IFERROR(__xludf.DUMMYFUNCTION("""COMPUTED_VALUE"""),8.08)</f>
        <v>8.08</v>
      </c>
      <c r="AA248" s="12">
        <f>IFERROR(__xludf.DUMMYFUNCTION("""COMPUTED_VALUE"""),150.0)</f>
        <v>150</v>
      </c>
      <c r="AB248" s="5"/>
      <c r="AC248" s="5" t="str">
        <f>IFERROR(__xludf.DUMMYFUNCTION("""COMPUTED_VALUE"""),"Win Multiplier")</f>
        <v>Win Multiplier</v>
      </c>
      <c r="AD248" s="5" t="str">
        <f>IFERROR(__xludf.DUMMYFUNCTION("""COMPUTED_VALUE"""),"0.05/30")</f>
        <v>0.05/30</v>
      </c>
      <c r="AE248" s="5"/>
      <c r="AF248" s="5"/>
      <c r="AG248" s="8">
        <f>IFERROR(__xludf.DUMMYFUNCTION("""COMPUTED_VALUE"""),46157.4768287037)</f>
        <v>46157.47683</v>
      </c>
      <c r="AH248" s="5"/>
      <c r="AI248" s="5"/>
      <c r="AJ248" s="5"/>
      <c r="AK248" s="5">
        <f>IFERROR(__xludf.DUMMYFUNCTION("""COMPUTED_VALUE"""),1.0)</f>
        <v>1</v>
      </c>
      <c r="AL248" s="5" t="str">
        <f>IFERROR(__xludf.DUMMYFUNCTION("""COMPUTED_VALUE"""),"No")</f>
        <v>No</v>
      </c>
      <c r="AM248" s="5" t="str">
        <f>IFERROR(__xludf.DUMMYFUNCTION("""COMPUTED_VALUE"""),"No")</f>
        <v>No</v>
      </c>
      <c r="AN248" s="7" t="str">
        <f>IFERROR(__xludf.DUMMYFUNCTION("""COMPUTED_VALUE"""),"https://static.redstone.rs/games/heat-double/")</f>
        <v>https://static.redstone.rs/games/heat-double/</v>
      </c>
      <c r="AO248" s="5" t="str">
        <f>IFERROR(__xludf.DUMMYFUNCTION("""COMPUTED_VALUE"""),"No")</f>
        <v>No</v>
      </c>
      <c r="AP248" s="5" t="str">
        <f>IFERROR(__xludf.DUMMYFUNCTION("""COMPUTED_VALUE"""),"No")</f>
        <v>No</v>
      </c>
      <c r="AQ248" s="5" t="b">
        <f>IFERROR(__xludf.DUMMYFUNCTION("""COMPUTED_VALUE"""),TRUE)</f>
        <v>1</v>
      </c>
      <c r="AR248" s="5"/>
      <c r="AS248" s="5" t="str">
        <f>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AT248" s="5"/>
      <c r="AU248" s="5" t="str">
        <f>IFERROR(__xludf.DUMMYFUNCTION("""COMPUTED_VALUE"""),"Redstone")</f>
        <v>Redstone</v>
      </c>
      <c r="AV248" s="5"/>
      <c r="AW248" s="5"/>
      <c r="AX248" s="5"/>
      <c r="AY248" s="5"/>
      <c r="AZ248" s="5"/>
      <c r="BA248" s="5"/>
      <c r="BB248" s="5" t="b">
        <f>IFERROR(__xludf.DUMMYFUNCTION("""COMPUTED_VALUE"""),TRUE)</f>
        <v>1</v>
      </c>
      <c r="BC248" s="5" t="str">
        <f>IFERROR(__xludf.DUMMYFUNCTION("""COMPUTED_VALUE"""),"Redstone")</f>
        <v>Redstone</v>
      </c>
      <c r="BD248" s="7" t="str">
        <f>IFERROR(__xludf.DUMMYFUNCTION("""COMPUTED_VALUE"""),"https://static.redstone.rs/games/heat-double/")</f>
        <v>https://static.redstone.rs/games/heat-double/</v>
      </c>
      <c r="BE248" s="5" t="b">
        <f>IFERROR(__xludf.DUMMYFUNCTION("""COMPUTED_VALUE"""),TRUE)</f>
        <v>1</v>
      </c>
    </row>
    <row r="249">
      <c r="A249" s="5">
        <f>IFERROR(__xludf.DUMMYFUNCTION("""COMPUTED_VALUE"""),249.0)</f>
        <v>249</v>
      </c>
      <c r="B249" s="5">
        <f>IFERROR(__xludf.DUMMYFUNCTION("""COMPUTED_VALUE"""),248.0)</f>
        <v>248</v>
      </c>
      <c r="C249" s="5" t="str">
        <f>IFERROR(__xludf.DUMMYFUNCTION("""COMPUTED_VALUE"""),"Tiptop")</f>
        <v>Tiptop</v>
      </c>
      <c r="D249" s="5" t="str">
        <f>IFERROR(__xludf.DUMMYFUNCTION("""COMPUTED_VALUE"""),"5 Hot Strike")</f>
        <v>5 Hot Strike</v>
      </c>
      <c r="E249" s="5"/>
      <c r="F249" s="5" t="str">
        <f>IFERROR(__xludf.DUMMYFUNCTION("""COMPUTED_VALUE"""),"Unicorn5HotStrike")</f>
        <v>Unicorn5HotStrike</v>
      </c>
      <c r="G249" s="5" t="str">
        <f>IFERROR(__xludf.DUMMYFUNCTION("""COMPUTED_VALUE"""),"Live")</f>
        <v>Live</v>
      </c>
      <c r="H249" s="5"/>
      <c r="I249" s="5" t="str">
        <f>IFERROR(__xludf.DUMMYFUNCTION("""COMPUTED_VALUE"""),"TipTop")</f>
        <v>TipTop</v>
      </c>
      <c r="J249" s="5" t="str">
        <f>IFERROR(__xludf.DUMMYFUNCTION("""COMPUTED_VALUE"""),"JSON")</f>
        <v>JSON</v>
      </c>
      <c r="K249" s="5" t="str">
        <f>IFERROR(__xludf.DUMMYFUNCTION("""COMPUTED_VALUE"""),"Slot")</f>
        <v>Slot</v>
      </c>
      <c r="L249" s="5"/>
      <c r="M249" s="5"/>
      <c r="N249" s="5"/>
      <c r="O249" s="5"/>
      <c r="P249" s="12">
        <f>IFERROR(__xludf.DUMMYFUNCTION("""COMPUTED_VALUE"""),12.3)</f>
        <v>12.3</v>
      </c>
      <c r="Q249" s="13">
        <f>IFERROR(__xludf.DUMMYFUNCTION("""COMPUTED_VALUE"""),45090.0)</f>
        <v>45090</v>
      </c>
      <c r="R249" s="14"/>
      <c r="S249" s="13">
        <f>IFERROR(__xludf.DUMMYFUNCTION("""COMPUTED_VALUE"""),45090.0)</f>
        <v>45090</v>
      </c>
      <c r="T249" s="5" t="b">
        <f>IFERROR(__xludf.DUMMYFUNCTION("""COMPUTED_VALUE"""),TRUE)</f>
        <v>1</v>
      </c>
      <c r="U249" s="5" t="str">
        <f>IFERROR(__xludf.DUMMYFUNCTION("""COMPUTED_VALUE"""),"5X3")</f>
        <v>5X3</v>
      </c>
      <c r="V249" s="10" t="str">
        <f>IFERROR(__xludf.DUMMYFUNCTION("""COMPUTED_VALUE"""),"5")</f>
        <v>5</v>
      </c>
      <c r="W249" s="10" t="str">
        <f>IFERROR(__xludf.DUMMYFUNCTION("""COMPUTED_VALUE"""),"5")</f>
        <v>5</v>
      </c>
      <c r="X249" s="5">
        <f>IFERROR(__xludf.DUMMYFUNCTION("""COMPUTED_VALUE"""),96.0)</f>
        <v>96</v>
      </c>
      <c r="Y249" s="5" t="str">
        <f>IFERROR(__xludf.DUMMYFUNCTION("""COMPUTED_VALUE"""),"Low")</f>
        <v>Low</v>
      </c>
      <c r="Z249" s="5">
        <f>IFERROR(__xludf.DUMMYFUNCTION("""COMPUTED_VALUE"""),11.41)</f>
        <v>11.41</v>
      </c>
      <c r="AA249" s="12">
        <f>IFERROR(__xludf.DUMMYFUNCTION("""COMPUTED_VALUE"""),2000.0)</f>
        <v>2000</v>
      </c>
      <c r="AB249" s="5"/>
      <c r="AC249" s="5" t="str">
        <f>IFERROR(__xludf.DUMMYFUNCTION("""COMPUTED_VALUE"""),"Wild Symbol, Scatter, Wild Multiplier")</f>
        <v>Wild Symbol, Scatter, Wild Multiplier</v>
      </c>
      <c r="AD249" s="5" t="str">
        <f>IFERROR(__xludf.DUMMYFUNCTION("""COMPUTED_VALUE"""),"0.05/100")</f>
        <v>0.05/100</v>
      </c>
      <c r="AE249" s="5"/>
      <c r="AF249" s="5"/>
      <c r="AG249" s="8">
        <f>IFERROR(__xludf.DUMMYFUNCTION("""COMPUTED_VALUE"""),46197.46011574074)</f>
        <v>46197.46012</v>
      </c>
      <c r="AH249" s="5" t="str">
        <f>IFERROR(__xludf.DUMMYFUNCTION("""COMPUTED_VALUE"""),"selena.mihajlovic@fazi.rs")</f>
        <v>selena.mihajlovic@fazi.rs</v>
      </c>
      <c r="AI249" s="5"/>
      <c r="AJ249" s="5"/>
      <c r="AK249" s="5">
        <f>IFERROR(__xludf.DUMMYFUNCTION("""COMPUTED_VALUE"""),5.0)</f>
        <v>5</v>
      </c>
      <c r="AL249" s="5" t="str">
        <f>IFERROR(__xludf.DUMMYFUNCTION("""COMPUTED_VALUE"""),"No")</f>
        <v>No</v>
      </c>
      <c r="AM249" s="5"/>
      <c r="AN249" s="7" t="str">
        <f>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AO249" s="5"/>
      <c r="AP249" s="5"/>
      <c r="AQ249" s="5" t="b">
        <f>IFERROR(__xludf.DUMMYFUNCTION("""COMPUTED_VALUE"""),TRUE)</f>
        <v>1</v>
      </c>
      <c r="AR249" s="5"/>
      <c r="AS249" s="5" t="str">
        <f>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AT249" s="5"/>
      <c r="AU249" s="5" t="str">
        <f>IFERROR(__xludf.DUMMYFUNCTION("""COMPUTED_VALUE"""),"Fazi")</f>
        <v>Fazi</v>
      </c>
      <c r="AV249" s="5"/>
      <c r="AW249" s="5"/>
      <c r="AX249" s="5"/>
      <c r="AY249" s="5"/>
      <c r="AZ249" s="5"/>
      <c r="BA249" s="5"/>
      <c r="BB249" s="5" t="b">
        <f>IFERROR(__xludf.DUMMYFUNCTION("""COMPUTED_VALUE"""),TRUE)</f>
        <v>1</v>
      </c>
      <c r="BC249" s="5" t="str">
        <f>IFERROR(__xludf.DUMMYFUNCTION("""COMPUTED_VALUE"""),"Tiptop")</f>
        <v>Tiptop</v>
      </c>
      <c r="BD249" s="7" t="str">
        <f>IFERROR(__xludf.DUMMYFUNCTION("""COMPUTED_VALUE"""),"https://gameserver-store-client-area.orbionlimited.com/Home/IntegrationGameLaunch/client-area?moneyType=0&amp;gameName=Unicorn5HotStrike&amp;platform=desktop&amp;languageCode=eng&amp;currency=EUR")</f>
        <v>https://gameserver-store-client-area.orbionlimited.com/Home/IntegrationGameLaunch/client-area?moneyType=0&amp;gameName=Unicorn5HotStrike&amp;platform=desktop&amp;languageCode=eng&amp;currency=EUR</v>
      </c>
      <c r="BE249" s="5" t="b">
        <f>IFERROR(__xludf.DUMMYFUNCTION("""COMPUTED_VALUE"""),TRUE)</f>
        <v>1</v>
      </c>
    </row>
    <row r="250">
      <c r="A250" s="5">
        <f>IFERROR(__xludf.DUMMYFUNCTION("""COMPUTED_VALUE"""),250.0)</f>
        <v>250</v>
      </c>
      <c r="B250" s="5">
        <f>IFERROR(__xludf.DUMMYFUNCTION("""COMPUTED_VALUE"""),249.0)</f>
        <v>249</v>
      </c>
      <c r="C250" s="5" t="str">
        <f>IFERROR(__xludf.DUMMYFUNCTION("""COMPUTED_VALUE"""),"Tiptop")</f>
        <v>Tiptop</v>
      </c>
      <c r="D250" s="5" t="str">
        <f>IFERROR(__xludf.DUMMYFUNCTION("""COMPUTED_VALUE"""),"Bikini Fruits")</f>
        <v>Bikini Fruits</v>
      </c>
      <c r="E250" s="5"/>
      <c r="F250" s="5" t="str">
        <f>IFERROR(__xludf.DUMMYFUNCTION("""COMPUTED_VALUE"""),"UnicornBikiniFruits")</f>
        <v>UnicornBikiniFruits</v>
      </c>
      <c r="G250" s="5" t="str">
        <f>IFERROR(__xludf.DUMMYFUNCTION("""COMPUTED_VALUE"""),"Live")</f>
        <v>Live</v>
      </c>
      <c r="H250" s="5"/>
      <c r="I250" s="5" t="str">
        <f>IFERROR(__xludf.DUMMYFUNCTION("""COMPUTED_VALUE"""),"TipTop")</f>
        <v>TipTop</v>
      </c>
      <c r="J250" s="5" t="str">
        <f>IFERROR(__xludf.DUMMYFUNCTION("""COMPUTED_VALUE"""),"JSON")</f>
        <v>JSON</v>
      </c>
      <c r="K250" s="5" t="str">
        <f>IFERROR(__xludf.DUMMYFUNCTION("""COMPUTED_VALUE"""),"Slot")</f>
        <v>Slot</v>
      </c>
      <c r="L250" s="5"/>
      <c r="M250" s="5"/>
      <c r="N250" s="5"/>
      <c r="O250" s="5"/>
      <c r="P250" s="12">
        <f>IFERROR(__xludf.DUMMYFUNCTION("""COMPUTED_VALUE"""),13.8)</f>
        <v>13.8</v>
      </c>
      <c r="Q250" s="13">
        <f>IFERROR(__xludf.DUMMYFUNCTION("""COMPUTED_VALUE"""),45106.0)</f>
        <v>45106</v>
      </c>
      <c r="R250" s="14"/>
      <c r="S250" s="13">
        <f>IFERROR(__xludf.DUMMYFUNCTION("""COMPUTED_VALUE"""),45106.0)</f>
        <v>45106</v>
      </c>
      <c r="T250" s="5" t="b">
        <f>IFERROR(__xludf.DUMMYFUNCTION("""COMPUTED_VALUE"""),TRUE)</f>
        <v>1</v>
      </c>
      <c r="U250" s="5" t="str">
        <f>IFERROR(__xludf.DUMMYFUNCTION("""COMPUTED_VALUE"""),"5X3")</f>
        <v>5X3</v>
      </c>
      <c r="V250" s="10" t="str">
        <f>IFERROR(__xludf.DUMMYFUNCTION("""COMPUTED_VALUE"""),"10")</f>
        <v>10</v>
      </c>
      <c r="W250" s="10" t="str">
        <f>IFERROR(__xludf.DUMMYFUNCTION("""COMPUTED_VALUE"""),"10")</f>
        <v>10</v>
      </c>
      <c r="X250" s="5">
        <f>IFERROR(__xludf.DUMMYFUNCTION("""COMPUTED_VALUE"""),96.0)</f>
        <v>96</v>
      </c>
      <c r="Y250" s="5" t="str">
        <f>IFERROR(__xludf.DUMMYFUNCTION("""COMPUTED_VALUE"""),"High")</f>
        <v>High</v>
      </c>
      <c r="Z250" s="5">
        <f>IFERROR(__xludf.DUMMYFUNCTION("""COMPUTED_VALUE"""),36.03)</f>
        <v>36.03</v>
      </c>
      <c r="AA250" s="12">
        <f>IFERROR(__xludf.DUMMYFUNCTION("""COMPUTED_VALUE"""),5000.0)</f>
        <v>5000</v>
      </c>
      <c r="AB250" s="5"/>
      <c r="AC250" s="5" t="str">
        <f>IFERROR(__xludf.DUMMYFUNCTION("""COMPUTED_VALUE"""),"Bonus Game with Multiplier, Wild Symbol")</f>
        <v>Bonus Game with Multiplier, Wild Symbol</v>
      </c>
      <c r="AD250" s="5" t="str">
        <f>IFERROR(__xludf.DUMMYFUNCTION("""COMPUTED_VALUE"""),"0.1/100")</f>
        <v>0.1/100</v>
      </c>
      <c r="AE250" s="5"/>
      <c r="AF250" s="5"/>
      <c r="AG250" s="8">
        <f>IFERROR(__xludf.DUMMYFUNCTION("""COMPUTED_VALUE"""),46197.460335648146)</f>
        <v>46197.46034</v>
      </c>
      <c r="AH250" s="5" t="str">
        <f>IFERROR(__xludf.DUMMYFUNCTION("""COMPUTED_VALUE"""),"selena.mihajlovic@fazi.rs")</f>
        <v>selena.mihajlovic@fazi.rs</v>
      </c>
      <c r="AI250" s="5"/>
      <c r="AJ250" s="5"/>
      <c r="AK250" s="5">
        <f>IFERROR(__xludf.DUMMYFUNCTION("""COMPUTED_VALUE"""),10.0)</f>
        <v>10</v>
      </c>
      <c r="AL250" s="5" t="str">
        <f>IFERROR(__xludf.DUMMYFUNCTION("""COMPUTED_VALUE"""),"No")</f>
        <v>No</v>
      </c>
      <c r="AM250" s="5"/>
      <c r="AN250" s="7" t="str">
        <f>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AO250" s="5"/>
      <c r="AP250" s="5"/>
      <c r="AQ250" s="5" t="b">
        <f>IFERROR(__xludf.DUMMYFUNCTION("""COMPUTED_VALUE"""),TRUE)</f>
        <v>1</v>
      </c>
      <c r="AR250" s="5"/>
      <c r="AS250" s="5" t="str">
        <f>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AT250" s="5"/>
      <c r="AU250" s="5" t="str">
        <f>IFERROR(__xludf.DUMMYFUNCTION("""COMPUTED_VALUE"""),"Fazi")</f>
        <v>Fazi</v>
      </c>
      <c r="AV250" s="5"/>
      <c r="AW250" s="5"/>
      <c r="AX250" s="5"/>
      <c r="AY250" s="5"/>
      <c r="AZ250" s="5"/>
      <c r="BA250" s="5"/>
      <c r="BB250" s="5" t="b">
        <f>IFERROR(__xludf.DUMMYFUNCTION("""COMPUTED_VALUE"""),TRUE)</f>
        <v>1</v>
      </c>
      <c r="BC250" s="5" t="str">
        <f>IFERROR(__xludf.DUMMYFUNCTION("""COMPUTED_VALUE"""),"Tiptop")</f>
        <v>Tiptop</v>
      </c>
      <c r="BD250" s="7" t="str">
        <f>IFERROR(__xludf.DUMMYFUNCTION("""COMPUTED_VALUE"""),"https://gameserver-store-client-area.orbionlimited.com/Home/IntegrationGameLaunch/client-area?moneyType=0&amp;gameName=UnicornBikiniFruits&amp;platform=desktop&amp;languageCode=eng&amp;currency=EUR")</f>
        <v>https://gameserver-store-client-area.orbionlimited.com/Home/IntegrationGameLaunch/client-area?moneyType=0&amp;gameName=UnicornBikiniFruits&amp;platform=desktop&amp;languageCode=eng&amp;currency=EUR</v>
      </c>
      <c r="BE250" s="5" t="b">
        <f>IFERROR(__xludf.DUMMYFUNCTION("""COMPUTED_VALUE"""),TRUE)</f>
        <v>1</v>
      </c>
    </row>
    <row r="251">
      <c r="A251" s="5">
        <f>IFERROR(__xludf.DUMMYFUNCTION("""COMPUTED_VALUE"""),251.0)</f>
        <v>251</v>
      </c>
      <c r="B251" s="5">
        <f>IFERROR(__xludf.DUMMYFUNCTION("""COMPUTED_VALUE"""),250.0)</f>
        <v>250</v>
      </c>
      <c r="C251" s="5" t="str">
        <f>IFERROR(__xludf.DUMMYFUNCTION("""COMPUTED_VALUE"""),"Tiptop")</f>
        <v>Tiptop</v>
      </c>
      <c r="D251" s="5" t="str">
        <f>IFERROR(__xludf.DUMMYFUNCTION("""COMPUTED_VALUE"""),"Unicorn Queen Of Pyramids")</f>
        <v>Unicorn Queen Of Pyramids</v>
      </c>
      <c r="E251" s="5"/>
      <c r="F251" s="5" t="str">
        <f>IFERROR(__xludf.DUMMYFUNCTION("""COMPUTED_VALUE"""),"UnicornQueenOfPyramids")</f>
        <v>UnicornQueenOfPyramids</v>
      </c>
      <c r="G251" s="5" t="str">
        <f>IFERROR(__xludf.DUMMYFUNCTION("""COMPUTED_VALUE"""),"Retired")</f>
        <v>Retired</v>
      </c>
      <c r="H251" s="5"/>
      <c r="I251" s="5" t="str">
        <f>IFERROR(__xludf.DUMMYFUNCTION("""COMPUTED_VALUE"""),"TipTop")</f>
        <v>TipTop</v>
      </c>
      <c r="J251" s="5" t="str">
        <f>IFERROR(__xludf.DUMMYFUNCTION("""COMPUTED_VALUE"""),"JSON")</f>
        <v>JSON</v>
      </c>
      <c r="K251" s="5" t="str">
        <f>IFERROR(__xludf.DUMMYFUNCTION("""COMPUTED_VALUE"""),"Slot")</f>
        <v>Slot</v>
      </c>
      <c r="L251" s="5"/>
      <c r="M251" s="5"/>
      <c r="N251" s="5"/>
      <c r="O251" s="5"/>
      <c r="P251" s="12"/>
      <c r="Q251" s="13">
        <f>IFERROR(__xludf.DUMMYFUNCTION("""COMPUTED_VALUE"""),43831.0)</f>
        <v>43831</v>
      </c>
      <c r="R251" s="14"/>
      <c r="S251" s="13">
        <f>IFERROR(__xludf.DUMMYFUNCTION("""COMPUTED_VALUE"""),43831.0)</f>
        <v>43831</v>
      </c>
      <c r="T251" s="5"/>
      <c r="U251" s="16"/>
      <c r="V251" s="10" t="str">
        <f>IFERROR(__xludf.DUMMYFUNCTION("""COMPUTED_VALUE"""),"10")</f>
        <v>10</v>
      </c>
      <c r="W251" s="10"/>
      <c r="X251" s="11">
        <f>IFERROR(__xludf.DUMMYFUNCTION("""COMPUTED_VALUE"""),0.0)</f>
        <v>0</v>
      </c>
      <c r="Y251" s="17"/>
      <c r="Z251" s="5">
        <f>IFERROR(__xludf.DUMMYFUNCTION("""COMPUTED_VALUE"""),0.0)</f>
        <v>0</v>
      </c>
      <c r="AA251" s="12"/>
      <c r="AB251" s="5"/>
      <c r="AC251" s="18"/>
      <c r="AD251" s="5"/>
      <c r="AE251" s="5"/>
      <c r="AF251" s="5"/>
      <c r="AG251" s="8">
        <f>IFERROR(__xludf.DUMMYFUNCTION("""COMPUTED_VALUE"""),46195.553078703706)</f>
        <v>46195.55308</v>
      </c>
      <c r="AH251" s="5" t="str">
        <f>IFERROR(__xludf.DUMMYFUNCTION("""COMPUTED_VALUE"""),"danica.petrovic@fazi.rs")</f>
        <v>danica.petrovic@fazi.rs</v>
      </c>
      <c r="AI251" s="5"/>
      <c r="AJ251" s="5"/>
      <c r="AK251" s="5" t="str">
        <f>IFERROR(__xludf.DUMMYFUNCTION("""COMPUTED_VALUE"""),"NULL")</f>
        <v>NULL</v>
      </c>
      <c r="AL251" s="5"/>
      <c r="AM251" s="5"/>
      <c r="AN251" s="5"/>
      <c r="AO251" s="5"/>
      <c r="AP251" s="5"/>
      <c r="AQ251" s="5"/>
      <c r="AR251" s="5"/>
      <c r="AS251" s="5"/>
      <c r="AT251" s="5"/>
      <c r="AU251" s="5" t="str">
        <f>IFERROR(__xludf.DUMMYFUNCTION("""COMPUTED_VALUE"""),"Fazi")</f>
        <v>Fazi</v>
      </c>
      <c r="AV251" s="5"/>
      <c r="AW251" s="5"/>
      <c r="AX251" s="5"/>
      <c r="AY251" s="5"/>
      <c r="AZ251" s="5"/>
      <c r="BA251" s="5"/>
      <c r="BB251" s="5"/>
      <c r="BC251" s="5" t="str">
        <f>IFERROR(__xludf.DUMMYFUNCTION("""COMPUTED_VALUE"""),"Tiptop")</f>
        <v>Tiptop</v>
      </c>
      <c r="BD251" s="5"/>
      <c r="BE251" s="5"/>
    </row>
    <row r="252">
      <c r="A252" s="5">
        <f>IFERROR(__xludf.DUMMYFUNCTION("""COMPUTED_VALUE"""),252.0)</f>
        <v>252</v>
      </c>
      <c r="B252" s="5">
        <f>IFERROR(__xludf.DUMMYFUNCTION("""COMPUTED_VALUE"""),251.0)</f>
        <v>251</v>
      </c>
      <c r="C252" s="5" t="str">
        <f>IFERROR(__xludf.DUMMYFUNCTION("""COMPUTED_VALUE"""),"Fazi")</f>
        <v>Fazi</v>
      </c>
      <c r="D252" s="5" t="str">
        <f>IFERROR(__xludf.DUMMYFUNCTION("""COMPUTED_VALUE"""),"Kettys Fashion World")</f>
        <v>Kettys Fashion World</v>
      </c>
      <c r="E252" s="5" t="str">
        <f>IFERROR(__xludf.DUMMYFUNCTION("""COMPUTED_VALUE"""),"V2")</f>
        <v>V2</v>
      </c>
      <c r="F252" s="5" t="str">
        <f>IFERROR(__xludf.DUMMYFUNCTION("""COMPUTED_VALUE"""),"KettysFashionWorld")</f>
        <v>KettysFashionWorld</v>
      </c>
      <c r="G252" s="5" t="str">
        <f>IFERROR(__xludf.DUMMYFUNCTION("""COMPUTED_VALUE"""),"Live")</f>
        <v>Live</v>
      </c>
      <c r="H252" s="5" t="str">
        <f>IFERROR(__xludf.DUMMYFUNCTION("""COMPUTED_VALUE"""),"Fashion TV")</f>
        <v>Fashion TV</v>
      </c>
      <c r="I252" s="5" t="str">
        <f>IFERROR(__xludf.DUMMYFUNCTION("""COMPUTED_VALUE"""),"V2")</f>
        <v>V2</v>
      </c>
      <c r="J252" s="5" t="str">
        <f>IFERROR(__xludf.DUMMYFUNCTION("""COMPUTED_VALUE"""),"Binary")</f>
        <v>Binary</v>
      </c>
      <c r="K252" s="5" t="str">
        <f>IFERROR(__xludf.DUMMYFUNCTION("""COMPUTED_VALUE"""),"Slot")</f>
        <v>Slot</v>
      </c>
      <c r="L252" s="5" t="str">
        <f>IFERROR(__xludf.DUMMYFUNCTION("""COMPUTED_VALUE"""),"Clone")</f>
        <v>Clone</v>
      </c>
      <c r="M252" s="5" t="str">
        <f>IFERROR(__xludf.DUMMYFUNCTION("""COMPUTED_VALUE"""),"Lollas World")</f>
        <v>Lollas World</v>
      </c>
      <c r="N252" s="5"/>
      <c r="O252" s="5"/>
      <c r="P252" s="12">
        <f>IFERROR(__xludf.DUMMYFUNCTION("""COMPUTED_VALUE"""),24.5)</f>
        <v>24.5</v>
      </c>
      <c r="Q252" s="13">
        <f>IFERROR(__xludf.DUMMYFUNCTION("""COMPUTED_VALUE"""),45160.0)</f>
        <v>45160</v>
      </c>
      <c r="R252" s="14"/>
      <c r="S252" s="13">
        <f>IFERROR(__xludf.DUMMYFUNCTION("""COMPUTED_VALUE"""),45160.0)</f>
        <v>45160</v>
      </c>
      <c r="T252" s="5" t="b">
        <f>IFERROR(__xludf.DUMMYFUNCTION("""COMPUTED_VALUE"""),TRUE)</f>
        <v>1</v>
      </c>
      <c r="U252" s="5" t="str">
        <f>IFERROR(__xludf.DUMMYFUNCTION("""COMPUTED_VALUE"""),"5x4")</f>
        <v>5x4</v>
      </c>
      <c r="V252" s="10" t="str">
        <f>IFERROR(__xludf.DUMMYFUNCTION("""COMPUTED_VALUE"""),"40")</f>
        <v>40</v>
      </c>
      <c r="W252" s="10" t="str">
        <f>IFERROR(__xludf.DUMMYFUNCTION("""COMPUTED_VALUE"""),"40")</f>
        <v>40</v>
      </c>
      <c r="X252" s="5">
        <f>IFERROR(__xludf.DUMMYFUNCTION("""COMPUTED_VALUE"""),95.479)</f>
        <v>95.479</v>
      </c>
      <c r="Y252" s="5" t="str">
        <f>IFERROR(__xludf.DUMMYFUNCTION("""COMPUTED_VALUE"""),"Medium")</f>
        <v>Medium</v>
      </c>
      <c r="Z252" s="5">
        <f>IFERROR(__xludf.DUMMYFUNCTION("""COMPUTED_VALUE"""),14.799999999999999)</f>
        <v>14.8</v>
      </c>
      <c r="AA252" s="12">
        <f>IFERROR(__xludf.DUMMYFUNCTION("""COMPUTED_VALUE"""),1000.0)</f>
        <v>1000</v>
      </c>
      <c r="AB252" s="5" t="str">
        <f>IFERROR(__xludf.DUMMYFUNCTION("""COMPUTED_VALUE"""),"/")</f>
        <v>/</v>
      </c>
      <c r="AC252" s="5" t="str">
        <f>IFERROR(__xludf.DUMMYFUNCTION("""COMPUTED_VALUE"""),"Scatter, Wild Symbol")</f>
        <v>Scatter, Wild Symbol</v>
      </c>
      <c r="AD252" s="5" t="str">
        <f>IFERROR(__xludf.DUMMYFUNCTION("""COMPUTED_VALUE"""),"0.4/60")</f>
        <v>0.4/60</v>
      </c>
      <c r="AE252" s="5"/>
      <c r="AF252" s="5"/>
      <c r="AG252" s="8">
        <f>IFERROR(__xludf.DUMMYFUNCTION("""COMPUTED_VALUE"""),46104.591365740744)</f>
        <v>46104.59137</v>
      </c>
      <c r="AH252" s="5" t="str">
        <f>IFERROR(__xludf.DUMMYFUNCTION("""COMPUTED_VALUE"""),"petra.ilic@fazi.rs")</f>
        <v>petra.ilic@fazi.rs</v>
      </c>
      <c r="AI252" s="5"/>
      <c r="AJ252" s="5"/>
      <c r="AK252" s="5">
        <f>IFERROR(__xludf.DUMMYFUNCTION("""COMPUTED_VALUE"""),40.0)</f>
        <v>40</v>
      </c>
      <c r="AL252" s="5" t="str">
        <f>IFERROR(__xludf.DUMMYFUNCTION("""COMPUTED_VALUE"""),"Yes")</f>
        <v>Yes</v>
      </c>
      <c r="AM252" s="5"/>
      <c r="AN252" s="7" t="str">
        <f>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AO252" s="5"/>
      <c r="AP252" s="5"/>
      <c r="AQ252" s="5" t="b">
        <f>IFERROR(__xludf.DUMMYFUNCTION("""COMPUTED_VALUE"""),TRUE)</f>
        <v>1</v>
      </c>
      <c r="AR252" s="5" t="b">
        <f>IFERROR(__xludf.DUMMYFUNCTION("""COMPUTED_VALUE"""),TRUE)</f>
        <v>1</v>
      </c>
      <c r="AS252" s="5" t="str">
        <f>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AT252" s="5"/>
      <c r="AU252" s="5" t="str">
        <f>IFERROR(__xludf.DUMMYFUNCTION("""COMPUTED_VALUE"""),"Fazi")</f>
        <v>Fazi</v>
      </c>
      <c r="AV252" s="5"/>
      <c r="AW252" s="5"/>
      <c r="AX252" s="5"/>
      <c r="AY252" s="5"/>
      <c r="AZ252" s="5"/>
      <c r="BA252" s="5" t="str">
        <f>IFERROR(__xludf.DUMMYFUNCTION("""COMPUTED_VALUE"""),"")</f>
        <v/>
      </c>
      <c r="BB252" s="5"/>
      <c r="BC252" s="5" t="str">
        <f>IFERROR(__xludf.DUMMYFUNCTION("""COMPUTED_VALUE"""),"Foxi")</f>
        <v>Foxi</v>
      </c>
      <c r="BD252" s="7" t="str">
        <f>IFERROR(__xludf.DUMMYFUNCTION("""COMPUTED_VALUE"""),"https://gameserver-store-client-area.orbionlimited.com/Home/IntegrationGameLaunch/client-area?moneyType=0&amp;gameName=KettysFashionWorld&amp;platform=desktop&amp;languageCode=eng&amp;currency=EUR")</f>
        <v>https://gameserver-store-client-area.orbionlimited.com/Home/IntegrationGameLaunch/client-area?moneyType=0&amp;gameName=KettysFashionWorld&amp;platform=desktop&amp;languageCode=eng&amp;currency=EUR</v>
      </c>
      <c r="BE252" s="5" t="b">
        <f>IFERROR(__xludf.DUMMYFUNCTION("""COMPUTED_VALUE"""),TRUE)</f>
        <v>1</v>
      </c>
    </row>
    <row r="253">
      <c r="A253" s="5">
        <f>IFERROR(__xludf.DUMMYFUNCTION("""COMPUTED_VALUE"""),253.0)</f>
        <v>253</v>
      </c>
      <c r="B253" s="5">
        <f>IFERROR(__xludf.DUMMYFUNCTION("""COMPUTED_VALUE"""),252.0)</f>
        <v>252</v>
      </c>
      <c r="C253" s="5" t="str">
        <f>IFERROR(__xludf.DUMMYFUNCTION("""COMPUTED_VALUE"""),"Fazi")</f>
        <v>Fazi</v>
      </c>
      <c r="D253" s="5" t="str">
        <f>IFERROR(__xludf.DUMMYFUNCTION("""COMPUTED_VALUE"""),"Retro Fire")</f>
        <v>Retro Fire</v>
      </c>
      <c r="E253" s="5" t="str">
        <f>IFERROR(__xludf.DUMMYFUNCTION("""COMPUTED_VALUE"""),"V2")</f>
        <v>V2</v>
      </c>
      <c r="F253" s="5" t="str">
        <f>IFERROR(__xludf.DUMMYFUNCTION("""COMPUTED_VALUE"""),"RetroFire")</f>
        <v>RetroFire</v>
      </c>
      <c r="G253" s="5" t="str">
        <f>IFERROR(__xludf.DUMMYFUNCTION("""COMPUTED_VALUE"""),"Live")</f>
        <v>Live</v>
      </c>
      <c r="H253" s="5"/>
      <c r="I253" s="5" t="str">
        <f>IFERROR(__xludf.DUMMYFUNCTION("""COMPUTED_VALUE"""),"V2")</f>
        <v>V2</v>
      </c>
      <c r="J253" s="5" t="str">
        <f>IFERROR(__xludf.DUMMYFUNCTION("""COMPUTED_VALUE"""),"Binary")</f>
        <v>Binary</v>
      </c>
      <c r="K253" s="5" t="str">
        <f>IFERROR(__xludf.DUMMYFUNCTION("""COMPUTED_VALUE"""),"Slot")</f>
        <v>Slot</v>
      </c>
      <c r="L253" s="5"/>
      <c r="M253" s="5"/>
      <c r="N253" s="5"/>
      <c r="O253" s="5"/>
      <c r="P253" s="12">
        <f>IFERROR(__xludf.DUMMYFUNCTION("""COMPUTED_VALUE"""),17.0)</f>
        <v>17</v>
      </c>
      <c r="Q253" s="13">
        <f>IFERROR(__xludf.DUMMYFUNCTION("""COMPUTED_VALUE"""),45182.0)</f>
        <v>45182</v>
      </c>
      <c r="R253" s="14"/>
      <c r="S253" s="13">
        <f>IFERROR(__xludf.DUMMYFUNCTION("""COMPUTED_VALUE"""),45182.0)</f>
        <v>45182</v>
      </c>
      <c r="T253" s="5" t="b">
        <f>IFERROR(__xludf.DUMMYFUNCTION("""COMPUTED_VALUE"""),TRUE)</f>
        <v>1</v>
      </c>
      <c r="U253" s="5" t="str">
        <f>IFERROR(__xludf.DUMMYFUNCTION("""COMPUTED_VALUE"""),"5x4")</f>
        <v>5x4</v>
      </c>
      <c r="V253" s="10" t="str">
        <f>IFERROR(__xludf.DUMMYFUNCTION("""COMPUTED_VALUE"""),"40")</f>
        <v>40</v>
      </c>
      <c r="W253" s="10" t="str">
        <f>IFERROR(__xludf.DUMMYFUNCTION("""COMPUTED_VALUE"""),"40")</f>
        <v>40</v>
      </c>
      <c r="X253" s="5">
        <f>IFERROR(__xludf.DUMMYFUNCTION("""COMPUTED_VALUE"""),96.584)</f>
        <v>96.584</v>
      </c>
      <c r="Y253" s="5" t="str">
        <f>IFERROR(__xludf.DUMMYFUNCTION("""COMPUTED_VALUE"""),"Low")</f>
        <v>Low</v>
      </c>
      <c r="Z253" s="5">
        <f>IFERROR(__xludf.DUMMYFUNCTION("""COMPUTED_VALUE"""),16.73)</f>
        <v>16.73</v>
      </c>
      <c r="AA253" s="12">
        <f>IFERROR(__xludf.DUMMYFUNCTION("""COMPUTED_VALUE"""),1000.0)</f>
        <v>1000</v>
      </c>
      <c r="AB253" s="5" t="str">
        <f>IFERROR(__xludf.DUMMYFUNCTION("""COMPUTED_VALUE"""),"/")</f>
        <v>/</v>
      </c>
      <c r="AC253" s="5" t="str">
        <f>IFERROR(__xludf.DUMMYFUNCTION("""COMPUTED_VALUE"""),"Wild Symbol, Scatter")</f>
        <v>Wild Symbol, Scatter</v>
      </c>
      <c r="AD253" s="5" t="str">
        <f>IFERROR(__xludf.DUMMYFUNCTION("""COMPUTED_VALUE"""),"0.40/60")</f>
        <v>0.40/60</v>
      </c>
      <c r="AE253" s="5"/>
      <c r="AF253" s="5"/>
      <c r="AG253" s="5"/>
      <c r="AH253" s="5"/>
      <c r="AI253" s="5"/>
      <c r="AJ253" s="5"/>
      <c r="AK253" s="5">
        <f>IFERROR(__xludf.DUMMYFUNCTION("""COMPUTED_VALUE"""),40.0)</f>
        <v>40</v>
      </c>
      <c r="AL253" s="5" t="str">
        <f>IFERROR(__xludf.DUMMYFUNCTION("""COMPUTED_VALUE"""),"Yes")</f>
        <v>Yes</v>
      </c>
      <c r="AM253" s="5"/>
      <c r="AN253" s="7" t="str">
        <f>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AO253" s="5"/>
      <c r="AP253" s="5"/>
      <c r="AQ253" s="5" t="b">
        <f>IFERROR(__xludf.DUMMYFUNCTION("""COMPUTED_VALUE"""),TRUE)</f>
        <v>1</v>
      </c>
      <c r="AR253" s="5"/>
      <c r="AS253" s="5" t="str">
        <f>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AT253" s="5"/>
      <c r="AU253" s="5" t="str">
        <f>IFERROR(__xludf.DUMMYFUNCTION("""COMPUTED_VALUE"""),"Fazi")</f>
        <v>Fazi</v>
      </c>
      <c r="AV253" s="5"/>
      <c r="AW253" s="5"/>
      <c r="AX253" s="5"/>
      <c r="AY253" s="5"/>
      <c r="AZ253" s="5"/>
      <c r="BA253" s="5" t="str">
        <f>IFERROR(__xludf.DUMMYFUNCTION("""COMPUTED_VALUE"""),"")</f>
        <v/>
      </c>
      <c r="BB253" s="5"/>
      <c r="BC253" s="5" t="str">
        <f>IFERROR(__xludf.DUMMYFUNCTION("""COMPUTED_VALUE"""),"Foxi")</f>
        <v>Foxi</v>
      </c>
      <c r="BD253" s="7" t="str">
        <f>IFERROR(__xludf.DUMMYFUNCTION("""COMPUTED_VALUE"""),"https://gameserver-store-client-area.orbionlimited.com/Home/IntegrationGameLaunch/client-area?moneyType=0&amp;gameName=RetroFire&amp;platform=desktop&amp;languageCode=eng&amp;currency=EUR")</f>
        <v>https://gameserver-store-client-area.orbionlimited.com/Home/IntegrationGameLaunch/client-area?moneyType=0&amp;gameName=RetroFire&amp;platform=desktop&amp;languageCode=eng&amp;currency=EUR</v>
      </c>
      <c r="BE253" s="5" t="b">
        <f>IFERROR(__xludf.DUMMYFUNCTION("""COMPUTED_VALUE"""),TRUE)</f>
        <v>1</v>
      </c>
    </row>
    <row r="254">
      <c r="A254" s="5">
        <f>IFERROR(__xludf.DUMMYFUNCTION("""COMPUTED_VALUE"""),254.0)</f>
        <v>254</v>
      </c>
      <c r="B254" s="5">
        <f>IFERROR(__xludf.DUMMYFUNCTION("""COMPUTED_VALUE"""),253.0)</f>
        <v>253</v>
      </c>
      <c r="C254" s="5" t="str">
        <f>IFERROR(__xludf.DUMMYFUNCTION("""COMPUTED_VALUE"""),"Fazi")</f>
        <v>Fazi</v>
      </c>
      <c r="D254" s="5" t="str">
        <f>IFERROR(__xludf.DUMMYFUNCTION("""COMPUTED_VALUE"""),"Money 5")</f>
        <v>Money 5</v>
      </c>
      <c r="E254" s="5" t="str">
        <f>IFERROR(__xludf.DUMMYFUNCTION("""COMPUTED_VALUE"""),"V2")</f>
        <v>V2</v>
      </c>
      <c r="F254" s="5" t="str">
        <f>IFERROR(__xludf.DUMMYFUNCTION("""COMPUTED_VALUE"""),"Money5")</f>
        <v>Money5</v>
      </c>
      <c r="G254" s="5" t="str">
        <f>IFERROR(__xludf.DUMMYFUNCTION("""COMPUTED_VALUE"""),"Live")</f>
        <v>Live</v>
      </c>
      <c r="H254" s="5"/>
      <c r="I254" s="5" t="str">
        <f>IFERROR(__xludf.DUMMYFUNCTION("""COMPUTED_VALUE"""),"V2")</f>
        <v>V2</v>
      </c>
      <c r="J254" s="5" t="str">
        <f>IFERROR(__xludf.DUMMYFUNCTION("""COMPUTED_VALUE"""),"JSON")</f>
        <v>JSON</v>
      </c>
      <c r="K254" s="5" t="str">
        <f>IFERROR(__xludf.DUMMYFUNCTION("""COMPUTED_VALUE"""),"Slot")</f>
        <v>Slot</v>
      </c>
      <c r="L254" s="5" t="str">
        <f>IFERROR(__xludf.DUMMYFUNCTION("""COMPUTED_VALUE"""),"Clone")</f>
        <v>Clone</v>
      </c>
      <c r="M254" s="5" t="str">
        <f>IFERROR(__xludf.DUMMYFUNCTION("""COMPUTED_VALUE"""),"Very Hot 5")</f>
        <v>Very Hot 5</v>
      </c>
      <c r="N254" s="5"/>
      <c r="O254" s="5"/>
      <c r="P254" s="12">
        <f>IFERROR(__xludf.DUMMYFUNCTION("""COMPUTED_VALUE"""),24.0)</f>
        <v>24</v>
      </c>
      <c r="Q254" s="13">
        <f>IFERROR(__xludf.DUMMYFUNCTION("""COMPUTED_VALUE"""),45327.0)</f>
        <v>45327</v>
      </c>
      <c r="R254" s="14"/>
      <c r="S254" s="13">
        <f>IFERROR(__xludf.DUMMYFUNCTION("""COMPUTED_VALUE"""),45327.0)</f>
        <v>45327</v>
      </c>
      <c r="T254" s="5" t="b">
        <f>IFERROR(__xludf.DUMMYFUNCTION("""COMPUTED_VALUE"""),TRUE)</f>
        <v>1</v>
      </c>
      <c r="U254" s="5" t="str">
        <f>IFERROR(__xludf.DUMMYFUNCTION("""COMPUTED_VALUE"""),"5x3")</f>
        <v>5x3</v>
      </c>
      <c r="V254" s="10" t="str">
        <f>IFERROR(__xludf.DUMMYFUNCTION("""COMPUTED_VALUE"""),"5")</f>
        <v>5</v>
      </c>
      <c r="W254" s="10" t="str">
        <f>IFERROR(__xludf.DUMMYFUNCTION("""COMPUTED_VALUE"""),"5")</f>
        <v>5</v>
      </c>
      <c r="X254" s="5">
        <f>IFERROR(__xludf.DUMMYFUNCTION("""COMPUTED_VALUE"""),96.786)</f>
        <v>96.786</v>
      </c>
      <c r="Y254" s="5" t="str">
        <f>IFERROR(__xludf.DUMMYFUNCTION("""COMPUTED_VALUE"""),"Medium")</f>
        <v>Medium</v>
      </c>
      <c r="Z254" s="5">
        <f>IFERROR(__xludf.DUMMYFUNCTION("""COMPUTED_VALUE"""),14.499999999999998)</f>
        <v>14.5</v>
      </c>
      <c r="AA254" s="12">
        <f>IFERROR(__xludf.DUMMYFUNCTION("""COMPUTED_VALUE"""),1222.0)</f>
        <v>1222</v>
      </c>
      <c r="AB254" s="5">
        <f>IFERROR(__xludf.DUMMYFUNCTION("""COMPUTED_VALUE"""),4.0)</f>
        <v>4</v>
      </c>
      <c r="AC254" s="5" t="str">
        <f>IFERROR(__xludf.DUMMYFUNCTION("""COMPUTED_VALUE"""),"Scatter, Expanding Wild")</f>
        <v>Scatter, Expanding Wild</v>
      </c>
      <c r="AD254" s="5" t="str">
        <f>IFERROR(__xludf.DUMMYFUNCTION("""COMPUTED_VALUE"""),"0.05/30")</f>
        <v>0.05/30</v>
      </c>
      <c r="AE254" s="5"/>
      <c r="AF254" s="5"/>
      <c r="AG254" s="8">
        <f>IFERROR(__xludf.DUMMYFUNCTION("""COMPUTED_VALUE"""),46112.38560185185)</f>
        <v>46112.3856</v>
      </c>
      <c r="AH254" s="5" t="str">
        <f>IFERROR(__xludf.DUMMYFUNCTION("""COMPUTED_VALUE"""),"milutin.toskic@fazi.rs")</f>
        <v>milutin.toskic@fazi.rs</v>
      </c>
      <c r="AI254" s="5"/>
      <c r="AJ254" s="5"/>
      <c r="AK254" s="5">
        <f>IFERROR(__xludf.DUMMYFUNCTION("""COMPUTED_VALUE"""),5.0)</f>
        <v>5</v>
      </c>
      <c r="AL254" s="5" t="str">
        <f>IFERROR(__xludf.DUMMYFUNCTION("""COMPUTED_VALUE"""),"Yes")</f>
        <v>Yes</v>
      </c>
      <c r="AM254" s="5"/>
      <c r="AN254" s="7" t="str">
        <f>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AO254" s="5" t="str">
        <f>IFERROR(__xludf.DUMMYFUNCTION("""COMPUTED_VALUE"""),"Yes")</f>
        <v>Yes</v>
      </c>
      <c r="AP254" s="5" t="str">
        <f>IFERROR(__xludf.DUMMYFUNCTION("""COMPUTED_VALUE"""),"Yes")</f>
        <v>Yes</v>
      </c>
      <c r="AQ254" s="5" t="b">
        <f>IFERROR(__xludf.DUMMYFUNCTION("""COMPUTED_VALUE"""),TRUE)</f>
        <v>1</v>
      </c>
      <c r="AR254" s="5"/>
      <c r="AS254" s="5" t="str">
        <f>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AT254" s="5" t="str">
        <f>IFERROR(__xludf.DUMMYFUNCTION("""COMPUTED_VALUE"""),"Yes")</f>
        <v>Yes</v>
      </c>
      <c r="AU254" s="5" t="str">
        <f>IFERROR(__xludf.DUMMYFUNCTION("""COMPUTED_VALUE"""),"Fazi")</f>
        <v>Fazi</v>
      </c>
      <c r="AV254" s="5"/>
      <c r="AW254" s="5"/>
      <c r="AX254" s="5"/>
      <c r="AY254" s="5"/>
      <c r="AZ254" s="5"/>
      <c r="BA254" s="5"/>
      <c r="BB254" s="5"/>
      <c r="BC254" s="5" t="str">
        <f>IFERROR(__xludf.DUMMYFUNCTION("""COMPUTED_VALUE"""),"Foxi")</f>
        <v>Foxi</v>
      </c>
      <c r="BD254" s="7" t="str">
        <f>IFERROR(__xludf.DUMMYFUNCTION("""COMPUTED_VALUE"""),"https://gameserver-store-client-area.orbionlimited.com/Home/IntegrationGameLaunch/client-area?moneyType=0&amp;gameName=Money5&amp;platform=desktop&amp;languageCode=eng&amp;currency=EUR")</f>
        <v>https://gameserver-store-client-area.orbionlimited.com/Home/IntegrationGameLaunch/client-area?moneyType=0&amp;gameName=Money5&amp;platform=desktop&amp;languageCode=eng&amp;currency=EUR</v>
      </c>
      <c r="BE254" s="5" t="b">
        <f>IFERROR(__xludf.DUMMYFUNCTION("""COMPUTED_VALUE"""),TRUE)</f>
        <v>1</v>
      </c>
    </row>
    <row r="255">
      <c r="A255" s="5">
        <f>IFERROR(__xludf.DUMMYFUNCTION("""COMPUTED_VALUE"""),255.0)</f>
        <v>255</v>
      </c>
      <c r="B255" s="5">
        <f>IFERROR(__xludf.DUMMYFUNCTION("""COMPUTED_VALUE"""),254.0)</f>
        <v>254</v>
      </c>
      <c r="C255" s="5" t="str">
        <f>IFERROR(__xludf.DUMMYFUNCTION("""COMPUTED_VALUE"""),"Redstone")</f>
        <v>Redstone</v>
      </c>
      <c r="D255" s="5" t="str">
        <f>IFERROR(__xludf.DUMMYFUNCTION("""COMPUTED_VALUE"""),"Blazing Heat")</f>
        <v>Blazing Heat</v>
      </c>
      <c r="E255" s="5" t="str">
        <f>IFERROR(__xludf.DUMMYFUNCTION("""COMPUTED_VALUE"""),"Redstone")</f>
        <v>Redstone</v>
      </c>
      <c r="F255" s="5" t="str">
        <f>IFERROR(__xludf.DUMMYFUNCTION("""COMPUTED_VALUE"""),"BlazingHeat")</f>
        <v>BlazingHeat</v>
      </c>
      <c r="G255" s="5" t="str">
        <f>IFERROR(__xludf.DUMMYFUNCTION("""COMPUTED_VALUE"""),"Live")</f>
        <v>Live</v>
      </c>
      <c r="H255" s="5"/>
      <c r="I255" s="5" t="str">
        <f>IFERROR(__xludf.DUMMYFUNCTION("""COMPUTED_VALUE"""),"Redstone")</f>
        <v>Redstone</v>
      </c>
      <c r="J255" s="5" t="str">
        <f>IFERROR(__xludf.DUMMYFUNCTION("""COMPUTED_VALUE"""),"JSON")</f>
        <v>JSON</v>
      </c>
      <c r="K255" s="5" t="str">
        <f>IFERROR(__xludf.DUMMYFUNCTION("""COMPUTED_VALUE"""),"Slot")</f>
        <v>Slot</v>
      </c>
      <c r="L255" s="5" t="str">
        <f>IFERROR(__xludf.DUMMYFUNCTION("""COMPUTED_VALUE"""),"Master")</f>
        <v>Master</v>
      </c>
      <c r="M255" s="5"/>
      <c r="N255" s="7" t="str">
        <f>IFERROR(__xludf.DUMMYFUNCTION("""COMPUTED_VALUE"""),"https://docs.google.com/document/d/1Lo21HE-04Rwp0EgxYQqy6Pl0lYtK_VWc/edit?usp=drive_link&amp;ouid=107596163405648766688&amp;rtpof=true&amp;sd=true")</f>
        <v>https://docs.google.com/document/d/1Lo21HE-04Rwp0EgxYQqy6Pl0lYtK_VWc/edit?usp=drive_link&amp;ouid=107596163405648766688&amp;rtpof=true&amp;sd=true</v>
      </c>
      <c r="O255" s="7" t="str">
        <f>IFERROR(__xludf.DUMMYFUNCTION("""COMPUTED_VALUE"""),"https://docs.google.com/document/d/14McTj69knWbyzMrjp4z8p18Njc6HjKFL/edit?usp=drive_link&amp;ouid=107596163405648766688&amp;rtpof=true&amp;sd=true")</f>
        <v>https://docs.google.com/document/d/14McTj69knWbyzMrjp4z8p18Njc6HjKFL/edit?usp=drive_link&amp;ouid=107596163405648766688&amp;rtpof=true&amp;sd=true</v>
      </c>
      <c r="P255" s="12">
        <f>IFERROR(__xludf.DUMMYFUNCTION("""COMPUTED_VALUE"""),7.7)</f>
        <v>7.7</v>
      </c>
      <c r="Q255" s="13">
        <f>IFERROR(__xludf.DUMMYFUNCTION("""COMPUTED_VALUE"""),45112.0)</f>
        <v>45112</v>
      </c>
      <c r="R255" s="14"/>
      <c r="S255" s="13">
        <f>IFERROR(__xludf.DUMMYFUNCTION("""COMPUTED_VALUE"""),45112.0)</f>
        <v>45112</v>
      </c>
      <c r="T255" s="5" t="b">
        <f>IFERROR(__xludf.DUMMYFUNCTION("""COMPUTED_VALUE"""),TRUE)</f>
        <v>1</v>
      </c>
      <c r="U255" s="5" t="str">
        <f>IFERROR(__xludf.DUMMYFUNCTION("""COMPUTED_VALUE"""),"5x3")</f>
        <v>5x3</v>
      </c>
      <c r="V255" s="10" t="str">
        <f>IFERROR(__xludf.DUMMYFUNCTION("""COMPUTED_VALUE"""),"5")</f>
        <v>5</v>
      </c>
      <c r="W255" s="10" t="str">
        <f>IFERROR(__xludf.DUMMYFUNCTION("""COMPUTED_VALUE"""),"5")</f>
        <v>5</v>
      </c>
      <c r="X255" s="5">
        <f>IFERROR(__xludf.DUMMYFUNCTION("""COMPUTED_VALUE"""),96.15)</f>
        <v>96.15</v>
      </c>
      <c r="Y255" s="5" t="str">
        <f>IFERROR(__xludf.DUMMYFUNCTION("""COMPUTED_VALUE"""),"Medium")</f>
        <v>Medium</v>
      </c>
      <c r="Z255" s="5">
        <f>IFERROR(__xludf.DUMMYFUNCTION("""COMPUTED_VALUE"""),12.88)</f>
        <v>12.88</v>
      </c>
      <c r="AA255" s="12">
        <f>IFERROR(__xludf.DUMMYFUNCTION("""COMPUTED_VALUE"""),1000.0)</f>
        <v>1000</v>
      </c>
      <c r="AB255" s="5"/>
      <c r="AC255" s="5" t="str">
        <f>IFERROR(__xludf.DUMMYFUNCTION("""COMPUTED_VALUE"""),"Scatter")</f>
        <v>Scatter</v>
      </c>
      <c r="AD255" s="5" t="str">
        <f>IFERROR(__xludf.DUMMYFUNCTION("""COMPUTED_VALUE"""),"0.01/50")</f>
        <v>0.01/50</v>
      </c>
      <c r="AE255" s="5"/>
      <c r="AF255" s="5"/>
      <c r="AG255" s="8">
        <f>IFERROR(__xludf.DUMMYFUNCTION("""COMPUTED_VALUE"""),46157.4759375)</f>
        <v>46157.47594</v>
      </c>
      <c r="AH255" s="5"/>
      <c r="AI255" s="5"/>
      <c r="AJ255" s="5"/>
      <c r="AK255" s="5">
        <f>IFERROR(__xludf.DUMMYFUNCTION("""COMPUTED_VALUE"""),1.0)</f>
        <v>1</v>
      </c>
      <c r="AL255" s="5" t="str">
        <f>IFERROR(__xludf.DUMMYFUNCTION("""COMPUTED_VALUE"""),"No")</f>
        <v>No</v>
      </c>
      <c r="AM255" s="5" t="str">
        <f>IFERROR(__xludf.DUMMYFUNCTION("""COMPUTED_VALUE"""),"No")</f>
        <v>No</v>
      </c>
      <c r="AN255" s="7" t="str">
        <f>IFERROR(__xludf.DUMMYFUNCTION("""COMPUTED_VALUE"""),"https://static.redstone.rs/games/blazing-heat/")</f>
        <v>https://static.redstone.rs/games/blazing-heat/</v>
      </c>
      <c r="AO255" s="5" t="str">
        <f>IFERROR(__xludf.DUMMYFUNCTION("""COMPUTED_VALUE"""),"No")</f>
        <v>No</v>
      </c>
      <c r="AP255" s="5" t="str">
        <f>IFERROR(__xludf.DUMMYFUNCTION("""COMPUTED_VALUE"""),"No")</f>
        <v>No</v>
      </c>
      <c r="AQ255" s="5" t="b">
        <f>IFERROR(__xludf.DUMMYFUNCTION("""COMPUTED_VALUE"""),TRUE)</f>
        <v>1</v>
      </c>
      <c r="AR255" s="5"/>
      <c r="AS255" s="5" t="str">
        <f>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AT255" s="5"/>
      <c r="AU255" s="5" t="str">
        <f>IFERROR(__xludf.DUMMYFUNCTION("""COMPUTED_VALUE"""),"Redstone")</f>
        <v>Redstone</v>
      </c>
      <c r="AV255" s="5"/>
      <c r="AW255" s="5"/>
      <c r="AX255" s="5"/>
      <c r="AY255" s="5"/>
      <c r="AZ255" s="5"/>
      <c r="BA255" s="5"/>
      <c r="BB255" s="5" t="b">
        <f>IFERROR(__xludf.DUMMYFUNCTION("""COMPUTED_VALUE"""),TRUE)</f>
        <v>1</v>
      </c>
      <c r="BC255" s="5" t="str">
        <f>IFERROR(__xludf.DUMMYFUNCTION("""COMPUTED_VALUE"""),"Redstone")</f>
        <v>Redstone</v>
      </c>
      <c r="BD255" s="7" t="str">
        <f>IFERROR(__xludf.DUMMYFUNCTION("""COMPUTED_VALUE"""),"https://static.redstone.rs/games/blazing-heat/")</f>
        <v>https://static.redstone.rs/games/blazing-heat/</v>
      </c>
      <c r="BE255" s="5" t="b">
        <f>IFERROR(__xludf.DUMMYFUNCTION("""COMPUTED_VALUE"""),TRUE)</f>
        <v>1</v>
      </c>
    </row>
    <row r="256">
      <c r="A256" s="5">
        <f>IFERROR(__xludf.DUMMYFUNCTION("""COMPUTED_VALUE"""),256.0)</f>
        <v>256</v>
      </c>
      <c r="B256" s="5">
        <f>IFERROR(__xludf.DUMMYFUNCTION("""COMPUTED_VALUE"""),255.0)</f>
        <v>255</v>
      </c>
      <c r="C256" s="5"/>
      <c r="D256" s="5" t="str">
        <f>IFERROR(__xludf.DUMMYFUNCTION("""COMPUTED_VALUE"""),"MAIN")</f>
        <v>MAIN</v>
      </c>
      <c r="E256" s="5"/>
      <c r="F256" s="5"/>
      <c r="G256" s="5" t="str">
        <f>IFERROR(__xludf.DUMMYFUNCTION("""COMPUTED_VALUE"""),"Live")</f>
        <v>Live</v>
      </c>
      <c r="H256" s="5"/>
      <c r="I256" s="5"/>
      <c r="J256" s="5"/>
      <c r="K256" s="5"/>
      <c r="L256" s="5"/>
      <c r="M256" s="5"/>
      <c r="N256" s="5"/>
      <c r="O256" s="5"/>
      <c r="P256" s="12"/>
      <c r="Q256" s="13">
        <f>IFERROR(__xludf.DUMMYFUNCTION("""COMPUTED_VALUE"""),43831.0)</f>
        <v>43831</v>
      </c>
      <c r="R256" s="14"/>
      <c r="S256" s="13">
        <f>IFERROR(__xludf.DUMMYFUNCTION("""COMPUTED_VALUE"""),43831.0)</f>
        <v>43831</v>
      </c>
      <c r="T256" s="5"/>
      <c r="U256" s="16"/>
      <c r="V256" s="10"/>
      <c r="W256" s="10"/>
      <c r="X256" s="11">
        <f>IFERROR(__xludf.DUMMYFUNCTION("""COMPUTED_VALUE"""),0.0)</f>
        <v>0</v>
      </c>
      <c r="Y256" s="17"/>
      <c r="Z256" s="5">
        <f>IFERROR(__xludf.DUMMYFUNCTION("""COMPUTED_VALUE"""),0.0)</f>
        <v>0</v>
      </c>
      <c r="AA256" s="12"/>
      <c r="AB256" s="5"/>
      <c r="AC256" s="18"/>
      <c r="AD256" s="5"/>
      <c r="AE256" s="5"/>
      <c r="AF256" s="5"/>
      <c r="AG256" s="5"/>
      <c r="AH256" s="5"/>
      <c r="AI256" s="5"/>
      <c r="AJ256" s="5"/>
      <c r="AK256" s="5" t="str">
        <f>IFERROR(__xludf.DUMMYFUNCTION("""COMPUTED_VALUE"""),"NULL")</f>
        <v>NULL</v>
      </c>
      <c r="AL256" s="5"/>
      <c r="AM256" s="5"/>
      <c r="AN256" s="5"/>
      <c r="AO256" s="5"/>
      <c r="AP256" s="5"/>
      <c r="AQ256" s="5"/>
      <c r="AR256" s="5"/>
      <c r="AS256" s="5"/>
      <c r="AT256" s="5"/>
      <c r="AU256" s="5"/>
      <c r="AV256" s="5"/>
      <c r="AW256" s="5"/>
      <c r="AX256" s="5"/>
      <c r="AY256" s="5"/>
      <c r="AZ256" s="5"/>
      <c r="BA256" s="5" t="str">
        <f>IFERROR(__xludf.DUMMYFUNCTION("""COMPUTED_VALUE"""),"")</f>
        <v/>
      </c>
      <c r="BB256" s="5"/>
      <c r="BC256" s="5"/>
      <c r="BD256" s="5"/>
      <c r="BE256" s="5"/>
    </row>
    <row r="257">
      <c r="A257" s="5">
        <f>IFERROR(__xludf.DUMMYFUNCTION("""COMPUTED_VALUE"""),257.0)</f>
        <v>257</v>
      </c>
      <c r="B257" s="5">
        <f>IFERROR(__xludf.DUMMYFUNCTION("""COMPUTED_VALUE"""),256.0)</f>
        <v>256</v>
      </c>
      <c r="C257" s="5" t="str">
        <f>IFERROR(__xludf.DUMMYFUNCTION("""COMPUTED_VALUE"""),"Tiptop")</f>
        <v>Tiptop</v>
      </c>
      <c r="D257" s="5" t="str">
        <f>IFERROR(__xludf.DUMMYFUNCTION("""COMPUTED_VALUE"""),"Fire Stars")</f>
        <v>Fire Stars</v>
      </c>
      <c r="E257" s="5"/>
      <c r="F257" s="5" t="str">
        <f>IFERROR(__xludf.DUMMYFUNCTION("""COMPUTED_VALUE"""),"UnicornFireStars")</f>
        <v>UnicornFireStars</v>
      </c>
      <c r="G257" s="5" t="str">
        <f>IFERROR(__xludf.DUMMYFUNCTION("""COMPUTED_VALUE"""),"Live")</f>
        <v>Live</v>
      </c>
      <c r="H257" s="5"/>
      <c r="I257" s="5" t="str">
        <f>IFERROR(__xludf.DUMMYFUNCTION("""COMPUTED_VALUE"""),"TipTop")</f>
        <v>TipTop</v>
      </c>
      <c r="J257" s="5" t="str">
        <f>IFERROR(__xludf.DUMMYFUNCTION("""COMPUTED_VALUE"""),"JSON")</f>
        <v>JSON</v>
      </c>
      <c r="K257" s="5" t="str">
        <f>IFERROR(__xludf.DUMMYFUNCTION("""COMPUTED_VALUE"""),"Slot")</f>
        <v>Slot</v>
      </c>
      <c r="L257" s="5"/>
      <c r="M257" s="5"/>
      <c r="N257" s="5"/>
      <c r="O257" s="5"/>
      <c r="P257" s="12">
        <f>IFERROR(__xludf.DUMMYFUNCTION("""COMPUTED_VALUE"""),12.3)</f>
        <v>12.3</v>
      </c>
      <c r="Q257" s="13">
        <f>IFERROR(__xludf.DUMMYFUNCTION("""COMPUTED_VALUE"""),45120.0)</f>
        <v>45120</v>
      </c>
      <c r="R257" s="14"/>
      <c r="S257" s="13">
        <f>IFERROR(__xludf.DUMMYFUNCTION("""COMPUTED_VALUE"""),45120.0)</f>
        <v>45120</v>
      </c>
      <c r="T257" s="5" t="b">
        <f>IFERROR(__xludf.DUMMYFUNCTION("""COMPUTED_VALUE"""),TRUE)</f>
        <v>1</v>
      </c>
      <c r="U257" s="5" t="str">
        <f>IFERROR(__xludf.DUMMYFUNCTION("""COMPUTED_VALUE"""),"5X4")</f>
        <v>5X4</v>
      </c>
      <c r="V257" s="10" t="str">
        <f>IFERROR(__xludf.DUMMYFUNCTION("""COMPUTED_VALUE"""),"40")</f>
        <v>40</v>
      </c>
      <c r="W257" s="10" t="str">
        <f>IFERROR(__xludf.DUMMYFUNCTION("""COMPUTED_VALUE"""),"40")</f>
        <v>40</v>
      </c>
      <c r="X257" s="5">
        <f>IFERROR(__xludf.DUMMYFUNCTION("""COMPUTED_VALUE"""),96.0)</f>
        <v>96</v>
      </c>
      <c r="Y257" s="5" t="str">
        <f>IFERROR(__xludf.DUMMYFUNCTION("""COMPUTED_VALUE"""),"Medium")</f>
        <v>Medium</v>
      </c>
      <c r="Z257" s="5">
        <f>IFERROR(__xludf.DUMMYFUNCTION("""COMPUTED_VALUE"""),17.3)</f>
        <v>17.3</v>
      </c>
      <c r="AA257" s="12">
        <f>IFERROR(__xludf.DUMMYFUNCTION("""COMPUTED_VALUE"""),5000.0)</f>
        <v>5000</v>
      </c>
      <c r="AB257" s="5"/>
      <c r="AC257" s="5" t="str">
        <f>IFERROR(__xludf.DUMMYFUNCTION("""COMPUTED_VALUE"""),"Scatter")</f>
        <v>Scatter</v>
      </c>
      <c r="AD257" s="5" t="str">
        <f>IFERROR(__xludf.DUMMYFUNCTION("""COMPUTED_VALUE"""),"0.4/100")</f>
        <v>0.4/100</v>
      </c>
      <c r="AE257" s="5"/>
      <c r="AF257" s="5"/>
      <c r="AG257" s="8">
        <f>IFERROR(__xludf.DUMMYFUNCTION("""COMPUTED_VALUE"""),46197.460810185185)</f>
        <v>46197.46081</v>
      </c>
      <c r="AH257" s="5" t="str">
        <f>IFERROR(__xludf.DUMMYFUNCTION("""COMPUTED_VALUE"""),"selena.mihajlovic@fazi.rs")</f>
        <v>selena.mihajlovic@fazi.rs</v>
      </c>
      <c r="AI257" s="5"/>
      <c r="AJ257" s="5"/>
      <c r="AK257" s="5">
        <f>IFERROR(__xludf.DUMMYFUNCTION("""COMPUTED_VALUE"""),40.0)</f>
        <v>40</v>
      </c>
      <c r="AL257" s="5" t="str">
        <f>IFERROR(__xludf.DUMMYFUNCTION("""COMPUTED_VALUE"""),"No")</f>
        <v>No</v>
      </c>
      <c r="AM257" s="5"/>
      <c r="AN257" s="7" t="str">
        <f>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AO257" s="5"/>
      <c r="AP257" s="5"/>
      <c r="AQ257" s="5" t="b">
        <f>IFERROR(__xludf.DUMMYFUNCTION("""COMPUTED_VALUE"""),TRUE)</f>
        <v>1</v>
      </c>
      <c r="AR257" s="5"/>
      <c r="AS257" s="5" t="str">
        <f>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AT257" s="5"/>
      <c r="AU257" s="5" t="str">
        <f>IFERROR(__xludf.DUMMYFUNCTION("""COMPUTED_VALUE"""),"Fazi")</f>
        <v>Fazi</v>
      </c>
      <c r="AV257" s="5"/>
      <c r="AW257" s="5"/>
      <c r="AX257" s="5"/>
      <c r="AY257" s="5"/>
      <c r="AZ257" s="5"/>
      <c r="BA257" s="5"/>
      <c r="BB257" s="5" t="b">
        <f>IFERROR(__xludf.DUMMYFUNCTION("""COMPUTED_VALUE"""),TRUE)</f>
        <v>1</v>
      </c>
      <c r="BC257" s="5" t="str">
        <f>IFERROR(__xludf.DUMMYFUNCTION("""COMPUTED_VALUE"""),"Tiptop")</f>
        <v>Tiptop</v>
      </c>
      <c r="BD257" s="7" t="str">
        <f>IFERROR(__xludf.DUMMYFUNCTION("""COMPUTED_VALUE"""),"https://gameserver-store-client-area.orbionlimited.com/Home/IntegrationGameLaunch/client-area?moneyType=0&amp;gameName=UnicornFireStars&amp;platform=desktop&amp;languageCode=eng&amp;currency=EUR")</f>
        <v>https://gameserver-store-client-area.orbionlimited.com/Home/IntegrationGameLaunch/client-area?moneyType=0&amp;gameName=UnicornFireStars&amp;platform=desktop&amp;languageCode=eng&amp;currency=EUR</v>
      </c>
      <c r="BE257" s="5" t="b">
        <f>IFERROR(__xludf.DUMMYFUNCTION("""COMPUTED_VALUE"""),TRUE)</f>
        <v>1</v>
      </c>
    </row>
    <row r="258">
      <c r="A258" s="5">
        <f>IFERROR(__xludf.DUMMYFUNCTION("""COMPUTED_VALUE"""),258.0)</f>
        <v>258</v>
      </c>
      <c r="B258" s="5">
        <f>IFERROR(__xludf.DUMMYFUNCTION("""COMPUTED_VALUE"""),257.0)</f>
        <v>257</v>
      </c>
      <c r="C258" s="5" t="str">
        <f>IFERROR(__xludf.DUMMYFUNCTION("""COMPUTED_VALUE"""),"Tiptop")</f>
        <v>Tiptop</v>
      </c>
      <c r="D258" s="5" t="str">
        <f>IFERROR(__xludf.DUMMYFUNCTION("""COMPUTED_VALUE"""),"20 Hot Strike Dice")</f>
        <v>20 Hot Strike Dice</v>
      </c>
      <c r="E258" s="5"/>
      <c r="F258" s="5" t="str">
        <f>IFERROR(__xludf.DUMMYFUNCTION("""COMPUTED_VALUE"""),"Unicorn20HotStrikeDice")</f>
        <v>Unicorn20HotStrikeDice</v>
      </c>
      <c r="G258" s="5" t="str">
        <f>IFERROR(__xludf.DUMMYFUNCTION("""COMPUTED_VALUE"""),"Live")</f>
        <v>Live</v>
      </c>
      <c r="H258" s="5"/>
      <c r="I258" s="5" t="str">
        <f>IFERROR(__xludf.DUMMYFUNCTION("""COMPUTED_VALUE"""),"TipTop")</f>
        <v>TipTop</v>
      </c>
      <c r="J258" s="5" t="str">
        <f>IFERROR(__xludf.DUMMYFUNCTION("""COMPUTED_VALUE"""),"JSON")</f>
        <v>JSON</v>
      </c>
      <c r="K258" s="5" t="str">
        <f>IFERROR(__xludf.DUMMYFUNCTION("""COMPUTED_VALUE"""),"Dice Slots")</f>
        <v>Dice Slots</v>
      </c>
      <c r="L258" s="5"/>
      <c r="M258" s="5"/>
      <c r="N258" s="5"/>
      <c r="O258" s="5"/>
      <c r="P258" s="12">
        <f>IFERROR(__xludf.DUMMYFUNCTION("""COMPUTED_VALUE"""),11.4)</f>
        <v>11.4</v>
      </c>
      <c r="Q258" s="13">
        <f>IFERROR(__xludf.DUMMYFUNCTION("""COMPUTED_VALUE"""),45134.0)</f>
        <v>45134</v>
      </c>
      <c r="R258" s="14"/>
      <c r="S258" s="13">
        <f>IFERROR(__xludf.DUMMYFUNCTION("""COMPUTED_VALUE"""),45134.0)</f>
        <v>45134</v>
      </c>
      <c r="T258" s="5" t="b">
        <f>IFERROR(__xludf.DUMMYFUNCTION("""COMPUTED_VALUE"""),TRUE)</f>
        <v>1</v>
      </c>
      <c r="U258" s="5" t="str">
        <f>IFERROR(__xludf.DUMMYFUNCTION("""COMPUTED_VALUE"""),"5X3")</f>
        <v>5X3</v>
      </c>
      <c r="V258" s="10" t="str">
        <f>IFERROR(__xludf.DUMMYFUNCTION("""COMPUTED_VALUE"""),"20")</f>
        <v>20</v>
      </c>
      <c r="W258" s="10" t="str">
        <f>IFERROR(__xludf.DUMMYFUNCTION("""COMPUTED_VALUE"""),"20")</f>
        <v>20</v>
      </c>
      <c r="X258" s="5">
        <f>IFERROR(__xludf.DUMMYFUNCTION("""COMPUTED_VALUE"""),96.0)</f>
        <v>96</v>
      </c>
      <c r="Y258" s="5" t="str">
        <f>IFERROR(__xludf.DUMMYFUNCTION("""COMPUTED_VALUE"""),"Low")</f>
        <v>Low</v>
      </c>
      <c r="Z258" s="5">
        <f>IFERROR(__xludf.DUMMYFUNCTION("""COMPUTED_VALUE"""),14.62)</f>
        <v>14.62</v>
      </c>
      <c r="AA258" s="12">
        <f>IFERROR(__xludf.DUMMYFUNCTION("""COMPUTED_VALUE"""),800.0)</f>
        <v>800</v>
      </c>
      <c r="AB258" s="5"/>
      <c r="AC258" s="5" t="str">
        <f>IFERROR(__xludf.DUMMYFUNCTION("""COMPUTED_VALUE"""),"Wild Symbol, Scatter")</f>
        <v>Wild Symbol, Scatter</v>
      </c>
      <c r="AD258" s="5" t="str">
        <f>IFERROR(__xludf.DUMMYFUNCTION("""COMPUTED_VALUE"""),"0.2/100")</f>
        <v>0.2/100</v>
      </c>
      <c r="AE258" s="5"/>
      <c r="AF258" s="5"/>
      <c r="AG258" s="8">
        <f>IFERROR(__xludf.DUMMYFUNCTION("""COMPUTED_VALUE"""),46197.46123842592)</f>
        <v>46197.46124</v>
      </c>
      <c r="AH258" s="5" t="str">
        <f>IFERROR(__xludf.DUMMYFUNCTION("""COMPUTED_VALUE"""),"selena.mihajlovic@fazi.rs")</f>
        <v>selena.mihajlovic@fazi.rs</v>
      </c>
      <c r="AI258" s="5"/>
      <c r="AJ258" s="5"/>
      <c r="AK258" s="5">
        <f>IFERROR(__xludf.DUMMYFUNCTION("""COMPUTED_VALUE"""),20.0)</f>
        <v>20</v>
      </c>
      <c r="AL258" s="5" t="str">
        <f>IFERROR(__xludf.DUMMYFUNCTION("""COMPUTED_VALUE"""),"No")</f>
        <v>No</v>
      </c>
      <c r="AM258" s="5"/>
      <c r="AN258" s="7" t="str">
        <f>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AO258" s="5"/>
      <c r="AP258" s="5"/>
      <c r="AQ258" s="5" t="b">
        <f>IFERROR(__xludf.DUMMYFUNCTION("""COMPUTED_VALUE"""),TRUE)</f>
        <v>1</v>
      </c>
      <c r="AR258" s="5"/>
      <c r="AS258" s="5" t="str">
        <f>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AT258" s="5"/>
      <c r="AU258" s="5" t="str">
        <f>IFERROR(__xludf.DUMMYFUNCTION("""COMPUTED_VALUE"""),"Fazi")</f>
        <v>Fazi</v>
      </c>
      <c r="AV258" s="5"/>
      <c r="AW258" s="5"/>
      <c r="AX258" s="5"/>
      <c r="AY258" s="5"/>
      <c r="AZ258" s="5"/>
      <c r="BA258" s="5"/>
      <c r="BB258" s="5" t="b">
        <f>IFERROR(__xludf.DUMMYFUNCTION("""COMPUTED_VALUE"""),TRUE)</f>
        <v>1</v>
      </c>
      <c r="BC258" s="5" t="str">
        <f>IFERROR(__xludf.DUMMYFUNCTION("""COMPUTED_VALUE"""),"Tiptop")</f>
        <v>Tiptop</v>
      </c>
      <c r="BD258" s="7" t="str">
        <f>IFERROR(__xludf.DUMMYFUNCTION("""COMPUTED_VALUE"""),"https://gameserver-store-client-area.orbionlimited.com/Home/IntegrationGameLaunch/client-area?moneyType=0&amp;gameName=Unicorn20HotStrikeDice&amp;platform=desktop&amp;languageCode=eng&amp;currency=EUR")</f>
        <v>https://gameserver-store-client-area.orbionlimited.com/Home/IntegrationGameLaunch/client-area?moneyType=0&amp;gameName=Unicorn20HotStrikeDice&amp;platform=desktop&amp;languageCode=eng&amp;currency=EUR</v>
      </c>
      <c r="BE258" s="5" t="b">
        <f>IFERROR(__xludf.DUMMYFUNCTION("""COMPUTED_VALUE"""),TRUE)</f>
        <v>1</v>
      </c>
    </row>
    <row r="259">
      <c r="A259" s="5">
        <f>IFERROR(__xludf.DUMMYFUNCTION("""COMPUTED_VALUE"""),259.0)</f>
        <v>259</v>
      </c>
      <c r="B259" s="5">
        <f>IFERROR(__xludf.DUMMYFUNCTION("""COMPUTED_VALUE"""),258.0)</f>
        <v>258</v>
      </c>
      <c r="C259" s="5" t="str">
        <f>IFERROR(__xludf.DUMMYFUNCTION("""COMPUTED_VALUE"""),"Tiptop")</f>
        <v>Tiptop</v>
      </c>
      <c r="D259" s="5" t="str">
        <f>IFERROR(__xludf.DUMMYFUNCTION("""COMPUTED_VALUE"""),"Bikini Dice")</f>
        <v>Bikini Dice</v>
      </c>
      <c r="E259" s="5"/>
      <c r="F259" s="5" t="str">
        <f>IFERROR(__xludf.DUMMYFUNCTION("""COMPUTED_VALUE"""),"UnicornBikiniDice")</f>
        <v>UnicornBikiniDice</v>
      </c>
      <c r="G259" s="5" t="str">
        <f>IFERROR(__xludf.DUMMYFUNCTION("""COMPUTED_VALUE"""),"Live")</f>
        <v>Live</v>
      </c>
      <c r="H259" s="5"/>
      <c r="I259" s="5" t="str">
        <f>IFERROR(__xludf.DUMMYFUNCTION("""COMPUTED_VALUE"""),"TipTop")</f>
        <v>TipTop</v>
      </c>
      <c r="J259" s="5" t="str">
        <f>IFERROR(__xludf.DUMMYFUNCTION("""COMPUTED_VALUE"""),"JSON")</f>
        <v>JSON</v>
      </c>
      <c r="K259" s="5" t="str">
        <f>IFERROR(__xludf.DUMMYFUNCTION("""COMPUTED_VALUE"""),"Dice Slots")</f>
        <v>Dice Slots</v>
      </c>
      <c r="L259" s="5"/>
      <c r="M259" s="5"/>
      <c r="N259" s="5"/>
      <c r="O259" s="5"/>
      <c r="P259" s="12">
        <f>IFERROR(__xludf.DUMMYFUNCTION("""COMPUTED_VALUE"""),13.7)</f>
        <v>13.7</v>
      </c>
      <c r="Q259" s="13">
        <f>IFERROR(__xludf.DUMMYFUNCTION("""COMPUTED_VALUE"""),45162.0)</f>
        <v>45162</v>
      </c>
      <c r="R259" s="14"/>
      <c r="S259" s="13">
        <f>IFERROR(__xludf.DUMMYFUNCTION("""COMPUTED_VALUE"""),45162.0)</f>
        <v>45162</v>
      </c>
      <c r="T259" s="5" t="b">
        <f>IFERROR(__xludf.DUMMYFUNCTION("""COMPUTED_VALUE"""),TRUE)</f>
        <v>1</v>
      </c>
      <c r="U259" s="5" t="str">
        <f>IFERROR(__xludf.DUMMYFUNCTION("""COMPUTED_VALUE"""),"5X3")</f>
        <v>5X3</v>
      </c>
      <c r="V259" s="10" t="str">
        <f>IFERROR(__xludf.DUMMYFUNCTION("""COMPUTED_VALUE"""),"10")</f>
        <v>10</v>
      </c>
      <c r="W259" s="10" t="str">
        <f>IFERROR(__xludf.DUMMYFUNCTION("""COMPUTED_VALUE"""),"10")</f>
        <v>10</v>
      </c>
      <c r="X259" s="5">
        <f>IFERROR(__xludf.DUMMYFUNCTION("""COMPUTED_VALUE"""),96.0)</f>
        <v>96</v>
      </c>
      <c r="Y259" s="5" t="str">
        <f>IFERROR(__xludf.DUMMYFUNCTION("""COMPUTED_VALUE"""),"High")</f>
        <v>High</v>
      </c>
      <c r="Z259" s="5">
        <f>IFERROR(__xludf.DUMMYFUNCTION("""COMPUTED_VALUE"""),36.03)</f>
        <v>36.03</v>
      </c>
      <c r="AA259" s="12">
        <f>IFERROR(__xludf.DUMMYFUNCTION("""COMPUTED_VALUE"""),5000.0)</f>
        <v>5000</v>
      </c>
      <c r="AB259" s="5"/>
      <c r="AC259" s="5" t="str">
        <f>IFERROR(__xludf.DUMMYFUNCTION("""COMPUTED_VALUE"""),"Bonus Game with Multiplier, TipTop Feature - Bikini Dice")</f>
        <v>Bonus Game with Multiplier, TipTop Feature - Bikini Dice</v>
      </c>
      <c r="AD259" s="5" t="str">
        <f>IFERROR(__xludf.DUMMYFUNCTION("""COMPUTED_VALUE"""),"0.1/100")</f>
        <v>0.1/100</v>
      </c>
      <c r="AE259" s="5"/>
      <c r="AF259" s="5"/>
      <c r="AG259" s="8">
        <f>IFERROR(__xludf.DUMMYFUNCTION("""COMPUTED_VALUE"""),46197.46150462963)</f>
        <v>46197.4615</v>
      </c>
      <c r="AH259" s="5" t="str">
        <f>IFERROR(__xludf.DUMMYFUNCTION("""COMPUTED_VALUE"""),"selena.mihajlovic@fazi.rs")</f>
        <v>selena.mihajlovic@fazi.rs</v>
      </c>
      <c r="AI259" s="5"/>
      <c r="AJ259" s="5"/>
      <c r="AK259" s="5">
        <f>IFERROR(__xludf.DUMMYFUNCTION("""COMPUTED_VALUE"""),10.0)</f>
        <v>10</v>
      </c>
      <c r="AL259" s="5" t="str">
        <f>IFERROR(__xludf.DUMMYFUNCTION("""COMPUTED_VALUE"""),"No")</f>
        <v>No</v>
      </c>
      <c r="AM259" s="5"/>
      <c r="AN259" s="7" t="str">
        <f>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AO259" s="5"/>
      <c r="AP259" s="5"/>
      <c r="AQ259" s="5" t="b">
        <f>IFERROR(__xludf.DUMMYFUNCTION("""COMPUTED_VALUE"""),TRUE)</f>
        <v>1</v>
      </c>
      <c r="AR259" s="5"/>
      <c r="AS259" s="5" t="str">
        <f>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AT259" s="5"/>
      <c r="AU259" s="5" t="str">
        <f>IFERROR(__xludf.DUMMYFUNCTION("""COMPUTED_VALUE"""),"Fazi")</f>
        <v>Fazi</v>
      </c>
      <c r="AV259" s="5"/>
      <c r="AW259" s="5"/>
      <c r="AX259" s="5"/>
      <c r="AY259" s="5"/>
      <c r="AZ259" s="5"/>
      <c r="BA259" s="5"/>
      <c r="BB259" s="5" t="b">
        <f>IFERROR(__xludf.DUMMYFUNCTION("""COMPUTED_VALUE"""),TRUE)</f>
        <v>1</v>
      </c>
      <c r="BC259" s="5" t="str">
        <f>IFERROR(__xludf.DUMMYFUNCTION("""COMPUTED_VALUE"""),"Tiptop")</f>
        <v>Tiptop</v>
      </c>
      <c r="BD259" s="7" t="str">
        <f>IFERROR(__xludf.DUMMYFUNCTION("""COMPUTED_VALUE"""),"https://gameserver-store-client-area.orbionlimited.com/Home/IntegrationGameLaunch/client-area?moneyType=0&amp;gameName=UnicornBikiniDice&amp;platform=desktop&amp;languageCode=eng&amp;currency=EUR")</f>
        <v>https://gameserver-store-client-area.orbionlimited.com/Home/IntegrationGameLaunch/client-area?moneyType=0&amp;gameName=UnicornBikiniDice&amp;platform=desktop&amp;languageCode=eng&amp;currency=EUR</v>
      </c>
      <c r="BE259" s="5" t="b">
        <f>IFERROR(__xludf.DUMMYFUNCTION("""COMPUTED_VALUE"""),TRUE)</f>
        <v>1</v>
      </c>
    </row>
    <row r="260">
      <c r="A260" s="5">
        <f>IFERROR(__xludf.DUMMYFUNCTION("""COMPUTED_VALUE"""),260.0)</f>
        <v>260</v>
      </c>
      <c r="B260" s="5">
        <f>IFERROR(__xludf.DUMMYFUNCTION("""COMPUTED_VALUE"""),259.0)</f>
        <v>259</v>
      </c>
      <c r="C260" s="5" t="str">
        <f>IFERROR(__xludf.DUMMYFUNCTION("""COMPUTED_VALUE"""),"Redstone")</f>
        <v>Redstone</v>
      </c>
      <c r="D260" s="5" t="str">
        <f>IFERROR(__xludf.DUMMYFUNCTION("""COMPUTED_VALUE"""),"Hot Hot Stereo Win")</f>
        <v>Hot Hot Stereo Win</v>
      </c>
      <c r="E260" s="5" t="str">
        <f>IFERROR(__xludf.DUMMYFUNCTION("""COMPUTED_VALUE"""),"Redstone")</f>
        <v>Redstone</v>
      </c>
      <c r="F260" s="5" t="str">
        <f>IFERROR(__xludf.DUMMYFUNCTION("""COMPUTED_VALUE"""),"HotHotStereoWin")</f>
        <v>HotHotStereoWin</v>
      </c>
      <c r="G260" s="5" t="str">
        <f>IFERROR(__xludf.DUMMYFUNCTION("""COMPUTED_VALUE"""),"Live")</f>
        <v>Live</v>
      </c>
      <c r="H260" s="5"/>
      <c r="I260" s="5" t="str">
        <f>IFERROR(__xludf.DUMMYFUNCTION("""COMPUTED_VALUE"""),"Redstone")</f>
        <v>Redstone</v>
      </c>
      <c r="J260" s="5" t="str">
        <f>IFERROR(__xludf.DUMMYFUNCTION("""COMPUTED_VALUE"""),"JSON")</f>
        <v>JSON</v>
      </c>
      <c r="K260" s="5" t="str">
        <f>IFERROR(__xludf.DUMMYFUNCTION("""COMPUTED_VALUE"""),"Slot")</f>
        <v>Slot</v>
      </c>
      <c r="L260" s="5" t="str">
        <f>IFERROR(__xludf.DUMMYFUNCTION("""COMPUTED_VALUE"""),"Master")</f>
        <v>Master</v>
      </c>
      <c r="M260" s="5"/>
      <c r="N260" s="7" t="str">
        <f>IFERROR(__xludf.DUMMYFUNCTION("""COMPUTED_VALUE"""),"https://docs.google.com/document/d/1BZ7cF2yWPuXXcXJuGQ0_VsCbLBKuTKnU/edit?usp=drive_link&amp;ouid=107596163405648766688&amp;rtpof=true&amp;sd=true")</f>
        <v>https://docs.google.com/document/d/1BZ7cF2yWPuXXcXJuGQ0_VsCbLBKuTKnU/edit?usp=drive_link&amp;ouid=107596163405648766688&amp;rtpof=true&amp;sd=true</v>
      </c>
      <c r="O260" s="7" t="str">
        <f>IFERROR(__xludf.DUMMYFUNCTION("""COMPUTED_VALUE"""),"https://docs.google.com/document/d/1ATbuBx6ppewruKxRt72H2RFPKHP6uH4g/edit?usp=drive_link&amp;ouid=107596163405648766688&amp;rtpof=true&amp;sd=true")</f>
        <v>https://docs.google.com/document/d/1ATbuBx6ppewruKxRt72H2RFPKHP6uH4g/edit?usp=drive_link&amp;ouid=107596163405648766688&amp;rtpof=true&amp;sd=true</v>
      </c>
      <c r="P260" s="12">
        <f>IFERROR(__xludf.DUMMYFUNCTION("""COMPUTED_VALUE"""),16.2)</f>
        <v>16.2</v>
      </c>
      <c r="Q260" s="13">
        <f>IFERROR(__xludf.DUMMYFUNCTION("""COMPUTED_VALUE"""),45141.0)</f>
        <v>45141</v>
      </c>
      <c r="R260" s="14"/>
      <c r="S260" s="13">
        <f>IFERROR(__xludf.DUMMYFUNCTION("""COMPUTED_VALUE"""),45141.0)</f>
        <v>45141</v>
      </c>
      <c r="T260" s="5"/>
      <c r="U260" s="5" t="str">
        <f>IFERROR(__xludf.DUMMYFUNCTION("""COMPUTED_VALUE"""),"5x3")</f>
        <v>5x3</v>
      </c>
      <c r="V260" s="10" t="str">
        <f>IFERROR(__xludf.DUMMYFUNCTION("""COMPUTED_VALUE"""),"5")</f>
        <v>5</v>
      </c>
      <c r="W260" s="10" t="str">
        <f>IFERROR(__xludf.DUMMYFUNCTION("""COMPUTED_VALUE"""),"5")</f>
        <v>5</v>
      </c>
      <c r="X260" s="5">
        <f>IFERROR(__xludf.DUMMYFUNCTION("""COMPUTED_VALUE"""),95.01)</f>
        <v>95.01</v>
      </c>
      <c r="Y260" s="5" t="str">
        <f>IFERROR(__xludf.DUMMYFUNCTION("""COMPUTED_VALUE"""),"Low")</f>
        <v>Low</v>
      </c>
      <c r="Z260" s="5">
        <f>IFERROR(__xludf.DUMMYFUNCTION("""COMPUTED_VALUE"""),18.95)</f>
        <v>18.95</v>
      </c>
      <c r="AA260" s="12">
        <f>IFERROR(__xludf.DUMMYFUNCTION("""COMPUTED_VALUE"""),1000.0)</f>
        <v>1000</v>
      </c>
      <c r="AB260" s="5"/>
      <c r="AC260" s="5" t="str">
        <f>IFERROR(__xludf.DUMMYFUNCTION("""COMPUTED_VALUE"""),"Bothways")</f>
        <v>Bothways</v>
      </c>
      <c r="AD260" s="5" t="str">
        <f>IFERROR(__xludf.DUMMYFUNCTION("""COMPUTED_VALUE"""),"0.01/50")</f>
        <v>0.01/50</v>
      </c>
      <c r="AE260" s="5"/>
      <c r="AF260" s="5"/>
      <c r="AG260" s="8">
        <f>IFERROR(__xludf.DUMMYFUNCTION("""COMPUTED_VALUE"""),46157.47572916667)</f>
        <v>46157.47573</v>
      </c>
      <c r="AH260" s="5"/>
      <c r="AI260" s="5"/>
      <c r="AJ260" s="5"/>
      <c r="AK260" s="5">
        <f>IFERROR(__xludf.DUMMYFUNCTION("""COMPUTED_VALUE"""),1.0)</f>
        <v>1</v>
      </c>
      <c r="AL260" s="5" t="str">
        <f>IFERROR(__xludf.DUMMYFUNCTION("""COMPUTED_VALUE"""),"No")</f>
        <v>No</v>
      </c>
      <c r="AM260" s="5" t="str">
        <f>IFERROR(__xludf.DUMMYFUNCTION("""COMPUTED_VALUE"""),"No")</f>
        <v>No</v>
      </c>
      <c r="AN260" s="7" t="str">
        <f>IFERROR(__xludf.DUMMYFUNCTION("""COMPUTED_VALUE"""),"https://static.redstone.rs/games/hot-hot/")</f>
        <v>https://static.redstone.rs/games/hot-hot/</v>
      </c>
      <c r="AO260" s="5" t="str">
        <f>IFERROR(__xludf.DUMMYFUNCTION("""COMPUTED_VALUE"""),"No")</f>
        <v>No</v>
      </c>
      <c r="AP260" s="5" t="str">
        <f>IFERROR(__xludf.DUMMYFUNCTION("""COMPUTED_VALUE"""),"No")</f>
        <v>No</v>
      </c>
      <c r="AQ260" s="5" t="b">
        <f>IFERROR(__xludf.DUMMYFUNCTION("""COMPUTED_VALUE"""),TRUE)</f>
        <v>1</v>
      </c>
      <c r="AR260" s="5"/>
      <c r="AS260" s="5"/>
      <c r="AT260" s="5"/>
      <c r="AU260" s="5" t="str">
        <f>IFERROR(__xludf.DUMMYFUNCTION("""COMPUTED_VALUE"""),"Redstone")</f>
        <v>Redstone</v>
      </c>
      <c r="AV260" s="5"/>
      <c r="AW260" s="5"/>
      <c r="AX260" s="5"/>
      <c r="AY260" s="5"/>
      <c r="AZ260" s="5"/>
      <c r="BA260" s="5"/>
      <c r="BB260" s="5" t="b">
        <f>IFERROR(__xludf.DUMMYFUNCTION("""COMPUTED_VALUE"""),TRUE)</f>
        <v>1</v>
      </c>
      <c r="BC260" s="5" t="str">
        <f>IFERROR(__xludf.DUMMYFUNCTION("""COMPUTED_VALUE"""),"Redstone")</f>
        <v>Redstone</v>
      </c>
      <c r="BD260" s="7" t="str">
        <f>IFERROR(__xludf.DUMMYFUNCTION("""COMPUTED_VALUE"""),"https://static.redstone.rs/games/hot-hot/")</f>
        <v>https://static.redstone.rs/games/hot-hot/</v>
      </c>
      <c r="BE260" s="5" t="b">
        <f>IFERROR(__xludf.DUMMYFUNCTION("""COMPUTED_VALUE"""),TRUE)</f>
        <v>1</v>
      </c>
    </row>
    <row r="261">
      <c r="A261" s="5">
        <f>IFERROR(__xludf.DUMMYFUNCTION("""COMPUTED_VALUE"""),261.0)</f>
        <v>261</v>
      </c>
      <c r="B261" s="5">
        <f>IFERROR(__xludf.DUMMYFUNCTION("""COMPUTED_VALUE"""),260.0)</f>
        <v>260</v>
      </c>
      <c r="C261" s="5" t="str">
        <f>IFERROR(__xludf.DUMMYFUNCTION("""COMPUTED_VALUE"""),"Fazi")</f>
        <v>Fazi</v>
      </c>
      <c r="D261" s="5" t="str">
        <f>IFERROR(__xludf.DUMMYFUNCTION("""COMPUTED_VALUE"""),"Epic Crown 5")</f>
        <v>Epic Crown 5</v>
      </c>
      <c r="E261" s="5" t="str">
        <f>IFERROR(__xludf.DUMMYFUNCTION("""COMPUTED_VALUE"""),"V2")</f>
        <v>V2</v>
      </c>
      <c r="F261" s="5" t="str">
        <f>IFERROR(__xludf.DUMMYFUNCTION("""COMPUTED_VALUE"""),"EpicCrown5")</f>
        <v>EpicCrown5</v>
      </c>
      <c r="G261" s="5" t="str">
        <f>IFERROR(__xludf.DUMMYFUNCTION("""COMPUTED_VALUE"""),"Live")</f>
        <v>Live</v>
      </c>
      <c r="H261" s="5"/>
      <c r="I261" s="5" t="str">
        <f>IFERROR(__xludf.DUMMYFUNCTION("""COMPUTED_VALUE"""),"V2")</f>
        <v>V2</v>
      </c>
      <c r="J261" s="5" t="str">
        <f>IFERROR(__xludf.DUMMYFUNCTION("""COMPUTED_VALUE"""),"JSON")</f>
        <v>JSON</v>
      </c>
      <c r="K261" s="5" t="str">
        <f>IFERROR(__xludf.DUMMYFUNCTION("""COMPUTED_VALUE"""),"Slot")</f>
        <v>Slot</v>
      </c>
      <c r="L261" s="5" t="str">
        <f>IFERROR(__xludf.DUMMYFUNCTION("""COMPUTED_VALUE"""),"Clone")</f>
        <v>Clone</v>
      </c>
      <c r="M261" s="5" t="str">
        <f>IFERROR(__xludf.DUMMYFUNCTION("""COMPUTED_VALUE"""),"Golden Crown")</f>
        <v>Golden Crown</v>
      </c>
      <c r="N261" s="5"/>
      <c r="O261" s="5"/>
      <c r="P261" s="12">
        <f>IFERROR(__xludf.DUMMYFUNCTION("""COMPUTED_VALUE"""),24.6)</f>
        <v>24.6</v>
      </c>
      <c r="Q261" s="13">
        <f>IFERROR(__xludf.DUMMYFUNCTION("""COMPUTED_VALUE"""),45231.0)</f>
        <v>45231</v>
      </c>
      <c r="R261" s="14"/>
      <c r="S261" s="13">
        <f>IFERROR(__xludf.DUMMYFUNCTION("""COMPUTED_VALUE"""),45231.0)</f>
        <v>45231</v>
      </c>
      <c r="T261" s="5" t="b">
        <f>IFERROR(__xludf.DUMMYFUNCTION("""COMPUTED_VALUE"""),TRUE)</f>
        <v>1</v>
      </c>
      <c r="U261" s="5" t="str">
        <f>IFERROR(__xludf.DUMMYFUNCTION("""COMPUTED_VALUE"""),"5x3")</f>
        <v>5x3</v>
      </c>
      <c r="V261" s="10" t="str">
        <f>IFERROR(__xludf.DUMMYFUNCTION("""COMPUTED_VALUE"""),"5")</f>
        <v>5</v>
      </c>
      <c r="W261" s="10" t="str">
        <f>IFERROR(__xludf.DUMMYFUNCTION("""COMPUTED_VALUE"""),"5")</f>
        <v>5</v>
      </c>
      <c r="X261" s="5">
        <f>IFERROR(__xludf.DUMMYFUNCTION("""COMPUTED_VALUE"""),95.962)</f>
        <v>95.962</v>
      </c>
      <c r="Y261" s="5" t="str">
        <f>IFERROR(__xludf.DUMMYFUNCTION("""COMPUTED_VALUE"""),"Medium")</f>
        <v>Medium</v>
      </c>
      <c r="Z261" s="5">
        <f>IFERROR(__xludf.DUMMYFUNCTION("""COMPUTED_VALUE"""),12.26)</f>
        <v>12.26</v>
      </c>
      <c r="AA261" s="12">
        <f>IFERROR(__xludf.DUMMYFUNCTION("""COMPUTED_VALUE"""),2018.0)</f>
        <v>2018</v>
      </c>
      <c r="AB261" s="5">
        <f>IFERROR(__xludf.DUMMYFUNCTION("""COMPUTED_VALUE"""),4.0)</f>
        <v>4</v>
      </c>
      <c r="AC261" s="5" t="str">
        <f>IFERROR(__xludf.DUMMYFUNCTION("""COMPUTED_VALUE"""),"Scatter, Expanding Wild")</f>
        <v>Scatter, Expanding Wild</v>
      </c>
      <c r="AD261" s="5" t="str">
        <f>IFERROR(__xludf.DUMMYFUNCTION("""COMPUTED_VALUE"""),"0.05/30")</f>
        <v>0.05/30</v>
      </c>
      <c r="AE261" s="5"/>
      <c r="AF261" s="5"/>
      <c r="AG261" s="8">
        <f>IFERROR(__xludf.DUMMYFUNCTION("""COMPUTED_VALUE"""),46056.45178240741)</f>
        <v>46056.45178</v>
      </c>
      <c r="AH261" s="5" t="str">
        <f>IFERROR(__xludf.DUMMYFUNCTION("""COMPUTED_VALUE"""),"aleksandar.trajkovic@fazi.rs")</f>
        <v>aleksandar.trajkovic@fazi.rs</v>
      </c>
      <c r="AI261" s="5"/>
      <c r="AJ261" s="5"/>
      <c r="AK261" s="5">
        <f>IFERROR(__xludf.DUMMYFUNCTION("""COMPUTED_VALUE"""),5.0)</f>
        <v>5</v>
      </c>
      <c r="AL261" s="5" t="str">
        <f>IFERROR(__xludf.DUMMYFUNCTION("""COMPUTED_VALUE"""),"Yes")</f>
        <v>Yes</v>
      </c>
      <c r="AM261" s="5"/>
      <c r="AN261" s="7" t="str">
        <f>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AO261" s="5" t="str">
        <f>IFERROR(__xludf.DUMMYFUNCTION("""COMPUTED_VALUE"""),"Yes")</f>
        <v>Yes</v>
      </c>
      <c r="AP261" s="5"/>
      <c r="AQ261" s="5" t="b">
        <f>IFERROR(__xludf.DUMMYFUNCTION("""COMPUTED_VALUE"""),TRUE)</f>
        <v>1</v>
      </c>
      <c r="AR261" s="5"/>
      <c r="AS261" s="5" t="str">
        <f>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AT261" s="5"/>
      <c r="AU261" s="5" t="str">
        <f>IFERROR(__xludf.DUMMYFUNCTION("""COMPUTED_VALUE"""),"Fazi")</f>
        <v>Fazi</v>
      </c>
      <c r="AV261" s="5"/>
      <c r="AW261" s="5"/>
      <c r="AX261" s="5"/>
      <c r="AY261" s="5" t="str">
        <f>IFERROR(__xludf.DUMMYFUNCTION("""COMPUTED_VALUE"""),"87.5%, 89.5%, 91.5%, 93.5%, 94.5%, 95.5%, 96.5%")</f>
        <v>87.5%, 89.5%, 91.5%, 93.5%, 94.5%, 95.5%, 96.5%</v>
      </c>
      <c r="AZ261" s="5"/>
      <c r="BA261" s="5" t="str">
        <f>IFERROR(__xludf.DUMMYFUNCTION("""COMPUTED_VALUE"""),"")</f>
        <v/>
      </c>
      <c r="BB261" s="5"/>
      <c r="BC261" s="5" t="str">
        <f>IFERROR(__xludf.DUMMYFUNCTION("""COMPUTED_VALUE"""),"Foxi")</f>
        <v>Foxi</v>
      </c>
      <c r="BD261" s="7" t="str">
        <f>IFERROR(__xludf.DUMMYFUNCTION("""COMPUTED_VALUE"""),"https://gameserver-store-client-area.orbionlimited.com/Home/IntegrationGameLaunch/client-area?moneyType=0&amp;gameName=EpicCrown5&amp;platform=desktop&amp;languageCode=eng&amp;currency=EUR")</f>
        <v>https://gameserver-store-client-area.orbionlimited.com/Home/IntegrationGameLaunch/client-area?moneyType=0&amp;gameName=EpicCrown5&amp;platform=desktop&amp;languageCode=eng&amp;currency=EUR</v>
      </c>
      <c r="BE261" s="5" t="b">
        <f>IFERROR(__xludf.DUMMYFUNCTION("""COMPUTED_VALUE"""),TRUE)</f>
        <v>1</v>
      </c>
    </row>
    <row r="262">
      <c r="A262" s="5">
        <f>IFERROR(__xludf.DUMMYFUNCTION("""COMPUTED_VALUE"""),262.0)</f>
        <v>262</v>
      </c>
      <c r="B262" s="5">
        <f>IFERROR(__xludf.DUMMYFUNCTION("""COMPUTED_VALUE"""),261.0)</f>
        <v>261</v>
      </c>
      <c r="C262" s="5" t="str">
        <f>IFERROR(__xludf.DUMMYFUNCTION("""COMPUTED_VALUE"""),"Tiptop")</f>
        <v>Tiptop</v>
      </c>
      <c r="D262" s="5" t="str">
        <f>IFERROR(__xludf.DUMMYFUNCTION("""COMPUTED_VALUE"""),"Simply Sevens")</f>
        <v>Simply Sevens</v>
      </c>
      <c r="E262" s="5"/>
      <c r="F262" s="5" t="str">
        <f>IFERROR(__xludf.DUMMYFUNCTION("""COMPUTED_VALUE"""),"UnicornSimplySevens")</f>
        <v>UnicornSimplySevens</v>
      </c>
      <c r="G262" s="5" t="str">
        <f>IFERROR(__xludf.DUMMYFUNCTION("""COMPUTED_VALUE"""),"Live")</f>
        <v>Live</v>
      </c>
      <c r="H262" s="5"/>
      <c r="I262" s="5" t="str">
        <f>IFERROR(__xludf.DUMMYFUNCTION("""COMPUTED_VALUE"""),"TipTop")</f>
        <v>TipTop</v>
      </c>
      <c r="J262" s="5" t="str">
        <f>IFERROR(__xludf.DUMMYFUNCTION("""COMPUTED_VALUE"""),"JSON")</f>
        <v>JSON</v>
      </c>
      <c r="K262" s="5" t="str">
        <f>IFERROR(__xludf.DUMMYFUNCTION("""COMPUTED_VALUE"""),"Slot")</f>
        <v>Slot</v>
      </c>
      <c r="L262" s="5"/>
      <c r="M262" s="5"/>
      <c r="N262" s="5"/>
      <c r="O262" s="5"/>
      <c r="P262" s="12">
        <f>IFERROR(__xludf.DUMMYFUNCTION("""COMPUTED_VALUE"""),10.7)</f>
        <v>10.7</v>
      </c>
      <c r="Q262" s="13">
        <f>IFERROR(__xludf.DUMMYFUNCTION("""COMPUTED_VALUE"""),45155.0)</f>
        <v>45155</v>
      </c>
      <c r="R262" s="14"/>
      <c r="S262" s="13">
        <f>IFERROR(__xludf.DUMMYFUNCTION("""COMPUTED_VALUE"""),45155.0)</f>
        <v>45155</v>
      </c>
      <c r="T262" s="5" t="b">
        <f>IFERROR(__xludf.DUMMYFUNCTION("""COMPUTED_VALUE"""),TRUE)</f>
        <v>1</v>
      </c>
      <c r="U262" s="5" t="str">
        <f>IFERROR(__xludf.DUMMYFUNCTION("""COMPUTED_VALUE"""),"5X3")</f>
        <v>5X3</v>
      </c>
      <c r="V262" s="10" t="str">
        <f>IFERROR(__xludf.DUMMYFUNCTION("""COMPUTED_VALUE"""),"10")</f>
        <v>10</v>
      </c>
      <c r="W262" s="10" t="str">
        <f>IFERROR(__xludf.DUMMYFUNCTION("""COMPUTED_VALUE"""),"10")</f>
        <v>10</v>
      </c>
      <c r="X262" s="5">
        <f>IFERROR(__xludf.DUMMYFUNCTION("""COMPUTED_VALUE"""),96.0)</f>
        <v>96</v>
      </c>
      <c r="Y262" s="5" t="str">
        <f>IFERROR(__xludf.DUMMYFUNCTION("""COMPUTED_VALUE"""),"Low")</f>
        <v>Low</v>
      </c>
      <c r="Z262" s="5">
        <f>IFERROR(__xludf.DUMMYFUNCTION("""COMPUTED_VALUE"""),24.14)</f>
        <v>24.14</v>
      </c>
      <c r="AA262" s="12">
        <f>IFERROR(__xludf.DUMMYFUNCTION("""COMPUTED_VALUE"""),10000.0)</f>
        <v>10000</v>
      </c>
      <c r="AB262" s="5"/>
      <c r="AC262" s="5" t="str">
        <f>IFERROR(__xludf.DUMMYFUNCTION("""COMPUTED_VALUE"""),"Scatter")</f>
        <v>Scatter</v>
      </c>
      <c r="AD262" s="5" t="str">
        <f>IFERROR(__xludf.DUMMYFUNCTION("""COMPUTED_VALUE"""),"0.1/100")</f>
        <v>0.1/100</v>
      </c>
      <c r="AE262" s="5"/>
      <c r="AF262" s="5"/>
      <c r="AG262" s="8">
        <f>IFERROR(__xludf.DUMMYFUNCTION("""COMPUTED_VALUE"""),46197.461875)</f>
        <v>46197.46188</v>
      </c>
      <c r="AH262" s="5" t="str">
        <f>IFERROR(__xludf.DUMMYFUNCTION("""COMPUTED_VALUE"""),"selena.mihajlovic@fazi.rs")</f>
        <v>selena.mihajlovic@fazi.rs</v>
      </c>
      <c r="AI262" s="5"/>
      <c r="AJ262" s="5"/>
      <c r="AK262" s="5">
        <f>IFERROR(__xludf.DUMMYFUNCTION("""COMPUTED_VALUE"""),10.0)</f>
        <v>10</v>
      </c>
      <c r="AL262" s="5" t="str">
        <f>IFERROR(__xludf.DUMMYFUNCTION("""COMPUTED_VALUE"""),"No")</f>
        <v>No</v>
      </c>
      <c r="AM262" s="5"/>
      <c r="AN262" s="7" t="str">
        <f>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AO262" s="5"/>
      <c r="AP262" s="5"/>
      <c r="AQ262" s="5" t="b">
        <f>IFERROR(__xludf.DUMMYFUNCTION("""COMPUTED_VALUE"""),TRUE)</f>
        <v>1</v>
      </c>
      <c r="AR262" s="5"/>
      <c r="AS262" s="5" t="str">
        <f>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AT262" s="5"/>
      <c r="AU262" s="5" t="str">
        <f>IFERROR(__xludf.DUMMYFUNCTION("""COMPUTED_VALUE"""),"Fazi")</f>
        <v>Fazi</v>
      </c>
      <c r="AV262" s="5"/>
      <c r="AW262" s="5"/>
      <c r="AX262" s="5"/>
      <c r="AY262" s="5"/>
      <c r="AZ262" s="5"/>
      <c r="BA262" s="5"/>
      <c r="BB262" s="5" t="b">
        <f>IFERROR(__xludf.DUMMYFUNCTION("""COMPUTED_VALUE"""),TRUE)</f>
        <v>1</v>
      </c>
      <c r="BC262" s="5" t="str">
        <f>IFERROR(__xludf.DUMMYFUNCTION("""COMPUTED_VALUE"""),"Tiptop")</f>
        <v>Tiptop</v>
      </c>
      <c r="BD262" s="7" t="str">
        <f>IFERROR(__xludf.DUMMYFUNCTION("""COMPUTED_VALUE"""),"https://gameserver-store-client-area.orbionlimited.com/Home/IntegrationGameLaunch/client-area?moneyType=0&amp;gameName=UnicornSimplySevens&amp;platform=desktop&amp;languageCode=eng&amp;currency=EUR")</f>
        <v>https://gameserver-store-client-area.orbionlimited.com/Home/IntegrationGameLaunch/client-area?moneyType=0&amp;gameName=UnicornSimplySevens&amp;platform=desktop&amp;languageCode=eng&amp;currency=EUR</v>
      </c>
      <c r="BE262" s="5" t="b">
        <f>IFERROR(__xludf.DUMMYFUNCTION("""COMPUTED_VALUE"""),TRUE)</f>
        <v>1</v>
      </c>
    </row>
    <row r="263">
      <c r="A263" s="5">
        <f>IFERROR(__xludf.DUMMYFUNCTION("""COMPUTED_VALUE"""),263.0)</f>
        <v>263</v>
      </c>
      <c r="B263" s="5">
        <f>IFERROR(__xludf.DUMMYFUNCTION("""COMPUTED_VALUE"""),262.0)</f>
        <v>262</v>
      </c>
      <c r="C263" s="5" t="str">
        <f>IFERROR(__xludf.DUMMYFUNCTION("""COMPUTED_VALUE"""),"Fazi")</f>
        <v>Fazi</v>
      </c>
      <c r="D263" s="5" t="str">
        <f>IFERROR(__xludf.DUMMYFUNCTION("""COMPUTED_VALUE"""),"Dead Night")</f>
        <v>Dead Night</v>
      </c>
      <c r="E263" s="5" t="str">
        <f>IFERROR(__xludf.DUMMYFUNCTION("""COMPUTED_VALUE"""),"V2")</f>
        <v>V2</v>
      </c>
      <c r="F263" s="5" t="str">
        <f>IFERROR(__xludf.DUMMYFUNCTION("""COMPUTED_VALUE"""),"DeadNight")</f>
        <v>DeadNight</v>
      </c>
      <c r="G263" s="5" t="str">
        <f>IFERROR(__xludf.DUMMYFUNCTION("""COMPUTED_VALUE"""),"Live")</f>
        <v>Live</v>
      </c>
      <c r="H263" s="5"/>
      <c r="I263" s="5" t="str">
        <f>IFERROR(__xludf.DUMMYFUNCTION("""COMPUTED_VALUE"""),"V2")</f>
        <v>V2</v>
      </c>
      <c r="J263" s="5" t="str">
        <f>IFERROR(__xludf.DUMMYFUNCTION("""COMPUTED_VALUE"""),"Binary")</f>
        <v>Binary</v>
      </c>
      <c r="K263" s="5" t="str">
        <f>IFERROR(__xludf.DUMMYFUNCTION("""COMPUTED_VALUE"""),"Slot")</f>
        <v>Slot</v>
      </c>
      <c r="L263" s="5" t="str">
        <f>IFERROR(__xludf.DUMMYFUNCTION("""COMPUTED_VALUE"""),"Clone")</f>
        <v>Clone</v>
      </c>
      <c r="M263" s="5" t="str">
        <f>IFERROR(__xludf.DUMMYFUNCTION("""COMPUTED_VALUE"""),"Wild Lucky Clover")</f>
        <v>Wild Lucky Clover</v>
      </c>
      <c r="N263" s="5"/>
      <c r="O263" s="5"/>
      <c r="P263" s="12">
        <f>IFERROR(__xludf.DUMMYFUNCTION("""COMPUTED_VALUE"""),36.0)</f>
        <v>36</v>
      </c>
      <c r="Q263" s="13">
        <f>IFERROR(__xludf.DUMMYFUNCTION("""COMPUTED_VALUE"""),45204.0)</f>
        <v>45204</v>
      </c>
      <c r="R263" s="14"/>
      <c r="S263" s="13">
        <f>IFERROR(__xludf.DUMMYFUNCTION("""COMPUTED_VALUE"""),45204.0)</f>
        <v>45204</v>
      </c>
      <c r="T263" s="5" t="b">
        <f>IFERROR(__xludf.DUMMYFUNCTION("""COMPUTED_VALUE"""),TRUE)</f>
        <v>1</v>
      </c>
      <c r="U263" s="5" t="str">
        <f>IFERROR(__xludf.DUMMYFUNCTION("""COMPUTED_VALUE"""),"5x4")</f>
        <v>5x4</v>
      </c>
      <c r="V263" s="10" t="str">
        <f>IFERROR(__xludf.DUMMYFUNCTION("""COMPUTED_VALUE"""),"40")</f>
        <v>40</v>
      </c>
      <c r="W263" s="10" t="str">
        <f>IFERROR(__xludf.DUMMYFUNCTION("""COMPUTED_VALUE"""),"40")</f>
        <v>40</v>
      </c>
      <c r="X263" s="5">
        <f>IFERROR(__xludf.DUMMYFUNCTION("""COMPUTED_VALUE"""),96.291)</f>
        <v>96.291</v>
      </c>
      <c r="Y263" s="5" t="str">
        <f>IFERROR(__xludf.DUMMYFUNCTION("""COMPUTED_VALUE"""),"Medium")</f>
        <v>Medium</v>
      </c>
      <c r="Z263" s="5">
        <f>IFERROR(__xludf.DUMMYFUNCTION("""COMPUTED_VALUE"""),12.67)</f>
        <v>12.67</v>
      </c>
      <c r="AA263" s="12">
        <f>IFERROR(__xludf.DUMMYFUNCTION("""COMPUTED_VALUE"""),1043.0)</f>
        <v>1043</v>
      </c>
      <c r="AB263" s="5">
        <f>IFERROR(__xludf.DUMMYFUNCTION("""COMPUTED_VALUE"""),199.0)</f>
        <v>199</v>
      </c>
      <c r="AC263" s="5" t="str">
        <f>IFERROR(__xludf.DUMMYFUNCTION("""COMPUTED_VALUE"""),"Bonus Game with Free Spins, Converting Wild")</f>
        <v>Bonus Game with Free Spins, Converting Wild</v>
      </c>
      <c r="AD263" s="5" t="str">
        <f>IFERROR(__xludf.DUMMYFUNCTION("""COMPUTED_VALUE"""),"0.4/60")</f>
        <v>0.4/60</v>
      </c>
      <c r="AE263" s="5"/>
      <c r="AF263" s="5"/>
      <c r="AG263" s="8">
        <f>IFERROR(__xludf.DUMMYFUNCTION("""COMPUTED_VALUE"""),46055.52171296296)</f>
        <v>46055.52171</v>
      </c>
      <c r="AH263" s="5" t="str">
        <f>IFERROR(__xludf.DUMMYFUNCTION("""COMPUTED_VALUE"""),"djordje.jankovic@fazi.rs")</f>
        <v>djordje.jankovic@fazi.rs</v>
      </c>
      <c r="AI263" s="5"/>
      <c r="AJ263" s="5"/>
      <c r="AK263" s="5">
        <f>IFERROR(__xludf.DUMMYFUNCTION("""COMPUTED_VALUE"""),40.0)</f>
        <v>40</v>
      </c>
      <c r="AL263" s="5" t="str">
        <f>IFERROR(__xludf.DUMMYFUNCTION("""COMPUTED_VALUE"""),"Yes")</f>
        <v>Yes</v>
      </c>
      <c r="AM263" s="5"/>
      <c r="AN263" s="7" t="str">
        <f>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AO263" s="5"/>
      <c r="AP263" s="5"/>
      <c r="AQ263" s="5" t="b">
        <f>IFERROR(__xludf.DUMMYFUNCTION("""COMPUTED_VALUE"""),TRUE)</f>
        <v>1</v>
      </c>
      <c r="AR263" s="5"/>
      <c r="AS263" s="5" t="str">
        <f>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AT263" s="5"/>
      <c r="AU263" s="5" t="str">
        <f>IFERROR(__xludf.DUMMYFUNCTION("""COMPUTED_VALUE"""),"Fazi")</f>
        <v>Fazi</v>
      </c>
      <c r="AV263" s="5"/>
      <c r="AW263" s="5"/>
      <c r="AX263" s="5"/>
      <c r="AY263" s="5"/>
      <c r="AZ263" s="5"/>
      <c r="BA263" s="5" t="str">
        <f>IFERROR(__xludf.DUMMYFUNCTION("""COMPUTED_VALUE"""),"")</f>
        <v/>
      </c>
      <c r="BB263" s="5"/>
      <c r="BC263" s="5" t="str">
        <f>IFERROR(__xludf.DUMMYFUNCTION("""COMPUTED_VALUE"""),"Foxi")</f>
        <v>Foxi</v>
      </c>
      <c r="BD263" s="7" t="str">
        <f>IFERROR(__xludf.DUMMYFUNCTION("""COMPUTED_VALUE"""),"https://gameserver-store-client-area.orbionlimited.com/Home/IntegrationGameLaunch/client-area?moneyType=0&amp;gameName=DeadNight&amp;platform=desktop&amp;languageCode=eng&amp;currency=EUR")</f>
        <v>https://gameserver-store-client-area.orbionlimited.com/Home/IntegrationGameLaunch/client-area?moneyType=0&amp;gameName=DeadNight&amp;platform=desktop&amp;languageCode=eng&amp;currency=EUR</v>
      </c>
      <c r="BE263" s="5" t="b">
        <f>IFERROR(__xludf.DUMMYFUNCTION("""COMPUTED_VALUE"""),TRUE)</f>
        <v>1</v>
      </c>
    </row>
    <row r="264">
      <c r="A264" s="5">
        <f>IFERROR(__xludf.DUMMYFUNCTION("""COMPUTED_VALUE"""),264.0)</f>
        <v>264</v>
      </c>
      <c r="B264" s="5">
        <f>IFERROR(__xludf.DUMMYFUNCTION("""COMPUTED_VALUE"""),263.0)</f>
        <v>263</v>
      </c>
      <c r="C264" s="5" t="str">
        <f>IFERROR(__xludf.DUMMYFUNCTION("""COMPUTED_VALUE"""),"Fazi")</f>
        <v>Fazi</v>
      </c>
      <c r="D264" s="5" t="str">
        <f>IFERROR(__xludf.DUMMYFUNCTION("""COMPUTED_VALUE"""),"Winning Clover 5")</f>
        <v>Winning Clover 5</v>
      </c>
      <c r="E264" s="5" t="str">
        <f>IFERROR(__xludf.DUMMYFUNCTION("""COMPUTED_VALUE"""),"V4-1")</f>
        <v>V4-1</v>
      </c>
      <c r="F264" s="5" t="str">
        <f>IFERROR(__xludf.DUMMYFUNCTION("""COMPUTED_VALUE"""),"WinningClover5")</f>
        <v>WinningClover5</v>
      </c>
      <c r="G264" s="5" t="str">
        <f>IFERROR(__xludf.DUMMYFUNCTION("""COMPUTED_VALUE"""),"Live")</f>
        <v>Live</v>
      </c>
      <c r="H264" s="5"/>
      <c r="I264" s="5" t="str">
        <f>IFERROR(__xludf.DUMMYFUNCTION("""COMPUTED_VALUE"""),"V4")</f>
        <v>V4</v>
      </c>
      <c r="J264" s="5" t="str">
        <f>IFERROR(__xludf.DUMMYFUNCTION("""COMPUTED_VALUE"""),"JSON")</f>
        <v>JSON</v>
      </c>
      <c r="K264" s="5" t="str">
        <f>IFERROR(__xludf.DUMMYFUNCTION("""COMPUTED_VALUE"""),"Slot")</f>
        <v>Slot</v>
      </c>
      <c r="L264" s="5" t="str">
        <f>IFERROR(__xludf.DUMMYFUNCTION("""COMPUTED_VALUE"""),"Clone")</f>
        <v>Clone</v>
      </c>
      <c r="M264" s="5" t="str">
        <f>IFERROR(__xludf.DUMMYFUNCTION("""COMPUTED_VALUE"""),"Very Hot 5")</f>
        <v>Very Hot 5</v>
      </c>
      <c r="N264" s="5"/>
      <c r="O264" s="5"/>
      <c r="P264" s="12">
        <f>IFERROR(__xludf.DUMMYFUNCTION("""COMPUTED_VALUE"""),16.0)</f>
        <v>16</v>
      </c>
      <c r="Q264" s="13">
        <f>IFERROR(__xludf.DUMMYFUNCTION("""COMPUTED_VALUE"""),45216.0)</f>
        <v>45216</v>
      </c>
      <c r="R264" s="14"/>
      <c r="S264" s="13">
        <f>IFERROR(__xludf.DUMMYFUNCTION("""COMPUTED_VALUE"""),45216.0)</f>
        <v>45216</v>
      </c>
      <c r="T264" s="5" t="b">
        <f>IFERROR(__xludf.DUMMYFUNCTION("""COMPUTED_VALUE"""),TRUE)</f>
        <v>1</v>
      </c>
      <c r="U264" s="5" t="str">
        <f>IFERROR(__xludf.DUMMYFUNCTION("""COMPUTED_VALUE"""),"5x3")</f>
        <v>5x3</v>
      </c>
      <c r="V264" s="10" t="str">
        <f>IFERROR(__xludf.DUMMYFUNCTION("""COMPUTED_VALUE"""),"5")</f>
        <v>5</v>
      </c>
      <c r="W264" s="10" t="str">
        <f>IFERROR(__xludf.DUMMYFUNCTION("""COMPUTED_VALUE"""),"5")</f>
        <v>5</v>
      </c>
      <c r="X264" s="5">
        <f>IFERROR(__xludf.DUMMYFUNCTION("""COMPUTED_VALUE"""),96.447)</f>
        <v>96.447</v>
      </c>
      <c r="Y264" s="5" t="str">
        <f>IFERROR(__xludf.DUMMYFUNCTION("""COMPUTED_VALUE"""),"Medium")</f>
        <v>Medium</v>
      </c>
      <c r="Z264" s="5">
        <f>IFERROR(__xludf.DUMMYFUNCTION("""COMPUTED_VALUE"""),14.510000000000002)</f>
        <v>14.51</v>
      </c>
      <c r="AA264" s="12">
        <f>IFERROR(__xludf.DUMMYFUNCTION("""COMPUTED_VALUE"""),1222.0)</f>
        <v>1222</v>
      </c>
      <c r="AB264" s="5">
        <f>IFERROR(__xludf.DUMMYFUNCTION("""COMPUTED_VALUE"""),4.0)</f>
        <v>4</v>
      </c>
      <c r="AC264" s="5" t="str">
        <f>IFERROR(__xludf.DUMMYFUNCTION("""COMPUTED_VALUE"""),"Scatter, Expanding Wild")</f>
        <v>Scatter, Expanding Wild</v>
      </c>
      <c r="AD264" s="5" t="str">
        <f>IFERROR(__xludf.DUMMYFUNCTION("""COMPUTED_VALUE"""),"0.05/30")</f>
        <v>0.05/30</v>
      </c>
      <c r="AE264" s="5"/>
      <c r="AF264" s="5"/>
      <c r="AG264" s="8">
        <f>IFERROR(__xludf.DUMMYFUNCTION("""COMPUTED_VALUE"""),46162.42798611111)</f>
        <v>46162.42799</v>
      </c>
      <c r="AH264" s="5" t="str">
        <f>IFERROR(__xludf.DUMMYFUNCTION("""COMPUTED_VALUE"""),"djordje.petrovic@fazi.rs")</f>
        <v>djordje.petrovic@fazi.rs</v>
      </c>
      <c r="AI264" s="5"/>
      <c r="AJ264" s="5"/>
      <c r="AK264" s="5">
        <f>IFERROR(__xludf.DUMMYFUNCTION("""COMPUTED_VALUE"""),5.0)</f>
        <v>5</v>
      </c>
      <c r="AL264" s="5" t="str">
        <f>IFERROR(__xludf.DUMMYFUNCTION("""COMPUTED_VALUE"""),"Yes")</f>
        <v>Yes</v>
      </c>
      <c r="AM264" s="5"/>
      <c r="AN264" s="7" t="str">
        <f>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AO264" s="5" t="str">
        <f>IFERROR(__xludf.DUMMYFUNCTION("""COMPUTED_VALUE"""),"Yes")</f>
        <v>Yes</v>
      </c>
      <c r="AP264" s="5" t="str">
        <f>IFERROR(__xludf.DUMMYFUNCTION("""COMPUTED_VALUE"""),"Yes")</f>
        <v>Yes</v>
      </c>
      <c r="AQ264" s="5" t="b">
        <f>IFERROR(__xludf.DUMMYFUNCTION("""COMPUTED_VALUE"""),TRUE)</f>
        <v>1</v>
      </c>
      <c r="AR264" s="5"/>
      <c r="AS264" s="5" t="str">
        <f>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AT264" s="5" t="str">
        <f>IFERROR(__xludf.DUMMYFUNCTION("""COMPUTED_VALUE"""),"Yes")</f>
        <v>Yes</v>
      </c>
      <c r="AU264" s="5" t="str">
        <f>IFERROR(__xludf.DUMMYFUNCTION("""COMPUTED_VALUE"""),"Fazi")</f>
        <v>Fazi</v>
      </c>
      <c r="AV264" s="5"/>
      <c r="AW264"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64" s="5"/>
      <c r="AY264" s="5" t="str">
        <f>IFERROR(__xludf.DUMMYFUNCTION("""COMPUTED_VALUE"""),"87.5%, 89.5%, 91.5%, 93.5%, 94.5%, 95.5%, 96.5%")</f>
        <v>87.5%, 89.5%, 91.5%, 93.5%, 94.5%, 95.5%, 96.5%</v>
      </c>
      <c r="AZ264" s="5"/>
      <c r="BA264" s="5"/>
      <c r="BB264" s="5"/>
      <c r="BC264" s="5" t="str">
        <f>IFERROR(__xludf.DUMMYFUNCTION("""COMPUTED_VALUE"""),"Foxi")</f>
        <v>Foxi</v>
      </c>
      <c r="BD264" s="7" t="str">
        <f>IFERROR(__xludf.DUMMYFUNCTION("""COMPUTED_VALUE"""),"https://gameserver-store-client-area.orbionlimited.com/Home/IntegrationGameLaunch/client-area?moneyType=0&amp;gameName=WinningClover5&amp;platform=desktop&amp;languageCode=eng&amp;currency=EUR")</f>
        <v>https://gameserver-store-client-area.orbionlimited.com/Home/IntegrationGameLaunch/client-area?moneyType=0&amp;gameName=WinningClover5&amp;platform=desktop&amp;languageCode=eng&amp;currency=EUR</v>
      </c>
      <c r="BE264" s="5" t="b">
        <f>IFERROR(__xludf.DUMMYFUNCTION("""COMPUTED_VALUE"""),TRUE)</f>
        <v>1</v>
      </c>
    </row>
    <row r="265">
      <c r="A265" s="5">
        <f>IFERROR(__xludf.DUMMYFUNCTION("""COMPUTED_VALUE"""),265.0)</f>
        <v>265</v>
      </c>
      <c r="B265" s="5">
        <f>IFERROR(__xludf.DUMMYFUNCTION("""COMPUTED_VALUE"""),264.0)</f>
        <v>264</v>
      </c>
      <c r="C265" s="5" t="str">
        <f>IFERROR(__xludf.DUMMYFUNCTION("""COMPUTED_VALUE"""),"Fazi")</f>
        <v>Fazi</v>
      </c>
      <c r="D265" s="5" t="str">
        <f>IFERROR(__xludf.DUMMYFUNCTION("""COMPUTED_VALUE"""),"Turbo Fire")</f>
        <v>Turbo Fire</v>
      </c>
      <c r="E265" s="5" t="str">
        <f>IFERROR(__xludf.DUMMYFUNCTION("""COMPUTED_VALUE"""),"V4-1")</f>
        <v>V4-1</v>
      </c>
      <c r="F265" s="5" t="str">
        <f>IFERROR(__xludf.DUMMYFUNCTION("""COMPUTED_VALUE"""),"TurboFire")</f>
        <v>TurboFire</v>
      </c>
      <c r="G265" s="5" t="str">
        <f>IFERROR(__xludf.DUMMYFUNCTION("""COMPUTED_VALUE"""),"Live")</f>
        <v>Live</v>
      </c>
      <c r="H265" s="5"/>
      <c r="I265" s="5" t="str">
        <f>IFERROR(__xludf.DUMMYFUNCTION("""COMPUTED_VALUE"""),"V4")</f>
        <v>V4</v>
      </c>
      <c r="J265" s="5" t="str">
        <f>IFERROR(__xludf.DUMMYFUNCTION("""COMPUTED_VALUE"""),"JSON")</f>
        <v>JSON</v>
      </c>
      <c r="K265" s="5" t="str">
        <f>IFERROR(__xludf.DUMMYFUNCTION("""COMPUTED_VALUE"""),"Slot")</f>
        <v>Slot</v>
      </c>
      <c r="L265" s="5" t="str">
        <f>IFERROR(__xludf.DUMMYFUNCTION("""COMPUTED_VALUE"""),"Clone")</f>
        <v>Clone</v>
      </c>
      <c r="M265" s="5" t="str">
        <f>IFERROR(__xludf.DUMMYFUNCTION("""COMPUTED_VALUE"""),"Turbo Hot 40")</f>
        <v>Turbo Hot 40</v>
      </c>
      <c r="N265" s="5"/>
      <c r="O265" s="5"/>
      <c r="P265" s="12">
        <f>IFERROR(__xludf.DUMMYFUNCTION("""COMPUTED_VALUE"""),13.0)</f>
        <v>13</v>
      </c>
      <c r="Q265" s="13">
        <f>IFERROR(__xludf.DUMMYFUNCTION("""COMPUTED_VALUE"""),45272.0)</f>
        <v>45272</v>
      </c>
      <c r="R265" s="14"/>
      <c r="S265" s="13">
        <f>IFERROR(__xludf.DUMMYFUNCTION("""COMPUTED_VALUE"""),45272.0)</f>
        <v>45272</v>
      </c>
      <c r="T265" s="5" t="b">
        <f>IFERROR(__xludf.DUMMYFUNCTION("""COMPUTED_VALUE"""),TRUE)</f>
        <v>1</v>
      </c>
      <c r="U265" s="5" t="str">
        <f>IFERROR(__xludf.DUMMYFUNCTION("""COMPUTED_VALUE"""),"5x4")</f>
        <v>5x4</v>
      </c>
      <c r="V265" s="10" t="str">
        <f>IFERROR(__xludf.DUMMYFUNCTION("""COMPUTED_VALUE"""),"40")</f>
        <v>40</v>
      </c>
      <c r="W265" s="10" t="str">
        <f>IFERROR(__xludf.DUMMYFUNCTION("""COMPUTED_VALUE"""),"40")</f>
        <v>40</v>
      </c>
      <c r="X265" s="5">
        <f>IFERROR(__xludf.DUMMYFUNCTION("""COMPUTED_VALUE"""),96.584)</f>
        <v>96.584</v>
      </c>
      <c r="Y265" s="5" t="str">
        <f>IFERROR(__xludf.DUMMYFUNCTION("""COMPUTED_VALUE"""),"Low")</f>
        <v>Low</v>
      </c>
      <c r="Z265" s="5">
        <f>IFERROR(__xludf.DUMMYFUNCTION("""COMPUTED_VALUE"""),16.73)</f>
        <v>16.73</v>
      </c>
      <c r="AA265" s="12">
        <f>IFERROR(__xludf.DUMMYFUNCTION("""COMPUTED_VALUE"""),1000.0)</f>
        <v>1000</v>
      </c>
      <c r="AB265" s="5" t="str">
        <f>IFERROR(__xludf.DUMMYFUNCTION("""COMPUTED_VALUE"""),"/")</f>
        <v>/</v>
      </c>
      <c r="AC265" s="5" t="str">
        <f>IFERROR(__xludf.DUMMYFUNCTION("""COMPUTED_VALUE"""),"Wild Symbol, Scatter")</f>
        <v>Wild Symbol, Scatter</v>
      </c>
      <c r="AD265" s="5" t="str">
        <f>IFERROR(__xludf.DUMMYFUNCTION("""COMPUTED_VALUE"""),"0.4/40")</f>
        <v>0.4/40</v>
      </c>
      <c r="AE265" s="5"/>
      <c r="AF265" s="5"/>
      <c r="AG265" s="8">
        <f>IFERROR(__xludf.DUMMYFUNCTION("""COMPUTED_VALUE"""),46162.42681712963)</f>
        <v>46162.42682</v>
      </c>
      <c r="AH265" s="5" t="str">
        <f>IFERROR(__xludf.DUMMYFUNCTION("""COMPUTED_VALUE"""),"djordje.petrovic@fazi.rs")</f>
        <v>djordje.petrovic@fazi.rs</v>
      </c>
      <c r="AI265" s="5"/>
      <c r="AJ265" s="5"/>
      <c r="AK265" s="5">
        <f>IFERROR(__xludf.DUMMYFUNCTION("""COMPUTED_VALUE"""),40.0)</f>
        <v>40</v>
      </c>
      <c r="AL265" s="5" t="str">
        <f>IFERROR(__xludf.DUMMYFUNCTION("""COMPUTED_VALUE"""),"Yes")</f>
        <v>Yes</v>
      </c>
      <c r="AM265" s="5"/>
      <c r="AN265" s="7" t="str">
        <f>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AO265" s="5" t="str">
        <f>IFERROR(__xludf.DUMMYFUNCTION("""COMPUTED_VALUE"""),"Yes")</f>
        <v>Yes</v>
      </c>
      <c r="AP265" s="5" t="str">
        <f>IFERROR(__xludf.DUMMYFUNCTION("""COMPUTED_VALUE"""),"Yes")</f>
        <v>Yes</v>
      </c>
      <c r="AQ265" s="5" t="b">
        <f>IFERROR(__xludf.DUMMYFUNCTION("""COMPUTED_VALUE"""),TRUE)</f>
        <v>1</v>
      </c>
      <c r="AR265" s="5"/>
      <c r="AS265" s="5" t="str">
        <f>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AT265" s="5" t="str">
        <f>IFERROR(__xludf.DUMMYFUNCTION("""COMPUTED_VALUE"""),"No")</f>
        <v>No</v>
      </c>
      <c r="AU265" s="5" t="str">
        <f>IFERROR(__xludf.DUMMYFUNCTION("""COMPUTED_VALUE"""),"Fazi")</f>
        <v>Fazi</v>
      </c>
      <c r="AV265" s="5"/>
      <c r="AW265" s="5" t="str">
        <f>IFERROR(__xludf.DUMMYFUNCTION("""COMPUTED_VALUE"""),"Testirano na platformi")</f>
        <v>Testirano na platformi</v>
      </c>
      <c r="AX265" s="5"/>
      <c r="AY265" s="5"/>
      <c r="AZ265" s="5"/>
      <c r="BA265" s="5"/>
      <c r="BB265" s="5"/>
      <c r="BC265" s="5" t="str">
        <f>IFERROR(__xludf.DUMMYFUNCTION("""COMPUTED_VALUE"""),"Foxi")</f>
        <v>Foxi</v>
      </c>
      <c r="BD265" s="7" t="str">
        <f>IFERROR(__xludf.DUMMYFUNCTION("""COMPUTED_VALUE"""),"https://gameserver-store-client-area.orbionlimited.com/Home/IntegrationGameLaunch/client-area?moneyType=0&amp;gameName=TurboFire&amp;platform=desktop&amp;languageCode=eng&amp;currency=EUR")</f>
        <v>https://gameserver-store-client-area.orbionlimited.com/Home/IntegrationGameLaunch/client-area?moneyType=0&amp;gameName=TurboFire&amp;platform=desktop&amp;languageCode=eng&amp;currency=EUR</v>
      </c>
      <c r="BE265" s="5" t="b">
        <f>IFERROR(__xludf.DUMMYFUNCTION("""COMPUTED_VALUE"""),TRUE)</f>
        <v>1</v>
      </c>
    </row>
    <row r="266">
      <c r="A266" s="5">
        <f>IFERROR(__xludf.DUMMYFUNCTION("""COMPUTED_VALUE"""),266.0)</f>
        <v>266</v>
      </c>
      <c r="B266" s="5">
        <f>IFERROR(__xludf.DUMMYFUNCTION("""COMPUTED_VALUE"""),265.0)</f>
        <v>265</v>
      </c>
      <c r="C266" s="5" t="str">
        <f>IFERROR(__xludf.DUMMYFUNCTION("""COMPUTED_VALUE"""),"Tiptop")</f>
        <v>Tiptop</v>
      </c>
      <c r="D266" s="5" t="str">
        <f>IFERROR(__xludf.DUMMYFUNCTION("""COMPUTED_VALUE"""),"10 Jingle Fruits")</f>
        <v>10 Jingle Fruits</v>
      </c>
      <c r="E266" s="5"/>
      <c r="F266" s="5" t="str">
        <f>IFERROR(__xludf.DUMMYFUNCTION("""COMPUTED_VALUE"""),"Unicorn10JingleFruits")</f>
        <v>Unicorn10JingleFruits</v>
      </c>
      <c r="G266" s="5" t="str">
        <f>IFERROR(__xludf.DUMMYFUNCTION("""COMPUTED_VALUE"""),"Live")</f>
        <v>Live</v>
      </c>
      <c r="H266" s="5"/>
      <c r="I266" s="5" t="str">
        <f>IFERROR(__xludf.DUMMYFUNCTION("""COMPUTED_VALUE"""),"TipTop")</f>
        <v>TipTop</v>
      </c>
      <c r="J266" s="5" t="str">
        <f>IFERROR(__xludf.DUMMYFUNCTION("""COMPUTED_VALUE"""),"JSON")</f>
        <v>JSON</v>
      </c>
      <c r="K266" s="5" t="str">
        <f>IFERROR(__xludf.DUMMYFUNCTION("""COMPUTED_VALUE"""),"Slot")</f>
        <v>Slot</v>
      </c>
      <c r="L266" s="5"/>
      <c r="M266" s="5"/>
      <c r="N266" s="5"/>
      <c r="O266" s="5"/>
      <c r="P266" s="12">
        <f>IFERROR(__xludf.DUMMYFUNCTION("""COMPUTED_VALUE"""),12.2)</f>
        <v>12.2</v>
      </c>
      <c r="Q266" s="13">
        <f>IFERROR(__xludf.DUMMYFUNCTION("""COMPUTED_VALUE"""),45174.0)</f>
        <v>45174</v>
      </c>
      <c r="R266" s="14"/>
      <c r="S266" s="13">
        <f>IFERROR(__xludf.DUMMYFUNCTION("""COMPUTED_VALUE"""),45174.0)</f>
        <v>45174</v>
      </c>
      <c r="T266" s="5" t="b">
        <f>IFERROR(__xludf.DUMMYFUNCTION("""COMPUTED_VALUE"""),TRUE)</f>
        <v>1</v>
      </c>
      <c r="U266" s="5" t="str">
        <f>IFERROR(__xludf.DUMMYFUNCTION("""COMPUTED_VALUE"""),"5X3")</f>
        <v>5X3</v>
      </c>
      <c r="V266" s="10" t="str">
        <f>IFERROR(__xludf.DUMMYFUNCTION("""COMPUTED_VALUE"""),"10")</f>
        <v>10</v>
      </c>
      <c r="W266" s="10" t="str">
        <f>IFERROR(__xludf.DUMMYFUNCTION("""COMPUTED_VALUE"""),"10")</f>
        <v>10</v>
      </c>
      <c r="X266" s="5">
        <f>IFERROR(__xludf.DUMMYFUNCTION("""COMPUTED_VALUE"""),96.0)</f>
        <v>96</v>
      </c>
      <c r="Y266" s="5" t="str">
        <f>IFERROR(__xludf.DUMMYFUNCTION("""COMPUTED_VALUE"""),"Low")</f>
        <v>Low</v>
      </c>
      <c r="Z266" s="5">
        <f>IFERROR(__xludf.DUMMYFUNCTION("""COMPUTED_VALUE"""),18.41)</f>
        <v>18.41</v>
      </c>
      <c r="AA266" s="12">
        <f>IFERROR(__xludf.DUMMYFUNCTION("""COMPUTED_VALUE"""),1000.0)</f>
        <v>1000</v>
      </c>
      <c r="AB266" s="5"/>
      <c r="AC266" s="5" t="str">
        <f>IFERROR(__xludf.DUMMYFUNCTION("""COMPUTED_VALUE"""),"Scatter")</f>
        <v>Scatter</v>
      </c>
      <c r="AD266" s="5" t="str">
        <f>IFERROR(__xludf.DUMMYFUNCTION("""COMPUTED_VALUE"""),"0.1/100")</f>
        <v>0.1/100</v>
      </c>
      <c r="AE266" s="5"/>
      <c r="AF266" s="5"/>
      <c r="AG266" s="8">
        <f>IFERROR(__xludf.DUMMYFUNCTION("""COMPUTED_VALUE"""),46197.462164351855)</f>
        <v>46197.46216</v>
      </c>
      <c r="AH266" s="5" t="str">
        <f>IFERROR(__xludf.DUMMYFUNCTION("""COMPUTED_VALUE"""),"selena.mihajlovic@fazi.rs")</f>
        <v>selena.mihajlovic@fazi.rs</v>
      </c>
      <c r="AI266" s="5"/>
      <c r="AJ266" s="5"/>
      <c r="AK266" s="5">
        <f>IFERROR(__xludf.DUMMYFUNCTION("""COMPUTED_VALUE"""),10.0)</f>
        <v>10</v>
      </c>
      <c r="AL266" s="5" t="str">
        <f>IFERROR(__xludf.DUMMYFUNCTION("""COMPUTED_VALUE"""),"No")</f>
        <v>No</v>
      </c>
      <c r="AM266" s="5"/>
      <c r="AN266" s="7" t="str">
        <f>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AO266" s="5"/>
      <c r="AP266" s="5"/>
      <c r="AQ266" s="5" t="b">
        <f>IFERROR(__xludf.DUMMYFUNCTION("""COMPUTED_VALUE"""),TRUE)</f>
        <v>1</v>
      </c>
      <c r="AR266" s="5"/>
      <c r="AS266" s="5" t="str">
        <f>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AT266" s="5"/>
      <c r="AU266" s="5" t="str">
        <f>IFERROR(__xludf.DUMMYFUNCTION("""COMPUTED_VALUE"""),"Fazi")</f>
        <v>Fazi</v>
      </c>
      <c r="AV266" s="5"/>
      <c r="AW266" s="5"/>
      <c r="AX266" s="5"/>
      <c r="AY266" s="5"/>
      <c r="AZ266" s="5"/>
      <c r="BA266" s="5"/>
      <c r="BB266" s="5" t="b">
        <f>IFERROR(__xludf.DUMMYFUNCTION("""COMPUTED_VALUE"""),TRUE)</f>
        <v>1</v>
      </c>
      <c r="BC266" s="5" t="str">
        <f>IFERROR(__xludf.DUMMYFUNCTION("""COMPUTED_VALUE"""),"Tiptop")</f>
        <v>Tiptop</v>
      </c>
      <c r="BD266" s="7" t="str">
        <f>IFERROR(__xludf.DUMMYFUNCTION("""COMPUTED_VALUE"""),"https://gameserver-store-client-area.orbionlimited.com/Home/IntegrationGameLaunch/client-area?moneyType=0&amp;gameName=Unicorn10JingleFruits&amp;platform=desktop&amp;languageCode=eng&amp;currency=EUR")</f>
        <v>https://gameserver-store-client-area.orbionlimited.com/Home/IntegrationGameLaunch/client-area?moneyType=0&amp;gameName=Unicorn10JingleFruits&amp;platform=desktop&amp;languageCode=eng&amp;currency=EUR</v>
      </c>
      <c r="BE266" s="5" t="b">
        <f>IFERROR(__xludf.DUMMYFUNCTION("""COMPUTED_VALUE"""),TRUE)</f>
        <v>1</v>
      </c>
    </row>
    <row r="267">
      <c r="A267" s="5">
        <f>IFERROR(__xludf.DUMMYFUNCTION("""COMPUTED_VALUE"""),267.0)</f>
        <v>267</v>
      </c>
      <c r="B267" s="5">
        <f>IFERROR(__xludf.DUMMYFUNCTION("""COMPUTED_VALUE"""),266.0)</f>
        <v>266</v>
      </c>
      <c r="C267" s="5" t="str">
        <f>IFERROR(__xludf.DUMMYFUNCTION("""COMPUTED_VALUE"""),"Fazi")</f>
        <v>Fazi</v>
      </c>
      <c r="D267" s="5" t="str">
        <f>IFERROR(__xludf.DUMMYFUNCTION("""COMPUTED_VALUE"""),"Winning Clover 5 Extreme")</f>
        <v>Winning Clover 5 Extreme</v>
      </c>
      <c r="E267" s="5" t="str">
        <f>IFERROR(__xludf.DUMMYFUNCTION("""COMPUTED_VALUE"""),"V4-1")</f>
        <v>V4-1</v>
      </c>
      <c r="F267" s="5" t="str">
        <f>IFERROR(__xludf.DUMMYFUNCTION("""COMPUTED_VALUE"""),"WinningClover5Extreme")</f>
        <v>WinningClover5Extreme</v>
      </c>
      <c r="G267" s="5" t="str">
        <f>IFERROR(__xludf.DUMMYFUNCTION("""COMPUTED_VALUE"""),"Live")</f>
        <v>Live</v>
      </c>
      <c r="H267" s="5"/>
      <c r="I267" s="5" t="str">
        <f>IFERROR(__xludf.DUMMYFUNCTION("""COMPUTED_VALUE"""),"V4")</f>
        <v>V4</v>
      </c>
      <c r="J267" s="5" t="str">
        <f>IFERROR(__xludf.DUMMYFUNCTION("""COMPUTED_VALUE"""),"JSON")</f>
        <v>JSON</v>
      </c>
      <c r="K267" s="5" t="str">
        <f>IFERROR(__xludf.DUMMYFUNCTION("""COMPUTED_VALUE"""),"Slot")</f>
        <v>Slot</v>
      </c>
      <c r="L267" s="5" t="str">
        <f>IFERROR(__xludf.DUMMYFUNCTION("""COMPUTED_VALUE"""),"Clone")</f>
        <v>Clone</v>
      </c>
      <c r="M267" s="5" t="str">
        <f>IFERROR(__xludf.DUMMYFUNCTION("""COMPUTED_VALUE"""),"Winning Clover 5")</f>
        <v>Winning Clover 5</v>
      </c>
      <c r="N267" s="5"/>
      <c r="O267" s="5"/>
      <c r="P267" s="12">
        <f>IFERROR(__xludf.DUMMYFUNCTION("""COMPUTED_VALUE"""),16.0)</f>
        <v>16</v>
      </c>
      <c r="Q267" s="13">
        <f>IFERROR(__xludf.DUMMYFUNCTION("""COMPUTED_VALUE"""),45251.0)</f>
        <v>45251</v>
      </c>
      <c r="R267" s="14"/>
      <c r="S267" s="13">
        <f>IFERROR(__xludf.DUMMYFUNCTION("""COMPUTED_VALUE"""),45251.0)</f>
        <v>45251</v>
      </c>
      <c r="T267" s="5" t="b">
        <f>IFERROR(__xludf.DUMMYFUNCTION("""COMPUTED_VALUE"""),TRUE)</f>
        <v>1</v>
      </c>
      <c r="U267" s="5" t="str">
        <f>IFERROR(__xludf.DUMMYFUNCTION("""COMPUTED_VALUE"""),"5x3")</f>
        <v>5x3</v>
      </c>
      <c r="V267" s="10" t="str">
        <f>IFERROR(__xludf.DUMMYFUNCTION("""COMPUTED_VALUE"""),"5")</f>
        <v>5</v>
      </c>
      <c r="W267" s="10" t="str">
        <f>IFERROR(__xludf.DUMMYFUNCTION("""COMPUTED_VALUE"""),"5")</f>
        <v>5</v>
      </c>
      <c r="X267" s="5">
        <f>IFERROR(__xludf.DUMMYFUNCTION("""COMPUTED_VALUE"""),96.5)</f>
        <v>96.5</v>
      </c>
      <c r="Y267" s="5" t="str">
        <f>IFERROR(__xludf.DUMMYFUNCTION("""COMPUTED_VALUE"""),"High")</f>
        <v>High</v>
      </c>
      <c r="Z267" s="5">
        <f>IFERROR(__xludf.DUMMYFUNCTION("""COMPUTED_VALUE"""),12.8)</f>
        <v>12.8</v>
      </c>
      <c r="AA267" s="12">
        <f>IFERROR(__xludf.DUMMYFUNCTION("""COMPUTED_VALUE"""),5000.0)</f>
        <v>5000</v>
      </c>
      <c r="AB267" s="5">
        <f>IFERROR(__xludf.DUMMYFUNCTION("""COMPUTED_VALUE"""),4.0)</f>
        <v>4</v>
      </c>
      <c r="AC267" s="5" t="str">
        <f>IFERROR(__xludf.DUMMYFUNCTION("""COMPUTED_VALUE"""),"Expanding Wild, Wild Multiplier, Scatter")</f>
        <v>Expanding Wild, Wild Multiplier, Scatter</v>
      </c>
      <c r="AD267" s="5" t="str">
        <f>IFERROR(__xludf.DUMMYFUNCTION("""COMPUTED_VALUE"""),"0.05/30")</f>
        <v>0.05/30</v>
      </c>
      <c r="AE267" s="5"/>
      <c r="AF267" s="5"/>
      <c r="AG267" s="8">
        <f>IFERROR(__xludf.DUMMYFUNCTION("""COMPUTED_VALUE"""),46238.46773148148)</f>
        <v>46238.46773</v>
      </c>
      <c r="AH267" s="5" t="str">
        <f>IFERROR(__xludf.DUMMYFUNCTION("""COMPUTED_VALUE"""),"milena.kocic@fazi.rs")</f>
        <v>milena.kocic@fazi.rs</v>
      </c>
      <c r="AI267" s="5"/>
      <c r="AJ267" s="5"/>
      <c r="AK267" s="5">
        <f>IFERROR(__xludf.DUMMYFUNCTION("""COMPUTED_VALUE"""),5.0)</f>
        <v>5</v>
      </c>
      <c r="AL267" s="5" t="str">
        <f>IFERROR(__xludf.DUMMYFUNCTION("""COMPUTED_VALUE"""),"Yes")</f>
        <v>Yes</v>
      </c>
      <c r="AM267" s="5"/>
      <c r="AN267" s="7" t="str">
        <f>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AO267" s="5" t="str">
        <f>IFERROR(__xludf.DUMMYFUNCTION("""COMPUTED_VALUE"""),"Yes")</f>
        <v>Yes</v>
      </c>
      <c r="AP267" s="5" t="str">
        <f>IFERROR(__xludf.DUMMYFUNCTION("""COMPUTED_VALUE"""),"Yes")</f>
        <v>Yes</v>
      </c>
      <c r="AQ267" s="5" t="b">
        <f>IFERROR(__xludf.DUMMYFUNCTION("""COMPUTED_VALUE"""),TRUE)</f>
        <v>1</v>
      </c>
      <c r="AR267" s="5"/>
      <c r="AS267" s="5" t="str">
        <f>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AT267" s="5" t="str">
        <f>IFERROR(__xludf.DUMMYFUNCTION("""COMPUTED_VALUE"""),"No")</f>
        <v>No</v>
      </c>
      <c r="AU267" s="5" t="str">
        <f>IFERROR(__xludf.DUMMYFUNCTION("""COMPUTED_VALUE"""),"Fazi")</f>
        <v>Fazi</v>
      </c>
      <c r="AV267" s="5"/>
      <c r="AW267" s="5" t="str">
        <f>IFERROR(__xludf.DUMMYFUNCTION("""COMPUTED_VALUE"""),"Testirano na platofrmi")</f>
        <v>Testirano na platofrmi</v>
      </c>
      <c r="AX267" s="5"/>
      <c r="AY267" s="5"/>
      <c r="AZ267" s="5"/>
      <c r="BA267" s="5"/>
      <c r="BB267" s="5"/>
      <c r="BC267" s="5" t="str">
        <f>IFERROR(__xludf.DUMMYFUNCTION("""COMPUTED_VALUE"""),"Foxi")</f>
        <v>Foxi</v>
      </c>
      <c r="BD267" s="7" t="str">
        <f>IFERROR(__xludf.DUMMYFUNCTION("""COMPUTED_VALUE"""),"https://gameserver-store-client-area.orbionlimited.com/Home/IntegrationGameLaunch/client-area?moneyType=0&amp;gameName=WinningClover5Extreme&amp;platform=desktop&amp;languageCode=eng&amp;currency=EUR")</f>
        <v>https://gameserver-store-client-area.orbionlimited.com/Home/IntegrationGameLaunch/client-area?moneyType=0&amp;gameName=WinningClover5Extreme&amp;platform=desktop&amp;languageCode=eng&amp;currency=EUR</v>
      </c>
      <c r="BE267" s="5" t="b">
        <f>IFERROR(__xludf.DUMMYFUNCTION("""COMPUTED_VALUE"""),TRUE)</f>
        <v>1</v>
      </c>
    </row>
    <row r="268">
      <c r="A268" s="5">
        <f>IFERROR(__xludf.DUMMYFUNCTION("""COMPUTED_VALUE"""),268.0)</f>
        <v>268</v>
      </c>
      <c r="B268" s="5">
        <f>IFERROR(__xludf.DUMMYFUNCTION("""COMPUTED_VALUE"""),267.0)</f>
        <v>267</v>
      </c>
      <c r="C268" s="5" t="str">
        <f>IFERROR(__xludf.DUMMYFUNCTION("""COMPUTED_VALUE"""),"Redstone")</f>
        <v>Redstone</v>
      </c>
      <c r="D268" s="5" t="str">
        <f>IFERROR(__xludf.DUMMYFUNCTION("""COMPUTED_VALUE"""),"Clover Blast 5")</f>
        <v>Clover Blast 5</v>
      </c>
      <c r="E268" s="5" t="str">
        <f>IFERROR(__xludf.DUMMYFUNCTION("""COMPUTED_VALUE"""),"Redstone")</f>
        <v>Redstone</v>
      </c>
      <c r="F268" s="5" t="str">
        <f>IFERROR(__xludf.DUMMYFUNCTION("""COMPUTED_VALUE"""),"CloverBlast5")</f>
        <v>CloverBlast5</v>
      </c>
      <c r="G268" s="5" t="str">
        <f>IFERROR(__xludf.DUMMYFUNCTION("""COMPUTED_VALUE"""),"Live")</f>
        <v>Live</v>
      </c>
      <c r="H268" s="5"/>
      <c r="I268" s="5" t="str">
        <f>IFERROR(__xludf.DUMMYFUNCTION("""COMPUTED_VALUE"""),"Redstone")</f>
        <v>Redstone</v>
      </c>
      <c r="J268" s="5" t="str">
        <f>IFERROR(__xludf.DUMMYFUNCTION("""COMPUTED_VALUE"""),"JSON")</f>
        <v>JSON</v>
      </c>
      <c r="K268" s="5" t="str">
        <f>IFERROR(__xludf.DUMMYFUNCTION("""COMPUTED_VALUE"""),"Slot")</f>
        <v>Slot</v>
      </c>
      <c r="L268" s="5" t="str">
        <f>IFERROR(__xludf.DUMMYFUNCTION("""COMPUTED_VALUE"""),"Master")</f>
        <v>Master</v>
      </c>
      <c r="M268" s="5"/>
      <c r="N268" s="7" t="str">
        <f>IFERROR(__xludf.DUMMYFUNCTION("""COMPUTED_VALUE"""),"https://docs.google.com/document/d/1-DcLI-tOHLxDhFJu89mRnLghXEFFzgNY/edit?usp=drive_link&amp;ouid=107596163405648766688&amp;rtpof=true&amp;sd=true")</f>
        <v>https://docs.google.com/document/d/1-DcLI-tOHLxDhFJu89mRnLghXEFFzgNY/edit?usp=drive_link&amp;ouid=107596163405648766688&amp;rtpof=true&amp;sd=true</v>
      </c>
      <c r="O268" s="7" t="str">
        <f>IFERROR(__xludf.DUMMYFUNCTION("""COMPUTED_VALUE"""),"https://docs.google.com/document/d/1JRWwKCTfAAr13XFrmwOPqrlKDi2Z5V4W/edit?usp=drive_link&amp;ouid=107596163405648766688&amp;rtpof=true&amp;sd=true")</f>
        <v>https://docs.google.com/document/d/1JRWwKCTfAAr13XFrmwOPqrlKDi2Z5V4W/edit?usp=drive_link&amp;ouid=107596163405648766688&amp;rtpof=true&amp;sd=true</v>
      </c>
      <c r="P268" s="12">
        <f>IFERROR(__xludf.DUMMYFUNCTION("""COMPUTED_VALUE"""),8.8)</f>
        <v>8.8</v>
      </c>
      <c r="Q268" s="13">
        <f>IFERROR(__xludf.DUMMYFUNCTION("""COMPUTED_VALUE"""),45172.0)</f>
        <v>45172</v>
      </c>
      <c r="R268" s="14"/>
      <c r="S268" s="13">
        <f>IFERROR(__xludf.DUMMYFUNCTION("""COMPUTED_VALUE"""),45172.0)</f>
        <v>45172</v>
      </c>
      <c r="T268" s="5" t="b">
        <f>IFERROR(__xludf.DUMMYFUNCTION("""COMPUTED_VALUE"""),TRUE)</f>
        <v>1</v>
      </c>
      <c r="U268" s="5" t="str">
        <f>IFERROR(__xludf.DUMMYFUNCTION("""COMPUTED_VALUE"""),"5x3")</f>
        <v>5x3</v>
      </c>
      <c r="V268" s="10" t="str">
        <f>IFERROR(__xludf.DUMMYFUNCTION("""COMPUTED_VALUE"""),"5")</f>
        <v>5</v>
      </c>
      <c r="W268" s="10" t="str">
        <f>IFERROR(__xludf.DUMMYFUNCTION("""COMPUTED_VALUE"""),"5")</f>
        <v>5</v>
      </c>
      <c r="X268" s="5">
        <f>IFERROR(__xludf.DUMMYFUNCTION("""COMPUTED_VALUE"""),96.2)</f>
        <v>96.2</v>
      </c>
      <c r="Y268" s="5" t="str">
        <f>IFERROR(__xludf.DUMMYFUNCTION("""COMPUTED_VALUE"""),"Medium")</f>
        <v>Medium</v>
      </c>
      <c r="Z268" s="5">
        <f>IFERROR(__xludf.DUMMYFUNCTION("""COMPUTED_VALUE"""),11.91)</f>
        <v>11.91</v>
      </c>
      <c r="AA268" s="12">
        <f>IFERROR(__xludf.DUMMYFUNCTION("""COMPUTED_VALUE"""),2000.0)</f>
        <v>2000</v>
      </c>
      <c r="AB268" s="5"/>
      <c r="AC268" s="5" t="str">
        <f>IFERROR(__xludf.DUMMYFUNCTION("""COMPUTED_VALUE"""),"Expanding Wild")</f>
        <v>Expanding Wild</v>
      </c>
      <c r="AD268" s="5" t="str">
        <f>IFERROR(__xludf.DUMMYFUNCTION("""COMPUTED_VALUE"""),"0.01/50")</f>
        <v>0.01/50</v>
      </c>
      <c r="AE268" s="5"/>
      <c r="AF268" s="5"/>
      <c r="AG268" s="8">
        <f>IFERROR(__xludf.DUMMYFUNCTION("""COMPUTED_VALUE"""),46157.47521990741)</f>
        <v>46157.47522</v>
      </c>
      <c r="AH268" s="5"/>
      <c r="AI268" s="5"/>
      <c r="AJ268" s="5"/>
      <c r="AK268" s="5">
        <f>IFERROR(__xludf.DUMMYFUNCTION("""COMPUTED_VALUE"""),1.0)</f>
        <v>1</v>
      </c>
      <c r="AL268" s="5" t="str">
        <f>IFERROR(__xludf.DUMMYFUNCTION("""COMPUTED_VALUE"""),"No")</f>
        <v>No</v>
      </c>
      <c r="AM268" s="5" t="str">
        <f>IFERROR(__xludf.DUMMYFUNCTION("""COMPUTED_VALUE"""),"No")</f>
        <v>No</v>
      </c>
      <c r="AN268" s="7" t="str">
        <f>IFERROR(__xludf.DUMMYFUNCTION("""COMPUTED_VALUE"""),"https://play.redstone.rs/games/clover-blast-5/index.html")</f>
        <v>https://play.redstone.rs/games/clover-blast-5/index.html</v>
      </c>
      <c r="AO268" s="5" t="str">
        <f>IFERROR(__xludf.DUMMYFUNCTION("""COMPUTED_VALUE"""),"No")</f>
        <v>No</v>
      </c>
      <c r="AP268" s="5" t="str">
        <f>IFERROR(__xludf.DUMMYFUNCTION("""COMPUTED_VALUE"""),"No")</f>
        <v>No</v>
      </c>
      <c r="AQ268" s="5" t="b">
        <f>IFERROR(__xludf.DUMMYFUNCTION("""COMPUTED_VALUE"""),TRUE)</f>
        <v>1</v>
      </c>
      <c r="AR268" s="5"/>
      <c r="AS268" s="5" t="str">
        <f>IFERROR(__xludf.DUMMYFUNCTION("""COMPUTED_VALUE"""),"Immerse yourself in the glamorous atmosphere, where the clover expands on all five reels for incredible winnings!")</f>
        <v>Immerse yourself in the glamorous atmosphere, where the clover expands on all five reels for incredible winnings!</v>
      </c>
      <c r="AT268" s="5"/>
      <c r="AU268" s="5" t="str">
        <f>IFERROR(__xludf.DUMMYFUNCTION("""COMPUTED_VALUE"""),"Redstone")</f>
        <v>Redstone</v>
      </c>
      <c r="AV268" s="5"/>
      <c r="AW268" s="5"/>
      <c r="AX268" s="5"/>
      <c r="AY268" s="5"/>
      <c r="AZ268" s="5"/>
      <c r="BA268" s="5"/>
      <c r="BB268" s="5" t="b">
        <f>IFERROR(__xludf.DUMMYFUNCTION("""COMPUTED_VALUE"""),TRUE)</f>
        <v>1</v>
      </c>
      <c r="BC268" s="5" t="str">
        <f>IFERROR(__xludf.DUMMYFUNCTION("""COMPUTED_VALUE"""),"Redstone")</f>
        <v>Redstone</v>
      </c>
      <c r="BD268" s="7" t="str">
        <f>IFERROR(__xludf.DUMMYFUNCTION("""COMPUTED_VALUE"""),"https://play.redstone.rs/games/clover-blast-5/index.html")</f>
        <v>https://play.redstone.rs/games/clover-blast-5/index.html</v>
      </c>
      <c r="BE268" s="5" t="b">
        <f>IFERROR(__xludf.DUMMYFUNCTION("""COMPUTED_VALUE"""),TRUE)</f>
        <v>1</v>
      </c>
    </row>
    <row r="269">
      <c r="A269" s="5">
        <f>IFERROR(__xludf.DUMMYFUNCTION("""COMPUTED_VALUE"""),269.0)</f>
        <v>269</v>
      </c>
      <c r="B269" s="5">
        <f>IFERROR(__xludf.DUMMYFUNCTION("""COMPUTED_VALUE"""),268.0)</f>
        <v>268</v>
      </c>
      <c r="C269" s="5" t="str">
        <f>IFERROR(__xludf.DUMMYFUNCTION("""COMPUTED_VALUE"""),"Fazi")</f>
        <v>Fazi</v>
      </c>
      <c r="D269" s="5" t="str">
        <f>IFERROR(__xludf.DUMMYFUNCTION("""COMPUTED_VALUE"""),"Wild Hot 40 Dice")</f>
        <v>Wild Hot 40 Dice</v>
      </c>
      <c r="E269" s="5" t="str">
        <f>IFERROR(__xludf.DUMMYFUNCTION("""COMPUTED_VALUE"""),"V2")</f>
        <v>V2</v>
      </c>
      <c r="F269" s="5" t="str">
        <f>IFERROR(__xludf.DUMMYFUNCTION("""COMPUTED_VALUE"""),"WildHot40Dice")</f>
        <v>WildHot40Dice</v>
      </c>
      <c r="G269" s="5" t="str">
        <f>IFERROR(__xludf.DUMMYFUNCTION("""COMPUTED_VALUE"""),"Live")</f>
        <v>Live</v>
      </c>
      <c r="H269" s="5"/>
      <c r="I269" s="5" t="str">
        <f>IFERROR(__xludf.DUMMYFUNCTION("""COMPUTED_VALUE"""),"V2")</f>
        <v>V2</v>
      </c>
      <c r="J269" s="5" t="str">
        <f>IFERROR(__xludf.DUMMYFUNCTION("""COMPUTED_VALUE"""),"Binary")</f>
        <v>Binary</v>
      </c>
      <c r="K269" s="5" t="str">
        <f>IFERROR(__xludf.DUMMYFUNCTION("""COMPUTED_VALUE"""),"Slot")</f>
        <v>Slot</v>
      </c>
      <c r="L269" s="5"/>
      <c r="M269" s="5"/>
      <c r="N269" s="5"/>
      <c r="O269" s="5"/>
      <c r="P269" s="12">
        <f>IFERROR(__xludf.DUMMYFUNCTION("""COMPUTED_VALUE"""),23.2)</f>
        <v>23.2</v>
      </c>
      <c r="Q269" s="13">
        <f>IFERROR(__xludf.DUMMYFUNCTION("""COMPUTED_VALUE"""),45239.0)</f>
        <v>45239</v>
      </c>
      <c r="R269" s="14"/>
      <c r="S269" s="13">
        <f>IFERROR(__xludf.DUMMYFUNCTION("""COMPUTED_VALUE"""),45239.0)</f>
        <v>45239</v>
      </c>
      <c r="T269" s="5"/>
      <c r="U269" s="5" t="str">
        <f>IFERROR(__xludf.DUMMYFUNCTION("""COMPUTED_VALUE"""),"5x4")</f>
        <v>5x4</v>
      </c>
      <c r="V269" s="10" t="str">
        <f>IFERROR(__xludf.DUMMYFUNCTION("""COMPUTED_VALUE"""),"40")</f>
        <v>40</v>
      </c>
      <c r="W269" s="10" t="str">
        <f>IFERROR(__xludf.DUMMYFUNCTION("""COMPUTED_VALUE"""),"40")</f>
        <v>40</v>
      </c>
      <c r="X269" s="5">
        <f>IFERROR(__xludf.DUMMYFUNCTION("""COMPUTED_VALUE"""),96.584)</f>
        <v>96.584</v>
      </c>
      <c r="Y269" s="5" t="str">
        <f>IFERROR(__xludf.DUMMYFUNCTION("""COMPUTED_VALUE"""),"Low")</f>
        <v>Low</v>
      </c>
      <c r="Z269" s="5">
        <f>IFERROR(__xludf.DUMMYFUNCTION("""COMPUTED_VALUE"""),16.73)</f>
        <v>16.73</v>
      </c>
      <c r="AA269" s="12">
        <f>IFERROR(__xludf.DUMMYFUNCTION("""COMPUTED_VALUE"""),1000.0)</f>
        <v>1000</v>
      </c>
      <c r="AB269" s="5" t="str">
        <f>IFERROR(__xludf.DUMMYFUNCTION("""COMPUTED_VALUE"""),"/")</f>
        <v>/</v>
      </c>
      <c r="AC269" s="5" t="str">
        <f>IFERROR(__xludf.DUMMYFUNCTION("""COMPUTED_VALUE"""),"Wild Symbol, Scatter, Exploding Wild")</f>
        <v>Wild Symbol, Scatter, Exploding Wild</v>
      </c>
      <c r="AD269" s="5" t="str">
        <f>IFERROR(__xludf.DUMMYFUNCTION("""COMPUTED_VALUE"""),"0.4/60")</f>
        <v>0.4/60</v>
      </c>
      <c r="AE269" s="5"/>
      <c r="AF269" s="5"/>
      <c r="AG269" s="8">
        <f>IFERROR(__xludf.DUMMYFUNCTION("""COMPUTED_VALUE"""),46055.52210648148)</f>
        <v>46055.52211</v>
      </c>
      <c r="AH269" s="5" t="str">
        <f>IFERROR(__xludf.DUMMYFUNCTION("""COMPUTED_VALUE"""),"djordje.jankovic@fazi.rs")</f>
        <v>djordje.jankovic@fazi.rs</v>
      </c>
      <c r="AI269" s="5"/>
      <c r="AJ269" s="5"/>
      <c r="AK269" s="5">
        <f>IFERROR(__xludf.DUMMYFUNCTION("""COMPUTED_VALUE"""),40.0)</f>
        <v>40</v>
      </c>
      <c r="AL269" s="5" t="str">
        <f>IFERROR(__xludf.DUMMYFUNCTION("""COMPUTED_VALUE"""),"Yes")</f>
        <v>Yes</v>
      </c>
      <c r="AM269" s="5"/>
      <c r="AN269" s="7" t="str">
        <f>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AO269" s="5"/>
      <c r="AP269" s="5"/>
      <c r="AQ269" s="5" t="b">
        <f>IFERROR(__xludf.DUMMYFUNCTION("""COMPUTED_VALUE"""),TRUE)</f>
        <v>1</v>
      </c>
      <c r="AR269" s="5"/>
      <c r="AS269" s="5" t="str">
        <f>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AT269" s="5"/>
      <c r="AU269" s="5" t="str">
        <f>IFERROR(__xludf.DUMMYFUNCTION("""COMPUTED_VALUE"""),"Fazi")</f>
        <v>Fazi</v>
      </c>
      <c r="AV269" s="5"/>
      <c r="AW269" s="5"/>
      <c r="AX269" s="5"/>
      <c r="AY269" s="5"/>
      <c r="AZ269" s="5"/>
      <c r="BA269" s="5" t="str">
        <f>IFERROR(__xludf.DUMMYFUNCTION("""COMPUTED_VALUE"""),"")</f>
        <v/>
      </c>
      <c r="BB269" s="5"/>
      <c r="BC269" s="5" t="str">
        <f>IFERROR(__xludf.DUMMYFUNCTION("""COMPUTED_VALUE"""),"Foxi")</f>
        <v>Foxi</v>
      </c>
      <c r="BD269" s="7" t="str">
        <f>IFERROR(__xludf.DUMMYFUNCTION("""COMPUTED_VALUE"""),"https://gameserver-store-client-area.orbionlimited.com/Home/IntegrationGameLaunch/client-area?moneyType=0&amp;gameName=WildHot40Dice&amp;platform=desktop&amp;languageCode=eng&amp;currency=EUR")</f>
        <v>https://gameserver-store-client-area.orbionlimited.com/Home/IntegrationGameLaunch/client-area?moneyType=0&amp;gameName=WildHot40Dice&amp;platform=desktop&amp;languageCode=eng&amp;currency=EUR</v>
      </c>
      <c r="BE269" s="5" t="b">
        <f>IFERROR(__xludf.DUMMYFUNCTION("""COMPUTED_VALUE"""),TRUE)</f>
        <v>1</v>
      </c>
    </row>
    <row r="270">
      <c r="A270" s="5">
        <f>IFERROR(__xludf.DUMMYFUNCTION("""COMPUTED_VALUE"""),270.0)</f>
        <v>270</v>
      </c>
      <c r="B270" s="5">
        <f>IFERROR(__xludf.DUMMYFUNCTION("""COMPUTED_VALUE"""),269.0)</f>
        <v>269</v>
      </c>
      <c r="C270" s="5" t="str">
        <f>IFERROR(__xludf.DUMMYFUNCTION("""COMPUTED_VALUE"""),"Tiptop")</f>
        <v>Tiptop</v>
      </c>
      <c r="D270" s="5" t="str">
        <f>IFERROR(__xludf.DUMMYFUNCTION("""COMPUTED_VALUE"""),"Gold Line")</f>
        <v>Gold Line</v>
      </c>
      <c r="E270" s="5"/>
      <c r="F270" s="5" t="str">
        <f>IFERROR(__xludf.DUMMYFUNCTION("""COMPUTED_VALUE"""),"UnicornGoldLine")</f>
        <v>UnicornGoldLine</v>
      </c>
      <c r="G270" s="5" t="str">
        <f>IFERROR(__xludf.DUMMYFUNCTION("""COMPUTED_VALUE"""),"Live")</f>
        <v>Live</v>
      </c>
      <c r="H270" s="5"/>
      <c r="I270" s="5" t="str">
        <f>IFERROR(__xludf.DUMMYFUNCTION("""COMPUTED_VALUE"""),"TipTop")</f>
        <v>TipTop</v>
      </c>
      <c r="J270" s="5" t="str">
        <f>IFERROR(__xludf.DUMMYFUNCTION("""COMPUTED_VALUE"""),"JSON")</f>
        <v>JSON</v>
      </c>
      <c r="K270" s="5" t="str">
        <f>IFERROR(__xludf.DUMMYFUNCTION("""COMPUTED_VALUE"""),"Slot")</f>
        <v>Slot</v>
      </c>
      <c r="L270" s="5"/>
      <c r="M270" s="5"/>
      <c r="N270" s="5"/>
      <c r="O270" s="5"/>
      <c r="P270" s="12">
        <f>IFERROR(__xludf.DUMMYFUNCTION("""COMPUTED_VALUE"""),12.3)</f>
        <v>12.3</v>
      </c>
      <c r="Q270" s="13">
        <f>IFERROR(__xludf.DUMMYFUNCTION("""COMPUTED_VALUE"""),45372.0)</f>
        <v>45372</v>
      </c>
      <c r="R270" s="14"/>
      <c r="S270" s="13">
        <f>IFERROR(__xludf.DUMMYFUNCTION("""COMPUTED_VALUE"""),45372.0)</f>
        <v>45372</v>
      </c>
      <c r="T270" s="5" t="b">
        <f>IFERROR(__xludf.DUMMYFUNCTION("""COMPUTED_VALUE"""),TRUE)</f>
        <v>1</v>
      </c>
      <c r="U270" s="5" t="str">
        <f>IFERROR(__xludf.DUMMYFUNCTION("""COMPUTED_VALUE"""),"5X3")</f>
        <v>5X3</v>
      </c>
      <c r="V270" s="10" t="str">
        <f>IFERROR(__xludf.DUMMYFUNCTION("""COMPUTED_VALUE"""),"20")</f>
        <v>20</v>
      </c>
      <c r="W270" s="10" t="str">
        <f>IFERROR(__xludf.DUMMYFUNCTION("""COMPUTED_VALUE"""),"10(+1) Fixed Lines")</f>
        <v>10(+1) Fixed Lines</v>
      </c>
      <c r="X270" s="5">
        <f>IFERROR(__xludf.DUMMYFUNCTION("""COMPUTED_VALUE"""),96.0)</f>
        <v>96</v>
      </c>
      <c r="Y270" s="5" t="str">
        <f>IFERROR(__xludf.DUMMYFUNCTION("""COMPUTED_VALUE"""),"Low")</f>
        <v>Low</v>
      </c>
      <c r="Z270" s="5">
        <f>IFERROR(__xludf.DUMMYFUNCTION("""COMPUTED_VALUE"""),17.39)</f>
        <v>17.39</v>
      </c>
      <c r="AA270" s="12">
        <f>IFERROR(__xludf.DUMMYFUNCTION("""COMPUTED_VALUE"""),10000.0)</f>
        <v>10000</v>
      </c>
      <c r="AB270" s="5"/>
      <c r="AC270" s="5" t="str">
        <f>IFERROR(__xludf.DUMMYFUNCTION("""COMPUTED_VALUE"""),"Win Multiplier")</f>
        <v>Win Multiplier</v>
      </c>
      <c r="AD270" s="5" t="str">
        <f>IFERROR(__xludf.DUMMYFUNCTION("""COMPUTED_VALUE"""),"0.2/100")</f>
        <v>0.2/100</v>
      </c>
      <c r="AE270" s="5"/>
      <c r="AF270" s="5"/>
      <c r="AG270" s="8">
        <f>IFERROR(__xludf.DUMMYFUNCTION("""COMPUTED_VALUE"""),46197.4624537037)</f>
        <v>46197.46245</v>
      </c>
      <c r="AH270" s="5" t="str">
        <f>IFERROR(__xludf.DUMMYFUNCTION("""COMPUTED_VALUE"""),"selena.mihajlovic@fazi.rs")</f>
        <v>selena.mihajlovic@fazi.rs</v>
      </c>
      <c r="AI270" s="5"/>
      <c r="AJ270" s="5"/>
      <c r="AK270" s="5">
        <f>IFERROR(__xludf.DUMMYFUNCTION("""COMPUTED_VALUE"""),20.0)</f>
        <v>20</v>
      </c>
      <c r="AL270" s="5" t="str">
        <f>IFERROR(__xludf.DUMMYFUNCTION("""COMPUTED_VALUE"""),"No")</f>
        <v>No</v>
      </c>
      <c r="AM270" s="5"/>
      <c r="AN270" s="7" t="str">
        <f>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AO270" s="5"/>
      <c r="AP270" s="5"/>
      <c r="AQ270" s="5" t="b">
        <f>IFERROR(__xludf.DUMMYFUNCTION("""COMPUTED_VALUE"""),TRUE)</f>
        <v>1</v>
      </c>
      <c r="AR270" s="5"/>
      <c r="AS270" s="5" t="str">
        <f>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270" s="5"/>
      <c r="AU270" s="5" t="str">
        <f>IFERROR(__xludf.DUMMYFUNCTION("""COMPUTED_VALUE"""),"Fazi")</f>
        <v>Fazi</v>
      </c>
      <c r="AV270" s="5"/>
      <c r="AW270" s="5"/>
      <c r="AX270" s="5"/>
      <c r="AY270" s="5"/>
      <c r="AZ270" s="5"/>
      <c r="BA270" s="5"/>
      <c r="BB270" s="5" t="b">
        <f>IFERROR(__xludf.DUMMYFUNCTION("""COMPUTED_VALUE"""),TRUE)</f>
        <v>1</v>
      </c>
      <c r="BC270" s="5" t="str">
        <f>IFERROR(__xludf.DUMMYFUNCTION("""COMPUTED_VALUE"""),"Tiptop")</f>
        <v>Tiptop</v>
      </c>
      <c r="BD270" s="7" t="str">
        <f>IFERROR(__xludf.DUMMYFUNCTION("""COMPUTED_VALUE"""),"https://gameserver-store-client-area.orbionlimited.com/Home/IntegrationGameLaunch/client-area?moneyType=0&amp;gameName=UnicornGoldLine&amp;platform=desktop&amp;languageCode=eng&amp;currency=EUR")</f>
        <v>https://gameserver-store-client-area.orbionlimited.com/Home/IntegrationGameLaunch/client-area?moneyType=0&amp;gameName=UnicornGoldLine&amp;platform=desktop&amp;languageCode=eng&amp;currency=EUR</v>
      </c>
      <c r="BE270" s="5" t="b">
        <f>IFERROR(__xludf.DUMMYFUNCTION("""COMPUTED_VALUE"""),TRUE)</f>
        <v>1</v>
      </c>
    </row>
    <row r="271">
      <c r="A271" s="5">
        <f>IFERROR(__xludf.DUMMYFUNCTION("""COMPUTED_VALUE"""),271.0)</f>
        <v>271</v>
      </c>
      <c r="B271" s="5">
        <f>IFERROR(__xludf.DUMMYFUNCTION("""COMPUTED_VALUE"""),270.0)</f>
        <v>270</v>
      </c>
      <c r="C271" s="5" t="str">
        <f>IFERROR(__xludf.DUMMYFUNCTION("""COMPUTED_VALUE"""),"Fazi")</f>
        <v>Fazi</v>
      </c>
      <c r="D271" s="5" t="str">
        <f>IFERROR(__xludf.DUMMYFUNCTION("""COMPUTED_VALUE"""),"Hot Line 1X")</f>
        <v>Hot Line 1X</v>
      </c>
      <c r="E271" s="5" t="str">
        <f>IFERROR(__xludf.DUMMYFUNCTION("""COMPUTED_VALUE"""),"V2")</f>
        <v>V2</v>
      </c>
      <c r="F271" s="5" t="str">
        <f>IFERROR(__xludf.DUMMYFUNCTION("""COMPUTED_VALUE"""),"HotLine1X")</f>
        <v>HotLine1X</v>
      </c>
      <c r="G271" s="5" t="str">
        <f>IFERROR(__xludf.DUMMYFUNCTION("""COMPUTED_VALUE"""),"Live")</f>
        <v>Live</v>
      </c>
      <c r="H271" s="5" t="str">
        <f>IFERROR(__xludf.DUMMYFUNCTION("""COMPUTED_VALUE"""),"1xbet1 - Chigwell")</f>
        <v>1xbet1 - Chigwell</v>
      </c>
      <c r="I271" s="5" t="str">
        <f>IFERROR(__xludf.DUMMYFUNCTION("""COMPUTED_VALUE"""),"V2")</f>
        <v>V2</v>
      </c>
      <c r="J271" s="5" t="str">
        <f>IFERROR(__xludf.DUMMYFUNCTION("""COMPUTED_VALUE"""),"Binary")</f>
        <v>Binary</v>
      </c>
      <c r="K271" s="5" t="str">
        <f>IFERROR(__xludf.DUMMYFUNCTION("""COMPUTED_VALUE"""),"Slot")</f>
        <v>Slot</v>
      </c>
      <c r="L271" s="5" t="str">
        <f>IFERROR(__xludf.DUMMYFUNCTION("""COMPUTED_VALUE"""),"Clone")</f>
        <v>Clone</v>
      </c>
      <c r="M271" s="5" t="str">
        <f>IFERROR(__xludf.DUMMYFUNCTION("""COMPUTED_VALUE"""),"Bursting Hot 5")</f>
        <v>Bursting Hot 5</v>
      </c>
      <c r="N271" s="5"/>
      <c r="O271" s="5"/>
      <c r="P271" s="12"/>
      <c r="Q271" s="13">
        <f>IFERROR(__xludf.DUMMYFUNCTION("""COMPUTED_VALUE"""),43831.0)</f>
        <v>43831</v>
      </c>
      <c r="R271" s="14"/>
      <c r="S271" s="13">
        <f>IFERROR(__xludf.DUMMYFUNCTION("""COMPUTED_VALUE"""),43831.0)</f>
        <v>43831</v>
      </c>
      <c r="T271" s="5"/>
      <c r="U271" s="5" t="str">
        <f>IFERROR(__xludf.DUMMYFUNCTION("""COMPUTED_VALUE"""),"5x3")</f>
        <v>5x3</v>
      </c>
      <c r="V271" s="10" t="str">
        <f>IFERROR(__xludf.DUMMYFUNCTION("""COMPUTED_VALUE"""),"5")</f>
        <v>5</v>
      </c>
      <c r="W271" s="10" t="str">
        <f>IFERROR(__xludf.DUMMYFUNCTION("""COMPUTED_VALUE"""),"5")</f>
        <v>5</v>
      </c>
      <c r="X271" s="5">
        <f>IFERROR(__xludf.DUMMYFUNCTION("""COMPUTED_VALUE"""),96.447)</f>
        <v>96.447</v>
      </c>
      <c r="Y271" s="5" t="str">
        <f>IFERROR(__xludf.DUMMYFUNCTION("""COMPUTED_VALUE"""),"Medium")</f>
        <v>Medium</v>
      </c>
      <c r="Z271" s="5">
        <f>IFERROR(__xludf.DUMMYFUNCTION("""COMPUTED_VALUE"""),14.510000000000002)</f>
        <v>14.51</v>
      </c>
      <c r="AA271" s="12">
        <f>IFERROR(__xludf.DUMMYFUNCTION("""COMPUTED_VALUE"""),1222.0)</f>
        <v>1222</v>
      </c>
      <c r="AB271" s="5">
        <f>IFERROR(__xludf.DUMMYFUNCTION("""COMPUTED_VALUE"""),4.0)</f>
        <v>4</v>
      </c>
      <c r="AC271" s="5" t="str">
        <f>IFERROR(__xludf.DUMMYFUNCTION("""COMPUTED_VALUE"""),"Scatter, Expanding Wild")</f>
        <v>Scatter, Expanding Wild</v>
      </c>
      <c r="AD271" s="5"/>
      <c r="AE271" s="5"/>
      <c r="AF271" s="5"/>
      <c r="AG271" s="8">
        <f>IFERROR(__xludf.DUMMYFUNCTION("""COMPUTED_VALUE"""),46020.5216087963)</f>
        <v>46020.52161</v>
      </c>
      <c r="AH271" s="5" t="str">
        <f>IFERROR(__xludf.DUMMYFUNCTION("""COMPUTED_VALUE"""),"djordje.jankovic@fazi.rs")</f>
        <v>djordje.jankovic@fazi.rs</v>
      </c>
      <c r="AI271" s="5"/>
      <c r="AJ271" s="5"/>
      <c r="AK271" s="5">
        <f>IFERROR(__xludf.DUMMYFUNCTION("""COMPUTED_VALUE"""),5.0)</f>
        <v>5</v>
      </c>
      <c r="AL271" s="5" t="str">
        <f>IFERROR(__xludf.DUMMYFUNCTION("""COMPUTED_VALUE"""),"Yes")</f>
        <v>Yes</v>
      </c>
      <c r="AM271" s="5"/>
      <c r="AN271" s="5"/>
      <c r="AO271" s="5"/>
      <c r="AP271" s="5"/>
      <c r="AQ271" s="5"/>
      <c r="AR271" s="5" t="b">
        <f>IFERROR(__xludf.DUMMYFUNCTION("""COMPUTED_VALUE"""),TRUE)</f>
        <v>1</v>
      </c>
      <c r="AS271" s="5"/>
      <c r="AT271" s="5"/>
      <c r="AU271" s="5" t="str">
        <f>IFERROR(__xludf.DUMMYFUNCTION("""COMPUTED_VALUE"""),"Fazi")</f>
        <v>Fazi</v>
      </c>
      <c r="AV271" s="5"/>
      <c r="AW271" s="5"/>
      <c r="AX271" s="5"/>
      <c r="AY271" s="5"/>
      <c r="AZ271" s="5"/>
      <c r="BA271" s="5" t="str">
        <f>IFERROR(__xludf.DUMMYFUNCTION("""COMPUTED_VALUE"""),"")</f>
        <v/>
      </c>
      <c r="BB271" s="5"/>
      <c r="BC271" s="5" t="str">
        <f>IFERROR(__xludf.DUMMYFUNCTION("""COMPUTED_VALUE"""),"Foxi")</f>
        <v>Foxi</v>
      </c>
      <c r="BD271" s="5" t="str">
        <f>IFERROR(__xludf.DUMMYFUNCTION("""COMPUTED_VALUE"""),"")</f>
        <v/>
      </c>
      <c r="BE271" s="5"/>
    </row>
    <row r="272">
      <c r="A272" s="5">
        <f>IFERROR(__xludf.DUMMYFUNCTION("""COMPUTED_VALUE"""),272.0)</f>
        <v>272</v>
      </c>
      <c r="B272" s="5">
        <f>IFERROR(__xludf.DUMMYFUNCTION("""COMPUTED_VALUE"""),271.0)</f>
        <v>271</v>
      </c>
      <c r="C272" s="5" t="str">
        <f>IFERROR(__xludf.DUMMYFUNCTION("""COMPUTED_VALUE"""),"Fazi")</f>
        <v>Fazi</v>
      </c>
      <c r="D272" s="5" t="str">
        <f>IFERROR(__xludf.DUMMYFUNCTION("""COMPUTED_VALUE"""),"Wild Hot 40 Blow Dice")</f>
        <v>Wild Hot 40 Blow Dice</v>
      </c>
      <c r="E272" s="5" t="str">
        <f>IFERROR(__xludf.DUMMYFUNCTION("""COMPUTED_VALUE"""),"V2")</f>
        <v>V2</v>
      </c>
      <c r="F272" s="5" t="str">
        <f>IFERROR(__xludf.DUMMYFUNCTION("""COMPUTED_VALUE"""),"WildHot40BlowDice")</f>
        <v>WildHot40BlowDice</v>
      </c>
      <c r="G272" s="5" t="str">
        <f>IFERROR(__xludf.DUMMYFUNCTION("""COMPUTED_VALUE"""),"Live")</f>
        <v>Live</v>
      </c>
      <c r="H272" s="5"/>
      <c r="I272" s="5" t="str">
        <f>IFERROR(__xludf.DUMMYFUNCTION("""COMPUTED_VALUE"""),"V2")</f>
        <v>V2</v>
      </c>
      <c r="J272" s="5" t="str">
        <f>IFERROR(__xludf.DUMMYFUNCTION("""COMPUTED_VALUE"""),"Binary")</f>
        <v>Binary</v>
      </c>
      <c r="K272" s="5" t="str">
        <f>IFERROR(__xludf.DUMMYFUNCTION("""COMPUTED_VALUE"""),"Slot")</f>
        <v>Slot</v>
      </c>
      <c r="L272" s="5" t="str">
        <f>IFERROR(__xludf.DUMMYFUNCTION("""COMPUTED_VALUE"""),"Clone")</f>
        <v>Clone</v>
      </c>
      <c r="M272" s="5" t="str">
        <f>IFERROR(__xludf.DUMMYFUNCTION("""COMPUTED_VALUE"""),"Wild Hot 40 Blow")</f>
        <v>Wild Hot 40 Blow</v>
      </c>
      <c r="N272" s="5"/>
      <c r="O272" s="5"/>
      <c r="P272" s="12">
        <f>IFERROR(__xludf.DUMMYFUNCTION("""COMPUTED_VALUE"""),26.3)</f>
        <v>26.3</v>
      </c>
      <c r="Q272" s="13">
        <f>IFERROR(__xludf.DUMMYFUNCTION("""COMPUTED_VALUE"""),45239.0)</f>
        <v>45239</v>
      </c>
      <c r="R272" s="14"/>
      <c r="S272" s="13">
        <f>IFERROR(__xludf.DUMMYFUNCTION("""COMPUTED_VALUE"""),45239.0)</f>
        <v>45239</v>
      </c>
      <c r="T272" s="5" t="b">
        <f>IFERROR(__xludf.DUMMYFUNCTION("""COMPUTED_VALUE"""),TRUE)</f>
        <v>1</v>
      </c>
      <c r="U272" s="5" t="str">
        <f>IFERROR(__xludf.DUMMYFUNCTION("""COMPUTED_VALUE"""),"5x4")</f>
        <v>5x4</v>
      </c>
      <c r="V272" s="10" t="str">
        <f>IFERROR(__xludf.DUMMYFUNCTION("""COMPUTED_VALUE"""),"40")</f>
        <v>40</v>
      </c>
      <c r="W272" s="10" t="str">
        <f>IFERROR(__xludf.DUMMYFUNCTION("""COMPUTED_VALUE"""),"40")</f>
        <v>40</v>
      </c>
      <c r="X272" s="5">
        <f>IFERROR(__xludf.DUMMYFUNCTION("""COMPUTED_VALUE"""),96.269)</f>
        <v>96.269</v>
      </c>
      <c r="Y272" s="5" t="str">
        <f>IFERROR(__xludf.DUMMYFUNCTION("""COMPUTED_VALUE"""),"Medium")</f>
        <v>Medium</v>
      </c>
      <c r="Z272" s="5">
        <f>IFERROR(__xludf.DUMMYFUNCTION("""COMPUTED_VALUE"""),13.88)</f>
        <v>13.88</v>
      </c>
      <c r="AA272" s="12">
        <f>IFERROR(__xludf.DUMMYFUNCTION("""COMPUTED_VALUE"""),1000.0)</f>
        <v>1000</v>
      </c>
      <c r="AB272" s="5">
        <f>IFERROR(__xludf.DUMMYFUNCTION("""COMPUTED_VALUE"""),35.0)</f>
        <v>35</v>
      </c>
      <c r="AC272" s="5" t="str">
        <f>IFERROR(__xludf.DUMMYFUNCTION("""COMPUTED_VALUE"""),"Scatter, Exploding Wild, Wild Symbol")</f>
        <v>Scatter, Exploding Wild, Wild Symbol</v>
      </c>
      <c r="AD272" s="5" t="str">
        <f>IFERROR(__xludf.DUMMYFUNCTION("""COMPUTED_VALUE"""),"0.4/60")</f>
        <v>0.4/60</v>
      </c>
      <c r="AE272" s="5"/>
      <c r="AF272" s="5"/>
      <c r="AG272" s="8">
        <f>IFERROR(__xludf.DUMMYFUNCTION("""COMPUTED_VALUE"""),46055.52238425926)</f>
        <v>46055.52238</v>
      </c>
      <c r="AH272" s="5" t="str">
        <f>IFERROR(__xludf.DUMMYFUNCTION("""COMPUTED_VALUE"""),"djordje.jankovic@fazi.rs")</f>
        <v>djordje.jankovic@fazi.rs</v>
      </c>
      <c r="AI272" s="5"/>
      <c r="AJ272" s="5"/>
      <c r="AK272" s="5">
        <f>IFERROR(__xludf.DUMMYFUNCTION("""COMPUTED_VALUE"""),40.0)</f>
        <v>40</v>
      </c>
      <c r="AL272" s="5" t="str">
        <f>IFERROR(__xludf.DUMMYFUNCTION("""COMPUTED_VALUE"""),"Yes")</f>
        <v>Yes</v>
      </c>
      <c r="AM272" s="5"/>
      <c r="AN272" s="7" t="str">
        <f>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AO272" s="5"/>
      <c r="AP272" s="5"/>
      <c r="AQ272" s="5" t="b">
        <f>IFERROR(__xludf.DUMMYFUNCTION("""COMPUTED_VALUE"""),TRUE)</f>
        <v>1</v>
      </c>
      <c r="AR272" s="5"/>
      <c r="AS272" s="5" t="str">
        <f>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AT272" s="5"/>
      <c r="AU272" s="5" t="str">
        <f>IFERROR(__xludf.DUMMYFUNCTION("""COMPUTED_VALUE"""),"Fazi")</f>
        <v>Fazi</v>
      </c>
      <c r="AV272" s="5"/>
      <c r="AW272" s="5"/>
      <c r="AX272" s="5"/>
      <c r="AY272" s="5"/>
      <c r="AZ272" s="5"/>
      <c r="BA272" s="5" t="str">
        <f>IFERROR(__xludf.DUMMYFUNCTION("""COMPUTED_VALUE"""),"")</f>
        <v/>
      </c>
      <c r="BB272" s="5"/>
      <c r="BC272" s="5" t="str">
        <f>IFERROR(__xludf.DUMMYFUNCTION("""COMPUTED_VALUE"""),"Foxi")</f>
        <v>Foxi</v>
      </c>
      <c r="BD272" s="7" t="str">
        <f>IFERROR(__xludf.DUMMYFUNCTION("""COMPUTED_VALUE"""),"https://gameserver-store-client-area.orbionlimited.com/Home/IntegrationGameLaunch/client-area?moneyType=0&amp;gameName=WildHot40BlowDice&amp;platform=desktop&amp;languageCode=eng&amp;currency=EUR")</f>
        <v>https://gameserver-store-client-area.orbionlimited.com/Home/IntegrationGameLaunch/client-area?moneyType=0&amp;gameName=WildHot40BlowDice&amp;platform=desktop&amp;languageCode=eng&amp;currency=EUR</v>
      </c>
      <c r="BE272" s="5" t="b">
        <f>IFERROR(__xludf.DUMMYFUNCTION("""COMPUTED_VALUE"""),TRUE)</f>
        <v>1</v>
      </c>
    </row>
    <row r="273">
      <c r="A273" s="5">
        <f>IFERROR(__xludf.DUMMYFUNCTION("""COMPUTED_VALUE"""),273.0)</f>
        <v>273</v>
      </c>
      <c r="B273" s="5">
        <f>IFERROR(__xludf.DUMMYFUNCTION("""COMPUTED_VALUE"""),272.0)</f>
        <v>272</v>
      </c>
      <c r="C273" s="5" t="str">
        <f>IFERROR(__xludf.DUMMYFUNCTION("""COMPUTED_VALUE"""),"Fazi")</f>
        <v>Fazi</v>
      </c>
      <c r="D273" s="5" t="str">
        <f>IFERROR(__xludf.DUMMYFUNCTION("""COMPUTED_VALUE"""),"Fashion Night")</f>
        <v>Fashion Night</v>
      </c>
      <c r="E273" s="5" t="str">
        <f>IFERROR(__xludf.DUMMYFUNCTION("""COMPUTED_VALUE"""),"V2")</f>
        <v>V2</v>
      </c>
      <c r="F273" s="5" t="str">
        <f>IFERROR(__xludf.DUMMYFUNCTION("""COMPUTED_VALUE"""),"FashionNight")</f>
        <v>FashionNight</v>
      </c>
      <c r="G273" s="5" t="str">
        <f>IFERROR(__xludf.DUMMYFUNCTION("""COMPUTED_VALUE"""),"Live")</f>
        <v>Live</v>
      </c>
      <c r="H273" s="5" t="str">
        <f>IFERROR(__xludf.DUMMYFUNCTION("""COMPUTED_VALUE"""),"Fashion TV")</f>
        <v>Fashion TV</v>
      </c>
      <c r="I273" s="5" t="str">
        <f>IFERROR(__xludf.DUMMYFUNCTION("""COMPUTED_VALUE"""),"V2")</f>
        <v>V2</v>
      </c>
      <c r="J273" s="5" t="str">
        <f>IFERROR(__xludf.DUMMYFUNCTION("""COMPUTED_VALUE"""),"Binary")</f>
        <v>Binary</v>
      </c>
      <c r="K273" s="5" t="str">
        <f>IFERROR(__xludf.DUMMYFUNCTION("""COMPUTED_VALUE"""),"Slot")</f>
        <v>Slot</v>
      </c>
      <c r="L273" s="5" t="str">
        <f>IFERROR(__xludf.DUMMYFUNCTION("""COMPUTED_VALUE"""),"Clone")</f>
        <v>Clone</v>
      </c>
      <c r="M273" s="5" t="str">
        <f>IFERROR(__xludf.DUMMYFUNCTION("""COMPUTED_VALUE"""),"Wild Joker Hot")</f>
        <v>Wild Joker Hot</v>
      </c>
      <c r="N273" s="5"/>
      <c r="O273" s="5"/>
      <c r="P273" s="12">
        <f>IFERROR(__xludf.DUMMYFUNCTION("""COMPUTED_VALUE"""),21.0)</f>
        <v>21</v>
      </c>
      <c r="Q273" s="13">
        <f>IFERROR(__xludf.DUMMYFUNCTION("""COMPUTED_VALUE"""),45274.0)</f>
        <v>45274</v>
      </c>
      <c r="R273" s="14"/>
      <c r="S273" s="13">
        <f>IFERROR(__xludf.DUMMYFUNCTION("""COMPUTED_VALUE"""),45274.0)</f>
        <v>45274</v>
      </c>
      <c r="T273" s="5" t="b">
        <f>IFERROR(__xludf.DUMMYFUNCTION("""COMPUTED_VALUE"""),TRUE)</f>
        <v>1</v>
      </c>
      <c r="U273" s="5" t="str">
        <f>IFERROR(__xludf.DUMMYFUNCTION("""COMPUTED_VALUE"""),"5x3")</f>
        <v>5x3</v>
      </c>
      <c r="V273" s="10" t="str">
        <f>IFERROR(__xludf.DUMMYFUNCTION("""COMPUTED_VALUE"""),"10")</f>
        <v>10</v>
      </c>
      <c r="W273" s="10" t="str">
        <f>IFERROR(__xludf.DUMMYFUNCTION("""COMPUTED_VALUE"""),"10")</f>
        <v>10</v>
      </c>
      <c r="X273" s="5">
        <f>IFERROR(__xludf.DUMMYFUNCTION("""COMPUTED_VALUE"""),96.51)</f>
        <v>96.51</v>
      </c>
      <c r="Y273" s="5" t="str">
        <f>IFERROR(__xludf.DUMMYFUNCTION("""COMPUTED_VALUE"""),"Medium")</f>
        <v>Medium</v>
      </c>
      <c r="Z273" s="5">
        <f>IFERROR(__xludf.DUMMYFUNCTION("""COMPUTED_VALUE"""),17.918)</f>
        <v>17.918</v>
      </c>
      <c r="AA273" s="12">
        <f>IFERROR(__xludf.DUMMYFUNCTION("""COMPUTED_VALUE"""),3092.0)</f>
        <v>3092</v>
      </c>
      <c r="AB273" s="5">
        <f>IFERROR(__xludf.DUMMYFUNCTION("""COMPUTED_VALUE"""),5.0)</f>
        <v>5</v>
      </c>
      <c r="AC273" s="5" t="str">
        <f>IFERROR(__xludf.DUMMYFUNCTION("""COMPUTED_VALUE"""),"Expanding Wild, Scatter")</f>
        <v>Expanding Wild, Scatter</v>
      </c>
      <c r="AD273" s="5" t="str">
        <f>IFERROR(__xludf.DUMMYFUNCTION("""COMPUTED_VALUE"""),"0.1/40")</f>
        <v>0.1/40</v>
      </c>
      <c r="AE273" s="5"/>
      <c r="AF273" s="5"/>
      <c r="AG273" s="8">
        <f>IFERROR(__xludf.DUMMYFUNCTION("""COMPUTED_VALUE"""),46104.59118055556)</f>
        <v>46104.59118</v>
      </c>
      <c r="AH273" s="5" t="str">
        <f>IFERROR(__xludf.DUMMYFUNCTION("""COMPUTED_VALUE"""),"petra.ilic@fazi.rs")</f>
        <v>petra.ilic@fazi.rs</v>
      </c>
      <c r="AI273" s="5"/>
      <c r="AJ273" s="5"/>
      <c r="AK273" s="5">
        <f>IFERROR(__xludf.DUMMYFUNCTION("""COMPUTED_VALUE"""),10.0)</f>
        <v>10</v>
      </c>
      <c r="AL273" s="5" t="str">
        <f>IFERROR(__xludf.DUMMYFUNCTION("""COMPUTED_VALUE"""),"Yes")</f>
        <v>Yes</v>
      </c>
      <c r="AM273" s="5"/>
      <c r="AN273" s="7" t="str">
        <f>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AO273" s="5"/>
      <c r="AP273" s="5"/>
      <c r="AQ273" s="5" t="b">
        <f>IFERROR(__xludf.DUMMYFUNCTION("""COMPUTED_VALUE"""),TRUE)</f>
        <v>1</v>
      </c>
      <c r="AR273" s="5" t="b">
        <f>IFERROR(__xludf.DUMMYFUNCTION("""COMPUTED_VALUE"""),TRUE)</f>
        <v>1</v>
      </c>
      <c r="AS273" s="5" t="str">
        <f>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AT273" s="5"/>
      <c r="AU273" s="5" t="str">
        <f>IFERROR(__xludf.DUMMYFUNCTION("""COMPUTED_VALUE"""),"Fazi")</f>
        <v>Fazi</v>
      </c>
      <c r="AV273" s="5"/>
      <c r="AW273" s="5"/>
      <c r="AX273" s="5"/>
      <c r="AY273" s="5"/>
      <c r="AZ273" s="5"/>
      <c r="BA273" s="5" t="str">
        <f>IFERROR(__xludf.DUMMYFUNCTION("""COMPUTED_VALUE"""),"")</f>
        <v/>
      </c>
      <c r="BB273" s="5"/>
      <c r="BC273" s="5" t="str">
        <f>IFERROR(__xludf.DUMMYFUNCTION("""COMPUTED_VALUE"""),"Foxi")</f>
        <v>Foxi</v>
      </c>
      <c r="BD273" s="7" t="str">
        <f>IFERROR(__xludf.DUMMYFUNCTION("""COMPUTED_VALUE"""),"https://gameserver-store-client-area.orbionlimited.com/Home/IntegrationGameLaunch/client-area?moneyType=0&amp;gameName=FashionNight&amp;platform=desktop&amp;languageCode=eng&amp;currency=EUR")</f>
        <v>https://gameserver-store-client-area.orbionlimited.com/Home/IntegrationGameLaunch/client-area?moneyType=0&amp;gameName=FashionNight&amp;platform=desktop&amp;languageCode=eng&amp;currency=EUR</v>
      </c>
      <c r="BE273" s="5" t="b">
        <f>IFERROR(__xludf.DUMMYFUNCTION("""COMPUTED_VALUE"""),TRUE)</f>
        <v>1</v>
      </c>
    </row>
    <row r="274">
      <c r="A274" s="5">
        <f>IFERROR(__xludf.DUMMYFUNCTION("""COMPUTED_VALUE"""),274.0)</f>
        <v>274</v>
      </c>
      <c r="B274" s="5">
        <f>IFERROR(__xludf.DUMMYFUNCTION("""COMPUTED_VALUE"""),273.0)</f>
        <v>273</v>
      </c>
      <c r="C274" s="5" t="str">
        <f>IFERROR(__xludf.DUMMYFUNCTION("""COMPUTED_VALUE"""),"Fazi")</f>
        <v>Fazi</v>
      </c>
      <c r="D274" s="5" t="str">
        <f>IFERROR(__xludf.DUMMYFUNCTION("""COMPUTED_VALUE"""),"Mayan's Battle")</f>
        <v>Mayan's Battle</v>
      </c>
      <c r="E274" s="5" t="str">
        <f>IFERROR(__xludf.DUMMYFUNCTION("""COMPUTED_VALUE"""),"V2")</f>
        <v>V2</v>
      </c>
      <c r="F274" s="5" t="str">
        <f>IFERROR(__xludf.DUMMYFUNCTION("""COMPUTED_VALUE"""),"MayansBattle")</f>
        <v>MayansBattle</v>
      </c>
      <c r="G274" s="5" t="str">
        <f>IFERROR(__xludf.DUMMYFUNCTION("""COMPUTED_VALUE"""),"Live")</f>
        <v>Live</v>
      </c>
      <c r="H274" s="5"/>
      <c r="I274" s="5" t="str">
        <f>IFERROR(__xludf.DUMMYFUNCTION("""COMPUTED_VALUE"""),"V2")</f>
        <v>V2</v>
      </c>
      <c r="J274" s="5" t="str">
        <f>IFERROR(__xludf.DUMMYFUNCTION("""COMPUTED_VALUE"""),"Binary")</f>
        <v>Binary</v>
      </c>
      <c r="K274" s="5" t="str">
        <f>IFERROR(__xludf.DUMMYFUNCTION("""COMPUTED_VALUE"""),"Slot")</f>
        <v>Slot</v>
      </c>
      <c r="L274" s="5"/>
      <c r="M274" s="5"/>
      <c r="N274" s="5"/>
      <c r="O274" s="5"/>
      <c r="P274" s="12">
        <f>IFERROR(__xludf.DUMMYFUNCTION("""COMPUTED_VALUE"""),24.0)</f>
        <v>24</v>
      </c>
      <c r="Q274" s="13">
        <f>IFERROR(__xludf.DUMMYFUNCTION("""COMPUTED_VALUE"""),45357.0)</f>
        <v>45357</v>
      </c>
      <c r="R274" s="14"/>
      <c r="S274" s="13">
        <f>IFERROR(__xludf.DUMMYFUNCTION("""COMPUTED_VALUE"""),45357.0)</f>
        <v>45357</v>
      </c>
      <c r="T274" s="5" t="b">
        <f>IFERROR(__xludf.DUMMYFUNCTION("""COMPUTED_VALUE"""),TRUE)</f>
        <v>1</v>
      </c>
      <c r="U274" s="5" t="str">
        <f>IFERROR(__xludf.DUMMYFUNCTION("""COMPUTED_VALUE"""),"5x3")</f>
        <v>5x3</v>
      </c>
      <c r="V274" s="10" t="str">
        <f>IFERROR(__xludf.DUMMYFUNCTION("""COMPUTED_VALUE"""),"30")</f>
        <v>30</v>
      </c>
      <c r="W274" s="10" t="str">
        <f>IFERROR(__xludf.DUMMYFUNCTION("""COMPUTED_VALUE"""),"30")</f>
        <v>30</v>
      </c>
      <c r="X274" s="5">
        <f>IFERROR(__xludf.DUMMYFUNCTION("""COMPUTED_VALUE"""),96.477)</f>
        <v>96.477</v>
      </c>
      <c r="Y274" s="5" t="str">
        <f>IFERROR(__xludf.DUMMYFUNCTION("""COMPUTED_VALUE"""),"High")</f>
        <v>High</v>
      </c>
      <c r="Z274" s="5">
        <f>IFERROR(__xludf.DUMMYFUNCTION("""COMPUTED_VALUE"""),21.29)</f>
        <v>21.29</v>
      </c>
      <c r="AA274" s="12">
        <f>IFERROR(__xludf.DUMMYFUNCTION("""COMPUTED_VALUE"""),2752.0)</f>
        <v>2752</v>
      </c>
      <c r="AB274" s="5">
        <f>IFERROR(__xludf.DUMMYFUNCTION("""COMPUTED_VALUE"""),168.0)</f>
        <v>168</v>
      </c>
      <c r="AC274" s="5" t="str">
        <f>IFERROR(__xludf.DUMMYFUNCTION("""COMPUTED_VALUE"""),"Bonus Game with Free Spins, Scatter")</f>
        <v>Bonus Game with Free Spins, Scatter</v>
      </c>
      <c r="AD274" s="5" t="str">
        <f>IFERROR(__xludf.DUMMYFUNCTION("""COMPUTED_VALUE"""),"0.3/30")</f>
        <v>0.3/30</v>
      </c>
      <c r="AE274" s="5"/>
      <c r="AF274" s="5"/>
      <c r="AG274" s="8">
        <f>IFERROR(__xludf.DUMMYFUNCTION("""COMPUTED_VALUE"""),46162.478738425925)</f>
        <v>46162.47874</v>
      </c>
      <c r="AH274" s="5" t="str">
        <f>IFERROR(__xludf.DUMMYFUNCTION("""COMPUTED_VALUE"""),"petra.ilic@fazi.rs")</f>
        <v>petra.ilic@fazi.rs</v>
      </c>
      <c r="AI274" s="5"/>
      <c r="AJ274" s="5"/>
      <c r="AK274" s="5">
        <f>IFERROR(__xludf.DUMMYFUNCTION("""COMPUTED_VALUE"""),30.0)</f>
        <v>30</v>
      </c>
      <c r="AL274" s="5" t="str">
        <f>IFERROR(__xludf.DUMMYFUNCTION("""COMPUTED_VALUE"""),"Yes")</f>
        <v>Yes</v>
      </c>
      <c r="AM274" s="5"/>
      <c r="AN274" s="7" t="str">
        <f>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AO274" s="5"/>
      <c r="AP274" s="5"/>
      <c r="AQ274" s="5" t="b">
        <f>IFERROR(__xludf.DUMMYFUNCTION("""COMPUTED_VALUE"""),TRUE)</f>
        <v>1</v>
      </c>
      <c r="AR274" s="5"/>
      <c r="AS274" s="5" t="str">
        <f>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AT274" s="5"/>
      <c r="AU274" s="5" t="str">
        <f>IFERROR(__xludf.DUMMYFUNCTION("""COMPUTED_VALUE"""),"Fazi")</f>
        <v>Fazi</v>
      </c>
      <c r="AV274" s="5"/>
      <c r="AW274" s="5"/>
      <c r="AX274" s="5"/>
      <c r="AY274" s="5"/>
      <c r="AZ274" s="5"/>
      <c r="BA274" s="5"/>
      <c r="BB274" s="5"/>
      <c r="BC274" s="5" t="str">
        <f>IFERROR(__xludf.DUMMYFUNCTION("""COMPUTED_VALUE"""),"Foxi")</f>
        <v>Foxi</v>
      </c>
      <c r="BD274" s="7" t="str">
        <f>IFERROR(__xludf.DUMMYFUNCTION("""COMPUTED_VALUE"""),"https://gameserver-store-client-area.orbionlimited.com/Home/IntegrationGameLaunch/client-area?moneyType=0&amp;gameName=MayansBattle&amp;platform=desktop&amp;languageCode=eng&amp;currency=EUR")</f>
        <v>https://gameserver-store-client-area.orbionlimited.com/Home/IntegrationGameLaunch/client-area?moneyType=0&amp;gameName=MayansBattle&amp;platform=desktop&amp;languageCode=eng&amp;currency=EUR</v>
      </c>
      <c r="BE274" s="5" t="b">
        <f>IFERROR(__xludf.DUMMYFUNCTION("""COMPUTED_VALUE"""),TRUE)</f>
        <v>1</v>
      </c>
    </row>
    <row r="275">
      <c r="A275" s="5">
        <f>IFERROR(__xludf.DUMMYFUNCTION("""COMPUTED_VALUE"""),275.0)</f>
        <v>275</v>
      </c>
      <c r="B275" s="5">
        <f>IFERROR(__xludf.DUMMYFUNCTION("""COMPUTED_VALUE"""),274.0)</f>
        <v>274</v>
      </c>
      <c r="C275" s="5" t="str">
        <f>IFERROR(__xludf.DUMMYFUNCTION("""COMPUTED_VALUE"""),"Tiptop")</f>
        <v>Tiptop</v>
      </c>
      <c r="D275" s="5" t="str">
        <f>IFERROR(__xludf.DUMMYFUNCTION("""COMPUTED_VALUE"""),"Froot Machine")</f>
        <v>Froot Machine</v>
      </c>
      <c r="E275" s="5"/>
      <c r="F275" s="5" t="str">
        <f>IFERROR(__xludf.DUMMYFUNCTION("""COMPUTED_VALUE"""),"UnicornFrootMachine")</f>
        <v>UnicornFrootMachine</v>
      </c>
      <c r="G275" s="5" t="str">
        <f>IFERROR(__xludf.DUMMYFUNCTION("""COMPUTED_VALUE"""),"Live")</f>
        <v>Live</v>
      </c>
      <c r="H275" s="5"/>
      <c r="I275" s="5" t="str">
        <f>IFERROR(__xludf.DUMMYFUNCTION("""COMPUTED_VALUE"""),"TipTop")</f>
        <v>TipTop</v>
      </c>
      <c r="J275" s="5" t="str">
        <f>IFERROR(__xludf.DUMMYFUNCTION("""COMPUTED_VALUE"""),"JSON")</f>
        <v>JSON</v>
      </c>
      <c r="K275" s="5" t="str">
        <f>IFERROR(__xludf.DUMMYFUNCTION("""COMPUTED_VALUE"""),"Slot")</f>
        <v>Slot</v>
      </c>
      <c r="L275" s="5"/>
      <c r="M275" s="5"/>
      <c r="N275" s="5"/>
      <c r="O275" s="5"/>
      <c r="P275" s="12">
        <f>IFERROR(__xludf.DUMMYFUNCTION("""COMPUTED_VALUE"""),10.8)</f>
        <v>10.8</v>
      </c>
      <c r="Q275" s="13">
        <f>IFERROR(__xludf.DUMMYFUNCTION("""COMPUTED_VALUE"""),45322.0)</f>
        <v>45322</v>
      </c>
      <c r="R275" s="14"/>
      <c r="S275" s="13">
        <f>IFERROR(__xludf.DUMMYFUNCTION("""COMPUTED_VALUE"""),45322.0)</f>
        <v>45322</v>
      </c>
      <c r="T275" s="5" t="b">
        <f>IFERROR(__xludf.DUMMYFUNCTION("""COMPUTED_VALUE"""),TRUE)</f>
        <v>1</v>
      </c>
      <c r="U275" s="5" t="str">
        <f>IFERROR(__xludf.DUMMYFUNCTION("""COMPUTED_VALUE"""),"5X3")</f>
        <v>5X3</v>
      </c>
      <c r="V275" s="10" t="str">
        <f>IFERROR(__xludf.DUMMYFUNCTION("""COMPUTED_VALUE"""),"5")</f>
        <v>5</v>
      </c>
      <c r="W275" s="10" t="str">
        <f>IFERROR(__xludf.DUMMYFUNCTION("""COMPUTED_VALUE"""),"5")</f>
        <v>5</v>
      </c>
      <c r="X275" s="5">
        <f>IFERROR(__xludf.DUMMYFUNCTION("""COMPUTED_VALUE"""),96.0)</f>
        <v>96</v>
      </c>
      <c r="Y275" s="5" t="str">
        <f>IFERROR(__xludf.DUMMYFUNCTION("""COMPUTED_VALUE"""),"Low")</f>
        <v>Low</v>
      </c>
      <c r="Z275" s="5">
        <f>IFERROR(__xludf.DUMMYFUNCTION("""COMPUTED_VALUE"""),10.5)</f>
        <v>10.5</v>
      </c>
      <c r="AA275" s="12">
        <f>IFERROR(__xludf.DUMMYFUNCTION("""COMPUTED_VALUE"""),1000.0)</f>
        <v>1000</v>
      </c>
      <c r="AB275" s="5"/>
      <c r="AC275" s="5"/>
      <c r="AD275" s="5" t="str">
        <f>IFERROR(__xludf.DUMMYFUNCTION("""COMPUTED_VALUE"""),"0.05/100")</f>
        <v>0.05/100</v>
      </c>
      <c r="AE275" s="5"/>
      <c r="AF275" s="5"/>
      <c r="AG275" s="8">
        <f>IFERROR(__xludf.DUMMYFUNCTION("""COMPUTED_VALUE"""),46197.463321759256)</f>
        <v>46197.46332</v>
      </c>
      <c r="AH275" s="5" t="str">
        <f>IFERROR(__xludf.DUMMYFUNCTION("""COMPUTED_VALUE"""),"selena.mihajlovic@fazi.rs")</f>
        <v>selena.mihajlovic@fazi.rs</v>
      </c>
      <c r="AI275" s="5"/>
      <c r="AJ275" s="5"/>
      <c r="AK275" s="5">
        <f>IFERROR(__xludf.DUMMYFUNCTION("""COMPUTED_VALUE"""),5.0)</f>
        <v>5</v>
      </c>
      <c r="AL275" s="5" t="str">
        <f>IFERROR(__xludf.DUMMYFUNCTION("""COMPUTED_VALUE"""),"No")</f>
        <v>No</v>
      </c>
      <c r="AM275" s="5"/>
      <c r="AN275" s="7" t="str">
        <f>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AO275" s="5"/>
      <c r="AP275" s="5"/>
      <c r="AQ275" s="5" t="b">
        <f>IFERROR(__xludf.DUMMYFUNCTION("""COMPUTED_VALUE"""),TRUE)</f>
        <v>1</v>
      </c>
      <c r="AR275" s="5"/>
      <c r="AS275" s="5" t="str">
        <f>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AT275" s="5"/>
      <c r="AU275" s="5" t="str">
        <f>IFERROR(__xludf.DUMMYFUNCTION("""COMPUTED_VALUE"""),"Fazi")</f>
        <v>Fazi</v>
      </c>
      <c r="AV275" s="5"/>
      <c r="AW275" s="5"/>
      <c r="AX275" s="5"/>
      <c r="AY275" s="5"/>
      <c r="AZ275" s="5"/>
      <c r="BA275" s="5"/>
      <c r="BB275" s="5" t="b">
        <f>IFERROR(__xludf.DUMMYFUNCTION("""COMPUTED_VALUE"""),TRUE)</f>
        <v>1</v>
      </c>
      <c r="BC275" s="5" t="str">
        <f>IFERROR(__xludf.DUMMYFUNCTION("""COMPUTED_VALUE"""),"Tiptop")</f>
        <v>Tiptop</v>
      </c>
      <c r="BD275" s="7" t="str">
        <f>IFERROR(__xludf.DUMMYFUNCTION("""COMPUTED_VALUE"""),"https://gameserver-store-client-area.orbionlimited.com/Home/IntegrationGameLaunch/client-area?moneyType=0&amp;gameName=UnicornFrootMachine&amp;platform=desktop&amp;languageCode=eng&amp;currency=EUR")</f>
        <v>https://gameserver-store-client-area.orbionlimited.com/Home/IntegrationGameLaunch/client-area?moneyType=0&amp;gameName=UnicornFrootMachine&amp;platform=desktop&amp;languageCode=eng&amp;currency=EUR</v>
      </c>
      <c r="BE275" s="5" t="b">
        <f>IFERROR(__xludf.DUMMYFUNCTION("""COMPUTED_VALUE"""),TRUE)</f>
        <v>1</v>
      </c>
    </row>
    <row r="276">
      <c r="A276" s="5">
        <f>IFERROR(__xludf.DUMMYFUNCTION("""COMPUTED_VALUE"""),276.0)</f>
        <v>276</v>
      </c>
      <c r="B276" s="5">
        <f>IFERROR(__xludf.DUMMYFUNCTION("""COMPUTED_VALUE"""),275.0)</f>
        <v>275</v>
      </c>
      <c r="C276" s="5" t="str">
        <f>IFERROR(__xludf.DUMMYFUNCTION("""COMPUTED_VALUE"""),"Tiptop")</f>
        <v>Tiptop</v>
      </c>
      <c r="D276" s="5" t="str">
        <f>IFERROR(__xludf.DUMMYFUNCTION("""COMPUTED_VALUE"""),"Simply Sevens Dice")</f>
        <v>Simply Sevens Dice</v>
      </c>
      <c r="E276" s="5"/>
      <c r="F276" s="5" t="str">
        <f>IFERROR(__xludf.DUMMYFUNCTION("""COMPUTED_VALUE"""),"UnicornSimplySevensDice")</f>
        <v>UnicornSimplySevensDice</v>
      </c>
      <c r="G276" s="5" t="str">
        <f>IFERROR(__xludf.DUMMYFUNCTION("""COMPUTED_VALUE"""),"Live")</f>
        <v>Live</v>
      </c>
      <c r="H276" s="5"/>
      <c r="I276" s="5" t="str">
        <f>IFERROR(__xludf.DUMMYFUNCTION("""COMPUTED_VALUE"""),"TipTop")</f>
        <v>TipTop</v>
      </c>
      <c r="J276" s="5" t="str">
        <f>IFERROR(__xludf.DUMMYFUNCTION("""COMPUTED_VALUE"""),"JSON")</f>
        <v>JSON</v>
      </c>
      <c r="K276" s="5" t="str">
        <f>IFERROR(__xludf.DUMMYFUNCTION("""COMPUTED_VALUE"""),"Dice Slots")</f>
        <v>Dice Slots</v>
      </c>
      <c r="L276" s="5"/>
      <c r="M276" s="5"/>
      <c r="N276" s="5"/>
      <c r="O276" s="5"/>
      <c r="P276" s="12">
        <f>IFERROR(__xludf.DUMMYFUNCTION("""COMPUTED_VALUE"""),10.8)</f>
        <v>10.8</v>
      </c>
      <c r="Q276" s="13">
        <f>IFERROR(__xludf.DUMMYFUNCTION("""COMPUTED_VALUE"""),45330.0)</f>
        <v>45330</v>
      </c>
      <c r="R276" s="14"/>
      <c r="S276" s="13">
        <f>IFERROR(__xludf.DUMMYFUNCTION("""COMPUTED_VALUE"""),45330.0)</f>
        <v>45330</v>
      </c>
      <c r="T276" s="5" t="b">
        <f>IFERROR(__xludf.DUMMYFUNCTION("""COMPUTED_VALUE"""),TRUE)</f>
        <v>1</v>
      </c>
      <c r="U276" s="5" t="str">
        <f>IFERROR(__xludf.DUMMYFUNCTION("""COMPUTED_VALUE"""),"5X3")</f>
        <v>5X3</v>
      </c>
      <c r="V276" s="10" t="str">
        <f>IFERROR(__xludf.DUMMYFUNCTION("""COMPUTED_VALUE"""),"10")</f>
        <v>10</v>
      </c>
      <c r="W276" s="10" t="str">
        <f>IFERROR(__xludf.DUMMYFUNCTION("""COMPUTED_VALUE"""),"10")</f>
        <v>10</v>
      </c>
      <c r="X276" s="5">
        <f>IFERROR(__xludf.DUMMYFUNCTION("""COMPUTED_VALUE"""),96.0)</f>
        <v>96</v>
      </c>
      <c r="Y276" s="5" t="str">
        <f>IFERROR(__xludf.DUMMYFUNCTION("""COMPUTED_VALUE"""),"Low")</f>
        <v>Low</v>
      </c>
      <c r="Z276" s="5">
        <f>IFERROR(__xludf.DUMMYFUNCTION("""COMPUTED_VALUE"""),24.14)</f>
        <v>24.14</v>
      </c>
      <c r="AA276" s="12">
        <f>IFERROR(__xludf.DUMMYFUNCTION("""COMPUTED_VALUE"""),10000.0)</f>
        <v>10000</v>
      </c>
      <c r="AB276" s="5"/>
      <c r="AC276" s="5" t="str">
        <f>IFERROR(__xludf.DUMMYFUNCTION("""COMPUTED_VALUE"""),"Scatter")</f>
        <v>Scatter</v>
      </c>
      <c r="AD276" s="5" t="str">
        <f>IFERROR(__xludf.DUMMYFUNCTION("""COMPUTED_VALUE"""),"0.1/100")</f>
        <v>0.1/100</v>
      </c>
      <c r="AE276" s="5"/>
      <c r="AF276" s="5"/>
      <c r="AG276" s="8">
        <f>IFERROR(__xludf.DUMMYFUNCTION("""COMPUTED_VALUE"""),46197.464733796296)</f>
        <v>46197.46473</v>
      </c>
      <c r="AH276" s="5" t="str">
        <f>IFERROR(__xludf.DUMMYFUNCTION("""COMPUTED_VALUE"""),"selena.mihajlovic@fazi.rs")</f>
        <v>selena.mihajlovic@fazi.rs</v>
      </c>
      <c r="AI276" s="5"/>
      <c r="AJ276" s="5"/>
      <c r="AK276" s="5">
        <f>IFERROR(__xludf.DUMMYFUNCTION("""COMPUTED_VALUE"""),10.0)</f>
        <v>10</v>
      </c>
      <c r="AL276" s="5" t="str">
        <f>IFERROR(__xludf.DUMMYFUNCTION("""COMPUTED_VALUE"""),"No")</f>
        <v>No</v>
      </c>
      <c r="AM276" s="5"/>
      <c r="AN276" s="7" t="str">
        <f>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AO276" s="5"/>
      <c r="AP276" s="5"/>
      <c r="AQ276" s="5" t="b">
        <f>IFERROR(__xludf.DUMMYFUNCTION("""COMPUTED_VALUE"""),TRUE)</f>
        <v>1</v>
      </c>
      <c r="AR276" s="5"/>
      <c r="AS276" s="5" t="str">
        <f>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AT276" s="5"/>
      <c r="AU276" s="5" t="str">
        <f>IFERROR(__xludf.DUMMYFUNCTION("""COMPUTED_VALUE"""),"Fazi")</f>
        <v>Fazi</v>
      </c>
      <c r="AV276" s="5"/>
      <c r="AW276" s="5"/>
      <c r="AX276" s="5"/>
      <c r="AY276" s="5"/>
      <c r="AZ276" s="5"/>
      <c r="BA276" s="5"/>
      <c r="BB276" s="5" t="b">
        <f>IFERROR(__xludf.DUMMYFUNCTION("""COMPUTED_VALUE"""),TRUE)</f>
        <v>1</v>
      </c>
      <c r="BC276" s="5" t="str">
        <f>IFERROR(__xludf.DUMMYFUNCTION("""COMPUTED_VALUE"""),"Tiptop")</f>
        <v>Tiptop</v>
      </c>
      <c r="BD276" s="7" t="str">
        <f>IFERROR(__xludf.DUMMYFUNCTION("""COMPUTED_VALUE"""),"https://gameserver-store-client-area.orbionlimited.com/Home/IntegrationGameLaunch/client-area?moneyType=0&amp;gameName=UnicornSimplySevensDice&amp;platform=desktop&amp;languageCode=eng&amp;currency=EUR")</f>
        <v>https://gameserver-store-client-area.orbionlimited.com/Home/IntegrationGameLaunch/client-area?moneyType=0&amp;gameName=UnicornSimplySevensDice&amp;platform=desktop&amp;languageCode=eng&amp;currency=EUR</v>
      </c>
      <c r="BE276" s="5" t="b">
        <f>IFERROR(__xludf.DUMMYFUNCTION("""COMPUTED_VALUE"""),TRUE)</f>
        <v>1</v>
      </c>
    </row>
    <row r="277">
      <c r="A277" s="5">
        <f>IFERROR(__xludf.DUMMYFUNCTION("""COMPUTED_VALUE"""),277.0)</f>
        <v>277</v>
      </c>
      <c r="B277" s="5">
        <f>IFERROR(__xludf.DUMMYFUNCTION("""COMPUTED_VALUE"""),276.0)</f>
        <v>276</v>
      </c>
      <c r="C277" s="5" t="str">
        <f>IFERROR(__xludf.DUMMYFUNCTION("""COMPUTED_VALUE"""),"Fazi")</f>
        <v>Fazi</v>
      </c>
      <c r="D277" s="5" t="str">
        <f>IFERROR(__xludf.DUMMYFUNCTION("""COMPUTED_VALUE"""),"Wild Craps")</f>
        <v>Wild Craps</v>
      </c>
      <c r="E277" s="5" t="str">
        <f>IFERROR(__xludf.DUMMYFUNCTION("""COMPUTED_VALUE"""),"V2")</f>
        <v>V2</v>
      </c>
      <c r="F277" s="5" t="str">
        <f>IFERROR(__xludf.DUMMYFUNCTION("""COMPUTED_VALUE"""),"WildCraps")</f>
        <v>WildCraps</v>
      </c>
      <c r="G277" s="5" t="str">
        <f>IFERROR(__xludf.DUMMYFUNCTION("""COMPUTED_VALUE"""),"Live")</f>
        <v>Live</v>
      </c>
      <c r="H277" s="5"/>
      <c r="I277" s="5" t="str">
        <f>IFERROR(__xludf.DUMMYFUNCTION("""COMPUTED_VALUE"""),"V2")</f>
        <v>V2</v>
      </c>
      <c r="J277" s="5" t="str">
        <f>IFERROR(__xludf.DUMMYFUNCTION("""COMPUTED_VALUE"""),"Binary")</f>
        <v>Binary</v>
      </c>
      <c r="K277" s="5" t="str">
        <f>IFERROR(__xludf.DUMMYFUNCTION("""COMPUTED_VALUE"""),"Slot")</f>
        <v>Slot</v>
      </c>
      <c r="L277" s="5"/>
      <c r="M277" s="5"/>
      <c r="N277" s="5"/>
      <c r="O277" s="5"/>
      <c r="P277" s="12">
        <f>IFERROR(__xludf.DUMMYFUNCTION("""COMPUTED_VALUE"""),29.0)</f>
        <v>29</v>
      </c>
      <c r="Q277" s="13">
        <f>IFERROR(__xludf.DUMMYFUNCTION("""COMPUTED_VALUE"""),45342.0)</f>
        <v>45342</v>
      </c>
      <c r="R277" s="14"/>
      <c r="S277" s="13">
        <f>IFERROR(__xludf.DUMMYFUNCTION("""COMPUTED_VALUE"""),45342.0)</f>
        <v>45342</v>
      </c>
      <c r="T277" s="5" t="b">
        <f>IFERROR(__xludf.DUMMYFUNCTION("""COMPUTED_VALUE"""),TRUE)</f>
        <v>1</v>
      </c>
      <c r="U277" s="5" t="str">
        <f>IFERROR(__xludf.DUMMYFUNCTION("""COMPUTED_VALUE"""),"5x3")</f>
        <v>5x3</v>
      </c>
      <c r="V277" s="10" t="str">
        <f>IFERROR(__xludf.DUMMYFUNCTION("""COMPUTED_VALUE"""),"10")</f>
        <v>10</v>
      </c>
      <c r="W277" s="10" t="str">
        <f>IFERROR(__xludf.DUMMYFUNCTION("""COMPUTED_VALUE"""),"10")</f>
        <v>10</v>
      </c>
      <c r="X277" s="5">
        <f>IFERROR(__xludf.DUMMYFUNCTION("""COMPUTED_VALUE"""),96.528)</f>
        <v>96.528</v>
      </c>
      <c r="Y277" s="5" t="str">
        <f>IFERROR(__xludf.DUMMYFUNCTION("""COMPUTED_VALUE"""),"High")</f>
        <v>High</v>
      </c>
      <c r="Z277" s="5">
        <f>IFERROR(__xludf.DUMMYFUNCTION("""COMPUTED_VALUE"""),14.879999999999999)</f>
        <v>14.88</v>
      </c>
      <c r="AA277" s="12">
        <f>IFERROR(__xludf.DUMMYFUNCTION("""COMPUTED_VALUE"""),4038.0)</f>
        <v>4038</v>
      </c>
      <c r="AB277" s="5">
        <f>IFERROR(__xludf.DUMMYFUNCTION("""COMPUTED_VALUE"""),145.0)</f>
        <v>145</v>
      </c>
      <c r="AC277" s="5" t="str">
        <f>IFERROR(__xludf.DUMMYFUNCTION("""COMPUTED_VALUE"""),"Bonus Game with Free Spins, Sticky Wild")</f>
        <v>Bonus Game with Free Spins, Sticky Wild</v>
      </c>
      <c r="AD277" s="5" t="str">
        <f>IFERROR(__xludf.DUMMYFUNCTION("""COMPUTED_VALUE"""),"0.1/40")</f>
        <v>0.1/40</v>
      </c>
      <c r="AE277" s="5"/>
      <c r="AF277" s="5"/>
      <c r="AG277" s="8">
        <f>IFERROR(__xludf.DUMMYFUNCTION("""COMPUTED_VALUE"""),46064.6575)</f>
        <v>46064.6575</v>
      </c>
      <c r="AH277" s="5" t="str">
        <f>IFERROR(__xludf.DUMMYFUNCTION("""COMPUTED_VALUE"""),"aleksandar.trajkovic@fazi.rs")</f>
        <v>aleksandar.trajkovic@fazi.rs</v>
      </c>
      <c r="AI277" s="5"/>
      <c r="AJ277" s="5"/>
      <c r="AK277" s="5">
        <f>IFERROR(__xludf.DUMMYFUNCTION("""COMPUTED_VALUE"""),10.0)</f>
        <v>10</v>
      </c>
      <c r="AL277" s="5" t="str">
        <f>IFERROR(__xludf.DUMMYFUNCTION("""COMPUTED_VALUE"""),"Yes")</f>
        <v>Yes</v>
      </c>
      <c r="AM277" s="5"/>
      <c r="AN277" s="7" t="str">
        <f>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AO277" s="5"/>
      <c r="AP277" s="5"/>
      <c r="AQ277" s="5" t="b">
        <f>IFERROR(__xludf.DUMMYFUNCTION("""COMPUTED_VALUE"""),TRUE)</f>
        <v>1</v>
      </c>
      <c r="AR277" s="5"/>
      <c r="AS277" s="5" t="str">
        <f>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AT277" s="5"/>
      <c r="AU277" s="5" t="str">
        <f>IFERROR(__xludf.DUMMYFUNCTION("""COMPUTED_VALUE"""),"Fazi")</f>
        <v>Fazi</v>
      </c>
      <c r="AV277" s="5"/>
      <c r="AW277" s="5"/>
      <c r="AX277" s="5"/>
      <c r="AY277" s="5"/>
      <c r="AZ277" s="5"/>
      <c r="BA277" s="5" t="str">
        <f>IFERROR(__xludf.DUMMYFUNCTION("""COMPUTED_VALUE"""),"")</f>
        <v/>
      </c>
      <c r="BB277" s="5"/>
      <c r="BC277" s="5" t="str">
        <f>IFERROR(__xludf.DUMMYFUNCTION("""COMPUTED_VALUE"""),"Foxi")</f>
        <v>Foxi</v>
      </c>
      <c r="BD277" s="7" t="str">
        <f>IFERROR(__xludf.DUMMYFUNCTION("""COMPUTED_VALUE"""),"https://gameserver-store-client-area.orbionlimited.com/Home/IntegrationGameLaunch/client-area?moneyType=0&amp;gameName=WildCraps&amp;platform=desktop&amp;languageCode=eng&amp;currency=EUR")</f>
        <v>https://gameserver-store-client-area.orbionlimited.com/Home/IntegrationGameLaunch/client-area?moneyType=0&amp;gameName=WildCraps&amp;platform=desktop&amp;languageCode=eng&amp;currency=EUR</v>
      </c>
      <c r="BE277" s="5" t="b">
        <f>IFERROR(__xludf.DUMMYFUNCTION("""COMPUTED_VALUE"""),TRUE)</f>
        <v>1</v>
      </c>
    </row>
    <row r="278">
      <c r="A278" s="5">
        <f>IFERROR(__xludf.DUMMYFUNCTION("""COMPUTED_VALUE"""),278.0)</f>
        <v>278</v>
      </c>
      <c r="B278" s="5">
        <f>IFERROR(__xludf.DUMMYFUNCTION("""COMPUTED_VALUE"""),277.0)</f>
        <v>277</v>
      </c>
      <c r="C278" s="5" t="str">
        <f>IFERROR(__xludf.DUMMYFUNCTION("""COMPUTED_VALUE"""),"Redstone")</f>
        <v>Redstone</v>
      </c>
      <c r="D278" s="5" t="str">
        <f>IFERROR(__xludf.DUMMYFUNCTION("""COMPUTED_VALUE"""),"Fear Of Dark")</f>
        <v>Fear Of Dark</v>
      </c>
      <c r="E278" s="5" t="str">
        <f>IFERROR(__xludf.DUMMYFUNCTION("""COMPUTED_VALUE"""),"Redstone")</f>
        <v>Redstone</v>
      </c>
      <c r="F278" s="5" t="str">
        <f>IFERROR(__xludf.DUMMYFUNCTION("""COMPUTED_VALUE"""),"RedstoneFearOfDark")</f>
        <v>RedstoneFearOfDark</v>
      </c>
      <c r="G278" s="5" t="str">
        <f>IFERROR(__xludf.DUMMYFUNCTION("""COMPUTED_VALUE"""),"Live")</f>
        <v>Live</v>
      </c>
      <c r="H278" s="5"/>
      <c r="I278" s="5" t="str">
        <f>IFERROR(__xludf.DUMMYFUNCTION("""COMPUTED_VALUE"""),"Redstone")</f>
        <v>Redstone</v>
      </c>
      <c r="J278" s="5" t="str">
        <f>IFERROR(__xludf.DUMMYFUNCTION("""COMPUTED_VALUE"""),"JSON")</f>
        <v>JSON</v>
      </c>
      <c r="K278" s="5" t="str">
        <f>IFERROR(__xludf.DUMMYFUNCTION("""COMPUTED_VALUE"""),"Slot")</f>
        <v>Slot</v>
      </c>
      <c r="L278" s="5" t="str">
        <f>IFERROR(__xludf.DUMMYFUNCTION("""COMPUTED_VALUE""")," Clone")</f>
        <v> Clone</v>
      </c>
      <c r="M278" s="5" t="str">
        <f>IFERROR(__xludf.DUMMYFUNCTION("""COMPUTED_VALUE"""),"40 Hot Joker")</f>
        <v>40 Hot Joker</v>
      </c>
      <c r="N278" s="7" t="str">
        <f>IFERROR(__xludf.DUMMYFUNCTION("""COMPUTED_VALUE"""),"https://docs.google.com/document/d/1QP-EtzlhgKGHFJ_tSJU92n3GAb-kqF2e/edit?usp=drive_link&amp;ouid=107596163405648766688&amp;rtpof=true&amp;sd=true")</f>
        <v>https://docs.google.com/document/d/1QP-EtzlhgKGHFJ_tSJU92n3GAb-kqF2e/edit?usp=drive_link&amp;ouid=107596163405648766688&amp;rtpof=true&amp;sd=true</v>
      </c>
      <c r="O278" s="7" t="str">
        <f>IFERROR(__xludf.DUMMYFUNCTION("""COMPUTED_VALUE"""),"https://docs.google.com/document/d/1G3Uy96MnESsRXYh1UJ3F4jpCVPLG-sSl/edit?usp=drive_link&amp;ouid=107596163405648766688&amp;rtpof=true&amp;sd=true")</f>
        <v>https://docs.google.com/document/d/1G3Uy96MnESsRXYh1UJ3F4jpCVPLG-sSl/edit?usp=drive_link&amp;ouid=107596163405648766688&amp;rtpof=true&amp;sd=true</v>
      </c>
      <c r="P278" s="12">
        <f>IFERROR(__xludf.DUMMYFUNCTION("""COMPUTED_VALUE"""),9.3)</f>
        <v>9.3</v>
      </c>
      <c r="Q278" s="13">
        <f>IFERROR(__xludf.DUMMYFUNCTION("""COMPUTED_VALUE"""),45217.0)</f>
        <v>45217</v>
      </c>
      <c r="R278" s="14"/>
      <c r="S278" s="13">
        <f>IFERROR(__xludf.DUMMYFUNCTION("""COMPUTED_VALUE"""),45217.0)</f>
        <v>45217</v>
      </c>
      <c r="T278" s="5" t="b">
        <f>IFERROR(__xludf.DUMMYFUNCTION("""COMPUTED_VALUE"""),TRUE)</f>
        <v>1</v>
      </c>
      <c r="U278" s="5" t="str">
        <f>IFERROR(__xludf.DUMMYFUNCTION("""COMPUTED_VALUE"""),"5x4")</f>
        <v>5x4</v>
      </c>
      <c r="V278" s="10" t="str">
        <f>IFERROR(__xludf.DUMMYFUNCTION("""COMPUTED_VALUE"""),"40")</f>
        <v>40</v>
      </c>
      <c r="W278" s="10" t="str">
        <f>IFERROR(__xludf.DUMMYFUNCTION("""COMPUTED_VALUE"""),"40")</f>
        <v>40</v>
      </c>
      <c r="X278" s="5">
        <f>IFERROR(__xludf.DUMMYFUNCTION("""COMPUTED_VALUE"""),96.24)</f>
        <v>96.24</v>
      </c>
      <c r="Y278" s="5" t="str">
        <f>IFERROR(__xludf.DUMMYFUNCTION("""COMPUTED_VALUE"""),"Medium")</f>
        <v>Medium</v>
      </c>
      <c r="Z278" s="5">
        <f>IFERROR(__xludf.DUMMYFUNCTION("""COMPUTED_VALUE"""),11.27)</f>
        <v>11.27</v>
      </c>
      <c r="AA278" s="12">
        <f>IFERROR(__xludf.DUMMYFUNCTION("""COMPUTED_VALUE"""),3000.0)</f>
        <v>3000</v>
      </c>
      <c r="AB278" s="5"/>
      <c r="AC278" s="5" t="str">
        <f>IFERROR(__xludf.DUMMYFUNCTION("""COMPUTED_VALUE"""),"Expanding Wild, Scatter")</f>
        <v>Expanding Wild, Scatter</v>
      </c>
      <c r="AD278" s="5" t="str">
        <f>IFERROR(__xludf.DUMMYFUNCTION("""COMPUTED_VALUE"""),"0.04/50")</f>
        <v>0.04/50</v>
      </c>
      <c r="AE278" s="5"/>
      <c r="AF278" s="5"/>
      <c r="AG278" s="8">
        <f>IFERROR(__xludf.DUMMYFUNCTION("""COMPUTED_VALUE"""),46157.47518518518)</f>
        <v>46157.47519</v>
      </c>
      <c r="AH278" s="5"/>
      <c r="AI278" s="5"/>
      <c r="AJ278" s="5"/>
      <c r="AK278" s="5">
        <f>IFERROR(__xludf.DUMMYFUNCTION("""COMPUTED_VALUE"""),1.0)</f>
        <v>1</v>
      </c>
      <c r="AL278" s="5" t="str">
        <f>IFERROR(__xludf.DUMMYFUNCTION("""COMPUTED_VALUE"""),"No")</f>
        <v>No</v>
      </c>
      <c r="AM278" s="5" t="str">
        <f>IFERROR(__xludf.DUMMYFUNCTION("""COMPUTED_VALUE"""),"No")</f>
        <v>No</v>
      </c>
      <c r="AN278" s="7" t="str">
        <f>IFERROR(__xludf.DUMMYFUNCTION("""COMPUTED_VALUE"""),"https://play.redstone.rs/games/fear-of-dark/index.html")</f>
        <v>https://play.redstone.rs/games/fear-of-dark/index.html</v>
      </c>
      <c r="AO278" s="5" t="str">
        <f>IFERROR(__xludf.DUMMYFUNCTION("""COMPUTED_VALUE"""),"No")</f>
        <v>No</v>
      </c>
      <c r="AP278" s="5" t="str">
        <f>IFERROR(__xludf.DUMMYFUNCTION("""COMPUTED_VALUE"""),"No")</f>
        <v>No</v>
      </c>
      <c r="AQ278" s="5" t="b">
        <f>IFERROR(__xludf.DUMMYFUNCTION("""COMPUTED_VALUE"""),TRUE)</f>
        <v>1</v>
      </c>
      <c r="AR278" s="5"/>
      <c r="AS278" s="5" t="str">
        <f>IFERROR(__xludf.DUMMYFUNCTION("""COMPUTED_VALUE"""),"Are you ready to face the Fear of Dark? The brave will walk away with x3000 in clutches!")</f>
        <v>Are you ready to face the Fear of Dark? The brave will walk away with x3000 in clutches!</v>
      </c>
      <c r="AT278" s="5"/>
      <c r="AU278" s="5" t="str">
        <f>IFERROR(__xludf.DUMMYFUNCTION("""COMPUTED_VALUE"""),"Redstone")</f>
        <v>Redstone</v>
      </c>
      <c r="AV278" s="5"/>
      <c r="AW278" s="5"/>
      <c r="AX278" s="5"/>
      <c r="AY278" s="5"/>
      <c r="AZ278" s="5"/>
      <c r="BA278" s="5"/>
      <c r="BB278" s="5" t="b">
        <f>IFERROR(__xludf.DUMMYFUNCTION("""COMPUTED_VALUE"""),TRUE)</f>
        <v>1</v>
      </c>
      <c r="BC278" s="5" t="str">
        <f>IFERROR(__xludf.DUMMYFUNCTION("""COMPUTED_VALUE"""),"Redstone")</f>
        <v>Redstone</v>
      </c>
      <c r="BD278" s="7" t="str">
        <f>IFERROR(__xludf.DUMMYFUNCTION("""COMPUTED_VALUE"""),"https://play.redstone.rs/games/fear-of-dark/index.html")</f>
        <v>https://play.redstone.rs/games/fear-of-dark/index.html</v>
      </c>
      <c r="BE278" s="5" t="b">
        <f>IFERROR(__xludf.DUMMYFUNCTION("""COMPUTED_VALUE"""),TRUE)</f>
        <v>1</v>
      </c>
    </row>
    <row r="279">
      <c r="A279" s="5">
        <f>IFERROR(__xludf.DUMMYFUNCTION("""COMPUTED_VALUE"""),279.0)</f>
        <v>279</v>
      </c>
      <c r="B279" s="5">
        <f>IFERROR(__xludf.DUMMYFUNCTION("""COMPUTED_VALUE"""),278.0)</f>
        <v>278</v>
      </c>
      <c r="C279" s="5" t="str">
        <f>IFERROR(__xludf.DUMMYFUNCTION("""COMPUTED_VALUE"""),"Fazi")</f>
        <v>Fazi</v>
      </c>
      <c r="D279" s="5" t="str">
        <f>IFERROR(__xludf.DUMMYFUNCTION("""COMPUTED_VALUE"""),"Mr First Cryptonium")</f>
        <v>Mr First Cryptonium</v>
      </c>
      <c r="E279" s="5" t="str">
        <f>IFERROR(__xludf.DUMMYFUNCTION("""COMPUTED_VALUE"""),"V2")</f>
        <v>V2</v>
      </c>
      <c r="F279" s="5" t="str">
        <f>IFERROR(__xludf.DUMMYFUNCTION("""COMPUTED_VALUE"""),"MrFirstCryptonium")</f>
        <v>MrFirstCryptonium</v>
      </c>
      <c r="G279" s="5" t="str">
        <f>IFERROR(__xludf.DUMMYFUNCTION("""COMPUTED_VALUE"""),"Live")</f>
        <v>Live</v>
      </c>
      <c r="H279" s="5" t="str">
        <f>IFERROR(__xludf.DUMMYFUNCTION("""COMPUTED_VALUE"""),"BetConstruct takmičenje")</f>
        <v>BetConstruct takmičenje</v>
      </c>
      <c r="I279" s="5" t="str">
        <f>IFERROR(__xludf.DUMMYFUNCTION("""COMPUTED_VALUE"""),"V2")</f>
        <v>V2</v>
      </c>
      <c r="J279" s="5" t="str">
        <f>IFERROR(__xludf.DUMMYFUNCTION("""COMPUTED_VALUE"""),"Binary")</f>
        <v>Binary</v>
      </c>
      <c r="K279" s="5" t="str">
        <f>IFERROR(__xludf.DUMMYFUNCTION("""COMPUTED_VALUE"""),"Slot")</f>
        <v>Slot</v>
      </c>
      <c r="L279" s="5" t="str">
        <f>IFERROR(__xludf.DUMMYFUNCTION("""COMPUTED_VALUE"""),"Clone")</f>
        <v>Clone</v>
      </c>
      <c r="M279" s="5" t="str">
        <f>IFERROR(__xludf.DUMMYFUNCTION("""COMPUTED_VALUE"""),"Wild Lucky Clover")</f>
        <v>Wild Lucky Clover</v>
      </c>
      <c r="N279" s="5"/>
      <c r="O279" s="5"/>
      <c r="P279" s="12">
        <f>IFERROR(__xludf.DUMMYFUNCTION("""COMPUTED_VALUE"""),24.0)</f>
        <v>24</v>
      </c>
      <c r="Q279" s="13">
        <f>IFERROR(__xludf.DUMMYFUNCTION("""COMPUTED_VALUE"""),45258.0)</f>
        <v>45258</v>
      </c>
      <c r="R279" s="14"/>
      <c r="S279" s="13">
        <f>IFERROR(__xludf.DUMMYFUNCTION("""COMPUTED_VALUE"""),45258.0)</f>
        <v>45258</v>
      </c>
      <c r="T279" s="5" t="b">
        <f>IFERROR(__xludf.DUMMYFUNCTION("""COMPUTED_VALUE"""),TRUE)</f>
        <v>1</v>
      </c>
      <c r="U279" s="5" t="str">
        <f>IFERROR(__xludf.DUMMYFUNCTION("""COMPUTED_VALUE"""),"5x4")</f>
        <v>5x4</v>
      </c>
      <c r="V279" s="10" t="str">
        <f>IFERROR(__xludf.DUMMYFUNCTION("""COMPUTED_VALUE"""),"40")</f>
        <v>40</v>
      </c>
      <c r="W279" s="10" t="str">
        <f>IFERROR(__xludf.DUMMYFUNCTION("""COMPUTED_VALUE"""),"40")</f>
        <v>40</v>
      </c>
      <c r="X279" s="5">
        <f>IFERROR(__xludf.DUMMYFUNCTION("""COMPUTED_VALUE"""),96.291)</f>
        <v>96.291</v>
      </c>
      <c r="Y279" s="5" t="str">
        <f>IFERROR(__xludf.DUMMYFUNCTION("""COMPUTED_VALUE"""),"Medium")</f>
        <v>Medium</v>
      </c>
      <c r="Z279" s="5">
        <f>IFERROR(__xludf.DUMMYFUNCTION("""COMPUTED_VALUE"""),12.67)</f>
        <v>12.67</v>
      </c>
      <c r="AA279" s="12">
        <f>IFERROR(__xludf.DUMMYFUNCTION("""COMPUTED_VALUE"""),1043.0)</f>
        <v>1043</v>
      </c>
      <c r="AB279" s="5">
        <f>IFERROR(__xludf.DUMMYFUNCTION("""COMPUTED_VALUE"""),199.0)</f>
        <v>199</v>
      </c>
      <c r="AC279" s="5" t="str">
        <f>IFERROR(__xludf.DUMMYFUNCTION("""COMPUTED_VALUE"""),"Bonus Game with Free Spins, Converting Wild")</f>
        <v>Bonus Game with Free Spins, Converting Wild</v>
      </c>
      <c r="AD279" s="5" t="str">
        <f>IFERROR(__xludf.DUMMYFUNCTION("""COMPUTED_VALUE"""),"0.4/60")</f>
        <v>0.4/60</v>
      </c>
      <c r="AE279" s="5"/>
      <c r="AF279" s="5"/>
      <c r="AG279" s="8">
        <f>IFERROR(__xludf.DUMMYFUNCTION("""COMPUTED_VALUE"""),46104.5890162037)</f>
        <v>46104.58902</v>
      </c>
      <c r="AH279" s="5" t="str">
        <f>IFERROR(__xludf.DUMMYFUNCTION("""COMPUTED_VALUE"""),"petra.ilic@fazi.rs")</f>
        <v>petra.ilic@fazi.rs</v>
      </c>
      <c r="AI279" s="5"/>
      <c r="AJ279" s="5"/>
      <c r="AK279" s="5">
        <f>IFERROR(__xludf.DUMMYFUNCTION("""COMPUTED_VALUE"""),40.0)</f>
        <v>40</v>
      </c>
      <c r="AL279" s="5" t="str">
        <f>IFERROR(__xludf.DUMMYFUNCTION("""COMPUTED_VALUE"""),"Yes")</f>
        <v>Yes</v>
      </c>
      <c r="AM279" s="5"/>
      <c r="AN279" s="7" t="str">
        <f>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AO279" s="5"/>
      <c r="AP279" s="5"/>
      <c r="AQ279" s="5" t="b">
        <f>IFERROR(__xludf.DUMMYFUNCTION("""COMPUTED_VALUE"""),TRUE)</f>
        <v>1</v>
      </c>
      <c r="AR279" s="5" t="b">
        <f>IFERROR(__xludf.DUMMYFUNCTION("""COMPUTED_VALUE"""),TRUE)</f>
        <v>1</v>
      </c>
      <c r="AS279" s="5" t="str">
        <f>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AT279" s="5"/>
      <c r="AU279" s="5" t="str">
        <f>IFERROR(__xludf.DUMMYFUNCTION("""COMPUTED_VALUE"""),"Fazi")</f>
        <v>Fazi</v>
      </c>
      <c r="AV279" s="5"/>
      <c r="AW279" s="5"/>
      <c r="AX279" s="5"/>
      <c r="AY279" s="5"/>
      <c r="AZ279" s="5"/>
      <c r="BA279" s="5" t="str">
        <f>IFERROR(__xludf.DUMMYFUNCTION("""COMPUTED_VALUE"""),"")</f>
        <v/>
      </c>
      <c r="BB279" s="5"/>
      <c r="BC279" s="5" t="str">
        <f>IFERROR(__xludf.DUMMYFUNCTION("""COMPUTED_VALUE"""),"Foxi")</f>
        <v>Foxi</v>
      </c>
      <c r="BD279" s="7" t="str">
        <f>IFERROR(__xludf.DUMMYFUNCTION("""COMPUTED_VALUE"""),"https://gameserver-store-client-area.orbionlimited.com/Home/IntegrationGameLaunch/client-area?moneyType=0&amp;gameName=MrFirstCryptonium&amp;platform=desktop&amp;languageCode=eng&amp;currency=EUR")</f>
        <v>https://gameserver-store-client-area.orbionlimited.com/Home/IntegrationGameLaunch/client-area?moneyType=0&amp;gameName=MrFirstCryptonium&amp;platform=desktop&amp;languageCode=eng&amp;currency=EUR</v>
      </c>
      <c r="BE279" s="5" t="b">
        <f>IFERROR(__xludf.DUMMYFUNCTION("""COMPUTED_VALUE"""),TRUE)</f>
        <v>1</v>
      </c>
    </row>
    <row r="280">
      <c r="A280" s="5">
        <f>IFERROR(__xludf.DUMMYFUNCTION("""COMPUTED_VALUE"""),280.0)</f>
        <v>280</v>
      </c>
      <c r="B280" s="5">
        <f>IFERROR(__xludf.DUMMYFUNCTION("""COMPUTED_VALUE"""),279.0)</f>
        <v>279</v>
      </c>
      <c r="C280" s="5" t="str">
        <f>IFERROR(__xludf.DUMMYFUNCTION("""COMPUTED_VALUE"""),"Tiptop")</f>
        <v>Tiptop</v>
      </c>
      <c r="D280" s="5" t="str">
        <f>IFERROR(__xludf.DUMMYFUNCTION("""COMPUTED_VALUE"""),"Fruit Island Christmas")</f>
        <v>Fruit Island Christmas</v>
      </c>
      <c r="E280" s="5"/>
      <c r="F280" s="5" t="str">
        <f>IFERROR(__xludf.DUMMYFUNCTION("""COMPUTED_VALUE"""),"UnicornFruitIslandChristmas")</f>
        <v>UnicornFruitIslandChristmas</v>
      </c>
      <c r="G280" s="5" t="str">
        <f>IFERROR(__xludf.DUMMYFUNCTION("""COMPUTED_VALUE"""),"Live")</f>
        <v>Live</v>
      </c>
      <c r="H280" s="5"/>
      <c r="I280" s="5" t="str">
        <f>IFERROR(__xludf.DUMMYFUNCTION("""COMPUTED_VALUE"""),"TipTop")</f>
        <v>TipTop</v>
      </c>
      <c r="J280" s="5" t="str">
        <f>IFERROR(__xludf.DUMMYFUNCTION("""COMPUTED_VALUE"""),"JSON")</f>
        <v>JSON</v>
      </c>
      <c r="K280" s="5" t="str">
        <f>IFERROR(__xludf.DUMMYFUNCTION("""COMPUTED_VALUE"""),"Slot")</f>
        <v>Slot</v>
      </c>
      <c r="L280" s="5"/>
      <c r="M280" s="5"/>
      <c r="N280" s="5"/>
      <c r="O280" s="5"/>
      <c r="P280" s="12">
        <f>IFERROR(__xludf.DUMMYFUNCTION("""COMPUTED_VALUE"""),12.9)</f>
        <v>12.9</v>
      </c>
      <c r="Q280" s="13">
        <f>IFERROR(__xludf.DUMMYFUNCTION("""COMPUTED_VALUE"""),45560.0)</f>
        <v>45560</v>
      </c>
      <c r="R280" s="14"/>
      <c r="S280" s="13">
        <f>IFERROR(__xludf.DUMMYFUNCTION("""COMPUTED_VALUE"""),45560.0)</f>
        <v>45560</v>
      </c>
      <c r="T280" s="5" t="b">
        <f>IFERROR(__xludf.DUMMYFUNCTION("""COMPUTED_VALUE"""),TRUE)</f>
        <v>1</v>
      </c>
      <c r="U280" s="5" t="str">
        <f>IFERROR(__xludf.DUMMYFUNCTION("""COMPUTED_VALUE"""),"5X3")</f>
        <v>5X3</v>
      </c>
      <c r="V280" s="10" t="str">
        <f>IFERROR(__xludf.DUMMYFUNCTION("""COMPUTED_VALUE"""),"5")</f>
        <v>5</v>
      </c>
      <c r="W280" s="10" t="str">
        <f>IFERROR(__xludf.DUMMYFUNCTION("""COMPUTED_VALUE"""),"5")</f>
        <v>5</v>
      </c>
      <c r="X280" s="11">
        <f>IFERROR(__xludf.DUMMYFUNCTION("""COMPUTED_VALUE"""),96.0)</f>
        <v>96</v>
      </c>
      <c r="Y280" s="5" t="str">
        <f>IFERROR(__xludf.DUMMYFUNCTION("""COMPUTED_VALUE"""),"Low")</f>
        <v>Low</v>
      </c>
      <c r="Z280" s="5">
        <f>IFERROR(__xludf.DUMMYFUNCTION("""COMPUTED_VALUE"""),10.5)</f>
        <v>10.5</v>
      </c>
      <c r="AA280" s="12">
        <f>IFERROR(__xludf.DUMMYFUNCTION("""COMPUTED_VALUE"""),1000.0)</f>
        <v>1000</v>
      </c>
      <c r="AB280" s="5"/>
      <c r="AC280" s="18"/>
      <c r="AD280" s="5" t="str">
        <f>IFERROR(__xludf.DUMMYFUNCTION("""COMPUTED_VALUE"""),"0.05/40")</f>
        <v>0.05/40</v>
      </c>
      <c r="AE280" s="5"/>
      <c r="AF280" s="5"/>
      <c r="AG280" s="8">
        <f>IFERROR(__xludf.DUMMYFUNCTION("""COMPUTED_VALUE"""),46197.46503472222)</f>
        <v>46197.46503</v>
      </c>
      <c r="AH280" s="5" t="str">
        <f>IFERROR(__xludf.DUMMYFUNCTION("""COMPUTED_VALUE"""),"selena.mihajlovic@fazi.rs")</f>
        <v>selena.mihajlovic@fazi.rs</v>
      </c>
      <c r="AI280" s="5"/>
      <c r="AJ280" s="5"/>
      <c r="AK280" s="5">
        <f>IFERROR(__xludf.DUMMYFUNCTION("""COMPUTED_VALUE"""),5.0)</f>
        <v>5</v>
      </c>
      <c r="AL280" s="5" t="str">
        <f>IFERROR(__xludf.DUMMYFUNCTION("""COMPUTED_VALUE"""),"No")</f>
        <v>No</v>
      </c>
      <c r="AM280" s="5"/>
      <c r="AN280" s="7" t="str">
        <f>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AO280" s="5"/>
      <c r="AP280" s="5"/>
      <c r="AQ280" s="5" t="b">
        <f>IFERROR(__xludf.DUMMYFUNCTION("""COMPUTED_VALUE"""),TRUE)</f>
        <v>1</v>
      </c>
      <c r="AR280" s="5"/>
      <c r="AS280" s="5" t="str">
        <f>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AT280" s="5"/>
      <c r="AU280" s="5" t="str">
        <f>IFERROR(__xludf.DUMMYFUNCTION("""COMPUTED_VALUE"""),"Fazi")</f>
        <v>Fazi</v>
      </c>
      <c r="AV280" s="5"/>
      <c r="AW280" s="5"/>
      <c r="AX280" s="5"/>
      <c r="AY280" s="5"/>
      <c r="AZ280" s="5"/>
      <c r="BA280" s="5"/>
      <c r="BB280" s="5" t="b">
        <f>IFERROR(__xludf.DUMMYFUNCTION("""COMPUTED_VALUE"""),TRUE)</f>
        <v>1</v>
      </c>
      <c r="BC280" s="5" t="str">
        <f>IFERROR(__xludf.DUMMYFUNCTION("""COMPUTED_VALUE"""),"Tiptop")</f>
        <v>Tiptop</v>
      </c>
      <c r="BD280" s="7" t="str">
        <f>IFERROR(__xludf.DUMMYFUNCTION("""COMPUTED_VALUE"""),"https://gameserver-store-client-area.orbionlimited.com/Home/IntegrationGameLaunch/client-area?moneyType=0&amp;gameName=UnicornFruitIslandChristmas&amp;platform=desktop&amp;languageCode=eng&amp;currency=EUR")</f>
        <v>https://gameserver-store-client-area.orbionlimited.com/Home/IntegrationGameLaunch/client-area?moneyType=0&amp;gameName=UnicornFruitIslandChristmas&amp;platform=desktop&amp;languageCode=eng&amp;currency=EUR</v>
      </c>
      <c r="BE280" s="5" t="b">
        <f>IFERROR(__xludf.DUMMYFUNCTION("""COMPUTED_VALUE"""),TRUE)</f>
        <v>1</v>
      </c>
    </row>
    <row r="281">
      <c r="A281" s="5">
        <f>IFERROR(__xludf.DUMMYFUNCTION("""COMPUTED_VALUE"""),281.0)</f>
        <v>281</v>
      </c>
      <c r="B281" s="5">
        <f>IFERROR(__xludf.DUMMYFUNCTION("""COMPUTED_VALUE"""),280.0)</f>
        <v>280</v>
      </c>
      <c r="C281" s="5" t="str">
        <f>IFERROR(__xludf.DUMMYFUNCTION("""COMPUTED_VALUE"""),"Tiptop")</f>
        <v>Tiptop</v>
      </c>
      <c r="D281" s="5" t="str">
        <f>IFERROR(__xludf.DUMMYFUNCTION("""COMPUTED_VALUE"""),"Unicorn Star Dice Christmas")</f>
        <v>Unicorn Star Dice Christmas</v>
      </c>
      <c r="E281" s="5"/>
      <c r="F281" s="5" t="str">
        <f>IFERROR(__xludf.DUMMYFUNCTION("""COMPUTED_VALUE"""),"UnicornStarDiceChristmas")</f>
        <v>UnicornStarDiceChristmas</v>
      </c>
      <c r="G281" s="5" t="str">
        <f>IFERROR(__xludf.DUMMYFUNCTION("""COMPUTED_VALUE"""),"Retired")</f>
        <v>Retired</v>
      </c>
      <c r="H281" s="5"/>
      <c r="I281" s="5" t="str">
        <f>IFERROR(__xludf.DUMMYFUNCTION("""COMPUTED_VALUE"""),"TipTop")</f>
        <v>TipTop</v>
      </c>
      <c r="J281" s="5" t="str">
        <f>IFERROR(__xludf.DUMMYFUNCTION("""COMPUTED_VALUE"""),"JSON")</f>
        <v>JSON</v>
      </c>
      <c r="K281" s="5" t="str">
        <f>IFERROR(__xludf.DUMMYFUNCTION("""COMPUTED_VALUE"""),"Dice Slots")</f>
        <v>Dice Slots</v>
      </c>
      <c r="L281" s="5"/>
      <c r="M281" s="5"/>
      <c r="N281" s="5"/>
      <c r="O281" s="5"/>
      <c r="P281" s="12"/>
      <c r="Q281" s="13">
        <f>IFERROR(__xludf.DUMMYFUNCTION("""COMPUTED_VALUE"""),45253.0)</f>
        <v>45253</v>
      </c>
      <c r="R281" s="14"/>
      <c r="S281" s="13">
        <f>IFERROR(__xludf.DUMMYFUNCTION("""COMPUTED_VALUE"""),45253.0)</f>
        <v>45253</v>
      </c>
      <c r="T281" s="5" t="b">
        <f>IFERROR(__xludf.DUMMYFUNCTION("""COMPUTED_VALUE"""),TRUE)</f>
        <v>1</v>
      </c>
      <c r="U281" s="16"/>
      <c r="V281" s="10" t="str">
        <f>IFERROR(__xludf.DUMMYFUNCTION("""COMPUTED_VALUE"""),"40")</f>
        <v>40</v>
      </c>
      <c r="W281" s="10"/>
      <c r="X281" s="11">
        <f>IFERROR(__xludf.DUMMYFUNCTION("""COMPUTED_VALUE"""),0.0)</f>
        <v>0</v>
      </c>
      <c r="Y281" s="17"/>
      <c r="Z281" s="5">
        <f>IFERROR(__xludf.DUMMYFUNCTION("""COMPUTED_VALUE"""),0.0)</f>
        <v>0</v>
      </c>
      <c r="AA281" s="12"/>
      <c r="AB281" s="5"/>
      <c r="AC281" s="18"/>
      <c r="AD281" s="5"/>
      <c r="AE281" s="5"/>
      <c r="AF281" s="5"/>
      <c r="AG281" s="8">
        <f>IFERROR(__xludf.DUMMYFUNCTION("""COMPUTED_VALUE"""),46195.55327546296)</f>
        <v>46195.55328</v>
      </c>
      <c r="AH281" s="5" t="str">
        <f>IFERROR(__xludf.DUMMYFUNCTION("""COMPUTED_VALUE"""),"danica.petrovic@fazi.rs")</f>
        <v>danica.petrovic@fazi.rs</v>
      </c>
      <c r="AI281" s="5"/>
      <c r="AJ281" s="5"/>
      <c r="AK281" s="5" t="str">
        <f>IFERROR(__xludf.DUMMYFUNCTION("""COMPUTED_VALUE"""),"NULL")</f>
        <v>NULL</v>
      </c>
      <c r="AL281" s="5"/>
      <c r="AM281" s="5"/>
      <c r="AN281" s="5"/>
      <c r="AO281" s="5"/>
      <c r="AP281" s="5"/>
      <c r="AQ281" s="5"/>
      <c r="AR281" s="5"/>
      <c r="AS281" s="5"/>
      <c r="AT281" s="5"/>
      <c r="AU281" s="5" t="str">
        <f>IFERROR(__xludf.DUMMYFUNCTION("""COMPUTED_VALUE"""),"Fazi")</f>
        <v>Fazi</v>
      </c>
      <c r="AV281" s="5"/>
      <c r="AW281" s="5"/>
      <c r="AX281" s="5"/>
      <c r="AY281" s="5"/>
      <c r="AZ281" s="5"/>
      <c r="BA281" s="5"/>
      <c r="BB281" s="5"/>
      <c r="BC281" s="5" t="str">
        <f>IFERROR(__xludf.DUMMYFUNCTION("""COMPUTED_VALUE"""),"Tiptop")</f>
        <v>Tiptop</v>
      </c>
      <c r="BD281" s="5"/>
      <c r="BE281" s="5"/>
    </row>
    <row r="282">
      <c r="A282" s="5">
        <f>IFERROR(__xludf.DUMMYFUNCTION("""COMPUTED_VALUE"""),282.0)</f>
        <v>282</v>
      </c>
      <c r="B282" s="5">
        <f>IFERROR(__xludf.DUMMYFUNCTION("""COMPUTED_VALUE"""),281.0)</f>
        <v>281</v>
      </c>
      <c r="C282" s="5" t="str">
        <f>IFERROR(__xludf.DUMMYFUNCTION("""COMPUTED_VALUE"""),"Tiptop")</f>
        <v>Tiptop</v>
      </c>
      <c r="D282" s="5" t="str">
        <f>IFERROR(__xludf.DUMMYFUNCTION("""COMPUTED_VALUE"""),"Christmas Presents")</f>
        <v>Christmas Presents</v>
      </c>
      <c r="E282" s="5"/>
      <c r="F282" s="5" t="str">
        <f>IFERROR(__xludf.DUMMYFUNCTION("""COMPUTED_VALUE"""),"UnicornChristmasPresents")</f>
        <v>UnicornChristmasPresents</v>
      </c>
      <c r="G282" s="5" t="str">
        <f>IFERROR(__xludf.DUMMYFUNCTION("""COMPUTED_VALUE"""),"Live")</f>
        <v>Live</v>
      </c>
      <c r="H282" s="5"/>
      <c r="I282" s="5" t="str">
        <f>IFERROR(__xludf.DUMMYFUNCTION("""COMPUTED_VALUE"""),"TipTop")</f>
        <v>TipTop</v>
      </c>
      <c r="J282" s="5" t="str">
        <f>IFERROR(__xludf.DUMMYFUNCTION("""COMPUTED_VALUE"""),"JSON")</f>
        <v>JSON</v>
      </c>
      <c r="K282" s="5" t="str">
        <f>IFERROR(__xludf.DUMMYFUNCTION("""COMPUTED_VALUE"""),"Slot")</f>
        <v>Slot</v>
      </c>
      <c r="L282" s="5"/>
      <c r="M282" s="5"/>
      <c r="N282" s="5"/>
      <c r="O282" s="5"/>
      <c r="P282" s="12">
        <f>IFERROR(__xludf.DUMMYFUNCTION("""COMPUTED_VALUE"""),17.0)</f>
        <v>17</v>
      </c>
      <c r="Q282" s="13">
        <f>IFERROR(__xludf.DUMMYFUNCTION("""COMPUTED_VALUE"""),45608.0)</f>
        <v>45608</v>
      </c>
      <c r="R282" s="14"/>
      <c r="S282" s="13">
        <f>IFERROR(__xludf.DUMMYFUNCTION("""COMPUTED_VALUE"""),45608.0)</f>
        <v>45608</v>
      </c>
      <c r="T282" s="5" t="b">
        <f>IFERROR(__xludf.DUMMYFUNCTION("""COMPUTED_VALUE"""),TRUE)</f>
        <v>1</v>
      </c>
      <c r="U282" s="5" t="str">
        <f>IFERROR(__xludf.DUMMYFUNCTION("""COMPUTED_VALUE"""),"5X3")</f>
        <v>5X3</v>
      </c>
      <c r="V282" s="10" t="str">
        <f>IFERROR(__xludf.DUMMYFUNCTION("""COMPUTED_VALUE"""),"5")</f>
        <v>5</v>
      </c>
      <c r="W282" s="10" t="str">
        <f>IFERROR(__xludf.DUMMYFUNCTION("""COMPUTED_VALUE"""),"5")</f>
        <v>5</v>
      </c>
      <c r="X282" s="11">
        <f>IFERROR(__xludf.DUMMYFUNCTION("""COMPUTED_VALUE"""),96.0)</f>
        <v>96</v>
      </c>
      <c r="Y282" s="5" t="str">
        <f>IFERROR(__xludf.DUMMYFUNCTION("""COMPUTED_VALUE"""),"Low")</f>
        <v>Low</v>
      </c>
      <c r="Z282" s="5">
        <f>IFERROR(__xludf.DUMMYFUNCTION("""COMPUTED_VALUE"""),13.64)</f>
        <v>13.64</v>
      </c>
      <c r="AA282" s="12">
        <f>IFERROR(__xludf.DUMMYFUNCTION("""COMPUTED_VALUE"""),10000.0)</f>
        <v>10000</v>
      </c>
      <c r="AB282" s="5"/>
      <c r="AC282" s="18"/>
      <c r="AD282" s="5" t="str">
        <f>IFERROR(__xludf.DUMMYFUNCTION("""COMPUTED_VALUE"""),"0.05/100")</f>
        <v>0.05/100</v>
      </c>
      <c r="AE282" s="5"/>
      <c r="AF282" s="5"/>
      <c r="AG282" s="8">
        <f>IFERROR(__xludf.DUMMYFUNCTION("""COMPUTED_VALUE"""),46197.465729166666)</f>
        <v>46197.46573</v>
      </c>
      <c r="AH282" s="5" t="str">
        <f>IFERROR(__xludf.DUMMYFUNCTION("""COMPUTED_VALUE"""),"selena.mihajlovic@fazi.rs")</f>
        <v>selena.mihajlovic@fazi.rs</v>
      </c>
      <c r="AI282" s="5"/>
      <c r="AJ282" s="5"/>
      <c r="AK282" s="5">
        <f>IFERROR(__xludf.DUMMYFUNCTION("""COMPUTED_VALUE"""),5.0)</f>
        <v>5</v>
      </c>
      <c r="AL282" s="5" t="str">
        <f>IFERROR(__xludf.DUMMYFUNCTION("""COMPUTED_VALUE"""),"No")</f>
        <v>No</v>
      </c>
      <c r="AM282" s="5"/>
      <c r="AN282" s="7" t="str">
        <f>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AO282" s="5"/>
      <c r="AP282" s="5"/>
      <c r="AQ282" s="5" t="b">
        <f>IFERROR(__xludf.DUMMYFUNCTION("""COMPUTED_VALUE"""),TRUE)</f>
        <v>1</v>
      </c>
      <c r="AR282" s="5"/>
      <c r="AS282" s="5" t="str">
        <f>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AT282" s="5"/>
      <c r="AU282" s="5" t="str">
        <f>IFERROR(__xludf.DUMMYFUNCTION("""COMPUTED_VALUE"""),"Fazi")</f>
        <v>Fazi</v>
      </c>
      <c r="AV282" s="5"/>
      <c r="AW282" s="5"/>
      <c r="AX282" s="5"/>
      <c r="AY282" s="5"/>
      <c r="AZ282" s="5"/>
      <c r="BA282" s="5"/>
      <c r="BB282" s="5" t="b">
        <f>IFERROR(__xludf.DUMMYFUNCTION("""COMPUTED_VALUE"""),TRUE)</f>
        <v>1</v>
      </c>
      <c r="BC282" s="5" t="str">
        <f>IFERROR(__xludf.DUMMYFUNCTION("""COMPUTED_VALUE"""),"Tiptop")</f>
        <v>Tiptop</v>
      </c>
      <c r="BD282" s="7" t="str">
        <f>IFERROR(__xludf.DUMMYFUNCTION("""COMPUTED_VALUE"""),"https://gameserver-store-client-area.orbionlimited.com/Home/IntegrationGameLaunch/client-area?moneyType=0&amp;gameName=UnicornChristmasPresents&amp;platform=desktop&amp;languageCode=eng&amp;currency=EUR")</f>
        <v>https://gameserver-store-client-area.orbionlimited.com/Home/IntegrationGameLaunch/client-area?moneyType=0&amp;gameName=UnicornChristmasPresents&amp;platform=desktop&amp;languageCode=eng&amp;currency=EUR</v>
      </c>
      <c r="BE282" s="5" t="b">
        <f>IFERROR(__xludf.DUMMYFUNCTION("""COMPUTED_VALUE"""),TRUE)</f>
        <v>1</v>
      </c>
    </row>
    <row r="283">
      <c r="A283" s="5">
        <f>IFERROR(__xludf.DUMMYFUNCTION("""COMPUTED_VALUE"""),283.0)</f>
        <v>283</v>
      </c>
      <c r="B283" s="5">
        <f>IFERROR(__xludf.DUMMYFUNCTION("""COMPUTED_VALUE"""),282.0)</f>
        <v>282</v>
      </c>
      <c r="C283" s="5" t="str">
        <f>IFERROR(__xludf.DUMMYFUNCTION("""COMPUTED_VALUE"""),"Fazi")</f>
        <v>Fazi</v>
      </c>
      <c r="D283" s="5" t="str">
        <f>IFERROR(__xludf.DUMMYFUNCTION("""COMPUTED_VALUE"""),"Santa's Presents")</f>
        <v>Santa's Presents</v>
      </c>
      <c r="E283" s="5" t="str">
        <f>IFERROR(__xludf.DUMMYFUNCTION("""COMPUTED_VALUE"""),"V4-1")</f>
        <v>V4-1</v>
      </c>
      <c r="F283" s="5" t="str">
        <f>IFERROR(__xludf.DUMMYFUNCTION("""COMPUTED_VALUE"""),"SantasPresents")</f>
        <v>SantasPresents</v>
      </c>
      <c r="G283" s="5" t="str">
        <f>IFERROR(__xludf.DUMMYFUNCTION("""COMPUTED_VALUE"""),"Live")</f>
        <v>Live</v>
      </c>
      <c r="H283" s="5"/>
      <c r="I283" s="5" t="str">
        <f>IFERROR(__xludf.DUMMYFUNCTION("""COMPUTED_VALUE"""),"V4")</f>
        <v>V4</v>
      </c>
      <c r="J283" s="5" t="str">
        <f>IFERROR(__xludf.DUMMYFUNCTION("""COMPUTED_VALUE"""),"JSON")</f>
        <v>JSON</v>
      </c>
      <c r="K283" s="5" t="str">
        <f>IFERROR(__xludf.DUMMYFUNCTION("""COMPUTED_VALUE"""),"Slot")</f>
        <v>Slot</v>
      </c>
      <c r="L283" s="5"/>
      <c r="M283" s="5"/>
      <c r="N283" s="5"/>
      <c r="O283" s="5"/>
      <c r="P283" s="12">
        <f>IFERROR(__xludf.DUMMYFUNCTION("""COMPUTED_VALUE"""),17.0)</f>
        <v>17</v>
      </c>
      <c r="Q283" s="13">
        <f>IFERROR(__xludf.DUMMYFUNCTION("""COMPUTED_VALUE"""),45252.0)</f>
        <v>45252</v>
      </c>
      <c r="R283" s="14"/>
      <c r="S283" s="13">
        <f>IFERROR(__xludf.DUMMYFUNCTION("""COMPUTED_VALUE"""),45252.0)</f>
        <v>45252</v>
      </c>
      <c r="T283" s="5" t="b">
        <f>IFERROR(__xludf.DUMMYFUNCTION("""COMPUTED_VALUE"""),TRUE)</f>
        <v>1</v>
      </c>
      <c r="U283" s="5" t="str">
        <f>IFERROR(__xludf.DUMMYFUNCTION("""COMPUTED_VALUE"""),"5x3")</f>
        <v>5x3</v>
      </c>
      <c r="V283" s="10" t="str">
        <f>IFERROR(__xludf.DUMMYFUNCTION("""COMPUTED_VALUE"""),"10")</f>
        <v>10</v>
      </c>
      <c r="W283" s="10" t="str">
        <f>IFERROR(__xludf.DUMMYFUNCTION("""COMPUTED_VALUE"""),"10")</f>
        <v>10</v>
      </c>
      <c r="X283" s="5">
        <f>IFERROR(__xludf.DUMMYFUNCTION("""COMPUTED_VALUE"""),96.5)</f>
        <v>96.5</v>
      </c>
      <c r="Y283" s="5" t="str">
        <f>IFERROR(__xludf.DUMMYFUNCTION("""COMPUTED_VALUE"""),"High")</f>
        <v>High</v>
      </c>
      <c r="Z283" s="5">
        <f>IFERROR(__xludf.DUMMYFUNCTION("""COMPUTED_VALUE"""),17.014)</f>
        <v>17.014</v>
      </c>
      <c r="AA283" s="12">
        <f>IFERROR(__xludf.DUMMYFUNCTION("""COMPUTED_VALUE"""),4614.0)</f>
        <v>4614</v>
      </c>
      <c r="AB283" s="5">
        <f>IFERROR(__xludf.DUMMYFUNCTION("""COMPUTED_VALUE"""),182.0)</f>
        <v>182</v>
      </c>
      <c r="AC283" s="5" t="str">
        <f>IFERROR(__xludf.DUMMYFUNCTION("""COMPUTED_VALUE"""),"Bonus Game with Free Spins, Expanding Wild, Win Multiplier")</f>
        <v>Bonus Game with Free Spins, Expanding Wild, Win Multiplier</v>
      </c>
      <c r="AD283" s="5" t="str">
        <f>IFERROR(__xludf.DUMMYFUNCTION("""COMPUTED_VALUE"""),"0.1/40")</f>
        <v>0.1/40</v>
      </c>
      <c r="AE283" s="5"/>
      <c r="AF283" s="5"/>
      <c r="AG283" s="8">
        <f>IFERROR(__xludf.DUMMYFUNCTION("""COMPUTED_VALUE"""),46162.478993055556)</f>
        <v>46162.47899</v>
      </c>
      <c r="AH283" s="5" t="str">
        <f>IFERROR(__xludf.DUMMYFUNCTION("""COMPUTED_VALUE"""),"petra.ilic@fazi.rs")</f>
        <v>petra.ilic@fazi.rs</v>
      </c>
      <c r="AI283" s="5"/>
      <c r="AJ283" s="5"/>
      <c r="AK283" s="5">
        <f>IFERROR(__xludf.DUMMYFUNCTION("""COMPUTED_VALUE"""),10.0)</f>
        <v>10</v>
      </c>
      <c r="AL283" s="5" t="str">
        <f>IFERROR(__xludf.DUMMYFUNCTION("""COMPUTED_VALUE"""),"Yes")</f>
        <v>Yes</v>
      </c>
      <c r="AM283" s="5"/>
      <c r="AN283" s="7" t="str">
        <f>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AO283" s="5" t="str">
        <f>IFERROR(__xludf.DUMMYFUNCTION("""COMPUTED_VALUE"""),"Yes")</f>
        <v>Yes</v>
      </c>
      <c r="AP283" s="5" t="str">
        <f>IFERROR(__xludf.DUMMYFUNCTION("""COMPUTED_VALUE"""),"Yes")</f>
        <v>Yes</v>
      </c>
      <c r="AQ283" s="5" t="b">
        <f>IFERROR(__xludf.DUMMYFUNCTION("""COMPUTED_VALUE"""),TRUE)</f>
        <v>1</v>
      </c>
      <c r="AR283" s="5"/>
      <c r="AS283" s="5" t="str">
        <f>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AT283" s="5" t="str">
        <f>IFERROR(__xludf.DUMMYFUNCTION("""COMPUTED_VALUE"""),"No")</f>
        <v>No</v>
      </c>
      <c r="AU283" s="5" t="str">
        <f>IFERROR(__xludf.DUMMYFUNCTION("""COMPUTED_VALUE"""),"Fazi")</f>
        <v>Fazi</v>
      </c>
      <c r="AV283" s="5"/>
      <c r="AW283" s="5"/>
      <c r="AX283" s="5"/>
      <c r="AY283" s="5"/>
      <c r="AZ283" s="5"/>
      <c r="BA283" s="5"/>
      <c r="BB283" s="5"/>
      <c r="BC283" s="5" t="str">
        <f>IFERROR(__xludf.DUMMYFUNCTION("""COMPUTED_VALUE"""),"Foxi")</f>
        <v>Foxi</v>
      </c>
      <c r="BD283" s="7" t="str">
        <f>IFERROR(__xludf.DUMMYFUNCTION("""COMPUTED_VALUE"""),"https://gameserver-store-client-area.orbionlimited.com/Home/IntegrationGameLaunch/client-area?moneyType=0&amp;gameName=SantasPresents&amp;platform=desktop&amp;languageCode=eng&amp;currency=EUR")</f>
        <v>https://gameserver-store-client-area.orbionlimited.com/Home/IntegrationGameLaunch/client-area?moneyType=0&amp;gameName=SantasPresents&amp;platform=desktop&amp;languageCode=eng&amp;currency=EUR</v>
      </c>
      <c r="BE283" s="5" t="b">
        <f>IFERROR(__xludf.DUMMYFUNCTION("""COMPUTED_VALUE"""),TRUE)</f>
        <v>1</v>
      </c>
    </row>
    <row r="284">
      <c r="A284" s="5">
        <f>IFERROR(__xludf.DUMMYFUNCTION("""COMPUTED_VALUE"""),284.0)</f>
        <v>284</v>
      </c>
      <c r="B284" s="5">
        <f>IFERROR(__xludf.DUMMYFUNCTION("""COMPUTED_VALUE"""),283.0)</f>
        <v>283</v>
      </c>
      <c r="C284" s="5" t="str">
        <f>IFERROR(__xludf.DUMMYFUNCTION("""COMPUTED_VALUE"""),"Fazi")</f>
        <v>Fazi</v>
      </c>
      <c r="D284" s="5" t="str">
        <f>IFERROR(__xludf.DUMMYFUNCTION("""COMPUTED_VALUE"""),"Golden Vegas")</f>
        <v>Golden Vegas</v>
      </c>
      <c r="E284" s="5" t="str">
        <f>IFERROR(__xludf.DUMMYFUNCTION("""COMPUTED_VALUE"""),"V2")</f>
        <v>V2</v>
      </c>
      <c r="F284" s="5" t="str">
        <f>IFERROR(__xludf.DUMMYFUNCTION("""COMPUTED_VALUE"""),"GoldenVegas")</f>
        <v>GoldenVegas</v>
      </c>
      <c r="G284" s="5" t="str">
        <f>IFERROR(__xludf.DUMMYFUNCTION("""COMPUTED_VALUE"""),"Live")</f>
        <v>Live</v>
      </c>
      <c r="H284" s="5" t="str">
        <f>IFERROR(__xludf.DUMMYFUNCTION("""COMPUTED_VALUE"""),"BtoBet")</f>
        <v>BtoBet</v>
      </c>
      <c r="I284" s="5" t="str">
        <f>IFERROR(__xludf.DUMMYFUNCTION("""COMPUTED_VALUE"""),"V2")</f>
        <v>V2</v>
      </c>
      <c r="J284" s="5" t="str">
        <f>IFERROR(__xludf.DUMMYFUNCTION("""COMPUTED_VALUE"""),"Binary")</f>
        <v>Binary</v>
      </c>
      <c r="K284" s="5" t="str">
        <f>IFERROR(__xludf.DUMMYFUNCTION("""COMPUTED_VALUE"""),"Slot")</f>
        <v>Slot</v>
      </c>
      <c r="L284" s="5" t="str">
        <f>IFERROR(__xludf.DUMMYFUNCTION("""COMPUTED_VALUE"""),"Clone")</f>
        <v>Clone</v>
      </c>
      <c r="M284" s="5" t="str">
        <f>IFERROR(__xludf.DUMMYFUNCTION("""COMPUTED_VALUE"""),"Golden Crown")</f>
        <v>Golden Crown</v>
      </c>
      <c r="N284" s="5"/>
      <c r="O284" s="5"/>
      <c r="P284" s="12"/>
      <c r="Q284" s="13">
        <f>IFERROR(__xludf.DUMMYFUNCTION("""COMPUTED_VALUE"""),43831.0)</f>
        <v>43831</v>
      </c>
      <c r="R284" s="14"/>
      <c r="S284" s="13">
        <f>IFERROR(__xludf.DUMMYFUNCTION("""COMPUTED_VALUE"""),43831.0)</f>
        <v>43831</v>
      </c>
      <c r="T284" s="5"/>
      <c r="U284" s="5" t="str">
        <f>IFERROR(__xludf.DUMMYFUNCTION("""COMPUTED_VALUE"""),"5x3")</f>
        <v>5x3</v>
      </c>
      <c r="V284" s="10" t="str">
        <f>IFERROR(__xludf.DUMMYFUNCTION("""COMPUTED_VALUE"""),"10")</f>
        <v>10</v>
      </c>
      <c r="W284" s="10" t="str">
        <f>IFERROR(__xludf.DUMMYFUNCTION("""COMPUTED_VALUE"""),"10")</f>
        <v>10</v>
      </c>
      <c r="X284" s="5">
        <f>IFERROR(__xludf.DUMMYFUNCTION("""COMPUTED_VALUE"""),95.962)</f>
        <v>95.962</v>
      </c>
      <c r="Y284" s="5" t="str">
        <f>IFERROR(__xludf.DUMMYFUNCTION("""COMPUTED_VALUE"""),"Medium")</f>
        <v>Medium</v>
      </c>
      <c r="Z284" s="5">
        <f>IFERROR(__xludf.DUMMYFUNCTION("""COMPUTED_VALUE"""),14.634)</f>
        <v>14.634</v>
      </c>
      <c r="AA284" s="12">
        <f>IFERROR(__xludf.DUMMYFUNCTION("""COMPUTED_VALUE"""),1538.0)</f>
        <v>1538</v>
      </c>
      <c r="AB284" s="5">
        <f>IFERROR(__xludf.DUMMYFUNCTION("""COMPUTED_VALUE"""),4.0)</f>
        <v>4</v>
      </c>
      <c r="AC284" s="5" t="str">
        <f>IFERROR(__xludf.DUMMYFUNCTION("""COMPUTED_VALUE"""),"Scatter, Expanding Wild")</f>
        <v>Scatter, Expanding Wild</v>
      </c>
      <c r="AD284" s="5"/>
      <c r="AE284" s="5"/>
      <c r="AF284" s="5"/>
      <c r="AG284" s="8">
        <f>IFERROR(__xludf.DUMMYFUNCTION("""COMPUTED_VALUE"""),46020.52148148148)</f>
        <v>46020.52148</v>
      </c>
      <c r="AH284" s="5" t="str">
        <f>IFERROR(__xludf.DUMMYFUNCTION("""COMPUTED_VALUE"""),"djordje.jankovic@fazi.rs")</f>
        <v>djordje.jankovic@fazi.rs</v>
      </c>
      <c r="AI284" s="5"/>
      <c r="AJ284" s="5"/>
      <c r="AK284" s="5">
        <f>IFERROR(__xludf.DUMMYFUNCTION("""COMPUTED_VALUE"""),10.0)</f>
        <v>10</v>
      </c>
      <c r="AL284" s="5" t="str">
        <f>IFERROR(__xludf.DUMMYFUNCTION("""COMPUTED_VALUE"""),"Yes")</f>
        <v>Yes</v>
      </c>
      <c r="AM284" s="5"/>
      <c r="AN284" s="5"/>
      <c r="AO284" s="5"/>
      <c r="AP284" s="5"/>
      <c r="AQ284" s="5"/>
      <c r="AR284" s="5" t="b">
        <f>IFERROR(__xludf.DUMMYFUNCTION("""COMPUTED_VALUE"""),TRUE)</f>
        <v>1</v>
      </c>
      <c r="AS284" s="5"/>
      <c r="AT284" s="5"/>
      <c r="AU284" s="5" t="str">
        <f>IFERROR(__xludf.DUMMYFUNCTION("""COMPUTED_VALUE"""),"Fazi")</f>
        <v>Fazi</v>
      </c>
      <c r="AV284" s="5"/>
      <c r="AW284" s="5"/>
      <c r="AX284" s="5"/>
      <c r="AY284" s="5"/>
      <c r="AZ284" s="5"/>
      <c r="BA284" s="5" t="str">
        <f>IFERROR(__xludf.DUMMYFUNCTION("""COMPUTED_VALUE"""),"")</f>
        <v/>
      </c>
      <c r="BB284" s="5"/>
      <c r="BC284" s="5" t="str">
        <f>IFERROR(__xludf.DUMMYFUNCTION("""COMPUTED_VALUE"""),"Foxi")</f>
        <v>Foxi</v>
      </c>
      <c r="BD284" s="5" t="str">
        <f>IFERROR(__xludf.DUMMYFUNCTION("""COMPUTED_VALUE"""),"")</f>
        <v/>
      </c>
      <c r="BE284" s="5"/>
    </row>
    <row r="285">
      <c r="A285" s="5">
        <f>IFERROR(__xludf.DUMMYFUNCTION("""COMPUTED_VALUE"""),285.0)</f>
        <v>285</v>
      </c>
      <c r="B285" s="5">
        <f>IFERROR(__xludf.DUMMYFUNCTION("""COMPUTED_VALUE"""),284.0)</f>
        <v>284</v>
      </c>
      <c r="C285" s="5" t="str">
        <f>IFERROR(__xludf.DUMMYFUNCTION("""COMPUTED_VALUE"""),"Fazi")</f>
        <v>Fazi</v>
      </c>
      <c r="D285" s="5" t="str">
        <f>IFERROR(__xludf.DUMMYFUNCTION("""COMPUTED_VALUE"""),"Chilli Respin")</f>
        <v>Chilli Respin</v>
      </c>
      <c r="E285" s="5" t="str">
        <f>IFERROR(__xludf.DUMMYFUNCTION("""COMPUTED_VALUE"""),"V4-1")</f>
        <v>V4-1</v>
      </c>
      <c r="F285" s="5" t="str">
        <f>IFERROR(__xludf.DUMMYFUNCTION("""COMPUTED_VALUE"""),"ChilliRespin")</f>
        <v>ChilliRespin</v>
      </c>
      <c r="G285" s="5" t="str">
        <f>IFERROR(__xludf.DUMMYFUNCTION("""COMPUTED_VALUE"""),"Live")</f>
        <v>Live</v>
      </c>
      <c r="H285" s="5"/>
      <c r="I285" s="5" t="str">
        <f>IFERROR(__xludf.DUMMYFUNCTION("""COMPUTED_VALUE"""),"V4")</f>
        <v>V4</v>
      </c>
      <c r="J285" s="5" t="str">
        <f>IFERROR(__xludf.DUMMYFUNCTION("""COMPUTED_VALUE"""),"JSON")</f>
        <v>JSON</v>
      </c>
      <c r="K285" s="5" t="str">
        <f>IFERROR(__xludf.DUMMYFUNCTION("""COMPUTED_VALUE"""),"Slot")</f>
        <v>Slot</v>
      </c>
      <c r="L285" s="5" t="str">
        <f>IFERROR(__xludf.DUMMYFUNCTION("""COMPUTED_VALUE"""),"Clone")</f>
        <v>Clone</v>
      </c>
      <c r="M285" s="5" t="str">
        <f>IFERROR(__xludf.DUMMYFUNCTION("""COMPUTED_VALUE"""),"Joker Triple Double")</f>
        <v>Joker Triple Double</v>
      </c>
      <c r="N285" s="5"/>
      <c r="O285" s="5"/>
      <c r="P285" s="12">
        <f>IFERROR(__xludf.DUMMYFUNCTION("""COMPUTED_VALUE"""),13.8)</f>
        <v>13.8</v>
      </c>
      <c r="Q285" s="13">
        <f>IFERROR(__xludf.DUMMYFUNCTION("""COMPUTED_VALUE"""),45337.0)</f>
        <v>45337</v>
      </c>
      <c r="R285" s="14"/>
      <c r="S285" s="13">
        <f>IFERROR(__xludf.DUMMYFUNCTION("""COMPUTED_VALUE"""),45337.0)</f>
        <v>45337</v>
      </c>
      <c r="T285" s="5" t="b">
        <f>IFERROR(__xludf.DUMMYFUNCTION("""COMPUTED_VALUE"""),TRUE)</f>
        <v>1</v>
      </c>
      <c r="U285" s="5" t="str">
        <f>IFERROR(__xludf.DUMMYFUNCTION("""COMPUTED_VALUE"""),"3x3")</f>
        <v>3x3</v>
      </c>
      <c r="V285" s="10" t="str">
        <f>IFERROR(__xludf.DUMMYFUNCTION("""COMPUTED_VALUE"""),"5")</f>
        <v>5</v>
      </c>
      <c r="W285" s="10" t="str">
        <f>IFERROR(__xludf.DUMMYFUNCTION("""COMPUTED_VALUE"""),"5")</f>
        <v>5</v>
      </c>
      <c r="X285" s="5">
        <f>IFERROR(__xludf.DUMMYFUNCTION("""COMPUTED_VALUE"""),96.5)</f>
        <v>96.5</v>
      </c>
      <c r="Y285" s="5" t="str">
        <f>IFERROR(__xludf.DUMMYFUNCTION("""COMPUTED_VALUE"""),"Medium")</f>
        <v>Medium</v>
      </c>
      <c r="Z285" s="5">
        <f>IFERROR(__xludf.DUMMYFUNCTION("""COMPUTED_VALUE"""),7.032)</f>
        <v>7.032</v>
      </c>
      <c r="AA285" s="12">
        <f>IFERROR(__xludf.DUMMYFUNCTION("""COMPUTED_VALUE"""),1590.0)</f>
        <v>1590</v>
      </c>
      <c r="AB285" s="5">
        <f>IFERROR(__xludf.DUMMYFUNCTION("""COMPUTED_VALUE"""),34.0)</f>
        <v>34</v>
      </c>
      <c r="AC285" s="5" t="str">
        <f>IFERROR(__xludf.DUMMYFUNCTION("""COMPUTED_VALUE"""),"Win Multiplier, Sticky Wild, Respin")</f>
        <v>Win Multiplier, Sticky Wild, Respin</v>
      </c>
      <c r="AD285" s="5" t="str">
        <f>IFERROR(__xludf.DUMMYFUNCTION("""COMPUTED_VALUE"""),"0.5/50")</f>
        <v>0.5/50</v>
      </c>
      <c r="AE285" s="5"/>
      <c r="AF285" s="5"/>
      <c r="AG285" s="8">
        <f>IFERROR(__xludf.DUMMYFUNCTION("""COMPUTED_VALUE"""),46153.627430555556)</f>
        <v>46153.62743</v>
      </c>
      <c r="AH285" s="5" t="str">
        <f>IFERROR(__xludf.DUMMYFUNCTION("""COMPUTED_VALUE"""),"djordje.petrovic@fazi.rs")</f>
        <v>djordje.petrovic@fazi.rs</v>
      </c>
      <c r="AI285" s="5"/>
      <c r="AJ285" s="5"/>
      <c r="AK285" s="5">
        <f>IFERROR(__xludf.DUMMYFUNCTION("""COMPUTED_VALUE"""),5.0)</f>
        <v>5</v>
      </c>
      <c r="AL285" s="5" t="str">
        <f>IFERROR(__xludf.DUMMYFUNCTION("""COMPUTED_VALUE"""),"Yes")</f>
        <v>Yes</v>
      </c>
      <c r="AM285" s="5"/>
      <c r="AN285" s="7" t="str">
        <f>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AO285" s="5" t="str">
        <f>IFERROR(__xludf.DUMMYFUNCTION("""COMPUTED_VALUE"""),"Yes")</f>
        <v>Yes</v>
      </c>
      <c r="AP285" s="5" t="str">
        <f>IFERROR(__xludf.DUMMYFUNCTION("""COMPUTED_VALUE"""),"Yes")</f>
        <v>Yes</v>
      </c>
      <c r="AQ285" s="5" t="b">
        <f>IFERROR(__xludf.DUMMYFUNCTION("""COMPUTED_VALUE"""),TRUE)</f>
        <v>1</v>
      </c>
      <c r="AR285" s="5"/>
      <c r="AS285" s="5" t="str">
        <f>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AT285" s="5" t="str">
        <f>IFERROR(__xludf.DUMMYFUNCTION("""COMPUTED_VALUE"""),"Yes")</f>
        <v>Yes</v>
      </c>
      <c r="AU285" s="5" t="str">
        <f>IFERROR(__xludf.DUMMYFUNCTION("""COMPUTED_VALUE"""),"Fazi")</f>
        <v>Fazi</v>
      </c>
      <c r="AV285" s="5"/>
      <c r="AW28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85" s="5"/>
      <c r="AY285" s="5"/>
      <c r="AZ285" s="5"/>
      <c r="BA285" s="5"/>
      <c r="BB285" s="5"/>
      <c r="BC285" s="5" t="str">
        <f>IFERROR(__xludf.DUMMYFUNCTION("""COMPUTED_VALUE"""),"Foxi")</f>
        <v>Foxi</v>
      </c>
      <c r="BD285" s="7" t="str">
        <f>IFERROR(__xludf.DUMMYFUNCTION("""COMPUTED_VALUE"""),"https://gameserver-store-client-area.orbionlimited.com/Home/IntegrationGameLaunch/client-area?moneyType=0&amp;gameName=ChilliRespin&amp;platform=desktop&amp;languageCode=eng&amp;currency=EUR")</f>
        <v>https://gameserver-store-client-area.orbionlimited.com/Home/IntegrationGameLaunch/client-area?moneyType=0&amp;gameName=ChilliRespin&amp;platform=desktop&amp;languageCode=eng&amp;currency=EUR</v>
      </c>
      <c r="BE285" s="5" t="b">
        <f>IFERROR(__xludf.DUMMYFUNCTION("""COMPUTED_VALUE"""),TRUE)</f>
        <v>1</v>
      </c>
    </row>
    <row r="286">
      <c r="A286" s="5">
        <f>IFERROR(__xludf.DUMMYFUNCTION("""COMPUTED_VALUE"""),286.0)</f>
        <v>286</v>
      </c>
      <c r="B286" s="5">
        <f>IFERROR(__xludf.DUMMYFUNCTION("""COMPUTED_VALUE"""),285.0)</f>
        <v>285</v>
      </c>
      <c r="C286" s="5" t="str">
        <f>IFERROR(__xludf.DUMMYFUNCTION("""COMPUTED_VALUE"""),"Redstone")</f>
        <v>Redstone</v>
      </c>
      <c r="D286" s="5" t="str">
        <f>IFERROR(__xludf.DUMMYFUNCTION("""COMPUTED_VALUE"""),"Chilli Hot 5")</f>
        <v>Chilli Hot 5</v>
      </c>
      <c r="E286" s="5" t="str">
        <f>IFERROR(__xludf.DUMMYFUNCTION("""COMPUTED_VALUE"""),"Redstone")</f>
        <v>Redstone</v>
      </c>
      <c r="F286" s="5" t="str">
        <f>IFERROR(__xludf.DUMMYFUNCTION("""COMPUTED_VALUE"""),"RedstoneChilliHot5")</f>
        <v>RedstoneChilliHot5</v>
      </c>
      <c r="G286" s="5" t="str">
        <f>IFERROR(__xludf.DUMMYFUNCTION("""COMPUTED_VALUE"""),"Live")</f>
        <v>Live</v>
      </c>
      <c r="H286" s="5"/>
      <c r="I286" s="5" t="str">
        <f>IFERROR(__xludf.DUMMYFUNCTION("""COMPUTED_VALUE"""),"Redstone")</f>
        <v>Redstone</v>
      </c>
      <c r="J286" s="5" t="str">
        <f>IFERROR(__xludf.DUMMYFUNCTION("""COMPUTED_VALUE"""),"JSON")</f>
        <v>JSON</v>
      </c>
      <c r="K286" s="5" t="str">
        <f>IFERROR(__xludf.DUMMYFUNCTION("""COMPUTED_VALUE"""),"Slot")</f>
        <v>Slot</v>
      </c>
      <c r="L286" s="5" t="str">
        <f>IFERROR(__xludf.DUMMYFUNCTION("""COMPUTED_VALUE""")," Clone")</f>
        <v> Clone</v>
      </c>
      <c r="M286" s="5" t="str">
        <f>IFERROR(__xludf.DUMMYFUNCTION("""COMPUTED_VALUE"""),"5 Clover Fire")</f>
        <v>5 Clover Fire</v>
      </c>
      <c r="N286" s="7" t="str">
        <f>IFERROR(__xludf.DUMMYFUNCTION("""COMPUTED_VALUE"""),"https://docs.google.com/document/d/1QhQ9OIh7uTbWVJjt6gFntvyUFTO_g0du/edit?usp=drive_link&amp;ouid=107596163405648766688&amp;rtpof=true&amp;sd=true")</f>
        <v>https://docs.google.com/document/d/1QhQ9OIh7uTbWVJjt6gFntvyUFTO_g0du/edit?usp=drive_link&amp;ouid=107596163405648766688&amp;rtpof=true&amp;sd=true</v>
      </c>
      <c r="O286" s="7" t="str">
        <f>IFERROR(__xludf.DUMMYFUNCTION("""COMPUTED_VALUE"""),"https://docs.google.com/document/d/1EomMxtAJIKfvOoAN8Z_-9xNBF48P1jBO/edit?usp=drive_link&amp;ouid=107596163405648766688&amp;rtpof=true&amp;sd=true")</f>
        <v>https://docs.google.com/document/d/1EomMxtAJIKfvOoAN8Z_-9xNBF48P1jBO/edit?usp=drive_link&amp;ouid=107596163405648766688&amp;rtpof=true&amp;sd=true</v>
      </c>
      <c r="P286" s="12">
        <f>IFERROR(__xludf.DUMMYFUNCTION("""COMPUTED_VALUE"""),6.9)</f>
        <v>6.9</v>
      </c>
      <c r="Q286" s="13">
        <f>IFERROR(__xludf.DUMMYFUNCTION("""COMPUTED_VALUE"""),45232.0)</f>
        <v>45232</v>
      </c>
      <c r="R286" s="14"/>
      <c r="S286" s="13">
        <f>IFERROR(__xludf.DUMMYFUNCTION("""COMPUTED_VALUE"""),45232.0)</f>
        <v>45232</v>
      </c>
      <c r="T286" s="5" t="b">
        <f>IFERROR(__xludf.DUMMYFUNCTION("""COMPUTED_VALUE"""),TRUE)</f>
        <v>1</v>
      </c>
      <c r="U286" s="5" t="str">
        <f>IFERROR(__xludf.DUMMYFUNCTION("""COMPUTED_VALUE"""),"5x3")</f>
        <v>5x3</v>
      </c>
      <c r="V286" s="10" t="str">
        <f>IFERROR(__xludf.DUMMYFUNCTION("""COMPUTED_VALUE"""),"5")</f>
        <v>5</v>
      </c>
      <c r="W286" s="10" t="str">
        <f>IFERROR(__xludf.DUMMYFUNCTION("""COMPUTED_VALUE"""),"5")</f>
        <v>5</v>
      </c>
      <c r="X286" s="5">
        <f>IFERROR(__xludf.DUMMYFUNCTION("""COMPUTED_VALUE"""),96.45)</f>
        <v>96.45</v>
      </c>
      <c r="Y286" s="5" t="str">
        <f>IFERROR(__xludf.DUMMYFUNCTION("""COMPUTED_VALUE"""),"Medium")</f>
        <v>Medium</v>
      </c>
      <c r="Z286" s="5">
        <f>IFERROR(__xludf.DUMMYFUNCTION("""COMPUTED_VALUE"""),14.5)</f>
        <v>14.5</v>
      </c>
      <c r="AA286" s="12">
        <f>IFERROR(__xludf.DUMMYFUNCTION("""COMPUTED_VALUE"""),1222.0)</f>
        <v>1222</v>
      </c>
      <c r="AB286" s="5"/>
      <c r="AC286" s="5" t="str">
        <f>IFERROR(__xludf.DUMMYFUNCTION("""COMPUTED_VALUE"""),"Expanding Wild, Scatter")</f>
        <v>Expanding Wild, Scatter</v>
      </c>
      <c r="AD286" s="5" t="str">
        <f>IFERROR(__xludf.DUMMYFUNCTION("""COMPUTED_VALUE"""),"0.01/50")</f>
        <v>0.01/50</v>
      </c>
      <c r="AE286" s="5"/>
      <c r="AF286" s="5"/>
      <c r="AG286" s="8">
        <f>IFERROR(__xludf.DUMMYFUNCTION("""COMPUTED_VALUE"""),46157.4750462963)</f>
        <v>46157.47505</v>
      </c>
      <c r="AH286" s="5"/>
      <c r="AI286" s="5"/>
      <c r="AJ286" s="5"/>
      <c r="AK286" s="5">
        <f>IFERROR(__xludf.DUMMYFUNCTION("""COMPUTED_VALUE"""),1.0)</f>
        <v>1</v>
      </c>
      <c r="AL286" s="5" t="str">
        <f>IFERROR(__xludf.DUMMYFUNCTION("""COMPUTED_VALUE"""),"No")</f>
        <v>No</v>
      </c>
      <c r="AM286" s="5" t="str">
        <f>IFERROR(__xludf.DUMMYFUNCTION("""COMPUTED_VALUE"""),"No")</f>
        <v>No</v>
      </c>
      <c r="AN286" s="7" t="str">
        <f>IFERROR(__xludf.DUMMYFUNCTION("""COMPUTED_VALUE"""),"https://play.redstone.rs/games/chilli-hot-5/index.html")</f>
        <v>https://play.redstone.rs/games/chilli-hot-5/index.html</v>
      </c>
      <c r="AO286" s="5" t="str">
        <f>IFERROR(__xludf.DUMMYFUNCTION("""COMPUTED_VALUE"""),"No")</f>
        <v>No</v>
      </c>
      <c r="AP286" s="5" t="str">
        <f>IFERROR(__xludf.DUMMYFUNCTION("""COMPUTED_VALUE"""),"No")</f>
        <v>No</v>
      </c>
      <c r="AQ286" s="5" t="b">
        <f>IFERROR(__xludf.DUMMYFUNCTION("""COMPUTED_VALUE"""),TRUE)</f>
        <v>1</v>
      </c>
      <c r="AR286" s="5"/>
      <c r="AS286" s="5" t="str">
        <f>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AT286" s="5"/>
      <c r="AU286" s="5" t="str">
        <f>IFERROR(__xludf.DUMMYFUNCTION("""COMPUTED_VALUE"""),"Redstone")</f>
        <v>Redstone</v>
      </c>
      <c r="AV286" s="5"/>
      <c r="AW286" s="5"/>
      <c r="AX286" s="5"/>
      <c r="AY286" s="5"/>
      <c r="AZ286" s="5"/>
      <c r="BA286" s="5"/>
      <c r="BB286" s="5" t="b">
        <f>IFERROR(__xludf.DUMMYFUNCTION("""COMPUTED_VALUE"""),TRUE)</f>
        <v>1</v>
      </c>
      <c r="BC286" s="5" t="str">
        <f>IFERROR(__xludf.DUMMYFUNCTION("""COMPUTED_VALUE"""),"Redstone")</f>
        <v>Redstone</v>
      </c>
      <c r="BD286" s="7" t="str">
        <f>IFERROR(__xludf.DUMMYFUNCTION("""COMPUTED_VALUE"""),"https://play.redstone.rs/games/chilli-hot-5/index.html")</f>
        <v>https://play.redstone.rs/games/chilli-hot-5/index.html</v>
      </c>
      <c r="BE286" s="5" t="b">
        <f>IFERROR(__xludf.DUMMYFUNCTION("""COMPUTED_VALUE"""),TRUE)</f>
        <v>1</v>
      </c>
    </row>
    <row r="287">
      <c r="A287" s="5">
        <f>IFERROR(__xludf.DUMMYFUNCTION("""COMPUTED_VALUE"""),287.0)</f>
        <v>287</v>
      </c>
      <c r="B287" s="5">
        <f>IFERROR(__xludf.DUMMYFUNCTION("""COMPUTED_VALUE"""),286.0)</f>
        <v>286</v>
      </c>
      <c r="C287" s="5" t="str">
        <f>IFERROR(__xludf.DUMMYFUNCTION("""COMPUTED_VALUE"""),"Redstone")</f>
        <v>Redstone</v>
      </c>
      <c r="D287" s="5" t="str">
        <f>IFERROR(__xludf.DUMMYFUNCTION("""COMPUTED_VALUE"""),"40 Hot Joker")</f>
        <v>40 Hot Joker</v>
      </c>
      <c r="E287" s="5" t="str">
        <f>IFERROR(__xludf.DUMMYFUNCTION("""COMPUTED_VALUE"""),"Redstone")</f>
        <v>Redstone</v>
      </c>
      <c r="F287" s="5" t="str">
        <f>IFERROR(__xludf.DUMMYFUNCTION("""COMPUTED_VALUE"""),"Redstone40HotJoker")</f>
        <v>Redstone40HotJoker</v>
      </c>
      <c r="G287" s="5" t="str">
        <f>IFERROR(__xludf.DUMMYFUNCTION("""COMPUTED_VALUE"""),"Live")</f>
        <v>Live</v>
      </c>
      <c r="H287" s="5"/>
      <c r="I287" s="5" t="str">
        <f>IFERROR(__xludf.DUMMYFUNCTION("""COMPUTED_VALUE"""),"Redstone")</f>
        <v>Redstone</v>
      </c>
      <c r="J287" s="5" t="str">
        <f>IFERROR(__xludf.DUMMYFUNCTION("""COMPUTED_VALUE"""),"JSON")</f>
        <v>JSON</v>
      </c>
      <c r="K287" s="5" t="str">
        <f>IFERROR(__xludf.DUMMYFUNCTION("""COMPUTED_VALUE"""),"Slot")</f>
        <v>Slot</v>
      </c>
      <c r="L287" s="5" t="str">
        <f>IFERROR(__xludf.DUMMYFUNCTION("""COMPUTED_VALUE"""),"Master")</f>
        <v>Master</v>
      </c>
      <c r="M287" s="5"/>
      <c r="N287" s="7" t="str">
        <f>IFERROR(__xludf.DUMMYFUNCTION("""COMPUTED_VALUE"""),"https://docs.google.com/document/d/1V6_yXejXQjXpCvxO5wF7JvaRzpKuPNDZ/edit?usp=drive_link&amp;ouid=107596163405648766688&amp;rtpof=true&amp;sd=true")</f>
        <v>https://docs.google.com/document/d/1V6_yXejXQjXpCvxO5wF7JvaRzpKuPNDZ/edit?usp=drive_link&amp;ouid=107596163405648766688&amp;rtpof=true&amp;sd=true</v>
      </c>
      <c r="O287" s="7" t="str">
        <f>IFERROR(__xludf.DUMMYFUNCTION("""COMPUTED_VALUE"""),"https://docs.google.com/document/d/1tVV48E1kzpopmbpJDlGt5Lp7cqHzzqTq/edit?usp=drive_link&amp;ouid=107596163405648766688&amp;rtpof=true&amp;sd=true")</f>
        <v>https://docs.google.com/document/d/1tVV48E1kzpopmbpJDlGt5Lp7cqHzzqTq/edit?usp=drive_link&amp;ouid=107596163405648766688&amp;rtpof=true&amp;sd=true</v>
      </c>
      <c r="P287" s="12">
        <f>IFERROR(__xludf.DUMMYFUNCTION("""COMPUTED_VALUE"""),7.1)</f>
        <v>7.1</v>
      </c>
      <c r="Q287" s="13">
        <f>IFERROR(__xludf.DUMMYFUNCTION("""COMPUTED_VALUE"""),45230.0)</f>
        <v>45230</v>
      </c>
      <c r="R287" s="14"/>
      <c r="S287" s="13">
        <f>IFERROR(__xludf.DUMMYFUNCTION("""COMPUTED_VALUE"""),45230.0)</f>
        <v>45230</v>
      </c>
      <c r="T287" s="5" t="b">
        <f>IFERROR(__xludf.DUMMYFUNCTION("""COMPUTED_VALUE"""),TRUE)</f>
        <v>1</v>
      </c>
      <c r="U287" s="5" t="str">
        <f>IFERROR(__xludf.DUMMYFUNCTION("""COMPUTED_VALUE"""),"5x4")</f>
        <v>5x4</v>
      </c>
      <c r="V287" s="10" t="str">
        <f>IFERROR(__xludf.DUMMYFUNCTION("""COMPUTED_VALUE"""),"40")</f>
        <v>40</v>
      </c>
      <c r="W287" s="10" t="str">
        <f>IFERROR(__xludf.DUMMYFUNCTION("""COMPUTED_VALUE"""),"40")</f>
        <v>40</v>
      </c>
      <c r="X287" s="5">
        <f>IFERROR(__xludf.DUMMYFUNCTION("""COMPUTED_VALUE"""),96.24)</f>
        <v>96.24</v>
      </c>
      <c r="Y287" s="5" t="str">
        <f>IFERROR(__xludf.DUMMYFUNCTION("""COMPUTED_VALUE"""),"Medium")</f>
        <v>Medium</v>
      </c>
      <c r="Z287" s="5">
        <f>IFERROR(__xludf.DUMMYFUNCTION("""COMPUTED_VALUE"""),11.27)</f>
        <v>11.27</v>
      </c>
      <c r="AA287" s="12">
        <f>IFERROR(__xludf.DUMMYFUNCTION("""COMPUTED_VALUE"""),3000.0)</f>
        <v>3000</v>
      </c>
      <c r="AB287" s="5"/>
      <c r="AC287" s="5" t="str">
        <f>IFERROR(__xludf.DUMMYFUNCTION("""COMPUTED_VALUE"""),"Expanding Wild, Scatter")</f>
        <v>Expanding Wild, Scatter</v>
      </c>
      <c r="AD287" s="5" t="str">
        <f>IFERROR(__xludf.DUMMYFUNCTION("""COMPUTED_VALUE"""),"0.04/50")</f>
        <v>0.04/50</v>
      </c>
      <c r="AE287" s="5"/>
      <c r="AF287" s="5"/>
      <c r="AG287" s="8">
        <f>IFERROR(__xludf.DUMMYFUNCTION("""COMPUTED_VALUE"""),46157.474340277775)</f>
        <v>46157.47434</v>
      </c>
      <c r="AH287" s="5"/>
      <c r="AI287" s="5"/>
      <c r="AJ287" s="5"/>
      <c r="AK287" s="5">
        <f>IFERROR(__xludf.DUMMYFUNCTION("""COMPUTED_VALUE"""),1.0)</f>
        <v>1</v>
      </c>
      <c r="AL287" s="5" t="str">
        <f>IFERROR(__xludf.DUMMYFUNCTION("""COMPUTED_VALUE"""),"No")</f>
        <v>No</v>
      </c>
      <c r="AM287" s="5" t="str">
        <f>IFERROR(__xludf.DUMMYFUNCTION("""COMPUTED_VALUE"""),"No")</f>
        <v>No</v>
      </c>
      <c r="AN287" s="7" t="str">
        <f>IFERROR(__xludf.DUMMYFUNCTION("""COMPUTED_VALUE"""),"https://play.redstone.rs/games/40-hot-joker/index.html")</f>
        <v>https://play.redstone.rs/games/40-hot-joker/index.html</v>
      </c>
      <c r="AO287" s="5" t="str">
        <f>IFERROR(__xludf.DUMMYFUNCTION("""COMPUTED_VALUE"""),"No")</f>
        <v>No</v>
      </c>
      <c r="AP287" s="5" t="str">
        <f>IFERROR(__xludf.DUMMYFUNCTION("""COMPUTED_VALUE"""),"No")</f>
        <v>No</v>
      </c>
      <c r="AQ287" s="5" t="b">
        <f>IFERROR(__xludf.DUMMYFUNCTION("""COMPUTED_VALUE"""),TRUE)</f>
        <v>1</v>
      </c>
      <c r="AR287" s="5"/>
      <c r="AS287" s="5" t="str">
        <f>IFERROR(__xludf.DUMMYFUNCTION("""COMPUTED_VALUE"""),"Get lucky with triple expanding Hot Joker for a win up to 3000x on 40 lines!")</f>
        <v>Get lucky with triple expanding Hot Joker for a win up to 3000x on 40 lines!</v>
      </c>
      <c r="AT287" s="5"/>
      <c r="AU287" s="5" t="str">
        <f>IFERROR(__xludf.DUMMYFUNCTION("""COMPUTED_VALUE"""),"Redstone")</f>
        <v>Redstone</v>
      </c>
      <c r="AV287" s="5"/>
      <c r="AW287" s="5"/>
      <c r="AX287" s="5"/>
      <c r="AY287" s="5"/>
      <c r="AZ287" s="5"/>
      <c r="BA287" s="5"/>
      <c r="BB287" s="5" t="b">
        <f>IFERROR(__xludf.DUMMYFUNCTION("""COMPUTED_VALUE"""),TRUE)</f>
        <v>1</v>
      </c>
      <c r="BC287" s="5" t="str">
        <f>IFERROR(__xludf.DUMMYFUNCTION("""COMPUTED_VALUE"""),"Redstone")</f>
        <v>Redstone</v>
      </c>
      <c r="BD287" s="7" t="str">
        <f>IFERROR(__xludf.DUMMYFUNCTION("""COMPUTED_VALUE"""),"https://play.redstone.rs/games/40-hot-joker/index.html")</f>
        <v>https://play.redstone.rs/games/40-hot-joker/index.html</v>
      </c>
      <c r="BE287" s="5" t="b">
        <f>IFERROR(__xludf.DUMMYFUNCTION("""COMPUTED_VALUE"""),TRUE)</f>
        <v>1</v>
      </c>
    </row>
    <row r="288">
      <c r="A288" s="5">
        <f>IFERROR(__xludf.DUMMYFUNCTION("""COMPUTED_VALUE"""),288.0)</f>
        <v>288</v>
      </c>
      <c r="B288" s="5">
        <f>IFERROR(__xludf.DUMMYFUNCTION("""COMPUTED_VALUE"""),287.0)</f>
        <v>287</v>
      </c>
      <c r="C288" s="5" t="str">
        <f>IFERROR(__xludf.DUMMYFUNCTION("""COMPUTED_VALUE"""),"Redstone")</f>
        <v>Redstone</v>
      </c>
      <c r="D288" s="5" t="str">
        <f>IFERROR(__xludf.DUMMYFUNCTION("""COMPUTED_VALUE"""),"Jolly Presents")</f>
        <v>Jolly Presents</v>
      </c>
      <c r="E288" s="5" t="str">
        <f>IFERROR(__xludf.DUMMYFUNCTION("""COMPUTED_VALUE"""),"Redstone")</f>
        <v>Redstone</v>
      </c>
      <c r="F288" s="5" t="str">
        <f>IFERROR(__xludf.DUMMYFUNCTION("""COMPUTED_VALUE"""),"RedstoneJollyPresents")</f>
        <v>RedstoneJollyPresents</v>
      </c>
      <c r="G288" s="5" t="str">
        <f>IFERROR(__xludf.DUMMYFUNCTION("""COMPUTED_VALUE"""),"Live")</f>
        <v>Live</v>
      </c>
      <c r="H288" s="5"/>
      <c r="I288" s="5" t="str">
        <f>IFERROR(__xludf.DUMMYFUNCTION("""COMPUTED_VALUE"""),"Redstone")</f>
        <v>Redstone</v>
      </c>
      <c r="J288" s="5" t="str">
        <f>IFERROR(__xludf.DUMMYFUNCTION("""COMPUTED_VALUE"""),"JSON")</f>
        <v>JSON</v>
      </c>
      <c r="K288" s="5" t="str">
        <f>IFERROR(__xludf.DUMMYFUNCTION("""COMPUTED_VALUE"""),"Slot")</f>
        <v>Slot</v>
      </c>
      <c r="L288" s="5" t="str">
        <f>IFERROR(__xludf.DUMMYFUNCTION("""COMPUTED_VALUE""")," Clone")</f>
        <v> Clone</v>
      </c>
      <c r="M288" s="5" t="str">
        <f>IFERROR(__xludf.DUMMYFUNCTION("""COMPUTED_VALUE"""),"5 Clover Fire")</f>
        <v>5 Clover Fire</v>
      </c>
      <c r="N288" s="7" t="str">
        <f>IFERROR(__xludf.DUMMYFUNCTION("""COMPUTED_VALUE"""),"https://docs.google.com/document/d/1ZjS1T6mut0Ix_FZS9rgixFhkYfzymPvd/edit?usp=drive_link&amp;ouid=107596163405648766688&amp;rtpof=true&amp;sd=true")</f>
        <v>https://docs.google.com/document/d/1ZjS1T6mut0Ix_FZS9rgixFhkYfzymPvd/edit?usp=drive_link&amp;ouid=107596163405648766688&amp;rtpof=true&amp;sd=true</v>
      </c>
      <c r="O288" s="7" t="str">
        <f>IFERROR(__xludf.DUMMYFUNCTION("""COMPUTED_VALUE"""),"https://docs.google.com/document/d/1X5yxoV9aeO4hmnBorYm0rR4SJnZAjO1U/edit?usp=drive_link&amp;ouid=107596163405648766688&amp;rtpof=true&amp;sd=true")</f>
        <v>https://docs.google.com/document/d/1X5yxoV9aeO4hmnBorYm0rR4SJnZAjO1U/edit?usp=drive_link&amp;ouid=107596163405648766688&amp;rtpof=true&amp;sd=true</v>
      </c>
      <c r="P288" s="12">
        <f>IFERROR(__xludf.DUMMYFUNCTION("""COMPUTED_VALUE"""),6.9)</f>
        <v>6.9</v>
      </c>
      <c r="Q288" s="13">
        <f>IFERROR(__xludf.DUMMYFUNCTION("""COMPUTED_VALUE"""),45259.0)</f>
        <v>45259</v>
      </c>
      <c r="R288" s="14"/>
      <c r="S288" s="13">
        <f>IFERROR(__xludf.DUMMYFUNCTION("""COMPUTED_VALUE"""),45259.0)</f>
        <v>45259</v>
      </c>
      <c r="T288" s="5" t="b">
        <f>IFERROR(__xludf.DUMMYFUNCTION("""COMPUTED_VALUE"""),TRUE)</f>
        <v>1</v>
      </c>
      <c r="U288" s="5" t="str">
        <f>IFERROR(__xludf.DUMMYFUNCTION("""COMPUTED_VALUE"""),"5x3")</f>
        <v>5x3</v>
      </c>
      <c r="V288" s="10" t="str">
        <f>IFERROR(__xludf.DUMMYFUNCTION("""COMPUTED_VALUE"""),"5")</f>
        <v>5</v>
      </c>
      <c r="W288" s="10" t="str">
        <f>IFERROR(__xludf.DUMMYFUNCTION("""COMPUTED_VALUE"""),"5")</f>
        <v>5</v>
      </c>
      <c r="X288" s="5">
        <f>IFERROR(__xludf.DUMMYFUNCTION("""COMPUTED_VALUE"""),96.0)</f>
        <v>96</v>
      </c>
      <c r="Y288" s="5" t="str">
        <f>IFERROR(__xludf.DUMMYFUNCTION("""COMPUTED_VALUE"""),"Medium")</f>
        <v>Medium</v>
      </c>
      <c r="Z288" s="5">
        <f>IFERROR(__xludf.DUMMYFUNCTION("""COMPUTED_VALUE"""),14.5)</f>
        <v>14.5</v>
      </c>
      <c r="AA288" s="12">
        <f>IFERROR(__xludf.DUMMYFUNCTION("""COMPUTED_VALUE"""),1222.0)</f>
        <v>1222</v>
      </c>
      <c r="AB288" s="5"/>
      <c r="AC288" s="5" t="str">
        <f>IFERROR(__xludf.DUMMYFUNCTION("""COMPUTED_VALUE"""),"Expanding Wild, Scatter")</f>
        <v>Expanding Wild, Scatter</v>
      </c>
      <c r="AD288" s="5" t="str">
        <f>IFERROR(__xludf.DUMMYFUNCTION("""COMPUTED_VALUE"""),"0.01/50")</f>
        <v>0.01/50</v>
      </c>
      <c r="AE288" s="5"/>
      <c r="AF288" s="5"/>
      <c r="AG288" s="8">
        <f>IFERROR(__xludf.DUMMYFUNCTION("""COMPUTED_VALUE"""),46157.47456018518)</f>
        <v>46157.47456</v>
      </c>
      <c r="AH288" s="5"/>
      <c r="AI288" s="5"/>
      <c r="AJ288" s="5"/>
      <c r="AK288" s="5">
        <f>IFERROR(__xludf.DUMMYFUNCTION("""COMPUTED_VALUE"""),1.0)</f>
        <v>1</v>
      </c>
      <c r="AL288" s="5" t="str">
        <f>IFERROR(__xludf.DUMMYFUNCTION("""COMPUTED_VALUE"""),"No")</f>
        <v>No</v>
      </c>
      <c r="AM288" s="5" t="str">
        <f>IFERROR(__xludf.DUMMYFUNCTION("""COMPUTED_VALUE"""),"No")</f>
        <v>No</v>
      </c>
      <c r="AN288" s="7" t="str">
        <f>IFERROR(__xludf.DUMMYFUNCTION("""COMPUTED_VALUE"""),"https://play.redstone.rs/games/jolly-presents/index.html")</f>
        <v>https://play.redstone.rs/games/jolly-presents/index.html</v>
      </c>
      <c r="AO288" s="5" t="str">
        <f>IFERROR(__xludf.DUMMYFUNCTION("""COMPUTED_VALUE"""),"No")</f>
        <v>No</v>
      </c>
      <c r="AP288" s="5" t="str">
        <f>IFERROR(__xludf.DUMMYFUNCTION("""COMPUTED_VALUE"""),"No")</f>
        <v>No</v>
      </c>
      <c r="AQ288" s="5" t="b">
        <f>IFERROR(__xludf.DUMMYFUNCTION("""COMPUTED_VALUE"""),TRUE)</f>
        <v>1</v>
      </c>
      <c r="AR288" s="5"/>
      <c r="AS288" s="5" t="str">
        <f>IFERROR(__xludf.DUMMYFUNCTION("""COMPUTED_VALUE"""),"Get wrapped up in the fun of Jolly Presents, where expanding wilds mean big wins up to 1200x are just a spin away!")</f>
        <v>Get wrapped up in the fun of Jolly Presents, where expanding wilds mean big wins up to 1200x are just a spin away!</v>
      </c>
      <c r="AT288" s="5"/>
      <c r="AU288" s="5" t="str">
        <f>IFERROR(__xludf.DUMMYFUNCTION("""COMPUTED_VALUE"""),"Redstone")</f>
        <v>Redstone</v>
      </c>
      <c r="AV288" s="5"/>
      <c r="AW288" s="5"/>
      <c r="AX288" s="5"/>
      <c r="AY288" s="5"/>
      <c r="AZ288" s="5"/>
      <c r="BA288" s="5"/>
      <c r="BB288" s="5" t="b">
        <f>IFERROR(__xludf.DUMMYFUNCTION("""COMPUTED_VALUE"""),TRUE)</f>
        <v>1</v>
      </c>
      <c r="BC288" s="5" t="str">
        <f>IFERROR(__xludf.DUMMYFUNCTION("""COMPUTED_VALUE"""),"Redstone")</f>
        <v>Redstone</v>
      </c>
      <c r="BD288" s="7" t="str">
        <f>IFERROR(__xludf.DUMMYFUNCTION("""COMPUTED_VALUE"""),"https://play.redstone.rs/games/jolly-presents/index.html")</f>
        <v>https://play.redstone.rs/games/jolly-presents/index.html</v>
      </c>
      <c r="BE288" s="5" t="b">
        <f>IFERROR(__xludf.DUMMYFUNCTION("""COMPUTED_VALUE"""),TRUE)</f>
        <v>1</v>
      </c>
    </row>
    <row r="289">
      <c r="A289" s="5">
        <f>IFERROR(__xludf.DUMMYFUNCTION("""COMPUTED_VALUE"""),289.0)</f>
        <v>289</v>
      </c>
      <c r="B289" s="5">
        <f>IFERROR(__xludf.DUMMYFUNCTION("""COMPUTED_VALUE"""),288.0)</f>
        <v>288</v>
      </c>
      <c r="C289" s="5" t="str">
        <f>IFERROR(__xludf.DUMMYFUNCTION("""COMPUTED_VALUE"""),"Redstone")</f>
        <v>Redstone</v>
      </c>
      <c r="D289" s="5" t="str">
        <f>IFERROR(__xludf.DUMMYFUNCTION("""COMPUTED_VALUE"""),"20 Fruit Frenzy")</f>
        <v>20 Fruit Frenzy</v>
      </c>
      <c r="E289" s="5" t="str">
        <f>IFERROR(__xludf.DUMMYFUNCTION("""COMPUTED_VALUE"""),"Redstone")</f>
        <v>Redstone</v>
      </c>
      <c r="F289" s="5" t="str">
        <f>IFERROR(__xludf.DUMMYFUNCTION("""COMPUTED_VALUE"""),"Redstone20FruitFrenzy")</f>
        <v>Redstone20FruitFrenzy</v>
      </c>
      <c r="G289" s="5" t="str">
        <f>IFERROR(__xludf.DUMMYFUNCTION("""COMPUTED_VALUE"""),"Live")</f>
        <v>Live</v>
      </c>
      <c r="H289" s="5"/>
      <c r="I289" s="5" t="str">
        <f>IFERROR(__xludf.DUMMYFUNCTION("""COMPUTED_VALUE"""),"Redstone")</f>
        <v>Redstone</v>
      </c>
      <c r="J289" s="5" t="str">
        <f>IFERROR(__xludf.DUMMYFUNCTION("""COMPUTED_VALUE"""),"JSON")</f>
        <v>JSON</v>
      </c>
      <c r="K289" s="5" t="str">
        <f>IFERROR(__xludf.DUMMYFUNCTION("""COMPUTED_VALUE"""),"Slot")</f>
        <v>Slot</v>
      </c>
      <c r="L289" s="5" t="str">
        <f>IFERROR(__xludf.DUMMYFUNCTION("""COMPUTED_VALUE""")," Clone")</f>
        <v> Clone</v>
      </c>
      <c r="M289" s="5" t="str">
        <f>IFERROR(__xludf.DUMMYFUNCTION("""COMPUTED_VALUE"""),"20 Fire Cash")</f>
        <v>20 Fire Cash</v>
      </c>
      <c r="N289" s="7" t="str">
        <f>IFERROR(__xludf.DUMMYFUNCTION("""COMPUTED_VALUE"""),"https://docs.google.com/document/d/1lKG2J44Z3XobSwTrd9QvOmLKxuDAT9gT/edit?usp=drive_link&amp;ouid=107596163405648766688&amp;rtpof=true&amp;sd=true")</f>
        <v>https://docs.google.com/document/d/1lKG2J44Z3XobSwTrd9QvOmLKxuDAT9gT/edit?usp=drive_link&amp;ouid=107596163405648766688&amp;rtpof=true&amp;sd=true</v>
      </c>
      <c r="O289" s="7" t="str">
        <f>IFERROR(__xludf.DUMMYFUNCTION("""COMPUTED_VALUE"""),"https://docs.google.com/document/d/1brLhaUzYeRZigMCFlrbWhCZ4Gmwkbd-L/edit?usp=drive_link&amp;ouid=107596163405648766688&amp;rtpof=true&amp;sd=true")</f>
        <v>https://docs.google.com/document/d/1brLhaUzYeRZigMCFlrbWhCZ4Gmwkbd-L/edit?usp=drive_link&amp;ouid=107596163405648766688&amp;rtpof=true&amp;sd=true</v>
      </c>
      <c r="P289" s="12">
        <f>IFERROR(__xludf.DUMMYFUNCTION("""COMPUTED_VALUE"""),7.6)</f>
        <v>7.6</v>
      </c>
      <c r="Q289" s="13">
        <f>IFERROR(__xludf.DUMMYFUNCTION("""COMPUTED_VALUE"""),45243.0)</f>
        <v>45243</v>
      </c>
      <c r="R289" s="14"/>
      <c r="S289" s="13">
        <f>IFERROR(__xludf.DUMMYFUNCTION("""COMPUTED_VALUE"""),45243.0)</f>
        <v>45243</v>
      </c>
      <c r="T289" s="5" t="b">
        <f>IFERROR(__xludf.DUMMYFUNCTION("""COMPUTED_VALUE"""),TRUE)</f>
        <v>1</v>
      </c>
      <c r="U289" s="5" t="str">
        <f>IFERROR(__xludf.DUMMYFUNCTION("""COMPUTED_VALUE"""),"5x3")</f>
        <v>5x3</v>
      </c>
      <c r="V289" s="10" t="str">
        <f>IFERROR(__xludf.DUMMYFUNCTION("""COMPUTED_VALUE"""),"20")</f>
        <v>20</v>
      </c>
      <c r="W289" s="10" t="str">
        <f>IFERROR(__xludf.DUMMYFUNCTION("""COMPUTED_VALUE"""),"20")</f>
        <v>20</v>
      </c>
      <c r="X289" s="5">
        <f>IFERROR(__xludf.DUMMYFUNCTION("""COMPUTED_VALUE"""),96.47)</f>
        <v>96.47</v>
      </c>
      <c r="Y289" s="5" t="str">
        <f>IFERROR(__xludf.DUMMYFUNCTION("""COMPUTED_VALUE"""),"Medium")</f>
        <v>Medium</v>
      </c>
      <c r="Z289" s="5">
        <f>IFERROR(__xludf.DUMMYFUNCTION("""COMPUTED_VALUE"""),17.73)</f>
        <v>17.73</v>
      </c>
      <c r="AA289" s="12">
        <f>IFERROR(__xludf.DUMMYFUNCTION("""COMPUTED_VALUE"""),1000.0)</f>
        <v>1000</v>
      </c>
      <c r="AB289" s="5"/>
      <c r="AC289" s="5" t="str">
        <f>IFERROR(__xludf.DUMMYFUNCTION("""COMPUTED_VALUE"""),"Special Wild, Scatter")</f>
        <v>Special Wild, Scatter</v>
      </c>
      <c r="AD289" s="5" t="str">
        <f>IFERROR(__xludf.DUMMYFUNCTION("""COMPUTED_VALUE"""),"0.02/50")</f>
        <v>0.02/50</v>
      </c>
      <c r="AE289" s="5"/>
      <c r="AF289" s="5"/>
      <c r="AG289" s="8">
        <f>IFERROR(__xludf.DUMMYFUNCTION("""COMPUTED_VALUE"""),46157.474016203705)</f>
        <v>46157.47402</v>
      </c>
      <c r="AH289" s="5"/>
      <c r="AI289" s="5"/>
      <c r="AJ289" s="5"/>
      <c r="AK289" s="5">
        <f>IFERROR(__xludf.DUMMYFUNCTION("""COMPUTED_VALUE"""),1.0)</f>
        <v>1</v>
      </c>
      <c r="AL289" s="5" t="str">
        <f>IFERROR(__xludf.DUMMYFUNCTION("""COMPUTED_VALUE"""),"No")</f>
        <v>No</v>
      </c>
      <c r="AM289" s="5" t="str">
        <f>IFERROR(__xludf.DUMMYFUNCTION("""COMPUTED_VALUE"""),"No")</f>
        <v>No</v>
      </c>
      <c r="AN289" s="7" t="str">
        <f>IFERROR(__xludf.DUMMYFUNCTION("""COMPUTED_VALUE"""),"https://play.redstone.rs/games/20-fruit-frenzy/index.html")</f>
        <v>https://play.redstone.rs/games/20-fruit-frenzy/index.html</v>
      </c>
      <c r="AO289" s="5" t="str">
        <f>IFERROR(__xludf.DUMMYFUNCTION("""COMPUTED_VALUE"""),"No")</f>
        <v>No</v>
      </c>
      <c r="AP289" s="5" t="str">
        <f>IFERROR(__xludf.DUMMYFUNCTION("""COMPUTED_VALUE"""),"No")</f>
        <v>No</v>
      </c>
      <c r="AQ289" s="5" t="b">
        <f>IFERROR(__xludf.DUMMYFUNCTION("""COMPUTED_VALUE"""),TRUE)</f>
        <v>1</v>
      </c>
      <c r="AR289" s="5"/>
      <c r="AS289" s="5" t="str">
        <f>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AT289" s="5"/>
      <c r="AU289" s="5" t="str">
        <f>IFERROR(__xludf.DUMMYFUNCTION("""COMPUTED_VALUE"""),"Redstone")</f>
        <v>Redstone</v>
      </c>
      <c r="AV289" s="5"/>
      <c r="AW289" s="5"/>
      <c r="AX289" s="5"/>
      <c r="AY289" s="5"/>
      <c r="AZ289" s="5"/>
      <c r="BA289" s="5"/>
      <c r="BB289" s="5" t="b">
        <f>IFERROR(__xludf.DUMMYFUNCTION("""COMPUTED_VALUE"""),TRUE)</f>
        <v>1</v>
      </c>
      <c r="BC289" s="5" t="str">
        <f>IFERROR(__xludf.DUMMYFUNCTION("""COMPUTED_VALUE"""),"Redstone")</f>
        <v>Redstone</v>
      </c>
      <c r="BD289" s="7" t="str">
        <f>IFERROR(__xludf.DUMMYFUNCTION("""COMPUTED_VALUE"""),"https://play.redstone.rs/games/20-fruit-frenzy/index.html")</f>
        <v>https://play.redstone.rs/games/20-fruit-frenzy/index.html</v>
      </c>
      <c r="BE289" s="5" t="b">
        <f>IFERROR(__xludf.DUMMYFUNCTION("""COMPUTED_VALUE"""),TRUE)</f>
        <v>1</v>
      </c>
    </row>
    <row r="290">
      <c r="A290" s="5">
        <f>IFERROR(__xludf.DUMMYFUNCTION("""COMPUTED_VALUE"""),290.0)</f>
        <v>290</v>
      </c>
      <c r="B290" s="5">
        <f>IFERROR(__xludf.DUMMYFUNCTION("""COMPUTED_VALUE"""),289.0)</f>
        <v>289</v>
      </c>
      <c r="C290" s="5" t="str">
        <f>IFERROR(__xludf.DUMMYFUNCTION("""COMPUTED_VALUE"""),"Redstone")</f>
        <v>Redstone</v>
      </c>
      <c r="D290" s="5" t="str">
        <f>IFERROR(__xludf.DUMMYFUNCTION("""COMPUTED_VALUE"""),"40 Fruit Frenzy")</f>
        <v>40 Fruit Frenzy</v>
      </c>
      <c r="E290" s="5" t="str">
        <f>IFERROR(__xludf.DUMMYFUNCTION("""COMPUTED_VALUE"""),"Redstone")</f>
        <v>Redstone</v>
      </c>
      <c r="F290" s="5" t="str">
        <f>IFERROR(__xludf.DUMMYFUNCTION("""COMPUTED_VALUE"""),"Redstone40FruitFrenzy")</f>
        <v>Redstone40FruitFrenzy</v>
      </c>
      <c r="G290" s="5" t="str">
        <f>IFERROR(__xludf.DUMMYFUNCTION("""COMPUTED_VALUE"""),"Live")</f>
        <v>Live</v>
      </c>
      <c r="H290" s="5"/>
      <c r="I290" s="5" t="str">
        <f>IFERROR(__xludf.DUMMYFUNCTION("""COMPUTED_VALUE"""),"Redstone")</f>
        <v>Redstone</v>
      </c>
      <c r="J290" s="5" t="str">
        <f>IFERROR(__xludf.DUMMYFUNCTION("""COMPUTED_VALUE"""),"JSON")</f>
        <v>JSON</v>
      </c>
      <c r="K290" s="5" t="str">
        <f>IFERROR(__xludf.DUMMYFUNCTION("""COMPUTED_VALUE"""),"Slot")</f>
        <v>Slot</v>
      </c>
      <c r="L290" s="5" t="str">
        <f>IFERROR(__xludf.DUMMYFUNCTION("""COMPUTED_VALUE"""),"Master")</f>
        <v>Master</v>
      </c>
      <c r="M290" s="5" t="str">
        <f>IFERROR(__xludf.DUMMYFUNCTION("""COMPUTED_VALUE"""),"40 Fire Cash")</f>
        <v>40 Fire Cash</v>
      </c>
      <c r="N290" s="7" t="str">
        <f>IFERROR(__xludf.DUMMYFUNCTION("""COMPUTED_VALUE"""),"https://docs.google.com/document/d/1mMkb52UZ9BZKxmFAxoGbc-e-tcJbsAq4/edit?usp=drive_link&amp;ouid=107596163405648766688&amp;rtpof=true&amp;sd=true")</f>
        <v>https://docs.google.com/document/d/1mMkb52UZ9BZKxmFAxoGbc-e-tcJbsAq4/edit?usp=drive_link&amp;ouid=107596163405648766688&amp;rtpof=true&amp;sd=true</v>
      </c>
      <c r="O290" s="7" t="str">
        <f>IFERROR(__xludf.DUMMYFUNCTION("""COMPUTED_VALUE"""),"https://docs.google.com/document/d/1DY8X7hAgBj5u5gZiTi5xhZwo2C6oO69V/edit?usp=drive_link&amp;ouid=107596163405648766688&amp;rtpof=true&amp;sd=true")</f>
        <v>https://docs.google.com/document/d/1DY8X7hAgBj5u5gZiTi5xhZwo2C6oO69V/edit?usp=drive_link&amp;ouid=107596163405648766688&amp;rtpof=true&amp;sd=true</v>
      </c>
      <c r="P290" s="12">
        <f>IFERROR(__xludf.DUMMYFUNCTION("""COMPUTED_VALUE"""),7.4)</f>
        <v>7.4</v>
      </c>
      <c r="Q290" s="13">
        <f>IFERROR(__xludf.DUMMYFUNCTION("""COMPUTED_VALUE"""),45254.0)</f>
        <v>45254</v>
      </c>
      <c r="R290" s="14"/>
      <c r="S290" s="13">
        <f>IFERROR(__xludf.DUMMYFUNCTION("""COMPUTED_VALUE"""),45254.0)</f>
        <v>45254</v>
      </c>
      <c r="T290" s="5" t="b">
        <f>IFERROR(__xludf.DUMMYFUNCTION("""COMPUTED_VALUE"""),TRUE)</f>
        <v>1</v>
      </c>
      <c r="U290" s="5" t="str">
        <f>IFERROR(__xludf.DUMMYFUNCTION("""COMPUTED_VALUE"""),"5x4")</f>
        <v>5x4</v>
      </c>
      <c r="V290" s="10" t="str">
        <f>IFERROR(__xludf.DUMMYFUNCTION("""COMPUTED_VALUE"""),"40")</f>
        <v>40</v>
      </c>
      <c r="W290" s="10" t="str">
        <f>IFERROR(__xludf.DUMMYFUNCTION("""COMPUTED_VALUE"""),"40")</f>
        <v>40</v>
      </c>
      <c r="X290" s="5">
        <f>IFERROR(__xludf.DUMMYFUNCTION("""COMPUTED_VALUE"""),96.23)</f>
        <v>96.23</v>
      </c>
      <c r="Y290" s="5" t="str">
        <f>IFERROR(__xludf.DUMMYFUNCTION("""COMPUTED_VALUE"""),"Medium")</f>
        <v>Medium</v>
      </c>
      <c r="Z290" s="5">
        <f>IFERROR(__xludf.DUMMYFUNCTION("""COMPUTED_VALUE"""),16.93)</f>
        <v>16.93</v>
      </c>
      <c r="AA290" s="12">
        <f>IFERROR(__xludf.DUMMYFUNCTION("""COMPUTED_VALUE"""),1000.0)</f>
        <v>1000</v>
      </c>
      <c r="AB290" s="5"/>
      <c r="AC290" s="5" t="str">
        <f>IFERROR(__xludf.DUMMYFUNCTION("""COMPUTED_VALUE"""),"Special Wild, Scatter")</f>
        <v>Special Wild, Scatter</v>
      </c>
      <c r="AD290" s="5" t="str">
        <f>IFERROR(__xludf.DUMMYFUNCTION("""COMPUTED_VALUE"""),"0.04/50")</f>
        <v>0.04/50</v>
      </c>
      <c r="AE290" s="5"/>
      <c r="AF290" s="5"/>
      <c r="AG290" s="8">
        <f>IFERROR(__xludf.DUMMYFUNCTION("""COMPUTED_VALUE"""),46157.4747337963)</f>
        <v>46157.47473</v>
      </c>
      <c r="AH290" s="5"/>
      <c r="AI290" s="5"/>
      <c r="AJ290" s="5"/>
      <c r="AK290" s="5">
        <f>IFERROR(__xludf.DUMMYFUNCTION("""COMPUTED_VALUE"""),1.0)</f>
        <v>1</v>
      </c>
      <c r="AL290" s="5" t="str">
        <f>IFERROR(__xludf.DUMMYFUNCTION("""COMPUTED_VALUE"""),"No")</f>
        <v>No</v>
      </c>
      <c r="AM290" s="5" t="str">
        <f>IFERROR(__xludf.DUMMYFUNCTION("""COMPUTED_VALUE"""),"No")</f>
        <v>No</v>
      </c>
      <c r="AN290" s="7" t="str">
        <f>IFERROR(__xludf.DUMMYFUNCTION("""COMPUTED_VALUE"""),"https://play.redstone.rs/games/40-fruit-frenzy/index.html")</f>
        <v>https://play.redstone.rs/games/40-fruit-frenzy/index.html</v>
      </c>
      <c r="AO290" s="5" t="str">
        <f>IFERROR(__xludf.DUMMYFUNCTION("""COMPUTED_VALUE"""),"No")</f>
        <v>No</v>
      </c>
      <c r="AP290" s="5" t="str">
        <f>IFERROR(__xludf.DUMMYFUNCTION("""COMPUTED_VALUE"""),"No")</f>
        <v>No</v>
      </c>
      <c r="AQ290" s="5" t="b">
        <f>IFERROR(__xludf.DUMMYFUNCTION("""COMPUTED_VALUE"""),TRUE)</f>
        <v>1</v>
      </c>
      <c r="AR290" s="5"/>
      <c r="AS290" s="5" t="str">
        <f>IFERROR(__xludf.DUMMYFUNCTION("""COMPUTED_VALUE"""),"New adventure awaits! Fruit Frenzy is stacked with 40 lines and offers frenzied wins that can rack up huge rewards.")</f>
        <v>New adventure awaits! Fruit Frenzy is stacked with 40 lines and offers frenzied wins that can rack up huge rewards.</v>
      </c>
      <c r="AT290" s="5"/>
      <c r="AU290" s="5" t="str">
        <f>IFERROR(__xludf.DUMMYFUNCTION("""COMPUTED_VALUE"""),"Redstone")</f>
        <v>Redstone</v>
      </c>
      <c r="AV290" s="5"/>
      <c r="AW290" s="5"/>
      <c r="AX290" s="5"/>
      <c r="AY290" s="5"/>
      <c r="AZ290" s="5"/>
      <c r="BA290" s="5"/>
      <c r="BB290" s="5" t="b">
        <f>IFERROR(__xludf.DUMMYFUNCTION("""COMPUTED_VALUE"""),TRUE)</f>
        <v>1</v>
      </c>
      <c r="BC290" s="5" t="str">
        <f>IFERROR(__xludf.DUMMYFUNCTION("""COMPUTED_VALUE"""),"Redstone")</f>
        <v>Redstone</v>
      </c>
      <c r="BD290" s="7" t="str">
        <f>IFERROR(__xludf.DUMMYFUNCTION("""COMPUTED_VALUE"""),"https://play.redstone.rs/games/40-fruit-frenzy/index.html")</f>
        <v>https://play.redstone.rs/games/40-fruit-frenzy/index.html</v>
      </c>
      <c r="BE290" s="5" t="b">
        <f>IFERROR(__xludf.DUMMYFUNCTION("""COMPUTED_VALUE"""),TRUE)</f>
        <v>1</v>
      </c>
    </row>
    <row r="291">
      <c r="A291" s="5">
        <f>IFERROR(__xludf.DUMMYFUNCTION("""COMPUTED_VALUE"""),291.0)</f>
        <v>291</v>
      </c>
      <c r="B291" s="5">
        <f>IFERROR(__xludf.DUMMYFUNCTION("""COMPUTED_VALUE"""),290.0)</f>
        <v>290</v>
      </c>
      <c r="C291" s="5" t="str">
        <f>IFERROR(__xludf.DUMMYFUNCTION("""COMPUTED_VALUE"""),"Redstone")</f>
        <v>Redstone</v>
      </c>
      <c r="D291" s="5" t="str">
        <f>IFERROR(__xludf.DUMMYFUNCTION("""COMPUTED_VALUE"""),"Wild Heart Beat")</f>
        <v>Wild Heart Beat</v>
      </c>
      <c r="E291" s="5" t="str">
        <f>IFERROR(__xludf.DUMMYFUNCTION("""COMPUTED_VALUE"""),"Redstone")</f>
        <v>Redstone</v>
      </c>
      <c r="F291" s="5" t="str">
        <f>IFERROR(__xludf.DUMMYFUNCTION("""COMPUTED_VALUE"""),"RedstoneWildHeartBeat")</f>
        <v>RedstoneWildHeartBeat</v>
      </c>
      <c r="G291" s="5" t="str">
        <f>IFERROR(__xludf.DUMMYFUNCTION("""COMPUTED_VALUE"""),"Live")</f>
        <v>Live</v>
      </c>
      <c r="H291" s="5"/>
      <c r="I291" s="5" t="str">
        <f>IFERROR(__xludf.DUMMYFUNCTION("""COMPUTED_VALUE"""),"Redstone")</f>
        <v>Redstone</v>
      </c>
      <c r="J291" s="5" t="str">
        <f>IFERROR(__xludf.DUMMYFUNCTION("""COMPUTED_VALUE"""),"JSON")</f>
        <v>JSON</v>
      </c>
      <c r="K291" s="5" t="str">
        <f>IFERROR(__xludf.DUMMYFUNCTION("""COMPUTED_VALUE"""),"Slot")</f>
        <v>Slot</v>
      </c>
      <c r="L291" s="5" t="str">
        <f>IFERROR(__xludf.DUMMYFUNCTION("""COMPUTED_VALUE"""),"Master")</f>
        <v>Master</v>
      </c>
      <c r="M291" s="5"/>
      <c r="N291" s="7" t="str">
        <f>IFERROR(__xludf.DUMMYFUNCTION("""COMPUTED_VALUE"""),"https://docs.google.com/document/d/1iXG_raCxlresDsCqMTqpIlfeAFtjbTIP/edit?usp=drive_link&amp;ouid=107596163405648766688&amp;rtpof=true&amp;sd=true")</f>
        <v>https://docs.google.com/document/d/1iXG_raCxlresDsCqMTqpIlfeAFtjbTIP/edit?usp=drive_link&amp;ouid=107596163405648766688&amp;rtpof=true&amp;sd=true</v>
      </c>
      <c r="O291" s="7" t="str">
        <f>IFERROR(__xludf.DUMMYFUNCTION("""COMPUTED_VALUE"""),"https://docs.google.com/document/d/1YbEQ9PohM2jYE-QEuHfCCQRDf1ijSLJY/edit?usp=drive_link&amp;ouid=107596163405648766688&amp;rtpof=true&amp;sd=true")</f>
        <v>https://docs.google.com/document/d/1YbEQ9PohM2jYE-QEuHfCCQRDf1ijSLJY/edit?usp=drive_link&amp;ouid=107596163405648766688&amp;rtpof=true&amp;sd=true</v>
      </c>
      <c r="P291" s="12">
        <f>IFERROR(__xludf.DUMMYFUNCTION("""COMPUTED_VALUE"""),8.2)</f>
        <v>8.2</v>
      </c>
      <c r="Q291" s="13">
        <f>IFERROR(__xludf.DUMMYFUNCTION("""COMPUTED_VALUE"""),45257.0)</f>
        <v>45257</v>
      </c>
      <c r="R291" s="14"/>
      <c r="S291" s="13">
        <f>IFERROR(__xludf.DUMMYFUNCTION("""COMPUTED_VALUE"""),45257.0)</f>
        <v>45257</v>
      </c>
      <c r="T291" s="5" t="b">
        <f>IFERROR(__xludf.DUMMYFUNCTION("""COMPUTED_VALUE"""),TRUE)</f>
        <v>1</v>
      </c>
      <c r="U291" s="5" t="str">
        <f>IFERROR(__xludf.DUMMYFUNCTION("""COMPUTED_VALUE"""),"5x3")</f>
        <v>5x3</v>
      </c>
      <c r="V291" s="10" t="str">
        <f>IFERROR(__xludf.DUMMYFUNCTION("""COMPUTED_VALUE"""),"5")</f>
        <v>5</v>
      </c>
      <c r="W291" s="10" t="str">
        <f>IFERROR(__xludf.DUMMYFUNCTION("""COMPUTED_VALUE"""),"5")</f>
        <v>5</v>
      </c>
      <c r="X291" s="5">
        <f>IFERROR(__xludf.DUMMYFUNCTION("""COMPUTED_VALUE"""),96.36)</f>
        <v>96.36</v>
      </c>
      <c r="Y291" s="5" t="str">
        <f>IFERROR(__xludf.DUMMYFUNCTION("""COMPUTED_VALUE"""),"Medium")</f>
        <v>Medium</v>
      </c>
      <c r="Z291" s="5">
        <f>IFERROR(__xludf.DUMMYFUNCTION("""COMPUTED_VALUE"""),11.87)</f>
        <v>11.87</v>
      </c>
      <c r="AA291" s="12">
        <f>IFERROR(__xludf.DUMMYFUNCTION("""COMPUTED_VALUE"""),2000.0)</f>
        <v>2000</v>
      </c>
      <c r="AB291" s="5"/>
      <c r="AC291" s="5" t="str">
        <f>IFERROR(__xludf.DUMMYFUNCTION("""COMPUTED_VALUE"""),"Expanding Wild, Scatter")</f>
        <v>Expanding Wild, Scatter</v>
      </c>
      <c r="AD291" s="5" t="str">
        <f>IFERROR(__xludf.DUMMYFUNCTION("""COMPUTED_VALUE"""),"0.01/50")</f>
        <v>0.01/50</v>
      </c>
      <c r="AE291" s="5"/>
      <c r="AF291" s="5"/>
      <c r="AG291" s="8">
        <f>IFERROR(__xludf.DUMMYFUNCTION("""COMPUTED_VALUE"""),46157.47399305556)</f>
        <v>46157.47399</v>
      </c>
      <c r="AH291" s="5"/>
      <c r="AI291" s="5"/>
      <c r="AJ291" s="5"/>
      <c r="AK291" s="5">
        <f>IFERROR(__xludf.DUMMYFUNCTION("""COMPUTED_VALUE"""),1.0)</f>
        <v>1</v>
      </c>
      <c r="AL291" s="5" t="str">
        <f>IFERROR(__xludf.DUMMYFUNCTION("""COMPUTED_VALUE"""),"No")</f>
        <v>No</v>
      </c>
      <c r="AM291" s="5" t="str">
        <f>IFERROR(__xludf.DUMMYFUNCTION("""COMPUTED_VALUE"""),"No")</f>
        <v>No</v>
      </c>
      <c r="AN291" s="7" t="str">
        <f>IFERROR(__xludf.DUMMYFUNCTION("""COMPUTED_VALUE"""),"https://play.redstone.rs/games/wild-heart-beat/index.html")</f>
        <v>https://play.redstone.rs/games/wild-heart-beat/index.html</v>
      </c>
      <c r="AO291" s="5" t="str">
        <f>IFERROR(__xludf.DUMMYFUNCTION("""COMPUTED_VALUE"""),"No")</f>
        <v>No</v>
      </c>
      <c r="AP291" s="5" t="str">
        <f>IFERROR(__xludf.DUMMYFUNCTION("""COMPUTED_VALUE"""),"No")</f>
        <v>No</v>
      </c>
      <c r="AQ291" s="5" t="b">
        <f>IFERROR(__xludf.DUMMYFUNCTION("""COMPUTED_VALUE"""),TRUE)</f>
        <v>1</v>
      </c>
      <c r="AR291" s="5"/>
      <c r="AS291" s="5" t="str">
        <f>IFERROR(__xludf.DUMMYFUNCTION("""COMPUTED_VALUE"""),"Wild HEART Beat sets the rhythm for big wins, with expanding wilds that could lead to a heart-stopping 2000x payout!")</f>
        <v>Wild HEART Beat sets the rhythm for big wins, with expanding wilds that could lead to a heart-stopping 2000x payout!</v>
      </c>
      <c r="AT291" s="5"/>
      <c r="AU291" s="5" t="str">
        <f>IFERROR(__xludf.DUMMYFUNCTION("""COMPUTED_VALUE"""),"Redstone")</f>
        <v>Redstone</v>
      </c>
      <c r="AV291" s="5"/>
      <c r="AW291" s="5"/>
      <c r="AX291" s="5"/>
      <c r="AY291" s="5"/>
      <c r="AZ291" s="5"/>
      <c r="BA291" s="5"/>
      <c r="BB291" s="5" t="b">
        <f>IFERROR(__xludf.DUMMYFUNCTION("""COMPUTED_VALUE"""),TRUE)</f>
        <v>1</v>
      </c>
      <c r="BC291" s="5" t="str">
        <f>IFERROR(__xludf.DUMMYFUNCTION("""COMPUTED_VALUE"""),"Redstone")</f>
        <v>Redstone</v>
      </c>
      <c r="BD291" s="7" t="str">
        <f>IFERROR(__xludf.DUMMYFUNCTION("""COMPUTED_VALUE"""),"https://play.redstone.rs/games/wild-heart-beat/index.html")</f>
        <v>https://play.redstone.rs/games/wild-heart-beat/index.html</v>
      </c>
      <c r="BE291" s="5" t="b">
        <f>IFERROR(__xludf.DUMMYFUNCTION("""COMPUTED_VALUE"""),TRUE)</f>
        <v>1</v>
      </c>
    </row>
    <row r="292">
      <c r="A292" s="5">
        <f>IFERROR(__xludf.DUMMYFUNCTION("""COMPUTED_VALUE"""),292.0)</f>
        <v>292</v>
      </c>
      <c r="B292" s="5">
        <f>IFERROR(__xludf.DUMMYFUNCTION("""COMPUTED_VALUE"""),291.0)</f>
        <v>291</v>
      </c>
      <c r="C292" s="5" t="str">
        <f>IFERROR(__xludf.DUMMYFUNCTION("""COMPUTED_VALUE"""),"Redstone")</f>
        <v>Redstone</v>
      </c>
      <c r="D292" s="5" t="str">
        <f>IFERROR(__xludf.DUMMYFUNCTION("""COMPUTED_VALUE"""),"Wild Trail")</f>
        <v>Wild Trail</v>
      </c>
      <c r="E292" s="5" t="str">
        <f>IFERROR(__xludf.DUMMYFUNCTION("""COMPUTED_VALUE"""),"Redstone")</f>
        <v>Redstone</v>
      </c>
      <c r="F292" s="5" t="str">
        <f>IFERROR(__xludf.DUMMYFUNCTION("""COMPUTED_VALUE"""),"RedstoneWildTrail")</f>
        <v>RedstoneWildTrail</v>
      </c>
      <c r="G292" s="5" t="str">
        <f>IFERROR(__xludf.DUMMYFUNCTION("""COMPUTED_VALUE"""),"Live")</f>
        <v>Live</v>
      </c>
      <c r="H292" s="5"/>
      <c r="I292" s="5" t="str">
        <f>IFERROR(__xludf.DUMMYFUNCTION("""COMPUTED_VALUE"""),"Redstone")</f>
        <v>Redstone</v>
      </c>
      <c r="J292" s="5" t="str">
        <f>IFERROR(__xludf.DUMMYFUNCTION("""COMPUTED_VALUE"""),"JSON")</f>
        <v>JSON</v>
      </c>
      <c r="K292" s="5" t="str">
        <f>IFERROR(__xludf.DUMMYFUNCTION("""COMPUTED_VALUE"""),"Slot")</f>
        <v>Slot</v>
      </c>
      <c r="L292" s="5" t="str">
        <f>IFERROR(__xludf.DUMMYFUNCTION("""COMPUTED_VALUE""")," Clone")</f>
        <v> Clone</v>
      </c>
      <c r="M292" s="5" t="str">
        <f>IFERROR(__xludf.DUMMYFUNCTION("""COMPUTED_VALUE"""),"40 Wild Clover")</f>
        <v>40 Wild Clover</v>
      </c>
      <c r="N292" s="7" t="str">
        <f>IFERROR(__xludf.DUMMYFUNCTION("""COMPUTED_VALUE"""),"https://docs.google.com/document/d/1R9VdFan2BxscNoqqq7JAP2usk36VI-Fn/edit?usp=drive_link&amp;ouid=107596163405648766688&amp;rtpof=true&amp;sd=true")</f>
        <v>https://docs.google.com/document/d/1R9VdFan2BxscNoqqq7JAP2usk36VI-Fn/edit?usp=drive_link&amp;ouid=107596163405648766688&amp;rtpof=true&amp;sd=true</v>
      </c>
      <c r="O292" s="7" t="str">
        <f>IFERROR(__xludf.DUMMYFUNCTION("""COMPUTED_VALUE"""),"https://docs.google.com/document/d/1_YdJijpySmgTmfVs44Ae7uAJHDSTwF64/edit?usp=drive_link&amp;ouid=107596163405648766688&amp;rtpof=true&amp;sd=true")</f>
        <v>https://docs.google.com/document/d/1_YdJijpySmgTmfVs44Ae7uAJHDSTwF64/edit?usp=drive_link&amp;ouid=107596163405648766688&amp;rtpof=true&amp;sd=true</v>
      </c>
      <c r="P292" s="12">
        <f>IFERROR(__xludf.DUMMYFUNCTION("""COMPUTED_VALUE"""),7.6)</f>
        <v>7.6</v>
      </c>
      <c r="Q292" s="13">
        <f>IFERROR(__xludf.DUMMYFUNCTION("""COMPUTED_VALUE"""),45261.0)</f>
        <v>45261</v>
      </c>
      <c r="R292" s="14"/>
      <c r="S292" s="13">
        <f>IFERROR(__xludf.DUMMYFUNCTION("""COMPUTED_VALUE"""),45261.0)</f>
        <v>45261</v>
      </c>
      <c r="T292" s="5" t="b">
        <f>IFERROR(__xludf.DUMMYFUNCTION("""COMPUTED_VALUE"""),TRUE)</f>
        <v>1</v>
      </c>
      <c r="U292" s="5" t="str">
        <f>IFERROR(__xludf.DUMMYFUNCTION("""COMPUTED_VALUE"""),"5x4")</f>
        <v>5x4</v>
      </c>
      <c r="V292" s="10" t="str">
        <f>IFERROR(__xludf.DUMMYFUNCTION("""COMPUTED_VALUE"""),"40")</f>
        <v>40</v>
      </c>
      <c r="W292" s="10" t="str">
        <f>IFERROR(__xludf.DUMMYFUNCTION("""COMPUTED_VALUE"""),"40")</f>
        <v>40</v>
      </c>
      <c r="X292" s="5">
        <f>IFERROR(__xludf.DUMMYFUNCTION("""COMPUTED_VALUE"""),95.32)</f>
        <v>95.32</v>
      </c>
      <c r="Y292" s="5" t="str">
        <f>IFERROR(__xludf.DUMMYFUNCTION("""COMPUTED_VALUE"""),"Medium")</f>
        <v>Medium</v>
      </c>
      <c r="Z292" s="5">
        <f>IFERROR(__xludf.DUMMYFUNCTION("""COMPUTED_VALUE"""),12.34)</f>
        <v>12.34</v>
      </c>
      <c r="AA292" s="12">
        <f>IFERROR(__xludf.DUMMYFUNCTION("""COMPUTED_VALUE"""),2000.0)</f>
        <v>2000</v>
      </c>
      <c r="AB292" s="5"/>
      <c r="AC292" s="5" t="str">
        <f>IFERROR(__xludf.DUMMYFUNCTION("""COMPUTED_VALUE"""),"Special Wild, Scatter, Bonus Game with Free Spins")</f>
        <v>Special Wild, Scatter, Bonus Game with Free Spins</v>
      </c>
      <c r="AD292" s="5" t="str">
        <f>IFERROR(__xludf.DUMMYFUNCTION("""COMPUTED_VALUE"""),"0.40/60")</f>
        <v>0.40/60</v>
      </c>
      <c r="AE292" s="5"/>
      <c r="AF292" s="5"/>
      <c r="AG292" s="8">
        <f>IFERROR(__xludf.DUMMYFUNCTION("""COMPUTED_VALUE"""),46212.491435185184)</f>
        <v>46212.49144</v>
      </c>
      <c r="AH292" s="5" t="str">
        <f>IFERROR(__xludf.DUMMYFUNCTION("""COMPUTED_VALUE"""),"selena.mihajlovic@fazi.rs")</f>
        <v>selena.mihajlovic@fazi.rs</v>
      </c>
      <c r="AI292" s="5"/>
      <c r="AJ292" s="5"/>
      <c r="AK292" s="5">
        <f>IFERROR(__xludf.DUMMYFUNCTION("""COMPUTED_VALUE"""),1.0)</f>
        <v>1</v>
      </c>
      <c r="AL292" s="5" t="str">
        <f>IFERROR(__xludf.DUMMYFUNCTION("""COMPUTED_VALUE"""),"No")</f>
        <v>No</v>
      </c>
      <c r="AM292" s="5" t="str">
        <f>IFERROR(__xludf.DUMMYFUNCTION("""COMPUTED_VALUE"""),"No")</f>
        <v>No</v>
      </c>
      <c r="AN292" s="7" t="str">
        <f>IFERROR(__xludf.DUMMYFUNCTION("""COMPUTED_VALUE"""),"https://play.redstone.rs/games/wild-trail/index.html")</f>
        <v>https://play.redstone.rs/games/wild-trail/index.html</v>
      </c>
      <c r="AO292" s="5" t="str">
        <f>IFERROR(__xludf.DUMMYFUNCTION("""COMPUTED_VALUE"""),"No")</f>
        <v>No</v>
      </c>
      <c r="AP292" s="5" t="str">
        <f>IFERROR(__xludf.DUMMYFUNCTION("""COMPUTED_VALUE"""),"No")</f>
        <v>No</v>
      </c>
      <c r="AQ292" s="5" t="b">
        <f>IFERROR(__xludf.DUMMYFUNCTION("""COMPUTED_VALUE"""),TRUE)</f>
        <v>1</v>
      </c>
      <c r="AR292" s="5"/>
      <c r="AS292" s="5" t="str">
        <f>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AT292" s="5"/>
      <c r="AU292" s="5" t="str">
        <f>IFERROR(__xludf.DUMMYFUNCTION("""COMPUTED_VALUE"""),"Redstone")</f>
        <v>Redstone</v>
      </c>
      <c r="AV292" s="5"/>
      <c r="AW292" s="5"/>
      <c r="AX292" s="5"/>
      <c r="AY292" s="5"/>
      <c r="AZ292" s="5"/>
      <c r="BA292" s="5"/>
      <c r="BB292" s="5" t="b">
        <f>IFERROR(__xludf.DUMMYFUNCTION("""COMPUTED_VALUE"""),TRUE)</f>
        <v>1</v>
      </c>
      <c r="BC292" s="5" t="str">
        <f>IFERROR(__xludf.DUMMYFUNCTION("""COMPUTED_VALUE"""),"Redstone")</f>
        <v>Redstone</v>
      </c>
      <c r="BD292" s="7" t="str">
        <f>IFERROR(__xludf.DUMMYFUNCTION("""COMPUTED_VALUE"""),"https://play.redstone.rs/games/wild-trail/index.html")</f>
        <v>https://play.redstone.rs/games/wild-trail/index.html</v>
      </c>
      <c r="BE292" s="5" t="b">
        <f>IFERROR(__xludf.DUMMYFUNCTION("""COMPUTED_VALUE"""),TRUE)</f>
        <v>1</v>
      </c>
    </row>
    <row r="293">
      <c r="A293" s="5">
        <f>IFERROR(__xludf.DUMMYFUNCTION("""COMPUTED_VALUE"""),293.0)</f>
        <v>293</v>
      </c>
      <c r="B293" s="5">
        <f>IFERROR(__xludf.DUMMYFUNCTION("""COMPUTED_VALUE"""),292.0)</f>
        <v>292</v>
      </c>
      <c r="C293" s="5" t="str">
        <f>IFERROR(__xludf.DUMMYFUNCTION("""COMPUTED_VALUE"""),"Redstone")</f>
        <v>Redstone</v>
      </c>
      <c r="D293" s="5" t="str">
        <f>IFERROR(__xludf.DUMMYFUNCTION("""COMPUTED_VALUE"""),"40 Jokers Free Games")</f>
        <v>40 Jokers Free Games</v>
      </c>
      <c r="E293" s="5" t="str">
        <f>IFERROR(__xludf.DUMMYFUNCTION("""COMPUTED_VALUE"""),"Redstone")</f>
        <v>Redstone</v>
      </c>
      <c r="F293" s="5" t="str">
        <f>IFERROR(__xludf.DUMMYFUNCTION("""COMPUTED_VALUE"""),"Redstone40JokersFreeGames")</f>
        <v>Redstone40JokersFreeGames</v>
      </c>
      <c r="G293" s="5" t="str">
        <f>IFERROR(__xludf.DUMMYFUNCTION("""COMPUTED_VALUE"""),"Live")</f>
        <v>Live</v>
      </c>
      <c r="H293" s="5"/>
      <c r="I293" s="5" t="str">
        <f>IFERROR(__xludf.DUMMYFUNCTION("""COMPUTED_VALUE"""),"Redstone")</f>
        <v>Redstone</v>
      </c>
      <c r="J293" s="5" t="str">
        <f>IFERROR(__xludf.DUMMYFUNCTION("""COMPUTED_VALUE"""),"JSON")</f>
        <v>JSON</v>
      </c>
      <c r="K293" s="5" t="str">
        <f>IFERROR(__xludf.DUMMYFUNCTION("""COMPUTED_VALUE"""),"Slot")</f>
        <v>Slot</v>
      </c>
      <c r="L293" s="5" t="str">
        <f>IFERROR(__xludf.DUMMYFUNCTION("""COMPUTED_VALUE""")," Clone")</f>
        <v> Clone</v>
      </c>
      <c r="M293" s="5" t="str">
        <f>IFERROR(__xludf.DUMMYFUNCTION("""COMPUTED_VALUE"""),"40 Wild Clover")</f>
        <v>40 Wild Clover</v>
      </c>
      <c r="N293" s="7" t="str">
        <f>IFERROR(__xludf.DUMMYFUNCTION("""COMPUTED_VALUE"""),"https://docs.google.com/document/d/15b1HM0l4KpfaiAAKNvC0nHSXb8d6Mk1v/edit?usp=drive_link&amp;ouid=107596163405648766688&amp;rtpof=true&amp;sd=true")</f>
        <v>https://docs.google.com/document/d/15b1HM0l4KpfaiAAKNvC0nHSXb8d6Mk1v/edit?usp=drive_link&amp;ouid=107596163405648766688&amp;rtpof=true&amp;sd=true</v>
      </c>
      <c r="O293" s="7" t="str">
        <f>IFERROR(__xludf.DUMMYFUNCTION("""COMPUTED_VALUE"""),"https://docs.google.com/document/d/1IQGnVcn_YqWL36Yv2DxCR6fILZrQehOS/edit?usp=drive_link&amp;ouid=107596163405648766688&amp;rtpof=true&amp;sd=true")</f>
        <v>https://docs.google.com/document/d/1IQGnVcn_YqWL36Yv2DxCR6fILZrQehOS/edit?usp=drive_link&amp;ouid=107596163405648766688&amp;rtpof=true&amp;sd=true</v>
      </c>
      <c r="P293" s="12">
        <f>IFERROR(__xludf.DUMMYFUNCTION("""COMPUTED_VALUE"""),7.6)</f>
        <v>7.6</v>
      </c>
      <c r="Q293" s="13">
        <f>IFERROR(__xludf.DUMMYFUNCTION("""COMPUTED_VALUE"""),45271.0)</f>
        <v>45271</v>
      </c>
      <c r="R293" s="14"/>
      <c r="S293" s="13">
        <f>IFERROR(__xludf.DUMMYFUNCTION("""COMPUTED_VALUE"""),45271.0)</f>
        <v>45271</v>
      </c>
      <c r="T293" s="5" t="b">
        <f>IFERROR(__xludf.DUMMYFUNCTION("""COMPUTED_VALUE"""),TRUE)</f>
        <v>1</v>
      </c>
      <c r="U293" s="5" t="str">
        <f>IFERROR(__xludf.DUMMYFUNCTION("""COMPUTED_VALUE"""),"5x4")</f>
        <v>5x4</v>
      </c>
      <c r="V293" s="10" t="str">
        <f>IFERROR(__xludf.DUMMYFUNCTION("""COMPUTED_VALUE"""),"40")</f>
        <v>40</v>
      </c>
      <c r="W293" s="10" t="str">
        <f>IFERROR(__xludf.DUMMYFUNCTION("""COMPUTED_VALUE"""),"40")</f>
        <v>40</v>
      </c>
      <c r="X293" s="5">
        <f>IFERROR(__xludf.DUMMYFUNCTION("""COMPUTED_VALUE"""),95.32)</f>
        <v>95.32</v>
      </c>
      <c r="Y293" s="5" t="str">
        <f>IFERROR(__xludf.DUMMYFUNCTION("""COMPUTED_VALUE"""),"Medium")</f>
        <v>Medium</v>
      </c>
      <c r="Z293" s="5">
        <f>IFERROR(__xludf.DUMMYFUNCTION("""COMPUTED_VALUE"""),12.34)</f>
        <v>12.34</v>
      </c>
      <c r="AA293" s="12">
        <f>IFERROR(__xludf.DUMMYFUNCTION("""COMPUTED_VALUE"""),2000.0)</f>
        <v>2000</v>
      </c>
      <c r="AB293" s="5"/>
      <c r="AC293" s="5" t="str">
        <f>IFERROR(__xludf.DUMMYFUNCTION("""COMPUTED_VALUE"""),"Special Wild, Scatter, Bonus Game with Free Spins")</f>
        <v>Special Wild, Scatter, Bonus Game with Free Spins</v>
      </c>
      <c r="AD293" s="5" t="str">
        <f>IFERROR(__xludf.DUMMYFUNCTION("""COMPUTED_VALUE"""),"0.40/60")</f>
        <v>0.40/60</v>
      </c>
      <c r="AE293" s="5"/>
      <c r="AF293" s="5"/>
      <c r="AG293" s="8">
        <f>IFERROR(__xludf.DUMMYFUNCTION("""COMPUTED_VALUE"""),46157.473495370374)</f>
        <v>46157.4735</v>
      </c>
      <c r="AH293" s="5"/>
      <c r="AI293" s="5"/>
      <c r="AJ293" s="5"/>
      <c r="AK293" s="5">
        <f>IFERROR(__xludf.DUMMYFUNCTION("""COMPUTED_VALUE"""),1.0)</f>
        <v>1</v>
      </c>
      <c r="AL293" s="5" t="str">
        <f>IFERROR(__xludf.DUMMYFUNCTION("""COMPUTED_VALUE"""),"No")</f>
        <v>No</v>
      </c>
      <c r="AM293" s="5" t="str">
        <f>IFERROR(__xludf.DUMMYFUNCTION("""COMPUTED_VALUE"""),"No")</f>
        <v>No</v>
      </c>
      <c r="AN293" s="7" t="str">
        <f>IFERROR(__xludf.DUMMYFUNCTION("""COMPUTED_VALUE"""),"https://play.redstone.rs/games/40-jokers-free-games/index.html")</f>
        <v>https://play.redstone.rs/games/40-jokers-free-games/index.html</v>
      </c>
      <c r="AO293" s="5" t="str">
        <f>IFERROR(__xludf.DUMMYFUNCTION("""COMPUTED_VALUE"""),"No")</f>
        <v>No</v>
      </c>
      <c r="AP293" s="5" t="str">
        <f>IFERROR(__xludf.DUMMYFUNCTION("""COMPUTED_VALUE"""),"No")</f>
        <v>No</v>
      </c>
      <c r="AQ293" s="5" t="b">
        <f>IFERROR(__xludf.DUMMYFUNCTION("""COMPUTED_VALUE"""),TRUE)</f>
        <v>1</v>
      </c>
      <c r="AR293" s="5"/>
      <c r="AS293" s="5" t="str">
        <f>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AT293" s="5"/>
      <c r="AU293" s="5" t="str">
        <f>IFERROR(__xludf.DUMMYFUNCTION("""COMPUTED_VALUE"""),"Redstone")</f>
        <v>Redstone</v>
      </c>
      <c r="AV293" s="5"/>
      <c r="AW293" s="5"/>
      <c r="AX293" s="5"/>
      <c r="AY293" s="5"/>
      <c r="AZ293" s="5"/>
      <c r="BA293" s="5"/>
      <c r="BB293" s="5" t="b">
        <f>IFERROR(__xludf.DUMMYFUNCTION("""COMPUTED_VALUE"""),TRUE)</f>
        <v>1</v>
      </c>
      <c r="BC293" s="5" t="str">
        <f>IFERROR(__xludf.DUMMYFUNCTION("""COMPUTED_VALUE"""),"Redstone")</f>
        <v>Redstone</v>
      </c>
      <c r="BD293" s="7" t="str">
        <f>IFERROR(__xludf.DUMMYFUNCTION("""COMPUTED_VALUE"""),"https://play.redstone.rs/games/40-jokers-free-games/index.html")</f>
        <v>https://play.redstone.rs/games/40-jokers-free-games/index.html</v>
      </c>
      <c r="BE293" s="5" t="b">
        <f>IFERROR(__xludf.DUMMYFUNCTION("""COMPUTED_VALUE"""),TRUE)</f>
        <v>1</v>
      </c>
    </row>
    <row r="294">
      <c r="A294" s="5">
        <f>IFERROR(__xludf.DUMMYFUNCTION("""COMPUTED_VALUE"""),294.0)</f>
        <v>294</v>
      </c>
      <c r="B294" s="5">
        <f>IFERROR(__xludf.DUMMYFUNCTION("""COMPUTED_VALUE"""),293.0)</f>
        <v>293</v>
      </c>
      <c r="C294" s="5" t="str">
        <f>IFERROR(__xludf.DUMMYFUNCTION("""COMPUTED_VALUE"""),"Redstone")</f>
        <v>Redstone</v>
      </c>
      <c r="D294" s="5" t="str">
        <f>IFERROR(__xludf.DUMMYFUNCTION("""COMPUTED_VALUE"""),"Moon Dog")</f>
        <v>Moon Dog</v>
      </c>
      <c r="E294" s="5" t="str">
        <f>IFERROR(__xludf.DUMMYFUNCTION("""COMPUTED_VALUE"""),"Redstone")</f>
        <v>Redstone</v>
      </c>
      <c r="F294" s="5" t="str">
        <f>IFERROR(__xludf.DUMMYFUNCTION("""COMPUTED_VALUE"""),"RedstoneMoonDog")</f>
        <v>RedstoneMoonDog</v>
      </c>
      <c r="G294" s="5" t="str">
        <f>IFERROR(__xludf.DUMMYFUNCTION("""COMPUTED_VALUE"""),"Live")</f>
        <v>Live</v>
      </c>
      <c r="H294" s="5"/>
      <c r="I294" s="5" t="str">
        <f>IFERROR(__xludf.DUMMYFUNCTION("""COMPUTED_VALUE"""),"Redstone")</f>
        <v>Redstone</v>
      </c>
      <c r="J294" s="5" t="str">
        <f>IFERROR(__xludf.DUMMYFUNCTION("""COMPUTED_VALUE"""),"JSON")</f>
        <v>JSON</v>
      </c>
      <c r="K294" s="5" t="str">
        <f>IFERROR(__xludf.DUMMYFUNCTION("""COMPUTED_VALUE"""),"Slot")</f>
        <v>Slot</v>
      </c>
      <c r="L294" s="5" t="str">
        <f>IFERROR(__xludf.DUMMYFUNCTION("""COMPUTED_VALUE""")," Clone")</f>
        <v> Clone</v>
      </c>
      <c r="M294" s="5" t="str">
        <f>IFERROR(__xludf.DUMMYFUNCTION("""COMPUTED_VALUE"""),"40 Wild Clover")</f>
        <v>40 Wild Clover</v>
      </c>
      <c r="N294" s="7" t="str">
        <f>IFERROR(__xludf.DUMMYFUNCTION("""COMPUTED_VALUE"""),"https://docs.google.com/document/d/1NvnqrHz45jHN7kIAdXe5gJQaiubaEy9B/edit?usp=drive_link&amp;ouid=107596163405648766688&amp;rtpof=true&amp;sd=true")</f>
        <v>https://docs.google.com/document/d/1NvnqrHz45jHN7kIAdXe5gJQaiubaEy9B/edit?usp=drive_link&amp;ouid=107596163405648766688&amp;rtpof=true&amp;sd=true</v>
      </c>
      <c r="O294" s="7" t="str">
        <f>IFERROR(__xludf.DUMMYFUNCTION("""COMPUTED_VALUE"""),"https://docs.google.com/document/d/1AAJQVtDH1FNoV_SlZ4_kQ1GUK5TFTf9J/edit?usp=drive_link&amp;ouid=107596163405648766688&amp;rtpof=true&amp;sd=true")</f>
        <v>https://docs.google.com/document/d/1AAJQVtDH1FNoV_SlZ4_kQ1GUK5TFTf9J/edit?usp=drive_link&amp;ouid=107596163405648766688&amp;rtpof=true&amp;sd=true</v>
      </c>
      <c r="P294" s="12">
        <f>IFERROR(__xludf.DUMMYFUNCTION("""COMPUTED_VALUE"""),7.6)</f>
        <v>7.6</v>
      </c>
      <c r="Q294" s="13">
        <f>IFERROR(__xludf.DUMMYFUNCTION("""COMPUTED_VALUE"""),45264.0)</f>
        <v>45264</v>
      </c>
      <c r="R294" s="14"/>
      <c r="S294" s="13">
        <f>IFERROR(__xludf.DUMMYFUNCTION("""COMPUTED_VALUE"""),45264.0)</f>
        <v>45264</v>
      </c>
      <c r="T294" s="5" t="b">
        <f>IFERROR(__xludf.DUMMYFUNCTION("""COMPUTED_VALUE"""),TRUE)</f>
        <v>1</v>
      </c>
      <c r="U294" s="5" t="str">
        <f>IFERROR(__xludf.DUMMYFUNCTION("""COMPUTED_VALUE"""),"5x4")</f>
        <v>5x4</v>
      </c>
      <c r="V294" s="10" t="str">
        <f>IFERROR(__xludf.DUMMYFUNCTION("""COMPUTED_VALUE"""),"40")</f>
        <v>40</v>
      </c>
      <c r="W294" s="10" t="str">
        <f>IFERROR(__xludf.DUMMYFUNCTION("""COMPUTED_VALUE"""),"40")</f>
        <v>40</v>
      </c>
      <c r="X294" s="5">
        <f>IFERROR(__xludf.DUMMYFUNCTION("""COMPUTED_VALUE"""),95.32)</f>
        <v>95.32</v>
      </c>
      <c r="Y294" s="5" t="str">
        <f>IFERROR(__xludf.DUMMYFUNCTION("""COMPUTED_VALUE"""),"Medium")</f>
        <v>Medium</v>
      </c>
      <c r="Z294" s="5">
        <f>IFERROR(__xludf.DUMMYFUNCTION("""COMPUTED_VALUE"""),12.34)</f>
        <v>12.34</v>
      </c>
      <c r="AA294" s="12">
        <f>IFERROR(__xludf.DUMMYFUNCTION("""COMPUTED_VALUE"""),2000.0)</f>
        <v>2000</v>
      </c>
      <c r="AB294" s="5"/>
      <c r="AC294" s="5" t="str">
        <f>IFERROR(__xludf.DUMMYFUNCTION("""COMPUTED_VALUE"""),"Special Wild, Scatter, Bonus Game with Free Spins")</f>
        <v>Special Wild, Scatter, Bonus Game with Free Spins</v>
      </c>
      <c r="AD294" s="5" t="str">
        <f>IFERROR(__xludf.DUMMYFUNCTION("""COMPUTED_VALUE"""),"0.40/60")</f>
        <v>0.40/60</v>
      </c>
      <c r="AE294" s="5"/>
      <c r="AF294" s="5"/>
      <c r="AG294" s="8">
        <f>IFERROR(__xludf.DUMMYFUNCTION("""COMPUTED_VALUE"""),46212.49177083333)</f>
        <v>46212.49177</v>
      </c>
      <c r="AH294" s="5" t="str">
        <f>IFERROR(__xludf.DUMMYFUNCTION("""COMPUTED_VALUE"""),"selena.mihajlovic@fazi.rs")</f>
        <v>selena.mihajlovic@fazi.rs</v>
      </c>
      <c r="AI294" s="5"/>
      <c r="AJ294" s="5"/>
      <c r="AK294" s="5">
        <f>IFERROR(__xludf.DUMMYFUNCTION("""COMPUTED_VALUE"""),1.0)</f>
        <v>1</v>
      </c>
      <c r="AL294" s="5" t="str">
        <f>IFERROR(__xludf.DUMMYFUNCTION("""COMPUTED_VALUE"""),"No")</f>
        <v>No</v>
      </c>
      <c r="AM294" s="5" t="str">
        <f>IFERROR(__xludf.DUMMYFUNCTION("""COMPUTED_VALUE"""),"No")</f>
        <v>No</v>
      </c>
      <c r="AN294" s="7" t="str">
        <f>IFERROR(__xludf.DUMMYFUNCTION("""COMPUTED_VALUE"""),"https://static.redstone.rs/games/moon-dog/")</f>
        <v>https://static.redstone.rs/games/moon-dog/</v>
      </c>
      <c r="AO294" s="5" t="str">
        <f>IFERROR(__xludf.DUMMYFUNCTION("""COMPUTED_VALUE"""),"No")</f>
        <v>No</v>
      </c>
      <c r="AP294" s="5" t="str">
        <f>IFERROR(__xludf.DUMMYFUNCTION("""COMPUTED_VALUE"""),"No")</f>
        <v>No</v>
      </c>
      <c r="AQ294" s="5" t="b">
        <f>IFERROR(__xludf.DUMMYFUNCTION("""COMPUTED_VALUE"""),TRUE)</f>
        <v>1</v>
      </c>
      <c r="AR294" s="5"/>
      <c r="AS294" s="5" t="str">
        <f>IFERROR(__xludf.DUMMYFUNCTION("""COMPUTED_VALUE"""),"Take a spin in the Moon Dog universe with 40 lines and bonus games, and win up to 2000x!")</f>
        <v>Take a spin in the Moon Dog universe with 40 lines and bonus games, and win up to 2000x!</v>
      </c>
      <c r="AT294" s="5"/>
      <c r="AU294" s="5" t="str">
        <f>IFERROR(__xludf.DUMMYFUNCTION("""COMPUTED_VALUE"""),"Redstone")</f>
        <v>Redstone</v>
      </c>
      <c r="AV294" s="5"/>
      <c r="AW294" s="5"/>
      <c r="AX294" s="5"/>
      <c r="AY294" s="5"/>
      <c r="AZ294" s="5"/>
      <c r="BA294" s="5"/>
      <c r="BB294" s="5" t="b">
        <f>IFERROR(__xludf.DUMMYFUNCTION("""COMPUTED_VALUE"""),TRUE)</f>
        <v>1</v>
      </c>
      <c r="BC294" s="5" t="str">
        <f>IFERROR(__xludf.DUMMYFUNCTION("""COMPUTED_VALUE"""),"Redstone")</f>
        <v>Redstone</v>
      </c>
      <c r="BD294" s="7" t="str">
        <f>IFERROR(__xludf.DUMMYFUNCTION("""COMPUTED_VALUE"""),"https://static.redstone.rs/games/moon-dog/")</f>
        <v>https://static.redstone.rs/games/moon-dog/</v>
      </c>
      <c r="BE294" s="5" t="b">
        <f>IFERROR(__xludf.DUMMYFUNCTION("""COMPUTED_VALUE"""),TRUE)</f>
        <v>1</v>
      </c>
    </row>
    <row r="295">
      <c r="A295" s="5">
        <f>IFERROR(__xludf.DUMMYFUNCTION("""COMPUTED_VALUE"""),295.0)</f>
        <v>295</v>
      </c>
      <c r="B295" s="5">
        <f>IFERROR(__xludf.DUMMYFUNCTION("""COMPUTED_VALUE"""),294.0)</f>
        <v>294</v>
      </c>
      <c r="C295" s="5" t="str">
        <f>IFERROR(__xludf.DUMMYFUNCTION("""COMPUTED_VALUE"""),"Fazi")</f>
        <v>Fazi</v>
      </c>
      <c r="D295" s="5" t="str">
        <f>IFERROR(__xludf.DUMMYFUNCTION("""COMPUTED_VALUE"""),"Bonus Epic Crown")</f>
        <v>Bonus Epic Crown</v>
      </c>
      <c r="E295" s="5" t="str">
        <f>IFERROR(__xludf.DUMMYFUNCTION("""COMPUTED_VALUE"""),"V4-1")</f>
        <v>V4-1</v>
      </c>
      <c r="F295" s="5" t="str">
        <f>IFERROR(__xludf.DUMMYFUNCTION("""COMPUTED_VALUE"""),"BonusEpicCrown")</f>
        <v>BonusEpicCrown</v>
      </c>
      <c r="G295" s="5" t="str">
        <f>IFERROR(__xludf.DUMMYFUNCTION("""COMPUTED_VALUE"""),"Live")</f>
        <v>Live</v>
      </c>
      <c r="H295" s="5"/>
      <c r="I295" s="5" t="str">
        <f>IFERROR(__xludf.DUMMYFUNCTION("""COMPUTED_VALUE"""),"V4")</f>
        <v>V4</v>
      </c>
      <c r="J295" s="5" t="str">
        <f>IFERROR(__xludf.DUMMYFUNCTION("""COMPUTED_VALUE"""),"JSON")</f>
        <v>JSON</v>
      </c>
      <c r="K295" s="5" t="str">
        <f>IFERROR(__xludf.DUMMYFUNCTION("""COMPUTED_VALUE"""),"Slot")</f>
        <v>Slot</v>
      </c>
      <c r="L295" s="5"/>
      <c r="M295" s="5"/>
      <c r="N295" s="5"/>
      <c r="O295" s="5"/>
      <c r="P295" s="12">
        <f>IFERROR(__xludf.DUMMYFUNCTION("""COMPUTED_VALUE"""),18.0)</f>
        <v>18</v>
      </c>
      <c r="Q295" s="13">
        <f>IFERROR(__xludf.DUMMYFUNCTION("""COMPUTED_VALUE"""),45379.0)</f>
        <v>45379</v>
      </c>
      <c r="R295" s="14"/>
      <c r="S295" s="13">
        <f>IFERROR(__xludf.DUMMYFUNCTION("""COMPUTED_VALUE"""),45379.0)</f>
        <v>45379</v>
      </c>
      <c r="T295" s="5" t="b">
        <f>IFERROR(__xludf.DUMMYFUNCTION("""COMPUTED_VALUE"""),TRUE)</f>
        <v>1</v>
      </c>
      <c r="U295" s="5" t="str">
        <f>IFERROR(__xludf.DUMMYFUNCTION("""COMPUTED_VALUE"""),"5x3")</f>
        <v>5x3</v>
      </c>
      <c r="V295" s="10" t="str">
        <f>IFERROR(__xludf.DUMMYFUNCTION("""COMPUTED_VALUE"""),"10")</f>
        <v>10</v>
      </c>
      <c r="W295" s="10" t="str">
        <f>IFERROR(__xludf.DUMMYFUNCTION("""COMPUTED_VALUE"""),"10")</f>
        <v>10</v>
      </c>
      <c r="X295" s="5">
        <f>IFERROR(__xludf.DUMMYFUNCTION("""COMPUTED_VALUE"""),96.533)</f>
        <v>96.533</v>
      </c>
      <c r="Y295" s="5" t="str">
        <f>IFERROR(__xludf.DUMMYFUNCTION("""COMPUTED_VALUE"""),"High")</f>
        <v>High</v>
      </c>
      <c r="Z295" s="5">
        <f>IFERROR(__xludf.DUMMYFUNCTION("""COMPUTED_VALUE"""),10.61)</f>
        <v>10.61</v>
      </c>
      <c r="AA295" s="12">
        <f>IFERROR(__xludf.DUMMYFUNCTION("""COMPUTED_VALUE"""),20108.0)</f>
        <v>20108</v>
      </c>
      <c r="AB295" s="5">
        <f>IFERROR(__xludf.DUMMYFUNCTION("""COMPUTED_VALUE"""),190.0)</f>
        <v>190</v>
      </c>
      <c r="AC295" s="5" t="str">
        <f>IFERROR(__xludf.DUMMYFUNCTION("""COMPUTED_VALUE"""),"Extralines, Expanding Wild, Bonus Game with Free Spins, Buy Bonus")</f>
        <v>Extralines, Expanding Wild, Bonus Game with Free Spins, Buy Bonus</v>
      </c>
      <c r="AD295" s="5" t="str">
        <f>IFERROR(__xludf.DUMMYFUNCTION("""COMPUTED_VALUE"""),"0.1/40")</f>
        <v>0.1/40</v>
      </c>
      <c r="AE295" s="5"/>
      <c r="AF295" s="5"/>
      <c r="AG295" s="8">
        <f>IFERROR(__xludf.DUMMYFUNCTION("""COMPUTED_VALUE"""),46085.6859837963)</f>
        <v>46085.68598</v>
      </c>
      <c r="AH295" s="5" t="str">
        <f>IFERROR(__xludf.DUMMYFUNCTION("""COMPUTED_VALUE"""),"djordje.petrovic@fazi.rs")</f>
        <v>djordje.petrovic@fazi.rs</v>
      </c>
      <c r="AI295" s="5"/>
      <c r="AJ295" s="5"/>
      <c r="AK295" s="5">
        <f>IFERROR(__xludf.DUMMYFUNCTION("""COMPUTED_VALUE"""),10.0)</f>
        <v>10</v>
      </c>
      <c r="AL295" s="5" t="str">
        <f>IFERROR(__xludf.DUMMYFUNCTION("""COMPUTED_VALUE"""),"Yes")</f>
        <v>Yes</v>
      </c>
      <c r="AM295" s="5"/>
      <c r="AN295" s="7" t="str">
        <f>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AO295" s="5" t="str">
        <f>IFERROR(__xludf.DUMMYFUNCTION("""COMPUTED_VALUE"""),"Yes")</f>
        <v>Yes</v>
      </c>
      <c r="AP295" s="5" t="str">
        <f>IFERROR(__xludf.DUMMYFUNCTION("""COMPUTED_VALUE"""),"Yes")</f>
        <v>Yes</v>
      </c>
      <c r="AQ295" s="5" t="b">
        <f>IFERROR(__xludf.DUMMYFUNCTION("""COMPUTED_VALUE"""),TRUE)</f>
        <v>1</v>
      </c>
      <c r="AR295" s="5"/>
      <c r="AS295" s="5" t="str">
        <f>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AT295" s="5"/>
      <c r="AU295" s="5" t="str">
        <f>IFERROR(__xludf.DUMMYFUNCTION("""COMPUTED_VALUE"""),"Fazi")</f>
        <v>Fazi</v>
      </c>
      <c r="AV295" s="5"/>
      <c r="AW295" s="5" t="str">
        <f>IFERROR(__xludf.DUMMYFUNCTION("""COMPUTED_VALUE"""),"Testiratno na platformi")</f>
        <v>Testiratno na platformi</v>
      </c>
      <c r="AX295" s="5"/>
      <c r="AY295" s="5" t="str">
        <f>IFERROR(__xludf.DUMMYFUNCTION("""COMPUTED_VALUE"""),"87.5%, 89.5%, 91.5%, 93.5%, 94.5%, 95.5%, 96.5%")</f>
        <v>87.5%, 89.5%, 91.5%, 93.5%, 94.5%, 95.5%, 96.5%</v>
      </c>
      <c r="AZ295" s="5"/>
      <c r="BA295" s="5" t="str">
        <f>IFERROR(__xludf.DUMMYFUNCTION("""COMPUTED_VALUE"""),"54, 81, 108")</f>
        <v>54, 81, 108</v>
      </c>
      <c r="BB295" s="5"/>
      <c r="BC295" s="5" t="str">
        <f>IFERROR(__xludf.DUMMYFUNCTION("""COMPUTED_VALUE"""),"Foxi")</f>
        <v>Foxi</v>
      </c>
      <c r="BD295" s="7" t="str">
        <f>IFERROR(__xludf.DUMMYFUNCTION("""COMPUTED_VALUE"""),"https://gameserver-store-client-area.orbionlimited.com/Home/IntegrationGameLaunch/client-area?moneyType=0&amp;gameName=BonusEpicCrown&amp;platform=desktop&amp;languageCode=eng&amp;currency=EUR")</f>
        <v>https://gameserver-store-client-area.orbionlimited.com/Home/IntegrationGameLaunch/client-area?moneyType=0&amp;gameName=BonusEpicCrown&amp;platform=desktop&amp;languageCode=eng&amp;currency=EUR</v>
      </c>
      <c r="BE295" s="5" t="b">
        <f>IFERROR(__xludf.DUMMYFUNCTION("""COMPUTED_VALUE"""),TRUE)</f>
        <v>1</v>
      </c>
    </row>
    <row r="296">
      <c r="A296" s="5">
        <f>IFERROR(__xludf.DUMMYFUNCTION("""COMPUTED_VALUE"""),296.0)</f>
        <v>296</v>
      </c>
      <c r="B296" s="5">
        <f>IFERROR(__xludf.DUMMYFUNCTION("""COMPUTED_VALUE"""),295.0)</f>
        <v>295</v>
      </c>
      <c r="C296" s="5" t="str">
        <f>IFERROR(__xludf.DUMMYFUNCTION("""COMPUTED_VALUE"""),"Redstone")</f>
        <v>Redstone</v>
      </c>
      <c r="D296" s="5" t="str">
        <f>IFERROR(__xludf.DUMMYFUNCTION("""COMPUTED_VALUE"""),"20 Wild Crown")</f>
        <v>20 Wild Crown</v>
      </c>
      <c r="E296" s="5" t="str">
        <f>IFERROR(__xludf.DUMMYFUNCTION("""COMPUTED_VALUE"""),"Redstone")</f>
        <v>Redstone</v>
      </c>
      <c r="F296" s="5" t="str">
        <f>IFERROR(__xludf.DUMMYFUNCTION("""COMPUTED_VALUE"""),"Redstone20WildCrown")</f>
        <v>Redstone20WildCrown</v>
      </c>
      <c r="G296" s="5" t="str">
        <f>IFERROR(__xludf.DUMMYFUNCTION("""COMPUTED_VALUE"""),"Live")</f>
        <v>Live</v>
      </c>
      <c r="H296" s="5"/>
      <c r="I296" s="5" t="str">
        <f>IFERROR(__xludf.DUMMYFUNCTION("""COMPUTED_VALUE"""),"Redstone")</f>
        <v>Redstone</v>
      </c>
      <c r="J296" s="5" t="str">
        <f>IFERROR(__xludf.DUMMYFUNCTION("""COMPUTED_VALUE"""),"JSON")</f>
        <v>JSON</v>
      </c>
      <c r="K296" s="5" t="str">
        <f>IFERROR(__xludf.DUMMYFUNCTION("""COMPUTED_VALUE"""),"Slot")</f>
        <v>Slot</v>
      </c>
      <c r="L296" s="5" t="str">
        <f>IFERROR(__xludf.DUMMYFUNCTION("""COMPUTED_VALUE"""),"Master")</f>
        <v>Master</v>
      </c>
      <c r="M296" s="5"/>
      <c r="N296" s="7" t="str">
        <f>IFERROR(__xludf.DUMMYFUNCTION("""COMPUTED_VALUE"""),"https://docs.google.com/document/d/1xZfjh3I85tXFS4VTeVhFyQUmcXUmdotx/edit?usp=drive_link&amp;ouid=107596163405648766688&amp;rtpof=true&amp;sd=true")</f>
        <v>https://docs.google.com/document/d/1xZfjh3I85tXFS4VTeVhFyQUmcXUmdotx/edit?usp=drive_link&amp;ouid=107596163405648766688&amp;rtpof=true&amp;sd=true</v>
      </c>
      <c r="O296" s="7" t="str">
        <f>IFERROR(__xludf.DUMMYFUNCTION("""COMPUTED_VALUE"""),"https://docs.google.com/document/d/17U5ep68w6t9myafb3f5gTSGNEdDaOxSk/edit?usp=drive_link&amp;ouid=107596163405648766688&amp;rtpof=true&amp;sd=true")</f>
        <v>https://docs.google.com/document/d/17U5ep68w6t9myafb3f5gTSGNEdDaOxSk/edit?usp=drive_link&amp;ouid=107596163405648766688&amp;rtpof=true&amp;sd=true</v>
      </c>
      <c r="P296" s="12">
        <f>IFERROR(__xludf.DUMMYFUNCTION("""COMPUTED_VALUE"""),8.9)</f>
        <v>8.9</v>
      </c>
      <c r="Q296" s="13">
        <f>IFERROR(__xludf.DUMMYFUNCTION("""COMPUTED_VALUE"""),45278.0)</f>
        <v>45278</v>
      </c>
      <c r="R296" s="14"/>
      <c r="S296" s="13">
        <f>IFERROR(__xludf.DUMMYFUNCTION("""COMPUTED_VALUE"""),45278.0)</f>
        <v>45278</v>
      </c>
      <c r="T296" s="5" t="b">
        <f>IFERROR(__xludf.DUMMYFUNCTION("""COMPUTED_VALUE"""),TRUE)</f>
        <v>1</v>
      </c>
      <c r="U296" s="5" t="str">
        <f>IFERROR(__xludf.DUMMYFUNCTION("""COMPUTED_VALUE"""),"5x3")</f>
        <v>5x3</v>
      </c>
      <c r="V296" s="10" t="str">
        <f>IFERROR(__xludf.DUMMYFUNCTION("""COMPUTED_VALUE"""),"20")</f>
        <v>20</v>
      </c>
      <c r="W296" s="10" t="str">
        <f>IFERROR(__xludf.DUMMYFUNCTION("""COMPUTED_VALUE"""),"20")</f>
        <v>20</v>
      </c>
      <c r="X296" s="5">
        <f>IFERROR(__xludf.DUMMYFUNCTION("""COMPUTED_VALUE"""),96.55)</f>
        <v>96.55</v>
      </c>
      <c r="Y296" s="5" t="str">
        <f>IFERROR(__xludf.DUMMYFUNCTION("""COMPUTED_VALUE"""),"Medium")</f>
        <v>Medium</v>
      </c>
      <c r="Z296" s="5">
        <f>IFERROR(__xludf.DUMMYFUNCTION("""COMPUTED_VALUE"""),21.75)</f>
        <v>21.75</v>
      </c>
      <c r="AA296" s="12">
        <f>IFERROR(__xludf.DUMMYFUNCTION("""COMPUTED_VALUE"""),1231.5)</f>
        <v>1231.5</v>
      </c>
      <c r="AB296" s="5"/>
      <c r="AC296" s="5" t="str">
        <f>IFERROR(__xludf.DUMMYFUNCTION("""COMPUTED_VALUE"""),"Expanding Wild, Scatter")</f>
        <v>Expanding Wild, Scatter</v>
      </c>
      <c r="AD296" s="5" t="str">
        <f>IFERROR(__xludf.DUMMYFUNCTION("""COMPUTED_VALUE"""),"0.20/100")</f>
        <v>0.20/100</v>
      </c>
      <c r="AE296" s="5"/>
      <c r="AF296" s="5"/>
      <c r="AG296" s="8">
        <f>IFERROR(__xludf.DUMMYFUNCTION("""COMPUTED_VALUE"""),46157.47332175926)</f>
        <v>46157.47332</v>
      </c>
      <c r="AH296" s="5"/>
      <c r="AI296" s="5"/>
      <c r="AJ296" s="5"/>
      <c r="AK296" s="5">
        <f>IFERROR(__xludf.DUMMYFUNCTION("""COMPUTED_VALUE"""),1.0)</f>
        <v>1</v>
      </c>
      <c r="AL296" s="5" t="str">
        <f>IFERROR(__xludf.DUMMYFUNCTION("""COMPUTED_VALUE"""),"No")</f>
        <v>No</v>
      </c>
      <c r="AM296" s="5" t="str">
        <f>IFERROR(__xludf.DUMMYFUNCTION("""COMPUTED_VALUE"""),"No")</f>
        <v>No</v>
      </c>
      <c r="AN296" s="7" t="str">
        <f>IFERROR(__xludf.DUMMYFUNCTION("""COMPUTED_VALUE"""),"https://play.redstone.rs/games/20-wild-crown/index.html")</f>
        <v>https://play.redstone.rs/games/20-wild-crown/index.html</v>
      </c>
      <c r="AO296" s="5" t="str">
        <f>IFERROR(__xludf.DUMMYFUNCTION("""COMPUTED_VALUE"""),"No")</f>
        <v>No</v>
      </c>
      <c r="AP296" s="5" t="str">
        <f>IFERROR(__xludf.DUMMYFUNCTION("""COMPUTED_VALUE"""),"No")</f>
        <v>No</v>
      </c>
      <c r="AQ296" s="5" t="b">
        <f>IFERROR(__xludf.DUMMYFUNCTION("""COMPUTED_VALUE"""),TRUE)</f>
        <v>1</v>
      </c>
      <c r="AR296" s="5"/>
      <c r="AS296" s="5" t="str">
        <f>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AT296" s="5"/>
      <c r="AU296" s="5" t="str">
        <f>IFERROR(__xludf.DUMMYFUNCTION("""COMPUTED_VALUE"""),"Redstone")</f>
        <v>Redstone</v>
      </c>
      <c r="AV296" s="5"/>
      <c r="AW296" s="5"/>
      <c r="AX296" s="5"/>
      <c r="AY296" s="5"/>
      <c r="AZ296" s="5"/>
      <c r="BA296" s="5"/>
      <c r="BB296" s="5" t="b">
        <f>IFERROR(__xludf.DUMMYFUNCTION("""COMPUTED_VALUE"""),TRUE)</f>
        <v>1</v>
      </c>
      <c r="BC296" s="5" t="str">
        <f>IFERROR(__xludf.DUMMYFUNCTION("""COMPUTED_VALUE"""),"Redstone")</f>
        <v>Redstone</v>
      </c>
      <c r="BD296" s="7" t="str">
        <f>IFERROR(__xludf.DUMMYFUNCTION("""COMPUTED_VALUE"""),"https://play.redstone.rs/games/20-wild-crown/index.html")</f>
        <v>https://play.redstone.rs/games/20-wild-crown/index.html</v>
      </c>
      <c r="BE296" s="5" t="b">
        <f>IFERROR(__xludf.DUMMYFUNCTION("""COMPUTED_VALUE"""),TRUE)</f>
        <v>1</v>
      </c>
    </row>
    <row r="297">
      <c r="A297" s="5">
        <f>IFERROR(__xludf.DUMMYFUNCTION("""COMPUTED_VALUE"""),297.0)</f>
        <v>297</v>
      </c>
      <c r="B297" s="5">
        <f>IFERROR(__xludf.DUMMYFUNCTION("""COMPUTED_VALUE"""),296.0)</f>
        <v>296</v>
      </c>
      <c r="C297" s="5" t="str">
        <f>IFERROR(__xludf.DUMMYFUNCTION("""COMPUTED_VALUE"""),"Fazi")</f>
        <v>Fazi</v>
      </c>
      <c r="D297" s="5" t="str">
        <f>IFERROR(__xludf.DUMMYFUNCTION("""COMPUTED_VALUE"""),"Epic Clover 100")</f>
        <v>Epic Clover 100</v>
      </c>
      <c r="E297" s="5" t="str">
        <f>IFERROR(__xludf.DUMMYFUNCTION("""COMPUTED_VALUE"""),"V2")</f>
        <v>V2</v>
      </c>
      <c r="F297" s="5" t="str">
        <f>IFERROR(__xludf.DUMMYFUNCTION("""COMPUTED_VALUE"""),"EpicClover100")</f>
        <v>EpicClover100</v>
      </c>
      <c r="G297" s="5" t="str">
        <f>IFERROR(__xludf.DUMMYFUNCTION("""COMPUTED_VALUE"""),"Live")</f>
        <v>Live</v>
      </c>
      <c r="H297" s="5"/>
      <c r="I297" s="5" t="str">
        <f>IFERROR(__xludf.DUMMYFUNCTION("""COMPUTED_VALUE"""),"V2")</f>
        <v>V2</v>
      </c>
      <c r="J297" s="5" t="str">
        <f>IFERROR(__xludf.DUMMYFUNCTION("""COMPUTED_VALUE"""),"JSON")</f>
        <v>JSON</v>
      </c>
      <c r="K297" s="5" t="str">
        <f>IFERROR(__xludf.DUMMYFUNCTION("""COMPUTED_VALUE"""),"Slot")</f>
        <v>Slot</v>
      </c>
      <c r="L297" s="5" t="str">
        <f>IFERROR(__xludf.DUMMYFUNCTION("""COMPUTED_VALUE"""),"Clone")</f>
        <v>Clone</v>
      </c>
      <c r="M297" s="5" t="str">
        <f>IFERROR(__xludf.DUMMYFUNCTION("""COMPUTED_VALUE"""),"Epic Clover 40")</f>
        <v>Epic Clover 40</v>
      </c>
      <c r="N297" s="5"/>
      <c r="O297" s="5"/>
      <c r="P297" s="12">
        <f>IFERROR(__xludf.DUMMYFUNCTION("""COMPUTED_VALUE"""),26.0)</f>
        <v>26</v>
      </c>
      <c r="Q297" s="13">
        <f>IFERROR(__xludf.DUMMYFUNCTION("""COMPUTED_VALUE"""),45316.0)</f>
        <v>45316</v>
      </c>
      <c r="R297" s="14"/>
      <c r="S297" s="13">
        <f>IFERROR(__xludf.DUMMYFUNCTION("""COMPUTED_VALUE"""),45316.0)</f>
        <v>45316</v>
      </c>
      <c r="T297" s="5" t="b">
        <f>IFERROR(__xludf.DUMMYFUNCTION("""COMPUTED_VALUE"""),TRUE)</f>
        <v>1</v>
      </c>
      <c r="U297" s="5" t="str">
        <f>IFERROR(__xludf.DUMMYFUNCTION("""COMPUTED_VALUE"""),"5x4")</f>
        <v>5x4</v>
      </c>
      <c r="V297" s="10" t="str">
        <f>IFERROR(__xludf.DUMMYFUNCTION("""COMPUTED_VALUE"""),"100")</f>
        <v>100</v>
      </c>
      <c r="W297" s="10" t="str">
        <f>IFERROR(__xludf.DUMMYFUNCTION("""COMPUTED_VALUE"""),"100")</f>
        <v>100</v>
      </c>
      <c r="X297" s="5">
        <f>IFERROR(__xludf.DUMMYFUNCTION("""COMPUTED_VALUE"""),96.502)</f>
        <v>96.502</v>
      </c>
      <c r="Y297" s="5" t="str">
        <f>IFERROR(__xludf.DUMMYFUNCTION("""COMPUTED_VALUE"""),"Medium")</f>
        <v>Medium</v>
      </c>
      <c r="Z297" s="5">
        <f>IFERROR(__xludf.DUMMYFUNCTION("""COMPUTED_VALUE"""),13.309)</f>
        <v>13.309</v>
      </c>
      <c r="AA297" s="12">
        <f>IFERROR(__xludf.DUMMYFUNCTION("""COMPUTED_VALUE"""),3000.0)</f>
        <v>3000</v>
      </c>
      <c r="AB297" s="5">
        <f>IFERROR(__xludf.DUMMYFUNCTION("""COMPUTED_VALUE"""),4.0)</f>
        <v>4</v>
      </c>
      <c r="AC297" s="5" t="str">
        <f>IFERROR(__xludf.DUMMYFUNCTION("""COMPUTED_VALUE"""),"Scatter, Expanding Wild")</f>
        <v>Scatter, Expanding Wild</v>
      </c>
      <c r="AD297" s="5" t="str">
        <f>IFERROR(__xludf.DUMMYFUNCTION("""COMPUTED_VALUE"""),"1/100")</f>
        <v>1/100</v>
      </c>
      <c r="AE297" s="5"/>
      <c r="AF297" s="5"/>
      <c r="AG297" s="8">
        <f>IFERROR(__xludf.DUMMYFUNCTION("""COMPUTED_VALUE"""),46112.61890046296)</f>
        <v>46112.6189</v>
      </c>
      <c r="AH297" s="5" t="str">
        <f>IFERROR(__xludf.DUMMYFUNCTION("""COMPUTED_VALUE"""),"marko.tepavac@fazi.rs")</f>
        <v>marko.tepavac@fazi.rs</v>
      </c>
      <c r="AI297" s="5"/>
      <c r="AJ297" s="5"/>
      <c r="AK297" s="5">
        <f>IFERROR(__xludf.DUMMYFUNCTION("""COMPUTED_VALUE"""),100.0)</f>
        <v>100</v>
      </c>
      <c r="AL297" s="5" t="str">
        <f>IFERROR(__xludf.DUMMYFUNCTION("""COMPUTED_VALUE"""),"Yes")</f>
        <v>Yes</v>
      </c>
      <c r="AM297" s="5"/>
      <c r="AN297" s="7" t="str">
        <f>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AO297" s="5" t="str">
        <f>IFERROR(__xludf.DUMMYFUNCTION("""COMPUTED_VALUE"""),"Yes")</f>
        <v>Yes</v>
      </c>
      <c r="AP297" s="5" t="str">
        <f>IFERROR(__xludf.DUMMYFUNCTION("""COMPUTED_VALUE"""),"Yes")</f>
        <v>Yes</v>
      </c>
      <c r="AQ297" s="5" t="b">
        <f>IFERROR(__xludf.DUMMYFUNCTION("""COMPUTED_VALUE"""),TRUE)</f>
        <v>1</v>
      </c>
      <c r="AR297" s="5"/>
      <c r="AS297" s="5" t="str">
        <f>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AT297" s="5"/>
      <c r="AU297" s="5" t="str">
        <f>IFERROR(__xludf.DUMMYFUNCTION("""COMPUTED_VALUE"""),"Fazi")</f>
        <v>Fazi</v>
      </c>
      <c r="AV297" s="5"/>
      <c r="AW297" s="5"/>
      <c r="AX297" s="5"/>
      <c r="AY297" s="5" t="str">
        <f>IFERROR(__xludf.DUMMYFUNCTION("""COMPUTED_VALUE"""),"87.5%, 89.5%, 91.5%, 93.5%, 94.5%, 95.5%, 96.5%")</f>
        <v>87.5%, 89.5%, 91.5%, 93.5%, 94.5%, 95.5%, 96.5%</v>
      </c>
      <c r="AZ297" s="5"/>
      <c r="BA297" s="5"/>
      <c r="BB297" s="5"/>
      <c r="BC297" s="5" t="str">
        <f>IFERROR(__xludf.DUMMYFUNCTION("""COMPUTED_VALUE"""),"Foxi")</f>
        <v>Foxi</v>
      </c>
      <c r="BD297" s="7" t="str">
        <f>IFERROR(__xludf.DUMMYFUNCTION("""COMPUTED_VALUE"""),"https://gameserver-store-client-area.orbionlimited.com/Home/IntegrationGameLaunch/client-area?moneyType=0&amp;gameName=EpicClover100&amp;platform=desktop&amp;languageCode=eng&amp;currency=EUR")</f>
        <v>https://gameserver-store-client-area.orbionlimited.com/Home/IntegrationGameLaunch/client-area?moneyType=0&amp;gameName=EpicClover100&amp;platform=desktop&amp;languageCode=eng&amp;currency=EUR</v>
      </c>
      <c r="BE297" s="5" t="b">
        <f>IFERROR(__xludf.DUMMYFUNCTION("""COMPUTED_VALUE"""),TRUE)</f>
        <v>1</v>
      </c>
    </row>
    <row r="298">
      <c r="A298" s="5">
        <f>IFERROR(__xludf.DUMMYFUNCTION("""COMPUTED_VALUE"""),298.0)</f>
        <v>298</v>
      </c>
      <c r="B298" s="5">
        <f>IFERROR(__xludf.DUMMYFUNCTION("""COMPUTED_VALUE"""),297.0)</f>
        <v>297</v>
      </c>
      <c r="C298" s="5" t="str">
        <f>IFERROR(__xludf.DUMMYFUNCTION("""COMPUTED_VALUE"""),"Fazi")</f>
        <v>Fazi</v>
      </c>
      <c r="D298" s="5" t="str">
        <f>IFERROR(__xludf.DUMMYFUNCTION("""COMPUTED_VALUE"""),"Amazing Joker")</f>
        <v>Amazing Joker</v>
      </c>
      <c r="E298" s="5" t="str">
        <f>IFERROR(__xludf.DUMMYFUNCTION("""COMPUTED_VALUE"""),"V2")</f>
        <v>V2</v>
      </c>
      <c r="F298" s="5" t="str">
        <f>IFERROR(__xludf.DUMMYFUNCTION("""COMPUTED_VALUE"""),"AmazingJoker")</f>
        <v>AmazingJoker</v>
      </c>
      <c r="G298" s="5" t="str">
        <f>IFERROR(__xludf.DUMMYFUNCTION("""COMPUTED_VALUE"""),"Live")</f>
        <v>Live</v>
      </c>
      <c r="H298" s="5"/>
      <c r="I298" s="5" t="str">
        <f>IFERROR(__xludf.DUMMYFUNCTION("""COMPUTED_VALUE"""),"V2")</f>
        <v>V2</v>
      </c>
      <c r="J298" s="5" t="str">
        <f>IFERROR(__xludf.DUMMYFUNCTION("""COMPUTED_VALUE"""),"Binary")</f>
        <v>Binary</v>
      </c>
      <c r="K298" s="5" t="str">
        <f>IFERROR(__xludf.DUMMYFUNCTION("""COMPUTED_VALUE"""),"Slot")</f>
        <v>Slot</v>
      </c>
      <c r="L298" s="5"/>
      <c r="M298" s="5"/>
      <c r="N298" s="5"/>
      <c r="O298" s="5"/>
      <c r="P298" s="12">
        <f>IFERROR(__xludf.DUMMYFUNCTION("""COMPUTED_VALUE"""),23.5)</f>
        <v>23.5</v>
      </c>
      <c r="Q298" s="13">
        <f>IFERROR(__xludf.DUMMYFUNCTION("""COMPUTED_VALUE"""),45391.0)</f>
        <v>45391</v>
      </c>
      <c r="R298" s="14"/>
      <c r="S298" s="13">
        <f>IFERROR(__xludf.DUMMYFUNCTION("""COMPUTED_VALUE"""),45391.0)</f>
        <v>45391</v>
      </c>
      <c r="T298" s="5" t="b">
        <f>IFERROR(__xludf.DUMMYFUNCTION("""COMPUTED_VALUE"""),TRUE)</f>
        <v>1</v>
      </c>
      <c r="U298" s="5" t="str">
        <f>IFERROR(__xludf.DUMMYFUNCTION("""COMPUTED_VALUE"""),"5x4")</f>
        <v>5x4</v>
      </c>
      <c r="V298" s="10" t="str">
        <f>IFERROR(__xludf.DUMMYFUNCTION("""COMPUTED_VALUE"""),"40")</f>
        <v>40</v>
      </c>
      <c r="W298" s="10" t="str">
        <f>IFERROR(__xludf.DUMMYFUNCTION("""COMPUTED_VALUE"""),"40")</f>
        <v>40</v>
      </c>
      <c r="X298" s="5">
        <f>IFERROR(__xludf.DUMMYFUNCTION("""COMPUTED_VALUE"""),96.634)</f>
        <v>96.634</v>
      </c>
      <c r="Y298" s="5" t="str">
        <f>IFERROR(__xludf.DUMMYFUNCTION("""COMPUTED_VALUE"""),"Medium")</f>
        <v>Medium</v>
      </c>
      <c r="Z298" s="5">
        <f>IFERROR(__xludf.DUMMYFUNCTION("""COMPUTED_VALUE"""),12.693)</f>
        <v>12.693</v>
      </c>
      <c r="AA298" s="12">
        <f>IFERROR(__xludf.DUMMYFUNCTION("""COMPUTED_VALUE"""),2038.0)</f>
        <v>2038</v>
      </c>
      <c r="AB298" s="5">
        <f>IFERROR(__xludf.DUMMYFUNCTION("""COMPUTED_VALUE"""),190.0)</f>
        <v>190</v>
      </c>
      <c r="AC298" s="5" t="str">
        <f>IFERROR(__xludf.DUMMYFUNCTION("""COMPUTED_VALUE"""),"Wild Symbol, Bonus Game with Free Spins")</f>
        <v>Wild Symbol, Bonus Game with Free Spins</v>
      </c>
      <c r="AD298" s="5" t="str">
        <f>IFERROR(__xludf.DUMMYFUNCTION("""COMPUTED_VALUE"""),"0.4/60")</f>
        <v>0.4/60</v>
      </c>
      <c r="AE298" s="5"/>
      <c r="AF298" s="5"/>
      <c r="AG298" s="8">
        <f>IFERROR(__xludf.DUMMYFUNCTION("""COMPUTED_VALUE"""),46055.524409722224)</f>
        <v>46055.52441</v>
      </c>
      <c r="AH298" s="5" t="str">
        <f>IFERROR(__xludf.DUMMYFUNCTION("""COMPUTED_VALUE"""),"djordje.jankovic@fazi.rs")</f>
        <v>djordje.jankovic@fazi.rs</v>
      </c>
      <c r="AI298" s="5"/>
      <c r="AJ298" s="5"/>
      <c r="AK298" s="5">
        <f>IFERROR(__xludf.DUMMYFUNCTION("""COMPUTED_VALUE"""),40.0)</f>
        <v>40</v>
      </c>
      <c r="AL298" s="5" t="str">
        <f>IFERROR(__xludf.DUMMYFUNCTION("""COMPUTED_VALUE"""),"Yes")</f>
        <v>Yes</v>
      </c>
      <c r="AM298" s="5"/>
      <c r="AN298" s="7" t="str">
        <f>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AO298" s="5"/>
      <c r="AP298" s="5"/>
      <c r="AQ298" s="5" t="b">
        <f>IFERROR(__xludf.DUMMYFUNCTION("""COMPUTED_VALUE"""),TRUE)</f>
        <v>1</v>
      </c>
      <c r="AR298" s="5"/>
      <c r="AS298" s="5" t="str">
        <f>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AT298" s="5"/>
      <c r="AU298" s="5" t="str">
        <f>IFERROR(__xludf.DUMMYFUNCTION("""COMPUTED_VALUE"""),"Fazi")</f>
        <v>Fazi</v>
      </c>
      <c r="AV298" s="5"/>
      <c r="AW298" s="5"/>
      <c r="AX298" s="5"/>
      <c r="AY298" s="5"/>
      <c r="AZ298" s="5"/>
      <c r="BA298" s="5" t="str">
        <f>IFERROR(__xludf.DUMMYFUNCTION("""COMPUTED_VALUE"""),"")</f>
        <v/>
      </c>
      <c r="BB298" s="5"/>
      <c r="BC298" s="5" t="str">
        <f>IFERROR(__xludf.DUMMYFUNCTION("""COMPUTED_VALUE"""),"Foxi")</f>
        <v>Foxi</v>
      </c>
      <c r="BD298" s="7" t="str">
        <f>IFERROR(__xludf.DUMMYFUNCTION("""COMPUTED_VALUE"""),"https://gameserver-store-client-area.orbionlimited.com/Home/IntegrationGameLaunch/client-area?moneyType=0&amp;gameName=AmazingJoker&amp;platform=desktop&amp;languageCode=eng&amp;currency=EUR")</f>
        <v>https://gameserver-store-client-area.orbionlimited.com/Home/IntegrationGameLaunch/client-area?moneyType=0&amp;gameName=AmazingJoker&amp;platform=desktop&amp;languageCode=eng&amp;currency=EUR</v>
      </c>
      <c r="BE298" s="5" t="b">
        <f>IFERROR(__xludf.DUMMYFUNCTION("""COMPUTED_VALUE"""),TRUE)</f>
        <v>1</v>
      </c>
    </row>
    <row r="299">
      <c r="A299" s="5">
        <f>IFERROR(__xludf.DUMMYFUNCTION("""COMPUTED_VALUE"""),299.0)</f>
        <v>299</v>
      </c>
      <c r="B299" s="5">
        <f>IFERROR(__xludf.DUMMYFUNCTION("""COMPUTED_VALUE"""),298.0)</f>
        <v>298</v>
      </c>
      <c r="C299" s="5" t="str">
        <f>IFERROR(__xludf.DUMMYFUNCTION("""COMPUTED_VALUE"""),"Fazi")</f>
        <v>Fazi</v>
      </c>
      <c r="D299" s="5" t="str">
        <f>IFERROR(__xludf.DUMMYFUNCTION("""COMPUTED_VALUE"""),"Grandpashabet Crown")</f>
        <v>Grandpashabet Crown</v>
      </c>
      <c r="E299" s="5" t="str">
        <f>IFERROR(__xludf.DUMMYFUNCTION("""COMPUTED_VALUE"""),"V2")</f>
        <v>V2</v>
      </c>
      <c r="F299" s="5" t="str">
        <f>IFERROR(__xludf.DUMMYFUNCTION("""COMPUTED_VALUE"""),"GrandpashabetCrown")</f>
        <v>GrandpashabetCrown</v>
      </c>
      <c r="G299" s="5" t="str">
        <f>IFERROR(__xludf.DUMMYFUNCTION("""COMPUTED_VALUE"""),"Live")</f>
        <v>Live</v>
      </c>
      <c r="H299" s="5"/>
      <c r="I299" s="5" t="str">
        <f>IFERROR(__xludf.DUMMYFUNCTION("""COMPUTED_VALUE"""),"V2")</f>
        <v>V2</v>
      </c>
      <c r="J299" s="5" t="str">
        <f>IFERROR(__xludf.DUMMYFUNCTION("""COMPUTED_VALUE"""),"Binary")</f>
        <v>Binary</v>
      </c>
      <c r="K299" s="5" t="str">
        <f>IFERROR(__xludf.DUMMYFUNCTION("""COMPUTED_VALUE"""),"Slot")</f>
        <v>Slot</v>
      </c>
      <c r="L299" s="5" t="str">
        <f>IFERROR(__xludf.DUMMYFUNCTION("""COMPUTED_VALUE"""),"Clone")</f>
        <v>Clone</v>
      </c>
      <c r="M299" s="5" t="str">
        <f>IFERROR(__xludf.DUMMYFUNCTION("""COMPUTED_VALUE"""),"Golden Crown")</f>
        <v>Golden Crown</v>
      </c>
      <c r="N299" s="5"/>
      <c r="O299" s="5"/>
      <c r="P299" s="12"/>
      <c r="Q299" s="13">
        <f>IFERROR(__xludf.DUMMYFUNCTION("""COMPUTED_VALUE"""),45379.0)</f>
        <v>45379</v>
      </c>
      <c r="R299" s="14"/>
      <c r="S299" s="13">
        <f>IFERROR(__xludf.DUMMYFUNCTION("""COMPUTED_VALUE"""),45379.0)</f>
        <v>45379</v>
      </c>
      <c r="T299" s="5"/>
      <c r="U299" s="5" t="str">
        <f>IFERROR(__xludf.DUMMYFUNCTION("""COMPUTED_VALUE"""),"5x3")</f>
        <v>5x3</v>
      </c>
      <c r="V299" s="10" t="str">
        <f>IFERROR(__xludf.DUMMYFUNCTION("""COMPUTED_VALUE"""),"10")</f>
        <v>10</v>
      </c>
      <c r="W299" s="10" t="str">
        <f>IFERROR(__xludf.DUMMYFUNCTION("""COMPUTED_VALUE"""),"10")</f>
        <v>10</v>
      </c>
      <c r="X299" s="5">
        <f>IFERROR(__xludf.DUMMYFUNCTION("""COMPUTED_VALUE"""),95.962)</f>
        <v>95.962</v>
      </c>
      <c r="Y299" s="5" t="str">
        <f>IFERROR(__xludf.DUMMYFUNCTION("""COMPUTED_VALUE"""),"Medium")</f>
        <v>Medium</v>
      </c>
      <c r="Z299" s="5">
        <f>IFERROR(__xludf.DUMMYFUNCTION("""COMPUTED_VALUE"""),14.634)</f>
        <v>14.634</v>
      </c>
      <c r="AA299" s="12">
        <f>IFERROR(__xludf.DUMMYFUNCTION("""COMPUTED_VALUE"""),1538.0)</f>
        <v>1538</v>
      </c>
      <c r="AB299" s="5">
        <f>IFERROR(__xludf.DUMMYFUNCTION("""COMPUTED_VALUE"""),4.0)</f>
        <v>4</v>
      </c>
      <c r="AC299" s="5" t="str">
        <f>IFERROR(__xludf.DUMMYFUNCTION("""COMPUTED_VALUE"""),"Scatter, Expanding Wild")</f>
        <v>Scatter, Expanding Wild</v>
      </c>
      <c r="AD299" s="5"/>
      <c r="AE299" s="5"/>
      <c r="AF299" s="5"/>
      <c r="AG299" s="8">
        <f>IFERROR(__xludf.DUMMYFUNCTION("""COMPUTED_VALUE"""),46020.52130787037)</f>
        <v>46020.52131</v>
      </c>
      <c r="AH299" s="5" t="str">
        <f>IFERROR(__xludf.DUMMYFUNCTION("""COMPUTED_VALUE"""),"djordje.jankovic@fazi.rs")</f>
        <v>djordje.jankovic@fazi.rs</v>
      </c>
      <c r="AI299" s="5"/>
      <c r="AJ299" s="5"/>
      <c r="AK299" s="5">
        <f>IFERROR(__xludf.DUMMYFUNCTION("""COMPUTED_VALUE"""),10.0)</f>
        <v>10</v>
      </c>
      <c r="AL299" s="5" t="str">
        <f>IFERROR(__xludf.DUMMYFUNCTION("""COMPUTED_VALUE"""),"Yes")</f>
        <v>Yes</v>
      </c>
      <c r="AM299" s="5"/>
      <c r="AN299" s="5"/>
      <c r="AO299" s="5"/>
      <c r="AP299" s="5"/>
      <c r="AQ299" s="5"/>
      <c r="AR299" s="5" t="b">
        <f>IFERROR(__xludf.DUMMYFUNCTION("""COMPUTED_VALUE"""),TRUE)</f>
        <v>1</v>
      </c>
      <c r="AS299" s="5"/>
      <c r="AT299" s="5"/>
      <c r="AU299" s="5" t="str">
        <f>IFERROR(__xludf.DUMMYFUNCTION("""COMPUTED_VALUE"""),"Fazi")</f>
        <v>Fazi</v>
      </c>
      <c r="AV299" s="5"/>
      <c r="AW299" s="5"/>
      <c r="AX299" s="5"/>
      <c r="AY299" s="5"/>
      <c r="AZ299" s="5"/>
      <c r="BA299" s="5" t="str">
        <f>IFERROR(__xludf.DUMMYFUNCTION("""COMPUTED_VALUE"""),"")</f>
        <v/>
      </c>
      <c r="BB299" s="5"/>
      <c r="BC299" s="5" t="str">
        <f>IFERROR(__xludf.DUMMYFUNCTION("""COMPUTED_VALUE"""),"Foxi")</f>
        <v>Foxi</v>
      </c>
      <c r="BD299" s="5" t="str">
        <f>IFERROR(__xludf.DUMMYFUNCTION("""COMPUTED_VALUE"""),"")</f>
        <v/>
      </c>
      <c r="BE299" s="5"/>
    </row>
    <row r="300">
      <c r="A300" s="5">
        <f>IFERROR(__xludf.DUMMYFUNCTION("""COMPUTED_VALUE"""),300.0)</f>
        <v>300</v>
      </c>
      <c r="B300" s="5">
        <f>IFERROR(__xludf.DUMMYFUNCTION("""COMPUTED_VALUE"""),299.0)</f>
        <v>299</v>
      </c>
      <c r="C300" s="5" t="str">
        <f>IFERROR(__xludf.DUMMYFUNCTION("""COMPUTED_VALUE"""),"Fazi")</f>
        <v>Fazi</v>
      </c>
      <c r="D300" s="5" t="str">
        <f>IFERROR(__xludf.DUMMYFUNCTION("""COMPUTED_VALUE"""),"Triple Fields of Luck")</f>
        <v>Triple Fields of Luck</v>
      </c>
      <c r="E300" s="5" t="str">
        <f>IFERROR(__xludf.DUMMYFUNCTION("""COMPUTED_VALUE"""),"V2")</f>
        <v>V2</v>
      </c>
      <c r="F300" s="5" t="str">
        <f>IFERROR(__xludf.DUMMYFUNCTION("""COMPUTED_VALUE"""),"TripleFieldsOfLuck")</f>
        <v>TripleFieldsOfLuck</v>
      </c>
      <c r="G300" s="5" t="str">
        <f>IFERROR(__xludf.DUMMYFUNCTION("""COMPUTED_VALUE"""),"Live")</f>
        <v>Live</v>
      </c>
      <c r="H300" s="5"/>
      <c r="I300" s="5" t="str">
        <f>IFERROR(__xludf.DUMMYFUNCTION("""COMPUTED_VALUE"""),"V2")</f>
        <v>V2</v>
      </c>
      <c r="J300" s="5" t="str">
        <f>IFERROR(__xludf.DUMMYFUNCTION("""COMPUTED_VALUE"""),"Binary")</f>
        <v>Binary</v>
      </c>
      <c r="K300" s="5" t="str">
        <f>IFERROR(__xludf.DUMMYFUNCTION("""COMPUTED_VALUE"""),"Slot")</f>
        <v>Slot</v>
      </c>
      <c r="L300" s="5"/>
      <c r="M300" s="5"/>
      <c r="N300" s="5"/>
      <c r="O300" s="5"/>
      <c r="P300" s="12">
        <f>IFERROR(__xludf.DUMMYFUNCTION("""COMPUTED_VALUE"""),23.0)</f>
        <v>23</v>
      </c>
      <c r="Q300" s="13">
        <f>IFERROR(__xludf.DUMMYFUNCTION("""COMPUTED_VALUE"""),45366.0)</f>
        <v>45366</v>
      </c>
      <c r="R300" s="14"/>
      <c r="S300" s="13">
        <f>IFERROR(__xludf.DUMMYFUNCTION("""COMPUTED_VALUE"""),45366.0)</f>
        <v>45366</v>
      </c>
      <c r="T300" s="5" t="b">
        <f>IFERROR(__xludf.DUMMYFUNCTION("""COMPUTED_VALUE"""),TRUE)</f>
        <v>1</v>
      </c>
      <c r="U300" s="5" t="str">
        <f>IFERROR(__xludf.DUMMYFUNCTION("""COMPUTED_VALUE"""),"3x3")</f>
        <v>3x3</v>
      </c>
      <c r="V300" s="10" t="str">
        <f>IFERROR(__xludf.DUMMYFUNCTION("""COMPUTED_VALUE"""),"5")</f>
        <v>5</v>
      </c>
      <c r="W300" s="10" t="str">
        <f>IFERROR(__xludf.DUMMYFUNCTION("""COMPUTED_VALUE"""),"5")</f>
        <v>5</v>
      </c>
      <c r="X300" s="5">
        <f>IFERROR(__xludf.DUMMYFUNCTION("""COMPUTED_VALUE"""),96.479)</f>
        <v>96.479</v>
      </c>
      <c r="Y300" s="5" t="str">
        <f>IFERROR(__xludf.DUMMYFUNCTION("""COMPUTED_VALUE"""),"Medium")</f>
        <v>Medium</v>
      </c>
      <c r="Z300" s="5">
        <f>IFERROR(__xludf.DUMMYFUNCTION("""COMPUTED_VALUE"""),9.94)</f>
        <v>9.94</v>
      </c>
      <c r="AA300" s="12">
        <f>IFERROR(__xludf.DUMMYFUNCTION("""COMPUTED_VALUE"""),200.0)</f>
        <v>200</v>
      </c>
      <c r="AB300" s="5">
        <f>IFERROR(__xludf.DUMMYFUNCTION("""COMPUTED_VALUE"""),6.0)</f>
        <v>6</v>
      </c>
      <c r="AC300" s="5" t="str">
        <f>IFERROR(__xludf.DUMMYFUNCTION("""COMPUTED_VALUE"""),"Expanding Wild")</f>
        <v>Expanding Wild</v>
      </c>
      <c r="AD300" s="5" t="str">
        <f>IFERROR(__xludf.DUMMYFUNCTION("""COMPUTED_VALUE"""),"0.05/30")</f>
        <v>0.05/30</v>
      </c>
      <c r="AE300" s="5"/>
      <c r="AF300" s="5"/>
      <c r="AG300" s="8">
        <f>IFERROR(__xludf.DUMMYFUNCTION("""COMPUTED_VALUE"""),46055.52412037037)</f>
        <v>46055.52412</v>
      </c>
      <c r="AH300" s="5" t="str">
        <f>IFERROR(__xludf.DUMMYFUNCTION("""COMPUTED_VALUE"""),"djordje.jankovic@fazi.rs")</f>
        <v>djordje.jankovic@fazi.rs</v>
      </c>
      <c r="AI300" s="5"/>
      <c r="AJ300" s="5"/>
      <c r="AK300" s="5">
        <f>IFERROR(__xludf.DUMMYFUNCTION("""COMPUTED_VALUE"""),5.0)</f>
        <v>5</v>
      </c>
      <c r="AL300" s="5" t="str">
        <f>IFERROR(__xludf.DUMMYFUNCTION("""COMPUTED_VALUE"""),"Yes")</f>
        <v>Yes</v>
      </c>
      <c r="AM300" s="5"/>
      <c r="AN300" s="7" t="str">
        <f>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AO300" s="5"/>
      <c r="AP300" s="5"/>
      <c r="AQ300" s="5" t="b">
        <f>IFERROR(__xludf.DUMMYFUNCTION("""COMPUTED_VALUE"""),TRUE)</f>
        <v>1</v>
      </c>
      <c r="AR300" s="5"/>
      <c r="AS300" s="5" t="str">
        <f>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AT300" s="5"/>
      <c r="AU300" s="5" t="str">
        <f>IFERROR(__xludf.DUMMYFUNCTION("""COMPUTED_VALUE"""),"Fazi")</f>
        <v>Fazi</v>
      </c>
      <c r="AV300" s="5"/>
      <c r="AW300" s="5"/>
      <c r="AX300" s="5"/>
      <c r="AY300" s="5"/>
      <c r="AZ300" s="5"/>
      <c r="BA300" s="5" t="str">
        <f>IFERROR(__xludf.DUMMYFUNCTION("""COMPUTED_VALUE"""),"")</f>
        <v/>
      </c>
      <c r="BB300" s="5"/>
      <c r="BC300" s="5" t="str">
        <f>IFERROR(__xludf.DUMMYFUNCTION("""COMPUTED_VALUE"""),"Foxi")</f>
        <v>Foxi</v>
      </c>
      <c r="BD300" s="7" t="str">
        <f>IFERROR(__xludf.DUMMYFUNCTION("""COMPUTED_VALUE"""),"https://gameserver-store-client-area.orbionlimited.com/Home/IntegrationGameLaunch/client-area?moneyType=0&amp;gameName=TripleFieldsOfLuck&amp;platform=desktop&amp;languageCode=eng&amp;currency=EUR")</f>
        <v>https://gameserver-store-client-area.orbionlimited.com/Home/IntegrationGameLaunch/client-area?moneyType=0&amp;gameName=TripleFieldsOfLuck&amp;platform=desktop&amp;languageCode=eng&amp;currency=EUR</v>
      </c>
      <c r="BE300" s="5" t="b">
        <f>IFERROR(__xludf.DUMMYFUNCTION("""COMPUTED_VALUE"""),TRUE)</f>
        <v>1</v>
      </c>
    </row>
    <row r="301">
      <c r="A301" s="5">
        <f>IFERROR(__xludf.DUMMYFUNCTION("""COMPUTED_VALUE"""),301.0)</f>
        <v>301</v>
      </c>
      <c r="B301" s="5">
        <f>IFERROR(__xludf.DUMMYFUNCTION("""COMPUTED_VALUE"""),300.0)</f>
        <v>300</v>
      </c>
      <c r="C301" s="5" t="str">
        <f>IFERROR(__xludf.DUMMYFUNCTION("""COMPUTED_VALUE"""),"Redstone")</f>
        <v>Redstone</v>
      </c>
      <c r="D301" s="5" t="str">
        <f>IFERROR(__xludf.DUMMYFUNCTION("""COMPUTED_VALUE"""),"Chilli Double")</f>
        <v>Chilli Double</v>
      </c>
      <c r="E301" s="5" t="str">
        <f>IFERROR(__xludf.DUMMYFUNCTION("""COMPUTED_VALUE"""),"Redstone")</f>
        <v>Redstone</v>
      </c>
      <c r="F301" s="5" t="str">
        <f>IFERROR(__xludf.DUMMYFUNCTION("""COMPUTED_VALUE"""),"RedstoneChilliDouble")</f>
        <v>RedstoneChilliDouble</v>
      </c>
      <c r="G301" s="5" t="str">
        <f>IFERROR(__xludf.DUMMYFUNCTION("""COMPUTED_VALUE"""),"Live")</f>
        <v>Live</v>
      </c>
      <c r="H301" s="5"/>
      <c r="I301" s="5" t="str">
        <f>IFERROR(__xludf.DUMMYFUNCTION("""COMPUTED_VALUE"""),"Redstone")</f>
        <v>Redstone</v>
      </c>
      <c r="J301" s="5" t="str">
        <f>IFERROR(__xludf.DUMMYFUNCTION("""COMPUTED_VALUE"""),"JSON")</f>
        <v>JSON</v>
      </c>
      <c r="K301" s="5" t="str">
        <f>IFERROR(__xludf.DUMMYFUNCTION("""COMPUTED_VALUE"""),"Slot")</f>
        <v>Slot</v>
      </c>
      <c r="L301" s="5" t="str">
        <f>IFERROR(__xludf.DUMMYFUNCTION("""COMPUTED_VALUE"""),"Master")</f>
        <v>Master</v>
      </c>
      <c r="M301" s="5"/>
      <c r="N301" s="7" t="str">
        <f>IFERROR(__xludf.DUMMYFUNCTION("""COMPUTED_VALUE"""),"https://docs.google.com/document/d/1PYxXsTRixVUGoPQjGyncmfz5LXWWNYRg/edit?usp=drive_link&amp;ouid=107596163405648766688&amp;rtpof=true&amp;sd=true")</f>
        <v>https://docs.google.com/document/d/1PYxXsTRixVUGoPQjGyncmfz5LXWWNYRg/edit?usp=drive_link&amp;ouid=107596163405648766688&amp;rtpof=true&amp;sd=true</v>
      </c>
      <c r="O301" s="7" t="str">
        <f>IFERROR(__xludf.DUMMYFUNCTION("""COMPUTED_VALUE"""),"https://docs.google.com/document/d/1wEnLmJFmrg49N5YjNDqPdbpoWHjyekQY/edit?usp=drive_link&amp;ouid=107596163405648766688&amp;rtpof=true&amp;sd=true")</f>
        <v>https://docs.google.com/document/d/1wEnLmJFmrg49N5YjNDqPdbpoWHjyekQY/edit?usp=drive_link&amp;ouid=107596163405648766688&amp;rtpof=true&amp;sd=true</v>
      </c>
      <c r="P301" s="12">
        <f>IFERROR(__xludf.DUMMYFUNCTION("""COMPUTED_VALUE"""),7.5)</f>
        <v>7.5</v>
      </c>
      <c r="Q301" s="13">
        <f>IFERROR(__xludf.DUMMYFUNCTION("""COMPUTED_VALUE"""),45313.0)</f>
        <v>45313</v>
      </c>
      <c r="R301" s="14"/>
      <c r="S301" s="13">
        <f>IFERROR(__xludf.DUMMYFUNCTION("""COMPUTED_VALUE"""),45313.0)</f>
        <v>45313</v>
      </c>
      <c r="T301" s="5" t="b">
        <f>IFERROR(__xludf.DUMMYFUNCTION("""COMPUTED_VALUE"""),TRUE)</f>
        <v>1</v>
      </c>
      <c r="U301" s="5" t="str">
        <f>IFERROR(__xludf.DUMMYFUNCTION("""COMPUTED_VALUE"""),"5x3")</f>
        <v>5x3</v>
      </c>
      <c r="V301" s="10" t="str">
        <f>IFERROR(__xludf.DUMMYFUNCTION("""COMPUTED_VALUE"""),"5")</f>
        <v>5</v>
      </c>
      <c r="W301" s="10" t="str">
        <f>IFERROR(__xludf.DUMMYFUNCTION("""COMPUTED_VALUE"""),"5")</f>
        <v>5</v>
      </c>
      <c r="X301" s="5">
        <f>IFERROR(__xludf.DUMMYFUNCTION("""COMPUTED_VALUE"""),96.45)</f>
        <v>96.45</v>
      </c>
      <c r="Y301" s="5" t="str">
        <f>IFERROR(__xludf.DUMMYFUNCTION("""COMPUTED_VALUE"""),"Medium")</f>
        <v>Medium</v>
      </c>
      <c r="Z301" s="5">
        <f>IFERROR(__xludf.DUMMYFUNCTION("""COMPUTED_VALUE"""),14.23)</f>
        <v>14.23</v>
      </c>
      <c r="AA301" s="12">
        <f>IFERROR(__xludf.DUMMYFUNCTION("""COMPUTED_VALUE"""),2624.0)</f>
        <v>2624</v>
      </c>
      <c r="AB301" s="5"/>
      <c r="AC301" s="5" t="str">
        <f>IFERROR(__xludf.DUMMYFUNCTION("""COMPUTED_VALUE"""),"Expanding Wild, Scatter")</f>
        <v>Expanding Wild, Scatter</v>
      </c>
      <c r="AD301" s="5" t="str">
        <f>IFERROR(__xludf.DUMMYFUNCTION("""COMPUTED_VALUE"""),"0.05/100")</f>
        <v>0.05/100</v>
      </c>
      <c r="AE301" s="5"/>
      <c r="AF301" s="5"/>
      <c r="AG301" s="8">
        <f>IFERROR(__xludf.DUMMYFUNCTION("""COMPUTED_VALUE"""),46157.47318287037)</f>
        <v>46157.47318</v>
      </c>
      <c r="AH301" s="5"/>
      <c r="AI301" s="5"/>
      <c r="AJ301" s="5"/>
      <c r="AK301" s="5">
        <f>IFERROR(__xludf.DUMMYFUNCTION("""COMPUTED_VALUE"""),1.0)</f>
        <v>1</v>
      </c>
      <c r="AL301" s="5" t="str">
        <f>IFERROR(__xludf.DUMMYFUNCTION("""COMPUTED_VALUE"""),"No")</f>
        <v>No</v>
      </c>
      <c r="AM301" s="5" t="str">
        <f>IFERROR(__xludf.DUMMYFUNCTION("""COMPUTED_VALUE"""),"No")</f>
        <v>No</v>
      </c>
      <c r="AN301" s="7" t="str">
        <f>IFERROR(__xludf.DUMMYFUNCTION("""COMPUTED_VALUE"""),"https://static.redstone.rs/games/chilli-double/")</f>
        <v>https://static.redstone.rs/games/chilli-double/</v>
      </c>
      <c r="AO301" s="5" t="str">
        <f>IFERROR(__xludf.DUMMYFUNCTION("""COMPUTED_VALUE"""),"No")</f>
        <v>No</v>
      </c>
      <c r="AP301" s="5" t="str">
        <f>IFERROR(__xludf.DUMMYFUNCTION("""COMPUTED_VALUE"""),"No")</f>
        <v>No</v>
      </c>
      <c r="AQ301" s="5" t="b">
        <f>IFERROR(__xludf.DUMMYFUNCTION("""COMPUTED_VALUE"""),TRUE)</f>
        <v>1</v>
      </c>
      <c r="AR301" s="5"/>
      <c r="AS301" s="5" t="str">
        <f>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AT301" s="5"/>
      <c r="AU301" s="5" t="str">
        <f>IFERROR(__xludf.DUMMYFUNCTION("""COMPUTED_VALUE"""),"Redstone")</f>
        <v>Redstone</v>
      </c>
      <c r="AV301" s="5"/>
      <c r="AW301" s="5"/>
      <c r="AX301" s="5"/>
      <c r="AY301" s="5"/>
      <c r="AZ301" s="5"/>
      <c r="BA301" s="5"/>
      <c r="BB301" s="5" t="b">
        <f>IFERROR(__xludf.DUMMYFUNCTION("""COMPUTED_VALUE"""),TRUE)</f>
        <v>1</v>
      </c>
      <c r="BC301" s="5" t="str">
        <f>IFERROR(__xludf.DUMMYFUNCTION("""COMPUTED_VALUE"""),"Redstone")</f>
        <v>Redstone</v>
      </c>
      <c r="BD301" s="7" t="str">
        <f>IFERROR(__xludf.DUMMYFUNCTION("""COMPUTED_VALUE"""),"https://static.redstone.rs/games/chilli-double/")</f>
        <v>https://static.redstone.rs/games/chilli-double/</v>
      </c>
      <c r="BE301" s="5" t="b">
        <f>IFERROR(__xludf.DUMMYFUNCTION("""COMPUTED_VALUE"""),TRUE)</f>
        <v>1</v>
      </c>
    </row>
    <row r="302">
      <c r="A302" s="5">
        <f>IFERROR(__xludf.DUMMYFUNCTION("""COMPUTED_VALUE"""),302.0)</f>
        <v>302</v>
      </c>
      <c r="B302" s="5">
        <f>IFERROR(__xludf.DUMMYFUNCTION("""COMPUTED_VALUE"""),301.0)</f>
        <v>301</v>
      </c>
      <c r="C302" s="5" t="str">
        <f>IFERROR(__xludf.DUMMYFUNCTION("""COMPUTED_VALUE"""),"Redstone")</f>
        <v>Redstone</v>
      </c>
      <c r="D302" s="5" t="str">
        <f>IFERROR(__xludf.DUMMYFUNCTION("""COMPUTED_VALUE"""),"Hot Rush Crown Burst")</f>
        <v>Hot Rush Crown Burst</v>
      </c>
      <c r="E302" s="5" t="str">
        <f>IFERROR(__xludf.DUMMYFUNCTION("""COMPUTED_VALUE"""),"Redstone")</f>
        <v>Redstone</v>
      </c>
      <c r="F302" s="5" t="str">
        <f>IFERROR(__xludf.DUMMYFUNCTION("""COMPUTED_VALUE"""),"RedstoneHotRushCrownBurst")</f>
        <v>RedstoneHotRushCrownBurst</v>
      </c>
      <c r="G302" s="5" t="str">
        <f>IFERROR(__xludf.DUMMYFUNCTION("""COMPUTED_VALUE"""),"Live")</f>
        <v>Live</v>
      </c>
      <c r="H302" s="5"/>
      <c r="I302" s="5" t="str">
        <f>IFERROR(__xludf.DUMMYFUNCTION("""COMPUTED_VALUE"""),"Redstone")</f>
        <v>Redstone</v>
      </c>
      <c r="J302" s="5" t="str">
        <f>IFERROR(__xludf.DUMMYFUNCTION("""COMPUTED_VALUE"""),"JSON")</f>
        <v>JSON</v>
      </c>
      <c r="K302" s="5" t="str">
        <f>IFERROR(__xludf.DUMMYFUNCTION("""COMPUTED_VALUE"""),"Slot")</f>
        <v>Slot</v>
      </c>
      <c r="L302" s="5"/>
      <c r="M302" s="5"/>
      <c r="N302" s="7" t="str">
        <f>IFERROR(__xludf.DUMMYFUNCTION("""COMPUTED_VALUE"""),"https://docs.google.com/document/d/1VsxFGG6KMJSMeHNfFC2m7P-sd-0f4mbD/edit?usp=drive_link&amp;ouid=107596163405648766688&amp;rtpof=true&amp;sd=true")</f>
        <v>https://docs.google.com/document/d/1VsxFGG6KMJSMeHNfFC2m7P-sd-0f4mbD/edit?usp=drive_link&amp;ouid=107596163405648766688&amp;rtpof=true&amp;sd=true</v>
      </c>
      <c r="O302" s="7" t="str">
        <f>IFERROR(__xludf.DUMMYFUNCTION("""COMPUTED_VALUE"""),"https://docs.google.com/document/d/1ps3hC3q69Tm1vXTvhMOtz6pha6fh6E9E/edit?usp=drive_link&amp;ouid=107596163405648766688&amp;rtpof=true&amp;sd=true")</f>
        <v>https://docs.google.com/document/d/1ps3hC3q69Tm1vXTvhMOtz6pha6fh6E9E/edit?usp=drive_link&amp;ouid=107596163405648766688&amp;rtpof=true&amp;sd=true</v>
      </c>
      <c r="P302" s="12">
        <f>IFERROR(__xludf.DUMMYFUNCTION("""COMPUTED_VALUE"""),8.9)</f>
        <v>8.9</v>
      </c>
      <c r="Q302" s="13">
        <f>IFERROR(__xludf.DUMMYFUNCTION("""COMPUTED_VALUE"""),45328.0)</f>
        <v>45328</v>
      </c>
      <c r="R302" s="14"/>
      <c r="S302" s="13">
        <f>IFERROR(__xludf.DUMMYFUNCTION("""COMPUTED_VALUE"""),45328.0)</f>
        <v>45328</v>
      </c>
      <c r="T302" s="5" t="b">
        <f>IFERROR(__xludf.DUMMYFUNCTION("""COMPUTED_VALUE"""),TRUE)</f>
        <v>1</v>
      </c>
      <c r="U302" s="5" t="str">
        <f>IFERROR(__xludf.DUMMYFUNCTION("""COMPUTED_VALUE"""),"5x3")</f>
        <v>5x3</v>
      </c>
      <c r="V302" s="10" t="str">
        <f>IFERROR(__xludf.DUMMYFUNCTION("""COMPUTED_VALUE"""),"5")</f>
        <v>5</v>
      </c>
      <c r="W302" s="10" t="str">
        <f>IFERROR(__xludf.DUMMYFUNCTION("""COMPUTED_VALUE"""),"5")</f>
        <v>5</v>
      </c>
      <c r="X302" s="11">
        <f>IFERROR(__xludf.DUMMYFUNCTION("""COMPUTED_VALUE"""),96.45)</f>
        <v>96.45</v>
      </c>
      <c r="Y302" s="5" t="str">
        <f>IFERROR(__xludf.DUMMYFUNCTION("""COMPUTED_VALUE"""),"Medium")</f>
        <v>Medium</v>
      </c>
      <c r="Z302" s="5">
        <f>IFERROR(__xludf.DUMMYFUNCTION("""COMPUTED_VALUE"""),14.5)</f>
        <v>14.5</v>
      </c>
      <c r="AA302" s="12">
        <f>IFERROR(__xludf.DUMMYFUNCTION("""COMPUTED_VALUE"""),1222.0)</f>
        <v>1222</v>
      </c>
      <c r="AB302" s="5"/>
      <c r="AC302" s="5" t="str">
        <f>IFERROR(__xludf.DUMMYFUNCTION("""COMPUTED_VALUE"""),"Expanding Wild, Scatter")</f>
        <v>Expanding Wild, Scatter</v>
      </c>
      <c r="AD302" s="5" t="str">
        <f>IFERROR(__xludf.DUMMYFUNCTION("""COMPUTED_VALUE"""),"0.05/100")</f>
        <v>0.05/100</v>
      </c>
      <c r="AE302" s="5"/>
      <c r="AF302" s="5"/>
      <c r="AG302" s="8">
        <f>IFERROR(__xludf.DUMMYFUNCTION("""COMPUTED_VALUE"""),46157.47298611111)</f>
        <v>46157.47299</v>
      </c>
      <c r="AH302" s="5"/>
      <c r="AI302" s="5"/>
      <c r="AJ302" s="5"/>
      <c r="AK302" s="5">
        <f>IFERROR(__xludf.DUMMYFUNCTION("""COMPUTED_VALUE"""),1.0)</f>
        <v>1</v>
      </c>
      <c r="AL302" s="5" t="str">
        <f>IFERROR(__xludf.DUMMYFUNCTION("""COMPUTED_VALUE"""),"No")</f>
        <v>No</v>
      </c>
      <c r="AM302" s="5" t="str">
        <f>IFERROR(__xludf.DUMMYFUNCTION("""COMPUTED_VALUE"""),"No")</f>
        <v>No</v>
      </c>
      <c r="AN302" s="7" t="str">
        <f>IFERROR(__xludf.DUMMYFUNCTION("""COMPUTED_VALUE"""),"https://static.redstone.rs/games/hot-rush-crown-burst/")</f>
        <v>https://static.redstone.rs/games/hot-rush-crown-burst/</v>
      </c>
      <c r="AO302" s="5" t="str">
        <f>IFERROR(__xludf.DUMMYFUNCTION("""COMPUTED_VALUE"""),"No")</f>
        <v>No</v>
      </c>
      <c r="AP302" s="5" t="str">
        <f>IFERROR(__xludf.DUMMYFUNCTION("""COMPUTED_VALUE"""),"No")</f>
        <v>No</v>
      </c>
      <c r="AQ302" s="5" t="b">
        <f>IFERROR(__xludf.DUMMYFUNCTION("""COMPUTED_VALUE"""),TRUE)</f>
        <v>1</v>
      </c>
      <c r="AR302" s="5"/>
      <c r="AS302" s="5" t="str">
        <f>IFERROR(__xludf.DUMMYFUNCTION("""COMPUTED_VALUE"""),"In Hot Rush Crown Burst, every expanding wild brings a rush of adrenaline and the chance for a 1200x cosmic payout!")</f>
        <v>In Hot Rush Crown Burst, every expanding wild brings a rush of adrenaline and the chance for a 1200x cosmic payout!</v>
      </c>
      <c r="AT302" s="5"/>
      <c r="AU302" s="5" t="str">
        <f>IFERROR(__xludf.DUMMYFUNCTION("""COMPUTED_VALUE"""),"Redstone")</f>
        <v>Redstone</v>
      </c>
      <c r="AV302" s="5"/>
      <c r="AW302" s="5"/>
      <c r="AX302" s="5"/>
      <c r="AY302" s="5"/>
      <c r="AZ302" s="5"/>
      <c r="BA302" s="5"/>
      <c r="BB302" s="5" t="b">
        <f>IFERROR(__xludf.DUMMYFUNCTION("""COMPUTED_VALUE"""),TRUE)</f>
        <v>1</v>
      </c>
      <c r="BC302" s="5" t="str">
        <f>IFERROR(__xludf.DUMMYFUNCTION("""COMPUTED_VALUE"""),"Redstone")</f>
        <v>Redstone</v>
      </c>
      <c r="BD302" s="7" t="str">
        <f>IFERROR(__xludf.DUMMYFUNCTION("""COMPUTED_VALUE"""),"https://static.redstone.rs/games/hot-rush-crown-burst/")</f>
        <v>https://static.redstone.rs/games/hot-rush-crown-burst/</v>
      </c>
      <c r="BE302" s="5" t="b">
        <f>IFERROR(__xludf.DUMMYFUNCTION("""COMPUTED_VALUE"""),TRUE)</f>
        <v>1</v>
      </c>
    </row>
    <row r="303">
      <c r="A303" s="5">
        <f>IFERROR(__xludf.DUMMYFUNCTION("""COMPUTED_VALUE"""),303.0)</f>
        <v>303</v>
      </c>
      <c r="B303" s="5">
        <f>IFERROR(__xludf.DUMMYFUNCTION("""COMPUTED_VALUE"""),302.0)</f>
        <v>302</v>
      </c>
      <c r="C303" s="5" t="str">
        <f>IFERROR(__xludf.DUMMYFUNCTION("""COMPUTED_VALUE"""),"Fazi")</f>
        <v>Fazi</v>
      </c>
      <c r="D303" s="5" t="str">
        <f>IFERROR(__xludf.DUMMYFUNCTION("""COMPUTED_VALUE"""),"Mozzart Hot 5")</f>
        <v>Mozzart Hot 5</v>
      </c>
      <c r="E303" s="5" t="str">
        <f>IFERROR(__xludf.DUMMYFUNCTION("""COMPUTED_VALUE"""),"V2")</f>
        <v>V2</v>
      </c>
      <c r="F303" s="5" t="str">
        <f>IFERROR(__xludf.DUMMYFUNCTION("""COMPUTED_VALUE"""),"MozzartHot5")</f>
        <v>MozzartHot5</v>
      </c>
      <c r="G303" s="5" t="str">
        <f>IFERROR(__xludf.DUMMYFUNCTION("""COMPUTED_VALUE"""),"Live")</f>
        <v>Live</v>
      </c>
      <c r="H303" s="5" t="str">
        <f>IFERROR(__xludf.DUMMYFUNCTION("""COMPUTED_VALUE"""),"Mozzart")</f>
        <v>Mozzart</v>
      </c>
      <c r="I303" s="5" t="str">
        <f>IFERROR(__xludf.DUMMYFUNCTION("""COMPUTED_VALUE"""),"V2")</f>
        <v>V2</v>
      </c>
      <c r="J303" s="5" t="str">
        <f>IFERROR(__xludf.DUMMYFUNCTION("""COMPUTED_VALUE"""),"Binary")</f>
        <v>Binary</v>
      </c>
      <c r="K303" s="5" t="str">
        <f>IFERROR(__xludf.DUMMYFUNCTION("""COMPUTED_VALUE"""),"Slot")</f>
        <v>Slot</v>
      </c>
      <c r="L303" s="5" t="str">
        <f>IFERROR(__xludf.DUMMYFUNCTION("""COMPUTED_VALUE"""),"Clone")</f>
        <v>Clone</v>
      </c>
      <c r="M303" s="5" t="str">
        <f>IFERROR(__xludf.DUMMYFUNCTION("""COMPUTED_VALUE"""),"Very Hot 5")</f>
        <v>Very Hot 5</v>
      </c>
      <c r="N303" s="5"/>
      <c r="O303" s="5"/>
      <c r="P303" s="12"/>
      <c r="Q303" s="13">
        <f>IFERROR(__xludf.DUMMYFUNCTION("""COMPUTED_VALUE"""),45406.0)</f>
        <v>45406</v>
      </c>
      <c r="R303" s="14"/>
      <c r="S303" s="13">
        <f>IFERROR(__xludf.DUMMYFUNCTION("""COMPUTED_VALUE"""),45406.0)</f>
        <v>45406</v>
      </c>
      <c r="T303" s="5"/>
      <c r="U303" s="5" t="str">
        <f>IFERROR(__xludf.DUMMYFUNCTION("""COMPUTED_VALUE"""),"5x3")</f>
        <v>5x3</v>
      </c>
      <c r="V303" s="10" t="str">
        <f>IFERROR(__xludf.DUMMYFUNCTION("""COMPUTED_VALUE"""),"5")</f>
        <v>5</v>
      </c>
      <c r="W303" s="10" t="str">
        <f>IFERROR(__xludf.DUMMYFUNCTION("""COMPUTED_VALUE"""),"5")</f>
        <v>5</v>
      </c>
      <c r="X303" s="5">
        <f>IFERROR(__xludf.DUMMYFUNCTION("""COMPUTED_VALUE"""),96.447)</f>
        <v>96.447</v>
      </c>
      <c r="Y303" s="5" t="str">
        <f>IFERROR(__xludf.DUMMYFUNCTION("""COMPUTED_VALUE"""),"Medium")</f>
        <v>Medium</v>
      </c>
      <c r="Z303" s="5">
        <f>IFERROR(__xludf.DUMMYFUNCTION("""COMPUTED_VALUE"""),14.505)</f>
        <v>14.505</v>
      </c>
      <c r="AA303" s="12">
        <f>IFERROR(__xludf.DUMMYFUNCTION("""COMPUTED_VALUE"""),1222.0)</f>
        <v>1222</v>
      </c>
      <c r="AB303" s="5">
        <f>IFERROR(__xludf.DUMMYFUNCTION("""COMPUTED_VALUE"""),4.0)</f>
        <v>4</v>
      </c>
      <c r="AC303" s="5" t="str">
        <f>IFERROR(__xludf.DUMMYFUNCTION("""COMPUTED_VALUE"""),"Scatter, Expanding Wild")</f>
        <v>Scatter, Expanding Wild</v>
      </c>
      <c r="AD303" s="5"/>
      <c r="AE303" s="5"/>
      <c r="AF303" s="5"/>
      <c r="AG303" s="8">
        <f>IFERROR(__xludf.DUMMYFUNCTION("""COMPUTED_VALUE"""),46020.51798611111)</f>
        <v>46020.51799</v>
      </c>
      <c r="AH303" s="5" t="str">
        <f>IFERROR(__xludf.DUMMYFUNCTION("""COMPUTED_VALUE"""),"djordje.jankovic@fazi.rs")</f>
        <v>djordje.jankovic@fazi.rs</v>
      </c>
      <c r="AI303" s="5"/>
      <c r="AJ303" s="5"/>
      <c r="AK303" s="5">
        <f>IFERROR(__xludf.DUMMYFUNCTION("""COMPUTED_VALUE"""),5.0)</f>
        <v>5</v>
      </c>
      <c r="AL303" s="5" t="str">
        <f>IFERROR(__xludf.DUMMYFUNCTION("""COMPUTED_VALUE"""),"Yes")</f>
        <v>Yes</v>
      </c>
      <c r="AM303" s="5"/>
      <c r="AN303" s="5"/>
      <c r="AO303" s="5"/>
      <c r="AP303" s="5"/>
      <c r="AQ303" s="5"/>
      <c r="AR303" s="5" t="b">
        <f>IFERROR(__xludf.DUMMYFUNCTION("""COMPUTED_VALUE"""),TRUE)</f>
        <v>1</v>
      </c>
      <c r="AS303" s="5"/>
      <c r="AT303" s="5"/>
      <c r="AU303" s="5" t="str">
        <f>IFERROR(__xludf.DUMMYFUNCTION("""COMPUTED_VALUE"""),"Fazi")</f>
        <v>Fazi</v>
      </c>
      <c r="AV303" s="5"/>
      <c r="AW303" s="5"/>
      <c r="AX303" s="5"/>
      <c r="AY303" s="5"/>
      <c r="AZ303" s="5"/>
      <c r="BA303" s="5" t="str">
        <f>IFERROR(__xludf.DUMMYFUNCTION("""COMPUTED_VALUE"""),"")</f>
        <v/>
      </c>
      <c r="BB303" s="5"/>
      <c r="BC303" s="5" t="str">
        <f>IFERROR(__xludf.DUMMYFUNCTION("""COMPUTED_VALUE"""),"Foxi")</f>
        <v>Foxi</v>
      </c>
      <c r="BD303" s="5" t="str">
        <f>IFERROR(__xludf.DUMMYFUNCTION("""COMPUTED_VALUE"""),"")</f>
        <v/>
      </c>
      <c r="BE303" s="5"/>
    </row>
    <row r="304">
      <c r="A304" s="5">
        <f>IFERROR(__xludf.DUMMYFUNCTION("""COMPUTED_VALUE"""),304.0)</f>
        <v>304</v>
      </c>
      <c r="B304" s="5">
        <f>IFERROR(__xludf.DUMMYFUNCTION("""COMPUTED_VALUE"""),303.0)</f>
        <v>303</v>
      </c>
      <c r="C304" s="5" t="str">
        <f>IFERROR(__xludf.DUMMYFUNCTION("""COMPUTED_VALUE"""),"Fazi")</f>
        <v>Fazi</v>
      </c>
      <c r="D304" s="5" t="str">
        <f>IFERROR(__xludf.DUMMYFUNCTION("""COMPUTED_VALUE"""),"Mozzart Hot 40")</f>
        <v>Mozzart Hot 40</v>
      </c>
      <c r="E304" s="5" t="str">
        <f>IFERROR(__xludf.DUMMYFUNCTION("""COMPUTED_VALUE"""),"V2")</f>
        <v>V2</v>
      </c>
      <c r="F304" s="5" t="str">
        <f>IFERROR(__xludf.DUMMYFUNCTION("""COMPUTED_VALUE"""),"MozzartHot40")</f>
        <v>MozzartHot40</v>
      </c>
      <c r="G304" s="5" t="str">
        <f>IFERROR(__xludf.DUMMYFUNCTION("""COMPUTED_VALUE"""),"Live")</f>
        <v>Live</v>
      </c>
      <c r="H304" s="5" t="str">
        <f>IFERROR(__xludf.DUMMYFUNCTION("""COMPUTED_VALUE"""),"Mozzart")</f>
        <v>Mozzart</v>
      </c>
      <c r="I304" s="5" t="str">
        <f>IFERROR(__xludf.DUMMYFUNCTION("""COMPUTED_VALUE"""),"V2")</f>
        <v>V2</v>
      </c>
      <c r="J304" s="5" t="str">
        <f>IFERROR(__xludf.DUMMYFUNCTION("""COMPUTED_VALUE"""),"Binary")</f>
        <v>Binary</v>
      </c>
      <c r="K304" s="5" t="str">
        <f>IFERROR(__xludf.DUMMYFUNCTION("""COMPUTED_VALUE"""),"Slot")</f>
        <v>Slot</v>
      </c>
      <c r="L304" s="5" t="str">
        <f>IFERROR(__xludf.DUMMYFUNCTION("""COMPUTED_VALUE"""),"Clone")</f>
        <v>Clone</v>
      </c>
      <c r="M304" s="5" t="str">
        <f>IFERROR(__xludf.DUMMYFUNCTION("""COMPUTED_VALUE"""),"Very Hot 40")</f>
        <v>Very Hot 40</v>
      </c>
      <c r="N304" s="5"/>
      <c r="O304" s="5"/>
      <c r="P304" s="12"/>
      <c r="Q304" s="13">
        <f>IFERROR(__xludf.DUMMYFUNCTION("""COMPUTED_VALUE"""),45406.0)</f>
        <v>45406</v>
      </c>
      <c r="R304" s="14"/>
      <c r="S304" s="13">
        <f>IFERROR(__xludf.DUMMYFUNCTION("""COMPUTED_VALUE"""),45406.0)</f>
        <v>45406</v>
      </c>
      <c r="T304" s="5"/>
      <c r="U304" s="5" t="str">
        <f>IFERROR(__xludf.DUMMYFUNCTION("""COMPUTED_VALUE"""),"5x3")</f>
        <v>5x3</v>
      </c>
      <c r="V304" s="10" t="str">
        <f>IFERROR(__xludf.DUMMYFUNCTION("""COMPUTED_VALUE"""),"40")</f>
        <v>40</v>
      </c>
      <c r="W304" s="10" t="str">
        <f>IFERROR(__xludf.DUMMYFUNCTION("""COMPUTED_VALUE"""),"40")</f>
        <v>40</v>
      </c>
      <c r="X304" s="5">
        <f>IFERROR(__xludf.DUMMYFUNCTION("""COMPUTED_VALUE"""),96.53)</f>
        <v>96.53</v>
      </c>
      <c r="Y304" s="5" t="str">
        <f>IFERROR(__xludf.DUMMYFUNCTION("""COMPUTED_VALUE"""),"Low")</f>
        <v>Low</v>
      </c>
      <c r="Z304" s="5">
        <f>IFERROR(__xludf.DUMMYFUNCTION("""COMPUTED_VALUE"""),23.377)</f>
        <v>23.377</v>
      </c>
      <c r="AA304" s="12">
        <f>IFERROR(__xludf.DUMMYFUNCTION("""COMPUTED_VALUE"""),876.75)</f>
        <v>876.75</v>
      </c>
      <c r="AB304" s="5">
        <f>IFERROR(__xludf.DUMMYFUNCTION("""COMPUTED_VALUE"""),4.0)</f>
        <v>4</v>
      </c>
      <c r="AC304" s="5" t="str">
        <f>IFERROR(__xludf.DUMMYFUNCTION("""COMPUTED_VALUE"""),"Scatter, Expanding Wild")</f>
        <v>Scatter, Expanding Wild</v>
      </c>
      <c r="AD304" s="5"/>
      <c r="AE304" s="5"/>
      <c r="AF304" s="5"/>
      <c r="AG304" s="8">
        <f>IFERROR(__xludf.DUMMYFUNCTION("""COMPUTED_VALUE"""),46020.51844907407)</f>
        <v>46020.51845</v>
      </c>
      <c r="AH304" s="5" t="str">
        <f>IFERROR(__xludf.DUMMYFUNCTION("""COMPUTED_VALUE"""),"djordje.jankovic@fazi.rs")</f>
        <v>djordje.jankovic@fazi.rs</v>
      </c>
      <c r="AI304" s="5"/>
      <c r="AJ304" s="5"/>
      <c r="AK304" s="5">
        <f>IFERROR(__xludf.DUMMYFUNCTION("""COMPUTED_VALUE"""),40.0)</f>
        <v>40</v>
      </c>
      <c r="AL304" s="5" t="str">
        <f>IFERROR(__xludf.DUMMYFUNCTION("""COMPUTED_VALUE"""),"Yes")</f>
        <v>Yes</v>
      </c>
      <c r="AM304" s="5"/>
      <c r="AN304" s="5"/>
      <c r="AO304" s="5"/>
      <c r="AP304" s="5"/>
      <c r="AQ304" s="5"/>
      <c r="AR304" s="5" t="b">
        <f>IFERROR(__xludf.DUMMYFUNCTION("""COMPUTED_VALUE"""),TRUE)</f>
        <v>1</v>
      </c>
      <c r="AS304" s="5"/>
      <c r="AT304" s="5"/>
      <c r="AU304" s="5" t="str">
        <f>IFERROR(__xludf.DUMMYFUNCTION("""COMPUTED_VALUE"""),"Fazi")</f>
        <v>Fazi</v>
      </c>
      <c r="AV304" s="5"/>
      <c r="AW304" s="5"/>
      <c r="AX304" s="5"/>
      <c r="AY304" s="5"/>
      <c r="AZ304" s="5"/>
      <c r="BA304" s="5" t="str">
        <f>IFERROR(__xludf.DUMMYFUNCTION("""COMPUTED_VALUE"""),"")</f>
        <v/>
      </c>
      <c r="BB304" s="5"/>
      <c r="BC304" s="5" t="str">
        <f>IFERROR(__xludf.DUMMYFUNCTION("""COMPUTED_VALUE"""),"Foxi")</f>
        <v>Foxi</v>
      </c>
      <c r="BD304" s="5" t="str">
        <f>IFERROR(__xludf.DUMMYFUNCTION("""COMPUTED_VALUE"""),"")</f>
        <v/>
      </c>
      <c r="BE304" s="5"/>
    </row>
    <row r="305">
      <c r="A305" s="5">
        <f>IFERROR(__xludf.DUMMYFUNCTION("""COMPUTED_VALUE"""),305.0)</f>
        <v>305</v>
      </c>
      <c r="B305" s="5">
        <f>IFERROR(__xludf.DUMMYFUNCTION("""COMPUTED_VALUE"""),304.0)</f>
        <v>304</v>
      </c>
      <c r="C305" s="5" t="str">
        <f>IFERROR(__xludf.DUMMYFUNCTION("""COMPUTED_VALUE"""),"Fazi")</f>
        <v>Fazi</v>
      </c>
      <c r="D305" s="5" t="str">
        <f>IFERROR(__xludf.DUMMYFUNCTION("""COMPUTED_VALUE"""),"Crown Of Mozzart")</f>
        <v>Crown Of Mozzart</v>
      </c>
      <c r="E305" s="5" t="str">
        <f>IFERROR(__xludf.DUMMYFUNCTION("""COMPUTED_VALUE"""),"V2")</f>
        <v>V2</v>
      </c>
      <c r="F305" s="5" t="str">
        <f>IFERROR(__xludf.DUMMYFUNCTION("""COMPUTED_VALUE"""),"CrownOfMozzart")</f>
        <v>CrownOfMozzart</v>
      </c>
      <c r="G305" s="5" t="str">
        <f>IFERROR(__xludf.DUMMYFUNCTION("""COMPUTED_VALUE"""),"Live")</f>
        <v>Live</v>
      </c>
      <c r="H305" s="5"/>
      <c r="I305" s="5" t="str">
        <f>IFERROR(__xludf.DUMMYFUNCTION("""COMPUTED_VALUE"""),"V2")</f>
        <v>V2</v>
      </c>
      <c r="J305" s="5" t="str">
        <f>IFERROR(__xludf.DUMMYFUNCTION("""COMPUTED_VALUE"""),"Binary")</f>
        <v>Binary</v>
      </c>
      <c r="K305" s="5" t="str">
        <f>IFERROR(__xludf.DUMMYFUNCTION("""COMPUTED_VALUE"""),"Slot")</f>
        <v>Slot</v>
      </c>
      <c r="L305" s="5" t="str">
        <f>IFERROR(__xludf.DUMMYFUNCTION("""COMPUTED_VALUE"""),"Clone")</f>
        <v>Clone</v>
      </c>
      <c r="M305" s="5" t="str">
        <f>IFERROR(__xludf.DUMMYFUNCTION("""COMPUTED_VALUE"""),"Golden Crown")</f>
        <v>Golden Crown</v>
      </c>
      <c r="N305" s="5"/>
      <c r="O305" s="5"/>
      <c r="P305" s="12"/>
      <c r="Q305" s="13">
        <f>IFERROR(__xludf.DUMMYFUNCTION("""COMPUTED_VALUE"""),45406.0)</f>
        <v>45406</v>
      </c>
      <c r="R305" s="14"/>
      <c r="S305" s="13">
        <f>IFERROR(__xludf.DUMMYFUNCTION("""COMPUTED_VALUE"""),45406.0)</f>
        <v>45406</v>
      </c>
      <c r="T305" s="5"/>
      <c r="U305" s="5" t="str">
        <f>IFERROR(__xludf.DUMMYFUNCTION("""COMPUTED_VALUE"""),"5x3")</f>
        <v>5x3</v>
      </c>
      <c r="V305" s="10" t="str">
        <f>IFERROR(__xludf.DUMMYFUNCTION("""COMPUTED_VALUE"""),"10")</f>
        <v>10</v>
      </c>
      <c r="W305" s="10" t="str">
        <f>IFERROR(__xludf.DUMMYFUNCTION("""COMPUTED_VALUE"""),"10")</f>
        <v>10</v>
      </c>
      <c r="X305" s="5">
        <f>IFERROR(__xludf.DUMMYFUNCTION("""COMPUTED_VALUE"""),95.962)</f>
        <v>95.962</v>
      </c>
      <c r="Y305" s="5" t="str">
        <f>IFERROR(__xludf.DUMMYFUNCTION("""COMPUTED_VALUE"""),"Medium")</f>
        <v>Medium</v>
      </c>
      <c r="Z305" s="5">
        <f>IFERROR(__xludf.DUMMYFUNCTION("""COMPUTED_VALUE"""),14.634)</f>
        <v>14.634</v>
      </c>
      <c r="AA305" s="12">
        <f>IFERROR(__xludf.DUMMYFUNCTION("""COMPUTED_VALUE"""),1538.0)</f>
        <v>1538</v>
      </c>
      <c r="AB305" s="5">
        <f>IFERROR(__xludf.DUMMYFUNCTION("""COMPUTED_VALUE"""),4.0)</f>
        <v>4</v>
      </c>
      <c r="AC305" s="5" t="str">
        <f>IFERROR(__xludf.DUMMYFUNCTION("""COMPUTED_VALUE"""),"Scatter, Expanding Wild")</f>
        <v>Scatter, Expanding Wild</v>
      </c>
      <c r="AD305" s="5"/>
      <c r="AE305" s="5"/>
      <c r="AF305" s="5"/>
      <c r="AG305" s="8">
        <f>IFERROR(__xludf.DUMMYFUNCTION("""COMPUTED_VALUE"""),46020.51851851852)</f>
        <v>46020.51852</v>
      </c>
      <c r="AH305" s="5" t="str">
        <f>IFERROR(__xludf.DUMMYFUNCTION("""COMPUTED_VALUE"""),"djordje.jankovic@fazi.rs")</f>
        <v>djordje.jankovic@fazi.rs</v>
      </c>
      <c r="AI305" s="5"/>
      <c r="AJ305" s="5"/>
      <c r="AK305" s="5">
        <f>IFERROR(__xludf.DUMMYFUNCTION("""COMPUTED_VALUE"""),10.0)</f>
        <v>10</v>
      </c>
      <c r="AL305" s="5" t="str">
        <f>IFERROR(__xludf.DUMMYFUNCTION("""COMPUTED_VALUE"""),"Yes")</f>
        <v>Yes</v>
      </c>
      <c r="AM305" s="5"/>
      <c r="AN305" s="5"/>
      <c r="AO305" s="5"/>
      <c r="AP305" s="5"/>
      <c r="AQ305" s="5"/>
      <c r="AR305" s="5" t="b">
        <f>IFERROR(__xludf.DUMMYFUNCTION("""COMPUTED_VALUE"""),TRUE)</f>
        <v>1</v>
      </c>
      <c r="AS305" s="5"/>
      <c r="AT305" s="5"/>
      <c r="AU305" s="5" t="str">
        <f>IFERROR(__xludf.DUMMYFUNCTION("""COMPUTED_VALUE"""),"Fazi")</f>
        <v>Fazi</v>
      </c>
      <c r="AV305" s="5"/>
      <c r="AW305" s="5"/>
      <c r="AX305" s="5"/>
      <c r="AY305" s="5"/>
      <c r="AZ305" s="5"/>
      <c r="BA305" s="5" t="str">
        <f>IFERROR(__xludf.DUMMYFUNCTION("""COMPUTED_VALUE"""),"")</f>
        <v/>
      </c>
      <c r="BB305" s="5"/>
      <c r="BC305" s="5" t="str">
        <f>IFERROR(__xludf.DUMMYFUNCTION("""COMPUTED_VALUE"""),"Foxi")</f>
        <v>Foxi</v>
      </c>
      <c r="BD305" s="5" t="str">
        <f>IFERROR(__xludf.DUMMYFUNCTION("""COMPUTED_VALUE"""),"")</f>
        <v/>
      </c>
      <c r="BE305" s="5"/>
    </row>
    <row r="306">
      <c r="A306" s="5">
        <f>IFERROR(__xludf.DUMMYFUNCTION("""COMPUTED_VALUE"""),306.0)</f>
        <v>306</v>
      </c>
      <c r="B306" s="5">
        <f>IFERROR(__xludf.DUMMYFUNCTION("""COMPUTED_VALUE"""),305.0)</f>
        <v>305</v>
      </c>
      <c r="C306" s="5" t="str">
        <f>IFERROR(__xludf.DUMMYFUNCTION("""COMPUTED_VALUE"""),"Fazi")</f>
        <v>Fazi</v>
      </c>
      <c r="D306" s="5" t="str">
        <f>IFERROR(__xludf.DUMMYFUNCTION("""COMPUTED_VALUE"""),"Mozzarts World")</f>
        <v>Mozzarts World</v>
      </c>
      <c r="E306" s="5" t="str">
        <f>IFERROR(__xludf.DUMMYFUNCTION("""COMPUTED_VALUE"""),"V2")</f>
        <v>V2</v>
      </c>
      <c r="F306" s="5" t="str">
        <f>IFERROR(__xludf.DUMMYFUNCTION("""COMPUTED_VALUE"""),"MozzartsWorld")</f>
        <v>MozzartsWorld</v>
      </c>
      <c r="G306" s="5" t="str">
        <f>IFERROR(__xludf.DUMMYFUNCTION("""COMPUTED_VALUE"""),"Live")</f>
        <v>Live</v>
      </c>
      <c r="H306" s="5"/>
      <c r="I306" s="5" t="str">
        <f>IFERROR(__xludf.DUMMYFUNCTION("""COMPUTED_VALUE"""),"V2")</f>
        <v>V2</v>
      </c>
      <c r="J306" s="5" t="str">
        <f>IFERROR(__xludf.DUMMYFUNCTION("""COMPUTED_VALUE"""),"Binary")</f>
        <v>Binary</v>
      </c>
      <c r="K306" s="5" t="str">
        <f>IFERROR(__xludf.DUMMYFUNCTION("""COMPUTED_VALUE"""),"Slot")</f>
        <v>Slot</v>
      </c>
      <c r="L306" s="5" t="str">
        <f>IFERROR(__xludf.DUMMYFUNCTION("""COMPUTED_VALUE"""),"Clone")</f>
        <v>Clone</v>
      </c>
      <c r="M306" s="5" t="str">
        <f>IFERROR(__xludf.DUMMYFUNCTION("""COMPUTED_VALUE"""),"Lollas World")</f>
        <v>Lollas World</v>
      </c>
      <c r="N306" s="5"/>
      <c r="O306" s="5"/>
      <c r="P306" s="12"/>
      <c r="Q306" s="13">
        <f>IFERROR(__xludf.DUMMYFUNCTION("""COMPUTED_VALUE"""),45407.0)</f>
        <v>45407</v>
      </c>
      <c r="R306" s="14"/>
      <c r="S306" s="13">
        <f>IFERROR(__xludf.DUMMYFUNCTION("""COMPUTED_VALUE"""),45407.0)</f>
        <v>45407</v>
      </c>
      <c r="T306" s="5"/>
      <c r="U306" s="5" t="str">
        <f>IFERROR(__xludf.DUMMYFUNCTION("""COMPUTED_VALUE"""),"5x4")</f>
        <v>5x4</v>
      </c>
      <c r="V306" s="10" t="str">
        <f>IFERROR(__xludf.DUMMYFUNCTION("""COMPUTED_VALUE"""),"40")</f>
        <v>40</v>
      </c>
      <c r="W306" s="10" t="str">
        <f>IFERROR(__xludf.DUMMYFUNCTION("""COMPUTED_VALUE"""),"40")</f>
        <v>40</v>
      </c>
      <c r="X306" s="5">
        <f>IFERROR(__xludf.DUMMYFUNCTION("""COMPUTED_VALUE"""),95.479)</f>
        <v>95.479</v>
      </c>
      <c r="Y306" s="5" t="str">
        <f>IFERROR(__xludf.DUMMYFUNCTION("""COMPUTED_VALUE"""),"Medium")</f>
        <v>Medium</v>
      </c>
      <c r="Z306" s="5">
        <f>IFERROR(__xludf.DUMMYFUNCTION("""COMPUTED_VALUE"""),14.804)</f>
        <v>14.804</v>
      </c>
      <c r="AA306" s="12">
        <f>IFERROR(__xludf.DUMMYFUNCTION("""COMPUTED_VALUE"""),1000.0)</f>
        <v>1000</v>
      </c>
      <c r="AB306" s="5" t="str">
        <f>IFERROR(__xludf.DUMMYFUNCTION("""COMPUTED_VALUE"""),"/")</f>
        <v>/</v>
      </c>
      <c r="AC306" s="5" t="str">
        <f>IFERROR(__xludf.DUMMYFUNCTION("""COMPUTED_VALUE"""),"Scatter, Wild Symbol")</f>
        <v>Scatter, Wild Symbol</v>
      </c>
      <c r="AD306" s="5"/>
      <c r="AE306" s="5"/>
      <c r="AF306" s="5"/>
      <c r="AG306" s="8">
        <f>IFERROR(__xludf.DUMMYFUNCTION("""COMPUTED_VALUE"""),46020.518587962964)</f>
        <v>46020.51859</v>
      </c>
      <c r="AH306" s="5" t="str">
        <f>IFERROR(__xludf.DUMMYFUNCTION("""COMPUTED_VALUE"""),"djordje.jankovic@fazi.rs")</f>
        <v>djordje.jankovic@fazi.rs</v>
      </c>
      <c r="AI306" s="5"/>
      <c r="AJ306" s="5"/>
      <c r="AK306" s="5">
        <f>IFERROR(__xludf.DUMMYFUNCTION("""COMPUTED_VALUE"""),40.0)</f>
        <v>40</v>
      </c>
      <c r="AL306" s="5" t="str">
        <f>IFERROR(__xludf.DUMMYFUNCTION("""COMPUTED_VALUE"""),"Yes")</f>
        <v>Yes</v>
      </c>
      <c r="AM306" s="5"/>
      <c r="AN306" s="5"/>
      <c r="AO306" s="5"/>
      <c r="AP306" s="5"/>
      <c r="AQ306" s="5"/>
      <c r="AR306" s="5" t="b">
        <f>IFERROR(__xludf.DUMMYFUNCTION("""COMPUTED_VALUE"""),TRUE)</f>
        <v>1</v>
      </c>
      <c r="AS306" s="5"/>
      <c r="AT306" s="5"/>
      <c r="AU306" s="5" t="str">
        <f>IFERROR(__xludf.DUMMYFUNCTION("""COMPUTED_VALUE"""),"Fazi")</f>
        <v>Fazi</v>
      </c>
      <c r="AV306" s="5"/>
      <c r="AW306" s="5"/>
      <c r="AX306" s="5"/>
      <c r="AY306" s="5"/>
      <c r="AZ306" s="5"/>
      <c r="BA306" s="5" t="str">
        <f>IFERROR(__xludf.DUMMYFUNCTION("""COMPUTED_VALUE"""),"")</f>
        <v/>
      </c>
      <c r="BB306" s="5"/>
      <c r="BC306" s="5" t="str">
        <f>IFERROR(__xludf.DUMMYFUNCTION("""COMPUTED_VALUE"""),"Foxi")</f>
        <v>Foxi</v>
      </c>
      <c r="BD306" s="5" t="str">
        <f>IFERROR(__xludf.DUMMYFUNCTION("""COMPUTED_VALUE"""),"")</f>
        <v/>
      </c>
      <c r="BE306" s="5"/>
    </row>
    <row r="307">
      <c r="A307" s="5">
        <f>IFERROR(__xludf.DUMMYFUNCTION("""COMPUTED_VALUE"""),307.0)</f>
        <v>307</v>
      </c>
      <c r="B307" s="5">
        <f>IFERROR(__xludf.DUMMYFUNCTION("""COMPUTED_VALUE"""),306.0)</f>
        <v>306</v>
      </c>
      <c r="C307" s="5" t="str">
        <f>IFERROR(__xludf.DUMMYFUNCTION("""COMPUTED_VALUE"""),"Fazi")</f>
        <v>Fazi</v>
      </c>
      <c r="D307" s="5" t="str">
        <f>IFERROR(__xludf.DUMMYFUNCTION("""COMPUTED_VALUE"""),"Book Of Mozzart")</f>
        <v>Book Of Mozzart</v>
      </c>
      <c r="E307" s="5" t="str">
        <f>IFERROR(__xludf.DUMMYFUNCTION("""COMPUTED_VALUE"""),"V2")</f>
        <v>V2</v>
      </c>
      <c r="F307" s="5" t="str">
        <f>IFERROR(__xludf.DUMMYFUNCTION("""COMPUTED_VALUE"""),"BookOfMozzart")</f>
        <v>BookOfMozzart</v>
      </c>
      <c r="G307" s="5" t="str">
        <f>IFERROR(__xludf.DUMMYFUNCTION("""COMPUTED_VALUE"""),"Live")</f>
        <v>Live</v>
      </c>
      <c r="H307" s="5"/>
      <c r="I307" s="5" t="str">
        <f>IFERROR(__xludf.DUMMYFUNCTION("""COMPUTED_VALUE"""),"V2")</f>
        <v>V2</v>
      </c>
      <c r="J307" s="5" t="str">
        <f>IFERROR(__xludf.DUMMYFUNCTION("""COMPUTED_VALUE"""),"Binary")</f>
        <v>Binary</v>
      </c>
      <c r="K307" s="5" t="str">
        <f>IFERROR(__xludf.DUMMYFUNCTION("""COMPUTED_VALUE"""),"Slot")</f>
        <v>Slot</v>
      </c>
      <c r="L307" s="5" t="str">
        <f>IFERROR(__xludf.DUMMYFUNCTION("""COMPUTED_VALUE"""),"Clone")</f>
        <v>Clone</v>
      </c>
      <c r="M307" s="5" t="str">
        <f>IFERROR(__xludf.DUMMYFUNCTION("""COMPUTED_VALUE"""),"Book of Spells")</f>
        <v>Book of Spells</v>
      </c>
      <c r="N307" s="5"/>
      <c r="O307" s="5"/>
      <c r="P307" s="12"/>
      <c r="Q307" s="13">
        <f>IFERROR(__xludf.DUMMYFUNCTION("""COMPUTED_VALUE"""),45406.0)</f>
        <v>45406</v>
      </c>
      <c r="R307" s="14"/>
      <c r="S307" s="13">
        <f>IFERROR(__xludf.DUMMYFUNCTION("""COMPUTED_VALUE"""),45406.0)</f>
        <v>45406</v>
      </c>
      <c r="T307" s="5"/>
      <c r="U307" s="5" t="str">
        <f>IFERROR(__xludf.DUMMYFUNCTION("""COMPUTED_VALUE"""),"5x3")</f>
        <v>5x3</v>
      </c>
      <c r="V307" s="10" t="str">
        <f>IFERROR(__xludf.DUMMYFUNCTION("""COMPUTED_VALUE"""),"10")</f>
        <v>10</v>
      </c>
      <c r="W307" s="10" t="str">
        <f>IFERROR(__xludf.DUMMYFUNCTION("""COMPUTED_VALUE"""),"1,3,5,7,10")</f>
        <v>1,3,5,7,10</v>
      </c>
      <c r="X307" s="5">
        <f>IFERROR(__xludf.DUMMYFUNCTION("""COMPUTED_VALUE"""),96.064)</f>
        <v>96.064</v>
      </c>
      <c r="Y307" s="5" t="str">
        <f>IFERROR(__xludf.DUMMYFUNCTION("""COMPUTED_VALUE"""),"High")</f>
        <v>High</v>
      </c>
      <c r="Z307" s="5">
        <f>IFERROR(__xludf.DUMMYFUNCTION("""COMPUTED_VALUE"""),31.467)</f>
        <v>31.467</v>
      </c>
      <c r="AA307" s="12">
        <f>IFERROR(__xludf.DUMMYFUNCTION("""COMPUTED_VALUE"""),5512.0)</f>
        <v>5512</v>
      </c>
      <c r="AB307" s="5">
        <f>IFERROR(__xludf.DUMMYFUNCTION("""COMPUTED_VALUE"""),212.0)</f>
        <v>212</v>
      </c>
      <c r="AC307" s="5" t="str">
        <f>IFERROR(__xludf.DUMMYFUNCTION("""COMPUTED_VALUE"""),"Book Of Game, Wild Symbol, Scatter")</f>
        <v>Book Of Game, Wild Symbol, Scatter</v>
      </c>
      <c r="AD307" s="5"/>
      <c r="AE307" s="5"/>
      <c r="AF307" s="5"/>
      <c r="AG307" s="8">
        <f>IFERROR(__xludf.DUMMYFUNCTION("""COMPUTED_VALUE"""),46020.51980324074)</f>
        <v>46020.5198</v>
      </c>
      <c r="AH307" s="5" t="str">
        <f>IFERROR(__xludf.DUMMYFUNCTION("""COMPUTED_VALUE"""),"djordje.jankovic@fazi.rs")</f>
        <v>djordje.jankovic@fazi.rs</v>
      </c>
      <c r="AI307" s="5"/>
      <c r="AJ307" s="5"/>
      <c r="AK307" s="5">
        <f>IFERROR(__xludf.DUMMYFUNCTION("""COMPUTED_VALUE"""),10.0)</f>
        <v>10</v>
      </c>
      <c r="AL307" s="5" t="str">
        <f>IFERROR(__xludf.DUMMYFUNCTION("""COMPUTED_VALUE"""),"Yes")</f>
        <v>Yes</v>
      </c>
      <c r="AM307" s="5"/>
      <c r="AN307" s="5"/>
      <c r="AO307" s="5"/>
      <c r="AP307" s="5"/>
      <c r="AQ307" s="5"/>
      <c r="AR307" s="5" t="b">
        <f>IFERROR(__xludf.DUMMYFUNCTION("""COMPUTED_VALUE"""),TRUE)</f>
        <v>1</v>
      </c>
      <c r="AS307" s="5"/>
      <c r="AT307" s="5"/>
      <c r="AU307" s="5" t="str">
        <f>IFERROR(__xludf.DUMMYFUNCTION("""COMPUTED_VALUE"""),"Fazi")</f>
        <v>Fazi</v>
      </c>
      <c r="AV307" s="5"/>
      <c r="AW307" s="5"/>
      <c r="AX307" s="5"/>
      <c r="AY307" s="5"/>
      <c r="AZ307" s="5"/>
      <c r="BA307" s="5" t="str">
        <f>IFERROR(__xludf.DUMMYFUNCTION("""COMPUTED_VALUE"""),"")</f>
        <v/>
      </c>
      <c r="BB307" s="5"/>
      <c r="BC307" s="5" t="str">
        <f>IFERROR(__xludf.DUMMYFUNCTION("""COMPUTED_VALUE"""),"Foxi")</f>
        <v>Foxi</v>
      </c>
      <c r="BD307" s="5" t="str">
        <f>IFERROR(__xludf.DUMMYFUNCTION("""COMPUTED_VALUE"""),"")</f>
        <v/>
      </c>
      <c r="BE307" s="5"/>
    </row>
    <row r="308">
      <c r="A308" s="5">
        <f>IFERROR(__xludf.DUMMYFUNCTION("""COMPUTED_VALUE"""),308.0)</f>
        <v>308</v>
      </c>
      <c r="B308" s="5">
        <f>IFERROR(__xludf.DUMMYFUNCTION("""COMPUTED_VALUE"""),307.0)</f>
        <v>307</v>
      </c>
      <c r="C308" s="5" t="str">
        <f>IFERROR(__xludf.DUMMYFUNCTION("""COMPUTED_VALUE"""),"Fazi")</f>
        <v>Fazi</v>
      </c>
      <c r="D308" s="5" t="str">
        <f>IFERROR(__xludf.DUMMYFUNCTION("""COMPUTED_VALUE"""),"Lucky Mozzart")</f>
        <v>Lucky Mozzart</v>
      </c>
      <c r="E308" s="5" t="str">
        <f>IFERROR(__xludf.DUMMYFUNCTION("""COMPUTED_VALUE"""),"V2")</f>
        <v>V2</v>
      </c>
      <c r="F308" s="5" t="str">
        <f>IFERROR(__xludf.DUMMYFUNCTION("""COMPUTED_VALUE"""),"LuckyMozzart")</f>
        <v>LuckyMozzart</v>
      </c>
      <c r="G308" s="5" t="str">
        <f>IFERROR(__xludf.DUMMYFUNCTION("""COMPUTED_VALUE"""),"Live")</f>
        <v>Live</v>
      </c>
      <c r="H308" s="5"/>
      <c r="I308" s="5" t="str">
        <f>IFERROR(__xludf.DUMMYFUNCTION("""COMPUTED_VALUE"""),"V2")</f>
        <v>V2</v>
      </c>
      <c r="J308" s="5" t="str">
        <f>IFERROR(__xludf.DUMMYFUNCTION("""COMPUTED_VALUE"""),"Binary")</f>
        <v>Binary</v>
      </c>
      <c r="K308" s="5" t="str">
        <f>IFERROR(__xludf.DUMMYFUNCTION("""COMPUTED_VALUE"""),"Slot")</f>
        <v>Slot</v>
      </c>
      <c r="L308" s="5" t="str">
        <f>IFERROR(__xludf.DUMMYFUNCTION("""COMPUTED_VALUE"""),"Clone")</f>
        <v>Clone</v>
      </c>
      <c r="M308" s="5" t="str">
        <f>IFERROR(__xludf.DUMMYFUNCTION("""COMPUTED_VALUE"""),"Wild Lucky Clover")</f>
        <v>Wild Lucky Clover</v>
      </c>
      <c r="N308" s="5"/>
      <c r="O308" s="5"/>
      <c r="P308" s="12"/>
      <c r="Q308" s="13">
        <f>IFERROR(__xludf.DUMMYFUNCTION("""COMPUTED_VALUE"""),45406.0)</f>
        <v>45406</v>
      </c>
      <c r="R308" s="14"/>
      <c r="S308" s="13">
        <f>IFERROR(__xludf.DUMMYFUNCTION("""COMPUTED_VALUE"""),45406.0)</f>
        <v>45406</v>
      </c>
      <c r="T308" s="5"/>
      <c r="U308" s="5" t="str">
        <f>IFERROR(__xludf.DUMMYFUNCTION("""COMPUTED_VALUE"""),"5x4")</f>
        <v>5x4</v>
      </c>
      <c r="V308" s="10" t="str">
        <f>IFERROR(__xludf.DUMMYFUNCTION("""COMPUTED_VALUE"""),"40")</f>
        <v>40</v>
      </c>
      <c r="W308" s="10" t="str">
        <f>IFERROR(__xludf.DUMMYFUNCTION("""COMPUTED_VALUE"""),"40")</f>
        <v>40</v>
      </c>
      <c r="X308" s="5">
        <f>IFERROR(__xludf.DUMMYFUNCTION("""COMPUTED_VALUE"""),96.291)</f>
        <v>96.291</v>
      </c>
      <c r="Y308" s="5" t="str">
        <f>IFERROR(__xludf.DUMMYFUNCTION("""COMPUTED_VALUE"""),"Medium")</f>
        <v>Medium</v>
      </c>
      <c r="Z308" s="5">
        <f>IFERROR(__xludf.DUMMYFUNCTION("""COMPUTED_VALUE"""),12.67)</f>
        <v>12.67</v>
      </c>
      <c r="AA308" s="12">
        <f>IFERROR(__xludf.DUMMYFUNCTION("""COMPUTED_VALUE"""),1043.0)</f>
        <v>1043</v>
      </c>
      <c r="AB308" s="5">
        <f>IFERROR(__xludf.DUMMYFUNCTION("""COMPUTED_VALUE"""),199.0)</f>
        <v>199</v>
      </c>
      <c r="AC308" s="5" t="str">
        <f>IFERROR(__xludf.DUMMYFUNCTION("""COMPUTED_VALUE"""),"Wild Symbol, Bonus Game with Special Symbol")</f>
        <v>Wild Symbol, Bonus Game with Special Symbol</v>
      </c>
      <c r="AD308" s="5"/>
      <c r="AE308" s="5"/>
      <c r="AF308" s="5"/>
      <c r="AG308" s="8">
        <f>IFERROR(__xludf.DUMMYFUNCTION("""COMPUTED_VALUE"""),46020.519907407404)</f>
        <v>46020.51991</v>
      </c>
      <c r="AH308" s="5" t="str">
        <f>IFERROR(__xludf.DUMMYFUNCTION("""COMPUTED_VALUE"""),"djordje.jankovic@fazi.rs")</f>
        <v>djordje.jankovic@fazi.rs</v>
      </c>
      <c r="AI308" s="5"/>
      <c r="AJ308" s="5"/>
      <c r="AK308" s="5">
        <f>IFERROR(__xludf.DUMMYFUNCTION("""COMPUTED_VALUE"""),40.0)</f>
        <v>40</v>
      </c>
      <c r="AL308" s="5" t="str">
        <f>IFERROR(__xludf.DUMMYFUNCTION("""COMPUTED_VALUE"""),"Yes")</f>
        <v>Yes</v>
      </c>
      <c r="AM308" s="5"/>
      <c r="AN308" s="5"/>
      <c r="AO308" s="5"/>
      <c r="AP308" s="5"/>
      <c r="AQ308" s="5"/>
      <c r="AR308" s="5" t="b">
        <f>IFERROR(__xludf.DUMMYFUNCTION("""COMPUTED_VALUE"""),TRUE)</f>
        <v>1</v>
      </c>
      <c r="AS308" s="5"/>
      <c r="AT308" s="5"/>
      <c r="AU308" s="5" t="str">
        <f>IFERROR(__xludf.DUMMYFUNCTION("""COMPUTED_VALUE"""),"Fazi")</f>
        <v>Fazi</v>
      </c>
      <c r="AV308" s="5"/>
      <c r="AW308" s="5"/>
      <c r="AX308" s="5"/>
      <c r="AY308" s="5"/>
      <c r="AZ308" s="5"/>
      <c r="BA308" s="5" t="str">
        <f>IFERROR(__xludf.DUMMYFUNCTION("""COMPUTED_VALUE"""),"")</f>
        <v/>
      </c>
      <c r="BB308" s="5"/>
      <c r="BC308" s="5" t="str">
        <f>IFERROR(__xludf.DUMMYFUNCTION("""COMPUTED_VALUE"""),"Foxi")</f>
        <v>Foxi</v>
      </c>
      <c r="BD308" s="5" t="str">
        <f>IFERROR(__xludf.DUMMYFUNCTION("""COMPUTED_VALUE"""),"")</f>
        <v/>
      </c>
      <c r="BE308" s="5"/>
    </row>
    <row r="309">
      <c r="A309" s="5">
        <f>IFERROR(__xludf.DUMMYFUNCTION("""COMPUTED_VALUE"""),309.0)</f>
        <v>309</v>
      </c>
      <c r="B309" s="5">
        <f>IFERROR(__xludf.DUMMYFUNCTION("""COMPUTED_VALUE"""),308.0)</f>
        <v>308</v>
      </c>
      <c r="C309" s="5" t="str">
        <f>IFERROR(__xludf.DUMMYFUNCTION("""COMPUTED_VALUE"""),"Redstone")</f>
        <v>Redstone</v>
      </c>
      <c r="D309" s="5" t="str">
        <f>IFERROR(__xludf.DUMMYFUNCTION("""COMPUTED_VALUE"""),"Lady Triple Fortune")</f>
        <v>Lady Triple Fortune</v>
      </c>
      <c r="E309" s="5" t="str">
        <f>IFERROR(__xludf.DUMMYFUNCTION("""COMPUTED_VALUE"""),"Redstone")</f>
        <v>Redstone</v>
      </c>
      <c r="F309" s="5" t="str">
        <f>IFERROR(__xludf.DUMMYFUNCTION("""COMPUTED_VALUE"""),"RedstoneLadyTripleFortune")</f>
        <v>RedstoneLadyTripleFortune</v>
      </c>
      <c r="G309" s="5" t="str">
        <f>IFERROR(__xludf.DUMMYFUNCTION("""COMPUTED_VALUE"""),"Live")</f>
        <v>Live</v>
      </c>
      <c r="H309" s="5"/>
      <c r="I309" s="5" t="str">
        <f>IFERROR(__xludf.DUMMYFUNCTION("""COMPUTED_VALUE"""),"Redstone")</f>
        <v>Redstone</v>
      </c>
      <c r="J309" s="5" t="str">
        <f>IFERROR(__xludf.DUMMYFUNCTION("""COMPUTED_VALUE"""),"JSON")</f>
        <v>JSON</v>
      </c>
      <c r="K309" s="5" t="str">
        <f>IFERROR(__xludf.DUMMYFUNCTION("""COMPUTED_VALUE"""),"Slot")</f>
        <v>Slot</v>
      </c>
      <c r="L309" s="5" t="str">
        <f>IFERROR(__xludf.DUMMYFUNCTION("""COMPUTED_VALUE""")," Clone")</f>
        <v> Clone</v>
      </c>
      <c r="M309" s="5" t="str">
        <f>IFERROR(__xludf.DUMMYFUNCTION("""COMPUTED_VALUE"""),"5 Clover Fire")</f>
        <v>5 Clover Fire</v>
      </c>
      <c r="N309" s="7" t="str">
        <f>IFERROR(__xludf.DUMMYFUNCTION("""COMPUTED_VALUE"""),"https://docs.google.com/document/d/1ndIePfFS0_TcjpuBGGaHFj_FhC-sPHsD/edit?usp=drive_link&amp;ouid=107596163405648766688&amp;rtpof=true&amp;sd=true")</f>
        <v>https://docs.google.com/document/d/1ndIePfFS0_TcjpuBGGaHFj_FhC-sPHsD/edit?usp=drive_link&amp;ouid=107596163405648766688&amp;rtpof=true&amp;sd=true</v>
      </c>
      <c r="O309" s="7" t="str">
        <f>IFERROR(__xludf.DUMMYFUNCTION("""COMPUTED_VALUE"""),"https://docs.google.com/document/d/1vsKjcSFcAQ0muEWNhXX0HDyQi4ZCD2FP/edit?usp=drive_link&amp;ouid=107596163405648766688&amp;rtpof=true&amp;sd=true")</f>
        <v>https://docs.google.com/document/d/1vsKjcSFcAQ0muEWNhXX0HDyQi4ZCD2FP/edit?usp=drive_link&amp;ouid=107596163405648766688&amp;rtpof=true&amp;sd=true</v>
      </c>
      <c r="P309" s="12">
        <f>IFERROR(__xludf.DUMMYFUNCTION("""COMPUTED_VALUE"""),9.5)</f>
        <v>9.5</v>
      </c>
      <c r="Q309" s="13">
        <f>IFERROR(__xludf.DUMMYFUNCTION("""COMPUTED_VALUE"""),45329.0)</f>
        <v>45329</v>
      </c>
      <c r="R309" s="14"/>
      <c r="S309" s="13">
        <f>IFERROR(__xludf.DUMMYFUNCTION("""COMPUTED_VALUE"""),45329.0)</f>
        <v>45329</v>
      </c>
      <c r="T309" s="5" t="b">
        <f>IFERROR(__xludf.DUMMYFUNCTION("""COMPUTED_VALUE"""),TRUE)</f>
        <v>1</v>
      </c>
      <c r="U309" s="5" t="str">
        <f>IFERROR(__xludf.DUMMYFUNCTION("""COMPUTED_VALUE"""),"5x3")</f>
        <v>5x3</v>
      </c>
      <c r="V309" s="10" t="str">
        <f>IFERROR(__xludf.DUMMYFUNCTION("""COMPUTED_VALUE"""),"5")</f>
        <v>5</v>
      </c>
      <c r="W309" s="10" t="str">
        <f>IFERROR(__xludf.DUMMYFUNCTION("""COMPUTED_VALUE"""),"5")</f>
        <v>5</v>
      </c>
      <c r="X309" s="5">
        <f>IFERROR(__xludf.DUMMYFUNCTION("""COMPUTED_VALUE"""),96.45)</f>
        <v>96.45</v>
      </c>
      <c r="Y309" s="5" t="str">
        <f>IFERROR(__xludf.DUMMYFUNCTION("""COMPUTED_VALUE"""),"Medium")</f>
        <v>Medium</v>
      </c>
      <c r="Z309" s="5">
        <f>IFERROR(__xludf.DUMMYFUNCTION("""COMPUTED_VALUE"""),14.5)</f>
        <v>14.5</v>
      </c>
      <c r="AA309" s="12">
        <f>IFERROR(__xludf.DUMMYFUNCTION("""COMPUTED_VALUE"""),1222.0)</f>
        <v>1222</v>
      </c>
      <c r="AB309" s="5"/>
      <c r="AC309" s="5" t="str">
        <f>IFERROR(__xludf.DUMMYFUNCTION("""COMPUTED_VALUE"""),"Scatter, Expanding Wild")</f>
        <v>Scatter, Expanding Wild</v>
      </c>
      <c r="AD309" s="5" t="str">
        <f>IFERROR(__xludf.DUMMYFUNCTION("""COMPUTED_VALUE"""),"0.10/100")</f>
        <v>0.10/100</v>
      </c>
      <c r="AE309" s="5"/>
      <c r="AF309" s="5"/>
      <c r="AG309" s="8">
        <f>IFERROR(__xludf.DUMMYFUNCTION("""COMPUTED_VALUE"""),46157.47293981481)</f>
        <v>46157.47294</v>
      </c>
      <c r="AH309" s="5"/>
      <c r="AI309" s="5"/>
      <c r="AJ309" s="5"/>
      <c r="AK309" s="5">
        <f>IFERROR(__xludf.DUMMYFUNCTION("""COMPUTED_VALUE"""),1.0)</f>
        <v>1</v>
      </c>
      <c r="AL309" s="5" t="str">
        <f>IFERROR(__xludf.DUMMYFUNCTION("""COMPUTED_VALUE"""),"No")</f>
        <v>No</v>
      </c>
      <c r="AM309" s="5" t="str">
        <f>IFERROR(__xludf.DUMMYFUNCTION("""COMPUTED_VALUE"""),"No")</f>
        <v>No</v>
      </c>
      <c r="AN309" s="7" t="str">
        <f>IFERROR(__xludf.DUMMYFUNCTION("""COMPUTED_VALUE"""),"https://static.redstone.rs/games/lady-triple-fortune/")</f>
        <v>https://static.redstone.rs/games/lady-triple-fortune/</v>
      </c>
      <c r="AO309" s="5" t="str">
        <f>IFERROR(__xludf.DUMMYFUNCTION("""COMPUTED_VALUE"""),"No")</f>
        <v>No</v>
      </c>
      <c r="AP309" s="5" t="str">
        <f>IFERROR(__xludf.DUMMYFUNCTION("""COMPUTED_VALUE"""),"No")</f>
        <v>No</v>
      </c>
      <c r="AQ309" s="5" t="b">
        <f>IFERROR(__xludf.DUMMYFUNCTION("""COMPUTED_VALUE"""),TRUE)</f>
        <v>1</v>
      </c>
      <c r="AR309" s="5"/>
      <c r="AS309" s="5" t="str">
        <f>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AT309" s="5"/>
      <c r="AU309" s="5" t="str">
        <f>IFERROR(__xludf.DUMMYFUNCTION("""COMPUTED_VALUE"""),"Redstone")</f>
        <v>Redstone</v>
      </c>
      <c r="AV309" s="5"/>
      <c r="AW309" s="5"/>
      <c r="AX309" s="5"/>
      <c r="AY309" s="5"/>
      <c r="AZ309" s="5"/>
      <c r="BA309" s="5"/>
      <c r="BB309" s="5" t="b">
        <f>IFERROR(__xludf.DUMMYFUNCTION("""COMPUTED_VALUE"""),TRUE)</f>
        <v>1</v>
      </c>
      <c r="BC309" s="5" t="str">
        <f>IFERROR(__xludf.DUMMYFUNCTION("""COMPUTED_VALUE"""),"Redstone")</f>
        <v>Redstone</v>
      </c>
      <c r="BD309" s="7" t="str">
        <f>IFERROR(__xludf.DUMMYFUNCTION("""COMPUTED_VALUE"""),"https://static.redstone.rs/games/lady-triple-fortune/")</f>
        <v>https://static.redstone.rs/games/lady-triple-fortune/</v>
      </c>
      <c r="BE309" s="5" t="b">
        <f>IFERROR(__xludf.DUMMYFUNCTION("""COMPUTED_VALUE"""),TRUE)</f>
        <v>1</v>
      </c>
    </row>
    <row r="310">
      <c r="A310" s="5">
        <f>IFERROR(__xludf.DUMMYFUNCTION("""COMPUTED_VALUE"""),310.0)</f>
        <v>310</v>
      </c>
      <c r="B310" s="5">
        <f>IFERROR(__xludf.DUMMYFUNCTION("""COMPUTED_VALUE"""),309.0)</f>
        <v>309</v>
      </c>
      <c r="C310" s="5" t="str">
        <f>IFERROR(__xludf.DUMMYFUNCTION("""COMPUTED_VALUE"""),"Redstone")</f>
        <v>Redstone</v>
      </c>
      <c r="D310" s="5" t="str">
        <f>IFERROR(__xludf.DUMMYFUNCTION("""COMPUTED_VALUE"""),"Hot Rush Stars Deluxe")</f>
        <v>Hot Rush Stars Deluxe</v>
      </c>
      <c r="E310" s="5" t="str">
        <f>IFERROR(__xludf.DUMMYFUNCTION("""COMPUTED_VALUE"""),"Redstone")</f>
        <v>Redstone</v>
      </c>
      <c r="F310" s="5" t="str">
        <f>IFERROR(__xludf.DUMMYFUNCTION("""COMPUTED_VALUE"""),"RedstoneHotRushStarsDeluxe")</f>
        <v>RedstoneHotRushStarsDeluxe</v>
      </c>
      <c r="G310" s="5" t="str">
        <f>IFERROR(__xludf.DUMMYFUNCTION("""COMPUTED_VALUE"""),"Live")</f>
        <v>Live</v>
      </c>
      <c r="H310" s="5"/>
      <c r="I310" s="5" t="str">
        <f>IFERROR(__xludf.DUMMYFUNCTION("""COMPUTED_VALUE"""),"Redstone")</f>
        <v>Redstone</v>
      </c>
      <c r="J310" s="5" t="str">
        <f>IFERROR(__xludf.DUMMYFUNCTION("""COMPUTED_VALUE"""),"JSON")</f>
        <v>JSON</v>
      </c>
      <c r="K310" s="5" t="str">
        <f>IFERROR(__xludf.DUMMYFUNCTION("""COMPUTED_VALUE"""),"Slot")</f>
        <v>Slot</v>
      </c>
      <c r="L310" s="5" t="str">
        <f>IFERROR(__xludf.DUMMYFUNCTION("""COMPUTED_VALUE""")," Clone")</f>
        <v> Clone</v>
      </c>
      <c r="M310" s="5" t="str">
        <f>IFERROR(__xludf.DUMMYFUNCTION("""COMPUTED_VALUE"""),"Blazing Heat")</f>
        <v>Blazing Heat</v>
      </c>
      <c r="N310" s="7" t="str">
        <f>IFERROR(__xludf.DUMMYFUNCTION("""COMPUTED_VALUE"""),"https://docs.google.com/document/d/1qojyhg6StEvl3u5X0MaSIIahYXE51idz/edit?usp=drive_link&amp;ouid=107596163405648766688&amp;rtpof=true&amp;sd=true")</f>
        <v>https://docs.google.com/document/d/1qojyhg6StEvl3u5X0MaSIIahYXE51idz/edit?usp=drive_link&amp;ouid=107596163405648766688&amp;rtpof=true&amp;sd=true</v>
      </c>
      <c r="O310" s="7" t="str">
        <f>IFERROR(__xludf.DUMMYFUNCTION("""COMPUTED_VALUE"""),"https://docs.google.com/document/d/18GNqOxG-IfrZF7FgIDbx__reQdjcDGUy/edit?usp=drive_link&amp;ouid=107596163405648766688&amp;rtpof=true&amp;sd=true")</f>
        <v>https://docs.google.com/document/d/18GNqOxG-IfrZF7FgIDbx__reQdjcDGUy/edit?usp=drive_link&amp;ouid=107596163405648766688&amp;rtpof=true&amp;sd=true</v>
      </c>
      <c r="P310" s="12">
        <f>IFERROR(__xludf.DUMMYFUNCTION("""COMPUTED_VALUE"""),8.0)</f>
        <v>8</v>
      </c>
      <c r="Q310" s="13">
        <f>IFERROR(__xludf.DUMMYFUNCTION("""COMPUTED_VALUE"""),45364.0)</f>
        <v>45364</v>
      </c>
      <c r="R310" s="14"/>
      <c r="S310" s="13">
        <f>IFERROR(__xludf.DUMMYFUNCTION("""COMPUTED_VALUE"""),45364.0)</f>
        <v>45364</v>
      </c>
      <c r="T310" s="5" t="b">
        <f>IFERROR(__xludf.DUMMYFUNCTION("""COMPUTED_VALUE"""),TRUE)</f>
        <v>1</v>
      </c>
      <c r="U310" s="5" t="str">
        <f>IFERROR(__xludf.DUMMYFUNCTION("""COMPUTED_VALUE"""),"5x3")</f>
        <v>5x3</v>
      </c>
      <c r="V310" s="10" t="str">
        <f>IFERROR(__xludf.DUMMYFUNCTION("""COMPUTED_VALUE"""),"5")</f>
        <v>5</v>
      </c>
      <c r="W310" s="10" t="str">
        <f>IFERROR(__xludf.DUMMYFUNCTION("""COMPUTED_VALUE"""),"5")</f>
        <v>5</v>
      </c>
      <c r="X310" s="11">
        <f>IFERROR(__xludf.DUMMYFUNCTION("""COMPUTED_VALUE"""),96.15)</f>
        <v>96.15</v>
      </c>
      <c r="Y310" s="5" t="str">
        <f>IFERROR(__xludf.DUMMYFUNCTION("""COMPUTED_VALUE"""),"Medium")</f>
        <v>Medium</v>
      </c>
      <c r="Z310" s="5">
        <f>IFERROR(__xludf.DUMMYFUNCTION("""COMPUTED_VALUE"""),12.88)</f>
        <v>12.88</v>
      </c>
      <c r="AA310" s="12">
        <f>IFERROR(__xludf.DUMMYFUNCTION("""COMPUTED_VALUE"""),1000.0)</f>
        <v>1000</v>
      </c>
      <c r="AB310" s="5">
        <f>IFERROR(__xludf.DUMMYFUNCTION("""COMPUTED_VALUE"""),-23.0)</f>
        <v>-23</v>
      </c>
      <c r="AC310" s="5" t="str">
        <f>IFERROR(__xludf.DUMMYFUNCTION("""COMPUTED_VALUE"""),"Scatter")</f>
        <v>Scatter</v>
      </c>
      <c r="AD310" s="5" t="str">
        <f>IFERROR(__xludf.DUMMYFUNCTION("""COMPUTED_VALUE"""),"0.05/100")</f>
        <v>0.05/100</v>
      </c>
      <c r="AE310" s="5"/>
      <c r="AF310" s="5"/>
      <c r="AG310" s="8">
        <f>IFERROR(__xludf.DUMMYFUNCTION("""COMPUTED_VALUE"""),46157.47282407407)</f>
        <v>46157.47282</v>
      </c>
      <c r="AH310" s="5"/>
      <c r="AI310" s="5"/>
      <c r="AJ310" s="5"/>
      <c r="AK310" s="5">
        <f>IFERROR(__xludf.DUMMYFUNCTION("""COMPUTED_VALUE"""),1.0)</f>
        <v>1</v>
      </c>
      <c r="AL310" s="5" t="str">
        <f>IFERROR(__xludf.DUMMYFUNCTION("""COMPUTED_VALUE"""),"No")</f>
        <v>No</v>
      </c>
      <c r="AM310" s="5" t="str">
        <f>IFERROR(__xludf.DUMMYFUNCTION("""COMPUTED_VALUE"""),"No")</f>
        <v>No</v>
      </c>
      <c r="AN310" s="7" t="str">
        <f>IFERROR(__xludf.DUMMYFUNCTION("""COMPUTED_VALUE"""),"https://static.redstone.rs/games/hot-rush-stars-deluxe/")</f>
        <v>https://static.redstone.rs/games/hot-rush-stars-deluxe/</v>
      </c>
      <c r="AO310" s="5" t="str">
        <f>IFERROR(__xludf.DUMMYFUNCTION("""COMPUTED_VALUE"""),"No")</f>
        <v>No</v>
      </c>
      <c r="AP310" s="5" t="str">
        <f>IFERROR(__xludf.DUMMYFUNCTION("""COMPUTED_VALUE"""),"No")</f>
        <v>No</v>
      </c>
      <c r="AQ310" s="5" t="b">
        <f>IFERROR(__xludf.DUMMYFUNCTION("""COMPUTED_VALUE"""),TRUE)</f>
        <v>1</v>
      </c>
      <c r="AR310" s="5"/>
      <c r="AS310" s="5" t="str">
        <f>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AT310" s="5"/>
      <c r="AU310" s="5" t="str">
        <f>IFERROR(__xludf.DUMMYFUNCTION("""COMPUTED_VALUE"""),"Redstone")</f>
        <v>Redstone</v>
      </c>
      <c r="AV310" s="5"/>
      <c r="AW310" s="5"/>
      <c r="AX310" s="5"/>
      <c r="AY310" s="5"/>
      <c r="AZ310" s="5"/>
      <c r="BA310" s="5"/>
      <c r="BB310" s="5" t="b">
        <f>IFERROR(__xludf.DUMMYFUNCTION("""COMPUTED_VALUE"""),TRUE)</f>
        <v>1</v>
      </c>
      <c r="BC310" s="5" t="str">
        <f>IFERROR(__xludf.DUMMYFUNCTION("""COMPUTED_VALUE"""),"Redstone")</f>
        <v>Redstone</v>
      </c>
      <c r="BD310" s="7" t="str">
        <f>IFERROR(__xludf.DUMMYFUNCTION("""COMPUTED_VALUE"""),"https://static.redstone.rs/games/hot-rush-stars-deluxe/")</f>
        <v>https://static.redstone.rs/games/hot-rush-stars-deluxe/</v>
      </c>
      <c r="BE310" s="5" t="b">
        <f>IFERROR(__xludf.DUMMYFUNCTION("""COMPUTED_VALUE"""),TRUE)</f>
        <v>1</v>
      </c>
    </row>
    <row r="311">
      <c r="A311" s="5">
        <f>IFERROR(__xludf.DUMMYFUNCTION("""COMPUTED_VALUE"""),311.0)</f>
        <v>311</v>
      </c>
      <c r="B311" s="5">
        <f>IFERROR(__xludf.DUMMYFUNCTION("""COMPUTED_VALUE"""),310.0)</f>
        <v>310</v>
      </c>
      <c r="C311" s="5" t="str">
        <f>IFERROR(__xludf.DUMMYFUNCTION("""COMPUTED_VALUE"""),"Fazi")</f>
        <v>Fazi</v>
      </c>
      <c r="D311" s="5" t="str">
        <f>IFERROR(__xludf.DUMMYFUNCTION("""COMPUTED_VALUE"""),"Wild 81")</f>
        <v>Wild 81</v>
      </c>
      <c r="E311" s="5" t="str">
        <f>IFERROR(__xludf.DUMMYFUNCTION("""COMPUTED_VALUE"""),"V4-1")</f>
        <v>V4-1</v>
      </c>
      <c r="F311" s="5" t="str">
        <f>IFERROR(__xludf.DUMMYFUNCTION("""COMPUTED_VALUE"""),"Wild81")</f>
        <v>Wild81</v>
      </c>
      <c r="G311" s="5" t="str">
        <f>IFERROR(__xludf.DUMMYFUNCTION("""COMPUTED_VALUE"""),"Live")</f>
        <v>Live</v>
      </c>
      <c r="H311" s="5"/>
      <c r="I311" s="5" t="str">
        <f>IFERROR(__xludf.DUMMYFUNCTION("""COMPUTED_VALUE"""),"V4")</f>
        <v>V4</v>
      </c>
      <c r="J311" s="5" t="str">
        <f>IFERROR(__xludf.DUMMYFUNCTION("""COMPUTED_VALUE"""),"JSON")</f>
        <v>JSON</v>
      </c>
      <c r="K311" s="5" t="str">
        <f>IFERROR(__xludf.DUMMYFUNCTION("""COMPUTED_VALUE"""),"Slot")</f>
        <v>Slot</v>
      </c>
      <c r="L311" s="5"/>
      <c r="M311" s="5"/>
      <c r="N311" s="5"/>
      <c r="O311" s="5"/>
      <c r="P311" s="12">
        <f>IFERROR(__xludf.DUMMYFUNCTION("""COMPUTED_VALUE"""),13.3)</f>
        <v>13.3</v>
      </c>
      <c r="Q311" s="13">
        <f>IFERROR(__xludf.DUMMYFUNCTION("""COMPUTED_VALUE"""),45407.0)</f>
        <v>45407</v>
      </c>
      <c r="R311" s="14"/>
      <c r="S311" s="13">
        <f>IFERROR(__xludf.DUMMYFUNCTION("""COMPUTED_VALUE"""),45407.0)</f>
        <v>45407</v>
      </c>
      <c r="T311" s="5" t="b">
        <f>IFERROR(__xludf.DUMMYFUNCTION("""COMPUTED_VALUE"""),TRUE)</f>
        <v>1</v>
      </c>
      <c r="U311" s="5" t="str">
        <f>IFERROR(__xludf.DUMMYFUNCTION("""COMPUTED_VALUE"""),"4x3")</f>
        <v>4x3</v>
      </c>
      <c r="V311" s="10" t="str">
        <f>IFERROR(__xludf.DUMMYFUNCTION("""COMPUTED_VALUE"""),"81")</f>
        <v>81</v>
      </c>
      <c r="W311" s="10" t="str">
        <f>IFERROR(__xludf.DUMMYFUNCTION("""COMPUTED_VALUE"""),"81")</f>
        <v>81</v>
      </c>
      <c r="X311" s="5">
        <f>IFERROR(__xludf.DUMMYFUNCTION("""COMPUTED_VALUE"""),96.55)</f>
        <v>96.55</v>
      </c>
      <c r="Y311" s="5" t="str">
        <f>IFERROR(__xludf.DUMMYFUNCTION("""COMPUTED_VALUE"""),"High")</f>
        <v>High</v>
      </c>
      <c r="Z311" s="5">
        <f>IFERROR(__xludf.DUMMYFUNCTION("""COMPUTED_VALUE"""),5.1)</f>
        <v>5.1</v>
      </c>
      <c r="AA311" s="12">
        <f>IFERROR(__xludf.DUMMYFUNCTION("""COMPUTED_VALUE"""),3200.0)</f>
        <v>3200</v>
      </c>
      <c r="AB311" s="5">
        <f>IFERROR(__xludf.DUMMYFUNCTION("""COMPUTED_VALUE"""),542.0)</f>
        <v>542</v>
      </c>
      <c r="AC311" s="5" t="str">
        <f>IFERROR(__xludf.DUMMYFUNCTION("""COMPUTED_VALUE"""),"Wild Multiplier, Scatter")</f>
        <v>Wild Multiplier, Scatter</v>
      </c>
      <c r="AD311" s="5" t="str">
        <f>IFERROR(__xludf.DUMMYFUNCTION("""COMPUTED_VALUE"""),"0.05/20")</f>
        <v>0.05/20</v>
      </c>
      <c r="AE311" s="5"/>
      <c r="AF311" s="5"/>
      <c r="AG311" s="8">
        <f>IFERROR(__xludf.DUMMYFUNCTION("""COMPUTED_VALUE"""),46176.48332175926)</f>
        <v>46176.48332</v>
      </c>
      <c r="AH311" s="5" t="str">
        <f>IFERROR(__xludf.DUMMYFUNCTION("""COMPUTED_VALUE"""),"djordje.petrovic@fazi.rs")</f>
        <v>djordje.petrovic@fazi.rs</v>
      </c>
      <c r="AI311" s="5"/>
      <c r="AJ311" s="5"/>
      <c r="AK311" s="5">
        <f>IFERROR(__xludf.DUMMYFUNCTION("""COMPUTED_VALUE"""),5.0)</f>
        <v>5</v>
      </c>
      <c r="AL311" s="5" t="str">
        <f>IFERROR(__xludf.DUMMYFUNCTION("""COMPUTED_VALUE"""),"Yes")</f>
        <v>Yes</v>
      </c>
      <c r="AM311" s="5" t="str">
        <f>IFERROR(__xludf.DUMMYFUNCTION("""COMPUTED_VALUE"""),"No")</f>
        <v>No</v>
      </c>
      <c r="AN311" s="7" t="str">
        <f>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AO311" s="5" t="str">
        <f>IFERROR(__xludf.DUMMYFUNCTION("""COMPUTED_VALUE"""),"Yes")</f>
        <v>Yes</v>
      </c>
      <c r="AP311" s="5" t="str">
        <f>IFERROR(__xludf.DUMMYFUNCTION("""COMPUTED_VALUE"""),"Yes")</f>
        <v>Yes</v>
      </c>
      <c r="AQ311" s="5" t="b">
        <f>IFERROR(__xludf.DUMMYFUNCTION("""COMPUTED_VALUE"""),TRUE)</f>
        <v>1</v>
      </c>
      <c r="AR311" s="5"/>
      <c r="AS311" s="5" t="str">
        <f>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AT311" s="5" t="str">
        <f>IFERROR(__xludf.DUMMYFUNCTION("""COMPUTED_VALUE"""),"Yes")</f>
        <v>Yes</v>
      </c>
      <c r="AU311" s="5" t="str">
        <f>IFERROR(__xludf.DUMMYFUNCTION("""COMPUTED_VALUE"""),"Fazi")</f>
        <v>Fazi</v>
      </c>
      <c r="AV311" s="5"/>
      <c r="AW311"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1" s="5"/>
      <c r="AY311" s="5"/>
      <c r="AZ311" s="5"/>
      <c r="BA311" s="5"/>
      <c r="BB311" s="5"/>
      <c r="BC311" s="5" t="str">
        <f>IFERROR(__xludf.DUMMYFUNCTION("""COMPUTED_VALUE"""),"Foxi")</f>
        <v>Foxi</v>
      </c>
      <c r="BD311" s="7" t="str">
        <f>IFERROR(__xludf.DUMMYFUNCTION("""COMPUTED_VALUE"""),"https://gameserver-store-client-area.orbionlimited.com/Home/IntegrationGameLaunch/client-area?moneyType=0&amp;gameName=Wild81&amp;platform=desktop&amp;languageCode=eng&amp;currency=EUR")</f>
        <v>https://gameserver-store-client-area.orbionlimited.com/Home/IntegrationGameLaunch/client-area?moneyType=0&amp;gameName=Wild81&amp;platform=desktop&amp;languageCode=eng&amp;currency=EUR</v>
      </c>
      <c r="BE311" s="5" t="b">
        <f>IFERROR(__xludf.DUMMYFUNCTION("""COMPUTED_VALUE"""),TRUE)</f>
        <v>1</v>
      </c>
    </row>
    <row r="312">
      <c r="A312" s="5">
        <f>IFERROR(__xludf.DUMMYFUNCTION("""COMPUTED_VALUE"""),312.0)</f>
        <v>312</v>
      </c>
      <c r="B312" s="5">
        <f>IFERROR(__xludf.DUMMYFUNCTION("""COMPUTED_VALUE"""),311.0)</f>
        <v>311</v>
      </c>
      <c r="C312" s="5" t="str">
        <f>IFERROR(__xludf.DUMMYFUNCTION("""COMPUTED_VALUE"""),"Fazi")</f>
        <v>Fazi</v>
      </c>
      <c r="D312" s="5" t="str">
        <f>IFERROR(__xludf.DUMMYFUNCTION("""COMPUTED_VALUE"""),"Mystic Jungle")</f>
        <v>Mystic Jungle</v>
      </c>
      <c r="E312" s="5" t="str">
        <f>IFERROR(__xludf.DUMMYFUNCTION("""COMPUTED_VALUE"""),"V4-1")</f>
        <v>V4-1</v>
      </c>
      <c r="F312" s="5" t="str">
        <f>IFERROR(__xludf.DUMMYFUNCTION("""COMPUTED_VALUE"""),"MysticJungle")</f>
        <v>MysticJungle</v>
      </c>
      <c r="G312" s="5" t="str">
        <f>IFERROR(__xludf.DUMMYFUNCTION("""COMPUTED_VALUE"""),"Live")</f>
        <v>Live</v>
      </c>
      <c r="H312" s="5"/>
      <c r="I312" s="5" t="str">
        <f>IFERROR(__xludf.DUMMYFUNCTION("""COMPUTED_VALUE"""),"V4")</f>
        <v>V4</v>
      </c>
      <c r="J312" s="5" t="str">
        <f>IFERROR(__xludf.DUMMYFUNCTION("""COMPUTED_VALUE"""),"JSON")</f>
        <v>JSON</v>
      </c>
      <c r="K312" s="5" t="str">
        <f>IFERROR(__xludf.DUMMYFUNCTION("""COMPUTED_VALUE"""),"Slot")</f>
        <v>Slot</v>
      </c>
      <c r="L312" s="5"/>
      <c r="M312" s="5"/>
      <c r="N312" s="5"/>
      <c r="O312" s="5"/>
      <c r="P312" s="12">
        <f>IFERROR(__xludf.DUMMYFUNCTION("""COMPUTED_VALUE"""),19.1)</f>
        <v>19.1</v>
      </c>
      <c r="Q312" s="13">
        <f>IFERROR(__xludf.DUMMYFUNCTION("""COMPUTED_VALUE"""),45439.0)</f>
        <v>45439</v>
      </c>
      <c r="R312" s="14"/>
      <c r="S312" s="13">
        <f>IFERROR(__xludf.DUMMYFUNCTION("""COMPUTED_VALUE"""),45439.0)</f>
        <v>45439</v>
      </c>
      <c r="T312" s="5" t="b">
        <f>IFERROR(__xludf.DUMMYFUNCTION("""COMPUTED_VALUE"""),TRUE)</f>
        <v>1</v>
      </c>
      <c r="U312" s="5" t="str">
        <f>IFERROR(__xludf.DUMMYFUNCTION("""COMPUTED_VALUE"""),"5x3")</f>
        <v>5x3</v>
      </c>
      <c r="V312" s="10" t="str">
        <f>IFERROR(__xludf.DUMMYFUNCTION("""COMPUTED_VALUE"""),"10")</f>
        <v>10</v>
      </c>
      <c r="W312" s="10" t="str">
        <f>IFERROR(__xludf.DUMMYFUNCTION("""COMPUTED_VALUE"""),"10")</f>
        <v>10</v>
      </c>
      <c r="X312" s="5">
        <f>IFERROR(__xludf.DUMMYFUNCTION("""COMPUTED_VALUE"""),96.494)</f>
        <v>96.494</v>
      </c>
      <c r="Y312" s="5" t="str">
        <f>IFERROR(__xludf.DUMMYFUNCTION("""COMPUTED_VALUE"""),"Medium")</f>
        <v>Medium</v>
      </c>
      <c r="Z312" s="5">
        <f>IFERROR(__xludf.DUMMYFUNCTION("""COMPUTED_VALUE"""),9.824)</f>
        <v>9.824</v>
      </c>
      <c r="AA312" s="12">
        <f>IFERROR(__xludf.DUMMYFUNCTION("""COMPUTED_VALUE"""),500.0)</f>
        <v>500</v>
      </c>
      <c r="AB312" s="5">
        <f>IFERROR(__xludf.DUMMYFUNCTION("""COMPUTED_VALUE"""),8.0)</f>
        <v>8</v>
      </c>
      <c r="AC312" s="5" t="str">
        <f>IFERROR(__xludf.DUMMYFUNCTION("""COMPUTED_VALUE"""),"Mystery symbol")</f>
        <v>Mystery symbol</v>
      </c>
      <c r="AD312" s="5" t="str">
        <f>IFERROR(__xludf.DUMMYFUNCTION("""COMPUTED_VALUE"""),"0.1/40")</f>
        <v>0.1/40</v>
      </c>
      <c r="AE312" s="5"/>
      <c r="AF312" s="5"/>
      <c r="AG312" s="8">
        <f>IFERROR(__xludf.DUMMYFUNCTION("""COMPUTED_VALUE"""),46127.437002314815)</f>
        <v>46127.437</v>
      </c>
      <c r="AH312" s="5" t="str">
        <f>IFERROR(__xludf.DUMMYFUNCTION("""COMPUTED_VALUE"""),"djordje.petrovic@fazi.rs")</f>
        <v>djordje.petrovic@fazi.rs</v>
      </c>
      <c r="AI312" s="5"/>
      <c r="AJ312" s="5"/>
      <c r="AK312" s="5">
        <f>IFERROR(__xludf.DUMMYFUNCTION("""COMPUTED_VALUE"""),10.0)</f>
        <v>10</v>
      </c>
      <c r="AL312" s="5" t="str">
        <f>IFERROR(__xludf.DUMMYFUNCTION("""COMPUTED_VALUE"""),"Yes")</f>
        <v>Yes</v>
      </c>
      <c r="AM312" s="5"/>
      <c r="AN312" s="7" t="str">
        <f>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AO312" s="5" t="str">
        <f>IFERROR(__xludf.DUMMYFUNCTION("""COMPUTED_VALUE"""),"Yes")</f>
        <v>Yes</v>
      </c>
      <c r="AP312" s="5" t="str">
        <f>IFERROR(__xludf.DUMMYFUNCTION("""COMPUTED_VALUE"""),"Yes")</f>
        <v>Yes</v>
      </c>
      <c r="AQ312" s="5" t="b">
        <f>IFERROR(__xludf.DUMMYFUNCTION("""COMPUTED_VALUE"""),TRUE)</f>
        <v>1</v>
      </c>
      <c r="AR312" s="5"/>
      <c r="AS312" s="5" t="str">
        <f>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AT312" s="5" t="str">
        <f>IFERROR(__xludf.DUMMYFUNCTION("""COMPUTED_VALUE"""),"Yes")</f>
        <v>Yes</v>
      </c>
      <c r="AU312" s="5" t="str">
        <f>IFERROR(__xludf.DUMMYFUNCTION("""COMPUTED_VALUE"""),"Fazi")</f>
        <v>Fazi</v>
      </c>
      <c r="AV312" s="5"/>
      <c r="AW312"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2" s="5"/>
      <c r="AY312" s="5"/>
      <c r="AZ312" s="5"/>
      <c r="BA312" s="5"/>
      <c r="BB312" s="5"/>
      <c r="BC312" s="5" t="str">
        <f>IFERROR(__xludf.DUMMYFUNCTION("""COMPUTED_VALUE"""),"Foxi")</f>
        <v>Foxi</v>
      </c>
      <c r="BD312" s="7" t="str">
        <f>IFERROR(__xludf.DUMMYFUNCTION("""COMPUTED_VALUE"""),"https://gameserver-store-client-area.orbionlimited.com/Home/IntegrationGameLaunch/client-area?moneyType=0&amp;gameName=MysticJungle&amp;platform=desktop&amp;languageCode=eng&amp;currency=EUR")</f>
        <v>https://gameserver-store-client-area.orbionlimited.com/Home/IntegrationGameLaunch/client-area?moneyType=0&amp;gameName=MysticJungle&amp;platform=desktop&amp;languageCode=eng&amp;currency=EUR</v>
      </c>
      <c r="BE312" s="5" t="b">
        <f>IFERROR(__xludf.DUMMYFUNCTION("""COMPUTED_VALUE"""),TRUE)</f>
        <v>1</v>
      </c>
    </row>
    <row r="313">
      <c r="A313" s="5">
        <f>IFERROR(__xludf.DUMMYFUNCTION("""COMPUTED_VALUE"""),313.0)</f>
        <v>313</v>
      </c>
      <c r="B313" s="5">
        <f>IFERROR(__xludf.DUMMYFUNCTION("""COMPUTED_VALUE"""),312.0)</f>
        <v>312</v>
      </c>
      <c r="C313" s="5" t="str">
        <f>IFERROR(__xludf.DUMMYFUNCTION("""COMPUTED_VALUE"""),"Redstone")</f>
        <v>Redstone</v>
      </c>
      <c r="D313" s="5" t="str">
        <f>IFERROR(__xludf.DUMMYFUNCTION("""COMPUTED_VALUE"""),"Slot Royale")</f>
        <v>Slot Royale</v>
      </c>
      <c r="E313" s="5" t="str">
        <f>IFERROR(__xludf.DUMMYFUNCTION("""COMPUTED_VALUE"""),"Redstone")</f>
        <v>Redstone</v>
      </c>
      <c r="F313" s="5" t="str">
        <f>IFERROR(__xludf.DUMMYFUNCTION("""COMPUTED_VALUE"""),"RedstoneSlotRoyale")</f>
        <v>RedstoneSlotRoyale</v>
      </c>
      <c r="G313" s="5" t="str">
        <f>IFERROR(__xludf.DUMMYFUNCTION("""COMPUTED_VALUE"""),"Live")</f>
        <v>Live</v>
      </c>
      <c r="H313" s="5"/>
      <c r="I313" s="5" t="str">
        <f>IFERROR(__xludf.DUMMYFUNCTION("""COMPUTED_VALUE"""),"Redstone")</f>
        <v>Redstone</v>
      </c>
      <c r="J313" s="5" t="str">
        <f>IFERROR(__xludf.DUMMYFUNCTION("""COMPUTED_VALUE"""),"JSON")</f>
        <v>JSON</v>
      </c>
      <c r="K313" s="5" t="str">
        <f>IFERROR(__xludf.DUMMYFUNCTION("""COMPUTED_VALUE"""),"Slot")</f>
        <v>Slot</v>
      </c>
      <c r="L313" s="5" t="str">
        <f>IFERROR(__xludf.DUMMYFUNCTION("""COMPUTED_VALUE""")," Clone")</f>
        <v> Clone</v>
      </c>
      <c r="M313" s="5" t="str">
        <f>IFERROR(__xludf.DUMMYFUNCTION("""COMPUTED_VALUE"""),"10 Wild Crown")</f>
        <v>10 Wild Crown</v>
      </c>
      <c r="N313" s="7" t="str">
        <f>IFERROR(__xludf.DUMMYFUNCTION("""COMPUTED_VALUE"""),"https://docs.google.com/document/d/1U4DNn9-d1b6GRqHeFhj0MRXSPX_A91CH/edit?usp=drive_link&amp;ouid=107596163405648766688&amp;rtpof=true&amp;sd=true")</f>
        <v>https://docs.google.com/document/d/1U4DNn9-d1b6GRqHeFhj0MRXSPX_A91CH/edit?usp=drive_link&amp;ouid=107596163405648766688&amp;rtpof=true&amp;sd=true</v>
      </c>
      <c r="O313" s="7" t="str">
        <f>IFERROR(__xludf.DUMMYFUNCTION("""COMPUTED_VALUE"""),"https://docs.google.com/document/d/1MIVYMaF7eJW5PpLAKh85bop6buH12dCh/edit?usp=drive_link&amp;ouid=107596163405648766688&amp;rtpof=true&amp;sd=true")</f>
        <v>https://docs.google.com/document/d/1MIVYMaF7eJW5PpLAKh85bop6buH12dCh/edit?usp=drive_link&amp;ouid=107596163405648766688&amp;rtpof=true&amp;sd=true</v>
      </c>
      <c r="P313" s="12">
        <f>IFERROR(__xludf.DUMMYFUNCTION("""COMPUTED_VALUE"""),9.1)</f>
        <v>9.1</v>
      </c>
      <c r="Q313" s="13">
        <f>IFERROR(__xludf.DUMMYFUNCTION("""COMPUTED_VALUE"""),45355.0)</f>
        <v>45355</v>
      </c>
      <c r="R313" s="14"/>
      <c r="S313" s="13">
        <f>IFERROR(__xludf.DUMMYFUNCTION("""COMPUTED_VALUE"""),45355.0)</f>
        <v>45355</v>
      </c>
      <c r="T313" s="5" t="b">
        <f>IFERROR(__xludf.DUMMYFUNCTION("""COMPUTED_VALUE"""),TRUE)</f>
        <v>1</v>
      </c>
      <c r="U313" s="5" t="str">
        <f>IFERROR(__xludf.DUMMYFUNCTION("""COMPUTED_VALUE"""),"5x3")</f>
        <v>5x3</v>
      </c>
      <c r="V313" s="10" t="str">
        <f>IFERROR(__xludf.DUMMYFUNCTION("""COMPUTED_VALUE"""),"10")</f>
        <v>10</v>
      </c>
      <c r="W313" s="10" t="str">
        <f>IFERROR(__xludf.DUMMYFUNCTION("""COMPUTED_VALUE"""),"10")</f>
        <v>10</v>
      </c>
      <c r="X313" s="5">
        <f>IFERROR(__xludf.DUMMYFUNCTION("""COMPUTED_VALUE"""),95.96)</f>
        <v>95.96</v>
      </c>
      <c r="Y313" s="5" t="str">
        <f>IFERROR(__xludf.DUMMYFUNCTION("""COMPUTED_VALUE"""),"Medium")</f>
        <v>Medium</v>
      </c>
      <c r="Z313" s="5">
        <f>IFERROR(__xludf.DUMMYFUNCTION("""COMPUTED_VALUE"""),14.63)</f>
        <v>14.63</v>
      </c>
      <c r="AA313" s="12">
        <f>IFERROR(__xludf.DUMMYFUNCTION("""COMPUTED_VALUE"""),1538.0)</f>
        <v>1538</v>
      </c>
      <c r="AB313" s="5"/>
      <c r="AC313" s="5" t="str">
        <f>IFERROR(__xludf.DUMMYFUNCTION("""COMPUTED_VALUE"""),"Expanding Wild, Scatter")</f>
        <v>Expanding Wild, Scatter</v>
      </c>
      <c r="AD313" s="5" t="str">
        <f>IFERROR(__xludf.DUMMYFUNCTION("""COMPUTED_VALUE"""),"0.05/100")</f>
        <v>0.05/100</v>
      </c>
      <c r="AE313" s="5"/>
      <c r="AF313" s="5"/>
      <c r="AG313" s="8">
        <f>IFERROR(__xludf.DUMMYFUNCTION("""COMPUTED_VALUE"""),46157.47137731482)</f>
        <v>46157.47138</v>
      </c>
      <c r="AH313" s="5"/>
      <c r="AI313" s="5"/>
      <c r="AJ313" s="5"/>
      <c r="AK313" s="5">
        <f>IFERROR(__xludf.DUMMYFUNCTION("""COMPUTED_VALUE"""),1.0)</f>
        <v>1</v>
      </c>
      <c r="AL313" s="5" t="str">
        <f>IFERROR(__xludf.DUMMYFUNCTION("""COMPUTED_VALUE"""),"No")</f>
        <v>No</v>
      </c>
      <c r="AM313" s="5" t="str">
        <f>IFERROR(__xludf.DUMMYFUNCTION("""COMPUTED_VALUE"""),"No")</f>
        <v>No</v>
      </c>
      <c r="AN313" s="7" t="str">
        <f>IFERROR(__xludf.DUMMYFUNCTION("""COMPUTED_VALUE"""),"https://static.redstone.rs/games/slot-royale/")</f>
        <v>https://static.redstone.rs/games/slot-royale/</v>
      </c>
      <c r="AO313" s="5" t="str">
        <f>IFERROR(__xludf.DUMMYFUNCTION("""COMPUTED_VALUE"""),"No")</f>
        <v>No</v>
      </c>
      <c r="AP313" s="5" t="str">
        <f>IFERROR(__xludf.DUMMYFUNCTION("""COMPUTED_VALUE"""),"No")</f>
        <v>No</v>
      </c>
      <c r="AQ313" s="5" t="b">
        <f>IFERROR(__xludf.DUMMYFUNCTION("""COMPUTED_VALUE"""),TRUE)</f>
        <v>1</v>
      </c>
      <c r="AR313" s="5"/>
      <c r="AS313" s="5" t="str">
        <f>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AT313" s="5"/>
      <c r="AU313" s="5" t="str">
        <f>IFERROR(__xludf.DUMMYFUNCTION("""COMPUTED_VALUE"""),"Redstone")</f>
        <v>Redstone</v>
      </c>
      <c r="AV313" s="5"/>
      <c r="AW313" s="5"/>
      <c r="AX313" s="5"/>
      <c r="AY313" s="5"/>
      <c r="AZ313" s="5"/>
      <c r="BA313" s="5"/>
      <c r="BB313" s="5" t="b">
        <f>IFERROR(__xludf.DUMMYFUNCTION("""COMPUTED_VALUE"""),TRUE)</f>
        <v>1</v>
      </c>
      <c r="BC313" s="5" t="str">
        <f>IFERROR(__xludf.DUMMYFUNCTION("""COMPUTED_VALUE"""),"Redstone")</f>
        <v>Redstone</v>
      </c>
      <c r="BD313" s="7" t="str">
        <f>IFERROR(__xludf.DUMMYFUNCTION("""COMPUTED_VALUE"""),"https://static.redstone.rs/games/slot-royale/")</f>
        <v>https://static.redstone.rs/games/slot-royale/</v>
      </c>
      <c r="BE313" s="5" t="b">
        <f>IFERROR(__xludf.DUMMYFUNCTION("""COMPUTED_VALUE"""),TRUE)</f>
        <v>1</v>
      </c>
    </row>
    <row r="314">
      <c r="A314" s="5">
        <f>IFERROR(__xludf.DUMMYFUNCTION("""COMPUTED_VALUE"""),314.0)</f>
        <v>314</v>
      </c>
      <c r="B314" s="5">
        <f>IFERROR(__xludf.DUMMYFUNCTION("""COMPUTED_VALUE"""),313.0)</f>
        <v>313</v>
      </c>
      <c r="C314" s="5" t="str">
        <f>IFERROR(__xludf.DUMMYFUNCTION("""COMPUTED_VALUE"""),"Redstone")</f>
        <v>Redstone</v>
      </c>
      <c r="D314" s="5" t="str">
        <f>IFERROR(__xludf.DUMMYFUNCTION("""COMPUTED_VALUE"""),"5 Clover Fire - Lock &amp; Cash")</f>
        <v>5 Clover Fire - Lock &amp; Cash</v>
      </c>
      <c r="E314" s="5" t="str">
        <f>IFERROR(__xludf.DUMMYFUNCTION("""COMPUTED_VALUE"""),"Redstone")</f>
        <v>Redstone</v>
      </c>
      <c r="F314" s="5" t="str">
        <f>IFERROR(__xludf.DUMMYFUNCTION("""COMPUTED_VALUE"""),"RedstoneClover5LockAndCash")</f>
        <v>RedstoneClover5LockAndCash</v>
      </c>
      <c r="G314" s="5" t="str">
        <f>IFERROR(__xludf.DUMMYFUNCTION("""COMPUTED_VALUE"""),"Live")</f>
        <v>Live</v>
      </c>
      <c r="H314" s="5"/>
      <c r="I314" s="5" t="str">
        <f>IFERROR(__xludf.DUMMYFUNCTION("""COMPUTED_VALUE"""),"Redstone")</f>
        <v>Redstone</v>
      </c>
      <c r="J314" s="5" t="str">
        <f>IFERROR(__xludf.DUMMYFUNCTION("""COMPUTED_VALUE"""),"JSON")</f>
        <v>JSON</v>
      </c>
      <c r="K314" s="5" t="str">
        <f>IFERROR(__xludf.DUMMYFUNCTION("""COMPUTED_VALUE"""),"Slot")</f>
        <v>Slot</v>
      </c>
      <c r="L314" s="5" t="str">
        <f>IFERROR(__xludf.DUMMYFUNCTION("""COMPUTED_VALUE"""),"Clone")</f>
        <v>Clone</v>
      </c>
      <c r="M314" s="5" t="str">
        <f>IFERROR(__xludf.DUMMYFUNCTION("""COMPUTED_VALUE"""),"Super Lucky")</f>
        <v>Super Lucky</v>
      </c>
      <c r="N314" s="7" t="str">
        <f>IFERROR(__xludf.DUMMYFUNCTION("""COMPUTED_VALUE"""),"https://docs.google.com/document/d/1BOjvv_UWQz5V_QEQa2pNmq14p68Cjoxe/edit?usp=drive_link&amp;ouid=107596163405648766688&amp;rtpof=true&amp;sd=true")</f>
        <v>https://docs.google.com/document/d/1BOjvv_UWQz5V_QEQa2pNmq14p68Cjoxe/edit?usp=drive_link&amp;ouid=107596163405648766688&amp;rtpof=true&amp;sd=true</v>
      </c>
      <c r="O314" s="7" t="str">
        <f>IFERROR(__xludf.DUMMYFUNCTION("""COMPUTED_VALUE"""),"https://docs.google.com/document/d/1q3SbJQgO6U4tBqX5B5iQU_icjsA4S6GH/edit?usp=drive_link&amp;ouid=107596163405648766688&amp;rtpof=true&amp;sd=true")</f>
        <v>https://docs.google.com/document/d/1q3SbJQgO6U4tBqX5B5iQU_icjsA4S6GH/edit?usp=drive_link&amp;ouid=107596163405648766688&amp;rtpof=true&amp;sd=true</v>
      </c>
      <c r="P314" s="12">
        <f>IFERROR(__xludf.DUMMYFUNCTION("""COMPUTED_VALUE"""),14.4)</f>
        <v>14.4</v>
      </c>
      <c r="Q314" s="13">
        <f>IFERROR(__xludf.DUMMYFUNCTION("""COMPUTED_VALUE"""),45377.0)</f>
        <v>45377</v>
      </c>
      <c r="R314" s="14"/>
      <c r="S314" s="13">
        <f>IFERROR(__xludf.DUMMYFUNCTION("""COMPUTED_VALUE"""),45377.0)</f>
        <v>45377</v>
      </c>
      <c r="T314" s="5" t="b">
        <f>IFERROR(__xludf.DUMMYFUNCTION("""COMPUTED_VALUE"""),TRUE)</f>
        <v>1</v>
      </c>
      <c r="U314" s="5" t="str">
        <f>IFERROR(__xludf.DUMMYFUNCTION("""COMPUTED_VALUE"""),"5x3")</f>
        <v>5x3</v>
      </c>
      <c r="V314" s="10" t="str">
        <f>IFERROR(__xludf.DUMMYFUNCTION("""COMPUTED_VALUE"""),"5")</f>
        <v>5</v>
      </c>
      <c r="W314" s="10" t="str">
        <f>IFERROR(__xludf.DUMMYFUNCTION("""COMPUTED_VALUE"""),"5")</f>
        <v>5</v>
      </c>
      <c r="X314" s="5">
        <f>IFERROR(__xludf.DUMMYFUNCTION("""COMPUTED_VALUE"""),95.45)</f>
        <v>95.45</v>
      </c>
      <c r="Y314" s="5" t="str">
        <f>IFERROR(__xludf.DUMMYFUNCTION("""COMPUTED_VALUE"""),"Medium")</f>
        <v>Medium</v>
      </c>
      <c r="Z314" s="5">
        <f>IFERROR(__xludf.DUMMYFUNCTION("""COMPUTED_VALUE"""),12.54)</f>
        <v>12.54</v>
      </c>
      <c r="AA314" s="12">
        <f>IFERROR(__xludf.DUMMYFUNCTION("""COMPUTED_VALUE"""),1250.0)</f>
        <v>1250</v>
      </c>
      <c r="AB314" s="5">
        <f>IFERROR(__xludf.DUMMYFUNCTION("""COMPUTED_VALUE"""),3.0)</f>
        <v>3</v>
      </c>
      <c r="AC314" s="5" t="str">
        <f>IFERROR(__xludf.DUMMYFUNCTION("""COMPUTED_VALUE"""),"Hold and Win, Wild Symbol")</f>
        <v>Hold and Win, Wild Symbol</v>
      </c>
      <c r="AD314" s="5" t="str">
        <f>IFERROR(__xludf.DUMMYFUNCTION("""COMPUTED_VALUE"""),"0.05/100")</f>
        <v>0.05/100</v>
      </c>
      <c r="AE314" s="5"/>
      <c r="AF314" s="5"/>
      <c r="AG314" s="8">
        <f>IFERROR(__xludf.DUMMYFUNCTION("""COMPUTED_VALUE"""),46157.47746527778)</f>
        <v>46157.47747</v>
      </c>
      <c r="AH314" s="5"/>
      <c r="AI314" s="5"/>
      <c r="AJ314" s="5"/>
      <c r="AK314" s="5">
        <f>IFERROR(__xludf.DUMMYFUNCTION("""COMPUTED_VALUE"""),1.0)</f>
        <v>1</v>
      </c>
      <c r="AL314" s="5" t="str">
        <f>IFERROR(__xludf.DUMMYFUNCTION("""COMPUTED_VALUE"""),"No")</f>
        <v>No</v>
      </c>
      <c r="AM314" s="5" t="str">
        <f>IFERROR(__xludf.DUMMYFUNCTION("""COMPUTED_VALUE"""),"No")</f>
        <v>No</v>
      </c>
      <c r="AN314" s="7" t="str">
        <f>IFERROR(__xludf.DUMMYFUNCTION("""COMPUTED_VALUE"""),"https://static.redstone.rs/games/5-clover-fire-lnc/")</f>
        <v>https://static.redstone.rs/games/5-clover-fire-lnc/</v>
      </c>
      <c r="AO314" s="5" t="str">
        <f>IFERROR(__xludf.DUMMYFUNCTION("""COMPUTED_VALUE"""),"No")</f>
        <v>No</v>
      </c>
      <c r="AP314" s="5" t="str">
        <f>IFERROR(__xludf.DUMMYFUNCTION("""COMPUTED_VALUE"""),"No")</f>
        <v>No</v>
      </c>
      <c r="AQ314" s="5" t="b">
        <f>IFERROR(__xludf.DUMMYFUNCTION("""COMPUTED_VALUE"""),TRUE)</f>
        <v>1</v>
      </c>
      <c r="AR314" s="5"/>
      <c r="AS314" s="5" t="str">
        <f>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AT314" s="5"/>
      <c r="AU314" s="5" t="str">
        <f>IFERROR(__xludf.DUMMYFUNCTION("""COMPUTED_VALUE"""),"Redstone")</f>
        <v>Redstone</v>
      </c>
      <c r="AV314" s="5"/>
      <c r="AW314" s="5"/>
      <c r="AX314" s="5"/>
      <c r="AY314" s="5"/>
      <c r="AZ314" s="5"/>
      <c r="BA314" s="5"/>
      <c r="BB314" s="5" t="b">
        <f>IFERROR(__xludf.DUMMYFUNCTION("""COMPUTED_VALUE"""),TRUE)</f>
        <v>1</v>
      </c>
      <c r="BC314" s="5" t="str">
        <f>IFERROR(__xludf.DUMMYFUNCTION("""COMPUTED_VALUE"""),"Redstone")</f>
        <v>Redstone</v>
      </c>
      <c r="BD314" s="7" t="str">
        <f>IFERROR(__xludf.DUMMYFUNCTION("""COMPUTED_VALUE"""),"https://static.redstone.rs/games/5-clover-fire-lnc/")</f>
        <v>https://static.redstone.rs/games/5-clover-fire-lnc/</v>
      </c>
      <c r="BE314" s="5" t="b">
        <f>IFERROR(__xludf.DUMMYFUNCTION("""COMPUTED_VALUE"""),TRUE)</f>
        <v>1</v>
      </c>
    </row>
    <row r="315">
      <c r="A315" s="5">
        <f>IFERROR(__xludf.DUMMYFUNCTION("""COMPUTED_VALUE"""),315.0)</f>
        <v>315</v>
      </c>
      <c r="B315" s="5">
        <f>IFERROR(__xludf.DUMMYFUNCTION("""COMPUTED_VALUE"""),314.0)</f>
        <v>314</v>
      </c>
      <c r="C315" s="5" t="str">
        <f>IFERROR(__xludf.DUMMYFUNCTION("""COMPUTED_VALUE"""),"Fazi")</f>
        <v>Fazi</v>
      </c>
      <c r="D315" s="5" t="str">
        <f>IFERROR(__xludf.DUMMYFUNCTION("""COMPUTED_VALUE"""),"Wild Lucky Dice")</f>
        <v>Wild Lucky Dice</v>
      </c>
      <c r="E315" s="5" t="str">
        <f>IFERROR(__xludf.DUMMYFUNCTION("""COMPUTED_VALUE"""),"V2")</f>
        <v>V2</v>
      </c>
      <c r="F315" s="5" t="str">
        <f>IFERROR(__xludf.DUMMYFUNCTION("""COMPUTED_VALUE"""),"WildLuckyDice")</f>
        <v>WildLuckyDice</v>
      </c>
      <c r="G315" s="5" t="str">
        <f>IFERROR(__xludf.DUMMYFUNCTION("""COMPUTED_VALUE"""),"Live")</f>
        <v>Live</v>
      </c>
      <c r="H315" s="5"/>
      <c r="I315" s="5" t="str">
        <f>IFERROR(__xludf.DUMMYFUNCTION("""COMPUTED_VALUE"""),"V2")</f>
        <v>V2</v>
      </c>
      <c r="J315" s="5" t="str">
        <f>IFERROR(__xludf.DUMMYFUNCTION("""COMPUTED_VALUE"""),"Binary")</f>
        <v>Binary</v>
      </c>
      <c r="K315" s="5" t="str">
        <f>IFERROR(__xludf.DUMMYFUNCTION("""COMPUTED_VALUE"""),"Slot")</f>
        <v>Slot</v>
      </c>
      <c r="L315" s="5" t="str">
        <f>IFERROR(__xludf.DUMMYFUNCTION("""COMPUTED_VALUE"""),"Clone")</f>
        <v>Clone</v>
      </c>
      <c r="M315" s="5" t="str">
        <f>IFERROR(__xludf.DUMMYFUNCTION("""COMPUTED_VALUE"""),"Wild Lucky Clover")</f>
        <v>Wild Lucky Clover</v>
      </c>
      <c r="N315" s="5"/>
      <c r="O315" s="5"/>
      <c r="P315" s="12">
        <f>IFERROR(__xludf.DUMMYFUNCTION("""COMPUTED_VALUE"""),25.0)</f>
        <v>25</v>
      </c>
      <c r="Q315" s="13">
        <f>IFERROR(__xludf.DUMMYFUNCTION("""COMPUTED_VALUE"""),45429.0)</f>
        <v>45429</v>
      </c>
      <c r="R315" s="14"/>
      <c r="S315" s="13">
        <f>IFERROR(__xludf.DUMMYFUNCTION("""COMPUTED_VALUE"""),45429.0)</f>
        <v>45429</v>
      </c>
      <c r="T315" s="5" t="b">
        <f>IFERROR(__xludf.DUMMYFUNCTION("""COMPUTED_VALUE"""),TRUE)</f>
        <v>1</v>
      </c>
      <c r="U315" s="5" t="str">
        <f>IFERROR(__xludf.DUMMYFUNCTION("""COMPUTED_VALUE"""),"5x4")</f>
        <v>5x4</v>
      </c>
      <c r="V315" s="10" t="str">
        <f>IFERROR(__xludf.DUMMYFUNCTION("""COMPUTED_VALUE"""),"40")</f>
        <v>40</v>
      </c>
      <c r="W315" s="10" t="str">
        <f>IFERROR(__xludf.DUMMYFUNCTION("""COMPUTED_VALUE"""),"40")</f>
        <v>40</v>
      </c>
      <c r="X315" s="5">
        <f>IFERROR(__xludf.DUMMYFUNCTION("""COMPUTED_VALUE"""),96.291)</f>
        <v>96.291</v>
      </c>
      <c r="Y315" s="5" t="str">
        <f>IFERROR(__xludf.DUMMYFUNCTION("""COMPUTED_VALUE"""),"Medium")</f>
        <v>Medium</v>
      </c>
      <c r="Z315" s="5">
        <f>IFERROR(__xludf.DUMMYFUNCTION("""COMPUTED_VALUE"""),12.67)</f>
        <v>12.67</v>
      </c>
      <c r="AA315" s="12">
        <f>IFERROR(__xludf.DUMMYFUNCTION("""COMPUTED_VALUE"""),1043.0)</f>
        <v>1043</v>
      </c>
      <c r="AB315" s="5">
        <f>IFERROR(__xludf.DUMMYFUNCTION("""COMPUTED_VALUE"""),199.0)</f>
        <v>199</v>
      </c>
      <c r="AC315" s="5" t="str">
        <f>IFERROR(__xludf.DUMMYFUNCTION("""COMPUTED_VALUE"""),"Bonus Game with Free Spins, Converting Wild, Wild Symbol")</f>
        <v>Bonus Game with Free Spins, Converting Wild, Wild Symbol</v>
      </c>
      <c r="AD315" s="5" t="str">
        <f>IFERROR(__xludf.DUMMYFUNCTION("""COMPUTED_VALUE"""),"0.40/60")</f>
        <v>0.40/60</v>
      </c>
      <c r="AE315" s="5"/>
      <c r="AF315" s="5"/>
      <c r="AG315" s="8">
        <f>IFERROR(__xludf.DUMMYFUNCTION("""COMPUTED_VALUE"""),45856.587743055556)</f>
        <v>45856.58774</v>
      </c>
      <c r="AH315" s="5" t="str">
        <f>IFERROR(__xludf.DUMMYFUNCTION("""COMPUTED_VALUE"""),"iva.cirkovic@fazi.rs")</f>
        <v>iva.cirkovic@fazi.rs</v>
      </c>
      <c r="AI315" s="5"/>
      <c r="AJ315" s="5"/>
      <c r="AK315" s="5">
        <f>IFERROR(__xludf.DUMMYFUNCTION("""COMPUTED_VALUE"""),40.0)</f>
        <v>40</v>
      </c>
      <c r="AL315" s="5" t="str">
        <f>IFERROR(__xludf.DUMMYFUNCTION("""COMPUTED_VALUE"""),"Yes")</f>
        <v>Yes</v>
      </c>
      <c r="AM315" s="5"/>
      <c r="AN315" s="7" t="str">
        <f>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AO315" s="5"/>
      <c r="AP315" s="5"/>
      <c r="AQ315" s="5" t="b">
        <f>IFERROR(__xludf.DUMMYFUNCTION("""COMPUTED_VALUE"""),TRUE)</f>
        <v>1</v>
      </c>
      <c r="AR315" s="5"/>
      <c r="AS315" s="5" t="str">
        <f>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AT315" s="5"/>
      <c r="AU315" s="5" t="str">
        <f>IFERROR(__xludf.DUMMYFUNCTION("""COMPUTED_VALUE"""),"Fazi")</f>
        <v>Fazi</v>
      </c>
      <c r="AV315" s="5"/>
      <c r="AW315" s="5"/>
      <c r="AX315" s="5"/>
      <c r="AY315" s="5"/>
      <c r="AZ315" s="5"/>
      <c r="BA315" s="5" t="str">
        <f>IFERROR(__xludf.DUMMYFUNCTION("""COMPUTED_VALUE"""),"")</f>
        <v/>
      </c>
      <c r="BB315" s="5"/>
      <c r="BC315" s="5" t="str">
        <f>IFERROR(__xludf.DUMMYFUNCTION("""COMPUTED_VALUE"""),"Foxi")</f>
        <v>Foxi</v>
      </c>
      <c r="BD315" s="7" t="str">
        <f>IFERROR(__xludf.DUMMYFUNCTION("""COMPUTED_VALUE"""),"https://gameserver-store-client-area.orbionlimited.com/Home/IntegrationGameLaunch/client-area?moneyType=0&amp;gameName=WildLuckyDice&amp;platform=desktop&amp;languageCode=eng&amp;currency=EUR")</f>
        <v>https://gameserver-store-client-area.orbionlimited.com/Home/IntegrationGameLaunch/client-area?moneyType=0&amp;gameName=WildLuckyDice&amp;platform=desktop&amp;languageCode=eng&amp;currency=EUR</v>
      </c>
      <c r="BE315" s="5" t="b">
        <f>IFERROR(__xludf.DUMMYFUNCTION("""COMPUTED_VALUE"""),TRUE)</f>
        <v>1</v>
      </c>
    </row>
    <row r="316">
      <c r="A316" s="5">
        <f>IFERROR(__xludf.DUMMYFUNCTION("""COMPUTED_VALUE"""),316.0)</f>
        <v>316</v>
      </c>
      <c r="B316" s="5">
        <f>IFERROR(__xludf.DUMMYFUNCTION("""COMPUTED_VALUE"""),315.0)</f>
        <v>315</v>
      </c>
      <c r="C316" s="5" t="str">
        <f>IFERROR(__xludf.DUMMYFUNCTION("""COMPUTED_VALUE"""),"Fazi")</f>
        <v>Fazi</v>
      </c>
      <c r="D316" s="5" t="str">
        <f>IFERROR(__xludf.DUMMYFUNCTION("""COMPUTED_VALUE"""),"Eggspanding Rush")</f>
        <v>Eggspanding Rush</v>
      </c>
      <c r="E316" s="5" t="str">
        <f>IFERROR(__xludf.DUMMYFUNCTION("""COMPUTED_VALUE"""),"V2")</f>
        <v>V2</v>
      </c>
      <c r="F316" s="5" t="str">
        <f>IFERROR(__xludf.DUMMYFUNCTION("""COMPUTED_VALUE"""),"EggspandingRush")</f>
        <v>EggspandingRush</v>
      </c>
      <c r="G316" s="5" t="str">
        <f>IFERROR(__xludf.DUMMYFUNCTION("""COMPUTED_VALUE"""),"Live")</f>
        <v>Live</v>
      </c>
      <c r="H316" s="5"/>
      <c r="I316" s="5" t="str">
        <f>IFERROR(__xludf.DUMMYFUNCTION("""COMPUTED_VALUE"""),"V2")</f>
        <v>V2</v>
      </c>
      <c r="J316" s="5" t="str">
        <f>IFERROR(__xludf.DUMMYFUNCTION("""COMPUTED_VALUE"""),"Binary")</f>
        <v>Binary</v>
      </c>
      <c r="K316" s="5" t="str">
        <f>IFERROR(__xludf.DUMMYFUNCTION("""COMPUTED_VALUE"""),"Slot")</f>
        <v>Slot</v>
      </c>
      <c r="L316" s="5" t="str">
        <f>IFERROR(__xludf.DUMMYFUNCTION("""COMPUTED_VALUE"""),"Clone")</f>
        <v>Clone</v>
      </c>
      <c r="M316" s="5" t="str">
        <f>IFERROR(__xludf.DUMMYFUNCTION("""COMPUTED_VALUE"""),"Santas Presents")</f>
        <v>Santas Presents</v>
      </c>
      <c r="N316" s="5"/>
      <c r="O316" s="5"/>
      <c r="P316" s="12">
        <f>IFERROR(__xludf.DUMMYFUNCTION("""COMPUTED_VALUE"""),28.0)</f>
        <v>28</v>
      </c>
      <c r="Q316" s="13">
        <f>IFERROR(__xludf.DUMMYFUNCTION("""COMPUTED_VALUE"""),45400.0)</f>
        <v>45400</v>
      </c>
      <c r="R316" s="14"/>
      <c r="S316" s="13">
        <f>IFERROR(__xludf.DUMMYFUNCTION("""COMPUTED_VALUE"""),45400.0)</f>
        <v>45400</v>
      </c>
      <c r="T316" s="5" t="b">
        <f>IFERROR(__xludf.DUMMYFUNCTION("""COMPUTED_VALUE"""),TRUE)</f>
        <v>1</v>
      </c>
      <c r="U316" s="5" t="str">
        <f>IFERROR(__xludf.DUMMYFUNCTION("""COMPUTED_VALUE"""),"5x3")</f>
        <v>5x3</v>
      </c>
      <c r="V316" s="10" t="str">
        <f>IFERROR(__xludf.DUMMYFUNCTION("""COMPUTED_VALUE"""),"10")</f>
        <v>10</v>
      </c>
      <c r="W316" s="10" t="str">
        <f>IFERROR(__xludf.DUMMYFUNCTION("""COMPUTED_VALUE"""),"10")</f>
        <v>10</v>
      </c>
      <c r="X316" s="5">
        <f>IFERROR(__xludf.DUMMYFUNCTION("""COMPUTED_VALUE"""),96.5)</f>
        <v>96.5</v>
      </c>
      <c r="Y316" s="5" t="str">
        <f>IFERROR(__xludf.DUMMYFUNCTION("""COMPUTED_VALUE"""),"High")</f>
        <v>High</v>
      </c>
      <c r="Z316" s="5">
        <f>IFERROR(__xludf.DUMMYFUNCTION("""COMPUTED_VALUE"""),17.014)</f>
        <v>17.014</v>
      </c>
      <c r="AA316" s="12">
        <f>IFERROR(__xludf.DUMMYFUNCTION("""COMPUTED_VALUE"""),4614.0)</f>
        <v>4614</v>
      </c>
      <c r="AB316" s="5">
        <f>IFERROR(__xludf.DUMMYFUNCTION("""COMPUTED_VALUE"""),182.0)</f>
        <v>182</v>
      </c>
      <c r="AC316" s="5" t="str">
        <f>IFERROR(__xludf.DUMMYFUNCTION("""COMPUTED_VALUE"""),"Bonus Game with Free Spins, Wild Multiplier, Expanding Wild")</f>
        <v>Bonus Game with Free Spins, Wild Multiplier, Expanding Wild</v>
      </c>
      <c r="AD316" s="5" t="str">
        <f>IFERROR(__xludf.DUMMYFUNCTION("""COMPUTED_VALUE"""),"0.1/50")</f>
        <v>0.1/50</v>
      </c>
      <c r="AE316" s="5"/>
      <c r="AF316" s="5"/>
      <c r="AG316" s="8">
        <f>IFERROR(__xludf.DUMMYFUNCTION("""COMPUTED_VALUE"""),45862.8025462963)</f>
        <v>45862.80255</v>
      </c>
      <c r="AH316" s="5" t="str">
        <f>IFERROR(__xludf.DUMMYFUNCTION("""COMPUTED_VALUE"""),"iva.cirkovic@fazi.rs")</f>
        <v>iva.cirkovic@fazi.rs</v>
      </c>
      <c r="AI316" s="5"/>
      <c r="AJ316" s="5"/>
      <c r="AK316" s="5">
        <f>IFERROR(__xludf.DUMMYFUNCTION("""COMPUTED_VALUE"""),10.0)</f>
        <v>10</v>
      </c>
      <c r="AL316" s="5" t="str">
        <f>IFERROR(__xludf.DUMMYFUNCTION("""COMPUTED_VALUE"""),"Yes")</f>
        <v>Yes</v>
      </c>
      <c r="AM316" s="5"/>
      <c r="AN316" s="7" t="str">
        <f>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AO316" s="5"/>
      <c r="AP316" s="5"/>
      <c r="AQ316" s="5" t="b">
        <f>IFERROR(__xludf.DUMMYFUNCTION("""COMPUTED_VALUE"""),TRUE)</f>
        <v>1</v>
      </c>
      <c r="AR316" s="5"/>
      <c r="AS316" s="5" t="str">
        <f>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AT316" s="5"/>
      <c r="AU316" s="5" t="str">
        <f>IFERROR(__xludf.DUMMYFUNCTION("""COMPUTED_VALUE"""),"Fazi")</f>
        <v>Fazi</v>
      </c>
      <c r="AV316" s="5"/>
      <c r="AW316" s="5"/>
      <c r="AX316" s="5"/>
      <c r="AY316" s="5"/>
      <c r="AZ316" s="5"/>
      <c r="BA316" s="5" t="str">
        <f>IFERROR(__xludf.DUMMYFUNCTION("""COMPUTED_VALUE"""),"")</f>
        <v/>
      </c>
      <c r="BB316" s="5"/>
      <c r="BC316" s="5" t="str">
        <f>IFERROR(__xludf.DUMMYFUNCTION("""COMPUTED_VALUE"""),"Foxi")</f>
        <v>Foxi</v>
      </c>
      <c r="BD316" s="7" t="str">
        <f>IFERROR(__xludf.DUMMYFUNCTION("""COMPUTED_VALUE"""),"https://gameserver-store-client-area.orbionlimited.com/Home/IntegrationGameLaunch/client-area?moneyType=0&amp;gameName=EggspandingRush&amp;platform=desktop&amp;languageCode=eng&amp;currency=EUR")</f>
        <v>https://gameserver-store-client-area.orbionlimited.com/Home/IntegrationGameLaunch/client-area?moneyType=0&amp;gameName=EggspandingRush&amp;platform=desktop&amp;languageCode=eng&amp;currency=EUR</v>
      </c>
      <c r="BE316" s="5" t="b">
        <f>IFERROR(__xludf.DUMMYFUNCTION("""COMPUTED_VALUE"""),TRUE)</f>
        <v>1</v>
      </c>
    </row>
    <row r="317">
      <c r="A317" s="5">
        <f>IFERROR(__xludf.DUMMYFUNCTION("""COMPUTED_VALUE"""),317.0)</f>
        <v>317</v>
      </c>
      <c r="B317" s="5">
        <f>IFERROR(__xludf.DUMMYFUNCTION("""COMPUTED_VALUE"""),316.0)</f>
        <v>316</v>
      </c>
      <c r="C317" s="5" t="str">
        <f>IFERROR(__xludf.DUMMYFUNCTION("""COMPUTED_VALUE"""),"Fazi")</f>
        <v>Fazi</v>
      </c>
      <c r="D317" s="5" t="str">
        <f>IFERROR(__xludf.DUMMYFUNCTION("""COMPUTED_VALUE"""),"Mozzart Wild 40")</f>
        <v>Mozzart Wild 40</v>
      </c>
      <c r="E317" s="5" t="str">
        <f>IFERROR(__xludf.DUMMYFUNCTION("""COMPUTED_VALUE"""),"V2")</f>
        <v>V2</v>
      </c>
      <c r="F317" s="5" t="str">
        <f>IFERROR(__xludf.DUMMYFUNCTION("""COMPUTED_VALUE"""),"MozzartWild40")</f>
        <v>MozzartWild40</v>
      </c>
      <c r="G317" s="5" t="str">
        <f>IFERROR(__xludf.DUMMYFUNCTION("""COMPUTED_VALUE"""),"Live")</f>
        <v>Live</v>
      </c>
      <c r="H317" s="5" t="str">
        <f>IFERROR(__xludf.DUMMYFUNCTION("""COMPUTED_VALUE"""),"Mozzart")</f>
        <v>Mozzart</v>
      </c>
      <c r="I317" s="5" t="str">
        <f>IFERROR(__xludf.DUMMYFUNCTION("""COMPUTED_VALUE"""),"V2")</f>
        <v>V2</v>
      </c>
      <c r="J317" s="5" t="str">
        <f>IFERROR(__xludf.DUMMYFUNCTION("""COMPUTED_VALUE"""),"Binary")</f>
        <v>Binary</v>
      </c>
      <c r="K317" s="5" t="str">
        <f>IFERROR(__xludf.DUMMYFUNCTION("""COMPUTED_VALUE"""),"Slot")</f>
        <v>Slot</v>
      </c>
      <c r="L317" s="5" t="str">
        <f>IFERROR(__xludf.DUMMYFUNCTION("""COMPUTED_VALUE"""),"Clone")</f>
        <v>Clone</v>
      </c>
      <c r="M317" s="5" t="str">
        <f>IFERROR(__xludf.DUMMYFUNCTION("""COMPUTED_VALUE"""),"Turbo Hot 40")</f>
        <v>Turbo Hot 40</v>
      </c>
      <c r="N317" s="5"/>
      <c r="O317" s="5"/>
      <c r="P317" s="12"/>
      <c r="Q317" s="13">
        <f>IFERROR(__xludf.DUMMYFUNCTION("""COMPUTED_VALUE"""),45406.0)</f>
        <v>45406</v>
      </c>
      <c r="R317" s="14"/>
      <c r="S317" s="13">
        <f>IFERROR(__xludf.DUMMYFUNCTION("""COMPUTED_VALUE"""),45406.0)</f>
        <v>45406</v>
      </c>
      <c r="T317" s="5"/>
      <c r="U317" s="5" t="str">
        <f>IFERROR(__xludf.DUMMYFUNCTION("""COMPUTED_VALUE"""),"5x4")</f>
        <v>5x4</v>
      </c>
      <c r="V317" s="10" t="str">
        <f>IFERROR(__xludf.DUMMYFUNCTION("""COMPUTED_VALUE"""),"40")</f>
        <v>40</v>
      </c>
      <c r="W317" s="10" t="str">
        <f>IFERROR(__xludf.DUMMYFUNCTION("""COMPUTED_VALUE"""),"40")</f>
        <v>40</v>
      </c>
      <c r="X317" s="5">
        <f>IFERROR(__xludf.DUMMYFUNCTION("""COMPUTED_VALUE"""),96.584)</f>
        <v>96.584</v>
      </c>
      <c r="Y317" s="5" t="str">
        <f>IFERROR(__xludf.DUMMYFUNCTION("""COMPUTED_VALUE"""),"Low")</f>
        <v>Low</v>
      </c>
      <c r="Z317" s="5">
        <f>IFERROR(__xludf.DUMMYFUNCTION("""COMPUTED_VALUE"""),16.725)</f>
        <v>16.725</v>
      </c>
      <c r="AA317" s="12">
        <f>IFERROR(__xludf.DUMMYFUNCTION("""COMPUTED_VALUE"""),1000.0)</f>
        <v>1000</v>
      </c>
      <c r="AB317" s="5" t="str">
        <f>IFERROR(__xludf.DUMMYFUNCTION("""COMPUTED_VALUE"""),"/")</f>
        <v>/</v>
      </c>
      <c r="AC317" s="5" t="str">
        <f>IFERROR(__xludf.DUMMYFUNCTION("""COMPUTED_VALUE"""),"Wild Symbol, Scatter")</f>
        <v>Wild Symbol, Scatter</v>
      </c>
      <c r="AD317" s="5"/>
      <c r="AE317" s="5"/>
      <c r="AF317" s="5"/>
      <c r="AG317" s="8">
        <f>IFERROR(__xludf.DUMMYFUNCTION("""COMPUTED_VALUE"""),46020.520324074074)</f>
        <v>46020.52032</v>
      </c>
      <c r="AH317" s="5" t="str">
        <f>IFERROR(__xludf.DUMMYFUNCTION("""COMPUTED_VALUE"""),"djordje.jankovic@fazi.rs")</f>
        <v>djordje.jankovic@fazi.rs</v>
      </c>
      <c r="AI317" s="5"/>
      <c r="AJ317" s="5"/>
      <c r="AK317" s="5">
        <f>IFERROR(__xludf.DUMMYFUNCTION("""COMPUTED_VALUE"""),40.0)</f>
        <v>40</v>
      </c>
      <c r="AL317" s="5" t="str">
        <f>IFERROR(__xludf.DUMMYFUNCTION("""COMPUTED_VALUE"""),"Yes")</f>
        <v>Yes</v>
      </c>
      <c r="AM317" s="5"/>
      <c r="AN317" s="5"/>
      <c r="AO317" s="5"/>
      <c r="AP317" s="5"/>
      <c r="AQ317" s="5"/>
      <c r="AR317" s="5" t="b">
        <f>IFERROR(__xludf.DUMMYFUNCTION("""COMPUTED_VALUE"""),TRUE)</f>
        <v>1</v>
      </c>
      <c r="AS317" s="5"/>
      <c r="AT317" s="5"/>
      <c r="AU317" s="5" t="str">
        <f>IFERROR(__xludf.DUMMYFUNCTION("""COMPUTED_VALUE"""),"Fazi")</f>
        <v>Fazi</v>
      </c>
      <c r="AV317" s="5"/>
      <c r="AW317" s="5"/>
      <c r="AX317" s="5"/>
      <c r="AY317" s="5"/>
      <c r="AZ317" s="5"/>
      <c r="BA317" s="5" t="str">
        <f>IFERROR(__xludf.DUMMYFUNCTION("""COMPUTED_VALUE"""),"")</f>
        <v/>
      </c>
      <c r="BB317" s="5"/>
      <c r="BC317" s="5" t="str">
        <f>IFERROR(__xludf.DUMMYFUNCTION("""COMPUTED_VALUE"""),"Foxi")</f>
        <v>Foxi</v>
      </c>
      <c r="BD317" s="5" t="str">
        <f>IFERROR(__xludf.DUMMYFUNCTION("""COMPUTED_VALUE"""),"")</f>
        <v/>
      </c>
      <c r="BE317" s="5"/>
    </row>
    <row r="318">
      <c r="A318" s="5">
        <f>IFERROR(__xludf.DUMMYFUNCTION("""COMPUTED_VALUE"""),318.0)</f>
        <v>318</v>
      </c>
      <c r="B318" s="5">
        <f>IFERROR(__xludf.DUMMYFUNCTION("""COMPUTED_VALUE"""),317.0)</f>
        <v>317</v>
      </c>
      <c r="C318" s="5" t="str">
        <f>IFERROR(__xludf.DUMMYFUNCTION("""COMPUTED_VALUE"""),"Fazi")</f>
        <v>Fazi</v>
      </c>
      <c r="D318" s="5" t="str">
        <f>IFERROR(__xludf.DUMMYFUNCTION("""COMPUTED_VALUE"""),"Mozzart Fruits")</f>
        <v>Mozzart Fruits</v>
      </c>
      <c r="E318" s="5" t="str">
        <f>IFERROR(__xludf.DUMMYFUNCTION("""COMPUTED_VALUE"""),"V2")</f>
        <v>V2</v>
      </c>
      <c r="F318" s="5" t="str">
        <f>IFERROR(__xludf.DUMMYFUNCTION("""COMPUTED_VALUE"""),"MozzartFruits")</f>
        <v>MozzartFruits</v>
      </c>
      <c r="G318" s="5" t="str">
        <f>IFERROR(__xludf.DUMMYFUNCTION("""COMPUTED_VALUE"""),"Live")</f>
        <v>Live</v>
      </c>
      <c r="H318" s="5" t="str">
        <f>IFERROR(__xludf.DUMMYFUNCTION("""COMPUTED_VALUE"""),"Mozzart")</f>
        <v>Mozzart</v>
      </c>
      <c r="I318" s="5" t="str">
        <f>IFERROR(__xludf.DUMMYFUNCTION("""COMPUTED_VALUE"""),"V2")</f>
        <v>V2</v>
      </c>
      <c r="J318" s="5" t="str">
        <f>IFERROR(__xludf.DUMMYFUNCTION("""COMPUTED_VALUE"""),"Binary")</f>
        <v>Binary</v>
      </c>
      <c r="K318" s="5" t="str">
        <f>IFERROR(__xludf.DUMMYFUNCTION("""COMPUTED_VALUE"""),"Slot")</f>
        <v>Slot</v>
      </c>
      <c r="L318" s="5" t="str">
        <f>IFERROR(__xludf.DUMMYFUNCTION("""COMPUTED_VALUE"""),"Clone")</f>
        <v>Clone</v>
      </c>
      <c r="M318" s="5" t="str">
        <f>IFERROR(__xludf.DUMMYFUNCTION("""COMPUTED_VALUE"""),"Fruity Hot")</f>
        <v>Fruity Hot</v>
      </c>
      <c r="N318" s="5"/>
      <c r="O318" s="5"/>
      <c r="P318" s="12"/>
      <c r="Q318" s="13">
        <f>IFERROR(__xludf.DUMMYFUNCTION("""COMPUTED_VALUE"""),45406.0)</f>
        <v>45406</v>
      </c>
      <c r="R318" s="14"/>
      <c r="S318" s="13">
        <f>IFERROR(__xludf.DUMMYFUNCTION("""COMPUTED_VALUE"""),45406.0)</f>
        <v>45406</v>
      </c>
      <c r="T318" s="5"/>
      <c r="U318" s="5" t="str">
        <f>IFERROR(__xludf.DUMMYFUNCTION("""COMPUTED_VALUE"""),"5x3")</f>
        <v>5x3</v>
      </c>
      <c r="V318" s="10" t="str">
        <f>IFERROR(__xludf.DUMMYFUNCTION("""COMPUTED_VALUE"""),"20")</f>
        <v>20</v>
      </c>
      <c r="W318" s="10" t="str">
        <f>IFERROR(__xludf.DUMMYFUNCTION("""COMPUTED_VALUE"""),"1,3,5,9,10,15,20")</f>
        <v>1,3,5,9,10,15,20</v>
      </c>
      <c r="X318" s="5">
        <f>IFERROR(__xludf.DUMMYFUNCTION("""COMPUTED_VALUE"""),95.79)</f>
        <v>95.79</v>
      </c>
      <c r="Y318" s="5" t="str">
        <f>IFERROR(__xludf.DUMMYFUNCTION("""COMPUTED_VALUE"""),"Low")</f>
        <v>Low</v>
      </c>
      <c r="Z318" s="5">
        <f>IFERROR(__xludf.DUMMYFUNCTION("""COMPUTED_VALUE"""),16.192)</f>
        <v>16.192</v>
      </c>
      <c r="AA318" s="12">
        <f>IFERROR(__xludf.DUMMYFUNCTION("""COMPUTED_VALUE"""),1000.0)</f>
        <v>1000</v>
      </c>
      <c r="AB318" s="5" t="str">
        <f>IFERROR(__xludf.DUMMYFUNCTION("""COMPUTED_VALUE"""),"/")</f>
        <v>/</v>
      </c>
      <c r="AC318" s="5" t="str">
        <f>IFERROR(__xludf.DUMMYFUNCTION("""COMPUTED_VALUE"""),"Wild Symbol, Scatter")</f>
        <v>Wild Symbol, Scatter</v>
      </c>
      <c r="AD318" s="5"/>
      <c r="AE318" s="5"/>
      <c r="AF318" s="5"/>
      <c r="AG318" s="8">
        <f>IFERROR(__xludf.DUMMYFUNCTION("""COMPUTED_VALUE"""),46020.52106481481)</f>
        <v>46020.52106</v>
      </c>
      <c r="AH318" s="5" t="str">
        <f>IFERROR(__xludf.DUMMYFUNCTION("""COMPUTED_VALUE"""),"djordje.jankovic@fazi.rs")</f>
        <v>djordje.jankovic@fazi.rs</v>
      </c>
      <c r="AI318" s="5"/>
      <c r="AJ318" s="5"/>
      <c r="AK318" s="5">
        <f>IFERROR(__xludf.DUMMYFUNCTION("""COMPUTED_VALUE"""),20.0)</f>
        <v>20</v>
      </c>
      <c r="AL318" s="5" t="str">
        <f>IFERROR(__xludf.DUMMYFUNCTION("""COMPUTED_VALUE"""),"Yes")</f>
        <v>Yes</v>
      </c>
      <c r="AM318" s="5"/>
      <c r="AN318" s="5"/>
      <c r="AO318" s="5"/>
      <c r="AP318" s="5"/>
      <c r="AQ318" s="5"/>
      <c r="AR318" s="5" t="b">
        <f>IFERROR(__xludf.DUMMYFUNCTION("""COMPUTED_VALUE"""),TRUE)</f>
        <v>1</v>
      </c>
      <c r="AS318" s="5"/>
      <c r="AT318" s="5"/>
      <c r="AU318" s="5" t="str">
        <f>IFERROR(__xludf.DUMMYFUNCTION("""COMPUTED_VALUE"""),"Fazi")</f>
        <v>Fazi</v>
      </c>
      <c r="AV318" s="5"/>
      <c r="AW318" s="5"/>
      <c r="AX318" s="5"/>
      <c r="AY318" s="5"/>
      <c r="AZ318" s="5"/>
      <c r="BA318" s="5" t="str">
        <f>IFERROR(__xludf.DUMMYFUNCTION("""COMPUTED_VALUE"""),"")</f>
        <v/>
      </c>
      <c r="BB318" s="5"/>
      <c r="BC318" s="5" t="str">
        <f>IFERROR(__xludf.DUMMYFUNCTION("""COMPUTED_VALUE"""),"Foxi")</f>
        <v>Foxi</v>
      </c>
      <c r="BD318" s="5" t="str">
        <f>IFERROR(__xludf.DUMMYFUNCTION("""COMPUTED_VALUE"""),"")</f>
        <v/>
      </c>
      <c r="BE318" s="5"/>
    </row>
    <row r="319">
      <c r="A319" s="5">
        <f>IFERROR(__xludf.DUMMYFUNCTION("""COMPUTED_VALUE"""),319.0)</f>
        <v>319</v>
      </c>
      <c r="B319" s="5">
        <f>IFERROR(__xludf.DUMMYFUNCTION("""COMPUTED_VALUE"""),318.0)</f>
        <v>318</v>
      </c>
      <c r="C319" s="5" t="str">
        <f>IFERROR(__xludf.DUMMYFUNCTION("""COMPUTED_VALUE"""),"Fazi")</f>
        <v>Fazi</v>
      </c>
      <c r="D319" s="5" t="str">
        <f>IFERROR(__xludf.DUMMYFUNCTION("""COMPUTED_VALUE"""),"Mozzart Heat")</f>
        <v>Mozzart Heat</v>
      </c>
      <c r="E319" s="5" t="str">
        <f>IFERROR(__xludf.DUMMYFUNCTION("""COMPUTED_VALUE"""),"V2")</f>
        <v>V2</v>
      </c>
      <c r="F319" s="5" t="str">
        <f>IFERROR(__xludf.DUMMYFUNCTION("""COMPUTED_VALUE"""),"MozzartHeat")</f>
        <v>MozzartHeat</v>
      </c>
      <c r="G319" s="5" t="str">
        <f>IFERROR(__xludf.DUMMYFUNCTION("""COMPUTED_VALUE"""),"Live")</f>
        <v>Live</v>
      </c>
      <c r="H319" s="5" t="str">
        <f>IFERROR(__xludf.DUMMYFUNCTION("""COMPUTED_VALUE"""),"Mozzart")</f>
        <v>Mozzart</v>
      </c>
      <c r="I319" s="5" t="str">
        <f>IFERROR(__xludf.DUMMYFUNCTION("""COMPUTED_VALUE"""),"V2")</f>
        <v>V2</v>
      </c>
      <c r="J319" s="5" t="str">
        <f>IFERROR(__xludf.DUMMYFUNCTION("""COMPUTED_VALUE"""),"Binary")</f>
        <v>Binary</v>
      </c>
      <c r="K319" s="5" t="str">
        <f>IFERROR(__xludf.DUMMYFUNCTION("""COMPUTED_VALUE"""),"Slot")</f>
        <v>Slot</v>
      </c>
      <c r="L319" s="5" t="str">
        <f>IFERROR(__xludf.DUMMYFUNCTION("""COMPUTED_VALUE"""),"Clone")</f>
        <v>Clone</v>
      </c>
      <c r="M319" s="5" t="str">
        <f>IFERROR(__xludf.DUMMYFUNCTION("""COMPUTED_VALUE"""),"Heating Ice")</f>
        <v>Heating Ice</v>
      </c>
      <c r="N319" s="5"/>
      <c r="O319" s="5"/>
      <c r="P319" s="12"/>
      <c r="Q319" s="13">
        <f>IFERROR(__xludf.DUMMYFUNCTION("""COMPUTED_VALUE"""),45406.0)</f>
        <v>45406</v>
      </c>
      <c r="R319" s="14"/>
      <c r="S319" s="13">
        <f>IFERROR(__xludf.DUMMYFUNCTION("""COMPUTED_VALUE"""),45406.0)</f>
        <v>45406</v>
      </c>
      <c r="T319" s="5"/>
      <c r="U319" s="5" t="str">
        <f>IFERROR(__xludf.DUMMYFUNCTION("""COMPUTED_VALUE"""),"3x3")</f>
        <v>3x3</v>
      </c>
      <c r="V319" s="10" t="str">
        <f>IFERROR(__xludf.DUMMYFUNCTION("""COMPUTED_VALUE"""),"27")</f>
        <v>27</v>
      </c>
      <c r="W319" s="10" t="str">
        <f>IFERROR(__xludf.DUMMYFUNCTION("""COMPUTED_VALUE"""),"27")</f>
        <v>27</v>
      </c>
      <c r="X319" s="5">
        <f>IFERROR(__xludf.DUMMYFUNCTION("""COMPUTED_VALUE"""),96.352)</f>
        <v>96.352</v>
      </c>
      <c r="Y319" s="5" t="str">
        <f>IFERROR(__xludf.DUMMYFUNCTION("""COMPUTED_VALUE"""),"Medium")</f>
        <v>Medium</v>
      </c>
      <c r="Z319" s="5">
        <f>IFERROR(__xludf.DUMMYFUNCTION("""COMPUTED_VALUE"""),8.023)</f>
        <v>8.023</v>
      </c>
      <c r="AA319" s="12">
        <f>IFERROR(__xludf.DUMMYFUNCTION("""COMPUTED_VALUE"""),360.0)</f>
        <v>360</v>
      </c>
      <c r="AB319" s="5"/>
      <c r="AC319" s="5" t="str">
        <f>IFERROR(__xludf.DUMMYFUNCTION("""COMPUTED_VALUE"""),"Respin, Mystery symbol")</f>
        <v>Respin, Mystery symbol</v>
      </c>
      <c r="AD319" s="5"/>
      <c r="AE319" s="5"/>
      <c r="AF319" s="5"/>
      <c r="AG319" s="8">
        <f>IFERROR(__xludf.DUMMYFUNCTION("""COMPUTED_VALUE"""),46020.5206712963)</f>
        <v>46020.52067</v>
      </c>
      <c r="AH319" s="5" t="str">
        <f>IFERROR(__xludf.DUMMYFUNCTION("""COMPUTED_VALUE"""),"djordje.jankovic@fazi.rs")</f>
        <v>djordje.jankovic@fazi.rs</v>
      </c>
      <c r="AI319" s="5"/>
      <c r="AJ319" s="5"/>
      <c r="AK319" s="5">
        <f>IFERROR(__xludf.DUMMYFUNCTION("""COMPUTED_VALUE"""),1.0)</f>
        <v>1</v>
      </c>
      <c r="AL319" s="5" t="str">
        <f>IFERROR(__xludf.DUMMYFUNCTION("""COMPUTED_VALUE"""),"Yes")</f>
        <v>Yes</v>
      </c>
      <c r="AM319" s="5"/>
      <c r="AN319" s="5"/>
      <c r="AO319" s="5"/>
      <c r="AP319" s="5"/>
      <c r="AQ319" s="5"/>
      <c r="AR319" s="5" t="b">
        <f>IFERROR(__xludf.DUMMYFUNCTION("""COMPUTED_VALUE"""),TRUE)</f>
        <v>1</v>
      </c>
      <c r="AS319" s="5"/>
      <c r="AT319" s="5"/>
      <c r="AU319" s="5" t="str">
        <f>IFERROR(__xludf.DUMMYFUNCTION("""COMPUTED_VALUE"""),"Fazi")</f>
        <v>Fazi</v>
      </c>
      <c r="AV319" s="5"/>
      <c r="AW319" s="5"/>
      <c r="AX319" s="5"/>
      <c r="AY319" s="5"/>
      <c r="AZ319" s="5"/>
      <c r="BA319" s="5" t="str">
        <f>IFERROR(__xludf.DUMMYFUNCTION("""COMPUTED_VALUE"""),"")</f>
        <v/>
      </c>
      <c r="BB319" s="5"/>
      <c r="BC319" s="5" t="str">
        <f>IFERROR(__xludf.DUMMYFUNCTION("""COMPUTED_VALUE"""),"Foxi")</f>
        <v>Foxi</v>
      </c>
      <c r="BD319" s="5" t="str">
        <f>IFERROR(__xludf.DUMMYFUNCTION("""COMPUTED_VALUE"""),"")</f>
        <v/>
      </c>
      <c r="BE319" s="5"/>
    </row>
    <row r="320">
      <c r="A320" s="5">
        <f>IFERROR(__xludf.DUMMYFUNCTION("""COMPUTED_VALUE"""),320.0)</f>
        <v>320</v>
      </c>
      <c r="B320" s="5">
        <f>IFERROR(__xludf.DUMMYFUNCTION("""COMPUTED_VALUE"""),319.0)</f>
        <v>319</v>
      </c>
      <c r="C320" s="5" t="str">
        <f>IFERROR(__xludf.DUMMYFUNCTION("""COMPUTED_VALUE"""),"Fazi")</f>
        <v>Fazi</v>
      </c>
      <c r="D320" s="5" t="str">
        <f>IFERROR(__xludf.DUMMYFUNCTION("""COMPUTED_VALUE"""),"Crystals Of Mozzart")</f>
        <v>Crystals Of Mozzart</v>
      </c>
      <c r="E320" s="5" t="str">
        <f>IFERROR(__xludf.DUMMYFUNCTION("""COMPUTED_VALUE"""),"V2")</f>
        <v>V2</v>
      </c>
      <c r="F320" s="5" t="str">
        <f>IFERROR(__xludf.DUMMYFUNCTION("""COMPUTED_VALUE"""),"CrystalsOfMozzart")</f>
        <v>CrystalsOfMozzart</v>
      </c>
      <c r="G320" s="5" t="str">
        <f>IFERROR(__xludf.DUMMYFUNCTION("""COMPUTED_VALUE"""),"Live")</f>
        <v>Live</v>
      </c>
      <c r="H320" s="5" t="str">
        <f>IFERROR(__xludf.DUMMYFUNCTION("""COMPUTED_VALUE"""),"Mozzart")</f>
        <v>Mozzart</v>
      </c>
      <c r="I320" s="5" t="str">
        <f>IFERROR(__xludf.DUMMYFUNCTION("""COMPUTED_VALUE"""),"V2")</f>
        <v>V2</v>
      </c>
      <c r="J320" s="5" t="str">
        <f>IFERROR(__xludf.DUMMYFUNCTION("""COMPUTED_VALUE"""),"Binary")</f>
        <v>Binary</v>
      </c>
      <c r="K320" s="5" t="str">
        <f>IFERROR(__xludf.DUMMYFUNCTION("""COMPUTED_VALUE"""),"Slot")</f>
        <v>Slot</v>
      </c>
      <c r="L320" s="5" t="str">
        <f>IFERROR(__xludf.DUMMYFUNCTION("""COMPUTED_VALUE"""),"Clone")</f>
        <v>Clone</v>
      </c>
      <c r="M320" s="5" t="str">
        <f>IFERROR(__xludf.DUMMYFUNCTION("""COMPUTED_VALUE"""),"Crystal Hot 40 Free")</f>
        <v>Crystal Hot 40 Free</v>
      </c>
      <c r="N320" s="5"/>
      <c r="O320" s="5"/>
      <c r="P320" s="12"/>
      <c r="Q320" s="13">
        <f>IFERROR(__xludf.DUMMYFUNCTION("""COMPUTED_VALUE"""),45406.0)</f>
        <v>45406</v>
      </c>
      <c r="R320" s="14"/>
      <c r="S320" s="13">
        <f>IFERROR(__xludf.DUMMYFUNCTION("""COMPUTED_VALUE"""),45406.0)</f>
        <v>45406</v>
      </c>
      <c r="T320" s="5"/>
      <c r="U320" s="5" t="str">
        <f>IFERROR(__xludf.DUMMYFUNCTION("""COMPUTED_VALUE"""),"5x4")</f>
        <v>5x4</v>
      </c>
      <c r="V320" s="10" t="str">
        <f>IFERROR(__xludf.DUMMYFUNCTION("""COMPUTED_VALUE"""),"40")</f>
        <v>40</v>
      </c>
      <c r="W320" s="10" t="str">
        <f>IFERROR(__xludf.DUMMYFUNCTION("""COMPUTED_VALUE"""),"40")</f>
        <v>40</v>
      </c>
      <c r="X320" s="5">
        <f>IFERROR(__xludf.DUMMYFUNCTION("""COMPUTED_VALUE"""),96.024)</f>
        <v>96.024</v>
      </c>
      <c r="Y320" s="5" t="str">
        <f>IFERROR(__xludf.DUMMYFUNCTION("""COMPUTED_VALUE"""),"Low")</f>
        <v>Low</v>
      </c>
      <c r="Z320" s="5">
        <f>IFERROR(__xludf.DUMMYFUNCTION("""COMPUTED_VALUE"""),17.226)</f>
        <v>17.226</v>
      </c>
      <c r="AA320" s="12">
        <f>IFERROR(__xludf.DUMMYFUNCTION("""COMPUTED_VALUE"""),1046.0)</f>
        <v>1046</v>
      </c>
      <c r="AB320" s="5">
        <f>IFERROR(__xludf.DUMMYFUNCTION("""COMPUTED_VALUE"""),152.0)</f>
        <v>152</v>
      </c>
      <c r="AC320" s="5" t="str">
        <f>IFERROR(__xludf.DUMMYFUNCTION("""COMPUTED_VALUE"""),"Wild Symbol, Bonus Game with Free Spins")</f>
        <v>Wild Symbol, Bonus Game with Free Spins</v>
      </c>
      <c r="AD320" s="5"/>
      <c r="AE320" s="5"/>
      <c r="AF320" s="5"/>
      <c r="AG320" s="8">
        <f>IFERROR(__xludf.DUMMYFUNCTION("""COMPUTED_VALUE"""),46020.52054398148)</f>
        <v>46020.52054</v>
      </c>
      <c r="AH320" s="5" t="str">
        <f>IFERROR(__xludf.DUMMYFUNCTION("""COMPUTED_VALUE"""),"djordje.jankovic@fazi.rs")</f>
        <v>djordje.jankovic@fazi.rs</v>
      </c>
      <c r="AI320" s="5"/>
      <c r="AJ320" s="5"/>
      <c r="AK320" s="5">
        <f>IFERROR(__xludf.DUMMYFUNCTION("""COMPUTED_VALUE"""),40.0)</f>
        <v>40</v>
      </c>
      <c r="AL320" s="5" t="str">
        <f>IFERROR(__xludf.DUMMYFUNCTION("""COMPUTED_VALUE"""),"Yes")</f>
        <v>Yes</v>
      </c>
      <c r="AM320" s="5"/>
      <c r="AN320" s="5"/>
      <c r="AO320" s="5"/>
      <c r="AP320" s="5"/>
      <c r="AQ320" s="5"/>
      <c r="AR320" s="5" t="b">
        <f>IFERROR(__xludf.DUMMYFUNCTION("""COMPUTED_VALUE"""),TRUE)</f>
        <v>1</v>
      </c>
      <c r="AS320" s="5"/>
      <c r="AT320" s="5"/>
      <c r="AU320" s="5" t="str">
        <f>IFERROR(__xludf.DUMMYFUNCTION("""COMPUTED_VALUE"""),"Fazi")</f>
        <v>Fazi</v>
      </c>
      <c r="AV320" s="5"/>
      <c r="AW320" s="5"/>
      <c r="AX320" s="5"/>
      <c r="AY320" s="5"/>
      <c r="AZ320" s="5"/>
      <c r="BA320" s="5" t="str">
        <f>IFERROR(__xludf.DUMMYFUNCTION("""COMPUTED_VALUE"""),"")</f>
        <v/>
      </c>
      <c r="BB320" s="5"/>
      <c r="BC320" s="5" t="str">
        <f>IFERROR(__xludf.DUMMYFUNCTION("""COMPUTED_VALUE"""),"Foxi")</f>
        <v>Foxi</v>
      </c>
      <c r="BD320" s="5" t="str">
        <f>IFERROR(__xludf.DUMMYFUNCTION("""COMPUTED_VALUE"""),"")</f>
        <v/>
      </c>
      <c r="BE320" s="5"/>
    </row>
    <row r="321">
      <c r="A321" s="5">
        <f>IFERROR(__xludf.DUMMYFUNCTION("""COMPUTED_VALUE"""),321.0)</f>
        <v>321</v>
      </c>
      <c r="B321" s="5">
        <f>IFERROR(__xludf.DUMMYFUNCTION("""COMPUTED_VALUE"""),320.0)</f>
        <v>320</v>
      </c>
      <c r="C321" s="5" t="str">
        <f>IFERROR(__xludf.DUMMYFUNCTION("""COMPUTED_VALUE"""),"Fazi")</f>
        <v>Fazi</v>
      </c>
      <c r="D321" s="5" t="str">
        <f>IFERROR(__xludf.DUMMYFUNCTION("""COMPUTED_VALUE"""),"Vintage Fruits 40")</f>
        <v>Vintage Fruits 40</v>
      </c>
      <c r="E321" s="5" t="str">
        <f>IFERROR(__xludf.DUMMYFUNCTION("""COMPUTED_VALUE"""),"V4-1")</f>
        <v>V4-1</v>
      </c>
      <c r="F321" s="5" t="str">
        <f>IFERROR(__xludf.DUMMYFUNCTION("""COMPUTED_VALUE"""),"VintageFruits40")</f>
        <v>VintageFruits40</v>
      </c>
      <c r="G321" s="5" t="str">
        <f>IFERROR(__xludf.DUMMYFUNCTION("""COMPUTED_VALUE"""),"Live")</f>
        <v>Live</v>
      </c>
      <c r="H321" s="5"/>
      <c r="I321" s="5" t="str">
        <f>IFERROR(__xludf.DUMMYFUNCTION("""COMPUTED_VALUE"""),"V4")</f>
        <v>V4</v>
      </c>
      <c r="J321" s="5" t="str">
        <f>IFERROR(__xludf.DUMMYFUNCTION("""COMPUTED_VALUE"""),"JSON")</f>
        <v>JSON</v>
      </c>
      <c r="K321" s="5" t="str">
        <f>IFERROR(__xludf.DUMMYFUNCTION("""COMPUTED_VALUE"""),"Slot")</f>
        <v>Slot</v>
      </c>
      <c r="L321" s="5"/>
      <c r="M321" s="5"/>
      <c r="N321" s="5"/>
      <c r="O321" s="5"/>
      <c r="P321" s="12">
        <f>IFERROR(__xludf.DUMMYFUNCTION("""COMPUTED_VALUE"""),8.8)</f>
        <v>8.8</v>
      </c>
      <c r="Q321" s="13">
        <f>IFERROR(__xludf.DUMMYFUNCTION("""COMPUTED_VALUE"""),45469.0)</f>
        <v>45469</v>
      </c>
      <c r="R321" s="14"/>
      <c r="S321" s="13">
        <f>IFERROR(__xludf.DUMMYFUNCTION("""COMPUTED_VALUE"""),45469.0)</f>
        <v>45469</v>
      </c>
      <c r="T321" s="5" t="b">
        <f>IFERROR(__xludf.DUMMYFUNCTION("""COMPUTED_VALUE"""),TRUE)</f>
        <v>1</v>
      </c>
      <c r="U321" s="5" t="str">
        <f>IFERROR(__xludf.DUMMYFUNCTION("""COMPUTED_VALUE"""),"5x4")</f>
        <v>5x4</v>
      </c>
      <c r="V321" s="10" t="str">
        <f>IFERROR(__xludf.DUMMYFUNCTION("""COMPUTED_VALUE"""),"40")</f>
        <v>40</v>
      </c>
      <c r="W321" s="10" t="str">
        <f>IFERROR(__xludf.DUMMYFUNCTION("""COMPUTED_VALUE"""),"40")</f>
        <v>40</v>
      </c>
      <c r="X321" s="5">
        <f>IFERROR(__xludf.DUMMYFUNCTION("""COMPUTED_VALUE"""),96.382)</f>
        <v>96.382</v>
      </c>
      <c r="Y321" s="5" t="str">
        <f>IFERROR(__xludf.DUMMYFUNCTION("""COMPUTED_VALUE"""),"Medium")</f>
        <v>Medium</v>
      </c>
      <c r="Z321" s="5">
        <f>IFERROR(__xludf.DUMMYFUNCTION("""COMPUTED_VALUE"""),14.89)</f>
        <v>14.89</v>
      </c>
      <c r="AA321" s="12">
        <f>IFERROR(__xludf.DUMMYFUNCTION("""COMPUTED_VALUE"""),1000.0)</f>
        <v>1000</v>
      </c>
      <c r="AB321" s="5" t="str">
        <f>IFERROR(__xludf.DUMMYFUNCTION("""COMPUTED_VALUE"""),"/")</f>
        <v>/</v>
      </c>
      <c r="AC321" s="5" t="str">
        <f>IFERROR(__xludf.DUMMYFUNCTION("""COMPUTED_VALUE"""),"Wild Symbol, Scatter")</f>
        <v>Wild Symbol, Scatter</v>
      </c>
      <c r="AD321" s="5" t="str">
        <f>IFERROR(__xludf.DUMMYFUNCTION("""COMPUTED_VALUE"""),"0.4/40")</f>
        <v>0.4/40</v>
      </c>
      <c r="AE321" s="5"/>
      <c r="AF321" s="5"/>
      <c r="AG321" s="8">
        <f>IFERROR(__xludf.DUMMYFUNCTION("""COMPUTED_VALUE"""),46176.48449074074)</f>
        <v>46176.48449</v>
      </c>
      <c r="AH321" s="5" t="str">
        <f>IFERROR(__xludf.DUMMYFUNCTION("""COMPUTED_VALUE"""),"djordje.petrovic@fazi.rs")</f>
        <v>djordje.petrovic@fazi.rs</v>
      </c>
      <c r="AI321" s="5"/>
      <c r="AJ321" s="5"/>
      <c r="AK321" s="5">
        <f>IFERROR(__xludf.DUMMYFUNCTION("""COMPUTED_VALUE"""),40.0)</f>
        <v>40</v>
      </c>
      <c r="AL321" s="5" t="str">
        <f>IFERROR(__xludf.DUMMYFUNCTION("""COMPUTED_VALUE"""),"Yes")</f>
        <v>Yes</v>
      </c>
      <c r="AM321" s="5" t="str">
        <f>IFERROR(__xludf.DUMMYFUNCTION("""COMPUTED_VALUE"""),"No")</f>
        <v>No</v>
      </c>
      <c r="AN321" s="7" t="str">
        <f>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AO321" s="5" t="str">
        <f>IFERROR(__xludf.DUMMYFUNCTION("""COMPUTED_VALUE"""),"Yes")</f>
        <v>Yes</v>
      </c>
      <c r="AP321" s="5" t="str">
        <f>IFERROR(__xludf.DUMMYFUNCTION("""COMPUTED_VALUE"""),"Yes")</f>
        <v>Yes</v>
      </c>
      <c r="AQ321" s="5" t="b">
        <f>IFERROR(__xludf.DUMMYFUNCTION("""COMPUTED_VALUE"""),TRUE)</f>
        <v>1</v>
      </c>
      <c r="AR321" s="5"/>
      <c r="AS321" s="5" t="str">
        <f>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AT321" s="5" t="str">
        <f>IFERROR(__xludf.DUMMYFUNCTION("""COMPUTED_VALUE"""),"Yes")</f>
        <v>Yes</v>
      </c>
      <c r="AU321" s="5" t="str">
        <f>IFERROR(__xludf.DUMMYFUNCTION("""COMPUTED_VALUE"""),"Fazi")</f>
        <v>Fazi</v>
      </c>
      <c r="AV321" s="5"/>
      <c r="AW321"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21" s="5"/>
      <c r="AY321" s="5"/>
      <c r="AZ321" s="5"/>
      <c r="BA321" s="5"/>
      <c r="BB321" s="5"/>
      <c r="BC321" s="5" t="str">
        <f>IFERROR(__xludf.DUMMYFUNCTION("""COMPUTED_VALUE"""),"Foxi")</f>
        <v>Foxi</v>
      </c>
      <c r="BD321" s="7" t="str">
        <f>IFERROR(__xludf.DUMMYFUNCTION("""COMPUTED_VALUE"""),"https://gameserver-store-client-area.orbionlimited.com/Home/IntegrationGameLaunch/client-area?moneyType=0&amp;gameName=VintageFruits40&amp;platform=desktop&amp;languageCode=eng&amp;currency=EUR")</f>
        <v>https://gameserver-store-client-area.orbionlimited.com/Home/IntegrationGameLaunch/client-area?moneyType=0&amp;gameName=VintageFruits40&amp;platform=desktop&amp;languageCode=eng&amp;currency=EUR</v>
      </c>
      <c r="BE321" s="5" t="b">
        <f>IFERROR(__xludf.DUMMYFUNCTION("""COMPUTED_VALUE"""),TRUE)</f>
        <v>1</v>
      </c>
    </row>
    <row r="322">
      <c r="A322" s="5">
        <f>IFERROR(__xludf.DUMMYFUNCTION("""COMPUTED_VALUE"""),322.0)</f>
        <v>322</v>
      </c>
      <c r="B322" s="5">
        <f>IFERROR(__xludf.DUMMYFUNCTION("""COMPUTED_VALUE"""),321.0)</f>
        <v>321</v>
      </c>
      <c r="C322" s="5" t="str">
        <f>IFERROR(__xludf.DUMMYFUNCTION("""COMPUTED_VALUE"""),"Fazi")</f>
        <v>Fazi</v>
      </c>
      <c r="D322" s="5" t="str">
        <f>IFERROR(__xludf.DUMMYFUNCTION("""COMPUTED_VALUE"""),"Summer Rush")</f>
        <v>Summer Rush</v>
      </c>
      <c r="E322" s="5" t="str">
        <f>IFERROR(__xludf.DUMMYFUNCTION("""COMPUTED_VALUE"""),"V2")</f>
        <v>V2</v>
      </c>
      <c r="F322" s="5" t="str">
        <f>IFERROR(__xludf.DUMMYFUNCTION("""COMPUTED_VALUE"""),"SummerRush")</f>
        <v>SummerRush</v>
      </c>
      <c r="G322" s="5" t="str">
        <f>IFERROR(__xludf.DUMMYFUNCTION("""COMPUTED_VALUE"""),"Live")</f>
        <v>Live</v>
      </c>
      <c r="H322" s="5"/>
      <c r="I322" s="5" t="str">
        <f>IFERROR(__xludf.DUMMYFUNCTION("""COMPUTED_VALUE"""),"V2")</f>
        <v>V2</v>
      </c>
      <c r="J322" s="5" t="str">
        <f>IFERROR(__xludf.DUMMYFUNCTION("""COMPUTED_VALUE"""),"Binary")</f>
        <v>Binary</v>
      </c>
      <c r="K322" s="5" t="str">
        <f>IFERROR(__xludf.DUMMYFUNCTION("""COMPUTED_VALUE"""),"Slot")</f>
        <v>Slot</v>
      </c>
      <c r="L322" s="5" t="str">
        <f>IFERROR(__xludf.DUMMYFUNCTION("""COMPUTED_VALUE"""),"Clone")</f>
        <v>Clone</v>
      </c>
      <c r="M322" s="5" t="str">
        <f>IFERROR(__xludf.DUMMYFUNCTION("""COMPUTED_VALUE"""),"Wild Lucky Clover")</f>
        <v>Wild Lucky Clover</v>
      </c>
      <c r="N322" s="5"/>
      <c r="O322" s="5"/>
      <c r="P322" s="12">
        <f>IFERROR(__xludf.DUMMYFUNCTION("""COMPUTED_VALUE"""),31.8)</f>
        <v>31.8</v>
      </c>
      <c r="Q322" s="13">
        <f>IFERROR(__xludf.DUMMYFUNCTION("""COMPUTED_VALUE"""),45495.0)</f>
        <v>45495</v>
      </c>
      <c r="R322" s="14"/>
      <c r="S322" s="13">
        <f>IFERROR(__xludf.DUMMYFUNCTION("""COMPUTED_VALUE"""),45495.0)</f>
        <v>45495</v>
      </c>
      <c r="T322" s="5" t="b">
        <f>IFERROR(__xludf.DUMMYFUNCTION("""COMPUTED_VALUE"""),TRUE)</f>
        <v>1</v>
      </c>
      <c r="U322" s="5" t="str">
        <f>IFERROR(__xludf.DUMMYFUNCTION("""COMPUTED_VALUE"""),"5x4")</f>
        <v>5x4</v>
      </c>
      <c r="V322" s="10" t="str">
        <f>IFERROR(__xludf.DUMMYFUNCTION("""COMPUTED_VALUE"""),"40")</f>
        <v>40</v>
      </c>
      <c r="W322" s="10" t="str">
        <f>IFERROR(__xludf.DUMMYFUNCTION("""COMPUTED_VALUE"""),"40")</f>
        <v>40</v>
      </c>
      <c r="X322" s="5">
        <f>IFERROR(__xludf.DUMMYFUNCTION("""COMPUTED_VALUE"""),96.291)</f>
        <v>96.291</v>
      </c>
      <c r="Y322" s="5" t="str">
        <f>IFERROR(__xludf.DUMMYFUNCTION("""COMPUTED_VALUE"""),"Medium")</f>
        <v>Medium</v>
      </c>
      <c r="Z322" s="5">
        <f>IFERROR(__xludf.DUMMYFUNCTION("""COMPUTED_VALUE"""),12.67)</f>
        <v>12.67</v>
      </c>
      <c r="AA322" s="12">
        <f>IFERROR(__xludf.DUMMYFUNCTION("""COMPUTED_VALUE"""),1043.0)</f>
        <v>1043</v>
      </c>
      <c r="AB322" s="5">
        <f>IFERROR(__xludf.DUMMYFUNCTION("""COMPUTED_VALUE"""),199.0)</f>
        <v>199</v>
      </c>
      <c r="AC322" s="5" t="str">
        <f>IFERROR(__xludf.DUMMYFUNCTION("""COMPUTED_VALUE"""),"Wild Symbol, Bonus Game with Free Spins, Wild Symbol")</f>
        <v>Wild Symbol, Bonus Game with Free Spins, Wild Symbol</v>
      </c>
      <c r="AD322" s="5" t="str">
        <f>IFERROR(__xludf.DUMMYFUNCTION("""COMPUTED_VALUE"""),"0.40/60")</f>
        <v>0.40/60</v>
      </c>
      <c r="AE322" s="5"/>
      <c r="AF322" s="5"/>
      <c r="AG322" s="8">
        <f>IFERROR(__xludf.DUMMYFUNCTION("""COMPUTED_VALUE"""),46055.597974537035)</f>
        <v>46055.59797</v>
      </c>
      <c r="AH322" s="5" t="str">
        <f>IFERROR(__xludf.DUMMYFUNCTION("""COMPUTED_VALUE"""),"aleksandar.trajkovic@fazi.rs")</f>
        <v>aleksandar.trajkovic@fazi.rs</v>
      </c>
      <c r="AI322" s="5"/>
      <c r="AJ322" s="5"/>
      <c r="AK322" s="5">
        <f>IFERROR(__xludf.DUMMYFUNCTION("""COMPUTED_VALUE"""),40.0)</f>
        <v>40</v>
      </c>
      <c r="AL322" s="5" t="str">
        <f>IFERROR(__xludf.DUMMYFUNCTION("""COMPUTED_VALUE"""),"Yes")</f>
        <v>Yes</v>
      </c>
      <c r="AM322" s="5"/>
      <c r="AN322" s="7" t="str">
        <f>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AO322" s="5"/>
      <c r="AP322" s="5"/>
      <c r="AQ322" s="5" t="b">
        <f>IFERROR(__xludf.DUMMYFUNCTION("""COMPUTED_VALUE"""),TRUE)</f>
        <v>1</v>
      </c>
      <c r="AR322" s="5"/>
      <c r="AS322" s="5" t="str">
        <f>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AT322" s="5"/>
      <c r="AU322" s="5" t="str">
        <f>IFERROR(__xludf.DUMMYFUNCTION("""COMPUTED_VALUE"""),"Fazi")</f>
        <v>Fazi</v>
      </c>
      <c r="AV322" s="5"/>
      <c r="AW322" s="5"/>
      <c r="AX322" s="5"/>
      <c r="AY322" s="5"/>
      <c r="AZ322" s="5"/>
      <c r="BA322" s="5" t="str">
        <f>IFERROR(__xludf.DUMMYFUNCTION("""COMPUTED_VALUE"""),"")</f>
        <v/>
      </c>
      <c r="BB322" s="5"/>
      <c r="BC322" s="5" t="str">
        <f>IFERROR(__xludf.DUMMYFUNCTION("""COMPUTED_VALUE"""),"Foxi")</f>
        <v>Foxi</v>
      </c>
      <c r="BD322" s="7" t="str">
        <f>IFERROR(__xludf.DUMMYFUNCTION("""COMPUTED_VALUE"""),"https://gameserver-store-client-area.orbionlimited.com/Home/IntegrationGameLaunch/client-area?moneyType=0&amp;gameName=SummerRush&amp;platform=desktop&amp;languageCode=eng&amp;currency=EUR")</f>
        <v>https://gameserver-store-client-area.orbionlimited.com/Home/IntegrationGameLaunch/client-area?moneyType=0&amp;gameName=SummerRush&amp;platform=desktop&amp;languageCode=eng&amp;currency=EUR</v>
      </c>
      <c r="BE322" s="5" t="b">
        <f>IFERROR(__xludf.DUMMYFUNCTION("""COMPUTED_VALUE"""),TRUE)</f>
        <v>1</v>
      </c>
    </row>
    <row r="323">
      <c r="A323" s="5">
        <f>IFERROR(__xludf.DUMMYFUNCTION("""COMPUTED_VALUE"""),323.0)</f>
        <v>323</v>
      </c>
      <c r="B323" s="5">
        <f>IFERROR(__xludf.DUMMYFUNCTION("""COMPUTED_VALUE"""),322.0)</f>
        <v>322</v>
      </c>
      <c r="C323" s="5" t="str">
        <f>IFERROR(__xludf.DUMMYFUNCTION("""COMPUTED_VALUE"""),"Fazi")</f>
        <v>Fazi</v>
      </c>
      <c r="D323" s="5" t="str">
        <f>IFERROR(__xludf.DUMMYFUNCTION("""COMPUTED_VALUE"""),"Football Victory")</f>
        <v>Football Victory</v>
      </c>
      <c r="E323" s="5" t="str">
        <f>IFERROR(__xludf.DUMMYFUNCTION("""COMPUTED_VALUE"""),"V2")</f>
        <v>V2</v>
      </c>
      <c r="F323" s="5" t="str">
        <f>IFERROR(__xludf.DUMMYFUNCTION("""COMPUTED_VALUE"""),"FootballVictory")</f>
        <v>FootballVictory</v>
      </c>
      <c r="G323" s="5" t="str">
        <f>IFERROR(__xludf.DUMMYFUNCTION("""COMPUTED_VALUE"""),"Live")</f>
        <v>Live</v>
      </c>
      <c r="H323" s="5"/>
      <c r="I323" s="5" t="str">
        <f>IFERROR(__xludf.DUMMYFUNCTION("""COMPUTED_VALUE"""),"V2")</f>
        <v>V2</v>
      </c>
      <c r="J323" s="5" t="str">
        <f>IFERROR(__xludf.DUMMYFUNCTION("""COMPUTED_VALUE"""),"Binary")</f>
        <v>Binary</v>
      </c>
      <c r="K323" s="5" t="str">
        <f>IFERROR(__xludf.DUMMYFUNCTION("""COMPUTED_VALUE"""),"Slot")</f>
        <v>Slot</v>
      </c>
      <c r="L323" s="5" t="str">
        <f>IFERROR(__xludf.DUMMYFUNCTION("""COMPUTED_VALUE"""),"Clone")</f>
        <v>Clone</v>
      </c>
      <c r="M323" s="5" t="str">
        <f>IFERROR(__xludf.DUMMYFUNCTION("""COMPUTED_VALUE"""),"Mayans Battle")</f>
        <v>Mayans Battle</v>
      </c>
      <c r="N323" s="5"/>
      <c r="O323" s="5"/>
      <c r="P323" s="12">
        <f>IFERROR(__xludf.DUMMYFUNCTION("""COMPUTED_VALUE"""),21.0)</f>
        <v>21</v>
      </c>
      <c r="Q323" s="13">
        <f>IFERROR(__xludf.DUMMYFUNCTION("""COMPUTED_VALUE"""),45450.0)</f>
        <v>45450</v>
      </c>
      <c r="R323" s="14"/>
      <c r="S323" s="13">
        <f>IFERROR(__xludf.DUMMYFUNCTION("""COMPUTED_VALUE"""),45450.0)</f>
        <v>45450</v>
      </c>
      <c r="T323" s="5" t="b">
        <f>IFERROR(__xludf.DUMMYFUNCTION("""COMPUTED_VALUE"""),TRUE)</f>
        <v>1</v>
      </c>
      <c r="U323" s="5" t="str">
        <f>IFERROR(__xludf.DUMMYFUNCTION("""COMPUTED_VALUE"""),"5x3")</f>
        <v>5x3</v>
      </c>
      <c r="V323" s="10" t="str">
        <f>IFERROR(__xludf.DUMMYFUNCTION("""COMPUTED_VALUE"""),"30")</f>
        <v>30</v>
      </c>
      <c r="W323" s="10" t="str">
        <f>IFERROR(__xludf.DUMMYFUNCTION("""COMPUTED_VALUE"""),"30")</f>
        <v>30</v>
      </c>
      <c r="X323" s="5">
        <f>IFERROR(__xludf.DUMMYFUNCTION("""COMPUTED_VALUE"""),96.477)</f>
        <v>96.477</v>
      </c>
      <c r="Y323" s="5" t="str">
        <f>IFERROR(__xludf.DUMMYFUNCTION("""COMPUTED_VALUE"""),"High")</f>
        <v>High</v>
      </c>
      <c r="Z323" s="5">
        <f>IFERROR(__xludf.DUMMYFUNCTION("""COMPUTED_VALUE"""),21.289)</f>
        <v>21.289</v>
      </c>
      <c r="AA323" s="12">
        <f>IFERROR(__xludf.DUMMYFUNCTION("""COMPUTED_VALUE"""),2752.0)</f>
        <v>2752</v>
      </c>
      <c r="AB323" s="5">
        <f>IFERROR(__xludf.DUMMYFUNCTION("""COMPUTED_VALUE"""),168.0)</f>
        <v>168</v>
      </c>
      <c r="AC323" s="5" t="str">
        <f>IFERROR(__xludf.DUMMYFUNCTION("""COMPUTED_VALUE"""),"Wild Symbol, Scatter, Bonus Game with Free Spins")</f>
        <v>Wild Symbol, Scatter, Bonus Game with Free Spins</v>
      </c>
      <c r="AD323" s="5" t="str">
        <f>IFERROR(__xludf.DUMMYFUNCTION("""COMPUTED_VALUE"""),"0.3/30")</f>
        <v>0.3/30</v>
      </c>
      <c r="AE323" s="5"/>
      <c r="AF323" s="5"/>
      <c r="AG323" s="8">
        <f>IFERROR(__xludf.DUMMYFUNCTION("""COMPUTED_VALUE"""),46248.41615740741)</f>
        <v>46248.41616</v>
      </c>
      <c r="AH323" s="5" t="str">
        <f>IFERROR(__xludf.DUMMYFUNCTION("""COMPUTED_VALUE"""),"petra.ilic@fazi.rs")</f>
        <v>petra.ilic@fazi.rs</v>
      </c>
      <c r="AI323" s="5"/>
      <c r="AJ323" s="5"/>
      <c r="AK323" s="5">
        <f>IFERROR(__xludf.DUMMYFUNCTION("""COMPUTED_VALUE"""),30.0)</f>
        <v>30</v>
      </c>
      <c r="AL323" s="5" t="str">
        <f>IFERROR(__xludf.DUMMYFUNCTION("""COMPUTED_VALUE"""),"Yes")</f>
        <v>Yes</v>
      </c>
      <c r="AM323" s="5"/>
      <c r="AN323" s="7" t="str">
        <f>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AO323" s="5"/>
      <c r="AP323" s="5"/>
      <c r="AQ323" s="5" t="b">
        <f>IFERROR(__xludf.DUMMYFUNCTION("""COMPUTED_VALUE"""),TRUE)</f>
        <v>1</v>
      </c>
      <c r="AR323" s="5" t="b">
        <f>IFERROR(__xludf.DUMMYFUNCTION("""COMPUTED_VALUE"""),FALSE)</f>
        <v>0</v>
      </c>
      <c r="AS323" s="5" t="str">
        <f>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AT323" s="5"/>
      <c r="AU323" s="5" t="str">
        <f>IFERROR(__xludf.DUMMYFUNCTION("""COMPUTED_VALUE"""),"Fazi")</f>
        <v>Fazi</v>
      </c>
      <c r="AV323" s="5"/>
      <c r="AW323" s="5"/>
      <c r="AX323" s="5"/>
      <c r="AY323" s="5"/>
      <c r="AZ323" s="5"/>
      <c r="BA323" s="5"/>
      <c r="BB323" s="5"/>
      <c r="BC323" s="5" t="str">
        <f>IFERROR(__xludf.DUMMYFUNCTION("""COMPUTED_VALUE"""),"Foxi")</f>
        <v>Foxi</v>
      </c>
      <c r="BD323" s="7" t="str">
        <f>IFERROR(__xludf.DUMMYFUNCTION("""COMPUTED_VALUE"""),"https://gameserver-store-client-area.orbionlimited.com/Home/IntegrationGameLaunch/client-area?moneyType=0&amp;gameName=FootballVictory&amp;platform=desktop&amp;languageCode=eng&amp;currency=EUR")</f>
        <v>https://gameserver-store-client-area.orbionlimited.com/Home/IntegrationGameLaunch/client-area?moneyType=0&amp;gameName=FootballVictory&amp;platform=desktop&amp;languageCode=eng&amp;currency=EUR</v>
      </c>
      <c r="BE323" s="5" t="b">
        <f>IFERROR(__xludf.DUMMYFUNCTION("""COMPUTED_VALUE"""),TRUE)</f>
        <v>1</v>
      </c>
    </row>
    <row r="324">
      <c r="A324" s="5">
        <f>IFERROR(__xludf.DUMMYFUNCTION("""COMPUTED_VALUE"""),324.0)</f>
        <v>324</v>
      </c>
      <c r="B324" s="5">
        <f>IFERROR(__xludf.DUMMYFUNCTION("""COMPUTED_VALUE"""),323.0)</f>
        <v>323</v>
      </c>
      <c r="C324" s="5" t="str">
        <f>IFERROR(__xludf.DUMMYFUNCTION("""COMPUTED_VALUE"""),"Redstone")</f>
        <v>Redstone</v>
      </c>
      <c r="D324" s="5" t="str">
        <f>IFERROR(__xludf.DUMMYFUNCTION("""COMPUTED_VALUE"""),"Caps and Crowns")</f>
        <v>Caps and Crowns</v>
      </c>
      <c r="E324" s="5" t="str">
        <f>IFERROR(__xludf.DUMMYFUNCTION("""COMPUTED_VALUE"""),"Redstone")</f>
        <v>Redstone</v>
      </c>
      <c r="F324" s="5" t="str">
        <f>IFERROR(__xludf.DUMMYFUNCTION("""COMPUTED_VALUE"""),"RedstoneCapsAndCrowns")</f>
        <v>RedstoneCapsAndCrowns</v>
      </c>
      <c r="G324" s="5" t="str">
        <f>IFERROR(__xludf.DUMMYFUNCTION("""COMPUTED_VALUE"""),"Live")</f>
        <v>Live</v>
      </c>
      <c r="H324" s="5"/>
      <c r="I324" s="5" t="str">
        <f>IFERROR(__xludf.DUMMYFUNCTION("""COMPUTED_VALUE"""),"Redstone")</f>
        <v>Redstone</v>
      </c>
      <c r="J324" s="5" t="str">
        <f>IFERROR(__xludf.DUMMYFUNCTION("""COMPUTED_VALUE"""),"JSON")</f>
        <v>JSON</v>
      </c>
      <c r="K324" s="5" t="str">
        <f>IFERROR(__xludf.DUMMYFUNCTION("""COMPUTED_VALUE"""),"Slot")</f>
        <v>Slot</v>
      </c>
      <c r="L324" s="5" t="str">
        <f>IFERROR(__xludf.DUMMYFUNCTION("""COMPUTED_VALUE""")," Clone")</f>
        <v> Clone</v>
      </c>
      <c r="M324" s="5" t="str">
        <f>IFERROR(__xludf.DUMMYFUNCTION("""COMPUTED_VALUE"""),"Chilli Double")</f>
        <v>Chilli Double</v>
      </c>
      <c r="N324" s="7" t="str">
        <f>IFERROR(__xludf.DUMMYFUNCTION("""COMPUTED_VALUE"""),"https://docs.google.com/document/d/1jtuk8s7n3DxZm8QVJKAl2DJTlsG7cf8H/edit?usp=drive_link&amp;ouid=107596163405648766688&amp;rtpof=true&amp;sd=true")</f>
        <v>https://docs.google.com/document/d/1jtuk8s7n3DxZm8QVJKAl2DJTlsG7cf8H/edit?usp=drive_link&amp;ouid=107596163405648766688&amp;rtpof=true&amp;sd=true</v>
      </c>
      <c r="O324" s="7" t="str">
        <f>IFERROR(__xludf.DUMMYFUNCTION("""COMPUTED_VALUE"""),"https://docs.google.com/document/d/133EFX9Kmc_ni_odAawnqEsToy2VaVDRX/edit?usp=drive_link&amp;ouid=107596163405648766688&amp;rtpof=true&amp;sd=true")</f>
        <v>https://docs.google.com/document/d/133EFX9Kmc_ni_odAawnqEsToy2VaVDRX/edit?usp=drive_link&amp;ouid=107596163405648766688&amp;rtpof=true&amp;sd=true</v>
      </c>
      <c r="P324" s="12">
        <f>IFERROR(__xludf.DUMMYFUNCTION("""COMPUTED_VALUE"""),7.6)</f>
        <v>7.6</v>
      </c>
      <c r="Q324" s="13">
        <f>IFERROR(__xludf.DUMMYFUNCTION("""COMPUTED_VALUE"""),45386.0)</f>
        <v>45386</v>
      </c>
      <c r="R324" s="14"/>
      <c r="S324" s="13">
        <f>IFERROR(__xludf.DUMMYFUNCTION("""COMPUTED_VALUE"""),45386.0)</f>
        <v>45386</v>
      </c>
      <c r="T324" s="5" t="b">
        <f>IFERROR(__xludf.DUMMYFUNCTION("""COMPUTED_VALUE"""),TRUE)</f>
        <v>1</v>
      </c>
      <c r="U324" s="5" t="str">
        <f>IFERROR(__xludf.DUMMYFUNCTION("""COMPUTED_VALUE"""),"5x3")</f>
        <v>5x3</v>
      </c>
      <c r="V324" s="10" t="str">
        <f>IFERROR(__xludf.DUMMYFUNCTION("""COMPUTED_VALUE"""),"5")</f>
        <v>5</v>
      </c>
      <c r="W324" s="10" t="str">
        <f>IFERROR(__xludf.DUMMYFUNCTION("""COMPUTED_VALUE"""),"5")</f>
        <v>5</v>
      </c>
      <c r="X324" s="5">
        <f>IFERROR(__xludf.DUMMYFUNCTION("""COMPUTED_VALUE"""),96.45)</f>
        <v>96.45</v>
      </c>
      <c r="Y324" s="5" t="str">
        <f>IFERROR(__xludf.DUMMYFUNCTION("""COMPUTED_VALUE"""),"Medium")</f>
        <v>Medium</v>
      </c>
      <c r="Z324" s="5">
        <f>IFERROR(__xludf.DUMMYFUNCTION("""COMPUTED_VALUE"""),14.23)</f>
        <v>14.23</v>
      </c>
      <c r="AA324" s="12">
        <f>IFERROR(__xludf.DUMMYFUNCTION("""COMPUTED_VALUE"""),2624.0)</f>
        <v>2624</v>
      </c>
      <c r="AB324" s="5"/>
      <c r="AC324" s="5" t="str">
        <f>IFERROR(__xludf.DUMMYFUNCTION("""COMPUTED_VALUE"""),"Scatter, Expanding Wild")</f>
        <v>Scatter, Expanding Wild</v>
      </c>
      <c r="AD324" s="5" t="str">
        <f>IFERROR(__xludf.DUMMYFUNCTION("""COMPUTED_VALUE"""),"0.05/100")</f>
        <v>0.05/100</v>
      </c>
      <c r="AE324" s="5"/>
      <c r="AF324" s="5"/>
      <c r="AG324" s="8">
        <f>IFERROR(__xludf.DUMMYFUNCTION("""COMPUTED_VALUE"""),46157.47934027778)</f>
        <v>46157.47934</v>
      </c>
      <c r="AH324" s="5"/>
      <c r="AI324" s="5"/>
      <c r="AJ324" s="5"/>
      <c r="AK324" s="5">
        <f>IFERROR(__xludf.DUMMYFUNCTION("""COMPUTED_VALUE"""),1.0)</f>
        <v>1</v>
      </c>
      <c r="AL324" s="5" t="str">
        <f>IFERROR(__xludf.DUMMYFUNCTION("""COMPUTED_VALUE"""),"No")</f>
        <v>No</v>
      </c>
      <c r="AM324" s="5" t="str">
        <f>IFERROR(__xludf.DUMMYFUNCTION("""COMPUTED_VALUE"""),"No")</f>
        <v>No</v>
      </c>
      <c r="AN324" s="7" t="str">
        <f>IFERROR(__xludf.DUMMYFUNCTION("""COMPUTED_VALUE"""),"https://static.redstone.rs/games/caps-and-crowns/")</f>
        <v>https://static.redstone.rs/games/caps-and-crowns/</v>
      </c>
      <c r="AO324" s="5" t="str">
        <f>IFERROR(__xludf.DUMMYFUNCTION("""COMPUTED_VALUE"""),"No")</f>
        <v>No</v>
      </c>
      <c r="AP324" s="5" t="str">
        <f>IFERROR(__xludf.DUMMYFUNCTION("""COMPUTED_VALUE"""),"No")</f>
        <v>No</v>
      </c>
      <c r="AQ324" s="5" t="b">
        <f>IFERROR(__xludf.DUMMYFUNCTION("""COMPUTED_VALUE"""),TRUE)</f>
        <v>1</v>
      </c>
      <c r="AR324" s="5"/>
      <c r="AS324" s="5" t="str">
        <f>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AT324" s="5"/>
      <c r="AU324" s="5" t="str">
        <f>IFERROR(__xludf.DUMMYFUNCTION("""COMPUTED_VALUE"""),"Redstone")</f>
        <v>Redstone</v>
      </c>
      <c r="AV324" s="5"/>
      <c r="AW324" s="5"/>
      <c r="AX324" s="5"/>
      <c r="AY324" s="5"/>
      <c r="AZ324" s="5"/>
      <c r="BA324" s="5"/>
      <c r="BB324" s="5" t="b">
        <f>IFERROR(__xludf.DUMMYFUNCTION("""COMPUTED_VALUE"""),TRUE)</f>
        <v>1</v>
      </c>
      <c r="BC324" s="5" t="str">
        <f>IFERROR(__xludf.DUMMYFUNCTION("""COMPUTED_VALUE"""),"Redstone")</f>
        <v>Redstone</v>
      </c>
      <c r="BD324" s="7" t="str">
        <f>IFERROR(__xludf.DUMMYFUNCTION("""COMPUTED_VALUE"""),"https://static.redstone.rs/games/caps-and-crowns/")</f>
        <v>https://static.redstone.rs/games/caps-and-crowns/</v>
      </c>
      <c r="BE324" s="5" t="b">
        <f>IFERROR(__xludf.DUMMYFUNCTION("""COMPUTED_VALUE"""),TRUE)</f>
        <v>1</v>
      </c>
    </row>
    <row r="325">
      <c r="A325" s="5">
        <f>IFERROR(__xludf.DUMMYFUNCTION("""COMPUTED_VALUE"""),325.0)</f>
        <v>325</v>
      </c>
      <c r="B325" s="5">
        <f>IFERROR(__xludf.DUMMYFUNCTION("""COMPUTED_VALUE"""),324.0)</f>
        <v>324</v>
      </c>
      <c r="C325" s="5" t="str">
        <f>IFERROR(__xludf.DUMMYFUNCTION("""COMPUTED_VALUE"""),"Tiptop")</f>
        <v>Tiptop</v>
      </c>
      <c r="D325" s="5" t="str">
        <f>IFERROR(__xludf.DUMMYFUNCTION("""COMPUTED_VALUE"""),"Lava Diamonds")</f>
        <v>Lava Diamonds</v>
      </c>
      <c r="E325" s="5"/>
      <c r="F325" s="5" t="str">
        <f>IFERROR(__xludf.DUMMYFUNCTION("""COMPUTED_VALUE"""),"UnicornLavaDiamonds")</f>
        <v>UnicornLavaDiamonds</v>
      </c>
      <c r="G325" s="5" t="str">
        <f>IFERROR(__xludf.DUMMYFUNCTION("""COMPUTED_VALUE"""),"Live")</f>
        <v>Live</v>
      </c>
      <c r="H325" s="5"/>
      <c r="I325" s="5" t="str">
        <f>IFERROR(__xludf.DUMMYFUNCTION("""COMPUTED_VALUE"""),"TipTop")</f>
        <v>TipTop</v>
      </c>
      <c r="J325" s="5" t="str">
        <f>IFERROR(__xludf.DUMMYFUNCTION("""COMPUTED_VALUE"""),"JSON")</f>
        <v>JSON</v>
      </c>
      <c r="K325" s="5" t="str">
        <f>IFERROR(__xludf.DUMMYFUNCTION("""COMPUTED_VALUE"""),"Slot")</f>
        <v>Slot</v>
      </c>
      <c r="L325" s="5"/>
      <c r="M325" s="5"/>
      <c r="N325" s="5"/>
      <c r="O325" s="5"/>
      <c r="P325" s="12">
        <f>IFERROR(__xludf.DUMMYFUNCTION("""COMPUTED_VALUE"""),11.0)</f>
        <v>11</v>
      </c>
      <c r="Q325" s="13">
        <f>IFERROR(__xludf.DUMMYFUNCTION("""COMPUTED_VALUE"""),45398.0)</f>
        <v>45398</v>
      </c>
      <c r="R325" s="14"/>
      <c r="S325" s="13">
        <f>IFERROR(__xludf.DUMMYFUNCTION("""COMPUTED_VALUE"""),45398.0)</f>
        <v>45398</v>
      </c>
      <c r="T325" s="5" t="b">
        <f>IFERROR(__xludf.DUMMYFUNCTION("""COMPUTED_VALUE"""),TRUE)</f>
        <v>1</v>
      </c>
      <c r="U325" s="5" t="str">
        <f>IFERROR(__xludf.DUMMYFUNCTION("""COMPUTED_VALUE"""),"5X3")</f>
        <v>5X3</v>
      </c>
      <c r="V325" s="10" t="str">
        <f>IFERROR(__xludf.DUMMYFUNCTION("""COMPUTED_VALUE"""),"10")</f>
        <v>10</v>
      </c>
      <c r="W325" s="10" t="str">
        <f>IFERROR(__xludf.DUMMYFUNCTION("""COMPUTED_VALUE"""),"10")</f>
        <v>10</v>
      </c>
      <c r="X325" s="5">
        <f>IFERROR(__xludf.DUMMYFUNCTION("""COMPUTED_VALUE"""),96.0)</f>
        <v>96</v>
      </c>
      <c r="Y325" s="5" t="str">
        <f>IFERROR(__xludf.DUMMYFUNCTION("""COMPUTED_VALUE"""),"Low")</f>
        <v>Low</v>
      </c>
      <c r="Z325" s="5">
        <f>IFERROR(__xludf.DUMMYFUNCTION("""COMPUTED_VALUE"""),24.14)</f>
        <v>24.14</v>
      </c>
      <c r="AA325" s="12">
        <f>IFERROR(__xludf.DUMMYFUNCTION("""COMPUTED_VALUE"""),10000.0)</f>
        <v>10000</v>
      </c>
      <c r="AB325" s="5"/>
      <c r="AC325" s="5" t="str">
        <f>IFERROR(__xludf.DUMMYFUNCTION("""COMPUTED_VALUE"""),"Scatter")</f>
        <v>Scatter</v>
      </c>
      <c r="AD325" s="5" t="str">
        <f>IFERROR(__xludf.DUMMYFUNCTION("""COMPUTED_VALUE"""),"0.1/100")</f>
        <v>0.1/100</v>
      </c>
      <c r="AE325" s="5"/>
      <c r="AF325" s="5"/>
      <c r="AG325" s="8">
        <f>IFERROR(__xludf.DUMMYFUNCTION("""COMPUTED_VALUE"""),46197.46591435185)</f>
        <v>46197.46591</v>
      </c>
      <c r="AH325" s="5" t="str">
        <f>IFERROR(__xludf.DUMMYFUNCTION("""COMPUTED_VALUE"""),"selena.mihajlovic@fazi.rs")</f>
        <v>selena.mihajlovic@fazi.rs</v>
      </c>
      <c r="AI325" s="5"/>
      <c r="AJ325" s="5"/>
      <c r="AK325" s="5">
        <f>IFERROR(__xludf.DUMMYFUNCTION("""COMPUTED_VALUE"""),10.0)</f>
        <v>10</v>
      </c>
      <c r="AL325" s="5" t="str">
        <f>IFERROR(__xludf.DUMMYFUNCTION("""COMPUTED_VALUE"""),"No")</f>
        <v>No</v>
      </c>
      <c r="AM325" s="5"/>
      <c r="AN325" s="7" t="str">
        <f>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AO325" s="5"/>
      <c r="AP325" s="5"/>
      <c r="AQ325" s="5" t="b">
        <f>IFERROR(__xludf.DUMMYFUNCTION("""COMPUTED_VALUE"""),TRUE)</f>
        <v>1</v>
      </c>
      <c r="AR325" s="5"/>
      <c r="AS325"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5" s="5"/>
      <c r="AU325" s="5" t="str">
        <f>IFERROR(__xludf.DUMMYFUNCTION("""COMPUTED_VALUE"""),"Fazi")</f>
        <v>Fazi</v>
      </c>
      <c r="AV325" s="5"/>
      <c r="AW325" s="5"/>
      <c r="AX325" s="5"/>
      <c r="AY325" s="5"/>
      <c r="AZ325" s="5"/>
      <c r="BA325" s="5"/>
      <c r="BB325" s="5" t="b">
        <f>IFERROR(__xludf.DUMMYFUNCTION("""COMPUTED_VALUE"""),TRUE)</f>
        <v>1</v>
      </c>
      <c r="BC325" s="5" t="str">
        <f>IFERROR(__xludf.DUMMYFUNCTION("""COMPUTED_VALUE"""),"Tiptop")</f>
        <v>Tiptop</v>
      </c>
      <c r="BD325" s="7" t="str">
        <f>IFERROR(__xludf.DUMMYFUNCTION("""COMPUTED_VALUE"""),"https://gameserver-store-client-area.orbionlimited.com/Home/IntegrationGameLaunch/client-area?moneyType=0&amp;gameName=UnicornLavaDiamonds&amp;platform=desktop&amp;languageCode=eng&amp;currency=EUR")</f>
        <v>https://gameserver-store-client-area.orbionlimited.com/Home/IntegrationGameLaunch/client-area?moneyType=0&amp;gameName=UnicornLavaDiamonds&amp;platform=desktop&amp;languageCode=eng&amp;currency=EUR</v>
      </c>
      <c r="BE325" s="5" t="b">
        <f>IFERROR(__xludf.DUMMYFUNCTION("""COMPUTED_VALUE"""),TRUE)</f>
        <v>1</v>
      </c>
    </row>
    <row r="326">
      <c r="A326" s="5">
        <f>IFERROR(__xludf.DUMMYFUNCTION("""COMPUTED_VALUE"""),326.0)</f>
        <v>326</v>
      </c>
      <c r="B326" s="5">
        <f>IFERROR(__xludf.DUMMYFUNCTION("""COMPUTED_VALUE"""),325.0)</f>
        <v>325</v>
      </c>
      <c r="C326" s="5" t="str">
        <f>IFERROR(__xludf.DUMMYFUNCTION("""COMPUTED_VALUE"""),"Tiptop")</f>
        <v>Tiptop</v>
      </c>
      <c r="D326" s="5" t="str">
        <f>IFERROR(__xludf.DUMMYFUNCTION("""COMPUTED_VALUE"""),"5 Hot Strike Dice")</f>
        <v>5 Hot Strike Dice</v>
      </c>
      <c r="E326" s="5"/>
      <c r="F326" s="5" t="str">
        <f>IFERROR(__xludf.DUMMYFUNCTION("""COMPUTED_VALUE"""),"Unicorn5HotStrikeDice")</f>
        <v>Unicorn5HotStrikeDice</v>
      </c>
      <c r="G326" s="5" t="str">
        <f>IFERROR(__xludf.DUMMYFUNCTION("""COMPUTED_VALUE"""),"Live")</f>
        <v>Live</v>
      </c>
      <c r="H326" s="5"/>
      <c r="I326" s="5" t="str">
        <f>IFERROR(__xludf.DUMMYFUNCTION("""COMPUTED_VALUE"""),"TipTop")</f>
        <v>TipTop</v>
      </c>
      <c r="J326" s="5" t="str">
        <f>IFERROR(__xludf.DUMMYFUNCTION("""COMPUTED_VALUE"""),"JSON")</f>
        <v>JSON</v>
      </c>
      <c r="K326" s="5" t="str">
        <f>IFERROR(__xludf.DUMMYFUNCTION("""COMPUTED_VALUE"""),"Dice Slots")</f>
        <v>Dice Slots</v>
      </c>
      <c r="L326" s="5"/>
      <c r="M326" s="5"/>
      <c r="N326" s="5"/>
      <c r="O326" s="5"/>
      <c r="P326" s="12">
        <f>IFERROR(__xludf.DUMMYFUNCTION("""COMPUTED_VALUE"""),11.0)</f>
        <v>11</v>
      </c>
      <c r="Q326" s="13">
        <f>IFERROR(__xludf.DUMMYFUNCTION("""COMPUTED_VALUE"""),45420.0)</f>
        <v>45420</v>
      </c>
      <c r="R326" s="14"/>
      <c r="S326" s="13">
        <f>IFERROR(__xludf.DUMMYFUNCTION("""COMPUTED_VALUE"""),45420.0)</f>
        <v>45420</v>
      </c>
      <c r="T326" s="5" t="b">
        <f>IFERROR(__xludf.DUMMYFUNCTION("""COMPUTED_VALUE"""),TRUE)</f>
        <v>1</v>
      </c>
      <c r="U326" s="5" t="str">
        <f>IFERROR(__xludf.DUMMYFUNCTION("""COMPUTED_VALUE"""),"5X3")</f>
        <v>5X3</v>
      </c>
      <c r="V326" s="10" t="str">
        <f>IFERROR(__xludf.DUMMYFUNCTION("""COMPUTED_VALUE"""),"5")</f>
        <v>5</v>
      </c>
      <c r="W326" s="10" t="str">
        <f>IFERROR(__xludf.DUMMYFUNCTION("""COMPUTED_VALUE"""),"5")</f>
        <v>5</v>
      </c>
      <c r="X326" s="5">
        <f>IFERROR(__xludf.DUMMYFUNCTION("""COMPUTED_VALUE"""),96.0)</f>
        <v>96</v>
      </c>
      <c r="Y326" s="5" t="str">
        <f>IFERROR(__xludf.DUMMYFUNCTION("""COMPUTED_VALUE"""),"Low")</f>
        <v>Low</v>
      </c>
      <c r="Z326" s="5">
        <f>IFERROR(__xludf.DUMMYFUNCTION("""COMPUTED_VALUE"""),11.41)</f>
        <v>11.41</v>
      </c>
      <c r="AA326" s="12">
        <f>IFERROR(__xludf.DUMMYFUNCTION("""COMPUTED_VALUE"""),2000.0)</f>
        <v>2000</v>
      </c>
      <c r="AB326" s="5"/>
      <c r="AC326" s="5" t="str">
        <f>IFERROR(__xludf.DUMMYFUNCTION("""COMPUTED_VALUE"""),"Wild Symbol, Scatter")</f>
        <v>Wild Symbol, Scatter</v>
      </c>
      <c r="AD326" s="5" t="str">
        <f>IFERROR(__xludf.DUMMYFUNCTION("""COMPUTED_VALUE"""),"0.05/100")</f>
        <v>0.05/100</v>
      </c>
      <c r="AE326" s="5"/>
      <c r="AF326" s="5"/>
      <c r="AG326" s="8">
        <f>IFERROR(__xludf.DUMMYFUNCTION("""COMPUTED_VALUE"""),46197.48819444444)</f>
        <v>46197.48819</v>
      </c>
      <c r="AH326" s="5" t="str">
        <f>IFERROR(__xludf.DUMMYFUNCTION("""COMPUTED_VALUE"""),"selena.mihajlovic@fazi.rs")</f>
        <v>selena.mihajlovic@fazi.rs</v>
      </c>
      <c r="AI326" s="5"/>
      <c r="AJ326" s="5"/>
      <c r="AK326" s="5">
        <f>IFERROR(__xludf.DUMMYFUNCTION("""COMPUTED_VALUE"""),5.0)</f>
        <v>5</v>
      </c>
      <c r="AL326" s="5" t="str">
        <f>IFERROR(__xludf.DUMMYFUNCTION("""COMPUTED_VALUE"""),"No")</f>
        <v>No</v>
      </c>
      <c r="AM326" s="5"/>
      <c r="AN326" s="7" t="str">
        <f>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AO326" s="5"/>
      <c r="AP326" s="5"/>
      <c r="AQ326" s="5" t="b">
        <f>IFERROR(__xludf.DUMMYFUNCTION("""COMPUTED_VALUE"""),TRUE)</f>
        <v>1</v>
      </c>
      <c r="AR326" s="5"/>
      <c r="AS326"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6" s="5"/>
      <c r="AU326" s="5" t="str">
        <f>IFERROR(__xludf.DUMMYFUNCTION("""COMPUTED_VALUE"""),"Fazi")</f>
        <v>Fazi</v>
      </c>
      <c r="AV326" s="5"/>
      <c r="AW326" s="5"/>
      <c r="AX326" s="5"/>
      <c r="AY326" s="5"/>
      <c r="AZ326" s="5"/>
      <c r="BA326" s="5"/>
      <c r="BB326" s="5" t="b">
        <f>IFERROR(__xludf.DUMMYFUNCTION("""COMPUTED_VALUE"""),TRUE)</f>
        <v>1</v>
      </c>
      <c r="BC326" s="5" t="str">
        <f>IFERROR(__xludf.DUMMYFUNCTION("""COMPUTED_VALUE"""),"Tiptop")</f>
        <v>Tiptop</v>
      </c>
      <c r="BD326" s="7" t="str">
        <f>IFERROR(__xludf.DUMMYFUNCTION("""COMPUTED_VALUE"""),"https://gameserver-store-client-area.orbionlimited.com/Home/IntegrationGameLaunch/client-area?moneyType=0&amp;gameName=Unicorn5HotStrikeDice&amp;platform=desktop&amp;languageCode=eng&amp;currency=EUR")</f>
        <v>https://gameserver-store-client-area.orbionlimited.com/Home/IntegrationGameLaunch/client-area?moneyType=0&amp;gameName=Unicorn5HotStrikeDice&amp;platform=desktop&amp;languageCode=eng&amp;currency=EUR</v>
      </c>
      <c r="BE326" s="5" t="b">
        <f>IFERROR(__xludf.DUMMYFUNCTION("""COMPUTED_VALUE"""),TRUE)</f>
        <v>1</v>
      </c>
    </row>
    <row r="327">
      <c r="A327" s="5">
        <f>IFERROR(__xludf.DUMMYFUNCTION("""COMPUTED_VALUE"""),327.0)</f>
        <v>327</v>
      </c>
      <c r="B327" s="5">
        <f>IFERROR(__xludf.DUMMYFUNCTION("""COMPUTED_VALUE"""),326.0)</f>
        <v>326</v>
      </c>
      <c r="C327" s="5" t="str">
        <f>IFERROR(__xludf.DUMMYFUNCTION("""COMPUTED_VALUE"""),"Redstone")</f>
        <v>Redstone</v>
      </c>
      <c r="D327" s="5" t="str">
        <f>IFERROR(__xludf.DUMMYFUNCTION("""COMPUTED_VALUE"""),"Hot Rush Both Ways")</f>
        <v>Hot Rush Both Ways</v>
      </c>
      <c r="E327" s="5" t="str">
        <f>IFERROR(__xludf.DUMMYFUNCTION("""COMPUTED_VALUE"""),"Redstone")</f>
        <v>Redstone</v>
      </c>
      <c r="F327" s="5" t="str">
        <f>IFERROR(__xludf.DUMMYFUNCTION("""COMPUTED_VALUE"""),"RedstoneHotRushBothWays")</f>
        <v>RedstoneHotRushBothWays</v>
      </c>
      <c r="G327" s="5" t="str">
        <f>IFERROR(__xludf.DUMMYFUNCTION("""COMPUTED_VALUE"""),"Live")</f>
        <v>Live</v>
      </c>
      <c r="H327" s="5"/>
      <c r="I327" s="5" t="str">
        <f>IFERROR(__xludf.DUMMYFUNCTION("""COMPUTED_VALUE"""),"Redstone")</f>
        <v>Redstone</v>
      </c>
      <c r="J327" s="5" t="str">
        <f>IFERROR(__xludf.DUMMYFUNCTION("""COMPUTED_VALUE"""),"JSON")</f>
        <v>JSON</v>
      </c>
      <c r="K327" s="5" t="str">
        <f>IFERROR(__xludf.DUMMYFUNCTION("""COMPUTED_VALUE"""),"Slot")</f>
        <v>Slot</v>
      </c>
      <c r="L327" s="5" t="str">
        <f>IFERROR(__xludf.DUMMYFUNCTION("""COMPUTED_VALUE"""),"Master")</f>
        <v>Master</v>
      </c>
      <c r="M327" s="5"/>
      <c r="N327" s="7" t="str">
        <f>IFERROR(__xludf.DUMMYFUNCTION("""COMPUTED_VALUE"""),"https://docs.google.com/document/d/1yDUchn8GrW3WRFURTjL1B4zxCM5AfF-t/edit?usp=drive_link&amp;ouid=107596163405648766688&amp;rtpof=true&amp;sd=true")</f>
        <v>https://docs.google.com/document/d/1yDUchn8GrW3WRFURTjL1B4zxCM5AfF-t/edit?usp=drive_link&amp;ouid=107596163405648766688&amp;rtpof=true&amp;sd=true</v>
      </c>
      <c r="O327" s="7" t="str">
        <f>IFERROR(__xludf.DUMMYFUNCTION("""COMPUTED_VALUE"""),"https://docs.google.com/document/d/1LP-773KOGjSB_rZ6WHFgqj6HeerAZfgT/edit?usp=drive_link&amp;ouid=107596163405648766688&amp;rtpof=true&amp;sd=true")</f>
        <v>https://docs.google.com/document/d/1LP-773KOGjSB_rZ6WHFgqj6HeerAZfgT/edit?usp=drive_link&amp;ouid=107596163405648766688&amp;rtpof=true&amp;sd=true</v>
      </c>
      <c r="P327" s="12">
        <f>IFERROR(__xludf.DUMMYFUNCTION("""COMPUTED_VALUE"""),7.5)</f>
        <v>7.5</v>
      </c>
      <c r="Q327" s="13">
        <f>IFERROR(__xludf.DUMMYFUNCTION("""COMPUTED_VALUE"""),45405.0)</f>
        <v>45405</v>
      </c>
      <c r="R327" s="14"/>
      <c r="S327" s="13">
        <f>IFERROR(__xludf.DUMMYFUNCTION("""COMPUTED_VALUE"""),45405.0)</f>
        <v>45405</v>
      </c>
      <c r="T327" s="5" t="b">
        <f>IFERROR(__xludf.DUMMYFUNCTION("""COMPUTED_VALUE"""),TRUE)</f>
        <v>1</v>
      </c>
      <c r="U327" s="5" t="str">
        <f>IFERROR(__xludf.DUMMYFUNCTION("""COMPUTED_VALUE"""),"5x3")</f>
        <v>5x3</v>
      </c>
      <c r="V327" s="10" t="str">
        <f>IFERROR(__xludf.DUMMYFUNCTION("""COMPUTED_VALUE"""),"5")</f>
        <v>5</v>
      </c>
      <c r="W327" s="10" t="str">
        <f>IFERROR(__xludf.DUMMYFUNCTION("""COMPUTED_VALUE"""),"5")</f>
        <v>5</v>
      </c>
      <c r="X327" s="5">
        <f>IFERROR(__xludf.DUMMYFUNCTION("""COMPUTED_VALUE"""),96.04)</f>
        <v>96.04</v>
      </c>
      <c r="Y327" s="5" t="str">
        <f>IFERROR(__xludf.DUMMYFUNCTION("""COMPUTED_VALUE"""),"Low")</f>
        <v>Low</v>
      </c>
      <c r="Z327" s="5">
        <f>IFERROR(__xludf.DUMMYFUNCTION("""COMPUTED_VALUE"""),18.64)</f>
        <v>18.64</v>
      </c>
      <c r="AA327" s="12">
        <f>IFERROR(__xludf.DUMMYFUNCTION("""COMPUTED_VALUE"""),1000.0)</f>
        <v>1000</v>
      </c>
      <c r="AB327" s="5"/>
      <c r="AC327" s="5" t="str">
        <f>IFERROR(__xludf.DUMMYFUNCTION("""COMPUTED_VALUE"""),"Bothways")</f>
        <v>Bothways</v>
      </c>
      <c r="AD327" s="5" t="str">
        <f>IFERROR(__xludf.DUMMYFUNCTION("""COMPUTED_VALUE"""),"0.05/100")</f>
        <v>0.05/100</v>
      </c>
      <c r="AE327" s="5"/>
      <c r="AF327" s="5"/>
      <c r="AG327" s="8">
        <f>IFERROR(__xludf.DUMMYFUNCTION("""COMPUTED_VALUE"""),46157.479525462964)</f>
        <v>46157.47953</v>
      </c>
      <c r="AH327" s="5"/>
      <c r="AI327" s="5"/>
      <c r="AJ327" s="5"/>
      <c r="AK327" s="5">
        <f>IFERROR(__xludf.DUMMYFUNCTION("""COMPUTED_VALUE"""),1.0)</f>
        <v>1</v>
      </c>
      <c r="AL327" s="5" t="str">
        <f>IFERROR(__xludf.DUMMYFUNCTION("""COMPUTED_VALUE"""),"No")</f>
        <v>No</v>
      </c>
      <c r="AM327" s="5" t="str">
        <f>IFERROR(__xludf.DUMMYFUNCTION("""COMPUTED_VALUE"""),"No")</f>
        <v>No</v>
      </c>
      <c r="AN327" s="7" t="str">
        <f>IFERROR(__xludf.DUMMYFUNCTION("""COMPUTED_VALUE"""),"https://static.redstone.rs/games/hot-rush-both-ways/")</f>
        <v>https://static.redstone.rs/games/hot-rush-both-ways/</v>
      </c>
      <c r="AO327" s="5" t="str">
        <f>IFERROR(__xludf.DUMMYFUNCTION("""COMPUTED_VALUE"""),"No")</f>
        <v>No</v>
      </c>
      <c r="AP327" s="5" t="str">
        <f>IFERROR(__xludf.DUMMYFUNCTION("""COMPUTED_VALUE"""),"No")</f>
        <v>No</v>
      </c>
      <c r="AQ327" s="5" t="b">
        <f>IFERROR(__xludf.DUMMYFUNCTION("""COMPUTED_VALUE"""),TRUE)</f>
        <v>1</v>
      </c>
      <c r="AR327" s="5"/>
      <c r="AS327" s="5" t="str">
        <f>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AT327" s="5"/>
      <c r="AU327" s="5" t="str">
        <f>IFERROR(__xludf.DUMMYFUNCTION("""COMPUTED_VALUE"""),"Redstone")</f>
        <v>Redstone</v>
      </c>
      <c r="AV327" s="5"/>
      <c r="AW327" s="5"/>
      <c r="AX327" s="5"/>
      <c r="AY327" s="5"/>
      <c r="AZ327" s="5"/>
      <c r="BA327" s="5"/>
      <c r="BB327" s="5" t="b">
        <f>IFERROR(__xludf.DUMMYFUNCTION("""COMPUTED_VALUE"""),TRUE)</f>
        <v>1</v>
      </c>
      <c r="BC327" s="5" t="str">
        <f>IFERROR(__xludf.DUMMYFUNCTION("""COMPUTED_VALUE"""),"Redstone")</f>
        <v>Redstone</v>
      </c>
      <c r="BD327" s="7" t="str">
        <f>IFERROR(__xludf.DUMMYFUNCTION("""COMPUTED_VALUE"""),"https://static.redstone.rs/games/hot-rush-both-ways/")</f>
        <v>https://static.redstone.rs/games/hot-rush-both-ways/</v>
      </c>
      <c r="BE327" s="5" t="b">
        <f>IFERROR(__xludf.DUMMYFUNCTION("""COMPUTED_VALUE"""),TRUE)</f>
        <v>1</v>
      </c>
    </row>
    <row r="328">
      <c r="A328" s="5">
        <f>IFERROR(__xludf.DUMMYFUNCTION("""COMPUTED_VALUE"""),329.0)</f>
        <v>329</v>
      </c>
      <c r="B328" s="5">
        <f>IFERROR(__xludf.DUMMYFUNCTION("""COMPUTED_VALUE"""),328.0)</f>
        <v>328</v>
      </c>
      <c r="C328" s="5" t="str">
        <f>IFERROR(__xludf.DUMMYFUNCTION("""COMPUTED_VALUE"""),"Redstone")</f>
        <v>Redstone</v>
      </c>
      <c r="D328" s="5" t="str">
        <f>IFERROR(__xludf.DUMMYFUNCTION("""COMPUTED_VALUE"""),"Book Of Scorpio")</f>
        <v>Book Of Scorpio</v>
      </c>
      <c r="E328" s="5"/>
      <c r="F328" s="5" t="str">
        <f>IFERROR(__xludf.DUMMYFUNCTION("""COMPUTED_VALUE"""),"RedstoneBookOfScorpio")</f>
        <v>RedstoneBookOfScorpio</v>
      </c>
      <c r="G328" s="5" t="str">
        <f>IFERROR(__xludf.DUMMYFUNCTION("""COMPUTED_VALUE"""),"Live")</f>
        <v>Live</v>
      </c>
      <c r="H328" s="5"/>
      <c r="I328" s="5" t="str">
        <f>IFERROR(__xludf.DUMMYFUNCTION("""COMPUTED_VALUE"""),"Redstone")</f>
        <v>Redstone</v>
      </c>
      <c r="J328" s="5" t="str">
        <f>IFERROR(__xludf.DUMMYFUNCTION("""COMPUTED_VALUE"""),"JSON")</f>
        <v>JSON</v>
      </c>
      <c r="K328" s="5" t="str">
        <f>IFERROR(__xludf.DUMMYFUNCTION("""COMPUTED_VALUE"""),"Slot")</f>
        <v>Slot</v>
      </c>
      <c r="L328" s="5" t="str">
        <f>IFERROR(__xludf.DUMMYFUNCTION("""COMPUTED_VALUE"""),"Master")</f>
        <v>Master</v>
      </c>
      <c r="M328" s="5"/>
      <c r="N328" s="7" t="str">
        <f>IFERROR(__xludf.DUMMYFUNCTION("""COMPUTED_VALUE"""),"https://docs.google.com/document/d/1V5vML2_cYkD_jgU9nNxokYIDq2owyKOV/edit?usp=drive_link&amp;ouid=107596163405648766688&amp;rtpof=true&amp;sd=true")</f>
        <v>https://docs.google.com/document/d/1V5vML2_cYkD_jgU9nNxokYIDq2owyKOV/edit?usp=drive_link&amp;ouid=107596163405648766688&amp;rtpof=true&amp;sd=true</v>
      </c>
      <c r="O328" s="7" t="str">
        <f>IFERROR(__xludf.DUMMYFUNCTION("""COMPUTED_VALUE"""),"https://docs.google.com/document/d/1MmyOm1Zuhp3punU29AoQc9ItHlFyFed_/edit?usp=drive_link&amp;ouid=107596163405648766688&amp;rtpof=true&amp;sd=true")</f>
        <v>https://docs.google.com/document/d/1MmyOm1Zuhp3punU29AoQc9ItHlFyFed_/edit?usp=drive_link&amp;ouid=107596163405648766688&amp;rtpof=true&amp;sd=true</v>
      </c>
      <c r="P328" s="12">
        <f>IFERROR(__xludf.DUMMYFUNCTION("""COMPUTED_VALUE"""),12.0)</f>
        <v>12</v>
      </c>
      <c r="Q328" s="13">
        <f>IFERROR(__xludf.DUMMYFUNCTION("""COMPUTED_VALUE"""),45427.0)</f>
        <v>45427</v>
      </c>
      <c r="R328" s="14"/>
      <c r="S328" s="13">
        <f>IFERROR(__xludf.DUMMYFUNCTION("""COMPUTED_VALUE"""),45427.0)</f>
        <v>45427</v>
      </c>
      <c r="T328" s="5" t="b">
        <f>IFERROR(__xludf.DUMMYFUNCTION("""COMPUTED_VALUE"""),TRUE)</f>
        <v>1</v>
      </c>
      <c r="U328" s="5" t="str">
        <f>IFERROR(__xludf.DUMMYFUNCTION("""COMPUTED_VALUE"""),"5x3")</f>
        <v>5x3</v>
      </c>
      <c r="V328" s="10" t="str">
        <f>IFERROR(__xludf.DUMMYFUNCTION("""COMPUTED_VALUE"""),"10")</f>
        <v>10</v>
      </c>
      <c r="W328" s="10" t="str">
        <f>IFERROR(__xludf.DUMMYFUNCTION("""COMPUTED_VALUE"""),"10")</f>
        <v>10</v>
      </c>
      <c r="X328" s="5">
        <f>IFERROR(__xludf.DUMMYFUNCTION("""COMPUTED_VALUE"""),96.2)</f>
        <v>96.2</v>
      </c>
      <c r="Y328" s="5" t="str">
        <f>IFERROR(__xludf.DUMMYFUNCTION("""COMPUTED_VALUE"""),"High")</f>
        <v>High</v>
      </c>
      <c r="Z328" s="5">
        <f>IFERROR(__xludf.DUMMYFUNCTION("""COMPUTED_VALUE"""),12.34)</f>
        <v>12.34</v>
      </c>
      <c r="AA328" s="12">
        <f>IFERROR(__xludf.DUMMYFUNCTION("""COMPUTED_VALUE"""),5456.0)</f>
        <v>5456</v>
      </c>
      <c r="AB328" s="5"/>
      <c r="AC328" s="5" t="str">
        <f>IFERROR(__xludf.DUMMYFUNCTION("""COMPUTED_VALUE"""),"Scatter, Wild Symbol, Bonus Game with Free Spins, Bonus Game with Special Symbol")</f>
        <v>Scatter, Wild Symbol, Bonus Game with Free Spins, Bonus Game with Special Symbol</v>
      </c>
      <c r="AD328" s="5" t="str">
        <f>IFERROR(__xludf.DUMMYFUNCTION("""COMPUTED_VALUE"""),"0.10/40")</f>
        <v>0.10/40</v>
      </c>
      <c r="AE328" s="5"/>
      <c r="AF328" s="5"/>
      <c r="AG328" s="8">
        <f>IFERROR(__xludf.DUMMYFUNCTION("""COMPUTED_VALUE"""),46157.4825)</f>
        <v>46157.4825</v>
      </c>
      <c r="AH328" s="5"/>
      <c r="AI328" s="5"/>
      <c r="AJ328" s="5"/>
      <c r="AK328" s="5"/>
      <c r="AL328" s="5" t="str">
        <f>IFERROR(__xludf.DUMMYFUNCTION("""COMPUTED_VALUE"""),"No")</f>
        <v>No</v>
      </c>
      <c r="AM328" s="5" t="str">
        <f>IFERROR(__xludf.DUMMYFUNCTION("""COMPUTED_VALUE"""),"No")</f>
        <v>No</v>
      </c>
      <c r="AN328" s="7" t="str">
        <f>IFERROR(__xludf.DUMMYFUNCTION("""COMPUTED_VALUE"""),"https://static.redstone.rs/games/book-of-scorpio/")</f>
        <v>https://static.redstone.rs/games/book-of-scorpio/</v>
      </c>
      <c r="AO328" s="5" t="str">
        <f>IFERROR(__xludf.DUMMYFUNCTION("""COMPUTED_VALUE"""),"No")</f>
        <v>No</v>
      </c>
      <c r="AP328" s="5" t="str">
        <f>IFERROR(__xludf.DUMMYFUNCTION("""COMPUTED_VALUE"""),"No")</f>
        <v>No</v>
      </c>
      <c r="AQ328" s="5" t="b">
        <f>IFERROR(__xludf.DUMMYFUNCTION("""COMPUTED_VALUE"""),TRUE)</f>
        <v>1</v>
      </c>
      <c r="AR328" s="5"/>
      <c r="AS328" s="5" t="str">
        <f>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AT328" s="5"/>
      <c r="AU328" s="5" t="str">
        <f>IFERROR(__xludf.DUMMYFUNCTION("""COMPUTED_VALUE"""),"Redstone")</f>
        <v>Redstone</v>
      </c>
      <c r="AV328" s="5"/>
      <c r="AW328" s="5"/>
      <c r="AX328" s="5"/>
      <c r="AY328" s="5"/>
      <c r="AZ328" s="5"/>
      <c r="BA328" s="5"/>
      <c r="BB328" s="5" t="b">
        <f>IFERROR(__xludf.DUMMYFUNCTION("""COMPUTED_VALUE"""),TRUE)</f>
        <v>1</v>
      </c>
      <c r="BC328" s="5" t="str">
        <f>IFERROR(__xludf.DUMMYFUNCTION("""COMPUTED_VALUE"""),"Redstone")</f>
        <v>Redstone</v>
      </c>
      <c r="BD328" s="7" t="str">
        <f>IFERROR(__xludf.DUMMYFUNCTION("""COMPUTED_VALUE"""),"https://static.redstone.rs/games/book-of-scorpio/")</f>
        <v>https://static.redstone.rs/games/book-of-scorpio/</v>
      </c>
      <c r="BE328" s="5" t="b">
        <f>IFERROR(__xludf.DUMMYFUNCTION("""COMPUTED_VALUE"""),TRUE)</f>
        <v>1</v>
      </c>
    </row>
    <row r="329">
      <c r="A329" s="5">
        <f>IFERROR(__xludf.DUMMYFUNCTION("""COMPUTED_VALUE"""),331.0)</f>
        <v>331</v>
      </c>
      <c r="B329" s="5">
        <f>IFERROR(__xludf.DUMMYFUNCTION("""COMPUTED_VALUE"""),330.0)</f>
        <v>330</v>
      </c>
      <c r="C329" s="5" t="str">
        <f>IFERROR(__xludf.DUMMYFUNCTION("""COMPUTED_VALUE"""),"Tiptop")</f>
        <v>Tiptop</v>
      </c>
      <c r="D329" s="5" t="str">
        <f>IFERROR(__xludf.DUMMYFUNCTION("""COMPUTED_VALUE"""),"Buffalo Sevens")</f>
        <v>Buffalo Sevens</v>
      </c>
      <c r="E329" s="5"/>
      <c r="F329" s="5" t="str">
        <f>IFERROR(__xludf.DUMMYFUNCTION("""COMPUTED_VALUE"""),"UnicornBuffaloSevens")</f>
        <v>UnicornBuffaloSevens</v>
      </c>
      <c r="G329" s="5" t="str">
        <f>IFERROR(__xludf.DUMMYFUNCTION("""COMPUTED_VALUE"""),"Live")</f>
        <v>Live</v>
      </c>
      <c r="H329" s="5"/>
      <c r="I329" s="5" t="str">
        <f>IFERROR(__xludf.DUMMYFUNCTION("""COMPUTED_VALUE"""),"TipTop")</f>
        <v>TipTop</v>
      </c>
      <c r="J329" s="5" t="str">
        <f>IFERROR(__xludf.DUMMYFUNCTION("""COMPUTED_VALUE"""),"JSON")</f>
        <v>JSON</v>
      </c>
      <c r="K329" s="5" t="str">
        <f>IFERROR(__xludf.DUMMYFUNCTION("""COMPUTED_VALUE"""),"Slot")</f>
        <v>Slot</v>
      </c>
      <c r="L329" s="5"/>
      <c r="M329" s="5"/>
      <c r="N329" s="5"/>
      <c r="O329" s="5"/>
      <c r="P329" s="12">
        <f>IFERROR(__xludf.DUMMYFUNCTION("""COMPUTED_VALUE"""),10.8)</f>
        <v>10.8</v>
      </c>
      <c r="Q329" s="13">
        <f>IFERROR(__xludf.DUMMYFUNCTION("""COMPUTED_VALUE"""),45462.0)</f>
        <v>45462</v>
      </c>
      <c r="R329" s="14"/>
      <c r="S329" s="13">
        <f>IFERROR(__xludf.DUMMYFUNCTION("""COMPUTED_VALUE"""),45462.0)</f>
        <v>45462</v>
      </c>
      <c r="T329" s="5" t="b">
        <f>IFERROR(__xludf.DUMMYFUNCTION("""COMPUTED_VALUE"""),TRUE)</f>
        <v>1</v>
      </c>
      <c r="U329" s="5" t="str">
        <f>IFERROR(__xludf.DUMMYFUNCTION("""COMPUTED_VALUE"""),"5X3")</f>
        <v>5X3</v>
      </c>
      <c r="V329" s="10" t="str">
        <f>IFERROR(__xludf.DUMMYFUNCTION("""COMPUTED_VALUE"""),"10")</f>
        <v>10</v>
      </c>
      <c r="W329" s="10" t="str">
        <f>IFERROR(__xludf.DUMMYFUNCTION("""COMPUTED_VALUE"""),"10")</f>
        <v>10</v>
      </c>
      <c r="X329" s="11">
        <f>IFERROR(__xludf.DUMMYFUNCTION("""COMPUTED_VALUE"""),96.0)</f>
        <v>96</v>
      </c>
      <c r="Y329" s="5" t="str">
        <f>IFERROR(__xludf.DUMMYFUNCTION("""COMPUTED_VALUE"""),"Low")</f>
        <v>Low</v>
      </c>
      <c r="Z329" s="5">
        <f>IFERROR(__xludf.DUMMYFUNCTION("""COMPUTED_VALUE"""),9.08)</f>
        <v>9.08</v>
      </c>
      <c r="AA329" s="12">
        <f>IFERROR(__xludf.DUMMYFUNCTION("""COMPUTED_VALUE"""),5000.0)</f>
        <v>5000</v>
      </c>
      <c r="AB329" s="5"/>
      <c r="AC329" s="18"/>
      <c r="AD329" s="5" t="str">
        <f>IFERROR(__xludf.DUMMYFUNCTION("""COMPUTED_VALUE"""),"0.1/100")</f>
        <v>0.1/100</v>
      </c>
      <c r="AE329" s="5"/>
      <c r="AF329" s="5"/>
      <c r="AG329" s="8">
        <f>IFERROR(__xludf.DUMMYFUNCTION("""COMPUTED_VALUE"""),46197.48846064815)</f>
        <v>46197.48846</v>
      </c>
      <c r="AH329" s="5" t="str">
        <f>IFERROR(__xludf.DUMMYFUNCTION("""COMPUTED_VALUE"""),"selena.mihajlovic@fazi.rs")</f>
        <v>selena.mihajlovic@fazi.rs</v>
      </c>
      <c r="AI329" s="5"/>
      <c r="AJ329" s="5"/>
      <c r="AK329" s="5">
        <f>IFERROR(__xludf.DUMMYFUNCTION("""COMPUTED_VALUE"""),10.0)</f>
        <v>10</v>
      </c>
      <c r="AL329" s="5" t="str">
        <f>IFERROR(__xludf.DUMMYFUNCTION("""COMPUTED_VALUE"""),"No")</f>
        <v>No</v>
      </c>
      <c r="AM329" s="5"/>
      <c r="AN329" s="7" t="str">
        <f>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AO329" s="5"/>
      <c r="AP329" s="5"/>
      <c r="AQ329" s="5" t="b">
        <f>IFERROR(__xludf.DUMMYFUNCTION("""COMPUTED_VALUE"""),TRUE)</f>
        <v>1</v>
      </c>
      <c r="AR329" s="5"/>
      <c r="AS329" s="5" t="str">
        <f>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AT329" s="5"/>
      <c r="AU329" s="5" t="str">
        <f>IFERROR(__xludf.DUMMYFUNCTION("""COMPUTED_VALUE"""),"Fazi")</f>
        <v>Fazi</v>
      </c>
      <c r="AV329" s="5"/>
      <c r="AW329" s="5"/>
      <c r="AX329" s="5"/>
      <c r="AY329" s="5"/>
      <c r="AZ329" s="5"/>
      <c r="BA329" s="5"/>
      <c r="BB329" s="5" t="b">
        <f>IFERROR(__xludf.DUMMYFUNCTION("""COMPUTED_VALUE"""),TRUE)</f>
        <v>1</v>
      </c>
      <c r="BC329" s="5" t="str">
        <f>IFERROR(__xludf.DUMMYFUNCTION("""COMPUTED_VALUE"""),"Tiptop")</f>
        <v>Tiptop</v>
      </c>
      <c r="BD329" s="7" t="str">
        <f>IFERROR(__xludf.DUMMYFUNCTION("""COMPUTED_VALUE"""),"https://gameserver-store-client-area.orbionlimited.com/Home/IntegrationGameLaunch/client-area?moneyType=0&amp;gameName=UnicornBuffaloSevens&amp;platform=desktop&amp;languageCode=eng&amp;currency=EUR")</f>
        <v>https://gameserver-store-client-area.orbionlimited.com/Home/IntegrationGameLaunch/client-area?moneyType=0&amp;gameName=UnicornBuffaloSevens&amp;platform=desktop&amp;languageCode=eng&amp;currency=EUR</v>
      </c>
      <c r="BE329" s="5" t="b">
        <f>IFERROR(__xludf.DUMMYFUNCTION("""COMPUTED_VALUE"""),TRUE)</f>
        <v>1</v>
      </c>
    </row>
    <row r="330">
      <c r="A330" s="5">
        <f>IFERROR(__xludf.DUMMYFUNCTION("""COMPUTED_VALUE"""),332.0)</f>
        <v>332</v>
      </c>
      <c r="B330" s="5">
        <f>IFERROR(__xludf.DUMMYFUNCTION("""COMPUTED_VALUE"""),331.0)</f>
        <v>331</v>
      </c>
      <c r="C330" s="5" t="str">
        <f>IFERROR(__xludf.DUMMYFUNCTION("""COMPUTED_VALUE"""),"Tiptop")</f>
        <v>Tiptop</v>
      </c>
      <c r="D330" s="5" t="str">
        <f>IFERROR(__xludf.DUMMYFUNCTION("""COMPUTED_VALUE"""),"Mister Luck")</f>
        <v>Mister Luck</v>
      </c>
      <c r="E330" s="5"/>
      <c r="F330" s="5" t="str">
        <f>IFERROR(__xludf.DUMMYFUNCTION("""COMPUTED_VALUE"""),"UnicornMisterLuck")</f>
        <v>UnicornMisterLuck</v>
      </c>
      <c r="G330" s="5" t="str">
        <f>IFERROR(__xludf.DUMMYFUNCTION("""COMPUTED_VALUE"""),"Live")</f>
        <v>Live</v>
      </c>
      <c r="H330" s="5"/>
      <c r="I330" s="5" t="str">
        <f>IFERROR(__xludf.DUMMYFUNCTION("""COMPUTED_VALUE"""),"TipTop")</f>
        <v>TipTop</v>
      </c>
      <c r="J330" s="5" t="str">
        <f>IFERROR(__xludf.DUMMYFUNCTION("""COMPUTED_VALUE"""),"JSON")</f>
        <v>JSON</v>
      </c>
      <c r="K330" s="5" t="str">
        <f>IFERROR(__xludf.DUMMYFUNCTION("""COMPUTED_VALUE"""),"Slot")</f>
        <v>Slot</v>
      </c>
      <c r="L330" s="5"/>
      <c r="M330" s="5"/>
      <c r="N330" s="5"/>
      <c r="O330" s="5"/>
      <c r="P330" s="12">
        <f>IFERROR(__xludf.DUMMYFUNCTION("""COMPUTED_VALUE"""),15.5)</f>
        <v>15.5</v>
      </c>
      <c r="Q330" s="13">
        <f>IFERROR(__xludf.DUMMYFUNCTION("""COMPUTED_VALUE"""),45441.0)</f>
        <v>45441</v>
      </c>
      <c r="R330" s="14"/>
      <c r="S330" s="13">
        <f>IFERROR(__xludf.DUMMYFUNCTION("""COMPUTED_VALUE"""),45441.0)</f>
        <v>45441</v>
      </c>
      <c r="T330" s="5" t="b">
        <f>IFERROR(__xludf.DUMMYFUNCTION("""COMPUTED_VALUE"""),TRUE)</f>
        <v>1</v>
      </c>
      <c r="U330" s="5" t="str">
        <f>IFERROR(__xludf.DUMMYFUNCTION("""COMPUTED_VALUE"""),"5X3")</f>
        <v>5X3</v>
      </c>
      <c r="V330" s="10" t="str">
        <f>IFERROR(__xludf.DUMMYFUNCTION("""COMPUTED_VALUE"""),"5")</f>
        <v>5</v>
      </c>
      <c r="W330" s="10" t="str">
        <f>IFERROR(__xludf.DUMMYFUNCTION("""COMPUTED_VALUE"""),"5")</f>
        <v>5</v>
      </c>
      <c r="X330" s="11">
        <f>IFERROR(__xludf.DUMMYFUNCTION("""COMPUTED_VALUE"""),96.0)</f>
        <v>96</v>
      </c>
      <c r="Y330" s="5" t="str">
        <f>IFERROR(__xludf.DUMMYFUNCTION("""COMPUTED_VALUE"""),"Low")</f>
        <v>Low</v>
      </c>
      <c r="Z330" s="5">
        <f>IFERROR(__xludf.DUMMYFUNCTION("""COMPUTED_VALUE"""),13.64)</f>
        <v>13.64</v>
      </c>
      <c r="AA330" s="12">
        <f>IFERROR(__xludf.DUMMYFUNCTION("""COMPUTED_VALUE"""),10000.0)</f>
        <v>10000</v>
      </c>
      <c r="AB330" s="5"/>
      <c r="AC330" s="18"/>
      <c r="AD330" s="5" t="str">
        <f>IFERROR(__xludf.DUMMYFUNCTION("""COMPUTED_VALUE"""),"0.05/100")</f>
        <v>0.05/100</v>
      </c>
      <c r="AE330" s="5"/>
      <c r="AF330" s="5"/>
      <c r="AG330" s="8">
        <f>IFERROR(__xludf.DUMMYFUNCTION("""COMPUTED_VALUE"""),46197.488657407404)</f>
        <v>46197.48866</v>
      </c>
      <c r="AH330" s="5" t="str">
        <f>IFERROR(__xludf.DUMMYFUNCTION("""COMPUTED_VALUE"""),"selena.mihajlovic@fazi.rs")</f>
        <v>selena.mihajlovic@fazi.rs</v>
      </c>
      <c r="AI330" s="5"/>
      <c r="AJ330" s="5"/>
      <c r="AK330" s="5">
        <f>IFERROR(__xludf.DUMMYFUNCTION("""COMPUTED_VALUE"""),5.0)</f>
        <v>5</v>
      </c>
      <c r="AL330" s="5" t="str">
        <f>IFERROR(__xludf.DUMMYFUNCTION("""COMPUTED_VALUE"""),"No")</f>
        <v>No</v>
      </c>
      <c r="AM330" s="5"/>
      <c r="AN330" s="7" t="str">
        <f>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AO330" s="5"/>
      <c r="AP330" s="5"/>
      <c r="AQ330" s="5" t="b">
        <f>IFERROR(__xludf.DUMMYFUNCTION("""COMPUTED_VALUE"""),TRUE)</f>
        <v>1</v>
      </c>
      <c r="AR330" s="5"/>
      <c r="AS330" s="5" t="str">
        <f>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AT330" s="5"/>
      <c r="AU330" s="5" t="str">
        <f>IFERROR(__xludf.DUMMYFUNCTION("""COMPUTED_VALUE"""),"Fazi")</f>
        <v>Fazi</v>
      </c>
      <c r="AV330" s="5"/>
      <c r="AW330" s="5"/>
      <c r="AX330" s="5"/>
      <c r="AY330" s="5"/>
      <c r="AZ330" s="5"/>
      <c r="BA330" s="5"/>
      <c r="BB330" s="5" t="b">
        <f>IFERROR(__xludf.DUMMYFUNCTION("""COMPUTED_VALUE"""),TRUE)</f>
        <v>1</v>
      </c>
      <c r="BC330" s="5" t="str">
        <f>IFERROR(__xludf.DUMMYFUNCTION("""COMPUTED_VALUE"""),"Tiptop")</f>
        <v>Tiptop</v>
      </c>
      <c r="BD330" s="7" t="str">
        <f>IFERROR(__xludf.DUMMYFUNCTION("""COMPUTED_VALUE"""),"https://gameserver-store-client-area.orbionlimited.com/Home/IntegrationGameLaunch/client-area?moneyType=0&amp;gameName=UnicornMisterLuck&amp;platform=desktop&amp;languageCode=eng&amp;currency=EUR")</f>
        <v>https://gameserver-store-client-area.orbionlimited.com/Home/IntegrationGameLaunch/client-area?moneyType=0&amp;gameName=UnicornMisterLuck&amp;platform=desktop&amp;languageCode=eng&amp;currency=EUR</v>
      </c>
      <c r="BE330" s="5" t="b">
        <f>IFERROR(__xludf.DUMMYFUNCTION("""COMPUTED_VALUE"""),TRUE)</f>
        <v>1</v>
      </c>
    </row>
    <row r="331">
      <c r="A331" s="5">
        <f>IFERROR(__xludf.DUMMYFUNCTION("""COMPUTED_VALUE"""),334.0)</f>
        <v>334</v>
      </c>
      <c r="B331" s="5">
        <f>IFERROR(__xludf.DUMMYFUNCTION("""COMPUTED_VALUE"""),333.0)</f>
        <v>333</v>
      </c>
      <c r="C331" s="5" t="str">
        <f>IFERROR(__xludf.DUMMYFUNCTION("""COMPUTED_VALUE"""),"Fazi")</f>
        <v>Fazi</v>
      </c>
      <c r="D331" s="5" t="str">
        <f>IFERROR(__xludf.DUMMYFUNCTION("""COMPUTED_VALUE"""),"Wild Sunburst")</f>
        <v>Wild Sunburst</v>
      </c>
      <c r="E331" s="5" t="str">
        <f>IFERROR(__xludf.DUMMYFUNCTION("""COMPUTED_VALUE"""),"V4-2")</f>
        <v>V4-2</v>
      </c>
      <c r="F331" s="5" t="str">
        <f>IFERROR(__xludf.DUMMYFUNCTION("""COMPUTED_VALUE"""),"WildSunburst")</f>
        <v>WildSunburst</v>
      </c>
      <c r="G331" s="5" t="str">
        <f>IFERROR(__xludf.DUMMYFUNCTION("""COMPUTED_VALUE"""),"Live")</f>
        <v>Live</v>
      </c>
      <c r="H331" s="5"/>
      <c r="I331" s="5" t="str">
        <f>IFERROR(__xludf.DUMMYFUNCTION("""COMPUTED_VALUE"""),"V4")</f>
        <v>V4</v>
      </c>
      <c r="J331" s="5" t="str">
        <f>IFERROR(__xludf.DUMMYFUNCTION("""COMPUTED_VALUE"""),"JSON")</f>
        <v>JSON</v>
      </c>
      <c r="K331" s="5" t="str">
        <f>IFERROR(__xludf.DUMMYFUNCTION("""COMPUTED_VALUE"""),"Slot")</f>
        <v>Slot</v>
      </c>
      <c r="L331" s="5" t="str">
        <f>IFERROR(__xludf.DUMMYFUNCTION("""COMPUTED_VALUE"""),"Master")</f>
        <v>Master</v>
      </c>
      <c r="M331" s="5"/>
      <c r="N331" s="7" t="str">
        <f>IFERROR(__xludf.DUMMYFUNCTION("""COMPUTED_VALUE"""),"https://drive.google.com/file/d/16yachCE10tU0GkEF5-A7M4MsArXU5EsH/view?usp=drive_link")</f>
        <v>https://drive.google.com/file/d/16yachCE10tU0GkEF5-A7M4MsArXU5EsH/view?usp=drive_link</v>
      </c>
      <c r="O331" s="7" t="str">
        <f>IFERROR(__xludf.DUMMYFUNCTION("""COMPUTED_VALUE"""),"https://drive.google.com/file/d/1vSIAX07YqAaggMDQW2hqGetso4iIxqC2/view?usp=drive_link")</f>
        <v>https://drive.google.com/file/d/1vSIAX07YqAaggMDQW2hqGetso4iIxqC2/view?usp=drive_link</v>
      </c>
      <c r="P331" s="12">
        <f>IFERROR(__xludf.DUMMYFUNCTION("""COMPUTED_VALUE"""),17.0)</f>
        <v>17</v>
      </c>
      <c r="Q331" s="14">
        <f>IFERROR(__xludf.DUMMYFUNCTION("""COMPUTED_VALUE"""),45518.0)</f>
        <v>45518</v>
      </c>
      <c r="R331" s="14">
        <f>IFERROR(__xludf.DUMMYFUNCTION("""COMPUTED_VALUE"""),45518.0)</f>
        <v>45518</v>
      </c>
      <c r="S331" s="13">
        <f>IFERROR(__xludf.DUMMYFUNCTION("""COMPUTED_VALUE"""),45525.0)</f>
        <v>45525</v>
      </c>
      <c r="T331" s="5" t="b">
        <f>IFERROR(__xludf.DUMMYFUNCTION("""COMPUTED_VALUE"""),TRUE)</f>
        <v>1</v>
      </c>
      <c r="U331" s="5" t="str">
        <f>IFERROR(__xludf.DUMMYFUNCTION("""COMPUTED_VALUE"""),"5x3")</f>
        <v>5x3</v>
      </c>
      <c r="V331" s="10" t="str">
        <f>IFERROR(__xludf.DUMMYFUNCTION("""COMPUTED_VALUE"""),"40")</f>
        <v>40</v>
      </c>
      <c r="W331" s="10" t="str">
        <f>IFERROR(__xludf.DUMMYFUNCTION("""COMPUTED_VALUE"""),"40")</f>
        <v>40</v>
      </c>
      <c r="X331" s="11">
        <f>IFERROR(__xludf.DUMMYFUNCTION("""COMPUTED_VALUE"""),96.526)</f>
        <v>96.526</v>
      </c>
      <c r="Y331" s="5" t="str">
        <f>IFERROR(__xludf.DUMMYFUNCTION("""COMPUTED_VALUE"""),"Medium")</f>
        <v>Medium</v>
      </c>
      <c r="Z331" s="5">
        <f>IFERROR(__xludf.DUMMYFUNCTION("""COMPUTED_VALUE"""),38.826)</f>
        <v>38.826</v>
      </c>
      <c r="AA331" s="12">
        <f>IFERROR(__xludf.DUMMYFUNCTION("""COMPUTED_VALUE"""),2320.0)</f>
        <v>2320</v>
      </c>
      <c r="AB331" s="5">
        <f>IFERROR(__xludf.DUMMYFUNCTION("""COMPUTED_VALUE"""),87.0)</f>
        <v>87</v>
      </c>
      <c r="AC331" s="5" t="str">
        <f>IFERROR(__xludf.DUMMYFUNCTION("""COMPUTED_VALUE"""),"Bonus Game with Free Spins, Wild Multiplier, Expanding Wild")</f>
        <v>Bonus Game with Free Spins, Wild Multiplier, Expanding Wild</v>
      </c>
      <c r="AD331" s="5" t="str">
        <f>IFERROR(__xludf.DUMMYFUNCTION("""COMPUTED_VALUE"""),"0.4/60")</f>
        <v>0.4/60</v>
      </c>
      <c r="AE331" s="5"/>
      <c r="AF331" s="5"/>
      <c r="AG331" s="8">
        <f>IFERROR(__xludf.DUMMYFUNCTION("""COMPUTED_VALUE"""),46212.68736111111)</f>
        <v>46212.68736</v>
      </c>
      <c r="AH331" s="5" t="str">
        <f>IFERROR(__xludf.DUMMYFUNCTION("""COMPUTED_VALUE"""),"djordje.petrovic@fazi.rs")</f>
        <v>djordje.petrovic@fazi.rs</v>
      </c>
      <c r="AI331" s="5"/>
      <c r="AJ331" s="5"/>
      <c r="AK331" s="5">
        <f>IFERROR(__xludf.DUMMYFUNCTION("""COMPUTED_VALUE"""),40.0)</f>
        <v>40</v>
      </c>
      <c r="AL331" s="5" t="str">
        <f>IFERROR(__xludf.DUMMYFUNCTION("""COMPUTED_VALUE"""),"Yes")</f>
        <v>Yes</v>
      </c>
      <c r="AM331" s="5"/>
      <c r="AN331" s="7" t="str">
        <f>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AO331" s="5" t="str">
        <f>IFERROR(__xludf.DUMMYFUNCTION("""COMPUTED_VALUE"""),"Yes")</f>
        <v>Yes</v>
      </c>
      <c r="AP331" s="5" t="str">
        <f>IFERROR(__xludf.DUMMYFUNCTION("""COMPUTED_VALUE"""),"Yes")</f>
        <v>Yes</v>
      </c>
      <c r="AQ331" s="5" t="b">
        <f>IFERROR(__xludf.DUMMYFUNCTION("""COMPUTED_VALUE"""),TRUE)</f>
        <v>1</v>
      </c>
      <c r="AR331" s="5"/>
      <c r="AS331" s="5" t="str">
        <f>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AT331" s="5" t="str">
        <f>IFERROR(__xludf.DUMMYFUNCTION("""COMPUTED_VALUE"""),"Yes")</f>
        <v>Yes</v>
      </c>
      <c r="AU331" s="5" t="str">
        <f>IFERROR(__xludf.DUMMYFUNCTION("""COMPUTED_VALUE"""),"Fazi")</f>
        <v>Fazi</v>
      </c>
      <c r="AV331" s="5"/>
      <c r="AW331"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1" s="5"/>
      <c r="AY331" s="5"/>
      <c r="AZ331" s="5"/>
      <c r="BA331" s="5"/>
      <c r="BB331" s="5"/>
      <c r="BC331" s="5" t="str">
        <f>IFERROR(__xludf.DUMMYFUNCTION("""COMPUTED_VALUE"""),"Foxi")</f>
        <v>Foxi</v>
      </c>
      <c r="BD331" s="7" t="str">
        <f>IFERROR(__xludf.DUMMYFUNCTION("""COMPUTED_VALUE"""),"https://gameserver-store-client-area.orbionlimited.com/Home/IntegrationGameLaunch/client-area?moneyType=0&amp;gameName=WildSunburst&amp;platform=desktop&amp;languageCode=eng&amp;currency=EUR")</f>
        <v>https://gameserver-store-client-area.orbionlimited.com/Home/IntegrationGameLaunch/client-area?moneyType=0&amp;gameName=WildSunburst&amp;platform=desktop&amp;languageCode=eng&amp;currency=EUR</v>
      </c>
      <c r="BE331" s="5" t="b">
        <f>IFERROR(__xludf.DUMMYFUNCTION("""COMPUTED_VALUE"""),TRUE)</f>
        <v>1</v>
      </c>
    </row>
    <row r="332">
      <c r="A332" s="5">
        <f>IFERROR(__xludf.DUMMYFUNCTION("""COMPUTED_VALUE"""),335.0)</f>
        <v>335</v>
      </c>
      <c r="B332" s="5">
        <f>IFERROR(__xludf.DUMMYFUNCTION("""COMPUTED_VALUE"""),334.0)</f>
        <v>334</v>
      </c>
      <c r="C332" s="5" t="str">
        <f>IFERROR(__xludf.DUMMYFUNCTION("""COMPUTED_VALUE"""),"Fazi")</f>
        <v>Fazi</v>
      </c>
      <c r="D332" s="5" t="str">
        <f>IFERROR(__xludf.DUMMYFUNCTION("""COMPUTED_VALUE"""),"Toxic Haze")</f>
        <v>Toxic Haze</v>
      </c>
      <c r="E332" s="5" t="str">
        <f>IFERROR(__xludf.DUMMYFUNCTION("""COMPUTED_VALUE"""),"V4-1")</f>
        <v>V4-1</v>
      </c>
      <c r="F332" s="5" t="str">
        <f>IFERROR(__xludf.DUMMYFUNCTION("""COMPUTED_VALUE"""),"ToxicHaze")</f>
        <v>ToxicHaze</v>
      </c>
      <c r="G332" s="5" t="str">
        <f>IFERROR(__xludf.DUMMYFUNCTION("""COMPUTED_VALUE"""),"Live")</f>
        <v>Live</v>
      </c>
      <c r="H332" s="5"/>
      <c r="I332" s="5" t="str">
        <f>IFERROR(__xludf.DUMMYFUNCTION("""COMPUTED_VALUE"""),"V4")</f>
        <v>V4</v>
      </c>
      <c r="J332" s="5" t="str">
        <f>IFERROR(__xludf.DUMMYFUNCTION("""COMPUTED_VALUE"""),"JSON")</f>
        <v>JSON</v>
      </c>
      <c r="K332" s="5" t="str">
        <f>IFERROR(__xludf.DUMMYFUNCTION("""COMPUTED_VALUE"""),"Slot")</f>
        <v>Slot</v>
      </c>
      <c r="L332" s="5"/>
      <c r="M332" s="5"/>
      <c r="N332" s="5"/>
      <c r="O332" s="5"/>
      <c r="P332" s="12">
        <f>IFERROR(__xludf.DUMMYFUNCTION("""COMPUTED_VALUE"""),32.2)</f>
        <v>32.2</v>
      </c>
      <c r="Q332" s="13">
        <f>IFERROR(__xludf.DUMMYFUNCTION("""COMPUTED_VALUE"""),45478.0)</f>
        <v>45478</v>
      </c>
      <c r="R332" s="14"/>
      <c r="S332" s="13">
        <f>IFERROR(__xludf.DUMMYFUNCTION("""COMPUTED_VALUE"""),45478.0)</f>
        <v>45478</v>
      </c>
      <c r="T332" s="5" t="b">
        <f>IFERROR(__xludf.DUMMYFUNCTION("""COMPUTED_VALUE"""),TRUE)</f>
        <v>1</v>
      </c>
      <c r="U332" s="5" t="str">
        <f>IFERROR(__xludf.DUMMYFUNCTION("""COMPUTED_VALUE"""),"5x5")</f>
        <v>5x5</v>
      </c>
      <c r="V332" s="10" t="str">
        <f>IFERROR(__xludf.DUMMYFUNCTION("""COMPUTED_VALUE"""),"40")</f>
        <v>40</v>
      </c>
      <c r="W332" s="10" t="str">
        <f>IFERROR(__xludf.DUMMYFUNCTION("""COMPUTED_VALUE"""),"40")</f>
        <v>40</v>
      </c>
      <c r="X332" s="11">
        <f>IFERROR(__xludf.DUMMYFUNCTION("""COMPUTED_VALUE"""),96.817)</f>
        <v>96.817</v>
      </c>
      <c r="Y332" s="5" t="str">
        <f>IFERROR(__xludf.DUMMYFUNCTION("""COMPUTED_VALUE"""),"Medium")</f>
        <v>Medium</v>
      </c>
      <c r="Z332" s="5">
        <f>IFERROR(__xludf.DUMMYFUNCTION("""COMPUTED_VALUE"""),18.44)</f>
        <v>18.44</v>
      </c>
      <c r="AA332" s="12">
        <f>IFERROR(__xludf.DUMMYFUNCTION("""COMPUTED_VALUE"""),2674.0)</f>
        <v>2674</v>
      </c>
      <c r="AB332" s="5">
        <f>IFERROR(__xludf.DUMMYFUNCTION("""COMPUTED_VALUE"""),110.0)</f>
        <v>110</v>
      </c>
      <c r="AC332" s="5" t="str">
        <f>IFERROR(__xludf.DUMMYFUNCTION("""COMPUTED_VALUE"""),"Bonus Game with Free Spins, Shifting Wild")</f>
        <v>Bonus Game with Free Spins, Shifting Wild</v>
      </c>
      <c r="AD332" s="5" t="str">
        <f>IFERROR(__xludf.DUMMYFUNCTION("""COMPUTED_VALUE"""),"0.4/40")</f>
        <v>0.4/40</v>
      </c>
      <c r="AE332" s="5"/>
      <c r="AF332" s="5"/>
      <c r="AG332" s="8">
        <f>IFERROR(__xludf.DUMMYFUNCTION("""COMPUTED_VALUE"""),46153.62666666666)</f>
        <v>46153.62667</v>
      </c>
      <c r="AH332" s="5" t="str">
        <f>IFERROR(__xludf.DUMMYFUNCTION("""COMPUTED_VALUE"""),"djordje.petrovic@fazi.rs")</f>
        <v>djordje.petrovic@fazi.rs</v>
      </c>
      <c r="AI332" s="5"/>
      <c r="AJ332" s="5"/>
      <c r="AK332" s="5">
        <f>IFERROR(__xludf.DUMMYFUNCTION("""COMPUTED_VALUE"""),40.0)</f>
        <v>40</v>
      </c>
      <c r="AL332" s="5" t="str">
        <f>IFERROR(__xludf.DUMMYFUNCTION("""COMPUTED_VALUE"""),"Yes")</f>
        <v>Yes</v>
      </c>
      <c r="AM332" s="5"/>
      <c r="AN332" s="7" t="str">
        <f>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AO332" s="5" t="str">
        <f>IFERROR(__xludf.DUMMYFUNCTION("""COMPUTED_VALUE"""),"Yes")</f>
        <v>Yes</v>
      </c>
      <c r="AP332" s="5" t="str">
        <f>IFERROR(__xludf.DUMMYFUNCTION("""COMPUTED_VALUE"""),"Yes")</f>
        <v>Yes</v>
      </c>
      <c r="AQ332" s="5" t="b">
        <f>IFERROR(__xludf.DUMMYFUNCTION("""COMPUTED_VALUE"""),TRUE)</f>
        <v>1</v>
      </c>
      <c r="AR332" s="5"/>
      <c r="AS332" s="5" t="str">
        <f>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AT332" s="5" t="str">
        <f>IFERROR(__xludf.DUMMYFUNCTION("""COMPUTED_VALUE"""),"Yes")</f>
        <v>Yes</v>
      </c>
      <c r="AU332" s="5" t="str">
        <f>IFERROR(__xludf.DUMMYFUNCTION("""COMPUTED_VALUE"""),"Fazi")</f>
        <v>Fazi</v>
      </c>
      <c r="AV332" s="5"/>
      <c r="AW332"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2" s="5"/>
      <c r="AY332" s="5"/>
      <c r="AZ332" s="5"/>
      <c r="BA332" s="5"/>
      <c r="BB332" s="5"/>
      <c r="BC332" s="5" t="str">
        <f>IFERROR(__xludf.DUMMYFUNCTION("""COMPUTED_VALUE"""),"Foxi")</f>
        <v>Foxi</v>
      </c>
      <c r="BD332" s="7" t="str">
        <f>IFERROR(__xludf.DUMMYFUNCTION("""COMPUTED_VALUE"""),"https://gameserver-store-client-area.orbionlimited.com/Home/IntegrationGameLaunch/client-area?moneyType=0&amp;gameName=ToxicHaze&amp;platform=desktop&amp;languageCode=eng&amp;currency=EUR")</f>
        <v>https://gameserver-store-client-area.orbionlimited.com/Home/IntegrationGameLaunch/client-area?moneyType=0&amp;gameName=ToxicHaze&amp;platform=desktop&amp;languageCode=eng&amp;currency=EUR</v>
      </c>
      <c r="BE332" s="5" t="b">
        <f>IFERROR(__xludf.DUMMYFUNCTION("""COMPUTED_VALUE"""),TRUE)</f>
        <v>1</v>
      </c>
    </row>
    <row r="333">
      <c r="A333" s="5">
        <f>IFERROR(__xludf.DUMMYFUNCTION("""COMPUTED_VALUE"""),337.0)</f>
        <v>337</v>
      </c>
      <c r="B333" s="5">
        <f>IFERROR(__xludf.DUMMYFUNCTION("""COMPUTED_VALUE"""),336.0)</f>
        <v>336</v>
      </c>
      <c r="C333" s="5" t="str">
        <f>IFERROR(__xludf.DUMMYFUNCTION("""COMPUTED_VALUE"""),"Tiptop")</f>
        <v>Tiptop</v>
      </c>
      <c r="D333" s="5" t="str">
        <f>IFERROR(__xludf.DUMMYFUNCTION("""COMPUTED_VALUE"""),"Froot Classic")</f>
        <v>Froot Classic</v>
      </c>
      <c r="E333" s="5"/>
      <c r="F333" s="5" t="str">
        <f>IFERROR(__xludf.DUMMYFUNCTION("""COMPUTED_VALUE"""),"UnicornFrootClassic")</f>
        <v>UnicornFrootClassic</v>
      </c>
      <c r="G333" s="5" t="str">
        <f>IFERROR(__xludf.DUMMYFUNCTION("""COMPUTED_VALUE"""),"Live")</f>
        <v>Live</v>
      </c>
      <c r="H333" s="5"/>
      <c r="I333" s="5" t="str">
        <f>IFERROR(__xludf.DUMMYFUNCTION("""COMPUTED_VALUE"""),"TipTop")</f>
        <v>TipTop</v>
      </c>
      <c r="J333" s="5" t="str">
        <f>IFERROR(__xludf.DUMMYFUNCTION("""COMPUTED_VALUE"""),"JSON")</f>
        <v>JSON</v>
      </c>
      <c r="K333" s="5" t="str">
        <f>IFERROR(__xludf.DUMMYFUNCTION("""COMPUTED_VALUE"""),"Slot")</f>
        <v>Slot</v>
      </c>
      <c r="L333" s="5"/>
      <c r="M333" s="5"/>
      <c r="N333" s="5"/>
      <c r="O333" s="5"/>
      <c r="P333" s="12">
        <f>IFERROR(__xludf.DUMMYFUNCTION("""COMPUTED_VALUE"""),12.2)</f>
        <v>12.2</v>
      </c>
      <c r="Q333" s="13">
        <f>IFERROR(__xludf.DUMMYFUNCTION("""COMPUTED_VALUE"""),45455.0)</f>
        <v>45455</v>
      </c>
      <c r="R333" s="14"/>
      <c r="S333" s="13">
        <f>IFERROR(__xludf.DUMMYFUNCTION("""COMPUTED_VALUE"""),45455.0)</f>
        <v>45455</v>
      </c>
      <c r="T333" s="5" t="b">
        <f>IFERROR(__xludf.DUMMYFUNCTION("""COMPUTED_VALUE"""),TRUE)</f>
        <v>1</v>
      </c>
      <c r="U333" s="5" t="str">
        <f>IFERROR(__xludf.DUMMYFUNCTION("""COMPUTED_VALUE"""),"5X3")</f>
        <v>5X3</v>
      </c>
      <c r="V333" s="10" t="str">
        <f>IFERROR(__xludf.DUMMYFUNCTION("""COMPUTED_VALUE"""),"5")</f>
        <v>5</v>
      </c>
      <c r="W333" s="10" t="str">
        <f>IFERROR(__xludf.DUMMYFUNCTION("""COMPUTED_VALUE"""),"5")</f>
        <v>5</v>
      </c>
      <c r="X333" s="11">
        <f>IFERROR(__xludf.DUMMYFUNCTION("""COMPUTED_VALUE"""),96.0)</f>
        <v>96</v>
      </c>
      <c r="Y333" s="5" t="str">
        <f>IFERROR(__xludf.DUMMYFUNCTION("""COMPUTED_VALUE"""),"Low")</f>
        <v>Low</v>
      </c>
      <c r="Z333" s="5">
        <f>IFERROR(__xludf.DUMMYFUNCTION("""COMPUTED_VALUE"""),10.57)</f>
        <v>10.57</v>
      </c>
      <c r="AA333" s="12">
        <f>IFERROR(__xludf.DUMMYFUNCTION("""COMPUTED_VALUE"""),1200.0)</f>
        <v>1200</v>
      </c>
      <c r="AB333" s="5"/>
      <c r="AC333" s="18"/>
      <c r="AD333" s="5" t="str">
        <f>IFERROR(__xludf.DUMMYFUNCTION("""COMPUTED_VALUE"""),"0.05/100")</f>
        <v>0.05/100</v>
      </c>
      <c r="AE333" s="5"/>
      <c r="AF333" s="5"/>
      <c r="AG333" s="8">
        <f>IFERROR(__xludf.DUMMYFUNCTION("""COMPUTED_VALUE"""),46197.488969907405)</f>
        <v>46197.48897</v>
      </c>
      <c r="AH333" s="5" t="str">
        <f>IFERROR(__xludf.DUMMYFUNCTION("""COMPUTED_VALUE"""),"selena.mihajlovic@fazi.rs")</f>
        <v>selena.mihajlovic@fazi.rs</v>
      </c>
      <c r="AI333" s="5"/>
      <c r="AJ333" s="5"/>
      <c r="AK333" s="5">
        <f>IFERROR(__xludf.DUMMYFUNCTION("""COMPUTED_VALUE"""),5.0)</f>
        <v>5</v>
      </c>
      <c r="AL333" s="5" t="str">
        <f>IFERROR(__xludf.DUMMYFUNCTION("""COMPUTED_VALUE"""),"No")</f>
        <v>No</v>
      </c>
      <c r="AM333" s="5"/>
      <c r="AN333" s="7" t="str">
        <f>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AO333" s="5"/>
      <c r="AP333" s="5"/>
      <c r="AQ333" s="5" t="b">
        <f>IFERROR(__xludf.DUMMYFUNCTION("""COMPUTED_VALUE"""),TRUE)</f>
        <v>1</v>
      </c>
      <c r="AR333" s="5"/>
      <c r="AS333" s="5" t="str">
        <f>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AT333" s="5"/>
      <c r="AU333" s="5" t="str">
        <f>IFERROR(__xludf.DUMMYFUNCTION("""COMPUTED_VALUE"""),"Fazi")</f>
        <v>Fazi</v>
      </c>
      <c r="AV333" s="5"/>
      <c r="AW333" s="5"/>
      <c r="AX333" s="5"/>
      <c r="AY333" s="5"/>
      <c r="AZ333" s="5"/>
      <c r="BA333" s="5"/>
      <c r="BB333" s="5" t="b">
        <f>IFERROR(__xludf.DUMMYFUNCTION("""COMPUTED_VALUE"""),TRUE)</f>
        <v>1</v>
      </c>
      <c r="BC333" s="5" t="str">
        <f>IFERROR(__xludf.DUMMYFUNCTION("""COMPUTED_VALUE"""),"Tiptop")</f>
        <v>Tiptop</v>
      </c>
      <c r="BD333" s="7" t="str">
        <f>IFERROR(__xludf.DUMMYFUNCTION("""COMPUTED_VALUE"""),"https://gameserver-store-client-area.orbionlimited.com/Home/IntegrationGameLaunch/client-area?moneyType=0&amp;gameName=UnicornFrootClassic&amp;platform=desktop&amp;languageCode=eng&amp;currency=EUR")</f>
        <v>https://gameserver-store-client-area.orbionlimited.com/Home/IntegrationGameLaunch/client-area?moneyType=0&amp;gameName=UnicornFrootClassic&amp;platform=desktop&amp;languageCode=eng&amp;currency=EUR</v>
      </c>
      <c r="BE333" s="5" t="b">
        <f>IFERROR(__xludf.DUMMYFUNCTION("""COMPUTED_VALUE"""),TRUE)</f>
        <v>1</v>
      </c>
    </row>
    <row r="334">
      <c r="A334" s="5">
        <f>IFERROR(__xludf.DUMMYFUNCTION("""COMPUTED_VALUE"""),338.0)</f>
        <v>338</v>
      </c>
      <c r="B334" s="5">
        <f>IFERROR(__xludf.DUMMYFUNCTION("""COMPUTED_VALUE"""),337.0)</f>
        <v>337</v>
      </c>
      <c r="C334" s="5" t="str">
        <f>IFERROR(__xludf.DUMMYFUNCTION("""COMPUTED_VALUE"""),"Tiptop")</f>
        <v>Tiptop</v>
      </c>
      <c r="D334" s="5" t="str">
        <f>IFERROR(__xludf.DUMMYFUNCTION("""COMPUTED_VALUE"""),"Dice Wild Lines")</f>
        <v>Dice Wild Lines</v>
      </c>
      <c r="E334" s="5"/>
      <c r="F334" s="5" t="str">
        <f>IFERROR(__xludf.DUMMYFUNCTION("""COMPUTED_VALUE"""),"UnicornDiceWildLines")</f>
        <v>UnicornDiceWildLines</v>
      </c>
      <c r="G334" s="5" t="str">
        <f>IFERROR(__xludf.DUMMYFUNCTION("""COMPUTED_VALUE"""),"Live")</f>
        <v>Live</v>
      </c>
      <c r="H334" s="5"/>
      <c r="I334" s="5" t="str">
        <f>IFERROR(__xludf.DUMMYFUNCTION("""COMPUTED_VALUE"""),"TipTop")</f>
        <v>TipTop</v>
      </c>
      <c r="J334" s="5" t="str">
        <f>IFERROR(__xludf.DUMMYFUNCTION("""COMPUTED_VALUE"""),"JSON")</f>
        <v>JSON</v>
      </c>
      <c r="K334" s="5" t="str">
        <f>IFERROR(__xludf.DUMMYFUNCTION("""COMPUTED_VALUE"""),"Dice Slots")</f>
        <v>Dice Slots</v>
      </c>
      <c r="L334" s="5"/>
      <c r="M334" s="5"/>
      <c r="N334" s="5"/>
      <c r="O334" s="5"/>
      <c r="P334" s="12">
        <f>IFERROR(__xludf.DUMMYFUNCTION("""COMPUTED_VALUE"""),13.3)</f>
        <v>13.3</v>
      </c>
      <c r="Q334" s="13">
        <f>IFERROR(__xludf.DUMMYFUNCTION("""COMPUTED_VALUE"""),45488.0)</f>
        <v>45488</v>
      </c>
      <c r="R334" s="14"/>
      <c r="S334" s="13">
        <f>IFERROR(__xludf.DUMMYFUNCTION("""COMPUTED_VALUE"""),45488.0)</f>
        <v>45488</v>
      </c>
      <c r="T334" s="5"/>
      <c r="U334" s="5" t="str">
        <f>IFERROR(__xludf.DUMMYFUNCTION("""COMPUTED_VALUE"""),"5X3")</f>
        <v>5X3</v>
      </c>
      <c r="V334" s="10" t="str">
        <f>IFERROR(__xludf.DUMMYFUNCTION("""COMPUTED_VALUE"""),"10")</f>
        <v>10</v>
      </c>
      <c r="W334" s="10" t="str">
        <f>IFERROR(__xludf.DUMMYFUNCTION("""COMPUTED_VALUE"""),"10")</f>
        <v>10</v>
      </c>
      <c r="X334" s="11">
        <f>IFERROR(__xludf.DUMMYFUNCTION("""COMPUTED_VALUE"""),96.0)</f>
        <v>96</v>
      </c>
      <c r="Y334" s="5" t="str">
        <f>IFERROR(__xludf.DUMMYFUNCTION("""COMPUTED_VALUE"""),"High")</f>
        <v>High</v>
      </c>
      <c r="Z334" s="5">
        <f>IFERROR(__xludf.DUMMYFUNCTION("""COMPUTED_VALUE"""),9.46)</f>
        <v>9.46</v>
      </c>
      <c r="AA334" s="12">
        <f>IFERROR(__xludf.DUMMYFUNCTION("""COMPUTED_VALUE"""),1000.0)</f>
        <v>1000</v>
      </c>
      <c r="AB334" s="5"/>
      <c r="AC334" s="18"/>
      <c r="AD334" s="5" t="str">
        <f>IFERROR(__xludf.DUMMYFUNCTION("""COMPUTED_VALUE"""),"0.1/100")</f>
        <v>0.1/100</v>
      </c>
      <c r="AE334" s="5"/>
      <c r="AF334" s="5"/>
      <c r="AG334" s="8">
        <f>IFERROR(__xludf.DUMMYFUNCTION("""COMPUTED_VALUE"""),46246.5834837963)</f>
        <v>46246.58348</v>
      </c>
      <c r="AH334" s="5"/>
      <c r="AI334" s="5"/>
      <c r="AJ334" s="5"/>
      <c r="AK334" s="5">
        <f>IFERROR(__xludf.DUMMYFUNCTION("""COMPUTED_VALUE"""),10.0)</f>
        <v>10</v>
      </c>
      <c r="AL334" s="5" t="str">
        <f>IFERROR(__xludf.DUMMYFUNCTION("""COMPUTED_VALUE"""),"No")</f>
        <v>No</v>
      </c>
      <c r="AM334" s="5"/>
      <c r="AN334" s="7" t="str">
        <f>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AO334" s="5"/>
      <c r="AP334" s="5" t="str">
        <f>IFERROR(__xludf.DUMMYFUNCTION("""COMPUTED_VALUE"""),"Yes")</f>
        <v>Yes</v>
      </c>
      <c r="AQ334" s="5" t="b">
        <f>IFERROR(__xludf.DUMMYFUNCTION("""COMPUTED_VALUE"""),TRUE)</f>
        <v>1</v>
      </c>
      <c r="AR334" s="5"/>
      <c r="AS334" s="5" t="str">
        <f>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AT334" s="5"/>
      <c r="AU334" s="5" t="str">
        <f>IFERROR(__xludf.DUMMYFUNCTION("""COMPUTED_VALUE"""),"Fazi")</f>
        <v>Fazi</v>
      </c>
      <c r="AV334" s="5"/>
      <c r="AW334" s="5"/>
      <c r="AX334" s="5"/>
      <c r="AY334" s="5"/>
      <c r="AZ334" s="5"/>
      <c r="BA334" s="5"/>
      <c r="BB334" s="5" t="b">
        <f>IFERROR(__xludf.DUMMYFUNCTION("""COMPUTED_VALUE"""),TRUE)</f>
        <v>1</v>
      </c>
      <c r="BC334" s="5" t="str">
        <f>IFERROR(__xludf.DUMMYFUNCTION("""COMPUTED_VALUE"""),"Tiptop")</f>
        <v>Tiptop</v>
      </c>
      <c r="BD334" s="7" t="str">
        <f>IFERROR(__xludf.DUMMYFUNCTION("""COMPUTED_VALUE"""),"https://gameserver-store-client-area.orbionlimited.com/Home/IntegrationGameLaunch/client-area?moneyType=0&amp;gameName=UnicornDiceWildLines&amp;platform=desktop&amp;languageCode=eng&amp;currency=EUR")</f>
        <v>https://gameserver-store-client-area.orbionlimited.com/Home/IntegrationGameLaunch/client-area?moneyType=0&amp;gameName=UnicornDiceWildLines&amp;platform=desktop&amp;languageCode=eng&amp;currency=EUR</v>
      </c>
      <c r="BE334" s="5" t="b">
        <f>IFERROR(__xludf.DUMMYFUNCTION("""COMPUTED_VALUE"""),TRUE)</f>
        <v>1</v>
      </c>
    </row>
    <row r="335">
      <c r="A335" s="5">
        <f>IFERROR(__xludf.DUMMYFUNCTION("""COMPUTED_VALUE"""),339.0)</f>
        <v>339</v>
      </c>
      <c r="B335" s="5">
        <f>IFERROR(__xludf.DUMMYFUNCTION("""COMPUTED_VALUE"""),338.0)</f>
        <v>338</v>
      </c>
      <c r="C335" s="5" t="str">
        <f>IFERROR(__xludf.DUMMYFUNCTION("""COMPUTED_VALUE"""),"Redstone")</f>
        <v>Redstone</v>
      </c>
      <c r="D335" s="5" t="str">
        <f>IFERROR(__xludf.DUMMYFUNCTION("""COMPUTED_VALUE"""),"SpinUp")</f>
        <v>SpinUp</v>
      </c>
      <c r="E335" s="5" t="str">
        <f>IFERROR(__xludf.DUMMYFUNCTION("""COMPUTED_VALUE"""),"Redstone")</f>
        <v>Redstone</v>
      </c>
      <c r="F335" s="5" t="str">
        <f>IFERROR(__xludf.DUMMYFUNCTION("""COMPUTED_VALUE"""),"RedstoneSpinUp")</f>
        <v>RedstoneSpinUp</v>
      </c>
      <c r="G335" s="5" t="str">
        <f>IFERROR(__xludf.DUMMYFUNCTION("""COMPUTED_VALUE"""),"Live")</f>
        <v>Live</v>
      </c>
      <c r="H335" s="5"/>
      <c r="I335" s="5" t="str">
        <f>IFERROR(__xludf.DUMMYFUNCTION("""COMPUTED_VALUE"""),"Redstone")</f>
        <v>Redstone</v>
      </c>
      <c r="J335" s="5" t="str">
        <f>IFERROR(__xludf.DUMMYFUNCTION("""COMPUTED_VALUE"""),"JSON")</f>
        <v>JSON</v>
      </c>
      <c r="K335" s="5" t="str">
        <f>IFERROR(__xludf.DUMMYFUNCTION("""COMPUTED_VALUE"""),"Slot")</f>
        <v>Slot</v>
      </c>
      <c r="L335" s="5" t="str">
        <f>IFERROR(__xludf.DUMMYFUNCTION("""COMPUTED_VALUE""")," Clone")</f>
        <v> Clone</v>
      </c>
      <c r="M335" s="5" t="str">
        <f>IFERROR(__xludf.DUMMYFUNCTION("""COMPUTED_VALUE"""),"Wild Heart Beat")</f>
        <v>Wild Heart Beat</v>
      </c>
      <c r="N335" s="7" t="str">
        <f>IFERROR(__xludf.DUMMYFUNCTION("""COMPUTED_VALUE"""),"https://docs.google.com/document/d/1zNXXdgwpk0wY_p-WflsEbpxMSjnrtoYH/edit?usp=drive_link&amp;ouid=107596163405648766688&amp;rtpof=true&amp;sd=true")</f>
        <v>https://docs.google.com/document/d/1zNXXdgwpk0wY_p-WflsEbpxMSjnrtoYH/edit?usp=drive_link&amp;ouid=107596163405648766688&amp;rtpof=true&amp;sd=true</v>
      </c>
      <c r="O335" s="7" t="str">
        <f>IFERROR(__xludf.DUMMYFUNCTION("""COMPUTED_VALUE"""),"https://docs.google.com/document/d/1l_7cKdNbv28fsvSV1onRbMphPBpdLsOZ/edit?usp=drive_link&amp;ouid=107596163405648766688&amp;rtpof=true&amp;sd=true")</f>
        <v>https://docs.google.com/document/d/1l_7cKdNbv28fsvSV1onRbMphPBpdLsOZ/edit?usp=drive_link&amp;ouid=107596163405648766688&amp;rtpof=true&amp;sd=true</v>
      </c>
      <c r="P335" s="12">
        <f>IFERROR(__xludf.DUMMYFUNCTION("""COMPUTED_VALUE"""),10.2)</f>
        <v>10.2</v>
      </c>
      <c r="Q335" s="13">
        <f>IFERROR(__xludf.DUMMYFUNCTION("""COMPUTED_VALUE"""),45446.0)</f>
        <v>45446</v>
      </c>
      <c r="R335" s="14"/>
      <c r="S335" s="13">
        <f>IFERROR(__xludf.DUMMYFUNCTION("""COMPUTED_VALUE"""),45446.0)</f>
        <v>45446</v>
      </c>
      <c r="T335" s="5" t="b">
        <f>IFERROR(__xludf.DUMMYFUNCTION("""COMPUTED_VALUE"""),TRUE)</f>
        <v>1</v>
      </c>
      <c r="U335" s="5" t="str">
        <f>IFERROR(__xludf.DUMMYFUNCTION("""COMPUTED_VALUE"""),"5x3")</f>
        <v>5x3</v>
      </c>
      <c r="V335" s="10" t="str">
        <f>IFERROR(__xludf.DUMMYFUNCTION("""COMPUTED_VALUE"""),"5")</f>
        <v>5</v>
      </c>
      <c r="W335" s="10" t="str">
        <f>IFERROR(__xludf.DUMMYFUNCTION("""COMPUTED_VALUE"""),"5")</f>
        <v>5</v>
      </c>
      <c r="X335" s="11">
        <f>IFERROR(__xludf.DUMMYFUNCTION("""COMPUTED_VALUE"""),96.36)</f>
        <v>96.36</v>
      </c>
      <c r="Y335" s="5" t="str">
        <f>IFERROR(__xludf.DUMMYFUNCTION("""COMPUTED_VALUE"""),"Medium")</f>
        <v>Medium</v>
      </c>
      <c r="Z335" s="5">
        <f>IFERROR(__xludf.DUMMYFUNCTION("""COMPUTED_VALUE"""),11.87)</f>
        <v>11.87</v>
      </c>
      <c r="AA335" s="12">
        <f>IFERROR(__xludf.DUMMYFUNCTION("""COMPUTED_VALUE"""),2000.0)</f>
        <v>2000</v>
      </c>
      <c r="AB335" s="5"/>
      <c r="AC335" s="5" t="str">
        <f>IFERROR(__xludf.DUMMYFUNCTION("""COMPUTED_VALUE"""),"Expanding Wild, Scatter")</f>
        <v>Expanding Wild, Scatter</v>
      </c>
      <c r="AD335" s="5" t="str">
        <f>IFERROR(__xludf.DUMMYFUNCTION("""COMPUTED_VALUE"""),"0.01/50")</f>
        <v>0.01/50</v>
      </c>
      <c r="AE335" s="5"/>
      <c r="AF335" s="5"/>
      <c r="AG335" s="8">
        <f>IFERROR(__xludf.DUMMYFUNCTION("""COMPUTED_VALUE"""),46157.48931712963)</f>
        <v>46157.48932</v>
      </c>
      <c r="AH335" s="5"/>
      <c r="AI335" s="5"/>
      <c r="AJ335" s="5"/>
      <c r="AK335" s="5">
        <f>IFERROR(__xludf.DUMMYFUNCTION("""COMPUTED_VALUE"""),1.0)</f>
        <v>1</v>
      </c>
      <c r="AL335" s="5" t="str">
        <f>IFERROR(__xludf.DUMMYFUNCTION("""COMPUTED_VALUE"""),"No")</f>
        <v>No</v>
      </c>
      <c r="AM335" s="5" t="str">
        <f>IFERROR(__xludf.DUMMYFUNCTION("""COMPUTED_VALUE"""),"No")</f>
        <v>No</v>
      </c>
      <c r="AN335" s="7" t="str">
        <f>IFERROR(__xludf.DUMMYFUNCTION("""COMPUTED_VALUE"""),"https://static.redstone.rs/games/spin-up/")</f>
        <v>https://static.redstone.rs/games/spin-up/</v>
      </c>
      <c r="AO335" s="5" t="str">
        <f>IFERROR(__xludf.DUMMYFUNCTION("""COMPUTED_VALUE"""),"No")</f>
        <v>No</v>
      </c>
      <c r="AP335" s="5" t="str">
        <f>IFERROR(__xludf.DUMMYFUNCTION("""COMPUTED_VALUE"""),"No")</f>
        <v>No</v>
      </c>
      <c r="AQ335" s="5" t="b">
        <f>IFERROR(__xludf.DUMMYFUNCTION("""COMPUTED_VALUE"""),TRUE)</f>
        <v>1</v>
      </c>
      <c r="AR335" s="5"/>
      <c r="AS335" s="5" t="str">
        <f>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AT335" s="5"/>
      <c r="AU335" s="5" t="str">
        <f>IFERROR(__xludf.DUMMYFUNCTION("""COMPUTED_VALUE"""),"Redstone")</f>
        <v>Redstone</v>
      </c>
      <c r="AV335" s="5"/>
      <c r="AW335" s="5"/>
      <c r="AX335" s="5"/>
      <c r="AY335" s="5"/>
      <c r="AZ335" s="5"/>
      <c r="BA335" s="5"/>
      <c r="BB335" s="5" t="b">
        <f>IFERROR(__xludf.DUMMYFUNCTION("""COMPUTED_VALUE"""),TRUE)</f>
        <v>1</v>
      </c>
      <c r="BC335" s="5" t="str">
        <f>IFERROR(__xludf.DUMMYFUNCTION("""COMPUTED_VALUE"""),"Redstone")</f>
        <v>Redstone</v>
      </c>
      <c r="BD335" s="7" t="str">
        <f>IFERROR(__xludf.DUMMYFUNCTION("""COMPUTED_VALUE"""),"https://static.redstone.rs/games/spin-up/")</f>
        <v>https://static.redstone.rs/games/spin-up/</v>
      </c>
      <c r="BE335" s="5" t="b">
        <f>IFERROR(__xludf.DUMMYFUNCTION("""COMPUTED_VALUE"""),TRUE)</f>
        <v>1</v>
      </c>
    </row>
    <row r="336">
      <c r="A336" s="5">
        <f>IFERROR(__xludf.DUMMYFUNCTION("""COMPUTED_VALUE"""),340.0)</f>
        <v>340</v>
      </c>
      <c r="B336" s="5">
        <f>IFERROR(__xludf.DUMMYFUNCTION("""COMPUTED_VALUE"""),339.0)</f>
        <v>339</v>
      </c>
      <c r="C336" s="5" t="str">
        <f>IFERROR(__xludf.DUMMYFUNCTION("""COMPUTED_VALUE"""),"Tiptop")</f>
        <v>Tiptop</v>
      </c>
      <c r="D336" s="5" t="str">
        <f>IFERROR(__xludf.DUMMYFUNCTION("""COMPUTED_VALUE"""),"Sticky Hot")</f>
        <v>Sticky Hot</v>
      </c>
      <c r="E336" s="5"/>
      <c r="F336" s="5" t="str">
        <f>IFERROR(__xludf.DUMMYFUNCTION("""COMPUTED_VALUE"""),"UnicornStickyHot")</f>
        <v>UnicornStickyHot</v>
      </c>
      <c r="G336" s="5" t="str">
        <f>IFERROR(__xludf.DUMMYFUNCTION("""COMPUTED_VALUE"""),"Live")</f>
        <v>Live</v>
      </c>
      <c r="H336" s="5"/>
      <c r="I336" s="5" t="str">
        <f>IFERROR(__xludf.DUMMYFUNCTION("""COMPUTED_VALUE"""),"TipTop")</f>
        <v>TipTop</v>
      </c>
      <c r="J336" s="5" t="str">
        <f>IFERROR(__xludf.DUMMYFUNCTION("""COMPUTED_VALUE"""),"JSON")</f>
        <v>JSON</v>
      </c>
      <c r="K336" s="5" t="str">
        <f>IFERROR(__xludf.DUMMYFUNCTION("""COMPUTED_VALUE"""),"Slot")</f>
        <v>Slot</v>
      </c>
      <c r="L336" s="5"/>
      <c r="M336" s="5"/>
      <c r="N336" s="5"/>
      <c r="O336" s="5"/>
      <c r="P336" s="12">
        <f>IFERROR(__xludf.DUMMYFUNCTION("""COMPUTED_VALUE"""),12.9)</f>
        <v>12.9</v>
      </c>
      <c r="Q336" s="13">
        <f>IFERROR(__xludf.DUMMYFUNCTION("""COMPUTED_VALUE"""),45503.0)</f>
        <v>45503</v>
      </c>
      <c r="R336" s="14"/>
      <c r="S336" s="13">
        <f>IFERROR(__xludf.DUMMYFUNCTION("""COMPUTED_VALUE"""),45503.0)</f>
        <v>45503</v>
      </c>
      <c r="T336" s="5" t="b">
        <f>IFERROR(__xludf.DUMMYFUNCTION("""COMPUTED_VALUE"""),TRUE)</f>
        <v>1</v>
      </c>
      <c r="U336" s="5" t="str">
        <f>IFERROR(__xludf.DUMMYFUNCTION("""COMPUTED_VALUE"""),"5X3")</f>
        <v>5X3</v>
      </c>
      <c r="V336" s="10" t="str">
        <f>IFERROR(__xludf.DUMMYFUNCTION("""COMPUTED_VALUE"""),"10")</f>
        <v>10</v>
      </c>
      <c r="W336" s="10" t="str">
        <f>IFERROR(__xludf.DUMMYFUNCTION("""COMPUTED_VALUE"""),"10")</f>
        <v>10</v>
      </c>
      <c r="X336" s="11">
        <f>IFERROR(__xludf.DUMMYFUNCTION("""COMPUTED_VALUE"""),96.0)</f>
        <v>96</v>
      </c>
      <c r="Y336" s="5" t="str">
        <f>IFERROR(__xludf.DUMMYFUNCTION("""COMPUTED_VALUE"""),"Medium")</f>
        <v>Medium</v>
      </c>
      <c r="Z336" s="5">
        <f>IFERROR(__xludf.DUMMYFUNCTION("""COMPUTED_VALUE"""),17.47)</f>
        <v>17.47</v>
      </c>
      <c r="AA336" s="12">
        <f>IFERROR(__xludf.DUMMYFUNCTION("""COMPUTED_VALUE"""),3500.0)</f>
        <v>3500</v>
      </c>
      <c r="AB336" s="5"/>
      <c r="AC336" s="18"/>
      <c r="AD336" s="5" t="str">
        <f>IFERROR(__xludf.DUMMYFUNCTION("""COMPUTED_VALUE"""),"0.1/100")</f>
        <v>0.1/100</v>
      </c>
      <c r="AE336" s="5"/>
      <c r="AF336" s="5"/>
      <c r="AG336" s="8">
        <f>IFERROR(__xludf.DUMMYFUNCTION("""COMPUTED_VALUE"""),46197.489756944444)</f>
        <v>46197.48976</v>
      </c>
      <c r="AH336" s="5" t="str">
        <f>IFERROR(__xludf.DUMMYFUNCTION("""COMPUTED_VALUE"""),"selena.mihajlovic@fazi.rs")</f>
        <v>selena.mihajlovic@fazi.rs</v>
      </c>
      <c r="AI336" s="5"/>
      <c r="AJ336" s="5"/>
      <c r="AK336" s="5">
        <f>IFERROR(__xludf.DUMMYFUNCTION("""COMPUTED_VALUE"""),10.0)</f>
        <v>10</v>
      </c>
      <c r="AL336" s="5" t="str">
        <f>IFERROR(__xludf.DUMMYFUNCTION("""COMPUTED_VALUE"""),"No")</f>
        <v>No</v>
      </c>
      <c r="AM336" s="5"/>
      <c r="AN336" s="7" t="str">
        <f>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AO336" s="5"/>
      <c r="AP336" s="5"/>
      <c r="AQ336" s="5" t="b">
        <f>IFERROR(__xludf.DUMMYFUNCTION("""COMPUTED_VALUE"""),TRUE)</f>
        <v>1</v>
      </c>
      <c r="AR336" s="5"/>
      <c r="AS336" s="5" t="str">
        <f>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AT336" s="5"/>
      <c r="AU336" s="5" t="str">
        <f>IFERROR(__xludf.DUMMYFUNCTION("""COMPUTED_VALUE"""),"Fazi")</f>
        <v>Fazi</v>
      </c>
      <c r="AV336" s="5"/>
      <c r="AW336" s="5"/>
      <c r="AX336" s="5"/>
      <c r="AY336" s="5"/>
      <c r="AZ336" s="5"/>
      <c r="BA336" s="5"/>
      <c r="BB336" s="5" t="b">
        <f>IFERROR(__xludf.DUMMYFUNCTION("""COMPUTED_VALUE"""),TRUE)</f>
        <v>1</v>
      </c>
      <c r="BC336" s="5" t="str">
        <f>IFERROR(__xludf.DUMMYFUNCTION("""COMPUTED_VALUE"""),"Tiptop")</f>
        <v>Tiptop</v>
      </c>
      <c r="BD336" s="7" t="str">
        <f>IFERROR(__xludf.DUMMYFUNCTION("""COMPUTED_VALUE"""),"https://gameserver-store-client-area.orbionlimited.com/Home/IntegrationGameLaunch/client-area?moneyType=0&amp;gameName=UnicornStickyHot&amp;platform=desktop&amp;languageCode=eng&amp;currency=EUR")</f>
        <v>https://gameserver-store-client-area.orbionlimited.com/Home/IntegrationGameLaunch/client-area?moneyType=0&amp;gameName=UnicornStickyHot&amp;platform=desktop&amp;languageCode=eng&amp;currency=EUR</v>
      </c>
      <c r="BE336" s="5" t="b">
        <f>IFERROR(__xludf.DUMMYFUNCTION("""COMPUTED_VALUE"""),TRUE)</f>
        <v>1</v>
      </c>
    </row>
    <row r="337">
      <c r="A337" s="5">
        <f>IFERROR(__xludf.DUMMYFUNCTION("""COMPUTED_VALUE"""),341.0)</f>
        <v>341</v>
      </c>
      <c r="B337" s="5">
        <f>IFERROR(__xludf.DUMMYFUNCTION("""COMPUTED_VALUE"""),344.0)</f>
        <v>344</v>
      </c>
      <c r="C337" s="5" t="str">
        <f>IFERROR(__xludf.DUMMYFUNCTION("""COMPUTED_VALUE"""),"Fazi")</f>
        <v>Fazi</v>
      </c>
      <c r="D337" s="5" t="str">
        <f>IFERROR(__xludf.DUMMYFUNCTION("""COMPUTED_VALUE"""),"Mega Hot 10")</f>
        <v>Mega Hot 10</v>
      </c>
      <c r="E337" s="5" t="str">
        <f>IFERROR(__xludf.DUMMYFUNCTION("""COMPUTED_VALUE"""),"V4-1")</f>
        <v>V4-1</v>
      </c>
      <c r="F337" s="5" t="str">
        <f>IFERROR(__xludf.DUMMYFUNCTION("""COMPUTED_VALUE"""),"MegaHot10")</f>
        <v>MegaHot10</v>
      </c>
      <c r="G337" s="5" t="str">
        <f>IFERROR(__xludf.DUMMYFUNCTION("""COMPUTED_VALUE"""),"Live")</f>
        <v>Live</v>
      </c>
      <c r="H337" s="5"/>
      <c r="I337" s="5" t="str">
        <f>IFERROR(__xludf.DUMMYFUNCTION("""COMPUTED_VALUE"""),"V4")</f>
        <v>V4</v>
      </c>
      <c r="J337" s="5" t="str">
        <f>IFERROR(__xludf.DUMMYFUNCTION("""COMPUTED_VALUE"""),"JSON")</f>
        <v>JSON</v>
      </c>
      <c r="K337" s="5" t="str">
        <f>IFERROR(__xludf.DUMMYFUNCTION("""COMPUTED_VALUE"""),"Slot")</f>
        <v>Slot</v>
      </c>
      <c r="L337" s="5"/>
      <c r="M337" s="5"/>
      <c r="N337" s="5"/>
      <c r="O337" s="5"/>
      <c r="P337" s="12">
        <f>IFERROR(__xludf.DUMMYFUNCTION("""COMPUTED_VALUE"""),9.8)</f>
        <v>9.8</v>
      </c>
      <c r="Q337" s="13">
        <f>IFERROR(__xludf.DUMMYFUNCTION("""COMPUTED_VALUE"""),45540.0)</f>
        <v>45540</v>
      </c>
      <c r="R337" s="14"/>
      <c r="S337" s="13">
        <f>IFERROR(__xludf.DUMMYFUNCTION("""COMPUTED_VALUE"""),45540.0)</f>
        <v>45540</v>
      </c>
      <c r="T337" s="5" t="b">
        <f>IFERROR(__xludf.DUMMYFUNCTION("""COMPUTED_VALUE"""),TRUE)</f>
        <v>1</v>
      </c>
      <c r="U337" s="5" t="str">
        <f>IFERROR(__xludf.DUMMYFUNCTION("""COMPUTED_VALUE"""),"5x3")</f>
        <v>5x3</v>
      </c>
      <c r="V337" s="10" t="str">
        <f>IFERROR(__xludf.DUMMYFUNCTION("""COMPUTED_VALUE"""),"10")</f>
        <v>10</v>
      </c>
      <c r="W337" s="10" t="str">
        <f>IFERROR(__xludf.DUMMYFUNCTION("""COMPUTED_VALUE"""),"10")</f>
        <v>10</v>
      </c>
      <c r="X337" s="11">
        <f>IFERROR(__xludf.DUMMYFUNCTION("""COMPUTED_VALUE"""),96.475)</f>
        <v>96.475</v>
      </c>
      <c r="Y337" s="5" t="str">
        <f>IFERROR(__xludf.DUMMYFUNCTION("""COMPUTED_VALUE"""),"High")</f>
        <v>High</v>
      </c>
      <c r="Z337" s="5">
        <f>IFERROR(__xludf.DUMMYFUNCTION("""COMPUTED_VALUE"""),5.933999999999999)</f>
        <v>5.934</v>
      </c>
      <c r="AA337" s="12">
        <f>IFERROR(__xludf.DUMMYFUNCTION("""COMPUTED_VALUE"""),1500.0)</f>
        <v>1500</v>
      </c>
      <c r="AB337" s="5">
        <f>IFERROR(__xludf.DUMMYFUNCTION("""COMPUTED_VALUE"""),164.0)</f>
        <v>164</v>
      </c>
      <c r="AC337" s="5" t="str">
        <f>IFERROR(__xludf.DUMMYFUNCTION("""COMPUTED_VALUE"""),"Win Multiplier")</f>
        <v>Win Multiplier</v>
      </c>
      <c r="AD337" s="5" t="str">
        <f>IFERROR(__xludf.DUMMYFUNCTION("""COMPUTED_VALUE"""),"0.1/40")</f>
        <v>0.1/40</v>
      </c>
      <c r="AE337" s="5"/>
      <c r="AF337" s="5"/>
      <c r="AG337" s="8">
        <f>IFERROR(__xludf.DUMMYFUNCTION("""COMPUTED_VALUE"""),46176.4831712963)</f>
        <v>46176.48317</v>
      </c>
      <c r="AH337" s="5" t="str">
        <f>IFERROR(__xludf.DUMMYFUNCTION("""COMPUTED_VALUE"""),"djordje.petrovic@fazi.rs")</f>
        <v>djordje.petrovic@fazi.rs</v>
      </c>
      <c r="AI337" s="5"/>
      <c r="AJ337" s="5"/>
      <c r="AK337" s="5">
        <f>IFERROR(__xludf.DUMMYFUNCTION("""COMPUTED_VALUE"""),10.0)</f>
        <v>10</v>
      </c>
      <c r="AL337" s="5" t="str">
        <f>IFERROR(__xludf.DUMMYFUNCTION("""COMPUTED_VALUE"""),"Yes")</f>
        <v>Yes</v>
      </c>
      <c r="AM337" s="5" t="str">
        <f>IFERROR(__xludf.DUMMYFUNCTION("""COMPUTED_VALUE"""),"No")</f>
        <v>No</v>
      </c>
      <c r="AN337" s="7" t="str">
        <f>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AO337" s="5" t="str">
        <f>IFERROR(__xludf.DUMMYFUNCTION("""COMPUTED_VALUE"""),"Yes")</f>
        <v>Yes</v>
      </c>
      <c r="AP337" s="5" t="str">
        <f>IFERROR(__xludf.DUMMYFUNCTION("""COMPUTED_VALUE"""),"Yes")</f>
        <v>Yes</v>
      </c>
      <c r="AQ337" s="5" t="b">
        <f>IFERROR(__xludf.DUMMYFUNCTION("""COMPUTED_VALUE"""),TRUE)</f>
        <v>1</v>
      </c>
      <c r="AR337" s="5"/>
      <c r="AS337" s="5" t="str">
        <f>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AT337" s="5" t="str">
        <f>IFERROR(__xludf.DUMMYFUNCTION("""COMPUTED_VALUE"""),"Yes")</f>
        <v>Yes</v>
      </c>
      <c r="AU337" s="5" t="str">
        <f>IFERROR(__xludf.DUMMYFUNCTION("""COMPUTED_VALUE"""),"Fazi")</f>
        <v>Fazi</v>
      </c>
      <c r="AV337" s="5"/>
      <c r="AW337"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7" s="5"/>
      <c r="AY337" s="5"/>
      <c r="AZ337" s="5"/>
      <c r="BA337" s="5"/>
      <c r="BB337" s="5"/>
      <c r="BC337" s="5" t="str">
        <f>IFERROR(__xludf.DUMMYFUNCTION("""COMPUTED_VALUE"""),"Foxi")</f>
        <v>Foxi</v>
      </c>
      <c r="BD337" s="7" t="str">
        <f>IFERROR(__xludf.DUMMYFUNCTION("""COMPUTED_VALUE"""),"https://gameserver-store-client-area.orbionlimited.com/Home/IntegrationGameLaunch/client-area?moneyType=0&amp;gameName=MegaHot10&amp;platform=desktop&amp;languageCode=eng&amp;currency=EUR")</f>
        <v>https://gameserver-store-client-area.orbionlimited.com/Home/IntegrationGameLaunch/client-area?moneyType=0&amp;gameName=MegaHot10&amp;platform=desktop&amp;languageCode=eng&amp;currency=EUR</v>
      </c>
      <c r="BE337" s="5" t="b">
        <f>IFERROR(__xludf.DUMMYFUNCTION("""COMPUTED_VALUE"""),TRUE)</f>
        <v>1</v>
      </c>
    </row>
    <row r="338">
      <c r="A338" s="5">
        <f>IFERROR(__xludf.DUMMYFUNCTION("""COMPUTED_VALUE"""),342.0)</f>
        <v>342</v>
      </c>
      <c r="B338" s="5">
        <f>IFERROR(__xludf.DUMMYFUNCTION("""COMPUTED_VALUE"""),353.0)</f>
        <v>353</v>
      </c>
      <c r="C338" s="5" t="str">
        <f>IFERROR(__xludf.DUMMYFUNCTION("""COMPUTED_VALUE"""),"Fazi")</f>
        <v>Fazi</v>
      </c>
      <c r="D338" s="5" t="str">
        <f>IFERROR(__xludf.DUMMYFUNCTION("""COMPUTED_VALUE"""),"Wild Heat 40")</f>
        <v>Wild Heat 40</v>
      </c>
      <c r="E338" s="5" t="str">
        <f>IFERROR(__xludf.DUMMYFUNCTION("""COMPUTED_VALUE"""),"V4-2")</f>
        <v>V4-2</v>
      </c>
      <c r="F338" s="5" t="str">
        <f>IFERROR(__xludf.DUMMYFUNCTION("""COMPUTED_VALUE"""),"WildHeat40")</f>
        <v>WildHeat40</v>
      </c>
      <c r="G338" s="5" t="str">
        <f>IFERROR(__xludf.DUMMYFUNCTION("""COMPUTED_VALUE"""),"Live")</f>
        <v>Live</v>
      </c>
      <c r="H338" s="5"/>
      <c r="I338" s="5" t="str">
        <f>IFERROR(__xludf.DUMMYFUNCTION("""COMPUTED_VALUE"""),"V4")</f>
        <v>V4</v>
      </c>
      <c r="J338" s="5" t="str">
        <f>IFERROR(__xludf.DUMMYFUNCTION("""COMPUTED_VALUE"""),"JSON")</f>
        <v>JSON</v>
      </c>
      <c r="K338" s="5" t="str">
        <f>IFERROR(__xludf.DUMMYFUNCTION("""COMPUTED_VALUE"""),"Slot")</f>
        <v>Slot</v>
      </c>
      <c r="L338" s="5" t="str">
        <f>IFERROR(__xludf.DUMMYFUNCTION("""COMPUTED_VALUE""")," Variant")</f>
        <v> Variant</v>
      </c>
      <c r="M338" s="5" t="str">
        <f>IFERROR(__xludf.DUMMYFUNCTION("""COMPUTED_VALUE"""),"Wild Hot 40")</f>
        <v>Wild Hot 40</v>
      </c>
      <c r="N338" s="7" t="str">
        <f>IFERROR(__xludf.DUMMYFUNCTION("""COMPUTED_VALUE"""),"https://drive.google.com/file/d/1gp0lAf8_G5l6Gwzm1XC85yZzwG7h5yC4/view?usp=drive_link")</f>
        <v>https://drive.google.com/file/d/1gp0lAf8_G5l6Gwzm1XC85yZzwG7h5yC4/view?usp=drive_link</v>
      </c>
      <c r="O338" s="7" t="str">
        <f>IFERROR(__xludf.DUMMYFUNCTION("""COMPUTED_VALUE"""),"https://drive.google.com/file/d/1I1mdL7JQIpfe3awcmJxwX4wXF8Aj0Lgr/view?usp=drive_link")</f>
        <v>https://drive.google.com/file/d/1I1mdL7JQIpfe3awcmJxwX4wXF8Aj0Lgr/view?usp=drive_link</v>
      </c>
      <c r="P338" s="12">
        <f>IFERROR(__xludf.DUMMYFUNCTION("""COMPUTED_VALUE"""),11.9)</f>
        <v>11.9</v>
      </c>
      <c r="Q338" s="14">
        <f>IFERROR(__xludf.DUMMYFUNCTION("""COMPUTED_VALUE"""),45532.0)</f>
        <v>45532</v>
      </c>
      <c r="R338" s="14">
        <f>IFERROR(__xludf.DUMMYFUNCTION("""COMPUTED_VALUE"""),45544.0)</f>
        <v>45544</v>
      </c>
      <c r="S338" s="13">
        <f>IFERROR(__xludf.DUMMYFUNCTION("""COMPUTED_VALUE"""),45551.0)</f>
        <v>45551</v>
      </c>
      <c r="T338" s="5" t="b">
        <f>IFERROR(__xludf.DUMMYFUNCTION("""COMPUTED_VALUE"""),TRUE)</f>
        <v>1</v>
      </c>
      <c r="U338" s="5" t="str">
        <f>IFERROR(__xludf.DUMMYFUNCTION("""COMPUTED_VALUE"""),"5x4")</f>
        <v>5x4</v>
      </c>
      <c r="V338" s="10" t="str">
        <f>IFERROR(__xludf.DUMMYFUNCTION("""COMPUTED_VALUE"""),"40")</f>
        <v>40</v>
      </c>
      <c r="W338" s="10" t="str">
        <f>IFERROR(__xludf.DUMMYFUNCTION("""COMPUTED_VALUE"""),"40")</f>
        <v>40</v>
      </c>
      <c r="X338" s="11">
        <f>IFERROR(__xludf.DUMMYFUNCTION("""COMPUTED_VALUE"""),96.997)</f>
        <v>96.997</v>
      </c>
      <c r="Y338" s="5" t="str">
        <f>IFERROR(__xludf.DUMMYFUNCTION("""COMPUTED_VALUE"""),"Low")</f>
        <v>Low</v>
      </c>
      <c r="Z338" s="5">
        <f>IFERROR(__xludf.DUMMYFUNCTION("""COMPUTED_VALUE"""),16.768)</f>
        <v>16.768</v>
      </c>
      <c r="AA338" s="12">
        <f>IFERROR(__xludf.DUMMYFUNCTION("""COMPUTED_VALUE"""),1000.0)</f>
        <v>1000</v>
      </c>
      <c r="AB338" s="5" t="str">
        <f>IFERROR(__xludf.DUMMYFUNCTION("""COMPUTED_VALUE"""),"/")</f>
        <v>/</v>
      </c>
      <c r="AC338" s="5" t="str">
        <f>IFERROR(__xludf.DUMMYFUNCTION("""COMPUTED_VALUE"""),"Wild Symbol")</f>
        <v>Wild Symbol</v>
      </c>
      <c r="AD338" s="5" t="str">
        <f>IFERROR(__xludf.DUMMYFUNCTION("""COMPUTED_VALUE"""),"0.4/60")</f>
        <v>0.4/60</v>
      </c>
      <c r="AE338" s="5"/>
      <c r="AF338" s="5"/>
      <c r="AG338" s="8">
        <f>IFERROR(__xludf.DUMMYFUNCTION("""COMPUTED_VALUE"""),46212.68751157408)</f>
        <v>46212.68751</v>
      </c>
      <c r="AH338" s="5" t="str">
        <f>IFERROR(__xludf.DUMMYFUNCTION("""COMPUTED_VALUE"""),"djordje.petrovic@fazi.rs")</f>
        <v>djordje.petrovic@fazi.rs</v>
      </c>
      <c r="AI338" s="5"/>
      <c r="AJ338" s="5"/>
      <c r="AK338" s="5">
        <f>IFERROR(__xludf.DUMMYFUNCTION("""COMPUTED_VALUE"""),40.0)</f>
        <v>40</v>
      </c>
      <c r="AL338" s="5" t="str">
        <f>IFERROR(__xludf.DUMMYFUNCTION("""COMPUTED_VALUE"""),"Yes")</f>
        <v>Yes</v>
      </c>
      <c r="AM338" s="5"/>
      <c r="AN338" s="7" t="str">
        <f>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AO338" s="5" t="str">
        <f>IFERROR(__xludf.DUMMYFUNCTION("""COMPUTED_VALUE"""),"Yes")</f>
        <v>Yes</v>
      </c>
      <c r="AP338" s="5" t="str">
        <f>IFERROR(__xludf.DUMMYFUNCTION("""COMPUTED_VALUE"""),"Yes")</f>
        <v>Yes</v>
      </c>
      <c r="AQ338" s="5" t="b">
        <f>IFERROR(__xludf.DUMMYFUNCTION("""COMPUTED_VALUE"""),TRUE)</f>
        <v>1</v>
      </c>
      <c r="AR338" s="5"/>
      <c r="AS338" s="5" t="str">
        <f>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AT338" s="5" t="str">
        <f>IFERROR(__xludf.DUMMYFUNCTION("""COMPUTED_VALUE"""),"Yes")</f>
        <v>Yes</v>
      </c>
      <c r="AU338" s="5" t="str">
        <f>IFERROR(__xludf.DUMMYFUNCTION("""COMPUTED_VALUE"""),"Fazi")</f>
        <v>Fazi</v>
      </c>
      <c r="AV338" s="5"/>
      <c r="AW338"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8" s="5"/>
      <c r="AY338" s="5"/>
      <c r="AZ338" s="5"/>
      <c r="BA338" s="5"/>
      <c r="BB338" s="5"/>
      <c r="BC338" s="5" t="str">
        <f>IFERROR(__xludf.DUMMYFUNCTION("""COMPUTED_VALUE"""),"Foxi")</f>
        <v>Foxi</v>
      </c>
      <c r="BD338" s="7" t="str">
        <f>IFERROR(__xludf.DUMMYFUNCTION("""COMPUTED_VALUE"""),"https://gameserver-store-client-area.orbionlimited.com/Home/IntegrationGameLaunch/client-area?moneyType=0&amp;gameName=WildHeat40&amp;platform=desktop&amp;languageCode=eng&amp;currency=EUR")</f>
        <v>https://gameserver-store-client-area.orbionlimited.com/Home/IntegrationGameLaunch/client-area?moneyType=0&amp;gameName=WildHeat40&amp;platform=desktop&amp;languageCode=eng&amp;currency=EUR</v>
      </c>
      <c r="BE338" s="5" t="b">
        <f>IFERROR(__xludf.DUMMYFUNCTION("""COMPUTED_VALUE"""),TRUE)</f>
        <v>1</v>
      </c>
    </row>
    <row r="339">
      <c r="A339" s="5">
        <f>IFERROR(__xludf.DUMMYFUNCTION("""COMPUTED_VALUE"""),343.0)</f>
        <v>343</v>
      </c>
      <c r="B339" s="5">
        <f>IFERROR(__xludf.DUMMYFUNCTION("""COMPUTED_VALUE"""),1001.0)</f>
        <v>1001</v>
      </c>
      <c r="C339" s="5" t="str">
        <f>IFERROR(__xludf.DUMMYFUNCTION("""COMPUTED_VALUE"""),"Fazi")</f>
        <v>Fazi</v>
      </c>
      <c r="D339" s="5" t="str">
        <f>IFERROR(__xludf.DUMMYFUNCTION("""COMPUTED_VALUE"""),"Blow Fruits 40")</f>
        <v>Blow Fruits 40</v>
      </c>
      <c r="E339" s="5" t="str">
        <f>IFERROR(__xludf.DUMMYFUNCTION("""COMPUTED_VALUE"""),"V4-1")</f>
        <v>V4-1</v>
      </c>
      <c r="F339" s="5" t="str">
        <f>IFERROR(__xludf.DUMMYFUNCTION("""COMPUTED_VALUE"""),"BlowFruits40")</f>
        <v>BlowFruits40</v>
      </c>
      <c r="G339" s="5" t="str">
        <f>IFERROR(__xludf.DUMMYFUNCTION("""COMPUTED_VALUE"""),"Live")</f>
        <v>Live</v>
      </c>
      <c r="H339" s="5"/>
      <c r="I339" s="5" t="str">
        <f>IFERROR(__xludf.DUMMYFUNCTION("""COMPUTED_VALUE"""),"V4")</f>
        <v>V4</v>
      </c>
      <c r="J339" s="5" t="str">
        <f>IFERROR(__xludf.DUMMYFUNCTION("""COMPUTED_VALUE"""),"JSON")</f>
        <v>JSON</v>
      </c>
      <c r="K339" s="5" t="str">
        <f>IFERROR(__xludf.DUMMYFUNCTION("""COMPUTED_VALUE"""),"Slot")</f>
        <v>Slot</v>
      </c>
      <c r="L339" s="5"/>
      <c r="M339" s="5"/>
      <c r="N339" s="5"/>
      <c r="O339" s="5"/>
      <c r="P339" s="12">
        <f>IFERROR(__xludf.DUMMYFUNCTION("""COMPUTED_VALUE"""),22.6)</f>
        <v>22.6</v>
      </c>
      <c r="Q339" s="13">
        <f>IFERROR(__xludf.DUMMYFUNCTION("""COMPUTED_VALUE"""),45601.0)</f>
        <v>45601</v>
      </c>
      <c r="R339" s="14"/>
      <c r="S339" s="13">
        <f>IFERROR(__xludf.DUMMYFUNCTION("""COMPUTED_VALUE"""),45601.0)</f>
        <v>45601</v>
      </c>
      <c r="T339" s="5" t="b">
        <f>IFERROR(__xludf.DUMMYFUNCTION("""COMPUTED_VALUE"""),TRUE)</f>
        <v>1</v>
      </c>
      <c r="U339" s="5" t="str">
        <f>IFERROR(__xludf.DUMMYFUNCTION("""COMPUTED_VALUE"""),"5x4")</f>
        <v>5x4</v>
      </c>
      <c r="V339" s="10" t="str">
        <f>IFERROR(__xludf.DUMMYFUNCTION("""COMPUTED_VALUE"""),"40")</f>
        <v>40</v>
      </c>
      <c r="W339" s="10" t="str">
        <f>IFERROR(__xludf.DUMMYFUNCTION("""COMPUTED_VALUE"""),"40")</f>
        <v>40</v>
      </c>
      <c r="X339" s="11">
        <f>IFERROR(__xludf.DUMMYFUNCTION("""COMPUTED_VALUE"""),96.59400000000001)</f>
        <v>96.594</v>
      </c>
      <c r="Y339" s="5" t="str">
        <f>IFERROR(__xludf.DUMMYFUNCTION("""COMPUTED_VALUE"""),"Medium")</f>
        <v>Medium</v>
      </c>
      <c r="Z339" s="5">
        <f>IFERROR(__xludf.DUMMYFUNCTION("""COMPUTED_VALUE"""),12.056000000000001)</f>
        <v>12.056</v>
      </c>
      <c r="AA339" s="12">
        <f>IFERROR(__xludf.DUMMYFUNCTION("""COMPUTED_VALUE"""),750.0)</f>
        <v>750</v>
      </c>
      <c r="AB339" s="5">
        <f>IFERROR(__xludf.DUMMYFUNCTION("""COMPUTED_VALUE"""),18.0)</f>
        <v>18</v>
      </c>
      <c r="AC339" s="5" t="str">
        <f>IFERROR(__xludf.DUMMYFUNCTION("""COMPUTED_VALUE"""),"Exploding Wild")</f>
        <v>Exploding Wild</v>
      </c>
      <c r="AD339" s="5" t="str">
        <f>IFERROR(__xludf.DUMMYFUNCTION("""COMPUTED_VALUE"""),"0.4/60")</f>
        <v>0.4/60</v>
      </c>
      <c r="AE339" s="5"/>
      <c r="AF339" s="5"/>
      <c r="AG339" s="8">
        <f>IFERROR(__xludf.DUMMYFUNCTION("""COMPUTED_VALUE"""),46085.6862962963)</f>
        <v>46085.6863</v>
      </c>
      <c r="AH339" s="5" t="str">
        <f>IFERROR(__xludf.DUMMYFUNCTION("""COMPUTED_VALUE"""),"djordje.petrovic@fazi.rs")</f>
        <v>djordje.petrovic@fazi.rs</v>
      </c>
      <c r="AI339" s="5"/>
      <c r="AJ339" s="5"/>
      <c r="AK339" s="5" t="str">
        <f>IFERROR(__xludf.DUMMYFUNCTION("""COMPUTED_VALUE"""),"NULL")</f>
        <v>NULL</v>
      </c>
      <c r="AL339" s="5" t="str">
        <f>IFERROR(__xludf.DUMMYFUNCTION("""COMPUTED_VALUE"""),"Yes")</f>
        <v>Yes</v>
      </c>
      <c r="AM339" s="5"/>
      <c r="AN339"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339" s="5" t="str">
        <f>IFERROR(__xludf.DUMMYFUNCTION("""COMPUTED_VALUE"""),"Yes")</f>
        <v>Yes</v>
      </c>
      <c r="AP339" s="5" t="str">
        <f>IFERROR(__xludf.DUMMYFUNCTION("""COMPUTED_VALUE"""),"Yes")</f>
        <v>Yes</v>
      </c>
      <c r="AQ339" s="5" t="b">
        <f>IFERROR(__xludf.DUMMYFUNCTION("""COMPUTED_VALUE"""),TRUE)</f>
        <v>1</v>
      </c>
      <c r="AR339" s="5"/>
      <c r="AS339" s="5" t="str">
        <f>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AT339" s="5" t="str">
        <f>IFERROR(__xludf.DUMMYFUNCTION("""COMPUTED_VALUE"""),"No")</f>
        <v>No</v>
      </c>
      <c r="AU339" s="5" t="str">
        <f>IFERROR(__xludf.DUMMYFUNCTION("""COMPUTED_VALUE"""),"Fazi")</f>
        <v>Fazi</v>
      </c>
      <c r="AV339" s="5"/>
      <c r="AW339" s="5" t="str">
        <f>IFERROR(__xludf.DUMMYFUNCTION("""COMPUTED_VALUE"""),"Testirano na platformi")</f>
        <v>Testirano na platformi</v>
      </c>
      <c r="AX339" s="5"/>
      <c r="AY339" s="5"/>
      <c r="AZ339" s="5"/>
      <c r="BA339" s="5" t="str">
        <f>IFERROR(__xludf.DUMMYFUNCTION("""COMPUTED_VALUE"""),"")</f>
        <v/>
      </c>
      <c r="BB339" s="5"/>
      <c r="BC339" s="5" t="str">
        <f>IFERROR(__xludf.DUMMYFUNCTION("""COMPUTED_VALUE"""),"Foxi")</f>
        <v>Foxi</v>
      </c>
      <c r="BD339" s="7" t="str">
        <f>IFERROR(__xludf.DUMMYFUNCTION("""COMPUTED_VALUE"""),"https://gameserver-store-client-area.orbionlimited.com/Home/IntegrationGameLaunch/client-area?moneyType=0&amp;gameName=BlowFruits40&amp;platform=desktop&amp;languageCode=eng&amp;currency=EUR")</f>
        <v>https://gameserver-store-client-area.orbionlimited.com/Home/IntegrationGameLaunch/client-area?moneyType=0&amp;gameName=BlowFruits40&amp;platform=desktop&amp;languageCode=eng&amp;currency=EUR</v>
      </c>
      <c r="BE339" s="5" t="b">
        <f>IFERROR(__xludf.DUMMYFUNCTION("""COMPUTED_VALUE"""),TRUE)</f>
        <v>1</v>
      </c>
    </row>
    <row r="340">
      <c r="A340" s="5">
        <f>IFERROR(__xludf.DUMMYFUNCTION("""COMPUTED_VALUE"""),344.0)</f>
        <v>344</v>
      </c>
      <c r="B340" s="5">
        <f>IFERROR(__xludf.DUMMYFUNCTION("""COMPUTED_VALUE"""),2003.0)</f>
        <v>2003</v>
      </c>
      <c r="C340" s="5" t="str">
        <f>IFERROR(__xludf.DUMMYFUNCTION("""COMPUTED_VALUE"""),"Fazi")</f>
        <v>Fazi</v>
      </c>
      <c r="D340" s="5" t="str">
        <f>IFERROR(__xludf.DUMMYFUNCTION("""COMPUTED_VALUE"""),"Age of Rome")</f>
        <v>Age of Rome</v>
      </c>
      <c r="E340" s="5" t="str">
        <f>IFERROR(__xludf.DUMMYFUNCTION("""COMPUTED_VALUE"""),"V4-2")</f>
        <v>V4-2</v>
      </c>
      <c r="F340" s="5" t="str">
        <f>IFERROR(__xludf.DUMMYFUNCTION("""COMPUTED_VALUE"""),"AgeOfRome")</f>
        <v>AgeOfRome</v>
      </c>
      <c r="G340" s="5" t="str">
        <f>IFERROR(__xludf.DUMMYFUNCTION("""COMPUTED_VALUE"""),"Live")</f>
        <v>Live</v>
      </c>
      <c r="H340" s="5"/>
      <c r="I340" s="5" t="str">
        <f>IFERROR(__xludf.DUMMYFUNCTION("""COMPUTED_VALUE"""),"V4")</f>
        <v>V4</v>
      </c>
      <c r="J340" s="5" t="str">
        <f>IFERROR(__xludf.DUMMYFUNCTION("""COMPUTED_VALUE"""),"JSON")</f>
        <v>JSON</v>
      </c>
      <c r="K340" s="5" t="str">
        <f>IFERROR(__xludf.DUMMYFUNCTION("""COMPUTED_VALUE"""),"Slot")</f>
        <v>Slot</v>
      </c>
      <c r="L340" s="5" t="str">
        <f>IFERROR(__xludf.DUMMYFUNCTION("""COMPUTED_VALUE"""),"Master")</f>
        <v>Master</v>
      </c>
      <c r="M340" s="5"/>
      <c r="N340" s="7" t="str">
        <f>IFERROR(__xludf.DUMMYFUNCTION("""COMPUTED_VALUE"""),"https://drive.google.com/file/d/14yOLKz6xQ-f2rXoAd31NAfoZfcclkWkd/view?usp=drive_link")</f>
        <v>https://drive.google.com/file/d/14yOLKz6xQ-f2rXoAd31NAfoZfcclkWkd/view?usp=drive_link</v>
      </c>
      <c r="O340" s="7" t="str">
        <f>IFERROR(__xludf.DUMMYFUNCTION("""COMPUTED_VALUE"""),"https://drive.google.com/file/d/1oV_sbQ1uPYps71br5FN121qUs1JHr-hc/view?usp=drive_link")</f>
        <v>https://drive.google.com/file/d/1oV_sbQ1uPYps71br5FN121qUs1JHr-hc/view?usp=drive_link</v>
      </c>
      <c r="P340" s="12">
        <f>IFERROR(__xludf.DUMMYFUNCTION("""COMPUTED_VALUE"""),33.1)</f>
        <v>33.1</v>
      </c>
      <c r="Q340" s="14">
        <f>IFERROR(__xludf.DUMMYFUNCTION("""COMPUTED_VALUE"""),45747.0)</f>
        <v>45747</v>
      </c>
      <c r="R340" s="14">
        <f>IFERROR(__xludf.DUMMYFUNCTION("""COMPUTED_VALUE"""),45762.0)</f>
        <v>45762</v>
      </c>
      <c r="S340" s="13">
        <f>IFERROR(__xludf.DUMMYFUNCTION("""COMPUTED_VALUE"""),45769.0)</f>
        <v>45769</v>
      </c>
      <c r="T340" s="5" t="b">
        <f>IFERROR(__xludf.DUMMYFUNCTION("""COMPUTED_VALUE"""),TRUE)</f>
        <v>1</v>
      </c>
      <c r="U340" s="5" t="str">
        <f>IFERROR(__xludf.DUMMYFUNCTION("""COMPUTED_VALUE"""),"5x3")</f>
        <v>5x3</v>
      </c>
      <c r="V340" s="10" t="str">
        <f>IFERROR(__xludf.DUMMYFUNCTION("""COMPUTED_VALUE"""),"20")</f>
        <v>20</v>
      </c>
      <c r="W340" s="10" t="str">
        <f>IFERROR(__xludf.DUMMYFUNCTION("""COMPUTED_VALUE"""),"20")</f>
        <v>20</v>
      </c>
      <c r="X340" s="11">
        <f>IFERROR(__xludf.DUMMYFUNCTION("""COMPUTED_VALUE"""),96.502)</f>
        <v>96.502</v>
      </c>
      <c r="Y340" s="5" t="str">
        <f>IFERROR(__xludf.DUMMYFUNCTION("""COMPUTED_VALUE"""),"High")</f>
        <v>High</v>
      </c>
      <c r="Z340" s="5">
        <f>IFERROR(__xludf.DUMMYFUNCTION("""COMPUTED_VALUE"""),12.937)</f>
        <v>12.937</v>
      </c>
      <c r="AA340" s="12">
        <f>IFERROR(__xludf.DUMMYFUNCTION("""COMPUTED_VALUE"""),14000.0)</f>
        <v>14000</v>
      </c>
      <c r="AB340" s="5">
        <f>IFERROR(__xludf.DUMMYFUNCTION("""COMPUTED_VALUE"""),345.0)</f>
        <v>345</v>
      </c>
      <c r="AC340" s="5" t="str">
        <f>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AD340" s="5" t="str">
        <f>IFERROR(__xludf.DUMMYFUNCTION("""COMPUTED_VALUE"""),"0.4/60")</f>
        <v>0.4/60</v>
      </c>
      <c r="AE340" s="5"/>
      <c r="AF340" s="5"/>
      <c r="AG340" s="8">
        <f>IFERROR(__xludf.DUMMYFUNCTION("""COMPUTED_VALUE"""),46112.61141203704)</f>
        <v>46112.61141</v>
      </c>
      <c r="AH340" s="5" t="str">
        <f>IFERROR(__xludf.DUMMYFUNCTION("""COMPUTED_VALUE"""),"sandra.stamenkovic@fazi.rs")</f>
        <v>sandra.stamenkovic@fazi.rs</v>
      </c>
      <c r="AI340" s="13">
        <f>IFERROR(__xludf.DUMMYFUNCTION("""COMPUTED_VALUE"""),45749.0)</f>
        <v>45749</v>
      </c>
      <c r="AJ340" s="5" t="str">
        <f>IFERROR(__xludf.DUMMYFUNCTION("""COMPUTED_VALUE"""),"DUX : Ninecasino, Betonred, Cryptoleo
GRR Tech: Brunocasino, Bdmbet, Felixspin, Savaspin, Winaura, Liraspin, Lazybar
Volcano MNE pre-release od 14. aprila")</f>
        <v>DUX : Ninecasino, Betonred, Cryptoleo
GRR Tech: Brunocasino, Bdmbet, Felixspin, Savaspin, Winaura, Liraspin, Lazybar
Volcano MNE pre-release od 14. aprila</v>
      </c>
      <c r="AK340" s="5">
        <f>IFERROR(__xludf.DUMMYFUNCTION("""COMPUTED_VALUE"""),1.0)</f>
        <v>1</v>
      </c>
      <c r="AL340" s="5" t="str">
        <f>IFERROR(__xludf.DUMMYFUNCTION("""COMPUTED_VALUE"""),"Yes")</f>
        <v>Yes</v>
      </c>
      <c r="AM340" s="5"/>
      <c r="AN340" s="7" t="str">
        <f>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AO340" s="5" t="str">
        <f>IFERROR(__xludf.DUMMYFUNCTION("""COMPUTED_VALUE"""),"Yes")</f>
        <v>Yes</v>
      </c>
      <c r="AP340" s="5" t="str">
        <f>IFERROR(__xludf.DUMMYFUNCTION("""COMPUTED_VALUE"""),"Yes")</f>
        <v>Yes</v>
      </c>
      <c r="AQ340" s="5" t="b">
        <f>IFERROR(__xludf.DUMMYFUNCTION("""COMPUTED_VALUE"""),TRUE)</f>
        <v>1</v>
      </c>
      <c r="AR340" s="5"/>
      <c r="AS340" s="5" t="str">
        <f>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AT340" s="5" t="str">
        <f>IFERROR(__xludf.DUMMYFUNCTION("""COMPUTED_VALUE"""),"Yes")</f>
        <v>Yes</v>
      </c>
      <c r="AU340" s="5" t="str">
        <f>IFERROR(__xludf.DUMMYFUNCTION("""COMPUTED_VALUE"""),"Fazi")</f>
        <v>Fazi</v>
      </c>
      <c r="AV340" s="5"/>
      <c r="AW340" s="5"/>
      <c r="AX340" s="5"/>
      <c r="AY340" s="5"/>
      <c r="AZ340" s="5"/>
      <c r="BA340" s="5">
        <f>IFERROR(__xludf.DUMMYFUNCTION("""COMPUTED_VALUE"""),100.0)</f>
        <v>100</v>
      </c>
      <c r="BB340" s="5"/>
      <c r="BC340" s="5" t="str">
        <f>IFERROR(__xludf.DUMMYFUNCTION("""COMPUTED_VALUE"""),"Foxi")</f>
        <v>Foxi</v>
      </c>
      <c r="BD340" s="7" t="str">
        <f>IFERROR(__xludf.DUMMYFUNCTION("""COMPUTED_VALUE"""),"https://gameserver-store-client-area.orbionlimited.com/Home/IntegrationGameLaunch/client-area?moneyType=0&amp;gameName=AgeOfRome&amp;platform=desktop&amp;languageCode=eng&amp;currency=EUR")</f>
        <v>https://gameserver-store-client-area.orbionlimited.com/Home/IntegrationGameLaunch/client-area?moneyType=0&amp;gameName=AgeOfRome&amp;platform=desktop&amp;languageCode=eng&amp;currency=EUR</v>
      </c>
      <c r="BE340" s="5" t="b">
        <f>IFERROR(__xludf.DUMMYFUNCTION("""COMPUTED_VALUE"""),TRUE)</f>
        <v>1</v>
      </c>
    </row>
    <row r="341">
      <c r="A341" s="5">
        <f>IFERROR(__xludf.DUMMYFUNCTION("""COMPUTED_VALUE"""),345.0)</f>
        <v>345</v>
      </c>
      <c r="B341" s="5">
        <f>IFERROR(__xludf.DUMMYFUNCTION("""COMPUTED_VALUE"""),2005.0)</f>
        <v>2005</v>
      </c>
      <c r="C341" s="5" t="str">
        <f>IFERROR(__xludf.DUMMYFUNCTION("""COMPUTED_VALUE"""),"Fazi")</f>
        <v>Fazi</v>
      </c>
      <c r="D341" s="5" t="str">
        <f>IFERROR(__xludf.DUMMYFUNCTION("""COMPUTED_VALUE"""),"Fruity Force 40")</f>
        <v>Fruity Force 40</v>
      </c>
      <c r="E341" s="5" t="str">
        <f>IFERROR(__xludf.DUMMYFUNCTION("""COMPUTED_VALUE"""),"V4-2")</f>
        <v>V4-2</v>
      </c>
      <c r="F341" s="5" t="str">
        <f>IFERROR(__xludf.DUMMYFUNCTION("""COMPUTED_VALUE"""),"FruityForce40")</f>
        <v>FruityForce40</v>
      </c>
      <c r="G341" s="5" t="str">
        <f>IFERROR(__xludf.DUMMYFUNCTION("""COMPUTED_VALUE"""),"Live")</f>
        <v>Live</v>
      </c>
      <c r="H341" s="5"/>
      <c r="I341" s="5" t="str">
        <f>IFERROR(__xludf.DUMMYFUNCTION("""COMPUTED_VALUE"""),"V4")</f>
        <v>V4</v>
      </c>
      <c r="J341" s="5" t="str">
        <f>IFERROR(__xludf.DUMMYFUNCTION("""COMPUTED_VALUE"""),"JSON")</f>
        <v>JSON</v>
      </c>
      <c r="K341" s="5" t="str">
        <f>IFERROR(__xludf.DUMMYFUNCTION("""COMPUTED_VALUE"""),"Slot")</f>
        <v>Slot</v>
      </c>
      <c r="L341" s="5" t="str">
        <f>IFERROR(__xludf.DUMMYFUNCTION("""COMPUTED_VALUE"""),"Master")</f>
        <v>Master</v>
      </c>
      <c r="M341" s="5"/>
      <c r="N341" s="7" t="str">
        <f>IFERROR(__xludf.DUMMYFUNCTION("""COMPUTED_VALUE"""),"https://drive.google.com/file/d/1Bzk5T4MRXZAiUngZZUNnNYIqLHVoexC2/view?usp=drive_link")</f>
        <v>https://drive.google.com/file/d/1Bzk5T4MRXZAiUngZZUNnNYIqLHVoexC2/view?usp=drive_link</v>
      </c>
      <c r="O341" s="7" t="str">
        <f>IFERROR(__xludf.DUMMYFUNCTION("""COMPUTED_VALUE"""),"https://drive.google.com/file/d/1m2cQxpCNQfIiTNBZum4iZQ4bQKcgPfnP/view?usp=drive_link")</f>
        <v>https://drive.google.com/file/d/1m2cQxpCNQfIiTNBZum4iZQ4bQKcgPfnP/view?usp=drive_link</v>
      </c>
      <c r="P341" s="12">
        <f>IFERROR(__xludf.DUMMYFUNCTION("""COMPUTED_VALUE"""),22.6)</f>
        <v>22.6</v>
      </c>
      <c r="Q341" s="14">
        <f>IFERROR(__xludf.DUMMYFUNCTION("""COMPUTED_VALUE"""),45733.0)</f>
        <v>45733</v>
      </c>
      <c r="R341" s="14">
        <f>IFERROR(__xludf.DUMMYFUNCTION("""COMPUTED_VALUE"""),45736.0)</f>
        <v>45736</v>
      </c>
      <c r="S341" s="13">
        <f>IFERROR(__xludf.DUMMYFUNCTION("""COMPUTED_VALUE"""),45743.0)</f>
        <v>45743</v>
      </c>
      <c r="T341" s="5" t="b">
        <f>IFERROR(__xludf.DUMMYFUNCTION("""COMPUTED_VALUE"""),TRUE)</f>
        <v>1</v>
      </c>
      <c r="U341" s="5" t="str">
        <f>IFERROR(__xludf.DUMMYFUNCTION("""COMPUTED_VALUE"""),"5x4")</f>
        <v>5x4</v>
      </c>
      <c r="V341" s="10" t="str">
        <f>IFERROR(__xludf.DUMMYFUNCTION("""COMPUTED_VALUE"""),"40")</f>
        <v>40</v>
      </c>
      <c r="W341" s="10" t="str">
        <f>IFERROR(__xludf.DUMMYFUNCTION("""COMPUTED_VALUE"""),"40")</f>
        <v>40</v>
      </c>
      <c r="X341" s="11">
        <f>IFERROR(__xludf.DUMMYFUNCTION("""COMPUTED_VALUE"""),96.621)</f>
        <v>96.621</v>
      </c>
      <c r="Y341" s="5" t="str">
        <f>IFERROR(__xludf.DUMMYFUNCTION("""COMPUTED_VALUE"""),"High")</f>
        <v>High</v>
      </c>
      <c r="Z341" s="5">
        <f>IFERROR(__xludf.DUMMYFUNCTION("""COMPUTED_VALUE"""),12.617)</f>
        <v>12.617</v>
      </c>
      <c r="AA341" s="12">
        <f>IFERROR(__xludf.DUMMYFUNCTION("""COMPUTED_VALUE"""),25000.0)</f>
        <v>25000</v>
      </c>
      <c r="AB341" s="5"/>
      <c r="AC341" s="5" t="str">
        <f>IFERROR(__xludf.DUMMYFUNCTION("""COMPUTED_VALUE"""),"Level Pay, Win Multiplier, Buy Feature")</f>
        <v>Level Pay, Win Multiplier, Buy Feature</v>
      </c>
      <c r="AD341" s="5" t="str">
        <f>IFERROR(__xludf.DUMMYFUNCTION("""COMPUTED_VALUE"""),"0.40/60")</f>
        <v>0.40/60</v>
      </c>
      <c r="AE341" s="5"/>
      <c r="AF341" s="5"/>
      <c r="AG341" s="8">
        <f>IFERROR(__xludf.DUMMYFUNCTION("""COMPUTED_VALUE"""),46182.63628472222)</f>
        <v>46182.63628</v>
      </c>
      <c r="AH341" s="5" t="str">
        <f>IFERROR(__xludf.DUMMYFUNCTION("""COMPUTED_VALUE"""),"aleksandar.trajkovic@fazi.rs")</f>
        <v>aleksandar.trajkovic@fazi.rs</v>
      </c>
      <c r="AI341" s="5"/>
      <c r="AJ341" s="5"/>
      <c r="AK341" s="5">
        <f>IFERROR(__xludf.DUMMYFUNCTION("""COMPUTED_VALUE"""),40.0)</f>
        <v>40</v>
      </c>
      <c r="AL341" s="5" t="str">
        <f>IFERROR(__xludf.DUMMYFUNCTION("""COMPUTED_VALUE"""),"Yes")</f>
        <v>Yes</v>
      </c>
      <c r="AM341" s="5"/>
      <c r="AN341" s="7" t="str">
        <f>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AO341" s="5" t="str">
        <f>IFERROR(__xludf.DUMMYFUNCTION("""COMPUTED_VALUE"""),"No")</f>
        <v>No</v>
      </c>
      <c r="AP341" s="5" t="str">
        <f>IFERROR(__xludf.DUMMYFUNCTION("""COMPUTED_VALUE"""),"No")</f>
        <v>No</v>
      </c>
      <c r="AQ341" s="5" t="b">
        <f>IFERROR(__xludf.DUMMYFUNCTION("""COMPUTED_VALUE"""),TRUE)</f>
        <v>1</v>
      </c>
      <c r="AR341" s="5"/>
      <c r="AS341" s="5" t="str">
        <f>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AT341" s="5" t="str">
        <f>IFERROR(__xludf.DUMMYFUNCTION("""COMPUTED_VALUE"""),"Yes")</f>
        <v>Yes</v>
      </c>
      <c r="AU341" s="5" t="str">
        <f>IFERROR(__xludf.DUMMYFUNCTION("""COMPUTED_VALUE"""),"Fazi")</f>
        <v>Fazi</v>
      </c>
      <c r="AV341" s="5"/>
      <c r="AW341" s="5"/>
      <c r="AX341" s="5"/>
      <c r="AY341" s="5"/>
      <c r="AZ341" s="5"/>
      <c r="BA341" s="5"/>
      <c r="BB341" s="5"/>
      <c r="BC341" s="5" t="str">
        <f>IFERROR(__xludf.DUMMYFUNCTION("""COMPUTED_VALUE"""),"Foxi")</f>
        <v>Foxi</v>
      </c>
      <c r="BD341" s="7" t="str">
        <f>IFERROR(__xludf.DUMMYFUNCTION("""COMPUTED_VALUE"""),"https://gameserver-store-client-area.orbionlimited.com/Home/IntegrationGameLaunch/client-area?moneyType=0&amp;gameName=FruityForce40&amp;platform=desktop&amp;languageCode=eng&amp;currency=EUR")</f>
        <v>https://gameserver-store-client-area.orbionlimited.com/Home/IntegrationGameLaunch/client-area?moneyType=0&amp;gameName=FruityForce40&amp;platform=desktop&amp;languageCode=eng&amp;currency=EUR</v>
      </c>
      <c r="BE341" s="5" t="b">
        <f>IFERROR(__xludf.DUMMYFUNCTION("""COMPUTED_VALUE"""),TRUE)</f>
        <v>1</v>
      </c>
    </row>
    <row r="342">
      <c r="A342" s="5">
        <f>IFERROR(__xludf.DUMMYFUNCTION("""COMPUTED_VALUE"""),346.0)</f>
        <v>346</v>
      </c>
      <c r="B342" s="5">
        <f>IFERROR(__xludf.DUMMYFUNCTION("""COMPUTED_VALUE"""),2004.0)</f>
        <v>2004</v>
      </c>
      <c r="C342" s="5" t="str">
        <f>IFERROR(__xludf.DUMMYFUNCTION("""COMPUTED_VALUE"""),"Fazi")</f>
        <v>Fazi</v>
      </c>
      <c r="D342" s="5" t="str">
        <f>IFERROR(__xludf.DUMMYFUNCTION("""COMPUTED_VALUE"""),"Bonus Crown")</f>
        <v>Bonus Crown</v>
      </c>
      <c r="E342" s="5" t="str">
        <f>IFERROR(__xludf.DUMMYFUNCTION("""COMPUTED_VALUE"""),"V4-2")</f>
        <v>V4-2</v>
      </c>
      <c r="F342" s="5" t="str">
        <f>IFERROR(__xludf.DUMMYFUNCTION("""COMPUTED_VALUE"""),"BonusCrown")</f>
        <v>BonusCrown</v>
      </c>
      <c r="G342" s="5" t="str">
        <f>IFERROR(__xludf.DUMMYFUNCTION("""COMPUTED_VALUE"""),"Live")</f>
        <v>Live</v>
      </c>
      <c r="H342" s="5"/>
      <c r="I342" s="5" t="str">
        <f>IFERROR(__xludf.DUMMYFUNCTION("""COMPUTED_VALUE"""),"V4")</f>
        <v>V4</v>
      </c>
      <c r="J342" s="5" t="str">
        <f>IFERROR(__xludf.DUMMYFUNCTION("""COMPUTED_VALUE"""),"JSON")</f>
        <v>JSON</v>
      </c>
      <c r="K342" s="5" t="str">
        <f>IFERROR(__xludf.DUMMYFUNCTION("""COMPUTED_VALUE"""),"Slot")</f>
        <v>Slot</v>
      </c>
      <c r="L342" s="5" t="str">
        <f>IFERROR(__xludf.DUMMYFUNCTION("""COMPUTED_VALUE""")," Variant")</f>
        <v> Variant</v>
      </c>
      <c r="M342" s="5" t="str">
        <f>IFERROR(__xludf.DUMMYFUNCTION("""COMPUTED_VALUE"""),"Bonus Epic Crown")</f>
        <v>Bonus Epic Crown</v>
      </c>
      <c r="N342" s="7" t="str">
        <f>IFERROR(__xludf.DUMMYFUNCTION("""COMPUTED_VALUE"""),"https://drive.google.com/file/d/1cxG6mU16qcu_ClB03Mcybh8Phw3vHxjf/view?usp=drive_link")</f>
        <v>https://drive.google.com/file/d/1cxG6mU16qcu_ClB03Mcybh8Phw3vHxjf/view?usp=drive_link</v>
      </c>
      <c r="O342" s="7" t="str">
        <f>IFERROR(__xludf.DUMMYFUNCTION("""COMPUTED_VALUE"""),"https://drive.google.com/file/d/19S8lEmrFJHzmRlgOTArf8w7jWrtdVwFJ/view?usp=drive_link")</f>
        <v>https://drive.google.com/file/d/19S8lEmrFJHzmRlgOTArf8w7jWrtdVwFJ/view?usp=drive_link</v>
      </c>
      <c r="P342" s="12">
        <f>IFERROR(__xludf.DUMMYFUNCTION("""COMPUTED_VALUE"""),17.0)</f>
        <v>17</v>
      </c>
      <c r="Q342" s="14">
        <f>IFERROR(__xludf.DUMMYFUNCTION("""COMPUTED_VALUE"""),45608.0)</f>
        <v>45608</v>
      </c>
      <c r="R342" s="14">
        <f>IFERROR(__xludf.DUMMYFUNCTION("""COMPUTED_VALUE"""),45608.0)</f>
        <v>45608</v>
      </c>
      <c r="S342" s="13">
        <f>IFERROR(__xludf.DUMMYFUNCTION("""COMPUTED_VALUE"""),45615.0)</f>
        <v>45615</v>
      </c>
      <c r="T342" s="5" t="b">
        <f>IFERROR(__xludf.DUMMYFUNCTION("""COMPUTED_VALUE"""),TRUE)</f>
        <v>1</v>
      </c>
      <c r="U342" s="5" t="str">
        <f>IFERROR(__xludf.DUMMYFUNCTION("""COMPUTED_VALUE"""),"5x3")</f>
        <v>5x3</v>
      </c>
      <c r="V342" s="10" t="str">
        <f>IFERROR(__xludf.DUMMYFUNCTION("""COMPUTED_VALUE"""),"10")</f>
        <v>10</v>
      </c>
      <c r="W342" s="10" t="str">
        <f>IFERROR(__xludf.DUMMYFUNCTION("""COMPUTED_VALUE"""),"10")</f>
        <v>10</v>
      </c>
      <c r="X342" s="11">
        <f>IFERROR(__xludf.DUMMYFUNCTION("""COMPUTED_VALUE"""),96.533)</f>
        <v>96.533</v>
      </c>
      <c r="Y342" s="5" t="str">
        <f>IFERROR(__xludf.DUMMYFUNCTION("""COMPUTED_VALUE"""),"High")</f>
        <v>High</v>
      </c>
      <c r="Z342" s="5">
        <f>IFERROR(__xludf.DUMMYFUNCTION("""COMPUTED_VALUE"""),10.607)</f>
        <v>10.607</v>
      </c>
      <c r="AA342" s="12">
        <f>IFERROR(__xludf.DUMMYFUNCTION("""COMPUTED_VALUE"""),10400.0)</f>
        <v>10400</v>
      </c>
      <c r="AB342" s="5">
        <f>IFERROR(__xludf.DUMMYFUNCTION("""COMPUTED_VALUE"""),190.0)</f>
        <v>190</v>
      </c>
      <c r="AC342" s="5" t="str">
        <f>IFERROR(__xludf.DUMMYFUNCTION("""COMPUTED_VALUE"""),"Extralines, Expanding Wild, Buy Bonus")</f>
        <v>Extralines, Expanding Wild, Buy Bonus</v>
      </c>
      <c r="AD342" s="5" t="str">
        <f>IFERROR(__xludf.DUMMYFUNCTION("""COMPUTED_VALUE"""),"0.1/40")</f>
        <v>0.1/40</v>
      </c>
      <c r="AE342" s="5"/>
      <c r="AF342" s="5"/>
      <c r="AG342" s="8">
        <f>IFERROR(__xludf.DUMMYFUNCTION("""COMPUTED_VALUE"""),46212.68780092592)</f>
        <v>46212.6878</v>
      </c>
      <c r="AH342" s="5" t="str">
        <f>IFERROR(__xludf.DUMMYFUNCTION("""COMPUTED_VALUE"""),"djordje.petrovic@fazi.rs")</f>
        <v>djordje.petrovic@fazi.rs</v>
      </c>
      <c r="AI342" s="5"/>
      <c r="AJ342" s="5"/>
      <c r="AK342" s="5">
        <f>IFERROR(__xludf.DUMMYFUNCTION("""COMPUTED_VALUE"""),10.0)</f>
        <v>10</v>
      </c>
      <c r="AL342" s="5" t="str">
        <f>IFERROR(__xludf.DUMMYFUNCTION("""COMPUTED_VALUE"""),"Yes")</f>
        <v>Yes</v>
      </c>
      <c r="AM342" s="5"/>
      <c r="AN342" s="7" t="str">
        <f>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AO342" s="5" t="str">
        <f>IFERROR(__xludf.DUMMYFUNCTION("""COMPUTED_VALUE"""),"Yes")</f>
        <v>Yes</v>
      </c>
      <c r="AP342" s="5" t="str">
        <f>IFERROR(__xludf.DUMMYFUNCTION("""COMPUTED_VALUE"""),"Yes")</f>
        <v>Yes</v>
      </c>
      <c r="AQ342" s="5" t="b">
        <f>IFERROR(__xludf.DUMMYFUNCTION("""COMPUTED_VALUE"""),TRUE)</f>
        <v>1</v>
      </c>
      <c r="AR342" s="5"/>
      <c r="AS342" s="5" t="str">
        <f>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AT342" s="5" t="str">
        <f>IFERROR(__xludf.DUMMYFUNCTION("""COMPUTED_VALUE"""),"Yes")</f>
        <v>Yes</v>
      </c>
      <c r="AU342" s="5" t="str">
        <f>IFERROR(__xludf.DUMMYFUNCTION("""COMPUTED_VALUE"""),"Fazi")</f>
        <v>Fazi</v>
      </c>
      <c r="AV342" s="5"/>
      <c r="AW342"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2" s="5"/>
      <c r="AY342" s="5"/>
      <c r="AZ342" s="5"/>
      <c r="BA342" s="5" t="str">
        <f>IFERROR(__xludf.DUMMYFUNCTION("""COMPUTED_VALUE"""),"54, 81, 108")</f>
        <v>54, 81, 108</v>
      </c>
      <c r="BB342" s="5"/>
      <c r="BC342" s="5" t="str">
        <f>IFERROR(__xludf.DUMMYFUNCTION("""COMPUTED_VALUE"""),"Foxi")</f>
        <v>Foxi</v>
      </c>
      <c r="BD342" s="7" t="str">
        <f>IFERROR(__xludf.DUMMYFUNCTION("""COMPUTED_VALUE"""),"https://gameserver-store-client-area.orbionlimited.com/Home/IntegrationGameLaunch/client-area?moneyType=0&amp;gameName=BonusCrown&amp;platform=desktop&amp;languageCode=eng&amp;currency=EUR")</f>
        <v>https://gameserver-store-client-area.orbionlimited.com/Home/IntegrationGameLaunch/client-area?moneyType=0&amp;gameName=BonusCrown&amp;platform=desktop&amp;languageCode=eng&amp;currency=EUR</v>
      </c>
      <c r="BE342" s="5" t="b">
        <f>IFERROR(__xludf.DUMMYFUNCTION("""COMPUTED_VALUE"""),TRUE)</f>
        <v>1</v>
      </c>
    </row>
    <row r="343">
      <c r="A343" s="5">
        <f>IFERROR(__xludf.DUMMYFUNCTION("""COMPUTED_VALUE"""),347.0)</f>
        <v>347</v>
      </c>
      <c r="B343" s="5">
        <f>IFERROR(__xludf.DUMMYFUNCTION("""COMPUTED_VALUE"""),2006.0)</f>
        <v>2006</v>
      </c>
      <c r="C343" s="5" t="str">
        <f>IFERROR(__xludf.DUMMYFUNCTION("""COMPUTED_VALUE"""),"Fazi")</f>
        <v>Fazi</v>
      </c>
      <c r="D343" s="5" t="str">
        <f>IFERROR(__xludf.DUMMYFUNCTION("""COMPUTED_VALUE"""),"Aqua Flame")</f>
        <v>Aqua Flame</v>
      </c>
      <c r="E343" s="5" t="str">
        <f>IFERROR(__xludf.DUMMYFUNCTION("""COMPUTED_VALUE"""),"V4-2")</f>
        <v>V4-2</v>
      </c>
      <c r="F343" s="5" t="str">
        <f>IFERROR(__xludf.DUMMYFUNCTION("""COMPUTED_VALUE"""),"AquaFlame")</f>
        <v>AquaFlame</v>
      </c>
      <c r="G343" s="5" t="str">
        <f>IFERROR(__xludf.DUMMYFUNCTION("""COMPUTED_VALUE"""),"Live")</f>
        <v>Live</v>
      </c>
      <c r="H343" s="5"/>
      <c r="I343" s="5" t="str">
        <f>IFERROR(__xludf.DUMMYFUNCTION("""COMPUTED_VALUE"""),"V4")</f>
        <v>V4</v>
      </c>
      <c r="J343" s="5" t="str">
        <f>IFERROR(__xludf.DUMMYFUNCTION("""COMPUTED_VALUE"""),"JSON")</f>
        <v>JSON</v>
      </c>
      <c r="K343" s="5" t="str">
        <f>IFERROR(__xludf.DUMMYFUNCTION("""COMPUTED_VALUE"""),"Slot")</f>
        <v>Slot</v>
      </c>
      <c r="L343" s="5" t="str">
        <f>IFERROR(__xludf.DUMMYFUNCTION("""COMPUTED_VALUE"""),"Master")</f>
        <v>Master</v>
      </c>
      <c r="M343" s="5"/>
      <c r="N343" s="7" t="str">
        <f>IFERROR(__xludf.DUMMYFUNCTION("""COMPUTED_VALUE"""),"https://drive.google.com/file/d/1QczkBEtF6aigPVs3NS4sPtWhw_oLqrwO/view?usp=drive_link")</f>
        <v>https://drive.google.com/file/d/1QczkBEtF6aigPVs3NS4sPtWhw_oLqrwO/view?usp=drive_link</v>
      </c>
      <c r="O343" s="7" t="str">
        <f>IFERROR(__xludf.DUMMYFUNCTION("""COMPUTED_VALUE"""),"https://drive.google.com/file/d/1Esuvc7EPZgNNggegkws6JPLTIltpZczW/view?usp=drive_link")</f>
        <v>https://drive.google.com/file/d/1Esuvc7EPZgNNggegkws6JPLTIltpZczW/view?usp=drive_link</v>
      </c>
      <c r="P343" s="5">
        <f>IFERROR(__xludf.DUMMYFUNCTION("""COMPUTED_VALUE"""),18.8)</f>
        <v>18.8</v>
      </c>
      <c r="Q343" s="14">
        <f>IFERROR(__xludf.DUMMYFUNCTION("""COMPUTED_VALUE"""),45635.0)</f>
        <v>45635</v>
      </c>
      <c r="R343" s="14">
        <f>IFERROR(__xludf.DUMMYFUNCTION("""COMPUTED_VALUE"""),45636.0)</f>
        <v>45636</v>
      </c>
      <c r="S343" s="13">
        <f>IFERROR(__xludf.DUMMYFUNCTION("""COMPUTED_VALUE"""),45643.0)</f>
        <v>45643</v>
      </c>
      <c r="T343" s="5" t="b">
        <f>IFERROR(__xludf.DUMMYFUNCTION("""COMPUTED_VALUE"""),TRUE)</f>
        <v>1</v>
      </c>
      <c r="U343" s="5" t="str">
        <f>IFERROR(__xludf.DUMMYFUNCTION("""COMPUTED_VALUE"""),"5x3")</f>
        <v>5x3</v>
      </c>
      <c r="V343" s="10" t="str">
        <f>IFERROR(__xludf.DUMMYFUNCTION("""COMPUTED_VALUE"""),"20")</f>
        <v>20</v>
      </c>
      <c r="W343" s="10" t="str">
        <f>IFERROR(__xludf.DUMMYFUNCTION("""COMPUTED_VALUE"""),"20")</f>
        <v>20</v>
      </c>
      <c r="X343" s="11">
        <f>IFERROR(__xludf.DUMMYFUNCTION("""COMPUTED_VALUE"""),96.502)</f>
        <v>96.502</v>
      </c>
      <c r="Y343" s="5" t="str">
        <f>IFERROR(__xludf.DUMMYFUNCTION("""COMPUTED_VALUE"""),"High")</f>
        <v>High</v>
      </c>
      <c r="Z343" s="11">
        <f>IFERROR(__xludf.DUMMYFUNCTION("""COMPUTED_VALUE"""),17.348)</f>
        <v>17.348</v>
      </c>
      <c r="AA343" s="12">
        <f>IFERROR(__xludf.DUMMYFUNCTION("""COMPUTED_VALUE"""),10000.0)</f>
        <v>10000</v>
      </c>
      <c r="AB343" s="5"/>
      <c r="AC343" s="5" t="str">
        <f>IFERROR(__xludf.DUMMYFUNCTION("""COMPUTED_VALUE"""),"Select Volatility, Scatter, Wild Symbol")</f>
        <v>Select Volatility, Scatter, Wild Symbol</v>
      </c>
      <c r="AD343" s="5" t="str">
        <f>IFERROR(__xludf.DUMMYFUNCTION("""COMPUTED_VALUE"""),"0.2/50")</f>
        <v>0.2/50</v>
      </c>
      <c r="AE343" s="5"/>
      <c r="AF343" s="5"/>
      <c r="AG343" s="15">
        <f>IFERROR(__xludf.DUMMYFUNCTION("""COMPUTED_VALUE"""),46182.638020833336)</f>
        <v>46182.63802</v>
      </c>
      <c r="AH343" s="5" t="str">
        <f>IFERROR(__xludf.DUMMYFUNCTION("""COMPUTED_VALUE"""),"aleksandar.trajkovic@fazi.rs")</f>
        <v>aleksandar.trajkovic@fazi.rs</v>
      </c>
      <c r="AI343" s="5"/>
      <c r="AJ343" s="5"/>
      <c r="AK343" s="5">
        <f>IFERROR(__xludf.DUMMYFUNCTION("""COMPUTED_VALUE"""),20.0)</f>
        <v>20</v>
      </c>
      <c r="AL343" s="5" t="str">
        <f>IFERROR(__xludf.DUMMYFUNCTION("""COMPUTED_VALUE"""),"Yes")</f>
        <v>Yes</v>
      </c>
      <c r="AM343" s="5"/>
      <c r="AN343" s="7" t="str">
        <f>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AO343" s="5" t="str">
        <f>IFERROR(__xludf.DUMMYFUNCTION("""COMPUTED_VALUE"""),"Yes")</f>
        <v>Yes</v>
      </c>
      <c r="AP343" s="5" t="str">
        <f>IFERROR(__xludf.DUMMYFUNCTION("""COMPUTED_VALUE"""),"No")</f>
        <v>No</v>
      </c>
      <c r="AQ343" s="5" t="b">
        <f>IFERROR(__xludf.DUMMYFUNCTION("""COMPUTED_VALUE"""),TRUE)</f>
        <v>1</v>
      </c>
      <c r="AR343" s="5"/>
      <c r="AS343" s="5" t="str">
        <f>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AT343" s="5" t="str">
        <f>IFERROR(__xludf.DUMMYFUNCTION("""COMPUTED_VALUE"""),"Yes")</f>
        <v>Yes</v>
      </c>
      <c r="AU343" s="5" t="str">
        <f>IFERROR(__xludf.DUMMYFUNCTION("""COMPUTED_VALUE"""),"Fazi")</f>
        <v>Fazi</v>
      </c>
      <c r="AV343" s="5"/>
      <c r="AW343" s="5"/>
      <c r="AX343" s="5"/>
      <c r="AY343" s="5"/>
      <c r="AZ343" s="5"/>
      <c r="BA343" s="5"/>
      <c r="BB343" s="5"/>
      <c r="BC343" s="5" t="str">
        <f>IFERROR(__xludf.DUMMYFUNCTION("""COMPUTED_VALUE"""),"Foxi")</f>
        <v>Foxi</v>
      </c>
      <c r="BD343" s="7" t="str">
        <f>IFERROR(__xludf.DUMMYFUNCTION("""COMPUTED_VALUE"""),"https://gameserver-store-client-area.orbionlimited.com/Home/IntegrationGameLaunch/client-area?moneyType=0&amp;gameName=AquaFlame&amp;platform=desktop&amp;languageCode=eng&amp;currency=EUR")</f>
        <v>https://gameserver-store-client-area.orbionlimited.com/Home/IntegrationGameLaunch/client-area?moneyType=0&amp;gameName=AquaFlame&amp;platform=desktop&amp;languageCode=eng&amp;currency=EUR</v>
      </c>
      <c r="BE343" s="5" t="b">
        <f>IFERROR(__xludf.DUMMYFUNCTION("""COMPUTED_VALUE"""),TRUE)</f>
        <v>1</v>
      </c>
    </row>
    <row r="344">
      <c r="A344" s="5">
        <f>IFERROR(__xludf.DUMMYFUNCTION("""COMPUTED_VALUE"""),348.0)</f>
        <v>348</v>
      </c>
      <c r="B344" s="5">
        <f>IFERROR(__xludf.DUMMYFUNCTION("""COMPUTED_VALUE"""),1004.0)</f>
        <v>1004</v>
      </c>
      <c r="C344" s="5" t="str">
        <f>IFERROR(__xludf.DUMMYFUNCTION("""COMPUTED_VALUE"""),"Fazi")</f>
        <v>Fazi</v>
      </c>
      <c r="D344" s="5" t="str">
        <f>IFERROR(__xludf.DUMMYFUNCTION("""COMPUTED_VALUE"""),"Crown of Secret")</f>
        <v>Crown of Secret</v>
      </c>
      <c r="E344" s="5" t="str">
        <f>IFERROR(__xludf.DUMMYFUNCTION("""COMPUTED_VALUE"""),"V4-1")</f>
        <v>V4-1</v>
      </c>
      <c r="F344" s="5" t="str">
        <f>IFERROR(__xludf.DUMMYFUNCTION("""COMPUTED_VALUE"""),"CrownOfSecret")</f>
        <v>CrownOfSecret</v>
      </c>
      <c r="G344" s="5" t="str">
        <f>IFERROR(__xludf.DUMMYFUNCTION("""COMPUTED_VALUE"""),"Live")</f>
        <v>Live</v>
      </c>
      <c r="H344" s="5"/>
      <c r="I344" s="5" t="str">
        <f>IFERROR(__xludf.DUMMYFUNCTION("""COMPUTED_VALUE"""),"V4")</f>
        <v>V4</v>
      </c>
      <c r="J344" s="5" t="str">
        <f>IFERROR(__xludf.DUMMYFUNCTION("""COMPUTED_VALUE"""),"JSON")</f>
        <v>JSON</v>
      </c>
      <c r="K344" s="5" t="str">
        <f>IFERROR(__xludf.DUMMYFUNCTION("""COMPUTED_VALUE"""),"Slot")</f>
        <v>Slot</v>
      </c>
      <c r="L344" s="5" t="str">
        <f>IFERROR(__xludf.DUMMYFUNCTION("""COMPUTED_VALUE"""),"Master")</f>
        <v>Master</v>
      </c>
      <c r="M344" s="5"/>
      <c r="N344" s="7" t="str">
        <f>IFERROR(__xludf.DUMMYFUNCTION("""COMPUTED_VALUE"""),"https://drive.google.com/file/d/1OF2eJheSz_4wQpBcWHtnC8Mk-6SqQj9O/view?usp=drive_link")</f>
        <v>https://drive.google.com/file/d/1OF2eJheSz_4wQpBcWHtnC8Mk-6SqQj9O/view?usp=drive_link</v>
      </c>
      <c r="O344" s="7" t="str">
        <f>IFERROR(__xludf.DUMMYFUNCTION("""COMPUTED_VALUE"""),"https://drive.google.com/file/d/1dmckAxO5UBCW7cPMCN2QYkQYI3YuBe-A/view?usp=drive_link")</f>
        <v>https://drive.google.com/file/d/1dmckAxO5UBCW7cPMCN2QYkQYI3YuBe-A/view?usp=drive_link</v>
      </c>
      <c r="P344" s="12">
        <f>IFERROR(__xludf.DUMMYFUNCTION("""COMPUTED_VALUE"""),23.4)</f>
        <v>23.4</v>
      </c>
      <c r="Q344" s="13">
        <f>IFERROR(__xludf.DUMMYFUNCTION("""COMPUTED_VALUE"""),45750.0)</f>
        <v>45750</v>
      </c>
      <c r="R344" s="14">
        <f>IFERROR(__xludf.DUMMYFUNCTION("""COMPUTED_VALUE"""),45743.0)</f>
        <v>45743</v>
      </c>
      <c r="S344" s="13">
        <f>IFERROR(__xludf.DUMMYFUNCTION("""COMPUTED_VALUE"""),45750.0)</f>
        <v>45750</v>
      </c>
      <c r="T344" s="5" t="b">
        <f>IFERROR(__xludf.DUMMYFUNCTION("""COMPUTED_VALUE"""),TRUE)</f>
        <v>1</v>
      </c>
      <c r="U344" s="5" t="str">
        <f>IFERROR(__xludf.DUMMYFUNCTION("""COMPUTED_VALUE"""),"5x3")</f>
        <v>5x3</v>
      </c>
      <c r="V344" s="10" t="str">
        <f>IFERROR(__xludf.DUMMYFUNCTION("""COMPUTED_VALUE"""),"10")</f>
        <v>10</v>
      </c>
      <c r="W344" s="10" t="str">
        <f>IFERROR(__xludf.DUMMYFUNCTION("""COMPUTED_VALUE"""),"10")</f>
        <v>10</v>
      </c>
      <c r="X344" s="5">
        <f>IFERROR(__xludf.DUMMYFUNCTION("""COMPUTED_VALUE"""),96.74)</f>
        <v>96.74</v>
      </c>
      <c r="Y344" s="5" t="str">
        <f>IFERROR(__xludf.DUMMYFUNCTION("""COMPUTED_VALUE"""),"High")</f>
        <v>High</v>
      </c>
      <c r="Z344" s="5">
        <f>IFERROR(__xludf.DUMMYFUNCTION("""COMPUTED_VALUE"""),11.115)</f>
        <v>11.115</v>
      </c>
      <c r="AA344" s="12">
        <f>IFERROR(__xludf.DUMMYFUNCTION("""COMPUTED_VALUE"""),15700.0)</f>
        <v>15700</v>
      </c>
      <c r="AB344" s="5"/>
      <c r="AC344" s="5" t="str">
        <f>IFERROR(__xludf.DUMMYFUNCTION("""COMPUTED_VALUE"""),"Buy Bonus, Expanding Wild")</f>
        <v>Buy Bonus, Expanding Wild</v>
      </c>
      <c r="AD344" s="5" t="str">
        <f>IFERROR(__xludf.DUMMYFUNCTION("""COMPUTED_VALUE"""),"0.1/40")</f>
        <v>0.1/40</v>
      </c>
      <c r="AE344" s="5"/>
      <c r="AF344" s="5"/>
      <c r="AG344" s="8">
        <f>IFERROR(__xludf.DUMMYFUNCTION("""COMPUTED_VALUE"""),46162.436747685184)</f>
        <v>46162.43675</v>
      </c>
      <c r="AH344" s="5" t="str">
        <f>IFERROR(__xludf.DUMMYFUNCTION("""COMPUTED_VALUE"""),"djordje.petrovic@fazi.rs")</f>
        <v>djordje.petrovic@fazi.rs</v>
      </c>
      <c r="AI344" s="13">
        <f>IFERROR(__xludf.DUMMYFUNCTION("""COMPUTED_VALUE"""),45736.0)</f>
        <v>45736</v>
      </c>
      <c r="AJ344" s="5" t="str">
        <f>IFERROR(__xludf.DUMMYFUNCTION("""COMPUTED_VALUE"""),"Digitain - Grandpashabet kazino
Hub88 - sledeća kazina:
Instant Casino
Golden Panda
Samba Slots
Fast Slots
Klikkikasino 
Vbet.am (BetConstruct) - kod njih ide na pre-release od 26.03. 
Volcano. me - 27.03.")</f>
        <v>Digitain - Grandpashabet kazino
Hub88 - sledeća kazina:
Instant Casino
Golden Panda
Samba Slots
Fast Slots
Klikkikasino 
Vbet.am (BetConstruct) - kod njih ide na pre-release od 26.03. 
Volcano. me - 27.03.</v>
      </c>
      <c r="AK344" s="5">
        <f>IFERROR(__xludf.DUMMYFUNCTION("""COMPUTED_VALUE"""),10.0)</f>
        <v>10</v>
      </c>
      <c r="AL344" s="5" t="str">
        <f>IFERROR(__xludf.DUMMYFUNCTION("""COMPUTED_VALUE"""),"Yes")</f>
        <v>Yes</v>
      </c>
      <c r="AM344" s="5"/>
      <c r="AN344" s="7" t="str">
        <f>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AO344" s="5" t="str">
        <f>IFERROR(__xludf.DUMMYFUNCTION("""COMPUTED_VALUE"""),"Yes")</f>
        <v>Yes</v>
      </c>
      <c r="AP344" s="5" t="str">
        <f>IFERROR(__xludf.DUMMYFUNCTION("""COMPUTED_VALUE"""),"Yes")</f>
        <v>Yes</v>
      </c>
      <c r="AQ344" s="5" t="b">
        <f>IFERROR(__xludf.DUMMYFUNCTION("""COMPUTED_VALUE"""),TRUE)</f>
        <v>1</v>
      </c>
      <c r="AR344" s="5"/>
      <c r="AS344" s="5" t="str">
        <f>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AT344" s="5" t="str">
        <f>IFERROR(__xludf.DUMMYFUNCTION("""COMPUTED_VALUE"""),"No")</f>
        <v>No</v>
      </c>
      <c r="AU344" s="5" t="str">
        <f>IFERROR(__xludf.DUMMYFUNCTION("""COMPUTED_VALUE"""),"Fazi")</f>
        <v>Fazi</v>
      </c>
      <c r="AV344" s="5"/>
      <c r="AW344" s="5" t="str">
        <f>IFERROR(__xludf.DUMMYFUNCTION("""COMPUTED_VALUE"""),"Testirano na platformi")</f>
        <v>Testirano na platformi</v>
      </c>
      <c r="AX344" s="5"/>
      <c r="AY344" s="5"/>
      <c r="AZ344" s="5"/>
      <c r="BA344" s="5" t="str">
        <f>IFERROR(__xludf.DUMMYFUNCTION("""COMPUTED_VALUE"""),"70, 170, 510")</f>
        <v>70, 170, 510</v>
      </c>
      <c r="BB344" s="5"/>
      <c r="BC344" s="5" t="str">
        <f>IFERROR(__xludf.DUMMYFUNCTION("""COMPUTED_VALUE"""),"Foxi")</f>
        <v>Foxi</v>
      </c>
      <c r="BD344" s="7" t="str">
        <f>IFERROR(__xludf.DUMMYFUNCTION("""COMPUTED_VALUE"""),"https://gameserver-store-client-area.orbionlimited.com/Home/IntegrationGameLaunch/client-area?moneyType=0&amp;gameName=CrownOfSecret&amp;platform=desktop&amp;languageCode=eng&amp;currency=EUR")</f>
        <v>https://gameserver-store-client-area.orbionlimited.com/Home/IntegrationGameLaunch/client-area?moneyType=0&amp;gameName=CrownOfSecret&amp;platform=desktop&amp;languageCode=eng&amp;currency=EUR</v>
      </c>
      <c r="BE344" s="5" t="b">
        <f>IFERROR(__xludf.DUMMYFUNCTION("""COMPUTED_VALUE"""),TRUE)</f>
        <v>1</v>
      </c>
    </row>
    <row r="345">
      <c r="A345" s="5">
        <f>IFERROR(__xludf.DUMMYFUNCTION("""COMPUTED_VALUE"""),349.0)</f>
        <v>349</v>
      </c>
      <c r="B345" s="5">
        <f>IFERROR(__xludf.DUMMYFUNCTION("""COMPUTED_VALUE"""),1002.0)</f>
        <v>1002</v>
      </c>
      <c r="C345" s="5" t="str">
        <f>IFERROR(__xludf.DUMMYFUNCTION("""COMPUTED_VALUE"""),"Fazi")</f>
        <v>Fazi</v>
      </c>
      <c r="D345" s="5" t="str">
        <f>IFERROR(__xludf.DUMMYFUNCTION("""COMPUTED_VALUE"""),"Very Hot 40 Extreme")</f>
        <v>Very Hot 40 Extreme</v>
      </c>
      <c r="E345" s="5" t="str">
        <f>IFERROR(__xludf.DUMMYFUNCTION("""COMPUTED_VALUE"""),"V4-1")</f>
        <v>V4-1</v>
      </c>
      <c r="F345" s="5" t="str">
        <f>IFERROR(__xludf.DUMMYFUNCTION("""COMPUTED_VALUE"""),"VeryHot40Extreme")</f>
        <v>VeryHot40Extreme</v>
      </c>
      <c r="G345" s="5" t="str">
        <f>IFERROR(__xludf.DUMMYFUNCTION("""COMPUTED_VALUE"""),"Live")</f>
        <v>Live</v>
      </c>
      <c r="H345" s="5"/>
      <c r="I345" s="5" t="str">
        <f>IFERROR(__xludf.DUMMYFUNCTION("""COMPUTED_VALUE"""),"V4")</f>
        <v>V4</v>
      </c>
      <c r="J345" s="5" t="str">
        <f>IFERROR(__xludf.DUMMYFUNCTION("""COMPUTED_VALUE"""),"JSON")</f>
        <v>JSON</v>
      </c>
      <c r="K345" s="5" t="str">
        <f>IFERROR(__xludf.DUMMYFUNCTION("""COMPUTED_VALUE"""),"Slot")</f>
        <v>Slot</v>
      </c>
      <c r="L345" s="5"/>
      <c r="M345" s="5"/>
      <c r="N345" s="5"/>
      <c r="O345" s="5"/>
      <c r="P345" s="12">
        <f>IFERROR(__xludf.DUMMYFUNCTION("""COMPUTED_VALUE"""),15.4)</f>
        <v>15.4</v>
      </c>
      <c r="Q345" s="13">
        <f>IFERROR(__xludf.DUMMYFUNCTION("""COMPUTED_VALUE"""),45622.0)</f>
        <v>45622</v>
      </c>
      <c r="R345" s="14"/>
      <c r="S345" s="13">
        <f>IFERROR(__xludf.DUMMYFUNCTION("""COMPUTED_VALUE"""),45622.0)</f>
        <v>45622</v>
      </c>
      <c r="T345" s="5" t="b">
        <f>IFERROR(__xludf.DUMMYFUNCTION("""COMPUTED_VALUE"""),TRUE)</f>
        <v>1</v>
      </c>
      <c r="U345" s="5" t="str">
        <f>IFERROR(__xludf.DUMMYFUNCTION("""COMPUTED_VALUE"""),"5x3")</f>
        <v>5x3</v>
      </c>
      <c r="V345" s="10" t="str">
        <f>IFERROR(__xludf.DUMMYFUNCTION("""COMPUTED_VALUE"""),"40")</f>
        <v>40</v>
      </c>
      <c r="W345" s="10" t="str">
        <f>IFERROR(__xludf.DUMMYFUNCTION("""COMPUTED_VALUE"""),"40")</f>
        <v>40</v>
      </c>
      <c r="X345" s="11">
        <f>IFERROR(__xludf.DUMMYFUNCTION("""COMPUTED_VALUE"""),96.453)</f>
        <v>96.453</v>
      </c>
      <c r="Y345" s="5" t="str">
        <f>IFERROR(__xludf.DUMMYFUNCTION("""COMPUTED_VALUE"""),"Low")</f>
        <v>Low</v>
      </c>
      <c r="Z345" s="5">
        <f>IFERROR(__xludf.DUMMYFUNCTION("""COMPUTED_VALUE"""),22.711000000000002)</f>
        <v>22.711</v>
      </c>
      <c r="AA345" s="12">
        <f>IFERROR(__xludf.DUMMYFUNCTION("""COMPUTED_VALUE"""),1993.0)</f>
        <v>1993</v>
      </c>
      <c r="AB345" s="5"/>
      <c r="AC345" s="5" t="str">
        <f>IFERROR(__xludf.DUMMYFUNCTION("""COMPUTED_VALUE"""),"Wild Symbol, Win Multiplier")</f>
        <v>Wild Symbol, Win Multiplier</v>
      </c>
      <c r="AD345" s="5" t="str">
        <f>IFERROR(__xludf.DUMMYFUNCTION("""COMPUTED_VALUE"""),"0.12/ 80")</f>
        <v>0.12/ 80</v>
      </c>
      <c r="AE345" s="5"/>
      <c r="AF345" s="5"/>
      <c r="AG345" s="8">
        <f>IFERROR(__xludf.DUMMYFUNCTION("""COMPUTED_VALUE"""),46176.482569444444)</f>
        <v>46176.48257</v>
      </c>
      <c r="AH345" s="5" t="str">
        <f>IFERROR(__xludf.DUMMYFUNCTION("""COMPUTED_VALUE"""),"djordje.petrovic@fazi.rs")</f>
        <v>djordje.petrovic@fazi.rs</v>
      </c>
      <c r="AI345" s="5"/>
      <c r="AJ345" s="5"/>
      <c r="AK345" s="5">
        <f>IFERROR(__xludf.DUMMYFUNCTION("""COMPUTED_VALUE"""),4.0)</f>
        <v>4</v>
      </c>
      <c r="AL345" s="5" t="str">
        <f>IFERROR(__xludf.DUMMYFUNCTION("""COMPUTED_VALUE"""),"Yes")</f>
        <v>Yes</v>
      </c>
      <c r="AM345" s="5" t="str">
        <f>IFERROR(__xludf.DUMMYFUNCTION("""COMPUTED_VALUE"""),"No")</f>
        <v>No</v>
      </c>
      <c r="AN345" s="7" t="str">
        <f>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AO345" s="5" t="str">
        <f>IFERROR(__xludf.DUMMYFUNCTION("""COMPUTED_VALUE"""),"Yes")</f>
        <v>Yes</v>
      </c>
      <c r="AP345" s="5" t="str">
        <f>IFERROR(__xludf.DUMMYFUNCTION("""COMPUTED_VALUE"""),"Yes")</f>
        <v>Yes</v>
      </c>
      <c r="AQ345" s="5" t="b">
        <f>IFERROR(__xludf.DUMMYFUNCTION("""COMPUTED_VALUE"""),TRUE)</f>
        <v>1</v>
      </c>
      <c r="AR345" s="5"/>
      <c r="AS345" s="5" t="str">
        <f>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AT345" s="5" t="str">
        <f>IFERROR(__xludf.DUMMYFUNCTION("""COMPUTED_VALUE"""),"Yes")</f>
        <v>Yes</v>
      </c>
      <c r="AU345" s="5" t="str">
        <f>IFERROR(__xludf.DUMMYFUNCTION("""COMPUTED_VALUE"""),"Fazi")</f>
        <v>Fazi</v>
      </c>
      <c r="AV345" s="5"/>
      <c r="AW345" s="5" t="str">
        <f>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5" s="5"/>
      <c r="AY345" s="5"/>
      <c r="AZ345" s="5"/>
      <c r="BA345" s="5"/>
      <c r="BB345" s="5"/>
      <c r="BC345" s="5" t="str">
        <f>IFERROR(__xludf.DUMMYFUNCTION("""COMPUTED_VALUE"""),"Foxi")</f>
        <v>Foxi</v>
      </c>
      <c r="BD345" s="7" t="str">
        <f>IFERROR(__xludf.DUMMYFUNCTION("""COMPUTED_VALUE"""),"https://gameserver-store-client-area.orbionlimited.com/Home/IntegrationGameLaunch/client-area?moneyType=0&amp;gameName=VeryHot40Extreme&amp;platform=desktop&amp;languageCode=eng&amp;currency=EUR")</f>
        <v>https://gameserver-store-client-area.orbionlimited.com/Home/IntegrationGameLaunch/client-area?moneyType=0&amp;gameName=VeryHot40Extreme&amp;platform=desktop&amp;languageCode=eng&amp;currency=EUR</v>
      </c>
      <c r="BE345" s="5" t="b">
        <f>IFERROR(__xludf.DUMMYFUNCTION("""COMPUTED_VALUE"""),TRUE)</f>
        <v>1</v>
      </c>
    </row>
    <row r="346">
      <c r="A346" s="5">
        <f>IFERROR(__xludf.DUMMYFUNCTION("""COMPUTED_VALUE"""),350.0)</f>
        <v>350</v>
      </c>
      <c r="B346" s="5">
        <f>IFERROR(__xludf.DUMMYFUNCTION("""COMPUTED_VALUE"""),1003.0)</f>
        <v>1003</v>
      </c>
      <c r="C346" s="5" t="str">
        <f>IFERROR(__xludf.DUMMYFUNCTION("""COMPUTED_VALUE"""),"Fazi")</f>
        <v>Fazi</v>
      </c>
      <c r="D346" s="5" t="str">
        <f>IFERROR(__xludf.DUMMYFUNCTION("""COMPUTED_VALUE"""),"Special Fruits")</f>
        <v>Special Fruits</v>
      </c>
      <c r="E346" s="5" t="str">
        <f>IFERROR(__xludf.DUMMYFUNCTION("""COMPUTED_VALUE"""),"V4-1")</f>
        <v>V4-1</v>
      </c>
      <c r="F346" s="5" t="str">
        <f>IFERROR(__xludf.DUMMYFUNCTION("""COMPUTED_VALUE"""),"SpecialFruits")</f>
        <v>SpecialFruits</v>
      </c>
      <c r="G346" s="5" t="str">
        <f>IFERROR(__xludf.DUMMYFUNCTION("""COMPUTED_VALUE"""),"Live")</f>
        <v>Live</v>
      </c>
      <c r="H346" s="5"/>
      <c r="I346" s="5" t="str">
        <f>IFERROR(__xludf.DUMMYFUNCTION("""COMPUTED_VALUE"""),"V4")</f>
        <v>V4</v>
      </c>
      <c r="J346" s="5" t="str">
        <f>IFERROR(__xludf.DUMMYFUNCTION("""COMPUTED_VALUE"""),"JSON")</f>
        <v>JSON</v>
      </c>
      <c r="K346" s="5" t="str">
        <f>IFERROR(__xludf.DUMMYFUNCTION("""COMPUTED_VALUE"""),"Slot")</f>
        <v>Slot</v>
      </c>
      <c r="L346" s="5" t="str">
        <f>IFERROR(__xludf.DUMMYFUNCTION("""COMPUTED_VALUE"""),"Master")</f>
        <v>Master</v>
      </c>
      <c r="M346" s="5"/>
      <c r="N346" s="7" t="str">
        <f>IFERROR(__xludf.DUMMYFUNCTION("""COMPUTED_VALUE"""),"https://drive.google.com/file/d/1ONtonMDeJcghue58HcLhnu0yFju2iU8F/view?usp=sharing")</f>
        <v>https://drive.google.com/file/d/1ONtonMDeJcghue58HcLhnu0yFju2iU8F/view?usp=sharing</v>
      </c>
      <c r="O346" s="7" t="str">
        <f>IFERROR(__xludf.DUMMYFUNCTION("""COMPUTED_VALUE"""),"https://drive.google.com/file/d/1DGkweW3DZ3diqU5wsDwo0vzr6CsSQCzO/view?usp=sharing")</f>
        <v>https://drive.google.com/file/d/1DGkweW3DZ3diqU5wsDwo0vzr6CsSQCzO/view?usp=sharing</v>
      </c>
      <c r="P346" s="12">
        <f>IFERROR(__xludf.DUMMYFUNCTION("""COMPUTED_VALUE"""),14.1)</f>
        <v>14.1</v>
      </c>
      <c r="Q346" s="14">
        <f>IFERROR(__xludf.DUMMYFUNCTION("""COMPUTED_VALUE"""),45642.0)</f>
        <v>45642</v>
      </c>
      <c r="R346" s="14">
        <f>IFERROR(__xludf.DUMMYFUNCTION("""COMPUTED_VALUE"""),45673.0)</f>
        <v>45673</v>
      </c>
      <c r="S346" s="13">
        <f>IFERROR(__xludf.DUMMYFUNCTION("""COMPUTED_VALUE"""),45680.0)</f>
        <v>45680</v>
      </c>
      <c r="T346" s="5" t="b">
        <f>IFERROR(__xludf.DUMMYFUNCTION("""COMPUTED_VALUE"""),TRUE)</f>
        <v>1</v>
      </c>
      <c r="U346" s="5" t="str">
        <f>IFERROR(__xludf.DUMMYFUNCTION("""COMPUTED_VALUE"""),"5x3")</f>
        <v>5x3</v>
      </c>
      <c r="V346" s="10" t="str">
        <f>IFERROR(__xludf.DUMMYFUNCTION("""COMPUTED_VALUE"""),"20")</f>
        <v>20</v>
      </c>
      <c r="W346" s="10" t="str">
        <f>IFERROR(__xludf.DUMMYFUNCTION("""COMPUTED_VALUE"""),"5, 10, 15, 20, 30, 40")</f>
        <v>5, 10, 15, 20, 30, 40</v>
      </c>
      <c r="X346" s="11">
        <f>IFERROR(__xludf.DUMMYFUNCTION("""COMPUTED_VALUE"""),96.501)</f>
        <v>96.501</v>
      </c>
      <c r="Y346" s="5" t="str">
        <f>IFERROR(__xludf.DUMMYFUNCTION("""COMPUTED_VALUE"""),"Low")</f>
        <v>Low</v>
      </c>
      <c r="Z346" s="5">
        <f>IFERROR(__xludf.DUMMYFUNCTION("""COMPUTED_VALUE"""),16.882)</f>
        <v>16.882</v>
      </c>
      <c r="AA346" s="12">
        <f>IFERROR(__xludf.DUMMYFUNCTION("""COMPUTED_VALUE"""),2000.0)</f>
        <v>2000</v>
      </c>
      <c r="AB346" s="5"/>
      <c r="AC346" s="5" t="str">
        <f>IFERROR(__xludf.DUMMYFUNCTION("""COMPUTED_VALUE"""),"Mystic Pay, Scatter, Wild Symbol")</f>
        <v>Mystic Pay, Scatter, Wild Symbol</v>
      </c>
      <c r="AD346" s="5" t="str">
        <f>IFERROR(__xludf.DUMMYFUNCTION("""COMPUTED_VALUE"""),"0.2/50")</f>
        <v>0.2/50</v>
      </c>
      <c r="AE346" s="5"/>
      <c r="AF346" s="5"/>
      <c r="AG346" s="8">
        <f>IFERROR(__xludf.DUMMYFUNCTION("""COMPUTED_VALUE"""),46153.62699074074)</f>
        <v>46153.62699</v>
      </c>
      <c r="AH346" s="5" t="str">
        <f>IFERROR(__xludf.DUMMYFUNCTION("""COMPUTED_VALUE"""),"djordje.petrovic@fazi.rs")</f>
        <v>djordje.petrovic@fazi.rs</v>
      </c>
      <c r="AI346" s="13">
        <f>IFERROR(__xludf.DUMMYFUNCTION("""COMPUTED_VALUE"""),45643.0)</f>
        <v>45643</v>
      </c>
      <c r="AJ346" s="5"/>
      <c r="AK346" s="5">
        <f>IFERROR(__xludf.DUMMYFUNCTION("""COMPUTED_VALUE"""),20.0)</f>
        <v>20</v>
      </c>
      <c r="AL346" s="5" t="str">
        <f>IFERROR(__xludf.DUMMYFUNCTION("""COMPUTED_VALUE"""),"Yes")</f>
        <v>Yes</v>
      </c>
      <c r="AM346" s="5"/>
      <c r="AN346" s="7" t="str">
        <f>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AO346" s="5" t="str">
        <f>IFERROR(__xludf.DUMMYFUNCTION("""COMPUTED_VALUE"""),"Yes")</f>
        <v>Yes</v>
      </c>
      <c r="AP346" s="5" t="str">
        <f>IFERROR(__xludf.DUMMYFUNCTION("""COMPUTED_VALUE"""),"Yes")</f>
        <v>Yes</v>
      </c>
      <c r="AQ346" s="5" t="b">
        <f>IFERROR(__xludf.DUMMYFUNCTION("""COMPUTED_VALUE"""),TRUE)</f>
        <v>1</v>
      </c>
      <c r="AR346" s="5"/>
      <c r="AS346" s="5" t="str">
        <f>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AT346" s="5" t="str">
        <f>IFERROR(__xludf.DUMMYFUNCTION("""COMPUTED_VALUE"""),"Yes")</f>
        <v>Yes</v>
      </c>
      <c r="AU346" s="5" t="str">
        <f>IFERROR(__xludf.DUMMYFUNCTION("""COMPUTED_VALUE"""),"Fazi")</f>
        <v>Fazi</v>
      </c>
      <c r="AV346" s="5"/>
      <c r="AW346" s="5"/>
      <c r="AX346" s="5"/>
      <c r="AY346" s="5"/>
      <c r="AZ346" s="5"/>
      <c r="BA346" s="5"/>
      <c r="BB346" s="5"/>
      <c r="BC346" s="5" t="str">
        <f>IFERROR(__xludf.DUMMYFUNCTION("""COMPUTED_VALUE"""),"Foxi")</f>
        <v>Foxi</v>
      </c>
      <c r="BD346" s="7" t="str">
        <f>IFERROR(__xludf.DUMMYFUNCTION("""COMPUTED_VALUE"""),"https://gameserver-store-client-area.orbionlimited.com/Home/IntegrationGameLaunch/client-area?moneyType=0&amp;gameName=SpecialFruits&amp;platform=desktop&amp;languageCode=eng&amp;currency=EUR")</f>
        <v>https://gameserver-store-client-area.orbionlimited.com/Home/IntegrationGameLaunch/client-area?moneyType=0&amp;gameName=SpecialFruits&amp;platform=desktop&amp;languageCode=eng&amp;currency=EUR</v>
      </c>
      <c r="BE346" s="5" t="b">
        <f>IFERROR(__xludf.DUMMYFUNCTION("""COMPUTED_VALUE"""),TRUE)</f>
        <v>1</v>
      </c>
    </row>
    <row r="347">
      <c r="A347" s="5">
        <f>IFERROR(__xludf.DUMMYFUNCTION("""COMPUTED_VALUE"""),351.0)</f>
        <v>351</v>
      </c>
      <c r="B347" s="5">
        <f>IFERROR(__xludf.DUMMYFUNCTION("""COMPUTED_VALUE"""),329.0)</f>
        <v>329</v>
      </c>
      <c r="C347" s="5" t="str">
        <f>IFERROR(__xludf.DUMMYFUNCTION("""COMPUTED_VALUE"""),"Fazi")</f>
        <v>Fazi</v>
      </c>
      <c r="D347" s="5" t="str">
        <f>IFERROR(__xludf.DUMMYFUNCTION("""COMPUTED_VALUE"""),"Turbo Stars 10")</f>
        <v>Turbo Stars 10</v>
      </c>
      <c r="E347" s="5" t="str">
        <f>IFERROR(__xludf.DUMMYFUNCTION("""COMPUTED_VALUE"""),"V2")</f>
        <v>V2</v>
      </c>
      <c r="F347" s="5" t="str">
        <f>IFERROR(__xludf.DUMMYFUNCTION("""COMPUTED_VALUE"""),"TurboStars10")</f>
        <v>TurboStars10</v>
      </c>
      <c r="G347" s="5" t="str">
        <f>IFERROR(__xludf.DUMMYFUNCTION("""COMPUTED_VALUE"""),"Live")</f>
        <v>Live</v>
      </c>
      <c r="H347" s="5"/>
      <c r="I347" s="5" t="str">
        <f>IFERROR(__xludf.DUMMYFUNCTION("""COMPUTED_VALUE"""),"V2")</f>
        <v>V2</v>
      </c>
      <c r="J347" s="5" t="str">
        <f>IFERROR(__xludf.DUMMYFUNCTION("""COMPUTED_VALUE"""),"Binary")</f>
        <v>Binary</v>
      </c>
      <c r="K347" s="5" t="str">
        <f>IFERROR(__xludf.DUMMYFUNCTION("""COMPUTED_VALUE"""),"Slot")</f>
        <v>Slot</v>
      </c>
      <c r="L347" s="5" t="str">
        <f>IFERROR(__xludf.DUMMYFUNCTION("""COMPUTED_VALUE"""),"Clone")</f>
        <v>Clone</v>
      </c>
      <c r="M347" s="5" t="str">
        <f>IFERROR(__xludf.DUMMYFUNCTION("""COMPUTED_VALUE"""),"Hot Stars")</f>
        <v>Hot Stars</v>
      </c>
      <c r="N347" s="5"/>
      <c r="O347" s="5"/>
      <c r="P347" s="12">
        <f>IFERROR(__xludf.DUMMYFUNCTION("""COMPUTED_VALUE"""),22.0)</f>
        <v>22</v>
      </c>
      <c r="Q347" s="13">
        <f>IFERROR(__xludf.DUMMYFUNCTION("""COMPUTED_VALUE"""),45483.0)</f>
        <v>45483</v>
      </c>
      <c r="R347" s="14"/>
      <c r="S347" s="13">
        <f>IFERROR(__xludf.DUMMYFUNCTION("""COMPUTED_VALUE"""),45483.0)</f>
        <v>45483</v>
      </c>
      <c r="T347" s="5" t="b">
        <f>IFERROR(__xludf.DUMMYFUNCTION("""COMPUTED_VALUE"""),TRUE)</f>
        <v>1</v>
      </c>
      <c r="U347" s="5" t="str">
        <f>IFERROR(__xludf.DUMMYFUNCTION("""COMPUTED_VALUE"""),"5x3")</f>
        <v>5x3</v>
      </c>
      <c r="V347" s="10" t="str">
        <f>IFERROR(__xludf.DUMMYFUNCTION("""COMPUTED_VALUE"""),"10")</f>
        <v>10</v>
      </c>
      <c r="W347" s="10" t="str">
        <f>IFERROR(__xludf.DUMMYFUNCTION("""COMPUTED_VALUE"""),"1,3,5,7,10")</f>
        <v>1,3,5,7,10</v>
      </c>
      <c r="X347" s="11">
        <f>IFERROR(__xludf.DUMMYFUNCTION("""COMPUTED_VALUE"""),95.544)</f>
        <v>95.544</v>
      </c>
      <c r="Y347" s="5" t="str">
        <f>IFERROR(__xludf.DUMMYFUNCTION("""COMPUTED_VALUE"""),"Medium")</f>
        <v>Medium</v>
      </c>
      <c r="Z347" s="5">
        <f>IFERROR(__xludf.DUMMYFUNCTION("""COMPUTED_VALUE"""),13.022)</f>
        <v>13.022</v>
      </c>
      <c r="AA347" s="12">
        <f>IFERROR(__xludf.DUMMYFUNCTION("""COMPUTED_VALUE"""),1611.0)</f>
        <v>1611</v>
      </c>
      <c r="AB347" s="5">
        <f>IFERROR(__xludf.DUMMYFUNCTION("""COMPUTED_VALUE"""),18.0)</f>
        <v>18</v>
      </c>
      <c r="AC347" s="5" t="str">
        <f>IFERROR(__xludf.DUMMYFUNCTION("""COMPUTED_VALUE"""),"Respin, Expanding Wild")</f>
        <v>Respin, Expanding Wild</v>
      </c>
      <c r="AD347" s="5" t="str">
        <f>IFERROR(__xludf.DUMMYFUNCTION("""COMPUTED_VALUE"""),"0.1/40")</f>
        <v>0.1/40</v>
      </c>
      <c r="AE347" s="5"/>
      <c r="AF347" s="5"/>
      <c r="AG347" s="8">
        <f>IFERROR(__xludf.DUMMYFUNCTION("""COMPUTED_VALUE"""),45695.62986111111)</f>
        <v>45695.62986</v>
      </c>
      <c r="AH347" s="5" t="str">
        <f>IFERROR(__xludf.DUMMYFUNCTION("""COMPUTED_VALUE"""),"iva.cirkovic@fazi.rs")</f>
        <v>iva.cirkovic@fazi.rs</v>
      </c>
      <c r="AI347" s="5"/>
      <c r="AJ347" s="5"/>
      <c r="AK347" s="5">
        <f>IFERROR(__xludf.DUMMYFUNCTION("""COMPUTED_VALUE"""),10.0)</f>
        <v>10</v>
      </c>
      <c r="AL347" s="5" t="str">
        <f>IFERROR(__xludf.DUMMYFUNCTION("""COMPUTED_VALUE"""),"Yes")</f>
        <v>Yes</v>
      </c>
      <c r="AM347" s="5"/>
      <c r="AN347" s="7" t="str">
        <f>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AO347" s="5"/>
      <c r="AP347" s="5"/>
      <c r="AQ347" s="5" t="b">
        <f>IFERROR(__xludf.DUMMYFUNCTION("""COMPUTED_VALUE"""),TRUE)</f>
        <v>1</v>
      </c>
      <c r="AR347" s="5"/>
      <c r="AS347" s="5" t="str">
        <f>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AT347" s="5"/>
      <c r="AU347" s="5" t="str">
        <f>IFERROR(__xludf.DUMMYFUNCTION("""COMPUTED_VALUE"""),"Fazi")</f>
        <v>Fazi</v>
      </c>
      <c r="AV347" s="5"/>
      <c r="AW347" s="5"/>
      <c r="AX347" s="5"/>
      <c r="AY347" s="5"/>
      <c r="AZ347" s="5"/>
      <c r="BA347" s="5" t="str">
        <f>IFERROR(__xludf.DUMMYFUNCTION("""COMPUTED_VALUE"""),"")</f>
        <v/>
      </c>
      <c r="BB347" s="5"/>
      <c r="BC347" s="5" t="str">
        <f>IFERROR(__xludf.DUMMYFUNCTION("""COMPUTED_VALUE"""),"Foxi")</f>
        <v>Foxi</v>
      </c>
      <c r="BD347" s="7" t="str">
        <f>IFERROR(__xludf.DUMMYFUNCTION("""COMPUTED_VALUE"""),"https://gameserver-store-client-area.orbionlimited.com/Home/IntegrationGameLaunch/client-area?moneyType=0&amp;gameName=TurboStars10&amp;platform=desktop&amp;languageCode=eng&amp;currency=EUR")</f>
        <v>https://gameserver-store-client-area.orbionlimited.com/Home/IntegrationGameLaunch/client-area?moneyType=0&amp;gameName=TurboStars10&amp;platform=desktop&amp;languageCode=eng&amp;currency=EUR</v>
      </c>
      <c r="BE347" s="5" t="b">
        <f>IFERROR(__xludf.DUMMYFUNCTION("""COMPUTED_VALUE"""),TRUE)</f>
        <v>1</v>
      </c>
    </row>
    <row r="348">
      <c r="A348" s="5">
        <f>IFERROR(__xludf.DUMMYFUNCTION("""COMPUTED_VALUE"""),352.0)</f>
        <v>352</v>
      </c>
      <c r="B348" s="5">
        <f>IFERROR(__xludf.DUMMYFUNCTION("""COMPUTED_VALUE"""),3003.0)</f>
        <v>3003</v>
      </c>
      <c r="C348" s="5" t="str">
        <f>IFERROR(__xludf.DUMMYFUNCTION("""COMPUTED_VALUE"""),"Fazi")</f>
        <v>Fazi</v>
      </c>
      <c r="D348" s="5" t="str">
        <f>IFERROR(__xludf.DUMMYFUNCTION("""COMPUTED_VALUE"""),"Turbo Stars 40")</f>
        <v>Turbo Stars 40</v>
      </c>
      <c r="E348" s="5" t="str">
        <f>IFERROR(__xludf.DUMMYFUNCTION("""COMPUTED_VALUE"""),"V2")</f>
        <v>V2</v>
      </c>
      <c r="F348" s="5" t="str">
        <f>IFERROR(__xludf.DUMMYFUNCTION("""COMPUTED_VALUE"""),"TurboStars40")</f>
        <v>TurboStars40</v>
      </c>
      <c r="G348" s="5" t="str">
        <f>IFERROR(__xludf.DUMMYFUNCTION("""COMPUTED_VALUE"""),"Live")</f>
        <v>Live</v>
      </c>
      <c r="H348" s="5"/>
      <c r="I348" s="5" t="str">
        <f>IFERROR(__xludf.DUMMYFUNCTION("""COMPUTED_VALUE"""),"V2")</f>
        <v>V2</v>
      </c>
      <c r="J348" s="5" t="str">
        <f>IFERROR(__xludf.DUMMYFUNCTION("""COMPUTED_VALUE"""),"Binary")</f>
        <v>Binary</v>
      </c>
      <c r="K348" s="5" t="str">
        <f>IFERROR(__xludf.DUMMYFUNCTION("""COMPUTED_VALUE"""),"Slot")</f>
        <v>Slot</v>
      </c>
      <c r="L348" s="5"/>
      <c r="M348" s="5"/>
      <c r="N348" s="5"/>
      <c r="O348" s="5"/>
      <c r="P348" s="12">
        <f>IFERROR(__xludf.DUMMYFUNCTION("""COMPUTED_VALUE"""),21.3)</f>
        <v>21.3</v>
      </c>
      <c r="Q348" s="13">
        <f>IFERROR(__xludf.DUMMYFUNCTION("""COMPUTED_VALUE"""),45593.0)</f>
        <v>45593</v>
      </c>
      <c r="R348" s="14"/>
      <c r="S348" s="13">
        <f>IFERROR(__xludf.DUMMYFUNCTION("""COMPUTED_VALUE"""),45593.0)</f>
        <v>45593</v>
      </c>
      <c r="T348" s="5" t="b">
        <f>IFERROR(__xludf.DUMMYFUNCTION("""COMPUTED_VALUE"""),TRUE)</f>
        <v>1</v>
      </c>
      <c r="U348" s="5" t="str">
        <f>IFERROR(__xludf.DUMMYFUNCTION("""COMPUTED_VALUE"""),"5x3")</f>
        <v>5x3</v>
      </c>
      <c r="V348" s="10" t="str">
        <f>IFERROR(__xludf.DUMMYFUNCTION("""COMPUTED_VALUE"""),"40")</f>
        <v>40</v>
      </c>
      <c r="W348" s="10" t="str">
        <f>IFERROR(__xludf.DUMMYFUNCTION("""COMPUTED_VALUE"""),"40")</f>
        <v>40</v>
      </c>
      <c r="X348" s="11">
        <f>IFERROR(__xludf.DUMMYFUNCTION("""COMPUTED_VALUE"""),95.544)</f>
        <v>95.544</v>
      </c>
      <c r="Y348" s="5" t="str">
        <f>IFERROR(__xludf.DUMMYFUNCTION("""COMPUTED_VALUE"""),"Medium")</f>
        <v>Medium</v>
      </c>
      <c r="Z348" s="5">
        <f>IFERROR(__xludf.DUMMYFUNCTION("""COMPUTED_VALUE"""),17.130000000000003)</f>
        <v>17.13</v>
      </c>
      <c r="AA348" s="12">
        <f>IFERROR(__xludf.DUMMYFUNCTION("""COMPUTED_VALUE"""),1700.0)</f>
        <v>1700</v>
      </c>
      <c r="AB348" s="5" t="str">
        <f>IFERROR(__xludf.DUMMYFUNCTION("""COMPUTED_VALUE"""),"/")</f>
        <v>/</v>
      </c>
      <c r="AC348" s="5" t="str">
        <f>IFERROR(__xludf.DUMMYFUNCTION("""COMPUTED_VALUE"""),"Expanding Wild, Respin")</f>
        <v>Expanding Wild, Respin</v>
      </c>
      <c r="AD348" s="5" t="str">
        <f>IFERROR(__xludf.DUMMYFUNCTION("""COMPUTED_VALUE"""),"0.4/60")</f>
        <v>0.4/60</v>
      </c>
      <c r="AE348" s="5"/>
      <c r="AF348" s="5"/>
      <c r="AG348" s="5"/>
      <c r="AH348" s="5"/>
      <c r="AI348" s="5"/>
      <c r="AJ348" s="5"/>
      <c r="AK348" s="5" t="str">
        <f>IFERROR(__xludf.DUMMYFUNCTION("""COMPUTED_VALUE"""),"NULL")</f>
        <v>NULL</v>
      </c>
      <c r="AL348" s="5" t="str">
        <f>IFERROR(__xludf.DUMMYFUNCTION("""COMPUTED_VALUE"""),"Yes")</f>
        <v>Yes</v>
      </c>
      <c r="AM348" s="5"/>
      <c r="AN348" s="7" t="str">
        <f>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AO348" s="5"/>
      <c r="AP348" s="5"/>
      <c r="AQ348" s="5" t="b">
        <f>IFERROR(__xludf.DUMMYFUNCTION("""COMPUTED_VALUE"""),TRUE)</f>
        <v>1</v>
      </c>
      <c r="AR348" s="5"/>
      <c r="AS348" s="5" t="str">
        <f>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AT348" s="5"/>
      <c r="AU348" s="5" t="str">
        <f>IFERROR(__xludf.DUMMYFUNCTION("""COMPUTED_VALUE"""),"Fazi")</f>
        <v>Fazi</v>
      </c>
      <c r="AV348" s="5"/>
      <c r="AW348" s="5"/>
      <c r="AX348" s="5"/>
      <c r="AY348" s="5"/>
      <c r="AZ348" s="5"/>
      <c r="BA348" s="5" t="str">
        <f>IFERROR(__xludf.DUMMYFUNCTION("""COMPUTED_VALUE"""),"")</f>
        <v/>
      </c>
      <c r="BB348" s="5"/>
      <c r="BC348" s="5" t="str">
        <f>IFERROR(__xludf.DUMMYFUNCTION("""COMPUTED_VALUE"""),"Foxi")</f>
        <v>Foxi</v>
      </c>
      <c r="BD348" s="7" t="str">
        <f>IFERROR(__xludf.DUMMYFUNCTION("""COMPUTED_VALUE"""),"https://gameserver-store-client-area.orbionlimited.com/Home/IntegrationGameLaunch/client-area?moneyType=0&amp;gameName=TurboStars40&amp;platform=desktop&amp;languageCode=eng&amp;currency=EUR")</f>
        <v>https://gameserver-store-client-area.orbionlimited.com/Home/IntegrationGameLaunch/client-area?moneyType=0&amp;gameName=TurboStars40&amp;platform=desktop&amp;languageCode=eng&amp;currency=EUR</v>
      </c>
      <c r="BE348" s="5" t="b">
        <f>IFERROR(__xludf.DUMMYFUNCTION("""COMPUTED_VALUE"""),TRUE)</f>
        <v>1</v>
      </c>
    </row>
    <row r="349">
      <c r="A349" s="5">
        <f>IFERROR(__xludf.DUMMYFUNCTION("""COMPUTED_VALUE"""),353.0)</f>
        <v>353</v>
      </c>
      <c r="B349" s="5">
        <f>IFERROR(__xludf.DUMMYFUNCTION("""COMPUTED_VALUE"""),3004.0)</f>
        <v>3004</v>
      </c>
      <c r="C349" s="5" t="str">
        <f>IFERROR(__xludf.DUMMYFUNCTION("""COMPUTED_VALUE"""),"Fazi")</f>
        <v>Fazi</v>
      </c>
      <c r="D349" s="5" t="str">
        <f>IFERROR(__xludf.DUMMYFUNCTION("""COMPUTED_VALUE"""),"Turbo Stars 20")</f>
        <v>Turbo Stars 20</v>
      </c>
      <c r="E349" s="5" t="str">
        <f>IFERROR(__xludf.DUMMYFUNCTION("""COMPUTED_VALUE"""),"V2")</f>
        <v>V2</v>
      </c>
      <c r="F349" s="5" t="str">
        <f>IFERROR(__xludf.DUMMYFUNCTION("""COMPUTED_VALUE"""),"TurboStars20")</f>
        <v>TurboStars20</v>
      </c>
      <c r="G349" s="5" t="str">
        <f>IFERROR(__xludf.DUMMYFUNCTION("""COMPUTED_VALUE"""),"Live")</f>
        <v>Live</v>
      </c>
      <c r="H349" s="5"/>
      <c r="I349" s="5" t="str">
        <f>IFERROR(__xludf.DUMMYFUNCTION("""COMPUTED_VALUE"""),"V2")</f>
        <v>V2</v>
      </c>
      <c r="J349" s="5" t="str">
        <f>IFERROR(__xludf.DUMMYFUNCTION("""COMPUTED_VALUE"""),"Binary")</f>
        <v>Binary</v>
      </c>
      <c r="K349" s="5" t="str">
        <f>IFERROR(__xludf.DUMMYFUNCTION("""COMPUTED_VALUE"""),"Slot")</f>
        <v>Slot</v>
      </c>
      <c r="L349" s="5"/>
      <c r="M349" s="5"/>
      <c r="N349" s="5"/>
      <c r="O349" s="5"/>
      <c r="P349" s="12">
        <f>IFERROR(__xludf.DUMMYFUNCTION("""COMPUTED_VALUE"""),23.0)</f>
        <v>23</v>
      </c>
      <c r="Q349" s="14">
        <f>IFERROR(__xludf.DUMMYFUNCTION("""COMPUTED_VALUE"""),45602.0)</f>
        <v>45602</v>
      </c>
      <c r="R349" s="14">
        <f>IFERROR(__xludf.DUMMYFUNCTION("""COMPUTED_VALUE"""),45616.0)</f>
        <v>45616</v>
      </c>
      <c r="S349" s="13">
        <f>IFERROR(__xludf.DUMMYFUNCTION("""COMPUTED_VALUE"""),45630.0)</f>
        <v>45630</v>
      </c>
      <c r="T349" s="5" t="b">
        <f>IFERROR(__xludf.DUMMYFUNCTION("""COMPUTED_VALUE"""),TRUE)</f>
        <v>1</v>
      </c>
      <c r="U349" s="5" t="str">
        <f>IFERROR(__xludf.DUMMYFUNCTION("""COMPUTED_VALUE"""),"5x3")</f>
        <v>5x3</v>
      </c>
      <c r="V349" s="10" t="str">
        <f>IFERROR(__xludf.DUMMYFUNCTION("""COMPUTED_VALUE"""),"20")</f>
        <v>20</v>
      </c>
      <c r="W349" s="10" t="str">
        <f>IFERROR(__xludf.DUMMYFUNCTION("""COMPUTED_VALUE"""),"20")</f>
        <v>20</v>
      </c>
      <c r="X349" s="11">
        <f>IFERROR(__xludf.DUMMYFUNCTION("""COMPUTED_VALUE"""),95.544)</f>
        <v>95.544</v>
      </c>
      <c r="Y349" s="5" t="str">
        <f>IFERROR(__xludf.DUMMYFUNCTION("""COMPUTED_VALUE"""),"Medium")</f>
        <v>Medium</v>
      </c>
      <c r="Z349" s="5">
        <f>IFERROR(__xludf.DUMMYFUNCTION("""COMPUTED_VALUE"""),16.508)</f>
        <v>16.508</v>
      </c>
      <c r="AA349" s="12">
        <f>IFERROR(__xludf.DUMMYFUNCTION("""COMPUTED_VALUE"""),1700.0)</f>
        <v>1700</v>
      </c>
      <c r="AB349" s="5" t="str">
        <f>IFERROR(__xludf.DUMMYFUNCTION("""COMPUTED_VALUE"""),"/")</f>
        <v>/</v>
      </c>
      <c r="AC349" s="5" t="str">
        <f>IFERROR(__xludf.DUMMYFUNCTION("""COMPUTED_VALUE"""),"Expanding Wild, Respin")</f>
        <v>Expanding Wild, Respin</v>
      </c>
      <c r="AD349" s="5" t="str">
        <f>IFERROR(__xludf.DUMMYFUNCTION("""COMPUTED_VALUE"""),"0.2/50")</f>
        <v>0.2/50</v>
      </c>
      <c r="AE349" s="5"/>
      <c r="AF349" s="5"/>
      <c r="AG349" s="15">
        <f>IFERROR(__xludf.DUMMYFUNCTION("""COMPUTED_VALUE"""),45670.60601851852)</f>
        <v>45670.60602</v>
      </c>
      <c r="AH349" s="5" t="str">
        <f>IFERROR(__xludf.DUMMYFUNCTION("""COMPUTED_VALUE"""),"nikola.antic@fazi.rs")</f>
        <v>nikola.antic@fazi.rs</v>
      </c>
      <c r="AI349" s="5"/>
      <c r="AJ349" s="5"/>
      <c r="AK349" s="5" t="str">
        <f>IFERROR(__xludf.DUMMYFUNCTION("""COMPUTED_VALUE"""),"NULL")</f>
        <v>NULL</v>
      </c>
      <c r="AL349" s="5" t="str">
        <f>IFERROR(__xludf.DUMMYFUNCTION("""COMPUTED_VALUE"""),"Yes")</f>
        <v>Yes</v>
      </c>
      <c r="AM349" s="5"/>
      <c r="AN349" s="7" t="str">
        <f>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AO349" s="5"/>
      <c r="AP349" s="5"/>
      <c r="AQ349" s="5" t="b">
        <f>IFERROR(__xludf.DUMMYFUNCTION("""COMPUTED_VALUE"""),TRUE)</f>
        <v>1</v>
      </c>
      <c r="AR349" s="5"/>
      <c r="AS349" s="5" t="str">
        <f>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AT349" s="5"/>
      <c r="AU349" s="5" t="str">
        <f>IFERROR(__xludf.DUMMYFUNCTION("""COMPUTED_VALUE"""),"Fazi")</f>
        <v>Fazi</v>
      </c>
      <c r="AV349" s="5"/>
      <c r="AW349" s="5"/>
      <c r="AX349" s="5"/>
      <c r="AY349" s="5"/>
      <c r="AZ349" s="5"/>
      <c r="BA349" s="5" t="str">
        <f>IFERROR(__xludf.DUMMYFUNCTION("""COMPUTED_VALUE"""),"")</f>
        <v/>
      </c>
      <c r="BB349" s="5"/>
      <c r="BC349" s="5" t="str">
        <f>IFERROR(__xludf.DUMMYFUNCTION("""COMPUTED_VALUE"""),"Foxi")</f>
        <v>Foxi</v>
      </c>
      <c r="BD349" s="7" t="str">
        <f>IFERROR(__xludf.DUMMYFUNCTION("""COMPUTED_VALUE"""),"https://gameserver-store-client-area.orbionlimited.com/Home/IntegrationGameLaunch/client-area?moneyType=0&amp;gameName=TurboStars20&amp;platform=desktop&amp;languageCode=eng&amp;currency=EUR")</f>
        <v>https://gameserver-store-client-area.orbionlimited.com/Home/IntegrationGameLaunch/client-area?moneyType=0&amp;gameName=TurboStars20&amp;platform=desktop&amp;languageCode=eng&amp;currency=EUR</v>
      </c>
      <c r="BE349" s="5" t="b">
        <f>IFERROR(__xludf.DUMMYFUNCTION("""COMPUTED_VALUE"""),TRUE)</f>
        <v>1</v>
      </c>
    </row>
    <row r="350">
      <c r="A350" s="5">
        <f>IFERROR(__xludf.DUMMYFUNCTION("""COMPUTED_VALUE"""),354.0)</f>
        <v>354</v>
      </c>
      <c r="B350" s="5">
        <f>IFERROR(__xludf.DUMMYFUNCTION("""COMPUTED_VALUE"""),332.0)</f>
        <v>332</v>
      </c>
      <c r="C350" s="5" t="str">
        <f>IFERROR(__xludf.DUMMYFUNCTION("""COMPUTED_VALUE"""),"Fazi")</f>
        <v>Fazi</v>
      </c>
      <c r="D350" s="5" t="str">
        <f>IFERROR(__xludf.DUMMYFUNCTION("""COMPUTED_VALUE"""),"Rizk Hot 40")</f>
        <v>Rizk Hot 40</v>
      </c>
      <c r="E350" s="5" t="str">
        <f>IFERROR(__xludf.DUMMYFUNCTION("""COMPUTED_VALUE"""),"Sertifikacioni")</f>
        <v>Sertifikacioni</v>
      </c>
      <c r="F350" s="5" t="str">
        <f>IFERROR(__xludf.DUMMYFUNCTION("""COMPUTED_VALUE"""),"RizkHot40")</f>
        <v>RizkHot40</v>
      </c>
      <c r="G350" s="5" t="str">
        <f>IFERROR(__xludf.DUMMYFUNCTION("""COMPUTED_VALUE"""),"Live")</f>
        <v>Live</v>
      </c>
      <c r="H350" s="5" t="str">
        <f>IFERROR(__xludf.DUMMYFUNCTION("""COMPUTED_VALUE"""),"Rizk Hot 40")</f>
        <v>Rizk Hot 40</v>
      </c>
      <c r="I350" s="5" t="str">
        <f>IFERROR(__xludf.DUMMYFUNCTION("""COMPUTED_VALUE"""),"V2")</f>
        <v>V2</v>
      </c>
      <c r="J350" s="5" t="str">
        <f>IFERROR(__xludf.DUMMYFUNCTION("""COMPUTED_VALUE"""),"Binary")</f>
        <v>Binary</v>
      </c>
      <c r="K350" s="5" t="str">
        <f>IFERROR(__xludf.DUMMYFUNCTION("""COMPUTED_VALUE"""),"Slot")</f>
        <v>Slot</v>
      </c>
      <c r="L350" s="5" t="str">
        <f>IFERROR(__xludf.DUMMYFUNCTION("""COMPUTED_VALUE""")," Clone")</f>
        <v> Clone</v>
      </c>
      <c r="M350" s="5" t="str">
        <f>IFERROR(__xludf.DUMMYFUNCTION("""COMPUTED_VALUE"""),"Wild Hot 40")</f>
        <v>Wild Hot 40</v>
      </c>
      <c r="N350" s="5"/>
      <c r="O350" s="5"/>
      <c r="P350" s="12"/>
      <c r="Q350" s="13">
        <f>IFERROR(__xludf.DUMMYFUNCTION("""COMPUTED_VALUE"""),43831.0)</f>
        <v>43831</v>
      </c>
      <c r="R350" s="14"/>
      <c r="S350" s="13">
        <f>IFERROR(__xludf.DUMMYFUNCTION("""COMPUTED_VALUE"""),43831.0)</f>
        <v>43831</v>
      </c>
      <c r="T350" s="5"/>
      <c r="U350" s="5" t="str">
        <f>IFERROR(__xludf.DUMMYFUNCTION("""COMPUTED_VALUE"""),"5x4")</f>
        <v>5x4</v>
      </c>
      <c r="V350" s="5">
        <f>IFERROR(__xludf.DUMMYFUNCTION("""COMPUTED_VALUE"""),40.0)</f>
        <v>40</v>
      </c>
      <c r="W350" s="5">
        <f>IFERROR(__xludf.DUMMYFUNCTION("""COMPUTED_VALUE"""),40.0)</f>
        <v>40</v>
      </c>
      <c r="X350" s="11">
        <f>IFERROR(__xludf.DUMMYFUNCTION("""COMPUTED_VALUE"""),95.504)</f>
        <v>95.504</v>
      </c>
      <c r="Y350" s="5" t="str">
        <f>IFERROR(__xludf.DUMMYFUNCTION("""COMPUTED_VALUE"""),"Low")</f>
        <v>Low</v>
      </c>
      <c r="Z350" s="5">
        <f>IFERROR(__xludf.DUMMYFUNCTION("""COMPUTED_VALUE"""),16.725)</f>
        <v>16.725</v>
      </c>
      <c r="AA350" s="5">
        <f>IFERROR(__xludf.DUMMYFUNCTION("""COMPUTED_VALUE"""),1000.0)</f>
        <v>1000</v>
      </c>
      <c r="AB350" s="5"/>
      <c r="AC350" s="5"/>
      <c r="AD350" s="5"/>
      <c r="AE350" s="5"/>
      <c r="AF350" s="5"/>
      <c r="AG350" s="8">
        <f>IFERROR(__xludf.DUMMYFUNCTION("""COMPUTED_VALUE"""),46020.517592592594)</f>
        <v>46020.51759</v>
      </c>
      <c r="AH350" s="5" t="str">
        <f>IFERROR(__xludf.DUMMYFUNCTION("""COMPUTED_VALUE"""),"djordje.jankovic@fazi.rs")</f>
        <v>djordje.jankovic@fazi.rs</v>
      </c>
      <c r="AI350" s="5"/>
      <c r="AJ350" s="5"/>
      <c r="AK350" s="5">
        <f>IFERROR(__xludf.DUMMYFUNCTION("""COMPUTED_VALUE"""),40.0)</f>
        <v>40</v>
      </c>
      <c r="AL350" s="5" t="str">
        <f>IFERROR(__xludf.DUMMYFUNCTION("""COMPUTED_VALUE"""),"Yes")</f>
        <v>Yes</v>
      </c>
      <c r="AM350" s="5"/>
      <c r="AN350" s="5"/>
      <c r="AO350" s="5"/>
      <c r="AP350" s="5"/>
      <c r="AQ350" s="5"/>
      <c r="AR350" s="5" t="b">
        <f>IFERROR(__xludf.DUMMYFUNCTION("""COMPUTED_VALUE"""),TRUE)</f>
        <v>1</v>
      </c>
      <c r="AS350" s="5"/>
      <c r="AT350" s="5"/>
      <c r="AU350" s="5" t="str">
        <f>IFERROR(__xludf.DUMMYFUNCTION("""COMPUTED_VALUE"""),"Fazi")</f>
        <v>Fazi</v>
      </c>
      <c r="AV350" s="5"/>
      <c r="AW350" s="5"/>
      <c r="AX350" s="5"/>
      <c r="AY350" s="5"/>
      <c r="AZ350" s="5"/>
      <c r="BA350" s="5" t="str">
        <f>IFERROR(__xludf.DUMMYFUNCTION("""COMPUTED_VALUE"""),"")</f>
        <v/>
      </c>
      <c r="BB350" s="5"/>
      <c r="BC350" s="5" t="str">
        <f>IFERROR(__xludf.DUMMYFUNCTION("""COMPUTED_VALUE"""),"Foxi")</f>
        <v>Foxi</v>
      </c>
      <c r="BD350" s="5" t="str">
        <f>IFERROR(__xludf.DUMMYFUNCTION("""COMPUTED_VALUE"""),"")</f>
        <v/>
      </c>
      <c r="BE350" s="5"/>
    </row>
    <row r="351">
      <c r="A351" s="5">
        <f>IFERROR(__xludf.DUMMYFUNCTION("""COMPUTED_VALUE"""),355.0)</f>
        <v>355</v>
      </c>
      <c r="B351" s="5">
        <f>IFERROR(__xludf.DUMMYFUNCTION("""COMPUTED_VALUE"""),4001.0)</f>
        <v>4001</v>
      </c>
      <c r="C351" s="5" t="str">
        <f>IFERROR(__xludf.DUMMYFUNCTION("""COMPUTED_VALUE"""),"Fazi")</f>
        <v>Fazi</v>
      </c>
      <c r="D351" s="5" t="str">
        <f>IFERROR(__xludf.DUMMYFUNCTION("""COMPUTED_VALUE"""),"Bet Ole Hot 40")</f>
        <v>Bet Ole Hot 40</v>
      </c>
      <c r="E351" s="5" t="str">
        <f>IFERROR(__xludf.DUMMYFUNCTION("""COMPUTED_VALUE"""),"Sertifikacioni")</f>
        <v>Sertifikacioni</v>
      </c>
      <c r="F351" s="5" t="str">
        <f>IFERROR(__xludf.DUMMYFUNCTION("""COMPUTED_VALUE"""),"BetOleHot40")</f>
        <v>BetOleHot40</v>
      </c>
      <c r="G351" s="5" t="str">
        <f>IFERROR(__xludf.DUMMYFUNCTION("""COMPUTED_VALUE"""),"Live")</f>
        <v>Live</v>
      </c>
      <c r="H351" s="5"/>
      <c r="I351" s="5" t="str">
        <f>IFERROR(__xludf.DUMMYFUNCTION("""COMPUTED_VALUE"""),"V2")</f>
        <v>V2</v>
      </c>
      <c r="J351" s="5" t="str">
        <f>IFERROR(__xludf.DUMMYFUNCTION("""COMPUTED_VALUE"""),"Binary")</f>
        <v>Binary</v>
      </c>
      <c r="K351" s="5" t="str">
        <f>IFERROR(__xludf.DUMMYFUNCTION("""COMPUTED_VALUE"""),"Slot")</f>
        <v>Slot</v>
      </c>
      <c r="L351" s="5" t="str">
        <f>IFERROR(__xludf.DUMMYFUNCTION("""COMPUTED_VALUE""")," Clone")</f>
        <v> Clone</v>
      </c>
      <c r="M351" s="5" t="str">
        <f>IFERROR(__xludf.DUMMYFUNCTION("""COMPUTED_VALUE"""),"Wild Hot 40")</f>
        <v>Wild Hot 40</v>
      </c>
      <c r="N351" s="5"/>
      <c r="O351" s="5"/>
      <c r="P351" s="12"/>
      <c r="Q351" s="13">
        <f>IFERROR(__xludf.DUMMYFUNCTION("""COMPUTED_VALUE"""),45523.0)</f>
        <v>45523</v>
      </c>
      <c r="R351" s="14"/>
      <c r="S351" s="13">
        <f>IFERROR(__xludf.DUMMYFUNCTION("""COMPUTED_VALUE"""),45523.0)</f>
        <v>45523</v>
      </c>
      <c r="T351" s="5"/>
      <c r="U351" s="5" t="str">
        <f>IFERROR(__xludf.DUMMYFUNCTION("""COMPUTED_VALUE"""),"5x4")</f>
        <v>5x4</v>
      </c>
      <c r="V351" s="5">
        <f>IFERROR(__xludf.DUMMYFUNCTION("""COMPUTED_VALUE"""),40.0)</f>
        <v>40</v>
      </c>
      <c r="W351" s="5">
        <f>IFERROR(__xludf.DUMMYFUNCTION("""COMPUTED_VALUE"""),40.0)</f>
        <v>40</v>
      </c>
      <c r="X351" s="11">
        <f>IFERROR(__xludf.DUMMYFUNCTION("""COMPUTED_VALUE"""),96.58)</f>
        <v>96.58</v>
      </c>
      <c r="Y351" s="5" t="str">
        <f>IFERROR(__xludf.DUMMYFUNCTION("""COMPUTED_VALUE"""),"Low")</f>
        <v>Low</v>
      </c>
      <c r="Z351" s="5">
        <f>IFERROR(__xludf.DUMMYFUNCTION("""COMPUTED_VALUE"""),16.73)</f>
        <v>16.73</v>
      </c>
      <c r="AA351" s="5">
        <f>IFERROR(__xludf.DUMMYFUNCTION("""COMPUTED_VALUE"""),1000.0)</f>
        <v>1000</v>
      </c>
      <c r="AB351" s="5"/>
      <c r="AC351" s="5"/>
      <c r="AD351" s="5"/>
      <c r="AE351" s="5"/>
      <c r="AF351" s="5"/>
      <c r="AG351" s="8">
        <f>IFERROR(__xludf.DUMMYFUNCTION("""COMPUTED_VALUE"""),46020.5174537037)</f>
        <v>46020.51745</v>
      </c>
      <c r="AH351" s="5" t="str">
        <f>IFERROR(__xludf.DUMMYFUNCTION("""COMPUTED_VALUE"""),"djordje.jankovic@fazi.rs")</f>
        <v>djordje.jankovic@fazi.rs</v>
      </c>
      <c r="AI351" s="5"/>
      <c r="AJ351" s="5"/>
      <c r="AK351" s="5" t="str">
        <f>IFERROR(__xludf.DUMMYFUNCTION("""COMPUTED_VALUE"""),"#N/A")</f>
        <v>#N/A</v>
      </c>
      <c r="AL351" s="5" t="str">
        <f>IFERROR(__xludf.DUMMYFUNCTION("""COMPUTED_VALUE"""),"Yes")</f>
        <v>Yes</v>
      </c>
      <c r="AM351" s="5"/>
      <c r="AN351" s="5"/>
      <c r="AO351" s="5"/>
      <c r="AP351" s="5"/>
      <c r="AQ351" s="5"/>
      <c r="AR351" s="5" t="b">
        <f>IFERROR(__xludf.DUMMYFUNCTION("""COMPUTED_VALUE"""),TRUE)</f>
        <v>1</v>
      </c>
      <c r="AS351" s="5"/>
      <c r="AT351" s="5"/>
      <c r="AU351" s="5" t="str">
        <f>IFERROR(__xludf.DUMMYFUNCTION("""COMPUTED_VALUE"""),"Fazi")</f>
        <v>Fazi</v>
      </c>
      <c r="AV351" s="5"/>
      <c r="AW351" s="5"/>
      <c r="AX351" s="5"/>
      <c r="AY351" s="5"/>
      <c r="AZ351" s="5"/>
      <c r="BA351" s="5" t="str">
        <f>IFERROR(__xludf.DUMMYFUNCTION("""COMPUTED_VALUE"""),"")</f>
        <v/>
      </c>
      <c r="BB351" s="5"/>
      <c r="BC351" s="5" t="str">
        <f>IFERROR(__xludf.DUMMYFUNCTION("""COMPUTED_VALUE"""),"Foxi")</f>
        <v>Foxi</v>
      </c>
      <c r="BD351" s="5" t="str">
        <f>IFERROR(__xludf.DUMMYFUNCTION("""COMPUTED_VALUE"""),"")</f>
        <v/>
      </c>
      <c r="BE351" s="5"/>
    </row>
    <row r="352">
      <c r="A352" s="5">
        <f>IFERROR(__xludf.DUMMYFUNCTION("""COMPUTED_VALUE"""),356.0)</f>
        <v>356</v>
      </c>
      <c r="B352" s="5">
        <f>IFERROR(__xludf.DUMMYFUNCTION("""COMPUTED_VALUE"""),4005.0)</f>
        <v>4005</v>
      </c>
      <c r="C352" s="5" t="str">
        <f>IFERROR(__xludf.DUMMYFUNCTION("""COMPUTED_VALUE"""),"Fazi")</f>
        <v>Fazi</v>
      </c>
      <c r="D352" s="5" t="str">
        <f>IFERROR(__xludf.DUMMYFUNCTION("""COMPUTED_VALUE"""),"Wild Lucky Betebet")</f>
        <v>Wild Lucky Betebet</v>
      </c>
      <c r="E352" s="5" t="str">
        <f>IFERROR(__xludf.DUMMYFUNCTION("""COMPUTED_VALUE"""),"Sertifikacioni")</f>
        <v>Sertifikacioni</v>
      </c>
      <c r="F352" s="5" t="str">
        <f>IFERROR(__xludf.DUMMYFUNCTION("""COMPUTED_VALUE"""),"WildLuckyBetebet")</f>
        <v>WildLuckyBetebet</v>
      </c>
      <c r="G352" s="5" t="str">
        <f>IFERROR(__xludf.DUMMYFUNCTION("""COMPUTED_VALUE"""),"Live")</f>
        <v>Live</v>
      </c>
      <c r="H352" s="5"/>
      <c r="I352" s="5" t="str">
        <f>IFERROR(__xludf.DUMMYFUNCTION("""COMPUTED_VALUE"""),"V2")</f>
        <v>V2</v>
      </c>
      <c r="J352" s="5" t="str">
        <f>IFERROR(__xludf.DUMMYFUNCTION("""COMPUTED_VALUE"""),"Binary")</f>
        <v>Binary</v>
      </c>
      <c r="K352" s="5" t="str">
        <f>IFERROR(__xludf.DUMMYFUNCTION("""COMPUTED_VALUE"""),"Slot")</f>
        <v>Slot</v>
      </c>
      <c r="L352" s="5" t="str">
        <f>IFERROR(__xludf.DUMMYFUNCTION("""COMPUTED_VALUE""")," Clone")</f>
        <v> Clone</v>
      </c>
      <c r="M352" s="5" t="str">
        <f>IFERROR(__xludf.DUMMYFUNCTION("""COMPUTED_VALUE"""),"Wild Lucky Clover")</f>
        <v>Wild Lucky Clover</v>
      </c>
      <c r="N352" s="5"/>
      <c r="O352" s="5"/>
      <c r="P352" s="12"/>
      <c r="Q352" s="13">
        <f>IFERROR(__xludf.DUMMYFUNCTION("""COMPUTED_VALUE"""),45590.0)</f>
        <v>45590</v>
      </c>
      <c r="R352" s="14"/>
      <c r="S352" s="13">
        <f>IFERROR(__xludf.DUMMYFUNCTION("""COMPUTED_VALUE"""),45590.0)</f>
        <v>45590</v>
      </c>
      <c r="T352" s="5"/>
      <c r="U352" s="5" t="str">
        <f>IFERROR(__xludf.DUMMYFUNCTION("""COMPUTED_VALUE"""),"5x4")</f>
        <v>5x4</v>
      </c>
      <c r="V352" s="5">
        <f>IFERROR(__xludf.DUMMYFUNCTION("""COMPUTED_VALUE"""),40.0)</f>
        <v>40</v>
      </c>
      <c r="W352" s="5">
        <f>IFERROR(__xludf.DUMMYFUNCTION("""COMPUTED_VALUE"""),40.0)</f>
        <v>40</v>
      </c>
      <c r="X352" s="11">
        <f>IFERROR(__xludf.DUMMYFUNCTION("""COMPUTED_VALUE"""),96.289999999)</f>
        <v>96.29</v>
      </c>
      <c r="Y352" s="5" t="str">
        <f>IFERROR(__xludf.DUMMYFUNCTION("""COMPUTED_VALUE"""),"Medium")</f>
        <v>Medium</v>
      </c>
      <c r="Z352" s="5">
        <f>IFERROR(__xludf.DUMMYFUNCTION("""COMPUTED_VALUE"""),12.67)</f>
        <v>12.67</v>
      </c>
      <c r="AA352" s="5">
        <f>IFERROR(__xludf.DUMMYFUNCTION("""COMPUTED_VALUE"""),12.67)</f>
        <v>12.67</v>
      </c>
      <c r="AB352" s="5"/>
      <c r="AC352" s="5"/>
      <c r="AD352" s="5"/>
      <c r="AE352" s="5"/>
      <c r="AF352" s="5"/>
      <c r="AG352" s="8">
        <f>IFERROR(__xludf.DUMMYFUNCTION("""COMPUTED_VALUE"""),46020.517233796294)</f>
        <v>46020.51723</v>
      </c>
      <c r="AH352" s="5" t="str">
        <f>IFERROR(__xludf.DUMMYFUNCTION("""COMPUTED_VALUE"""),"djordje.jankovic@fazi.rs")</f>
        <v>djordje.jankovic@fazi.rs</v>
      </c>
      <c r="AI352" s="5"/>
      <c r="AJ352" s="5"/>
      <c r="AK352" s="5" t="str">
        <f>IFERROR(__xludf.DUMMYFUNCTION("""COMPUTED_VALUE"""),"NULL")</f>
        <v>NULL</v>
      </c>
      <c r="AL352" s="5" t="str">
        <f>IFERROR(__xludf.DUMMYFUNCTION("""COMPUTED_VALUE"""),"Yes")</f>
        <v>Yes</v>
      </c>
      <c r="AM352" s="5"/>
      <c r="AN352" s="5"/>
      <c r="AO352" s="5"/>
      <c r="AP352" s="5"/>
      <c r="AQ352" s="5"/>
      <c r="AR352" s="5" t="b">
        <f>IFERROR(__xludf.DUMMYFUNCTION("""COMPUTED_VALUE"""),TRUE)</f>
        <v>1</v>
      </c>
      <c r="AS352" s="5"/>
      <c r="AT352" s="5"/>
      <c r="AU352" s="5" t="str">
        <f>IFERROR(__xludf.DUMMYFUNCTION("""COMPUTED_VALUE"""),"Fazi")</f>
        <v>Fazi</v>
      </c>
      <c r="AV352" s="5"/>
      <c r="AW352" s="5"/>
      <c r="AX352" s="5"/>
      <c r="AY352" s="5"/>
      <c r="AZ352" s="5"/>
      <c r="BA352" s="5" t="str">
        <f>IFERROR(__xludf.DUMMYFUNCTION("""COMPUTED_VALUE"""),"")</f>
        <v/>
      </c>
      <c r="BB352" s="5"/>
      <c r="BC352" s="5" t="str">
        <f>IFERROR(__xludf.DUMMYFUNCTION("""COMPUTED_VALUE"""),"Foxi")</f>
        <v>Foxi</v>
      </c>
      <c r="BD352" s="5" t="str">
        <f>IFERROR(__xludf.DUMMYFUNCTION("""COMPUTED_VALUE"""),"")</f>
        <v/>
      </c>
      <c r="BE352" s="5"/>
    </row>
    <row r="353">
      <c r="A353" s="5">
        <f>IFERROR(__xludf.DUMMYFUNCTION("""COMPUTED_VALUE"""),357.0)</f>
        <v>357</v>
      </c>
      <c r="B353" s="5">
        <f>IFERROR(__xludf.DUMMYFUNCTION("""COMPUTED_VALUE"""),4006.0)</f>
        <v>4006</v>
      </c>
      <c r="C353" s="5" t="str">
        <f>IFERROR(__xludf.DUMMYFUNCTION("""COMPUTED_VALUE"""),"Fazi")</f>
        <v>Fazi</v>
      </c>
      <c r="D353" s="5" t="str">
        <f>IFERROR(__xludf.DUMMYFUNCTION("""COMPUTED_VALUE"""),"Quick Win Crown 10")</f>
        <v>Quick Win Crown 10</v>
      </c>
      <c r="E353" s="5" t="str">
        <f>IFERROR(__xludf.DUMMYFUNCTION("""COMPUTED_VALUE"""),"Sertifikacioni")</f>
        <v>Sertifikacioni</v>
      </c>
      <c r="F353" s="5" t="str">
        <f>IFERROR(__xludf.DUMMYFUNCTION("""COMPUTED_VALUE"""),"QuickWinCrown10")</f>
        <v>QuickWinCrown10</v>
      </c>
      <c r="G353" s="5" t="str">
        <f>IFERROR(__xludf.DUMMYFUNCTION("""COMPUTED_VALUE"""),"Live")</f>
        <v>Live</v>
      </c>
      <c r="H353" s="5"/>
      <c r="I353" s="5" t="str">
        <f>IFERROR(__xludf.DUMMYFUNCTION("""COMPUTED_VALUE"""),"V2")</f>
        <v>V2</v>
      </c>
      <c r="J353" s="5" t="str">
        <f>IFERROR(__xludf.DUMMYFUNCTION("""COMPUTED_VALUE"""),"Binary")</f>
        <v>Binary</v>
      </c>
      <c r="K353" s="5" t="str">
        <f>IFERROR(__xludf.DUMMYFUNCTION("""COMPUTED_VALUE"""),"Slot")</f>
        <v>Slot</v>
      </c>
      <c r="L353" s="5" t="str">
        <f>IFERROR(__xludf.DUMMYFUNCTION("""COMPUTED_VALUE""")," Clone")</f>
        <v> Clone</v>
      </c>
      <c r="M353" s="5" t="str">
        <f>IFERROR(__xludf.DUMMYFUNCTION("""COMPUTED_VALUE"""),"Epic Crown 10")</f>
        <v>Epic Crown 10</v>
      </c>
      <c r="N353" s="5"/>
      <c r="O353" s="5"/>
      <c r="P353" s="12"/>
      <c r="Q353" s="13">
        <f>IFERROR(__xludf.DUMMYFUNCTION("""COMPUTED_VALUE"""),45579.0)</f>
        <v>45579</v>
      </c>
      <c r="R353" s="14"/>
      <c r="S353" s="13">
        <f>IFERROR(__xludf.DUMMYFUNCTION("""COMPUTED_VALUE"""),45579.0)</f>
        <v>45579</v>
      </c>
      <c r="T353" s="5"/>
      <c r="U353" s="5" t="str">
        <f>IFERROR(__xludf.DUMMYFUNCTION("""COMPUTED_VALUE"""),"5x3")</f>
        <v>5x3</v>
      </c>
      <c r="V353" s="5">
        <f>IFERROR(__xludf.DUMMYFUNCTION("""COMPUTED_VALUE"""),10.0)</f>
        <v>10</v>
      </c>
      <c r="W353" s="5">
        <f>IFERROR(__xludf.DUMMYFUNCTION("""COMPUTED_VALUE"""),10.0)</f>
        <v>10</v>
      </c>
      <c r="X353" s="11">
        <f>IFERROR(__xludf.DUMMYFUNCTION("""COMPUTED_VALUE"""),95.96)</f>
        <v>95.96</v>
      </c>
      <c r="Y353" s="5" t="str">
        <f>IFERROR(__xludf.DUMMYFUNCTION("""COMPUTED_VALUE"""),"Medium")</f>
        <v>Medium</v>
      </c>
      <c r="Z353" s="5">
        <f>IFERROR(__xludf.DUMMYFUNCTION("""COMPUTED_VALUE"""),14.63)</f>
        <v>14.63</v>
      </c>
      <c r="AA353" s="5">
        <f>IFERROR(__xludf.DUMMYFUNCTION("""COMPUTED_VALUE"""),1538.0)</f>
        <v>1538</v>
      </c>
      <c r="AB353" s="5"/>
      <c r="AC353" s="5"/>
      <c r="AD353" s="5"/>
      <c r="AE353" s="5"/>
      <c r="AF353" s="5"/>
      <c r="AG353" s="8">
        <f>IFERROR(__xludf.DUMMYFUNCTION("""COMPUTED_VALUE"""),46020.5162037037)</f>
        <v>46020.5162</v>
      </c>
      <c r="AH353" s="5" t="str">
        <f>IFERROR(__xludf.DUMMYFUNCTION("""COMPUTED_VALUE"""),"djordje.jankovic@fazi.rs")</f>
        <v>djordje.jankovic@fazi.rs</v>
      </c>
      <c r="AI353" s="5"/>
      <c r="AJ353" s="5"/>
      <c r="AK353" s="5" t="str">
        <f>IFERROR(__xludf.DUMMYFUNCTION("""COMPUTED_VALUE"""),"#N/A")</f>
        <v>#N/A</v>
      </c>
      <c r="AL353" s="5" t="str">
        <f>IFERROR(__xludf.DUMMYFUNCTION("""COMPUTED_VALUE"""),"Yes")</f>
        <v>Yes</v>
      </c>
      <c r="AM353" s="5"/>
      <c r="AN353" s="5"/>
      <c r="AO353" s="5"/>
      <c r="AP353" s="5"/>
      <c r="AQ353" s="5"/>
      <c r="AR353" s="5" t="b">
        <f>IFERROR(__xludf.DUMMYFUNCTION("""COMPUTED_VALUE"""),TRUE)</f>
        <v>1</v>
      </c>
      <c r="AS353" s="5"/>
      <c r="AT353" s="5"/>
      <c r="AU353" s="5" t="str">
        <f>IFERROR(__xludf.DUMMYFUNCTION("""COMPUTED_VALUE"""),"Fazi")</f>
        <v>Fazi</v>
      </c>
      <c r="AV353" s="5"/>
      <c r="AW353" s="5"/>
      <c r="AX353" s="5"/>
      <c r="AY353" s="5"/>
      <c r="AZ353" s="5"/>
      <c r="BA353" s="5" t="str">
        <f>IFERROR(__xludf.DUMMYFUNCTION("""COMPUTED_VALUE"""),"")</f>
        <v/>
      </c>
      <c r="BB353" s="5"/>
      <c r="BC353" s="5" t="str">
        <f>IFERROR(__xludf.DUMMYFUNCTION("""COMPUTED_VALUE"""),"Foxi")</f>
        <v>Foxi</v>
      </c>
      <c r="BD353" s="5" t="str">
        <f>IFERROR(__xludf.DUMMYFUNCTION("""COMPUTED_VALUE"""),"")</f>
        <v/>
      </c>
      <c r="BE353" s="5"/>
    </row>
    <row r="354">
      <c r="A354" s="5">
        <f>IFERROR(__xludf.DUMMYFUNCTION("""COMPUTED_VALUE"""),358.0)</f>
        <v>358</v>
      </c>
      <c r="B354" s="5">
        <f>IFERROR(__xludf.DUMMYFUNCTION("""COMPUTED_VALUE"""),4002.0)</f>
        <v>4002</v>
      </c>
      <c r="C354" s="5" t="str">
        <f>IFERROR(__xludf.DUMMYFUNCTION("""COMPUTED_VALUE"""),"Fazi")</f>
        <v>Fazi</v>
      </c>
      <c r="D354" s="5" t="str">
        <f>IFERROR(__xludf.DUMMYFUNCTION("""COMPUTED_VALUE"""),"Lolla's Soccer World")</f>
        <v>Lolla's Soccer World</v>
      </c>
      <c r="E354" s="5" t="str">
        <f>IFERROR(__xludf.DUMMYFUNCTION("""COMPUTED_VALUE"""),"Sertifikacioni")</f>
        <v>Sertifikacioni</v>
      </c>
      <c r="F354" s="5" t="str">
        <f>IFERROR(__xludf.DUMMYFUNCTION("""COMPUTED_VALUE"""),"LollasSoccerWorld")</f>
        <v>LollasSoccerWorld</v>
      </c>
      <c r="G354" s="5" t="str">
        <f>IFERROR(__xludf.DUMMYFUNCTION("""COMPUTED_VALUE"""),"Live")</f>
        <v>Live</v>
      </c>
      <c r="H354" s="5"/>
      <c r="I354" s="5" t="str">
        <f>IFERROR(__xludf.DUMMYFUNCTION("""COMPUTED_VALUE"""),"V2")</f>
        <v>V2</v>
      </c>
      <c r="J354" s="5" t="str">
        <f>IFERROR(__xludf.DUMMYFUNCTION("""COMPUTED_VALUE"""),"Binary")</f>
        <v>Binary</v>
      </c>
      <c r="K354" s="5" t="str">
        <f>IFERROR(__xludf.DUMMYFUNCTION("""COMPUTED_VALUE"""),"Slot")</f>
        <v>Slot</v>
      </c>
      <c r="L354" s="5" t="str">
        <f>IFERROR(__xludf.DUMMYFUNCTION("""COMPUTED_VALUE""")," Clone")</f>
        <v> Clone</v>
      </c>
      <c r="M354" s="5" t="str">
        <f>IFERROR(__xludf.DUMMYFUNCTION("""COMPUTED_VALUE"""),"Lollas World")</f>
        <v>Lollas World</v>
      </c>
      <c r="N354" s="5"/>
      <c r="O354" s="5"/>
      <c r="P354" s="12"/>
      <c r="Q354" s="13">
        <f>IFERROR(__xludf.DUMMYFUNCTION("""COMPUTED_VALUE"""),45565.0)</f>
        <v>45565</v>
      </c>
      <c r="R354" s="14"/>
      <c r="S354" s="13">
        <f>IFERROR(__xludf.DUMMYFUNCTION("""COMPUTED_VALUE"""),45565.0)</f>
        <v>45565</v>
      </c>
      <c r="T354" s="5"/>
      <c r="U354" s="5" t="str">
        <f>IFERROR(__xludf.DUMMYFUNCTION("""COMPUTED_VALUE"""),"5x4")</f>
        <v>5x4</v>
      </c>
      <c r="V354" s="5">
        <f>IFERROR(__xludf.DUMMYFUNCTION("""COMPUTED_VALUE"""),40.0)</f>
        <v>40</v>
      </c>
      <c r="W354" s="5">
        <f>IFERROR(__xludf.DUMMYFUNCTION("""COMPUTED_VALUE"""),40.0)</f>
        <v>40</v>
      </c>
      <c r="X354" s="11">
        <f>IFERROR(__xludf.DUMMYFUNCTION("""COMPUTED_VALUE"""),95.48)</f>
        <v>95.48</v>
      </c>
      <c r="Y354" s="5" t="str">
        <f>IFERROR(__xludf.DUMMYFUNCTION("""COMPUTED_VALUE"""),"Medium")</f>
        <v>Medium</v>
      </c>
      <c r="Z354" s="5">
        <f>IFERROR(__xludf.DUMMYFUNCTION("""COMPUTED_VALUE"""),14.79)</f>
        <v>14.79</v>
      </c>
      <c r="AA354" s="5">
        <f>IFERROR(__xludf.DUMMYFUNCTION("""COMPUTED_VALUE"""),1000.0)</f>
        <v>1000</v>
      </c>
      <c r="AB354" s="5"/>
      <c r="AC354" s="5"/>
      <c r="AD354" s="5"/>
      <c r="AE354" s="5"/>
      <c r="AF354" s="5"/>
      <c r="AG354" s="8">
        <f>IFERROR(__xludf.DUMMYFUNCTION("""COMPUTED_VALUE"""),46020.51429398148)</f>
        <v>46020.51429</v>
      </c>
      <c r="AH354" s="5" t="str">
        <f>IFERROR(__xludf.DUMMYFUNCTION("""COMPUTED_VALUE"""),"djordje.jankovic@fazi.rs")</f>
        <v>djordje.jankovic@fazi.rs</v>
      </c>
      <c r="AI354" s="5"/>
      <c r="AJ354" s="5"/>
      <c r="AK354" s="5" t="str">
        <f>IFERROR(__xludf.DUMMYFUNCTION("""COMPUTED_VALUE"""),"#N/A")</f>
        <v>#N/A</v>
      </c>
      <c r="AL354" s="5" t="str">
        <f>IFERROR(__xludf.DUMMYFUNCTION("""COMPUTED_VALUE"""),"Yes")</f>
        <v>Yes</v>
      </c>
      <c r="AM354" s="5"/>
      <c r="AN354" s="5"/>
      <c r="AO354" s="5"/>
      <c r="AP354" s="5"/>
      <c r="AQ354" s="5"/>
      <c r="AR354" s="5" t="b">
        <f>IFERROR(__xludf.DUMMYFUNCTION("""COMPUTED_VALUE"""),TRUE)</f>
        <v>1</v>
      </c>
      <c r="AS354" s="5"/>
      <c r="AT354" s="5"/>
      <c r="AU354" s="5" t="str">
        <f>IFERROR(__xludf.DUMMYFUNCTION("""COMPUTED_VALUE"""),"Fazi")</f>
        <v>Fazi</v>
      </c>
      <c r="AV354" s="5"/>
      <c r="AW354" s="5"/>
      <c r="AX354" s="5"/>
      <c r="AY354" s="5"/>
      <c r="AZ354" s="5"/>
      <c r="BA354" s="5" t="str">
        <f>IFERROR(__xludf.DUMMYFUNCTION("""COMPUTED_VALUE"""),"")</f>
        <v/>
      </c>
      <c r="BB354" s="5"/>
      <c r="BC354" s="5" t="str">
        <f>IFERROR(__xludf.DUMMYFUNCTION("""COMPUTED_VALUE"""),"Foxi")</f>
        <v>Foxi</v>
      </c>
      <c r="BD354" s="5" t="str">
        <f>IFERROR(__xludf.DUMMYFUNCTION("""COMPUTED_VALUE"""),"")</f>
        <v/>
      </c>
      <c r="BE354" s="5"/>
    </row>
    <row r="355">
      <c r="A355" s="5">
        <f>IFERROR(__xludf.DUMMYFUNCTION("""COMPUTED_VALUE"""),359.0)</f>
        <v>359</v>
      </c>
      <c r="B355" s="5">
        <f>IFERROR(__xludf.DUMMYFUNCTION("""COMPUTED_VALUE"""),4003.0)</f>
        <v>4003</v>
      </c>
      <c r="C355" s="5" t="str">
        <f>IFERROR(__xludf.DUMMYFUNCTION("""COMPUTED_VALUE"""),"Fazi")</f>
        <v>Fazi</v>
      </c>
      <c r="D355" s="5" t="str">
        <f>IFERROR(__xludf.DUMMYFUNCTION("""COMPUTED_VALUE"""),"Soccers Clover")</f>
        <v>Soccers Clover</v>
      </c>
      <c r="E355" s="5" t="str">
        <f>IFERROR(__xludf.DUMMYFUNCTION("""COMPUTED_VALUE"""),"Sertifikacioni")</f>
        <v>Sertifikacioni</v>
      </c>
      <c r="F355" s="5" t="str">
        <f>IFERROR(__xludf.DUMMYFUNCTION("""COMPUTED_VALUE"""),"SoccersClover")</f>
        <v>SoccersClover</v>
      </c>
      <c r="G355" s="5" t="str">
        <f>IFERROR(__xludf.DUMMYFUNCTION("""COMPUTED_VALUE"""),"Live")</f>
        <v>Live</v>
      </c>
      <c r="H355" s="5"/>
      <c r="I355" s="5" t="str">
        <f>IFERROR(__xludf.DUMMYFUNCTION("""COMPUTED_VALUE"""),"V2")</f>
        <v>V2</v>
      </c>
      <c r="J355" s="5" t="str">
        <f>IFERROR(__xludf.DUMMYFUNCTION("""COMPUTED_VALUE"""),"Binary")</f>
        <v>Binary</v>
      </c>
      <c r="K355" s="5" t="str">
        <f>IFERROR(__xludf.DUMMYFUNCTION("""COMPUTED_VALUE"""),"Slot")</f>
        <v>Slot</v>
      </c>
      <c r="L355" s="5" t="str">
        <f>IFERROR(__xludf.DUMMYFUNCTION("""COMPUTED_VALUE""")," Clone")</f>
        <v> Clone</v>
      </c>
      <c r="M355" s="5" t="str">
        <f>IFERROR(__xludf.DUMMYFUNCTION("""COMPUTED_VALUE"""),"Wild Lucky Clover")</f>
        <v>Wild Lucky Clover</v>
      </c>
      <c r="N355" s="5"/>
      <c r="O355" s="5"/>
      <c r="P355" s="12"/>
      <c r="Q355" s="13">
        <f>IFERROR(__xludf.DUMMYFUNCTION("""COMPUTED_VALUE"""),45565.0)</f>
        <v>45565</v>
      </c>
      <c r="R355" s="14"/>
      <c r="S355" s="13">
        <f>IFERROR(__xludf.DUMMYFUNCTION("""COMPUTED_VALUE"""),45565.0)</f>
        <v>45565</v>
      </c>
      <c r="T355" s="5"/>
      <c r="U355" s="5" t="str">
        <f>IFERROR(__xludf.DUMMYFUNCTION("""COMPUTED_VALUE"""),"5x40")</f>
        <v>5x40</v>
      </c>
      <c r="V355" s="5">
        <f>IFERROR(__xludf.DUMMYFUNCTION("""COMPUTED_VALUE"""),40.0)</f>
        <v>40</v>
      </c>
      <c r="W355" s="5">
        <f>IFERROR(__xludf.DUMMYFUNCTION("""COMPUTED_VALUE"""),40.0)</f>
        <v>40</v>
      </c>
      <c r="X355" s="11">
        <f>IFERROR(__xludf.DUMMYFUNCTION("""COMPUTED_VALUE"""),96.289)</f>
        <v>96.289</v>
      </c>
      <c r="Y355" s="5" t="str">
        <f>IFERROR(__xludf.DUMMYFUNCTION("""COMPUTED_VALUE"""),"Medium")</f>
        <v>Medium</v>
      </c>
      <c r="Z355" s="5">
        <f>IFERROR(__xludf.DUMMYFUNCTION("""COMPUTED_VALUE"""),12.67)</f>
        <v>12.67</v>
      </c>
      <c r="AA355" s="5">
        <f>IFERROR(__xludf.DUMMYFUNCTION("""COMPUTED_VALUE"""),1043.0)</f>
        <v>1043</v>
      </c>
      <c r="AB355" s="5"/>
      <c r="AC355" s="5"/>
      <c r="AD355" s="5"/>
      <c r="AE355" s="5"/>
      <c r="AF355" s="5"/>
      <c r="AG355" s="8">
        <f>IFERROR(__xludf.DUMMYFUNCTION("""COMPUTED_VALUE"""),46020.5144212963)</f>
        <v>46020.51442</v>
      </c>
      <c r="AH355" s="5" t="str">
        <f>IFERROR(__xludf.DUMMYFUNCTION("""COMPUTED_VALUE"""),"djordje.jankovic@fazi.rs")</f>
        <v>djordje.jankovic@fazi.rs</v>
      </c>
      <c r="AI355" s="5"/>
      <c r="AJ355" s="5"/>
      <c r="AK355" s="5" t="str">
        <f>IFERROR(__xludf.DUMMYFUNCTION("""COMPUTED_VALUE"""),"#N/A")</f>
        <v>#N/A</v>
      </c>
      <c r="AL355" s="5" t="str">
        <f>IFERROR(__xludf.DUMMYFUNCTION("""COMPUTED_VALUE"""),"Yes")</f>
        <v>Yes</v>
      </c>
      <c r="AM355" s="5"/>
      <c r="AN355" s="5"/>
      <c r="AO355" s="5"/>
      <c r="AP355" s="5"/>
      <c r="AQ355" s="5"/>
      <c r="AR355" s="5" t="b">
        <f>IFERROR(__xludf.DUMMYFUNCTION("""COMPUTED_VALUE"""),TRUE)</f>
        <v>1</v>
      </c>
      <c r="AS355" s="5"/>
      <c r="AT355" s="5"/>
      <c r="AU355" s="5" t="str">
        <f>IFERROR(__xludf.DUMMYFUNCTION("""COMPUTED_VALUE"""),"Fazi")</f>
        <v>Fazi</v>
      </c>
      <c r="AV355" s="5"/>
      <c r="AW355" s="5"/>
      <c r="AX355" s="5"/>
      <c r="AY355" s="5"/>
      <c r="AZ355" s="5"/>
      <c r="BA355" s="5" t="str">
        <f>IFERROR(__xludf.DUMMYFUNCTION("""COMPUTED_VALUE"""),"")</f>
        <v/>
      </c>
      <c r="BB355" s="5"/>
      <c r="BC355" s="5" t="str">
        <f>IFERROR(__xludf.DUMMYFUNCTION("""COMPUTED_VALUE"""),"Foxi")</f>
        <v>Foxi</v>
      </c>
      <c r="BD355" s="5" t="str">
        <f>IFERROR(__xludf.DUMMYFUNCTION("""COMPUTED_VALUE"""),"")</f>
        <v/>
      </c>
      <c r="BE355" s="5"/>
    </row>
    <row r="356">
      <c r="A356" s="5">
        <f>IFERROR(__xludf.DUMMYFUNCTION("""COMPUTED_VALUE"""),360.0)</f>
        <v>360</v>
      </c>
      <c r="B356" s="5">
        <f>IFERROR(__xludf.DUMMYFUNCTION("""COMPUTED_VALUE"""),4004.0)</f>
        <v>4004</v>
      </c>
      <c r="C356" s="5" t="str">
        <f>IFERROR(__xludf.DUMMYFUNCTION("""COMPUTED_VALUE"""),"Fazi")</f>
        <v>Fazi</v>
      </c>
      <c r="D356" s="5" t="str">
        <f>IFERROR(__xludf.DUMMYFUNCTION("""COMPUTED_VALUE"""),"Soccer Hot 40 FreeSpins")</f>
        <v>Soccer Hot 40 FreeSpins</v>
      </c>
      <c r="E356" s="5" t="str">
        <f>IFERROR(__xludf.DUMMYFUNCTION("""COMPUTED_VALUE"""),"Sertifikacioni")</f>
        <v>Sertifikacioni</v>
      </c>
      <c r="F356" s="5" t="str">
        <f>IFERROR(__xludf.DUMMYFUNCTION("""COMPUTED_VALUE"""),"SoccerHot40FreeSpins")</f>
        <v>SoccerHot40FreeSpins</v>
      </c>
      <c r="G356" s="5" t="str">
        <f>IFERROR(__xludf.DUMMYFUNCTION("""COMPUTED_VALUE"""),"Live")</f>
        <v>Live</v>
      </c>
      <c r="H356" s="5"/>
      <c r="I356" s="5" t="str">
        <f>IFERROR(__xludf.DUMMYFUNCTION("""COMPUTED_VALUE"""),"V2")</f>
        <v>V2</v>
      </c>
      <c r="J356" s="5" t="str">
        <f>IFERROR(__xludf.DUMMYFUNCTION("""COMPUTED_VALUE"""),"Binary")</f>
        <v>Binary</v>
      </c>
      <c r="K356" s="5" t="str">
        <f>IFERROR(__xludf.DUMMYFUNCTION("""COMPUTED_VALUE"""),"Slot")</f>
        <v>Slot</v>
      </c>
      <c r="L356" s="5" t="str">
        <f>IFERROR(__xludf.DUMMYFUNCTION("""COMPUTED_VALUE""")," Clone")</f>
        <v> Clone</v>
      </c>
      <c r="M356" s="5" t="str">
        <f>IFERROR(__xludf.DUMMYFUNCTION("""COMPUTED_VALUE"""),"Wild Hot 40 Free Spins")</f>
        <v>Wild Hot 40 Free Spins</v>
      </c>
      <c r="N356" s="5"/>
      <c r="O356" s="5"/>
      <c r="P356" s="12"/>
      <c r="Q356" s="13">
        <f>IFERROR(__xludf.DUMMYFUNCTION("""COMPUTED_VALUE"""),45565.0)</f>
        <v>45565</v>
      </c>
      <c r="R356" s="14"/>
      <c r="S356" s="13">
        <f>IFERROR(__xludf.DUMMYFUNCTION("""COMPUTED_VALUE"""),45565.0)</f>
        <v>45565</v>
      </c>
      <c r="T356" s="5"/>
      <c r="U356" s="5" t="str">
        <f>IFERROR(__xludf.DUMMYFUNCTION("""COMPUTED_VALUE"""),"5x40")</f>
        <v>5x40</v>
      </c>
      <c r="V356" s="5">
        <f>IFERROR(__xludf.DUMMYFUNCTION("""COMPUTED_VALUE"""),40.0)</f>
        <v>40</v>
      </c>
      <c r="W356" s="5">
        <f>IFERROR(__xludf.DUMMYFUNCTION("""COMPUTED_VALUE"""),40.0)</f>
        <v>40</v>
      </c>
      <c r="X356" s="11">
        <f>IFERROR(__xludf.DUMMYFUNCTION("""COMPUTED_VALUE"""),96.02)</f>
        <v>96.02</v>
      </c>
      <c r="Y356" s="5" t="str">
        <f>IFERROR(__xludf.DUMMYFUNCTION("""COMPUTED_VALUE"""),"Low")</f>
        <v>Low</v>
      </c>
      <c r="Z356" s="5">
        <f>IFERROR(__xludf.DUMMYFUNCTION("""COMPUTED_VALUE"""),17.23)</f>
        <v>17.23</v>
      </c>
      <c r="AA356" s="5">
        <f>IFERROR(__xludf.DUMMYFUNCTION("""COMPUTED_VALUE"""),1046.0)</f>
        <v>1046</v>
      </c>
      <c r="AB356" s="5">
        <f>IFERROR(__xludf.DUMMYFUNCTION("""COMPUTED_VALUE"""),152.0)</f>
        <v>152</v>
      </c>
      <c r="AC356" s="5"/>
      <c r="AD356" s="5"/>
      <c r="AE356" s="5"/>
      <c r="AF356" s="5"/>
      <c r="AG356" s="8">
        <f>IFERROR(__xludf.DUMMYFUNCTION("""COMPUTED_VALUE"""),46020.51459490741)</f>
        <v>46020.51459</v>
      </c>
      <c r="AH356" s="5" t="str">
        <f>IFERROR(__xludf.DUMMYFUNCTION("""COMPUTED_VALUE"""),"djordje.jankovic@fazi.rs")</f>
        <v>djordje.jankovic@fazi.rs</v>
      </c>
      <c r="AI356" s="5"/>
      <c r="AJ356" s="5"/>
      <c r="AK356" s="5" t="str">
        <f>IFERROR(__xludf.DUMMYFUNCTION("""COMPUTED_VALUE"""),"#N/A")</f>
        <v>#N/A</v>
      </c>
      <c r="AL356" s="5" t="str">
        <f>IFERROR(__xludf.DUMMYFUNCTION("""COMPUTED_VALUE"""),"Yes")</f>
        <v>Yes</v>
      </c>
      <c r="AM356" s="5"/>
      <c r="AN356" s="5"/>
      <c r="AO356" s="5"/>
      <c r="AP356" s="5"/>
      <c r="AQ356" s="5"/>
      <c r="AR356" s="5" t="b">
        <f>IFERROR(__xludf.DUMMYFUNCTION("""COMPUTED_VALUE"""),TRUE)</f>
        <v>1</v>
      </c>
      <c r="AS356" s="5"/>
      <c r="AT356" s="5"/>
      <c r="AU356" s="5" t="str">
        <f>IFERROR(__xludf.DUMMYFUNCTION("""COMPUTED_VALUE"""),"Fazi")</f>
        <v>Fazi</v>
      </c>
      <c r="AV356" s="5"/>
      <c r="AW356" s="5"/>
      <c r="AX356" s="5"/>
      <c r="AY356" s="5"/>
      <c r="AZ356" s="5"/>
      <c r="BA356" s="5" t="str">
        <f>IFERROR(__xludf.DUMMYFUNCTION("""COMPUTED_VALUE"""),"")</f>
        <v/>
      </c>
      <c r="BB356" s="5"/>
      <c r="BC356" s="5" t="str">
        <f>IFERROR(__xludf.DUMMYFUNCTION("""COMPUTED_VALUE"""),"Foxi")</f>
        <v>Foxi</v>
      </c>
      <c r="BD356" s="5" t="str">
        <f>IFERROR(__xludf.DUMMYFUNCTION("""COMPUTED_VALUE"""),"")</f>
        <v/>
      </c>
      <c r="BE356" s="5"/>
    </row>
    <row r="357">
      <c r="A357" s="5">
        <f>IFERROR(__xludf.DUMMYFUNCTION("""COMPUTED_VALUE"""),361.0)</f>
        <v>361</v>
      </c>
      <c r="B357" s="5">
        <f>IFERROR(__xludf.DUMMYFUNCTION("""COMPUTED_VALUE"""),348.0)</f>
        <v>348</v>
      </c>
      <c r="C357" s="5" t="str">
        <f>IFERROR(__xludf.DUMMYFUNCTION("""COMPUTED_VALUE"""),"Fazi")</f>
        <v>Fazi</v>
      </c>
      <c r="D357" s="5" t="str">
        <f>IFERROR(__xludf.DUMMYFUNCTION("""COMPUTED_VALUE"""),"Epic Dice 100")</f>
        <v>Epic Dice 100</v>
      </c>
      <c r="E357" s="5" t="str">
        <f>IFERROR(__xludf.DUMMYFUNCTION("""COMPUTED_VALUE"""),"V2")</f>
        <v>V2</v>
      </c>
      <c r="F357" s="5" t="str">
        <f>IFERROR(__xludf.DUMMYFUNCTION("""COMPUTED_VALUE"""),"EpicDice100")</f>
        <v>EpicDice100</v>
      </c>
      <c r="G357" s="5" t="str">
        <f>IFERROR(__xludf.DUMMYFUNCTION("""COMPUTED_VALUE"""),"Live")</f>
        <v>Live</v>
      </c>
      <c r="H357" s="5"/>
      <c r="I357" s="5" t="str">
        <f>IFERROR(__xludf.DUMMYFUNCTION("""COMPUTED_VALUE"""),"V2")</f>
        <v>V2</v>
      </c>
      <c r="J357" s="5" t="str">
        <f>IFERROR(__xludf.DUMMYFUNCTION("""COMPUTED_VALUE"""),"Binary")</f>
        <v>Binary</v>
      </c>
      <c r="K357" s="5" t="str">
        <f>IFERROR(__xludf.DUMMYFUNCTION("""COMPUTED_VALUE"""),"Slot")</f>
        <v>Slot</v>
      </c>
      <c r="L357" s="5" t="str">
        <f>IFERROR(__xludf.DUMMYFUNCTION("""COMPUTED_VALUE""")," Clone")</f>
        <v> Clone</v>
      </c>
      <c r="M357" s="5" t="str">
        <f>IFERROR(__xludf.DUMMYFUNCTION("""COMPUTED_VALUE"""),"Epic Clover 100")</f>
        <v>Epic Clover 100</v>
      </c>
      <c r="N357" s="5"/>
      <c r="O357" s="5"/>
      <c r="P357" s="12">
        <f>IFERROR(__xludf.DUMMYFUNCTION("""COMPUTED_VALUE"""),23.1)</f>
        <v>23.1</v>
      </c>
      <c r="Q357" s="13">
        <f>IFERROR(__xludf.DUMMYFUNCTION("""COMPUTED_VALUE"""),45518.0)</f>
        <v>45518</v>
      </c>
      <c r="R357" s="14"/>
      <c r="S357" s="13">
        <f>IFERROR(__xludf.DUMMYFUNCTION("""COMPUTED_VALUE"""),45518.0)</f>
        <v>45518</v>
      </c>
      <c r="T357" s="5" t="b">
        <f>IFERROR(__xludf.DUMMYFUNCTION("""COMPUTED_VALUE"""),TRUE)</f>
        <v>1</v>
      </c>
      <c r="U357" s="5" t="str">
        <f>IFERROR(__xludf.DUMMYFUNCTION("""COMPUTED_VALUE"""),"5x4")</f>
        <v>5x4</v>
      </c>
      <c r="V357" s="5">
        <f>IFERROR(__xludf.DUMMYFUNCTION("""COMPUTED_VALUE"""),100.0)</f>
        <v>100</v>
      </c>
      <c r="W357" s="5">
        <f>IFERROR(__xludf.DUMMYFUNCTION("""COMPUTED_VALUE"""),100.0)</f>
        <v>100</v>
      </c>
      <c r="X357" s="19">
        <f>IFERROR(__xludf.DUMMYFUNCTION("""COMPUTED_VALUE"""),96.502)</f>
        <v>96.502</v>
      </c>
      <c r="Y357" s="5" t="str">
        <f>IFERROR(__xludf.DUMMYFUNCTION("""COMPUTED_VALUE"""),"Medium")</f>
        <v>Medium</v>
      </c>
      <c r="Z357" s="19">
        <f>IFERROR(__xludf.DUMMYFUNCTION("""COMPUTED_VALUE"""),13.309)</f>
        <v>13.309</v>
      </c>
      <c r="AA357" s="5">
        <f>IFERROR(__xludf.DUMMYFUNCTION("""COMPUTED_VALUE"""),3000.0)</f>
        <v>3000</v>
      </c>
      <c r="AB357" s="5">
        <f>IFERROR(__xludf.DUMMYFUNCTION("""COMPUTED_VALUE"""),4.0)</f>
        <v>4</v>
      </c>
      <c r="AC357" s="5" t="str">
        <f>IFERROR(__xludf.DUMMYFUNCTION("""COMPUTED_VALUE"""),"Scatter, Expanding Wild")</f>
        <v>Scatter, Expanding Wild</v>
      </c>
      <c r="AD357" s="5" t="str">
        <f>IFERROR(__xludf.DUMMYFUNCTION("""COMPUTED_VALUE"""),"1/100")</f>
        <v>1/100</v>
      </c>
      <c r="AE357" s="5"/>
      <c r="AF357" s="5"/>
      <c r="AG357" s="8">
        <f>IFERROR(__xludf.DUMMYFUNCTION("""COMPUTED_VALUE"""),46055.52775462963)</f>
        <v>46055.52775</v>
      </c>
      <c r="AH357" s="5" t="str">
        <f>IFERROR(__xludf.DUMMYFUNCTION("""COMPUTED_VALUE"""),"djordje.jankovic@fazi.rs")</f>
        <v>djordje.jankovic@fazi.rs</v>
      </c>
      <c r="AI357" s="5"/>
      <c r="AJ357" s="5"/>
      <c r="AK357" s="5" t="str">
        <f>IFERROR(__xludf.DUMMYFUNCTION("""COMPUTED_VALUE"""),"N/A")</f>
        <v>N/A</v>
      </c>
      <c r="AL357" s="5" t="str">
        <f>IFERROR(__xludf.DUMMYFUNCTION("""COMPUTED_VALUE"""),"Yes")</f>
        <v>Yes</v>
      </c>
      <c r="AM357" s="5"/>
      <c r="AN357" s="7" t="str">
        <f>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AO357" s="5"/>
      <c r="AP357" s="5"/>
      <c r="AQ357" s="5" t="b">
        <f>IFERROR(__xludf.DUMMYFUNCTION("""COMPUTED_VALUE"""),TRUE)</f>
        <v>1</v>
      </c>
      <c r="AR357" s="5"/>
      <c r="AS357" s="5" t="str">
        <f>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AT357" s="5"/>
      <c r="AU357" s="5" t="str">
        <f>IFERROR(__xludf.DUMMYFUNCTION("""COMPUTED_VALUE"""),"Fazi")</f>
        <v>Fazi</v>
      </c>
      <c r="AV357" s="5"/>
      <c r="AW357" s="5"/>
      <c r="AX357" s="5"/>
      <c r="AY357" s="5"/>
      <c r="AZ357" s="5"/>
      <c r="BA357" s="5" t="str">
        <f>IFERROR(__xludf.DUMMYFUNCTION("""COMPUTED_VALUE"""),"")</f>
        <v/>
      </c>
      <c r="BB357" s="5"/>
      <c r="BC357" s="5" t="str">
        <f>IFERROR(__xludf.DUMMYFUNCTION("""COMPUTED_VALUE"""),"Foxi")</f>
        <v>Foxi</v>
      </c>
      <c r="BD357" s="7" t="str">
        <f>IFERROR(__xludf.DUMMYFUNCTION("""COMPUTED_VALUE"""),"https://gameserver-store-client-area.orbionlimited.com/Home/IntegrationGameLaunch/client-area?moneyType=0&amp;gameName=EpicDice100&amp;platform=desktop&amp;languageCode=eng&amp;currency=EUR")</f>
        <v>https://gameserver-store-client-area.orbionlimited.com/Home/IntegrationGameLaunch/client-area?moneyType=0&amp;gameName=EpicDice100&amp;platform=desktop&amp;languageCode=eng&amp;currency=EUR</v>
      </c>
      <c r="BE357" s="5" t="b">
        <f>IFERROR(__xludf.DUMMYFUNCTION("""COMPUTED_VALUE"""),TRUE)</f>
        <v>1</v>
      </c>
    </row>
    <row r="358">
      <c r="A358" s="5">
        <f>IFERROR(__xludf.DUMMYFUNCTION("""COMPUTED_VALUE"""),362.0)</f>
        <v>362</v>
      </c>
      <c r="B358" s="5">
        <f>IFERROR(__xludf.DUMMYFUNCTION("""COMPUTED_VALUE"""),345.0)</f>
        <v>345</v>
      </c>
      <c r="C358" s="5" t="str">
        <f>IFERROR(__xludf.DUMMYFUNCTION("""COMPUTED_VALUE"""),"Fazi")</f>
        <v>Fazi</v>
      </c>
      <c r="D358" s="5" t="str">
        <f>IFERROR(__xludf.DUMMYFUNCTION("""COMPUTED_VALUE"""),"Mega Hot 20")</f>
        <v>Mega Hot 20</v>
      </c>
      <c r="E358" s="5" t="str">
        <f>IFERROR(__xludf.DUMMYFUNCTION("""COMPUTED_VALUE"""),"V2")</f>
        <v>V2</v>
      </c>
      <c r="F358" s="5" t="str">
        <f>IFERROR(__xludf.DUMMYFUNCTION("""COMPUTED_VALUE"""),"MegaHot20")</f>
        <v>MegaHot20</v>
      </c>
      <c r="G358" s="5" t="str">
        <f>IFERROR(__xludf.DUMMYFUNCTION("""COMPUTED_VALUE"""),"Live")</f>
        <v>Live</v>
      </c>
      <c r="H358" s="5"/>
      <c r="I358" s="5" t="str">
        <f>IFERROR(__xludf.DUMMYFUNCTION("""COMPUTED_VALUE"""),"V2")</f>
        <v>V2</v>
      </c>
      <c r="J358" s="5" t="str">
        <f>IFERROR(__xludf.DUMMYFUNCTION("""COMPUTED_VALUE"""),"Binary")</f>
        <v>Binary</v>
      </c>
      <c r="K358" s="5" t="str">
        <f>IFERROR(__xludf.DUMMYFUNCTION("""COMPUTED_VALUE"""),"Slot")</f>
        <v>Slot</v>
      </c>
      <c r="L358" s="5"/>
      <c r="M358" s="5"/>
      <c r="N358" s="5"/>
      <c r="O358" s="5"/>
      <c r="P358" s="12">
        <f>IFERROR(__xludf.DUMMYFUNCTION("""COMPUTED_VALUE"""),21.0)</f>
        <v>21</v>
      </c>
      <c r="Q358" s="13">
        <f>IFERROR(__xludf.DUMMYFUNCTION("""COMPUTED_VALUE"""),45509.0)</f>
        <v>45509</v>
      </c>
      <c r="R358" s="14"/>
      <c r="S358" s="13">
        <f>IFERROR(__xludf.DUMMYFUNCTION("""COMPUTED_VALUE"""),45509.0)</f>
        <v>45509</v>
      </c>
      <c r="T358" s="5" t="b">
        <f>IFERROR(__xludf.DUMMYFUNCTION("""COMPUTED_VALUE"""),TRUE)</f>
        <v>1</v>
      </c>
      <c r="U358" s="5" t="str">
        <f>IFERROR(__xludf.DUMMYFUNCTION("""COMPUTED_VALUE"""),"5x3")</f>
        <v>5x3</v>
      </c>
      <c r="V358" s="5">
        <f>IFERROR(__xludf.DUMMYFUNCTION("""COMPUTED_VALUE"""),20.0)</f>
        <v>20</v>
      </c>
      <c r="W358" s="5">
        <f>IFERROR(__xludf.DUMMYFUNCTION("""COMPUTED_VALUE"""),20.0)</f>
        <v>20</v>
      </c>
      <c r="X358" s="5">
        <f>IFERROR(__xludf.DUMMYFUNCTION("""COMPUTED_VALUE"""),96.475)</f>
        <v>96.475</v>
      </c>
      <c r="Y358" s="5" t="str">
        <f>IFERROR(__xludf.DUMMYFUNCTION("""COMPUTED_VALUE"""),"High")</f>
        <v>High</v>
      </c>
      <c r="Z358" s="5">
        <f>IFERROR(__xludf.DUMMYFUNCTION("""COMPUTED_VALUE"""),7.13)</f>
        <v>7.13</v>
      </c>
      <c r="AA358" s="5">
        <f>IFERROR(__xludf.DUMMYFUNCTION("""COMPUTED_VALUE"""),1500.0)</f>
        <v>1500</v>
      </c>
      <c r="AB358" s="5"/>
      <c r="AC358" s="5" t="str">
        <f>IFERROR(__xludf.DUMMYFUNCTION("""COMPUTED_VALUE"""),"Win Multiplier")</f>
        <v>Win Multiplier</v>
      </c>
      <c r="AD358" s="5" t="str">
        <f>IFERROR(__xludf.DUMMYFUNCTION("""COMPUTED_VALUE"""),"0.2/50")</f>
        <v>0.2/50</v>
      </c>
      <c r="AE358" s="5"/>
      <c r="AF358" s="5"/>
      <c r="AG358" s="8">
        <f>IFERROR(__xludf.DUMMYFUNCTION("""COMPUTED_VALUE"""),46055.59506944445)</f>
        <v>46055.59507</v>
      </c>
      <c r="AH358" s="5" t="str">
        <f>IFERROR(__xludf.DUMMYFUNCTION("""COMPUTED_VALUE"""),"djordje.jankovic@fazi.rs")</f>
        <v>djordje.jankovic@fazi.rs</v>
      </c>
      <c r="AI358" s="5"/>
      <c r="AJ358" s="5"/>
      <c r="AK358" s="5">
        <f>IFERROR(__xludf.DUMMYFUNCTION("""COMPUTED_VALUE"""),20.0)</f>
        <v>20</v>
      </c>
      <c r="AL358" s="5" t="str">
        <f>IFERROR(__xludf.DUMMYFUNCTION("""COMPUTED_VALUE"""),"Yes")</f>
        <v>Yes</v>
      </c>
      <c r="AM358" s="5"/>
      <c r="AN358" s="7" t="str">
        <f>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AO358" s="5"/>
      <c r="AP358" s="5"/>
      <c r="AQ358" s="5" t="b">
        <f>IFERROR(__xludf.DUMMYFUNCTION("""COMPUTED_VALUE"""),TRUE)</f>
        <v>1</v>
      </c>
      <c r="AR358" s="5"/>
      <c r="AS358" s="5" t="str">
        <f>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AT358" s="5"/>
      <c r="AU358" s="5" t="str">
        <f>IFERROR(__xludf.DUMMYFUNCTION("""COMPUTED_VALUE"""),"Fazi")</f>
        <v>Fazi</v>
      </c>
      <c r="AV358" s="5"/>
      <c r="AW358" s="5"/>
      <c r="AX358" s="5"/>
      <c r="AY358" s="5"/>
      <c r="AZ358" s="5"/>
      <c r="BA358" s="5" t="str">
        <f>IFERROR(__xludf.DUMMYFUNCTION("""COMPUTED_VALUE"""),"")</f>
        <v/>
      </c>
      <c r="BB358" s="5"/>
      <c r="BC358" s="5" t="str">
        <f>IFERROR(__xludf.DUMMYFUNCTION("""COMPUTED_VALUE"""),"Foxi")</f>
        <v>Foxi</v>
      </c>
      <c r="BD358" s="7" t="str">
        <f>IFERROR(__xludf.DUMMYFUNCTION("""COMPUTED_VALUE"""),"https://gameserver-store-client-area.orbionlimited.com/Home/IntegrationGameLaunch/client-area?moneyType=0&amp;gameName=MegaHot20&amp;platform=desktop&amp;languageCode=eng&amp;currency=EUR")</f>
        <v>https://gameserver-store-client-area.orbionlimited.com/Home/IntegrationGameLaunch/client-area?moneyType=0&amp;gameName=MegaHot20&amp;platform=desktop&amp;languageCode=eng&amp;currency=EUR</v>
      </c>
      <c r="BE358" s="5" t="b">
        <f>IFERROR(__xludf.DUMMYFUNCTION("""COMPUTED_VALUE"""),TRUE)</f>
        <v>1</v>
      </c>
    </row>
    <row r="359">
      <c r="A359" s="5">
        <f>IFERROR(__xludf.DUMMYFUNCTION("""COMPUTED_VALUE"""),363.0)</f>
        <v>363</v>
      </c>
      <c r="B359" s="5">
        <f>IFERROR(__xludf.DUMMYFUNCTION("""COMPUTED_VALUE"""),3001.0)</f>
        <v>3001</v>
      </c>
      <c r="C359" s="5" t="str">
        <f>IFERROR(__xludf.DUMMYFUNCTION("""COMPUTED_VALUE"""),"Fazi")</f>
        <v>Fazi</v>
      </c>
      <c r="D359" s="5" t="str">
        <f>IFERROR(__xludf.DUMMYFUNCTION("""COMPUTED_VALUE"""),"Clovers And Stars")</f>
        <v>Clovers And Stars</v>
      </c>
      <c r="E359" s="5" t="str">
        <f>IFERROR(__xludf.DUMMYFUNCTION("""COMPUTED_VALUE"""),"V2")</f>
        <v>V2</v>
      </c>
      <c r="F359" s="5" t="str">
        <f>IFERROR(__xludf.DUMMYFUNCTION("""COMPUTED_VALUE"""),"CloversAndStars")</f>
        <v>CloversAndStars</v>
      </c>
      <c r="G359" s="5" t="str">
        <f>IFERROR(__xludf.DUMMYFUNCTION("""COMPUTED_VALUE"""),"Live")</f>
        <v>Live</v>
      </c>
      <c r="H359" s="5"/>
      <c r="I359" s="5" t="str">
        <f>IFERROR(__xludf.DUMMYFUNCTION("""COMPUTED_VALUE"""),"V2")</f>
        <v>V2</v>
      </c>
      <c r="J359" s="5" t="str">
        <f>IFERROR(__xludf.DUMMYFUNCTION("""COMPUTED_VALUE"""),"Binary")</f>
        <v>Binary</v>
      </c>
      <c r="K359" s="5" t="str">
        <f>IFERROR(__xludf.DUMMYFUNCTION("""COMPUTED_VALUE"""),"Slot")</f>
        <v>Slot</v>
      </c>
      <c r="L359" s="5"/>
      <c r="M359" s="5"/>
      <c r="N359" s="5"/>
      <c r="O359" s="5"/>
      <c r="P359" s="12">
        <f>IFERROR(__xludf.DUMMYFUNCTION("""COMPUTED_VALUE"""),22.4)</f>
        <v>22.4</v>
      </c>
      <c r="Q359" s="13">
        <f>IFERROR(__xludf.DUMMYFUNCTION("""COMPUTED_VALUE"""),45566.0)</f>
        <v>45566</v>
      </c>
      <c r="R359" s="14"/>
      <c r="S359" s="13">
        <f>IFERROR(__xludf.DUMMYFUNCTION("""COMPUTED_VALUE"""),45566.0)</f>
        <v>45566</v>
      </c>
      <c r="T359" s="5" t="b">
        <f>IFERROR(__xludf.DUMMYFUNCTION("""COMPUTED_VALUE"""),TRUE)</f>
        <v>1</v>
      </c>
      <c r="U359" s="5" t="str">
        <f>IFERROR(__xludf.DUMMYFUNCTION("""COMPUTED_VALUE"""),"5x4")</f>
        <v>5x4</v>
      </c>
      <c r="V359" s="5">
        <f>IFERROR(__xludf.DUMMYFUNCTION("""COMPUTED_VALUE"""),40.0)</f>
        <v>40</v>
      </c>
      <c r="W359" s="5">
        <f>IFERROR(__xludf.DUMMYFUNCTION("""COMPUTED_VALUE"""),40.0)</f>
        <v>40</v>
      </c>
      <c r="X359" s="5">
        <f>IFERROR(__xludf.DUMMYFUNCTION("""COMPUTED_VALUE"""),96.474)</f>
        <v>96.474</v>
      </c>
      <c r="Y359" s="5" t="str">
        <f>IFERROR(__xludf.DUMMYFUNCTION("""COMPUTED_VALUE"""),"High")</f>
        <v>High</v>
      </c>
      <c r="Z359" s="5">
        <f>IFERROR(__xludf.DUMMYFUNCTION("""COMPUTED_VALUE"""),10.421)</f>
        <v>10.421</v>
      </c>
      <c r="AA359" s="5">
        <f>IFERROR(__xludf.DUMMYFUNCTION("""COMPUTED_VALUE"""),10145.0)</f>
        <v>10145</v>
      </c>
      <c r="AB359" s="5"/>
      <c r="AC359" s="5"/>
      <c r="AD359" s="5" t="str">
        <f>IFERROR(__xludf.DUMMYFUNCTION("""COMPUTED_VALUE"""),"0.4/60")</f>
        <v>0.4/60</v>
      </c>
      <c r="AE359" s="5"/>
      <c r="AF359" s="5"/>
      <c r="AG359" s="8">
        <f>IFERROR(__xludf.DUMMYFUNCTION("""COMPUTED_VALUE"""),46055.60549768519)</f>
        <v>46055.6055</v>
      </c>
      <c r="AH359" s="5" t="str">
        <f>IFERROR(__xludf.DUMMYFUNCTION("""COMPUTED_VALUE"""),"djordje.jankovic@fazi.rs")</f>
        <v>djordje.jankovic@fazi.rs</v>
      </c>
      <c r="AI359" s="5"/>
      <c r="AJ359" s="5"/>
      <c r="AK359" s="5">
        <f>IFERROR(__xludf.DUMMYFUNCTION("""COMPUTED_VALUE"""),40.0)</f>
        <v>40</v>
      </c>
      <c r="AL359" s="5" t="str">
        <f>IFERROR(__xludf.DUMMYFUNCTION("""COMPUTED_VALUE"""),"Yes")</f>
        <v>Yes</v>
      </c>
      <c r="AM359" s="5"/>
      <c r="AN359" s="7" t="str">
        <f>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AO359" s="5"/>
      <c r="AP359" s="5"/>
      <c r="AQ359" s="5" t="b">
        <f>IFERROR(__xludf.DUMMYFUNCTION("""COMPUTED_VALUE"""),TRUE)</f>
        <v>1</v>
      </c>
      <c r="AR359" s="5"/>
      <c r="AS359" s="5" t="str">
        <f>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AT359" s="5"/>
      <c r="AU359" s="5" t="str">
        <f>IFERROR(__xludf.DUMMYFUNCTION("""COMPUTED_VALUE"""),"Fazi")</f>
        <v>Fazi</v>
      </c>
      <c r="AV359" s="5"/>
      <c r="AW359" s="5"/>
      <c r="AX359" s="5"/>
      <c r="AY359" s="5"/>
      <c r="AZ359" s="5"/>
      <c r="BA359" s="5" t="str">
        <f>IFERROR(__xludf.DUMMYFUNCTION("""COMPUTED_VALUE"""),"")</f>
        <v/>
      </c>
      <c r="BB359" s="5"/>
      <c r="BC359" s="5" t="str">
        <f>IFERROR(__xludf.DUMMYFUNCTION("""COMPUTED_VALUE"""),"Foxi")</f>
        <v>Foxi</v>
      </c>
      <c r="BD359" s="7" t="str">
        <f>IFERROR(__xludf.DUMMYFUNCTION("""COMPUTED_VALUE"""),"https://gameserver-store-client-area.orbionlimited.com/Home/IntegrationGameLaunch/client-area?moneyType=0&amp;gameName=CloversAndStars&amp;platform=desktop&amp;languageCode=eng&amp;currency=EUR")</f>
        <v>https://gameserver-store-client-area.orbionlimited.com/Home/IntegrationGameLaunch/client-area?moneyType=0&amp;gameName=CloversAndStars&amp;platform=desktop&amp;languageCode=eng&amp;currency=EUR</v>
      </c>
      <c r="BE359" s="5" t="b">
        <f>IFERROR(__xludf.DUMMYFUNCTION("""COMPUTED_VALUE"""),TRUE)</f>
        <v>1</v>
      </c>
    </row>
    <row r="360">
      <c r="A360" s="5">
        <f>IFERROR(__xludf.DUMMYFUNCTION("""COMPUTED_VALUE"""),364.0)</f>
        <v>364</v>
      </c>
      <c r="B360" s="5">
        <f>IFERROR(__xludf.DUMMYFUNCTION("""COMPUTED_VALUE"""),3002.0)</f>
        <v>3002</v>
      </c>
      <c r="C360" s="5" t="str">
        <f>IFERROR(__xludf.DUMMYFUNCTION("""COMPUTED_VALUE"""),"Fazi")</f>
        <v>Fazi</v>
      </c>
      <c r="D360" s="5" t="str">
        <f>IFERROR(__xludf.DUMMYFUNCTION("""COMPUTED_VALUE"""),"Fortune Parrot")</f>
        <v>Fortune Parrot</v>
      </c>
      <c r="E360" s="5" t="str">
        <f>IFERROR(__xludf.DUMMYFUNCTION("""COMPUTED_VALUE"""),"V2")</f>
        <v>V2</v>
      </c>
      <c r="F360" s="5" t="str">
        <f>IFERROR(__xludf.DUMMYFUNCTION("""COMPUTED_VALUE"""),"FortuneParrot")</f>
        <v>FortuneParrot</v>
      </c>
      <c r="G360" s="5" t="str">
        <f>IFERROR(__xludf.DUMMYFUNCTION("""COMPUTED_VALUE"""),"Live")</f>
        <v>Live</v>
      </c>
      <c r="H360" s="5"/>
      <c r="I360" s="5" t="str">
        <f>IFERROR(__xludf.DUMMYFUNCTION("""COMPUTED_VALUE"""),"V2")</f>
        <v>V2</v>
      </c>
      <c r="J360" s="5" t="str">
        <f>IFERROR(__xludf.DUMMYFUNCTION("""COMPUTED_VALUE"""),"Binary")</f>
        <v>Binary</v>
      </c>
      <c r="K360" s="5" t="str">
        <f>IFERROR(__xludf.DUMMYFUNCTION("""COMPUTED_VALUE"""),"Slot")</f>
        <v>Slot</v>
      </c>
      <c r="L360" s="5"/>
      <c r="M360" s="5"/>
      <c r="N360" s="5"/>
      <c r="O360" s="5"/>
      <c r="P360" s="12">
        <f>IFERROR(__xludf.DUMMYFUNCTION("""COMPUTED_VALUE"""),27.0)</f>
        <v>27</v>
      </c>
      <c r="Q360" s="13">
        <f>IFERROR(__xludf.DUMMYFUNCTION("""COMPUTED_VALUE"""),45582.0)</f>
        <v>45582</v>
      </c>
      <c r="R360" s="14"/>
      <c r="S360" s="13">
        <f>IFERROR(__xludf.DUMMYFUNCTION("""COMPUTED_VALUE"""),45582.0)</f>
        <v>45582</v>
      </c>
      <c r="T360" s="5" t="b">
        <f>IFERROR(__xludf.DUMMYFUNCTION("""COMPUTED_VALUE"""),TRUE)</f>
        <v>1</v>
      </c>
      <c r="U360" s="5" t="str">
        <f>IFERROR(__xludf.DUMMYFUNCTION("""COMPUTED_VALUE"""),"5x3")</f>
        <v>5x3</v>
      </c>
      <c r="V360" s="5">
        <f>IFERROR(__xludf.DUMMYFUNCTION("""COMPUTED_VALUE"""),10.0)</f>
        <v>10</v>
      </c>
      <c r="W360" s="5">
        <f>IFERROR(__xludf.DUMMYFUNCTION("""COMPUTED_VALUE"""),10.0)</f>
        <v>10</v>
      </c>
      <c r="X360" s="11">
        <f>IFERROR(__xludf.DUMMYFUNCTION("""COMPUTED_VALUE"""),96.414)</f>
        <v>96.414</v>
      </c>
      <c r="Y360" s="5" t="str">
        <f>IFERROR(__xludf.DUMMYFUNCTION("""COMPUTED_VALUE"""),"Medium")</f>
        <v>Medium</v>
      </c>
      <c r="Z360" s="5">
        <f>IFERROR(__xludf.DUMMYFUNCTION("""COMPUTED_VALUE"""),17.959)</f>
        <v>17.959</v>
      </c>
      <c r="AA360" s="5">
        <f>IFERROR(__xludf.DUMMYFUNCTION("""COMPUTED_VALUE"""),1543.0)</f>
        <v>1543</v>
      </c>
      <c r="AB360" s="5"/>
      <c r="AC360" s="5" t="str">
        <f>IFERROR(__xludf.DUMMYFUNCTION("""COMPUTED_VALUE"""),"Expanding Wild, Scatter")</f>
        <v>Expanding Wild, Scatter</v>
      </c>
      <c r="AD360" s="5" t="str">
        <f>IFERROR(__xludf.DUMMYFUNCTION("""COMPUTED_VALUE"""),"0.1/40")</f>
        <v>0.1/40</v>
      </c>
      <c r="AE360" s="5"/>
      <c r="AF360" s="5"/>
      <c r="AG360" s="8">
        <f>IFERROR(__xludf.DUMMYFUNCTION("""COMPUTED_VALUE"""),46108.45853009259)</f>
        <v>46108.45853</v>
      </c>
      <c r="AH360" s="5" t="str">
        <f>IFERROR(__xludf.DUMMYFUNCTION("""COMPUTED_VALUE"""),"djordje.jankovic@fazi.rs")</f>
        <v>djordje.jankovic@fazi.rs</v>
      </c>
      <c r="AI360" s="5"/>
      <c r="AJ360" s="5"/>
      <c r="AK360" s="5">
        <f>IFERROR(__xludf.DUMMYFUNCTION("""COMPUTED_VALUE"""),10.0)</f>
        <v>10</v>
      </c>
      <c r="AL360" s="5" t="str">
        <f>IFERROR(__xludf.DUMMYFUNCTION("""COMPUTED_VALUE"""),"Yes")</f>
        <v>Yes</v>
      </c>
      <c r="AM360" s="5"/>
      <c r="AN360" s="7" t="str">
        <f>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AO360" s="5"/>
      <c r="AP360" s="5"/>
      <c r="AQ360" s="5" t="b">
        <f>IFERROR(__xludf.DUMMYFUNCTION("""COMPUTED_VALUE"""),TRUE)</f>
        <v>1</v>
      </c>
      <c r="AR360" s="5"/>
      <c r="AS360" s="5" t="str">
        <f>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AT360" s="5"/>
      <c r="AU360" s="5" t="str">
        <f>IFERROR(__xludf.DUMMYFUNCTION("""COMPUTED_VALUE"""),"Fazi")</f>
        <v>Fazi</v>
      </c>
      <c r="AV360" s="5"/>
      <c r="AW360" s="5"/>
      <c r="AX360" s="5"/>
      <c r="AY360" s="5"/>
      <c r="AZ360" s="5"/>
      <c r="BA360" s="5" t="str">
        <f>IFERROR(__xludf.DUMMYFUNCTION("""COMPUTED_VALUE"""),"")</f>
        <v/>
      </c>
      <c r="BB360" s="5"/>
      <c r="BC360" s="5" t="str">
        <f>IFERROR(__xludf.DUMMYFUNCTION("""COMPUTED_VALUE"""),"Foxi")</f>
        <v>Foxi</v>
      </c>
      <c r="BD360" s="7" t="str">
        <f>IFERROR(__xludf.DUMMYFUNCTION("""COMPUTED_VALUE"""),"https://gameserver-store-client-area.orbionlimited.com/Home/IntegrationGameLaunch/client-area?moneyType=0&amp;gameName=FortuneParrot&amp;platform=desktop&amp;languageCode=eng&amp;currency=EUR")</f>
        <v>https://gameserver-store-client-area.orbionlimited.com/Home/IntegrationGameLaunch/client-area?moneyType=0&amp;gameName=FortuneParrot&amp;platform=desktop&amp;languageCode=eng&amp;currency=EUR</v>
      </c>
      <c r="BE360" s="5" t="b">
        <f>IFERROR(__xludf.DUMMYFUNCTION("""COMPUTED_VALUE"""),TRUE)</f>
        <v>1</v>
      </c>
    </row>
    <row r="361">
      <c r="A361" s="5">
        <f>IFERROR(__xludf.DUMMYFUNCTION("""COMPUTED_VALUE"""),365.0)</f>
        <v>365</v>
      </c>
      <c r="B361" s="5">
        <f>IFERROR(__xludf.DUMMYFUNCTION("""COMPUTED_VALUE"""),3006.0)</f>
        <v>3006</v>
      </c>
      <c r="C361" s="5" t="str">
        <f>IFERROR(__xludf.DUMMYFUNCTION("""COMPUTED_VALUE"""),"Fazi")</f>
        <v>Fazi</v>
      </c>
      <c r="D361" s="5" t="str">
        <f>IFERROR(__xludf.DUMMYFUNCTION("""COMPUTED_VALUE"""),"Golden Crown Max")</f>
        <v>Golden Crown Max</v>
      </c>
      <c r="E361" s="5" t="str">
        <f>IFERROR(__xludf.DUMMYFUNCTION("""COMPUTED_VALUE"""),"V2")</f>
        <v>V2</v>
      </c>
      <c r="F361" s="5" t="str">
        <f>IFERROR(__xludf.DUMMYFUNCTION("""COMPUTED_VALUE"""),"GoldenCrownMax")</f>
        <v>GoldenCrownMax</v>
      </c>
      <c r="G361" s="5" t="str">
        <f>IFERROR(__xludf.DUMMYFUNCTION("""COMPUTED_VALUE"""),"Live")</f>
        <v>Live</v>
      </c>
      <c r="H361" s="5"/>
      <c r="I361" s="5" t="str">
        <f>IFERROR(__xludf.DUMMYFUNCTION("""COMPUTED_VALUE"""),"V2")</f>
        <v>V2</v>
      </c>
      <c r="J361" s="5" t="str">
        <f>IFERROR(__xludf.DUMMYFUNCTION("""COMPUTED_VALUE"""),"JSON")</f>
        <v>JSON</v>
      </c>
      <c r="K361" s="5" t="str">
        <f>IFERROR(__xludf.DUMMYFUNCTION("""COMPUTED_VALUE"""),"Slot")</f>
        <v>Slot</v>
      </c>
      <c r="L361" s="5"/>
      <c r="M361" s="5"/>
      <c r="N361" s="7" t="str">
        <f>IFERROR(__xludf.DUMMYFUNCTION("""COMPUTED_VALUE"""),"https://drive.google.com/file/d/1ivbG8UXxIAnTfkAgUJByvwfzugx0b1Hb/view?usp=drive_link")</f>
        <v>https://drive.google.com/file/d/1ivbG8UXxIAnTfkAgUJByvwfzugx0b1Hb/view?usp=drive_link</v>
      </c>
      <c r="O361" s="7" t="str">
        <f>IFERROR(__xludf.DUMMYFUNCTION("""COMPUTED_VALUE"""),"https://drive.google.com/file/d/1mpJlWtYm8PvapZgmNiyB45GyxGZIbeVT/view?usp=drive_link")</f>
        <v>https://drive.google.com/file/d/1mpJlWtYm8PvapZgmNiyB45GyxGZIbeVT/view?usp=drive_link</v>
      </c>
      <c r="P361" s="12">
        <f>IFERROR(__xludf.DUMMYFUNCTION("""COMPUTED_VALUE"""),25.0)</f>
        <v>25</v>
      </c>
      <c r="Q361" s="14">
        <f>IFERROR(__xludf.DUMMYFUNCTION("""COMPUTED_VALUE"""),45635.0)</f>
        <v>45635</v>
      </c>
      <c r="R361" s="14">
        <f>IFERROR(__xludf.DUMMYFUNCTION("""COMPUTED_VALUE"""),45629.0)</f>
        <v>45629</v>
      </c>
      <c r="S361" s="13">
        <f>IFERROR(__xludf.DUMMYFUNCTION("""COMPUTED_VALUE"""),45636.0)</f>
        <v>45636</v>
      </c>
      <c r="T361" s="5" t="b">
        <f>IFERROR(__xludf.DUMMYFUNCTION("""COMPUTED_VALUE"""),TRUE)</f>
        <v>1</v>
      </c>
      <c r="U361" s="5" t="str">
        <f>IFERROR(__xludf.DUMMYFUNCTION("""COMPUTED_VALUE"""),"5x4")</f>
        <v>5x4</v>
      </c>
      <c r="V361" s="5">
        <f>IFERROR(__xludf.DUMMYFUNCTION("""COMPUTED_VALUE"""),40.0)</f>
        <v>40</v>
      </c>
      <c r="W361" s="5">
        <f>IFERROR(__xludf.DUMMYFUNCTION("""COMPUTED_VALUE"""),40.0)</f>
        <v>40</v>
      </c>
      <c r="X361" s="11">
        <f>IFERROR(__xludf.DUMMYFUNCTION("""COMPUTED_VALUE"""),96.483)</f>
        <v>96.483</v>
      </c>
      <c r="Y361" s="5" t="str">
        <f>IFERROR(__xludf.DUMMYFUNCTION("""COMPUTED_VALUE"""),"High")</f>
        <v>High</v>
      </c>
      <c r="Z361" s="5">
        <f>IFERROR(__xludf.DUMMYFUNCTION("""COMPUTED_VALUE"""),12.5)</f>
        <v>12.5</v>
      </c>
      <c r="AA361" s="5">
        <f>IFERROR(__xludf.DUMMYFUNCTION("""COMPUTED_VALUE"""),5000.0)</f>
        <v>5000</v>
      </c>
      <c r="AB361" s="5"/>
      <c r="AC361" s="5" t="str">
        <f>IFERROR(__xludf.DUMMYFUNCTION("""COMPUTED_VALUE"""),"Scatter, Expanding Wild")</f>
        <v>Scatter, Expanding Wild</v>
      </c>
      <c r="AD361" s="5" t="str">
        <f>IFERROR(__xludf.DUMMYFUNCTION("""COMPUTED_VALUE"""),"0.4/60")</f>
        <v>0.4/60</v>
      </c>
      <c r="AE361" s="5"/>
      <c r="AF361" s="5"/>
      <c r="AG361" s="15">
        <f>IFERROR(__xludf.DUMMYFUNCTION("""COMPUTED_VALUE"""),46112.38596064815)</f>
        <v>46112.38596</v>
      </c>
      <c r="AH361" s="5" t="str">
        <f>IFERROR(__xludf.DUMMYFUNCTION("""COMPUTED_VALUE"""),"milutin.toskic@fazi.rs")</f>
        <v>milutin.toskic@fazi.rs</v>
      </c>
      <c r="AI361" s="5"/>
      <c r="AJ361" s="5"/>
      <c r="AK361" s="5" t="str">
        <f>IFERROR(__xludf.DUMMYFUNCTION("""COMPUTED_VALUE"""),"#N/A")</f>
        <v>#N/A</v>
      </c>
      <c r="AL361" s="5" t="str">
        <f>IFERROR(__xludf.DUMMYFUNCTION("""COMPUTED_VALUE"""),"Yes")</f>
        <v>Yes</v>
      </c>
      <c r="AM361" s="5"/>
      <c r="AN361" s="7" t="str">
        <f>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AO361" s="5" t="str">
        <f>IFERROR(__xludf.DUMMYFUNCTION("""COMPUTED_VALUE"""),"Yes")</f>
        <v>Yes</v>
      </c>
      <c r="AP361" s="5" t="str">
        <f>IFERROR(__xludf.DUMMYFUNCTION("""COMPUTED_VALUE"""),"Yes")</f>
        <v>Yes</v>
      </c>
      <c r="AQ361" s="5" t="b">
        <f>IFERROR(__xludf.DUMMYFUNCTION("""COMPUTED_VALUE"""),TRUE)</f>
        <v>1</v>
      </c>
      <c r="AR361" s="5"/>
      <c r="AS361" s="5" t="str">
        <f>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AT361" s="5" t="str">
        <f>IFERROR(__xludf.DUMMYFUNCTION("""COMPUTED_VALUE"""),"Yes")</f>
        <v>Yes</v>
      </c>
      <c r="AU361" s="5" t="str">
        <f>IFERROR(__xludf.DUMMYFUNCTION("""COMPUTED_VALUE"""),"Fazi")</f>
        <v>Fazi</v>
      </c>
      <c r="AV361" s="5"/>
      <c r="AW361" s="5"/>
      <c r="AX361" s="5"/>
      <c r="AY361" s="5"/>
      <c r="AZ361" s="5"/>
      <c r="BA361" s="5"/>
      <c r="BB361" s="5"/>
      <c r="BC361" s="5" t="str">
        <f>IFERROR(__xludf.DUMMYFUNCTION("""COMPUTED_VALUE"""),"Foxi")</f>
        <v>Foxi</v>
      </c>
      <c r="BD361" s="7" t="str">
        <f>IFERROR(__xludf.DUMMYFUNCTION("""COMPUTED_VALUE"""),"https://gameserver-store-client-area.orbionlimited.com/Home/IntegrationGameLaunch/client-area?moneyType=0&amp;gameName=GoldenCrownMax&amp;platform=desktop&amp;languageCode=eng&amp;currency=EUR")</f>
        <v>https://gameserver-store-client-area.orbionlimited.com/Home/IntegrationGameLaunch/client-area?moneyType=0&amp;gameName=GoldenCrownMax&amp;platform=desktop&amp;languageCode=eng&amp;currency=EUR</v>
      </c>
      <c r="BE361" s="5" t="b">
        <f>IFERROR(__xludf.DUMMYFUNCTION("""COMPUTED_VALUE"""),TRUE)</f>
        <v>1</v>
      </c>
    </row>
    <row r="362">
      <c r="A362" s="5">
        <f>IFERROR(__xludf.DUMMYFUNCTION("""COMPUTED_VALUE"""),366.0)</f>
        <v>366</v>
      </c>
      <c r="B362" s="5">
        <f>IFERROR(__xludf.DUMMYFUNCTION("""COMPUTED_VALUE"""),340.0)</f>
        <v>340</v>
      </c>
      <c r="C362" s="5" t="str">
        <f>IFERROR(__xludf.DUMMYFUNCTION("""COMPUTED_VALUE"""),"Tiptop")</f>
        <v>Tiptop</v>
      </c>
      <c r="D362" s="5" t="str">
        <f>IFERROR(__xludf.DUMMYFUNCTION("""COMPUTED_VALUE"""),"Buffalo Dice")</f>
        <v>Buffalo Dice</v>
      </c>
      <c r="E362" s="5"/>
      <c r="F362" s="5" t="str">
        <f>IFERROR(__xludf.DUMMYFUNCTION("""COMPUTED_VALUE"""),"UnicornBuffaloDice")</f>
        <v>UnicornBuffaloDice</v>
      </c>
      <c r="G362" s="5" t="str">
        <f>IFERROR(__xludf.DUMMYFUNCTION("""COMPUTED_VALUE"""),"Live")</f>
        <v>Live</v>
      </c>
      <c r="H362" s="5"/>
      <c r="I362" s="5" t="str">
        <f>IFERROR(__xludf.DUMMYFUNCTION("""COMPUTED_VALUE"""),"TipTop")</f>
        <v>TipTop</v>
      </c>
      <c r="J362" s="5" t="str">
        <f>IFERROR(__xludf.DUMMYFUNCTION("""COMPUTED_VALUE"""),"JSON")</f>
        <v>JSON</v>
      </c>
      <c r="K362" s="5" t="str">
        <f>IFERROR(__xludf.DUMMYFUNCTION("""COMPUTED_VALUE"""),"Dice Slots")</f>
        <v>Dice Slots</v>
      </c>
      <c r="L362" s="5"/>
      <c r="M362" s="5"/>
      <c r="N362" s="5"/>
      <c r="O362" s="5"/>
      <c r="P362" s="12">
        <f>IFERROR(__xludf.DUMMYFUNCTION("""COMPUTED_VALUE"""),10.8)</f>
        <v>10.8</v>
      </c>
      <c r="Q362" s="13">
        <f>IFERROR(__xludf.DUMMYFUNCTION("""COMPUTED_VALUE"""),45516.0)</f>
        <v>45516</v>
      </c>
      <c r="R362" s="14"/>
      <c r="S362" s="13">
        <f>IFERROR(__xludf.DUMMYFUNCTION("""COMPUTED_VALUE"""),45516.0)</f>
        <v>45516</v>
      </c>
      <c r="T362" s="5" t="b">
        <f>IFERROR(__xludf.DUMMYFUNCTION("""COMPUTED_VALUE"""),TRUE)</f>
        <v>1</v>
      </c>
      <c r="U362" s="5" t="str">
        <f>IFERROR(__xludf.DUMMYFUNCTION("""COMPUTED_VALUE"""),"5X3")</f>
        <v>5X3</v>
      </c>
      <c r="V362" s="5">
        <f>IFERROR(__xludf.DUMMYFUNCTION("""COMPUTED_VALUE"""),10.0)</f>
        <v>10</v>
      </c>
      <c r="W362" s="5">
        <f>IFERROR(__xludf.DUMMYFUNCTION("""COMPUTED_VALUE"""),10.0)</f>
        <v>10</v>
      </c>
      <c r="X362" s="11">
        <f>IFERROR(__xludf.DUMMYFUNCTION("""COMPUTED_VALUE"""),96.0)</f>
        <v>96</v>
      </c>
      <c r="Y362" s="5" t="str">
        <f>IFERROR(__xludf.DUMMYFUNCTION("""COMPUTED_VALUE"""),"Low")</f>
        <v>Low</v>
      </c>
      <c r="Z362" s="5">
        <f>IFERROR(__xludf.DUMMYFUNCTION("""COMPUTED_VALUE"""),9.08)</f>
        <v>9.08</v>
      </c>
      <c r="AA362" s="5">
        <f>IFERROR(__xludf.DUMMYFUNCTION("""COMPUTED_VALUE"""),5000.0)</f>
        <v>5000</v>
      </c>
      <c r="AB362" s="5"/>
      <c r="AC362" s="5"/>
      <c r="AD362" s="5" t="str">
        <f>IFERROR(__xludf.DUMMYFUNCTION("""COMPUTED_VALUE"""),"0.1/100")</f>
        <v>0.1/100</v>
      </c>
      <c r="AE362" s="5"/>
      <c r="AF362" s="5"/>
      <c r="AG362" s="8">
        <f>IFERROR(__xludf.DUMMYFUNCTION("""COMPUTED_VALUE"""),46197.48997685185)</f>
        <v>46197.48998</v>
      </c>
      <c r="AH362" s="5" t="str">
        <f>IFERROR(__xludf.DUMMYFUNCTION("""COMPUTED_VALUE"""),"selena.mihajlovic@fazi.rs")</f>
        <v>selena.mihajlovic@fazi.rs</v>
      </c>
      <c r="AI362" s="5"/>
      <c r="AJ362" s="5"/>
      <c r="AK362" s="5">
        <f>IFERROR(__xludf.DUMMYFUNCTION("""COMPUTED_VALUE"""),10.0)</f>
        <v>10</v>
      </c>
      <c r="AL362" s="5" t="str">
        <f>IFERROR(__xludf.DUMMYFUNCTION("""COMPUTED_VALUE"""),"No")</f>
        <v>No</v>
      </c>
      <c r="AM362" s="5"/>
      <c r="AN362" s="7" t="str">
        <f>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AO362" s="5"/>
      <c r="AP362" s="5"/>
      <c r="AQ362" s="5" t="b">
        <f>IFERROR(__xludf.DUMMYFUNCTION("""COMPUTED_VALUE"""),TRUE)</f>
        <v>1</v>
      </c>
      <c r="AR362" s="5"/>
      <c r="AS362" s="5" t="str">
        <f>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AT362" s="5"/>
      <c r="AU362" s="5" t="str">
        <f>IFERROR(__xludf.DUMMYFUNCTION("""COMPUTED_VALUE"""),"Fazi")</f>
        <v>Fazi</v>
      </c>
      <c r="AV362" s="5"/>
      <c r="AW362" s="5"/>
      <c r="AX362" s="5"/>
      <c r="AY362" s="5"/>
      <c r="AZ362" s="5"/>
      <c r="BA362" s="5"/>
      <c r="BB362" s="5" t="b">
        <f>IFERROR(__xludf.DUMMYFUNCTION("""COMPUTED_VALUE"""),TRUE)</f>
        <v>1</v>
      </c>
      <c r="BC362" s="5" t="str">
        <f>IFERROR(__xludf.DUMMYFUNCTION("""COMPUTED_VALUE"""),"Tiptop")</f>
        <v>Tiptop</v>
      </c>
      <c r="BD362" s="7" t="str">
        <f>IFERROR(__xludf.DUMMYFUNCTION("""COMPUTED_VALUE"""),"https://gameserver-store-client-area.orbionlimited.com/Home/IntegrationGameLaunch/client-area?moneyType=0&amp;gameName=UnicornBuffaloDice&amp;platform=desktop&amp;languageCode=eng&amp;currency=EUR")</f>
        <v>https://gameserver-store-client-area.orbionlimited.com/Home/IntegrationGameLaunch/client-area?moneyType=0&amp;gameName=UnicornBuffaloDice&amp;platform=desktop&amp;languageCode=eng&amp;currency=EUR</v>
      </c>
      <c r="BE362" s="5" t="b">
        <f>IFERROR(__xludf.DUMMYFUNCTION("""COMPUTED_VALUE"""),TRUE)</f>
        <v>1</v>
      </c>
    </row>
    <row r="363">
      <c r="A363" s="5">
        <f>IFERROR(__xludf.DUMMYFUNCTION("""COMPUTED_VALUE"""),367.0)</f>
        <v>367</v>
      </c>
      <c r="B363" s="5">
        <f>IFERROR(__xludf.DUMMYFUNCTION("""COMPUTED_VALUE"""),341.0)</f>
        <v>341</v>
      </c>
      <c r="C363" s="5" t="str">
        <f>IFERROR(__xludf.DUMMYFUNCTION("""COMPUTED_VALUE"""),"Redstone")</f>
        <v>Redstone</v>
      </c>
      <c r="D363" s="5" t="str">
        <f>IFERROR(__xludf.DUMMYFUNCTION("""COMPUTED_VALUE"""),"81 Vegas Crown")</f>
        <v>81 Vegas Crown</v>
      </c>
      <c r="E363" s="5" t="str">
        <f>IFERROR(__xludf.DUMMYFUNCTION("""COMPUTED_VALUE"""),"Redstone")</f>
        <v>Redstone</v>
      </c>
      <c r="F363" s="5" t="str">
        <f>IFERROR(__xludf.DUMMYFUNCTION("""COMPUTED_VALUE"""),"Redstone81VegasCrown")</f>
        <v>Redstone81VegasCrown</v>
      </c>
      <c r="G363" s="5" t="str">
        <f>IFERROR(__xludf.DUMMYFUNCTION("""COMPUTED_VALUE"""),"Live")</f>
        <v>Live</v>
      </c>
      <c r="H363" s="5"/>
      <c r="I363" s="5" t="str">
        <f>IFERROR(__xludf.DUMMYFUNCTION("""COMPUTED_VALUE"""),"Redstone")</f>
        <v>Redstone</v>
      </c>
      <c r="J363" s="5"/>
      <c r="K363" s="5" t="str">
        <f>IFERROR(__xludf.DUMMYFUNCTION("""COMPUTED_VALUE"""),"Slot")</f>
        <v>Slot</v>
      </c>
      <c r="L363" s="5" t="str">
        <f>IFERROR(__xludf.DUMMYFUNCTION("""COMPUTED_VALUE"""),"Master")</f>
        <v>Master</v>
      </c>
      <c r="M363" s="5"/>
      <c r="N363" s="7" t="str">
        <f>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63" s="7" t="str">
        <f>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63" s="12">
        <f>IFERROR(__xludf.DUMMYFUNCTION("""COMPUTED_VALUE"""),11.7)</f>
        <v>11.7</v>
      </c>
      <c r="Q363" s="13">
        <f>IFERROR(__xludf.DUMMYFUNCTION("""COMPUTED_VALUE"""),45485.0)</f>
        <v>45485</v>
      </c>
      <c r="R363" s="14"/>
      <c r="S363" s="13">
        <f>IFERROR(__xludf.DUMMYFUNCTION("""COMPUTED_VALUE"""),45485.0)</f>
        <v>45485</v>
      </c>
      <c r="T363" s="5" t="b">
        <f>IFERROR(__xludf.DUMMYFUNCTION("""COMPUTED_VALUE"""),TRUE)</f>
        <v>1</v>
      </c>
      <c r="U363" s="5" t="str">
        <f>IFERROR(__xludf.DUMMYFUNCTION("""COMPUTED_VALUE"""),"4x3")</f>
        <v>4x3</v>
      </c>
      <c r="V363" s="5">
        <f>IFERROR(__xludf.DUMMYFUNCTION("""COMPUTED_VALUE"""),81.0)</f>
        <v>81</v>
      </c>
      <c r="W363" s="5">
        <f>IFERROR(__xludf.DUMMYFUNCTION("""COMPUTED_VALUE"""),81.0)</f>
        <v>81</v>
      </c>
      <c r="X363" s="5">
        <f>IFERROR(__xludf.DUMMYFUNCTION("""COMPUTED_VALUE"""),96.55)</f>
        <v>96.55</v>
      </c>
      <c r="Y363" s="5" t="str">
        <f>IFERROR(__xludf.DUMMYFUNCTION("""COMPUTED_VALUE"""),"High")</f>
        <v>High</v>
      </c>
      <c r="Z363" s="5">
        <f>IFERROR(__xludf.DUMMYFUNCTION("""COMPUTED_VALUE"""),5.1)</f>
        <v>5.1</v>
      </c>
      <c r="AA363" s="5">
        <f>IFERROR(__xludf.DUMMYFUNCTION("""COMPUTED_VALUE"""),3200.0)</f>
        <v>3200</v>
      </c>
      <c r="AB363" s="5"/>
      <c r="AC363" s="5" t="str">
        <f>IFERROR(__xludf.DUMMYFUNCTION("""COMPUTED_VALUE"""),"Mystery symbol, Wild Multiplier, Win Multiplier")</f>
        <v>Mystery symbol, Wild Multiplier, Win Multiplier</v>
      </c>
      <c r="AD363" s="5" t="str">
        <f>IFERROR(__xludf.DUMMYFUNCTION("""COMPUTED_VALUE"""),"0.05/20")</f>
        <v>0.05/20</v>
      </c>
      <c r="AE363" s="5"/>
      <c r="AF363" s="5"/>
      <c r="AG363" s="8">
        <f>IFERROR(__xludf.DUMMYFUNCTION("""COMPUTED_VALUE"""),46157.48951388889)</f>
        <v>46157.48951</v>
      </c>
      <c r="AH363" s="5"/>
      <c r="AI363" s="5"/>
      <c r="AJ363" s="5"/>
      <c r="AK363" s="5">
        <f>IFERROR(__xludf.DUMMYFUNCTION("""COMPUTED_VALUE"""),1.0)</f>
        <v>1</v>
      </c>
      <c r="AL363" s="5" t="str">
        <f>IFERROR(__xludf.DUMMYFUNCTION("""COMPUTED_VALUE"""),"No")</f>
        <v>No</v>
      </c>
      <c r="AM363" s="5" t="str">
        <f>IFERROR(__xludf.DUMMYFUNCTION("""COMPUTED_VALUE"""),"No")</f>
        <v>No</v>
      </c>
      <c r="AN363" s="7" t="str">
        <f>IFERROR(__xludf.DUMMYFUNCTION("""COMPUTED_VALUE"""),"https://static.redstone.rs/games/81-vegas-crown/")</f>
        <v>https://static.redstone.rs/games/81-vegas-crown/</v>
      </c>
      <c r="AO363" s="5" t="str">
        <f>IFERROR(__xludf.DUMMYFUNCTION("""COMPUTED_VALUE"""),"No")</f>
        <v>No</v>
      </c>
      <c r="AP363" s="5" t="str">
        <f>IFERROR(__xludf.DUMMYFUNCTION("""COMPUTED_VALUE"""),"No")</f>
        <v>No</v>
      </c>
      <c r="AQ363" s="5" t="b">
        <f>IFERROR(__xludf.DUMMYFUNCTION("""COMPUTED_VALUE"""),TRUE)</f>
        <v>1</v>
      </c>
      <c r="AR363" s="5"/>
      <c r="AS363" s="5" t="str">
        <f>IFERROR(__xludf.DUMMYFUNCTION("""COMPUTED_VALUE"""),"Feel the Vegas atmosphere with 81 Vegas Crown, land crown symbols and get some juicy multipliers!")</f>
        <v>Feel the Vegas atmosphere with 81 Vegas Crown, land crown symbols and get some juicy multipliers!</v>
      </c>
      <c r="AT363" s="5"/>
      <c r="AU363" s="5" t="str">
        <f>IFERROR(__xludf.DUMMYFUNCTION("""COMPUTED_VALUE"""),"Redstone")</f>
        <v>Redstone</v>
      </c>
      <c r="AV363" s="5"/>
      <c r="AW363" s="5"/>
      <c r="AX363" s="5"/>
      <c r="AY363" s="5"/>
      <c r="AZ363" s="5"/>
      <c r="BA363" s="5"/>
      <c r="BB363" s="5" t="b">
        <f>IFERROR(__xludf.DUMMYFUNCTION("""COMPUTED_VALUE"""),TRUE)</f>
        <v>1</v>
      </c>
      <c r="BC363" s="5" t="str">
        <f>IFERROR(__xludf.DUMMYFUNCTION("""COMPUTED_VALUE"""),"Redstone")</f>
        <v>Redstone</v>
      </c>
      <c r="BD363" s="7" t="str">
        <f>IFERROR(__xludf.DUMMYFUNCTION("""COMPUTED_VALUE"""),"https://static.redstone.rs/games/81-vegas-crown/")</f>
        <v>https://static.redstone.rs/games/81-vegas-crown/</v>
      </c>
      <c r="BE363" s="5" t="b">
        <f>IFERROR(__xludf.DUMMYFUNCTION("""COMPUTED_VALUE"""),TRUE)</f>
        <v>1</v>
      </c>
    </row>
    <row r="364">
      <c r="A364" s="5">
        <f>IFERROR(__xludf.DUMMYFUNCTION("""COMPUTED_VALUE"""),368.0)</f>
        <v>368</v>
      </c>
      <c r="B364" s="5">
        <f>IFERROR(__xludf.DUMMYFUNCTION("""COMPUTED_VALUE"""),342.0)</f>
        <v>342</v>
      </c>
      <c r="C364" s="5" t="str">
        <f>IFERROR(__xludf.DUMMYFUNCTION("""COMPUTED_VALUE"""),"Tiptop")</f>
        <v>Tiptop</v>
      </c>
      <c r="D364" s="5" t="str">
        <f>IFERROR(__xludf.DUMMYFUNCTION("""COMPUTED_VALUE"""),"Lava Dice")</f>
        <v>Lava Dice</v>
      </c>
      <c r="E364" s="5"/>
      <c r="F364" s="5" t="str">
        <f>IFERROR(__xludf.DUMMYFUNCTION("""COMPUTED_VALUE"""),"UnicornLavaDice")</f>
        <v>UnicornLavaDice</v>
      </c>
      <c r="G364" s="5" t="str">
        <f>IFERROR(__xludf.DUMMYFUNCTION("""COMPUTED_VALUE"""),"Live")</f>
        <v>Live</v>
      </c>
      <c r="H364" s="5"/>
      <c r="I364" s="5" t="str">
        <f>IFERROR(__xludf.DUMMYFUNCTION("""COMPUTED_VALUE"""),"TipTop")</f>
        <v>TipTop</v>
      </c>
      <c r="J364" s="5" t="str">
        <f>IFERROR(__xludf.DUMMYFUNCTION("""COMPUTED_VALUE"""),"JSON")</f>
        <v>JSON</v>
      </c>
      <c r="K364" s="5" t="str">
        <f>IFERROR(__xludf.DUMMYFUNCTION("""COMPUTED_VALUE"""),"Dice Slots")</f>
        <v>Dice Slots</v>
      </c>
      <c r="L364" s="5"/>
      <c r="M364" s="5"/>
      <c r="N364" s="5"/>
      <c r="O364" s="5"/>
      <c r="P364" s="12">
        <f>IFERROR(__xludf.DUMMYFUNCTION("""COMPUTED_VALUE"""),10.9)</f>
        <v>10.9</v>
      </c>
      <c r="Q364" s="13">
        <f>IFERROR(__xludf.DUMMYFUNCTION("""COMPUTED_VALUE"""),45476.0)</f>
        <v>45476</v>
      </c>
      <c r="R364" s="14"/>
      <c r="S364" s="13">
        <f>IFERROR(__xludf.DUMMYFUNCTION("""COMPUTED_VALUE"""),45476.0)</f>
        <v>45476</v>
      </c>
      <c r="T364" s="5" t="b">
        <f>IFERROR(__xludf.DUMMYFUNCTION("""COMPUTED_VALUE"""),TRUE)</f>
        <v>1</v>
      </c>
      <c r="U364" s="5" t="str">
        <f>IFERROR(__xludf.DUMMYFUNCTION("""COMPUTED_VALUE"""),"5X3")</f>
        <v>5X3</v>
      </c>
      <c r="V364" s="5">
        <f>IFERROR(__xludf.DUMMYFUNCTION("""COMPUTED_VALUE"""),10.0)</f>
        <v>10</v>
      </c>
      <c r="W364" s="5">
        <f>IFERROR(__xludf.DUMMYFUNCTION("""COMPUTED_VALUE"""),10.0)</f>
        <v>10</v>
      </c>
      <c r="X364" s="5">
        <f>IFERROR(__xludf.DUMMYFUNCTION("""COMPUTED_VALUE"""),96.0)</f>
        <v>96</v>
      </c>
      <c r="Y364" s="5" t="str">
        <f>IFERROR(__xludf.DUMMYFUNCTION("""COMPUTED_VALUE"""),"Low")</f>
        <v>Low</v>
      </c>
      <c r="Z364" s="5">
        <f>IFERROR(__xludf.DUMMYFUNCTION("""COMPUTED_VALUE"""),24.14)</f>
        <v>24.14</v>
      </c>
      <c r="AA364" s="5">
        <f>IFERROR(__xludf.DUMMYFUNCTION("""COMPUTED_VALUE"""),10000.0)</f>
        <v>10000</v>
      </c>
      <c r="AB364" s="5"/>
      <c r="AC364" s="5"/>
      <c r="AD364" s="5" t="str">
        <f>IFERROR(__xludf.DUMMYFUNCTION("""COMPUTED_VALUE"""),"0.1/100")</f>
        <v>0.1/100</v>
      </c>
      <c r="AE364" s="5"/>
      <c r="AF364" s="5"/>
      <c r="AG364" s="8">
        <f>IFERROR(__xludf.DUMMYFUNCTION("""COMPUTED_VALUE"""),46197.49018518518)</f>
        <v>46197.49019</v>
      </c>
      <c r="AH364" s="5" t="str">
        <f>IFERROR(__xludf.DUMMYFUNCTION("""COMPUTED_VALUE"""),"selena.mihajlovic@fazi.rs")</f>
        <v>selena.mihajlovic@fazi.rs</v>
      </c>
      <c r="AI364" s="5"/>
      <c r="AJ364" s="5"/>
      <c r="AK364" s="5">
        <f>IFERROR(__xludf.DUMMYFUNCTION("""COMPUTED_VALUE"""),10.0)</f>
        <v>10</v>
      </c>
      <c r="AL364" s="5" t="str">
        <f>IFERROR(__xludf.DUMMYFUNCTION("""COMPUTED_VALUE"""),"No")</f>
        <v>No</v>
      </c>
      <c r="AM364" s="5"/>
      <c r="AN364" s="7" t="str">
        <f>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AO364" s="5"/>
      <c r="AP364" s="5"/>
      <c r="AQ364" s="5" t="b">
        <f>IFERROR(__xludf.DUMMYFUNCTION("""COMPUTED_VALUE"""),TRUE)</f>
        <v>1</v>
      </c>
      <c r="AR364" s="5"/>
      <c r="AS364" s="5" t="str">
        <f>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AT364" s="5"/>
      <c r="AU364" s="5" t="str">
        <f>IFERROR(__xludf.DUMMYFUNCTION("""COMPUTED_VALUE"""),"Fazi")</f>
        <v>Fazi</v>
      </c>
      <c r="AV364" s="5"/>
      <c r="AW364" s="5"/>
      <c r="AX364" s="5"/>
      <c r="AY364" s="5"/>
      <c r="AZ364" s="5"/>
      <c r="BA364" s="5"/>
      <c r="BB364" s="5" t="b">
        <f>IFERROR(__xludf.DUMMYFUNCTION("""COMPUTED_VALUE"""),TRUE)</f>
        <v>1</v>
      </c>
      <c r="BC364" s="5" t="str">
        <f>IFERROR(__xludf.DUMMYFUNCTION("""COMPUTED_VALUE"""),"Tiptop")</f>
        <v>Tiptop</v>
      </c>
      <c r="BD364" s="7" t="str">
        <f>IFERROR(__xludf.DUMMYFUNCTION("""COMPUTED_VALUE"""),"https://gameserver-store-client-area.orbionlimited.com/Home/IntegrationGameLaunch/client-area?moneyType=0&amp;gameName=UnicornLavaDice&amp;platform=desktop&amp;languageCode=eng&amp;currency=EUR")</f>
        <v>https://gameserver-store-client-area.orbionlimited.com/Home/IntegrationGameLaunch/client-area?moneyType=0&amp;gameName=UnicornLavaDice&amp;platform=desktop&amp;languageCode=eng&amp;currency=EUR</v>
      </c>
      <c r="BE364" s="5" t="b">
        <f>IFERROR(__xludf.DUMMYFUNCTION("""COMPUTED_VALUE"""),TRUE)</f>
        <v>1</v>
      </c>
    </row>
    <row r="365">
      <c r="A365" s="5">
        <f>IFERROR(__xludf.DUMMYFUNCTION("""COMPUTED_VALUE"""),369.0)</f>
        <v>369</v>
      </c>
      <c r="B365" s="5">
        <f>IFERROR(__xludf.DUMMYFUNCTION("""COMPUTED_VALUE"""),343.0)</f>
        <v>343</v>
      </c>
      <c r="C365" s="5" t="str">
        <f>IFERROR(__xludf.DUMMYFUNCTION("""COMPUTED_VALUE"""),"Redstone")</f>
        <v>Redstone</v>
      </c>
      <c r="D365" s="5" t="str">
        <f>IFERROR(__xludf.DUMMYFUNCTION("""COMPUTED_VALUE"""),"Apollo 27 Classic")</f>
        <v>Apollo 27 Classic</v>
      </c>
      <c r="E365" s="5" t="str">
        <f>IFERROR(__xludf.DUMMYFUNCTION("""COMPUTED_VALUE"""),"Redstone")</f>
        <v>Redstone</v>
      </c>
      <c r="F365" s="5" t="str">
        <f>IFERROR(__xludf.DUMMYFUNCTION("""COMPUTED_VALUE"""),"RedstoneApollo27Classic")</f>
        <v>RedstoneApollo27Classic</v>
      </c>
      <c r="G365" s="5" t="str">
        <f>IFERROR(__xludf.DUMMYFUNCTION("""COMPUTED_VALUE"""),"Live")</f>
        <v>Live</v>
      </c>
      <c r="H365" s="5"/>
      <c r="I365" s="5" t="str">
        <f>IFERROR(__xludf.DUMMYFUNCTION("""COMPUTED_VALUE"""),"Redstone")</f>
        <v>Redstone</v>
      </c>
      <c r="J365" s="5" t="str">
        <f>IFERROR(__xludf.DUMMYFUNCTION("""COMPUTED_VALUE"""),"JSON")</f>
        <v>JSON</v>
      </c>
      <c r="K365" s="5" t="str">
        <f>IFERROR(__xludf.DUMMYFUNCTION("""COMPUTED_VALUE"""),"Slot")</f>
        <v>Slot</v>
      </c>
      <c r="L365" s="5" t="str">
        <f>IFERROR(__xludf.DUMMYFUNCTION("""COMPUTED_VALUE"""),"Master")</f>
        <v>Master</v>
      </c>
      <c r="M365" s="5"/>
      <c r="N365" s="7" t="str">
        <f>IFERROR(__xludf.DUMMYFUNCTION("""COMPUTED_VALUE"""),"https://docs.google.com/document/d/1U8Oko8zxhZUB-T_GMeF5oSqREzEyeBXj/edit?usp=drive_link&amp;ouid=107596163405648766688&amp;rtpof=true&amp;sd=true")</f>
        <v>https://docs.google.com/document/d/1U8Oko8zxhZUB-T_GMeF5oSqREzEyeBXj/edit?usp=drive_link&amp;ouid=107596163405648766688&amp;rtpof=true&amp;sd=true</v>
      </c>
      <c r="O365" s="7" t="str">
        <f>IFERROR(__xludf.DUMMYFUNCTION("""COMPUTED_VALUE"""),"https://docs.google.com/document/d/1oou0d1yvLwRN0xVZsxval7CIO-R8ZPqx/edit?usp=drive_link&amp;ouid=107596163405648766688&amp;rtpof=true&amp;sd=true")</f>
        <v>https://docs.google.com/document/d/1oou0d1yvLwRN0xVZsxval7CIO-R8ZPqx/edit?usp=drive_link&amp;ouid=107596163405648766688&amp;rtpof=true&amp;sd=true</v>
      </c>
      <c r="P365" s="12">
        <f>IFERROR(__xludf.DUMMYFUNCTION("""COMPUTED_VALUE"""),6.1)</f>
        <v>6.1</v>
      </c>
      <c r="Q365" s="13">
        <f>IFERROR(__xludf.DUMMYFUNCTION("""COMPUTED_VALUE"""),45467.0)</f>
        <v>45467</v>
      </c>
      <c r="R365" s="14"/>
      <c r="S365" s="13">
        <f>IFERROR(__xludf.DUMMYFUNCTION("""COMPUTED_VALUE"""),45467.0)</f>
        <v>45467</v>
      </c>
      <c r="T365" s="5" t="b">
        <f>IFERROR(__xludf.DUMMYFUNCTION("""COMPUTED_VALUE"""),TRUE)</f>
        <v>1</v>
      </c>
      <c r="U365" s="5" t="str">
        <f>IFERROR(__xludf.DUMMYFUNCTION("""COMPUTED_VALUE"""),"3x3")</f>
        <v>3x3</v>
      </c>
      <c r="V365" s="5">
        <f>IFERROR(__xludf.DUMMYFUNCTION("""COMPUTED_VALUE"""),27.0)</f>
        <v>27</v>
      </c>
      <c r="W365" s="5">
        <f>IFERROR(__xludf.DUMMYFUNCTION("""COMPUTED_VALUE"""),27.0)</f>
        <v>27</v>
      </c>
      <c r="X365" s="5">
        <f>IFERROR(__xludf.DUMMYFUNCTION("""COMPUTED_VALUE"""),96.24)</f>
        <v>96.24</v>
      </c>
      <c r="Y365" s="5" t="str">
        <f>IFERROR(__xludf.DUMMYFUNCTION("""COMPUTED_VALUE"""),"Low")</f>
        <v>Low</v>
      </c>
      <c r="Z365" s="5">
        <f>IFERROR(__xludf.DUMMYFUNCTION("""COMPUTED_VALUE"""),6.58)</f>
        <v>6.58</v>
      </c>
      <c r="AA365" s="5">
        <f>IFERROR(__xludf.DUMMYFUNCTION("""COMPUTED_VALUE"""),108.0)</f>
        <v>108</v>
      </c>
      <c r="AB365" s="5"/>
      <c r="AC365" s="5" t="str">
        <f>IFERROR(__xludf.DUMMYFUNCTION("""COMPUTED_VALUE"""),"Win Multiplier")</f>
        <v>Win Multiplier</v>
      </c>
      <c r="AD365" s="5" t="str">
        <f>IFERROR(__xludf.DUMMYFUNCTION("""COMPUTED_VALUE"""),"0.01/50")</f>
        <v>0.01/50</v>
      </c>
      <c r="AE365" s="5"/>
      <c r="AF365" s="5"/>
      <c r="AG365" s="8">
        <f>IFERROR(__xludf.DUMMYFUNCTION("""COMPUTED_VALUE"""),46157.489953703705)</f>
        <v>46157.48995</v>
      </c>
      <c r="AH365" s="5"/>
      <c r="AI365" s="5"/>
      <c r="AJ365" s="5"/>
      <c r="AK365" s="5">
        <f>IFERROR(__xludf.DUMMYFUNCTION("""COMPUTED_VALUE"""),1.0)</f>
        <v>1</v>
      </c>
      <c r="AL365" s="5" t="str">
        <f>IFERROR(__xludf.DUMMYFUNCTION("""COMPUTED_VALUE"""),"No")</f>
        <v>No</v>
      </c>
      <c r="AM365" s="5" t="str">
        <f>IFERROR(__xludf.DUMMYFUNCTION("""COMPUTED_VALUE"""),"No")</f>
        <v>No</v>
      </c>
      <c r="AN365" s="7" t="str">
        <f>IFERROR(__xludf.DUMMYFUNCTION("""COMPUTED_VALUE"""),"https://static.redstone.rs/games/apollo-27-classic/")</f>
        <v>https://static.redstone.rs/games/apollo-27-classic/</v>
      </c>
      <c r="AO365" s="5" t="str">
        <f>IFERROR(__xludf.DUMMYFUNCTION("""COMPUTED_VALUE"""),"No")</f>
        <v>No</v>
      </c>
      <c r="AP365" s="5" t="str">
        <f>IFERROR(__xludf.DUMMYFUNCTION("""COMPUTED_VALUE"""),"No")</f>
        <v>No</v>
      </c>
      <c r="AQ365" s="5" t="b">
        <f>IFERROR(__xludf.DUMMYFUNCTION("""COMPUTED_VALUE"""),TRUE)</f>
        <v>1</v>
      </c>
      <c r="AR365" s="5"/>
      <c r="AS365" s="5" t="str">
        <f>IFERROR(__xludf.DUMMYFUNCTION("""COMPUTED_VALUE"""),"Spin the fruity reels and chase double wins! With 27 ways for payout, this game is a juicy classic!")</f>
        <v>Spin the fruity reels and chase double wins! With 27 ways for payout, this game is a juicy classic!</v>
      </c>
      <c r="AT365" s="5"/>
      <c r="AU365" s="5" t="str">
        <f>IFERROR(__xludf.DUMMYFUNCTION("""COMPUTED_VALUE"""),"Redstone")</f>
        <v>Redstone</v>
      </c>
      <c r="AV365" s="5"/>
      <c r="AW365" s="5"/>
      <c r="AX365" s="5"/>
      <c r="AY365" s="5"/>
      <c r="AZ365" s="5"/>
      <c r="BA365" s="5"/>
      <c r="BB365" s="5" t="b">
        <f>IFERROR(__xludf.DUMMYFUNCTION("""COMPUTED_VALUE"""),TRUE)</f>
        <v>1</v>
      </c>
      <c r="BC365" s="5" t="str">
        <f>IFERROR(__xludf.DUMMYFUNCTION("""COMPUTED_VALUE"""),"Redstone")</f>
        <v>Redstone</v>
      </c>
      <c r="BD365" s="7" t="str">
        <f>IFERROR(__xludf.DUMMYFUNCTION("""COMPUTED_VALUE"""),"https://static.redstone.rs/games/apollo-27-classic/")</f>
        <v>https://static.redstone.rs/games/apollo-27-classic/</v>
      </c>
      <c r="BE365" s="5" t="b">
        <f>IFERROR(__xludf.DUMMYFUNCTION("""COMPUTED_VALUE"""),TRUE)</f>
        <v>1</v>
      </c>
    </row>
    <row r="366">
      <c r="A366" s="5">
        <f>IFERROR(__xludf.DUMMYFUNCTION("""COMPUTED_VALUE"""),370.0)</f>
        <v>370</v>
      </c>
      <c r="B366" s="5">
        <f>IFERROR(__xludf.DUMMYFUNCTION("""COMPUTED_VALUE"""),346.0)</f>
        <v>346</v>
      </c>
      <c r="C366" s="5" t="str">
        <f>IFERROR(__xludf.DUMMYFUNCTION("""COMPUTED_VALUE"""),"Playnet")</f>
        <v>Playnet</v>
      </c>
      <c r="D366" s="5" t="str">
        <f>IFERROR(__xludf.DUMMYFUNCTION("""COMPUTED_VALUE"""),"Fortune Clover 5")</f>
        <v>Fortune Clover 5</v>
      </c>
      <c r="E366" s="5"/>
      <c r="F366" s="5" t="str">
        <f>IFERROR(__xludf.DUMMYFUNCTION("""COMPUTED_VALUE"""),"FortuneClover5")</f>
        <v>FortuneClover5</v>
      </c>
      <c r="G366" s="5" t="str">
        <f>IFERROR(__xludf.DUMMYFUNCTION("""COMPUTED_VALUE"""),"Live")</f>
        <v>Live</v>
      </c>
      <c r="H366" s="5"/>
      <c r="I366" s="5"/>
      <c r="J366" s="5" t="str">
        <f>IFERROR(__xludf.DUMMYFUNCTION("""COMPUTED_VALUE"""),"JSON")</f>
        <v>JSON</v>
      </c>
      <c r="K366" s="5" t="str">
        <f>IFERROR(__xludf.DUMMYFUNCTION("""COMPUTED_VALUE"""),"Slot")</f>
        <v>Slot</v>
      </c>
      <c r="L366" s="5"/>
      <c r="M366" s="5"/>
      <c r="N366" s="5"/>
      <c r="O366" s="5"/>
      <c r="P366" s="12">
        <f>IFERROR(__xludf.DUMMYFUNCTION("""COMPUTED_VALUE"""),7.1)</f>
        <v>7.1</v>
      </c>
      <c r="Q366" s="13">
        <f>IFERROR(__xludf.DUMMYFUNCTION("""COMPUTED_VALUE"""),45460.0)</f>
        <v>45460</v>
      </c>
      <c r="R366" s="14"/>
      <c r="S366" s="13">
        <f>IFERROR(__xludf.DUMMYFUNCTION("""COMPUTED_VALUE"""),45460.0)</f>
        <v>45460</v>
      </c>
      <c r="T366" s="5" t="b">
        <f>IFERROR(__xludf.DUMMYFUNCTION("""COMPUTED_VALUE"""),TRUE)</f>
        <v>1</v>
      </c>
      <c r="U366" s="5" t="str">
        <f>IFERROR(__xludf.DUMMYFUNCTION("""COMPUTED_VALUE"""),"5x3")</f>
        <v>5x3</v>
      </c>
      <c r="V366" s="5">
        <f>IFERROR(__xludf.DUMMYFUNCTION("""COMPUTED_VALUE"""),5.0)</f>
        <v>5</v>
      </c>
      <c r="W366" s="5">
        <f>IFERROR(__xludf.DUMMYFUNCTION("""COMPUTED_VALUE"""),5.0)</f>
        <v>5</v>
      </c>
      <c r="X366" s="5">
        <f>IFERROR(__xludf.DUMMYFUNCTION("""COMPUTED_VALUE"""),96.447)</f>
        <v>96.447</v>
      </c>
      <c r="Y366" s="5" t="str">
        <f>IFERROR(__xludf.DUMMYFUNCTION("""COMPUTED_VALUE"""),"Medium")</f>
        <v>Medium</v>
      </c>
      <c r="Z366" s="5">
        <f>IFERROR(__xludf.DUMMYFUNCTION("""COMPUTED_VALUE"""),14.505)</f>
        <v>14.505</v>
      </c>
      <c r="AA366" s="5">
        <f>IFERROR(__xludf.DUMMYFUNCTION("""COMPUTED_VALUE"""),1222.0)</f>
        <v>1222</v>
      </c>
      <c r="AB366" s="5"/>
      <c r="AC366" s="5" t="str">
        <f>IFERROR(__xludf.DUMMYFUNCTION("""COMPUTED_VALUE"""),"Expanding Wild, Scatter")</f>
        <v>Expanding Wild, Scatter</v>
      </c>
      <c r="AD366" s="5" t="str">
        <f>IFERROR(__xludf.DUMMYFUNCTION("""COMPUTED_VALUE"""),"0.05/50")</f>
        <v>0.05/50</v>
      </c>
      <c r="AE366" s="5"/>
      <c r="AF366" s="5"/>
      <c r="AG366" s="8">
        <f>IFERROR(__xludf.DUMMYFUNCTION("""COMPUTED_VALUE"""),46220.49854166667)</f>
        <v>46220.49854</v>
      </c>
      <c r="AH366" s="5" t="str">
        <f>IFERROR(__xludf.DUMMYFUNCTION("""COMPUTED_VALUE"""),"selena.mihajlovic@fazi.rs")</f>
        <v>selena.mihajlovic@fazi.rs</v>
      </c>
      <c r="AI366" s="5"/>
      <c r="AJ366" s="5"/>
      <c r="AK366" s="5">
        <f>IFERROR(__xludf.DUMMYFUNCTION("""COMPUTED_VALUE"""),5.0)</f>
        <v>5</v>
      </c>
      <c r="AL366" s="5" t="str">
        <f>IFERROR(__xludf.DUMMYFUNCTION("""COMPUTED_VALUE"""),"No")</f>
        <v>No</v>
      </c>
      <c r="AM366" s="5" t="str">
        <f>IFERROR(__xludf.DUMMYFUNCTION("""COMPUTED_VALUE"""),"No")</f>
        <v>No</v>
      </c>
      <c r="AN366" s="7" t="str">
        <f>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AO366" s="5" t="str">
        <f>IFERROR(__xludf.DUMMYFUNCTION("""COMPUTED_VALUE"""),"No")</f>
        <v>No</v>
      </c>
      <c r="AP366" s="5" t="str">
        <f>IFERROR(__xludf.DUMMYFUNCTION("""COMPUTED_VALUE"""),"No")</f>
        <v>No</v>
      </c>
      <c r="AQ366" s="5" t="b">
        <f>IFERROR(__xludf.DUMMYFUNCTION("""COMPUTED_VALUE"""),TRUE)</f>
        <v>1</v>
      </c>
      <c r="AR366" s="5"/>
      <c r="AS366" s="5" t="str">
        <f>IFERROR(__xludf.DUMMYFUNCTION("""COMPUTED_VALUE"""),"Feeling Lucky? Play the Fortune Clover 5 now for a chance to win big! Spin to find fortune among the clovers!")</f>
        <v>Feeling Lucky? Play the Fortune Clover 5 now for a chance to win big! Spin to find fortune among the clovers!</v>
      </c>
      <c r="AT366" s="5"/>
      <c r="AU366" s="5" t="str">
        <f>IFERROR(__xludf.DUMMYFUNCTION("""COMPUTED_VALUE"""),"Fazi")</f>
        <v>Fazi</v>
      </c>
      <c r="AV366" s="5"/>
      <c r="AW366" s="5"/>
      <c r="AX366" s="5"/>
      <c r="AY366" s="5"/>
      <c r="AZ366" s="5"/>
      <c r="BA366" s="5"/>
      <c r="BB366" s="5" t="b">
        <f>IFERROR(__xludf.DUMMYFUNCTION("""COMPUTED_VALUE"""),TRUE)</f>
        <v>1</v>
      </c>
      <c r="BC366" s="5" t="str">
        <f>IFERROR(__xludf.DUMMYFUNCTION("""COMPUTED_VALUE"""),"Playnet")</f>
        <v>Playnet</v>
      </c>
      <c r="BD366" s="7" t="str">
        <f>IFERROR(__xludf.DUMMYFUNCTION("""COMPUTED_VALUE"""),"https://gameserver-store-client-area.orbionlimited.com/Home/IntegrationGameLaunch/client-area?moneyType=0&amp;gameName=FortuneClover5&amp;platform=desktop&amp;languageCode=eng&amp;currency=EUR")</f>
        <v>https://gameserver-store-client-area.orbionlimited.com/Home/IntegrationGameLaunch/client-area?moneyType=0&amp;gameName=FortuneClover5&amp;platform=desktop&amp;languageCode=eng&amp;currency=EUR</v>
      </c>
      <c r="BE366" s="5" t="b">
        <f>IFERROR(__xludf.DUMMYFUNCTION("""COMPUTED_VALUE"""),TRUE)</f>
        <v>1</v>
      </c>
    </row>
    <row r="367">
      <c r="A367" s="5">
        <f>IFERROR(__xludf.DUMMYFUNCTION("""COMPUTED_VALUE"""),371.0)</f>
        <v>371</v>
      </c>
      <c r="B367" s="5">
        <f>IFERROR(__xludf.DUMMYFUNCTION("""COMPUTED_VALUE"""),347.0)</f>
        <v>347</v>
      </c>
      <c r="C367" s="5" t="str">
        <f>IFERROR(__xludf.DUMMYFUNCTION("""COMPUTED_VALUE"""),"Playnet")</f>
        <v>Playnet</v>
      </c>
      <c r="D367" s="5" t="str">
        <f>IFERROR(__xludf.DUMMYFUNCTION("""COMPUTED_VALUE"""),"Majestic Crown 10")</f>
        <v>Majestic Crown 10</v>
      </c>
      <c r="E367" s="5"/>
      <c r="F367" s="5" t="str">
        <f>IFERROR(__xludf.DUMMYFUNCTION("""COMPUTED_VALUE"""),"MajesticCrown10")</f>
        <v>MajesticCrown10</v>
      </c>
      <c r="G367" s="5" t="str">
        <f>IFERROR(__xludf.DUMMYFUNCTION("""COMPUTED_VALUE"""),"Live")</f>
        <v>Live</v>
      </c>
      <c r="H367" s="5"/>
      <c r="I367" s="5"/>
      <c r="J367" s="5" t="str">
        <f>IFERROR(__xludf.DUMMYFUNCTION("""COMPUTED_VALUE"""),"JSON")</f>
        <v>JSON</v>
      </c>
      <c r="K367" s="5" t="str">
        <f>IFERROR(__xludf.DUMMYFUNCTION("""COMPUTED_VALUE"""),"Slot")</f>
        <v>Slot</v>
      </c>
      <c r="L367" s="5"/>
      <c r="M367" s="5"/>
      <c r="N367" s="5"/>
      <c r="O367" s="5"/>
      <c r="P367" s="12">
        <f>IFERROR(__xludf.DUMMYFUNCTION("""COMPUTED_VALUE"""),7.1)</f>
        <v>7.1</v>
      </c>
      <c r="Q367" s="13">
        <f>IFERROR(__xludf.DUMMYFUNCTION("""COMPUTED_VALUE"""),45470.0)</f>
        <v>45470</v>
      </c>
      <c r="R367" s="14"/>
      <c r="S367" s="13">
        <f>IFERROR(__xludf.DUMMYFUNCTION("""COMPUTED_VALUE"""),45470.0)</f>
        <v>45470</v>
      </c>
      <c r="T367" s="5" t="b">
        <f>IFERROR(__xludf.DUMMYFUNCTION("""COMPUTED_VALUE"""),TRUE)</f>
        <v>1</v>
      </c>
      <c r="U367" s="5" t="str">
        <f>IFERROR(__xludf.DUMMYFUNCTION("""COMPUTED_VALUE"""),"5x3")</f>
        <v>5x3</v>
      </c>
      <c r="V367" s="5">
        <f>IFERROR(__xludf.DUMMYFUNCTION("""COMPUTED_VALUE"""),10.0)</f>
        <v>10</v>
      </c>
      <c r="W367" s="5">
        <f>IFERROR(__xludf.DUMMYFUNCTION("""COMPUTED_VALUE"""),10.0)</f>
        <v>10</v>
      </c>
      <c r="X367" s="5">
        <f>IFERROR(__xludf.DUMMYFUNCTION("""COMPUTED_VALUE"""),95.962)</f>
        <v>95.962</v>
      </c>
      <c r="Y367" s="5" t="str">
        <f>IFERROR(__xludf.DUMMYFUNCTION("""COMPUTED_VALUE"""),"Medium")</f>
        <v>Medium</v>
      </c>
      <c r="Z367" s="5">
        <f>IFERROR(__xludf.DUMMYFUNCTION("""COMPUTED_VALUE"""),14.634)</f>
        <v>14.634</v>
      </c>
      <c r="AA367" s="5">
        <f>IFERROR(__xludf.DUMMYFUNCTION("""COMPUTED_VALUE"""),1538.0)</f>
        <v>1538</v>
      </c>
      <c r="AB367" s="5"/>
      <c r="AC367" s="5" t="str">
        <f>IFERROR(__xludf.DUMMYFUNCTION("""COMPUTED_VALUE"""),"Scatter, Expanding Wild")</f>
        <v>Scatter, Expanding Wild</v>
      </c>
      <c r="AD367" s="5" t="str">
        <f>IFERROR(__xludf.DUMMYFUNCTION("""COMPUTED_VALUE"""),"0.01/50")</f>
        <v>0.01/50</v>
      </c>
      <c r="AE367" s="5"/>
      <c r="AF367" s="5"/>
      <c r="AG367" s="8">
        <f>IFERROR(__xludf.DUMMYFUNCTION("""COMPUTED_VALUE"""),46220.498715277776)</f>
        <v>46220.49872</v>
      </c>
      <c r="AH367" s="5" t="str">
        <f>IFERROR(__xludf.DUMMYFUNCTION("""COMPUTED_VALUE"""),"selena.mihajlovic@fazi.rs")</f>
        <v>selena.mihajlovic@fazi.rs</v>
      </c>
      <c r="AI367" s="5"/>
      <c r="AJ367" s="5"/>
      <c r="AK367" s="5">
        <f>IFERROR(__xludf.DUMMYFUNCTION("""COMPUTED_VALUE"""),10.0)</f>
        <v>10</v>
      </c>
      <c r="AL367" s="5" t="str">
        <f>IFERROR(__xludf.DUMMYFUNCTION("""COMPUTED_VALUE"""),"No")</f>
        <v>No</v>
      </c>
      <c r="AM367" s="5" t="str">
        <f>IFERROR(__xludf.DUMMYFUNCTION("""COMPUTED_VALUE"""),"No")</f>
        <v>No</v>
      </c>
      <c r="AN367" s="7" t="str">
        <f>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AO367" s="5" t="str">
        <f>IFERROR(__xludf.DUMMYFUNCTION("""COMPUTED_VALUE"""),"No")</f>
        <v>No</v>
      </c>
      <c r="AP367" s="5" t="str">
        <f>IFERROR(__xludf.DUMMYFUNCTION("""COMPUTED_VALUE"""),"No")</f>
        <v>No</v>
      </c>
      <c r="AQ367" s="5" t="b">
        <f>IFERROR(__xludf.DUMMYFUNCTION("""COMPUTED_VALUE"""),TRUE)</f>
        <v>1</v>
      </c>
      <c r="AR367" s="5"/>
      <c r="AS367" s="5" t="str">
        <f>IFERROR(__xludf.DUMMYFUNCTION("""COMPUTED_VALUE"""),"Spin to uncover royal treasures and watch as expanding wilds adorn your reels!")</f>
        <v>Spin to uncover royal treasures and watch as expanding wilds adorn your reels!</v>
      </c>
      <c r="AT367" s="5"/>
      <c r="AU367" s="5" t="str">
        <f>IFERROR(__xludf.DUMMYFUNCTION("""COMPUTED_VALUE"""),"Fazi")</f>
        <v>Fazi</v>
      </c>
      <c r="AV367" s="5"/>
      <c r="AW367" s="5"/>
      <c r="AX367" s="5"/>
      <c r="AY367" s="5"/>
      <c r="AZ367" s="5"/>
      <c r="BA367" s="5"/>
      <c r="BB367" s="5" t="b">
        <f>IFERROR(__xludf.DUMMYFUNCTION("""COMPUTED_VALUE"""),TRUE)</f>
        <v>1</v>
      </c>
      <c r="BC367" s="5" t="str">
        <f>IFERROR(__xludf.DUMMYFUNCTION("""COMPUTED_VALUE"""),"Playnet")</f>
        <v>Playnet</v>
      </c>
      <c r="BD367" s="7" t="str">
        <f>IFERROR(__xludf.DUMMYFUNCTION("""COMPUTED_VALUE"""),"https://gameserver-store-client-area.orbionlimited.com/Home/IntegrationGameLaunch/client-area?moneyType=0&amp;gameName=MajesticCrown10&amp;platform=desktop&amp;languageCode=eng&amp;currency=EUR")</f>
        <v>https://gameserver-store-client-area.orbionlimited.com/Home/IntegrationGameLaunch/client-area?moneyType=0&amp;gameName=MajesticCrown10&amp;platform=desktop&amp;languageCode=eng&amp;currency=EUR</v>
      </c>
      <c r="BE367" s="5" t="b">
        <f>IFERROR(__xludf.DUMMYFUNCTION("""COMPUTED_VALUE"""),TRUE)</f>
        <v>1</v>
      </c>
    </row>
    <row r="368">
      <c r="A368" s="5">
        <f>IFERROR(__xludf.DUMMYFUNCTION("""COMPUTED_VALUE"""),373.0)</f>
        <v>373</v>
      </c>
      <c r="B368" s="5">
        <f>IFERROR(__xludf.DUMMYFUNCTION("""COMPUTED_VALUE"""),350.0)</f>
        <v>350</v>
      </c>
      <c r="C368" s="5" t="str">
        <f>IFERROR(__xludf.DUMMYFUNCTION("""COMPUTED_VALUE"""),"Redstone")</f>
        <v>Redstone</v>
      </c>
      <c r="D368" s="5" t="str">
        <f>IFERROR(__xludf.DUMMYFUNCTION("""COMPUTED_VALUE"""),"Double Clover Fire")</f>
        <v>Double Clover Fire</v>
      </c>
      <c r="E368" s="5" t="str">
        <f>IFERROR(__xludf.DUMMYFUNCTION("""COMPUTED_VALUE"""),"Redstone")</f>
        <v>Redstone</v>
      </c>
      <c r="F368" s="5" t="str">
        <f>IFERROR(__xludf.DUMMYFUNCTION("""COMPUTED_VALUE"""),"RedstoneDoubleFireClover")</f>
        <v>RedstoneDoubleFireClover</v>
      </c>
      <c r="G368" s="5" t="str">
        <f>IFERROR(__xludf.DUMMYFUNCTION("""COMPUTED_VALUE"""),"Live")</f>
        <v>Live</v>
      </c>
      <c r="H368" s="5"/>
      <c r="I368" s="5" t="str">
        <f>IFERROR(__xludf.DUMMYFUNCTION("""COMPUTED_VALUE"""),"Redstone")</f>
        <v>Redstone</v>
      </c>
      <c r="J368" s="5" t="str">
        <f>IFERROR(__xludf.DUMMYFUNCTION("""COMPUTED_VALUE"""),"JSON")</f>
        <v>JSON</v>
      </c>
      <c r="K368" s="5" t="str">
        <f>IFERROR(__xludf.DUMMYFUNCTION("""COMPUTED_VALUE"""),"Slot")</f>
        <v>Slot</v>
      </c>
      <c r="L368" s="5" t="str">
        <f>IFERROR(__xludf.DUMMYFUNCTION("""COMPUTED_VALUE""")," Clone")</f>
        <v> Clone</v>
      </c>
      <c r="M368" s="5" t="str">
        <f>IFERROR(__xludf.DUMMYFUNCTION("""COMPUTED_VALUE"""),"Chilli Double")</f>
        <v>Chilli Double</v>
      </c>
      <c r="N368" s="7" t="str">
        <f>IFERROR(__xludf.DUMMYFUNCTION("""COMPUTED_VALUE"""),"https://docs.google.com/document/d/1GjMjFhDDra5S98Eu8oW327f3zalMBGyI/edit?usp=drive_link&amp;ouid=107596163405648766688&amp;rtpof=true&amp;sd=true")</f>
        <v>https://docs.google.com/document/d/1GjMjFhDDra5S98Eu8oW327f3zalMBGyI/edit?usp=drive_link&amp;ouid=107596163405648766688&amp;rtpof=true&amp;sd=true</v>
      </c>
      <c r="O368" s="7" t="str">
        <f>IFERROR(__xludf.DUMMYFUNCTION("""COMPUTED_VALUE"""),"https://docs.google.com/document/d/1mXBnKRVcNAjM-HC47zcxr6236JVcRFYE/edit?usp=drive_link&amp;ouid=107596163405648766688&amp;rtpof=true&amp;sd=true")</f>
        <v>https://docs.google.com/document/d/1mXBnKRVcNAjM-HC47zcxr6236JVcRFYE/edit?usp=drive_link&amp;ouid=107596163405648766688&amp;rtpof=true&amp;sd=true</v>
      </c>
      <c r="P368" s="12">
        <f>IFERROR(__xludf.DUMMYFUNCTION("""COMPUTED_VALUE"""),8.9)</f>
        <v>8.9</v>
      </c>
      <c r="Q368" s="13">
        <f>IFERROR(__xludf.DUMMYFUNCTION("""COMPUTED_VALUE"""),45499.0)</f>
        <v>45499</v>
      </c>
      <c r="R368" s="14"/>
      <c r="S368" s="13">
        <f>IFERROR(__xludf.DUMMYFUNCTION("""COMPUTED_VALUE"""),45499.0)</f>
        <v>45499</v>
      </c>
      <c r="T368" s="5" t="b">
        <f>IFERROR(__xludf.DUMMYFUNCTION("""COMPUTED_VALUE"""),TRUE)</f>
        <v>1</v>
      </c>
      <c r="U368" s="5" t="str">
        <f>IFERROR(__xludf.DUMMYFUNCTION("""COMPUTED_VALUE"""),"5x3")</f>
        <v>5x3</v>
      </c>
      <c r="V368" s="5">
        <f>IFERROR(__xludf.DUMMYFUNCTION("""COMPUTED_VALUE"""),5.0)</f>
        <v>5</v>
      </c>
      <c r="W368" s="5">
        <f>IFERROR(__xludf.DUMMYFUNCTION("""COMPUTED_VALUE"""),5.0)</f>
        <v>5</v>
      </c>
      <c r="X368" s="11">
        <f>IFERROR(__xludf.DUMMYFUNCTION("""COMPUTED_VALUE"""),96.45)</f>
        <v>96.45</v>
      </c>
      <c r="Y368" s="5" t="str">
        <f>IFERROR(__xludf.DUMMYFUNCTION("""COMPUTED_VALUE"""),"Medium")</f>
        <v>Medium</v>
      </c>
      <c r="Z368" s="5">
        <f>IFERROR(__xludf.DUMMYFUNCTION("""COMPUTED_VALUE"""),14.23)</f>
        <v>14.23</v>
      </c>
      <c r="AA368" s="5">
        <f>IFERROR(__xludf.DUMMYFUNCTION("""COMPUTED_VALUE"""),2624.0)</f>
        <v>2624</v>
      </c>
      <c r="AB368" s="5"/>
      <c r="AC368" s="5" t="str">
        <f>IFERROR(__xludf.DUMMYFUNCTION("""COMPUTED_VALUE"""),"Expanding Wild, Scatter")</f>
        <v>Expanding Wild, Scatter</v>
      </c>
      <c r="AD368" s="5" t="str">
        <f>IFERROR(__xludf.DUMMYFUNCTION("""COMPUTED_VALUE"""),"0.05/100")</f>
        <v>0.05/100</v>
      </c>
      <c r="AE368" s="5"/>
      <c r="AF368" s="5"/>
      <c r="AG368" s="8">
        <f>IFERROR(__xludf.DUMMYFUNCTION("""COMPUTED_VALUE"""),46157.48998842593)</f>
        <v>46157.48999</v>
      </c>
      <c r="AH368" s="5"/>
      <c r="AI368" s="5"/>
      <c r="AJ368" s="5"/>
      <c r="AK368" s="5">
        <f>IFERROR(__xludf.DUMMYFUNCTION("""COMPUTED_VALUE"""),1.0)</f>
        <v>1</v>
      </c>
      <c r="AL368" s="5" t="str">
        <f>IFERROR(__xludf.DUMMYFUNCTION("""COMPUTED_VALUE"""),"No")</f>
        <v>No</v>
      </c>
      <c r="AM368" s="5" t="str">
        <f>IFERROR(__xludf.DUMMYFUNCTION("""COMPUTED_VALUE"""),"No")</f>
        <v>No</v>
      </c>
      <c r="AN368" s="7" t="str">
        <f>IFERROR(__xludf.DUMMYFUNCTION("""COMPUTED_VALUE"""),"https://static.redstone.rs/games/double-clover-fire/")</f>
        <v>https://static.redstone.rs/games/double-clover-fire/</v>
      </c>
      <c r="AO368" s="5" t="str">
        <f>IFERROR(__xludf.DUMMYFUNCTION("""COMPUTED_VALUE"""),"No")</f>
        <v>No</v>
      </c>
      <c r="AP368" s="5" t="str">
        <f>IFERROR(__xludf.DUMMYFUNCTION("""COMPUTED_VALUE"""),"No")</f>
        <v>No</v>
      </c>
      <c r="AQ368" s="5" t="b">
        <f>IFERROR(__xludf.DUMMYFUNCTION("""COMPUTED_VALUE"""),TRUE)</f>
        <v>1</v>
      </c>
      <c r="AR368" s="5"/>
      <c r="AS368" s="5" t="str">
        <f>IFERROR(__xludf.DUMMYFUNCTION("""COMPUTED_VALUE"""),"Discover the blazing excitement of Double Clover Fire and spin your way to doubled wins today!")</f>
        <v>Discover the blazing excitement of Double Clover Fire and spin your way to doubled wins today!</v>
      </c>
      <c r="AT368" s="5"/>
      <c r="AU368" s="5" t="str">
        <f>IFERROR(__xludf.DUMMYFUNCTION("""COMPUTED_VALUE"""),"Redstone")</f>
        <v>Redstone</v>
      </c>
      <c r="AV368" s="5"/>
      <c r="AW368" s="5"/>
      <c r="AX368" s="5"/>
      <c r="AY368" s="5"/>
      <c r="AZ368" s="5"/>
      <c r="BA368" s="5"/>
      <c r="BB368" s="5" t="b">
        <f>IFERROR(__xludf.DUMMYFUNCTION("""COMPUTED_VALUE"""),TRUE)</f>
        <v>1</v>
      </c>
      <c r="BC368" s="5" t="str">
        <f>IFERROR(__xludf.DUMMYFUNCTION("""COMPUTED_VALUE"""),"Redstone")</f>
        <v>Redstone</v>
      </c>
      <c r="BD368" s="7" t="str">
        <f>IFERROR(__xludf.DUMMYFUNCTION("""COMPUTED_VALUE"""),"https://static.redstone.rs/games/double-clover-fire/")</f>
        <v>https://static.redstone.rs/games/double-clover-fire/</v>
      </c>
      <c r="BE368" s="5" t="b">
        <f>IFERROR(__xludf.DUMMYFUNCTION("""COMPUTED_VALUE"""),TRUE)</f>
        <v>1</v>
      </c>
    </row>
    <row r="369">
      <c r="A369" s="5">
        <f>IFERROR(__xludf.DUMMYFUNCTION("""COMPUTED_VALUE"""),374.0)</f>
        <v>374</v>
      </c>
      <c r="B369" s="5">
        <f>IFERROR(__xludf.DUMMYFUNCTION("""COMPUTED_VALUE"""),351.0)</f>
        <v>351</v>
      </c>
      <c r="C369" s="5" t="str">
        <f>IFERROR(__xludf.DUMMYFUNCTION("""COMPUTED_VALUE"""),"Playnet")</f>
        <v>Playnet</v>
      </c>
      <c r="D369" s="5" t="str">
        <f>IFERROR(__xludf.DUMMYFUNCTION("""COMPUTED_VALUE"""),"Fortune Clover 40")</f>
        <v>Fortune Clover 40</v>
      </c>
      <c r="E369" s="5"/>
      <c r="F369" s="5" t="str">
        <f>IFERROR(__xludf.DUMMYFUNCTION("""COMPUTED_VALUE"""),"PlayNetFortuneClover40")</f>
        <v>PlayNetFortuneClover40</v>
      </c>
      <c r="G369" s="5" t="str">
        <f>IFERROR(__xludf.DUMMYFUNCTION("""COMPUTED_VALUE"""),"Live")</f>
        <v>Live</v>
      </c>
      <c r="H369" s="5"/>
      <c r="I369" s="5"/>
      <c r="J369" s="5" t="str">
        <f>IFERROR(__xludf.DUMMYFUNCTION("""COMPUTED_VALUE"""),"JSON")</f>
        <v>JSON</v>
      </c>
      <c r="K369" s="5" t="str">
        <f>IFERROR(__xludf.DUMMYFUNCTION("""COMPUTED_VALUE"""),"Slot")</f>
        <v>Slot</v>
      </c>
      <c r="L369" s="5"/>
      <c r="M369" s="5"/>
      <c r="N369" s="5"/>
      <c r="O369" s="5"/>
      <c r="P369" s="12">
        <f>IFERROR(__xludf.DUMMYFUNCTION("""COMPUTED_VALUE"""),7.1)</f>
        <v>7.1</v>
      </c>
      <c r="Q369" s="13">
        <f>IFERROR(__xludf.DUMMYFUNCTION("""COMPUTED_VALUE"""),45502.0)</f>
        <v>45502</v>
      </c>
      <c r="R369" s="14"/>
      <c r="S369" s="13">
        <f>IFERROR(__xludf.DUMMYFUNCTION("""COMPUTED_VALUE"""),45502.0)</f>
        <v>45502</v>
      </c>
      <c r="T369" s="5" t="b">
        <f>IFERROR(__xludf.DUMMYFUNCTION("""COMPUTED_VALUE"""),TRUE)</f>
        <v>1</v>
      </c>
      <c r="U369" s="5" t="str">
        <f>IFERROR(__xludf.DUMMYFUNCTION("""COMPUTED_VALUE"""),"5x3")</f>
        <v>5x3</v>
      </c>
      <c r="V369" s="5">
        <f>IFERROR(__xludf.DUMMYFUNCTION("""COMPUTED_VALUE"""),40.0)</f>
        <v>40</v>
      </c>
      <c r="W369" s="5">
        <f>IFERROR(__xludf.DUMMYFUNCTION("""COMPUTED_VALUE"""),40.0)</f>
        <v>40</v>
      </c>
      <c r="X369" s="11">
        <f>IFERROR(__xludf.DUMMYFUNCTION("""COMPUTED_VALUE"""),96.53)</f>
        <v>96.53</v>
      </c>
      <c r="Y369" s="5" t="str">
        <f>IFERROR(__xludf.DUMMYFUNCTION("""COMPUTED_VALUE"""),"Low")</f>
        <v>Low</v>
      </c>
      <c r="Z369" s="5">
        <f>IFERROR(__xludf.DUMMYFUNCTION("""COMPUTED_VALUE"""),23.377)</f>
        <v>23.377</v>
      </c>
      <c r="AA369" s="5">
        <f>IFERROR(__xludf.DUMMYFUNCTION("""COMPUTED_VALUE"""),876.75)</f>
        <v>876.75</v>
      </c>
      <c r="AB369" s="5"/>
      <c r="AC369" s="5" t="str">
        <f>IFERROR(__xludf.DUMMYFUNCTION("""COMPUTED_VALUE"""),"Scatter, Expanding Wild")</f>
        <v>Scatter, Expanding Wild</v>
      </c>
      <c r="AD369" s="5" t="str">
        <f>IFERROR(__xludf.DUMMYFUNCTION("""COMPUTED_VALUE"""),"0.40/60")</f>
        <v>0.40/60</v>
      </c>
      <c r="AE369" s="5"/>
      <c r="AF369" s="5"/>
      <c r="AG369" s="8">
        <f>IFERROR(__xludf.DUMMYFUNCTION("""COMPUTED_VALUE"""),46220.49886574074)</f>
        <v>46220.49887</v>
      </c>
      <c r="AH369" s="5" t="str">
        <f>IFERROR(__xludf.DUMMYFUNCTION("""COMPUTED_VALUE"""),"selena.mihajlovic@fazi.rs")</f>
        <v>selena.mihajlovic@fazi.rs</v>
      </c>
      <c r="AI369" s="5"/>
      <c r="AJ369" s="5"/>
      <c r="AK369" s="5" t="str">
        <f>IFERROR(__xludf.DUMMYFUNCTION("""COMPUTED_VALUE"""),"NULL")</f>
        <v>NULL</v>
      </c>
      <c r="AL369" s="5" t="str">
        <f>IFERROR(__xludf.DUMMYFUNCTION("""COMPUTED_VALUE"""),"No")</f>
        <v>No</v>
      </c>
      <c r="AM369" s="5" t="str">
        <f>IFERROR(__xludf.DUMMYFUNCTION("""COMPUTED_VALUE"""),"No")</f>
        <v>No</v>
      </c>
      <c r="AN369" s="7" t="str">
        <f>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AO369" s="5" t="str">
        <f>IFERROR(__xludf.DUMMYFUNCTION("""COMPUTED_VALUE"""),"No")</f>
        <v>No</v>
      </c>
      <c r="AP369" s="5" t="str">
        <f>IFERROR(__xludf.DUMMYFUNCTION("""COMPUTED_VALUE"""),"No")</f>
        <v>No</v>
      </c>
      <c r="AQ369" s="5" t="b">
        <f>IFERROR(__xludf.DUMMYFUNCTION("""COMPUTED_VALUE"""),TRUE)</f>
        <v>1</v>
      </c>
      <c r="AR369" s="5"/>
      <c r="AS369" s="5" t="str">
        <f>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AT369" s="5"/>
      <c r="AU369" s="5" t="str">
        <f>IFERROR(__xludf.DUMMYFUNCTION("""COMPUTED_VALUE"""),"Fazi")</f>
        <v>Fazi</v>
      </c>
      <c r="AV369" s="5"/>
      <c r="AW369" s="5"/>
      <c r="AX369" s="5"/>
      <c r="AY369" s="5"/>
      <c r="AZ369" s="5"/>
      <c r="BA369" s="5"/>
      <c r="BB369" s="5" t="b">
        <f>IFERROR(__xludf.DUMMYFUNCTION("""COMPUTED_VALUE"""),TRUE)</f>
        <v>1</v>
      </c>
      <c r="BC369" s="5" t="str">
        <f>IFERROR(__xludf.DUMMYFUNCTION("""COMPUTED_VALUE"""),"Playnet")</f>
        <v>Playnet</v>
      </c>
      <c r="BD369" s="7" t="str">
        <f>IFERROR(__xludf.DUMMYFUNCTION("""COMPUTED_VALUE"""),"https://gameserver-store-client-area.orbionlimited.com/Home/IntegrationGameLaunch/client-area?moneyType=0&amp;gameName=PlayNetFortuneClover40&amp;platform=desktop&amp;languageCode=eng&amp;currency=EUR")</f>
        <v>https://gameserver-store-client-area.orbionlimited.com/Home/IntegrationGameLaunch/client-area?moneyType=0&amp;gameName=PlayNetFortuneClover40&amp;platform=desktop&amp;languageCode=eng&amp;currency=EUR</v>
      </c>
      <c r="BE369" s="5" t="b">
        <f>IFERROR(__xludf.DUMMYFUNCTION("""COMPUTED_VALUE"""),TRUE)</f>
        <v>1</v>
      </c>
    </row>
    <row r="370">
      <c r="A370" s="5">
        <f>IFERROR(__xludf.DUMMYFUNCTION("""COMPUTED_VALUE"""),375.0)</f>
        <v>375</v>
      </c>
      <c r="B370" s="5">
        <f>IFERROR(__xludf.DUMMYFUNCTION("""COMPUTED_VALUE"""),352.0)</f>
        <v>352</v>
      </c>
      <c r="C370" s="5" t="str">
        <f>IFERROR(__xludf.DUMMYFUNCTION("""COMPUTED_VALUE"""),"Playnet")</f>
        <v>Playnet</v>
      </c>
      <c r="D370" s="5" t="str">
        <f>IFERROR(__xludf.DUMMYFUNCTION("""COMPUTED_VALUE"""),"Diamond Heart 5")</f>
        <v>Diamond Heart 5</v>
      </c>
      <c r="E370" s="5"/>
      <c r="F370" s="5" t="str">
        <f>IFERROR(__xludf.DUMMYFUNCTION("""COMPUTED_VALUE"""),"PlayNetDiamondHeart5")</f>
        <v>PlayNetDiamondHeart5</v>
      </c>
      <c r="G370" s="5" t="str">
        <f>IFERROR(__xludf.DUMMYFUNCTION("""COMPUTED_VALUE"""),"Live")</f>
        <v>Live</v>
      </c>
      <c r="H370" s="5"/>
      <c r="I370" s="5"/>
      <c r="J370" s="5" t="str">
        <f>IFERROR(__xludf.DUMMYFUNCTION("""COMPUTED_VALUE"""),"JSON")</f>
        <v>JSON</v>
      </c>
      <c r="K370" s="5" t="str">
        <f>IFERROR(__xludf.DUMMYFUNCTION("""COMPUTED_VALUE"""),"Slot")</f>
        <v>Slot</v>
      </c>
      <c r="L370" s="5"/>
      <c r="M370" s="5"/>
      <c r="N370" s="5"/>
      <c r="O370" s="5"/>
      <c r="P370" s="12">
        <f>IFERROR(__xludf.DUMMYFUNCTION("""COMPUTED_VALUE"""),7.1)</f>
        <v>7.1</v>
      </c>
      <c r="Q370" s="13">
        <f>IFERROR(__xludf.DUMMYFUNCTION("""COMPUTED_VALUE"""),45492.0)</f>
        <v>45492</v>
      </c>
      <c r="R370" s="14"/>
      <c r="S370" s="13">
        <f>IFERROR(__xludf.DUMMYFUNCTION("""COMPUTED_VALUE"""),45492.0)</f>
        <v>45492</v>
      </c>
      <c r="T370" s="5" t="b">
        <f>IFERROR(__xludf.DUMMYFUNCTION("""COMPUTED_VALUE"""),TRUE)</f>
        <v>1</v>
      </c>
      <c r="U370" s="5" t="str">
        <f>IFERROR(__xludf.DUMMYFUNCTION("""COMPUTED_VALUE"""),"5x3")</f>
        <v>5x3</v>
      </c>
      <c r="V370" s="5">
        <f>IFERROR(__xludf.DUMMYFUNCTION("""COMPUTED_VALUE"""),5.0)</f>
        <v>5</v>
      </c>
      <c r="W370" s="5">
        <f>IFERROR(__xludf.DUMMYFUNCTION("""COMPUTED_VALUE"""),5.0)</f>
        <v>5</v>
      </c>
      <c r="X370" s="11">
        <f>IFERROR(__xludf.DUMMYFUNCTION("""COMPUTED_VALUE"""),96.447)</f>
        <v>96.447</v>
      </c>
      <c r="Y370" s="5" t="str">
        <f>IFERROR(__xludf.DUMMYFUNCTION("""COMPUTED_VALUE"""),"Medium")</f>
        <v>Medium</v>
      </c>
      <c r="Z370" s="5">
        <f>IFERROR(__xludf.DUMMYFUNCTION("""COMPUTED_VALUE"""),14.505)</f>
        <v>14.505</v>
      </c>
      <c r="AA370" s="5">
        <f>IFERROR(__xludf.DUMMYFUNCTION("""COMPUTED_VALUE"""),1222.0)</f>
        <v>1222</v>
      </c>
      <c r="AB370" s="5"/>
      <c r="AC370" s="5" t="str">
        <f>IFERROR(__xludf.DUMMYFUNCTION("""COMPUTED_VALUE"""),"Scatter, Expanding Wild")</f>
        <v>Scatter, Expanding Wild</v>
      </c>
      <c r="AD370" s="5" t="str">
        <f>IFERROR(__xludf.DUMMYFUNCTION("""COMPUTED_VALUE"""),"0.05/30")</f>
        <v>0.05/30</v>
      </c>
      <c r="AE370" s="5"/>
      <c r="AF370" s="5"/>
      <c r="AG370" s="8">
        <f>IFERROR(__xludf.DUMMYFUNCTION("""COMPUTED_VALUE"""),46220.49932870371)</f>
        <v>46220.49933</v>
      </c>
      <c r="AH370" s="5" t="str">
        <f>IFERROR(__xludf.DUMMYFUNCTION("""COMPUTED_VALUE"""),"selena.mihajlovic@fazi.rs")</f>
        <v>selena.mihajlovic@fazi.rs</v>
      </c>
      <c r="AI370" s="5"/>
      <c r="AJ370" s="5"/>
      <c r="AK370" s="5" t="str">
        <f>IFERROR(__xludf.DUMMYFUNCTION("""COMPUTED_VALUE"""),"NULL")</f>
        <v>NULL</v>
      </c>
      <c r="AL370" s="5" t="str">
        <f>IFERROR(__xludf.DUMMYFUNCTION("""COMPUTED_VALUE"""),"No")</f>
        <v>No</v>
      </c>
      <c r="AM370" s="5" t="str">
        <f>IFERROR(__xludf.DUMMYFUNCTION("""COMPUTED_VALUE"""),"No")</f>
        <v>No</v>
      </c>
      <c r="AN370" s="7" t="str">
        <f>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AO370" s="5" t="str">
        <f>IFERROR(__xludf.DUMMYFUNCTION("""COMPUTED_VALUE"""),"No")</f>
        <v>No</v>
      </c>
      <c r="AP370" s="5" t="str">
        <f>IFERROR(__xludf.DUMMYFUNCTION("""COMPUTED_VALUE"""),"No")</f>
        <v>No</v>
      </c>
      <c r="AQ370" s="5" t="b">
        <f>IFERROR(__xludf.DUMMYFUNCTION("""COMPUTED_VALUE"""),TRUE)</f>
        <v>1</v>
      </c>
      <c r="AR370" s="5"/>
      <c r="AS370" s="5" t="str">
        <f>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AT370" s="5"/>
      <c r="AU370" s="5" t="str">
        <f>IFERROR(__xludf.DUMMYFUNCTION("""COMPUTED_VALUE"""),"Fazi")</f>
        <v>Fazi</v>
      </c>
      <c r="AV370" s="5"/>
      <c r="AW370" s="5"/>
      <c r="AX370" s="5"/>
      <c r="AY370" s="5"/>
      <c r="AZ370" s="5"/>
      <c r="BA370" s="5"/>
      <c r="BB370" s="5" t="b">
        <f>IFERROR(__xludf.DUMMYFUNCTION("""COMPUTED_VALUE"""),TRUE)</f>
        <v>1</v>
      </c>
      <c r="BC370" s="5" t="str">
        <f>IFERROR(__xludf.DUMMYFUNCTION("""COMPUTED_VALUE"""),"Playnet")</f>
        <v>Playnet</v>
      </c>
      <c r="BD370" s="7" t="str">
        <f>IFERROR(__xludf.DUMMYFUNCTION("""COMPUTED_VALUE"""),"https://gameserver-store-client-area.orbionlimited.com/Home/IntegrationGameLaunch/client-area?moneyType=0&amp;gameName=PlayNetDiamondHeart5&amp;platform=desktop&amp;languageCode=eng&amp;currency=EUR")</f>
        <v>https://gameserver-store-client-area.orbionlimited.com/Home/IntegrationGameLaunch/client-area?moneyType=0&amp;gameName=PlayNetDiamondHeart5&amp;platform=desktop&amp;languageCode=eng&amp;currency=EUR</v>
      </c>
      <c r="BE370" s="5" t="b">
        <f>IFERROR(__xludf.DUMMYFUNCTION("""COMPUTED_VALUE"""),TRUE)</f>
        <v>1</v>
      </c>
    </row>
    <row r="371">
      <c r="A371" s="5">
        <f>IFERROR(__xludf.DUMMYFUNCTION("""COMPUTED_VALUE"""),376.0)</f>
        <v>376</v>
      </c>
      <c r="B371" s="5">
        <f>IFERROR(__xludf.DUMMYFUNCTION("""COMPUTED_VALUE"""),354.0)</f>
        <v>354</v>
      </c>
      <c r="C371" s="5" t="str">
        <f>IFERROR(__xludf.DUMMYFUNCTION("""COMPUTED_VALUE"""),"Redstone")</f>
        <v>Redstone</v>
      </c>
      <c r="D371" s="5" t="str">
        <f>IFERROR(__xludf.DUMMYFUNCTION("""COMPUTED_VALUE"""),"100 Clover Fire")</f>
        <v>100 Clover Fire</v>
      </c>
      <c r="E371" s="5" t="str">
        <f>IFERROR(__xludf.DUMMYFUNCTION("""COMPUTED_VALUE"""),"Redstone")</f>
        <v>Redstone</v>
      </c>
      <c r="F371" s="5" t="str">
        <f>IFERROR(__xludf.DUMMYFUNCTION("""COMPUTED_VALUE"""),"Redstone100CloverFire")</f>
        <v>Redstone100CloverFire</v>
      </c>
      <c r="G371" s="5" t="str">
        <f>IFERROR(__xludf.DUMMYFUNCTION("""COMPUTED_VALUE"""),"Live")</f>
        <v>Live</v>
      </c>
      <c r="H371" s="5"/>
      <c r="I371" s="5" t="str">
        <f>IFERROR(__xludf.DUMMYFUNCTION("""COMPUTED_VALUE"""),"Redstone")</f>
        <v>Redstone</v>
      </c>
      <c r="J371" s="5" t="str">
        <f>IFERROR(__xludf.DUMMYFUNCTION("""COMPUTED_VALUE"""),"JSON")</f>
        <v>JSON</v>
      </c>
      <c r="K371" s="5" t="str">
        <f>IFERROR(__xludf.DUMMYFUNCTION("""COMPUTED_VALUE"""),"Slot")</f>
        <v>Slot</v>
      </c>
      <c r="L371" s="5" t="str">
        <f>IFERROR(__xludf.DUMMYFUNCTION("""COMPUTED_VALUE"""),"Master")</f>
        <v>Master</v>
      </c>
      <c r="M371" s="5"/>
      <c r="N371" s="7" t="str">
        <f>IFERROR(__xludf.DUMMYFUNCTION("""COMPUTED_VALUE"""),"https://docs.google.com/document/d/1W3Ba_cSXNdHIMN1RMBvGdFZYpyMiDgSn/edit?usp=drive_link&amp;ouid=107596163405648766688&amp;rtpof=true&amp;sd=true")</f>
        <v>https://docs.google.com/document/d/1W3Ba_cSXNdHIMN1RMBvGdFZYpyMiDgSn/edit?usp=drive_link&amp;ouid=107596163405648766688&amp;rtpof=true&amp;sd=true</v>
      </c>
      <c r="O371" s="7" t="str">
        <f>IFERROR(__xludf.DUMMYFUNCTION("""COMPUTED_VALUE"""),"https://docs.google.com/document/d/1BAKVXe_X6jiqGNaK1MEqCP2ls_MEsc5Y/edit?usp=drive_link&amp;ouid=107596163405648766688&amp;rtpof=true&amp;sd=true")</f>
        <v>https://docs.google.com/document/d/1BAKVXe_X6jiqGNaK1MEqCP2ls_MEsc5Y/edit?usp=drive_link&amp;ouid=107596163405648766688&amp;rtpof=true&amp;sd=true</v>
      </c>
      <c r="P371" s="12">
        <f>IFERROR(__xludf.DUMMYFUNCTION("""COMPUTED_VALUE"""),9.7)</f>
        <v>9.7</v>
      </c>
      <c r="Q371" s="13">
        <f>IFERROR(__xludf.DUMMYFUNCTION("""COMPUTED_VALUE"""),45511.0)</f>
        <v>45511</v>
      </c>
      <c r="R371" s="14"/>
      <c r="S371" s="13">
        <f>IFERROR(__xludf.DUMMYFUNCTION("""COMPUTED_VALUE"""),45511.0)</f>
        <v>45511</v>
      </c>
      <c r="T371" s="5" t="b">
        <f>IFERROR(__xludf.DUMMYFUNCTION("""COMPUTED_VALUE"""),TRUE)</f>
        <v>1</v>
      </c>
      <c r="U371" s="5" t="str">
        <f>IFERROR(__xludf.DUMMYFUNCTION("""COMPUTED_VALUE"""),"5x4")</f>
        <v>5x4</v>
      </c>
      <c r="V371" s="5">
        <f>IFERROR(__xludf.DUMMYFUNCTION("""COMPUTED_VALUE"""),100.0)</f>
        <v>100</v>
      </c>
      <c r="W371" s="5">
        <f>IFERROR(__xludf.DUMMYFUNCTION("""COMPUTED_VALUE"""),100.0)</f>
        <v>100</v>
      </c>
      <c r="X371" s="11">
        <f>IFERROR(__xludf.DUMMYFUNCTION("""COMPUTED_VALUE"""),96.5)</f>
        <v>96.5</v>
      </c>
      <c r="Y371" s="5" t="str">
        <f>IFERROR(__xludf.DUMMYFUNCTION("""COMPUTED_VALUE"""),"Medium")</f>
        <v>Medium</v>
      </c>
      <c r="Z371" s="5">
        <f>IFERROR(__xludf.DUMMYFUNCTION("""COMPUTED_VALUE"""),13.31)</f>
        <v>13.31</v>
      </c>
      <c r="AA371" s="5">
        <f>IFERROR(__xludf.DUMMYFUNCTION("""COMPUTED_VALUE"""),3000.0)</f>
        <v>3000</v>
      </c>
      <c r="AB371" s="5"/>
      <c r="AC371" s="5" t="str">
        <f>IFERROR(__xludf.DUMMYFUNCTION("""COMPUTED_VALUE"""),"Scatter, Expanding Wild")</f>
        <v>Scatter, Expanding Wild</v>
      </c>
      <c r="AD371" s="5" t="str">
        <f>IFERROR(__xludf.DUMMYFUNCTION("""COMPUTED_VALUE"""),"1/100")</f>
        <v>1/100</v>
      </c>
      <c r="AE371" s="5"/>
      <c r="AF371" s="5"/>
      <c r="AG371" s="8">
        <f>IFERROR(__xludf.DUMMYFUNCTION("""COMPUTED_VALUE"""),46157.49003472222)</f>
        <v>46157.49003</v>
      </c>
      <c r="AH371" s="5"/>
      <c r="AI371" s="5"/>
      <c r="AJ371" s="5"/>
      <c r="AK371" s="5">
        <f>IFERROR(__xludf.DUMMYFUNCTION("""COMPUTED_VALUE"""),1.0)</f>
        <v>1</v>
      </c>
      <c r="AL371" s="5" t="str">
        <f>IFERROR(__xludf.DUMMYFUNCTION("""COMPUTED_VALUE"""),"No")</f>
        <v>No</v>
      </c>
      <c r="AM371" s="5" t="str">
        <f>IFERROR(__xludf.DUMMYFUNCTION("""COMPUTED_VALUE"""),"No")</f>
        <v>No</v>
      </c>
      <c r="AN371" s="7" t="str">
        <f>IFERROR(__xludf.DUMMYFUNCTION("""COMPUTED_VALUE"""),"https://static.redstone.rs/games/100-clover-fire/")</f>
        <v>https://static.redstone.rs/games/100-clover-fire/</v>
      </c>
      <c r="AO371" s="5" t="str">
        <f>IFERROR(__xludf.DUMMYFUNCTION("""COMPUTED_VALUE"""),"No")</f>
        <v>No</v>
      </c>
      <c r="AP371" s="5" t="str">
        <f>IFERROR(__xludf.DUMMYFUNCTION("""COMPUTED_VALUE"""),"No")</f>
        <v>No</v>
      </c>
      <c r="AQ371" s="5" t="b">
        <f>IFERROR(__xludf.DUMMYFUNCTION("""COMPUTED_VALUE"""),TRUE)</f>
        <v>1</v>
      </c>
      <c r="AR371" s="5"/>
      <c r="AS371" s="5" t="str">
        <f>IFERROR(__xludf.DUMMYFUNCTION("""COMPUTED_VALUE"""),"100 Clover Fire means 100 ways to win! Feel the thrill, spin the reels and blaze your path to massive wins!")</f>
        <v>100 Clover Fire means 100 ways to win! Feel the thrill, spin the reels and blaze your path to massive wins!</v>
      </c>
      <c r="AT371" s="5"/>
      <c r="AU371" s="5" t="str">
        <f>IFERROR(__xludf.DUMMYFUNCTION("""COMPUTED_VALUE"""),"Redstone")</f>
        <v>Redstone</v>
      </c>
      <c r="AV371" s="5"/>
      <c r="AW371" s="5"/>
      <c r="AX371" s="5"/>
      <c r="AY371" s="5"/>
      <c r="AZ371" s="5"/>
      <c r="BA371" s="5"/>
      <c r="BB371" s="5" t="b">
        <f>IFERROR(__xludf.DUMMYFUNCTION("""COMPUTED_VALUE"""),TRUE)</f>
        <v>1</v>
      </c>
      <c r="BC371" s="5" t="str">
        <f>IFERROR(__xludf.DUMMYFUNCTION("""COMPUTED_VALUE"""),"Redstone")</f>
        <v>Redstone</v>
      </c>
      <c r="BD371" s="7" t="str">
        <f>IFERROR(__xludf.DUMMYFUNCTION("""COMPUTED_VALUE"""),"https://static.redstone.rs/games/100-clover-fire/")</f>
        <v>https://static.redstone.rs/games/100-clover-fire/</v>
      </c>
      <c r="BE371" s="5" t="b">
        <f>IFERROR(__xludf.DUMMYFUNCTION("""COMPUTED_VALUE"""),TRUE)</f>
        <v>1</v>
      </c>
    </row>
    <row r="372">
      <c r="A372" s="5">
        <f>IFERROR(__xludf.DUMMYFUNCTION("""COMPUTED_VALUE"""),377.0)</f>
        <v>377</v>
      </c>
      <c r="B372" s="5">
        <f>IFERROR(__xludf.DUMMYFUNCTION("""COMPUTED_VALUE"""),355.0)</f>
        <v>355</v>
      </c>
      <c r="C372" s="5" t="str">
        <f>IFERROR(__xludf.DUMMYFUNCTION("""COMPUTED_VALUE"""),"Redstone")</f>
        <v>Redstone</v>
      </c>
      <c r="D372" s="5" t="str">
        <f>IFERROR(__xludf.DUMMYFUNCTION("""COMPUTED_VALUE"""),"Volcano Crown")</f>
        <v>Volcano Crown</v>
      </c>
      <c r="E372" s="5" t="str">
        <f>IFERROR(__xludf.DUMMYFUNCTION("""COMPUTED_VALUE"""),"Redstone")</f>
        <v>Redstone</v>
      </c>
      <c r="F372" s="5" t="str">
        <f>IFERROR(__xludf.DUMMYFUNCTION("""COMPUTED_VALUE"""),"RedstoneVolcanoCrown")</f>
        <v>RedstoneVolcanoCrown</v>
      </c>
      <c r="G372" s="5" t="str">
        <f>IFERROR(__xludf.DUMMYFUNCTION("""COMPUTED_VALUE"""),"Live")</f>
        <v>Live</v>
      </c>
      <c r="H372" s="5"/>
      <c r="I372" s="5" t="str">
        <f>IFERROR(__xludf.DUMMYFUNCTION("""COMPUTED_VALUE"""),"Redstone")</f>
        <v>Redstone</v>
      </c>
      <c r="J372" s="5" t="str">
        <f>IFERROR(__xludf.DUMMYFUNCTION("""COMPUTED_VALUE"""),"JSON")</f>
        <v>JSON</v>
      </c>
      <c r="K372" s="5" t="str">
        <f>IFERROR(__xludf.DUMMYFUNCTION("""COMPUTED_VALUE"""),"Slot")</f>
        <v>Slot</v>
      </c>
      <c r="L372" s="5" t="str">
        <f>IFERROR(__xludf.DUMMYFUNCTION("""COMPUTED_VALUE""")," Clone")</f>
        <v> Clone</v>
      </c>
      <c r="M372" s="5" t="str">
        <f>IFERROR(__xludf.DUMMYFUNCTION("""COMPUTED_VALUE"""),"10 Wild Crown")</f>
        <v>10 Wild Crown</v>
      </c>
      <c r="N372" s="7" t="str">
        <f>IFERROR(__xludf.DUMMYFUNCTION("""COMPUTED_VALUE"""),"https://docs.google.com/document/d/1622RXsaCRk6kddwwmUtbQISmOIoVvd5e/edit?usp=drive_link&amp;ouid=107596163405648766688&amp;rtpof=true&amp;sd=true")</f>
        <v>https://docs.google.com/document/d/1622RXsaCRk6kddwwmUtbQISmOIoVvd5e/edit?usp=drive_link&amp;ouid=107596163405648766688&amp;rtpof=true&amp;sd=true</v>
      </c>
      <c r="O372" s="7" t="str">
        <f>IFERROR(__xludf.DUMMYFUNCTION("""COMPUTED_VALUE"""),"https://docs.google.com/document/d/1qsiqXRneZgmrDYvIQRnYXZ8s2fzskp4C/edit?usp=drive_link&amp;ouid=107596163405648766688&amp;rtpof=true&amp;sd=true")</f>
        <v>https://docs.google.com/document/d/1qsiqXRneZgmrDYvIQRnYXZ8s2fzskp4C/edit?usp=drive_link&amp;ouid=107596163405648766688&amp;rtpof=true&amp;sd=true</v>
      </c>
      <c r="P372" s="12">
        <f>IFERROR(__xludf.DUMMYFUNCTION("""COMPUTED_VALUE"""),7.5)</f>
        <v>7.5</v>
      </c>
      <c r="Q372" s="13">
        <f>IFERROR(__xludf.DUMMYFUNCTION("""COMPUTED_VALUE"""),45523.0)</f>
        <v>45523</v>
      </c>
      <c r="R372" s="14"/>
      <c r="S372" s="13">
        <f>IFERROR(__xludf.DUMMYFUNCTION("""COMPUTED_VALUE"""),45523.0)</f>
        <v>45523</v>
      </c>
      <c r="T372" s="5" t="b">
        <f>IFERROR(__xludf.DUMMYFUNCTION("""COMPUTED_VALUE"""),TRUE)</f>
        <v>1</v>
      </c>
      <c r="U372" s="5" t="str">
        <f>IFERROR(__xludf.DUMMYFUNCTION("""COMPUTED_VALUE"""),"5x3")</f>
        <v>5x3</v>
      </c>
      <c r="V372" s="5">
        <f>IFERROR(__xludf.DUMMYFUNCTION("""COMPUTED_VALUE"""),10.0)</f>
        <v>10</v>
      </c>
      <c r="W372" s="5">
        <f>IFERROR(__xludf.DUMMYFUNCTION("""COMPUTED_VALUE"""),10.0)</f>
        <v>10</v>
      </c>
      <c r="X372" s="11">
        <f>IFERROR(__xludf.DUMMYFUNCTION("""COMPUTED_VALUE"""),95.96)</f>
        <v>95.96</v>
      </c>
      <c r="Y372" s="5" t="str">
        <f>IFERROR(__xludf.DUMMYFUNCTION("""COMPUTED_VALUE"""),"Medium")</f>
        <v>Medium</v>
      </c>
      <c r="Z372" s="5">
        <f>IFERROR(__xludf.DUMMYFUNCTION("""COMPUTED_VALUE"""),14.63)</f>
        <v>14.63</v>
      </c>
      <c r="AA372" s="5">
        <f>IFERROR(__xludf.DUMMYFUNCTION("""COMPUTED_VALUE"""),1538.0)</f>
        <v>1538</v>
      </c>
      <c r="AB372" s="5"/>
      <c r="AC372" s="5" t="str">
        <f>IFERROR(__xludf.DUMMYFUNCTION("""COMPUTED_VALUE"""),"Expanding Wild, Scatter")</f>
        <v>Expanding Wild, Scatter</v>
      </c>
      <c r="AD372" s="5" t="str">
        <f>IFERROR(__xludf.DUMMYFUNCTION("""COMPUTED_VALUE"""),"0.10/40")</f>
        <v>0.10/40</v>
      </c>
      <c r="AE372" s="5"/>
      <c r="AF372" s="5"/>
      <c r="AG372" s="8">
        <f>IFERROR(__xludf.DUMMYFUNCTION("""COMPUTED_VALUE"""),46157.49019675926)</f>
        <v>46157.4902</v>
      </c>
      <c r="AH372" s="5"/>
      <c r="AI372" s="5"/>
      <c r="AJ372" s="5"/>
      <c r="AK372" s="5">
        <f>IFERROR(__xludf.DUMMYFUNCTION("""COMPUTED_VALUE"""),1.0)</f>
        <v>1</v>
      </c>
      <c r="AL372" s="5" t="str">
        <f>IFERROR(__xludf.DUMMYFUNCTION("""COMPUTED_VALUE"""),"No")</f>
        <v>No</v>
      </c>
      <c r="AM372" s="5" t="str">
        <f>IFERROR(__xludf.DUMMYFUNCTION("""COMPUTED_VALUE"""),"No")</f>
        <v>No</v>
      </c>
      <c r="AN372" s="7" t="str">
        <f>IFERROR(__xludf.DUMMYFUNCTION("""COMPUTED_VALUE"""),"https://static.redstone.rs/games/volcano-crown/")</f>
        <v>https://static.redstone.rs/games/volcano-crown/</v>
      </c>
      <c r="AO372" s="5" t="str">
        <f>IFERROR(__xludf.DUMMYFUNCTION("""COMPUTED_VALUE"""),"No")</f>
        <v>No</v>
      </c>
      <c r="AP372" s="5" t="str">
        <f>IFERROR(__xludf.DUMMYFUNCTION("""COMPUTED_VALUE"""),"No")</f>
        <v>No</v>
      </c>
      <c r="AQ372" s="5" t="b">
        <f>IFERROR(__xludf.DUMMYFUNCTION("""COMPUTED_VALUE"""),TRUE)</f>
        <v>1</v>
      </c>
      <c r="AR372" s="5"/>
      <c r="AS372" s="5" t="str">
        <f>IFERROR(__xludf.DUMMYFUNCTION("""COMPUTED_VALUE"""),"Feel the lava flow as you spin for regal rewards. Erupt with excitement and claim your Volcano Crown today!")</f>
        <v>Feel the lava flow as you spin for regal rewards. Erupt with excitement and claim your Volcano Crown today!</v>
      </c>
      <c r="AT372" s="5"/>
      <c r="AU372" s="5" t="str">
        <f>IFERROR(__xludf.DUMMYFUNCTION("""COMPUTED_VALUE"""),"Redstone")</f>
        <v>Redstone</v>
      </c>
      <c r="AV372" s="5"/>
      <c r="AW372" s="5"/>
      <c r="AX372" s="5"/>
      <c r="AY372" s="5"/>
      <c r="AZ372" s="5"/>
      <c r="BA372" s="5"/>
      <c r="BB372" s="5" t="b">
        <f>IFERROR(__xludf.DUMMYFUNCTION("""COMPUTED_VALUE"""),TRUE)</f>
        <v>1</v>
      </c>
      <c r="BC372" s="5" t="str">
        <f>IFERROR(__xludf.DUMMYFUNCTION("""COMPUTED_VALUE"""),"Redstone")</f>
        <v>Redstone</v>
      </c>
      <c r="BD372" s="7" t="str">
        <f>IFERROR(__xludf.DUMMYFUNCTION("""COMPUTED_VALUE"""),"https://static.redstone.rs/games/volcano-crown/")</f>
        <v>https://static.redstone.rs/games/volcano-crown/</v>
      </c>
      <c r="BE372" s="5" t="b">
        <f>IFERROR(__xludf.DUMMYFUNCTION("""COMPUTED_VALUE"""),TRUE)</f>
        <v>1</v>
      </c>
    </row>
    <row r="373">
      <c r="A373" s="5">
        <f>IFERROR(__xludf.DUMMYFUNCTION("""COMPUTED_VALUE"""),378.0)</f>
        <v>378</v>
      </c>
      <c r="B373" s="5">
        <f>IFERROR(__xludf.DUMMYFUNCTION("""COMPUTED_VALUE"""),356.0)</f>
        <v>356</v>
      </c>
      <c r="C373" s="5" t="str">
        <f>IFERROR(__xludf.DUMMYFUNCTION("""COMPUTED_VALUE"""),"Tiptop")</f>
        <v>Tiptop</v>
      </c>
      <c r="D373" s="5" t="str">
        <f>IFERROR(__xludf.DUMMYFUNCTION("""COMPUTED_VALUE"""),"Gold Line Dice")</f>
        <v>Gold Line Dice</v>
      </c>
      <c r="E373" s="5" t="str">
        <f>IFERROR(__xludf.DUMMYFUNCTION("""COMPUTED_VALUE"""),"V4-2")</f>
        <v>V4-2</v>
      </c>
      <c r="F373" s="5" t="str">
        <f>IFERROR(__xludf.DUMMYFUNCTION("""COMPUTED_VALUE"""),"UnicornGoldLineDice")</f>
        <v>UnicornGoldLineDice</v>
      </c>
      <c r="G373" s="5" t="str">
        <f>IFERROR(__xludf.DUMMYFUNCTION("""COMPUTED_VALUE"""),"Live")</f>
        <v>Live</v>
      </c>
      <c r="H373" s="5"/>
      <c r="I373" s="5" t="str">
        <f>IFERROR(__xludf.DUMMYFUNCTION("""COMPUTED_VALUE"""),"TipTop")</f>
        <v>TipTop</v>
      </c>
      <c r="J373" s="5" t="str">
        <f>IFERROR(__xludf.DUMMYFUNCTION("""COMPUTED_VALUE"""),"JSON")</f>
        <v>JSON</v>
      </c>
      <c r="K373" s="5" t="str">
        <f>IFERROR(__xludf.DUMMYFUNCTION("""COMPUTED_VALUE"""),"Dice Slots")</f>
        <v>Dice Slots</v>
      </c>
      <c r="L373" s="5"/>
      <c r="M373" s="5"/>
      <c r="N373" s="5"/>
      <c r="O373" s="5"/>
      <c r="P373" s="12">
        <f>IFERROR(__xludf.DUMMYFUNCTION("""COMPUTED_VALUE"""),12.9)</f>
        <v>12.9</v>
      </c>
      <c r="Q373" s="13">
        <f>IFERROR(__xludf.DUMMYFUNCTION("""COMPUTED_VALUE"""),45533.0)</f>
        <v>45533</v>
      </c>
      <c r="R373" s="14"/>
      <c r="S373" s="13">
        <f>IFERROR(__xludf.DUMMYFUNCTION("""COMPUTED_VALUE"""),45533.0)</f>
        <v>45533</v>
      </c>
      <c r="T373" s="5" t="b">
        <f>IFERROR(__xludf.DUMMYFUNCTION("""COMPUTED_VALUE"""),TRUE)</f>
        <v>1</v>
      </c>
      <c r="U373" s="5" t="str">
        <f>IFERROR(__xludf.DUMMYFUNCTION("""COMPUTED_VALUE"""),"5X3")</f>
        <v>5X3</v>
      </c>
      <c r="V373" s="5">
        <f>IFERROR(__xludf.DUMMYFUNCTION("""COMPUTED_VALUE"""),20.0)</f>
        <v>20</v>
      </c>
      <c r="W373" s="5" t="str">
        <f>IFERROR(__xludf.DUMMYFUNCTION("""COMPUTED_VALUE"""),"10+1 ")</f>
        <v>10+1 </v>
      </c>
      <c r="X373" s="11">
        <f>IFERROR(__xludf.DUMMYFUNCTION("""COMPUTED_VALUE"""),96.0)</f>
        <v>96</v>
      </c>
      <c r="Y373" s="5" t="str">
        <f>IFERROR(__xludf.DUMMYFUNCTION("""COMPUTED_VALUE"""),"Low")</f>
        <v>Low</v>
      </c>
      <c r="Z373" s="5">
        <f>IFERROR(__xludf.DUMMYFUNCTION("""COMPUTED_VALUE"""),17.39)</f>
        <v>17.39</v>
      </c>
      <c r="AA373" s="5">
        <f>IFERROR(__xludf.DUMMYFUNCTION("""COMPUTED_VALUE"""),10000.0)</f>
        <v>10000</v>
      </c>
      <c r="AB373" s="5"/>
      <c r="AC373" s="5"/>
      <c r="AD373" s="5" t="str">
        <f>IFERROR(__xludf.DUMMYFUNCTION("""COMPUTED_VALUE"""),"0.2/100")</f>
        <v>0.2/100</v>
      </c>
      <c r="AE373" s="5"/>
      <c r="AF373" s="5"/>
      <c r="AG373" s="8">
        <f>IFERROR(__xludf.DUMMYFUNCTION("""COMPUTED_VALUE"""),46197.490381944444)</f>
        <v>46197.49038</v>
      </c>
      <c r="AH373" s="5" t="str">
        <f>IFERROR(__xludf.DUMMYFUNCTION("""COMPUTED_VALUE"""),"selena.mihajlovic@fazi.rs")</f>
        <v>selena.mihajlovic@fazi.rs</v>
      </c>
      <c r="AI373" s="5"/>
      <c r="AJ373" s="5"/>
      <c r="AK373" s="5">
        <f>IFERROR(__xludf.DUMMYFUNCTION("""COMPUTED_VALUE"""),20.0)</f>
        <v>20</v>
      </c>
      <c r="AL373" s="5" t="str">
        <f>IFERROR(__xludf.DUMMYFUNCTION("""COMPUTED_VALUE"""),"No")</f>
        <v>No</v>
      </c>
      <c r="AM373" s="5"/>
      <c r="AN373" s="7" t="str">
        <f>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AO373" s="5"/>
      <c r="AP373" s="5"/>
      <c r="AQ373" s="5" t="b">
        <f>IFERROR(__xludf.DUMMYFUNCTION("""COMPUTED_VALUE"""),TRUE)</f>
        <v>1</v>
      </c>
      <c r="AR373" s="5"/>
      <c r="AS373" s="5" t="str">
        <f>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373" s="5"/>
      <c r="AU373" s="5" t="str">
        <f>IFERROR(__xludf.DUMMYFUNCTION("""COMPUTED_VALUE"""),"Fazi")</f>
        <v>Fazi</v>
      </c>
      <c r="AV373" s="5"/>
      <c r="AW373" s="5"/>
      <c r="AX373" s="5"/>
      <c r="AY373" s="5"/>
      <c r="AZ373" s="5"/>
      <c r="BA373" s="5"/>
      <c r="BB373" s="5" t="b">
        <f>IFERROR(__xludf.DUMMYFUNCTION("""COMPUTED_VALUE"""),TRUE)</f>
        <v>1</v>
      </c>
      <c r="BC373" s="5" t="str">
        <f>IFERROR(__xludf.DUMMYFUNCTION("""COMPUTED_VALUE"""),"Tiptop")</f>
        <v>Tiptop</v>
      </c>
      <c r="BD373" s="7" t="str">
        <f>IFERROR(__xludf.DUMMYFUNCTION("""COMPUTED_VALUE"""),"https://gameserver-store-client-area.orbionlimited.com/Home/IntegrationGameLaunch/client-area?moneyType=0&amp;gameName=UnicornGoldLineDice&amp;platform=desktop&amp;languageCode=eng&amp;currency=EUR")</f>
        <v>https://gameserver-store-client-area.orbionlimited.com/Home/IntegrationGameLaunch/client-area?moneyType=0&amp;gameName=UnicornGoldLineDice&amp;platform=desktop&amp;languageCode=eng&amp;currency=EUR</v>
      </c>
      <c r="BE373" s="5" t="b">
        <f>IFERROR(__xludf.DUMMYFUNCTION("""COMPUTED_VALUE"""),TRUE)</f>
        <v>1</v>
      </c>
    </row>
    <row r="374">
      <c r="A374" s="5">
        <f>IFERROR(__xludf.DUMMYFUNCTION("""COMPUTED_VALUE"""),379.0)</f>
        <v>379</v>
      </c>
      <c r="B374" s="5">
        <f>IFERROR(__xludf.DUMMYFUNCTION("""COMPUTED_VALUE"""),357.0)</f>
        <v>357</v>
      </c>
      <c r="C374" s="5" t="str">
        <f>IFERROR(__xludf.DUMMYFUNCTION("""COMPUTED_VALUE"""),"Tiptop")</f>
        <v>Tiptop</v>
      </c>
      <c r="D374" s="5" t="str">
        <f>IFERROR(__xludf.DUMMYFUNCTION("""COMPUTED_VALUE"""),"Lava Diamonds Christmas")</f>
        <v>Lava Diamonds Christmas</v>
      </c>
      <c r="E374" s="5" t="str">
        <f>IFERROR(__xludf.DUMMYFUNCTION("""COMPUTED_VALUE"""),"V4-2")</f>
        <v>V4-2</v>
      </c>
      <c r="F374" s="5" t="str">
        <f>IFERROR(__xludf.DUMMYFUNCTION("""COMPUTED_VALUE"""),"UnicornLavaDiamondsChristmas")</f>
        <v>UnicornLavaDiamondsChristmas</v>
      </c>
      <c r="G374" s="5" t="str">
        <f>IFERROR(__xludf.DUMMYFUNCTION("""COMPUTED_VALUE"""),"Live")</f>
        <v>Live</v>
      </c>
      <c r="H374" s="5"/>
      <c r="I374" s="5" t="str">
        <f>IFERROR(__xludf.DUMMYFUNCTION("""COMPUTED_VALUE"""),"TipTop")</f>
        <v>TipTop</v>
      </c>
      <c r="J374" s="5" t="str">
        <f>IFERROR(__xludf.DUMMYFUNCTION("""COMPUTED_VALUE"""),"JSON")</f>
        <v>JSON</v>
      </c>
      <c r="K374" s="5" t="str">
        <f>IFERROR(__xludf.DUMMYFUNCTION("""COMPUTED_VALUE"""),"Slot")</f>
        <v>Slot</v>
      </c>
      <c r="L374" s="5"/>
      <c r="M374" s="5"/>
      <c r="N374" s="5"/>
      <c r="O374" s="5"/>
      <c r="P374" s="12">
        <f>IFERROR(__xludf.DUMMYFUNCTION("""COMPUTED_VALUE"""),11.9)</f>
        <v>11.9</v>
      </c>
      <c r="Q374" s="13">
        <f>IFERROR(__xludf.DUMMYFUNCTION("""COMPUTED_VALUE"""),45588.0)</f>
        <v>45588</v>
      </c>
      <c r="R374" s="14"/>
      <c r="S374" s="13">
        <f>IFERROR(__xludf.DUMMYFUNCTION("""COMPUTED_VALUE"""),45588.0)</f>
        <v>45588</v>
      </c>
      <c r="T374" s="5" t="b">
        <f>IFERROR(__xludf.DUMMYFUNCTION("""COMPUTED_VALUE"""),TRUE)</f>
        <v>1</v>
      </c>
      <c r="U374" s="5" t="str">
        <f>IFERROR(__xludf.DUMMYFUNCTION("""COMPUTED_VALUE"""),"5X3")</f>
        <v>5X3</v>
      </c>
      <c r="V374" s="5">
        <f>IFERROR(__xludf.DUMMYFUNCTION("""COMPUTED_VALUE"""),10.0)</f>
        <v>10</v>
      </c>
      <c r="W374" s="5">
        <f>IFERROR(__xludf.DUMMYFUNCTION("""COMPUTED_VALUE"""),10.0)</f>
        <v>10</v>
      </c>
      <c r="X374" s="11">
        <f>IFERROR(__xludf.DUMMYFUNCTION("""COMPUTED_VALUE"""),96.0)</f>
        <v>96</v>
      </c>
      <c r="Y374" s="5" t="str">
        <f>IFERROR(__xludf.DUMMYFUNCTION("""COMPUTED_VALUE"""),"Low")</f>
        <v>Low</v>
      </c>
      <c r="Z374" s="5">
        <f>IFERROR(__xludf.DUMMYFUNCTION("""COMPUTED_VALUE"""),24.14)</f>
        <v>24.14</v>
      </c>
      <c r="AA374" s="5">
        <f>IFERROR(__xludf.DUMMYFUNCTION("""COMPUTED_VALUE"""),10000.0)</f>
        <v>10000</v>
      </c>
      <c r="AB374" s="5"/>
      <c r="AC374" s="5"/>
      <c r="AD374" s="5" t="str">
        <f>IFERROR(__xludf.DUMMYFUNCTION("""COMPUTED_VALUE"""),"0.1/100")</f>
        <v>0.1/100</v>
      </c>
      <c r="AE374" s="5"/>
      <c r="AF374" s="5"/>
      <c r="AG374" s="8">
        <f>IFERROR(__xludf.DUMMYFUNCTION("""COMPUTED_VALUE"""),46197.49068287037)</f>
        <v>46197.49068</v>
      </c>
      <c r="AH374" s="5" t="str">
        <f>IFERROR(__xludf.DUMMYFUNCTION("""COMPUTED_VALUE"""),"selena.mihajlovic@fazi.rs")</f>
        <v>selena.mihajlovic@fazi.rs</v>
      </c>
      <c r="AI374" s="5"/>
      <c r="AJ374" s="5"/>
      <c r="AK374" s="5">
        <f>IFERROR(__xludf.DUMMYFUNCTION("""COMPUTED_VALUE"""),10.0)</f>
        <v>10</v>
      </c>
      <c r="AL374" s="5" t="str">
        <f>IFERROR(__xludf.DUMMYFUNCTION("""COMPUTED_VALUE"""),"No")</f>
        <v>No</v>
      </c>
      <c r="AM374" s="5"/>
      <c r="AN374" s="7" t="str">
        <f>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AO374" s="5"/>
      <c r="AP374" s="5"/>
      <c r="AQ374" s="5" t="b">
        <f>IFERROR(__xludf.DUMMYFUNCTION("""COMPUTED_VALUE"""),TRUE)</f>
        <v>1</v>
      </c>
      <c r="AR374" s="5"/>
      <c r="AS374" s="5" t="str">
        <f>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AT374" s="5"/>
      <c r="AU374" s="5" t="str">
        <f>IFERROR(__xludf.DUMMYFUNCTION("""COMPUTED_VALUE"""),"Fazi")</f>
        <v>Fazi</v>
      </c>
      <c r="AV374" s="5"/>
      <c r="AW374" s="5"/>
      <c r="AX374" s="5"/>
      <c r="AY374" s="5"/>
      <c r="AZ374" s="5"/>
      <c r="BA374" s="5"/>
      <c r="BB374" s="5" t="b">
        <f>IFERROR(__xludf.DUMMYFUNCTION("""COMPUTED_VALUE"""),TRUE)</f>
        <v>1</v>
      </c>
      <c r="BC374" s="5" t="str">
        <f>IFERROR(__xludf.DUMMYFUNCTION("""COMPUTED_VALUE"""),"Tiptop")</f>
        <v>Tiptop</v>
      </c>
      <c r="BD374" s="7" t="str">
        <f>IFERROR(__xludf.DUMMYFUNCTION("""COMPUTED_VALUE"""),"https://gameserver-store-client-area.orbionlimited.com/Home/IntegrationGameLaunch/client-area?moneyType=0&amp;gameName=UnicornLavaDiamondsChristmas&amp;platform=desktop&amp;languageCode=eng&amp;currency=EUR")</f>
        <v>https://gameserver-store-client-area.orbionlimited.com/Home/IntegrationGameLaunch/client-area?moneyType=0&amp;gameName=UnicornLavaDiamondsChristmas&amp;platform=desktop&amp;languageCode=eng&amp;currency=EUR</v>
      </c>
      <c r="BE374" s="5" t="b">
        <f>IFERROR(__xludf.DUMMYFUNCTION("""COMPUTED_VALUE"""),TRUE)</f>
        <v>1</v>
      </c>
    </row>
    <row r="375">
      <c r="A375" s="5">
        <f>IFERROR(__xludf.DUMMYFUNCTION("""COMPUTED_VALUE"""),380.0)</f>
        <v>380</v>
      </c>
      <c r="B375" s="5">
        <f>IFERROR(__xludf.DUMMYFUNCTION("""COMPUTED_VALUE"""),358.0)</f>
        <v>358</v>
      </c>
      <c r="C375" s="5" t="str">
        <f>IFERROR(__xludf.DUMMYFUNCTION("""COMPUTED_VALUE"""),"Tiptop")</f>
        <v>Tiptop</v>
      </c>
      <c r="D375" s="5" t="str">
        <f>IFERROR(__xludf.DUMMYFUNCTION("""COMPUTED_VALUE"""),"Pumpkin Horror")</f>
        <v>Pumpkin Horror</v>
      </c>
      <c r="E375" s="5" t="str">
        <f>IFERROR(__xludf.DUMMYFUNCTION("""COMPUTED_VALUE"""),"V4-2")</f>
        <v>V4-2</v>
      </c>
      <c r="F375" s="5" t="str">
        <f>IFERROR(__xludf.DUMMYFUNCTION("""COMPUTED_VALUE"""),"UnicornPumpkinHorror")</f>
        <v>UnicornPumpkinHorror</v>
      </c>
      <c r="G375" s="5" t="str">
        <f>IFERROR(__xludf.DUMMYFUNCTION("""COMPUTED_VALUE"""),"Live")</f>
        <v>Live</v>
      </c>
      <c r="H375" s="5"/>
      <c r="I375" s="5" t="str">
        <f>IFERROR(__xludf.DUMMYFUNCTION("""COMPUTED_VALUE"""),"TipTop")</f>
        <v>TipTop</v>
      </c>
      <c r="J375" s="5" t="str">
        <f>IFERROR(__xludf.DUMMYFUNCTION("""COMPUTED_VALUE"""),"JSON")</f>
        <v>JSON</v>
      </c>
      <c r="K375" s="5" t="str">
        <f>IFERROR(__xludf.DUMMYFUNCTION("""COMPUTED_VALUE"""),"Slot")</f>
        <v>Slot</v>
      </c>
      <c r="L375" s="5"/>
      <c r="M375" s="5"/>
      <c r="N375" s="5"/>
      <c r="O375" s="5"/>
      <c r="P375" s="12">
        <f>IFERROR(__xludf.DUMMYFUNCTION("""COMPUTED_VALUE"""),12.6)</f>
        <v>12.6</v>
      </c>
      <c r="Q375" s="13">
        <f>IFERROR(__xludf.DUMMYFUNCTION("""COMPUTED_VALUE"""),45576.0)</f>
        <v>45576</v>
      </c>
      <c r="R375" s="14"/>
      <c r="S375" s="13">
        <f>IFERROR(__xludf.DUMMYFUNCTION("""COMPUTED_VALUE"""),45576.0)</f>
        <v>45576</v>
      </c>
      <c r="T375" s="5" t="b">
        <f>IFERROR(__xludf.DUMMYFUNCTION("""COMPUTED_VALUE"""),TRUE)</f>
        <v>1</v>
      </c>
      <c r="U375" s="5" t="str">
        <f>IFERROR(__xludf.DUMMYFUNCTION("""COMPUTED_VALUE"""),"5X3")</f>
        <v>5X3</v>
      </c>
      <c r="V375" s="5">
        <f>IFERROR(__xludf.DUMMYFUNCTION("""COMPUTED_VALUE"""),10.0)</f>
        <v>10</v>
      </c>
      <c r="W375" s="5">
        <f>IFERROR(__xludf.DUMMYFUNCTION("""COMPUTED_VALUE"""),10.0)</f>
        <v>10</v>
      </c>
      <c r="X375" s="11">
        <f>IFERROR(__xludf.DUMMYFUNCTION("""COMPUTED_VALUE"""),96.0)</f>
        <v>96</v>
      </c>
      <c r="Y375" s="5" t="str">
        <f>IFERROR(__xludf.DUMMYFUNCTION("""COMPUTED_VALUE"""),"Medium")</f>
        <v>Medium</v>
      </c>
      <c r="Z375" s="5">
        <f>IFERROR(__xludf.DUMMYFUNCTION("""COMPUTED_VALUE"""),23.31)</f>
        <v>23.31</v>
      </c>
      <c r="AA375" s="5">
        <f>IFERROR(__xludf.DUMMYFUNCTION("""COMPUTED_VALUE"""),10000.0)</f>
        <v>10000</v>
      </c>
      <c r="AB375" s="5"/>
      <c r="AC375" s="5"/>
      <c r="AD375" s="5" t="str">
        <f>IFERROR(__xludf.DUMMYFUNCTION("""COMPUTED_VALUE"""),"0.1/100")</f>
        <v>0.1/100</v>
      </c>
      <c r="AE375" s="5"/>
      <c r="AF375" s="5"/>
      <c r="AG375" s="8">
        <f>IFERROR(__xludf.DUMMYFUNCTION("""COMPUTED_VALUE"""),46197.490949074076)</f>
        <v>46197.49095</v>
      </c>
      <c r="AH375" s="5" t="str">
        <f>IFERROR(__xludf.DUMMYFUNCTION("""COMPUTED_VALUE"""),"selena.mihajlovic@fazi.rs")</f>
        <v>selena.mihajlovic@fazi.rs</v>
      </c>
      <c r="AI375" s="5"/>
      <c r="AJ375" s="5"/>
      <c r="AK375" s="5">
        <f>IFERROR(__xludf.DUMMYFUNCTION("""COMPUTED_VALUE"""),10.0)</f>
        <v>10</v>
      </c>
      <c r="AL375" s="5" t="str">
        <f>IFERROR(__xludf.DUMMYFUNCTION("""COMPUTED_VALUE"""),"No")</f>
        <v>No</v>
      </c>
      <c r="AM375" s="5"/>
      <c r="AN375" s="7" t="str">
        <f>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AO375" s="5"/>
      <c r="AP375" s="5"/>
      <c r="AQ375" s="5" t="b">
        <f>IFERROR(__xludf.DUMMYFUNCTION("""COMPUTED_VALUE"""),TRUE)</f>
        <v>1</v>
      </c>
      <c r="AR375" s="5"/>
      <c r="AS375" s="5" t="str">
        <f>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AT375" s="5"/>
      <c r="AU375" s="5" t="str">
        <f>IFERROR(__xludf.DUMMYFUNCTION("""COMPUTED_VALUE"""),"Fazi")</f>
        <v>Fazi</v>
      </c>
      <c r="AV375" s="5"/>
      <c r="AW375" s="5"/>
      <c r="AX375" s="5"/>
      <c r="AY375" s="5"/>
      <c r="AZ375" s="5"/>
      <c r="BA375" s="5"/>
      <c r="BB375" s="5" t="b">
        <f>IFERROR(__xludf.DUMMYFUNCTION("""COMPUTED_VALUE"""),TRUE)</f>
        <v>1</v>
      </c>
      <c r="BC375" s="5" t="str">
        <f>IFERROR(__xludf.DUMMYFUNCTION("""COMPUTED_VALUE"""),"Tiptop")</f>
        <v>Tiptop</v>
      </c>
      <c r="BD375" s="7" t="str">
        <f>IFERROR(__xludf.DUMMYFUNCTION("""COMPUTED_VALUE"""),"https://gameserver-store-client-area.orbionlimited.com/Home/IntegrationGameLaunch/client-area?moneyType=0&amp;gameName=UnicornPumpkinHorror&amp;platform=desktop&amp;languageCode=eng&amp;currency=EUR")</f>
        <v>https://gameserver-store-client-area.orbionlimited.com/Home/IntegrationGameLaunch/client-area?moneyType=0&amp;gameName=UnicornPumpkinHorror&amp;platform=desktop&amp;languageCode=eng&amp;currency=EUR</v>
      </c>
      <c r="BE375" s="5" t="b">
        <f>IFERROR(__xludf.DUMMYFUNCTION("""COMPUTED_VALUE"""),TRUE)</f>
        <v>1</v>
      </c>
    </row>
    <row r="376">
      <c r="A376" s="5">
        <f>IFERROR(__xludf.DUMMYFUNCTION("""COMPUTED_VALUE"""),381.0)</f>
        <v>381</v>
      </c>
      <c r="B376" s="5">
        <f>IFERROR(__xludf.DUMMYFUNCTION("""COMPUTED_VALUE"""),359.0)</f>
        <v>359</v>
      </c>
      <c r="C376" s="5" t="str">
        <f>IFERROR(__xludf.DUMMYFUNCTION("""COMPUTED_VALUE"""),"Playnet")</f>
        <v>Playnet</v>
      </c>
      <c r="D376" s="5" t="str">
        <f>IFERROR(__xludf.DUMMYFUNCTION("""COMPUTED_VALUE"""),"Majestic Crown 20")</f>
        <v>Majestic Crown 20</v>
      </c>
      <c r="E376" s="5" t="str">
        <f>IFERROR(__xludf.DUMMYFUNCTION("""COMPUTED_VALUE"""),"V4-2")</f>
        <v>V4-2</v>
      </c>
      <c r="F376" s="5" t="str">
        <f>IFERROR(__xludf.DUMMYFUNCTION("""COMPUTED_VALUE"""),"PlayNetMajesticCrown20")</f>
        <v>PlayNetMajesticCrown20</v>
      </c>
      <c r="G376" s="5" t="str">
        <f>IFERROR(__xludf.DUMMYFUNCTION("""COMPUTED_VALUE"""),"Live")</f>
        <v>Live</v>
      </c>
      <c r="H376" s="5"/>
      <c r="I376" s="5"/>
      <c r="J376" s="5" t="str">
        <f>IFERROR(__xludf.DUMMYFUNCTION("""COMPUTED_VALUE"""),"JSON")</f>
        <v>JSON</v>
      </c>
      <c r="K376" s="5" t="str">
        <f>IFERROR(__xludf.DUMMYFUNCTION("""COMPUTED_VALUE"""),"Slot")</f>
        <v>Slot</v>
      </c>
      <c r="L376" s="5"/>
      <c r="M376" s="5"/>
      <c r="N376" s="5"/>
      <c r="O376" s="5"/>
      <c r="P376" s="12">
        <f>IFERROR(__xludf.DUMMYFUNCTION("""COMPUTED_VALUE"""),7.0)</f>
        <v>7</v>
      </c>
      <c r="Q376" s="13">
        <f>IFERROR(__xludf.DUMMYFUNCTION("""COMPUTED_VALUE"""),45520.0)</f>
        <v>45520</v>
      </c>
      <c r="R376" s="14"/>
      <c r="S376" s="13">
        <f>IFERROR(__xludf.DUMMYFUNCTION("""COMPUTED_VALUE"""),45520.0)</f>
        <v>45520</v>
      </c>
      <c r="T376" s="5" t="b">
        <f>IFERROR(__xludf.DUMMYFUNCTION("""COMPUTED_VALUE"""),TRUE)</f>
        <v>1</v>
      </c>
      <c r="U376" s="5" t="str">
        <f>IFERROR(__xludf.DUMMYFUNCTION("""COMPUTED_VALUE"""),"5x3")</f>
        <v>5x3</v>
      </c>
      <c r="V376" s="5">
        <f>IFERROR(__xludf.DUMMYFUNCTION("""COMPUTED_VALUE"""),20.0)</f>
        <v>20</v>
      </c>
      <c r="W376" s="5">
        <f>IFERROR(__xludf.DUMMYFUNCTION("""COMPUTED_VALUE"""),20.0)</f>
        <v>20</v>
      </c>
      <c r="X376" s="11">
        <f>IFERROR(__xludf.DUMMYFUNCTION("""COMPUTED_VALUE"""),96.5)</f>
        <v>96.5</v>
      </c>
      <c r="Y376" s="5" t="str">
        <f>IFERROR(__xludf.DUMMYFUNCTION("""COMPUTED_VALUE"""),"Medium")</f>
        <v>Medium</v>
      </c>
      <c r="Z376" s="5">
        <f>IFERROR(__xludf.DUMMYFUNCTION("""COMPUTED_VALUE"""),21.75)</f>
        <v>21.75</v>
      </c>
      <c r="AA376" s="5">
        <f>IFERROR(__xludf.DUMMYFUNCTION("""COMPUTED_VALUE"""),1200.0)</f>
        <v>1200</v>
      </c>
      <c r="AB376" s="5"/>
      <c r="AC376" s="5" t="str">
        <f>IFERROR(__xludf.DUMMYFUNCTION("""COMPUTED_VALUE"""),"Scatter, Expanding Wild")</f>
        <v>Scatter, Expanding Wild</v>
      </c>
      <c r="AD376" s="5" t="str">
        <f>IFERROR(__xludf.DUMMYFUNCTION("""COMPUTED_VALUE"""),"0.20/100")</f>
        <v>0.20/100</v>
      </c>
      <c r="AE376" s="5"/>
      <c r="AF376" s="5"/>
      <c r="AG376" s="8">
        <f>IFERROR(__xludf.DUMMYFUNCTION("""COMPUTED_VALUE"""),46220.499502314815)</f>
        <v>46220.4995</v>
      </c>
      <c r="AH376" s="5" t="str">
        <f>IFERROR(__xludf.DUMMYFUNCTION("""COMPUTED_VALUE"""),"selena.mihajlovic@fazi.rs")</f>
        <v>selena.mihajlovic@fazi.rs</v>
      </c>
      <c r="AI376" s="5"/>
      <c r="AJ376" s="5"/>
      <c r="AK376" s="5" t="str">
        <f>IFERROR(__xludf.DUMMYFUNCTION("""COMPUTED_VALUE"""),"NULL")</f>
        <v>NULL</v>
      </c>
      <c r="AL376" s="5" t="str">
        <f>IFERROR(__xludf.DUMMYFUNCTION("""COMPUTED_VALUE"""),"No")</f>
        <v>No</v>
      </c>
      <c r="AM376" s="5" t="str">
        <f>IFERROR(__xludf.DUMMYFUNCTION("""COMPUTED_VALUE"""),"No")</f>
        <v>No</v>
      </c>
      <c r="AN376" s="7" t="str">
        <f>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AO376" s="5" t="str">
        <f>IFERROR(__xludf.DUMMYFUNCTION("""COMPUTED_VALUE"""),"No")</f>
        <v>No</v>
      </c>
      <c r="AP376" s="5" t="str">
        <f>IFERROR(__xludf.DUMMYFUNCTION("""COMPUTED_VALUE"""),"No")</f>
        <v>No</v>
      </c>
      <c r="AQ376" s="5" t="b">
        <f>IFERROR(__xludf.DUMMYFUNCTION("""COMPUTED_VALUE"""),TRUE)</f>
        <v>1</v>
      </c>
      <c r="AR376" s="5"/>
      <c r="AS376" s="5" t="str">
        <f>IFERROR(__xludf.DUMMYFUNCTION("""COMPUTED_VALUE"""),"Step into royalty with Majestic Crown 20! Spin the reels and reign over 20 majestic ways to win!")</f>
        <v>Step into royalty with Majestic Crown 20! Spin the reels and reign over 20 majestic ways to win!</v>
      </c>
      <c r="AT376" s="5"/>
      <c r="AU376" s="5" t="str">
        <f>IFERROR(__xludf.DUMMYFUNCTION("""COMPUTED_VALUE"""),"Fazi")</f>
        <v>Fazi</v>
      </c>
      <c r="AV376" s="5"/>
      <c r="AW376" s="5"/>
      <c r="AX376" s="5"/>
      <c r="AY376" s="5"/>
      <c r="AZ376" s="5"/>
      <c r="BA376" s="5"/>
      <c r="BB376" s="5" t="b">
        <f>IFERROR(__xludf.DUMMYFUNCTION("""COMPUTED_VALUE"""),TRUE)</f>
        <v>1</v>
      </c>
      <c r="BC376" s="5" t="str">
        <f>IFERROR(__xludf.DUMMYFUNCTION("""COMPUTED_VALUE"""),"Playnet")</f>
        <v>Playnet</v>
      </c>
      <c r="BD376" s="7" t="str">
        <f>IFERROR(__xludf.DUMMYFUNCTION("""COMPUTED_VALUE"""),"https://gameserver-store-client-area.orbionlimited.com/Home/IntegrationGameLaunch/client-area?moneyType=0&amp;gameName=PlayNetMajesticCrown20&amp;platform=desktop&amp;languageCode=eng&amp;currency=EUR")</f>
        <v>https://gameserver-store-client-area.orbionlimited.com/Home/IntegrationGameLaunch/client-area?moneyType=0&amp;gameName=PlayNetMajesticCrown20&amp;platform=desktop&amp;languageCode=eng&amp;currency=EUR</v>
      </c>
      <c r="BE376" s="5" t="b">
        <f>IFERROR(__xludf.DUMMYFUNCTION("""COMPUTED_VALUE"""),TRUE)</f>
        <v>1</v>
      </c>
    </row>
    <row r="377">
      <c r="A377" s="5">
        <f>IFERROR(__xludf.DUMMYFUNCTION("""COMPUTED_VALUE"""),382.0)</f>
        <v>382</v>
      </c>
      <c r="B377" s="5">
        <f>IFERROR(__xludf.DUMMYFUNCTION("""COMPUTED_VALUE"""),360.0)</f>
        <v>360</v>
      </c>
      <c r="C377" s="5" t="str">
        <f>IFERROR(__xludf.DUMMYFUNCTION("""COMPUTED_VALUE"""),"Playnet")</f>
        <v>Playnet</v>
      </c>
      <c r="D377" s="5" t="str">
        <f>IFERROR(__xludf.DUMMYFUNCTION("""COMPUTED_VALUE"""),"Diamond Heart 40")</f>
        <v>Diamond Heart 40</v>
      </c>
      <c r="E377" s="5" t="str">
        <f>IFERROR(__xludf.DUMMYFUNCTION("""COMPUTED_VALUE"""),"V4-2")</f>
        <v>V4-2</v>
      </c>
      <c r="F377" s="5" t="str">
        <f>IFERROR(__xludf.DUMMYFUNCTION("""COMPUTED_VALUE"""),"PlayNetDiamondHeart40")</f>
        <v>PlayNetDiamondHeart40</v>
      </c>
      <c r="G377" s="5" t="str">
        <f>IFERROR(__xludf.DUMMYFUNCTION("""COMPUTED_VALUE"""),"Live")</f>
        <v>Live</v>
      </c>
      <c r="H377" s="5"/>
      <c r="I377" s="5"/>
      <c r="J377" s="5" t="str">
        <f>IFERROR(__xludf.DUMMYFUNCTION("""COMPUTED_VALUE"""),"JSON")</f>
        <v>JSON</v>
      </c>
      <c r="K377" s="5" t="str">
        <f>IFERROR(__xludf.DUMMYFUNCTION("""COMPUTED_VALUE"""),"Slot")</f>
        <v>Slot</v>
      </c>
      <c r="L377" s="5"/>
      <c r="M377" s="5"/>
      <c r="N377" s="5"/>
      <c r="O377" s="5"/>
      <c r="P377" s="12">
        <f>IFERROR(__xludf.DUMMYFUNCTION("""COMPUTED_VALUE"""),7.0)</f>
        <v>7</v>
      </c>
      <c r="Q377" s="13">
        <f>IFERROR(__xludf.DUMMYFUNCTION("""COMPUTED_VALUE"""),45530.0)</f>
        <v>45530</v>
      </c>
      <c r="R377" s="14"/>
      <c r="S377" s="13">
        <f>IFERROR(__xludf.DUMMYFUNCTION("""COMPUTED_VALUE"""),45530.0)</f>
        <v>45530</v>
      </c>
      <c r="T377" s="5" t="b">
        <f>IFERROR(__xludf.DUMMYFUNCTION("""COMPUTED_VALUE"""),TRUE)</f>
        <v>1</v>
      </c>
      <c r="U377" s="5" t="str">
        <f>IFERROR(__xludf.DUMMYFUNCTION("""COMPUTED_VALUE"""),"5x3")</f>
        <v>5x3</v>
      </c>
      <c r="V377" s="5">
        <f>IFERROR(__xludf.DUMMYFUNCTION("""COMPUTED_VALUE"""),40.0)</f>
        <v>40</v>
      </c>
      <c r="W377" s="5">
        <f>IFERROR(__xludf.DUMMYFUNCTION("""COMPUTED_VALUE"""),40.0)</f>
        <v>40</v>
      </c>
      <c r="X377" s="11">
        <f>IFERROR(__xludf.DUMMYFUNCTION("""COMPUTED_VALUE"""),96.53)</f>
        <v>96.53</v>
      </c>
      <c r="Y377" s="5" t="str">
        <f>IFERROR(__xludf.DUMMYFUNCTION("""COMPUTED_VALUE"""),"Low")</f>
        <v>Low</v>
      </c>
      <c r="Z377" s="5">
        <f>IFERROR(__xludf.DUMMYFUNCTION("""COMPUTED_VALUE"""),23.337)</f>
        <v>23.337</v>
      </c>
      <c r="AA377" s="5">
        <f>IFERROR(__xludf.DUMMYFUNCTION("""COMPUTED_VALUE"""),876.75)</f>
        <v>876.75</v>
      </c>
      <c r="AB377" s="5"/>
      <c r="AC377" s="5" t="str">
        <f>IFERROR(__xludf.DUMMYFUNCTION("""COMPUTED_VALUE"""),"Scatter, Expanding Wild")</f>
        <v>Scatter, Expanding Wild</v>
      </c>
      <c r="AD377" s="5" t="str">
        <f>IFERROR(__xludf.DUMMYFUNCTION("""COMPUTED_VALUE"""),"0.40/60")</f>
        <v>0.40/60</v>
      </c>
      <c r="AE377" s="5"/>
      <c r="AF377" s="5"/>
      <c r="AG377" s="8">
        <f>IFERROR(__xludf.DUMMYFUNCTION("""COMPUTED_VALUE"""),46220.49966435185)</f>
        <v>46220.49966</v>
      </c>
      <c r="AH377" s="5" t="str">
        <f>IFERROR(__xludf.DUMMYFUNCTION("""COMPUTED_VALUE"""),"selena.mihajlovic@fazi.rs")</f>
        <v>selena.mihajlovic@fazi.rs</v>
      </c>
      <c r="AI377" s="5"/>
      <c r="AJ377" s="5"/>
      <c r="AK377" s="5" t="str">
        <f>IFERROR(__xludf.DUMMYFUNCTION("""COMPUTED_VALUE"""),"NULL")</f>
        <v>NULL</v>
      </c>
      <c r="AL377" s="5" t="str">
        <f>IFERROR(__xludf.DUMMYFUNCTION("""COMPUTED_VALUE"""),"No")</f>
        <v>No</v>
      </c>
      <c r="AM377" s="5" t="str">
        <f>IFERROR(__xludf.DUMMYFUNCTION("""COMPUTED_VALUE"""),"No")</f>
        <v>No</v>
      </c>
      <c r="AN377" s="7" t="str">
        <f>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AO377" s="5" t="str">
        <f>IFERROR(__xludf.DUMMYFUNCTION("""COMPUTED_VALUE"""),"No")</f>
        <v>No</v>
      </c>
      <c r="AP377" s="5" t="str">
        <f>IFERROR(__xludf.DUMMYFUNCTION("""COMPUTED_VALUE"""),"No")</f>
        <v>No</v>
      </c>
      <c r="AQ377" s="5" t="b">
        <f>IFERROR(__xludf.DUMMYFUNCTION("""COMPUTED_VALUE"""),TRUE)</f>
        <v>1</v>
      </c>
      <c r="AR377" s="5"/>
      <c r="AS377" s="5" t="str">
        <f>IFERROR(__xludf.DUMMYFUNCTION("""COMPUTED_VALUE"""),"Let your heart shine with every spin! Spin the reels and discover 40 ways to win!")</f>
        <v>Let your heart shine with every spin! Spin the reels and discover 40 ways to win!</v>
      </c>
      <c r="AT377" s="5"/>
      <c r="AU377" s="5" t="str">
        <f>IFERROR(__xludf.DUMMYFUNCTION("""COMPUTED_VALUE"""),"Fazi")</f>
        <v>Fazi</v>
      </c>
      <c r="AV377" s="5"/>
      <c r="AW377" s="5"/>
      <c r="AX377" s="5"/>
      <c r="AY377" s="5"/>
      <c r="AZ377" s="5"/>
      <c r="BA377" s="5"/>
      <c r="BB377" s="5" t="b">
        <f>IFERROR(__xludf.DUMMYFUNCTION("""COMPUTED_VALUE"""),TRUE)</f>
        <v>1</v>
      </c>
      <c r="BC377" s="5" t="str">
        <f>IFERROR(__xludf.DUMMYFUNCTION("""COMPUTED_VALUE"""),"Playnet")</f>
        <v>Playnet</v>
      </c>
      <c r="BD377" s="7" t="str">
        <f>IFERROR(__xludf.DUMMYFUNCTION("""COMPUTED_VALUE"""),"https://gameserver-store-client-area.orbionlimited.com/Home/IntegrationGameLaunch/client-area?moneyType=0&amp;gameName=PlayNetDiamondHeart40&amp;platform=desktop&amp;languageCode=eng&amp;currency=EUR")</f>
        <v>https://gameserver-store-client-area.orbionlimited.com/Home/IntegrationGameLaunch/client-area?moneyType=0&amp;gameName=PlayNetDiamondHeart40&amp;platform=desktop&amp;languageCode=eng&amp;currency=EUR</v>
      </c>
      <c r="BE377" s="5" t="b">
        <f>IFERROR(__xludf.DUMMYFUNCTION("""COMPUTED_VALUE"""),TRUE)</f>
        <v>1</v>
      </c>
    </row>
    <row r="378">
      <c r="A378" s="5">
        <f>IFERROR(__xludf.DUMMYFUNCTION("""COMPUTED_VALUE"""),383.0)</f>
        <v>383</v>
      </c>
      <c r="B378" s="5">
        <f>IFERROR(__xludf.DUMMYFUNCTION("""COMPUTED_VALUE"""),361.0)</f>
        <v>361</v>
      </c>
      <c r="C378" s="5" t="str">
        <f>IFERROR(__xludf.DUMMYFUNCTION("""COMPUTED_VALUE"""),"Tiptop")</f>
        <v>Tiptop</v>
      </c>
      <c r="D378" s="5" t="str">
        <f>IFERROR(__xludf.DUMMYFUNCTION("""COMPUTED_VALUE"""),"Hit Line")</f>
        <v>Hit Line</v>
      </c>
      <c r="E378" s="5" t="str">
        <f>IFERROR(__xludf.DUMMYFUNCTION("""COMPUTED_VALUE"""),"V4-2")</f>
        <v>V4-2</v>
      </c>
      <c r="F378" s="5" t="str">
        <f>IFERROR(__xludf.DUMMYFUNCTION("""COMPUTED_VALUE"""),"UnicornHitLine")</f>
        <v>UnicornHitLine</v>
      </c>
      <c r="G378" s="5" t="str">
        <f>IFERROR(__xludf.DUMMYFUNCTION("""COMPUTED_VALUE"""),"Live")</f>
        <v>Live</v>
      </c>
      <c r="H378" s="5"/>
      <c r="I378" s="5" t="str">
        <f>IFERROR(__xludf.DUMMYFUNCTION("""COMPUTED_VALUE"""),"TipTop")</f>
        <v>TipTop</v>
      </c>
      <c r="J378" s="5" t="str">
        <f>IFERROR(__xludf.DUMMYFUNCTION("""COMPUTED_VALUE"""),"JSON")</f>
        <v>JSON</v>
      </c>
      <c r="K378" s="5" t="str">
        <f>IFERROR(__xludf.DUMMYFUNCTION("""COMPUTED_VALUE"""),"Slot")</f>
        <v>Slot</v>
      </c>
      <c r="L378" s="5"/>
      <c r="M378" s="5"/>
      <c r="N378" s="5"/>
      <c r="O378" s="5"/>
      <c r="P378" s="12">
        <f>IFERROR(__xludf.DUMMYFUNCTION("""COMPUTED_VALUE"""),13.3)</f>
        <v>13.3</v>
      </c>
      <c r="Q378" s="13">
        <f>IFERROR(__xludf.DUMMYFUNCTION("""COMPUTED_VALUE"""),45547.0)</f>
        <v>45547</v>
      </c>
      <c r="R378" s="14"/>
      <c r="S378" s="13">
        <f>IFERROR(__xludf.DUMMYFUNCTION("""COMPUTED_VALUE"""),45547.0)</f>
        <v>45547</v>
      </c>
      <c r="T378" s="5" t="b">
        <f>IFERROR(__xludf.DUMMYFUNCTION("""COMPUTED_VALUE"""),TRUE)</f>
        <v>1</v>
      </c>
      <c r="U378" s="5" t="str">
        <f>IFERROR(__xludf.DUMMYFUNCTION("""COMPUTED_VALUE"""),"5X3")</f>
        <v>5X3</v>
      </c>
      <c r="V378" s="5">
        <f>IFERROR(__xludf.DUMMYFUNCTION("""COMPUTED_VALUE"""),10.0)</f>
        <v>10</v>
      </c>
      <c r="W378" s="5">
        <f>IFERROR(__xludf.DUMMYFUNCTION("""COMPUTED_VALUE"""),10.0)</f>
        <v>10</v>
      </c>
      <c r="X378" s="11">
        <f>IFERROR(__xludf.DUMMYFUNCTION("""COMPUTED_VALUE"""),96.0)</f>
        <v>96</v>
      </c>
      <c r="Y378" s="5" t="str">
        <f>IFERROR(__xludf.DUMMYFUNCTION("""COMPUTED_VALUE"""),"Low")</f>
        <v>Low</v>
      </c>
      <c r="Z378" s="5">
        <f>IFERROR(__xludf.DUMMYFUNCTION("""COMPUTED_VALUE"""),10.88)</f>
        <v>10.88</v>
      </c>
      <c r="AA378" s="5">
        <f>IFERROR(__xludf.DUMMYFUNCTION("""COMPUTED_VALUE"""),8000.0)</f>
        <v>8000</v>
      </c>
      <c r="AB378" s="5"/>
      <c r="AC378" s="5"/>
      <c r="AD378" s="5" t="str">
        <f>IFERROR(__xludf.DUMMYFUNCTION("""COMPUTED_VALUE"""),"0.1/100")</f>
        <v>0.1/100</v>
      </c>
      <c r="AE378" s="5"/>
      <c r="AF378" s="5"/>
      <c r="AG378" s="8">
        <f>IFERROR(__xludf.DUMMYFUNCTION("""COMPUTED_VALUE"""),46197.49114583333)</f>
        <v>46197.49115</v>
      </c>
      <c r="AH378" s="5" t="str">
        <f>IFERROR(__xludf.DUMMYFUNCTION("""COMPUTED_VALUE"""),"selena.mihajlovic@fazi.rs")</f>
        <v>selena.mihajlovic@fazi.rs</v>
      </c>
      <c r="AI378" s="5"/>
      <c r="AJ378" s="5"/>
      <c r="AK378" s="5">
        <f>IFERROR(__xludf.DUMMYFUNCTION("""COMPUTED_VALUE"""),10.0)</f>
        <v>10</v>
      </c>
      <c r="AL378" s="5" t="str">
        <f>IFERROR(__xludf.DUMMYFUNCTION("""COMPUTED_VALUE"""),"No")</f>
        <v>No</v>
      </c>
      <c r="AM378" s="5"/>
      <c r="AN378" s="7" t="str">
        <f>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AO378" s="5"/>
      <c r="AP378" s="5"/>
      <c r="AQ378" s="5" t="b">
        <f>IFERROR(__xludf.DUMMYFUNCTION("""COMPUTED_VALUE"""),TRUE)</f>
        <v>1</v>
      </c>
      <c r="AR378" s="5"/>
      <c r="AS378" s="5" t="str">
        <f>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78" s="5"/>
      <c r="AU378" s="5" t="str">
        <f>IFERROR(__xludf.DUMMYFUNCTION("""COMPUTED_VALUE"""),"Fazi")</f>
        <v>Fazi</v>
      </c>
      <c r="AV378" s="5"/>
      <c r="AW378" s="5"/>
      <c r="AX378" s="5"/>
      <c r="AY378" s="5"/>
      <c r="AZ378" s="5"/>
      <c r="BA378" s="5"/>
      <c r="BB378" s="5" t="b">
        <f>IFERROR(__xludf.DUMMYFUNCTION("""COMPUTED_VALUE"""),TRUE)</f>
        <v>1</v>
      </c>
      <c r="BC378" s="5" t="str">
        <f>IFERROR(__xludf.DUMMYFUNCTION("""COMPUTED_VALUE"""),"Tiptop")</f>
        <v>Tiptop</v>
      </c>
      <c r="BD378" s="7" t="str">
        <f>IFERROR(__xludf.DUMMYFUNCTION("""COMPUTED_VALUE"""),"https://gameserver-store-client-area.orbionlimited.com/Home/IntegrationGameLaunch/client-area?moneyType=0&amp;gameName=UnicornHitLine&amp;platform=desktop&amp;languageCode=eng&amp;currency=EUR")</f>
        <v>https://gameserver-store-client-area.orbionlimited.com/Home/IntegrationGameLaunch/client-area?moneyType=0&amp;gameName=UnicornHitLine&amp;platform=desktop&amp;languageCode=eng&amp;currency=EUR</v>
      </c>
      <c r="BE378" s="5" t="b">
        <f>IFERROR(__xludf.DUMMYFUNCTION("""COMPUTED_VALUE"""),TRUE)</f>
        <v>1</v>
      </c>
    </row>
    <row r="379">
      <c r="A379" s="5">
        <f>IFERROR(__xludf.DUMMYFUNCTION("""COMPUTED_VALUE"""),384.0)</f>
        <v>384</v>
      </c>
      <c r="B379" s="5">
        <f>IFERROR(__xludf.DUMMYFUNCTION("""COMPUTED_VALUE"""),362.0)</f>
        <v>362</v>
      </c>
      <c r="C379" s="5" t="str">
        <f>IFERROR(__xludf.DUMMYFUNCTION("""COMPUTED_VALUE"""),"Redstone")</f>
        <v>Redstone</v>
      </c>
      <c r="D379" s="5" t="str">
        <f>IFERROR(__xludf.DUMMYFUNCTION("""COMPUTED_VALUE"""),"Spooky Spins")</f>
        <v>Spooky Spins</v>
      </c>
      <c r="E379" s="5" t="str">
        <f>IFERROR(__xludf.DUMMYFUNCTION("""COMPUTED_VALUE"""),"Redstone")</f>
        <v>Redstone</v>
      </c>
      <c r="F379" s="5" t="str">
        <f>IFERROR(__xludf.DUMMYFUNCTION("""COMPUTED_VALUE"""),"RedstoneSpookySpins")</f>
        <v>RedstoneSpookySpins</v>
      </c>
      <c r="G379" s="5" t="str">
        <f>IFERROR(__xludf.DUMMYFUNCTION("""COMPUTED_VALUE"""),"Live")</f>
        <v>Live</v>
      </c>
      <c r="H379" s="5"/>
      <c r="I379" s="5" t="str">
        <f>IFERROR(__xludf.DUMMYFUNCTION("""COMPUTED_VALUE"""),"Redstone")</f>
        <v>Redstone</v>
      </c>
      <c r="J379" s="5" t="str">
        <f>IFERROR(__xludf.DUMMYFUNCTION("""COMPUTED_VALUE"""),"JSON")</f>
        <v>JSON</v>
      </c>
      <c r="K379" s="5" t="str">
        <f>IFERROR(__xludf.DUMMYFUNCTION("""COMPUTED_VALUE"""),"Slot")</f>
        <v>Slot</v>
      </c>
      <c r="L379" s="5" t="str">
        <f>IFERROR(__xludf.DUMMYFUNCTION("""COMPUTED_VALUE"""),"Master")</f>
        <v>Master</v>
      </c>
      <c r="M379" s="5"/>
      <c r="N379" s="7" t="str">
        <f>IFERROR(__xludf.DUMMYFUNCTION("""COMPUTED_VALUE"""),"https://drive.google.com/file/d/16Oz2qdJrgfgOytfKWbOZ9JQQQuXI4TGK/view?usp=drive_link")</f>
        <v>https://drive.google.com/file/d/16Oz2qdJrgfgOytfKWbOZ9JQQQuXI4TGK/view?usp=drive_link</v>
      </c>
      <c r="O379" s="7" t="str">
        <f>IFERROR(__xludf.DUMMYFUNCTION("""COMPUTED_VALUE"""),"https://drive.google.com/file/d/12CNoGZjqaGvqwtItrZMz6E9UyZ8XsoJZ/view?usp=drive_link")</f>
        <v>https://drive.google.com/file/d/12CNoGZjqaGvqwtItrZMz6E9UyZ8XsoJZ/view?usp=drive_link</v>
      </c>
      <c r="P379" s="12">
        <f>IFERROR(__xludf.DUMMYFUNCTION("""COMPUTED_VALUE"""),12.0)</f>
        <v>12</v>
      </c>
      <c r="Q379" s="13">
        <f>IFERROR(__xludf.DUMMYFUNCTION("""COMPUTED_VALUE"""),45574.0)</f>
        <v>45574</v>
      </c>
      <c r="R379" s="14"/>
      <c r="S379" s="13">
        <f>IFERROR(__xludf.DUMMYFUNCTION("""COMPUTED_VALUE"""),45574.0)</f>
        <v>45574</v>
      </c>
      <c r="T379" s="5" t="b">
        <f>IFERROR(__xludf.DUMMYFUNCTION("""COMPUTED_VALUE"""),TRUE)</f>
        <v>1</v>
      </c>
      <c r="U379" s="5" t="str">
        <f>IFERROR(__xludf.DUMMYFUNCTION("""COMPUTED_VALUE"""),"5x3")</f>
        <v>5x3</v>
      </c>
      <c r="V379" s="5">
        <f>IFERROR(__xludf.DUMMYFUNCTION("""COMPUTED_VALUE"""),10.0)</f>
        <v>10</v>
      </c>
      <c r="W379" s="5">
        <f>IFERROR(__xludf.DUMMYFUNCTION("""COMPUTED_VALUE"""),10.0)</f>
        <v>10</v>
      </c>
      <c r="X379" s="11">
        <f>IFERROR(__xludf.DUMMYFUNCTION("""COMPUTED_VALUE"""),96.53)</f>
        <v>96.53</v>
      </c>
      <c r="Y379" s="5" t="str">
        <f>IFERROR(__xludf.DUMMYFUNCTION("""COMPUTED_VALUE"""),"High")</f>
        <v>High</v>
      </c>
      <c r="Z379" s="5">
        <f>IFERROR(__xludf.DUMMYFUNCTION("""COMPUTED_VALUE"""),10.61)</f>
        <v>10.61</v>
      </c>
      <c r="AA379" s="5">
        <f>IFERROR(__xludf.DUMMYFUNCTION("""COMPUTED_VALUE"""),20108.0)</f>
        <v>20108</v>
      </c>
      <c r="AB379" s="5"/>
      <c r="AC379" s="5" t="str">
        <f>IFERROR(__xludf.DUMMYFUNCTION("""COMPUTED_VALUE"""),"Expanding Wild, Scatter, Bonus Game with Free Spins, Extralines")</f>
        <v>Expanding Wild, Scatter, Bonus Game with Free Spins, Extralines</v>
      </c>
      <c r="AD379" s="5" t="str">
        <f>IFERROR(__xludf.DUMMYFUNCTION("""COMPUTED_VALUE"""),"0.10/40")</f>
        <v>0.10/40</v>
      </c>
      <c r="AE379" s="5"/>
      <c r="AF379" s="5"/>
      <c r="AG379" s="8">
        <f>IFERROR(__xludf.DUMMYFUNCTION("""COMPUTED_VALUE"""),46157.47174768519)</f>
        <v>46157.47175</v>
      </c>
      <c r="AH379" s="5"/>
      <c r="AI379" s="5"/>
      <c r="AJ379" s="5"/>
      <c r="AK379" s="5"/>
      <c r="AL379" s="5" t="str">
        <f>IFERROR(__xludf.DUMMYFUNCTION("""COMPUTED_VALUE"""),"No")</f>
        <v>No</v>
      </c>
      <c r="AM379" s="5" t="str">
        <f>IFERROR(__xludf.DUMMYFUNCTION("""COMPUTED_VALUE"""),"No")</f>
        <v>No</v>
      </c>
      <c r="AN379" s="7" t="str">
        <f>IFERROR(__xludf.DUMMYFUNCTION("""COMPUTED_VALUE"""),"https://static.redstone.rs/games/spooky-spins/")</f>
        <v>https://static.redstone.rs/games/spooky-spins/</v>
      </c>
      <c r="AO379" s="5" t="str">
        <f>IFERROR(__xludf.DUMMYFUNCTION("""COMPUTED_VALUE"""),"No")</f>
        <v>No</v>
      </c>
      <c r="AP379" s="5" t="str">
        <f>IFERROR(__xludf.DUMMYFUNCTION("""COMPUTED_VALUE"""),"No")</f>
        <v>No</v>
      </c>
      <c r="AQ379" s="5" t="b">
        <f>IFERROR(__xludf.DUMMYFUNCTION("""COMPUTED_VALUE"""),TRUE)</f>
        <v>1</v>
      </c>
      <c r="AR379" s="5"/>
      <c r="AS379" s="5" t="str">
        <f>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AT379" s="5"/>
      <c r="AU379" s="5" t="str">
        <f>IFERROR(__xludf.DUMMYFUNCTION("""COMPUTED_VALUE"""),"Redstone")</f>
        <v>Redstone</v>
      </c>
      <c r="AV379" s="5"/>
      <c r="AW379" s="5"/>
      <c r="AX379" s="5"/>
      <c r="AY379" s="5"/>
      <c r="AZ379" s="5"/>
      <c r="BA379" s="5"/>
      <c r="BB379" s="5" t="b">
        <f>IFERROR(__xludf.DUMMYFUNCTION("""COMPUTED_VALUE"""),TRUE)</f>
        <v>1</v>
      </c>
      <c r="BC379" s="5" t="str">
        <f>IFERROR(__xludf.DUMMYFUNCTION("""COMPUTED_VALUE"""),"Redstone")</f>
        <v>Redstone</v>
      </c>
      <c r="BD379" s="7" t="str">
        <f>IFERROR(__xludf.DUMMYFUNCTION("""COMPUTED_VALUE"""),"https://static.redstone.rs/games/spooky-spins/")</f>
        <v>https://static.redstone.rs/games/spooky-spins/</v>
      </c>
      <c r="BE379" s="5" t="b">
        <f>IFERROR(__xludf.DUMMYFUNCTION("""COMPUTED_VALUE"""),TRUE)</f>
        <v>1</v>
      </c>
    </row>
    <row r="380">
      <c r="A380" s="5">
        <f>IFERROR(__xludf.DUMMYFUNCTION("""COMPUTED_VALUE"""),385.0)</f>
        <v>385</v>
      </c>
      <c r="B380" s="5">
        <f>IFERROR(__xludf.DUMMYFUNCTION("""COMPUTED_VALUE"""),363.0)</f>
        <v>363</v>
      </c>
      <c r="C380" s="5" t="str">
        <f>IFERROR(__xludf.DUMMYFUNCTION("""COMPUTED_VALUE"""),"Tiptop")</f>
        <v>Tiptop</v>
      </c>
      <c r="D380" s="5" t="str">
        <f>IFERROR(__xludf.DUMMYFUNCTION("""COMPUTED_VALUE"""),"20 Super Flames")</f>
        <v>20 Super Flames</v>
      </c>
      <c r="E380" s="5" t="str">
        <f>IFERROR(__xludf.DUMMYFUNCTION("""COMPUTED_VALUE"""),"V4-2")</f>
        <v>V4-2</v>
      </c>
      <c r="F380" s="5" t="str">
        <f>IFERROR(__xludf.DUMMYFUNCTION("""COMPUTED_VALUE"""),"Unicorn20SuperFlames")</f>
        <v>Unicorn20SuperFlames</v>
      </c>
      <c r="G380" s="5" t="str">
        <f>IFERROR(__xludf.DUMMYFUNCTION("""COMPUTED_VALUE"""),"Live")</f>
        <v>Live</v>
      </c>
      <c r="H380" s="5"/>
      <c r="I380" s="5" t="str">
        <f>IFERROR(__xludf.DUMMYFUNCTION("""COMPUTED_VALUE"""),"TipTop")</f>
        <v>TipTop</v>
      </c>
      <c r="J380" s="5" t="str">
        <f>IFERROR(__xludf.DUMMYFUNCTION("""COMPUTED_VALUE"""),"JSON")</f>
        <v>JSON</v>
      </c>
      <c r="K380" s="5" t="str">
        <f>IFERROR(__xludf.DUMMYFUNCTION("""COMPUTED_VALUE"""),"Slot")</f>
        <v>Slot</v>
      </c>
      <c r="L380" s="5"/>
      <c r="M380" s="5"/>
      <c r="N380" s="5"/>
      <c r="O380" s="5"/>
      <c r="P380" s="12">
        <f>IFERROR(__xludf.DUMMYFUNCTION("""COMPUTED_VALUE"""),9.2)</f>
        <v>9.2</v>
      </c>
      <c r="Q380" s="13">
        <f>IFERROR(__xludf.DUMMYFUNCTION("""COMPUTED_VALUE"""),45580.0)</f>
        <v>45580</v>
      </c>
      <c r="R380" s="14"/>
      <c r="S380" s="13">
        <f>IFERROR(__xludf.DUMMYFUNCTION("""COMPUTED_VALUE"""),45580.0)</f>
        <v>45580</v>
      </c>
      <c r="T380" s="5" t="b">
        <f>IFERROR(__xludf.DUMMYFUNCTION("""COMPUTED_VALUE"""),TRUE)</f>
        <v>1</v>
      </c>
      <c r="U380" s="5" t="str">
        <f>IFERROR(__xludf.DUMMYFUNCTION("""COMPUTED_VALUE"""),"5X3")</f>
        <v>5X3</v>
      </c>
      <c r="V380" s="5">
        <f>IFERROR(__xludf.DUMMYFUNCTION("""COMPUTED_VALUE"""),20.0)</f>
        <v>20</v>
      </c>
      <c r="W380" s="5">
        <f>IFERROR(__xludf.DUMMYFUNCTION("""COMPUTED_VALUE"""),20.0)</f>
        <v>20</v>
      </c>
      <c r="X380" s="11">
        <f>IFERROR(__xludf.DUMMYFUNCTION("""COMPUTED_VALUE"""),96.0)</f>
        <v>96</v>
      </c>
      <c r="Y380" s="5" t="str">
        <f>IFERROR(__xludf.DUMMYFUNCTION("""COMPUTED_VALUE"""),"Low")</f>
        <v>Low</v>
      </c>
      <c r="Z380" s="5">
        <f>IFERROR(__xludf.DUMMYFUNCTION("""COMPUTED_VALUE"""),16.45)</f>
        <v>16.45</v>
      </c>
      <c r="AA380" s="5">
        <f>IFERROR(__xludf.DUMMYFUNCTION("""COMPUTED_VALUE"""),2000.0)</f>
        <v>2000</v>
      </c>
      <c r="AB380" s="5"/>
      <c r="AC380" s="5"/>
      <c r="AD380" s="5" t="str">
        <f>IFERROR(__xludf.DUMMYFUNCTION("""COMPUTED_VALUE"""),"0.2/100")</f>
        <v>0.2/100</v>
      </c>
      <c r="AE380" s="5"/>
      <c r="AF380" s="5"/>
      <c r="AG380" s="8">
        <f>IFERROR(__xludf.DUMMYFUNCTION("""COMPUTED_VALUE"""),46197.49138888889)</f>
        <v>46197.49139</v>
      </c>
      <c r="AH380" s="5" t="str">
        <f>IFERROR(__xludf.DUMMYFUNCTION("""COMPUTED_VALUE"""),"selena.mihajlovic@fazi.rs")</f>
        <v>selena.mihajlovic@fazi.rs</v>
      </c>
      <c r="AI380" s="5"/>
      <c r="AJ380" s="5"/>
      <c r="AK380" s="5">
        <f>IFERROR(__xludf.DUMMYFUNCTION("""COMPUTED_VALUE"""),20.0)</f>
        <v>20</v>
      </c>
      <c r="AL380" s="5" t="str">
        <f>IFERROR(__xludf.DUMMYFUNCTION("""COMPUTED_VALUE"""),"No")</f>
        <v>No</v>
      </c>
      <c r="AM380" s="5"/>
      <c r="AN380" s="7" t="str">
        <f>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AO380" s="5"/>
      <c r="AP380" s="5"/>
      <c r="AQ380" s="5" t="b">
        <f>IFERROR(__xludf.DUMMYFUNCTION("""COMPUTED_VALUE"""),TRUE)</f>
        <v>1</v>
      </c>
      <c r="AR380" s="5"/>
      <c r="AS380" s="5" t="str">
        <f>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AT380" s="5"/>
      <c r="AU380" s="5" t="str">
        <f>IFERROR(__xludf.DUMMYFUNCTION("""COMPUTED_VALUE"""),"Fazi")</f>
        <v>Fazi</v>
      </c>
      <c r="AV380" s="5"/>
      <c r="AW380" s="5"/>
      <c r="AX380" s="5"/>
      <c r="AY380" s="5"/>
      <c r="AZ380" s="5"/>
      <c r="BA380" s="5"/>
      <c r="BB380" s="5" t="b">
        <f>IFERROR(__xludf.DUMMYFUNCTION("""COMPUTED_VALUE"""),TRUE)</f>
        <v>1</v>
      </c>
      <c r="BC380" s="5" t="str">
        <f>IFERROR(__xludf.DUMMYFUNCTION("""COMPUTED_VALUE"""),"Tiptop")</f>
        <v>Tiptop</v>
      </c>
      <c r="BD380" s="7" t="str">
        <f>IFERROR(__xludf.DUMMYFUNCTION("""COMPUTED_VALUE"""),"https://gameserver-store-client-area.orbionlimited.com/Home/IntegrationGameLaunch/client-area?moneyType=0&amp;gameName=Unicorn20SuperFlames&amp;platform=desktop&amp;languageCode=eng&amp;currency=EUR")</f>
        <v>https://gameserver-store-client-area.orbionlimited.com/Home/IntegrationGameLaunch/client-area?moneyType=0&amp;gameName=Unicorn20SuperFlames&amp;platform=desktop&amp;languageCode=eng&amp;currency=EUR</v>
      </c>
      <c r="BE380" s="5" t="b">
        <f>IFERROR(__xludf.DUMMYFUNCTION("""COMPUTED_VALUE"""),TRUE)</f>
        <v>1</v>
      </c>
    </row>
    <row r="381">
      <c r="A381" s="5">
        <f>IFERROR(__xludf.DUMMYFUNCTION("""COMPUTED_VALUE"""),386.0)</f>
        <v>386</v>
      </c>
      <c r="B381" s="5">
        <f>IFERROR(__xludf.DUMMYFUNCTION("""COMPUTED_VALUE"""),364.0)</f>
        <v>364</v>
      </c>
      <c r="C381" s="5" t="str">
        <f>IFERROR(__xludf.DUMMYFUNCTION("""COMPUTED_VALUE"""),"Playnet")</f>
        <v>Playnet</v>
      </c>
      <c r="D381" s="5" t="str">
        <f>IFERROR(__xludf.DUMMYFUNCTION("""COMPUTED_VALUE"""),"27 Wild Stacks")</f>
        <v>27 Wild Stacks</v>
      </c>
      <c r="E381" s="5" t="str">
        <f>IFERROR(__xludf.DUMMYFUNCTION("""COMPUTED_VALUE"""),"V4-2")</f>
        <v>V4-2</v>
      </c>
      <c r="F381" s="5" t="str">
        <f>IFERROR(__xludf.DUMMYFUNCTION("""COMPUTED_VALUE"""),"PlayNet27WildStacks")</f>
        <v>PlayNet27WildStacks</v>
      </c>
      <c r="G381" s="5" t="str">
        <f>IFERROR(__xludf.DUMMYFUNCTION("""COMPUTED_VALUE"""),"Live")</f>
        <v>Live</v>
      </c>
      <c r="H381" s="5"/>
      <c r="I381" s="5"/>
      <c r="J381" s="5" t="str">
        <f>IFERROR(__xludf.DUMMYFUNCTION("""COMPUTED_VALUE"""),"JSON")</f>
        <v>JSON</v>
      </c>
      <c r="K381" s="5" t="str">
        <f>IFERROR(__xludf.DUMMYFUNCTION("""COMPUTED_VALUE"""),"Slot")</f>
        <v>Slot</v>
      </c>
      <c r="L381" s="5"/>
      <c r="M381" s="5"/>
      <c r="N381" s="5"/>
      <c r="O381" s="5"/>
      <c r="P381" s="12">
        <f>IFERROR(__xludf.DUMMYFUNCTION("""COMPUTED_VALUE"""),5.4)</f>
        <v>5.4</v>
      </c>
      <c r="Q381" s="13">
        <f>IFERROR(__xludf.DUMMYFUNCTION("""COMPUTED_VALUE"""),45548.0)</f>
        <v>45548</v>
      </c>
      <c r="R381" s="14"/>
      <c r="S381" s="13">
        <f>IFERROR(__xludf.DUMMYFUNCTION("""COMPUTED_VALUE"""),45548.0)</f>
        <v>45548</v>
      </c>
      <c r="T381" s="5" t="b">
        <f>IFERROR(__xludf.DUMMYFUNCTION("""COMPUTED_VALUE"""),TRUE)</f>
        <v>1</v>
      </c>
      <c r="U381" s="5" t="str">
        <f>IFERROR(__xludf.DUMMYFUNCTION("""COMPUTED_VALUE"""),"3x3")</f>
        <v>3x3</v>
      </c>
      <c r="V381" s="5">
        <f>IFERROR(__xludf.DUMMYFUNCTION("""COMPUTED_VALUE"""),27.0)</f>
        <v>27</v>
      </c>
      <c r="W381" s="5">
        <f>IFERROR(__xludf.DUMMYFUNCTION("""COMPUTED_VALUE"""),27.0)</f>
        <v>27</v>
      </c>
      <c r="X381" s="11">
        <f>IFERROR(__xludf.DUMMYFUNCTION("""COMPUTED_VALUE"""),96.24)</f>
        <v>96.24</v>
      </c>
      <c r="Y381" s="5" t="str">
        <f>IFERROR(__xludf.DUMMYFUNCTION("""COMPUTED_VALUE"""),"Low")</f>
        <v>Low</v>
      </c>
      <c r="Z381" s="5">
        <f>IFERROR(__xludf.DUMMYFUNCTION("""COMPUTED_VALUE"""),6.58)</f>
        <v>6.58</v>
      </c>
      <c r="AA381" s="5">
        <f>IFERROR(__xludf.DUMMYFUNCTION("""COMPUTED_VALUE"""),108.0)</f>
        <v>108</v>
      </c>
      <c r="AB381" s="5"/>
      <c r="AC381" s="5" t="str">
        <f>IFERROR(__xludf.DUMMYFUNCTION("""COMPUTED_VALUE"""),"Win Multiplier")</f>
        <v>Win Multiplier</v>
      </c>
      <c r="AD381" s="5" t="str">
        <f>IFERROR(__xludf.DUMMYFUNCTION("""COMPUTED_VALUE"""),"0.01/50")</f>
        <v>0.01/50</v>
      </c>
      <c r="AE381" s="5"/>
      <c r="AF381" s="5"/>
      <c r="AG381" s="8">
        <f>IFERROR(__xludf.DUMMYFUNCTION("""COMPUTED_VALUE"""),46220.499872685185)</f>
        <v>46220.49987</v>
      </c>
      <c r="AH381" s="5" t="str">
        <f>IFERROR(__xludf.DUMMYFUNCTION("""COMPUTED_VALUE"""),"selena.mihajlovic@fazi.rs")</f>
        <v>selena.mihajlovic@fazi.rs</v>
      </c>
      <c r="AI381" s="5"/>
      <c r="AJ381" s="5"/>
      <c r="AK381" s="5">
        <f>IFERROR(__xludf.DUMMYFUNCTION("""COMPUTED_VALUE"""),1.0)</f>
        <v>1</v>
      </c>
      <c r="AL381" s="5" t="str">
        <f>IFERROR(__xludf.DUMMYFUNCTION("""COMPUTED_VALUE"""),"No")</f>
        <v>No</v>
      </c>
      <c r="AM381" s="5" t="str">
        <f>IFERROR(__xludf.DUMMYFUNCTION("""COMPUTED_VALUE"""),"No")</f>
        <v>No</v>
      </c>
      <c r="AN381" s="7" t="str">
        <f>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AO381" s="5" t="str">
        <f>IFERROR(__xludf.DUMMYFUNCTION("""COMPUTED_VALUE"""),"No")</f>
        <v>No</v>
      </c>
      <c r="AP381" s="5" t="str">
        <f>IFERROR(__xludf.DUMMYFUNCTION("""COMPUTED_VALUE"""),"No")</f>
        <v>No</v>
      </c>
      <c r="AQ381" s="5" t="b">
        <f>IFERROR(__xludf.DUMMYFUNCTION("""COMPUTED_VALUE"""),TRUE)</f>
        <v>1</v>
      </c>
      <c r="AR381" s="5"/>
      <c r="AS381" s="5" t="str">
        <f>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AT381" s="5"/>
      <c r="AU381" s="5" t="str">
        <f>IFERROR(__xludf.DUMMYFUNCTION("""COMPUTED_VALUE"""),"Fazi")</f>
        <v>Fazi</v>
      </c>
      <c r="AV381" s="5"/>
      <c r="AW381" s="5"/>
      <c r="AX381" s="5"/>
      <c r="AY381" s="5"/>
      <c r="AZ381" s="5"/>
      <c r="BA381" s="5"/>
      <c r="BB381" s="5" t="b">
        <f>IFERROR(__xludf.DUMMYFUNCTION("""COMPUTED_VALUE"""),TRUE)</f>
        <v>1</v>
      </c>
      <c r="BC381" s="5" t="str">
        <f>IFERROR(__xludf.DUMMYFUNCTION("""COMPUTED_VALUE"""),"Playnet")</f>
        <v>Playnet</v>
      </c>
      <c r="BD381" s="7" t="str">
        <f>IFERROR(__xludf.DUMMYFUNCTION("""COMPUTED_VALUE"""),"https://gameserver-store-client-area.orbionlimited.com/Home/IntegrationGameLaunch/client-area?moneyType=0&amp;gameName=PlayNet27WildStacks&amp;platform=desktop&amp;languageCode=eng&amp;currency=EUR")</f>
        <v>https://gameserver-store-client-area.orbionlimited.com/Home/IntegrationGameLaunch/client-area?moneyType=0&amp;gameName=PlayNet27WildStacks&amp;platform=desktop&amp;languageCode=eng&amp;currency=EUR</v>
      </c>
      <c r="BE381" s="5" t="b">
        <f>IFERROR(__xludf.DUMMYFUNCTION("""COMPUTED_VALUE"""),TRUE)</f>
        <v>1</v>
      </c>
    </row>
    <row r="382">
      <c r="A382" s="5">
        <f>IFERROR(__xludf.DUMMYFUNCTION("""COMPUTED_VALUE"""),387.0)</f>
        <v>387</v>
      </c>
      <c r="B382" s="5">
        <f>IFERROR(__xludf.DUMMYFUNCTION("""COMPUTED_VALUE"""),365.0)</f>
        <v>365</v>
      </c>
      <c r="C382" s="5" t="str">
        <f>IFERROR(__xludf.DUMMYFUNCTION("""COMPUTED_VALUE"""),"Playnet")</f>
        <v>Playnet</v>
      </c>
      <c r="D382" s="5" t="str">
        <f>IFERROR(__xludf.DUMMYFUNCTION("""COMPUTED_VALUE"""),"Dashing Hot 5")</f>
        <v>Dashing Hot 5</v>
      </c>
      <c r="E382" s="5"/>
      <c r="F382" s="5" t="str">
        <f>IFERROR(__xludf.DUMMYFUNCTION("""COMPUTED_VALUE"""),"PlayNetDashingHot5")</f>
        <v>PlayNetDashingHot5</v>
      </c>
      <c r="G382" s="5" t="str">
        <f>IFERROR(__xludf.DUMMYFUNCTION("""COMPUTED_VALUE"""),"Live")</f>
        <v>Live</v>
      </c>
      <c r="H382" s="5"/>
      <c r="I382" s="5"/>
      <c r="J382" s="5" t="str">
        <f>IFERROR(__xludf.DUMMYFUNCTION("""COMPUTED_VALUE"""),"JSON")</f>
        <v>JSON</v>
      </c>
      <c r="K382" s="5" t="str">
        <f>IFERROR(__xludf.DUMMYFUNCTION("""COMPUTED_VALUE"""),"Slot")</f>
        <v>Slot</v>
      </c>
      <c r="L382" s="5"/>
      <c r="M382" s="5"/>
      <c r="N382" s="5"/>
      <c r="O382" s="5"/>
      <c r="P382" s="12">
        <f>IFERROR(__xludf.DUMMYFUNCTION("""COMPUTED_VALUE"""),6.1)</f>
        <v>6.1</v>
      </c>
      <c r="Q382" s="13">
        <f>IFERROR(__xludf.DUMMYFUNCTION("""COMPUTED_VALUE"""),45555.0)</f>
        <v>45555</v>
      </c>
      <c r="R382" s="14"/>
      <c r="S382" s="13">
        <f>IFERROR(__xludf.DUMMYFUNCTION("""COMPUTED_VALUE"""),45555.0)</f>
        <v>45555</v>
      </c>
      <c r="T382" s="5" t="b">
        <f>IFERROR(__xludf.DUMMYFUNCTION("""COMPUTED_VALUE"""),TRUE)</f>
        <v>1</v>
      </c>
      <c r="U382" s="5" t="str">
        <f>IFERROR(__xludf.DUMMYFUNCTION("""COMPUTED_VALUE"""),"5x3")</f>
        <v>5x3</v>
      </c>
      <c r="V382" s="5">
        <f>IFERROR(__xludf.DUMMYFUNCTION("""COMPUTED_VALUE"""),5.0)</f>
        <v>5</v>
      </c>
      <c r="W382" s="5">
        <f>IFERROR(__xludf.DUMMYFUNCTION("""COMPUTED_VALUE"""),5.0)</f>
        <v>5</v>
      </c>
      <c r="X382" s="11">
        <f>IFERROR(__xludf.DUMMYFUNCTION("""COMPUTED_VALUE"""),95.656)</f>
        <v>95.656</v>
      </c>
      <c r="Y382" s="5" t="str">
        <f>IFERROR(__xludf.DUMMYFUNCTION("""COMPUTED_VALUE"""),"Medium")</f>
        <v>Medium</v>
      </c>
      <c r="Z382" s="5">
        <f>IFERROR(__xludf.DUMMYFUNCTION("""COMPUTED_VALUE"""),12.489)</f>
        <v>12.489</v>
      </c>
      <c r="AA382" s="5">
        <f>IFERROR(__xludf.DUMMYFUNCTION("""COMPUTED_VALUE"""),1000.0)</f>
        <v>1000</v>
      </c>
      <c r="AB382" s="5"/>
      <c r="AC382" s="5" t="str">
        <f>IFERROR(__xludf.DUMMYFUNCTION("""COMPUTED_VALUE"""),"Scatter")</f>
        <v>Scatter</v>
      </c>
      <c r="AD382" s="5" t="str">
        <f>IFERROR(__xludf.DUMMYFUNCTION("""COMPUTED_VALUE"""),"0.05/30")</f>
        <v>0.05/30</v>
      </c>
      <c r="AE382" s="5"/>
      <c r="AF382" s="5"/>
      <c r="AG382" s="8">
        <f>IFERROR(__xludf.DUMMYFUNCTION("""COMPUTED_VALUE"""),46220.5)</f>
        <v>46220.5</v>
      </c>
      <c r="AH382" s="5" t="str">
        <f>IFERROR(__xludf.DUMMYFUNCTION("""COMPUTED_VALUE"""),"selena.mihajlovic@fazi.rs")</f>
        <v>selena.mihajlovic@fazi.rs</v>
      </c>
      <c r="AI382" s="5"/>
      <c r="AJ382" s="5"/>
      <c r="AK382" s="5">
        <f>IFERROR(__xludf.DUMMYFUNCTION("""COMPUTED_VALUE"""),5.0)</f>
        <v>5</v>
      </c>
      <c r="AL382" s="5" t="str">
        <f>IFERROR(__xludf.DUMMYFUNCTION("""COMPUTED_VALUE"""),"No")</f>
        <v>No</v>
      </c>
      <c r="AM382" s="5" t="str">
        <f>IFERROR(__xludf.DUMMYFUNCTION("""COMPUTED_VALUE"""),"No")</f>
        <v>No</v>
      </c>
      <c r="AN382" s="7" t="str">
        <f>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AO382" s="5" t="str">
        <f>IFERROR(__xludf.DUMMYFUNCTION("""COMPUTED_VALUE"""),"No")</f>
        <v>No</v>
      </c>
      <c r="AP382" s="5" t="str">
        <f>IFERROR(__xludf.DUMMYFUNCTION("""COMPUTED_VALUE"""),"No")</f>
        <v>No</v>
      </c>
      <c r="AQ382" s="5" t="b">
        <f>IFERROR(__xludf.DUMMYFUNCTION("""COMPUTED_VALUE"""),TRUE)</f>
        <v>1</v>
      </c>
      <c r="AR382" s="5"/>
      <c r="AS382" s="5" t="str">
        <f>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AT382" s="5"/>
      <c r="AU382" s="5" t="str">
        <f>IFERROR(__xludf.DUMMYFUNCTION("""COMPUTED_VALUE"""),"Fazi")</f>
        <v>Fazi</v>
      </c>
      <c r="AV382" s="5"/>
      <c r="AW382" s="5"/>
      <c r="AX382" s="5"/>
      <c r="AY382" s="5"/>
      <c r="AZ382" s="5"/>
      <c r="BA382" s="5"/>
      <c r="BB382" s="5" t="b">
        <f>IFERROR(__xludf.DUMMYFUNCTION("""COMPUTED_VALUE"""),TRUE)</f>
        <v>1</v>
      </c>
      <c r="BC382" s="5" t="str">
        <f>IFERROR(__xludf.DUMMYFUNCTION("""COMPUTED_VALUE"""),"Playnet")</f>
        <v>Playnet</v>
      </c>
      <c r="BD382" s="7" t="str">
        <f>IFERROR(__xludf.DUMMYFUNCTION("""COMPUTED_VALUE"""),"https://gameserver-store-client-area.orbionlimited.com/Home/IntegrationGameLaunch/client-area?moneyType=0&amp;gameName=PlayNetDashingHot5&amp;platform=desktop&amp;languageCode=eng&amp;currency=EUR")</f>
        <v>https://gameserver-store-client-area.orbionlimited.com/Home/IntegrationGameLaunch/client-area?moneyType=0&amp;gameName=PlayNetDashingHot5&amp;platform=desktop&amp;languageCode=eng&amp;currency=EUR</v>
      </c>
      <c r="BE382" s="5" t="b">
        <f>IFERROR(__xludf.DUMMYFUNCTION("""COMPUTED_VALUE"""),TRUE)</f>
        <v>1</v>
      </c>
    </row>
    <row r="383">
      <c r="A383" s="5">
        <f>IFERROR(__xludf.DUMMYFUNCTION("""COMPUTED_VALUE"""),388.0)</f>
        <v>388</v>
      </c>
      <c r="B383" s="5">
        <f>IFERROR(__xludf.DUMMYFUNCTION("""COMPUTED_VALUE"""),366.0)</f>
        <v>366</v>
      </c>
      <c r="C383" s="5" t="str">
        <f>IFERROR(__xludf.DUMMYFUNCTION("""COMPUTED_VALUE"""),"Tiptop")</f>
        <v>Tiptop</v>
      </c>
      <c r="D383" s="5" t="str">
        <f>IFERROR(__xludf.DUMMYFUNCTION("""COMPUTED_VALUE"""),"20 Hot Strike Jackpot")</f>
        <v>20 Hot Strike Jackpot</v>
      </c>
      <c r="E383" s="5" t="str">
        <f>IFERROR(__xludf.DUMMYFUNCTION("""COMPUTED_VALUE"""),"V4-2")</f>
        <v>V4-2</v>
      </c>
      <c r="F383" s="5" t="str">
        <f>IFERROR(__xludf.DUMMYFUNCTION("""COMPUTED_VALUE"""),"Unicorn20HotStrikeJackpot")</f>
        <v>Unicorn20HotStrikeJackpot</v>
      </c>
      <c r="G383" s="5" t="str">
        <f>IFERROR(__xludf.DUMMYFUNCTION("""COMPUTED_VALUE"""),"Live")</f>
        <v>Live</v>
      </c>
      <c r="H383" s="5"/>
      <c r="I383" s="5" t="str">
        <f>IFERROR(__xludf.DUMMYFUNCTION("""COMPUTED_VALUE"""),"TipTop")</f>
        <v>TipTop</v>
      </c>
      <c r="J383" s="5" t="str">
        <f>IFERROR(__xludf.DUMMYFUNCTION("""COMPUTED_VALUE"""),"JSON")</f>
        <v>JSON</v>
      </c>
      <c r="K383" s="5" t="str">
        <f>IFERROR(__xludf.DUMMYFUNCTION("""COMPUTED_VALUE"""),"Slot")</f>
        <v>Slot</v>
      </c>
      <c r="L383" s="5"/>
      <c r="M383" s="5"/>
      <c r="N383" s="5"/>
      <c r="O383" s="5"/>
      <c r="P383" s="12">
        <f>IFERROR(__xludf.DUMMYFUNCTION("""COMPUTED_VALUE"""),14.2)</f>
        <v>14.2</v>
      </c>
      <c r="Q383" s="13">
        <f>IFERROR(__xludf.DUMMYFUNCTION("""COMPUTED_VALUE"""),45603.0)</f>
        <v>45603</v>
      </c>
      <c r="R383" s="14"/>
      <c r="S383" s="13">
        <f>IFERROR(__xludf.DUMMYFUNCTION("""COMPUTED_VALUE"""),45603.0)</f>
        <v>45603</v>
      </c>
      <c r="T383" s="5"/>
      <c r="U383" s="5" t="str">
        <f>IFERROR(__xludf.DUMMYFUNCTION("""COMPUTED_VALUE"""),"5X3")</f>
        <v>5X3</v>
      </c>
      <c r="V383" s="5">
        <f>IFERROR(__xludf.DUMMYFUNCTION("""COMPUTED_VALUE"""),20.0)</f>
        <v>20</v>
      </c>
      <c r="W383" s="5">
        <f>IFERROR(__xludf.DUMMYFUNCTION("""COMPUTED_VALUE"""),20.0)</f>
        <v>20</v>
      </c>
      <c r="X383" s="11">
        <f>IFERROR(__xludf.DUMMYFUNCTION("""COMPUTED_VALUE"""),96.0)</f>
        <v>96</v>
      </c>
      <c r="Y383" s="5" t="str">
        <f>IFERROR(__xludf.DUMMYFUNCTION("""COMPUTED_VALUE"""),"Low")</f>
        <v>Low</v>
      </c>
      <c r="Z383" s="5">
        <f>IFERROR(__xludf.DUMMYFUNCTION("""COMPUTED_VALUE"""),14.46)</f>
        <v>14.46</v>
      </c>
      <c r="AA383" s="5">
        <f>IFERROR(__xludf.DUMMYFUNCTION("""COMPUTED_VALUE"""),10000.0)</f>
        <v>10000</v>
      </c>
      <c r="AB383" s="5"/>
      <c r="AC383" s="5"/>
      <c r="AD383" s="5" t="str">
        <f>IFERROR(__xludf.DUMMYFUNCTION("""COMPUTED_VALUE"""),"0.2/100")</f>
        <v>0.2/100</v>
      </c>
      <c r="AE383" s="5"/>
      <c r="AF383" s="5"/>
      <c r="AG383" s="8">
        <f>IFERROR(__xludf.DUMMYFUNCTION("""COMPUTED_VALUE"""),46197.49170138889)</f>
        <v>46197.4917</v>
      </c>
      <c r="AH383" s="5" t="str">
        <f>IFERROR(__xludf.DUMMYFUNCTION("""COMPUTED_VALUE"""),"selena.mihajlovic@fazi.rs")</f>
        <v>selena.mihajlovic@fazi.rs</v>
      </c>
      <c r="AI383" s="5"/>
      <c r="AJ383" s="5"/>
      <c r="AK383" s="5">
        <f>IFERROR(__xludf.DUMMYFUNCTION("""COMPUTED_VALUE"""),20.0)</f>
        <v>20</v>
      </c>
      <c r="AL383" s="5" t="str">
        <f>IFERROR(__xludf.DUMMYFUNCTION("""COMPUTED_VALUE"""),"No")</f>
        <v>No</v>
      </c>
      <c r="AM383" s="5"/>
      <c r="AN383" s="7" t="str">
        <f>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AO383" s="5"/>
      <c r="AP383" s="5"/>
      <c r="AQ383" s="5" t="b">
        <f>IFERROR(__xludf.DUMMYFUNCTION("""COMPUTED_VALUE"""),TRUE)</f>
        <v>1</v>
      </c>
      <c r="AR383" s="5"/>
      <c r="AS383"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383" s="5"/>
      <c r="AU383" s="5" t="str">
        <f>IFERROR(__xludf.DUMMYFUNCTION("""COMPUTED_VALUE"""),"Fazi")</f>
        <v>Fazi</v>
      </c>
      <c r="AV383" s="5"/>
      <c r="AW383" s="5"/>
      <c r="AX383" s="5"/>
      <c r="AY383" s="5"/>
      <c r="AZ383" s="5"/>
      <c r="BA383" s="5"/>
      <c r="BB383" s="5" t="b">
        <f>IFERROR(__xludf.DUMMYFUNCTION("""COMPUTED_VALUE"""),TRUE)</f>
        <v>1</v>
      </c>
      <c r="BC383" s="5" t="str">
        <f>IFERROR(__xludf.DUMMYFUNCTION("""COMPUTED_VALUE"""),"Tiptop")</f>
        <v>Tiptop</v>
      </c>
      <c r="BD383" s="7" t="str">
        <f>IFERROR(__xludf.DUMMYFUNCTION("""COMPUTED_VALUE"""),"https://gameserver-store-client-area.orbionlimited.com/Home/IntegrationGameLaunch/client-area?moneyType=0&amp;gameName=Unicorn20HotStrikeJackpot&amp;platform=desktop&amp;languageCode=eng&amp;currency=EUR")</f>
        <v>https://gameserver-store-client-area.orbionlimited.com/Home/IntegrationGameLaunch/client-area?moneyType=0&amp;gameName=Unicorn20HotStrikeJackpot&amp;platform=desktop&amp;languageCode=eng&amp;currency=EUR</v>
      </c>
      <c r="BE383" s="5" t="b">
        <f>IFERROR(__xludf.DUMMYFUNCTION("""COMPUTED_VALUE"""),TRUE)</f>
        <v>1</v>
      </c>
    </row>
    <row r="384">
      <c r="A384" s="5">
        <f>IFERROR(__xludf.DUMMYFUNCTION("""COMPUTED_VALUE"""),389.0)</f>
        <v>389</v>
      </c>
      <c r="B384" s="5">
        <f>IFERROR(__xludf.DUMMYFUNCTION("""COMPUTED_VALUE"""),367.0)</f>
        <v>367</v>
      </c>
      <c r="C384" s="5" t="str">
        <f>IFERROR(__xludf.DUMMYFUNCTION("""COMPUTED_VALUE"""),"Redstone")</f>
        <v>Redstone</v>
      </c>
      <c r="D384" s="5" t="str">
        <f>IFERROR(__xludf.DUMMYFUNCTION("""COMPUTED_VALUE"""),"5 Wild Fire")</f>
        <v>5 Wild Fire</v>
      </c>
      <c r="E384" s="5" t="str">
        <f>IFERROR(__xludf.DUMMYFUNCTION("""COMPUTED_VALUE"""),"Redstone")</f>
        <v>Redstone</v>
      </c>
      <c r="F384" s="5" t="str">
        <f>IFERROR(__xludf.DUMMYFUNCTION("""COMPUTED_VALUE"""),"Redstone5WildFire")</f>
        <v>Redstone5WildFire</v>
      </c>
      <c r="G384" s="5" t="str">
        <f>IFERROR(__xludf.DUMMYFUNCTION("""COMPUTED_VALUE"""),"Live")</f>
        <v>Live</v>
      </c>
      <c r="H384" s="5"/>
      <c r="I384" s="5" t="str">
        <f>IFERROR(__xludf.DUMMYFUNCTION("""COMPUTED_VALUE"""),"Redstone")</f>
        <v>Redstone</v>
      </c>
      <c r="J384" s="5" t="str">
        <f>IFERROR(__xludf.DUMMYFUNCTION("""COMPUTED_VALUE"""),"JSON")</f>
        <v>JSON</v>
      </c>
      <c r="K384" s="5" t="str">
        <f>IFERROR(__xludf.DUMMYFUNCTION("""COMPUTED_VALUE"""),"Slot")</f>
        <v>Slot</v>
      </c>
      <c r="L384" s="5" t="str">
        <f>IFERROR(__xludf.DUMMYFUNCTION("""COMPUTED_VALUE""")," Clone")</f>
        <v> Clone</v>
      </c>
      <c r="M384" s="5" t="str">
        <f>IFERROR(__xludf.DUMMYFUNCTION("""COMPUTED_VALUE"""),"Clover Blast 5")</f>
        <v>Clover Blast 5</v>
      </c>
      <c r="N384" s="7" t="str">
        <f>IFERROR(__xludf.DUMMYFUNCTION("""COMPUTED_VALUE"""),"https://drive.google.com/file/d/1CnPNsoW7A8gDqsGH0QmYIC5F1rDUvStJ/view?usp=drive_link")</f>
        <v>https://drive.google.com/file/d/1CnPNsoW7A8gDqsGH0QmYIC5F1rDUvStJ/view?usp=drive_link</v>
      </c>
      <c r="O384" s="7" t="str">
        <f>IFERROR(__xludf.DUMMYFUNCTION("""COMPUTED_VALUE"""),"https://drive.google.com/file/d/10GFfdufP0A_6r3dlwLlKQ77wnmqVJaDU/view?usp=drive_link")</f>
        <v>https://drive.google.com/file/d/10GFfdufP0A_6r3dlwLlKQ77wnmqVJaDU/view?usp=drive_link</v>
      </c>
      <c r="P384" s="12">
        <f>IFERROR(__xludf.DUMMYFUNCTION("""COMPUTED_VALUE"""),11.2)</f>
        <v>11.2</v>
      </c>
      <c r="Q384" s="13">
        <f>IFERROR(__xludf.DUMMYFUNCTION("""COMPUTED_VALUE"""),45568.0)</f>
        <v>45568</v>
      </c>
      <c r="R384" s="14"/>
      <c r="S384" s="13">
        <f>IFERROR(__xludf.DUMMYFUNCTION("""COMPUTED_VALUE"""),45568.0)</f>
        <v>45568</v>
      </c>
      <c r="T384" s="5" t="b">
        <f>IFERROR(__xludf.DUMMYFUNCTION("""COMPUTED_VALUE"""),TRUE)</f>
        <v>1</v>
      </c>
      <c r="U384" s="5" t="str">
        <f>IFERROR(__xludf.DUMMYFUNCTION("""COMPUTED_VALUE"""),"5x3")</f>
        <v>5x3</v>
      </c>
      <c r="V384" s="5">
        <f>IFERROR(__xludf.DUMMYFUNCTION("""COMPUTED_VALUE"""),5.0)</f>
        <v>5</v>
      </c>
      <c r="W384" s="5">
        <f>IFERROR(__xludf.DUMMYFUNCTION("""COMPUTED_VALUE"""),5.0)</f>
        <v>5</v>
      </c>
      <c r="X384" s="11">
        <f>IFERROR(__xludf.DUMMYFUNCTION("""COMPUTED_VALUE"""),96.2)</f>
        <v>96.2</v>
      </c>
      <c r="Y384" s="5" t="str">
        <f>IFERROR(__xludf.DUMMYFUNCTION("""COMPUTED_VALUE"""),"Medium")</f>
        <v>Medium</v>
      </c>
      <c r="Z384" s="5">
        <f>IFERROR(__xludf.DUMMYFUNCTION("""COMPUTED_VALUE"""),11.91)</f>
        <v>11.91</v>
      </c>
      <c r="AA384" s="5">
        <f>IFERROR(__xludf.DUMMYFUNCTION("""COMPUTED_VALUE"""),2000.0)</f>
        <v>2000</v>
      </c>
      <c r="AB384" s="5"/>
      <c r="AC384" s="5" t="str">
        <f>IFERROR(__xludf.DUMMYFUNCTION("""COMPUTED_VALUE"""),"Wild Symbol")</f>
        <v>Wild Symbol</v>
      </c>
      <c r="AD384" s="5" t="str">
        <f>IFERROR(__xludf.DUMMYFUNCTION("""COMPUTED_VALUE"""),"0.01/50")</f>
        <v>0.01/50</v>
      </c>
      <c r="AE384" s="5"/>
      <c r="AF384" s="5"/>
      <c r="AG384" s="8">
        <f>IFERROR(__xludf.DUMMYFUNCTION("""COMPUTED_VALUE"""),46157.49041666667)</f>
        <v>46157.49042</v>
      </c>
      <c r="AH384" s="5"/>
      <c r="AI384" s="5"/>
      <c r="AJ384" s="5"/>
      <c r="AK384" s="5">
        <f>IFERROR(__xludf.DUMMYFUNCTION("""COMPUTED_VALUE"""),1.0)</f>
        <v>1</v>
      </c>
      <c r="AL384" s="5" t="str">
        <f>IFERROR(__xludf.DUMMYFUNCTION("""COMPUTED_VALUE"""),"No")</f>
        <v>No</v>
      </c>
      <c r="AM384" s="5" t="str">
        <f>IFERROR(__xludf.DUMMYFUNCTION("""COMPUTED_VALUE"""),"No")</f>
        <v>No</v>
      </c>
      <c r="AN384" s="7" t="str">
        <f>IFERROR(__xludf.DUMMYFUNCTION("""COMPUTED_VALUE"""),"https://static.redstone.rs/games/5-wild-fire/")</f>
        <v>https://static.redstone.rs/games/5-wild-fire/</v>
      </c>
      <c r="AO384" s="5" t="str">
        <f>IFERROR(__xludf.DUMMYFUNCTION("""COMPUTED_VALUE"""),"No")</f>
        <v>No</v>
      </c>
      <c r="AP384" s="5" t="str">
        <f>IFERROR(__xludf.DUMMYFUNCTION("""COMPUTED_VALUE"""),"No")</f>
        <v>No</v>
      </c>
      <c r="AQ384" s="5" t="b">
        <f>IFERROR(__xludf.DUMMYFUNCTION("""COMPUTED_VALUE"""),TRUE)</f>
        <v>1</v>
      </c>
      <c r="AR384" s="5"/>
      <c r="AS384" s="5" t="str">
        <f>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AT384" s="5"/>
      <c r="AU384" s="5" t="str">
        <f>IFERROR(__xludf.DUMMYFUNCTION("""COMPUTED_VALUE"""),"Redstone")</f>
        <v>Redstone</v>
      </c>
      <c r="AV384" s="5"/>
      <c r="AW384" s="5"/>
      <c r="AX384" s="5"/>
      <c r="AY384" s="5"/>
      <c r="AZ384" s="5"/>
      <c r="BA384" s="5"/>
      <c r="BB384" s="5" t="b">
        <f>IFERROR(__xludf.DUMMYFUNCTION("""COMPUTED_VALUE"""),TRUE)</f>
        <v>1</v>
      </c>
      <c r="BC384" s="5" t="str">
        <f>IFERROR(__xludf.DUMMYFUNCTION("""COMPUTED_VALUE"""),"Redstone")</f>
        <v>Redstone</v>
      </c>
      <c r="BD384" s="7" t="str">
        <f>IFERROR(__xludf.DUMMYFUNCTION("""COMPUTED_VALUE"""),"https://static.redstone.rs/games/5-wild-fire/")</f>
        <v>https://static.redstone.rs/games/5-wild-fire/</v>
      </c>
      <c r="BE384" s="5" t="b">
        <f>IFERROR(__xludf.DUMMYFUNCTION("""COMPUTED_VALUE"""),TRUE)</f>
        <v>1</v>
      </c>
    </row>
    <row r="385">
      <c r="A385" s="5">
        <f>IFERROR(__xludf.DUMMYFUNCTION("""COMPUTED_VALUE"""),390.0)</f>
        <v>390</v>
      </c>
      <c r="B385" s="5">
        <f>IFERROR(__xludf.DUMMYFUNCTION("""COMPUTED_VALUE"""),368.0)</f>
        <v>368</v>
      </c>
      <c r="C385" s="5" t="str">
        <f>IFERROR(__xludf.DUMMYFUNCTION("""COMPUTED_VALUE"""),"Playnet")</f>
        <v>Playnet</v>
      </c>
      <c r="D385" s="5" t="str">
        <f>IFERROR(__xludf.DUMMYFUNCTION("""COMPUTED_VALUE"""),"Wild Forties")</f>
        <v>Wild Forties</v>
      </c>
      <c r="E385" s="5" t="str">
        <f>IFERROR(__xludf.DUMMYFUNCTION("""COMPUTED_VALUE"""),"V4-2")</f>
        <v>V4-2</v>
      </c>
      <c r="F385" s="5" t="str">
        <f>IFERROR(__xludf.DUMMYFUNCTION("""COMPUTED_VALUE"""),"PlayNetWildForties")</f>
        <v>PlayNetWildForties</v>
      </c>
      <c r="G385" s="5" t="str">
        <f>IFERROR(__xludf.DUMMYFUNCTION("""COMPUTED_VALUE"""),"Live")</f>
        <v>Live</v>
      </c>
      <c r="H385" s="5"/>
      <c r="I385" s="5"/>
      <c r="J385" s="5" t="str">
        <f>IFERROR(__xludf.DUMMYFUNCTION("""COMPUTED_VALUE"""),"JSON")</f>
        <v>JSON</v>
      </c>
      <c r="K385" s="5" t="str">
        <f>IFERROR(__xludf.DUMMYFUNCTION("""COMPUTED_VALUE"""),"Slot")</f>
        <v>Slot</v>
      </c>
      <c r="L385" s="5" t="str">
        <f>IFERROR(__xludf.DUMMYFUNCTION("""COMPUTED_VALUE""")," Clone")</f>
        <v> Clone</v>
      </c>
      <c r="M385" s="5" t="str">
        <f>IFERROR(__xludf.DUMMYFUNCTION("""COMPUTED_VALUE"""),"Vintage Fruits 40")</f>
        <v>Vintage Fruits 40</v>
      </c>
      <c r="N385" s="5"/>
      <c r="O385" s="5"/>
      <c r="P385" s="12">
        <f>IFERROR(__xludf.DUMMYFUNCTION("""COMPUTED_VALUE"""),4.4)</f>
        <v>4.4</v>
      </c>
      <c r="Q385" s="13">
        <f>IFERROR(__xludf.DUMMYFUNCTION("""COMPUTED_VALUE"""),45572.0)</f>
        <v>45572</v>
      </c>
      <c r="R385" s="14"/>
      <c r="S385" s="13">
        <f>IFERROR(__xludf.DUMMYFUNCTION("""COMPUTED_VALUE"""),45572.0)</f>
        <v>45572</v>
      </c>
      <c r="T385" s="5" t="b">
        <f>IFERROR(__xludf.DUMMYFUNCTION("""COMPUTED_VALUE"""),TRUE)</f>
        <v>1</v>
      </c>
      <c r="U385" s="5" t="str">
        <f>IFERROR(__xludf.DUMMYFUNCTION("""COMPUTED_VALUE"""),"5x4")</f>
        <v>5x4</v>
      </c>
      <c r="V385" s="5">
        <f>IFERROR(__xludf.DUMMYFUNCTION("""COMPUTED_VALUE"""),40.0)</f>
        <v>40</v>
      </c>
      <c r="W385" s="5">
        <f>IFERROR(__xludf.DUMMYFUNCTION("""COMPUTED_VALUE"""),40.0)</f>
        <v>40</v>
      </c>
      <c r="X385" s="11">
        <f>IFERROR(__xludf.DUMMYFUNCTION("""COMPUTED_VALUE"""),96.382)</f>
        <v>96.382</v>
      </c>
      <c r="Y385" s="5" t="str">
        <f>IFERROR(__xludf.DUMMYFUNCTION("""COMPUTED_VALUE"""),"Medium")</f>
        <v>Medium</v>
      </c>
      <c r="Z385" s="5">
        <f>IFERROR(__xludf.DUMMYFUNCTION("""COMPUTED_VALUE"""),14.89)</f>
        <v>14.89</v>
      </c>
      <c r="AA385" s="5">
        <f>IFERROR(__xludf.DUMMYFUNCTION("""COMPUTED_VALUE"""),1000.0)</f>
        <v>1000</v>
      </c>
      <c r="AB385" s="5"/>
      <c r="AC385" s="5" t="str">
        <f>IFERROR(__xludf.DUMMYFUNCTION("""COMPUTED_VALUE"""),"Wild Symbol, Scatter")</f>
        <v>Wild Symbol, Scatter</v>
      </c>
      <c r="AD385" s="5" t="str">
        <f>IFERROR(__xludf.DUMMYFUNCTION("""COMPUTED_VALUE"""),"0.4/40")</f>
        <v>0.4/40</v>
      </c>
      <c r="AE385" s="5"/>
      <c r="AF385" s="5"/>
      <c r="AG385" s="8">
        <f>IFERROR(__xludf.DUMMYFUNCTION("""COMPUTED_VALUE"""),46220.50019675926)</f>
        <v>46220.5002</v>
      </c>
      <c r="AH385" s="5" t="str">
        <f>IFERROR(__xludf.DUMMYFUNCTION("""COMPUTED_VALUE"""),"selena.mihajlovic@fazi.rs")</f>
        <v>selena.mihajlovic@fazi.rs</v>
      </c>
      <c r="AI385" s="5"/>
      <c r="AJ385" s="5"/>
      <c r="AK385" s="5">
        <f>IFERROR(__xludf.DUMMYFUNCTION("""COMPUTED_VALUE"""),40.0)</f>
        <v>40</v>
      </c>
      <c r="AL385" s="5" t="str">
        <f>IFERROR(__xludf.DUMMYFUNCTION("""COMPUTED_VALUE"""),"No")</f>
        <v>No</v>
      </c>
      <c r="AM385" s="5" t="str">
        <f>IFERROR(__xludf.DUMMYFUNCTION("""COMPUTED_VALUE"""),"No")</f>
        <v>No</v>
      </c>
      <c r="AN385" s="7" t="str">
        <f>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AO385" s="5" t="str">
        <f>IFERROR(__xludf.DUMMYFUNCTION("""COMPUTED_VALUE"""),"No")</f>
        <v>No</v>
      </c>
      <c r="AP385" s="5" t="str">
        <f>IFERROR(__xludf.DUMMYFUNCTION("""COMPUTED_VALUE"""),"No")</f>
        <v>No</v>
      </c>
      <c r="AQ385" s="5" t="b">
        <f>IFERROR(__xludf.DUMMYFUNCTION("""COMPUTED_VALUE"""),TRUE)</f>
        <v>1</v>
      </c>
      <c r="AR385" s="5"/>
      <c r="AS385" s="5" t="str">
        <f>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AT385" s="5"/>
      <c r="AU385" s="5" t="str">
        <f>IFERROR(__xludf.DUMMYFUNCTION("""COMPUTED_VALUE"""),"Fazi")</f>
        <v>Fazi</v>
      </c>
      <c r="AV385" s="5"/>
      <c r="AW385" s="5"/>
      <c r="AX385" s="5"/>
      <c r="AY385" s="5"/>
      <c r="AZ385" s="5"/>
      <c r="BA385" s="5"/>
      <c r="BB385" s="5" t="b">
        <f>IFERROR(__xludf.DUMMYFUNCTION("""COMPUTED_VALUE"""),TRUE)</f>
        <v>1</v>
      </c>
      <c r="BC385" s="5" t="str">
        <f>IFERROR(__xludf.DUMMYFUNCTION("""COMPUTED_VALUE"""),"Playnet")</f>
        <v>Playnet</v>
      </c>
      <c r="BD385" s="7" t="str">
        <f>IFERROR(__xludf.DUMMYFUNCTION("""COMPUTED_VALUE"""),"https://gameserver-store-client-area.orbionlimited.com/Home/IntegrationGameLaunch/client-area?moneyType=0&amp;gameName=PlayNetWildForties&amp;platform=desktop&amp;languageCode=eng&amp;currency=EUR")</f>
        <v>https://gameserver-store-client-area.orbionlimited.com/Home/IntegrationGameLaunch/client-area?moneyType=0&amp;gameName=PlayNetWildForties&amp;platform=desktop&amp;languageCode=eng&amp;currency=EUR</v>
      </c>
      <c r="BE385" s="5" t="b">
        <f>IFERROR(__xludf.DUMMYFUNCTION("""COMPUTED_VALUE"""),TRUE)</f>
        <v>1</v>
      </c>
    </row>
    <row r="386">
      <c r="A386" s="5">
        <f>IFERROR(__xludf.DUMMYFUNCTION("""COMPUTED_VALUE"""),392.0)</f>
        <v>392</v>
      </c>
      <c r="B386" s="5">
        <f>IFERROR(__xludf.DUMMYFUNCTION("""COMPUTED_VALUE"""),370.0)</f>
        <v>370</v>
      </c>
      <c r="C386" s="5" t="str">
        <f>IFERROR(__xludf.DUMMYFUNCTION("""COMPUTED_VALUE"""),"Tiptop")</f>
        <v>Tiptop</v>
      </c>
      <c r="D386" s="5" t="str">
        <f>IFERROR(__xludf.DUMMYFUNCTION("""COMPUTED_VALUE"""),"Hit Line Dice")</f>
        <v>Hit Line Dice</v>
      </c>
      <c r="E386" s="5" t="str">
        <f>IFERROR(__xludf.DUMMYFUNCTION("""COMPUTED_VALUE"""),"V4-2")</f>
        <v>V4-2</v>
      </c>
      <c r="F386" s="5" t="str">
        <f>IFERROR(__xludf.DUMMYFUNCTION("""COMPUTED_VALUE"""),"UnicornHitLineDice")</f>
        <v>UnicornHitLineDice</v>
      </c>
      <c r="G386" s="5" t="str">
        <f>IFERROR(__xludf.DUMMYFUNCTION("""COMPUTED_VALUE"""),"Live")</f>
        <v>Live</v>
      </c>
      <c r="H386" s="5"/>
      <c r="I386" s="5" t="str">
        <f>IFERROR(__xludf.DUMMYFUNCTION("""COMPUTED_VALUE"""),"TipTop")</f>
        <v>TipTop</v>
      </c>
      <c r="J386" s="5" t="str">
        <f>IFERROR(__xludf.DUMMYFUNCTION("""COMPUTED_VALUE"""),"JSON")</f>
        <v>JSON</v>
      </c>
      <c r="K386" s="5" t="str">
        <f>IFERROR(__xludf.DUMMYFUNCTION("""COMPUTED_VALUE"""),"Dice Slots")</f>
        <v>Dice Slots</v>
      </c>
      <c r="L386" s="5"/>
      <c r="M386" s="5"/>
      <c r="N386" s="5"/>
      <c r="O386" s="5"/>
      <c r="P386" s="12">
        <f>IFERROR(__xludf.DUMMYFUNCTION("""COMPUTED_VALUE"""),13.4)</f>
        <v>13.4</v>
      </c>
      <c r="Q386" s="13">
        <f>IFERROR(__xludf.DUMMYFUNCTION("""COMPUTED_VALUE"""),45624.0)</f>
        <v>45624</v>
      </c>
      <c r="R386" s="14"/>
      <c r="S386" s="13">
        <f>IFERROR(__xludf.DUMMYFUNCTION("""COMPUTED_VALUE"""),45624.0)</f>
        <v>45624</v>
      </c>
      <c r="T386" s="5" t="b">
        <f>IFERROR(__xludf.DUMMYFUNCTION("""COMPUTED_VALUE"""),TRUE)</f>
        <v>1</v>
      </c>
      <c r="U386" s="5" t="str">
        <f>IFERROR(__xludf.DUMMYFUNCTION("""COMPUTED_VALUE"""),"5X3")</f>
        <v>5X3</v>
      </c>
      <c r="V386" s="5">
        <f>IFERROR(__xludf.DUMMYFUNCTION("""COMPUTED_VALUE"""),10.0)</f>
        <v>10</v>
      </c>
      <c r="W386" s="5">
        <f>IFERROR(__xludf.DUMMYFUNCTION("""COMPUTED_VALUE"""),10.0)</f>
        <v>10</v>
      </c>
      <c r="X386" s="11">
        <f>IFERROR(__xludf.DUMMYFUNCTION("""COMPUTED_VALUE"""),96.0)</f>
        <v>96</v>
      </c>
      <c r="Y386" s="5" t="str">
        <f>IFERROR(__xludf.DUMMYFUNCTION("""COMPUTED_VALUE"""),"Low")</f>
        <v>Low</v>
      </c>
      <c r="Z386" s="5">
        <f>IFERROR(__xludf.DUMMYFUNCTION("""COMPUTED_VALUE"""),10.88)</f>
        <v>10.88</v>
      </c>
      <c r="AA386" s="5">
        <f>IFERROR(__xludf.DUMMYFUNCTION("""COMPUTED_VALUE"""),8000.0)</f>
        <v>8000</v>
      </c>
      <c r="AB386" s="5"/>
      <c r="AC386" s="5"/>
      <c r="AD386" s="5" t="str">
        <f>IFERROR(__xludf.DUMMYFUNCTION("""COMPUTED_VALUE"""),"0.1/100")</f>
        <v>0.1/100</v>
      </c>
      <c r="AE386" s="5"/>
      <c r="AF386" s="5"/>
      <c r="AG386" s="8">
        <f>IFERROR(__xludf.DUMMYFUNCTION("""COMPUTED_VALUE"""),46197.49184027778)</f>
        <v>46197.49184</v>
      </c>
      <c r="AH386" s="5" t="str">
        <f>IFERROR(__xludf.DUMMYFUNCTION("""COMPUTED_VALUE"""),"selena.mihajlovic@fazi.rs")</f>
        <v>selena.mihajlovic@fazi.rs</v>
      </c>
      <c r="AI386" s="5"/>
      <c r="AJ386" s="5"/>
      <c r="AK386" s="5">
        <f>IFERROR(__xludf.DUMMYFUNCTION("""COMPUTED_VALUE"""),10.0)</f>
        <v>10</v>
      </c>
      <c r="AL386" s="5" t="str">
        <f>IFERROR(__xludf.DUMMYFUNCTION("""COMPUTED_VALUE"""),"No")</f>
        <v>No</v>
      </c>
      <c r="AM386" s="5"/>
      <c r="AN386" s="7" t="str">
        <f>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AO386" s="5"/>
      <c r="AP386" s="5"/>
      <c r="AQ386" s="5" t="b">
        <f>IFERROR(__xludf.DUMMYFUNCTION("""COMPUTED_VALUE"""),TRUE)</f>
        <v>1</v>
      </c>
      <c r="AR386" s="5"/>
      <c r="AS386" s="5" t="str">
        <f>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86" s="5"/>
      <c r="AU386" s="5" t="str">
        <f>IFERROR(__xludf.DUMMYFUNCTION("""COMPUTED_VALUE"""),"Fazi")</f>
        <v>Fazi</v>
      </c>
      <c r="AV386" s="5"/>
      <c r="AW386" s="5"/>
      <c r="AX386" s="5"/>
      <c r="AY386" s="5"/>
      <c r="AZ386" s="5"/>
      <c r="BA386" s="5"/>
      <c r="BB386" s="5" t="b">
        <f>IFERROR(__xludf.DUMMYFUNCTION("""COMPUTED_VALUE"""),TRUE)</f>
        <v>1</v>
      </c>
      <c r="BC386" s="5" t="str">
        <f>IFERROR(__xludf.DUMMYFUNCTION("""COMPUTED_VALUE"""),"Tiptop")</f>
        <v>Tiptop</v>
      </c>
      <c r="BD386" s="7" t="str">
        <f>IFERROR(__xludf.DUMMYFUNCTION("""COMPUTED_VALUE"""),"https://gameserver-store-client-area.orbionlimited.com/Home/IntegrationGameLaunch/client-area?moneyType=0&amp;gameName=UnicornHitLineDice&amp;platform=desktop&amp;languageCode=eng&amp;currency=EUR")</f>
        <v>https://gameserver-store-client-area.orbionlimited.com/Home/IntegrationGameLaunch/client-area?moneyType=0&amp;gameName=UnicornHitLineDice&amp;platform=desktop&amp;languageCode=eng&amp;currency=EUR</v>
      </c>
      <c r="BE386" s="5" t="b">
        <f>IFERROR(__xludf.DUMMYFUNCTION("""COMPUTED_VALUE"""),TRUE)</f>
        <v>1</v>
      </c>
    </row>
    <row r="387">
      <c r="A387" s="5">
        <f>IFERROR(__xludf.DUMMYFUNCTION("""COMPUTED_VALUE"""),393.0)</f>
        <v>393</v>
      </c>
      <c r="B387" s="5">
        <f>IFERROR(__xludf.DUMMYFUNCTION("""COMPUTED_VALUE"""),371.0)</f>
        <v>371</v>
      </c>
      <c r="C387" s="5" t="str">
        <f>IFERROR(__xludf.DUMMYFUNCTION("""COMPUTED_VALUE"""),"Playnet")</f>
        <v>Playnet</v>
      </c>
      <c r="D387" s="5" t="str">
        <f>IFERROR(__xludf.DUMMYFUNCTION("""COMPUTED_VALUE"""),"Book Of Amun")</f>
        <v>Book Of Amun</v>
      </c>
      <c r="E387" s="5" t="str">
        <f>IFERROR(__xludf.DUMMYFUNCTION("""COMPUTED_VALUE"""),"V4-2")</f>
        <v>V4-2</v>
      </c>
      <c r="F387" s="5" t="str">
        <f>IFERROR(__xludf.DUMMYFUNCTION("""COMPUTED_VALUE"""),"PlayNetBookOfAmun")</f>
        <v>PlayNetBookOfAmun</v>
      </c>
      <c r="G387" s="5" t="str">
        <f>IFERROR(__xludf.DUMMYFUNCTION("""COMPUTED_VALUE"""),"Live")</f>
        <v>Live</v>
      </c>
      <c r="H387" s="5"/>
      <c r="I387" s="5"/>
      <c r="J387" s="5" t="str">
        <f>IFERROR(__xludf.DUMMYFUNCTION("""COMPUTED_VALUE"""),"JSON")</f>
        <v>JSON</v>
      </c>
      <c r="K387" s="5" t="str">
        <f>IFERROR(__xludf.DUMMYFUNCTION("""COMPUTED_VALUE"""),"Slot")</f>
        <v>Slot</v>
      </c>
      <c r="L387" s="5" t="str">
        <f>IFERROR(__xludf.DUMMYFUNCTION("""COMPUTED_VALUE""")," Clone")</f>
        <v> Clone</v>
      </c>
      <c r="M387" s="5" t="str">
        <f>IFERROR(__xludf.DUMMYFUNCTION("""COMPUTED_VALUE"""),"Book Of Spells Deluxe")</f>
        <v>Book Of Spells Deluxe</v>
      </c>
      <c r="N387" s="5"/>
      <c r="O387" s="5"/>
      <c r="P387" s="12">
        <f>IFERROR(__xludf.DUMMYFUNCTION("""COMPUTED_VALUE"""),10.0)</f>
        <v>10</v>
      </c>
      <c r="Q387" s="13">
        <f>IFERROR(__xludf.DUMMYFUNCTION("""COMPUTED_VALUE"""),45590.0)</f>
        <v>45590</v>
      </c>
      <c r="R387" s="14"/>
      <c r="S387" s="13">
        <f>IFERROR(__xludf.DUMMYFUNCTION("""COMPUTED_VALUE"""),45590.0)</f>
        <v>45590</v>
      </c>
      <c r="T387" s="5" t="b">
        <f>IFERROR(__xludf.DUMMYFUNCTION("""COMPUTED_VALUE"""),TRUE)</f>
        <v>1</v>
      </c>
      <c r="U387" s="5" t="str">
        <f>IFERROR(__xludf.DUMMYFUNCTION("""COMPUTED_VALUE"""),"5x3")</f>
        <v>5x3</v>
      </c>
      <c r="V387" s="5">
        <f>IFERROR(__xludf.DUMMYFUNCTION("""COMPUTED_VALUE"""),10.0)</f>
        <v>10</v>
      </c>
      <c r="W387" s="5">
        <f>IFERROR(__xludf.DUMMYFUNCTION("""COMPUTED_VALUE"""),10.0)</f>
        <v>10</v>
      </c>
      <c r="X387" s="11">
        <f>IFERROR(__xludf.DUMMYFUNCTION("""COMPUTED_VALUE"""),96.064)</f>
        <v>96.064</v>
      </c>
      <c r="Y387" s="5" t="str">
        <f>IFERROR(__xludf.DUMMYFUNCTION("""COMPUTED_VALUE"""),"High")</f>
        <v>High</v>
      </c>
      <c r="Z387" s="5">
        <f>IFERROR(__xludf.DUMMYFUNCTION("""COMPUTED_VALUE"""),31.467)</f>
        <v>31.467</v>
      </c>
      <c r="AA387" s="5">
        <f>IFERROR(__xludf.DUMMYFUNCTION("""COMPUTED_VALUE"""),5512.0)</f>
        <v>5512</v>
      </c>
      <c r="AB387" s="5"/>
      <c r="AC387" s="5" t="str">
        <f>IFERROR(__xludf.DUMMYFUNCTION("""COMPUTED_VALUE"""),"Bonus Game with Free Spins, Book Of Game, Wild Symbol, Scatter")</f>
        <v>Bonus Game with Free Spins, Book Of Game, Wild Symbol, Scatter</v>
      </c>
      <c r="AD387" s="5" t="str">
        <f>IFERROR(__xludf.DUMMYFUNCTION("""COMPUTED_VALUE"""),"0.01/40")</f>
        <v>0.01/40</v>
      </c>
      <c r="AE387" s="5"/>
      <c r="AF387" s="5"/>
      <c r="AG387" s="8">
        <f>IFERROR(__xludf.DUMMYFUNCTION("""COMPUTED_VALUE"""),46220.500439814816)</f>
        <v>46220.50044</v>
      </c>
      <c r="AH387" s="5" t="str">
        <f>IFERROR(__xludf.DUMMYFUNCTION("""COMPUTED_VALUE"""),"selena.mihajlovic@fazi.rs")</f>
        <v>selena.mihajlovic@fazi.rs</v>
      </c>
      <c r="AI387" s="5"/>
      <c r="AJ387" s="5"/>
      <c r="AK387" s="5">
        <f>IFERROR(__xludf.DUMMYFUNCTION("""COMPUTED_VALUE"""),10.0)</f>
        <v>10</v>
      </c>
      <c r="AL387" s="5" t="str">
        <f>IFERROR(__xludf.DUMMYFUNCTION("""COMPUTED_VALUE"""),"No")</f>
        <v>No</v>
      </c>
      <c r="AM387" s="5" t="str">
        <f>IFERROR(__xludf.DUMMYFUNCTION("""COMPUTED_VALUE"""),"No")</f>
        <v>No</v>
      </c>
      <c r="AN387" s="7" t="str">
        <f>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AO387" s="5" t="str">
        <f>IFERROR(__xludf.DUMMYFUNCTION("""COMPUTED_VALUE"""),"No")</f>
        <v>No</v>
      </c>
      <c r="AP387" s="5" t="str">
        <f>IFERROR(__xludf.DUMMYFUNCTION("""COMPUTED_VALUE"""),"No")</f>
        <v>No</v>
      </c>
      <c r="AQ387" s="5" t="b">
        <f>IFERROR(__xludf.DUMMYFUNCTION("""COMPUTED_VALUE"""),TRUE)</f>
        <v>1</v>
      </c>
      <c r="AR387" s="5"/>
      <c r="AS387" s="5" t="str">
        <f>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AT387" s="5"/>
      <c r="AU387" s="5" t="str">
        <f>IFERROR(__xludf.DUMMYFUNCTION("""COMPUTED_VALUE"""),"Fazi")</f>
        <v>Fazi</v>
      </c>
      <c r="AV387" s="5"/>
      <c r="AW387" s="5"/>
      <c r="AX387" s="5"/>
      <c r="AY387" s="5"/>
      <c r="AZ387" s="5"/>
      <c r="BA387" s="5"/>
      <c r="BB387" s="5" t="b">
        <f>IFERROR(__xludf.DUMMYFUNCTION("""COMPUTED_VALUE"""),TRUE)</f>
        <v>1</v>
      </c>
      <c r="BC387" s="5" t="str">
        <f>IFERROR(__xludf.DUMMYFUNCTION("""COMPUTED_VALUE"""),"Playnet")</f>
        <v>Playnet</v>
      </c>
      <c r="BD387" s="7" t="str">
        <f>IFERROR(__xludf.DUMMYFUNCTION("""COMPUTED_VALUE"""),"https://gameserver-store-client-area.orbionlimited.com/Home/IntegrationGameLaunch/client-area?moneyType=0&amp;gameName=PlayNetBookOfAmun&amp;platform=desktop&amp;languageCode=eng&amp;currency=EUR")</f>
        <v>https://gameserver-store-client-area.orbionlimited.com/Home/IntegrationGameLaunch/client-area?moneyType=0&amp;gameName=PlayNetBookOfAmun&amp;platform=desktop&amp;languageCode=eng&amp;currency=EUR</v>
      </c>
      <c r="BE387" s="5" t="b">
        <f>IFERROR(__xludf.DUMMYFUNCTION("""COMPUTED_VALUE"""),TRUE)</f>
        <v>1</v>
      </c>
    </row>
    <row r="388">
      <c r="A388" s="5">
        <f>IFERROR(__xludf.DUMMYFUNCTION("""COMPUTED_VALUE"""),394.0)</f>
        <v>394</v>
      </c>
      <c r="B388" s="5">
        <f>IFERROR(__xludf.DUMMYFUNCTION("""COMPUTED_VALUE"""),372.0)</f>
        <v>372</v>
      </c>
      <c r="C388" s="5" t="str">
        <f>IFERROR(__xludf.DUMMYFUNCTION("""COMPUTED_VALUE"""),"Redstone")</f>
        <v>Redstone</v>
      </c>
      <c r="D388" s="5" t="str">
        <f>IFERROR(__xludf.DUMMYFUNCTION("""COMPUTED_VALUE"""),"81 Double Magic")</f>
        <v>81 Double Magic</v>
      </c>
      <c r="E388" s="5" t="str">
        <f>IFERROR(__xludf.DUMMYFUNCTION("""COMPUTED_VALUE"""),"Redstone")</f>
        <v>Redstone</v>
      </c>
      <c r="F388" s="5" t="str">
        <f>IFERROR(__xludf.DUMMYFUNCTION("""COMPUTED_VALUE"""),"Redstone81DoubleMagic")</f>
        <v>Redstone81DoubleMagic</v>
      </c>
      <c r="G388" s="5" t="str">
        <f>IFERROR(__xludf.DUMMYFUNCTION("""COMPUTED_VALUE"""),"Live")</f>
        <v>Live</v>
      </c>
      <c r="H388" s="5"/>
      <c r="I388" s="5" t="str">
        <f>IFERROR(__xludf.DUMMYFUNCTION("""COMPUTED_VALUE"""),"Redstone")</f>
        <v>Redstone</v>
      </c>
      <c r="J388" s="5" t="str">
        <f>IFERROR(__xludf.DUMMYFUNCTION("""COMPUTED_VALUE"""),"JSON")</f>
        <v>JSON</v>
      </c>
      <c r="K388" s="5" t="str">
        <f>IFERROR(__xludf.DUMMYFUNCTION("""COMPUTED_VALUE"""),"Slot")</f>
        <v>Slot</v>
      </c>
      <c r="L388" s="5" t="str">
        <f>IFERROR(__xludf.DUMMYFUNCTION("""COMPUTED_VALUE""")," Clone")</f>
        <v> Clone</v>
      </c>
      <c r="M388" s="5" t="str">
        <f>IFERROR(__xludf.DUMMYFUNCTION("""COMPUTED_VALUE"""),"81 Vegas Crown")</f>
        <v>81 Vegas Crown</v>
      </c>
      <c r="N388" s="7" t="str">
        <f>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88" s="7" t="str">
        <f>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88" s="12">
        <f>IFERROR(__xludf.DUMMYFUNCTION("""COMPUTED_VALUE"""),9.7)</f>
        <v>9.7</v>
      </c>
      <c r="Q388" s="13">
        <f>IFERROR(__xludf.DUMMYFUNCTION("""COMPUTED_VALUE"""),45586.0)</f>
        <v>45586</v>
      </c>
      <c r="R388" s="14"/>
      <c r="S388" s="13">
        <f>IFERROR(__xludf.DUMMYFUNCTION("""COMPUTED_VALUE"""),45586.0)</f>
        <v>45586</v>
      </c>
      <c r="T388" s="5" t="b">
        <f>IFERROR(__xludf.DUMMYFUNCTION("""COMPUTED_VALUE"""),TRUE)</f>
        <v>1</v>
      </c>
      <c r="U388" s="5" t="str">
        <f>IFERROR(__xludf.DUMMYFUNCTION("""COMPUTED_VALUE"""),"4x3")</f>
        <v>4x3</v>
      </c>
      <c r="V388" s="5">
        <f>IFERROR(__xludf.DUMMYFUNCTION("""COMPUTED_VALUE"""),81.0)</f>
        <v>81</v>
      </c>
      <c r="W388" s="5">
        <f>IFERROR(__xludf.DUMMYFUNCTION("""COMPUTED_VALUE"""),81.0)</f>
        <v>81</v>
      </c>
      <c r="X388" s="11">
        <f>IFERROR(__xludf.DUMMYFUNCTION("""COMPUTED_VALUE"""),96.55)</f>
        <v>96.55</v>
      </c>
      <c r="Y388" s="5" t="str">
        <f>IFERROR(__xludf.DUMMYFUNCTION("""COMPUTED_VALUE"""),"High")</f>
        <v>High</v>
      </c>
      <c r="Z388" s="5">
        <f>IFERROR(__xludf.DUMMYFUNCTION("""COMPUTED_VALUE"""),5.1)</f>
        <v>5.1</v>
      </c>
      <c r="AA388" s="5">
        <f>IFERROR(__xludf.DUMMYFUNCTION("""COMPUTED_VALUE"""),3200.0)</f>
        <v>3200</v>
      </c>
      <c r="AB388" s="5"/>
      <c r="AC388" s="5" t="str">
        <f>IFERROR(__xludf.DUMMYFUNCTION("""COMPUTED_VALUE"""),"Mystery symbol, Wild Multiplier")</f>
        <v>Mystery symbol, Wild Multiplier</v>
      </c>
      <c r="AD388" s="5" t="str">
        <f>IFERROR(__xludf.DUMMYFUNCTION("""COMPUTED_VALUE"""),"0.05/20")</f>
        <v>0.05/20</v>
      </c>
      <c r="AE388" s="5"/>
      <c r="AF388" s="5"/>
      <c r="AG388" s="8">
        <f>IFERROR(__xludf.DUMMYFUNCTION("""COMPUTED_VALUE"""),46157.49054398148)</f>
        <v>46157.49054</v>
      </c>
      <c r="AH388" s="5"/>
      <c r="AI388" s="5"/>
      <c r="AJ388" s="5"/>
      <c r="AK388" s="5">
        <f>IFERROR(__xludf.DUMMYFUNCTION("""COMPUTED_VALUE"""),1.0)</f>
        <v>1</v>
      </c>
      <c r="AL388" s="5" t="str">
        <f>IFERROR(__xludf.DUMMYFUNCTION("""COMPUTED_VALUE"""),"No")</f>
        <v>No</v>
      </c>
      <c r="AM388" s="5" t="str">
        <f>IFERROR(__xludf.DUMMYFUNCTION("""COMPUTED_VALUE"""),"No")</f>
        <v>No</v>
      </c>
      <c r="AN388" s="7" t="str">
        <f>IFERROR(__xludf.DUMMYFUNCTION("""COMPUTED_VALUE"""),"https://static.redstone.rs/games/81-double-magic/")</f>
        <v>https://static.redstone.rs/games/81-double-magic/</v>
      </c>
      <c r="AO388" s="5" t="str">
        <f>IFERROR(__xludf.DUMMYFUNCTION("""COMPUTED_VALUE"""),"No")</f>
        <v>No</v>
      </c>
      <c r="AP388" s="5" t="str">
        <f>IFERROR(__xludf.DUMMYFUNCTION("""COMPUTED_VALUE"""),"No")</f>
        <v>No</v>
      </c>
      <c r="AQ388" s="5" t="b">
        <f>IFERROR(__xludf.DUMMYFUNCTION("""COMPUTED_VALUE"""),TRUE)</f>
        <v>1</v>
      </c>
      <c r="AR388" s="5"/>
      <c r="AS388" s="5" t="str">
        <f>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AT388" s="5"/>
      <c r="AU388" s="5" t="str">
        <f>IFERROR(__xludf.DUMMYFUNCTION("""COMPUTED_VALUE"""),"Redstone")</f>
        <v>Redstone</v>
      </c>
      <c r="AV388" s="5"/>
      <c r="AW388" s="5"/>
      <c r="AX388" s="5"/>
      <c r="AY388" s="5"/>
      <c r="AZ388" s="5"/>
      <c r="BA388" s="5"/>
      <c r="BB388" s="5" t="b">
        <f>IFERROR(__xludf.DUMMYFUNCTION("""COMPUTED_VALUE"""),TRUE)</f>
        <v>1</v>
      </c>
      <c r="BC388" s="5" t="str">
        <f>IFERROR(__xludf.DUMMYFUNCTION("""COMPUTED_VALUE"""),"Redstone")</f>
        <v>Redstone</v>
      </c>
      <c r="BD388" s="7" t="str">
        <f>IFERROR(__xludf.DUMMYFUNCTION("""COMPUTED_VALUE"""),"https://static.redstone.rs/games/81-double-magic/")</f>
        <v>https://static.redstone.rs/games/81-double-magic/</v>
      </c>
      <c r="BE388" s="5" t="b">
        <f>IFERROR(__xludf.DUMMYFUNCTION("""COMPUTED_VALUE"""),TRUE)</f>
        <v>1</v>
      </c>
    </row>
    <row r="389">
      <c r="A389" s="5">
        <f>IFERROR(__xludf.DUMMYFUNCTION("""COMPUTED_VALUE"""),396.0)</f>
        <v>396</v>
      </c>
      <c r="B389" s="5">
        <f>IFERROR(__xludf.DUMMYFUNCTION("""COMPUTED_VALUE"""),374.0)</f>
        <v>374</v>
      </c>
      <c r="C389" s="5" t="str">
        <f>IFERROR(__xludf.DUMMYFUNCTION("""COMPUTED_VALUE"""),"Tiptop")</f>
        <v>Tiptop</v>
      </c>
      <c r="D389" s="5" t="str">
        <f>IFERROR(__xludf.DUMMYFUNCTION("""COMPUTED_VALUE"""),"Dynamite Run")</f>
        <v>Dynamite Run</v>
      </c>
      <c r="E389" s="5" t="str">
        <f>IFERROR(__xludf.DUMMYFUNCTION("""COMPUTED_VALUE"""),"V4-2")</f>
        <v>V4-2</v>
      </c>
      <c r="F389" s="5" t="str">
        <f>IFERROR(__xludf.DUMMYFUNCTION("""COMPUTED_VALUE"""),"UnicornDynamiteRun")</f>
        <v>UnicornDynamiteRun</v>
      </c>
      <c r="G389" s="5" t="str">
        <f>IFERROR(__xludf.DUMMYFUNCTION("""COMPUTED_VALUE"""),"Live")</f>
        <v>Live</v>
      </c>
      <c r="H389" s="5"/>
      <c r="I389" s="5" t="str">
        <f>IFERROR(__xludf.DUMMYFUNCTION("""COMPUTED_VALUE"""),"TipTop")</f>
        <v>TipTop</v>
      </c>
      <c r="J389" s="5" t="str">
        <f>IFERROR(__xludf.DUMMYFUNCTION("""COMPUTED_VALUE"""),"JSON")</f>
        <v>JSON</v>
      </c>
      <c r="K389" s="5" t="str">
        <f>IFERROR(__xludf.DUMMYFUNCTION("""COMPUTED_VALUE"""),"Slot")</f>
        <v>Slot</v>
      </c>
      <c r="L389" s="5" t="str">
        <f>IFERROR(__xludf.DUMMYFUNCTION("""COMPUTED_VALUE""")," Clone")</f>
        <v> Clone</v>
      </c>
      <c r="M389" s="5" t="str">
        <f>IFERROR(__xludf.DUMMYFUNCTION("""COMPUTED_VALUE"""),"The Crown Fruit")</f>
        <v>The Crown Fruit</v>
      </c>
      <c r="N389" s="5"/>
      <c r="O389" s="5"/>
      <c r="P389" s="12">
        <f>IFERROR(__xludf.DUMMYFUNCTION("""COMPUTED_VALUE"""),12.3)</f>
        <v>12.3</v>
      </c>
      <c r="Q389" s="14">
        <f>IFERROR(__xludf.DUMMYFUNCTION("""COMPUTED_VALUE"""),45635.0)</f>
        <v>45635</v>
      </c>
      <c r="R389" s="14">
        <f>IFERROR(__xludf.DUMMYFUNCTION("""COMPUTED_VALUE"""),45637.0)</f>
        <v>45637</v>
      </c>
      <c r="S389" s="13">
        <f>IFERROR(__xludf.DUMMYFUNCTION("""COMPUTED_VALUE"""),45644.0)</f>
        <v>45644</v>
      </c>
      <c r="T389" s="5" t="b">
        <f>IFERROR(__xludf.DUMMYFUNCTION("""COMPUTED_VALUE"""),TRUE)</f>
        <v>1</v>
      </c>
      <c r="U389" s="5" t="str">
        <f>IFERROR(__xludf.DUMMYFUNCTION("""COMPUTED_VALUE"""),"5X3")</f>
        <v>5X3</v>
      </c>
      <c r="V389" s="5">
        <f>IFERROR(__xludf.DUMMYFUNCTION("""COMPUTED_VALUE"""),10.0)</f>
        <v>10</v>
      </c>
      <c r="W389" s="5">
        <f>IFERROR(__xludf.DUMMYFUNCTION("""COMPUTED_VALUE"""),10.0)</f>
        <v>10</v>
      </c>
      <c r="X389" s="11">
        <f>IFERROR(__xludf.DUMMYFUNCTION("""COMPUTED_VALUE"""),96.0)</f>
        <v>96</v>
      </c>
      <c r="Y389" s="5" t="str">
        <f>IFERROR(__xludf.DUMMYFUNCTION("""COMPUTED_VALUE"""),"Low")</f>
        <v>Low</v>
      </c>
      <c r="Z389" s="5">
        <f>IFERROR(__xludf.DUMMYFUNCTION("""COMPUTED_VALUE"""),26.12)</f>
        <v>26.12</v>
      </c>
      <c r="AA389" s="5">
        <f>IFERROR(__xludf.DUMMYFUNCTION("""COMPUTED_VALUE"""),1100.0)</f>
        <v>1100</v>
      </c>
      <c r="AB389" s="5"/>
      <c r="AC389" s="5"/>
      <c r="AD389" s="5" t="str">
        <f>IFERROR(__xludf.DUMMYFUNCTION("""COMPUTED_VALUE"""),"0.1/100")</f>
        <v>0.1/100</v>
      </c>
      <c r="AE389" s="5"/>
      <c r="AF389" s="5"/>
      <c r="AG389" s="8">
        <f>IFERROR(__xludf.DUMMYFUNCTION("""COMPUTED_VALUE"""),46197.49209490741)</f>
        <v>46197.49209</v>
      </c>
      <c r="AH389" s="5" t="str">
        <f>IFERROR(__xludf.DUMMYFUNCTION("""COMPUTED_VALUE"""),"selena.mihajlovic@fazi.rs")</f>
        <v>selena.mihajlovic@fazi.rs</v>
      </c>
      <c r="AI389" s="5"/>
      <c r="AJ389" s="5"/>
      <c r="AK389" s="5">
        <f>IFERROR(__xludf.DUMMYFUNCTION("""COMPUTED_VALUE"""),10.0)</f>
        <v>10</v>
      </c>
      <c r="AL389" s="5" t="str">
        <f>IFERROR(__xludf.DUMMYFUNCTION("""COMPUTED_VALUE"""),"No")</f>
        <v>No</v>
      </c>
      <c r="AM389" s="5"/>
      <c r="AN389" s="7" t="str">
        <f>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AO389" s="5"/>
      <c r="AP389" s="5"/>
      <c r="AQ389" s="5" t="b">
        <f>IFERROR(__xludf.DUMMYFUNCTION("""COMPUTED_VALUE"""),TRUE)</f>
        <v>1</v>
      </c>
      <c r="AR389" s="5"/>
      <c r="AS389" s="5" t="str">
        <f>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AT389" s="5"/>
      <c r="AU389" s="5" t="str">
        <f>IFERROR(__xludf.DUMMYFUNCTION("""COMPUTED_VALUE"""),"Fazi")</f>
        <v>Fazi</v>
      </c>
      <c r="AV389" s="5"/>
      <c r="AW389" s="5"/>
      <c r="AX389" s="5"/>
      <c r="AY389" s="5"/>
      <c r="AZ389" s="5"/>
      <c r="BA389" s="5"/>
      <c r="BB389" s="5" t="b">
        <f>IFERROR(__xludf.DUMMYFUNCTION("""COMPUTED_VALUE"""),TRUE)</f>
        <v>1</v>
      </c>
      <c r="BC389" s="5" t="str">
        <f>IFERROR(__xludf.DUMMYFUNCTION("""COMPUTED_VALUE"""),"Tiptop")</f>
        <v>Tiptop</v>
      </c>
      <c r="BD389" s="7" t="str">
        <f>IFERROR(__xludf.DUMMYFUNCTION("""COMPUTED_VALUE"""),"https://gameserver-store-client-area.orbionlimited.com/Home/IntegrationGameLaunch/client-area?moneyType=0&amp;gameName=UnicornDynamiteRun&amp;platform=desktop&amp;languageCode=eng&amp;currency=EUR")</f>
        <v>https://gameserver-store-client-area.orbionlimited.com/Home/IntegrationGameLaunch/client-area?moneyType=0&amp;gameName=UnicornDynamiteRun&amp;platform=desktop&amp;languageCode=eng&amp;currency=EUR</v>
      </c>
      <c r="BE389" s="5" t="b">
        <f>IFERROR(__xludf.DUMMYFUNCTION("""COMPUTED_VALUE"""),TRUE)</f>
        <v>1</v>
      </c>
    </row>
    <row r="390">
      <c r="A390" s="5">
        <f>IFERROR(__xludf.DUMMYFUNCTION("""COMPUTED_VALUE"""),398.0)</f>
        <v>398</v>
      </c>
      <c r="B390" s="5">
        <f>IFERROR(__xludf.DUMMYFUNCTION("""COMPUTED_VALUE"""),376.0)</f>
        <v>376</v>
      </c>
      <c r="C390" s="5" t="str">
        <f>IFERROR(__xludf.DUMMYFUNCTION("""COMPUTED_VALUE"""),"Redstone")</f>
        <v>Redstone</v>
      </c>
      <c r="D390" s="5" t="str">
        <f>IFERROR(__xludf.DUMMYFUNCTION("""COMPUTED_VALUE"""),"Only Anime")</f>
        <v>Only Anime</v>
      </c>
      <c r="E390" s="5" t="str">
        <f>IFERROR(__xludf.DUMMYFUNCTION("""COMPUTED_VALUE"""),"Redstone")</f>
        <v>Redstone</v>
      </c>
      <c r="F390" s="5" t="str">
        <f>IFERROR(__xludf.DUMMYFUNCTION("""COMPUTED_VALUE"""),"RedstoneOnlyAnime")</f>
        <v>RedstoneOnlyAnime</v>
      </c>
      <c r="G390" s="5" t="str">
        <f>IFERROR(__xludf.DUMMYFUNCTION("""COMPUTED_VALUE"""),"Live")</f>
        <v>Live</v>
      </c>
      <c r="H390" s="5"/>
      <c r="I390" s="5" t="str">
        <f>IFERROR(__xludf.DUMMYFUNCTION("""COMPUTED_VALUE"""),"Redstone")</f>
        <v>Redstone</v>
      </c>
      <c r="J390" s="5" t="str">
        <f>IFERROR(__xludf.DUMMYFUNCTION("""COMPUTED_VALUE"""),"JSON")</f>
        <v>JSON</v>
      </c>
      <c r="K390" s="5" t="str">
        <f>IFERROR(__xludf.DUMMYFUNCTION("""COMPUTED_VALUE"""),"Slot")</f>
        <v>Slot</v>
      </c>
      <c r="L390" s="5" t="str">
        <f>IFERROR(__xludf.DUMMYFUNCTION("""COMPUTED_VALUE""")," Clone")</f>
        <v> Clone</v>
      </c>
      <c r="M390" s="5" t="str">
        <f>IFERROR(__xludf.DUMMYFUNCTION("""COMPUTED_VALUE"""),"Wild Heart Beat")</f>
        <v>Wild Heart Beat</v>
      </c>
      <c r="N390" s="7" t="str">
        <f>IFERROR(__xludf.DUMMYFUNCTION("""COMPUTED_VALUE"""),"https://drive.google.com/file/d/19k5oZnvVV_HIMJQy22Kac8uBOSmgadyn/view?usp=drive_link")</f>
        <v>https://drive.google.com/file/d/19k5oZnvVV_HIMJQy22Kac8uBOSmgadyn/view?usp=drive_link</v>
      </c>
      <c r="O390" s="7" t="str">
        <f>IFERROR(__xludf.DUMMYFUNCTION("""COMPUTED_VALUE"""),"https://drive.google.com/file/d/1-I-7paFu6ZRTeGNBBK3AzEis6T2kyLPY/view?usp=drive_link")</f>
        <v>https://drive.google.com/file/d/1-I-7paFu6ZRTeGNBBK3AzEis6T2kyLPY/view?usp=drive_link</v>
      </c>
      <c r="P390" s="12">
        <f>IFERROR(__xludf.DUMMYFUNCTION("""COMPUTED_VALUE"""),8.5)</f>
        <v>8.5</v>
      </c>
      <c r="Q390" s="13">
        <f>IFERROR(__xludf.DUMMYFUNCTION("""COMPUTED_VALUE"""),45610.0)</f>
        <v>45610</v>
      </c>
      <c r="R390" s="14"/>
      <c r="S390" s="13">
        <f>IFERROR(__xludf.DUMMYFUNCTION("""COMPUTED_VALUE"""),45610.0)</f>
        <v>45610</v>
      </c>
      <c r="T390" s="5"/>
      <c r="U390" s="5" t="str">
        <f>IFERROR(__xludf.DUMMYFUNCTION("""COMPUTED_VALUE"""),"5x3")</f>
        <v>5x3</v>
      </c>
      <c r="V390" s="5">
        <f>IFERROR(__xludf.DUMMYFUNCTION("""COMPUTED_VALUE"""),5.0)</f>
        <v>5</v>
      </c>
      <c r="W390" s="5">
        <f>IFERROR(__xludf.DUMMYFUNCTION("""COMPUTED_VALUE"""),5.0)</f>
        <v>5</v>
      </c>
      <c r="X390" s="5">
        <f>IFERROR(__xludf.DUMMYFUNCTION("""COMPUTED_VALUE"""),96.36)</f>
        <v>96.36</v>
      </c>
      <c r="Y390" s="5" t="str">
        <f>IFERROR(__xludf.DUMMYFUNCTION("""COMPUTED_VALUE"""),"Medium")</f>
        <v>Medium</v>
      </c>
      <c r="Z390" s="5">
        <f>IFERROR(__xludf.DUMMYFUNCTION("""COMPUTED_VALUE"""),11.87)</f>
        <v>11.87</v>
      </c>
      <c r="AA390" s="5">
        <f>IFERROR(__xludf.DUMMYFUNCTION("""COMPUTED_VALUE"""),2000.0)</f>
        <v>2000</v>
      </c>
      <c r="AB390" s="5"/>
      <c r="AC390" s="5" t="str">
        <f>IFERROR(__xludf.DUMMYFUNCTION("""COMPUTED_VALUE"""),"Scatter, Expanding Wild")</f>
        <v>Scatter, Expanding Wild</v>
      </c>
      <c r="AD390" s="5" t="str">
        <f>IFERROR(__xludf.DUMMYFUNCTION("""COMPUTED_VALUE"""),"0.01/50")</f>
        <v>0.01/50</v>
      </c>
      <c r="AE390" s="5"/>
      <c r="AF390" s="5"/>
      <c r="AG390" s="8">
        <f>IFERROR(__xludf.DUMMYFUNCTION("""COMPUTED_VALUE"""),46157.490578703706)</f>
        <v>46157.49058</v>
      </c>
      <c r="AH390" s="5"/>
      <c r="AI390" s="5"/>
      <c r="AJ390" s="5"/>
      <c r="AK390" s="5">
        <f>IFERROR(__xludf.DUMMYFUNCTION("""COMPUTED_VALUE"""),1.0)</f>
        <v>1</v>
      </c>
      <c r="AL390" s="5" t="str">
        <f>IFERROR(__xludf.DUMMYFUNCTION("""COMPUTED_VALUE"""),"No")</f>
        <v>No</v>
      </c>
      <c r="AM390" s="5" t="str">
        <f>IFERROR(__xludf.DUMMYFUNCTION("""COMPUTED_VALUE"""),"No")</f>
        <v>No</v>
      </c>
      <c r="AN390" s="7" t="str">
        <f>IFERROR(__xludf.DUMMYFUNCTION("""COMPUTED_VALUE"""),"https://static.redstone.rs/games/only-anime/")</f>
        <v>https://static.redstone.rs/games/only-anime/</v>
      </c>
      <c r="AO390" s="5" t="str">
        <f>IFERROR(__xludf.DUMMYFUNCTION("""COMPUTED_VALUE"""),"No")</f>
        <v>No</v>
      </c>
      <c r="AP390" s="5" t="str">
        <f>IFERROR(__xludf.DUMMYFUNCTION("""COMPUTED_VALUE"""),"No")</f>
        <v>No</v>
      </c>
      <c r="AQ390" s="5" t="b">
        <f>IFERROR(__xludf.DUMMYFUNCTION("""COMPUTED_VALUE"""),TRUE)</f>
        <v>1</v>
      </c>
      <c r="AR390" s="5"/>
      <c r="AS390" s="5" t="str">
        <f>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AT390" s="5"/>
      <c r="AU390" s="5" t="str">
        <f>IFERROR(__xludf.DUMMYFUNCTION("""COMPUTED_VALUE"""),"Redstone")</f>
        <v>Redstone</v>
      </c>
      <c r="AV390" s="5"/>
      <c r="AW390" s="5"/>
      <c r="AX390" s="5"/>
      <c r="AY390" s="5"/>
      <c r="AZ390" s="5"/>
      <c r="BA390" s="5"/>
      <c r="BB390" s="5" t="b">
        <f>IFERROR(__xludf.DUMMYFUNCTION("""COMPUTED_VALUE"""),TRUE)</f>
        <v>1</v>
      </c>
      <c r="BC390" s="5" t="str">
        <f>IFERROR(__xludf.DUMMYFUNCTION("""COMPUTED_VALUE"""),"Redstone")</f>
        <v>Redstone</v>
      </c>
      <c r="BD390" s="7" t="str">
        <f>IFERROR(__xludf.DUMMYFUNCTION("""COMPUTED_VALUE"""),"https://static.redstone.rs/games/only-anime/")</f>
        <v>https://static.redstone.rs/games/only-anime/</v>
      </c>
      <c r="BE390" s="5" t="b">
        <f>IFERROR(__xludf.DUMMYFUNCTION("""COMPUTED_VALUE"""),TRUE)</f>
        <v>1</v>
      </c>
    </row>
    <row r="391">
      <c r="A391" s="5">
        <f>IFERROR(__xludf.DUMMYFUNCTION("""COMPUTED_VALUE"""),399.0)</f>
        <v>399</v>
      </c>
      <c r="B391" s="5">
        <f>IFERROR(__xludf.DUMMYFUNCTION("""COMPUTED_VALUE"""),377.0)</f>
        <v>377</v>
      </c>
      <c r="C391" s="5" t="str">
        <f>IFERROR(__xludf.DUMMYFUNCTION("""COMPUTED_VALUE"""),"Redstone")</f>
        <v>Redstone</v>
      </c>
      <c r="D391" s="5" t="str">
        <f>IFERROR(__xludf.DUMMYFUNCTION("""COMPUTED_VALUE"""),"27 Double Fruits")</f>
        <v>27 Double Fruits</v>
      </c>
      <c r="E391" s="5" t="str">
        <f>IFERROR(__xludf.DUMMYFUNCTION("""COMPUTED_VALUE"""),"Redstone")</f>
        <v>Redstone</v>
      </c>
      <c r="F391" s="5" t="str">
        <f>IFERROR(__xludf.DUMMYFUNCTION("""COMPUTED_VALUE"""),"Redstone27DoubleFruit")</f>
        <v>Redstone27DoubleFruit</v>
      </c>
      <c r="G391" s="5" t="str">
        <f>IFERROR(__xludf.DUMMYFUNCTION("""COMPUTED_VALUE"""),"Live")</f>
        <v>Live</v>
      </c>
      <c r="H391" s="5"/>
      <c r="I391" s="5" t="str">
        <f>IFERROR(__xludf.DUMMYFUNCTION("""COMPUTED_VALUE"""),"Redstone")</f>
        <v>Redstone</v>
      </c>
      <c r="J391" s="5" t="str">
        <f>IFERROR(__xludf.DUMMYFUNCTION("""COMPUTED_VALUE"""),"JSON")</f>
        <v>JSON</v>
      </c>
      <c r="K391" s="5" t="str">
        <f>IFERROR(__xludf.DUMMYFUNCTION("""COMPUTED_VALUE"""),"Slot")</f>
        <v>Slot</v>
      </c>
      <c r="L391" s="5" t="str">
        <f>IFERROR(__xludf.DUMMYFUNCTION("""COMPUTED_VALUE""")," Clone")</f>
        <v> Clone</v>
      </c>
      <c r="M391" s="5" t="str">
        <f>IFERROR(__xludf.DUMMYFUNCTION("""COMPUTED_VALUE"""),"Apollo 27 Classic")</f>
        <v>Apollo 27 Classic</v>
      </c>
      <c r="N391" s="7" t="str">
        <f>IFERROR(__xludf.DUMMYFUNCTION("""COMPUTED_VALUE"""),"https://drive.google.com/file/d/1WvgU430EFQf7ooLSL3f6fKZDBoTMbRkG/view?usp=drive_link")</f>
        <v>https://drive.google.com/file/d/1WvgU430EFQf7ooLSL3f6fKZDBoTMbRkG/view?usp=drive_link</v>
      </c>
      <c r="O391" s="7" t="str">
        <f>IFERROR(__xludf.DUMMYFUNCTION("""COMPUTED_VALUE"""),"https://drive.google.com/file/d/1rEbycdA6TxvvOeCgks6cSjRZsmDRxjog/view?usp=drive_link")</f>
        <v>https://drive.google.com/file/d/1rEbycdA6TxvvOeCgks6cSjRZsmDRxjog/view?usp=drive_link</v>
      </c>
      <c r="P391" s="12">
        <f>IFERROR(__xludf.DUMMYFUNCTION("""COMPUTED_VALUE"""),6.2)</f>
        <v>6.2</v>
      </c>
      <c r="Q391" s="13">
        <f>IFERROR(__xludf.DUMMYFUNCTION("""COMPUTED_VALUE"""),45621.0)</f>
        <v>45621</v>
      </c>
      <c r="R391" s="14"/>
      <c r="S391" s="13">
        <f>IFERROR(__xludf.DUMMYFUNCTION("""COMPUTED_VALUE"""),45621.0)</f>
        <v>45621</v>
      </c>
      <c r="T391" s="5" t="b">
        <f>IFERROR(__xludf.DUMMYFUNCTION("""COMPUTED_VALUE"""),TRUE)</f>
        <v>1</v>
      </c>
      <c r="U391" s="5" t="str">
        <f>IFERROR(__xludf.DUMMYFUNCTION("""COMPUTED_VALUE"""),"3x3")</f>
        <v>3x3</v>
      </c>
      <c r="V391" s="5">
        <f>IFERROR(__xludf.DUMMYFUNCTION("""COMPUTED_VALUE"""),27.0)</f>
        <v>27</v>
      </c>
      <c r="W391" s="5">
        <f>IFERROR(__xludf.DUMMYFUNCTION("""COMPUTED_VALUE"""),27.0)</f>
        <v>27</v>
      </c>
      <c r="X391" s="5">
        <f>IFERROR(__xludf.DUMMYFUNCTION("""COMPUTED_VALUE"""),96.24)</f>
        <v>96.24</v>
      </c>
      <c r="Y391" s="5" t="str">
        <f>IFERROR(__xludf.DUMMYFUNCTION("""COMPUTED_VALUE"""),"Low")</f>
        <v>Low</v>
      </c>
      <c r="Z391" s="5">
        <f>IFERROR(__xludf.DUMMYFUNCTION("""COMPUTED_VALUE"""),6.58)</f>
        <v>6.58</v>
      </c>
      <c r="AA391" s="5">
        <f>IFERROR(__xludf.DUMMYFUNCTION("""COMPUTED_VALUE"""),108.0)</f>
        <v>108</v>
      </c>
      <c r="AB391" s="5"/>
      <c r="AC391" s="5" t="str">
        <f>IFERROR(__xludf.DUMMYFUNCTION("""COMPUTED_VALUE"""),"Win Multiplier")</f>
        <v>Win Multiplier</v>
      </c>
      <c r="AD391" s="5" t="str">
        <f>IFERROR(__xludf.DUMMYFUNCTION("""COMPUTED_VALUE"""),"0.10/50")</f>
        <v>0.10/50</v>
      </c>
      <c r="AE391" s="5"/>
      <c r="AF391" s="5"/>
      <c r="AG391" s="8">
        <f>IFERROR(__xludf.DUMMYFUNCTION("""COMPUTED_VALUE"""),46157.49085648148)</f>
        <v>46157.49086</v>
      </c>
      <c r="AH391" s="5"/>
      <c r="AI391" s="5"/>
      <c r="AJ391" s="5"/>
      <c r="AK391" s="5">
        <f>IFERROR(__xludf.DUMMYFUNCTION("""COMPUTED_VALUE"""),1.0)</f>
        <v>1</v>
      </c>
      <c r="AL391" s="5" t="str">
        <f>IFERROR(__xludf.DUMMYFUNCTION("""COMPUTED_VALUE"""),"No")</f>
        <v>No</v>
      </c>
      <c r="AM391" s="5" t="str">
        <f>IFERROR(__xludf.DUMMYFUNCTION("""COMPUTED_VALUE"""),"No")</f>
        <v>No</v>
      </c>
      <c r="AN391" s="7" t="str">
        <f>IFERROR(__xludf.DUMMYFUNCTION("""COMPUTED_VALUE"""),"https://static.redstone.rs/games/27-double-fruits/")</f>
        <v>https://static.redstone.rs/games/27-double-fruits/</v>
      </c>
      <c r="AO391" s="5" t="str">
        <f>IFERROR(__xludf.DUMMYFUNCTION("""COMPUTED_VALUE"""),"No")</f>
        <v>No</v>
      </c>
      <c r="AP391" s="5" t="str">
        <f>IFERROR(__xludf.DUMMYFUNCTION("""COMPUTED_VALUE"""),"No")</f>
        <v>No</v>
      </c>
      <c r="AQ391" s="5" t="b">
        <f>IFERROR(__xludf.DUMMYFUNCTION("""COMPUTED_VALUE"""),TRUE)</f>
        <v>1</v>
      </c>
      <c r="AR391" s="5"/>
      <c r="AS391" s="5" t="str">
        <f>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AT391" s="5"/>
      <c r="AU391" s="5" t="str">
        <f>IFERROR(__xludf.DUMMYFUNCTION("""COMPUTED_VALUE"""),"Redstone")</f>
        <v>Redstone</v>
      </c>
      <c r="AV391" s="5"/>
      <c r="AW391" s="5"/>
      <c r="AX391" s="5"/>
      <c r="AY391" s="5"/>
      <c r="AZ391" s="5"/>
      <c r="BA391" s="5"/>
      <c r="BB391" s="5" t="b">
        <f>IFERROR(__xludf.DUMMYFUNCTION("""COMPUTED_VALUE"""),TRUE)</f>
        <v>1</v>
      </c>
      <c r="BC391" s="5" t="str">
        <f>IFERROR(__xludf.DUMMYFUNCTION("""COMPUTED_VALUE"""),"Redstone")</f>
        <v>Redstone</v>
      </c>
      <c r="BD391" s="7" t="str">
        <f>IFERROR(__xludf.DUMMYFUNCTION("""COMPUTED_VALUE"""),"https://static.redstone.rs/games/27-double-fruits/")</f>
        <v>https://static.redstone.rs/games/27-double-fruits/</v>
      </c>
      <c r="BE391" s="5" t="b">
        <f>IFERROR(__xludf.DUMMYFUNCTION("""COMPUTED_VALUE"""),TRUE)</f>
        <v>1</v>
      </c>
    </row>
    <row r="392">
      <c r="A392" s="5">
        <f>IFERROR(__xludf.DUMMYFUNCTION("""COMPUTED_VALUE"""),401.0)</f>
        <v>401</v>
      </c>
      <c r="B392" s="5">
        <f>IFERROR(__xludf.DUMMYFUNCTION("""COMPUTED_VALUE"""),379.0)</f>
        <v>379</v>
      </c>
      <c r="C392" s="5" t="str">
        <f>IFERROR(__xludf.DUMMYFUNCTION("""COMPUTED_VALUE"""),"Playnet")</f>
        <v>Playnet</v>
      </c>
      <c r="D392" s="5" t="str">
        <f>IFERROR(__xludf.DUMMYFUNCTION("""COMPUTED_VALUE"""),"27 Wild Stacks Xmas")</f>
        <v>27 Wild Stacks Xmas</v>
      </c>
      <c r="E392" s="5" t="str">
        <f>IFERROR(__xludf.DUMMYFUNCTION("""COMPUTED_VALUE"""),"V4-2")</f>
        <v>V4-2</v>
      </c>
      <c r="F392" s="5" t="str">
        <f>IFERROR(__xludf.DUMMYFUNCTION("""COMPUTED_VALUE"""),"PlayNet27WildStacksXmas")</f>
        <v>PlayNet27WildStacksXmas</v>
      </c>
      <c r="G392" s="5" t="str">
        <f>IFERROR(__xludf.DUMMYFUNCTION("""COMPUTED_VALUE"""),"Live")</f>
        <v>Live</v>
      </c>
      <c r="H392" s="5"/>
      <c r="I392" s="5"/>
      <c r="J392" s="5" t="str">
        <f>IFERROR(__xludf.DUMMYFUNCTION("""COMPUTED_VALUE"""),"JSON")</f>
        <v>JSON</v>
      </c>
      <c r="K392" s="5" t="str">
        <f>IFERROR(__xludf.DUMMYFUNCTION("""COMPUTED_VALUE"""),"Slot")</f>
        <v>Slot</v>
      </c>
      <c r="L392" s="5" t="str">
        <f>IFERROR(__xludf.DUMMYFUNCTION("""COMPUTED_VALUE""")," Clone")</f>
        <v> Clone</v>
      </c>
      <c r="M392" s="5"/>
      <c r="N392" s="5"/>
      <c r="O392" s="5"/>
      <c r="P392" s="12">
        <f>IFERROR(__xludf.DUMMYFUNCTION("""COMPUTED_VALUE"""),6.3)</f>
        <v>6.3</v>
      </c>
      <c r="Q392" s="13">
        <f>IFERROR(__xludf.DUMMYFUNCTION("""COMPUTED_VALUE"""),45617.0)</f>
        <v>45617</v>
      </c>
      <c r="R392" s="14"/>
      <c r="S392" s="13">
        <f>IFERROR(__xludf.DUMMYFUNCTION("""COMPUTED_VALUE"""),45617.0)</f>
        <v>45617</v>
      </c>
      <c r="T392" s="5" t="b">
        <f>IFERROR(__xludf.DUMMYFUNCTION("""COMPUTED_VALUE"""),TRUE)</f>
        <v>1</v>
      </c>
      <c r="U392" s="5" t="str">
        <f>IFERROR(__xludf.DUMMYFUNCTION("""COMPUTED_VALUE"""),"3x3")</f>
        <v>3x3</v>
      </c>
      <c r="V392" s="5">
        <f>IFERROR(__xludf.DUMMYFUNCTION("""COMPUTED_VALUE"""),27.0)</f>
        <v>27</v>
      </c>
      <c r="W392" s="5">
        <f>IFERROR(__xludf.DUMMYFUNCTION("""COMPUTED_VALUE"""),27.0)</f>
        <v>27</v>
      </c>
      <c r="X392" s="11">
        <f>IFERROR(__xludf.DUMMYFUNCTION("""COMPUTED_VALUE"""),96.24)</f>
        <v>96.24</v>
      </c>
      <c r="Y392" s="5" t="str">
        <f>IFERROR(__xludf.DUMMYFUNCTION("""COMPUTED_VALUE"""),"Low")</f>
        <v>Low</v>
      </c>
      <c r="Z392" s="5">
        <f>IFERROR(__xludf.DUMMYFUNCTION("""COMPUTED_VALUE"""),6.58)</f>
        <v>6.58</v>
      </c>
      <c r="AA392" s="5">
        <f>IFERROR(__xludf.DUMMYFUNCTION("""COMPUTED_VALUE"""),108.0)</f>
        <v>108</v>
      </c>
      <c r="AB392" s="5"/>
      <c r="AC392" s="5" t="str">
        <f>IFERROR(__xludf.DUMMYFUNCTION("""COMPUTED_VALUE"""),"Win Multiplier")</f>
        <v>Win Multiplier</v>
      </c>
      <c r="AD392" s="5" t="str">
        <f>IFERROR(__xludf.DUMMYFUNCTION("""COMPUTED_VALUE"""),"0.01/50")</f>
        <v>0.01/50</v>
      </c>
      <c r="AE392" s="5"/>
      <c r="AF392" s="5"/>
      <c r="AG392" s="8">
        <f>IFERROR(__xludf.DUMMYFUNCTION("""COMPUTED_VALUE"""),46220.500625)</f>
        <v>46220.50063</v>
      </c>
      <c r="AH392" s="5" t="str">
        <f>IFERROR(__xludf.DUMMYFUNCTION("""COMPUTED_VALUE"""),"selena.mihajlovic@fazi.rs")</f>
        <v>selena.mihajlovic@fazi.rs</v>
      </c>
      <c r="AI392" s="5"/>
      <c r="AJ392" s="5"/>
      <c r="AK392" s="5">
        <f>IFERROR(__xludf.DUMMYFUNCTION("""COMPUTED_VALUE"""),1.0)</f>
        <v>1</v>
      </c>
      <c r="AL392" s="5" t="str">
        <f>IFERROR(__xludf.DUMMYFUNCTION("""COMPUTED_VALUE"""),"No")</f>
        <v>No</v>
      </c>
      <c r="AM392" s="5" t="str">
        <f>IFERROR(__xludf.DUMMYFUNCTION("""COMPUTED_VALUE"""),"No")</f>
        <v>No</v>
      </c>
      <c r="AN392" s="7" t="str">
        <f>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AO392" s="5" t="str">
        <f>IFERROR(__xludf.DUMMYFUNCTION("""COMPUTED_VALUE"""),"No")</f>
        <v>No</v>
      </c>
      <c r="AP392" s="5" t="str">
        <f>IFERROR(__xludf.DUMMYFUNCTION("""COMPUTED_VALUE"""),"No")</f>
        <v>No</v>
      </c>
      <c r="AQ392" s="5" t="b">
        <f>IFERROR(__xludf.DUMMYFUNCTION("""COMPUTED_VALUE"""),TRUE)</f>
        <v>1</v>
      </c>
      <c r="AR392" s="5"/>
      <c r="AS392" s="5" t="str">
        <f>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AT392" s="5"/>
      <c r="AU392" s="5" t="str">
        <f>IFERROR(__xludf.DUMMYFUNCTION("""COMPUTED_VALUE"""),"Fazi")</f>
        <v>Fazi</v>
      </c>
      <c r="AV392" s="5"/>
      <c r="AW392" s="5"/>
      <c r="AX392" s="5"/>
      <c r="AY392" s="5"/>
      <c r="AZ392" s="5"/>
      <c r="BA392" s="5"/>
      <c r="BB392" s="5" t="b">
        <f>IFERROR(__xludf.DUMMYFUNCTION("""COMPUTED_VALUE"""),TRUE)</f>
        <v>1</v>
      </c>
      <c r="BC392" s="5" t="str">
        <f>IFERROR(__xludf.DUMMYFUNCTION("""COMPUTED_VALUE"""),"Playnet")</f>
        <v>Playnet</v>
      </c>
      <c r="BD392" s="7" t="str">
        <f>IFERROR(__xludf.DUMMYFUNCTION("""COMPUTED_VALUE"""),"https://gameserver-store-client-area.orbionlimited.com/Home/IntegrationGameLaunch/client-area?moneyType=0&amp;gameName=PlayNet27WildStacksXmas&amp;platform=desktop&amp;languageCode=eng&amp;currency=EUR")</f>
        <v>https://gameserver-store-client-area.orbionlimited.com/Home/IntegrationGameLaunch/client-area?moneyType=0&amp;gameName=PlayNet27WildStacksXmas&amp;platform=desktop&amp;languageCode=eng&amp;currency=EUR</v>
      </c>
      <c r="BE392" s="5" t="b">
        <f>IFERROR(__xludf.DUMMYFUNCTION("""COMPUTED_VALUE"""),TRUE)</f>
        <v>1</v>
      </c>
    </row>
    <row r="393">
      <c r="A393" s="5">
        <f>IFERROR(__xludf.DUMMYFUNCTION("""COMPUTED_VALUE"""),402.0)</f>
        <v>402</v>
      </c>
      <c r="B393" s="5">
        <f>IFERROR(__xludf.DUMMYFUNCTION("""COMPUTED_VALUE"""),380.0)</f>
        <v>380</v>
      </c>
      <c r="C393" s="5" t="str">
        <f>IFERROR(__xludf.DUMMYFUNCTION("""COMPUTED_VALUE"""),"Playnet")</f>
        <v>Playnet</v>
      </c>
      <c r="D393" s="5" t="str">
        <f>IFERROR(__xludf.DUMMYFUNCTION("""COMPUTED_VALUE"""),"Majestic Crown 20 Xmas")</f>
        <v>Majestic Crown 20 Xmas</v>
      </c>
      <c r="E393" s="5" t="str">
        <f>IFERROR(__xludf.DUMMYFUNCTION("""COMPUTED_VALUE"""),"V4-2")</f>
        <v>V4-2</v>
      </c>
      <c r="F393" s="5" t="str">
        <f>IFERROR(__xludf.DUMMYFUNCTION("""COMPUTED_VALUE"""),"PlayNetMajesticCrown20Xmas")</f>
        <v>PlayNetMajesticCrown20Xmas</v>
      </c>
      <c r="G393" s="5" t="str">
        <f>IFERROR(__xludf.DUMMYFUNCTION("""COMPUTED_VALUE"""),"Live")</f>
        <v>Live</v>
      </c>
      <c r="H393" s="5"/>
      <c r="I393" s="5"/>
      <c r="J393" s="5" t="str">
        <f>IFERROR(__xludf.DUMMYFUNCTION("""COMPUTED_VALUE"""),"JSON")</f>
        <v>JSON</v>
      </c>
      <c r="K393" s="5" t="str">
        <f>IFERROR(__xludf.DUMMYFUNCTION("""COMPUTED_VALUE"""),"Slot")</f>
        <v>Slot</v>
      </c>
      <c r="L393" s="5" t="str">
        <f>IFERROR(__xludf.DUMMYFUNCTION("""COMPUTED_VALUE""")," Clone")</f>
        <v> Clone</v>
      </c>
      <c r="M393" s="5"/>
      <c r="N393" s="5"/>
      <c r="O393" s="5"/>
      <c r="P393" s="12">
        <f>IFERROR(__xludf.DUMMYFUNCTION("""COMPUTED_VALUE"""),7.5)</f>
        <v>7.5</v>
      </c>
      <c r="Q393" s="13">
        <f>IFERROR(__xludf.DUMMYFUNCTION("""COMPUTED_VALUE"""),45629.0)</f>
        <v>45629</v>
      </c>
      <c r="R393" s="14"/>
      <c r="S393" s="13">
        <f>IFERROR(__xludf.DUMMYFUNCTION("""COMPUTED_VALUE"""),45629.0)</f>
        <v>45629</v>
      </c>
      <c r="T393" s="5" t="b">
        <f>IFERROR(__xludf.DUMMYFUNCTION("""COMPUTED_VALUE"""),TRUE)</f>
        <v>1</v>
      </c>
      <c r="U393" s="5" t="str">
        <f>IFERROR(__xludf.DUMMYFUNCTION("""COMPUTED_VALUE"""),"5x3")</f>
        <v>5x3</v>
      </c>
      <c r="V393" s="5">
        <f>IFERROR(__xludf.DUMMYFUNCTION("""COMPUTED_VALUE"""),20.0)</f>
        <v>20</v>
      </c>
      <c r="W393" s="5">
        <f>IFERROR(__xludf.DUMMYFUNCTION("""COMPUTED_VALUE"""),20.0)</f>
        <v>20</v>
      </c>
      <c r="X393" s="11">
        <f>IFERROR(__xludf.DUMMYFUNCTION("""COMPUTED_VALUE"""),96.5)</f>
        <v>96.5</v>
      </c>
      <c r="Y393" s="5" t="str">
        <f>IFERROR(__xludf.DUMMYFUNCTION("""COMPUTED_VALUE"""),"Medium")</f>
        <v>Medium</v>
      </c>
      <c r="Z393" s="5">
        <f>IFERROR(__xludf.DUMMYFUNCTION("""COMPUTED_VALUE"""),21.75)</f>
        <v>21.75</v>
      </c>
      <c r="AA393" s="5">
        <f>IFERROR(__xludf.DUMMYFUNCTION("""COMPUTED_VALUE"""),1200.0)</f>
        <v>1200</v>
      </c>
      <c r="AB393" s="5"/>
      <c r="AC393" s="5" t="str">
        <f>IFERROR(__xludf.DUMMYFUNCTION("""COMPUTED_VALUE"""),"Expanding Wild, Scatter")</f>
        <v>Expanding Wild, Scatter</v>
      </c>
      <c r="AD393" s="5" t="str">
        <f>IFERROR(__xludf.DUMMYFUNCTION("""COMPUTED_VALUE"""),"0.20/100")</f>
        <v>0.20/100</v>
      </c>
      <c r="AE393" s="5"/>
      <c r="AF393" s="5"/>
      <c r="AG393" s="8">
        <f>IFERROR(__xludf.DUMMYFUNCTION("""COMPUTED_VALUE"""),46220.500763888886)</f>
        <v>46220.50076</v>
      </c>
      <c r="AH393" s="5" t="str">
        <f>IFERROR(__xludf.DUMMYFUNCTION("""COMPUTED_VALUE"""),"selena.mihajlovic@fazi.rs")</f>
        <v>selena.mihajlovic@fazi.rs</v>
      </c>
      <c r="AI393" s="5"/>
      <c r="AJ393" s="5"/>
      <c r="AK393" s="5">
        <f>IFERROR(__xludf.DUMMYFUNCTION("""COMPUTED_VALUE"""),20.0)</f>
        <v>20</v>
      </c>
      <c r="AL393" s="5" t="str">
        <f>IFERROR(__xludf.DUMMYFUNCTION("""COMPUTED_VALUE"""),"No")</f>
        <v>No</v>
      </c>
      <c r="AM393" s="5" t="str">
        <f>IFERROR(__xludf.DUMMYFUNCTION("""COMPUTED_VALUE"""),"No")</f>
        <v>No</v>
      </c>
      <c r="AN393" s="7" t="str">
        <f>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AO393" s="5" t="str">
        <f>IFERROR(__xludf.DUMMYFUNCTION("""COMPUTED_VALUE"""),"No")</f>
        <v>No</v>
      </c>
      <c r="AP393" s="5" t="str">
        <f>IFERROR(__xludf.DUMMYFUNCTION("""COMPUTED_VALUE"""),"No")</f>
        <v>No</v>
      </c>
      <c r="AQ393" s="5" t="b">
        <f>IFERROR(__xludf.DUMMYFUNCTION("""COMPUTED_VALUE"""),TRUE)</f>
        <v>1</v>
      </c>
      <c r="AR393" s="5"/>
      <c r="AS393" s="5" t="str">
        <f>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AT393" s="5"/>
      <c r="AU393" s="5" t="str">
        <f>IFERROR(__xludf.DUMMYFUNCTION("""COMPUTED_VALUE"""),"Fazi")</f>
        <v>Fazi</v>
      </c>
      <c r="AV393" s="5"/>
      <c r="AW393" s="5"/>
      <c r="AX393" s="5"/>
      <c r="AY393" s="5"/>
      <c r="AZ393" s="5"/>
      <c r="BA393" s="5"/>
      <c r="BB393" s="5" t="b">
        <f>IFERROR(__xludf.DUMMYFUNCTION("""COMPUTED_VALUE"""),TRUE)</f>
        <v>1</v>
      </c>
      <c r="BC393" s="5" t="str">
        <f>IFERROR(__xludf.DUMMYFUNCTION("""COMPUTED_VALUE"""),"Playnet")</f>
        <v>Playnet</v>
      </c>
      <c r="BD393" s="7" t="str">
        <f>IFERROR(__xludf.DUMMYFUNCTION("""COMPUTED_VALUE"""),"https://gameserver-store-client-area.orbionlimited.com/Home/IntegrationGameLaunch/client-area?moneyType=0&amp;gameName=PlayNetMajesticCrown20Xmas&amp;platform=desktop&amp;languageCode=eng&amp;currency=EUR")</f>
        <v>https://gameserver-store-client-area.orbionlimited.com/Home/IntegrationGameLaunch/client-area?moneyType=0&amp;gameName=PlayNetMajesticCrown20Xmas&amp;platform=desktop&amp;languageCode=eng&amp;currency=EUR</v>
      </c>
      <c r="BE393" s="5" t="b">
        <f>IFERROR(__xludf.DUMMYFUNCTION("""COMPUTED_VALUE"""),TRUE)</f>
        <v>1</v>
      </c>
    </row>
    <row r="394">
      <c r="A394" s="5">
        <f>IFERROR(__xludf.DUMMYFUNCTION("""COMPUTED_VALUE"""),403.0)</f>
        <v>403</v>
      </c>
      <c r="B394" s="5">
        <f>IFERROR(__xludf.DUMMYFUNCTION("""COMPUTED_VALUE"""),381.0)</f>
        <v>381</v>
      </c>
      <c r="C394" s="5" t="str">
        <f>IFERROR(__xludf.DUMMYFUNCTION("""COMPUTED_VALUE"""),"Playnet")</f>
        <v>Playnet</v>
      </c>
      <c r="D394" s="5" t="str">
        <f>IFERROR(__xludf.DUMMYFUNCTION("""COMPUTED_VALUE"""),"Wild Forties Xmas")</f>
        <v>Wild Forties Xmas</v>
      </c>
      <c r="E394" s="5" t="str">
        <f>IFERROR(__xludf.DUMMYFUNCTION("""COMPUTED_VALUE"""),"V4-2")</f>
        <v>V4-2</v>
      </c>
      <c r="F394" s="5" t="str">
        <f>IFERROR(__xludf.DUMMYFUNCTION("""COMPUTED_VALUE"""),"PlayNetWildFortiesXmas")</f>
        <v>PlayNetWildFortiesXmas</v>
      </c>
      <c r="G394" s="5" t="str">
        <f>IFERROR(__xludf.DUMMYFUNCTION("""COMPUTED_VALUE"""),"Live")</f>
        <v>Live</v>
      </c>
      <c r="H394" s="5"/>
      <c r="I394" s="5"/>
      <c r="J394" s="5" t="str">
        <f>IFERROR(__xludf.DUMMYFUNCTION("""COMPUTED_VALUE"""),"JSON")</f>
        <v>JSON</v>
      </c>
      <c r="K394" s="5" t="str">
        <f>IFERROR(__xludf.DUMMYFUNCTION("""COMPUTED_VALUE"""),"Slot")</f>
        <v>Slot</v>
      </c>
      <c r="L394" s="5" t="str">
        <f>IFERROR(__xludf.DUMMYFUNCTION("""COMPUTED_VALUE""")," Clone")</f>
        <v> Clone</v>
      </c>
      <c r="M394" s="5"/>
      <c r="N394" s="5"/>
      <c r="O394" s="5"/>
      <c r="P394" s="12">
        <f>IFERROR(__xludf.DUMMYFUNCTION("""COMPUTED_VALUE"""),6.8)</f>
        <v>6.8</v>
      </c>
      <c r="Q394" s="14">
        <f>IFERROR(__xludf.DUMMYFUNCTION("""COMPUTED_VALUE"""),45635.0)</f>
        <v>45635</v>
      </c>
      <c r="R394" s="14">
        <f>IFERROR(__xludf.DUMMYFUNCTION("""COMPUTED_VALUE"""),45638.0)</f>
        <v>45638</v>
      </c>
      <c r="S394" s="13">
        <f>IFERROR(__xludf.DUMMYFUNCTION("""COMPUTED_VALUE"""),45645.0)</f>
        <v>45645</v>
      </c>
      <c r="T394" s="5" t="b">
        <f>IFERROR(__xludf.DUMMYFUNCTION("""COMPUTED_VALUE"""),TRUE)</f>
        <v>1</v>
      </c>
      <c r="U394" s="5" t="str">
        <f>IFERROR(__xludf.DUMMYFUNCTION("""COMPUTED_VALUE"""),"5x4")</f>
        <v>5x4</v>
      </c>
      <c r="V394" s="5">
        <f>IFERROR(__xludf.DUMMYFUNCTION("""COMPUTED_VALUE"""),40.0)</f>
        <v>40</v>
      </c>
      <c r="W394" s="5">
        <f>IFERROR(__xludf.DUMMYFUNCTION("""COMPUTED_VALUE"""),40.0)</f>
        <v>40</v>
      </c>
      <c r="X394" s="11">
        <f>IFERROR(__xludf.DUMMYFUNCTION("""COMPUTED_VALUE"""),96.382)</f>
        <v>96.382</v>
      </c>
      <c r="Y394" s="5" t="str">
        <f>IFERROR(__xludf.DUMMYFUNCTION("""COMPUTED_VALUE"""),"Medium")</f>
        <v>Medium</v>
      </c>
      <c r="Z394" s="5">
        <f>IFERROR(__xludf.DUMMYFUNCTION("""COMPUTED_VALUE"""),14.89)</f>
        <v>14.89</v>
      </c>
      <c r="AA394" s="5">
        <f>IFERROR(__xludf.DUMMYFUNCTION("""COMPUTED_VALUE"""),1000.0)</f>
        <v>1000</v>
      </c>
      <c r="AB394" s="5"/>
      <c r="AC394" s="5" t="str">
        <f>IFERROR(__xludf.DUMMYFUNCTION("""COMPUTED_VALUE"""),"Wild Symbol, Scatter")</f>
        <v>Wild Symbol, Scatter</v>
      </c>
      <c r="AD394" s="5" t="str">
        <f>IFERROR(__xludf.DUMMYFUNCTION("""COMPUTED_VALUE"""),"0.4/40")</f>
        <v>0.4/40</v>
      </c>
      <c r="AE394" s="5"/>
      <c r="AF394" s="5"/>
      <c r="AG394" s="8">
        <f>IFERROR(__xludf.DUMMYFUNCTION("""COMPUTED_VALUE"""),46220.500914351855)</f>
        <v>46220.50091</v>
      </c>
      <c r="AH394" s="5" t="str">
        <f>IFERROR(__xludf.DUMMYFUNCTION("""COMPUTED_VALUE"""),"selena.mihajlovic@fazi.rs")</f>
        <v>selena.mihajlovic@fazi.rs</v>
      </c>
      <c r="AI394" s="5"/>
      <c r="AJ394" s="5"/>
      <c r="AK394" s="5">
        <f>IFERROR(__xludf.DUMMYFUNCTION("""COMPUTED_VALUE"""),40.0)</f>
        <v>40</v>
      </c>
      <c r="AL394" s="5" t="str">
        <f>IFERROR(__xludf.DUMMYFUNCTION("""COMPUTED_VALUE"""),"No")</f>
        <v>No</v>
      </c>
      <c r="AM394" s="5" t="str">
        <f>IFERROR(__xludf.DUMMYFUNCTION("""COMPUTED_VALUE"""),"No")</f>
        <v>No</v>
      </c>
      <c r="AN394" s="7" t="str">
        <f>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AO394" s="5" t="str">
        <f>IFERROR(__xludf.DUMMYFUNCTION("""COMPUTED_VALUE"""),"No")</f>
        <v>No</v>
      </c>
      <c r="AP394" s="5" t="str">
        <f>IFERROR(__xludf.DUMMYFUNCTION("""COMPUTED_VALUE"""),"No")</f>
        <v>No</v>
      </c>
      <c r="AQ394" s="5" t="b">
        <f>IFERROR(__xludf.DUMMYFUNCTION("""COMPUTED_VALUE"""),TRUE)</f>
        <v>1</v>
      </c>
      <c r="AR394" s="5"/>
      <c r="AS394" s="5" t="str">
        <f>IFERROR(__xludf.DUMMYFUNCTION("""COMPUTED_VALUE"""),"Spin the reels and unwrap timeless fun, where every spin brings you closer to festive surprises and juicy rewards!")</f>
        <v>Spin the reels and unwrap timeless fun, where every spin brings you closer to festive surprises and juicy rewards!</v>
      </c>
      <c r="AT394" s="5"/>
      <c r="AU394" s="5" t="str">
        <f>IFERROR(__xludf.DUMMYFUNCTION("""COMPUTED_VALUE"""),"Fazi")</f>
        <v>Fazi</v>
      </c>
      <c r="AV394" s="5"/>
      <c r="AW394" s="5"/>
      <c r="AX394" s="5"/>
      <c r="AY394" s="5"/>
      <c r="AZ394" s="5"/>
      <c r="BA394" s="5"/>
      <c r="BB394" s="5" t="b">
        <f>IFERROR(__xludf.DUMMYFUNCTION("""COMPUTED_VALUE"""),TRUE)</f>
        <v>1</v>
      </c>
      <c r="BC394" s="5" t="str">
        <f>IFERROR(__xludf.DUMMYFUNCTION("""COMPUTED_VALUE"""),"Playnet")</f>
        <v>Playnet</v>
      </c>
      <c r="BD394" s="7" t="str">
        <f>IFERROR(__xludf.DUMMYFUNCTION("""COMPUTED_VALUE"""),"https://gameserver-store-client-area.orbionlimited.com/Home/IntegrationGameLaunch/client-area?moneyType=0&amp;gameName=PlayNetWildFortiesXmas&amp;platform=desktop&amp;languageCode=eng&amp;currency=EUR")</f>
        <v>https://gameserver-store-client-area.orbionlimited.com/Home/IntegrationGameLaunch/client-area?moneyType=0&amp;gameName=PlayNetWildFortiesXmas&amp;platform=desktop&amp;languageCode=eng&amp;currency=EUR</v>
      </c>
      <c r="BE394" s="5" t="b">
        <f>IFERROR(__xludf.DUMMYFUNCTION("""COMPUTED_VALUE"""),TRUE)</f>
        <v>1</v>
      </c>
    </row>
    <row r="395">
      <c r="A395" s="5">
        <f>IFERROR(__xludf.DUMMYFUNCTION("""COMPUTED_VALUE"""),404.0)</f>
        <v>404</v>
      </c>
      <c r="B395" s="5">
        <f>IFERROR(__xludf.DUMMYFUNCTION("""COMPUTED_VALUE"""),382.0)</f>
        <v>382</v>
      </c>
      <c r="C395" s="5" t="str">
        <f>IFERROR(__xludf.DUMMYFUNCTION("""COMPUTED_VALUE"""),"Redstone")</f>
        <v>Redstone</v>
      </c>
      <c r="D395" s="5" t="str">
        <f>IFERROR(__xludf.DUMMYFUNCTION("""COMPUTED_VALUE"""),"Juicy Heat 20")</f>
        <v>Juicy Heat 20</v>
      </c>
      <c r="E395" s="5" t="str">
        <f>IFERROR(__xludf.DUMMYFUNCTION("""COMPUTED_VALUE"""),"Redstone")</f>
        <v>Redstone</v>
      </c>
      <c r="F395" s="5" t="str">
        <f>IFERROR(__xludf.DUMMYFUNCTION("""COMPUTED_VALUE"""),"RedstoneJuicyHeat20")</f>
        <v>RedstoneJuicyHeat20</v>
      </c>
      <c r="G395" s="5" t="str">
        <f>IFERROR(__xludf.DUMMYFUNCTION("""COMPUTED_VALUE"""),"Live")</f>
        <v>Live</v>
      </c>
      <c r="H395" s="5"/>
      <c r="I395" s="5" t="str">
        <f>IFERROR(__xludf.DUMMYFUNCTION("""COMPUTED_VALUE"""),"Redstone")</f>
        <v>Redstone</v>
      </c>
      <c r="J395" s="5" t="str">
        <f>IFERROR(__xludf.DUMMYFUNCTION("""COMPUTED_VALUE"""),"JSON")</f>
        <v>JSON</v>
      </c>
      <c r="K395" s="5" t="str">
        <f>IFERROR(__xludf.DUMMYFUNCTION("""COMPUTED_VALUE"""),"Slot")</f>
        <v>Slot</v>
      </c>
      <c r="L395" s="5" t="str">
        <f>IFERROR(__xludf.DUMMYFUNCTION("""COMPUTED_VALUE"""),"Master")</f>
        <v>Master</v>
      </c>
      <c r="M395" s="5"/>
      <c r="N395" s="7" t="str">
        <f>IFERROR(__xludf.DUMMYFUNCTION("""COMPUTED_VALUE"""),"https://docs.google.com/document/d/1Qo2KjaT3kEptoNDLQOy3QuX7PJwEt22J/edit?usp=drive_link&amp;ouid=107596163405648766688&amp;rtpof=true&amp;sd=true")</f>
        <v>https://docs.google.com/document/d/1Qo2KjaT3kEptoNDLQOy3QuX7PJwEt22J/edit?usp=drive_link&amp;ouid=107596163405648766688&amp;rtpof=true&amp;sd=true</v>
      </c>
      <c r="O395" s="7" t="str">
        <f>IFERROR(__xludf.DUMMYFUNCTION("""COMPUTED_VALUE"""),"https://docs.google.com/document/d/1213J-9PEpD_CkhkZdtihAaAaWjKDzVPT/edit?usp=drive_link&amp;ouid=107596163405648766688&amp;rtpof=true&amp;sd=true")</f>
        <v>https://docs.google.com/document/d/1213J-9PEpD_CkhkZdtihAaAaWjKDzVPT/edit?usp=drive_link&amp;ouid=107596163405648766688&amp;rtpof=true&amp;sd=true</v>
      </c>
      <c r="P395" s="12">
        <f>IFERROR(__xludf.DUMMYFUNCTION("""COMPUTED_VALUE"""),7.2)</f>
        <v>7.2</v>
      </c>
      <c r="Q395" s="13">
        <f>IFERROR(__xludf.DUMMYFUNCTION("""COMPUTED_VALUE"""),45628.0)</f>
        <v>45628</v>
      </c>
      <c r="R395" s="14"/>
      <c r="S395" s="13">
        <f>IFERROR(__xludf.DUMMYFUNCTION("""COMPUTED_VALUE"""),45628.0)</f>
        <v>45628</v>
      </c>
      <c r="T395" s="5" t="b">
        <f>IFERROR(__xludf.DUMMYFUNCTION("""COMPUTED_VALUE"""),TRUE)</f>
        <v>1</v>
      </c>
      <c r="U395" s="5" t="str">
        <f>IFERROR(__xludf.DUMMYFUNCTION("""COMPUTED_VALUE"""),"5x3")</f>
        <v>5x3</v>
      </c>
      <c r="V395" s="5">
        <f>IFERROR(__xludf.DUMMYFUNCTION("""COMPUTED_VALUE"""),20.0)</f>
        <v>20</v>
      </c>
      <c r="W395" s="5">
        <f>IFERROR(__xludf.DUMMYFUNCTION("""COMPUTED_VALUE"""),20.0)</f>
        <v>20</v>
      </c>
      <c r="X395" s="11">
        <f>IFERROR(__xludf.DUMMYFUNCTION("""COMPUTED_VALUE"""),96.48)</f>
        <v>96.48</v>
      </c>
      <c r="Y395" s="5" t="str">
        <f>IFERROR(__xludf.DUMMYFUNCTION("""COMPUTED_VALUE"""),"High")</f>
        <v>High</v>
      </c>
      <c r="Z395" s="5">
        <f>IFERROR(__xludf.DUMMYFUNCTION("""COMPUTED_VALUE"""),7.13)</f>
        <v>7.13</v>
      </c>
      <c r="AA395" s="5">
        <f>IFERROR(__xludf.DUMMYFUNCTION("""COMPUTED_VALUE"""),1500.0)</f>
        <v>1500</v>
      </c>
      <c r="AB395" s="5"/>
      <c r="AC395" s="5" t="str">
        <f>IFERROR(__xludf.DUMMYFUNCTION("""COMPUTED_VALUE"""),"Win Multiplier")</f>
        <v>Win Multiplier</v>
      </c>
      <c r="AD395" s="5" t="str">
        <f>IFERROR(__xludf.DUMMYFUNCTION("""COMPUTED_VALUE"""),"0.20/50")</f>
        <v>0.20/50</v>
      </c>
      <c r="AE395" s="5"/>
      <c r="AF395" s="5"/>
      <c r="AG395" s="8">
        <f>IFERROR(__xludf.DUMMYFUNCTION("""COMPUTED_VALUE"""),46157.49108796296)</f>
        <v>46157.49109</v>
      </c>
      <c r="AH395" s="5"/>
      <c r="AI395" s="5"/>
      <c r="AJ395" s="5"/>
      <c r="AK395" s="5">
        <f>IFERROR(__xludf.DUMMYFUNCTION("""COMPUTED_VALUE"""),1.0)</f>
        <v>1</v>
      </c>
      <c r="AL395" s="5" t="str">
        <f>IFERROR(__xludf.DUMMYFUNCTION("""COMPUTED_VALUE"""),"No")</f>
        <v>No</v>
      </c>
      <c r="AM395" s="5" t="str">
        <f>IFERROR(__xludf.DUMMYFUNCTION("""COMPUTED_VALUE"""),"No")</f>
        <v>No</v>
      </c>
      <c r="AN395" s="7" t="str">
        <f>IFERROR(__xludf.DUMMYFUNCTION("""COMPUTED_VALUE"""),"https://static.redstone.rs/games/juicy-heat-20/")</f>
        <v>https://static.redstone.rs/games/juicy-heat-20/</v>
      </c>
      <c r="AO395" s="5" t="str">
        <f>IFERROR(__xludf.DUMMYFUNCTION("""COMPUTED_VALUE"""),"No")</f>
        <v>No</v>
      </c>
      <c r="AP395" s="5" t="str">
        <f>IFERROR(__xludf.DUMMYFUNCTION("""COMPUTED_VALUE"""),"No")</f>
        <v>No</v>
      </c>
      <c r="AQ395" s="5" t="b">
        <f>IFERROR(__xludf.DUMMYFUNCTION("""COMPUTED_VALUE"""),TRUE)</f>
        <v>1</v>
      </c>
      <c r="AR395" s="5"/>
      <c r="AS395" s="5" t="str">
        <f>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AT395" s="5"/>
      <c r="AU395" s="5" t="str">
        <f>IFERROR(__xludf.DUMMYFUNCTION("""COMPUTED_VALUE"""),"Redstone")</f>
        <v>Redstone</v>
      </c>
      <c r="AV395" s="5"/>
      <c r="AW395" s="5"/>
      <c r="AX395" s="5"/>
      <c r="AY395" s="5"/>
      <c r="AZ395" s="5"/>
      <c r="BA395" s="5"/>
      <c r="BB395" s="5" t="b">
        <f>IFERROR(__xludf.DUMMYFUNCTION("""COMPUTED_VALUE"""),TRUE)</f>
        <v>1</v>
      </c>
      <c r="BC395" s="5" t="str">
        <f>IFERROR(__xludf.DUMMYFUNCTION("""COMPUTED_VALUE"""),"Redstone")</f>
        <v>Redstone</v>
      </c>
      <c r="BD395" s="7" t="str">
        <f>IFERROR(__xludf.DUMMYFUNCTION("""COMPUTED_VALUE"""),"https://static.redstone.rs/games/juicy-heat-20/")</f>
        <v>https://static.redstone.rs/games/juicy-heat-20/</v>
      </c>
      <c r="BE395" s="5" t="b">
        <f>IFERROR(__xludf.DUMMYFUNCTION("""COMPUTED_VALUE"""),TRUE)</f>
        <v>1</v>
      </c>
    </row>
    <row r="396">
      <c r="A396" s="5">
        <f>IFERROR(__xludf.DUMMYFUNCTION("""COMPUTED_VALUE"""),405.0)</f>
        <v>405</v>
      </c>
      <c r="B396" s="5">
        <f>IFERROR(__xludf.DUMMYFUNCTION("""COMPUTED_VALUE"""),383.0)</f>
        <v>383</v>
      </c>
      <c r="C396" s="5" t="str">
        <f>IFERROR(__xludf.DUMMYFUNCTION("""COMPUTED_VALUE"""),"Redstone")</f>
        <v>Redstone</v>
      </c>
      <c r="D396" s="5" t="str">
        <f>IFERROR(__xludf.DUMMYFUNCTION("""COMPUTED_VALUE"""),"Christmas Delight")</f>
        <v>Christmas Delight</v>
      </c>
      <c r="E396" s="5" t="str">
        <f>IFERROR(__xludf.DUMMYFUNCTION("""COMPUTED_VALUE"""),"Redstone")</f>
        <v>Redstone</v>
      </c>
      <c r="F396" s="5" t="str">
        <f>IFERROR(__xludf.DUMMYFUNCTION("""COMPUTED_VALUE"""),"RedstoneChristmasDelight")</f>
        <v>RedstoneChristmasDelight</v>
      </c>
      <c r="G396" s="5" t="str">
        <f>IFERROR(__xludf.DUMMYFUNCTION("""COMPUTED_VALUE"""),"Live")</f>
        <v>Live</v>
      </c>
      <c r="H396" s="5"/>
      <c r="I396" s="5" t="str">
        <f>IFERROR(__xludf.DUMMYFUNCTION("""COMPUTED_VALUE"""),"Redstone")</f>
        <v>Redstone</v>
      </c>
      <c r="J396" s="5" t="str">
        <f>IFERROR(__xludf.DUMMYFUNCTION("""COMPUTED_VALUE"""),"JSON")</f>
        <v>JSON</v>
      </c>
      <c r="K396" s="5" t="str">
        <f>IFERROR(__xludf.DUMMYFUNCTION("""COMPUTED_VALUE"""),"Slot")</f>
        <v>Slot</v>
      </c>
      <c r="L396" s="5" t="str">
        <f>IFERROR(__xludf.DUMMYFUNCTION("""COMPUTED_VALUE""")," Clone")</f>
        <v> Clone</v>
      </c>
      <c r="M396" s="5" t="str">
        <f>IFERROR(__xludf.DUMMYFUNCTION("""COMPUTED_VALUE"""),"Chilli Double")</f>
        <v>Chilli Double</v>
      </c>
      <c r="N396" s="7" t="str">
        <f>IFERROR(__xludf.DUMMYFUNCTION("""COMPUTED_VALUE"""),"https://drive.google.com/file/d/1JLmg9yqgKR9pWUI2pPankCp5JO38HPMl/view?usp=drive_link")</f>
        <v>https://drive.google.com/file/d/1JLmg9yqgKR9pWUI2pPankCp5JO38HPMl/view?usp=drive_link</v>
      </c>
      <c r="O396" s="7" t="str">
        <f>IFERROR(__xludf.DUMMYFUNCTION("""COMPUTED_VALUE"""),"https://drive.google.com/file/d/1kLHUR8NNfLffwEHlNKvQ6N7hvCPspAYY/view?usp=drive_link")</f>
        <v>https://drive.google.com/file/d/1kLHUR8NNfLffwEHlNKvQ6N7hvCPspAYY/view?usp=drive_link</v>
      </c>
      <c r="P396" s="12">
        <f>IFERROR(__xludf.DUMMYFUNCTION("""COMPUTED_VALUE"""),10.8)</f>
        <v>10.8</v>
      </c>
      <c r="Q396" s="14">
        <f>IFERROR(__xludf.DUMMYFUNCTION("""COMPUTED_VALUE"""),45635.0)</f>
        <v>45635</v>
      </c>
      <c r="R396" s="14">
        <f>IFERROR(__xludf.DUMMYFUNCTION("""COMPUTED_VALUE"""),45631.0)</f>
        <v>45631</v>
      </c>
      <c r="S396" s="13">
        <f>IFERROR(__xludf.DUMMYFUNCTION("""COMPUTED_VALUE"""),45638.0)</f>
        <v>45638</v>
      </c>
      <c r="T396" s="5" t="b">
        <f>IFERROR(__xludf.DUMMYFUNCTION("""COMPUTED_VALUE"""),TRUE)</f>
        <v>1</v>
      </c>
      <c r="U396" s="5" t="str">
        <f>IFERROR(__xludf.DUMMYFUNCTION("""COMPUTED_VALUE"""),"5x3")</f>
        <v>5x3</v>
      </c>
      <c r="V396" s="5">
        <f>IFERROR(__xludf.DUMMYFUNCTION("""COMPUTED_VALUE"""),5.0)</f>
        <v>5</v>
      </c>
      <c r="W396" s="5">
        <f>IFERROR(__xludf.DUMMYFUNCTION("""COMPUTED_VALUE"""),5.0)</f>
        <v>5</v>
      </c>
      <c r="X396" s="11">
        <f>IFERROR(__xludf.DUMMYFUNCTION("""COMPUTED_VALUE"""),96.45)</f>
        <v>96.45</v>
      </c>
      <c r="Y396" s="5" t="str">
        <f>IFERROR(__xludf.DUMMYFUNCTION("""COMPUTED_VALUE"""),"Medium")</f>
        <v>Medium</v>
      </c>
      <c r="Z396" s="5">
        <f>IFERROR(__xludf.DUMMYFUNCTION("""COMPUTED_VALUE"""),14.23)</f>
        <v>14.23</v>
      </c>
      <c r="AA396" s="5">
        <f>IFERROR(__xludf.DUMMYFUNCTION("""COMPUTED_VALUE"""),2624.0)</f>
        <v>2624</v>
      </c>
      <c r="AB396" s="5"/>
      <c r="AC396" s="5" t="str">
        <f>IFERROR(__xludf.DUMMYFUNCTION("""COMPUTED_VALUE"""),"Expanding Wild, Scatter")</f>
        <v>Expanding Wild, Scatter</v>
      </c>
      <c r="AD396" s="5" t="str">
        <f>IFERROR(__xludf.DUMMYFUNCTION("""COMPUTED_VALUE"""),"0.05/100")</f>
        <v>0.05/100</v>
      </c>
      <c r="AE396" s="5"/>
      <c r="AF396" s="5"/>
      <c r="AG396" s="8">
        <f>IFERROR(__xludf.DUMMYFUNCTION("""COMPUTED_VALUE"""),46157.491377314815)</f>
        <v>46157.49138</v>
      </c>
      <c r="AH396" s="5"/>
      <c r="AI396" s="5"/>
      <c r="AJ396" s="5"/>
      <c r="AK396" s="5">
        <f>IFERROR(__xludf.DUMMYFUNCTION("""COMPUTED_VALUE"""),1.0)</f>
        <v>1</v>
      </c>
      <c r="AL396" s="5" t="str">
        <f>IFERROR(__xludf.DUMMYFUNCTION("""COMPUTED_VALUE"""),"No")</f>
        <v>No</v>
      </c>
      <c r="AM396" s="5" t="str">
        <f>IFERROR(__xludf.DUMMYFUNCTION("""COMPUTED_VALUE"""),"No")</f>
        <v>No</v>
      </c>
      <c r="AN396" s="7" t="str">
        <f>IFERROR(__xludf.DUMMYFUNCTION("""COMPUTED_VALUE"""),"https://static.redstone.rs/games/christmas-delight/")</f>
        <v>https://static.redstone.rs/games/christmas-delight/</v>
      </c>
      <c r="AO396" s="5" t="str">
        <f>IFERROR(__xludf.DUMMYFUNCTION("""COMPUTED_VALUE"""),"No")</f>
        <v>No</v>
      </c>
      <c r="AP396" s="5" t="str">
        <f>IFERROR(__xludf.DUMMYFUNCTION("""COMPUTED_VALUE"""),"No")</f>
        <v>No</v>
      </c>
      <c r="AQ396" s="5" t="b">
        <f>IFERROR(__xludf.DUMMYFUNCTION("""COMPUTED_VALUE"""),TRUE)</f>
        <v>1</v>
      </c>
      <c r="AR396" s="5"/>
      <c r="AS396" s="5" t="str">
        <f>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AT396" s="5"/>
      <c r="AU396" s="5" t="str">
        <f>IFERROR(__xludf.DUMMYFUNCTION("""COMPUTED_VALUE"""),"Redstone")</f>
        <v>Redstone</v>
      </c>
      <c r="AV396" s="5"/>
      <c r="AW396" s="5"/>
      <c r="AX396" s="5"/>
      <c r="AY396" s="5"/>
      <c r="AZ396" s="5"/>
      <c r="BA396" s="5"/>
      <c r="BB396" s="5" t="b">
        <f>IFERROR(__xludf.DUMMYFUNCTION("""COMPUTED_VALUE"""),TRUE)</f>
        <v>1</v>
      </c>
      <c r="BC396" s="5" t="str">
        <f>IFERROR(__xludf.DUMMYFUNCTION("""COMPUTED_VALUE"""),"Redstone")</f>
        <v>Redstone</v>
      </c>
      <c r="BD396" s="7" t="str">
        <f>IFERROR(__xludf.DUMMYFUNCTION("""COMPUTED_VALUE"""),"https://static.redstone.rs/games/christmas-delight/")</f>
        <v>https://static.redstone.rs/games/christmas-delight/</v>
      </c>
      <c r="BE396" s="5" t="b">
        <f>IFERROR(__xludf.DUMMYFUNCTION("""COMPUTED_VALUE"""),TRUE)</f>
        <v>1</v>
      </c>
    </row>
    <row r="397">
      <c r="A397" s="5">
        <f>IFERROR(__xludf.DUMMYFUNCTION("""COMPUTED_VALUE"""),406.0)</f>
        <v>406</v>
      </c>
      <c r="B397" s="5">
        <f>IFERROR(__xludf.DUMMYFUNCTION("""COMPUTED_VALUE"""),384.0)</f>
        <v>384</v>
      </c>
      <c r="C397" s="5" t="str">
        <f>IFERROR(__xludf.DUMMYFUNCTION("""COMPUTED_VALUE"""),"Redstone")</f>
        <v>Redstone</v>
      </c>
      <c r="D397" s="5" t="str">
        <f>IFERROR(__xludf.DUMMYFUNCTION("""COMPUTED_VALUE"""),"Funky Fruits")</f>
        <v>Funky Fruits</v>
      </c>
      <c r="E397" s="5" t="str">
        <f>IFERROR(__xludf.DUMMYFUNCTION("""COMPUTED_VALUE"""),"Redstone")</f>
        <v>Redstone</v>
      </c>
      <c r="F397" s="5" t="str">
        <f>IFERROR(__xludf.DUMMYFUNCTION("""COMPUTED_VALUE"""),"RedstoneFunkyFruits")</f>
        <v>RedstoneFunkyFruits</v>
      </c>
      <c r="G397" s="5" t="str">
        <f>IFERROR(__xludf.DUMMYFUNCTION("""COMPUTED_VALUE"""),"Live")</f>
        <v>Live</v>
      </c>
      <c r="H397" s="5"/>
      <c r="I397" s="5" t="str">
        <f>IFERROR(__xludf.DUMMYFUNCTION("""COMPUTED_VALUE"""),"Redstone")</f>
        <v>Redstone</v>
      </c>
      <c r="J397" s="5" t="str">
        <f>IFERROR(__xludf.DUMMYFUNCTION("""COMPUTED_VALUE"""),"JSON")</f>
        <v>JSON</v>
      </c>
      <c r="K397" s="5" t="str">
        <f>IFERROR(__xludf.DUMMYFUNCTION("""COMPUTED_VALUE"""),"Slot")</f>
        <v>Slot</v>
      </c>
      <c r="L397" s="5" t="str">
        <f>IFERROR(__xludf.DUMMYFUNCTION("""COMPUTED_VALUE""")," Clone")</f>
        <v> Clone</v>
      </c>
      <c r="M397" s="5" t="str">
        <f>IFERROR(__xludf.DUMMYFUNCTION("""COMPUTED_VALUE"""),"5 Clover Fire")</f>
        <v>5 Clover Fire</v>
      </c>
      <c r="N397" s="7" t="str">
        <f>IFERROR(__xludf.DUMMYFUNCTION("""COMPUTED_VALUE"""),"https://drive.google.com/file/d/1dfI9pBuaRN9WtXDJR91Zt7NejVPTF9pw/view?usp=drive_link")</f>
        <v>https://drive.google.com/file/d/1dfI9pBuaRN9WtXDJR91Zt7NejVPTF9pw/view?usp=drive_link</v>
      </c>
      <c r="O397" s="7" t="str">
        <f>IFERROR(__xludf.DUMMYFUNCTION("""COMPUTED_VALUE"""),"https://drive.google.com/file/d/1yFW_DFZpZEz8k9eLcehKH_MYcKX2SXKy/view?usp=drive_link")</f>
        <v>https://drive.google.com/file/d/1yFW_DFZpZEz8k9eLcehKH_MYcKX2SXKy/view?usp=drive_link</v>
      </c>
      <c r="P397" s="12">
        <f>IFERROR(__xludf.DUMMYFUNCTION("""COMPUTED_VALUE"""),8.9)</f>
        <v>8.9</v>
      </c>
      <c r="Q397" s="14">
        <f>IFERROR(__xludf.DUMMYFUNCTION("""COMPUTED_VALUE"""),45635.0)</f>
        <v>45635</v>
      </c>
      <c r="R397" s="14">
        <f>IFERROR(__xludf.DUMMYFUNCTION("""COMPUTED_VALUE"""),45635.0)</f>
        <v>45635</v>
      </c>
      <c r="S397" s="13">
        <f>IFERROR(__xludf.DUMMYFUNCTION("""COMPUTED_VALUE"""),45642.0)</f>
        <v>45642</v>
      </c>
      <c r="T397" s="5" t="b">
        <f>IFERROR(__xludf.DUMMYFUNCTION("""COMPUTED_VALUE"""),TRUE)</f>
        <v>1</v>
      </c>
      <c r="U397" s="5" t="str">
        <f>IFERROR(__xludf.DUMMYFUNCTION("""COMPUTED_VALUE"""),"5x3")</f>
        <v>5x3</v>
      </c>
      <c r="V397" s="5">
        <f>IFERROR(__xludf.DUMMYFUNCTION("""COMPUTED_VALUE"""),5.0)</f>
        <v>5</v>
      </c>
      <c r="W397" s="5">
        <f>IFERROR(__xludf.DUMMYFUNCTION("""COMPUTED_VALUE"""),5.0)</f>
        <v>5</v>
      </c>
      <c r="X397" s="11">
        <f>IFERROR(__xludf.DUMMYFUNCTION("""COMPUTED_VALUE"""),96.45)</f>
        <v>96.45</v>
      </c>
      <c r="Y397" s="5" t="str">
        <f>IFERROR(__xludf.DUMMYFUNCTION("""COMPUTED_VALUE"""),"Medium")</f>
        <v>Medium</v>
      </c>
      <c r="Z397" s="5">
        <f>IFERROR(__xludf.DUMMYFUNCTION("""COMPUTED_VALUE"""),14.5)</f>
        <v>14.5</v>
      </c>
      <c r="AA397" s="5">
        <f>IFERROR(__xludf.DUMMYFUNCTION("""COMPUTED_VALUE"""),1222.0)</f>
        <v>1222</v>
      </c>
      <c r="AB397" s="5"/>
      <c r="AC397" s="5" t="str">
        <f>IFERROR(__xludf.DUMMYFUNCTION("""COMPUTED_VALUE"""),"Expanding Wild, Scatter")</f>
        <v>Expanding Wild, Scatter</v>
      </c>
      <c r="AD397" s="5" t="str">
        <f>IFERROR(__xludf.DUMMYFUNCTION("""COMPUTED_VALUE"""),"0.05/30")</f>
        <v>0.05/30</v>
      </c>
      <c r="AE397" s="5"/>
      <c r="AF397" s="5"/>
      <c r="AG397" s="8">
        <f>IFERROR(__xludf.DUMMYFUNCTION("""COMPUTED_VALUE"""),46157.491435185184)</f>
        <v>46157.49144</v>
      </c>
      <c r="AH397" s="5"/>
      <c r="AI397" s="5"/>
      <c r="AJ397" s="5"/>
      <c r="AK397" s="5">
        <f>IFERROR(__xludf.DUMMYFUNCTION("""COMPUTED_VALUE"""),1.0)</f>
        <v>1</v>
      </c>
      <c r="AL397" s="5" t="str">
        <f>IFERROR(__xludf.DUMMYFUNCTION("""COMPUTED_VALUE"""),"No")</f>
        <v>No</v>
      </c>
      <c r="AM397" s="5" t="str">
        <f>IFERROR(__xludf.DUMMYFUNCTION("""COMPUTED_VALUE"""),"No")</f>
        <v>No</v>
      </c>
      <c r="AN397" s="7" t="str">
        <f>IFERROR(__xludf.DUMMYFUNCTION("""COMPUTED_VALUE"""),"https://static.redstone.rs/games/funky-fruits/")</f>
        <v>https://static.redstone.rs/games/funky-fruits/</v>
      </c>
      <c r="AO397" s="5" t="str">
        <f>IFERROR(__xludf.DUMMYFUNCTION("""COMPUTED_VALUE"""),"No")</f>
        <v>No</v>
      </c>
      <c r="AP397" s="5" t="str">
        <f>IFERROR(__xludf.DUMMYFUNCTION("""COMPUTED_VALUE"""),"No")</f>
        <v>No</v>
      </c>
      <c r="AQ397" s="5" t="b">
        <f>IFERROR(__xludf.DUMMYFUNCTION("""COMPUTED_VALUE"""),TRUE)</f>
        <v>1</v>
      </c>
      <c r="AR397" s="5"/>
      <c r="AS397" s="5" t="str">
        <f>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AT397" s="5"/>
      <c r="AU397" s="5" t="str">
        <f>IFERROR(__xludf.DUMMYFUNCTION("""COMPUTED_VALUE"""),"Redstone")</f>
        <v>Redstone</v>
      </c>
      <c r="AV397" s="5"/>
      <c r="AW397" s="5"/>
      <c r="AX397" s="5"/>
      <c r="AY397" s="5"/>
      <c r="AZ397" s="5"/>
      <c r="BA397" s="5"/>
      <c r="BB397" s="5" t="b">
        <f>IFERROR(__xludf.DUMMYFUNCTION("""COMPUTED_VALUE"""),TRUE)</f>
        <v>1</v>
      </c>
      <c r="BC397" s="5" t="str">
        <f>IFERROR(__xludf.DUMMYFUNCTION("""COMPUTED_VALUE"""),"Redstone")</f>
        <v>Redstone</v>
      </c>
      <c r="BD397" s="7" t="str">
        <f>IFERROR(__xludf.DUMMYFUNCTION("""COMPUTED_VALUE"""),"https://static.redstone.rs/games/funky-fruits/")</f>
        <v>https://static.redstone.rs/games/funky-fruits/</v>
      </c>
      <c r="BE397" s="5" t="b">
        <f>IFERROR(__xludf.DUMMYFUNCTION("""COMPUTED_VALUE"""),TRUE)</f>
        <v>1</v>
      </c>
    </row>
    <row r="398">
      <c r="A398" s="5">
        <f>IFERROR(__xludf.DUMMYFUNCTION("""COMPUTED_VALUE"""),407.0)</f>
        <v>407</v>
      </c>
      <c r="B398" s="5">
        <f>IFERROR(__xludf.DUMMYFUNCTION("""COMPUTED_VALUE"""),2001.0)</f>
        <v>2001</v>
      </c>
      <c r="C398" s="5" t="str">
        <f>IFERROR(__xludf.DUMMYFUNCTION("""COMPUTED_VALUE"""),"Redstone")</f>
        <v>Redstone</v>
      </c>
      <c r="D398" s="5" t="str">
        <f>IFERROR(__xludf.DUMMYFUNCTION("""COMPUTED_VALUE"""),"Dice Double")</f>
        <v>Dice Double</v>
      </c>
      <c r="E398" s="5" t="str">
        <f>IFERROR(__xludf.DUMMYFUNCTION("""COMPUTED_VALUE"""),"Redstone")</f>
        <v>Redstone</v>
      </c>
      <c r="F398" s="5" t="str">
        <f>IFERROR(__xludf.DUMMYFUNCTION("""COMPUTED_VALUE"""),"RedstoneDiceDouble")</f>
        <v>RedstoneDiceDouble</v>
      </c>
      <c r="G398" s="5" t="str">
        <f>IFERROR(__xludf.DUMMYFUNCTION("""COMPUTED_VALUE"""),"Live")</f>
        <v>Live</v>
      </c>
      <c r="H398" s="5"/>
      <c r="I398" s="5" t="str">
        <f>IFERROR(__xludf.DUMMYFUNCTION("""COMPUTED_VALUE"""),"Redstone")</f>
        <v>Redstone</v>
      </c>
      <c r="J398" s="5" t="str">
        <f>IFERROR(__xludf.DUMMYFUNCTION("""COMPUTED_VALUE"""),"JSON")</f>
        <v>JSON</v>
      </c>
      <c r="K398" s="5" t="str">
        <f>IFERROR(__xludf.DUMMYFUNCTION("""COMPUTED_VALUE"""),"Slot")</f>
        <v>Slot</v>
      </c>
      <c r="L398" s="5" t="str">
        <f>IFERROR(__xludf.DUMMYFUNCTION("""COMPUTED_VALUE""")," Clone")</f>
        <v> Clone</v>
      </c>
      <c r="M398" s="5" t="str">
        <f>IFERROR(__xludf.DUMMYFUNCTION("""COMPUTED_VALUE"""),"Chilli Double")</f>
        <v>Chilli Double</v>
      </c>
      <c r="N398" s="7" t="str">
        <f>IFERROR(__xludf.DUMMYFUNCTION("""COMPUTED_VALUE"""),"https://docs.google.com/document/d/1wxcgajZpfBwjzRG61wJUdl-Ya0-Xcpri/edit?usp=drive_link&amp;ouid=107596163405648766688&amp;rtpof=true&amp;sd=true")</f>
        <v>https://docs.google.com/document/d/1wxcgajZpfBwjzRG61wJUdl-Ya0-Xcpri/edit?usp=drive_link&amp;ouid=107596163405648766688&amp;rtpof=true&amp;sd=true</v>
      </c>
      <c r="O398" s="7" t="str">
        <f>IFERROR(__xludf.DUMMYFUNCTION("""COMPUTED_VALUE"""),"https://docs.google.com/document/d/16mtDOc_tx8TXaxsQ0hi3FNv8JZf8Z6hC/edit?usp=drive_link&amp;ouid=107596163405648766688&amp;rtpof=true&amp;sd=true")</f>
        <v>https://docs.google.com/document/d/16mtDOc_tx8TXaxsQ0hi3FNv8JZf8Z6hC/edit?usp=drive_link&amp;ouid=107596163405648766688&amp;rtpof=true&amp;sd=true</v>
      </c>
      <c r="P398" s="12">
        <f>IFERROR(__xludf.DUMMYFUNCTION("""COMPUTED_VALUE"""),7.6)</f>
        <v>7.6</v>
      </c>
      <c r="Q398" s="13">
        <f>IFERROR(__xludf.DUMMYFUNCTION("""COMPUTED_VALUE"""),45506.0)</f>
        <v>45506</v>
      </c>
      <c r="R398" s="14"/>
      <c r="S398" s="13">
        <f>IFERROR(__xludf.DUMMYFUNCTION("""COMPUTED_VALUE"""),45506.0)</f>
        <v>45506</v>
      </c>
      <c r="T398" s="5" t="b">
        <f>IFERROR(__xludf.DUMMYFUNCTION("""COMPUTED_VALUE"""),TRUE)</f>
        <v>1</v>
      </c>
      <c r="U398" s="5" t="str">
        <f>IFERROR(__xludf.DUMMYFUNCTION("""COMPUTED_VALUE"""),"5x3")</f>
        <v>5x3</v>
      </c>
      <c r="V398" s="5">
        <f>IFERROR(__xludf.DUMMYFUNCTION("""COMPUTED_VALUE"""),5.0)</f>
        <v>5</v>
      </c>
      <c r="W398" s="5">
        <f>IFERROR(__xludf.DUMMYFUNCTION("""COMPUTED_VALUE"""),5.0)</f>
        <v>5</v>
      </c>
      <c r="X398" s="11">
        <f>IFERROR(__xludf.DUMMYFUNCTION("""COMPUTED_VALUE"""),96.45)</f>
        <v>96.45</v>
      </c>
      <c r="Y398" s="5" t="str">
        <f>IFERROR(__xludf.DUMMYFUNCTION("""COMPUTED_VALUE"""),"Medium")</f>
        <v>Medium</v>
      </c>
      <c r="Z398" s="5">
        <f>IFERROR(__xludf.DUMMYFUNCTION("""COMPUTED_VALUE"""),14.23)</f>
        <v>14.23</v>
      </c>
      <c r="AA398" s="5">
        <f>IFERROR(__xludf.DUMMYFUNCTION("""COMPUTED_VALUE"""),2624.0)</f>
        <v>2624</v>
      </c>
      <c r="AB398" s="5"/>
      <c r="AC398" s="5" t="str">
        <f>IFERROR(__xludf.DUMMYFUNCTION("""COMPUTED_VALUE"""),"Expanding Wild, Scatter")</f>
        <v>Expanding Wild, Scatter</v>
      </c>
      <c r="AD398" s="5" t="str">
        <f>IFERROR(__xludf.DUMMYFUNCTION("""COMPUTED_VALUE"""),"0.05/100")</f>
        <v>0.05/100</v>
      </c>
      <c r="AE398" s="5"/>
      <c r="AF398" s="5"/>
      <c r="AG398" s="8">
        <f>IFERROR(__xludf.DUMMYFUNCTION("""COMPUTED_VALUE"""),46157.49256944445)</f>
        <v>46157.49257</v>
      </c>
      <c r="AH398" s="5"/>
      <c r="AI398" s="5"/>
      <c r="AJ398" s="5"/>
      <c r="AK398" s="5">
        <f>IFERROR(__xludf.DUMMYFUNCTION("""COMPUTED_VALUE"""),1.0)</f>
        <v>1</v>
      </c>
      <c r="AL398" s="5" t="str">
        <f>IFERROR(__xludf.DUMMYFUNCTION("""COMPUTED_VALUE"""),"No")</f>
        <v>No</v>
      </c>
      <c r="AM398" s="5" t="str">
        <f>IFERROR(__xludf.DUMMYFUNCTION("""COMPUTED_VALUE"""),"No")</f>
        <v>No</v>
      </c>
      <c r="AN398" s="7" t="str">
        <f>IFERROR(__xludf.DUMMYFUNCTION("""COMPUTED_VALUE"""),"https://static.redstone.rs/games/dice-double/")</f>
        <v>https://static.redstone.rs/games/dice-double/</v>
      </c>
      <c r="AO398" s="5" t="str">
        <f>IFERROR(__xludf.DUMMYFUNCTION("""COMPUTED_VALUE"""),"No")</f>
        <v>No</v>
      </c>
      <c r="AP398" s="5" t="str">
        <f>IFERROR(__xludf.DUMMYFUNCTION("""COMPUTED_VALUE"""),"No")</f>
        <v>No</v>
      </c>
      <c r="AQ398" s="5" t="b">
        <f>IFERROR(__xludf.DUMMYFUNCTION("""COMPUTED_VALUE"""),TRUE)</f>
        <v>1</v>
      </c>
      <c r="AR398" s="5"/>
      <c r="AS398" s="5" t="str">
        <f>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AT398" s="5"/>
      <c r="AU398" s="5" t="str">
        <f>IFERROR(__xludf.DUMMYFUNCTION("""COMPUTED_VALUE"""),"Redstone")</f>
        <v>Redstone</v>
      </c>
      <c r="AV398" s="5"/>
      <c r="AW398" s="5"/>
      <c r="AX398" s="5"/>
      <c r="AY398" s="5"/>
      <c r="AZ398" s="5"/>
      <c r="BA398" s="5"/>
      <c r="BB398" s="5" t="b">
        <f>IFERROR(__xludf.DUMMYFUNCTION("""COMPUTED_VALUE"""),TRUE)</f>
        <v>1</v>
      </c>
      <c r="BC398" s="5" t="str">
        <f>IFERROR(__xludf.DUMMYFUNCTION("""COMPUTED_VALUE"""),"Redstone")</f>
        <v>Redstone</v>
      </c>
      <c r="BD398" s="7" t="str">
        <f>IFERROR(__xludf.DUMMYFUNCTION("""COMPUTED_VALUE"""),"https://static.redstone.rs/games/dice-double/")</f>
        <v>https://static.redstone.rs/games/dice-double/</v>
      </c>
      <c r="BE398" s="5" t="b">
        <f>IFERROR(__xludf.DUMMYFUNCTION("""COMPUTED_VALUE"""),TRUE)</f>
        <v>1</v>
      </c>
    </row>
    <row r="399">
      <c r="A399" s="5">
        <f>IFERROR(__xludf.DUMMYFUNCTION("""COMPUTED_VALUE"""),408.0)</f>
        <v>408</v>
      </c>
      <c r="B399" s="5">
        <f>IFERROR(__xludf.DUMMYFUNCTION("""COMPUTED_VALUE"""),2002.0)</f>
        <v>2002</v>
      </c>
      <c r="C399" s="5" t="str">
        <f>IFERROR(__xludf.DUMMYFUNCTION("""COMPUTED_VALUE"""),"Redstone")</f>
        <v>Redstone</v>
      </c>
      <c r="D399" s="5" t="str">
        <f>IFERROR(__xludf.DUMMYFUNCTION("""COMPUTED_VALUE"""),"Volcano Hot")</f>
        <v>Volcano Hot</v>
      </c>
      <c r="E399" s="5" t="str">
        <f>IFERROR(__xludf.DUMMYFUNCTION("""COMPUTED_VALUE"""),"Redstone")</f>
        <v>Redstone</v>
      </c>
      <c r="F399" s="5" t="str">
        <f>IFERROR(__xludf.DUMMYFUNCTION("""COMPUTED_VALUE"""),"RedstoneVolcanoHot")</f>
        <v>RedstoneVolcanoHot</v>
      </c>
      <c r="G399" s="5" t="str">
        <f>IFERROR(__xludf.DUMMYFUNCTION("""COMPUTED_VALUE"""),"Live")</f>
        <v>Live</v>
      </c>
      <c r="H399" s="5"/>
      <c r="I399" s="5" t="str">
        <f>IFERROR(__xludf.DUMMYFUNCTION("""COMPUTED_VALUE"""),"Redstone")</f>
        <v>Redstone</v>
      </c>
      <c r="J399" s="5" t="str">
        <f>IFERROR(__xludf.DUMMYFUNCTION("""COMPUTED_VALUE"""),"JSON")</f>
        <v>JSON</v>
      </c>
      <c r="K399" s="5" t="str">
        <f>IFERROR(__xludf.DUMMYFUNCTION("""COMPUTED_VALUE"""),"Slot")</f>
        <v>Slot</v>
      </c>
      <c r="L399" s="5" t="str">
        <f>IFERROR(__xludf.DUMMYFUNCTION("""COMPUTED_VALUE""")," Clone")</f>
        <v> Clone</v>
      </c>
      <c r="M399" s="5" t="str">
        <f>IFERROR(__xludf.DUMMYFUNCTION("""COMPUTED_VALUE"""),"20 Fire Cash")</f>
        <v>20 Fire Cash</v>
      </c>
      <c r="N399" s="7" t="str">
        <f>IFERROR(__xludf.DUMMYFUNCTION("""COMPUTED_VALUE"""),"https://drive.google.com/file/d/1TIDXrQqfVRm2CVG_wBa8hrOS0YKT3vAF/view?usp=drive_link")</f>
        <v>https://drive.google.com/file/d/1TIDXrQqfVRm2CVG_wBa8hrOS0YKT3vAF/view?usp=drive_link</v>
      </c>
      <c r="O399" s="7" t="str">
        <f>IFERROR(__xludf.DUMMYFUNCTION("""COMPUTED_VALUE"""),"https://drive.google.com/file/d/166wIewWhocd1jH7pxyQpKQESUAJhpHdt/view?usp=drive_link")</f>
        <v>https://drive.google.com/file/d/166wIewWhocd1jH7pxyQpKQESUAJhpHdt/view?usp=drive_link</v>
      </c>
      <c r="P399" s="12">
        <f>IFERROR(__xludf.DUMMYFUNCTION("""COMPUTED_VALUE"""),7.5)</f>
        <v>7.5</v>
      </c>
      <c r="Q399" s="13">
        <f>IFERROR(__xludf.DUMMYFUNCTION("""COMPUTED_VALUE"""),45553.0)</f>
        <v>45553</v>
      </c>
      <c r="R399" s="14"/>
      <c r="S399" s="13">
        <f>IFERROR(__xludf.DUMMYFUNCTION("""COMPUTED_VALUE"""),45553.0)</f>
        <v>45553</v>
      </c>
      <c r="T399" s="5" t="b">
        <f>IFERROR(__xludf.DUMMYFUNCTION("""COMPUTED_VALUE"""),TRUE)</f>
        <v>1</v>
      </c>
      <c r="U399" s="5" t="str">
        <f>IFERROR(__xludf.DUMMYFUNCTION("""COMPUTED_VALUE"""),"5x3")</f>
        <v>5x3</v>
      </c>
      <c r="V399" s="5">
        <f>IFERROR(__xludf.DUMMYFUNCTION("""COMPUTED_VALUE"""),20.0)</f>
        <v>20</v>
      </c>
      <c r="W399" s="5">
        <f>IFERROR(__xludf.DUMMYFUNCTION("""COMPUTED_VALUE"""),20.0)</f>
        <v>20</v>
      </c>
      <c r="X399" s="11">
        <f>IFERROR(__xludf.DUMMYFUNCTION("""COMPUTED_VALUE"""),96.47)</f>
        <v>96.47</v>
      </c>
      <c r="Y399" s="5" t="str">
        <f>IFERROR(__xludf.DUMMYFUNCTION("""COMPUTED_VALUE"""),"Medium")</f>
        <v>Medium</v>
      </c>
      <c r="Z399" s="5">
        <f>IFERROR(__xludf.DUMMYFUNCTION("""COMPUTED_VALUE"""),17.73)</f>
        <v>17.73</v>
      </c>
      <c r="AA399" s="5">
        <f>IFERROR(__xludf.DUMMYFUNCTION("""COMPUTED_VALUE"""),1000.0)</f>
        <v>1000</v>
      </c>
      <c r="AB399" s="5"/>
      <c r="AC399" s="5" t="str">
        <f>IFERROR(__xludf.DUMMYFUNCTION("""COMPUTED_VALUE"""),"Scatter, Special Wild")</f>
        <v>Scatter, Special Wild</v>
      </c>
      <c r="AD399" s="5" t="str">
        <f>IFERROR(__xludf.DUMMYFUNCTION("""COMPUTED_VALUE"""),"0.02/50")</f>
        <v>0.02/50</v>
      </c>
      <c r="AE399" s="5"/>
      <c r="AF399" s="5"/>
      <c r="AG399" s="8">
        <f>IFERROR(__xludf.DUMMYFUNCTION("""COMPUTED_VALUE"""),46157.49261574074)</f>
        <v>46157.49262</v>
      </c>
      <c r="AH399" s="5"/>
      <c r="AI399" s="5"/>
      <c r="AJ399" s="5"/>
      <c r="AK399" s="5">
        <f>IFERROR(__xludf.DUMMYFUNCTION("""COMPUTED_VALUE"""),1.0)</f>
        <v>1</v>
      </c>
      <c r="AL399" s="5" t="str">
        <f>IFERROR(__xludf.DUMMYFUNCTION("""COMPUTED_VALUE"""),"No")</f>
        <v>No</v>
      </c>
      <c r="AM399" s="5" t="str">
        <f>IFERROR(__xludf.DUMMYFUNCTION("""COMPUTED_VALUE"""),"No")</f>
        <v>No</v>
      </c>
      <c r="AN399" s="7" t="str">
        <f>IFERROR(__xludf.DUMMYFUNCTION("""COMPUTED_VALUE"""),"https://static.redstone.rs/games/volcano-hot/")</f>
        <v>https://static.redstone.rs/games/volcano-hot/</v>
      </c>
      <c r="AO399" s="5" t="str">
        <f>IFERROR(__xludf.DUMMYFUNCTION("""COMPUTED_VALUE"""),"No")</f>
        <v>No</v>
      </c>
      <c r="AP399" s="5" t="str">
        <f>IFERROR(__xludf.DUMMYFUNCTION("""COMPUTED_VALUE"""),"No")</f>
        <v>No</v>
      </c>
      <c r="AQ399" s="5" t="b">
        <f>IFERROR(__xludf.DUMMYFUNCTION("""COMPUTED_VALUE"""),TRUE)</f>
        <v>1</v>
      </c>
      <c r="AR399" s="5"/>
      <c r="AS399" s="5" t="str">
        <f>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AT399" s="5"/>
      <c r="AU399" s="5" t="str">
        <f>IFERROR(__xludf.DUMMYFUNCTION("""COMPUTED_VALUE"""),"Redstone")</f>
        <v>Redstone</v>
      </c>
      <c r="AV399" s="5"/>
      <c r="AW399" s="5"/>
      <c r="AX399" s="5"/>
      <c r="AY399" s="5"/>
      <c r="AZ399" s="5"/>
      <c r="BA399" s="5"/>
      <c r="BB399" s="5" t="b">
        <f>IFERROR(__xludf.DUMMYFUNCTION("""COMPUTED_VALUE"""),TRUE)</f>
        <v>1</v>
      </c>
      <c r="BC399" s="5" t="str">
        <f>IFERROR(__xludf.DUMMYFUNCTION("""COMPUTED_VALUE"""),"Redstone")</f>
        <v>Redstone</v>
      </c>
      <c r="BD399" s="7" t="str">
        <f>IFERROR(__xludf.DUMMYFUNCTION("""COMPUTED_VALUE"""),"https://static.redstone.rs/games/volcano-hot/")</f>
        <v>https://static.redstone.rs/games/volcano-hot/</v>
      </c>
      <c r="BE399" s="5" t="b">
        <f>IFERROR(__xludf.DUMMYFUNCTION("""COMPUTED_VALUE"""),TRUE)</f>
        <v>1</v>
      </c>
    </row>
    <row r="400">
      <c r="A400" s="5">
        <f>IFERROR(__xludf.DUMMYFUNCTION("""COMPUTED_VALUE"""),409.0)</f>
        <v>409</v>
      </c>
      <c r="B400" s="5">
        <f>IFERROR(__xludf.DUMMYFUNCTION("""COMPUTED_VALUE"""),180001.0)</f>
        <v>180001</v>
      </c>
      <c r="C400" s="5" t="str">
        <f>IFERROR(__xludf.DUMMYFUNCTION("""COMPUTED_VALUE"""),"Redstone")</f>
        <v>Redstone</v>
      </c>
      <c r="D400" s="5" t="str">
        <f>IFERROR(__xludf.DUMMYFUNCTION("""COMPUTED_VALUE"""),"10 Clover Fire")</f>
        <v>10 Clover Fire</v>
      </c>
      <c r="E400" s="5" t="str">
        <f>IFERROR(__xludf.DUMMYFUNCTION("""COMPUTED_VALUE"""),"Redstone")</f>
        <v>Redstone</v>
      </c>
      <c r="F400" s="5" t="str">
        <f>IFERROR(__xludf.DUMMYFUNCTION("""COMPUTED_VALUE"""),"Redstone10CloverFire")</f>
        <v>Redstone10CloverFire</v>
      </c>
      <c r="G400" s="5" t="str">
        <f>IFERROR(__xludf.DUMMYFUNCTION("""COMPUTED_VALUE"""),"Live")</f>
        <v>Live</v>
      </c>
      <c r="H400" s="5"/>
      <c r="I400" s="5" t="str">
        <f>IFERROR(__xludf.DUMMYFUNCTION("""COMPUTED_VALUE"""),"Redstone")</f>
        <v>Redstone</v>
      </c>
      <c r="J400" s="5" t="str">
        <f>IFERROR(__xludf.DUMMYFUNCTION("""COMPUTED_VALUE"""),"JSON")</f>
        <v>JSON</v>
      </c>
      <c r="K400" s="5" t="str">
        <f>IFERROR(__xludf.DUMMYFUNCTION("""COMPUTED_VALUE"""),"Slot")</f>
        <v>Slot</v>
      </c>
      <c r="L400" s="5" t="str">
        <f>IFERROR(__xludf.DUMMYFUNCTION("""COMPUTED_VALUE"""),"Master")</f>
        <v>Master</v>
      </c>
      <c r="M400" s="5"/>
      <c r="N400" s="7" t="str">
        <f>IFERROR(__xludf.DUMMYFUNCTION("""COMPUTED_VALUE"""),"https://docs.google.com/document/d/1TZm4cFN3pLqqLsQDht7QeFxb_bqDb1Jo/edit?usp=drive_link&amp;ouid=107596163405648766688&amp;rtpof=true&amp;sd=true")</f>
        <v>https://docs.google.com/document/d/1TZm4cFN3pLqqLsQDht7QeFxb_bqDb1Jo/edit?usp=drive_link&amp;ouid=107596163405648766688&amp;rtpof=true&amp;sd=true</v>
      </c>
      <c r="O400" s="7" t="str">
        <f>IFERROR(__xludf.DUMMYFUNCTION("""COMPUTED_VALUE"""),"https://docs.google.com/document/d/1GbD7Xr2mxOwa_hwLj37fj-PYGBhDbBCh/edit?usp=drive_link&amp;ouid=107596163405648766688&amp;rtpof=true&amp;sd=true")</f>
        <v>https://docs.google.com/document/d/1GbD7Xr2mxOwa_hwLj37fj-PYGBhDbBCh/edit?usp=drive_link&amp;ouid=107596163405648766688&amp;rtpof=true&amp;sd=true</v>
      </c>
      <c r="P400" s="12">
        <f>IFERROR(__xludf.DUMMYFUNCTION("""COMPUTED_VALUE"""),8.2)</f>
        <v>8.2</v>
      </c>
      <c r="Q400" s="13">
        <f>IFERROR(__xludf.DUMMYFUNCTION("""COMPUTED_VALUE"""),45432.0)</f>
        <v>45432</v>
      </c>
      <c r="R400" s="14"/>
      <c r="S400" s="13">
        <f>IFERROR(__xludf.DUMMYFUNCTION("""COMPUTED_VALUE"""),45432.0)</f>
        <v>45432</v>
      </c>
      <c r="T400" s="5"/>
      <c r="U400" s="5" t="str">
        <f>IFERROR(__xludf.DUMMYFUNCTION("""COMPUTED_VALUE"""),"5x3")</f>
        <v>5x3</v>
      </c>
      <c r="V400" s="5">
        <f>IFERROR(__xludf.DUMMYFUNCTION("""COMPUTED_VALUE"""),10.0)</f>
        <v>10</v>
      </c>
      <c r="W400" s="5">
        <f>IFERROR(__xludf.DUMMYFUNCTION("""COMPUTED_VALUE"""),10.0)</f>
        <v>10</v>
      </c>
      <c r="X400" s="11">
        <f>IFERROR(__xludf.DUMMYFUNCTION("""COMPUTED_VALUE"""),96.52)</f>
        <v>96.52</v>
      </c>
      <c r="Y400" s="5" t="str">
        <f>IFERROR(__xludf.DUMMYFUNCTION("""COMPUTED_VALUE"""),"Medium")</f>
        <v>Medium</v>
      </c>
      <c r="Z400" s="5">
        <f>IFERROR(__xludf.DUMMYFUNCTION("""COMPUTED_VALUE"""),17.77)</f>
        <v>17.77</v>
      </c>
      <c r="AA400" s="5">
        <f>IFERROR(__xludf.DUMMYFUNCTION("""COMPUTED_VALUE"""),944.0)</f>
        <v>944</v>
      </c>
      <c r="AB400" s="5"/>
      <c r="AC400" s="5" t="str">
        <f>IFERROR(__xludf.DUMMYFUNCTION("""COMPUTED_VALUE"""),"Expanding Wild, Scatter")</f>
        <v>Expanding Wild, Scatter</v>
      </c>
      <c r="AD400" s="5" t="str">
        <f>IFERROR(__xludf.DUMMYFUNCTION("""COMPUTED_VALUE"""),"0.10/100")</f>
        <v>0.10/100</v>
      </c>
      <c r="AE400" s="5"/>
      <c r="AF400" s="5"/>
      <c r="AG400" s="8">
        <f>IFERROR(__xludf.DUMMYFUNCTION("""COMPUTED_VALUE"""),46157.49266203704)</f>
        <v>46157.49266</v>
      </c>
      <c r="AH400" s="5"/>
      <c r="AI400" s="5"/>
      <c r="AJ400" s="5"/>
      <c r="AK400" s="5">
        <f>IFERROR(__xludf.DUMMYFUNCTION("""COMPUTED_VALUE"""),1.0)</f>
        <v>1</v>
      </c>
      <c r="AL400" s="5" t="str">
        <f>IFERROR(__xludf.DUMMYFUNCTION("""COMPUTED_VALUE"""),"No")</f>
        <v>No</v>
      </c>
      <c r="AM400" s="5" t="str">
        <f>IFERROR(__xludf.DUMMYFUNCTION("""COMPUTED_VALUE"""),"No")</f>
        <v>No</v>
      </c>
      <c r="AN400" s="7" t="str">
        <f>IFERROR(__xludf.DUMMYFUNCTION("""COMPUTED_VALUE"""),"https://static.redstone.rs/games/10-clover-fire/")</f>
        <v>https://static.redstone.rs/games/10-clover-fire/</v>
      </c>
      <c r="AO400" s="5" t="str">
        <f>IFERROR(__xludf.DUMMYFUNCTION("""COMPUTED_VALUE"""),"No")</f>
        <v>No</v>
      </c>
      <c r="AP400" s="5" t="str">
        <f>IFERROR(__xludf.DUMMYFUNCTION("""COMPUTED_VALUE"""),"No")</f>
        <v>No</v>
      </c>
      <c r="AQ400" s="5" t="b">
        <f>IFERROR(__xludf.DUMMYFUNCTION("""COMPUTED_VALUE"""),TRUE)</f>
        <v>1</v>
      </c>
      <c r="AR400" s="5"/>
      <c r="AS400" s="5" t="str">
        <f>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AT400" s="5"/>
      <c r="AU400" s="5" t="str">
        <f>IFERROR(__xludf.DUMMYFUNCTION("""COMPUTED_VALUE"""),"Redstone")</f>
        <v>Redstone</v>
      </c>
      <c r="AV400" s="5"/>
      <c r="AW400" s="5"/>
      <c r="AX400" s="5"/>
      <c r="AY400" s="5"/>
      <c r="AZ400" s="5"/>
      <c r="BA400" s="5"/>
      <c r="BB400" s="5" t="b">
        <f>IFERROR(__xludf.DUMMYFUNCTION("""COMPUTED_VALUE"""),TRUE)</f>
        <v>1</v>
      </c>
      <c r="BC400" s="5" t="str">
        <f>IFERROR(__xludf.DUMMYFUNCTION("""COMPUTED_VALUE"""),"Redstone")</f>
        <v>Redstone</v>
      </c>
      <c r="BD400" s="7" t="str">
        <f>IFERROR(__xludf.DUMMYFUNCTION("""COMPUTED_VALUE"""),"https://static.redstone.rs/games/10-clover-fire/")</f>
        <v>https://static.redstone.rs/games/10-clover-fire/</v>
      </c>
      <c r="BE400" s="5" t="b">
        <f>IFERROR(__xludf.DUMMYFUNCTION("""COMPUTED_VALUE"""),TRUE)</f>
        <v>1</v>
      </c>
    </row>
    <row r="401">
      <c r="A401" s="5">
        <f>IFERROR(__xludf.DUMMYFUNCTION("""COMPUTED_VALUE"""),410.0)</f>
        <v>410</v>
      </c>
      <c r="B401" s="5">
        <f>IFERROR(__xludf.DUMMYFUNCTION("""COMPUTED_VALUE"""),2000001.0)</f>
        <v>2000001</v>
      </c>
      <c r="C401" s="5"/>
      <c r="D401" s="5" t="str">
        <f>IFERROR(__xludf.DUMMYFUNCTION("""COMPUTED_VALUE"""),"God Of Thunderstorm")</f>
        <v>God Of Thunderstorm</v>
      </c>
      <c r="E401" s="5"/>
      <c r="F401" s="5"/>
      <c r="G401" s="5" t="str">
        <f>IFERROR(__xludf.DUMMYFUNCTION("""COMPUTED_VALUE"""),"Retired")</f>
        <v>Retired</v>
      </c>
      <c r="H401" s="5"/>
      <c r="I401" s="5"/>
      <c r="J401" s="5"/>
      <c r="K401" s="5" t="str">
        <f>IFERROR(__xludf.DUMMYFUNCTION("""COMPUTED_VALUE"""),"Plinko")</f>
        <v>Plinko</v>
      </c>
      <c r="L401" s="5"/>
      <c r="M401" s="5"/>
      <c r="N401" s="5"/>
      <c r="O401" s="5"/>
      <c r="P401" s="12"/>
      <c r="Q401" s="13">
        <f>IFERROR(__xludf.DUMMYFUNCTION("""COMPUTED_VALUE"""),43831.0)</f>
        <v>43831</v>
      </c>
      <c r="R401" s="14"/>
      <c r="S401" s="13">
        <f>IFERROR(__xludf.DUMMYFUNCTION("""COMPUTED_VALUE"""),43831.0)</f>
        <v>43831</v>
      </c>
      <c r="T401" s="5"/>
      <c r="U401" s="5"/>
      <c r="V401" s="5"/>
      <c r="W401" s="5"/>
      <c r="X401" s="11"/>
      <c r="Y401" s="5"/>
      <c r="Z401" s="5"/>
      <c r="AA401" s="5"/>
      <c r="AB401" s="5"/>
      <c r="AC401" s="5"/>
      <c r="AD401" s="5"/>
      <c r="AE401" s="5"/>
      <c r="AF401" s="5"/>
      <c r="AG401" s="5"/>
      <c r="AH401" s="5"/>
      <c r="AI401" s="5"/>
      <c r="AJ401" s="5"/>
      <c r="AK401" s="5" t="str">
        <f>IFERROR(__xludf.DUMMYFUNCTION("""COMPUTED_VALUE"""),"#N/A")</f>
        <v>#N/A</v>
      </c>
      <c r="AL401" s="5"/>
      <c r="AM401" s="5"/>
      <c r="AN401" s="5"/>
      <c r="AO401" s="5"/>
      <c r="AP401" s="5"/>
      <c r="AQ401" s="5"/>
      <c r="AR401" s="5"/>
      <c r="AS401" s="5"/>
      <c r="AT401" s="5"/>
      <c r="AU401" s="5"/>
      <c r="AV401" s="5"/>
      <c r="AW401" s="5"/>
      <c r="AX401" s="5"/>
      <c r="AY401" s="5"/>
      <c r="AZ401" s="5"/>
      <c r="BA401" s="5" t="str">
        <f>IFERROR(__xludf.DUMMYFUNCTION("""COMPUTED_VALUE"""),"")</f>
        <v/>
      </c>
      <c r="BB401" s="5"/>
      <c r="BC401" s="5"/>
      <c r="BD401" s="5"/>
      <c r="BE401" s="5"/>
    </row>
    <row r="402">
      <c r="A402" s="5">
        <f>IFERROR(__xludf.DUMMYFUNCTION("""COMPUTED_VALUE"""),413.0)</f>
        <v>413</v>
      </c>
      <c r="B402" s="5">
        <f>IFERROR(__xludf.DUMMYFUNCTION("""COMPUTED_VALUE"""),3005.0)</f>
        <v>3005</v>
      </c>
      <c r="C402" s="5" t="str">
        <f>IFERROR(__xludf.DUMMYFUNCTION("""COMPUTED_VALUE"""),"Fazi")</f>
        <v>Fazi</v>
      </c>
      <c r="D402" s="5" t="str">
        <f>IFERROR(__xludf.DUMMYFUNCTION("""COMPUTED_VALUE"""),"Crowns and Stars")</f>
        <v>Crowns and Stars</v>
      </c>
      <c r="E402" s="5" t="str">
        <f>IFERROR(__xludf.DUMMYFUNCTION("""COMPUTED_VALUE"""),"V2")</f>
        <v>V2</v>
      </c>
      <c r="F402" s="5" t="str">
        <f>IFERROR(__xludf.DUMMYFUNCTION("""COMPUTED_VALUE"""),"CrownsAndStars")</f>
        <v>CrownsAndStars</v>
      </c>
      <c r="G402" s="5" t="str">
        <f>IFERROR(__xludf.DUMMYFUNCTION("""COMPUTED_VALUE"""),"Live")</f>
        <v>Live</v>
      </c>
      <c r="H402" s="5"/>
      <c r="I402" s="5" t="str">
        <f>IFERROR(__xludf.DUMMYFUNCTION("""COMPUTED_VALUE"""),"V2")</f>
        <v>V2</v>
      </c>
      <c r="J402" s="5" t="str">
        <f>IFERROR(__xludf.DUMMYFUNCTION("""COMPUTED_VALUE"""),"Binary")</f>
        <v>Binary</v>
      </c>
      <c r="K402" s="5" t="str">
        <f>IFERROR(__xludf.DUMMYFUNCTION("""COMPUTED_VALUE"""),"Slot")</f>
        <v>Slot</v>
      </c>
      <c r="L402" s="5" t="str">
        <f>IFERROR(__xludf.DUMMYFUNCTION("""COMPUTED_VALUE"""),"Master")</f>
        <v>Master</v>
      </c>
      <c r="M402" s="5"/>
      <c r="N402" s="7" t="str">
        <f>IFERROR(__xludf.DUMMYFUNCTION("""COMPUTED_VALUE"""),"https://drive.google.com/file/d/1MagzLGH8WOcAl7avhVNFyMA7HKX2TYKo/view?usp=sharing")</f>
        <v>https://drive.google.com/file/d/1MagzLGH8WOcAl7avhVNFyMA7HKX2TYKo/view?usp=sharing</v>
      </c>
      <c r="O402" s="7" t="str">
        <f>IFERROR(__xludf.DUMMYFUNCTION("""COMPUTED_VALUE"""),"https://drive.google.com/file/d/1s1mvKjVqp4KPPhHWwEIdwZY3oCvr48sm/view?usp=sharing")</f>
        <v>https://drive.google.com/file/d/1s1mvKjVqp4KPPhHWwEIdwZY3oCvr48sm/view?usp=sharing</v>
      </c>
      <c r="P402" s="12">
        <f>IFERROR(__xludf.DUMMYFUNCTION("""COMPUTED_VALUE"""),30.3)</f>
        <v>30.3</v>
      </c>
      <c r="Q402" s="13">
        <f>IFERROR(__xludf.DUMMYFUNCTION("""COMPUTED_VALUE"""),45642.0)</f>
        <v>45642</v>
      </c>
      <c r="R402" s="14">
        <f>IFERROR(__xludf.DUMMYFUNCTION("""COMPUTED_VALUE"""),45660.0)</f>
        <v>45660</v>
      </c>
      <c r="S402" s="13">
        <f>IFERROR(__xludf.DUMMYFUNCTION("""COMPUTED_VALUE"""),45666.0)</f>
        <v>45666</v>
      </c>
      <c r="T402" s="5" t="b">
        <f>IFERROR(__xludf.DUMMYFUNCTION("""COMPUTED_VALUE"""),TRUE)</f>
        <v>1</v>
      </c>
      <c r="U402" s="5" t="str">
        <f>IFERROR(__xludf.DUMMYFUNCTION("""COMPUTED_VALUE"""),"5x3")</f>
        <v>5x3</v>
      </c>
      <c r="V402" s="5">
        <f>IFERROR(__xludf.DUMMYFUNCTION("""COMPUTED_VALUE"""),10.0)</f>
        <v>10</v>
      </c>
      <c r="W402" s="5">
        <f>IFERROR(__xludf.DUMMYFUNCTION("""COMPUTED_VALUE"""),10.0)</f>
        <v>10</v>
      </c>
      <c r="X402" s="11">
        <f>IFERROR(__xludf.DUMMYFUNCTION("""COMPUTED_VALUE"""),96.592)</f>
        <v>96.592</v>
      </c>
      <c r="Y402" s="5" t="str">
        <f>IFERROR(__xludf.DUMMYFUNCTION("""COMPUTED_VALUE"""),"High")</f>
        <v>High</v>
      </c>
      <c r="Z402" s="5">
        <f>IFERROR(__xludf.DUMMYFUNCTION("""COMPUTED_VALUE"""),10.705)</f>
        <v>10.705</v>
      </c>
      <c r="AA402" s="5">
        <f>IFERROR(__xludf.DUMMYFUNCTION("""COMPUTED_VALUE"""),10075.0)</f>
        <v>10075</v>
      </c>
      <c r="AB402" s="5"/>
      <c r="AC402" s="5" t="str">
        <f>IFERROR(__xludf.DUMMYFUNCTION("""COMPUTED_VALUE"""),"In Game Jackpot, Expanding Wild")</f>
        <v>In Game Jackpot, Expanding Wild</v>
      </c>
      <c r="AD402" s="5" t="str">
        <f>IFERROR(__xludf.DUMMYFUNCTION("""COMPUTED_VALUE"""),"0.1/40")</f>
        <v>0.1/40</v>
      </c>
      <c r="AE402" s="5"/>
      <c r="AF402" s="5"/>
      <c r="AG402" s="8">
        <f>IFERROR(__xludf.DUMMYFUNCTION("""COMPUTED_VALUE"""),46062.41304398148)</f>
        <v>46062.41304</v>
      </c>
      <c r="AH402" s="5" t="str">
        <f>IFERROR(__xludf.DUMMYFUNCTION("""COMPUTED_VALUE"""),"aleksandar.trajkovic@fazi.rs")</f>
        <v>aleksandar.trajkovic@fazi.rs</v>
      </c>
      <c r="AI402" s="13">
        <f>IFERROR(__xludf.DUMMYFUNCTION("""COMPUTED_VALUE"""),45643.0)</f>
        <v>45643</v>
      </c>
      <c r="AJ402" s="5" t="str">
        <f>IFERROR(__xludf.DUMMYFUNCTION("""COMPUTED_VALUE"""),"1xbet (BetB2B)")</f>
        <v>1xbet (BetB2B)</v>
      </c>
      <c r="AK402" s="5">
        <f>IFERROR(__xludf.DUMMYFUNCTION("""COMPUTED_VALUE"""),10.0)</f>
        <v>10</v>
      </c>
      <c r="AL402" s="5" t="str">
        <f>IFERROR(__xludf.DUMMYFUNCTION("""COMPUTED_VALUE"""),"Yes")</f>
        <v>Yes</v>
      </c>
      <c r="AM402" s="5"/>
      <c r="AN402" s="7" t="str">
        <f>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AO402" s="5"/>
      <c r="AP402" s="5"/>
      <c r="AQ402" s="5" t="b">
        <f>IFERROR(__xludf.DUMMYFUNCTION("""COMPUTED_VALUE"""),TRUE)</f>
        <v>1</v>
      </c>
      <c r="AR402" s="5"/>
      <c r="AS402" s="5" t="str">
        <f>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AT402" s="5"/>
      <c r="AU402" s="5" t="str">
        <f>IFERROR(__xludf.DUMMYFUNCTION("""COMPUTED_VALUE"""),"Fazi")</f>
        <v>Fazi</v>
      </c>
      <c r="AV402" s="5"/>
      <c r="AW402" s="5"/>
      <c r="AX402" s="5"/>
      <c r="AY402" s="5"/>
      <c r="AZ402" s="5"/>
      <c r="BA402" s="5" t="str">
        <f>IFERROR(__xludf.DUMMYFUNCTION("""COMPUTED_VALUE"""),"")</f>
        <v/>
      </c>
      <c r="BB402" s="5"/>
      <c r="BC402" s="5" t="str">
        <f>IFERROR(__xludf.DUMMYFUNCTION("""COMPUTED_VALUE"""),"Foxi")</f>
        <v>Foxi</v>
      </c>
      <c r="BD402" s="7" t="str">
        <f>IFERROR(__xludf.DUMMYFUNCTION("""COMPUTED_VALUE"""),"https://gameserver-store-client-area.orbionlimited.com/Home/IntegrationGameLaunch/client-area?moneyType=0&amp;gameName=CrownsAndStars&amp;platform=desktop&amp;languageCode=eng&amp;currency=EUR")</f>
        <v>https://gameserver-store-client-area.orbionlimited.com/Home/IntegrationGameLaunch/client-area?moneyType=0&amp;gameName=CrownsAndStars&amp;platform=desktop&amp;languageCode=eng&amp;currency=EUR</v>
      </c>
      <c r="BE402" s="5" t="b">
        <f>IFERROR(__xludf.DUMMYFUNCTION("""COMPUTED_VALUE"""),TRUE)</f>
        <v>1</v>
      </c>
    </row>
    <row r="403">
      <c r="A403" s="5">
        <f>IFERROR(__xludf.DUMMYFUNCTION("""COMPUTED_VALUE"""),414.0)</f>
        <v>414</v>
      </c>
      <c r="B403" s="5">
        <f>IFERROR(__xludf.DUMMYFUNCTION("""COMPUTED_VALUE"""),390.0)</f>
        <v>390</v>
      </c>
      <c r="C403" s="5" t="str">
        <f>IFERROR(__xludf.DUMMYFUNCTION("""COMPUTED_VALUE"""),"Playnet")</f>
        <v>Playnet</v>
      </c>
      <c r="D403" s="5" t="str">
        <f>IFERROR(__xludf.DUMMYFUNCTION("""COMPUTED_VALUE"""),"Fortune Clover x2")</f>
        <v>Fortune Clover x2</v>
      </c>
      <c r="E403" s="5" t="str">
        <f>IFERROR(__xludf.DUMMYFUNCTION("""COMPUTED_VALUE"""),"V4-2")</f>
        <v>V4-2</v>
      </c>
      <c r="F403" s="5" t="str">
        <f>IFERROR(__xludf.DUMMYFUNCTION("""COMPUTED_VALUE"""),"PlayNetFortuneCloverX2")</f>
        <v>PlayNetFortuneCloverX2</v>
      </c>
      <c r="G403" s="5" t="str">
        <f>IFERROR(__xludf.DUMMYFUNCTION("""COMPUTED_VALUE"""),"Live")</f>
        <v>Live</v>
      </c>
      <c r="H403" s="5"/>
      <c r="I403" s="5"/>
      <c r="J403" s="5" t="str">
        <f>IFERROR(__xludf.DUMMYFUNCTION("""COMPUTED_VALUE"""),"JSON")</f>
        <v>JSON</v>
      </c>
      <c r="K403" s="5" t="str">
        <f>IFERROR(__xludf.DUMMYFUNCTION("""COMPUTED_VALUE"""),"Slot")</f>
        <v>Slot</v>
      </c>
      <c r="L403" s="5" t="str">
        <f>IFERROR(__xludf.DUMMYFUNCTION("""COMPUTED_VALUE""")," Clone")</f>
        <v> Clone</v>
      </c>
      <c r="M403" s="5" t="str">
        <f>IFERROR(__xludf.DUMMYFUNCTION("""COMPUTED_VALUE"""),"Very Hot 5 Extreme")</f>
        <v>Very Hot 5 Extreme</v>
      </c>
      <c r="N403" s="5"/>
      <c r="O403" s="5"/>
      <c r="P403" s="12">
        <f>IFERROR(__xludf.DUMMYFUNCTION("""COMPUTED_VALUE"""),7.0)</f>
        <v>7</v>
      </c>
      <c r="Q403" s="13">
        <f>IFERROR(__xludf.DUMMYFUNCTION("""COMPUTED_VALUE"""),45685.0)</f>
        <v>45685</v>
      </c>
      <c r="R403" s="14">
        <f>IFERROR(__xludf.DUMMYFUNCTION("""COMPUTED_VALUE"""),45678.0)</f>
        <v>45678</v>
      </c>
      <c r="S403" s="13">
        <f>IFERROR(__xludf.DUMMYFUNCTION("""COMPUTED_VALUE"""),45685.0)</f>
        <v>45685</v>
      </c>
      <c r="T403" s="5" t="b">
        <f>IFERROR(__xludf.DUMMYFUNCTION("""COMPUTED_VALUE"""),TRUE)</f>
        <v>1</v>
      </c>
      <c r="U403" s="5" t="str">
        <f>IFERROR(__xludf.DUMMYFUNCTION("""COMPUTED_VALUE"""),"5x3")</f>
        <v>5x3</v>
      </c>
      <c r="V403" s="5">
        <f>IFERROR(__xludf.DUMMYFUNCTION("""COMPUTED_VALUE"""),5.0)</f>
        <v>5</v>
      </c>
      <c r="W403" s="5">
        <f>IFERROR(__xludf.DUMMYFUNCTION("""COMPUTED_VALUE"""),5.0)</f>
        <v>5</v>
      </c>
      <c r="X403" s="11">
        <f>IFERROR(__xludf.DUMMYFUNCTION("""COMPUTED_VALUE"""),96.453)</f>
        <v>96.453</v>
      </c>
      <c r="Y403" s="5" t="str">
        <f>IFERROR(__xludf.DUMMYFUNCTION("""COMPUTED_VALUE"""),"Medium")</f>
        <v>Medium</v>
      </c>
      <c r="Z403" s="5">
        <f>IFERROR(__xludf.DUMMYFUNCTION("""COMPUTED_VALUE"""),14.234)</f>
        <v>14.234</v>
      </c>
      <c r="AA403" s="5">
        <f>IFERROR(__xludf.DUMMYFUNCTION("""COMPUTED_VALUE"""),2624.0)</f>
        <v>2624</v>
      </c>
      <c r="AB403" s="5"/>
      <c r="AC403" s="5" t="str">
        <f>IFERROR(__xludf.DUMMYFUNCTION("""COMPUTED_VALUE"""),"Wild Multiplier, Expanding Wild, Scatter")</f>
        <v>Wild Multiplier, Expanding Wild, Scatter</v>
      </c>
      <c r="AD403" s="5" t="str">
        <f>IFERROR(__xludf.DUMMYFUNCTION("""COMPUTED_VALUE"""),"0.05/30")</f>
        <v>0.05/30</v>
      </c>
      <c r="AE403" s="5"/>
      <c r="AF403" s="5"/>
      <c r="AG403" s="8">
        <f>IFERROR(__xludf.DUMMYFUNCTION("""COMPUTED_VALUE"""),46220.501076388886)</f>
        <v>46220.50108</v>
      </c>
      <c r="AH403" s="5" t="str">
        <f>IFERROR(__xludf.DUMMYFUNCTION("""COMPUTED_VALUE"""),"selena.mihajlovic@fazi.rs")</f>
        <v>selena.mihajlovic@fazi.rs</v>
      </c>
      <c r="AI403" s="5"/>
      <c r="AJ403" s="5"/>
      <c r="AK403" s="5">
        <f>IFERROR(__xludf.DUMMYFUNCTION("""COMPUTED_VALUE"""),10.0)</f>
        <v>10</v>
      </c>
      <c r="AL403" s="5" t="str">
        <f>IFERROR(__xludf.DUMMYFUNCTION("""COMPUTED_VALUE"""),"No")</f>
        <v>No</v>
      </c>
      <c r="AM403" s="5" t="str">
        <f>IFERROR(__xludf.DUMMYFUNCTION("""COMPUTED_VALUE"""),"No")</f>
        <v>No</v>
      </c>
      <c r="AN403" s="7" t="str">
        <f>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AO403" s="5" t="str">
        <f>IFERROR(__xludf.DUMMYFUNCTION("""COMPUTED_VALUE"""),"No")</f>
        <v>No</v>
      </c>
      <c r="AP403" s="5" t="str">
        <f>IFERROR(__xludf.DUMMYFUNCTION("""COMPUTED_VALUE"""),"No")</f>
        <v>No</v>
      </c>
      <c r="AQ403" s="5" t="b">
        <f>IFERROR(__xludf.DUMMYFUNCTION("""COMPUTED_VALUE"""),TRUE)</f>
        <v>1</v>
      </c>
      <c r="AR403" s="5"/>
      <c r="AS403" s="5" t="str">
        <f>IFERROR(__xludf.DUMMYFUNCTION("""COMPUTED_VALUE"""),"Double the excitement with Fortune Clover x2! Land the special clover symbol and see how far your luck can take you!")</f>
        <v>Double the excitement with Fortune Clover x2! Land the special clover symbol and see how far your luck can take you!</v>
      </c>
      <c r="AT403" s="5"/>
      <c r="AU403" s="5" t="str">
        <f>IFERROR(__xludf.DUMMYFUNCTION("""COMPUTED_VALUE"""),"Fazi")</f>
        <v>Fazi</v>
      </c>
      <c r="AV403" s="5"/>
      <c r="AW403" s="5"/>
      <c r="AX403" s="5"/>
      <c r="AY403" s="5"/>
      <c r="AZ403" s="5"/>
      <c r="BA403" s="5"/>
      <c r="BB403" s="5" t="b">
        <f>IFERROR(__xludf.DUMMYFUNCTION("""COMPUTED_VALUE"""),TRUE)</f>
        <v>1</v>
      </c>
      <c r="BC403" s="5" t="str">
        <f>IFERROR(__xludf.DUMMYFUNCTION("""COMPUTED_VALUE"""),"Playnet")</f>
        <v>Playnet</v>
      </c>
      <c r="BD403" s="7" t="str">
        <f>IFERROR(__xludf.DUMMYFUNCTION("""COMPUTED_VALUE"""),"https://gameserver-store-client-area.orbionlimited.com/Home/IntegrationGameLaunch/client-area?moneyType=0&amp;gameName=PlayNetFortuneCloverX2&amp;platform=desktop&amp;languageCode=eng&amp;currency=EUR")</f>
        <v>https://gameserver-store-client-area.orbionlimited.com/Home/IntegrationGameLaunch/client-area?moneyType=0&amp;gameName=PlayNetFortuneCloverX2&amp;platform=desktop&amp;languageCode=eng&amp;currency=EUR</v>
      </c>
      <c r="BE403" s="5" t="b">
        <f>IFERROR(__xludf.DUMMYFUNCTION("""COMPUTED_VALUE"""),TRUE)</f>
        <v>1</v>
      </c>
    </row>
    <row r="404">
      <c r="A404" s="5">
        <f>IFERROR(__xludf.DUMMYFUNCTION("""COMPUTED_VALUE"""),415.0)</f>
        <v>415</v>
      </c>
      <c r="B404" s="5">
        <f>IFERROR(__xludf.DUMMYFUNCTION("""COMPUTED_VALUE"""),391.0)</f>
        <v>391</v>
      </c>
      <c r="C404" s="5" t="str">
        <f>IFERROR(__xludf.DUMMYFUNCTION("""COMPUTED_VALUE"""),"Playnet")</f>
        <v>Playnet</v>
      </c>
      <c r="D404" s="5" t="str">
        <f>IFERROR(__xludf.DUMMYFUNCTION("""COMPUTED_VALUE"""),"Diamond Heart X2")</f>
        <v>Diamond Heart X2</v>
      </c>
      <c r="E404" s="5" t="str">
        <f>IFERROR(__xludf.DUMMYFUNCTION("""COMPUTED_VALUE"""),"V4-2")</f>
        <v>V4-2</v>
      </c>
      <c r="F404" s="5" t="str">
        <f>IFERROR(__xludf.DUMMYFUNCTION("""COMPUTED_VALUE"""),"PlayNetDiamondHeartX2")</f>
        <v>PlayNetDiamondHeartX2</v>
      </c>
      <c r="G404" s="5" t="str">
        <f>IFERROR(__xludf.DUMMYFUNCTION("""COMPUTED_VALUE"""),"Live")</f>
        <v>Live</v>
      </c>
      <c r="H404" s="5"/>
      <c r="I404" s="5"/>
      <c r="J404" s="5" t="str">
        <f>IFERROR(__xludf.DUMMYFUNCTION("""COMPUTED_VALUE"""),"JSON")</f>
        <v>JSON</v>
      </c>
      <c r="K404" s="5" t="str">
        <f>IFERROR(__xludf.DUMMYFUNCTION("""COMPUTED_VALUE"""),"Slot")</f>
        <v>Slot</v>
      </c>
      <c r="L404" s="5" t="str">
        <f>IFERROR(__xludf.DUMMYFUNCTION("""COMPUTED_VALUE""")," Clone")</f>
        <v> Clone</v>
      </c>
      <c r="M404" s="5" t="str">
        <f>IFERROR(__xludf.DUMMYFUNCTION("""COMPUTED_VALUE"""),"Very Hot 5 Extreme")</f>
        <v>Very Hot 5 Extreme</v>
      </c>
      <c r="N404" s="5"/>
      <c r="O404" s="5"/>
      <c r="P404" s="12">
        <f>IFERROR(__xludf.DUMMYFUNCTION("""COMPUTED_VALUE"""),7.1)</f>
        <v>7.1</v>
      </c>
      <c r="Q404" s="13">
        <f>IFERROR(__xludf.DUMMYFUNCTION("""COMPUTED_VALUE"""),45692.0)</f>
        <v>45692</v>
      </c>
      <c r="R404" s="14">
        <f>IFERROR(__xludf.DUMMYFUNCTION("""COMPUTED_VALUE"""),45686.0)</f>
        <v>45686</v>
      </c>
      <c r="S404" s="13">
        <f>IFERROR(__xludf.DUMMYFUNCTION("""COMPUTED_VALUE"""),45692.0)</f>
        <v>45692</v>
      </c>
      <c r="T404" s="5" t="b">
        <f>IFERROR(__xludf.DUMMYFUNCTION("""COMPUTED_VALUE"""),TRUE)</f>
        <v>1</v>
      </c>
      <c r="U404" s="5" t="str">
        <f>IFERROR(__xludf.DUMMYFUNCTION("""COMPUTED_VALUE"""),"5x3")</f>
        <v>5x3</v>
      </c>
      <c r="V404" s="5">
        <f>IFERROR(__xludf.DUMMYFUNCTION("""COMPUTED_VALUE"""),5.0)</f>
        <v>5</v>
      </c>
      <c r="W404" s="5">
        <f>IFERROR(__xludf.DUMMYFUNCTION("""COMPUTED_VALUE"""),5.0)</f>
        <v>5</v>
      </c>
      <c r="X404" s="11">
        <f>IFERROR(__xludf.DUMMYFUNCTION("""COMPUTED_VALUE"""),96.453)</f>
        <v>96.453</v>
      </c>
      <c r="Y404" s="5" t="str">
        <f>IFERROR(__xludf.DUMMYFUNCTION("""COMPUTED_VALUE"""),"Medium")</f>
        <v>Medium</v>
      </c>
      <c r="Z404" s="5">
        <f>IFERROR(__xludf.DUMMYFUNCTION("""COMPUTED_VALUE"""),14.234)</f>
        <v>14.234</v>
      </c>
      <c r="AA404" s="5">
        <f>IFERROR(__xludf.DUMMYFUNCTION("""COMPUTED_VALUE"""),2624.0)</f>
        <v>2624</v>
      </c>
      <c r="AB404" s="5"/>
      <c r="AC404" s="5" t="str">
        <f>IFERROR(__xludf.DUMMYFUNCTION("""COMPUTED_VALUE"""),"Wild Multiplier, Expanding Wild, Scatter")</f>
        <v>Wild Multiplier, Expanding Wild, Scatter</v>
      </c>
      <c r="AD404" s="5" t="str">
        <f>IFERROR(__xludf.DUMMYFUNCTION("""COMPUTED_VALUE"""),"0.05/30")</f>
        <v>0.05/30</v>
      </c>
      <c r="AE404" s="5"/>
      <c r="AF404" s="5"/>
      <c r="AG404" s="8">
        <f>IFERROR(__xludf.DUMMYFUNCTION("""COMPUTED_VALUE"""),46220.501226851855)</f>
        <v>46220.50123</v>
      </c>
      <c r="AH404" s="5" t="str">
        <f>IFERROR(__xludf.DUMMYFUNCTION("""COMPUTED_VALUE"""),"selena.mihajlovic@fazi.rs")</f>
        <v>selena.mihajlovic@fazi.rs</v>
      </c>
      <c r="AI404" s="5"/>
      <c r="AJ404" s="5"/>
      <c r="AK404" s="5">
        <f>IFERROR(__xludf.DUMMYFUNCTION("""COMPUTED_VALUE"""),10.0)</f>
        <v>10</v>
      </c>
      <c r="AL404" s="5" t="str">
        <f>IFERROR(__xludf.DUMMYFUNCTION("""COMPUTED_VALUE"""),"No")</f>
        <v>No</v>
      </c>
      <c r="AM404" s="5" t="str">
        <f>IFERROR(__xludf.DUMMYFUNCTION("""COMPUTED_VALUE"""),"No")</f>
        <v>No</v>
      </c>
      <c r="AN404" s="7" t="str">
        <f>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AO404" s="5" t="str">
        <f>IFERROR(__xludf.DUMMYFUNCTION("""COMPUTED_VALUE"""),"No")</f>
        <v>No</v>
      </c>
      <c r="AP404" s="5" t="str">
        <f>IFERROR(__xludf.DUMMYFUNCTION("""COMPUTED_VALUE"""),"No")</f>
        <v>No</v>
      </c>
      <c r="AQ404" s="5" t="b">
        <f>IFERROR(__xludf.DUMMYFUNCTION("""COMPUTED_VALUE"""),TRUE)</f>
        <v>1</v>
      </c>
      <c r="AR404" s="5"/>
      <c r="AS404" s="5" t="str">
        <f>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AT404" s="5"/>
      <c r="AU404" s="5" t="str">
        <f>IFERROR(__xludf.DUMMYFUNCTION("""COMPUTED_VALUE"""),"Fazi")</f>
        <v>Fazi</v>
      </c>
      <c r="AV404" s="5"/>
      <c r="AW404" s="5"/>
      <c r="AX404" s="5"/>
      <c r="AY404" s="5"/>
      <c r="AZ404" s="5"/>
      <c r="BA404" s="5"/>
      <c r="BB404" s="5" t="b">
        <f>IFERROR(__xludf.DUMMYFUNCTION("""COMPUTED_VALUE"""),TRUE)</f>
        <v>1</v>
      </c>
      <c r="BC404" s="5" t="str">
        <f>IFERROR(__xludf.DUMMYFUNCTION("""COMPUTED_VALUE"""),"Playnet")</f>
        <v>Playnet</v>
      </c>
      <c r="BD404" s="7" t="str">
        <f>IFERROR(__xludf.DUMMYFUNCTION("""COMPUTED_VALUE"""),"https://gameserver-store-client-area.orbionlimited.com/Home/IntegrationGameLaunch/client-area?moneyType=0&amp;gameName=PlayNetDiamondHeartX2&amp;platform=desktop&amp;languageCode=eng&amp;currency=EUR")</f>
        <v>https://gameserver-store-client-area.orbionlimited.com/Home/IntegrationGameLaunch/client-area?moneyType=0&amp;gameName=PlayNetDiamondHeartX2&amp;platform=desktop&amp;languageCode=eng&amp;currency=EUR</v>
      </c>
      <c r="BE404" s="5" t="b">
        <f>IFERROR(__xludf.DUMMYFUNCTION("""COMPUTED_VALUE"""),TRUE)</f>
        <v>1</v>
      </c>
    </row>
    <row r="405">
      <c r="A405" s="5">
        <f>IFERROR(__xludf.DUMMYFUNCTION("""COMPUTED_VALUE"""),416.0)</f>
        <v>416</v>
      </c>
      <c r="B405" s="5">
        <f>IFERROR(__xludf.DUMMYFUNCTION("""COMPUTED_VALUE"""),392.0)</f>
        <v>392</v>
      </c>
      <c r="C405" s="5" t="str">
        <f>IFERROR(__xludf.DUMMYFUNCTION("""COMPUTED_VALUE"""),"Playnet")</f>
        <v>Playnet</v>
      </c>
      <c r="D405" s="5" t="str">
        <f>IFERROR(__xludf.DUMMYFUNCTION("""COMPUTED_VALUE"""),"Fortune Clover 100")</f>
        <v>Fortune Clover 100</v>
      </c>
      <c r="E405" s="5" t="str">
        <f>IFERROR(__xludf.DUMMYFUNCTION("""COMPUTED_VALUE"""),"V4-2")</f>
        <v>V4-2</v>
      </c>
      <c r="F405" s="5" t="str">
        <f>IFERROR(__xludf.DUMMYFUNCTION("""COMPUTED_VALUE"""),"PlayNetFortuneClover100")</f>
        <v>PlayNetFortuneClover100</v>
      </c>
      <c r="G405" s="5" t="str">
        <f>IFERROR(__xludf.DUMMYFUNCTION("""COMPUTED_VALUE"""),"Live")</f>
        <v>Live</v>
      </c>
      <c r="H405" s="5"/>
      <c r="I405" s="5"/>
      <c r="J405" s="5" t="str">
        <f>IFERROR(__xludf.DUMMYFUNCTION("""COMPUTED_VALUE"""),"JSON")</f>
        <v>JSON</v>
      </c>
      <c r="K405" s="5" t="str">
        <f>IFERROR(__xludf.DUMMYFUNCTION("""COMPUTED_VALUE"""),"Slot")</f>
        <v>Slot</v>
      </c>
      <c r="L405" s="5" t="str">
        <f>IFERROR(__xludf.DUMMYFUNCTION("""COMPUTED_VALUE""")," Clone")</f>
        <v> Clone</v>
      </c>
      <c r="M405" s="5" t="str">
        <f>IFERROR(__xludf.DUMMYFUNCTION("""COMPUTED_VALUE"""),"Epic Clover 100")</f>
        <v>Epic Clover 100</v>
      </c>
      <c r="N405" s="5"/>
      <c r="O405" s="5"/>
      <c r="P405" s="12">
        <f>IFERROR(__xludf.DUMMYFUNCTION("""COMPUTED_VALUE"""),7.3)</f>
        <v>7.3</v>
      </c>
      <c r="Q405" s="13">
        <f>IFERROR(__xludf.DUMMYFUNCTION("""COMPUTED_VALUE"""),45712.0)</f>
        <v>45712</v>
      </c>
      <c r="R405" s="14">
        <f>IFERROR(__xludf.DUMMYFUNCTION("""COMPUTED_VALUE"""),45705.0)</f>
        <v>45705</v>
      </c>
      <c r="S405" s="13">
        <f>IFERROR(__xludf.DUMMYFUNCTION("""COMPUTED_VALUE"""),45712.0)</f>
        <v>45712</v>
      </c>
      <c r="T405" s="5" t="b">
        <f>IFERROR(__xludf.DUMMYFUNCTION("""COMPUTED_VALUE"""),TRUE)</f>
        <v>1</v>
      </c>
      <c r="U405" s="5" t="str">
        <f>IFERROR(__xludf.DUMMYFUNCTION("""COMPUTED_VALUE"""),"5x4")</f>
        <v>5x4</v>
      </c>
      <c r="V405" s="5">
        <f>IFERROR(__xludf.DUMMYFUNCTION("""COMPUTED_VALUE"""),100.0)</f>
        <v>100</v>
      </c>
      <c r="W405" s="5">
        <f>IFERROR(__xludf.DUMMYFUNCTION("""COMPUTED_VALUE"""),100.0)</f>
        <v>100</v>
      </c>
      <c r="X405" s="11">
        <f>IFERROR(__xludf.DUMMYFUNCTION("""COMPUTED_VALUE"""),96.502)</f>
        <v>96.502</v>
      </c>
      <c r="Y405" s="5" t="str">
        <f>IFERROR(__xludf.DUMMYFUNCTION("""COMPUTED_VALUE"""),"Medium")</f>
        <v>Medium</v>
      </c>
      <c r="Z405" s="5">
        <f>IFERROR(__xludf.DUMMYFUNCTION("""COMPUTED_VALUE"""),13.309)</f>
        <v>13.309</v>
      </c>
      <c r="AA405" s="5">
        <f>IFERROR(__xludf.DUMMYFUNCTION("""COMPUTED_VALUE"""),3000.0)</f>
        <v>3000</v>
      </c>
      <c r="AB405" s="5"/>
      <c r="AC405" s="5" t="str">
        <f>IFERROR(__xludf.DUMMYFUNCTION("""COMPUTED_VALUE"""),"Expanding Wild, Scatter")</f>
        <v>Expanding Wild, Scatter</v>
      </c>
      <c r="AD405" s="5" t="str">
        <f>IFERROR(__xludf.DUMMYFUNCTION("""COMPUTED_VALUE"""),"1/100")</f>
        <v>1/100</v>
      </c>
      <c r="AE405" s="5"/>
      <c r="AF405" s="5"/>
      <c r="AG405" s="8">
        <f>IFERROR(__xludf.DUMMYFUNCTION("""COMPUTED_VALUE"""),46220.50140046296)</f>
        <v>46220.5014</v>
      </c>
      <c r="AH405" s="5" t="str">
        <f>IFERROR(__xludf.DUMMYFUNCTION("""COMPUTED_VALUE"""),"selena.mihajlovic@fazi.rs")</f>
        <v>selena.mihajlovic@fazi.rs</v>
      </c>
      <c r="AI405" s="5"/>
      <c r="AJ405" s="5"/>
      <c r="AK405" s="5">
        <f>IFERROR(__xludf.DUMMYFUNCTION("""COMPUTED_VALUE"""),10.0)</f>
        <v>10</v>
      </c>
      <c r="AL405" s="5" t="str">
        <f>IFERROR(__xludf.DUMMYFUNCTION("""COMPUTED_VALUE"""),"No")</f>
        <v>No</v>
      </c>
      <c r="AM405" s="5" t="str">
        <f>IFERROR(__xludf.DUMMYFUNCTION("""COMPUTED_VALUE"""),"No")</f>
        <v>No</v>
      </c>
      <c r="AN405" s="7" t="str">
        <f>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AO405" s="5" t="str">
        <f>IFERROR(__xludf.DUMMYFUNCTION("""COMPUTED_VALUE"""),"No")</f>
        <v>No</v>
      </c>
      <c r="AP405" s="5" t="str">
        <f>IFERROR(__xludf.DUMMYFUNCTION("""COMPUTED_VALUE"""),"No")</f>
        <v>No</v>
      </c>
      <c r="AQ405" s="5" t="b">
        <f>IFERROR(__xludf.DUMMYFUNCTION("""COMPUTED_VALUE"""),TRUE)</f>
        <v>1</v>
      </c>
      <c r="AR405" s="5"/>
      <c r="AS405" s="5" t="str">
        <f>IFERROR(__xludf.DUMMYFUNCTION("""COMPUTED_VALUE"""),"With 100 active lines, Fortune Clover 100 is packed with action. Let the clovers guide you to incredible rewards!")</f>
        <v>With 100 active lines, Fortune Clover 100 is packed with action. Let the clovers guide you to incredible rewards!</v>
      </c>
      <c r="AT405" s="5"/>
      <c r="AU405" s="5" t="str">
        <f>IFERROR(__xludf.DUMMYFUNCTION("""COMPUTED_VALUE"""),"Fazi")</f>
        <v>Fazi</v>
      </c>
      <c r="AV405" s="5"/>
      <c r="AW405" s="5"/>
      <c r="AX405" s="5"/>
      <c r="AY405" s="5"/>
      <c r="AZ405" s="5"/>
      <c r="BA405" s="5"/>
      <c r="BB405" s="5" t="b">
        <f>IFERROR(__xludf.DUMMYFUNCTION("""COMPUTED_VALUE"""),TRUE)</f>
        <v>1</v>
      </c>
      <c r="BC405" s="5" t="str">
        <f>IFERROR(__xludf.DUMMYFUNCTION("""COMPUTED_VALUE"""),"Playnet")</f>
        <v>Playnet</v>
      </c>
      <c r="BD405" s="7" t="str">
        <f>IFERROR(__xludf.DUMMYFUNCTION("""COMPUTED_VALUE"""),"https://gameserver-store-client-area.orbionlimited.com/Home/IntegrationGameLaunch/client-area?moneyType=0&amp;gameName=PlayNetFortuneClover100&amp;platform=desktop&amp;languageCode=eng&amp;currency=EUR")</f>
        <v>https://gameserver-store-client-area.orbionlimited.com/Home/IntegrationGameLaunch/client-area?moneyType=0&amp;gameName=PlayNetFortuneClover100&amp;platform=desktop&amp;languageCode=eng&amp;currency=EUR</v>
      </c>
      <c r="BE405" s="5" t="b">
        <f>IFERROR(__xludf.DUMMYFUNCTION("""COMPUTED_VALUE"""),TRUE)</f>
        <v>1</v>
      </c>
    </row>
    <row r="406">
      <c r="A406" s="5">
        <f>IFERROR(__xludf.DUMMYFUNCTION("""COMPUTED_VALUE"""),417.0)</f>
        <v>417</v>
      </c>
      <c r="B406" s="5">
        <f>IFERROR(__xludf.DUMMYFUNCTION("""COMPUTED_VALUE"""),180002.0)</f>
        <v>180002</v>
      </c>
      <c r="C406" s="5" t="str">
        <f>IFERROR(__xludf.DUMMYFUNCTION("""COMPUTED_VALUE"""),"Redstone")</f>
        <v>Redstone</v>
      </c>
      <c r="D406" s="5" t="str">
        <f>IFERROR(__xludf.DUMMYFUNCTION("""COMPUTED_VALUE"""),"Cosmic Sevens")</f>
        <v>Cosmic Sevens</v>
      </c>
      <c r="E406" s="5" t="str">
        <f>IFERROR(__xludf.DUMMYFUNCTION("""COMPUTED_VALUE"""),"Redstone")</f>
        <v>Redstone</v>
      </c>
      <c r="F406" s="5" t="str">
        <f>IFERROR(__xludf.DUMMYFUNCTION("""COMPUTED_VALUE"""),"RedstoneCosmicSevens")</f>
        <v>RedstoneCosmicSevens</v>
      </c>
      <c r="G406" s="5" t="str">
        <f>IFERROR(__xludf.DUMMYFUNCTION("""COMPUTED_VALUE"""),"Live")</f>
        <v>Live</v>
      </c>
      <c r="H406" s="5"/>
      <c r="I406" s="5" t="str">
        <f>IFERROR(__xludf.DUMMYFUNCTION("""COMPUTED_VALUE"""),"Redstone")</f>
        <v>Redstone</v>
      </c>
      <c r="J406" s="5" t="str">
        <f>IFERROR(__xludf.DUMMYFUNCTION("""COMPUTED_VALUE"""),"JSON")</f>
        <v>JSON</v>
      </c>
      <c r="K406" s="5" t="str">
        <f>IFERROR(__xludf.DUMMYFUNCTION("""COMPUTED_VALUE"""),"Slot")</f>
        <v>Slot</v>
      </c>
      <c r="L406" s="5" t="str">
        <f>IFERROR(__xludf.DUMMYFUNCTION("""COMPUTED_VALUE"""),"Master")</f>
        <v>Master</v>
      </c>
      <c r="M406" s="5"/>
      <c r="N406" s="7" t="str">
        <f>IFERROR(__xludf.DUMMYFUNCTION("""COMPUTED_VALUE"""),"https://drive.google.com/file/d/1hY7sDKOVoR3lt4VsKh-H2CdHH5RM6AJ1/view?usp=drive_link")</f>
        <v>https://drive.google.com/file/d/1hY7sDKOVoR3lt4VsKh-H2CdHH5RM6AJ1/view?usp=drive_link</v>
      </c>
      <c r="O406" s="7" t="str">
        <f>IFERROR(__xludf.DUMMYFUNCTION("""COMPUTED_VALUE"""),"https://drive.google.com/file/d/16oPbWrM8ByDIEHp6tJjyzjJKpxREI28r/view?usp=drive_link")</f>
        <v>https://drive.google.com/file/d/16oPbWrM8ByDIEHp6tJjyzjJKpxREI28r/view?usp=drive_link</v>
      </c>
      <c r="P406" s="12">
        <f>IFERROR(__xludf.DUMMYFUNCTION("""COMPUTED_VALUE"""),12.2)</f>
        <v>12.2</v>
      </c>
      <c r="Q406" s="13">
        <f>IFERROR(__xludf.DUMMYFUNCTION("""COMPUTED_VALUE"""),45678.0)</f>
        <v>45678</v>
      </c>
      <c r="R406" s="14">
        <f>IFERROR(__xludf.DUMMYFUNCTION("""COMPUTED_VALUE"""),45671.0)</f>
        <v>45671</v>
      </c>
      <c r="S406" s="13">
        <f>IFERROR(__xludf.DUMMYFUNCTION("""COMPUTED_VALUE"""),45678.0)</f>
        <v>45678</v>
      </c>
      <c r="T406" s="5"/>
      <c r="U406" s="5" t="str">
        <f>IFERROR(__xludf.DUMMYFUNCTION("""COMPUTED_VALUE"""),"5x3")</f>
        <v>5x3</v>
      </c>
      <c r="V406" s="5">
        <f>IFERROR(__xludf.DUMMYFUNCTION("""COMPUTED_VALUE"""),10.0)</f>
        <v>10</v>
      </c>
      <c r="W406" s="5">
        <f>IFERROR(__xludf.DUMMYFUNCTION("""COMPUTED_VALUE"""),10.0)</f>
        <v>10</v>
      </c>
      <c r="X406" s="11">
        <f>IFERROR(__xludf.DUMMYFUNCTION("""COMPUTED_VALUE"""),96.03)</f>
        <v>96.03</v>
      </c>
      <c r="Y406" s="5" t="str">
        <f>IFERROR(__xludf.DUMMYFUNCTION("""COMPUTED_VALUE"""),"Medium")</f>
        <v>Medium</v>
      </c>
      <c r="Z406" s="5">
        <f>IFERROR(__xludf.DUMMYFUNCTION("""COMPUTED_VALUE"""),18.71)</f>
        <v>18.71</v>
      </c>
      <c r="AA406" s="5">
        <f>IFERROR(__xludf.DUMMYFUNCTION("""COMPUTED_VALUE"""),3000.0)</f>
        <v>3000</v>
      </c>
      <c r="AB406" s="5"/>
      <c r="AC406" s="5" t="str">
        <f>IFERROR(__xludf.DUMMYFUNCTION("""COMPUTED_VALUE"""),"Expanding Wild, Scatter")</f>
        <v>Expanding Wild, Scatter</v>
      </c>
      <c r="AD406" s="5" t="str">
        <f>IFERROR(__xludf.DUMMYFUNCTION("""COMPUTED_VALUE"""),"0.10/100")</f>
        <v>0.10/100</v>
      </c>
      <c r="AE406" s="5"/>
      <c r="AF406" s="5"/>
      <c r="AG406" s="8">
        <f>IFERROR(__xludf.DUMMYFUNCTION("""COMPUTED_VALUE"""),46157.492731481485)</f>
        <v>46157.49273</v>
      </c>
      <c r="AH406" s="5"/>
      <c r="AI406" s="13"/>
      <c r="AJ406" s="5"/>
      <c r="AK406" s="5">
        <f>IFERROR(__xludf.DUMMYFUNCTION("""COMPUTED_VALUE"""),1.0)</f>
        <v>1</v>
      </c>
      <c r="AL406" s="5" t="str">
        <f>IFERROR(__xludf.DUMMYFUNCTION("""COMPUTED_VALUE"""),"No")</f>
        <v>No</v>
      </c>
      <c r="AM406" s="5" t="str">
        <f>IFERROR(__xludf.DUMMYFUNCTION("""COMPUTED_VALUE"""),"No")</f>
        <v>No</v>
      </c>
      <c r="AN406" s="7" t="str">
        <f>IFERROR(__xludf.DUMMYFUNCTION("""COMPUTED_VALUE"""),"https://static.redstone.rs/games/cosmic-sevens/")</f>
        <v>https://static.redstone.rs/games/cosmic-sevens/</v>
      </c>
      <c r="AO406" s="5" t="str">
        <f>IFERROR(__xludf.DUMMYFUNCTION("""COMPUTED_VALUE"""),"No")</f>
        <v>No</v>
      </c>
      <c r="AP406" s="5" t="str">
        <f>IFERROR(__xludf.DUMMYFUNCTION("""COMPUTED_VALUE"""),"No")</f>
        <v>No</v>
      </c>
      <c r="AQ406" s="5" t="b">
        <f>IFERROR(__xludf.DUMMYFUNCTION("""COMPUTED_VALUE"""),TRUE)</f>
        <v>1</v>
      </c>
      <c r="AR406" s="5"/>
      <c r="AS406" s="5" t="str">
        <f>IFERROR(__xludf.DUMMYFUNCTION("""COMPUTED_VALUE"""),"Spin to the stars and beyond with Cosmic Sevens! Land a seven, expand the wilds and aim for a massive 3000x win!")</f>
        <v>Spin to the stars and beyond with Cosmic Sevens! Land a seven, expand the wilds and aim for a massive 3000x win!</v>
      </c>
      <c r="AT406" s="5"/>
      <c r="AU406" s="5" t="str">
        <f>IFERROR(__xludf.DUMMYFUNCTION("""COMPUTED_VALUE"""),"Redstone")</f>
        <v>Redstone</v>
      </c>
      <c r="AV406" s="5"/>
      <c r="AW406" s="5"/>
      <c r="AX406" s="5"/>
      <c r="AY406" s="5"/>
      <c r="AZ406" s="5"/>
      <c r="BA406" s="5"/>
      <c r="BB406" s="5" t="b">
        <f>IFERROR(__xludf.DUMMYFUNCTION("""COMPUTED_VALUE"""),TRUE)</f>
        <v>1</v>
      </c>
      <c r="BC406" s="5" t="str">
        <f>IFERROR(__xludf.DUMMYFUNCTION("""COMPUTED_VALUE"""),"Redstone")</f>
        <v>Redstone</v>
      </c>
      <c r="BD406" s="7" t="str">
        <f>IFERROR(__xludf.DUMMYFUNCTION("""COMPUTED_VALUE"""),"https://static.redstone.rs/games/cosmic-sevens/")</f>
        <v>https://static.redstone.rs/games/cosmic-sevens/</v>
      </c>
      <c r="BE406" s="5" t="b">
        <f>IFERROR(__xludf.DUMMYFUNCTION("""COMPUTED_VALUE"""),TRUE)</f>
        <v>1</v>
      </c>
    </row>
    <row r="407">
      <c r="A407" s="5">
        <f>IFERROR(__xludf.DUMMYFUNCTION("""COMPUTED_VALUE"""),418.0)</f>
        <v>418</v>
      </c>
      <c r="B407" s="5">
        <f>IFERROR(__xludf.DUMMYFUNCTION("""COMPUTED_VALUE"""),369.0)</f>
        <v>369</v>
      </c>
      <c r="C407" s="5" t="str">
        <f>IFERROR(__xludf.DUMMYFUNCTION("""COMPUTED_VALUE"""),"Tiptop")</f>
        <v>Tiptop</v>
      </c>
      <c r="D407" s="5" t="str">
        <f>IFERROR(__xludf.DUMMYFUNCTION("""COMPUTED_VALUE"""),"20 Hot Strike Dice Jackpot")</f>
        <v>20 Hot Strike Dice Jackpot</v>
      </c>
      <c r="E407" s="5" t="str">
        <f>IFERROR(__xludf.DUMMYFUNCTION("""COMPUTED_VALUE"""),"V4-2")</f>
        <v>V4-2</v>
      </c>
      <c r="F407" s="5" t="str">
        <f>IFERROR(__xludf.DUMMYFUNCTION("""COMPUTED_VALUE"""),"Unicorn20HotStrikeDiceJackpot")</f>
        <v>Unicorn20HotStrikeDiceJackpot</v>
      </c>
      <c r="G407" s="5" t="str">
        <f>IFERROR(__xludf.DUMMYFUNCTION("""COMPUTED_VALUE"""),"Live")</f>
        <v>Live</v>
      </c>
      <c r="H407" s="5"/>
      <c r="I407" s="5" t="str">
        <f>IFERROR(__xludf.DUMMYFUNCTION("""COMPUTED_VALUE"""),"TipTop")</f>
        <v>TipTop</v>
      </c>
      <c r="J407" s="5" t="str">
        <f>IFERROR(__xludf.DUMMYFUNCTION("""COMPUTED_VALUE"""),"JSON")</f>
        <v>JSON</v>
      </c>
      <c r="K407" s="5" t="str">
        <f>IFERROR(__xludf.DUMMYFUNCTION("""COMPUTED_VALUE"""),"Dice Slots")</f>
        <v>Dice Slots</v>
      </c>
      <c r="L407" s="5" t="str">
        <f>IFERROR(__xludf.DUMMYFUNCTION("""COMPUTED_VALUE""")," Clone")</f>
        <v> Clone</v>
      </c>
      <c r="M407" s="5" t="str">
        <f>IFERROR(__xludf.DUMMYFUNCTION("""COMPUTED_VALUE"""),"Unicorn 20 Hot Strike Jackpot")</f>
        <v>Unicorn 20 Hot Strike Jackpot</v>
      </c>
      <c r="N407" s="5"/>
      <c r="O407" s="5"/>
      <c r="P407" s="12">
        <f>IFERROR(__xludf.DUMMYFUNCTION("""COMPUTED_VALUE"""),13.1)</f>
        <v>13.1</v>
      </c>
      <c r="Q407" s="13">
        <f>IFERROR(__xludf.DUMMYFUNCTION("""COMPUTED_VALUE"""),45679.0)</f>
        <v>45679</v>
      </c>
      <c r="R407" s="14">
        <f>IFERROR(__xludf.DUMMYFUNCTION("""COMPUTED_VALUE"""),45672.0)</f>
        <v>45672</v>
      </c>
      <c r="S407" s="13">
        <f>IFERROR(__xludf.DUMMYFUNCTION("""COMPUTED_VALUE"""),45679.0)</f>
        <v>45679</v>
      </c>
      <c r="T407" s="5"/>
      <c r="U407" s="5" t="str">
        <f>IFERROR(__xludf.DUMMYFUNCTION("""COMPUTED_VALUE"""),"5x3")</f>
        <v>5x3</v>
      </c>
      <c r="V407" s="5">
        <f>IFERROR(__xludf.DUMMYFUNCTION("""COMPUTED_VALUE"""),20.0)</f>
        <v>20</v>
      </c>
      <c r="W407" s="5">
        <f>IFERROR(__xludf.DUMMYFUNCTION("""COMPUTED_VALUE"""),20.0)</f>
        <v>20</v>
      </c>
      <c r="X407" s="11">
        <f>IFERROR(__xludf.DUMMYFUNCTION("""COMPUTED_VALUE"""),96.0)</f>
        <v>96</v>
      </c>
      <c r="Y407" s="5" t="str">
        <f>IFERROR(__xludf.DUMMYFUNCTION("""COMPUTED_VALUE"""),"Low")</f>
        <v>Low</v>
      </c>
      <c r="Z407" s="5">
        <f>IFERROR(__xludf.DUMMYFUNCTION("""COMPUTED_VALUE"""),14.46)</f>
        <v>14.46</v>
      </c>
      <c r="AA407" s="5">
        <f>IFERROR(__xludf.DUMMYFUNCTION("""COMPUTED_VALUE"""),10000.0)</f>
        <v>10000</v>
      </c>
      <c r="AB407" s="5"/>
      <c r="AC407" s="5"/>
      <c r="AD407" s="5" t="str">
        <f>IFERROR(__xludf.DUMMYFUNCTION("""COMPUTED_VALUE"""),"0.2/100")</f>
        <v>0.2/100</v>
      </c>
      <c r="AE407" s="5"/>
      <c r="AF407" s="5"/>
      <c r="AG407" s="8">
        <f>IFERROR(__xludf.DUMMYFUNCTION("""COMPUTED_VALUE"""),46197.49244212963)</f>
        <v>46197.49244</v>
      </c>
      <c r="AH407" s="5" t="str">
        <f>IFERROR(__xludf.DUMMYFUNCTION("""COMPUTED_VALUE"""),"selena.mihajlovic@fazi.rs")</f>
        <v>selena.mihajlovic@fazi.rs</v>
      </c>
      <c r="AI407" s="13"/>
      <c r="AJ407" s="5"/>
      <c r="AK407" s="5">
        <f>IFERROR(__xludf.DUMMYFUNCTION("""COMPUTED_VALUE"""),20.0)</f>
        <v>20</v>
      </c>
      <c r="AL407" s="5" t="str">
        <f>IFERROR(__xludf.DUMMYFUNCTION("""COMPUTED_VALUE"""),"No")</f>
        <v>No</v>
      </c>
      <c r="AM407" s="5"/>
      <c r="AN407" s="7" t="str">
        <f>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AO407" s="5"/>
      <c r="AP407" s="5"/>
      <c r="AQ407" s="5" t="b">
        <f>IFERROR(__xludf.DUMMYFUNCTION("""COMPUTED_VALUE"""),TRUE)</f>
        <v>1</v>
      </c>
      <c r="AR407" s="5"/>
      <c r="AS407"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407" s="5"/>
      <c r="AU407" s="5" t="str">
        <f>IFERROR(__xludf.DUMMYFUNCTION("""COMPUTED_VALUE"""),"Fazi")</f>
        <v>Fazi</v>
      </c>
      <c r="AV407" s="5"/>
      <c r="AW407" s="5"/>
      <c r="AX407" s="5"/>
      <c r="AY407" s="5"/>
      <c r="AZ407" s="5"/>
      <c r="BA407" s="5"/>
      <c r="BB407" s="5" t="b">
        <f>IFERROR(__xludf.DUMMYFUNCTION("""COMPUTED_VALUE"""),TRUE)</f>
        <v>1</v>
      </c>
      <c r="BC407" s="5" t="str">
        <f>IFERROR(__xludf.DUMMYFUNCTION("""COMPUTED_VALUE"""),"Tiptop")</f>
        <v>Tiptop</v>
      </c>
      <c r="BD407" s="7" t="str">
        <f>IFERROR(__xludf.DUMMYFUNCTION("""COMPUTED_VALUE"""),"https://gameserver-store-client-area.orbionlimited.com/Home/IntegrationGameLaunch/client-area?moneyType=0&amp;gameName=Unicorn20HotStrikeDiceJackpot&amp;platform=desktop&amp;languageCode=eng&amp;currency=EUR")</f>
        <v>https://gameserver-store-client-area.orbionlimited.com/Home/IntegrationGameLaunch/client-area?moneyType=0&amp;gameName=Unicorn20HotStrikeDiceJackpot&amp;platform=desktop&amp;languageCode=eng&amp;currency=EUR</v>
      </c>
      <c r="BE407" s="5" t="b">
        <f>IFERROR(__xludf.DUMMYFUNCTION("""COMPUTED_VALUE"""),TRUE)</f>
        <v>1</v>
      </c>
    </row>
    <row r="408">
      <c r="A408" s="5">
        <f>IFERROR(__xludf.DUMMYFUNCTION("""COMPUTED_VALUE"""),419.0)</f>
        <v>419</v>
      </c>
      <c r="B408" s="5">
        <f>IFERROR(__xludf.DUMMYFUNCTION("""COMPUTED_VALUE"""),389.0)</f>
        <v>389</v>
      </c>
      <c r="C408" s="5" t="str">
        <f>IFERROR(__xludf.DUMMYFUNCTION("""COMPUTED_VALUE"""),"Tiptop")</f>
        <v>Tiptop</v>
      </c>
      <c r="D408" s="5" t="str">
        <f>IFERROR(__xludf.DUMMYFUNCTION("""COMPUTED_VALUE"""),"Dice Machine")</f>
        <v>Dice Machine</v>
      </c>
      <c r="E408" s="5" t="str">
        <f>IFERROR(__xludf.DUMMYFUNCTION("""COMPUTED_VALUE"""),"V4-2")</f>
        <v>V4-2</v>
      </c>
      <c r="F408" s="5" t="str">
        <f>IFERROR(__xludf.DUMMYFUNCTION("""COMPUTED_VALUE"""),"UnicornDiceMachine")</f>
        <v>UnicornDiceMachine</v>
      </c>
      <c r="G408" s="5" t="str">
        <f>IFERROR(__xludf.DUMMYFUNCTION("""COMPUTED_VALUE"""),"Live")</f>
        <v>Live</v>
      </c>
      <c r="H408" s="5"/>
      <c r="I408" s="5" t="str">
        <f>IFERROR(__xludf.DUMMYFUNCTION("""COMPUTED_VALUE"""),"TipTop")</f>
        <v>TipTop</v>
      </c>
      <c r="J408" s="5" t="str">
        <f>IFERROR(__xludf.DUMMYFUNCTION("""COMPUTED_VALUE"""),"JSON")</f>
        <v>JSON</v>
      </c>
      <c r="K408" s="5" t="str">
        <f>IFERROR(__xludf.DUMMYFUNCTION("""COMPUTED_VALUE"""),"Dice Slots")</f>
        <v>Dice Slots</v>
      </c>
      <c r="L408" s="5" t="str">
        <f>IFERROR(__xludf.DUMMYFUNCTION("""COMPUTED_VALUE""")," Clone")</f>
        <v> Clone</v>
      </c>
      <c r="M408" s="5" t="str">
        <f>IFERROR(__xludf.DUMMYFUNCTION("""COMPUTED_VALUE"""),"Froot Machine")</f>
        <v>Froot Machine</v>
      </c>
      <c r="N408" s="5"/>
      <c r="O408" s="5"/>
      <c r="P408" s="12">
        <f>IFERROR(__xludf.DUMMYFUNCTION("""COMPUTED_VALUE"""),10.9)</f>
        <v>10.9</v>
      </c>
      <c r="Q408" s="13">
        <f>IFERROR(__xludf.DUMMYFUNCTION("""COMPUTED_VALUE"""),45687.0)</f>
        <v>45687</v>
      </c>
      <c r="R408" s="14">
        <f>IFERROR(__xludf.DUMMYFUNCTION("""COMPUTED_VALUE"""),45680.0)</f>
        <v>45680</v>
      </c>
      <c r="S408" s="13">
        <f>IFERROR(__xludf.DUMMYFUNCTION("""COMPUTED_VALUE"""),45687.0)</f>
        <v>45687</v>
      </c>
      <c r="T408" s="5"/>
      <c r="U408" s="5" t="str">
        <f>IFERROR(__xludf.DUMMYFUNCTION("""COMPUTED_VALUE"""),"5x3")</f>
        <v>5x3</v>
      </c>
      <c r="V408" s="5">
        <f>IFERROR(__xludf.DUMMYFUNCTION("""COMPUTED_VALUE"""),5.0)</f>
        <v>5</v>
      </c>
      <c r="W408" s="5">
        <f>IFERROR(__xludf.DUMMYFUNCTION("""COMPUTED_VALUE"""),5.0)</f>
        <v>5</v>
      </c>
      <c r="X408" s="11">
        <f>IFERROR(__xludf.DUMMYFUNCTION("""COMPUTED_VALUE"""),96.0)</f>
        <v>96</v>
      </c>
      <c r="Y408" s="5" t="str">
        <f>IFERROR(__xludf.DUMMYFUNCTION("""COMPUTED_VALUE"""),"Low")</f>
        <v>Low</v>
      </c>
      <c r="Z408" s="5">
        <f>IFERROR(__xludf.DUMMYFUNCTION("""COMPUTED_VALUE"""),10.5)</f>
        <v>10.5</v>
      </c>
      <c r="AA408" s="5">
        <f>IFERROR(__xludf.DUMMYFUNCTION("""COMPUTED_VALUE"""),1000.0)</f>
        <v>1000</v>
      </c>
      <c r="AB408" s="5"/>
      <c r="AC408" s="5"/>
      <c r="AD408" s="5" t="str">
        <f>IFERROR(__xludf.DUMMYFUNCTION("""COMPUTED_VALUE"""),"0.05/100")</f>
        <v>0.05/100</v>
      </c>
      <c r="AE408" s="5"/>
      <c r="AF408" s="5"/>
      <c r="AG408" s="8">
        <f>IFERROR(__xludf.DUMMYFUNCTION("""COMPUTED_VALUE"""),46197.49259259259)</f>
        <v>46197.49259</v>
      </c>
      <c r="AH408" s="5" t="str">
        <f>IFERROR(__xludf.DUMMYFUNCTION("""COMPUTED_VALUE"""),"selena.mihajlovic@fazi.rs")</f>
        <v>selena.mihajlovic@fazi.rs</v>
      </c>
      <c r="AI408" s="13"/>
      <c r="AJ408" s="5"/>
      <c r="AK408" s="5">
        <f>IFERROR(__xludf.DUMMYFUNCTION("""COMPUTED_VALUE"""),5.0)</f>
        <v>5</v>
      </c>
      <c r="AL408" s="5" t="str">
        <f>IFERROR(__xludf.DUMMYFUNCTION("""COMPUTED_VALUE"""),"No")</f>
        <v>No</v>
      </c>
      <c r="AM408" s="5"/>
      <c r="AN408" s="7" t="str">
        <f>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AO408" s="5"/>
      <c r="AP408" s="5"/>
      <c r="AQ408" s="5" t="b">
        <f>IFERROR(__xludf.DUMMYFUNCTION("""COMPUTED_VALUE"""),TRUE)</f>
        <v>1</v>
      </c>
      <c r="AR408" s="5"/>
      <c r="AS408" s="5" t="str">
        <f>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AT408" s="5"/>
      <c r="AU408" s="5" t="str">
        <f>IFERROR(__xludf.DUMMYFUNCTION("""COMPUTED_VALUE"""),"Fazi")</f>
        <v>Fazi</v>
      </c>
      <c r="AV408" s="5"/>
      <c r="AW408" s="5"/>
      <c r="AX408" s="5"/>
      <c r="AY408" s="5"/>
      <c r="AZ408" s="5"/>
      <c r="BA408" s="5"/>
      <c r="BB408" s="5" t="b">
        <f>IFERROR(__xludf.DUMMYFUNCTION("""COMPUTED_VALUE"""),TRUE)</f>
        <v>1</v>
      </c>
      <c r="BC408" s="5" t="str">
        <f>IFERROR(__xludf.DUMMYFUNCTION("""COMPUTED_VALUE"""),"Tiptop")</f>
        <v>Tiptop</v>
      </c>
      <c r="BD408" s="7" t="str">
        <f>IFERROR(__xludf.DUMMYFUNCTION("""COMPUTED_VALUE"""),"https://gameserver-store-client-area.orbionlimited.com/Home/IntegrationGameLaunch/client-area?moneyType=0&amp;gameName=UnicornDiceMachine&amp;platform=desktop&amp;languageCode=eng&amp;currency=EUR")</f>
        <v>https://gameserver-store-client-area.orbionlimited.com/Home/IntegrationGameLaunch/client-area?moneyType=0&amp;gameName=UnicornDiceMachine&amp;platform=desktop&amp;languageCode=eng&amp;currency=EUR</v>
      </c>
      <c r="BE408" s="5" t="b">
        <f>IFERROR(__xludf.DUMMYFUNCTION("""COMPUTED_VALUE"""),TRUE)</f>
        <v>1</v>
      </c>
    </row>
    <row r="409">
      <c r="A409" s="5">
        <f>IFERROR(__xludf.DUMMYFUNCTION("""COMPUTED_VALUE"""),421.0)</f>
        <v>421</v>
      </c>
      <c r="B409" s="5">
        <f>IFERROR(__xludf.DUMMYFUNCTION("""COMPUTED_VALUE"""),180004.0)</f>
        <v>180004</v>
      </c>
      <c r="C409" s="5" t="str">
        <f>IFERROR(__xludf.DUMMYFUNCTION("""COMPUTED_VALUE"""),"Redstone")</f>
        <v>Redstone</v>
      </c>
      <c r="D409" s="5" t="str">
        <f>IFERROR(__xludf.DUMMYFUNCTION("""COMPUTED_VALUE"""),"Clover Royale")</f>
        <v>Clover Royale</v>
      </c>
      <c r="E409" s="5" t="str">
        <f>IFERROR(__xludf.DUMMYFUNCTION("""COMPUTED_VALUE"""),"Redstone")</f>
        <v>Redstone</v>
      </c>
      <c r="F409" s="5" t="str">
        <f>IFERROR(__xludf.DUMMYFUNCTION("""COMPUTED_VALUE"""),"RedstoneCloverRoyale")</f>
        <v>RedstoneCloverRoyale</v>
      </c>
      <c r="G409" s="5" t="str">
        <f>IFERROR(__xludf.DUMMYFUNCTION("""COMPUTED_VALUE"""),"Live")</f>
        <v>Live</v>
      </c>
      <c r="H409" s="5"/>
      <c r="I409" s="5" t="str">
        <f>IFERROR(__xludf.DUMMYFUNCTION("""COMPUTED_VALUE"""),"Redstone")</f>
        <v>Redstone</v>
      </c>
      <c r="J409" s="5" t="str">
        <f>IFERROR(__xludf.DUMMYFUNCTION("""COMPUTED_VALUE"""),"JSON")</f>
        <v>JSON</v>
      </c>
      <c r="K409" s="5" t="str">
        <f>IFERROR(__xludf.DUMMYFUNCTION("""COMPUTED_VALUE"""),"Slot")</f>
        <v>Slot</v>
      </c>
      <c r="L409" s="5" t="str">
        <f>IFERROR(__xludf.DUMMYFUNCTION("""COMPUTED_VALUE"""),"Master")</f>
        <v>Master</v>
      </c>
      <c r="M409" s="5"/>
      <c r="N409" s="7" t="str">
        <f>IFERROR(__xludf.DUMMYFUNCTION("""COMPUTED_VALUE"""),"https://drive.google.com/file/d/1W_BPHrrUARyMXmK7K4qDLrMjxipREg4L/view?usp=drive_link")</f>
        <v>https://drive.google.com/file/d/1W_BPHrrUARyMXmK7K4qDLrMjxipREg4L/view?usp=drive_link</v>
      </c>
      <c r="O409" s="7" t="str">
        <f>IFERROR(__xludf.DUMMYFUNCTION("""COMPUTED_VALUE"""),"https://drive.google.com/file/d/1HdoaxLQhloVgaTyCDIWWJPfPgT3XsCsI/view?usp=drive_link")</f>
        <v>https://drive.google.com/file/d/1HdoaxLQhloVgaTyCDIWWJPfPgT3XsCsI/view?usp=drive_link</v>
      </c>
      <c r="P409" s="12">
        <f>IFERROR(__xludf.DUMMYFUNCTION("""COMPUTED_VALUE"""),9.7)</f>
        <v>9.7</v>
      </c>
      <c r="Q409" s="13">
        <f>IFERROR(__xludf.DUMMYFUNCTION("""COMPUTED_VALUE"""),45693.0)</f>
        <v>45693</v>
      </c>
      <c r="R409" s="14">
        <f>IFERROR(__xludf.DUMMYFUNCTION("""COMPUTED_VALUE"""),45687.0)</f>
        <v>45687</v>
      </c>
      <c r="S409" s="13">
        <f>IFERROR(__xludf.DUMMYFUNCTION("""COMPUTED_VALUE"""),45693.0)</f>
        <v>45693</v>
      </c>
      <c r="T409" s="5" t="b">
        <f>IFERROR(__xludf.DUMMYFUNCTION("""COMPUTED_VALUE"""),TRUE)</f>
        <v>1</v>
      </c>
      <c r="U409" s="5" t="str">
        <f>IFERROR(__xludf.DUMMYFUNCTION("""COMPUTED_VALUE"""),"5x3")</f>
        <v>5x3</v>
      </c>
      <c r="V409" s="5">
        <f>IFERROR(__xludf.DUMMYFUNCTION("""COMPUTED_VALUE"""),5.0)</f>
        <v>5</v>
      </c>
      <c r="W409" s="5">
        <f>IFERROR(__xludf.DUMMYFUNCTION("""COMPUTED_VALUE"""),5.0)</f>
        <v>5</v>
      </c>
      <c r="X409" s="11">
        <f>IFERROR(__xludf.DUMMYFUNCTION("""COMPUTED_VALUE"""),96.01)</f>
        <v>96.01</v>
      </c>
      <c r="Y409" s="5" t="str">
        <f>IFERROR(__xludf.DUMMYFUNCTION("""COMPUTED_VALUE"""),"High")</f>
        <v>High</v>
      </c>
      <c r="Z409" s="5">
        <f>IFERROR(__xludf.DUMMYFUNCTION("""COMPUTED_VALUE"""),6.6)</f>
        <v>6.6</v>
      </c>
      <c r="AA409" s="5">
        <f>IFERROR(__xludf.DUMMYFUNCTION("""COMPUTED_VALUE"""),3225.0)</f>
        <v>3225</v>
      </c>
      <c r="AB409" s="5"/>
      <c r="AC409" s="5" t="str">
        <f>IFERROR(__xludf.DUMMYFUNCTION("""COMPUTED_VALUE"""),"Win Multiplier")</f>
        <v>Win Multiplier</v>
      </c>
      <c r="AD409" s="5" t="str">
        <f>IFERROR(__xludf.DUMMYFUNCTION("""COMPUTED_VALUE"""),"0.10/50")</f>
        <v>0.10/50</v>
      </c>
      <c r="AE409" s="5"/>
      <c r="AF409" s="5"/>
      <c r="AG409" s="8">
        <f>IFERROR(__xludf.DUMMYFUNCTION("""COMPUTED_VALUE"""),46157.493055555555)</f>
        <v>46157.49306</v>
      </c>
      <c r="AH409" s="5"/>
      <c r="AI409" s="13"/>
      <c r="AJ409" s="5"/>
      <c r="AK409" s="5">
        <f>IFERROR(__xludf.DUMMYFUNCTION("""COMPUTED_VALUE"""),1.0)</f>
        <v>1</v>
      </c>
      <c r="AL409" s="5" t="str">
        <f>IFERROR(__xludf.DUMMYFUNCTION("""COMPUTED_VALUE"""),"No")</f>
        <v>No</v>
      </c>
      <c r="AM409" s="5" t="str">
        <f>IFERROR(__xludf.DUMMYFUNCTION("""COMPUTED_VALUE"""),"No")</f>
        <v>No</v>
      </c>
      <c r="AN409" s="7" t="str">
        <f>IFERROR(__xludf.DUMMYFUNCTION("""COMPUTED_VALUE"""),"https://static.redstone.rs/games/clover-royale/")</f>
        <v>https://static.redstone.rs/games/clover-royale/</v>
      </c>
      <c r="AO409" s="5" t="str">
        <f>IFERROR(__xludf.DUMMYFUNCTION("""COMPUTED_VALUE"""),"No")</f>
        <v>No</v>
      </c>
      <c r="AP409" s="5" t="str">
        <f>IFERROR(__xludf.DUMMYFUNCTION("""COMPUTED_VALUE"""),"No")</f>
        <v>No</v>
      </c>
      <c r="AQ409" s="5" t="b">
        <f>IFERROR(__xludf.DUMMYFUNCTION("""COMPUTED_VALUE"""),TRUE)</f>
        <v>1</v>
      </c>
      <c r="AR409" s="5"/>
      <c r="AS409" s="5" t="str">
        <f>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AT409" s="5"/>
      <c r="AU409" s="5" t="str">
        <f>IFERROR(__xludf.DUMMYFUNCTION("""COMPUTED_VALUE"""),"Redstone")</f>
        <v>Redstone</v>
      </c>
      <c r="AV409" s="5"/>
      <c r="AW409" s="5"/>
      <c r="AX409" s="5"/>
      <c r="AY409" s="5"/>
      <c r="AZ409" s="5"/>
      <c r="BA409" s="5"/>
      <c r="BB409" s="5" t="b">
        <f>IFERROR(__xludf.DUMMYFUNCTION("""COMPUTED_VALUE"""),TRUE)</f>
        <v>1</v>
      </c>
      <c r="BC409" s="5" t="str">
        <f>IFERROR(__xludf.DUMMYFUNCTION("""COMPUTED_VALUE"""),"Redstone")</f>
        <v>Redstone</v>
      </c>
      <c r="BD409" s="7" t="str">
        <f>IFERROR(__xludf.DUMMYFUNCTION("""COMPUTED_VALUE"""),"https://static.redstone.rs/games/clover-royale/")</f>
        <v>https://static.redstone.rs/games/clover-royale/</v>
      </c>
      <c r="BE409" s="5" t="b">
        <f>IFERROR(__xludf.DUMMYFUNCTION("""COMPUTED_VALUE"""),TRUE)</f>
        <v>1</v>
      </c>
    </row>
    <row r="410">
      <c r="A410" s="5">
        <f>IFERROR(__xludf.DUMMYFUNCTION("""COMPUTED_VALUE"""),422.0)</f>
        <v>422</v>
      </c>
      <c r="B410" s="5">
        <f>IFERROR(__xludf.DUMMYFUNCTION("""COMPUTED_VALUE"""),378.0)</f>
        <v>378</v>
      </c>
      <c r="C410" s="5" t="str">
        <f>IFERROR(__xludf.DUMMYFUNCTION("""COMPUTED_VALUE"""),"Tiptop")</f>
        <v>Tiptop</v>
      </c>
      <c r="D410" s="5" t="str">
        <f>IFERROR(__xludf.DUMMYFUNCTION("""COMPUTED_VALUE"""),"Thunder Fruits")</f>
        <v>Thunder Fruits</v>
      </c>
      <c r="E410" s="5" t="str">
        <f>IFERROR(__xludf.DUMMYFUNCTION("""COMPUTED_VALUE"""),"V4-2")</f>
        <v>V4-2</v>
      </c>
      <c r="F410" s="5" t="str">
        <f>IFERROR(__xludf.DUMMYFUNCTION("""COMPUTED_VALUE"""),"UnicornThunderFruits")</f>
        <v>UnicornThunderFruits</v>
      </c>
      <c r="G410" s="5" t="str">
        <f>IFERROR(__xludf.DUMMYFUNCTION("""COMPUTED_VALUE"""),"Live")</f>
        <v>Live</v>
      </c>
      <c r="H410" s="5"/>
      <c r="I410" s="5" t="str">
        <f>IFERROR(__xludf.DUMMYFUNCTION("""COMPUTED_VALUE"""),"TipTop")</f>
        <v>TipTop</v>
      </c>
      <c r="J410" s="5" t="str">
        <f>IFERROR(__xludf.DUMMYFUNCTION("""COMPUTED_VALUE"""),"JSON")</f>
        <v>JSON</v>
      </c>
      <c r="K410" s="5" t="str">
        <f>IFERROR(__xludf.DUMMYFUNCTION("""COMPUTED_VALUE"""),"Slot")</f>
        <v>Slot</v>
      </c>
      <c r="L410" s="5" t="str">
        <f>IFERROR(__xludf.DUMMYFUNCTION("""COMPUTED_VALUE""")," Clone")</f>
        <v> Clone</v>
      </c>
      <c r="M410" s="5" t="str">
        <f>IFERROR(__xludf.DUMMYFUNCTION("""COMPUTED_VALUE"""),"Rainbow Sevens")</f>
        <v>Rainbow Sevens</v>
      </c>
      <c r="N410" s="5"/>
      <c r="O410" s="5"/>
      <c r="P410" s="12">
        <f>IFERROR(__xludf.DUMMYFUNCTION("""COMPUTED_VALUE"""),11.1)</f>
        <v>11.1</v>
      </c>
      <c r="Q410" s="13">
        <f>IFERROR(__xludf.DUMMYFUNCTION("""COMPUTED_VALUE"""),45694.0)</f>
        <v>45694</v>
      </c>
      <c r="R410" s="14">
        <f>IFERROR(__xludf.DUMMYFUNCTION("""COMPUTED_VALUE"""),45688.0)</f>
        <v>45688</v>
      </c>
      <c r="S410" s="13">
        <f>IFERROR(__xludf.DUMMYFUNCTION("""COMPUTED_VALUE"""),45694.0)</f>
        <v>45694</v>
      </c>
      <c r="T410" s="5" t="b">
        <f>IFERROR(__xludf.DUMMYFUNCTION("""COMPUTED_VALUE"""),TRUE)</f>
        <v>1</v>
      </c>
      <c r="U410" s="5" t="str">
        <f>IFERROR(__xludf.DUMMYFUNCTION("""COMPUTED_VALUE"""),"5x3")</f>
        <v>5x3</v>
      </c>
      <c r="V410" s="5">
        <f>IFERROR(__xludf.DUMMYFUNCTION("""COMPUTED_VALUE"""),5.0)</f>
        <v>5</v>
      </c>
      <c r="W410" s="5">
        <f>IFERROR(__xludf.DUMMYFUNCTION("""COMPUTED_VALUE"""),5.0)</f>
        <v>5</v>
      </c>
      <c r="X410" s="11">
        <f>IFERROR(__xludf.DUMMYFUNCTION("""COMPUTED_VALUE"""),96.0)</f>
        <v>96</v>
      </c>
      <c r="Y410" s="5" t="str">
        <f>IFERROR(__xludf.DUMMYFUNCTION("""COMPUTED_VALUE"""),"Low")</f>
        <v>Low</v>
      </c>
      <c r="Z410" s="5">
        <f>IFERROR(__xludf.DUMMYFUNCTION("""COMPUTED_VALUE"""),9.2)</f>
        <v>9.2</v>
      </c>
      <c r="AA410" s="5">
        <f>IFERROR(__xludf.DUMMYFUNCTION("""COMPUTED_VALUE"""),1000.0)</f>
        <v>1000</v>
      </c>
      <c r="AB410" s="5"/>
      <c r="AC410" s="5"/>
      <c r="AD410" s="5" t="str">
        <f>IFERROR(__xludf.DUMMYFUNCTION("""COMPUTED_VALUE"""),"0.05/100")</f>
        <v>0.05/100</v>
      </c>
      <c r="AE410" s="5"/>
      <c r="AF410" s="5"/>
      <c r="AG410" s="8">
        <f>IFERROR(__xludf.DUMMYFUNCTION("""COMPUTED_VALUE"""),46197.492800925924)</f>
        <v>46197.4928</v>
      </c>
      <c r="AH410" s="5" t="str">
        <f>IFERROR(__xludf.DUMMYFUNCTION("""COMPUTED_VALUE"""),"selena.mihajlovic@fazi.rs")</f>
        <v>selena.mihajlovic@fazi.rs</v>
      </c>
      <c r="AI410" s="13"/>
      <c r="AJ410" s="5"/>
      <c r="AK410" s="5">
        <f>IFERROR(__xludf.DUMMYFUNCTION("""COMPUTED_VALUE"""),5.0)</f>
        <v>5</v>
      </c>
      <c r="AL410" s="5" t="str">
        <f>IFERROR(__xludf.DUMMYFUNCTION("""COMPUTED_VALUE"""),"No")</f>
        <v>No</v>
      </c>
      <c r="AM410" s="5"/>
      <c r="AN410" s="7" t="str">
        <f>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AO410" s="5"/>
      <c r="AP410" s="5"/>
      <c r="AQ410" s="5" t="b">
        <f>IFERROR(__xludf.DUMMYFUNCTION("""COMPUTED_VALUE"""),TRUE)</f>
        <v>1</v>
      </c>
      <c r="AR410" s="5"/>
      <c r="AS410" s="5" t="str">
        <f>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AT410" s="5"/>
      <c r="AU410" s="5" t="str">
        <f>IFERROR(__xludf.DUMMYFUNCTION("""COMPUTED_VALUE"""),"Fazi")</f>
        <v>Fazi</v>
      </c>
      <c r="AV410" s="5"/>
      <c r="AW410" s="5"/>
      <c r="AX410" s="5"/>
      <c r="AY410" s="5"/>
      <c r="AZ410" s="5"/>
      <c r="BA410" s="5"/>
      <c r="BB410" s="5" t="b">
        <f>IFERROR(__xludf.DUMMYFUNCTION("""COMPUTED_VALUE"""),TRUE)</f>
        <v>1</v>
      </c>
      <c r="BC410" s="5" t="str">
        <f>IFERROR(__xludf.DUMMYFUNCTION("""COMPUTED_VALUE"""),"Tiptop")</f>
        <v>Tiptop</v>
      </c>
      <c r="BD410" s="7" t="str">
        <f>IFERROR(__xludf.DUMMYFUNCTION("""COMPUTED_VALUE"""),"https://gameserver-store-client-area.orbionlimited.com/Home/IntegrationGameLaunch/client-area?moneyType=0&amp;gameName=UnicornThunderFruits&amp;platform=desktop&amp;languageCode=eng&amp;currency=EUR")</f>
        <v>https://gameserver-store-client-area.orbionlimited.com/Home/IntegrationGameLaunch/client-area?moneyType=0&amp;gameName=UnicornThunderFruits&amp;platform=desktop&amp;languageCode=eng&amp;currency=EUR</v>
      </c>
      <c r="BE410" s="5" t="b">
        <f>IFERROR(__xludf.DUMMYFUNCTION("""COMPUTED_VALUE"""),TRUE)</f>
        <v>1</v>
      </c>
    </row>
    <row r="411">
      <c r="A411" s="5">
        <f>IFERROR(__xludf.DUMMYFUNCTION("""COMPUTED_VALUE"""),423.0)</f>
        <v>423</v>
      </c>
      <c r="B411" s="5">
        <f>IFERROR(__xludf.DUMMYFUNCTION("""COMPUTED_VALUE"""),385.0)</f>
        <v>385</v>
      </c>
      <c r="C411" s="5" t="str">
        <f>IFERROR(__xludf.DUMMYFUNCTION("""COMPUTED_VALUE"""),"Tiptop")</f>
        <v>Tiptop</v>
      </c>
      <c r="D411" s="5" t="str">
        <f>IFERROR(__xludf.DUMMYFUNCTION("""COMPUTED_VALUE"""),"Epic Mega Cash")</f>
        <v>Epic Mega Cash</v>
      </c>
      <c r="E411" s="5" t="str">
        <f>IFERROR(__xludf.DUMMYFUNCTION("""COMPUTED_VALUE"""),"V4-2")</f>
        <v>V4-2</v>
      </c>
      <c r="F411" s="5" t="str">
        <f>IFERROR(__xludf.DUMMYFUNCTION("""COMPUTED_VALUE"""),"UnicornEpicMegaCash")</f>
        <v>UnicornEpicMegaCash</v>
      </c>
      <c r="G411" s="5" t="str">
        <f>IFERROR(__xludf.DUMMYFUNCTION("""COMPUTED_VALUE"""),"Live")</f>
        <v>Live</v>
      </c>
      <c r="H411" s="5"/>
      <c r="I411" s="5" t="str">
        <f>IFERROR(__xludf.DUMMYFUNCTION("""COMPUTED_VALUE"""),"TipTop")</f>
        <v>TipTop</v>
      </c>
      <c r="J411" s="5" t="str">
        <f>IFERROR(__xludf.DUMMYFUNCTION("""COMPUTED_VALUE"""),"JSON")</f>
        <v>JSON</v>
      </c>
      <c r="K411" s="5" t="str">
        <f>IFERROR(__xludf.DUMMYFUNCTION("""COMPUTED_VALUE"""),"Slot")</f>
        <v>Slot</v>
      </c>
      <c r="L411" s="5" t="str">
        <f>IFERROR(__xludf.DUMMYFUNCTION("""COMPUTED_VALUE"""),"Master")</f>
        <v>Master</v>
      </c>
      <c r="M411" s="5"/>
      <c r="N411" s="5"/>
      <c r="O411" s="5"/>
      <c r="P411" s="12">
        <f>IFERROR(__xludf.DUMMYFUNCTION("""COMPUTED_VALUE"""),12.0)</f>
        <v>12</v>
      </c>
      <c r="Q411" s="13">
        <f>IFERROR(__xludf.DUMMYFUNCTION("""COMPUTED_VALUE"""),45701.0)</f>
        <v>45701</v>
      </c>
      <c r="R411" s="14">
        <f>IFERROR(__xludf.DUMMYFUNCTION("""COMPUTED_VALUE"""),45694.0)</f>
        <v>45694</v>
      </c>
      <c r="S411" s="13">
        <f>IFERROR(__xludf.DUMMYFUNCTION("""COMPUTED_VALUE"""),45701.0)</f>
        <v>45701</v>
      </c>
      <c r="T411" s="5" t="b">
        <f>IFERROR(__xludf.DUMMYFUNCTION("""COMPUTED_VALUE"""),TRUE)</f>
        <v>1</v>
      </c>
      <c r="U411" s="5" t="str">
        <f>IFERROR(__xludf.DUMMYFUNCTION("""COMPUTED_VALUE"""),"5x3")</f>
        <v>5x3</v>
      </c>
      <c r="V411" s="5">
        <f>IFERROR(__xludf.DUMMYFUNCTION("""COMPUTED_VALUE"""),10.0)</f>
        <v>10</v>
      </c>
      <c r="W411" s="5">
        <f>IFERROR(__xludf.DUMMYFUNCTION("""COMPUTED_VALUE"""),10.0)</f>
        <v>10</v>
      </c>
      <c r="X411" s="11">
        <f>IFERROR(__xludf.DUMMYFUNCTION("""COMPUTED_VALUE"""),96.0)</f>
        <v>96</v>
      </c>
      <c r="Y411" s="5" t="str">
        <f>IFERROR(__xludf.DUMMYFUNCTION("""COMPUTED_VALUE"""),"Medium")</f>
        <v>Medium</v>
      </c>
      <c r="Z411" s="5">
        <f>IFERROR(__xludf.DUMMYFUNCTION("""COMPUTED_VALUE"""),15.91)</f>
        <v>15.91</v>
      </c>
      <c r="AA411" s="5">
        <f>IFERROR(__xludf.DUMMYFUNCTION("""COMPUTED_VALUE"""),5000.0)</f>
        <v>5000</v>
      </c>
      <c r="AB411" s="5"/>
      <c r="AC411" s="5"/>
      <c r="AD411" s="5" t="str">
        <f>IFERROR(__xludf.DUMMYFUNCTION("""COMPUTED_VALUE"""),"0.1/100")</f>
        <v>0.1/100</v>
      </c>
      <c r="AE411" s="5"/>
      <c r="AF411" s="5"/>
      <c r="AG411" s="8">
        <f>IFERROR(__xludf.DUMMYFUNCTION("""COMPUTED_VALUE"""),46197.49296296296)</f>
        <v>46197.49296</v>
      </c>
      <c r="AH411" s="5" t="str">
        <f>IFERROR(__xludf.DUMMYFUNCTION("""COMPUTED_VALUE"""),"selena.mihajlovic@fazi.rs")</f>
        <v>selena.mihajlovic@fazi.rs</v>
      </c>
      <c r="AI411" s="13"/>
      <c r="AJ411" s="5"/>
      <c r="AK411" s="5">
        <f>IFERROR(__xludf.DUMMYFUNCTION("""COMPUTED_VALUE"""),10.0)</f>
        <v>10</v>
      </c>
      <c r="AL411" s="5" t="str">
        <f>IFERROR(__xludf.DUMMYFUNCTION("""COMPUTED_VALUE"""),"No")</f>
        <v>No</v>
      </c>
      <c r="AM411" s="5"/>
      <c r="AN411" s="7" t="str">
        <f>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AO411" s="5"/>
      <c r="AP411" s="5"/>
      <c r="AQ411" s="5" t="b">
        <f>IFERROR(__xludf.DUMMYFUNCTION("""COMPUTED_VALUE"""),TRUE)</f>
        <v>1</v>
      </c>
      <c r="AR411" s="5"/>
      <c r="AS411" s="5" t="str">
        <f>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AT411" s="5"/>
      <c r="AU411" s="5" t="str">
        <f>IFERROR(__xludf.DUMMYFUNCTION("""COMPUTED_VALUE"""),"Fazi")</f>
        <v>Fazi</v>
      </c>
      <c r="AV411" s="5"/>
      <c r="AW411" s="5"/>
      <c r="AX411" s="5"/>
      <c r="AY411" s="5"/>
      <c r="AZ411" s="5"/>
      <c r="BA411" s="5"/>
      <c r="BB411" s="5" t="b">
        <f>IFERROR(__xludf.DUMMYFUNCTION("""COMPUTED_VALUE"""),TRUE)</f>
        <v>1</v>
      </c>
      <c r="BC411" s="5" t="str">
        <f>IFERROR(__xludf.DUMMYFUNCTION("""COMPUTED_VALUE"""),"Tiptop")</f>
        <v>Tiptop</v>
      </c>
      <c r="BD411" s="7" t="str">
        <f>IFERROR(__xludf.DUMMYFUNCTION("""COMPUTED_VALUE"""),"https://gameserver-store-client-area.orbionlimited.com/Home/IntegrationGameLaunch/client-area?moneyType=0&amp;gameName=UnicornEpicMegaCash&amp;platform=desktop&amp;languageCode=eng&amp;currency=EUR")</f>
        <v>https://gameserver-store-client-area.orbionlimited.com/Home/IntegrationGameLaunch/client-area?moneyType=0&amp;gameName=UnicornEpicMegaCash&amp;platform=desktop&amp;languageCode=eng&amp;currency=EUR</v>
      </c>
      <c r="BE411" s="5" t="b">
        <f>IFERROR(__xludf.DUMMYFUNCTION("""COMPUTED_VALUE"""),TRUE)</f>
        <v>1</v>
      </c>
    </row>
    <row r="412">
      <c r="A412" s="5">
        <f>IFERROR(__xludf.DUMMYFUNCTION("""COMPUTED_VALUE"""),424.0)</f>
        <v>424</v>
      </c>
      <c r="B412" s="5">
        <f>IFERROR(__xludf.DUMMYFUNCTION("""COMPUTED_VALUE"""),180005.0)</f>
        <v>180005</v>
      </c>
      <c r="C412" s="5" t="str">
        <f>IFERROR(__xludf.DUMMYFUNCTION("""COMPUTED_VALUE"""),"Redstone")</f>
        <v>Redstone</v>
      </c>
      <c r="D412" s="5" t="str">
        <f>IFERROR(__xludf.DUMMYFUNCTION("""COMPUTED_VALUE"""),"Eternal Hearts 10")</f>
        <v>Eternal Hearts 10</v>
      </c>
      <c r="E412" s="5" t="str">
        <f>IFERROR(__xludf.DUMMYFUNCTION("""COMPUTED_VALUE"""),"Redstone")</f>
        <v>Redstone</v>
      </c>
      <c r="F412" s="5" t="str">
        <f>IFERROR(__xludf.DUMMYFUNCTION("""COMPUTED_VALUE"""),"RedstoneEternalHearts10")</f>
        <v>RedstoneEternalHearts10</v>
      </c>
      <c r="G412" s="5" t="str">
        <f>IFERROR(__xludf.DUMMYFUNCTION("""COMPUTED_VALUE"""),"Live")</f>
        <v>Live</v>
      </c>
      <c r="H412" s="5"/>
      <c r="I412" s="5" t="str">
        <f>IFERROR(__xludf.DUMMYFUNCTION("""COMPUTED_VALUE"""),"Redstone")</f>
        <v>Redstone</v>
      </c>
      <c r="J412" s="5" t="str">
        <f>IFERROR(__xludf.DUMMYFUNCTION("""COMPUTED_VALUE"""),"JSON")</f>
        <v>JSON</v>
      </c>
      <c r="K412" s="5" t="str">
        <f>IFERROR(__xludf.DUMMYFUNCTION("""COMPUTED_VALUE"""),"Slot")</f>
        <v>Slot</v>
      </c>
      <c r="L412" s="5" t="str">
        <f>IFERROR(__xludf.DUMMYFUNCTION("""COMPUTED_VALUE"""),"Master")</f>
        <v>Master</v>
      </c>
      <c r="M412" s="5"/>
      <c r="N412" s="7" t="str">
        <f>IFERROR(__xludf.DUMMYFUNCTION("""COMPUTED_VALUE"""),"https://drive.google.com/file/d/1_XF5fB_2OqLxjOLOl7IyL6jS9pEUmJLh/view?usp=drive_link")</f>
        <v>https://drive.google.com/file/d/1_XF5fB_2OqLxjOLOl7IyL6jS9pEUmJLh/view?usp=drive_link</v>
      </c>
      <c r="O412" s="7" t="str">
        <f>IFERROR(__xludf.DUMMYFUNCTION("""COMPUTED_VALUE"""),"https://drive.google.com/file/d/1Br-aQhMsrkbl4TIl3PpwgNlJJm4d_Y4N/view?usp=drive_link")</f>
        <v>https://drive.google.com/file/d/1Br-aQhMsrkbl4TIl3PpwgNlJJm4d_Y4N/view?usp=drive_link</v>
      </c>
      <c r="P412" s="12">
        <f>IFERROR(__xludf.DUMMYFUNCTION("""COMPUTED_VALUE"""),12.7)</f>
        <v>12.7</v>
      </c>
      <c r="Q412" s="13">
        <f>IFERROR(__xludf.DUMMYFUNCTION("""COMPUTED_VALUE"""),45698.0)</f>
        <v>45698</v>
      </c>
      <c r="R412" s="14">
        <f>IFERROR(__xludf.DUMMYFUNCTION("""COMPUTED_VALUE"""),45691.0)</f>
        <v>45691</v>
      </c>
      <c r="S412" s="13">
        <f>IFERROR(__xludf.DUMMYFUNCTION("""COMPUTED_VALUE"""),45698.0)</f>
        <v>45698</v>
      </c>
      <c r="T412" s="5" t="b">
        <f>IFERROR(__xludf.DUMMYFUNCTION("""COMPUTED_VALUE"""),TRUE)</f>
        <v>1</v>
      </c>
      <c r="U412" s="5" t="str">
        <f>IFERROR(__xludf.DUMMYFUNCTION("""COMPUTED_VALUE"""),"5x3")</f>
        <v>5x3</v>
      </c>
      <c r="V412" s="5">
        <f>IFERROR(__xludf.DUMMYFUNCTION("""COMPUTED_VALUE"""),10.0)</f>
        <v>10</v>
      </c>
      <c r="W412" s="5">
        <f>IFERROR(__xludf.DUMMYFUNCTION("""COMPUTED_VALUE"""),10.0)</f>
        <v>10</v>
      </c>
      <c r="X412" s="11">
        <f>IFERROR(__xludf.DUMMYFUNCTION("""COMPUTED_VALUE"""),96.05)</f>
        <v>96.05</v>
      </c>
      <c r="Y412" s="5" t="str">
        <f>IFERROR(__xludf.DUMMYFUNCTION("""COMPUTED_VALUE"""),"Medium")</f>
        <v>Medium</v>
      </c>
      <c r="Z412" s="5">
        <f>IFERROR(__xludf.DUMMYFUNCTION("""COMPUTED_VALUE"""),14.29)</f>
        <v>14.29</v>
      </c>
      <c r="AA412" s="5">
        <f>IFERROR(__xludf.DUMMYFUNCTION("""COMPUTED_VALUE"""),1250.0)</f>
        <v>1250</v>
      </c>
      <c r="AB412" s="5"/>
      <c r="AC412" s="5" t="str">
        <f>IFERROR(__xludf.DUMMYFUNCTION("""COMPUTED_VALUE"""),"Hold and Win, Special Wild")</f>
        <v>Hold and Win, Special Wild</v>
      </c>
      <c r="AD412" s="5" t="str">
        <f>IFERROR(__xludf.DUMMYFUNCTION("""COMPUTED_VALUE"""),"0.05/100")</f>
        <v>0.05/100</v>
      </c>
      <c r="AE412" s="5"/>
      <c r="AF412" s="5"/>
      <c r="AG412" s="8">
        <f>IFERROR(__xludf.DUMMYFUNCTION("""COMPUTED_VALUE"""),46157.49309027778)</f>
        <v>46157.49309</v>
      </c>
      <c r="AH412" s="5"/>
      <c r="AI412" s="13"/>
      <c r="AJ412" s="5"/>
      <c r="AK412" s="5">
        <f>IFERROR(__xludf.DUMMYFUNCTION("""COMPUTED_VALUE"""),1.0)</f>
        <v>1</v>
      </c>
      <c r="AL412" s="5" t="str">
        <f>IFERROR(__xludf.DUMMYFUNCTION("""COMPUTED_VALUE"""),"No")</f>
        <v>No</v>
      </c>
      <c r="AM412" s="5" t="str">
        <f>IFERROR(__xludf.DUMMYFUNCTION("""COMPUTED_VALUE"""),"No")</f>
        <v>No</v>
      </c>
      <c r="AN412" s="7" t="str">
        <f>IFERROR(__xludf.DUMMYFUNCTION("""COMPUTED_VALUE"""),"https://static.redstone.rs/games/eternal-hearts-10/")</f>
        <v>https://static.redstone.rs/games/eternal-hearts-10/</v>
      </c>
      <c r="AO412" s="5" t="str">
        <f>IFERROR(__xludf.DUMMYFUNCTION("""COMPUTED_VALUE"""),"No")</f>
        <v>No</v>
      </c>
      <c r="AP412" s="5" t="str">
        <f>IFERROR(__xludf.DUMMYFUNCTION("""COMPUTED_VALUE"""),"No")</f>
        <v>No</v>
      </c>
      <c r="AQ412" s="5" t="b">
        <f>IFERROR(__xludf.DUMMYFUNCTION("""COMPUTED_VALUE"""),TRUE)</f>
        <v>1</v>
      </c>
      <c r="AR412" s="5"/>
      <c r="AS412" s="5" t="str">
        <f>IFERROR(__xludf.DUMMYFUNCTION("""COMPUTED_VALUE"""),"Can you gather all 15 hearts? In Eternal Hearts, the challenge leads to unforgettable rewards in the bonus round.")</f>
        <v>Can you gather all 15 hearts? In Eternal Hearts, the challenge leads to unforgettable rewards in the bonus round.</v>
      </c>
      <c r="AT412" s="5"/>
      <c r="AU412" s="5" t="str">
        <f>IFERROR(__xludf.DUMMYFUNCTION("""COMPUTED_VALUE"""),"Redstone")</f>
        <v>Redstone</v>
      </c>
      <c r="AV412" s="5"/>
      <c r="AW412" s="5"/>
      <c r="AX412" s="5"/>
      <c r="AY412" s="5"/>
      <c r="AZ412" s="5"/>
      <c r="BA412" s="5"/>
      <c r="BB412" s="5" t="b">
        <f>IFERROR(__xludf.DUMMYFUNCTION("""COMPUTED_VALUE"""),TRUE)</f>
        <v>1</v>
      </c>
      <c r="BC412" s="5" t="str">
        <f>IFERROR(__xludf.DUMMYFUNCTION("""COMPUTED_VALUE"""),"Redstone")</f>
        <v>Redstone</v>
      </c>
      <c r="BD412" s="7" t="str">
        <f>IFERROR(__xludf.DUMMYFUNCTION("""COMPUTED_VALUE"""),"https://static.redstone.rs/games/eternal-hearts-10/")</f>
        <v>https://static.redstone.rs/games/eternal-hearts-10/</v>
      </c>
      <c r="BE412" s="5" t="b">
        <f>IFERROR(__xludf.DUMMYFUNCTION("""COMPUTED_VALUE"""),TRUE)</f>
        <v>1</v>
      </c>
    </row>
    <row r="413">
      <c r="A413" s="5">
        <f>IFERROR(__xludf.DUMMYFUNCTION("""COMPUTED_VALUE"""),425.0)</f>
        <v>425</v>
      </c>
      <c r="B413" s="5">
        <f>IFERROR(__xludf.DUMMYFUNCTION("""COMPUTED_VALUE"""),180006.0)</f>
        <v>180006</v>
      </c>
      <c r="C413" s="5" t="str">
        <f>IFERROR(__xludf.DUMMYFUNCTION("""COMPUTED_VALUE"""),"Redstone")</f>
        <v>Redstone</v>
      </c>
      <c r="D413" s="5" t="str">
        <f>IFERROR(__xludf.DUMMYFUNCTION("""COMPUTED_VALUE"""),"Star Chaser")</f>
        <v>Star Chaser</v>
      </c>
      <c r="E413" s="5" t="str">
        <f>IFERROR(__xludf.DUMMYFUNCTION("""COMPUTED_VALUE"""),"Redstone")</f>
        <v>Redstone</v>
      </c>
      <c r="F413" s="5" t="str">
        <f>IFERROR(__xludf.DUMMYFUNCTION("""COMPUTED_VALUE"""),"RedstoneStarChaser")</f>
        <v>RedstoneStarChaser</v>
      </c>
      <c r="G413" s="5" t="str">
        <f>IFERROR(__xludf.DUMMYFUNCTION("""COMPUTED_VALUE"""),"Live")</f>
        <v>Live</v>
      </c>
      <c r="H413" s="5"/>
      <c r="I413" s="5" t="str">
        <f>IFERROR(__xludf.DUMMYFUNCTION("""COMPUTED_VALUE"""),"Redstone")</f>
        <v>Redstone</v>
      </c>
      <c r="J413" s="5" t="str">
        <f>IFERROR(__xludf.DUMMYFUNCTION("""COMPUTED_VALUE"""),"JSON")</f>
        <v>JSON</v>
      </c>
      <c r="K413" s="5" t="str">
        <f>IFERROR(__xludf.DUMMYFUNCTION("""COMPUTED_VALUE"""),"Slot")</f>
        <v>Slot</v>
      </c>
      <c r="L413" s="5" t="str">
        <f>IFERROR(__xludf.DUMMYFUNCTION("""COMPUTED_VALUE"""),"Master")</f>
        <v>Master</v>
      </c>
      <c r="M413" s="5"/>
      <c r="N413" s="7" t="str">
        <f>IFERROR(__xludf.DUMMYFUNCTION("""COMPUTED_VALUE"""),"https://drive.google.com/file/d/1r-U96WcbZ3z5FYIESmrnhZU5w6rvEH0T/view?usp=drive_link")</f>
        <v>https://drive.google.com/file/d/1r-U96WcbZ3z5FYIESmrnhZU5w6rvEH0T/view?usp=drive_link</v>
      </c>
      <c r="O413" s="7" t="str">
        <f>IFERROR(__xludf.DUMMYFUNCTION("""COMPUTED_VALUE"""),"https://drive.google.com/file/d/1UwaXMw5PZnR5qVXiFJJw_mRVc3jTktte/view?usp=drive_link")</f>
        <v>https://drive.google.com/file/d/1UwaXMw5PZnR5qVXiFJJw_mRVc3jTktte/view?usp=drive_link</v>
      </c>
      <c r="P413" s="12">
        <f>IFERROR(__xludf.DUMMYFUNCTION("""COMPUTED_VALUE"""),8.0)</f>
        <v>8</v>
      </c>
      <c r="Q413" s="13">
        <f>IFERROR(__xludf.DUMMYFUNCTION("""COMPUTED_VALUE"""),45707.0)</f>
        <v>45707</v>
      </c>
      <c r="R413" s="14">
        <f>IFERROR(__xludf.DUMMYFUNCTION("""COMPUTED_VALUE"""),45699.0)</f>
        <v>45699</v>
      </c>
      <c r="S413" s="13">
        <f>IFERROR(__xludf.DUMMYFUNCTION("""COMPUTED_VALUE"""),45707.0)</f>
        <v>45707</v>
      </c>
      <c r="T413" s="5" t="b">
        <f>IFERROR(__xludf.DUMMYFUNCTION("""COMPUTED_VALUE"""),TRUE)</f>
        <v>1</v>
      </c>
      <c r="U413" s="5" t="str">
        <f>IFERROR(__xludf.DUMMYFUNCTION("""COMPUTED_VALUE"""),"5x3")</f>
        <v>5x3</v>
      </c>
      <c r="V413" s="5">
        <f>IFERROR(__xludf.DUMMYFUNCTION("""COMPUTED_VALUE"""),15.0)</f>
        <v>15</v>
      </c>
      <c r="W413" s="5">
        <f>IFERROR(__xludf.DUMMYFUNCTION("""COMPUTED_VALUE"""),15.0)</f>
        <v>15</v>
      </c>
      <c r="X413" s="11">
        <f>IFERROR(__xludf.DUMMYFUNCTION("""COMPUTED_VALUE"""),96.0)</f>
        <v>96</v>
      </c>
      <c r="Y413" s="5" t="str">
        <f>IFERROR(__xludf.DUMMYFUNCTION("""COMPUTED_VALUE"""),"High")</f>
        <v>High</v>
      </c>
      <c r="Z413" s="5">
        <f>IFERROR(__xludf.DUMMYFUNCTION("""COMPUTED_VALUE"""),5.67)</f>
        <v>5.67</v>
      </c>
      <c r="AA413" s="5">
        <f>IFERROR(__xludf.DUMMYFUNCTION("""COMPUTED_VALUE"""),10000.0)</f>
        <v>10000</v>
      </c>
      <c r="AB413" s="5"/>
      <c r="AC413" s="5" t="str">
        <f>IFERROR(__xludf.DUMMYFUNCTION("""COMPUTED_VALUE"""),"Scatter")</f>
        <v>Scatter</v>
      </c>
      <c r="AD413" s="5" t="str">
        <f>IFERROR(__xludf.DUMMYFUNCTION("""COMPUTED_VALUE"""),"0.10/50")</f>
        <v>0.10/50</v>
      </c>
      <c r="AE413" s="5"/>
      <c r="AF413" s="5"/>
      <c r="AG413" s="8">
        <f>IFERROR(__xludf.DUMMYFUNCTION("""COMPUTED_VALUE"""),46157.493113425924)</f>
        <v>46157.49311</v>
      </c>
      <c r="AH413" s="5"/>
      <c r="AI413" s="13"/>
      <c r="AJ413" s="5"/>
      <c r="AK413" s="5">
        <f>IFERROR(__xludf.DUMMYFUNCTION("""COMPUTED_VALUE"""),1.0)</f>
        <v>1</v>
      </c>
      <c r="AL413" s="5" t="str">
        <f>IFERROR(__xludf.DUMMYFUNCTION("""COMPUTED_VALUE"""),"No")</f>
        <v>No</v>
      </c>
      <c r="AM413" s="5" t="str">
        <f>IFERROR(__xludf.DUMMYFUNCTION("""COMPUTED_VALUE"""),"No")</f>
        <v>No</v>
      </c>
      <c r="AN413" s="7" t="str">
        <f>IFERROR(__xludf.DUMMYFUNCTION("""COMPUTED_VALUE"""),"https://static.redstone.rs/games/star-chaser/")</f>
        <v>https://static.redstone.rs/games/star-chaser/</v>
      </c>
      <c r="AO413" s="5" t="str">
        <f>IFERROR(__xludf.DUMMYFUNCTION("""COMPUTED_VALUE"""),"No")</f>
        <v>No</v>
      </c>
      <c r="AP413" s="5" t="str">
        <f>IFERROR(__xludf.DUMMYFUNCTION("""COMPUTED_VALUE"""),"No")</f>
        <v>No</v>
      </c>
      <c r="AQ413" s="5" t="b">
        <f>IFERROR(__xludf.DUMMYFUNCTION("""COMPUTED_VALUE"""),TRUE)</f>
        <v>1</v>
      </c>
      <c r="AR413" s="5"/>
      <c r="AS413" s="5" t="str">
        <f>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AT413" s="5"/>
      <c r="AU413" s="5" t="str">
        <f>IFERROR(__xludf.DUMMYFUNCTION("""COMPUTED_VALUE"""),"Redstone")</f>
        <v>Redstone</v>
      </c>
      <c r="AV413" s="5"/>
      <c r="AW413" s="5"/>
      <c r="AX413" s="5"/>
      <c r="AY413" s="5"/>
      <c r="AZ413" s="5"/>
      <c r="BA413" s="5"/>
      <c r="BB413" s="5" t="b">
        <f>IFERROR(__xludf.DUMMYFUNCTION("""COMPUTED_VALUE"""),TRUE)</f>
        <v>1</v>
      </c>
      <c r="BC413" s="5" t="str">
        <f>IFERROR(__xludf.DUMMYFUNCTION("""COMPUTED_VALUE"""),"Redstone")</f>
        <v>Redstone</v>
      </c>
      <c r="BD413" s="7" t="str">
        <f>IFERROR(__xludf.DUMMYFUNCTION("""COMPUTED_VALUE"""),"https://static.redstone.rs/games/star-chaser/")</f>
        <v>https://static.redstone.rs/games/star-chaser/</v>
      </c>
      <c r="BE413" s="5" t="b">
        <f>IFERROR(__xludf.DUMMYFUNCTION("""COMPUTED_VALUE"""),TRUE)</f>
        <v>1</v>
      </c>
    </row>
    <row r="414">
      <c r="A414" s="5">
        <f>IFERROR(__xludf.DUMMYFUNCTION("""COMPUTED_VALUE"""),426.0)</f>
        <v>426</v>
      </c>
      <c r="B414" s="5">
        <f>IFERROR(__xludf.DUMMYFUNCTION("""COMPUTED_VALUE"""),393.0)</f>
        <v>393</v>
      </c>
      <c r="C414" s="5" t="str">
        <f>IFERROR(__xludf.DUMMYFUNCTION("""COMPUTED_VALUE"""),"Tiptop")</f>
        <v>Tiptop</v>
      </c>
      <c r="D414" s="5" t="str">
        <f>IFERROR(__xludf.DUMMYFUNCTION("""COMPUTED_VALUE"""),"Wild Hoppers")</f>
        <v>Wild Hoppers</v>
      </c>
      <c r="E414" s="5" t="str">
        <f>IFERROR(__xludf.DUMMYFUNCTION("""COMPUTED_VALUE"""),"V4-2")</f>
        <v>V4-2</v>
      </c>
      <c r="F414" s="5" t="str">
        <f>IFERROR(__xludf.DUMMYFUNCTION("""COMPUTED_VALUE"""),"UnicornWildHoppers")</f>
        <v>UnicornWildHoppers</v>
      </c>
      <c r="G414" s="5" t="str">
        <f>IFERROR(__xludf.DUMMYFUNCTION("""COMPUTED_VALUE"""),"Live")</f>
        <v>Live</v>
      </c>
      <c r="H414" s="5"/>
      <c r="I414" s="5" t="str">
        <f>IFERROR(__xludf.DUMMYFUNCTION("""COMPUTED_VALUE"""),"TipTop")</f>
        <v>TipTop</v>
      </c>
      <c r="J414" s="5" t="str">
        <f>IFERROR(__xludf.DUMMYFUNCTION("""COMPUTED_VALUE"""),"JSON")</f>
        <v>JSON</v>
      </c>
      <c r="K414" s="5" t="str">
        <f>IFERROR(__xludf.DUMMYFUNCTION("""COMPUTED_VALUE"""),"Slot")</f>
        <v>Slot</v>
      </c>
      <c r="L414" s="5" t="str">
        <f>IFERROR(__xludf.DUMMYFUNCTION("""COMPUTED_VALUE""")," Clone")</f>
        <v> Clone</v>
      </c>
      <c r="M414" s="5" t="str">
        <f>IFERROR(__xludf.DUMMYFUNCTION("""COMPUTED_VALUE"""),"Unicorn Pumpkin Horror")</f>
        <v>Unicorn Pumpkin Horror</v>
      </c>
      <c r="N414" s="5"/>
      <c r="O414" s="5"/>
      <c r="P414" s="12">
        <f>IFERROR(__xludf.DUMMYFUNCTION("""COMPUTED_VALUE"""),12.6)</f>
        <v>12.6</v>
      </c>
      <c r="Q414" s="13">
        <f>IFERROR(__xludf.DUMMYFUNCTION("""COMPUTED_VALUE"""),45714.0)</f>
        <v>45714</v>
      </c>
      <c r="R414" s="14">
        <f>IFERROR(__xludf.DUMMYFUNCTION("""COMPUTED_VALUE"""),45708.0)</f>
        <v>45708</v>
      </c>
      <c r="S414" s="13">
        <f>IFERROR(__xludf.DUMMYFUNCTION("""COMPUTED_VALUE"""),45714.0)</f>
        <v>45714</v>
      </c>
      <c r="T414" s="5" t="b">
        <f>IFERROR(__xludf.DUMMYFUNCTION("""COMPUTED_VALUE"""),TRUE)</f>
        <v>1</v>
      </c>
      <c r="U414" s="5" t="str">
        <f>IFERROR(__xludf.DUMMYFUNCTION("""COMPUTED_VALUE"""),"5x3")</f>
        <v>5x3</v>
      </c>
      <c r="V414" s="5">
        <f>IFERROR(__xludf.DUMMYFUNCTION("""COMPUTED_VALUE"""),10.0)</f>
        <v>10</v>
      </c>
      <c r="W414" s="5">
        <f>IFERROR(__xludf.DUMMYFUNCTION("""COMPUTED_VALUE"""),10.0)</f>
        <v>10</v>
      </c>
      <c r="X414" s="11">
        <f>IFERROR(__xludf.DUMMYFUNCTION("""COMPUTED_VALUE"""),96.0)</f>
        <v>96</v>
      </c>
      <c r="Y414" s="5" t="str">
        <f>IFERROR(__xludf.DUMMYFUNCTION("""COMPUTED_VALUE"""),"Medium")</f>
        <v>Medium</v>
      </c>
      <c r="Z414" s="5">
        <f>IFERROR(__xludf.DUMMYFUNCTION("""COMPUTED_VALUE"""),23.31)</f>
        <v>23.31</v>
      </c>
      <c r="AA414" s="5">
        <f>IFERROR(__xludf.DUMMYFUNCTION("""COMPUTED_VALUE"""),10000.0)</f>
        <v>10000</v>
      </c>
      <c r="AB414" s="5"/>
      <c r="AC414" s="5"/>
      <c r="AD414" s="5" t="str">
        <f>IFERROR(__xludf.DUMMYFUNCTION("""COMPUTED_VALUE"""),"0.1/100")</f>
        <v>0.1/100</v>
      </c>
      <c r="AE414" s="5"/>
      <c r="AF414" s="5"/>
      <c r="AG414" s="8">
        <f>IFERROR(__xludf.DUMMYFUNCTION("""COMPUTED_VALUE"""),46197.49320601852)</f>
        <v>46197.49321</v>
      </c>
      <c r="AH414" s="5" t="str">
        <f>IFERROR(__xludf.DUMMYFUNCTION("""COMPUTED_VALUE"""),"selena.mihajlovic@fazi.rs")</f>
        <v>selena.mihajlovic@fazi.rs</v>
      </c>
      <c r="AI414" s="13"/>
      <c r="AJ414" s="5"/>
      <c r="AK414" s="5">
        <f>IFERROR(__xludf.DUMMYFUNCTION("""COMPUTED_VALUE"""),10.0)</f>
        <v>10</v>
      </c>
      <c r="AL414" s="5" t="str">
        <f>IFERROR(__xludf.DUMMYFUNCTION("""COMPUTED_VALUE"""),"No")</f>
        <v>No</v>
      </c>
      <c r="AM414" s="5"/>
      <c r="AN414" s="7" t="str">
        <f>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AO414" s="5"/>
      <c r="AP414" s="5"/>
      <c r="AQ414" s="5" t="b">
        <f>IFERROR(__xludf.DUMMYFUNCTION("""COMPUTED_VALUE"""),TRUE)</f>
        <v>1</v>
      </c>
      <c r="AR414" s="5"/>
      <c r="AS414" s="5" t="str">
        <f>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AT414" s="5"/>
      <c r="AU414" s="5" t="str">
        <f>IFERROR(__xludf.DUMMYFUNCTION("""COMPUTED_VALUE"""),"Fazi")</f>
        <v>Fazi</v>
      </c>
      <c r="AV414" s="5"/>
      <c r="AW414" s="5"/>
      <c r="AX414" s="5"/>
      <c r="AY414" s="5"/>
      <c r="AZ414" s="5"/>
      <c r="BA414" s="5"/>
      <c r="BB414" s="5" t="b">
        <f>IFERROR(__xludf.DUMMYFUNCTION("""COMPUTED_VALUE"""),TRUE)</f>
        <v>1</v>
      </c>
      <c r="BC414" s="5" t="str">
        <f>IFERROR(__xludf.DUMMYFUNCTION("""COMPUTED_VALUE"""),"Tiptop")</f>
        <v>Tiptop</v>
      </c>
      <c r="BD414" s="7" t="str">
        <f>IFERROR(__xludf.DUMMYFUNCTION("""COMPUTED_VALUE"""),"https://gameserver-store-client-area.orbionlimited.com/Home/IntegrationGameLaunch/client-area?moneyType=0&amp;gameName=UnicornWildHoppers&amp;platform=desktop&amp;languageCode=eng&amp;currency=EUR")</f>
        <v>https://gameserver-store-client-area.orbionlimited.com/Home/IntegrationGameLaunch/client-area?moneyType=0&amp;gameName=UnicornWildHoppers&amp;platform=desktop&amp;languageCode=eng&amp;currency=EUR</v>
      </c>
      <c r="BE414" s="5" t="b">
        <f>IFERROR(__xludf.DUMMYFUNCTION("""COMPUTED_VALUE"""),TRUE)</f>
        <v>1</v>
      </c>
    </row>
    <row r="415">
      <c r="A415" s="5">
        <f>IFERROR(__xludf.DUMMYFUNCTION("""COMPUTED_VALUE"""),427.0)</f>
        <v>427</v>
      </c>
      <c r="B415" s="5">
        <f>IFERROR(__xludf.DUMMYFUNCTION("""COMPUTED_VALUE"""),394.0)</f>
        <v>394</v>
      </c>
      <c r="C415" s="5" t="str">
        <f>IFERROR(__xludf.DUMMYFUNCTION("""COMPUTED_VALUE"""),"Tiptop")</f>
        <v>Tiptop</v>
      </c>
      <c r="D415" s="5" t="str">
        <f>IFERROR(__xludf.DUMMYFUNCTION("""COMPUTED_VALUE"""),"Simply Sevens Dice Easter")</f>
        <v>Simply Sevens Dice Easter</v>
      </c>
      <c r="E415" s="5" t="str">
        <f>IFERROR(__xludf.DUMMYFUNCTION("""COMPUTED_VALUE"""),"V4-2")</f>
        <v>V4-2</v>
      </c>
      <c r="F415" s="5" t="str">
        <f>IFERROR(__xludf.DUMMYFUNCTION("""COMPUTED_VALUE"""),"UnicornSimplySevensDiceEaster")</f>
        <v>UnicornSimplySevensDiceEaster</v>
      </c>
      <c r="G415" s="5" t="str">
        <f>IFERROR(__xludf.DUMMYFUNCTION("""COMPUTED_VALUE"""),"Live")</f>
        <v>Live</v>
      </c>
      <c r="H415" s="5"/>
      <c r="I415" s="5" t="str">
        <f>IFERROR(__xludf.DUMMYFUNCTION("""COMPUTED_VALUE"""),"TipTop")</f>
        <v>TipTop</v>
      </c>
      <c r="J415" s="5" t="str">
        <f>IFERROR(__xludf.DUMMYFUNCTION("""COMPUTED_VALUE"""),"JSON")</f>
        <v>JSON</v>
      </c>
      <c r="K415" s="5" t="str">
        <f>IFERROR(__xludf.DUMMYFUNCTION("""COMPUTED_VALUE"""),"Dice Slots")</f>
        <v>Dice Slots</v>
      </c>
      <c r="L415" s="5" t="str">
        <f>IFERROR(__xludf.DUMMYFUNCTION("""COMPUTED_VALUE""")," Clone")</f>
        <v> Clone</v>
      </c>
      <c r="M415" s="5" t="str">
        <f>IFERROR(__xludf.DUMMYFUNCTION("""COMPUTED_VALUE"""),"Simply Sevens Dice")</f>
        <v>Simply Sevens Dice</v>
      </c>
      <c r="N415" s="5"/>
      <c r="O415" s="5"/>
      <c r="P415" s="12">
        <f>IFERROR(__xludf.DUMMYFUNCTION("""COMPUTED_VALUE"""),11.0)</f>
        <v>11</v>
      </c>
      <c r="Q415" s="13">
        <f>IFERROR(__xludf.DUMMYFUNCTION("""COMPUTED_VALUE"""),45715.0)</f>
        <v>45715</v>
      </c>
      <c r="R415" s="14">
        <f>IFERROR(__xludf.DUMMYFUNCTION("""COMPUTED_VALUE"""),45709.0)</f>
        <v>45709</v>
      </c>
      <c r="S415" s="13">
        <f>IFERROR(__xludf.DUMMYFUNCTION("""COMPUTED_VALUE"""),45715.0)</f>
        <v>45715</v>
      </c>
      <c r="T415" s="5" t="b">
        <f>IFERROR(__xludf.DUMMYFUNCTION("""COMPUTED_VALUE"""),TRUE)</f>
        <v>1</v>
      </c>
      <c r="U415" s="5" t="str">
        <f>IFERROR(__xludf.DUMMYFUNCTION("""COMPUTED_VALUE"""),"5x3")</f>
        <v>5x3</v>
      </c>
      <c r="V415" s="5">
        <f>IFERROR(__xludf.DUMMYFUNCTION("""COMPUTED_VALUE"""),10.0)</f>
        <v>10</v>
      </c>
      <c r="W415" s="5">
        <f>IFERROR(__xludf.DUMMYFUNCTION("""COMPUTED_VALUE"""),10.0)</f>
        <v>10</v>
      </c>
      <c r="X415" s="11">
        <f>IFERROR(__xludf.DUMMYFUNCTION("""COMPUTED_VALUE"""),96.0)</f>
        <v>96</v>
      </c>
      <c r="Y415" s="5" t="str">
        <f>IFERROR(__xludf.DUMMYFUNCTION("""COMPUTED_VALUE"""),"Low")</f>
        <v>Low</v>
      </c>
      <c r="Z415" s="5">
        <f>IFERROR(__xludf.DUMMYFUNCTION("""COMPUTED_VALUE"""),24.14)</f>
        <v>24.14</v>
      </c>
      <c r="AA415" s="5">
        <f>IFERROR(__xludf.DUMMYFUNCTION("""COMPUTED_VALUE"""),10000.0)</f>
        <v>10000</v>
      </c>
      <c r="AB415" s="5"/>
      <c r="AC415" s="5"/>
      <c r="AD415" s="5" t="str">
        <f>IFERROR(__xludf.DUMMYFUNCTION("""COMPUTED_VALUE"""),"0.1/100")</f>
        <v>0.1/100</v>
      </c>
      <c r="AE415" s="5"/>
      <c r="AF415" s="5"/>
      <c r="AG415" s="8">
        <f>IFERROR(__xludf.DUMMYFUNCTION("""COMPUTED_VALUE"""),46197.49363425926)</f>
        <v>46197.49363</v>
      </c>
      <c r="AH415" s="5" t="str">
        <f>IFERROR(__xludf.DUMMYFUNCTION("""COMPUTED_VALUE"""),"selena.mihajlovic@fazi.rs")</f>
        <v>selena.mihajlovic@fazi.rs</v>
      </c>
      <c r="AI415" s="13">
        <f>IFERROR(__xludf.DUMMYFUNCTION("""COMPUTED_VALUE"""),45706.0)</f>
        <v>45706</v>
      </c>
      <c r="AJ415" s="5" t="str">
        <f>IFERROR(__xludf.DUMMYFUNCTION("""COMPUTED_VALUE"""),"Pre-Release:
Gaming 1 (sva kazina)
BetConstruct (Vbet kazino) ")</f>
        <v>Pre-Release:
Gaming 1 (sva kazina)
BetConstruct (Vbet kazino) </v>
      </c>
      <c r="AK415" s="5">
        <f>IFERROR(__xludf.DUMMYFUNCTION("""COMPUTED_VALUE"""),10.0)</f>
        <v>10</v>
      </c>
      <c r="AL415" s="5" t="str">
        <f>IFERROR(__xludf.DUMMYFUNCTION("""COMPUTED_VALUE"""),"No")</f>
        <v>No</v>
      </c>
      <c r="AM415" s="5"/>
      <c r="AN415" s="7" t="str">
        <f>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AO415" s="5"/>
      <c r="AP415" s="5"/>
      <c r="AQ415" s="5" t="b">
        <f>IFERROR(__xludf.DUMMYFUNCTION("""COMPUTED_VALUE"""),TRUE)</f>
        <v>1</v>
      </c>
      <c r="AR415" s="5"/>
      <c r="AS415" s="5" t="str">
        <f>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AT415" s="5"/>
      <c r="AU415" s="5" t="str">
        <f>IFERROR(__xludf.DUMMYFUNCTION("""COMPUTED_VALUE"""),"Fazi")</f>
        <v>Fazi</v>
      </c>
      <c r="AV415" s="5"/>
      <c r="AW415" s="5"/>
      <c r="AX415" s="5"/>
      <c r="AY415" s="5"/>
      <c r="AZ415" s="5"/>
      <c r="BA415" s="5"/>
      <c r="BB415" s="5" t="b">
        <f>IFERROR(__xludf.DUMMYFUNCTION("""COMPUTED_VALUE"""),TRUE)</f>
        <v>1</v>
      </c>
      <c r="BC415" s="5" t="str">
        <f>IFERROR(__xludf.DUMMYFUNCTION("""COMPUTED_VALUE"""),"Tiptop")</f>
        <v>Tiptop</v>
      </c>
      <c r="BD415" s="7" t="str">
        <f>IFERROR(__xludf.DUMMYFUNCTION("""COMPUTED_VALUE"""),"https://gameserver-store-client-area.orbionlimited.com/Home/IntegrationGameLaunch/client-area?moneyType=0&amp;gameName=UnicornSimplySevensDiceEaster&amp;platform=desktop&amp;languageCode=eng&amp;currency=EUR")</f>
        <v>https://gameserver-store-client-area.orbionlimited.com/Home/IntegrationGameLaunch/client-area?moneyType=0&amp;gameName=UnicornSimplySevensDiceEaster&amp;platform=desktop&amp;languageCode=eng&amp;currency=EUR</v>
      </c>
      <c r="BE415" s="5" t="b">
        <f>IFERROR(__xludf.DUMMYFUNCTION("""COMPUTED_VALUE"""),TRUE)</f>
        <v>1</v>
      </c>
    </row>
    <row r="416">
      <c r="A416" s="5">
        <f>IFERROR(__xludf.DUMMYFUNCTION("""COMPUTED_VALUE"""),428.0)</f>
        <v>428</v>
      </c>
      <c r="B416" s="5">
        <f>IFERROR(__xludf.DUMMYFUNCTION("""COMPUTED_VALUE"""),180007.0)</f>
        <v>180007</v>
      </c>
      <c r="C416" s="5" t="str">
        <f>IFERROR(__xludf.DUMMYFUNCTION("""COMPUTED_VALUE"""),"Redstone")</f>
        <v>Redstone</v>
      </c>
      <c r="D416" s="5" t="str">
        <f>IFERROR(__xludf.DUMMYFUNCTION("""COMPUTED_VALUE"""),"Multi Clover 10")</f>
        <v>Multi Clover 10</v>
      </c>
      <c r="E416" s="5" t="str">
        <f>IFERROR(__xludf.DUMMYFUNCTION("""COMPUTED_VALUE"""),"Redstone")</f>
        <v>Redstone</v>
      </c>
      <c r="F416" s="5" t="str">
        <f>IFERROR(__xludf.DUMMYFUNCTION("""COMPUTED_VALUE"""),"RedstoneMultiClover10")</f>
        <v>RedstoneMultiClover10</v>
      </c>
      <c r="G416" s="5" t="str">
        <f>IFERROR(__xludf.DUMMYFUNCTION("""COMPUTED_VALUE"""),"Live")</f>
        <v>Live</v>
      </c>
      <c r="H416" s="5"/>
      <c r="I416" s="5" t="str">
        <f>IFERROR(__xludf.DUMMYFUNCTION("""COMPUTED_VALUE"""),"Redstone")</f>
        <v>Redstone</v>
      </c>
      <c r="J416" s="5" t="str">
        <f>IFERROR(__xludf.DUMMYFUNCTION("""COMPUTED_VALUE"""),"JSON")</f>
        <v>JSON</v>
      </c>
      <c r="K416" s="5" t="str">
        <f>IFERROR(__xludf.DUMMYFUNCTION("""COMPUTED_VALUE"""),"Slot")</f>
        <v>Slot</v>
      </c>
      <c r="L416" s="5" t="str">
        <f>IFERROR(__xludf.DUMMYFUNCTION("""COMPUTED_VALUE"""),"Master")</f>
        <v>Master</v>
      </c>
      <c r="M416" s="5"/>
      <c r="N416" s="7" t="str">
        <f>IFERROR(__xludf.DUMMYFUNCTION("""COMPUTED_VALUE"""),"https://drive.google.com/file/d/1y5Y6SBY1LdfTNoAKADaYoL-I5VyQPl2Y/view?usp=drive_link")</f>
        <v>https://drive.google.com/file/d/1y5Y6SBY1LdfTNoAKADaYoL-I5VyQPl2Y/view?usp=drive_link</v>
      </c>
      <c r="O416" s="7" t="str">
        <f>IFERROR(__xludf.DUMMYFUNCTION("""COMPUTED_VALUE"""),"https://drive.google.com/file/d/1CXLi8GgMycV3GyC6LKQGBLvP-rq9jtHE/view?usp=drive_link")</f>
        <v>https://drive.google.com/file/d/1CXLi8GgMycV3GyC6LKQGBLvP-rq9jtHE/view?usp=drive_link</v>
      </c>
      <c r="P416" s="12">
        <f>IFERROR(__xludf.DUMMYFUNCTION("""COMPUTED_VALUE"""),8.0)</f>
        <v>8</v>
      </c>
      <c r="Q416" s="13">
        <f>IFERROR(__xludf.DUMMYFUNCTION("""COMPUTED_VALUE"""),45713.0)</f>
        <v>45713</v>
      </c>
      <c r="R416" s="14">
        <f>IFERROR(__xludf.DUMMYFUNCTION("""COMPUTED_VALUE"""),45707.0)</f>
        <v>45707</v>
      </c>
      <c r="S416" s="13">
        <f>IFERROR(__xludf.DUMMYFUNCTION("""COMPUTED_VALUE"""),45713.0)</f>
        <v>45713</v>
      </c>
      <c r="T416" s="5" t="b">
        <f>IFERROR(__xludf.DUMMYFUNCTION("""COMPUTED_VALUE"""),TRUE)</f>
        <v>1</v>
      </c>
      <c r="U416" s="5" t="str">
        <f>IFERROR(__xludf.DUMMYFUNCTION("""COMPUTED_VALUE"""),"5x3")</f>
        <v>5x3</v>
      </c>
      <c r="V416" s="5">
        <f>IFERROR(__xludf.DUMMYFUNCTION("""COMPUTED_VALUE"""),10.0)</f>
        <v>10</v>
      </c>
      <c r="W416" s="5">
        <f>IFERROR(__xludf.DUMMYFUNCTION("""COMPUTED_VALUE"""),10.0)</f>
        <v>10</v>
      </c>
      <c r="X416" s="11">
        <f>IFERROR(__xludf.DUMMYFUNCTION("""COMPUTED_VALUE"""),96.01)</f>
        <v>96.01</v>
      </c>
      <c r="Y416" s="5" t="str">
        <f>IFERROR(__xludf.DUMMYFUNCTION("""COMPUTED_VALUE"""),"Medium")</f>
        <v>Medium</v>
      </c>
      <c r="Z416" s="5">
        <f>IFERROR(__xludf.DUMMYFUNCTION("""COMPUTED_VALUE"""),13.61)</f>
        <v>13.61</v>
      </c>
      <c r="AA416" s="5">
        <f>IFERROR(__xludf.DUMMYFUNCTION("""COMPUTED_VALUE"""),1615.0)</f>
        <v>1615</v>
      </c>
      <c r="AB416" s="5"/>
      <c r="AC416" s="5" t="str">
        <f>IFERROR(__xludf.DUMMYFUNCTION("""COMPUTED_VALUE"""),"Expanding Wild, Win Multiplier")</f>
        <v>Expanding Wild, Win Multiplier</v>
      </c>
      <c r="AD416" s="5" t="str">
        <f>IFERROR(__xludf.DUMMYFUNCTION("""COMPUTED_VALUE"""),"0.10/50")</f>
        <v>0.10/50</v>
      </c>
      <c r="AE416" s="5"/>
      <c r="AF416" s="5"/>
      <c r="AG416" s="8">
        <f>IFERROR(__xludf.DUMMYFUNCTION("""COMPUTED_VALUE"""),46157.49364583333)</f>
        <v>46157.49365</v>
      </c>
      <c r="AH416" s="5"/>
      <c r="AI416" s="13"/>
      <c r="AJ416" s="5"/>
      <c r="AK416" s="5">
        <f>IFERROR(__xludf.DUMMYFUNCTION("""COMPUTED_VALUE"""),1.0)</f>
        <v>1</v>
      </c>
      <c r="AL416" s="5" t="str">
        <f>IFERROR(__xludf.DUMMYFUNCTION("""COMPUTED_VALUE"""),"No")</f>
        <v>No</v>
      </c>
      <c r="AM416" s="5" t="str">
        <f>IFERROR(__xludf.DUMMYFUNCTION("""COMPUTED_VALUE"""),"No")</f>
        <v>No</v>
      </c>
      <c r="AN416" s="7" t="str">
        <f>IFERROR(__xludf.DUMMYFUNCTION("""COMPUTED_VALUE"""),"https://static.redstone.rs/games/multi-clover-10/")</f>
        <v>https://static.redstone.rs/games/multi-clover-10/</v>
      </c>
      <c r="AO416" s="5" t="str">
        <f>IFERROR(__xludf.DUMMYFUNCTION("""COMPUTED_VALUE"""),"No")</f>
        <v>No</v>
      </c>
      <c r="AP416" s="5" t="str">
        <f>IFERROR(__xludf.DUMMYFUNCTION("""COMPUTED_VALUE"""),"No")</f>
        <v>No</v>
      </c>
      <c r="AQ416" s="5" t="b">
        <f>IFERROR(__xludf.DUMMYFUNCTION("""COMPUTED_VALUE"""),TRUE)</f>
        <v>1</v>
      </c>
      <c r="AR416" s="5"/>
      <c r="AS416" s="5" t="str">
        <f>IFERROR(__xludf.DUMMYFUNCTION("""COMPUTED_VALUE"""),"Spin into a world of clovers and magic with Multi Clover 10. One clover can change everything - watch as expanding wilds boost your winnings with x2, x3 or x5 multipliers! ")</f>
        <v>Spin into a world of clovers and magic with Multi Clover 10. One clover can change everything - watch as expanding wilds boost your winnings with x2, x3 or x5 multipliers! </v>
      </c>
      <c r="AT416" s="5"/>
      <c r="AU416" s="5" t="str">
        <f>IFERROR(__xludf.DUMMYFUNCTION("""COMPUTED_VALUE"""),"Redstone")</f>
        <v>Redstone</v>
      </c>
      <c r="AV416" s="5"/>
      <c r="AW416" s="5"/>
      <c r="AX416" s="5"/>
      <c r="AY416" s="5"/>
      <c r="AZ416" s="5"/>
      <c r="BA416" s="5"/>
      <c r="BB416" s="5" t="b">
        <f>IFERROR(__xludf.DUMMYFUNCTION("""COMPUTED_VALUE"""),TRUE)</f>
        <v>1</v>
      </c>
      <c r="BC416" s="5" t="str">
        <f>IFERROR(__xludf.DUMMYFUNCTION("""COMPUTED_VALUE"""),"Redstone")</f>
        <v>Redstone</v>
      </c>
      <c r="BD416" s="7" t="str">
        <f>IFERROR(__xludf.DUMMYFUNCTION("""COMPUTED_VALUE"""),"https://static.redstone.rs/games/multi-clover-10/")</f>
        <v>https://static.redstone.rs/games/multi-clover-10/</v>
      </c>
      <c r="BE416" s="5" t="b">
        <f>IFERROR(__xludf.DUMMYFUNCTION("""COMPUTED_VALUE"""),TRUE)</f>
        <v>1</v>
      </c>
    </row>
    <row r="417">
      <c r="A417" s="5">
        <f>IFERROR(__xludf.DUMMYFUNCTION("""COMPUTED_VALUE"""),429.0)</f>
        <v>429</v>
      </c>
      <c r="B417" s="5">
        <f>IFERROR(__xludf.DUMMYFUNCTION("""COMPUTED_VALUE"""),180008.0)</f>
        <v>180008</v>
      </c>
      <c r="C417" s="5" t="str">
        <f>IFERROR(__xludf.DUMMYFUNCTION("""COMPUTED_VALUE"""),"Redstone")</f>
        <v>Redstone</v>
      </c>
      <c r="D417" s="5" t="str">
        <f>IFERROR(__xludf.DUMMYFUNCTION("""COMPUTED_VALUE"""),"REEL X5")</f>
        <v>REEL X5</v>
      </c>
      <c r="E417" s="5" t="str">
        <f>IFERROR(__xludf.DUMMYFUNCTION("""COMPUTED_VALUE"""),"Redstone")</f>
        <v>Redstone</v>
      </c>
      <c r="F417" s="5" t="str">
        <f>IFERROR(__xludf.DUMMYFUNCTION("""COMPUTED_VALUE"""),"RedstoneReelX5")</f>
        <v>RedstoneReelX5</v>
      </c>
      <c r="G417" s="5" t="str">
        <f>IFERROR(__xludf.DUMMYFUNCTION("""COMPUTED_VALUE"""),"Live")</f>
        <v>Live</v>
      </c>
      <c r="H417" s="5"/>
      <c r="I417" s="5" t="str">
        <f>IFERROR(__xludf.DUMMYFUNCTION("""COMPUTED_VALUE"""),"Redstone")</f>
        <v>Redstone</v>
      </c>
      <c r="J417" s="5" t="str">
        <f>IFERROR(__xludf.DUMMYFUNCTION("""COMPUTED_VALUE"""),"JSON")</f>
        <v>JSON</v>
      </c>
      <c r="K417" s="5" t="str">
        <f>IFERROR(__xludf.DUMMYFUNCTION("""COMPUTED_VALUE"""),"Slot")</f>
        <v>Slot</v>
      </c>
      <c r="L417" s="5" t="str">
        <f>IFERROR(__xludf.DUMMYFUNCTION("""COMPUTED_VALUE"""),"Master")</f>
        <v>Master</v>
      </c>
      <c r="M417" s="5"/>
      <c r="N417" s="7" t="str">
        <f>IFERROR(__xludf.DUMMYFUNCTION("""COMPUTED_VALUE"""),"https://drive.google.com/file/d/1FxBFAxIrdGHCkC_EQhDHoc4aQjSLDKuk/view?usp=drive_link")</f>
        <v>https://drive.google.com/file/d/1FxBFAxIrdGHCkC_EQhDHoc4aQjSLDKuk/view?usp=drive_link</v>
      </c>
      <c r="O417" s="7" t="str">
        <f>IFERROR(__xludf.DUMMYFUNCTION("""COMPUTED_VALUE"""),"https://drive.google.com/file/d/11ZuJz99MnzBEN9Wu2mO6F5qgjg1UQxMe/view?usp=drive_link")</f>
        <v>https://drive.google.com/file/d/11ZuJz99MnzBEN9Wu2mO6F5qgjg1UQxMe/view?usp=drive_link</v>
      </c>
      <c r="P417" s="12">
        <f>IFERROR(__xludf.DUMMYFUNCTION("""COMPUTED_VALUE"""),8.5)</f>
        <v>8.5</v>
      </c>
      <c r="Q417" s="13">
        <f>IFERROR(__xludf.DUMMYFUNCTION("""COMPUTED_VALUE"""),45720.0)</f>
        <v>45720</v>
      </c>
      <c r="R417" s="14">
        <f>IFERROR(__xludf.DUMMYFUNCTION("""COMPUTED_VALUE"""),45714.0)</f>
        <v>45714</v>
      </c>
      <c r="S417" s="13">
        <f>IFERROR(__xludf.DUMMYFUNCTION("""COMPUTED_VALUE"""),45720.0)</f>
        <v>45720</v>
      </c>
      <c r="T417" s="5" t="b">
        <f>IFERROR(__xludf.DUMMYFUNCTION("""COMPUTED_VALUE"""),TRUE)</f>
        <v>1</v>
      </c>
      <c r="U417" s="5" t="str">
        <f>IFERROR(__xludf.DUMMYFUNCTION("""COMPUTED_VALUE"""),"3x3")</f>
        <v>3x3</v>
      </c>
      <c r="V417" s="5">
        <f>IFERROR(__xludf.DUMMYFUNCTION("""COMPUTED_VALUE"""),5.0)</f>
        <v>5</v>
      </c>
      <c r="W417" s="5">
        <f>IFERROR(__xludf.DUMMYFUNCTION("""COMPUTED_VALUE"""),5.0)</f>
        <v>5</v>
      </c>
      <c r="X417" s="11">
        <f>IFERROR(__xludf.DUMMYFUNCTION("""COMPUTED_VALUE"""),96.03)</f>
        <v>96.03</v>
      </c>
      <c r="Y417" s="5" t="str">
        <f>IFERROR(__xludf.DUMMYFUNCTION("""COMPUTED_VALUE"""),"Low")</f>
        <v>Low</v>
      </c>
      <c r="Z417" s="5">
        <f>IFERROR(__xludf.DUMMYFUNCTION("""COMPUTED_VALUE"""),8.98)</f>
        <v>8.98</v>
      </c>
      <c r="AA417" s="5">
        <f>IFERROR(__xludf.DUMMYFUNCTION("""COMPUTED_VALUE"""),145.0)</f>
        <v>145</v>
      </c>
      <c r="AB417" s="5"/>
      <c r="AC417" s="5" t="str">
        <f>IFERROR(__xludf.DUMMYFUNCTION("""COMPUTED_VALUE"""),"Win Multiplier")</f>
        <v>Win Multiplier</v>
      </c>
      <c r="AD417" s="5" t="str">
        <f>IFERROR(__xludf.DUMMYFUNCTION("""COMPUTED_VALUE"""),"0.10/50")</f>
        <v>0.10/50</v>
      </c>
      <c r="AE417" s="5"/>
      <c r="AF417" s="5"/>
      <c r="AG417" s="8">
        <f>IFERROR(__xludf.DUMMYFUNCTION("""COMPUTED_VALUE"""),46157.526342592595)</f>
        <v>46157.52634</v>
      </c>
      <c r="AH417" s="5"/>
      <c r="AI417" s="13"/>
      <c r="AJ417" s="5"/>
      <c r="AK417" s="5">
        <f>IFERROR(__xludf.DUMMYFUNCTION("""COMPUTED_VALUE"""),1.0)</f>
        <v>1</v>
      </c>
      <c r="AL417" s="5" t="str">
        <f>IFERROR(__xludf.DUMMYFUNCTION("""COMPUTED_VALUE"""),"No")</f>
        <v>No</v>
      </c>
      <c r="AM417" s="5" t="str">
        <f>IFERROR(__xludf.DUMMYFUNCTION("""COMPUTED_VALUE"""),"No")</f>
        <v>No</v>
      </c>
      <c r="AN417" s="7" t="str">
        <f>IFERROR(__xludf.DUMMYFUNCTION("""COMPUTED_VALUE"""),"https://static.redstone.rs/games/reel-x5/")</f>
        <v>https://static.redstone.rs/games/reel-x5/</v>
      </c>
      <c r="AO417" s="5" t="str">
        <f>IFERROR(__xludf.DUMMYFUNCTION("""COMPUTED_VALUE"""),"No")</f>
        <v>No</v>
      </c>
      <c r="AP417" s="5" t="str">
        <f>IFERROR(__xludf.DUMMYFUNCTION("""COMPUTED_VALUE"""),"No")</f>
        <v>No</v>
      </c>
      <c r="AQ417" s="5" t="b">
        <f>IFERROR(__xludf.DUMMYFUNCTION("""COMPUTED_VALUE"""),TRUE)</f>
        <v>1</v>
      </c>
      <c r="AR417" s="5"/>
      <c r="AS417" s="5" t="str">
        <f>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AT417" s="5"/>
      <c r="AU417" s="5" t="str">
        <f>IFERROR(__xludf.DUMMYFUNCTION("""COMPUTED_VALUE"""),"Redstone")</f>
        <v>Redstone</v>
      </c>
      <c r="AV417" s="5"/>
      <c r="AW417" s="5"/>
      <c r="AX417" s="5"/>
      <c r="AY417" s="5"/>
      <c r="AZ417" s="5"/>
      <c r="BA417" s="5"/>
      <c r="BB417" s="5" t="b">
        <f>IFERROR(__xludf.DUMMYFUNCTION("""COMPUTED_VALUE"""),TRUE)</f>
        <v>1</v>
      </c>
      <c r="BC417" s="5" t="str">
        <f>IFERROR(__xludf.DUMMYFUNCTION("""COMPUTED_VALUE"""),"Redstone")</f>
        <v>Redstone</v>
      </c>
      <c r="BD417" s="7" t="str">
        <f>IFERROR(__xludf.DUMMYFUNCTION("""COMPUTED_VALUE"""),"https://static.redstone.rs/games/reel-x5/")</f>
        <v>https://static.redstone.rs/games/reel-x5/</v>
      </c>
      <c r="BE417" s="5" t="b">
        <f>IFERROR(__xludf.DUMMYFUNCTION("""COMPUTED_VALUE"""),TRUE)</f>
        <v>1</v>
      </c>
    </row>
    <row r="418">
      <c r="A418" s="5">
        <f>IFERROR(__xludf.DUMMYFUNCTION("""COMPUTED_VALUE"""),430.0)</f>
        <v>430</v>
      </c>
      <c r="B418" s="5">
        <f>IFERROR(__xludf.DUMMYFUNCTION("""COMPUTED_VALUE"""),397.0)</f>
        <v>397</v>
      </c>
      <c r="C418" s="5" t="str">
        <f>IFERROR(__xludf.DUMMYFUNCTION("""COMPUTED_VALUE"""),"Tiptop")</f>
        <v>Tiptop</v>
      </c>
      <c r="D418" s="5" t="str">
        <f>IFERROR(__xludf.DUMMYFUNCTION("""COMPUTED_VALUE"""),"Fruit Island Gems")</f>
        <v>Fruit Island Gems</v>
      </c>
      <c r="E418" s="5" t="str">
        <f>IFERROR(__xludf.DUMMYFUNCTION("""COMPUTED_VALUE"""),"V4-2")</f>
        <v>V4-2</v>
      </c>
      <c r="F418" s="5" t="str">
        <f>IFERROR(__xludf.DUMMYFUNCTION("""COMPUTED_VALUE"""),"UnicornFruitIslandGems")</f>
        <v>UnicornFruitIslandGems</v>
      </c>
      <c r="G418" s="5" t="str">
        <f>IFERROR(__xludf.DUMMYFUNCTION("""COMPUTED_VALUE"""),"Live")</f>
        <v>Live</v>
      </c>
      <c r="H418" s="5"/>
      <c r="I418" s="5" t="str">
        <f>IFERROR(__xludf.DUMMYFUNCTION("""COMPUTED_VALUE"""),"TipTop")</f>
        <v>TipTop</v>
      </c>
      <c r="J418" s="5" t="str">
        <f>IFERROR(__xludf.DUMMYFUNCTION("""COMPUTED_VALUE"""),"JSON")</f>
        <v>JSON</v>
      </c>
      <c r="K418" s="5" t="str">
        <f>IFERROR(__xludf.DUMMYFUNCTION("""COMPUTED_VALUE"""),"Slot")</f>
        <v>Slot</v>
      </c>
      <c r="L418" s="5" t="str">
        <f>IFERROR(__xludf.DUMMYFUNCTION("""COMPUTED_VALUE""")," Clone")</f>
        <v> Clone</v>
      </c>
      <c r="M418" s="5" t="str">
        <f>IFERROR(__xludf.DUMMYFUNCTION("""COMPUTED_VALUE"""),"Fruit Island")</f>
        <v>Fruit Island</v>
      </c>
      <c r="N418" s="5"/>
      <c r="O418" s="5"/>
      <c r="P418" s="12">
        <f>IFERROR(__xludf.DUMMYFUNCTION("""COMPUTED_VALUE"""),11.1)</f>
        <v>11.1</v>
      </c>
      <c r="Q418" s="13">
        <f>IFERROR(__xludf.DUMMYFUNCTION("""COMPUTED_VALUE"""),45722.0)</f>
        <v>45722</v>
      </c>
      <c r="R418" s="14">
        <f>IFERROR(__xludf.DUMMYFUNCTION("""COMPUTED_VALUE"""),45716.0)</f>
        <v>45716</v>
      </c>
      <c r="S418" s="13">
        <f>IFERROR(__xludf.DUMMYFUNCTION("""COMPUTED_VALUE"""),45722.0)</f>
        <v>45722</v>
      </c>
      <c r="T418" s="5" t="b">
        <f>IFERROR(__xludf.DUMMYFUNCTION("""COMPUTED_VALUE"""),TRUE)</f>
        <v>1</v>
      </c>
      <c r="U418" s="5" t="str">
        <f>IFERROR(__xludf.DUMMYFUNCTION("""COMPUTED_VALUE"""),"5x3")</f>
        <v>5x3</v>
      </c>
      <c r="V418" s="5">
        <f>IFERROR(__xludf.DUMMYFUNCTION("""COMPUTED_VALUE"""),5.0)</f>
        <v>5</v>
      </c>
      <c r="W418" s="5">
        <f>IFERROR(__xludf.DUMMYFUNCTION("""COMPUTED_VALUE"""),5.0)</f>
        <v>5</v>
      </c>
      <c r="X418" s="11">
        <f>IFERROR(__xludf.DUMMYFUNCTION("""COMPUTED_VALUE"""),96.0)</f>
        <v>96</v>
      </c>
      <c r="Y418" s="5" t="str">
        <f>IFERROR(__xludf.DUMMYFUNCTION("""COMPUTED_VALUE"""),"Low")</f>
        <v>Low</v>
      </c>
      <c r="Z418" s="5">
        <f>IFERROR(__xludf.DUMMYFUNCTION("""COMPUTED_VALUE"""),10.5)</f>
        <v>10.5</v>
      </c>
      <c r="AA418" s="5">
        <f>IFERROR(__xludf.DUMMYFUNCTION("""COMPUTED_VALUE"""),1000.0)</f>
        <v>1000</v>
      </c>
      <c r="AB418" s="5"/>
      <c r="AC418" s="5"/>
      <c r="AD418" s="5" t="str">
        <f>IFERROR(__xludf.DUMMYFUNCTION("""COMPUTED_VALUE"""),"0.05/100")</f>
        <v>0.05/100</v>
      </c>
      <c r="AE418" s="5"/>
      <c r="AF418" s="5"/>
      <c r="AG418" s="8">
        <f>IFERROR(__xludf.DUMMYFUNCTION("""COMPUTED_VALUE"""),46197.49377314815)</f>
        <v>46197.49377</v>
      </c>
      <c r="AH418" s="5" t="str">
        <f>IFERROR(__xludf.DUMMYFUNCTION("""COMPUTED_VALUE"""),"selena.mihajlovic@fazi.rs")</f>
        <v>selena.mihajlovic@fazi.rs</v>
      </c>
      <c r="AI418" s="13"/>
      <c r="AJ418" s="5"/>
      <c r="AK418" s="5">
        <f>IFERROR(__xludf.DUMMYFUNCTION("""COMPUTED_VALUE"""),5.0)</f>
        <v>5</v>
      </c>
      <c r="AL418" s="5" t="str">
        <f>IFERROR(__xludf.DUMMYFUNCTION("""COMPUTED_VALUE"""),"No")</f>
        <v>No</v>
      </c>
      <c r="AM418" s="5"/>
      <c r="AN418" s="7" t="str">
        <f>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AO418" s="5"/>
      <c r="AP418" s="5"/>
      <c r="AQ418" s="5" t="b">
        <f>IFERROR(__xludf.DUMMYFUNCTION("""COMPUTED_VALUE"""),TRUE)</f>
        <v>1</v>
      </c>
      <c r="AR418" s="5"/>
      <c r="AS418" s="5" t="str">
        <f>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AT418" s="5"/>
      <c r="AU418" s="5" t="str">
        <f>IFERROR(__xludf.DUMMYFUNCTION("""COMPUTED_VALUE"""),"Fazi")</f>
        <v>Fazi</v>
      </c>
      <c r="AV418" s="5"/>
      <c r="AW418" s="5"/>
      <c r="AX418" s="5"/>
      <c r="AY418" s="5"/>
      <c r="AZ418" s="5"/>
      <c r="BA418" s="5"/>
      <c r="BB418" s="5" t="b">
        <f>IFERROR(__xludf.DUMMYFUNCTION("""COMPUTED_VALUE"""),TRUE)</f>
        <v>1</v>
      </c>
      <c r="BC418" s="5" t="str">
        <f>IFERROR(__xludf.DUMMYFUNCTION("""COMPUTED_VALUE"""),"Tiptop")</f>
        <v>Tiptop</v>
      </c>
      <c r="BD418" s="7" t="str">
        <f>IFERROR(__xludf.DUMMYFUNCTION("""COMPUTED_VALUE"""),"https://gameserver-store-client-area.orbionlimited.com/Home/IntegrationGameLaunch/client-area?moneyType=0&amp;gameName=UnicornFruitIslandGems&amp;platform=desktop&amp;languageCode=eng&amp;currency=EUR")</f>
        <v>https://gameserver-store-client-area.orbionlimited.com/Home/IntegrationGameLaunch/client-area?moneyType=0&amp;gameName=UnicornFruitIslandGems&amp;platform=desktop&amp;languageCode=eng&amp;currency=EUR</v>
      </c>
      <c r="BE418" s="5" t="b">
        <f>IFERROR(__xludf.DUMMYFUNCTION("""COMPUTED_VALUE"""),TRUE)</f>
        <v>1</v>
      </c>
    </row>
    <row r="419">
      <c r="A419" s="5">
        <f>IFERROR(__xludf.DUMMYFUNCTION("""COMPUTED_VALUE"""),431.0)</f>
        <v>431</v>
      </c>
      <c r="B419" s="5">
        <f>IFERROR(__xludf.DUMMYFUNCTION("""COMPUTED_VALUE"""),398.0)</f>
        <v>398</v>
      </c>
      <c r="C419" s="5" t="str">
        <f>IFERROR(__xludf.DUMMYFUNCTION("""COMPUTED_VALUE"""),"Tiptop")</f>
        <v>Tiptop</v>
      </c>
      <c r="D419" s="5" t="str">
        <f>IFERROR(__xludf.DUMMYFUNCTION("""COMPUTED_VALUE"""),"Bunny Dice")</f>
        <v>Bunny Dice</v>
      </c>
      <c r="E419" s="5" t="str">
        <f>IFERROR(__xludf.DUMMYFUNCTION("""COMPUTED_VALUE"""),"V4-2")</f>
        <v>V4-2</v>
      </c>
      <c r="F419" s="5" t="str">
        <f>IFERROR(__xludf.DUMMYFUNCTION("""COMPUTED_VALUE"""),"UnicornBunnyDice")</f>
        <v>UnicornBunnyDice</v>
      </c>
      <c r="G419" s="5" t="str">
        <f>IFERROR(__xludf.DUMMYFUNCTION("""COMPUTED_VALUE"""),"Live")</f>
        <v>Live</v>
      </c>
      <c r="H419" s="5"/>
      <c r="I419" s="5" t="str">
        <f>IFERROR(__xludf.DUMMYFUNCTION("""COMPUTED_VALUE"""),"TipTop")</f>
        <v>TipTop</v>
      </c>
      <c r="J419" s="5" t="str">
        <f>IFERROR(__xludf.DUMMYFUNCTION("""COMPUTED_VALUE"""),"JSON")</f>
        <v>JSON</v>
      </c>
      <c r="K419" s="5" t="str">
        <f>IFERROR(__xludf.DUMMYFUNCTION("""COMPUTED_VALUE"""),"Dice Slots")</f>
        <v>Dice Slots</v>
      </c>
      <c r="L419" s="5" t="str">
        <f>IFERROR(__xludf.DUMMYFUNCTION("""COMPUTED_VALUE""")," Clone")</f>
        <v> Clone</v>
      </c>
      <c r="M419" s="5" t="str">
        <f>IFERROR(__xludf.DUMMYFUNCTION("""COMPUTED_VALUE"""),"Lava Diamonds")</f>
        <v>Lava Diamonds</v>
      </c>
      <c r="N419" s="5"/>
      <c r="O419" s="5"/>
      <c r="P419" s="12">
        <f>IFERROR(__xludf.DUMMYFUNCTION("""COMPUTED_VALUE"""),12.2)</f>
        <v>12.2</v>
      </c>
      <c r="Q419" s="13">
        <f>IFERROR(__xludf.DUMMYFUNCTION("""COMPUTED_VALUE"""),45729.0)</f>
        <v>45729</v>
      </c>
      <c r="R419" s="14">
        <f>IFERROR(__xludf.DUMMYFUNCTION("""COMPUTED_VALUE"""),45722.0)</f>
        <v>45722</v>
      </c>
      <c r="S419" s="13">
        <f>IFERROR(__xludf.DUMMYFUNCTION("""COMPUTED_VALUE"""),45729.0)</f>
        <v>45729</v>
      </c>
      <c r="T419" s="5" t="b">
        <f>IFERROR(__xludf.DUMMYFUNCTION("""COMPUTED_VALUE"""),TRUE)</f>
        <v>1</v>
      </c>
      <c r="U419" s="5" t="str">
        <f>IFERROR(__xludf.DUMMYFUNCTION("""COMPUTED_VALUE"""),"5x3")</f>
        <v>5x3</v>
      </c>
      <c r="V419" s="5">
        <f>IFERROR(__xludf.DUMMYFUNCTION("""COMPUTED_VALUE"""),10.0)</f>
        <v>10</v>
      </c>
      <c r="W419" s="5">
        <f>IFERROR(__xludf.DUMMYFUNCTION("""COMPUTED_VALUE"""),10.0)</f>
        <v>10</v>
      </c>
      <c r="X419" s="11">
        <f>IFERROR(__xludf.DUMMYFUNCTION("""COMPUTED_VALUE"""),96.0)</f>
        <v>96</v>
      </c>
      <c r="Y419" s="5" t="str">
        <f>IFERROR(__xludf.DUMMYFUNCTION("""COMPUTED_VALUE"""),"Low")</f>
        <v>Low</v>
      </c>
      <c r="Z419" s="5">
        <f>IFERROR(__xludf.DUMMYFUNCTION("""COMPUTED_VALUE"""),24.14)</f>
        <v>24.14</v>
      </c>
      <c r="AA419" s="5">
        <f>IFERROR(__xludf.DUMMYFUNCTION("""COMPUTED_VALUE"""),10000.0)</f>
        <v>10000</v>
      </c>
      <c r="AB419" s="5"/>
      <c r="AC419" s="5"/>
      <c r="AD419" s="5" t="str">
        <f>IFERROR(__xludf.DUMMYFUNCTION("""COMPUTED_VALUE"""),"0.1/100")</f>
        <v>0.1/100</v>
      </c>
      <c r="AE419" s="5"/>
      <c r="AF419" s="5"/>
      <c r="AG419" s="8">
        <f>IFERROR(__xludf.DUMMYFUNCTION("""COMPUTED_VALUE"""),46197.49581018519)</f>
        <v>46197.49581</v>
      </c>
      <c r="AH419" s="5" t="str">
        <f>IFERROR(__xludf.DUMMYFUNCTION("""COMPUTED_VALUE"""),"selena.mihajlovic@fazi.rs")</f>
        <v>selena.mihajlovic@fazi.rs</v>
      </c>
      <c r="AI419" s="13"/>
      <c r="AJ419" s="5"/>
      <c r="AK419" s="5">
        <f>IFERROR(__xludf.DUMMYFUNCTION("""COMPUTED_VALUE"""),10.0)</f>
        <v>10</v>
      </c>
      <c r="AL419" s="5" t="str">
        <f>IFERROR(__xludf.DUMMYFUNCTION("""COMPUTED_VALUE"""),"No")</f>
        <v>No</v>
      </c>
      <c r="AM419" s="5"/>
      <c r="AN419" s="7" t="str">
        <f>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AO419" s="5"/>
      <c r="AP419" s="5"/>
      <c r="AQ419" s="5" t="b">
        <f>IFERROR(__xludf.DUMMYFUNCTION("""COMPUTED_VALUE"""),TRUE)</f>
        <v>1</v>
      </c>
      <c r="AR419" s="5"/>
      <c r="AS419" s="5" t="str">
        <f>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AT419" s="5"/>
      <c r="AU419" s="5" t="str">
        <f>IFERROR(__xludf.DUMMYFUNCTION("""COMPUTED_VALUE"""),"Fazi")</f>
        <v>Fazi</v>
      </c>
      <c r="AV419" s="5"/>
      <c r="AW419" s="5"/>
      <c r="AX419" s="5"/>
      <c r="AY419" s="5"/>
      <c r="AZ419" s="5"/>
      <c r="BA419" s="5"/>
      <c r="BB419" s="5" t="b">
        <f>IFERROR(__xludf.DUMMYFUNCTION("""COMPUTED_VALUE"""),TRUE)</f>
        <v>1</v>
      </c>
      <c r="BC419" s="5" t="str">
        <f>IFERROR(__xludf.DUMMYFUNCTION("""COMPUTED_VALUE"""),"Tiptop")</f>
        <v>Tiptop</v>
      </c>
      <c r="BD419" s="7" t="str">
        <f>IFERROR(__xludf.DUMMYFUNCTION("""COMPUTED_VALUE"""),"https://gameserver-store-client-area.orbionlimited.com/Home/IntegrationGameLaunch/client-area?moneyType=0&amp;gameName=UnicornBunnyDice&amp;platform=desktop&amp;languageCode=eng&amp;currency=EUR")</f>
        <v>https://gameserver-store-client-area.orbionlimited.com/Home/IntegrationGameLaunch/client-area?moneyType=0&amp;gameName=UnicornBunnyDice&amp;platform=desktop&amp;languageCode=eng&amp;currency=EUR</v>
      </c>
      <c r="BE419" s="5" t="b">
        <f>IFERROR(__xludf.DUMMYFUNCTION("""COMPUTED_VALUE"""),TRUE)</f>
        <v>1</v>
      </c>
    </row>
    <row r="420">
      <c r="A420" s="5">
        <f>IFERROR(__xludf.DUMMYFUNCTION("""COMPUTED_VALUE"""),432.0)</f>
        <v>432</v>
      </c>
      <c r="B420" s="5">
        <f>IFERROR(__xludf.DUMMYFUNCTION("""COMPUTED_VALUE"""),180009.0)</f>
        <v>180009</v>
      </c>
      <c r="C420" s="5" t="str">
        <f>IFERROR(__xludf.DUMMYFUNCTION("""COMPUTED_VALUE"""),"Redstone")</f>
        <v>Redstone</v>
      </c>
      <c r="D420" s="5" t="str">
        <f>IFERROR(__xludf.DUMMYFUNCTION("""COMPUTED_VALUE"""),"Farm Fiesta")</f>
        <v>Farm Fiesta</v>
      </c>
      <c r="E420" s="5" t="str">
        <f>IFERROR(__xludf.DUMMYFUNCTION("""COMPUTED_VALUE"""),"Redstone")</f>
        <v>Redstone</v>
      </c>
      <c r="F420" s="5" t="str">
        <f>IFERROR(__xludf.DUMMYFUNCTION("""COMPUTED_VALUE"""),"RedstoneFarmFiesta")</f>
        <v>RedstoneFarmFiesta</v>
      </c>
      <c r="G420" s="5" t="str">
        <f>IFERROR(__xludf.DUMMYFUNCTION("""COMPUTED_VALUE"""),"Live")</f>
        <v>Live</v>
      </c>
      <c r="H420" s="5"/>
      <c r="I420" s="5" t="str">
        <f>IFERROR(__xludf.DUMMYFUNCTION("""COMPUTED_VALUE"""),"Redstone")</f>
        <v>Redstone</v>
      </c>
      <c r="J420" s="5" t="str">
        <f>IFERROR(__xludf.DUMMYFUNCTION("""COMPUTED_VALUE"""),"JSON")</f>
        <v>JSON</v>
      </c>
      <c r="K420" s="5" t="str">
        <f>IFERROR(__xludf.DUMMYFUNCTION("""COMPUTED_VALUE"""),"Slot")</f>
        <v>Slot</v>
      </c>
      <c r="L420" s="5" t="str">
        <f>IFERROR(__xludf.DUMMYFUNCTION("""COMPUTED_VALUE"""),"Master")</f>
        <v>Master</v>
      </c>
      <c r="M420" s="5"/>
      <c r="N420" s="7" t="str">
        <f>IFERROR(__xludf.DUMMYFUNCTION("""COMPUTED_VALUE"""),"https://docs.google.com/document/d/1DdYXTKFFkRj34SDHVCAwvpT3sxtvhBr0/edit?usp=drive_link&amp;ouid=107596163405648766688&amp;rtpof=true&amp;sd=true")</f>
        <v>https://docs.google.com/document/d/1DdYXTKFFkRj34SDHVCAwvpT3sxtvhBr0/edit?usp=drive_link&amp;ouid=107596163405648766688&amp;rtpof=true&amp;sd=true</v>
      </c>
      <c r="O420" s="7" t="str">
        <f>IFERROR(__xludf.DUMMYFUNCTION("""COMPUTED_VALUE"""),"https://docs.google.com/document/d/1iWTO0Oacvjv2ikz7_9v_gkTjRfs47CM6/edit?usp=drive_link&amp;ouid=107596163405648766688&amp;rtpof=true&amp;sd=true")</f>
        <v>https://docs.google.com/document/d/1iWTO0Oacvjv2ikz7_9v_gkTjRfs47CM6/edit?usp=drive_link&amp;ouid=107596163405648766688&amp;rtpof=true&amp;sd=true</v>
      </c>
      <c r="P420" s="12">
        <f>IFERROR(__xludf.DUMMYFUNCTION("""COMPUTED_VALUE"""),13.0)</f>
        <v>13</v>
      </c>
      <c r="Q420" s="13">
        <f>IFERROR(__xludf.DUMMYFUNCTION("""COMPUTED_VALUE"""),45727.0)</f>
        <v>45727</v>
      </c>
      <c r="R420" s="14">
        <f>IFERROR(__xludf.DUMMYFUNCTION("""COMPUTED_VALUE"""),45720.0)</f>
        <v>45720</v>
      </c>
      <c r="S420" s="13">
        <f>IFERROR(__xludf.DUMMYFUNCTION("""COMPUTED_VALUE"""),45727.0)</f>
        <v>45727</v>
      </c>
      <c r="T420" s="5" t="b">
        <f>IFERROR(__xludf.DUMMYFUNCTION("""COMPUTED_VALUE"""),TRUE)</f>
        <v>1</v>
      </c>
      <c r="U420" s="5" t="str">
        <f>IFERROR(__xludf.DUMMYFUNCTION("""COMPUTED_VALUE"""),"5x3")</f>
        <v>5x3</v>
      </c>
      <c r="V420" s="5">
        <f>IFERROR(__xludf.DUMMYFUNCTION("""COMPUTED_VALUE"""),20.0)</f>
        <v>20</v>
      </c>
      <c r="W420" s="5">
        <f>IFERROR(__xludf.DUMMYFUNCTION("""COMPUTED_VALUE"""),20.0)</f>
        <v>20</v>
      </c>
      <c r="X420" s="11">
        <f>IFERROR(__xludf.DUMMYFUNCTION("""COMPUTED_VALUE"""),96.0)</f>
        <v>96</v>
      </c>
      <c r="Y420" s="5" t="str">
        <f>IFERROR(__xludf.DUMMYFUNCTION("""COMPUTED_VALUE"""),"Medium")</f>
        <v>Medium</v>
      </c>
      <c r="Z420" s="5">
        <f>IFERROR(__xludf.DUMMYFUNCTION("""COMPUTED_VALUE"""),30.0)</f>
        <v>30</v>
      </c>
      <c r="AA420" s="5">
        <f>IFERROR(__xludf.DUMMYFUNCTION("""COMPUTED_VALUE"""),2000.0)</f>
        <v>2000</v>
      </c>
      <c r="AB420" s="5"/>
      <c r="AC420" s="5" t="str">
        <f>IFERROR(__xludf.DUMMYFUNCTION("""COMPUTED_VALUE"""),"Scatter, Wild Symbol, Bonus Game with Free Spins, Bonus Game with Sticky Wild")</f>
        <v>Scatter, Wild Symbol, Bonus Game with Free Spins, Bonus Game with Sticky Wild</v>
      </c>
      <c r="AD420" s="5" t="str">
        <f>IFERROR(__xludf.DUMMYFUNCTION("""COMPUTED_VALUE"""),"0.10/50")</f>
        <v>0.10/50</v>
      </c>
      <c r="AE420" s="5"/>
      <c r="AF420" s="5"/>
      <c r="AG420" s="8">
        <f>IFERROR(__xludf.DUMMYFUNCTION("""COMPUTED_VALUE"""),46157.52798611111)</f>
        <v>46157.52799</v>
      </c>
      <c r="AH420" s="5"/>
      <c r="AI420" s="13"/>
      <c r="AJ420" s="5"/>
      <c r="AK420" s="5"/>
      <c r="AL420" s="5" t="str">
        <f>IFERROR(__xludf.DUMMYFUNCTION("""COMPUTED_VALUE"""),"No")</f>
        <v>No</v>
      </c>
      <c r="AM420" s="5" t="str">
        <f>IFERROR(__xludf.DUMMYFUNCTION("""COMPUTED_VALUE"""),"No")</f>
        <v>No</v>
      </c>
      <c r="AN420" s="7" t="str">
        <f>IFERROR(__xludf.DUMMYFUNCTION("""COMPUTED_VALUE"""),"https://static.redstone.rs/games/farm-fiesta/")</f>
        <v>https://static.redstone.rs/games/farm-fiesta/</v>
      </c>
      <c r="AO420" s="5" t="str">
        <f>IFERROR(__xludf.DUMMYFUNCTION("""COMPUTED_VALUE"""),"No")</f>
        <v>No</v>
      </c>
      <c r="AP420" s="5" t="str">
        <f>IFERROR(__xludf.DUMMYFUNCTION("""COMPUTED_VALUE"""),"No")</f>
        <v>No</v>
      </c>
      <c r="AQ420" s="5" t="b">
        <f>IFERROR(__xludf.DUMMYFUNCTION("""COMPUTED_VALUE"""),TRUE)</f>
        <v>1</v>
      </c>
      <c r="AR420" s="5"/>
      <c r="AS420" s="5" t="str">
        <f>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AT420" s="5"/>
      <c r="AU420" s="5" t="str">
        <f>IFERROR(__xludf.DUMMYFUNCTION("""COMPUTED_VALUE"""),"Redstone")</f>
        <v>Redstone</v>
      </c>
      <c r="AV420" s="5"/>
      <c r="AW420" s="5"/>
      <c r="AX420" s="5"/>
      <c r="AY420" s="5"/>
      <c r="AZ420" s="5"/>
      <c r="BA420" s="5"/>
      <c r="BB420" s="5" t="b">
        <f>IFERROR(__xludf.DUMMYFUNCTION("""COMPUTED_VALUE"""),TRUE)</f>
        <v>1</v>
      </c>
      <c r="BC420" s="5" t="str">
        <f>IFERROR(__xludf.DUMMYFUNCTION("""COMPUTED_VALUE"""),"Redstone")</f>
        <v>Redstone</v>
      </c>
      <c r="BD420" s="7" t="str">
        <f>IFERROR(__xludf.DUMMYFUNCTION("""COMPUTED_VALUE"""),"https://static.redstone.rs/games/farm-fiesta/")</f>
        <v>https://static.redstone.rs/games/farm-fiesta/</v>
      </c>
      <c r="BE420" s="5" t="b">
        <f>IFERROR(__xludf.DUMMYFUNCTION("""COMPUTED_VALUE"""),TRUE)</f>
        <v>1</v>
      </c>
    </row>
    <row r="421">
      <c r="A421" s="5">
        <f>IFERROR(__xludf.DUMMYFUNCTION("""COMPUTED_VALUE"""),433.0)</f>
        <v>433</v>
      </c>
      <c r="B421" s="5">
        <f>IFERROR(__xludf.DUMMYFUNCTION("""COMPUTED_VALUE"""),180010.0)</f>
        <v>180010</v>
      </c>
      <c r="C421" s="5" t="str">
        <f>IFERROR(__xludf.DUMMYFUNCTION("""COMPUTED_VALUE"""),"Redstone")</f>
        <v>Redstone</v>
      </c>
      <c r="D421" s="5" t="str">
        <f>IFERROR(__xludf.DUMMYFUNCTION("""COMPUTED_VALUE"""),"Sweet Respins")</f>
        <v>Sweet Respins</v>
      </c>
      <c r="E421" s="5" t="str">
        <f>IFERROR(__xludf.DUMMYFUNCTION("""COMPUTED_VALUE"""),"Redstone")</f>
        <v>Redstone</v>
      </c>
      <c r="F421" s="5" t="str">
        <f>IFERROR(__xludf.DUMMYFUNCTION("""COMPUTED_VALUE"""),"RedstoneSweetRespins")</f>
        <v>RedstoneSweetRespins</v>
      </c>
      <c r="G421" s="5" t="str">
        <f>IFERROR(__xludf.DUMMYFUNCTION("""COMPUTED_VALUE"""),"Live")</f>
        <v>Live</v>
      </c>
      <c r="H421" s="5"/>
      <c r="I421" s="5" t="str">
        <f>IFERROR(__xludf.DUMMYFUNCTION("""COMPUTED_VALUE"""),"Redstone")</f>
        <v>Redstone</v>
      </c>
      <c r="J421" s="5" t="str">
        <f>IFERROR(__xludf.DUMMYFUNCTION("""COMPUTED_VALUE"""),"JSON")</f>
        <v>JSON</v>
      </c>
      <c r="K421" s="5" t="str">
        <f>IFERROR(__xludf.DUMMYFUNCTION("""COMPUTED_VALUE"""),"Slot")</f>
        <v>Slot</v>
      </c>
      <c r="L421" s="5" t="str">
        <f>IFERROR(__xludf.DUMMYFUNCTION("""COMPUTED_VALUE"""),"Master")</f>
        <v>Master</v>
      </c>
      <c r="M421" s="5"/>
      <c r="N421" s="7" t="str">
        <f>IFERROR(__xludf.DUMMYFUNCTION("""COMPUTED_VALUE"""),"https://drive.google.com/file/d/1NBpzN0MPuuw6DJLjEkH_qHfLuxDx6OcM/view?usp=drive_link")</f>
        <v>https://drive.google.com/file/d/1NBpzN0MPuuw6DJLjEkH_qHfLuxDx6OcM/view?usp=drive_link</v>
      </c>
      <c r="O421" s="7" t="str">
        <f>IFERROR(__xludf.DUMMYFUNCTION("""COMPUTED_VALUE"""),"https://drive.google.com/file/d/1IS1lcx8cIUZ1FAcAGfjHbVWaBX3qs_tT/view?usp=drive_link")</f>
        <v>https://drive.google.com/file/d/1IS1lcx8cIUZ1FAcAGfjHbVWaBX3qs_tT/view?usp=drive_link</v>
      </c>
      <c r="P421" s="12">
        <f>IFERROR(__xludf.DUMMYFUNCTION("""COMPUTED_VALUE"""),10.5)</f>
        <v>10.5</v>
      </c>
      <c r="Q421" s="13">
        <f>IFERROR(__xludf.DUMMYFUNCTION("""COMPUTED_VALUE"""),45734.0)</f>
        <v>45734</v>
      </c>
      <c r="R421" s="14">
        <f>IFERROR(__xludf.DUMMYFUNCTION("""COMPUTED_VALUE"""),45727.0)</f>
        <v>45727</v>
      </c>
      <c r="S421" s="13">
        <f>IFERROR(__xludf.DUMMYFUNCTION("""COMPUTED_VALUE"""),45734.0)</f>
        <v>45734</v>
      </c>
      <c r="T421" s="5" t="b">
        <f>IFERROR(__xludf.DUMMYFUNCTION("""COMPUTED_VALUE"""),TRUE)</f>
        <v>1</v>
      </c>
      <c r="U421" s="5" t="str">
        <f>IFERROR(__xludf.DUMMYFUNCTION("""COMPUTED_VALUE"""),"5x3")</f>
        <v>5x3</v>
      </c>
      <c r="V421" s="5">
        <f>IFERROR(__xludf.DUMMYFUNCTION("""COMPUTED_VALUE"""),10.0)</f>
        <v>10</v>
      </c>
      <c r="W421" s="5">
        <f>IFERROR(__xludf.DUMMYFUNCTION("""COMPUTED_VALUE"""),10.0)</f>
        <v>10</v>
      </c>
      <c r="X421" s="11">
        <f>IFERROR(__xludf.DUMMYFUNCTION("""COMPUTED_VALUE"""),96.05)</f>
        <v>96.05</v>
      </c>
      <c r="Y421" s="5" t="str">
        <f>IFERROR(__xludf.DUMMYFUNCTION("""COMPUTED_VALUE"""),"High")</f>
        <v>High</v>
      </c>
      <c r="Z421" s="5">
        <f>IFERROR(__xludf.DUMMYFUNCTION("""COMPUTED_VALUE"""),19.5)</f>
        <v>19.5</v>
      </c>
      <c r="AA421" s="5">
        <f>IFERROR(__xludf.DUMMYFUNCTION("""COMPUTED_VALUE"""),10000.0)</f>
        <v>10000</v>
      </c>
      <c r="AB421" s="5"/>
      <c r="AC421" s="5" t="str">
        <f>IFERROR(__xludf.DUMMYFUNCTION("""COMPUTED_VALUE"""),"Expanding Wild, Sticky Wild, Respin, Bothways, Scatter")</f>
        <v>Expanding Wild, Sticky Wild, Respin, Bothways, Scatter</v>
      </c>
      <c r="AD421" s="5" t="str">
        <f>IFERROR(__xludf.DUMMYFUNCTION("""COMPUTED_VALUE"""),"0.10/50")</f>
        <v>0.10/50</v>
      </c>
      <c r="AE421" s="5"/>
      <c r="AF421" s="5"/>
      <c r="AG421" s="8">
        <f>IFERROR(__xludf.DUMMYFUNCTION("""COMPUTED_VALUE"""),46157.52773148148)</f>
        <v>46157.52773</v>
      </c>
      <c r="AH421" s="5"/>
      <c r="AI421" s="13"/>
      <c r="AJ421" s="5"/>
      <c r="AK421" s="5">
        <f>IFERROR(__xludf.DUMMYFUNCTION("""COMPUTED_VALUE"""),1.0)</f>
        <v>1</v>
      </c>
      <c r="AL421" s="5" t="str">
        <f>IFERROR(__xludf.DUMMYFUNCTION("""COMPUTED_VALUE"""),"No")</f>
        <v>No</v>
      </c>
      <c r="AM421" s="5" t="str">
        <f>IFERROR(__xludf.DUMMYFUNCTION("""COMPUTED_VALUE"""),"Yes")</f>
        <v>Yes</v>
      </c>
      <c r="AN421" s="7" t="str">
        <f>IFERROR(__xludf.DUMMYFUNCTION("""COMPUTED_VALUE"""),"https://static.redstone.rs/games/sweet-respins/")</f>
        <v>https://static.redstone.rs/games/sweet-respins/</v>
      </c>
      <c r="AO421" s="5" t="str">
        <f>IFERROR(__xludf.DUMMYFUNCTION("""COMPUTED_VALUE"""),"No")</f>
        <v>No</v>
      </c>
      <c r="AP421" s="5" t="str">
        <f>IFERROR(__xludf.DUMMYFUNCTION("""COMPUTED_VALUE"""),"No")</f>
        <v>No</v>
      </c>
      <c r="AQ421" s="5" t="b">
        <f>IFERROR(__xludf.DUMMYFUNCTION("""COMPUTED_VALUE"""),TRUE)</f>
        <v>1</v>
      </c>
      <c r="AR421" s="5"/>
      <c r="AS421" s="5" t="str">
        <f>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AT421" s="5"/>
      <c r="AU421" s="5" t="str">
        <f>IFERROR(__xludf.DUMMYFUNCTION("""COMPUTED_VALUE"""),"Redstone")</f>
        <v>Redstone</v>
      </c>
      <c r="AV421" s="5"/>
      <c r="AW421" s="5"/>
      <c r="AX421" s="5"/>
      <c r="AY421" s="5"/>
      <c r="AZ421" s="5"/>
      <c r="BA421" s="5"/>
      <c r="BB421" s="5" t="b">
        <f>IFERROR(__xludf.DUMMYFUNCTION("""COMPUTED_VALUE"""),TRUE)</f>
        <v>1</v>
      </c>
      <c r="BC421" s="5" t="str">
        <f>IFERROR(__xludf.DUMMYFUNCTION("""COMPUTED_VALUE"""),"Redstone")</f>
        <v>Redstone</v>
      </c>
      <c r="BD421" s="7" t="str">
        <f>IFERROR(__xludf.DUMMYFUNCTION("""COMPUTED_VALUE"""),"https://static.redstone.rs/games/sweet-respins/")</f>
        <v>https://static.redstone.rs/games/sweet-respins/</v>
      </c>
      <c r="BE421" s="5" t="b">
        <f>IFERROR(__xludf.DUMMYFUNCTION("""COMPUTED_VALUE"""),TRUE)</f>
        <v>1</v>
      </c>
    </row>
    <row r="422">
      <c r="A422" s="5">
        <f>IFERROR(__xludf.DUMMYFUNCTION("""COMPUTED_VALUE"""),434.0)</f>
        <v>434</v>
      </c>
      <c r="B422" s="5">
        <f>IFERROR(__xludf.DUMMYFUNCTION("""COMPUTED_VALUE"""),999977.0)</f>
        <v>999977</v>
      </c>
      <c r="C422" s="5" t="str">
        <f>IFERROR(__xludf.DUMMYFUNCTION("""COMPUTED_VALUE"""),"Tiptop")</f>
        <v>Tiptop</v>
      </c>
      <c r="D422" s="5" t="str">
        <f>IFERROR(__xludf.DUMMYFUNCTION("""COMPUTED_VALUE"""),"Top Prize Wilds")</f>
        <v>Top Prize Wilds</v>
      </c>
      <c r="E422" s="5" t="str">
        <f>IFERROR(__xludf.DUMMYFUNCTION("""COMPUTED_VALUE"""),"V4-2")</f>
        <v>V4-2</v>
      </c>
      <c r="F422" s="5" t="str">
        <f>IFERROR(__xludf.DUMMYFUNCTION("""COMPUTED_VALUE"""),"TBD-T1")</f>
        <v>TBD-T1</v>
      </c>
      <c r="G422" s="5" t="str">
        <f>IFERROR(__xludf.DUMMYFUNCTION("""COMPUTED_VALUE"""),"Retired")</f>
        <v>Retired</v>
      </c>
      <c r="H422" s="5"/>
      <c r="I422" s="5" t="str">
        <f>IFERROR(__xludf.DUMMYFUNCTION("""COMPUTED_VALUE"""),"TipTop")</f>
        <v>TipTop</v>
      </c>
      <c r="J422" s="5" t="str">
        <f>IFERROR(__xludf.DUMMYFUNCTION("""COMPUTED_VALUE"""),"JSON")</f>
        <v>JSON</v>
      </c>
      <c r="K422" s="5" t="str">
        <f>IFERROR(__xludf.DUMMYFUNCTION("""COMPUTED_VALUE"""),"Slot")</f>
        <v>Slot</v>
      </c>
      <c r="L422" s="5" t="str">
        <f>IFERROR(__xludf.DUMMYFUNCTION("""COMPUTED_VALUE"""),"Master")</f>
        <v>Master</v>
      </c>
      <c r="M422" s="5"/>
      <c r="N422" s="5"/>
      <c r="O422" s="5"/>
      <c r="P422" s="12"/>
      <c r="Q422" s="13">
        <f>IFERROR(__xludf.DUMMYFUNCTION("""COMPUTED_VALUE"""),43831.0)</f>
        <v>43831</v>
      </c>
      <c r="R422" s="14"/>
      <c r="S422" s="13">
        <f>IFERROR(__xludf.DUMMYFUNCTION("""COMPUTED_VALUE"""),43831.0)</f>
        <v>43831</v>
      </c>
      <c r="T422" s="5"/>
      <c r="U422" s="5"/>
      <c r="V422" s="5"/>
      <c r="W422" s="5"/>
      <c r="X422" s="11"/>
      <c r="Y422" s="5"/>
      <c r="Z422" s="5"/>
      <c r="AA422" s="5"/>
      <c r="AB422" s="5"/>
      <c r="AC422" s="5"/>
      <c r="AD422" s="5"/>
      <c r="AE422" s="5"/>
      <c r="AF422" s="5"/>
      <c r="AG422" s="8">
        <f>IFERROR(__xludf.DUMMYFUNCTION("""COMPUTED_VALUE"""),45726.67550925926)</f>
        <v>45726.67551</v>
      </c>
      <c r="AH422" s="5" t="str">
        <f>IFERROR(__xludf.DUMMYFUNCTION("""COMPUTED_VALUE"""),"danica.stojanovic@fazi.rs")</f>
        <v>danica.stojanovic@fazi.rs</v>
      </c>
      <c r="AI422" s="13"/>
      <c r="AJ422" s="5"/>
      <c r="AK422" s="5">
        <f>IFERROR(__xludf.DUMMYFUNCTION("""COMPUTED_VALUE"""),10.0)</f>
        <v>10</v>
      </c>
      <c r="AL422" s="5"/>
      <c r="AM422" s="5"/>
      <c r="AN422" s="5"/>
      <c r="AO422" s="5"/>
      <c r="AP422" s="5"/>
      <c r="AQ422" s="5"/>
      <c r="AR422" s="5"/>
      <c r="AS422" s="5"/>
      <c r="AT422" s="5"/>
      <c r="AU422" s="5" t="str">
        <f>IFERROR(__xludf.DUMMYFUNCTION("""COMPUTED_VALUE"""),"Fazi")</f>
        <v>Fazi</v>
      </c>
      <c r="AV422" s="5"/>
      <c r="AW422" s="5"/>
      <c r="AX422" s="5"/>
      <c r="AY422" s="5"/>
      <c r="AZ422" s="5"/>
      <c r="BA422" s="5" t="str">
        <f>IFERROR(__xludf.DUMMYFUNCTION("""COMPUTED_VALUE"""),"")</f>
        <v/>
      </c>
      <c r="BB422" s="5"/>
      <c r="BC422" s="5" t="str">
        <f>IFERROR(__xludf.DUMMYFUNCTION("""COMPUTED_VALUE"""),"Tiptop")</f>
        <v>Tiptop</v>
      </c>
      <c r="BD422" s="5"/>
      <c r="BE422" s="5"/>
    </row>
    <row r="423">
      <c r="A423" s="5">
        <f>IFERROR(__xludf.DUMMYFUNCTION("""COMPUTED_VALUE"""),435.0)</f>
        <v>435</v>
      </c>
      <c r="B423" s="5">
        <f>IFERROR(__xludf.DUMMYFUNCTION("""COMPUTED_VALUE"""),375.0)</f>
        <v>375</v>
      </c>
      <c r="C423" s="5" t="str">
        <f>IFERROR(__xludf.DUMMYFUNCTION("""COMPUTED_VALUE"""),"Tiptop")</f>
        <v>Tiptop</v>
      </c>
      <c r="D423" s="5" t="str">
        <f>IFERROR(__xludf.DUMMYFUNCTION("""COMPUTED_VALUE"""),"Savana Fruits")</f>
        <v>Savana Fruits</v>
      </c>
      <c r="E423" s="5" t="str">
        <f>IFERROR(__xludf.DUMMYFUNCTION("""COMPUTED_VALUE"""),"V4-2")</f>
        <v>V4-2</v>
      </c>
      <c r="F423" s="5" t="str">
        <f>IFERROR(__xludf.DUMMYFUNCTION("""COMPUTED_VALUE"""),"UnicornSavanaFruits")</f>
        <v>UnicornSavanaFruits</v>
      </c>
      <c r="G423" s="5" t="str">
        <f>IFERROR(__xludf.DUMMYFUNCTION("""COMPUTED_VALUE"""),"Live")</f>
        <v>Live</v>
      </c>
      <c r="H423" s="5"/>
      <c r="I423" s="5" t="str">
        <f>IFERROR(__xludf.DUMMYFUNCTION("""COMPUTED_VALUE"""),"TipTop")</f>
        <v>TipTop</v>
      </c>
      <c r="J423" s="5" t="str">
        <f>IFERROR(__xludf.DUMMYFUNCTION("""COMPUTED_VALUE"""),"JSON")</f>
        <v>JSON</v>
      </c>
      <c r="K423" s="5" t="str">
        <f>IFERROR(__xludf.DUMMYFUNCTION("""COMPUTED_VALUE"""),"Slot")</f>
        <v>Slot</v>
      </c>
      <c r="L423" s="5" t="str">
        <f>IFERROR(__xludf.DUMMYFUNCTION("""COMPUTED_VALUE""")," Clone")</f>
        <v> Clone</v>
      </c>
      <c r="M423" s="5" t="str">
        <f>IFERROR(__xludf.DUMMYFUNCTION("""COMPUTED_VALUE"""),"Coyote Sevens")</f>
        <v>Coyote Sevens</v>
      </c>
      <c r="N423" s="5"/>
      <c r="O423" s="5"/>
      <c r="P423" s="12">
        <f>IFERROR(__xludf.DUMMYFUNCTION("""COMPUTED_VALUE"""),10.9)</f>
        <v>10.9</v>
      </c>
      <c r="Q423" s="13">
        <f>IFERROR(__xludf.DUMMYFUNCTION("""COMPUTED_VALUE"""),45742.0)</f>
        <v>45742</v>
      </c>
      <c r="R423" s="14">
        <f>IFERROR(__xludf.DUMMYFUNCTION("""COMPUTED_VALUE"""),45735.0)</f>
        <v>45735</v>
      </c>
      <c r="S423" s="13">
        <f>IFERROR(__xludf.DUMMYFUNCTION("""COMPUTED_VALUE"""),45742.0)</f>
        <v>45742</v>
      </c>
      <c r="T423" s="5" t="b">
        <f>IFERROR(__xludf.DUMMYFUNCTION("""COMPUTED_VALUE"""),TRUE)</f>
        <v>1</v>
      </c>
      <c r="U423" s="5" t="str">
        <f>IFERROR(__xludf.DUMMYFUNCTION("""COMPUTED_VALUE"""),"5x3")</f>
        <v>5x3</v>
      </c>
      <c r="V423" s="5">
        <f>IFERROR(__xludf.DUMMYFUNCTION("""COMPUTED_VALUE"""),5.0)</f>
        <v>5</v>
      </c>
      <c r="W423" s="5">
        <f>IFERROR(__xludf.DUMMYFUNCTION("""COMPUTED_VALUE"""),5.0)</f>
        <v>5</v>
      </c>
      <c r="X423" s="11">
        <f>IFERROR(__xludf.DUMMYFUNCTION("""COMPUTED_VALUE"""),96.0)</f>
        <v>96</v>
      </c>
      <c r="Y423" s="5" t="str">
        <f>IFERROR(__xludf.DUMMYFUNCTION("""COMPUTED_VALUE"""),"Medium")</f>
        <v>Medium</v>
      </c>
      <c r="Z423" s="5">
        <f>IFERROR(__xludf.DUMMYFUNCTION("""COMPUTED_VALUE"""),10.1)</f>
        <v>10.1</v>
      </c>
      <c r="AA423" s="5">
        <f>IFERROR(__xludf.DUMMYFUNCTION("""COMPUTED_VALUE"""),1000.0)</f>
        <v>1000</v>
      </c>
      <c r="AB423" s="5"/>
      <c r="AC423" s="5"/>
      <c r="AD423" s="5" t="str">
        <f>IFERROR(__xludf.DUMMYFUNCTION("""COMPUTED_VALUE"""),"0.05/100")</f>
        <v>0.05/100</v>
      </c>
      <c r="AE423" s="5"/>
      <c r="AF423" s="5"/>
      <c r="AG423" s="8">
        <f>IFERROR(__xludf.DUMMYFUNCTION("""COMPUTED_VALUE"""),46197.49597222222)</f>
        <v>46197.49597</v>
      </c>
      <c r="AH423" s="5" t="str">
        <f>IFERROR(__xludf.DUMMYFUNCTION("""COMPUTED_VALUE"""),"selena.mihajlovic@fazi.rs")</f>
        <v>selena.mihajlovic@fazi.rs</v>
      </c>
      <c r="AI423" s="13">
        <f>IFERROR(__xludf.DUMMYFUNCTION("""COMPUTED_VALUE"""),45734.0)</f>
        <v>45734</v>
      </c>
      <c r="AJ423" s="5" t="str">
        <f>IFERROR(__xludf.DUMMYFUNCTION("""COMPUTED_VALUE"""),"Preko Betconstruct-a kazina: 
bet2africa.ml
bet2africa.ga
elephantbet.sl
elephantbet.co.ao")</f>
        <v>Preko Betconstruct-a kazina: 
bet2africa.ml
bet2africa.ga
elephantbet.sl
elephantbet.co.ao</v>
      </c>
      <c r="AK423" s="5">
        <f>IFERROR(__xludf.DUMMYFUNCTION("""COMPUTED_VALUE"""),5.0)</f>
        <v>5</v>
      </c>
      <c r="AL423" s="5" t="str">
        <f>IFERROR(__xludf.DUMMYFUNCTION("""COMPUTED_VALUE"""),"No")</f>
        <v>No</v>
      </c>
      <c r="AM423" s="5"/>
      <c r="AN423" s="7" t="str">
        <f>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AO423" s="5"/>
      <c r="AP423" s="5"/>
      <c r="AQ423" s="5" t="b">
        <f>IFERROR(__xludf.DUMMYFUNCTION("""COMPUTED_VALUE"""),TRUE)</f>
        <v>1</v>
      </c>
      <c r="AR423" s="5"/>
      <c r="AS423" s="5" t="str">
        <f>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AT423" s="5"/>
      <c r="AU423" s="5" t="str">
        <f>IFERROR(__xludf.DUMMYFUNCTION("""COMPUTED_VALUE"""),"Fazi")</f>
        <v>Fazi</v>
      </c>
      <c r="AV423" s="5"/>
      <c r="AW423" s="5"/>
      <c r="AX423" s="5"/>
      <c r="AY423" s="5"/>
      <c r="AZ423" s="5"/>
      <c r="BA423" s="5"/>
      <c r="BB423" s="5" t="b">
        <f>IFERROR(__xludf.DUMMYFUNCTION("""COMPUTED_VALUE"""),TRUE)</f>
        <v>1</v>
      </c>
      <c r="BC423" s="5" t="str">
        <f>IFERROR(__xludf.DUMMYFUNCTION("""COMPUTED_VALUE"""),"Tiptop")</f>
        <v>Tiptop</v>
      </c>
      <c r="BD423" s="7" t="str">
        <f>IFERROR(__xludf.DUMMYFUNCTION("""COMPUTED_VALUE"""),"https://gameserver-store-client-area.orbionlimited.com/Home/IntegrationGameLaunch/client-area?moneyType=0&amp;gameName=UnicornSavanaFruits&amp;platform=desktop&amp;languageCode=eng&amp;currency=EUR")</f>
        <v>https://gameserver-store-client-area.orbionlimited.com/Home/IntegrationGameLaunch/client-area?moneyType=0&amp;gameName=UnicornSavanaFruits&amp;platform=desktop&amp;languageCode=eng&amp;currency=EUR</v>
      </c>
      <c r="BE423" s="5" t="b">
        <f>IFERROR(__xludf.DUMMYFUNCTION("""COMPUTED_VALUE"""),TRUE)</f>
        <v>1</v>
      </c>
    </row>
    <row r="424">
      <c r="A424" s="5">
        <f>IFERROR(__xludf.DUMMYFUNCTION("""COMPUTED_VALUE"""),436.0)</f>
        <v>436</v>
      </c>
      <c r="B424" s="5">
        <f>IFERROR(__xludf.DUMMYFUNCTION("""COMPUTED_VALUE"""),180012.0)</f>
        <v>180012</v>
      </c>
      <c r="C424" s="5" t="str">
        <f>IFERROR(__xludf.DUMMYFUNCTION("""COMPUTED_VALUE"""),"Redstone")</f>
        <v>Redstone</v>
      </c>
      <c r="D424" s="5" t="str">
        <f>IFERROR(__xludf.DUMMYFUNCTION("""COMPUTED_VALUE"""),"Sticky Tiki")</f>
        <v>Sticky Tiki</v>
      </c>
      <c r="E424" s="5" t="str">
        <f>IFERROR(__xludf.DUMMYFUNCTION("""COMPUTED_VALUE"""),"Redstone")</f>
        <v>Redstone</v>
      </c>
      <c r="F424" s="5" t="str">
        <f>IFERROR(__xludf.DUMMYFUNCTION("""COMPUTED_VALUE"""),"RedstoneStickyTiki")</f>
        <v>RedstoneStickyTiki</v>
      </c>
      <c r="G424" s="5" t="str">
        <f>IFERROR(__xludf.DUMMYFUNCTION("""COMPUTED_VALUE"""),"Live")</f>
        <v>Live</v>
      </c>
      <c r="H424" s="5"/>
      <c r="I424" s="5" t="str">
        <f>IFERROR(__xludf.DUMMYFUNCTION("""COMPUTED_VALUE"""),"Redstone")</f>
        <v>Redstone</v>
      </c>
      <c r="J424" s="5" t="str">
        <f>IFERROR(__xludf.DUMMYFUNCTION("""COMPUTED_VALUE"""),"JSON")</f>
        <v>JSON</v>
      </c>
      <c r="K424" s="5" t="str">
        <f>IFERROR(__xludf.DUMMYFUNCTION("""COMPUTED_VALUE"""),"Slot")</f>
        <v>Slot</v>
      </c>
      <c r="L424" s="5" t="str">
        <f>IFERROR(__xludf.DUMMYFUNCTION("""COMPUTED_VALUE""")," Clone")</f>
        <v> Clone</v>
      </c>
      <c r="M424" s="5" t="str">
        <f>IFERROR(__xludf.DUMMYFUNCTION("""COMPUTED_VALUE"""),"Sweet Respins")</f>
        <v>Sweet Respins</v>
      </c>
      <c r="N424" s="7" t="str">
        <f>IFERROR(__xludf.DUMMYFUNCTION("""COMPUTED_VALUE"""),"https://drive.google.com/file/d/12vGsFllmq9UMDItMEAf7XkGL9ui00F1k/view?usp=drive_link")</f>
        <v>https://drive.google.com/file/d/12vGsFllmq9UMDItMEAf7XkGL9ui00F1k/view?usp=drive_link</v>
      </c>
      <c r="O424" s="7" t="str">
        <f>IFERROR(__xludf.DUMMYFUNCTION("""COMPUTED_VALUE"""),"https://drive.google.com/file/d/1ei-DJnGnfC4ikq8YZZ6BD0vM0O5OSpUY/view?usp=drive_link")</f>
        <v>https://drive.google.com/file/d/1ei-DJnGnfC4ikq8YZZ6BD0vM0O5OSpUY/view?usp=drive_link</v>
      </c>
      <c r="P424" s="12">
        <f>IFERROR(__xludf.DUMMYFUNCTION("""COMPUTED_VALUE"""),11.0)</f>
        <v>11</v>
      </c>
      <c r="Q424" s="13">
        <f>IFERROR(__xludf.DUMMYFUNCTION("""COMPUTED_VALUE"""),45741.0)</f>
        <v>45741</v>
      </c>
      <c r="R424" s="14">
        <f>IFERROR(__xludf.DUMMYFUNCTION("""COMPUTED_VALUE"""),45734.0)</f>
        <v>45734</v>
      </c>
      <c r="S424" s="13">
        <f>IFERROR(__xludf.DUMMYFUNCTION("""COMPUTED_VALUE"""),45741.0)</f>
        <v>45741</v>
      </c>
      <c r="T424" s="5" t="b">
        <f>IFERROR(__xludf.DUMMYFUNCTION("""COMPUTED_VALUE"""),TRUE)</f>
        <v>1</v>
      </c>
      <c r="U424" s="5" t="str">
        <f>IFERROR(__xludf.DUMMYFUNCTION("""COMPUTED_VALUE"""),"5x3")</f>
        <v>5x3</v>
      </c>
      <c r="V424" s="5">
        <f>IFERROR(__xludf.DUMMYFUNCTION("""COMPUTED_VALUE"""),10.0)</f>
        <v>10</v>
      </c>
      <c r="W424" s="5">
        <f>IFERROR(__xludf.DUMMYFUNCTION("""COMPUTED_VALUE"""),10.0)</f>
        <v>10</v>
      </c>
      <c r="X424" s="11">
        <f>IFERROR(__xludf.DUMMYFUNCTION("""COMPUTED_VALUE"""),96.05)</f>
        <v>96.05</v>
      </c>
      <c r="Y424" s="5" t="str">
        <f>IFERROR(__xludf.DUMMYFUNCTION("""COMPUTED_VALUE"""),"High")</f>
        <v>High</v>
      </c>
      <c r="Z424" s="5">
        <f>IFERROR(__xludf.DUMMYFUNCTION("""COMPUTED_VALUE"""),19.5)</f>
        <v>19.5</v>
      </c>
      <c r="AA424" s="5">
        <f>IFERROR(__xludf.DUMMYFUNCTION("""COMPUTED_VALUE"""),10000.0)</f>
        <v>10000</v>
      </c>
      <c r="AB424" s="5"/>
      <c r="AC424" s="5" t="str">
        <f>IFERROR(__xludf.DUMMYFUNCTION("""COMPUTED_VALUE"""),"Expanding Wild, Sticky Wild, Scatter, Bothways, Respin")</f>
        <v>Expanding Wild, Sticky Wild, Scatter, Bothways, Respin</v>
      </c>
      <c r="AD424" s="5" t="str">
        <f>IFERROR(__xludf.DUMMYFUNCTION("""COMPUTED_VALUE"""),"0.10/50")</f>
        <v>0.10/50</v>
      </c>
      <c r="AE424" s="5"/>
      <c r="AF424" s="5"/>
      <c r="AG424" s="8">
        <f>IFERROR(__xludf.DUMMYFUNCTION("""COMPUTED_VALUE"""),46157.528333333335)</f>
        <v>46157.52833</v>
      </c>
      <c r="AH424" s="5"/>
      <c r="AI424" s="13"/>
      <c r="AJ424" s="5"/>
      <c r="AK424" s="5">
        <f>IFERROR(__xludf.DUMMYFUNCTION("""COMPUTED_VALUE"""),1.0)</f>
        <v>1</v>
      </c>
      <c r="AL424" s="5" t="str">
        <f>IFERROR(__xludf.DUMMYFUNCTION("""COMPUTED_VALUE"""),"No")</f>
        <v>No</v>
      </c>
      <c r="AM424" s="5" t="str">
        <f>IFERROR(__xludf.DUMMYFUNCTION("""COMPUTED_VALUE"""),"Yes")</f>
        <v>Yes</v>
      </c>
      <c r="AN424" s="7" t="str">
        <f>IFERROR(__xludf.DUMMYFUNCTION("""COMPUTED_VALUE"""),"https://static.redstone.rs/games/sticky-tiki/")</f>
        <v>https://static.redstone.rs/games/sticky-tiki/</v>
      </c>
      <c r="AO424" s="5" t="str">
        <f>IFERROR(__xludf.DUMMYFUNCTION("""COMPUTED_VALUE"""),"No")</f>
        <v>No</v>
      </c>
      <c r="AP424" s="5" t="str">
        <f>IFERROR(__xludf.DUMMYFUNCTION("""COMPUTED_VALUE"""),"No")</f>
        <v>No</v>
      </c>
      <c r="AQ424" s="5" t="b">
        <f>IFERROR(__xludf.DUMMYFUNCTION("""COMPUTED_VALUE"""),TRUE)</f>
        <v>1</v>
      </c>
      <c r="AR424" s="5"/>
      <c r="AS424" s="5" t="str">
        <f>IFERROR(__xludf.DUMMYFUNCTION("""COMPUTED_VALUE"""),"Spin into a tropical adventure with Sticky Tiki, where sticky symbols lock in place and keep the wins rolling!")</f>
        <v>Spin into a tropical adventure with Sticky Tiki, where sticky symbols lock in place and keep the wins rolling!</v>
      </c>
      <c r="AT424" s="5"/>
      <c r="AU424" s="5" t="str">
        <f>IFERROR(__xludf.DUMMYFUNCTION("""COMPUTED_VALUE"""),"Redstone")</f>
        <v>Redstone</v>
      </c>
      <c r="AV424" s="5"/>
      <c r="AW424" s="5"/>
      <c r="AX424" s="5"/>
      <c r="AY424" s="5"/>
      <c r="AZ424" s="5"/>
      <c r="BA424" s="5"/>
      <c r="BB424" s="5" t="b">
        <f>IFERROR(__xludf.DUMMYFUNCTION("""COMPUTED_VALUE"""),TRUE)</f>
        <v>1</v>
      </c>
      <c r="BC424" s="5" t="str">
        <f>IFERROR(__xludf.DUMMYFUNCTION("""COMPUTED_VALUE"""),"Redstone")</f>
        <v>Redstone</v>
      </c>
      <c r="BD424" s="7" t="str">
        <f>IFERROR(__xludf.DUMMYFUNCTION("""COMPUTED_VALUE"""),"https://static.redstone.rs/games/sticky-tiki/")</f>
        <v>https://static.redstone.rs/games/sticky-tiki/</v>
      </c>
      <c r="BE424" s="5" t="b">
        <f>IFERROR(__xludf.DUMMYFUNCTION("""COMPUTED_VALUE"""),TRUE)</f>
        <v>1</v>
      </c>
    </row>
    <row r="425">
      <c r="A425" s="5">
        <f>IFERROR(__xludf.DUMMYFUNCTION("""COMPUTED_VALUE"""),437.0)</f>
        <v>437</v>
      </c>
      <c r="B425" s="5">
        <f>IFERROR(__xludf.DUMMYFUNCTION("""COMPUTED_VALUE"""),180011.0)</f>
        <v>180011</v>
      </c>
      <c r="C425" s="5" t="str">
        <f>IFERROR(__xludf.DUMMYFUNCTION("""COMPUTED_VALUE"""),"Redstone")</f>
        <v>Redstone</v>
      </c>
      <c r="D425" s="5" t="str">
        <f>IFERROR(__xludf.DUMMYFUNCTION("""COMPUTED_VALUE"""),"Hot Rush Triple Star")</f>
        <v>Hot Rush Triple Star</v>
      </c>
      <c r="E425" s="5" t="str">
        <f>IFERROR(__xludf.DUMMYFUNCTION("""COMPUTED_VALUE"""),"Redstone")</f>
        <v>Redstone</v>
      </c>
      <c r="F425" s="5" t="str">
        <f>IFERROR(__xludf.DUMMYFUNCTION("""COMPUTED_VALUE"""),"RedstoneHotRushTripleStar")</f>
        <v>RedstoneHotRushTripleStar</v>
      </c>
      <c r="G425" s="5" t="str">
        <f>IFERROR(__xludf.DUMMYFUNCTION("""COMPUTED_VALUE"""),"Live")</f>
        <v>Live</v>
      </c>
      <c r="H425" s="5"/>
      <c r="I425" s="5" t="str">
        <f>IFERROR(__xludf.DUMMYFUNCTION("""COMPUTED_VALUE"""),"Redstone")</f>
        <v>Redstone</v>
      </c>
      <c r="J425" s="5" t="str">
        <f>IFERROR(__xludf.DUMMYFUNCTION("""COMPUTED_VALUE"""),"JSON")</f>
        <v>JSON</v>
      </c>
      <c r="K425" s="5" t="str">
        <f>IFERROR(__xludf.DUMMYFUNCTION("""COMPUTED_VALUE"""),"Slot")</f>
        <v>Slot</v>
      </c>
      <c r="L425" s="5" t="str">
        <f>IFERROR(__xludf.DUMMYFUNCTION("""COMPUTED_VALUE"""),"Master")</f>
        <v>Master</v>
      </c>
      <c r="M425" s="5"/>
      <c r="N425" s="7" t="str">
        <f>IFERROR(__xludf.DUMMYFUNCTION("""COMPUTED_VALUE"""),"https://docs.google.com/document/d/16vQ_zLf_GhGAUkK1ezFbrXJIhbbcuZQj/edit?usp=drive_link&amp;ouid=107596163405648766688&amp;rtpof=true&amp;sd=true")</f>
        <v>https://docs.google.com/document/d/16vQ_zLf_GhGAUkK1ezFbrXJIhbbcuZQj/edit?usp=drive_link&amp;ouid=107596163405648766688&amp;rtpof=true&amp;sd=true</v>
      </c>
      <c r="O425" s="7" t="str">
        <f>IFERROR(__xludf.DUMMYFUNCTION("""COMPUTED_VALUE"""),"https://docs.google.com/document/d/1geperOvJzuAYghHRkA3ii6iO17WD-9W9/edit?usp=drive_link&amp;ouid=107596163405648766688&amp;rtpof=true&amp;sd=true")</f>
        <v>https://docs.google.com/document/d/1geperOvJzuAYghHRkA3ii6iO17WD-9W9/edit?usp=drive_link&amp;ouid=107596163405648766688&amp;rtpof=true&amp;sd=true</v>
      </c>
      <c r="P425" s="12">
        <f>IFERROR(__xludf.DUMMYFUNCTION("""COMPUTED_VALUE"""),9.8)</f>
        <v>9.8</v>
      </c>
      <c r="Q425" s="13">
        <f>IFERROR(__xludf.DUMMYFUNCTION("""COMPUTED_VALUE"""),45740.0)</f>
        <v>45740</v>
      </c>
      <c r="R425" s="14">
        <f>IFERROR(__xludf.DUMMYFUNCTION("""COMPUTED_VALUE"""),45733.0)</f>
        <v>45733</v>
      </c>
      <c r="S425" s="13">
        <f>IFERROR(__xludf.DUMMYFUNCTION("""COMPUTED_VALUE"""),45740.0)</f>
        <v>45740</v>
      </c>
      <c r="T425" s="5" t="b">
        <f>IFERROR(__xludf.DUMMYFUNCTION("""COMPUTED_VALUE"""),TRUE)</f>
        <v>1</v>
      </c>
      <c r="U425" s="5" t="str">
        <f>IFERROR(__xludf.DUMMYFUNCTION("""COMPUTED_VALUE"""),"5x3")</f>
        <v>5x3</v>
      </c>
      <c r="V425" s="5">
        <f>IFERROR(__xludf.DUMMYFUNCTION("""COMPUTED_VALUE"""),5.0)</f>
        <v>5</v>
      </c>
      <c r="W425" s="5">
        <f>IFERROR(__xludf.DUMMYFUNCTION("""COMPUTED_VALUE"""),5.0)</f>
        <v>5</v>
      </c>
      <c r="X425" s="11">
        <f>IFERROR(__xludf.DUMMYFUNCTION("""COMPUTED_VALUE"""),96.0)</f>
        <v>96</v>
      </c>
      <c r="Y425" s="5" t="str">
        <f>IFERROR(__xludf.DUMMYFUNCTION("""COMPUTED_VALUE"""),"Medium")</f>
        <v>Medium</v>
      </c>
      <c r="Z425" s="5">
        <f>IFERROR(__xludf.DUMMYFUNCTION("""COMPUTED_VALUE"""),12.3)</f>
        <v>12.3</v>
      </c>
      <c r="AA425" s="5">
        <f>IFERROR(__xludf.DUMMYFUNCTION("""COMPUTED_VALUE"""),1246.0)</f>
        <v>1246</v>
      </c>
      <c r="AB425" s="5"/>
      <c r="AC425" s="5" t="str">
        <f>IFERROR(__xludf.DUMMYFUNCTION("""COMPUTED_VALUE"""),"Expanding Wild, Scatter, Respin")</f>
        <v>Expanding Wild, Scatter, Respin</v>
      </c>
      <c r="AD425" s="5" t="str">
        <f>IFERROR(__xludf.DUMMYFUNCTION("""COMPUTED_VALUE"""),"0.10/50")</f>
        <v>0.10/50</v>
      </c>
      <c r="AE425" s="5"/>
      <c r="AF425" s="5"/>
      <c r="AG425" s="8">
        <f>IFERROR(__xludf.DUMMYFUNCTION("""COMPUTED_VALUE"""),46157.52835648148)</f>
        <v>46157.52836</v>
      </c>
      <c r="AH425" s="5"/>
      <c r="AI425" s="13"/>
      <c r="AJ425" s="5"/>
      <c r="AK425" s="5">
        <f>IFERROR(__xludf.DUMMYFUNCTION("""COMPUTED_VALUE"""),1.0)</f>
        <v>1</v>
      </c>
      <c r="AL425" s="5" t="str">
        <f>IFERROR(__xludf.DUMMYFUNCTION("""COMPUTED_VALUE"""),"No")</f>
        <v>No</v>
      </c>
      <c r="AM425" s="5" t="str">
        <f>IFERROR(__xludf.DUMMYFUNCTION("""COMPUTED_VALUE"""),"Yes")</f>
        <v>Yes</v>
      </c>
      <c r="AN425" s="7" t="str">
        <f>IFERROR(__xludf.DUMMYFUNCTION("""COMPUTED_VALUE"""),"https://static.redstone.rs/games/hot-rush-triple-star/")</f>
        <v>https://static.redstone.rs/games/hot-rush-triple-star/</v>
      </c>
      <c r="AO425" s="5" t="str">
        <f>IFERROR(__xludf.DUMMYFUNCTION("""COMPUTED_VALUE"""),"No")</f>
        <v>No</v>
      </c>
      <c r="AP425" s="5" t="str">
        <f>IFERROR(__xludf.DUMMYFUNCTION("""COMPUTED_VALUE"""),"No")</f>
        <v>No</v>
      </c>
      <c r="AQ425" s="5" t="b">
        <f>IFERROR(__xludf.DUMMYFUNCTION("""COMPUTED_VALUE"""),TRUE)</f>
        <v>1</v>
      </c>
      <c r="AR425" s="5"/>
      <c r="AS425" s="5" t="str">
        <f>IFERROR(__xludf.DUMMYFUNCTION("""COMPUTED_VALUE"""),"Hot Rush Triple Star delivers wild excitement with expanding wilds that lock in place, triggering thrilling respins! ")</f>
        <v>Hot Rush Triple Star delivers wild excitement with expanding wilds that lock in place, triggering thrilling respins! </v>
      </c>
      <c r="AT425" s="5"/>
      <c r="AU425" s="5" t="str">
        <f>IFERROR(__xludf.DUMMYFUNCTION("""COMPUTED_VALUE"""),"Redstone")</f>
        <v>Redstone</v>
      </c>
      <c r="AV425" s="5"/>
      <c r="AW425" s="5"/>
      <c r="AX425" s="5"/>
      <c r="AY425" s="5"/>
      <c r="AZ425" s="5"/>
      <c r="BA425" s="5"/>
      <c r="BB425" s="5" t="b">
        <f>IFERROR(__xludf.DUMMYFUNCTION("""COMPUTED_VALUE"""),TRUE)</f>
        <v>1</v>
      </c>
      <c r="BC425" s="5" t="str">
        <f>IFERROR(__xludf.DUMMYFUNCTION("""COMPUTED_VALUE"""),"Redstone")</f>
        <v>Redstone</v>
      </c>
      <c r="BD425" s="7" t="str">
        <f>IFERROR(__xludf.DUMMYFUNCTION("""COMPUTED_VALUE"""),"https://static.redstone.rs/games/hot-rush-triple-star/")</f>
        <v>https://static.redstone.rs/games/hot-rush-triple-star/</v>
      </c>
      <c r="BE425" s="5" t="b">
        <f>IFERROR(__xludf.DUMMYFUNCTION("""COMPUTED_VALUE"""),TRUE)</f>
        <v>1</v>
      </c>
    </row>
    <row r="426">
      <c r="A426" s="5">
        <f>IFERROR(__xludf.DUMMYFUNCTION("""COMPUTED_VALUE"""),439.0)</f>
        <v>439</v>
      </c>
      <c r="B426" s="5">
        <f>IFERROR(__xludf.DUMMYFUNCTION("""COMPUTED_VALUE"""),4011.0)</f>
        <v>4011</v>
      </c>
      <c r="C426" s="5" t="str">
        <f>IFERROR(__xludf.DUMMYFUNCTION("""COMPUTED_VALUE"""),"Fazi")</f>
        <v>Fazi</v>
      </c>
      <c r="D426" s="5" t="str">
        <f>IFERROR(__xludf.DUMMYFUNCTION("""COMPUTED_VALUE"""),"Hearts and Stars")</f>
        <v>Hearts and Stars</v>
      </c>
      <c r="E426" s="5" t="str">
        <f>IFERROR(__xludf.DUMMYFUNCTION("""COMPUTED_VALUE"""),"V2")</f>
        <v>V2</v>
      </c>
      <c r="F426" s="5" t="str">
        <f>IFERROR(__xludf.DUMMYFUNCTION("""COMPUTED_VALUE"""),"HeartsAndStars")</f>
        <v>HeartsAndStars</v>
      </c>
      <c r="G426" s="5" t="str">
        <f>IFERROR(__xludf.DUMMYFUNCTION("""COMPUTED_VALUE"""),"Live")</f>
        <v>Live</v>
      </c>
      <c r="H426" s="5"/>
      <c r="I426" s="5" t="str">
        <f>IFERROR(__xludf.DUMMYFUNCTION("""COMPUTED_VALUE"""),"V2")</f>
        <v>V2</v>
      </c>
      <c r="J426" s="5" t="str">
        <f>IFERROR(__xludf.DUMMYFUNCTION("""COMPUTED_VALUE"""),"Binary")</f>
        <v>Binary</v>
      </c>
      <c r="K426" s="5" t="str">
        <f>IFERROR(__xludf.DUMMYFUNCTION("""COMPUTED_VALUE"""),"Slot")</f>
        <v>Slot</v>
      </c>
      <c r="L426" s="5" t="str">
        <f>IFERROR(__xludf.DUMMYFUNCTION("""COMPUTED_VALUE""")," Clone")</f>
        <v> Clone</v>
      </c>
      <c r="M426" s="5" t="str">
        <f>IFERROR(__xludf.DUMMYFUNCTION("""COMPUTED_VALUE"""),"Clovers And Stars")</f>
        <v>Clovers And Stars</v>
      </c>
      <c r="N426" s="7" t="str">
        <f>IFERROR(__xludf.DUMMYFUNCTION("""COMPUTED_VALUE"""),"https://drive.google.com/drive/folders/1rUqrqNmV28Bdn42G5Tw6B4dajdJakbwM")</f>
        <v>https://drive.google.com/drive/folders/1rUqrqNmV28Bdn42G5Tw6B4dajdJakbwM</v>
      </c>
      <c r="O426" s="7" t="str">
        <f>IFERROR(__xludf.DUMMYFUNCTION("""COMPUTED_VALUE"""),"https://drive.google.com/drive/folders/1rUqrqNmV28Bdn42G5Tw6B4dajdJakbwM")</f>
        <v>https://drive.google.com/drive/folders/1rUqrqNmV28Bdn42G5Tw6B4dajdJakbwM</v>
      </c>
      <c r="P426" s="12">
        <f>IFERROR(__xludf.DUMMYFUNCTION("""COMPUTED_VALUE"""),23.6)</f>
        <v>23.6</v>
      </c>
      <c r="Q426" s="13">
        <f>IFERROR(__xludf.DUMMYFUNCTION("""COMPUTED_VALUE"""),45691.0)</f>
        <v>45691</v>
      </c>
      <c r="R426" s="14">
        <f>IFERROR(__xludf.DUMMYFUNCTION("""COMPUTED_VALUE"""),45694.0)</f>
        <v>45694</v>
      </c>
      <c r="S426" s="13">
        <f>IFERROR(__xludf.DUMMYFUNCTION("""COMPUTED_VALUE"""),45698.0)</f>
        <v>45698</v>
      </c>
      <c r="T426" s="5" t="b">
        <f>IFERROR(__xludf.DUMMYFUNCTION("""COMPUTED_VALUE"""),TRUE)</f>
        <v>1</v>
      </c>
      <c r="U426" s="5"/>
      <c r="V426" s="5">
        <f>IFERROR(__xludf.DUMMYFUNCTION("""COMPUTED_VALUE"""),40.0)</f>
        <v>40</v>
      </c>
      <c r="W426" s="5"/>
      <c r="X426" s="5">
        <f>IFERROR(__xludf.DUMMYFUNCTION("""COMPUTED_VALUE"""),96.474)</f>
        <v>96.474</v>
      </c>
      <c r="Y426" s="5" t="str">
        <f>IFERROR(__xludf.DUMMYFUNCTION("""COMPUTED_VALUE"""),"High")</f>
        <v>High</v>
      </c>
      <c r="Z426" s="5">
        <f>IFERROR(__xludf.DUMMYFUNCTION("""COMPUTED_VALUE"""),10.421)</f>
        <v>10.421</v>
      </c>
      <c r="AA426" s="5">
        <f>IFERROR(__xludf.DUMMYFUNCTION("""COMPUTED_VALUE"""),10145.0)</f>
        <v>10145</v>
      </c>
      <c r="AB426" s="5"/>
      <c r="AC426" s="5" t="str">
        <f>IFERROR(__xludf.DUMMYFUNCTION("""COMPUTED_VALUE"""),"Wild Symbol")</f>
        <v>Wild Symbol</v>
      </c>
      <c r="AD426" s="5" t="str">
        <f>IFERROR(__xludf.DUMMYFUNCTION("""COMPUTED_VALUE"""),"0.4/60")</f>
        <v>0.4/60</v>
      </c>
      <c r="AE426" s="5"/>
      <c r="AF426" s="5"/>
      <c r="AG426" s="8">
        <f>IFERROR(__xludf.DUMMYFUNCTION("""COMPUTED_VALUE"""),46055.620092592595)</f>
        <v>46055.62009</v>
      </c>
      <c r="AH426" s="5" t="str">
        <f>IFERROR(__xludf.DUMMYFUNCTION("""COMPUTED_VALUE"""),"aleksandar.trajkovic@fazi.rs")</f>
        <v>aleksandar.trajkovic@fazi.rs</v>
      </c>
      <c r="AI426" s="13"/>
      <c r="AJ426" s="5"/>
      <c r="AK426" s="5">
        <f>IFERROR(__xludf.DUMMYFUNCTION("""COMPUTED_VALUE"""),40.0)</f>
        <v>40</v>
      </c>
      <c r="AL426" s="5" t="str">
        <f>IFERROR(__xludf.DUMMYFUNCTION("""COMPUTED_VALUE"""),"Yes")</f>
        <v>Yes</v>
      </c>
      <c r="AM426" s="5"/>
      <c r="AN426" s="5"/>
      <c r="AO426" s="5"/>
      <c r="AP426" s="5"/>
      <c r="AQ426" s="5" t="b">
        <f>IFERROR(__xludf.DUMMYFUNCTION("""COMPUTED_VALUE"""),TRUE)</f>
        <v>1</v>
      </c>
      <c r="AR426" s="5"/>
      <c r="AS426" s="5"/>
      <c r="AT426" s="5"/>
      <c r="AU426" s="5" t="str">
        <f>IFERROR(__xludf.DUMMYFUNCTION("""COMPUTED_VALUE"""),"Fazi")</f>
        <v>Fazi</v>
      </c>
      <c r="AV426" s="5"/>
      <c r="AW426" s="5"/>
      <c r="AX426" s="5"/>
      <c r="AY426" s="5"/>
      <c r="AZ426" s="5"/>
      <c r="BA426" s="5" t="str">
        <f>IFERROR(__xludf.DUMMYFUNCTION("""COMPUTED_VALUE"""),"")</f>
        <v/>
      </c>
      <c r="BB426" s="5"/>
      <c r="BC426" s="5" t="str">
        <f>IFERROR(__xludf.DUMMYFUNCTION("""COMPUTED_VALUE"""),"Foxi")</f>
        <v>Foxi</v>
      </c>
      <c r="BD426" s="5" t="str">
        <f>IFERROR(__xludf.DUMMYFUNCTION("""COMPUTED_VALUE"""),"")</f>
        <v/>
      </c>
      <c r="BE426" s="5" t="b">
        <f>IFERROR(__xludf.DUMMYFUNCTION("""COMPUTED_VALUE"""),TRUE)</f>
        <v>1</v>
      </c>
    </row>
    <row r="427">
      <c r="A427" s="5">
        <f>IFERROR(__xludf.DUMMYFUNCTION("""COMPUTED_VALUE"""),440.0)</f>
        <v>440</v>
      </c>
      <c r="B427" s="5">
        <f>IFERROR(__xludf.DUMMYFUNCTION("""COMPUTED_VALUE"""),3007.0)</f>
        <v>3007</v>
      </c>
      <c r="C427" s="5" t="str">
        <f>IFERROR(__xludf.DUMMYFUNCTION("""COMPUTED_VALUE"""),"Fazi")</f>
        <v>Fazi</v>
      </c>
      <c r="D427" s="5" t="str">
        <f>IFERROR(__xludf.DUMMYFUNCTION("""COMPUTED_VALUE"""),"Top Hot 5")</f>
        <v>Top Hot 5</v>
      </c>
      <c r="E427" s="5" t="str">
        <f>IFERROR(__xludf.DUMMYFUNCTION("""COMPUTED_VALUE"""),"V2")</f>
        <v>V2</v>
      </c>
      <c r="F427" s="5" t="str">
        <f>IFERROR(__xludf.DUMMYFUNCTION("""COMPUTED_VALUE"""),"TopHot5")</f>
        <v>TopHot5</v>
      </c>
      <c r="G427" s="5" t="str">
        <f>IFERROR(__xludf.DUMMYFUNCTION("""COMPUTED_VALUE"""),"Live")</f>
        <v>Live</v>
      </c>
      <c r="H427" s="5"/>
      <c r="I427" s="5" t="str">
        <f>IFERROR(__xludf.DUMMYFUNCTION("""COMPUTED_VALUE"""),"V4")</f>
        <v>V4</v>
      </c>
      <c r="J427" s="5" t="str">
        <f>IFERROR(__xludf.DUMMYFUNCTION("""COMPUTED_VALUE"""),"JSON")</f>
        <v>JSON</v>
      </c>
      <c r="K427" s="5" t="str">
        <f>IFERROR(__xludf.DUMMYFUNCTION("""COMPUTED_VALUE"""),"Slot")</f>
        <v>Slot</v>
      </c>
      <c r="L427" s="5" t="str">
        <f>IFERROR(__xludf.DUMMYFUNCTION("""COMPUTED_VALUE"""),"Master")</f>
        <v>Master</v>
      </c>
      <c r="M427" s="5"/>
      <c r="N427" s="7" t="str">
        <f>IFERROR(__xludf.DUMMYFUNCTION("""COMPUTED_VALUE"""),"https://drive.google.com/drive/folders/16_OhPd98nkLRrPr2Hoep9zEW80bS1S9y")</f>
        <v>https://drive.google.com/drive/folders/16_OhPd98nkLRrPr2Hoep9zEW80bS1S9y</v>
      </c>
      <c r="O427" s="7" t="str">
        <f>IFERROR(__xludf.DUMMYFUNCTION("""COMPUTED_VALUE"""),"https://drive.google.com/drive/folders/16_OhPd98nkLRrPr2Hoep9zEW80bS1S9y")</f>
        <v>https://drive.google.com/drive/folders/16_OhPd98nkLRrPr2Hoep9zEW80bS1S9y</v>
      </c>
      <c r="P427" s="12">
        <f>IFERROR(__xludf.DUMMYFUNCTION("""COMPUTED_VALUE"""),36.8)</f>
        <v>36.8</v>
      </c>
      <c r="Q427" s="13">
        <f>IFERROR(__xludf.DUMMYFUNCTION("""COMPUTED_VALUE"""),45708.0)</f>
        <v>45708</v>
      </c>
      <c r="R427" s="14">
        <f>IFERROR(__xludf.DUMMYFUNCTION("""COMPUTED_VALUE"""),45701.0)</f>
        <v>45701</v>
      </c>
      <c r="S427" s="13">
        <f>IFERROR(__xludf.DUMMYFUNCTION("""COMPUTED_VALUE"""),45708.0)</f>
        <v>45708</v>
      </c>
      <c r="T427" s="5" t="b">
        <f>IFERROR(__xludf.DUMMYFUNCTION("""COMPUTED_VALUE"""),TRUE)</f>
        <v>1</v>
      </c>
      <c r="U427" s="5" t="str">
        <f>IFERROR(__xludf.DUMMYFUNCTION("""COMPUTED_VALUE"""),"3x3")</f>
        <v>3x3</v>
      </c>
      <c r="V427" s="5">
        <f>IFERROR(__xludf.DUMMYFUNCTION("""COMPUTED_VALUE"""),5.0)</f>
        <v>5</v>
      </c>
      <c r="W427" s="5">
        <f>IFERROR(__xludf.DUMMYFUNCTION("""COMPUTED_VALUE"""),5.0)</f>
        <v>5</v>
      </c>
      <c r="X427" s="5">
        <f>IFERROR(__xludf.DUMMYFUNCTION("""COMPUTED_VALUE"""),96.609)</f>
        <v>96.609</v>
      </c>
      <c r="Y427" s="5" t="str">
        <f>IFERROR(__xludf.DUMMYFUNCTION("""COMPUTED_VALUE"""),"Low")</f>
        <v>Low</v>
      </c>
      <c r="Z427" s="5">
        <f>IFERROR(__xludf.DUMMYFUNCTION("""COMPUTED_VALUE"""),6.446)</f>
        <v>6.446</v>
      </c>
      <c r="AA427" s="5">
        <f>IFERROR(__xludf.DUMMYFUNCTION("""COMPUTED_VALUE"""),60.0)</f>
        <v>60</v>
      </c>
      <c r="AB427" s="5"/>
      <c r="AC427" s="5"/>
      <c r="AD427" s="5"/>
      <c r="AE427" s="5"/>
      <c r="AF427" s="5"/>
      <c r="AG427" s="8">
        <f>IFERROR(__xludf.DUMMYFUNCTION("""COMPUTED_VALUE"""),46213.446180555555)</f>
        <v>46213.44618</v>
      </c>
      <c r="AH427" s="5" t="str">
        <f>IFERROR(__xludf.DUMMYFUNCTION("""COMPUTED_VALUE"""),"djordje.petrovic@fazi.rs")</f>
        <v>djordje.petrovic@fazi.rs</v>
      </c>
      <c r="AI427" s="13"/>
      <c r="AJ427" s="5"/>
      <c r="AK427" s="5">
        <f>IFERROR(__xludf.DUMMYFUNCTION("""COMPUTED_VALUE"""),5.0)</f>
        <v>5</v>
      </c>
      <c r="AL427" s="5" t="str">
        <f>IFERROR(__xludf.DUMMYFUNCTION("""COMPUTED_VALUE"""),"Yes")</f>
        <v>Yes</v>
      </c>
      <c r="AM427" s="5"/>
      <c r="AN427" s="7" t="str">
        <f>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AO427" s="5"/>
      <c r="AP427" s="5" t="str">
        <f>IFERROR(__xludf.DUMMYFUNCTION("""COMPUTED_VALUE"""),"No")</f>
        <v>No</v>
      </c>
      <c r="AQ427" s="5" t="b">
        <f>IFERROR(__xludf.DUMMYFUNCTION("""COMPUTED_VALUE"""),TRUE)</f>
        <v>1</v>
      </c>
      <c r="AR427" s="5"/>
      <c r="AS427" s="5" t="str">
        <f>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AT427" s="5"/>
      <c r="AU427" s="5" t="str">
        <f>IFERROR(__xludf.DUMMYFUNCTION("""COMPUTED_VALUE"""),"Fazi")</f>
        <v>Fazi</v>
      </c>
      <c r="AV427" s="5"/>
      <c r="AW427" s="5"/>
      <c r="AX427" s="5"/>
      <c r="AY427" s="5"/>
      <c r="AZ427" s="5"/>
      <c r="BA427" s="5"/>
      <c r="BB427" s="5"/>
      <c r="BC427" s="5" t="str">
        <f>IFERROR(__xludf.DUMMYFUNCTION("""COMPUTED_VALUE"""),"Foxi")</f>
        <v>Foxi</v>
      </c>
      <c r="BD427" s="7" t="str">
        <f>IFERROR(__xludf.DUMMYFUNCTION("""COMPUTED_VALUE"""),"https://gameserver-store-client-area.orbionlimited.com/Home/IntegrationGameLaunch/client-area?moneyType=0&amp;gameName=TopHot5&amp;platform=desktop&amp;languageCode=eng&amp;currency=EUR")</f>
        <v>https://gameserver-store-client-area.orbionlimited.com/Home/IntegrationGameLaunch/client-area?moneyType=0&amp;gameName=TopHot5&amp;platform=desktop&amp;languageCode=eng&amp;currency=EUR</v>
      </c>
      <c r="BE427" s="5" t="b">
        <f>IFERROR(__xludf.DUMMYFUNCTION("""COMPUTED_VALUE"""),TRUE)</f>
        <v>1</v>
      </c>
    </row>
    <row r="428">
      <c r="A428" s="5">
        <f>IFERROR(__xludf.DUMMYFUNCTION("""COMPUTED_VALUE"""),441.0)</f>
        <v>441</v>
      </c>
      <c r="B428" s="5">
        <f>IFERROR(__xludf.DUMMYFUNCTION("""COMPUTED_VALUE"""),327.0)</f>
        <v>327</v>
      </c>
      <c r="C428" s="5" t="str">
        <f>IFERROR(__xludf.DUMMYFUNCTION("""COMPUTED_VALUE"""),"Tiptop")</f>
        <v>Tiptop</v>
      </c>
      <c r="D428" s="5" t="str">
        <f>IFERROR(__xludf.DUMMYFUNCTION("""COMPUTED_VALUE"""),"Big Spin Sevens")</f>
        <v>Big Spin Sevens</v>
      </c>
      <c r="E428" s="5"/>
      <c r="F428" s="5" t="str">
        <f>IFERROR(__xludf.DUMMYFUNCTION("""COMPUTED_VALUE"""),"UnicornBigSpinSevens")</f>
        <v>UnicornBigSpinSevens</v>
      </c>
      <c r="G428" s="5" t="str">
        <f>IFERROR(__xludf.DUMMYFUNCTION("""COMPUTED_VALUE"""),"Live")</f>
        <v>Live</v>
      </c>
      <c r="H428" s="5"/>
      <c r="I428" s="5" t="str">
        <f>IFERROR(__xludf.DUMMYFUNCTION("""COMPUTED_VALUE"""),"TipTop")</f>
        <v>TipTop</v>
      </c>
      <c r="J428" s="5" t="str">
        <f>IFERROR(__xludf.DUMMYFUNCTION("""COMPUTED_VALUE"""),"JSON")</f>
        <v>JSON</v>
      </c>
      <c r="K428" s="5" t="str">
        <f>IFERROR(__xludf.DUMMYFUNCTION("""COMPUTED_VALUE"""),"Slot")</f>
        <v>Slot</v>
      </c>
      <c r="L428" s="5"/>
      <c r="M428" s="5"/>
      <c r="N428" s="5"/>
      <c r="O428" s="5"/>
      <c r="P428" s="12">
        <f>IFERROR(__xludf.DUMMYFUNCTION("""COMPUTED_VALUE"""),9.9)</f>
        <v>9.9</v>
      </c>
      <c r="Q428" s="13">
        <f>IFERROR(__xludf.DUMMYFUNCTION("""COMPUTED_VALUE"""),45427.0)</f>
        <v>45427</v>
      </c>
      <c r="R428" s="14"/>
      <c r="S428" s="13">
        <f>IFERROR(__xludf.DUMMYFUNCTION("""COMPUTED_VALUE"""),45427.0)</f>
        <v>45427</v>
      </c>
      <c r="T428" s="5" t="b">
        <f>IFERROR(__xludf.DUMMYFUNCTION("""COMPUTED_VALUE"""),TRUE)</f>
        <v>1</v>
      </c>
      <c r="U428" s="5" t="str">
        <f>IFERROR(__xludf.DUMMYFUNCTION("""COMPUTED_VALUE"""),"5X3")</f>
        <v>5X3</v>
      </c>
      <c r="V428" s="10" t="str">
        <f>IFERROR(__xludf.DUMMYFUNCTION("""COMPUTED_VALUE"""),"5")</f>
        <v>5</v>
      </c>
      <c r="W428" s="5">
        <f>IFERROR(__xludf.DUMMYFUNCTION("""COMPUTED_VALUE"""),5.0)</f>
        <v>5</v>
      </c>
      <c r="X428" s="5">
        <f>IFERROR(__xludf.DUMMYFUNCTION("""COMPUTED_VALUE"""),96.0)</f>
        <v>96</v>
      </c>
      <c r="Y428" s="5" t="str">
        <f>IFERROR(__xludf.DUMMYFUNCTION("""COMPUTED_VALUE"""),"Low")</f>
        <v>Low</v>
      </c>
      <c r="Z428" s="5">
        <f>IFERROR(__xludf.DUMMYFUNCTION("""COMPUTED_VALUE"""),8.83)</f>
        <v>8.83</v>
      </c>
      <c r="AA428" s="5">
        <f>IFERROR(__xludf.DUMMYFUNCTION("""COMPUTED_VALUE"""),1000.0)</f>
        <v>1000</v>
      </c>
      <c r="AB428" s="5"/>
      <c r="AC428" s="5"/>
      <c r="AD428" s="5" t="str">
        <f>IFERROR(__xludf.DUMMYFUNCTION("""COMPUTED_VALUE"""),"0.05/100")</f>
        <v>0.05/100</v>
      </c>
      <c r="AE428" s="5"/>
      <c r="AF428" s="5"/>
      <c r="AG428" s="8">
        <f>IFERROR(__xludf.DUMMYFUNCTION("""COMPUTED_VALUE"""),46197.49627314815)</f>
        <v>46197.49627</v>
      </c>
      <c r="AH428" s="5" t="str">
        <f>IFERROR(__xludf.DUMMYFUNCTION("""COMPUTED_VALUE"""),"selena.mihajlovic@fazi.rs")</f>
        <v>selena.mihajlovic@fazi.rs</v>
      </c>
      <c r="AI428" s="13"/>
      <c r="AJ428" s="5"/>
      <c r="AK428" s="5">
        <f>IFERROR(__xludf.DUMMYFUNCTION("""COMPUTED_VALUE"""),5.0)</f>
        <v>5</v>
      </c>
      <c r="AL428" s="5" t="str">
        <f>IFERROR(__xludf.DUMMYFUNCTION("""COMPUTED_VALUE"""),"No")</f>
        <v>No</v>
      </c>
      <c r="AM428" s="5"/>
      <c r="AN428" s="7" t="str">
        <f>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AO428" s="5"/>
      <c r="AP428" s="5"/>
      <c r="AQ428" s="5" t="b">
        <f>IFERROR(__xludf.DUMMYFUNCTION("""COMPUTED_VALUE"""),TRUE)</f>
        <v>1</v>
      </c>
      <c r="AR428" s="5"/>
      <c r="AS428" s="5" t="str">
        <f>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AT428" s="5"/>
      <c r="AU428" s="5" t="str">
        <f>IFERROR(__xludf.DUMMYFUNCTION("""COMPUTED_VALUE"""),"Fazi")</f>
        <v>Fazi</v>
      </c>
      <c r="AV428" s="5"/>
      <c r="AW428" s="5"/>
      <c r="AX428" s="5"/>
      <c r="AY428" s="5"/>
      <c r="AZ428" s="5"/>
      <c r="BA428" s="5"/>
      <c r="BB428" s="5" t="b">
        <f>IFERROR(__xludf.DUMMYFUNCTION("""COMPUTED_VALUE"""),TRUE)</f>
        <v>1</v>
      </c>
      <c r="BC428" s="5" t="str">
        <f>IFERROR(__xludf.DUMMYFUNCTION("""COMPUTED_VALUE"""),"Tiptop")</f>
        <v>Tiptop</v>
      </c>
      <c r="BD428" s="7" t="str">
        <f>IFERROR(__xludf.DUMMYFUNCTION("""COMPUTED_VALUE"""),"https://gameserver-store-client-area.orbionlimited.com/Home/IntegrationGameLaunch/client-area?moneyType=0&amp;gameName=UnicornBigSpinSevens&amp;platform=desktop&amp;languageCode=eng&amp;currency=EUR")</f>
        <v>https://gameserver-store-client-area.orbionlimited.com/Home/IntegrationGameLaunch/client-area?moneyType=0&amp;gameName=UnicornBigSpinSevens&amp;platform=desktop&amp;languageCode=eng&amp;currency=EUR</v>
      </c>
      <c r="BE428" s="5" t="b">
        <f>IFERROR(__xludf.DUMMYFUNCTION("""COMPUTED_VALUE"""),TRUE)</f>
        <v>1</v>
      </c>
    </row>
    <row r="429">
      <c r="A429" s="5">
        <f>IFERROR(__xludf.DUMMYFUNCTION("""COMPUTED_VALUE"""),442.0)</f>
        <v>442</v>
      </c>
      <c r="B429" s="5">
        <f>IFERROR(__xludf.DUMMYFUNCTION("""COMPUTED_VALUE"""),335.0)</f>
        <v>335</v>
      </c>
      <c r="C429" s="5" t="str">
        <f>IFERROR(__xludf.DUMMYFUNCTION("""COMPUTED_VALUE"""),"Redstone")</f>
        <v>Redstone</v>
      </c>
      <c r="D429" s="5" t="str">
        <f>IFERROR(__xludf.DUMMYFUNCTION("""COMPUTED_VALUE"""),"Hot Rush Fruit Lines")</f>
        <v>Hot Rush Fruit Lines</v>
      </c>
      <c r="E429" s="5" t="str">
        <f>IFERROR(__xludf.DUMMYFUNCTION("""COMPUTED_VALUE"""),"Redstone")</f>
        <v>Redstone</v>
      </c>
      <c r="F429" s="5" t="str">
        <f>IFERROR(__xludf.DUMMYFUNCTION("""COMPUTED_VALUE"""),"RedstoneHotRushFruitLines")</f>
        <v>RedstoneHotRushFruitLines</v>
      </c>
      <c r="G429" s="5" t="str">
        <f>IFERROR(__xludf.DUMMYFUNCTION("""COMPUTED_VALUE"""),"Live")</f>
        <v>Live</v>
      </c>
      <c r="H429" s="5"/>
      <c r="I429" s="5" t="str">
        <f>IFERROR(__xludf.DUMMYFUNCTION("""COMPUTED_VALUE"""),"Redstone")</f>
        <v>Redstone</v>
      </c>
      <c r="J429" s="5" t="str">
        <f>IFERROR(__xludf.DUMMYFUNCTION("""COMPUTED_VALUE"""),"JSON")</f>
        <v>JSON</v>
      </c>
      <c r="K429" s="5" t="str">
        <f>IFERROR(__xludf.DUMMYFUNCTION("""COMPUTED_VALUE"""),"Slot")</f>
        <v>Slot</v>
      </c>
      <c r="L429" s="5" t="str">
        <f>IFERROR(__xludf.DUMMYFUNCTION("""COMPUTED_VALUE"""),"Master")</f>
        <v>Master</v>
      </c>
      <c r="M429" s="5"/>
      <c r="N429" s="7" t="str">
        <f>IFERROR(__xludf.DUMMYFUNCTION("""COMPUTED_VALUE"""),"https://docs.google.com/document/d/1MDzFpw1Ba1ZwjHnP3dPjDDT4cZqBv_J_/edit?usp=drive_link&amp;ouid=107596163405648766688&amp;rtpof=true&amp;sd=true")</f>
        <v>https://docs.google.com/document/d/1MDzFpw1Ba1ZwjHnP3dPjDDT4cZqBv_J_/edit?usp=drive_link&amp;ouid=107596163405648766688&amp;rtpof=true&amp;sd=true</v>
      </c>
      <c r="O429" s="7" t="str">
        <f>IFERROR(__xludf.DUMMYFUNCTION("""COMPUTED_VALUE"""),"https://docs.google.com/document/d/1MShAbhMzYV_ictGwDjX6Sn27uuCG2Ms-/edit?usp=drive_link&amp;ouid=107596163405648766688&amp;rtpof=true&amp;sd=true")</f>
        <v>https://docs.google.com/document/d/1MShAbhMzYV_ictGwDjX6Sn27uuCG2Ms-/edit?usp=drive_link&amp;ouid=107596163405648766688&amp;rtpof=true&amp;sd=true</v>
      </c>
      <c r="P429" s="12">
        <f>IFERROR(__xludf.DUMMYFUNCTION("""COMPUTED_VALUE"""),6.3)</f>
        <v>6.3</v>
      </c>
      <c r="Q429" s="13">
        <f>IFERROR(__xludf.DUMMYFUNCTION("""COMPUTED_VALUE"""),45434.0)</f>
        <v>45434</v>
      </c>
      <c r="R429" s="14"/>
      <c r="S429" s="13">
        <f>IFERROR(__xludf.DUMMYFUNCTION("""COMPUTED_VALUE"""),45434.0)</f>
        <v>45434</v>
      </c>
      <c r="T429" s="5"/>
      <c r="U429" s="5" t="str">
        <f>IFERROR(__xludf.DUMMYFUNCTION("""COMPUTED_VALUE"""),"5x3")</f>
        <v>5x3</v>
      </c>
      <c r="V429" s="10" t="str">
        <f>IFERROR(__xludf.DUMMYFUNCTION("""COMPUTED_VALUE"""),"5")</f>
        <v>5</v>
      </c>
      <c r="W429" s="5">
        <f>IFERROR(__xludf.DUMMYFUNCTION("""COMPUTED_VALUE"""),5.0)</f>
        <v>5</v>
      </c>
      <c r="X429" s="5">
        <f>IFERROR(__xludf.DUMMYFUNCTION("""COMPUTED_VALUE"""),96.04)</f>
        <v>96.04</v>
      </c>
      <c r="Y429" s="5" t="str">
        <f>IFERROR(__xludf.DUMMYFUNCTION("""COMPUTED_VALUE"""),"Low")</f>
        <v>Low</v>
      </c>
      <c r="Z429" s="5">
        <f>IFERROR(__xludf.DUMMYFUNCTION("""COMPUTED_VALUE"""),8.89)</f>
        <v>8.89</v>
      </c>
      <c r="AA429" s="5">
        <f>IFERROR(__xludf.DUMMYFUNCTION("""COMPUTED_VALUE"""),1100.0)</f>
        <v>1100</v>
      </c>
      <c r="AB429" s="5"/>
      <c r="AC429" s="5"/>
      <c r="AD429" s="5" t="str">
        <f>IFERROR(__xludf.DUMMYFUNCTION("""COMPUTED_VALUE"""),"0.05/100")</f>
        <v>0.05/100</v>
      </c>
      <c r="AE429" s="5"/>
      <c r="AF429" s="5"/>
      <c r="AG429" s="8">
        <f>IFERROR(__xludf.DUMMYFUNCTION("""COMPUTED_VALUE"""),46212.49476851852)</f>
        <v>46212.49477</v>
      </c>
      <c r="AH429" s="5" t="str">
        <f>IFERROR(__xludf.DUMMYFUNCTION("""COMPUTED_VALUE"""),"selena.mihajlovic@fazi.rs")</f>
        <v>selena.mihajlovic@fazi.rs</v>
      </c>
      <c r="AI429" s="13"/>
      <c r="AJ429" s="5"/>
      <c r="AK429" s="5">
        <f>IFERROR(__xludf.DUMMYFUNCTION("""COMPUTED_VALUE"""),1.0)</f>
        <v>1</v>
      </c>
      <c r="AL429" s="5" t="str">
        <f>IFERROR(__xludf.DUMMYFUNCTION("""COMPUTED_VALUE"""),"No")</f>
        <v>No</v>
      </c>
      <c r="AM429" s="5" t="str">
        <f>IFERROR(__xludf.DUMMYFUNCTION("""COMPUTED_VALUE"""),"No")</f>
        <v>No</v>
      </c>
      <c r="AN429" s="7" t="str">
        <f>IFERROR(__xludf.DUMMYFUNCTION("""COMPUTED_VALUE"""),"https://static.redstone.rs/games/hot-rush-fruit-lines/")</f>
        <v>https://static.redstone.rs/games/hot-rush-fruit-lines/</v>
      </c>
      <c r="AO429" s="5" t="str">
        <f>IFERROR(__xludf.DUMMYFUNCTION("""COMPUTED_VALUE"""),"No")</f>
        <v>No</v>
      </c>
      <c r="AP429" s="5" t="str">
        <f>IFERROR(__xludf.DUMMYFUNCTION("""COMPUTED_VALUE"""),"No")</f>
        <v>No</v>
      </c>
      <c r="AQ429" s="5" t="b">
        <f>IFERROR(__xludf.DUMMYFUNCTION("""COMPUTED_VALUE"""),TRUE)</f>
        <v>1</v>
      </c>
      <c r="AR429" s="5"/>
      <c r="AS429" s="5" t="str">
        <f>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AT429" s="5"/>
      <c r="AU429" s="5" t="str">
        <f>IFERROR(__xludf.DUMMYFUNCTION("""COMPUTED_VALUE"""),"Redstone")</f>
        <v>Redstone</v>
      </c>
      <c r="AV429" s="5"/>
      <c r="AW429" s="5"/>
      <c r="AX429" s="5"/>
      <c r="AY429" s="5"/>
      <c r="AZ429" s="5"/>
      <c r="BA429" s="5"/>
      <c r="BB429" s="5" t="b">
        <f>IFERROR(__xludf.DUMMYFUNCTION("""COMPUTED_VALUE"""),TRUE)</f>
        <v>1</v>
      </c>
      <c r="BC429" s="5" t="str">
        <f>IFERROR(__xludf.DUMMYFUNCTION("""COMPUTED_VALUE"""),"Redstone")</f>
        <v>Redstone</v>
      </c>
      <c r="BD429" s="7" t="str">
        <f>IFERROR(__xludf.DUMMYFUNCTION("""COMPUTED_VALUE"""),"https://static.redstone.rs/games/hot-rush-fruit-lines/")</f>
        <v>https://static.redstone.rs/games/hot-rush-fruit-lines/</v>
      </c>
      <c r="BE429" s="5" t="b">
        <f>IFERROR(__xludf.DUMMYFUNCTION("""COMPUTED_VALUE"""),TRUE)</f>
        <v>1</v>
      </c>
    </row>
    <row r="430">
      <c r="A430" s="5">
        <f>IFERROR(__xludf.DUMMYFUNCTION("""COMPUTED_VALUE"""),445.0)</f>
        <v>445</v>
      </c>
      <c r="B430" s="5">
        <f>IFERROR(__xludf.DUMMYFUNCTION("""COMPUTED_VALUE"""),2000002.0)</f>
        <v>2000002</v>
      </c>
      <c r="C430" s="5" t="str">
        <f>IFERROR(__xludf.DUMMYFUNCTION("""COMPUTED_VALUE"""),"Game Play Technology")</f>
        <v>Game Play Technology</v>
      </c>
      <c r="D430" s="5" t="str">
        <f>IFERROR(__xludf.DUMMYFUNCTION("""COMPUTED_VALUE"""),"Plinko Hinamis Forest of Magic")</f>
        <v>Plinko Hinamis Forest of Magic</v>
      </c>
      <c r="E430" s="5"/>
      <c r="F430" s="5" t="str">
        <f>IFERROR(__xludf.DUMMYFUNCTION("""COMPUTED_VALUE"""),"HinamisForestOfMagic")</f>
        <v>HinamisForestOfMagic</v>
      </c>
      <c r="G430" s="5" t="str">
        <f>IFERROR(__xludf.DUMMYFUNCTION("""COMPUTED_VALUE"""),"Retired")</f>
        <v>Retired</v>
      </c>
      <c r="H430" s="5"/>
      <c r="I430" s="5"/>
      <c r="J430" s="5"/>
      <c r="K430" s="5" t="str">
        <f>IFERROR(__xludf.DUMMYFUNCTION("""COMPUTED_VALUE"""),"Plinko")</f>
        <v>Plinko</v>
      </c>
      <c r="L430" s="5"/>
      <c r="M430" s="5"/>
      <c r="N430" s="5"/>
      <c r="O430" s="5"/>
      <c r="P430" s="12"/>
      <c r="Q430" s="13">
        <f>IFERROR(__xludf.DUMMYFUNCTION("""COMPUTED_VALUE"""),45448.0)</f>
        <v>45448</v>
      </c>
      <c r="R430" s="14"/>
      <c r="S430" s="13">
        <f>IFERROR(__xludf.DUMMYFUNCTION("""COMPUTED_VALUE"""),45448.0)</f>
        <v>45448</v>
      </c>
      <c r="T430" s="5" t="b">
        <f>IFERROR(__xludf.DUMMYFUNCTION("""COMPUTED_VALUE"""),TRUE)</f>
        <v>1</v>
      </c>
      <c r="U430" s="5"/>
      <c r="V430" s="5"/>
      <c r="W430" s="5"/>
      <c r="X430" s="5"/>
      <c r="Y430" s="5"/>
      <c r="Z430" s="5"/>
      <c r="AA430" s="5"/>
      <c r="AB430" s="5"/>
      <c r="AC430" s="5"/>
      <c r="AD430" s="5"/>
      <c r="AE430" s="5"/>
      <c r="AF430" s="5"/>
      <c r="AG430" s="8">
        <f>IFERROR(__xludf.DUMMYFUNCTION("""COMPUTED_VALUE"""),45706.43262731482)</f>
        <v>45706.43263</v>
      </c>
      <c r="AH430" s="5" t="str">
        <f>IFERROR(__xludf.DUMMYFUNCTION("""COMPUTED_VALUE"""),"iva.cirkovic@fazi.rs")</f>
        <v>iva.cirkovic@fazi.rs</v>
      </c>
      <c r="AI430" s="13"/>
      <c r="AJ430" s="5"/>
      <c r="AK430" s="5"/>
      <c r="AL430" s="5"/>
      <c r="AM430" s="5"/>
      <c r="AN430" s="5"/>
      <c r="AO430" s="5"/>
      <c r="AP430" s="5"/>
      <c r="AQ430" s="5"/>
      <c r="AR430" s="5"/>
      <c r="AS430" s="5"/>
      <c r="AT430" s="5"/>
      <c r="AU430" s="5"/>
      <c r="AV430" s="5"/>
      <c r="AW430" s="5"/>
      <c r="AX430" s="5"/>
      <c r="AY430" s="5"/>
      <c r="AZ430" s="5"/>
      <c r="BA430" s="5" t="str">
        <f>IFERROR(__xludf.DUMMYFUNCTION("""COMPUTED_VALUE"""),"")</f>
        <v/>
      </c>
      <c r="BB430" s="5"/>
      <c r="BC430" s="5" t="str">
        <f>IFERROR(__xludf.DUMMYFUNCTION("""COMPUTED_VALUE"""),"Game Play Technology")</f>
        <v>Game Play Technology</v>
      </c>
      <c r="BD430" s="5"/>
      <c r="BE430" s="5"/>
    </row>
    <row r="431">
      <c r="A431" s="5">
        <f>IFERROR(__xludf.DUMMYFUNCTION("""COMPUTED_VALUE"""),447.0)</f>
        <v>447</v>
      </c>
      <c r="B431" s="5">
        <f>IFERROR(__xludf.DUMMYFUNCTION("""COMPUTED_VALUE"""),2000003.0)</f>
        <v>2000003</v>
      </c>
      <c r="C431" s="5" t="str">
        <f>IFERROR(__xludf.DUMMYFUNCTION("""COMPUTED_VALUE"""),"Game Play Technology")</f>
        <v>Game Play Technology</v>
      </c>
      <c r="D431" s="5" t="str">
        <f>IFERROR(__xludf.DUMMYFUNCTION("""COMPUTED_VALUE"""),"Plinko Running Mice")</f>
        <v>Plinko Running Mice</v>
      </c>
      <c r="E431" s="5"/>
      <c r="F431" s="5" t="str">
        <f>IFERROR(__xludf.DUMMYFUNCTION("""COMPUTED_VALUE"""),"RunningMice")</f>
        <v>RunningMice</v>
      </c>
      <c r="G431" s="5" t="str">
        <f>IFERROR(__xludf.DUMMYFUNCTION("""COMPUTED_VALUE"""),"Retired")</f>
        <v>Retired</v>
      </c>
      <c r="H431" s="5"/>
      <c r="I431" s="5"/>
      <c r="J431" s="5"/>
      <c r="K431" s="5" t="str">
        <f>IFERROR(__xludf.DUMMYFUNCTION("""COMPUTED_VALUE"""),"Plinko")</f>
        <v>Plinko</v>
      </c>
      <c r="L431" s="5"/>
      <c r="M431" s="5"/>
      <c r="N431" s="5"/>
      <c r="O431" s="5"/>
      <c r="P431" s="12"/>
      <c r="Q431" s="13">
        <f>IFERROR(__xludf.DUMMYFUNCTION("""COMPUTED_VALUE"""),45464.0)</f>
        <v>45464</v>
      </c>
      <c r="R431" s="14"/>
      <c r="S431" s="13">
        <f>IFERROR(__xludf.DUMMYFUNCTION("""COMPUTED_VALUE"""),45464.0)</f>
        <v>45464</v>
      </c>
      <c r="T431" s="5"/>
      <c r="U431" s="5"/>
      <c r="V431" s="5"/>
      <c r="W431" s="5"/>
      <c r="X431" s="5"/>
      <c r="Y431" s="5"/>
      <c r="Z431" s="5"/>
      <c r="AA431" s="5"/>
      <c r="AB431" s="5"/>
      <c r="AC431" s="5"/>
      <c r="AD431" s="5"/>
      <c r="AE431" s="5"/>
      <c r="AF431" s="5"/>
      <c r="AG431" s="8">
        <f>IFERROR(__xludf.DUMMYFUNCTION("""COMPUTED_VALUE"""),45695.70971064815)</f>
        <v>45695.70971</v>
      </c>
      <c r="AH431" s="5" t="str">
        <f>IFERROR(__xludf.DUMMYFUNCTION("""COMPUTED_VALUE"""),"mila.stefanovic@fazi.rs")</f>
        <v>mila.stefanovic@fazi.rs</v>
      </c>
      <c r="AI431" s="13"/>
      <c r="AJ431" s="5"/>
      <c r="AK431" s="5"/>
      <c r="AL431" s="5"/>
      <c r="AM431" s="5"/>
      <c r="AN431" s="5"/>
      <c r="AO431" s="5"/>
      <c r="AP431" s="5"/>
      <c r="AQ431" s="5"/>
      <c r="AR431" s="5"/>
      <c r="AS431" s="5"/>
      <c r="AT431" s="5"/>
      <c r="AU431" s="5"/>
      <c r="AV431" s="5"/>
      <c r="AW431" s="5"/>
      <c r="AX431" s="5"/>
      <c r="AY431" s="5"/>
      <c r="AZ431" s="5"/>
      <c r="BA431" s="5" t="str">
        <f>IFERROR(__xludf.DUMMYFUNCTION("""COMPUTED_VALUE"""),"")</f>
        <v/>
      </c>
      <c r="BB431" s="5"/>
      <c r="BC431" s="5" t="str">
        <f>IFERROR(__xludf.DUMMYFUNCTION("""COMPUTED_VALUE"""),"Game Play Technology")</f>
        <v>Game Play Technology</v>
      </c>
      <c r="BD431" s="5"/>
      <c r="BE431" s="5"/>
    </row>
    <row r="432">
      <c r="A432" s="5">
        <f>IFERROR(__xludf.DUMMYFUNCTION("""COMPUTED_VALUE"""),448.0)</f>
        <v>448</v>
      </c>
      <c r="B432" s="5">
        <f>IFERROR(__xludf.DUMMYFUNCTION("""COMPUTED_VALUE"""),1005.0)</f>
        <v>1005</v>
      </c>
      <c r="C432" s="5" t="str">
        <f>IFERROR(__xludf.DUMMYFUNCTION("""COMPUTED_VALUE"""),"Fazi")</f>
        <v>Fazi</v>
      </c>
      <c r="D432" s="5" t="str">
        <f>IFERROR(__xludf.DUMMYFUNCTION("""COMPUTED_VALUE"""),"Wild 5")</f>
        <v>Wild 5</v>
      </c>
      <c r="E432" s="5" t="str">
        <f>IFERROR(__xludf.DUMMYFUNCTION("""COMPUTED_VALUE"""),"V4-1")</f>
        <v>V4-1</v>
      </c>
      <c r="F432" s="5" t="str">
        <f>IFERROR(__xludf.DUMMYFUNCTION("""COMPUTED_VALUE"""),"Wild5")</f>
        <v>Wild5</v>
      </c>
      <c r="G432" s="5" t="str">
        <f>IFERROR(__xludf.DUMMYFUNCTION("""COMPUTED_VALUE"""),"Live")</f>
        <v>Live</v>
      </c>
      <c r="H432" s="5"/>
      <c r="I432" s="5" t="str">
        <f>IFERROR(__xludf.DUMMYFUNCTION("""COMPUTED_VALUE"""),"V4")</f>
        <v>V4</v>
      </c>
      <c r="J432" s="5" t="str">
        <f>IFERROR(__xludf.DUMMYFUNCTION("""COMPUTED_VALUE"""),"JSON")</f>
        <v>JSON</v>
      </c>
      <c r="K432" s="5" t="str">
        <f>IFERROR(__xludf.DUMMYFUNCTION("""COMPUTED_VALUE"""),"Slot")</f>
        <v>Slot</v>
      </c>
      <c r="L432" s="5"/>
      <c r="M432" s="5"/>
      <c r="N432" s="7" t="str">
        <f>IFERROR(__xludf.DUMMYFUNCTION("""COMPUTED_VALUE"""),"https://drive.google.com/file/d/1d-3kCKBdZXLlvGz9vxVk8oWs8zGTsxln/view?usp=sharing")</f>
        <v>https://drive.google.com/file/d/1d-3kCKBdZXLlvGz9vxVk8oWs8zGTsxln/view?usp=sharing</v>
      </c>
      <c r="O432" s="7" t="str">
        <f>IFERROR(__xludf.DUMMYFUNCTION("""COMPUTED_VALUE"""),"https://drive.google.com/file/d/10mce7DaE2ruwhtSFdWdSsoQV1nSqOwQY/view?usp=sharing")</f>
        <v>https://drive.google.com/file/d/10mce7DaE2ruwhtSFdWdSsoQV1nSqOwQY/view?usp=sharing</v>
      </c>
      <c r="P432" s="12">
        <f>IFERROR(__xludf.DUMMYFUNCTION("""COMPUTED_VALUE"""),10.1)</f>
        <v>10.1</v>
      </c>
      <c r="Q432" s="13">
        <f>IFERROR(__xludf.DUMMYFUNCTION("""COMPUTED_VALUE"""),45713.0)</f>
        <v>45713</v>
      </c>
      <c r="R432" s="14">
        <f>IFERROR(__xludf.DUMMYFUNCTION("""COMPUTED_VALUE"""),45719.0)</f>
        <v>45719</v>
      </c>
      <c r="S432" s="13">
        <f>IFERROR(__xludf.DUMMYFUNCTION("""COMPUTED_VALUE"""),45726.0)</f>
        <v>45726</v>
      </c>
      <c r="T432" s="5" t="b">
        <f>IFERROR(__xludf.DUMMYFUNCTION("""COMPUTED_VALUE"""),TRUE)</f>
        <v>1</v>
      </c>
      <c r="U432" s="5" t="str">
        <f>IFERROR(__xludf.DUMMYFUNCTION("""COMPUTED_VALUE"""),"3x3")</f>
        <v>3x3</v>
      </c>
      <c r="V432" s="5">
        <f>IFERROR(__xludf.DUMMYFUNCTION("""COMPUTED_VALUE"""),5.0)</f>
        <v>5</v>
      </c>
      <c r="W432" s="5">
        <f>IFERROR(__xludf.DUMMYFUNCTION("""COMPUTED_VALUE"""),5.0)</f>
        <v>5</v>
      </c>
      <c r="X432" s="5">
        <f>IFERROR(__xludf.DUMMYFUNCTION("""COMPUTED_VALUE"""),96.327)</f>
        <v>96.327</v>
      </c>
      <c r="Y432" s="5" t="str">
        <f>IFERROR(__xludf.DUMMYFUNCTION("""COMPUTED_VALUE"""),"High")</f>
        <v>High</v>
      </c>
      <c r="Z432" s="5">
        <f>IFERROR(__xludf.DUMMYFUNCTION("""COMPUTED_VALUE"""),5.553)</f>
        <v>5.553</v>
      </c>
      <c r="AA432" s="5">
        <f>IFERROR(__xludf.DUMMYFUNCTION("""COMPUTED_VALUE"""),100.0)</f>
        <v>100</v>
      </c>
      <c r="AB432" s="5"/>
      <c r="AC432" s="5" t="str">
        <f>IFERROR(__xludf.DUMMYFUNCTION("""COMPUTED_VALUE"""),"Win Multiplier, Win Multiplier")</f>
        <v>Win Multiplier, Win Multiplier</v>
      </c>
      <c r="AD432" s="5" t="str">
        <f>IFERROR(__xludf.DUMMYFUNCTION("""COMPUTED_VALUE"""),"0.1/50")</f>
        <v>0.1/50</v>
      </c>
      <c r="AE432" s="5"/>
      <c r="AF432" s="5"/>
      <c r="AG432" s="8">
        <f>IFERROR(__xludf.DUMMYFUNCTION("""COMPUTED_VALUE"""),46153.626226851855)</f>
        <v>46153.62623</v>
      </c>
      <c r="AH432" s="5" t="str">
        <f>IFERROR(__xludf.DUMMYFUNCTION("""COMPUTED_VALUE"""),"djordje.petrovic@fazi.rs")</f>
        <v>djordje.petrovic@fazi.rs</v>
      </c>
      <c r="AI432" s="13"/>
      <c r="AJ432" s="5"/>
      <c r="AK432" s="5">
        <f>IFERROR(__xludf.DUMMYFUNCTION("""COMPUTED_VALUE"""),1.0)</f>
        <v>1</v>
      </c>
      <c r="AL432" s="5" t="str">
        <f>IFERROR(__xludf.DUMMYFUNCTION("""COMPUTED_VALUE"""),"Yes")</f>
        <v>Yes</v>
      </c>
      <c r="AM432" s="5"/>
      <c r="AN432" s="7" t="str">
        <f>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AO432" s="5" t="str">
        <f>IFERROR(__xludf.DUMMYFUNCTION("""COMPUTED_VALUE"""),"Yes")</f>
        <v>Yes</v>
      </c>
      <c r="AP432" s="5" t="str">
        <f>IFERROR(__xludf.DUMMYFUNCTION("""COMPUTED_VALUE"""),"Yes")</f>
        <v>Yes</v>
      </c>
      <c r="AQ432" s="5" t="b">
        <f>IFERROR(__xludf.DUMMYFUNCTION("""COMPUTED_VALUE"""),TRUE)</f>
        <v>1</v>
      </c>
      <c r="AR432" s="5"/>
      <c r="AS432" s="5" t="str">
        <f>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AT432" s="5" t="str">
        <f>IFERROR(__xludf.DUMMYFUNCTION("""COMPUTED_VALUE"""),"Yes")</f>
        <v>Yes</v>
      </c>
      <c r="AU432" s="5" t="str">
        <f>IFERROR(__xludf.DUMMYFUNCTION("""COMPUTED_VALUE"""),"Fazi")</f>
        <v>Fazi</v>
      </c>
      <c r="AV432" s="5"/>
      <c r="AW432" s="5"/>
      <c r="AX432" s="5"/>
      <c r="AY432" s="5" t="str">
        <f>IFERROR(__xludf.DUMMYFUNCTION("""COMPUTED_VALUE"""),"87.5%, 89.5%, 91.5%, 93.5%, 94.5%, 95.5%, 96.5%")</f>
        <v>87.5%, 89.5%, 91.5%, 93.5%, 94.5%, 95.5%, 96.5%</v>
      </c>
      <c r="AZ432" s="5"/>
      <c r="BA432" s="5"/>
      <c r="BB432" s="5"/>
      <c r="BC432" s="5" t="str">
        <f>IFERROR(__xludf.DUMMYFUNCTION("""COMPUTED_VALUE"""),"Foxi")</f>
        <v>Foxi</v>
      </c>
      <c r="BD432" s="7" t="str">
        <f>IFERROR(__xludf.DUMMYFUNCTION("""COMPUTED_VALUE"""),"https://gameserver-store-client-area.orbionlimited.com/Home/IntegrationGameLaunch/client-area?moneyType=0&amp;gameName=Wild5&amp;platform=desktop&amp;languageCode=eng&amp;currency=EUR")</f>
        <v>https://gameserver-store-client-area.orbionlimited.com/Home/IntegrationGameLaunch/client-area?moneyType=0&amp;gameName=Wild5&amp;platform=desktop&amp;languageCode=eng&amp;currency=EUR</v>
      </c>
      <c r="BE432" s="5" t="b">
        <f>IFERROR(__xludf.DUMMYFUNCTION("""COMPUTED_VALUE"""),TRUE)</f>
        <v>1</v>
      </c>
    </row>
    <row r="433">
      <c r="A433" s="5">
        <f>IFERROR(__xludf.DUMMYFUNCTION("""COMPUTED_VALUE"""),449.0)</f>
        <v>449</v>
      </c>
      <c r="B433" s="5">
        <f>IFERROR(__xludf.DUMMYFUNCTION("""COMPUTED_VALUE"""),3008.0)</f>
        <v>3008</v>
      </c>
      <c r="C433" s="5" t="str">
        <f>IFERROR(__xludf.DUMMYFUNCTION("""COMPUTED_VALUE"""),"Fazi")</f>
        <v>Fazi</v>
      </c>
      <c r="D433" s="5" t="str">
        <f>IFERROR(__xludf.DUMMYFUNCTION("""COMPUTED_VALUE"""),"Brilliant Heart")</f>
        <v>Brilliant Heart</v>
      </c>
      <c r="E433" s="5" t="str">
        <f>IFERROR(__xludf.DUMMYFUNCTION("""COMPUTED_VALUE"""),"V2")</f>
        <v>V2</v>
      </c>
      <c r="F433" s="5" t="str">
        <f>IFERROR(__xludf.DUMMYFUNCTION("""COMPUTED_VALUE"""),"BrilliantHeart")</f>
        <v>BrilliantHeart</v>
      </c>
      <c r="G433" s="5" t="str">
        <f>IFERROR(__xludf.DUMMYFUNCTION("""COMPUTED_VALUE"""),"Live")</f>
        <v>Live</v>
      </c>
      <c r="H433" s="5"/>
      <c r="I433" s="5" t="str">
        <f>IFERROR(__xludf.DUMMYFUNCTION("""COMPUTED_VALUE"""),"V2")</f>
        <v>V2</v>
      </c>
      <c r="J433" s="5" t="str">
        <f>IFERROR(__xludf.DUMMYFUNCTION("""COMPUTED_VALUE"""),"JSON")</f>
        <v>JSON</v>
      </c>
      <c r="K433" s="5" t="str">
        <f>IFERROR(__xludf.DUMMYFUNCTION("""COMPUTED_VALUE"""),"Slot")</f>
        <v>Slot</v>
      </c>
      <c r="L433" s="5" t="str">
        <f>IFERROR(__xludf.DUMMYFUNCTION("""COMPUTED_VALUE""")," Clone")</f>
        <v> Clone</v>
      </c>
      <c r="M433" s="5" t="str">
        <f>IFERROR(__xludf.DUMMYFUNCTION("""COMPUTED_VALUE"""),"Golden Crown Max")</f>
        <v>Golden Crown Max</v>
      </c>
      <c r="N433" s="7" t="str">
        <f>IFERROR(__xludf.DUMMYFUNCTION("""COMPUTED_VALUE"""),"https://drive.google.com/drive/folders/1kbglFJ5oU8iGhS6Kx0DglZ_vC6RUsXi9")</f>
        <v>https://drive.google.com/drive/folders/1kbglFJ5oU8iGhS6Kx0DglZ_vC6RUsXi9</v>
      </c>
      <c r="O433" s="7" t="str">
        <f>IFERROR(__xludf.DUMMYFUNCTION("""COMPUTED_VALUE"""),"https://drive.google.com/drive/folders/1kbglFJ5oU8iGhS6Kx0DglZ_vC6RUsXi9")</f>
        <v>https://drive.google.com/drive/folders/1kbglFJ5oU8iGhS6Kx0DglZ_vC6RUsXi9</v>
      </c>
      <c r="P433" s="12">
        <f>IFERROR(__xludf.DUMMYFUNCTION("""COMPUTED_VALUE"""),24.6)</f>
        <v>24.6</v>
      </c>
      <c r="Q433" s="13">
        <f>IFERROR(__xludf.DUMMYFUNCTION("""COMPUTED_VALUE"""),45736.0)</f>
        <v>45736</v>
      </c>
      <c r="R433" s="14">
        <f>IFERROR(__xludf.DUMMYFUNCTION("""COMPUTED_VALUE"""),45729.0)</f>
        <v>45729</v>
      </c>
      <c r="S433" s="13">
        <f>IFERROR(__xludf.DUMMYFUNCTION("""COMPUTED_VALUE"""),45736.0)</f>
        <v>45736</v>
      </c>
      <c r="T433" s="5" t="b">
        <f>IFERROR(__xludf.DUMMYFUNCTION("""COMPUTED_VALUE"""),TRUE)</f>
        <v>1</v>
      </c>
      <c r="U433" s="5" t="str">
        <f>IFERROR(__xludf.DUMMYFUNCTION("""COMPUTED_VALUE"""),"5x4")</f>
        <v>5x4</v>
      </c>
      <c r="V433" s="5">
        <f>IFERROR(__xludf.DUMMYFUNCTION("""COMPUTED_VALUE"""),40.0)</f>
        <v>40</v>
      </c>
      <c r="W433" s="5">
        <f>IFERROR(__xludf.DUMMYFUNCTION("""COMPUTED_VALUE"""),40.0)</f>
        <v>40</v>
      </c>
      <c r="X433" s="5">
        <f>IFERROR(__xludf.DUMMYFUNCTION("""COMPUTED_VALUE"""),96.483)</f>
        <v>96.483</v>
      </c>
      <c r="Y433" s="5" t="str">
        <f>IFERROR(__xludf.DUMMYFUNCTION("""COMPUTED_VALUE"""),"High")</f>
        <v>High</v>
      </c>
      <c r="Z433" s="5">
        <f>IFERROR(__xludf.DUMMYFUNCTION("""COMPUTED_VALUE"""),12.5)</f>
        <v>12.5</v>
      </c>
      <c r="AA433" s="5">
        <f>IFERROR(__xludf.DUMMYFUNCTION("""COMPUTED_VALUE"""),5000.0)</f>
        <v>5000</v>
      </c>
      <c r="AB433" s="5"/>
      <c r="AC433" s="5" t="str">
        <f>IFERROR(__xludf.DUMMYFUNCTION("""COMPUTED_VALUE"""),"Expanding Wild")</f>
        <v>Expanding Wild</v>
      </c>
      <c r="AD433" s="5" t="str">
        <f>IFERROR(__xludf.DUMMYFUNCTION("""COMPUTED_VALUE"""),"0.4/60")</f>
        <v>0.4/60</v>
      </c>
      <c r="AE433" s="5"/>
      <c r="AF433" s="5"/>
      <c r="AG433" s="8">
        <f>IFERROR(__xludf.DUMMYFUNCTION("""COMPUTED_VALUE"""),46112.386354166665)</f>
        <v>46112.38635</v>
      </c>
      <c r="AH433" s="5" t="str">
        <f>IFERROR(__xludf.DUMMYFUNCTION("""COMPUTED_VALUE"""),"milutin.toskic@fazi.rs")</f>
        <v>milutin.toskic@fazi.rs</v>
      </c>
      <c r="AI433" s="13"/>
      <c r="AJ433" s="5"/>
      <c r="AK433" s="5" t="str">
        <f>IFERROR(__xludf.DUMMYFUNCTION("""COMPUTED_VALUE"""),"N/A")</f>
        <v>N/A</v>
      </c>
      <c r="AL433" s="5" t="str">
        <f>IFERROR(__xludf.DUMMYFUNCTION("""COMPUTED_VALUE"""),"Yes")</f>
        <v>Yes</v>
      </c>
      <c r="AM433" s="5"/>
      <c r="AN433" s="7" t="str">
        <f>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AO433" s="5" t="str">
        <f>IFERROR(__xludf.DUMMYFUNCTION("""COMPUTED_VALUE"""),"Yes")</f>
        <v>Yes</v>
      </c>
      <c r="AP433" s="5" t="str">
        <f>IFERROR(__xludf.DUMMYFUNCTION("""COMPUTED_VALUE"""),"Yes")</f>
        <v>Yes</v>
      </c>
      <c r="AQ433" s="5" t="b">
        <f>IFERROR(__xludf.DUMMYFUNCTION("""COMPUTED_VALUE"""),TRUE)</f>
        <v>1</v>
      </c>
      <c r="AR433" s="5"/>
      <c r="AS433" s="5" t="str">
        <f>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AT433" s="5" t="str">
        <f>IFERROR(__xludf.DUMMYFUNCTION("""COMPUTED_VALUE"""),"Yes")</f>
        <v>Yes</v>
      </c>
      <c r="AU433" s="5" t="str">
        <f>IFERROR(__xludf.DUMMYFUNCTION("""COMPUTED_VALUE"""),"Fazi")</f>
        <v>Fazi</v>
      </c>
      <c r="AV433" s="5"/>
      <c r="AW433" s="5"/>
      <c r="AX433" s="5"/>
      <c r="AY433" s="5"/>
      <c r="AZ433" s="5"/>
      <c r="BA433" s="5"/>
      <c r="BB433" s="5"/>
      <c r="BC433" s="5" t="str">
        <f>IFERROR(__xludf.DUMMYFUNCTION("""COMPUTED_VALUE"""),"Foxi")</f>
        <v>Foxi</v>
      </c>
      <c r="BD433" s="7" t="str">
        <f>IFERROR(__xludf.DUMMYFUNCTION("""COMPUTED_VALUE"""),"https://gameserver-store-client-area.orbionlimited.com/Home/IntegrationGameLaunch/client-area?moneyType=0&amp;gameName=BrilliantHeart&amp;platform=desktop&amp;languageCode=eng&amp;currency=EUR")</f>
        <v>https://gameserver-store-client-area.orbionlimited.com/Home/IntegrationGameLaunch/client-area?moneyType=0&amp;gameName=BrilliantHeart&amp;platform=desktop&amp;languageCode=eng&amp;currency=EUR</v>
      </c>
      <c r="BE433" s="5" t="b">
        <f>IFERROR(__xludf.DUMMYFUNCTION("""COMPUTED_VALUE"""),TRUE)</f>
        <v>1</v>
      </c>
    </row>
    <row r="434">
      <c r="A434" s="5">
        <f>IFERROR(__xludf.DUMMYFUNCTION("""COMPUTED_VALUE"""),450.0)</f>
        <v>450</v>
      </c>
      <c r="B434" s="5">
        <f>IFERROR(__xludf.DUMMYFUNCTION("""COMPUTED_VALUE"""),395.0)</f>
        <v>395</v>
      </c>
      <c r="C434" s="5" t="str">
        <f>IFERROR(__xludf.DUMMYFUNCTION("""COMPUTED_VALUE"""),"Playnet")</f>
        <v>Playnet</v>
      </c>
      <c r="D434" s="5" t="str">
        <f>IFERROR(__xludf.DUMMYFUNCTION("""COMPUTED_VALUE"""),"Crown Stacks 40")</f>
        <v>Crown Stacks 40</v>
      </c>
      <c r="E434" s="5" t="str">
        <f>IFERROR(__xludf.DUMMYFUNCTION("""COMPUTED_VALUE"""),"V4-2")</f>
        <v>V4-2</v>
      </c>
      <c r="F434" s="5" t="str">
        <f>IFERROR(__xludf.DUMMYFUNCTION("""COMPUTED_VALUE"""),"PlayNetCrownStacks40")</f>
        <v>PlayNetCrownStacks40</v>
      </c>
      <c r="G434" s="5" t="str">
        <f>IFERROR(__xludf.DUMMYFUNCTION("""COMPUTED_VALUE"""),"Live")</f>
        <v>Live</v>
      </c>
      <c r="H434" s="5"/>
      <c r="I434" s="5"/>
      <c r="J434" s="5" t="str">
        <f>IFERROR(__xludf.DUMMYFUNCTION("""COMPUTED_VALUE"""),"JSON")</f>
        <v>JSON</v>
      </c>
      <c r="K434" s="5" t="str">
        <f>IFERROR(__xludf.DUMMYFUNCTION("""COMPUTED_VALUE"""),"Slot")</f>
        <v>Slot</v>
      </c>
      <c r="L434" s="5" t="str">
        <f>IFERROR(__xludf.DUMMYFUNCTION("""COMPUTED_VALUE""")," Reskin")</f>
        <v> Reskin</v>
      </c>
      <c r="M434" s="5" t="str">
        <f>IFERROR(__xludf.DUMMYFUNCTION("""COMPUTED_VALUE"""),"Lollas World")</f>
        <v>Lollas World</v>
      </c>
      <c r="N434" s="5"/>
      <c r="O434" s="5"/>
      <c r="P434" s="12">
        <f>IFERROR(__xludf.DUMMYFUNCTION("""COMPUTED_VALUE"""),6.3)</f>
        <v>6.3</v>
      </c>
      <c r="Q434" s="13">
        <f>IFERROR(__xludf.DUMMYFUNCTION("""COMPUTED_VALUE"""),45719.0)</f>
        <v>45719</v>
      </c>
      <c r="R434" s="14">
        <f>IFERROR(__xludf.DUMMYFUNCTION("""COMPUTED_VALUE"""),45713.0)</f>
        <v>45713</v>
      </c>
      <c r="S434" s="13">
        <f>IFERROR(__xludf.DUMMYFUNCTION("""COMPUTED_VALUE"""),45720.0)</f>
        <v>45720</v>
      </c>
      <c r="T434" s="5" t="b">
        <f>IFERROR(__xludf.DUMMYFUNCTION("""COMPUTED_VALUE"""),TRUE)</f>
        <v>1</v>
      </c>
      <c r="U434" s="5" t="str">
        <f>IFERROR(__xludf.DUMMYFUNCTION("""COMPUTED_VALUE"""),"5x4")</f>
        <v>5x4</v>
      </c>
      <c r="V434" s="5">
        <f>IFERROR(__xludf.DUMMYFUNCTION("""COMPUTED_VALUE"""),40.0)</f>
        <v>40</v>
      </c>
      <c r="W434" s="5">
        <f>IFERROR(__xludf.DUMMYFUNCTION("""COMPUTED_VALUE"""),40.0)</f>
        <v>40</v>
      </c>
      <c r="X434" s="5">
        <f>IFERROR(__xludf.DUMMYFUNCTION("""COMPUTED_VALUE"""),95.479)</f>
        <v>95.479</v>
      </c>
      <c r="Y434" s="5" t="str">
        <f>IFERROR(__xludf.DUMMYFUNCTION("""COMPUTED_VALUE"""),"Medium")</f>
        <v>Medium</v>
      </c>
      <c r="Z434" s="5">
        <f>IFERROR(__xludf.DUMMYFUNCTION("""COMPUTED_VALUE"""),14.8)</f>
        <v>14.8</v>
      </c>
      <c r="AA434" s="5">
        <f>IFERROR(__xludf.DUMMYFUNCTION("""COMPUTED_VALUE"""),1000.0)</f>
        <v>1000</v>
      </c>
      <c r="AB434" s="5"/>
      <c r="AC434" s="5" t="str">
        <f>IFERROR(__xludf.DUMMYFUNCTION("""COMPUTED_VALUE"""),"Wild Symbol, Scatter")</f>
        <v>Wild Symbol, Scatter</v>
      </c>
      <c r="AD434" s="5" t="str">
        <f>IFERROR(__xludf.DUMMYFUNCTION("""COMPUTED_VALUE"""),"0.4/60")</f>
        <v>0.4/60</v>
      </c>
      <c r="AE434" s="5"/>
      <c r="AF434" s="5"/>
      <c r="AG434" s="8">
        <f>IFERROR(__xludf.DUMMYFUNCTION("""COMPUTED_VALUE"""),46220.501550925925)</f>
        <v>46220.50155</v>
      </c>
      <c r="AH434" s="5" t="str">
        <f>IFERROR(__xludf.DUMMYFUNCTION("""COMPUTED_VALUE"""),"selena.mihajlovic@fazi.rs")</f>
        <v>selena.mihajlovic@fazi.rs</v>
      </c>
      <c r="AI434" s="13"/>
      <c r="AJ434" s="5"/>
      <c r="AK434" s="5">
        <f>IFERROR(__xludf.DUMMYFUNCTION("""COMPUTED_VALUE"""),40.0)</f>
        <v>40</v>
      </c>
      <c r="AL434" s="5" t="str">
        <f>IFERROR(__xludf.DUMMYFUNCTION("""COMPUTED_VALUE"""),"No")</f>
        <v>No</v>
      </c>
      <c r="AM434" s="5" t="str">
        <f>IFERROR(__xludf.DUMMYFUNCTION("""COMPUTED_VALUE"""),"No")</f>
        <v>No</v>
      </c>
      <c r="AN434" s="7" t="str">
        <f>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AO434" s="5" t="str">
        <f>IFERROR(__xludf.DUMMYFUNCTION("""COMPUTED_VALUE"""),"No")</f>
        <v>No</v>
      </c>
      <c r="AP434" s="5" t="str">
        <f>IFERROR(__xludf.DUMMYFUNCTION("""COMPUTED_VALUE"""),"No")</f>
        <v>No</v>
      </c>
      <c r="AQ434" s="5" t="b">
        <f>IFERROR(__xludf.DUMMYFUNCTION("""COMPUTED_VALUE"""),TRUE)</f>
        <v>1</v>
      </c>
      <c r="AR434" s="5"/>
      <c r="AS434" s="5" t="str">
        <f>IFERROR(__xludf.DUMMYFUNCTION("""COMPUTED_VALUE"""),"Crown Stacks 40 delivers royal wins with perfectly stacked crown symbols across 40 paylines - your throne awaits!")</f>
        <v>Crown Stacks 40 delivers royal wins with perfectly stacked crown symbols across 40 paylines - your throne awaits!</v>
      </c>
      <c r="AT434" s="5"/>
      <c r="AU434" s="5" t="str">
        <f>IFERROR(__xludf.DUMMYFUNCTION("""COMPUTED_VALUE"""),"Fazi")</f>
        <v>Fazi</v>
      </c>
      <c r="AV434" s="5"/>
      <c r="AW434" s="5"/>
      <c r="AX434" s="5"/>
      <c r="AY434" s="5"/>
      <c r="AZ434" s="5"/>
      <c r="BA434" s="5"/>
      <c r="BB434" s="5" t="b">
        <f>IFERROR(__xludf.DUMMYFUNCTION("""COMPUTED_VALUE"""),TRUE)</f>
        <v>1</v>
      </c>
      <c r="BC434" s="5" t="str">
        <f>IFERROR(__xludf.DUMMYFUNCTION("""COMPUTED_VALUE"""),"Playnet")</f>
        <v>Playnet</v>
      </c>
      <c r="BD434" s="7" t="str">
        <f>IFERROR(__xludf.DUMMYFUNCTION("""COMPUTED_VALUE"""),"https://gameserver-store-client-area.orbionlimited.com/Home/IntegrationGameLaunch/client-area?moneyType=0&amp;gameName=PlayNetCrownStacks40&amp;platform=desktop&amp;languageCode=eng&amp;currency=EUR")</f>
        <v>https://gameserver-store-client-area.orbionlimited.com/Home/IntegrationGameLaunch/client-area?moneyType=0&amp;gameName=PlayNetCrownStacks40&amp;platform=desktop&amp;languageCode=eng&amp;currency=EUR</v>
      </c>
      <c r="BE434" s="5" t="b">
        <f>IFERROR(__xludf.DUMMYFUNCTION("""COMPUTED_VALUE"""),TRUE)</f>
        <v>1</v>
      </c>
    </row>
    <row r="435">
      <c r="A435" s="5">
        <f>IFERROR(__xludf.DUMMYFUNCTION("""COMPUTED_VALUE"""),451.0)</f>
        <v>451</v>
      </c>
      <c r="B435" s="5">
        <f>IFERROR(__xludf.DUMMYFUNCTION("""COMPUTED_VALUE"""),396.0)</f>
        <v>396</v>
      </c>
      <c r="C435" s="5" t="str">
        <f>IFERROR(__xludf.DUMMYFUNCTION("""COMPUTED_VALUE"""),"Playnet")</f>
        <v>Playnet</v>
      </c>
      <c r="D435" s="5" t="str">
        <f>IFERROR(__xludf.DUMMYFUNCTION("""COMPUTED_VALUE"""),"Wild Spread 40")</f>
        <v>Wild Spread 40</v>
      </c>
      <c r="E435" s="5" t="str">
        <f>IFERROR(__xludf.DUMMYFUNCTION("""COMPUTED_VALUE"""),"V4-2")</f>
        <v>V4-2</v>
      </c>
      <c r="F435" s="5" t="str">
        <f>IFERROR(__xludf.DUMMYFUNCTION("""COMPUTED_VALUE"""),"PlayNetWildSpread40")</f>
        <v>PlayNetWildSpread40</v>
      </c>
      <c r="G435" s="5" t="str">
        <f>IFERROR(__xludf.DUMMYFUNCTION("""COMPUTED_VALUE"""),"Live")</f>
        <v>Live</v>
      </c>
      <c r="H435" s="5"/>
      <c r="I435" s="5"/>
      <c r="J435" s="5" t="str">
        <f>IFERROR(__xludf.DUMMYFUNCTION("""COMPUTED_VALUE"""),"JSON")</f>
        <v>JSON</v>
      </c>
      <c r="K435" s="5" t="str">
        <f>IFERROR(__xludf.DUMMYFUNCTION("""COMPUTED_VALUE"""),"Slot")</f>
        <v>Slot</v>
      </c>
      <c r="L435" s="5" t="str">
        <f>IFERROR(__xludf.DUMMYFUNCTION("""COMPUTED_VALUE""")," Reskin")</f>
        <v> Reskin</v>
      </c>
      <c r="M435" s="5" t="str">
        <f>IFERROR(__xludf.DUMMYFUNCTION("""COMPUTED_VALUE"""),"Wild Hot 40 Blow")</f>
        <v>Wild Hot 40 Blow</v>
      </c>
      <c r="N435" s="5"/>
      <c r="O435" s="5"/>
      <c r="P435" s="12">
        <f>IFERROR(__xludf.DUMMYFUNCTION("""COMPUTED_VALUE"""),6.7)</f>
        <v>6.7</v>
      </c>
      <c r="Q435" s="13">
        <f>IFERROR(__xludf.DUMMYFUNCTION("""COMPUTED_VALUE"""),45719.0)</f>
        <v>45719</v>
      </c>
      <c r="R435" s="14">
        <f>IFERROR(__xludf.DUMMYFUNCTION("""COMPUTED_VALUE"""),45721.0)</f>
        <v>45721</v>
      </c>
      <c r="S435" s="13">
        <f>IFERROR(__xludf.DUMMYFUNCTION("""COMPUTED_VALUE"""),45728.0)</f>
        <v>45728</v>
      </c>
      <c r="T435" s="5" t="b">
        <f>IFERROR(__xludf.DUMMYFUNCTION("""COMPUTED_VALUE"""),TRUE)</f>
        <v>1</v>
      </c>
      <c r="U435" s="5" t="str">
        <f>IFERROR(__xludf.DUMMYFUNCTION("""COMPUTED_VALUE"""),"5x4")</f>
        <v>5x4</v>
      </c>
      <c r="V435" s="5">
        <f>IFERROR(__xludf.DUMMYFUNCTION("""COMPUTED_VALUE"""),40.0)</f>
        <v>40</v>
      </c>
      <c r="W435" s="5">
        <f>IFERROR(__xludf.DUMMYFUNCTION("""COMPUTED_VALUE"""),40.0)</f>
        <v>40</v>
      </c>
      <c r="X435" s="5">
        <f>IFERROR(__xludf.DUMMYFUNCTION("""COMPUTED_VALUE"""),96.268)</f>
        <v>96.268</v>
      </c>
      <c r="Y435" s="5" t="str">
        <f>IFERROR(__xludf.DUMMYFUNCTION("""COMPUTED_VALUE"""),"Medium")</f>
        <v>Medium</v>
      </c>
      <c r="Z435" s="5">
        <f>IFERROR(__xludf.DUMMYFUNCTION("""COMPUTED_VALUE"""),13.875)</f>
        <v>13.875</v>
      </c>
      <c r="AA435" s="5">
        <f>IFERROR(__xludf.DUMMYFUNCTION("""COMPUTED_VALUE"""),1000.0)</f>
        <v>1000</v>
      </c>
      <c r="AB435" s="5"/>
      <c r="AC435" s="5" t="str">
        <f>IFERROR(__xludf.DUMMYFUNCTION("""COMPUTED_VALUE"""),"Scatter, Exploding Wild")</f>
        <v>Scatter, Exploding Wild</v>
      </c>
      <c r="AD435" s="5" t="str">
        <f>IFERROR(__xludf.DUMMYFUNCTION("""COMPUTED_VALUE"""),"0.4/60")</f>
        <v>0.4/60</v>
      </c>
      <c r="AE435" s="5"/>
      <c r="AF435" s="5"/>
      <c r="AG435" s="8">
        <f>IFERROR(__xludf.DUMMYFUNCTION("""COMPUTED_VALUE"""),46220.50170138889)</f>
        <v>46220.5017</v>
      </c>
      <c r="AH435" s="5" t="str">
        <f>IFERROR(__xludf.DUMMYFUNCTION("""COMPUTED_VALUE"""),"selena.mihajlovic@fazi.rs")</f>
        <v>selena.mihajlovic@fazi.rs</v>
      </c>
      <c r="AI435" s="13"/>
      <c r="AJ435" s="5"/>
      <c r="AK435" s="5">
        <f>IFERROR(__xludf.DUMMYFUNCTION("""COMPUTED_VALUE"""),40.0)</f>
        <v>40</v>
      </c>
      <c r="AL435" s="5" t="str">
        <f>IFERROR(__xludf.DUMMYFUNCTION("""COMPUTED_VALUE"""),"No")</f>
        <v>No</v>
      </c>
      <c r="AM435" s="5" t="str">
        <f>IFERROR(__xludf.DUMMYFUNCTION("""COMPUTED_VALUE"""),"No")</f>
        <v>No</v>
      </c>
      <c r="AN435" s="7" t="str">
        <f>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AO435" s="5" t="str">
        <f>IFERROR(__xludf.DUMMYFUNCTION("""COMPUTED_VALUE"""),"No")</f>
        <v>No</v>
      </c>
      <c r="AP435" s="5" t="str">
        <f>IFERROR(__xludf.DUMMYFUNCTION("""COMPUTED_VALUE"""),"No")</f>
        <v>No</v>
      </c>
      <c r="AQ435" s="5" t="b">
        <f>IFERROR(__xludf.DUMMYFUNCTION("""COMPUTED_VALUE"""),TRUE)</f>
        <v>1</v>
      </c>
      <c r="AR435" s="5"/>
      <c r="AS435" s="5" t="str">
        <f>IFERROR(__xludf.DUMMYFUNCTION("""COMPUTED_VALUE"""),"One wild is all it takes! In Wild Spread 40 every wild expands to cover more space, bringing bigger chances to win!")</f>
        <v>One wild is all it takes! In Wild Spread 40 every wild expands to cover more space, bringing bigger chances to win!</v>
      </c>
      <c r="AT435" s="5"/>
      <c r="AU435" s="5" t="str">
        <f>IFERROR(__xludf.DUMMYFUNCTION("""COMPUTED_VALUE"""),"Fazi")</f>
        <v>Fazi</v>
      </c>
      <c r="AV435" s="5"/>
      <c r="AW435" s="5"/>
      <c r="AX435" s="5"/>
      <c r="AY435" s="5"/>
      <c r="AZ435" s="5"/>
      <c r="BA435" s="5"/>
      <c r="BB435" s="5" t="b">
        <f>IFERROR(__xludf.DUMMYFUNCTION("""COMPUTED_VALUE"""),TRUE)</f>
        <v>1</v>
      </c>
      <c r="BC435" s="5" t="str">
        <f>IFERROR(__xludf.DUMMYFUNCTION("""COMPUTED_VALUE"""),"Playnet")</f>
        <v>Playnet</v>
      </c>
      <c r="BD435" s="7" t="str">
        <f>IFERROR(__xludf.DUMMYFUNCTION("""COMPUTED_VALUE"""),"https://gameserver-store-client-area.orbionlimited.com/Home/IntegrationGameLaunch/client-area?moneyType=0&amp;gameName=PlayNetWildSpread40&amp;platform=desktop&amp;languageCode=eng&amp;currency=EUR")</f>
        <v>https://gameserver-store-client-area.orbionlimited.com/Home/IntegrationGameLaunch/client-area?moneyType=0&amp;gameName=PlayNetWildSpread40&amp;platform=desktop&amp;languageCode=eng&amp;currency=EUR</v>
      </c>
      <c r="BE435" s="5" t="b">
        <f>IFERROR(__xludf.DUMMYFUNCTION("""COMPUTED_VALUE"""),TRUE)</f>
        <v>1</v>
      </c>
    </row>
    <row r="436">
      <c r="A436" s="5">
        <f>IFERROR(__xludf.DUMMYFUNCTION("""COMPUTED_VALUE"""),452.0)</f>
        <v>452</v>
      </c>
      <c r="B436" s="5">
        <f>IFERROR(__xludf.DUMMYFUNCTION("""COMPUTED_VALUE"""),402.0)</f>
        <v>402</v>
      </c>
      <c r="C436" s="5" t="str">
        <f>IFERROR(__xludf.DUMMYFUNCTION("""COMPUTED_VALUE"""),"Playnet")</f>
        <v>Playnet</v>
      </c>
      <c r="D436" s="5" t="str">
        <f>IFERROR(__xludf.DUMMYFUNCTION("""COMPUTED_VALUE"""),"Crown Spread 40")</f>
        <v>Crown Spread 40</v>
      </c>
      <c r="E436" s="5" t="str">
        <f>IFERROR(__xludf.DUMMYFUNCTION("""COMPUTED_VALUE"""),"V4-2")</f>
        <v>V4-2</v>
      </c>
      <c r="F436" s="5" t="str">
        <f>IFERROR(__xludf.DUMMYFUNCTION("""COMPUTED_VALUE"""),"PlayNetCrownSpread40")</f>
        <v>PlayNetCrownSpread40</v>
      </c>
      <c r="G436" s="5" t="str">
        <f>IFERROR(__xludf.DUMMYFUNCTION("""COMPUTED_VALUE"""),"Live")</f>
        <v>Live</v>
      </c>
      <c r="H436" s="5"/>
      <c r="I436" s="5"/>
      <c r="J436" s="5" t="str">
        <f>IFERROR(__xludf.DUMMYFUNCTION("""COMPUTED_VALUE"""),"JSON")</f>
        <v>JSON</v>
      </c>
      <c r="K436" s="5" t="str">
        <f>IFERROR(__xludf.DUMMYFUNCTION("""COMPUTED_VALUE"""),"Slot")</f>
        <v>Slot</v>
      </c>
      <c r="L436" s="5" t="str">
        <f>IFERROR(__xludf.DUMMYFUNCTION("""COMPUTED_VALUE""")," Clone")</f>
        <v> Clone</v>
      </c>
      <c r="M436" s="5" t="str">
        <f>IFERROR(__xludf.DUMMYFUNCTION("""COMPUTED_VALUE"""),"Wild Hot 40 Blow")</f>
        <v>Wild Hot 40 Blow</v>
      </c>
      <c r="N436" s="5"/>
      <c r="O436" s="5"/>
      <c r="P436" s="12">
        <f>IFERROR(__xludf.DUMMYFUNCTION("""COMPUTED_VALUE"""),6.7)</f>
        <v>6.7</v>
      </c>
      <c r="Q436" s="13">
        <f>IFERROR(__xludf.DUMMYFUNCTION("""COMPUTED_VALUE"""),45733.0)</f>
        <v>45733</v>
      </c>
      <c r="R436" s="14">
        <f>IFERROR(__xludf.DUMMYFUNCTION("""COMPUTED_VALUE"""),45741.0)</f>
        <v>45741</v>
      </c>
      <c r="S436" s="13">
        <f>IFERROR(__xludf.DUMMYFUNCTION("""COMPUTED_VALUE"""),45748.0)</f>
        <v>45748</v>
      </c>
      <c r="T436" s="5" t="b">
        <f>IFERROR(__xludf.DUMMYFUNCTION("""COMPUTED_VALUE"""),TRUE)</f>
        <v>1</v>
      </c>
      <c r="U436" s="5" t="str">
        <f>IFERROR(__xludf.DUMMYFUNCTION("""COMPUTED_VALUE"""),"5x4")</f>
        <v>5x4</v>
      </c>
      <c r="V436" s="5">
        <f>IFERROR(__xludf.DUMMYFUNCTION("""COMPUTED_VALUE"""),40.0)</f>
        <v>40</v>
      </c>
      <c r="W436" s="5">
        <f>IFERROR(__xludf.DUMMYFUNCTION("""COMPUTED_VALUE"""),40.0)</f>
        <v>40</v>
      </c>
      <c r="X436" s="5">
        <f>IFERROR(__xludf.DUMMYFUNCTION("""COMPUTED_VALUE"""),96.268)</f>
        <v>96.268</v>
      </c>
      <c r="Y436" s="5" t="str">
        <f>IFERROR(__xludf.DUMMYFUNCTION("""COMPUTED_VALUE"""),"Medium")</f>
        <v>Medium</v>
      </c>
      <c r="Z436" s="5">
        <f>IFERROR(__xludf.DUMMYFUNCTION("""COMPUTED_VALUE"""),13.875)</f>
        <v>13.875</v>
      </c>
      <c r="AA436" s="5">
        <f>IFERROR(__xludf.DUMMYFUNCTION("""COMPUTED_VALUE"""),1000.0)</f>
        <v>1000</v>
      </c>
      <c r="AB436" s="5"/>
      <c r="AC436" s="5" t="str">
        <f>IFERROR(__xludf.DUMMYFUNCTION("""COMPUTED_VALUE"""),"Scatter, Exploding Wild")</f>
        <v>Scatter, Exploding Wild</v>
      </c>
      <c r="AD436" s="5" t="str">
        <f>IFERROR(__xludf.DUMMYFUNCTION("""COMPUTED_VALUE"""),"0.4/60")</f>
        <v>0.4/60</v>
      </c>
      <c r="AE436" s="5"/>
      <c r="AF436" s="5"/>
      <c r="AG436" s="8">
        <f>IFERROR(__xludf.DUMMYFUNCTION("""COMPUTED_VALUE"""),46220.50184027778)</f>
        <v>46220.50184</v>
      </c>
      <c r="AH436" s="5" t="str">
        <f>IFERROR(__xludf.DUMMYFUNCTION("""COMPUTED_VALUE"""),"selena.mihajlovic@fazi.rs")</f>
        <v>selena.mihajlovic@fazi.rs</v>
      </c>
      <c r="AI436" s="13"/>
      <c r="AJ436" s="5"/>
      <c r="AK436" s="5">
        <f>IFERROR(__xludf.DUMMYFUNCTION("""COMPUTED_VALUE"""),40.0)</f>
        <v>40</v>
      </c>
      <c r="AL436" s="5" t="str">
        <f>IFERROR(__xludf.DUMMYFUNCTION("""COMPUTED_VALUE"""),"No")</f>
        <v>No</v>
      </c>
      <c r="AM436" s="5" t="str">
        <f>IFERROR(__xludf.DUMMYFUNCTION("""COMPUTED_VALUE"""),"No")</f>
        <v>No</v>
      </c>
      <c r="AN436" s="7" t="str">
        <f>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AO436" s="5" t="str">
        <f>IFERROR(__xludf.DUMMYFUNCTION("""COMPUTED_VALUE"""),"No")</f>
        <v>No</v>
      </c>
      <c r="AP436" s="5"/>
      <c r="AQ436" s="5" t="b">
        <f>IFERROR(__xludf.DUMMYFUNCTION("""COMPUTED_VALUE"""),TRUE)</f>
        <v>1</v>
      </c>
      <c r="AR436" s="5"/>
      <c r="AS436" s="5" t="str">
        <f>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AT436" s="5"/>
      <c r="AU436" s="5" t="str">
        <f>IFERROR(__xludf.DUMMYFUNCTION("""COMPUTED_VALUE"""),"Fazi")</f>
        <v>Fazi</v>
      </c>
      <c r="AV436" s="5"/>
      <c r="AW436" s="5"/>
      <c r="AX436" s="5"/>
      <c r="AY436" s="5"/>
      <c r="AZ436" s="5"/>
      <c r="BA436" s="5"/>
      <c r="BB436" s="5" t="b">
        <f>IFERROR(__xludf.DUMMYFUNCTION("""COMPUTED_VALUE"""),TRUE)</f>
        <v>1</v>
      </c>
      <c r="BC436" s="5" t="str">
        <f>IFERROR(__xludf.DUMMYFUNCTION("""COMPUTED_VALUE"""),"Playnet")</f>
        <v>Playnet</v>
      </c>
      <c r="BD436" s="7" t="str">
        <f>IFERROR(__xludf.DUMMYFUNCTION("""COMPUTED_VALUE"""),"https://gameserver-store-client-area.orbionlimited.com/Home/IntegrationGameLaunch/client-area?moneyType=0&amp;gameName=PlayNetCrownSpread40&amp;platform=desktop&amp;languageCode=eng&amp;currency=EUR")</f>
        <v>https://gameserver-store-client-area.orbionlimited.com/Home/IntegrationGameLaunch/client-area?moneyType=0&amp;gameName=PlayNetCrownSpread40&amp;platform=desktop&amp;languageCode=eng&amp;currency=EUR</v>
      </c>
      <c r="BE436" s="5" t="b">
        <f>IFERROR(__xludf.DUMMYFUNCTION("""COMPUTED_VALUE"""),TRUE)</f>
        <v>1</v>
      </c>
    </row>
    <row r="437">
      <c r="A437" s="5">
        <f>IFERROR(__xludf.DUMMYFUNCTION("""COMPUTED_VALUE"""),453.0)</f>
        <v>453</v>
      </c>
      <c r="B437" s="5">
        <f>IFERROR(__xludf.DUMMYFUNCTION("""COMPUTED_VALUE"""),401.0)</f>
        <v>401</v>
      </c>
      <c r="C437" s="5" t="str">
        <f>IFERROR(__xludf.DUMMYFUNCTION("""COMPUTED_VALUE"""),"Tiptop")</f>
        <v>Tiptop</v>
      </c>
      <c r="D437" s="5" t="str">
        <f>IFERROR(__xludf.DUMMYFUNCTION("""COMPUTED_VALUE"""),"Dynamite Run Platinum")</f>
        <v>Dynamite Run Platinum</v>
      </c>
      <c r="E437" s="5" t="str">
        <f>IFERROR(__xludf.DUMMYFUNCTION("""COMPUTED_VALUE"""),"V4-2")</f>
        <v>V4-2</v>
      </c>
      <c r="F437" s="5" t="str">
        <f>IFERROR(__xludf.DUMMYFUNCTION("""COMPUTED_VALUE"""),"UnicornDynamiteRunPlatinum")</f>
        <v>UnicornDynamiteRunPlatinum</v>
      </c>
      <c r="G437" s="5" t="str">
        <f>IFERROR(__xludf.DUMMYFUNCTION("""COMPUTED_VALUE"""),"Live")</f>
        <v>Live</v>
      </c>
      <c r="H437" s="5"/>
      <c r="I437" s="5" t="str">
        <f>IFERROR(__xludf.DUMMYFUNCTION("""COMPUTED_VALUE"""),"TipTop")</f>
        <v>TipTop</v>
      </c>
      <c r="J437" s="5" t="str">
        <f>IFERROR(__xludf.DUMMYFUNCTION("""COMPUTED_VALUE"""),"JSON")</f>
        <v>JSON</v>
      </c>
      <c r="K437" s="5" t="str">
        <f>IFERROR(__xludf.DUMMYFUNCTION("""COMPUTED_VALUE"""),"Slot")</f>
        <v>Slot</v>
      </c>
      <c r="L437" s="5" t="str">
        <f>IFERROR(__xludf.DUMMYFUNCTION("""COMPUTED_VALUE""")," Clone")</f>
        <v> Clone</v>
      </c>
      <c r="M437" s="5" t="str">
        <f>IFERROR(__xludf.DUMMYFUNCTION("""COMPUTED_VALUE"""),"Unicorn Dynamite Run")</f>
        <v>Unicorn Dynamite Run</v>
      </c>
      <c r="N437" s="5"/>
      <c r="O437" s="5"/>
      <c r="P437" s="12">
        <f>IFERROR(__xludf.DUMMYFUNCTION("""COMPUTED_VALUE"""),13.0)</f>
        <v>13</v>
      </c>
      <c r="Q437" s="13">
        <f>IFERROR(__xludf.DUMMYFUNCTION("""COMPUTED_VALUE"""),45733.0)</f>
        <v>45733</v>
      </c>
      <c r="R437" s="14">
        <f>IFERROR(__xludf.DUMMYFUNCTION("""COMPUTED_VALUE"""),45728.0)</f>
        <v>45728</v>
      </c>
      <c r="S437" s="13">
        <f>IFERROR(__xludf.DUMMYFUNCTION("""COMPUTED_VALUE"""),45735.0)</f>
        <v>45735</v>
      </c>
      <c r="T437" s="5" t="b">
        <f>IFERROR(__xludf.DUMMYFUNCTION("""COMPUTED_VALUE"""),TRUE)</f>
        <v>1</v>
      </c>
      <c r="U437" s="5" t="str">
        <f>IFERROR(__xludf.DUMMYFUNCTION("""COMPUTED_VALUE"""),"5x3")</f>
        <v>5x3</v>
      </c>
      <c r="V437" s="5">
        <f>IFERROR(__xludf.DUMMYFUNCTION("""COMPUTED_VALUE"""),10.0)</f>
        <v>10</v>
      </c>
      <c r="W437" s="5">
        <f>IFERROR(__xludf.DUMMYFUNCTION("""COMPUTED_VALUE"""),10.0)</f>
        <v>10</v>
      </c>
      <c r="X437" s="5">
        <f>IFERROR(__xludf.DUMMYFUNCTION("""COMPUTED_VALUE"""),96.0)</f>
        <v>96</v>
      </c>
      <c r="Y437" s="5" t="str">
        <f>IFERROR(__xludf.DUMMYFUNCTION("""COMPUTED_VALUE"""),"Low")</f>
        <v>Low</v>
      </c>
      <c r="Z437" s="5">
        <f>IFERROR(__xludf.DUMMYFUNCTION("""COMPUTED_VALUE"""),26.12)</f>
        <v>26.12</v>
      </c>
      <c r="AA437" s="5">
        <f>IFERROR(__xludf.DUMMYFUNCTION("""COMPUTED_VALUE"""),1100.0)</f>
        <v>1100</v>
      </c>
      <c r="AB437" s="5"/>
      <c r="AC437" s="5"/>
      <c r="AD437" s="5" t="str">
        <f>IFERROR(__xludf.DUMMYFUNCTION("""COMPUTED_VALUE"""),"0.1/100")</f>
        <v>0.1/100</v>
      </c>
      <c r="AE437" s="5"/>
      <c r="AF437" s="5"/>
      <c r="AG437" s="8">
        <f>IFERROR(__xludf.DUMMYFUNCTION("""COMPUTED_VALUE"""),46197.49644675926)</f>
        <v>46197.49645</v>
      </c>
      <c r="AH437" s="5" t="str">
        <f>IFERROR(__xludf.DUMMYFUNCTION("""COMPUTED_VALUE"""),"selena.mihajlovic@fazi.rs")</f>
        <v>selena.mihajlovic@fazi.rs</v>
      </c>
      <c r="AI437" s="13"/>
      <c r="AJ437" s="5"/>
      <c r="AK437" s="5">
        <f>IFERROR(__xludf.DUMMYFUNCTION("""COMPUTED_VALUE"""),10.0)</f>
        <v>10</v>
      </c>
      <c r="AL437" s="5" t="str">
        <f>IFERROR(__xludf.DUMMYFUNCTION("""COMPUTED_VALUE"""),"No")</f>
        <v>No</v>
      </c>
      <c r="AM437" s="5"/>
      <c r="AN437" s="7" t="str">
        <f>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AO437" s="5"/>
      <c r="AP437" s="5"/>
      <c r="AQ437" s="5" t="b">
        <f>IFERROR(__xludf.DUMMYFUNCTION("""COMPUTED_VALUE"""),TRUE)</f>
        <v>1</v>
      </c>
      <c r="AR437" s="5"/>
      <c r="AS437" s="5" t="str">
        <f>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AT437" s="5"/>
      <c r="AU437" s="5" t="str">
        <f>IFERROR(__xludf.DUMMYFUNCTION("""COMPUTED_VALUE"""),"Fazi")</f>
        <v>Fazi</v>
      </c>
      <c r="AV437" s="5"/>
      <c r="AW437" s="5"/>
      <c r="AX437" s="5"/>
      <c r="AY437" s="5"/>
      <c r="AZ437" s="5"/>
      <c r="BA437" s="5"/>
      <c r="BB437" s="5" t="b">
        <f>IFERROR(__xludf.DUMMYFUNCTION("""COMPUTED_VALUE"""),TRUE)</f>
        <v>1</v>
      </c>
      <c r="BC437" s="5" t="str">
        <f>IFERROR(__xludf.DUMMYFUNCTION("""COMPUTED_VALUE"""),"Tiptop")</f>
        <v>Tiptop</v>
      </c>
      <c r="BD437" s="7" t="str">
        <f>IFERROR(__xludf.DUMMYFUNCTION("""COMPUTED_VALUE"""),"https://gameserver-store-client-area.orbionlimited.com/Home/IntegrationGameLaunch/client-area?moneyType=0&amp;gameName=UnicornDynamiteRunPlatinum&amp;platform=desktop&amp;languageCode=eng&amp;currency=EUR")</f>
        <v>https://gameserver-store-client-area.orbionlimited.com/Home/IntegrationGameLaunch/client-area?moneyType=0&amp;gameName=UnicornDynamiteRunPlatinum&amp;platform=desktop&amp;languageCode=eng&amp;currency=EUR</v>
      </c>
      <c r="BE437" s="5" t="b">
        <f>IFERROR(__xludf.DUMMYFUNCTION("""COMPUTED_VALUE"""),TRUE)</f>
        <v>1</v>
      </c>
    </row>
    <row r="438">
      <c r="A438" s="5">
        <f>IFERROR(__xludf.DUMMYFUNCTION("""COMPUTED_VALUE"""),457.0)</f>
        <v>457</v>
      </c>
      <c r="B438" s="5">
        <f>IFERROR(__xludf.DUMMYFUNCTION("""COMPUTED_VALUE"""),399.0)</f>
        <v>399</v>
      </c>
      <c r="C438" s="5" t="str">
        <f>IFERROR(__xludf.DUMMYFUNCTION("""COMPUTED_VALUE"""),"Tiptop")</f>
        <v>Tiptop</v>
      </c>
      <c r="D438" s="5" t="str">
        <f>IFERROR(__xludf.DUMMYFUNCTION("""COMPUTED_VALUE"""),"Big Hit Sevens")</f>
        <v>Big Hit Sevens</v>
      </c>
      <c r="E438" s="5" t="str">
        <f>IFERROR(__xludf.DUMMYFUNCTION("""COMPUTED_VALUE"""),"V4-2")</f>
        <v>V4-2</v>
      </c>
      <c r="F438" s="5" t="str">
        <f>IFERROR(__xludf.DUMMYFUNCTION("""COMPUTED_VALUE"""),"UnicornBigHitSevens")</f>
        <v>UnicornBigHitSevens</v>
      </c>
      <c r="G438" s="5" t="str">
        <f>IFERROR(__xludf.DUMMYFUNCTION("""COMPUTED_VALUE"""),"Live")</f>
        <v>Live</v>
      </c>
      <c r="H438" s="5"/>
      <c r="I438" s="5"/>
      <c r="J438" s="5" t="str">
        <f>IFERROR(__xludf.DUMMYFUNCTION("""COMPUTED_VALUE"""),"JSON")</f>
        <v>JSON</v>
      </c>
      <c r="K438" s="5" t="str">
        <f>IFERROR(__xludf.DUMMYFUNCTION("""COMPUTED_VALUE"""),"Slot")</f>
        <v>Slot</v>
      </c>
      <c r="L438" s="5" t="str">
        <f>IFERROR(__xludf.DUMMYFUNCTION("""COMPUTED_VALUE"""),"Master")</f>
        <v>Master</v>
      </c>
      <c r="M438" s="5"/>
      <c r="N438" s="5"/>
      <c r="O438" s="5"/>
      <c r="P438" s="12">
        <f>IFERROR(__xludf.DUMMYFUNCTION("""COMPUTED_VALUE"""),10.1)</f>
        <v>10.1</v>
      </c>
      <c r="Q438" s="13">
        <f>IFERROR(__xludf.DUMMYFUNCTION("""COMPUTED_VALUE"""),45764.0)</f>
        <v>45764</v>
      </c>
      <c r="R438" s="13">
        <f>IFERROR(__xludf.DUMMYFUNCTION("""COMPUTED_VALUE"""),45757.0)</f>
        <v>45757</v>
      </c>
      <c r="S438" s="13">
        <f>IFERROR(__xludf.DUMMYFUNCTION("""COMPUTED_VALUE"""),45764.0)</f>
        <v>45764</v>
      </c>
      <c r="T438" s="5" t="b">
        <f>IFERROR(__xludf.DUMMYFUNCTION("""COMPUTED_VALUE"""),TRUE)</f>
        <v>1</v>
      </c>
      <c r="U438" s="5" t="str">
        <f>IFERROR(__xludf.DUMMYFUNCTION("""COMPUTED_VALUE"""),"5x3")</f>
        <v>5x3</v>
      </c>
      <c r="V438" s="5">
        <f>IFERROR(__xludf.DUMMYFUNCTION("""COMPUTED_VALUE"""),10.0)</f>
        <v>10</v>
      </c>
      <c r="W438" s="5">
        <f>IFERROR(__xludf.DUMMYFUNCTION("""COMPUTED_VALUE"""),10.0)</f>
        <v>10</v>
      </c>
      <c r="X438" s="5">
        <f>IFERROR(__xludf.DUMMYFUNCTION("""COMPUTED_VALUE"""),96.0)</f>
        <v>96</v>
      </c>
      <c r="Y438" s="5" t="str">
        <f>IFERROR(__xludf.DUMMYFUNCTION("""COMPUTED_VALUE"""),"Low")</f>
        <v>Low</v>
      </c>
      <c r="Z438" s="5">
        <f>IFERROR(__xludf.DUMMYFUNCTION("""COMPUTED_VALUE"""),10.84)</f>
        <v>10.84</v>
      </c>
      <c r="AA438" s="5">
        <f>IFERROR(__xludf.DUMMYFUNCTION("""COMPUTED_VALUE"""),1200.0)</f>
        <v>1200</v>
      </c>
      <c r="AB438" s="5"/>
      <c r="AC438" s="5"/>
      <c r="AD438" s="5" t="str">
        <f>IFERROR(__xludf.DUMMYFUNCTION("""COMPUTED_VALUE"""),"0.1/100")</f>
        <v>0.1/100</v>
      </c>
      <c r="AE438" s="5"/>
      <c r="AF438" s="5"/>
      <c r="AG438" s="8">
        <f>IFERROR(__xludf.DUMMYFUNCTION("""COMPUTED_VALUE"""),46197.49662037037)</f>
        <v>46197.49662</v>
      </c>
      <c r="AH438" s="5" t="str">
        <f>IFERROR(__xludf.DUMMYFUNCTION("""COMPUTED_VALUE"""),"selena.mihajlovic@fazi.rs")</f>
        <v>selena.mihajlovic@fazi.rs</v>
      </c>
      <c r="AI438" s="13"/>
      <c r="AJ438" s="5"/>
      <c r="AK438" s="5">
        <f>IFERROR(__xludf.DUMMYFUNCTION("""COMPUTED_VALUE"""),10.0)</f>
        <v>10</v>
      </c>
      <c r="AL438" s="5" t="str">
        <f>IFERROR(__xludf.DUMMYFUNCTION("""COMPUTED_VALUE"""),"No")</f>
        <v>No</v>
      </c>
      <c r="AM438" s="5"/>
      <c r="AN438" s="7" t="str">
        <f>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AO438" s="5"/>
      <c r="AP438" s="5"/>
      <c r="AQ438" s="5" t="b">
        <f>IFERROR(__xludf.DUMMYFUNCTION("""COMPUTED_VALUE"""),TRUE)</f>
        <v>1</v>
      </c>
      <c r="AR438" s="5"/>
      <c r="AS438"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38" s="5"/>
      <c r="AU438" s="5" t="str">
        <f>IFERROR(__xludf.DUMMYFUNCTION("""COMPUTED_VALUE"""),"Fazi")</f>
        <v>Fazi</v>
      </c>
      <c r="AV438" s="5"/>
      <c r="AW438" s="5"/>
      <c r="AX438" s="5"/>
      <c r="AY438" s="5"/>
      <c r="AZ438" s="5"/>
      <c r="BA438" s="5"/>
      <c r="BB438" s="5" t="b">
        <f>IFERROR(__xludf.DUMMYFUNCTION("""COMPUTED_VALUE"""),TRUE)</f>
        <v>1</v>
      </c>
      <c r="BC438" s="5" t="str">
        <f>IFERROR(__xludf.DUMMYFUNCTION("""COMPUTED_VALUE"""),"Tiptop")</f>
        <v>Tiptop</v>
      </c>
      <c r="BD438" s="7" t="str">
        <f>IFERROR(__xludf.DUMMYFUNCTION("""COMPUTED_VALUE"""),"https://gameserver-store-client-area.orbionlimited.com/Home/IntegrationGameLaunch/client-area?moneyType=0&amp;gameName=UnicornBigHitSevens&amp;platform=desktop&amp;languageCode=eng&amp;currency=EUR")</f>
        <v>https://gameserver-store-client-area.orbionlimited.com/Home/IntegrationGameLaunch/client-area?moneyType=0&amp;gameName=UnicornBigHitSevens&amp;platform=desktop&amp;languageCode=eng&amp;currency=EUR</v>
      </c>
      <c r="BE438" s="5" t="b">
        <f>IFERROR(__xludf.DUMMYFUNCTION("""COMPUTED_VALUE"""),TRUE)</f>
        <v>1</v>
      </c>
    </row>
    <row r="439">
      <c r="A439" s="5">
        <f>IFERROR(__xludf.DUMMYFUNCTION("""COMPUTED_VALUE"""),461.0)</f>
        <v>461</v>
      </c>
      <c r="B439" s="5">
        <f>IFERROR(__xludf.DUMMYFUNCTION("""COMPUTED_VALUE"""),999965.0)</f>
        <v>999965</v>
      </c>
      <c r="C439" s="5" t="str">
        <f>IFERROR(__xludf.DUMMYFUNCTION("""COMPUTED_VALUE"""),"Fazi")</f>
        <v>Fazi</v>
      </c>
      <c r="D439" s="5" t="str">
        <f>IFERROR(__xludf.DUMMYFUNCTION("""COMPUTED_VALUE"""),"Placeholder 1")</f>
        <v>Placeholder 1</v>
      </c>
      <c r="E439" s="5"/>
      <c r="F439" s="5" t="str">
        <f>IFERROR(__xludf.DUMMYFUNCTION("""COMPUTED_VALUE"""),"Placeholder 1")</f>
        <v>Placeholder 1</v>
      </c>
      <c r="G439" s="5" t="str">
        <f>IFERROR(__xludf.DUMMYFUNCTION("""COMPUTED_VALUE"""),"Retired")</f>
        <v>Retired</v>
      </c>
      <c r="H439" s="5"/>
      <c r="I439" s="5"/>
      <c r="J439" s="5"/>
      <c r="K439" s="5"/>
      <c r="L439" s="5"/>
      <c r="M439" s="5"/>
      <c r="N439" s="5"/>
      <c r="O439" s="5"/>
      <c r="P439" s="12"/>
      <c r="Q439" s="13">
        <f>IFERROR(__xludf.DUMMYFUNCTION("""COMPUTED_VALUE"""),43831.0)</f>
        <v>43831</v>
      </c>
      <c r="R439" s="13"/>
      <c r="S439" s="13">
        <f>IFERROR(__xludf.DUMMYFUNCTION("""COMPUTED_VALUE"""),43831.0)</f>
        <v>43831</v>
      </c>
      <c r="T439" s="5" t="b">
        <f>IFERROR(__xludf.DUMMYFUNCTION("""COMPUTED_VALUE"""),FALSE)</f>
        <v>0</v>
      </c>
      <c r="U439" s="5"/>
      <c r="V439" s="5"/>
      <c r="W439" s="5"/>
      <c r="X439" s="5"/>
      <c r="Y439" s="5"/>
      <c r="Z439" s="5"/>
      <c r="AA439" s="5"/>
      <c r="AB439" s="5"/>
      <c r="AC439" s="5"/>
      <c r="AD439" s="5"/>
      <c r="AE439" s="5"/>
      <c r="AF439" s="5"/>
      <c r="AG439" s="8">
        <f>IFERROR(__xludf.DUMMYFUNCTION("""COMPUTED_VALUE"""),45789.49087962963)</f>
        <v>45789.49088</v>
      </c>
      <c r="AH439" s="5" t="str">
        <f>IFERROR(__xludf.DUMMYFUNCTION("""COMPUTED_VALUE"""),"iva.cirkovic@fazi.rs")</f>
        <v>iva.cirkovic@fazi.rs</v>
      </c>
      <c r="AI439" s="13"/>
      <c r="AJ439" s="5"/>
      <c r="AK439" s="5"/>
      <c r="AL439" s="5"/>
      <c r="AM439" s="5"/>
      <c r="AN439" s="5"/>
      <c r="AO439" s="5"/>
      <c r="AP439" s="5"/>
      <c r="AQ439" s="5"/>
      <c r="AR439" s="5"/>
      <c r="AS439" s="5"/>
      <c r="AT439" s="5"/>
      <c r="AU439" s="5" t="str">
        <f>IFERROR(__xludf.DUMMYFUNCTION("""COMPUTED_VALUE"""),"Fazi")</f>
        <v>Fazi</v>
      </c>
      <c r="AV439" s="5"/>
      <c r="AW439" s="5"/>
      <c r="AX439" s="5"/>
      <c r="AY439" s="5"/>
      <c r="AZ439" s="5"/>
      <c r="BA439" s="5" t="str">
        <f>IFERROR(__xludf.DUMMYFUNCTION("""COMPUTED_VALUE"""),"")</f>
        <v/>
      </c>
      <c r="BB439" s="5"/>
      <c r="BC439" s="5" t="str">
        <f>IFERROR(__xludf.DUMMYFUNCTION("""COMPUTED_VALUE"""),"Foxi")</f>
        <v>Foxi</v>
      </c>
      <c r="BD439" s="5" t="str">
        <f>IFERROR(__xludf.DUMMYFUNCTION("""COMPUTED_VALUE"""),"")</f>
        <v/>
      </c>
      <c r="BE439" s="5"/>
    </row>
    <row r="440">
      <c r="A440" s="5">
        <f>IFERROR(__xludf.DUMMYFUNCTION("""COMPUTED_VALUE"""),462.0)</f>
        <v>462</v>
      </c>
      <c r="B440" s="5">
        <f>IFERROR(__xludf.DUMMYFUNCTION("""COMPUTED_VALUE"""),999964.0)</f>
        <v>999964</v>
      </c>
      <c r="C440" s="5" t="str">
        <f>IFERROR(__xludf.DUMMYFUNCTION("""COMPUTED_VALUE"""),"Fazi")</f>
        <v>Fazi</v>
      </c>
      <c r="D440" s="5" t="str">
        <f>IFERROR(__xludf.DUMMYFUNCTION("""COMPUTED_VALUE"""),"Placeholder 2")</f>
        <v>Placeholder 2</v>
      </c>
      <c r="E440" s="5"/>
      <c r="F440" s="5" t="str">
        <f>IFERROR(__xludf.DUMMYFUNCTION("""COMPUTED_VALUE"""),"Placeholder 2")</f>
        <v>Placeholder 2</v>
      </c>
      <c r="G440" s="5" t="str">
        <f>IFERROR(__xludf.DUMMYFUNCTION("""COMPUTED_VALUE"""),"Retired")</f>
        <v>Retired</v>
      </c>
      <c r="H440" s="5"/>
      <c r="I440" s="5"/>
      <c r="J440" s="5"/>
      <c r="K440" s="5"/>
      <c r="L440" s="5"/>
      <c r="M440" s="5"/>
      <c r="N440" s="5"/>
      <c r="O440" s="5"/>
      <c r="P440" s="12"/>
      <c r="Q440" s="13">
        <f>IFERROR(__xludf.DUMMYFUNCTION("""COMPUTED_VALUE"""),43831.0)</f>
        <v>43831</v>
      </c>
      <c r="R440" s="13"/>
      <c r="S440" s="13">
        <f>IFERROR(__xludf.DUMMYFUNCTION("""COMPUTED_VALUE"""),43831.0)</f>
        <v>43831</v>
      </c>
      <c r="T440" s="5" t="b">
        <f>IFERROR(__xludf.DUMMYFUNCTION("""COMPUTED_VALUE"""),FALSE)</f>
        <v>0</v>
      </c>
      <c r="U440" s="5"/>
      <c r="V440" s="5"/>
      <c r="W440" s="5"/>
      <c r="X440" s="5"/>
      <c r="Y440" s="5"/>
      <c r="Z440" s="5"/>
      <c r="AA440" s="5"/>
      <c r="AB440" s="5"/>
      <c r="AC440" s="5"/>
      <c r="AD440" s="5"/>
      <c r="AE440" s="5"/>
      <c r="AF440" s="5"/>
      <c r="AG440" s="8">
        <f>IFERROR(__xludf.DUMMYFUNCTION("""COMPUTED_VALUE"""),45789.49113425926)</f>
        <v>45789.49113</v>
      </c>
      <c r="AH440" s="5" t="str">
        <f>IFERROR(__xludf.DUMMYFUNCTION("""COMPUTED_VALUE"""),"iva.cirkovic@fazi.rs")</f>
        <v>iva.cirkovic@fazi.rs</v>
      </c>
      <c r="AI440" s="13"/>
      <c r="AJ440" s="5"/>
      <c r="AK440" s="5"/>
      <c r="AL440" s="5"/>
      <c r="AM440" s="5"/>
      <c r="AN440" s="5"/>
      <c r="AO440" s="5"/>
      <c r="AP440" s="5"/>
      <c r="AQ440" s="5"/>
      <c r="AR440" s="5"/>
      <c r="AS440" s="5"/>
      <c r="AT440" s="5"/>
      <c r="AU440" s="5" t="str">
        <f>IFERROR(__xludf.DUMMYFUNCTION("""COMPUTED_VALUE"""),"Fazi")</f>
        <v>Fazi</v>
      </c>
      <c r="AV440" s="5"/>
      <c r="AW440" s="5"/>
      <c r="AX440" s="5"/>
      <c r="AY440" s="5"/>
      <c r="AZ440" s="5"/>
      <c r="BA440" s="5" t="str">
        <f>IFERROR(__xludf.DUMMYFUNCTION("""COMPUTED_VALUE"""),"")</f>
        <v/>
      </c>
      <c r="BB440" s="5"/>
      <c r="BC440" s="5" t="str">
        <f>IFERROR(__xludf.DUMMYFUNCTION("""COMPUTED_VALUE"""),"Foxi")</f>
        <v>Foxi</v>
      </c>
      <c r="BD440" s="5" t="str">
        <f>IFERROR(__xludf.DUMMYFUNCTION("""COMPUTED_VALUE"""),"")</f>
        <v/>
      </c>
      <c r="BE440" s="5"/>
    </row>
    <row r="441">
      <c r="A441" s="5">
        <f>IFERROR(__xludf.DUMMYFUNCTION("""COMPUTED_VALUE"""),463.0)</f>
        <v>463</v>
      </c>
      <c r="B441" s="5">
        <f>IFERROR(__xludf.DUMMYFUNCTION("""COMPUTED_VALUE"""),999963.0)</f>
        <v>999963</v>
      </c>
      <c r="C441" s="5" t="str">
        <f>IFERROR(__xludf.DUMMYFUNCTION("""COMPUTED_VALUE"""),"Fazi")</f>
        <v>Fazi</v>
      </c>
      <c r="D441" s="5" t="str">
        <f>IFERROR(__xludf.DUMMYFUNCTION("""COMPUTED_VALUE"""),"Placeholder 3")</f>
        <v>Placeholder 3</v>
      </c>
      <c r="E441" s="5"/>
      <c r="F441" s="5" t="str">
        <f>IFERROR(__xludf.DUMMYFUNCTION("""COMPUTED_VALUE"""),"Placeholder 3")</f>
        <v>Placeholder 3</v>
      </c>
      <c r="G441" s="5" t="str">
        <f>IFERROR(__xludf.DUMMYFUNCTION("""COMPUTED_VALUE"""),"Retired")</f>
        <v>Retired</v>
      </c>
      <c r="H441" s="5"/>
      <c r="I441" s="5"/>
      <c r="J441" s="5"/>
      <c r="K441" s="5"/>
      <c r="L441" s="5"/>
      <c r="M441" s="5"/>
      <c r="N441" s="5"/>
      <c r="O441" s="5"/>
      <c r="P441" s="12"/>
      <c r="Q441" s="13">
        <f>IFERROR(__xludf.DUMMYFUNCTION("""COMPUTED_VALUE"""),43831.0)</f>
        <v>43831</v>
      </c>
      <c r="R441" s="13"/>
      <c r="S441" s="13">
        <f>IFERROR(__xludf.DUMMYFUNCTION("""COMPUTED_VALUE"""),43831.0)</f>
        <v>43831</v>
      </c>
      <c r="T441" s="5" t="b">
        <f>IFERROR(__xludf.DUMMYFUNCTION("""COMPUTED_VALUE"""),FALSE)</f>
        <v>0</v>
      </c>
      <c r="U441" s="5"/>
      <c r="V441" s="5"/>
      <c r="W441" s="5"/>
      <c r="X441" s="5"/>
      <c r="Y441" s="5"/>
      <c r="Z441" s="5"/>
      <c r="AA441" s="5"/>
      <c r="AB441" s="5"/>
      <c r="AC441" s="5"/>
      <c r="AD441" s="5"/>
      <c r="AE441" s="5"/>
      <c r="AF441" s="5"/>
      <c r="AG441" s="8">
        <f>IFERROR(__xludf.DUMMYFUNCTION("""COMPUTED_VALUE"""),45789.49130787037)</f>
        <v>45789.49131</v>
      </c>
      <c r="AH441" s="5" t="str">
        <f>IFERROR(__xludf.DUMMYFUNCTION("""COMPUTED_VALUE"""),"iva.cirkovic@fazi.rs")</f>
        <v>iva.cirkovic@fazi.rs</v>
      </c>
      <c r="AI441" s="13"/>
      <c r="AJ441" s="5"/>
      <c r="AK441" s="5"/>
      <c r="AL441" s="5"/>
      <c r="AM441" s="5"/>
      <c r="AN441" s="5"/>
      <c r="AO441" s="5"/>
      <c r="AP441" s="5"/>
      <c r="AQ441" s="5"/>
      <c r="AR441" s="5"/>
      <c r="AS441" s="5"/>
      <c r="AT441" s="5"/>
      <c r="AU441" s="5" t="str">
        <f>IFERROR(__xludf.DUMMYFUNCTION("""COMPUTED_VALUE"""),"Fazi")</f>
        <v>Fazi</v>
      </c>
      <c r="AV441" s="5"/>
      <c r="AW441" s="5"/>
      <c r="AX441" s="5"/>
      <c r="AY441" s="5"/>
      <c r="AZ441" s="5"/>
      <c r="BA441" s="5" t="str">
        <f>IFERROR(__xludf.DUMMYFUNCTION("""COMPUTED_VALUE"""),"")</f>
        <v/>
      </c>
      <c r="BB441" s="5"/>
      <c r="BC441" s="5" t="str">
        <f>IFERROR(__xludf.DUMMYFUNCTION("""COMPUTED_VALUE"""),"Foxi")</f>
        <v>Foxi</v>
      </c>
      <c r="BD441" s="5" t="str">
        <f>IFERROR(__xludf.DUMMYFUNCTION("""COMPUTED_VALUE"""),"")</f>
        <v/>
      </c>
      <c r="BE441" s="5"/>
    </row>
    <row r="442">
      <c r="A442" s="5">
        <f>IFERROR(__xludf.DUMMYFUNCTION("""COMPUTED_VALUE"""),464.0)</f>
        <v>464</v>
      </c>
      <c r="B442" s="5">
        <f>IFERROR(__xludf.DUMMYFUNCTION("""COMPUTED_VALUE"""),999962.0)</f>
        <v>999962</v>
      </c>
      <c r="C442" s="5" t="str">
        <f>IFERROR(__xludf.DUMMYFUNCTION("""COMPUTED_VALUE"""),"Fazi")</f>
        <v>Fazi</v>
      </c>
      <c r="D442" s="5" t="str">
        <f>IFERROR(__xludf.DUMMYFUNCTION("""COMPUTED_VALUE"""),"Placeholder 4")</f>
        <v>Placeholder 4</v>
      </c>
      <c r="E442" s="5"/>
      <c r="F442" s="5" t="str">
        <f>IFERROR(__xludf.DUMMYFUNCTION("""COMPUTED_VALUE"""),"Placeholder 4")</f>
        <v>Placeholder 4</v>
      </c>
      <c r="G442" s="5" t="str">
        <f>IFERROR(__xludf.DUMMYFUNCTION("""COMPUTED_VALUE"""),"Retired")</f>
        <v>Retired</v>
      </c>
      <c r="H442" s="5"/>
      <c r="I442" s="5"/>
      <c r="J442" s="5"/>
      <c r="K442" s="5"/>
      <c r="L442" s="5"/>
      <c r="M442" s="5"/>
      <c r="N442" s="5"/>
      <c r="O442" s="5"/>
      <c r="P442" s="12"/>
      <c r="Q442" s="13">
        <f>IFERROR(__xludf.DUMMYFUNCTION("""COMPUTED_VALUE"""),43831.0)</f>
        <v>43831</v>
      </c>
      <c r="R442" s="13"/>
      <c r="S442" s="13">
        <f>IFERROR(__xludf.DUMMYFUNCTION("""COMPUTED_VALUE"""),43831.0)</f>
        <v>43831</v>
      </c>
      <c r="T442" s="5" t="b">
        <f>IFERROR(__xludf.DUMMYFUNCTION("""COMPUTED_VALUE"""),FALSE)</f>
        <v>0</v>
      </c>
      <c r="U442" s="5"/>
      <c r="V442" s="5"/>
      <c r="W442" s="5"/>
      <c r="X442" s="5"/>
      <c r="Y442" s="5"/>
      <c r="Z442" s="5"/>
      <c r="AA442" s="5"/>
      <c r="AB442" s="5"/>
      <c r="AC442" s="5"/>
      <c r="AD442" s="5"/>
      <c r="AE442" s="5"/>
      <c r="AF442" s="5"/>
      <c r="AG442" s="8">
        <f>IFERROR(__xludf.DUMMYFUNCTION("""COMPUTED_VALUE"""),45789.49145833333)</f>
        <v>45789.49146</v>
      </c>
      <c r="AH442" s="5" t="str">
        <f>IFERROR(__xludf.DUMMYFUNCTION("""COMPUTED_VALUE"""),"iva.cirkovic@fazi.rs")</f>
        <v>iva.cirkovic@fazi.rs</v>
      </c>
      <c r="AI442" s="13"/>
      <c r="AJ442" s="5"/>
      <c r="AK442" s="5"/>
      <c r="AL442" s="5"/>
      <c r="AM442" s="5"/>
      <c r="AN442" s="5"/>
      <c r="AO442" s="5"/>
      <c r="AP442" s="5"/>
      <c r="AQ442" s="5"/>
      <c r="AR442" s="5"/>
      <c r="AS442" s="5"/>
      <c r="AT442" s="5"/>
      <c r="AU442" s="5"/>
      <c r="AV442" s="5"/>
      <c r="AW442" s="5"/>
      <c r="AX442" s="5"/>
      <c r="AY442" s="5"/>
      <c r="AZ442" s="5"/>
      <c r="BA442" s="5" t="str">
        <f>IFERROR(__xludf.DUMMYFUNCTION("""COMPUTED_VALUE"""),"")</f>
        <v/>
      </c>
      <c r="BB442" s="5"/>
      <c r="BC442" s="5" t="str">
        <f>IFERROR(__xludf.DUMMYFUNCTION("""COMPUTED_VALUE"""),"Foxi")</f>
        <v>Foxi</v>
      </c>
      <c r="BD442" s="5" t="str">
        <f>IFERROR(__xludf.DUMMYFUNCTION("""COMPUTED_VALUE"""),"")</f>
        <v/>
      </c>
      <c r="BE442" s="5"/>
    </row>
    <row r="443">
      <c r="A443" s="5">
        <f>IFERROR(__xludf.DUMMYFUNCTION("""COMPUTED_VALUE"""),466.0)</f>
        <v>466</v>
      </c>
      <c r="B443" s="5">
        <f>IFERROR(__xludf.DUMMYFUNCTION("""COMPUTED_VALUE"""),387.0)</f>
        <v>387</v>
      </c>
      <c r="C443" s="5" t="str">
        <f>IFERROR(__xludf.DUMMYFUNCTION("""COMPUTED_VALUE"""),"Tiptop")</f>
        <v>Tiptop</v>
      </c>
      <c r="D443" s="5" t="str">
        <f>IFERROR(__xludf.DUMMYFUNCTION("""COMPUTED_VALUE"""),"Supreme Sevens")</f>
        <v>Supreme Sevens</v>
      </c>
      <c r="E443" s="5" t="str">
        <f>IFERROR(__xludf.DUMMYFUNCTION("""COMPUTED_VALUE"""),"V4-2")</f>
        <v>V4-2</v>
      </c>
      <c r="F443" s="5" t="str">
        <f>IFERROR(__xludf.DUMMYFUNCTION("""COMPUTED_VALUE"""),"UnicornSupremeSevens")</f>
        <v>UnicornSupremeSevens</v>
      </c>
      <c r="G443" s="5" t="str">
        <f>IFERROR(__xludf.DUMMYFUNCTION("""COMPUTED_VALUE"""),"Live")</f>
        <v>Live</v>
      </c>
      <c r="H443" s="5"/>
      <c r="I443" s="5"/>
      <c r="J443" s="5" t="str">
        <f>IFERROR(__xludf.DUMMYFUNCTION("""COMPUTED_VALUE"""),"JSON")</f>
        <v>JSON</v>
      </c>
      <c r="K443" s="5" t="str">
        <f>IFERROR(__xludf.DUMMYFUNCTION("""COMPUTED_VALUE"""),"Slot")</f>
        <v>Slot</v>
      </c>
      <c r="L443" s="5" t="str">
        <f>IFERROR(__xludf.DUMMYFUNCTION("""COMPUTED_VALUE""")," Clone")</f>
        <v> Clone</v>
      </c>
      <c r="M443" s="5" t="str">
        <f>IFERROR(__xludf.DUMMYFUNCTION("""COMPUTED_VALUE"""),"Fruit Island")</f>
        <v>Fruit Island</v>
      </c>
      <c r="N443" s="5"/>
      <c r="O443" s="5"/>
      <c r="P443" s="12">
        <f>IFERROR(__xludf.DUMMYFUNCTION("""COMPUTED_VALUE"""),10.1)</f>
        <v>10.1</v>
      </c>
      <c r="Q443" s="13">
        <f>IFERROR(__xludf.DUMMYFUNCTION("""COMPUTED_VALUE"""),45749.0)</f>
        <v>45749</v>
      </c>
      <c r="R443" s="13">
        <f>IFERROR(__xludf.DUMMYFUNCTION("""COMPUTED_VALUE"""),45742.0)</f>
        <v>45742</v>
      </c>
      <c r="S443" s="13">
        <f>IFERROR(__xludf.DUMMYFUNCTION("""COMPUTED_VALUE"""),45749.0)</f>
        <v>45749</v>
      </c>
      <c r="T443" s="5" t="b">
        <f>IFERROR(__xludf.DUMMYFUNCTION("""COMPUTED_VALUE"""),TRUE)</f>
        <v>1</v>
      </c>
      <c r="U443" s="5" t="str">
        <f>IFERROR(__xludf.DUMMYFUNCTION("""COMPUTED_VALUE"""),"5x3")</f>
        <v>5x3</v>
      </c>
      <c r="V443" s="5">
        <f>IFERROR(__xludf.DUMMYFUNCTION("""COMPUTED_VALUE"""),5.0)</f>
        <v>5</v>
      </c>
      <c r="W443" s="5">
        <f>IFERROR(__xludf.DUMMYFUNCTION("""COMPUTED_VALUE"""),5.0)</f>
        <v>5</v>
      </c>
      <c r="X443" s="5">
        <f>IFERROR(__xludf.DUMMYFUNCTION("""COMPUTED_VALUE"""),96.0)</f>
        <v>96</v>
      </c>
      <c r="Y443" s="5" t="str">
        <f>IFERROR(__xludf.DUMMYFUNCTION("""COMPUTED_VALUE"""),"Low")</f>
        <v>Low</v>
      </c>
      <c r="Z443" s="5">
        <f>IFERROR(__xludf.DUMMYFUNCTION("""COMPUTED_VALUE"""),10.5)</f>
        <v>10.5</v>
      </c>
      <c r="AA443" s="5">
        <f>IFERROR(__xludf.DUMMYFUNCTION("""COMPUTED_VALUE"""),1000.0)</f>
        <v>1000</v>
      </c>
      <c r="AB443" s="5"/>
      <c r="AC443" s="5"/>
      <c r="AD443" s="5" t="str">
        <f>IFERROR(__xludf.DUMMYFUNCTION("""COMPUTED_VALUE"""),"0.05/100")</f>
        <v>0.05/100</v>
      </c>
      <c r="AE443" s="5"/>
      <c r="AF443" s="5"/>
      <c r="AG443" s="8">
        <f>IFERROR(__xludf.DUMMYFUNCTION("""COMPUTED_VALUE"""),46197.49681712963)</f>
        <v>46197.49682</v>
      </c>
      <c r="AH443" s="5" t="str">
        <f>IFERROR(__xludf.DUMMYFUNCTION("""COMPUTED_VALUE"""),"selena.mihajlovic@fazi.rs")</f>
        <v>selena.mihajlovic@fazi.rs</v>
      </c>
      <c r="AI443" s="13"/>
      <c r="AJ443" s="5"/>
      <c r="AK443" s="5">
        <f>IFERROR(__xludf.DUMMYFUNCTION("""COMPUTED_VALUE"""),5.0)</f>
        <v>5</v>
      </c>
      <c r="AL443" s="5" t="str">
        <f>IFERROR(__xludf.DUMMYFUNCTION("""COMPUTED_VALUE"""),"No")</f>
        <v>No</v>
      </c>
      <c r="AM443" s="5"/>
      <c r="AN443" s="7" t="str">
        <f>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AO443" s="5"/>
      <c r="AP443" s="5"/>
      <c r="AQ443" s="5" t="b">
        <f>IFERROR(__xludf.DUMMYFUNCTION("""COMPUTED_VALUE"""),TRUE)</f>
        <v>1</v>
      </c>
      <c r="AR443" s="5"/>
      <c r="AS443"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43" s="5"/>
      <c r="AU443" s="5" t="str">
        <f>IFERROR(__xludf.DUMMYFUNCTION("""COMPUTED_VALUE"""),"Fazi")</f>
        <v>Fazi</v>
      </c>
      <c r="AV443" s="5"/>
      <c r="AW443" s="5"/>
      <c r="AX443" s="5"/>
      <c r="AY443" s="5"/>
      <c r="AZ443" s="5"/>
      <c r="BA443" s="5"/>
      <c r="BB443" s="5" t="b">
        <f>IFERROR(__xludf.DUMMYFUNCTION("""COMPUTED_VALUE"""),TRUE)</f>
        <v>1</v>
      </c>
      <c r="BC443" s="5" t="str">
        <f>IFERROR(__xludf.DUMMYFUNCTION("""COMPUTED_VALUE"""),"Tiptop")</f>
        <v>Tiptop</v>
      </c>
      <c r="BD443" s="7" t="str">
        <f>IFERROR(__xludf.DUMMYFUNCTION("""COMPUTED_VALUE"""),"https://gameserver-store-client-area.orbionlimited.com/Home/IntegrationGameLaunch/client-area?moneyType=0&amp;gameName=UnicornSupremeSevens&amp;platform=desktop&amp;languageCode=eng&amp;currency=EUR")</f>
        <v>https://gameserver-store-client-area.orbionlimited.com/Home/IntegrationGameLaunch/client-area?moneyType=0&amp;gameName=UnicornSupremeSevens&amp;platform=desktop&amp;languageCode=eng&amp;currency=EUR</v>
      </c>
      <c r="BE443" s="5" t="b">
        <f>IFERROR(__xludf.DUMMYFUNCTION("""COMPUTED_VALUE"""),TRUE)</f>
        <v>1</v>
      </c>
    </row>
    <row r="444">
      <c r="A444" s="5">
        <f>IFERROR(__xludf.DUMMYFUNCTION("""COMPUTED_VALUE"""),467.0)</f>
        <v>467</v>
      </c>
      <c r="B444" s="5">
        <f>IFERROR(__xludf.DUMMYFUNCTION("""COMPUTED_VALUE"""),388.0)</f>
        <v>388</v>
      </c>
      <c r="C444" s="5" t="str">
        <f>IFERROR(__xludf.DUMMYFUNCTION("""COMPUTED_VALUE"""),"Tiptop")</f>
        <v>Tiptop</v>
      </c>
      <c r="D444" s="5" t="str">
        <f>IFERROR(__xludf.DUMMYFUNCTION("""COMPUTED_VALUE"""),"Triple Stacked Diamonds")</f>
        <v>Triple Stacked Diamonds</v>
      </c>
      <c r="E444" s="5" t="str">
        <f>IFERROR(__xludf.DUMMYFUNCTION("""COMPUTED_VALUE"""),"V4-2")</f>
        <v>V4-2</v>
      </c>
      <c r="F444" s="5" t="str">
        <f>IFERROR(__xludf.DUMMYFUNCTION("""COMPUTED_VALUE"""),"UnicornTripleStackedDiamonds")</f>
        <v>UnicornTripleStackedDiamonds</v>
      </c>
      <c r="G444" s="5" t="str">
        <f>IFERROR(__xludf.DUMMYFUNCTION("""COMPUTED_VALUE"""),"Live")</f>
        <v>Live</v>
      </c>
      <c r="H444" s="5"/>
      <c r="I444" s="5"/>
      <c r="J444" s="5" t="str">
        <f>IFERROR(__xludf.DUMMYFUNCTION("""COMPUTED_VALUE"""),"JSON")</f>
        <v>JSON</v>
      </c>
      <c r="K444" s="5" t="str">
        <f>IFERROR(__xludf.DUMMYFUNCTION("""COMPUTED_VALUE"""),"Slot")</f>
        <v>Slot</v>
      </c>
      <c r="L444" s="5" t="str">
        <f>IFERROR(__xludf.DUMMYFUNCTION("""COMPUTED_VALUE""")," Clone")</f>
        <v> Clone</v>
      </c>
      <c r="M444" s="5" t="str">
        <f>IFERROR(__xludf.DUMMYFUNCTION("""COMPUTED_VALUE"""),"BuffaloSevens")</f>
        <v>BuffaloSevens</v>
      </c>
      <c r="N444" s="5"/>
      <c r="O444" s="5"/>
      <c r="P444" s="12">
        <f>IFERROR(__xludf.DUMMYFUNCTION("""COMPUTED_VALUE"""),10.7)</f>
        <v>10.7</v>
      </c>
      <c r="Q444" s="13">
        <f>IFERROR(__xludf.DUMMYFUNCTION("""COMPUTED_VALUE"""),45755.0)</f>
        <v>45755</v>
      </c>
      <c r="R444" s="13">
        <f>IFERROR(__xludf.DUMMYFUNCTION("""COMPUTED_VALUE"""),45748.0)</f>
        <v>45748</v>
      </c>
      <c r="S444" s="13">
        <f>IFERROR(__xludf.DUMMYFUNCTION("""COMPUTED_VALUE"""),45755.0)</f>
        <v>45755</v>
      </c>
      <c r="T444" s="5" t="b">
        <f>IFERROR(__xludf.DUMMYFUNCTION("""COMPUTED_VALUE"""),TRUE)</f>
        <v>1</v>
      </c>
      <c r="U444" s="5" t="str">
        <f>IFERROR(__xludf.DUMMYFUNCTION("""COMPUTED_VALUE"""),"5x3")</f>
        <v>5x3</v>
      </c>
      <c r="V444" s="5">
        <f>IFERROR(__xludf.DUMMYFUNCTION("""COMPUTED_VALUE"""),10.0)</f>
        <v>10</v>
      </c>
      <c r="W444" s="5">
        <f>IFERROR(__xludf.DUMMYFUNCTION("""COMPUTED_VALUE"""),10.0)</f>
        <v>10</v>
      </c>
      <c r="X444" s="5">
        <f>IFERROR(__xludf.DUMMYFUNCTION("""COMPUTED_VALUE"""),96.0)</f>
        <v>96</v>
      </c>
      <c r="Y444" s="5" t="str">
        <f>IFERROR(__xludf.DUMMYFUNCTION("""COMPUTED_VALUE"""),"Low")</f>
        <v>Low</v>
      </c>
      <c r="Z444" s="5">
        <f>IFERROR(__xludf.DUMMYFUNCTION("""COMPUTED_VALUE"""),9.08)</f>
        <v>9.08</v>
      </c>
      <c r="AA444" s="5">
        <f>IFERROR(__xludf.DUMMYFUNCTION("""COMPUTED_VALUE"""),5000.0)</f>
        <v>5000</v>
      </c>
      <c r="AB444" s="5"/>
      <c r="AC444" s="5"/>
      <c r="AD444" s="5" t="str">
        <f>IFERROR(__xludf.DUMMYFUNCTION("""COMPUTED_VALUE"""),"0.1/100")</f>
        <v>0.1/100</v>
      </c>
      <c r="AE444" s="5"/>
      <c r="AF444" s="5"/>
      <c r="AG444" s="8">
        <f>IFERROR(__xludf.DUMMYFUNCTION("""COMPUTED_VALUE"""),46197.49712962963)</f>
        <v>46197.49713</v>
      </c>
      <c r="AH444" s="5" t="str">
        <f>IFERROR(__xludf.DUMMYFUNCTION("""COMPUTED_VALUE"""),"selena.mihajlovic@fazi.rs")</f>
        <v>selena.mihajlovic@fazi.rs</v>
      </c>
      <c r="AI444" s="13"/>
      <c r="AJ444" s="5"/>
      <c r="AK444" s="5">
        <f>IFERROR(__xludf.DUMMYFUNCTION("""COMPUTED_VALUE"""),10.0)</f>
        <v>10</v>
      </c>
      <c r="AL444" s="5" t="str">
        <f>IFERROR(__xludf.DUMMYFUNCTION("""COMPUTED_VALUE"""),"No")</f>
        <v>No</v>
      </c>
      <c r="AM444" s="5"/>
      <c r="AN444" s="7" t="str">
        <f>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AO444" s="5"/>
      <c r="AP444" s="5"/>
      <c r="AQ444" s="5" t="b">
        <f>IFERROR(__xludf.DUMMYFUNCTION("""COMPUTED_VALUE"""),TRUE)</f>
        <v>1</v>
      </c>
      <c r="AR444" s="5"/>
      <c r="AS444" s="5" t="str">
        <f>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AT444" s="5"/>
      <c r="AU444" s="5" t="str">
        <f>IFERROR(__xludf.DUMMYFUNCTION("""COMPUTED_VALUE"""),"Fazi")</f>
        <v>Fazi</v>
      </c>
      <c r="AV444" s="5"/>
      <c r="AW444" s="5"/>
      <c r="AX444" s="5"/>
      <c r="AY444" s="5"/>
      <c r="AZ444" s="5"/>
      <c r="BA444" s="5"/>
      <c r="BB444" s="5" t="b">
        <f>IFERROR(__xludf.DUMMYFUNCTION("""COMPUTED_VALUE"""),TRUE)</f>
        <v>1</v>
      </c>
      <c r="BC444" s="5" t="str">
        <f>IFERROR(__xludf.DUMMYFUNCTION("""COMPUTED_VALUE"""),"Tiptop")</f>
        <v>Tiptop</v>
      </c>
      <c r="BD444" s="7" t="str">
        <f>IFERROR(__xludf.DUMMYFUNCTION("""COMPUTED_VALUE"""),"https://gameserver-store-client-area.orbionlimited.com/Home/IntegrationGameLaunch/client-area?moneyType=0&amp;gameName=UnicornTripleStackedDiamonds&amp;platform=desktop&amp;languageCode=eng&amp;currency=EUR")</f>
        <v>https://gameserver-store-client-area.orbionlimited.com/Home/IntegrationGameLaunch/client-area?moneyType=0&amp;gameName=UnicornTripleStackedDiamonds&amp;platform=desktop&amp;languageCode=eng&amp;currency=EUR</v>
      </c>
      <c r="BE444" s="5" t="b">
        <f>IFERROR(__xludf.DUMMYFUNCTION("""COMPUTED_VALUE"""),TRUE)</f>
        <v>1</v>
      </c>
    </row>
    <row r="445">
      <c r="A445" s="5">
        <f>IFERROR(__xludf.DUMMYFUNCTION("""COMPUTED_VALUE"""),468.0)</f>
        <v>468</v>
      </c>
      <c r="B445" s="5">
        <f>IFERROR(__xludf.DUMMYFUNCTION("""COMPUTED_VALUE"""),403.0)</f>
        <v>403</v>
      </c>
      <c r="C445" s="5" t="str">
        <f>IFERROR(__xludf.DUMMYFUNCTION("""COMPUTED_VALUE"""),"Tiptop")</f>
        <v>Tiptop</v>
      </c>
      <c r="D445" s="5" t="str">
        <f>IFERROR(__xludf.DUMMYFUNCTION("""COMPUTED_VALUE"""),"Dynamite Boom")</f>
        <v>Dynamite Boom</v>
      </c>
      <c r="E445" s="5" t="str">
        <f>IFERROR(__xludf.DUMMYFUNCTION("""COMPUTED_VALUE"""),"V4-2")</f>
        <v>V4-2</v>
      </c>
      <c r="F445" s="5" t="str">
        <f>IFERROR(__xludf.DUMMYFUNCTION("""COMPUTED_VALUE"""),"UnicornDynamiteBoom")</f>
        <v>UnicornDynamiteBoom</v>
      </c>
      <c r="G445" s="5" t="str">
        <f>IFERROR(__xludf.DUMMYFUNCTION("""COMPUTED_VALUE"""),"Live")</f>
        <v>Live</v>
      </c>
      <c r="H445" s="5"/>
      <c r="I445" s="5" t="str">
        <f>IFERROR(__xludf.DUMMYFUNCTION("""COMPUTED_VALUE"""),"TipTop")</f>
        <v>TipTop</v>
      </c>
      <c r="J445" s="5" t="str">
        <f>IFERROR(__xludf.DUMMYFUNCTION("""COMPUTED_VALUE"""),"JSON")</f>
        <v>JSON</v>
      </c>
      <c r="K445" s="5" t="str">
        <f>IFERROR(__xludf.DUMMYFUNCTION("""COMPUTED_VALUE"""),"Slot")</f>
        <v>Slot</v>
      </c>
      <c r="L445" s="5" t="str">
        <f>IFERROR(__xludf.DUMMYFUNCTION("""COMPUTED_VALUE""")," Clone")</f>
        <v> Clone</v>
      </c>
      <c r="M445" s="5" t="str">
        <f>IFERROR(__xludf.DUMMYFUNCTION("""COMPUTED_VALUE"""),"MisterLuck")</f>
        <v>MisterLuck</v>
      </c>
      <c r="N445" s="5"/>
      <c r="O445" s="5"/>
      <c r="P445" s="12">
        <f>IFERROR(__xludf.DUMMYFUNCTION("""COMPUTED_VALUE"""),14.2)</f>
        <v>14.2</v>
      </c>
      <c r="Q445" s="13">
        <f>IFERROR(__xludf.DUMMYFUNCTION("""COMPUTED_VALUE"""),45776.0)</f>
        <v>45776</v>
      </c>
      <c r="R445" s="13">
        <f>IFERROR(__xludf.DUMMYFUNCTION("""COMPUTED_VALUE"""),45769.0)</f>
        <v>45769</v>
      </c>
      <c r="S445" s="13">
        <f>IFERROR(__xludf.DUMMYFUNCTION("""COMPUTED_VALUE"""),45776.0)</f>
        <v>45776</v>
      </c>
      <c r="T445" s="5" t="b">
        <f>IFERROR(__xludf.DUMMYFUNCTION("""COMPUTED_VALUE"""),TRUE)</f>
        <v>1</v>
      </c>
      <c r="U445" s="5" t="str">
        <f>IFERROR(__xludf.DUMMYFUNCTION("""COMPUTED_VALUE"""),"5x3")</f>
        <v>5x3</v>
      </c>
      <c r="V445" s="5">
        <f>IFERROR(__xludf.DUMMYFUNCTION("""COMPUTED_VALUE"""),5.0)</f>
        <v>5</v>
      </c>
      <c r="W445" s="5">
        <f>IFERROR(__xludf.DUMMYFUNCTION("""COMPUTED_VALUE"""),5.0)</f>
        <v>5</v>
      </c>
      <c r="X445" s="5">
        <f>IFERROR(__xludf.DUMMYFUNCTION("""COMPUTED_VALUE"""),96.0)</f>
        <v>96</v>
      </c>
      <c r="Y445" s="5" t="str">
        <f>IFERROR(__xludf.DUMMYFUNCTION("""COMPUTED_VALUE"""),"Low")</f>
        <v>Low</v>
      </c>
      <c r="Z445" s="5">
        <f>IFERROR(__xludf.DUMMYFUNCTION("""COMPUTED_VALUE"""),13.64)</f>
        <v>13.64</v>
      </c>
      <c r="AA445" s="5">
        <f>IFERROR(__xludf.DUMMYFUNCTION("""COMPUTED_VALUE"""),10000.0)</f>
        <v>10000</v>
      </c>
      <c r="AB445" s="5"/>
      <c r="AC445" s="5"/>
      <c r="AD445" s="5" t="str">
        <f>IFERROR(__xludf.DUMMYFUNCTION("""COMPUTED_VALUE"""),"0.05/100")</f>
        <v>0.05/100</v>
      </c>
      <c r="AE445" s="5"/>
      <c r="AF445" s="5"/>
      <c r="AG445" s="8">
        <f>IFERROR(__xludf.DUMMYFUNCTION("""COMPUTED_VALUE"""),46197.49729166667)</f>
        <v>46197.49729</v>
      </c>
      <c r="AH445" s="5" t="str">
        <f>IFERROR(__xludf.DUMMYFUNCTION("""COMPUTED_VALUE"""),"selena.mihajlovic@fazi.rs")</f>
        <v>selena.mihajlovic@fazi.rs</v>
      </c>
      <c r="AI445" s="13"/>
      <c r="AJ445" s="5"/>
      <c r="AK445" s="5">
        <f>IFERROR(__xludf.DUMMYFUNCTION("""COMPUTED_VALUE"""),5.0)</f>
        <v>5</v>
      </c>
      <c r="AL445" s="5" t="str">
        <f>IFERROR(__xludf.DUMMYFUNCTION("""COMPUTED_VALUE"""),"No")</f>
        <v>No</v>
      </c>
      <c r="AM445" s="5"/>
      <c r="AN445" s="7" t="str">
        <f>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AO445" s="5"/>
      <c r="AP445" s="5"/>
      <c r="AQ445" s="5" t="b">
        <f>IFERROR(__xludf.DUMMYFUNCTION("""COMPUTED_VALUE"""),TRUE)</f>
        <v>1</v>
      </c>
      <c r="AR445" s="5"/>
      <c r="AS445" s="5" t="str">
        <f>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AT445" s="5"/>
      <c r="AU445" s="5" t="str">
        <f>IFERROR(__xludf.DUMMYFUNCTION("""COMPUTED_VALUE"""),"Fazi")</f>
        <v>Fazi</v>
      </c>
      <c r="AV445" s="5"/>
      <c r="AW445" s="5"/>
      <c r="AX445" s="5"/>
      <c r="AY445" s="5"/>
      <c r="AZ445" s="5"/>
      <c r="BA445" s="5"/>
      <c r="BB445" s="5" t="b">
        <f>IFERROR(__xludf.DUMMYFUNCTION("""COMPUTED_VALUE"""),TRUE)</f>
        <v>1</v>
      </c>
      <c r="BC445" s="5" t="str">
        <f>IFERROR(__xludf.DUMMYFUNCTION("""COMPUTED_VALUE"""),"Tiptop")</f>
        <v>Tiptop</v>
      </c>
      <c r="BD445" s="7" t="str">
        <f>IFERROR(__xludf.DUMMYFUNCTION("""COMPUTED_VALUE"""),"https://gameserver-store-client-area.orbionlimited.com/Home/IntegrationGameLaunch/client-area?moneyType=0&amp;gameName=UnicornDynamiteBoom&amp;platform=desktop&amp;languageCode=eng&amp;currency=EUR")</f>
        <v>https://gameserver-store-client-area.orbionlimited.com/Home/IntegrationGameLaunch/client-area?moneyType=0&amp;gameName=UnicornDynamiteBoom&amp;platform=desktop&amp;languageCode=eng&amp;currency=EUR</v>
      </c>
      <c r="BE445" s="5" t="b">
        <f>IFERROR(__xludf.DUMMYFUNCTION("""COMPUTED_VALUE"""),TRUE)</f>
        <v>1</v>
      </c>
    </row>
    <row r="446">
      <c r="A446" s="5">
        <f>IFERROR(__xludf.DUMMYFUNCTION("""COMPUTED_VALUE"""),469.0)</f>
        <v>469</v>
      </c>
      <c r="B446" s="5">
        <f>IFERROR(__xludf.DUMMYFUNCTION("""COMPUTED_VALUE"""),404.0)</f>
        <v>404</v>
      </c>
      <c r="C446" s="5" t="str">
        <f>IFERROR(__xludf.DUMMYFUNCTION("""COMPUTED_VALUE"""),"Tiptop")</f>
        <v>Tiptop</v>
      </c>
      <c r="D446" s="5" t="str">
        <f>IFERROR(__xludf.DUMMYFUNCTION("""COMPUTED_VALUE"""),"Fast Pay")</f>
        <v>Fast Pay</v>
      </c>
      <c r="E446" s="5" t="str">
        <f>IFERROR(__xludf.DUMMYFUNCTION("""COMPUTED_VALUE"""),"V4-2")</f>
        <v>V4-2</v>
      </c>
      <c r="F446" s="5" t="str">
        <f>IFERROR(__xludf.DUMMYFUNCTION("""COMPUTED_VALUE"""),"UnicornFastPay")</f>
        <v>UnicornFastPay</v>
      </c>
      <c r="G446" s="5" t="str">
        <f>IFERROR(__xludf.DUMMYFUNCTION("""COMPUTED_VALUE"""),"Live")</f>
        <v>Live</v>
      </c>
      <c r="H446" s="5"/>
      <c r="I446" s="5"/>
      <c r="J446" s="5" t="str">
        <f>IFERROR(__xludf.DUMMYFUNCTION("""COMPUTED_VALUE"""),"JSON")</f>
        <v>JSON</v>
      </c>
      <c r="K446" s="5" t="str">
        <f>IFERROR(__xludf.DUMMYFUNCTION("""COMPUTED_VALUE"""),"Slot")</f>
        <v>Slot</v>
      </c>
      <c r="L446" s="5" t="str">
        <f>IFERROR(__xludf.DUMMYFUNCTION("""COMPUTED_VALUE""")," Clone")</f>
        <v> Clone</v>
      </c>
      <c r="M446" s="5" t="str">
        <f>IFERROR(__xludf.DUMMYFUNCTION("""COMPUTED_VALUE"""),"Simply Sevens")</f>
        <v>Simply Sevens</v>
      </c>
      <c r="N446" s="5"/>
      <c r="O446" s="5"/>
      <c r="P446" s="12">
        <f>IFERROR(__xludf.DUMMYFUNCTION("""COMPUTED_VALUE"""),11.0)</f>
        <v>11</v>
      </c>
      <c r="Q446" s="13">
        <f>IFERROR(__xludf.DUMMYFUNCTION("""COMPUTED_VALUE"""),45770.0)</f>
        <v>45770</v>
      </c>
      <c r="R446" s="13">
        <f>IFERROR(__xludf.DUMMYFUNCTION("""COMPUTED_VALUE"""),45763.0)</f>
        <v>45763</v>
      </c>
      <c r="S446" s="13">
        <f>IFERROR(__xludf.DUMMYFUNCTION("""COMPUTED_VALUE"""),45770.0)</f>
        <v>45770</v>
      </c>
      <c r="T446" s="5" t="b">
        <f>IFERROR(__xludf.DUMMYFUNCTION("""COMPUTED_VALUE"""),TRUE)</f>
        <v>1</v>
      </c>
      <c r="U446" s="5" t="str">
        <f>IFERROR(__xludf.DUMMYFUNCTION("""COMPUTED_VALUE"""),"5x3")</f>
        <v>5x3</v>
      </c>
      <c r="V446" s="5">
        <f>IFERROR(__xludf.DUMMYFUNCTION("""COMPUTED_VALUE"""),10.0)</f>
        <v>10</v>
      </c>
      <c r="W446" s="5">
        <f>IFERROR(__xludf.DUMMYFUNCTION("""COMPUTED_VALUE"""),10.0)</f>
        <v>10</v>
      </c>
      <c r="X446" s="5">
        <f>IFERROR(__xludf.DUMMYFUNCTION("""COMPUTED_VALUE"""),96.0)</f>
        <v>96</v>
      </c>
      <c r="Y446" s="5" t="str">
        <f>IFERROR(__xludf.DUMMYFUNCTION("""COMPUTED_VALUE"""),"Low")</f>
        <v>Low</v>
      </c>
      <c r="Z446" s="5">
        <f>IFERROR(__xludf.DUMMYFUNCTION("""COMPUTED_VALUE"""),24.14)</f>
        <v>24.14</v>
      </c>
      <c r="AA446" s="5">
        <f>IFERROR(__xludf.DUMMYFUNCTION("""COMPUTED_VALUE"""),10000.0)</f>
        <v>10000</v>
      </c>
      <c r="AB446" s="5"/>
      <c r="AC446" s="5"/>
      <c r="AD446" s="5" t="str">
        <f>IFERROR(__xludf.DUMMYFUNCTION("""COMPUTED_VALUE"""),"0.1/100")</f>
        <v>0.1/100</v>
      </c>
      <c r="AE446" s="5"/>
      <c r="AF446" s="5"/>
      <c r="AG446" s="8">
        <f>IFERROR(__xludf.DUMMYFUNCTION("""COMPUTED_VALUE"""),46197.49748842593)</f>
        <v>46197.49749</v>
      </c>
      <c r="AH446" s="5" t="str">
        <f>IFERROR(__xludf.DUMMYFUNCTION("""COMPUTED_VALUE"""),"selena.mihajlovic@fazi.rs")</f>
        <v>selena.mihajlovic@fazi.rs</v>
      </c>
      <c r="AI446" s="13"/>
      <c r="AJ446" s="5"/>
      <c r="AK446" s="5">
        <f>IFERROR(__xludf.DUMMYFUNCTION("""COMPUTED_VALUE"""),10.0)</f>
        <v>10</v>
      </c>
      <c r="AL446" s="5" t="str">
        <f>IFERROR(__xludf.DUMMYFUNCTION("""COMPUTED_VALUE"""),"No")</f>
        <v>No</v>
      </c>
      <c r="AM446" s="5"/>
      <c r="AN446" s="7" t="str">
        <f>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AO446" s="5"/>
      <c r="AP446" s="5"/>
      <c r="AQ446" s="5" t="b">
        <f>IFERROR(__xludf.DUMMYFUNCTION("""COMPUTED_VALUE"""),TRUE)</f>
        <v>1</v>
      </c>
      <c r="AR446" s="5"/>
      <c r="AS446" s="5" t="str">
        <f>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AT446" s="5"/>
      <c r="AU446" s="5" t="str">
        <f>IFERROR(__xludf.DUMMYFUNCTION("""COMPUTED_VALUE"""),"Fazi")</f>
        <v>Fazi</v>
      </c>
      <c r="AV446" s="5"/>
      <c r="AW446" s="5"/>
      <c r="AX446" s="5"/>
      <c r="AY446" s="5"/>
      <c r="AZ446" s="5"/>
      <c r="BA446" s="5"/>
      <c r="BB446" s="5" t="b">
        <f>IFERROR(__xludf.DUMMYFUNCTION("""COMPUTED_VALUE"""),TRUE)</f>
        <v>1</v>
      </c>
      <c r="BC446" s="5" t="str">
        <f>IFERROR(__xludf.DUMMYFUNCTION("""COMPUTED_VALUE"""),"Tiptop")</f>
        <v>Tiptop</v>
      </c>
      <c r="BD446" s="7" t="str">
        <f>IFERROR(__xludf.DUMMYFUNCTION("""COMPUTED_VALUE"""),"https://gameserver-store-client-area.orbionlimited.com/Home/IntegrationGameLaunch/client-area?moneyType=0&amp;gameName=UnicornFastPay&amp;platform=desktop&amp;languageCode=eng&amp;currency=EUR")</f>
        <v>https://gameserver-store-client-area.orbionlimited.com/Home/IntegrationGameLaunch/client-area?moneyType=0&amp;gameName=UnicornFastPay&amp;platform=desktop&amp;languageCode=eng&amp;currency=EUR</v>
      </c>
      <c r="BE446" s="5" t="b">
        <f>IFERROR(__xludf.DUMMYFUNCTION("""COMPUTED_VALUE"""),TRUE)</f>
        <v>1</v>
      </c>
    </row>
    <row r="447">
      <c r="A447" s="5">
        <f>IFERROR(__xludf.DUMMYFUNCTION("""COMPUTED_VALUE"""),470.0)</f>
        <v>470</v>
      </c>
      <c r="B447" s="5">
        <f>IFERROR(__xludf.DUMMYFUNCTION("""COMPUTED_VALUE"""),406.0)</f>
        <v>406</v>
      </c>
      <c r="C447" s="5" t="str">
        <f>IFERROR(__xludf.DUMMYFUNCTION("""COMPUTED_VALUE"""),"Tiptop")</f>
        <v>Tiptop</v>
      </c>
      <c r="D447" s="5" t="str">
        <f>IFERROR(__xludf.DUMMYFUNCTION("""COMPUTED_VALUE"""),"Super Fire Jackpot")</f>
        <v>Super Fire Jackpot</v>
      </c>
      <c r="E447" s="5" t="str">
        <f>IFERROR(__xludf.DUMMYFUNCTION("""COMPUTED_VALUE"""),"V4-2")</f>
        <v>V4-2</v>
      </c>
      <c r="F447" s="5" t="str">
        <f>IFERROR(__xludf.DUMMYFUNCTION("""COMPUTED_VALUE"""),"UnicornSuperFireJackpot")</f>
        <v>UnicornSuperFireJackpot</v>
      </c>
      <c r="G447" s="5" t="str">
        <f>IFERROR(__xludf.DUMMYFUNCTION("""COMPUTED_VALUE"""),"Live")</f>
        <v>Live</v>
      </c>
      <c r="H447" s="5"/>
      <c r="I447" s="5"/>
      <c r="J447" s="5" t="str">
        <f>IFERROR(__xludf.DUMMYFUNCTION("""COMPUTED_VALUE"""),"JSON")</f>
        <v>JSON</v>
      </c>
      <c r="K447" s="5" t="str">
        <f>IFERROR(__xludf.DUMMYFUNCTION("""COMPUTED_VALUE"""),"Slot")</f>
        <v>Slot</v>
      </c>
      <c r="L447" s="5" t="str">
        <f>IFERROR(__xludf.DUMMYFUNCTION("""COMPUTED_VALUE""")," Clone")</f>
        <v> Clone</v>
      </c>
      <c r="M447" s="5" t="str">
        <f>IFERROR(__xludf.DUMMYFUNCTION("""COMPUTED_VALUE"""),"Unicorn 20 Hot Strike Jackpot")</f>
        <v>Unicorn 20 Hot Strike Jackpot</v>
      </c>
      <c r="N447" s="5"/>
      <c r="O447" s="5"/>
      <c r="P447" s="12">
        <f>IFERROR(__xludf.DUMMYFUNCTION("""COMPUTED_VALUE"""),10.6)</f>
        <v>10.6</v>
      </c>
      <c r="Q447" s="13">
        <f>IFERROR(__xludf.DUMMYFUNCTION("""COMPUTED_VALUE"""),45785.0)</f>
        <v>45785</v>
      </c>
      <c r="R447" s="13">
        <f>IFERROR(__xludf.DUMMYFUNCTION("""COMPUTED_VALUE"""),45777.0)</f>
        <v>45777</v>
      </c>
      <c r="S447" s="13">
        <f>IFERROR(__xludf.DUMMYFUNCTION("""COMPUTED_VALUE"""),45785.0)</f>
        <v>45785</v>
      </c>
      <c r="T447" s="5" t="b">
        <f>IFERROR(__xludf.DUMMYFUNCTION("""COMPUTED_VALUE"""),TRUE)</f>
        <v>1</v>
      </c>
      <c r="U447" s="5" t="str">
        <f>IFERROR(__xludf.DUMMYFUNCTION("""COMPUTED_VALUE"""),"5x3")</f>
        <v>5x3</v>
      </c>
      <c r="V447" s="5">
        <f>IFERROR(__xludf.DUMMYFUNCTION("""COMPUTED_VALUE"""),20.0)</f>
        <v>20</v>
      </c>
      <c r="W447" s="5">
        <f>IFERROR(__xludf.DUMMYFUNCTION("""COMPUTED_VALUE"""),20.0)</f>
        <v>20</v>
      </c>
      <c r="X447" s="5">
        <f>IFERROR(__xludf.DUMMYFUNCTION("""COMPUTED_VALUE"""),96.0)</f>
        <v>96</v>
      </c>
      <c r="Y447" s="5" t="str">
        <f>IFERROR(__xludf.DUMMYFUNCTION("""COMPUTED_VALUE"""),"Low")</f>
        <v>Low</v>
      </c>
      <c r="Z447" s="5">
        <f>IFERROR(__xludf.DUMMYFUNCTION("""COMPUTED_VALUE"""),14.46)</f>
        <v>14.46</v>
      </c>
      <c r="AA447" s="5">
        <f>IFERROR(__xludf.DUMMYFUNCTION("""COMPUTED_VALUE"""),10000.0)</f>
        <v>10000</v>
      </c>
      <c r="AB447" s="5"/>
      <c r="AC447" s="5"/>
      <c r="AD447" s="5" t="str">
        <f>IFERROR(__xludf.DUMMYFUNCTION("""COMPUTED_VALUE"""),"0.2/100")</f>
        <v>0.2/100</v>
      </c>
      <c r="AE447" s="5"/>
      <c r="AF447" s="5"/>
      <c r="AG447" s="8">
        <f>IFERROR(__xludf.DUMMYFUNCTION("""COMPUTED_VALUE"""),46197.49784722222)</f>
        <v>46197.49785</v>
      </c>
      <c r="AH447" s="5" t="str">
        <f>IFERROR(__xludf.DUMMYFUNCTION("""COMPUTED_VALUE"""),"selena.mihajlovic@fazi.rs")</f>
        <v>selena.mihajlovic@fazi.rs</v>
      </c>
      <c r="AI447" s="13"/>
      <c r="AJ447" s="5"/>
      <c r="AK447" s="5">
        <f>IFERROR(__xludf.DUMMYFUNCTION("""COMPUTED_VALUE"""),20.0)</f>
        <v>20</v>
      </c>
      <c r="AL447" s="5" t="str">
        <f>IFERROR(__xludf.DUMMYFUNCTION("""COMPUTED_VALUE"""),"No")</f>
        <v>No</v>
      </c>
      <c r="AM447" s="5"/>
      <c r="AN447" s="7" t="str">
        <f>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AO447" s="5"/>
      <c r="AP447" s="5"/>
      <c r="AQ447" s="5" t="b">
        <f>IFERROR(__xludf.DUMMYFUNCTION("""COMPUTED_VALUE"""),TRUE)</f>
        <v>1</v>
      </c>
      <c r="AR447" s="5"/>
      <c r="AS447" s="5" t="str">
        <f>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AT447" s="5"/>
      <c r="AU447" s="5" t="str">
        <f>IFERROR(__xludf.DUMMYFUNCTION("""COMPUTED_VALUE"""),"Fazi")</f>
        <v>Fazi</v>
      </c>
      <c r="AV447" s="5"/>
      <c r="AW447" s="5"/>
      <c r="AX447" s="5"/>
      <c r="AY447" s="5"/>
      <c r="AZ447" s="5"/>
      <c r="BA447" s="5"/>
      <c r="BB447" s="5" t="b">
        <f>IFERROR(__xludf.DUMMYFUNCTION("""COMPUTED_VALUE"""),TRUE)</f>
        <v>1</v>
      </c>
      <c r="BC447" s="5" t="str">
        <f>IFERROR(__xludf.DUMMYFUNCTION("""COMPUTED_VALUE"""),"Tiptop")</f>
        <v>Tiptop</v>
      </c>
      <c r="BD447" s="7" t="str">
        <f>IFERROR(__xludf.DUMMYFUNCTION("""COMPUTED_VALUE"""),"https://gameserver-store-client-area.orbionlimited.com/Home/IntegrationGameLaunch/client-area?moneyType=0&amp;gameName=UnicornSuperFireJackpot&amp;platform=desktop&amp;languageCode=eng&amp;currency=EUR")</f>
        <v>https://gameserver-store-client-area.orbionlimited.com/Home/IntegrationGameLaunch/client-area?moneyType=0&amp;gameName=UnicornSuperFireJackpot&amp;platform=desktop&amp;languageCode=eng&amp;currency=EUR</v>
      </c>
      <c r="BE447" s="5" t="b">
        <f>IFERROR(__xludf.DUMMYFUNCTION("""COMPUTED_VALUE"""),TRUE)</f>
        <v>1</v>
      </c>
    </row>
    <row r="448">
      <c r="A448" s="5">
        <f>IFERROR(__xludf.DUMMYFUNCTION("""COMPUTED_VALUE"""),471.0)</f>
        <v>471</v>
      </c>
      <c r="B448" s="5">
        <f>IFERROR(__xludf.DUMMYFUNCTION("""COMPUTED_VALUE"""),411.0)</f>
        <v>411</v>
      </c>
      <c r="C448" s="5" t="str">
        <f>IFERROR(__xludf.DUMMYFUNCTION("""COMPUTED_VALUE"""),"Tiptop")</f>
        <v>Tiptop</v>
      </c>
      <c r="D448" s="5" t="str">
        <f>IFERROR(__xludf.DUMMYFUNCTION("""COMPUTED_VALUE"""),"Coyote Gems")</f>
        <v>Coyote Gems</v>
      </c>
      <c r="E448" s="5" t="str">
        <f>IFERROR(__xludf.DUMMYFUNCTION("""COMPUTED_VALUE"""),"V4-2")</f>
        <v>V4-2</v>
      </c>
      <c r="F448" s="5" t="str">
        <f>IFERROR(__xludf.DUMMYFUNCTION("""COMPUTED_VALUE"""),"UnicornCoyoteGems")</f>
        <v>UnicornCoyoteGems</v>
      </c>
      <c r="G448" s="5" t="str">
        <f>IFERROR(__xludf.DUMMYFUNCTION("""COMPUTED_VALUE"""),"Live")</f>
        <v>Live</v>
      </c>
      <c r="H448" s="5"/>
      <c r="I448" s="5"/>
      <c r="J448" s="5" t="str">
        <f>IFERROR(__xludf.DUMMYFUNCTION("""COMPUTED_VALUE"""),"JSON")</f>
        <v>JSON</v>
      </c>
      <c r="K448" s="5" t="str">
        <f>IFERROR(__xludf.DUMMYFUNCTION("""COMPUTED_VALUE"""),"Slot")</f>
        <v>Slot</v>
      </c>
      <c r="L448" s="5" t="str">
        <f>IFERROR(__xludf.DUMMYFUNCTION("""COMPUTED_VALUE""")," Clone")</f>
        <v> Clone</v>
      </c>
      <c r="M448" s="5" t="str">
        <f>IFERROR(__xludf.DUMMYFUNCTION("""COMPUTED_VALUE"""),"Coyote Sevens")</f>
        <v>Coyote Sevens</v>
      </c>
      <c r="N448" s="5"/>
      <c r="O448" s="5"/>
      <c r="P448" s="12">
        <f>IFERROR(__xludf.DUMMYFUNCTION("""COMPUTED_VALUE"""),10.8)</f>
        <v>10.8</v>
      </c>
      <c r="Q448" s="13">
        <f>IFERROR(__xludf.DUMMYFUNCTION("""COMPUTED_VALUE"""),45792.0)</f>
        <v>45792</v>
      </c>
      <c r="R448" s="13">
        <f>IFERROR(__xludf.DUMMYFUNCTION("""COMPUTED_VALUE"""),45785.0)</f>
        <v>45785</v>
      </c>
      <c r="S448" s="13">
        <f>IFERROR(__xludf.DUMMYFUNCTION("""COMPUTED_VALUE"""),45792.0)</f>
        <v>45792</v>
      </c>
      <c r="T448" s="5" t="b">
        <f>IFERROR(__xludf.DUMMYFUNCTION("""COMPUTED_VALUE"""),TRUE)</f>
        <v>1</v>
      </c>
      <c r="U448" s="5" t="str">
        <f>IFERROR(__xludf.DUMMYFUNCTION("""COMPUTED_VALUE"""),"5x3")</f>
        <v>5x3</v>
      </c>
      <c r="V448" s="5">
        <f>IFERROR(__xludf.DUMMYFUNCTION("""COMPUTED_VALUE"""),5.0)</f>
        <v>5</v>
      </c>
      <c r="W448" s="5">
        <f>IFERROR(__xludf.DUMMYFUNCTION("""COMPUTED_VALUE"""),5.0)</f>
        <v>5</v>
      </c>
      <c r="X448" s="5">
        <f>IFERROR(__xludf.DUMMYFUNCTION("""COMPUTED_VALUE"""),96.0)</f>
        <v>96</v>
      </c>
      <c r="Y448" s="5" t="str">
        <f>IFERROR(__xludf.DUMMYFUNCTION("""COMPUTED_VALUE"""),"Medium")</f>
        <v>Medium</v>
      </c>
      <c r="Z448" s="5">
        <f>IFERROR(__xludf.DUMMYFUNCTION("""COMPUTED_VALUE"""),10.1)</f>
        <v>10.1</v>
      </c>
      <c r="AA448" s="5">
        <f>IFERROR(__xludf.DUMMYFUNCTION("""COMPUTED_VALUE"""),1000.0)</f>
        <v>1000</v>
      </c>
      <c r="AB448" s="5"/>
      <c r="AC448" s="5"/>
      <c r="AD448" s="5" t="str">
        <f>IFERROR(__xludf.DUMMYFUNCTION("""COMPUTED_VALUE"""),"0.05/100")</f>
        <v>0.05/100</v>
      </c>
      <c r="AE448" s="5"/>
      <c r="AF448" s="5"/>
      <c r="AG448" s="8">
        <f>IFERROR(__xludf.DUMMYFUNCTION("""COMPUTED_VALUE"""),46197.49797453704)</f>
        <v>46197.49797</v>
      </c>
      <c r="AH448" s="5" t="str">
        <f>IFERROR(__xludf.DUMMYFUNCTION("""COMPUTED_VALUE"""),"selena.mihajlovic@fazi.rs")</f>
        <v>selena.mihajlovic@fazi.rs</v>
      </c>
      <c r="AI448" s="13"/>
      <c r="AJ448" s="5"/>
      <c r="AK448" s="5">
        <f>IFERROR(__xludf.DUMMYFUNCTION("""COMPUTED_VALUE"""),5.0)</f>
        <v>5</v>
      </c>
      <c r="AL448" s="5" t="str">
        <f>IFERROR(__xludf.DUMMYFUNCTION("""COMPUTED_VALUE"""),"No")</f>
        <v>No</v>
      </c>
      <c r="AM448" s="5"/>
      <c r="AN448" s="7" t="str">
        <f>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AO448" s="5"/>
      <c r="AP448" s="5"/>
      <c r="AQ448" s="5" t="b">
        <f>IFERROR(__xludf.DUMMYFUNCTION("""COMPUTED_VALUE"""),TRUE)</f>
        <v>1</v>
      </c>
      <c r="AR448" s="5"/>
      <c r="AS448" s="5" t="str">
        <f>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AT448" s="5"/>
      <c r="AU448" s="5" t="str">
        <f>IFERROR(__xludf.DUMMYFUNCTION("""COMPUTED_VALUE"""),"Fazi")</f>
        <v>Fazi</v>
      </c>
      <c r="AV448" s="5"/>
      <c r="AW448" s="5"/>
      <c r="AX448" s="5"/>
      <c r="AY448" s="5"/>
      <c r="AZ448" s="5"/>
      <c r="BA448" s="5"/>
      <c r="BB448" s="5" t="b">
        <f>IFERROR(__xludf.DUMMYFUNCTION("""COMPUTED_VALUE"""),TRUE)</f>
        <v>1</v>
      </c>
      <c r="BC448" s="5" t="str">
        <f>IFERROR(__xludf.DUMMYFUNCTION("""COMPUTED_VALUE"""),"Tiptop")</f>
        <v>Tiptop</v>
      </c>
      <c r="BD448" s="7" t="str">
        <f>IFERROR(__xludf.DUMMYFUNCTION("""COMPUTED_VALUE"""),"https://gameserver-store-client-area.orbionlimited.com/Home/IntegrationGameLaunch/client-area?moneyType=0&amp;gameName=UnicornCoyoteGems&amp;platform=desktop&amp;languageCode=eng&amp;currency=EUR")</f>
        <v>https://gameserver-store-client-area.orbionlimited.com/Home/IntegrationGameLaunch/client-area?moneyType=0&amp;gameName=UnicornCoyoteGems&amp;platform=desktop&amp;languageCode=eng&amp;currency=EUR</v>
      </c>
      <c r="BE448" s="5" t="b">
        <f>IFERROR(__xludf.DUMMYFUNCTION("""COMPUTED_VALUE"""),TRUE)</f>
        <v>1</v>
      </c>
    </row>
    <row r="449">
      <c r="A449" s="5">
        <f>IFERROR(__xludf.DUMMYFUNCTION("""COMPUTED_VALUE"""),472.0)</f>
        <v>472</v>
      </c>
      <c r="B449" s="5">
        <f>IFERROR(__xludf.DUMMYFUNCTION("""COMPUTED_VALUE"""),412.0)</f>
        <v>412</v>
      </c>
      <c r="C449" s="5" t="str">
        <f>IFERROR(__xludf.DUMMYFUNCTION("""COMPUTED_VALUE"""),"Tiptop")</f>
        <v>Tiptop</v>
      </c>
      <c r="D449" s="5" t="str">
        <f>IFERROR(__xludf.DUMMYFUNCTION("""COMPUTED_VALUE"""),"Dynamite Run Dice")</f>
        <v>Dynamite Run Dice</v>
      </c>
      <c r="E449" s="5" t="str">
        <f>IFERROR(__xludf.DUMMYFUNCTION("""COMPUTED_VALUE"""),"V4-2")</f>
        <v>V4-2</v>
      </c>
      <c r="F449" s="5" t="str">
        <f>IFERROR(__xludf.DUMMYFUNCTION("""COMPUTED_VALUE"""),"UnicornDynamiteRunDice")</f>
        <v>UnicornDynamiteRunDice</v>
      </c>
      <c r="G449" s="5" t="str">
        <f>IFERROR(__xludf.DUMMYFUNCTION("""COMPUTED_VALUE"""),"Live")</f>
        <v>Live</v>
      </c>
      <c r="H449" s="5"/>
      <c r="I449" s="5"/>
      <c r="J449" s="5" t="str">
        <f>IFERROR(__xludf.DUMMYFUNCTION("""COMPUTED_VALUE"""),"JSON")</f>
        <v>JSON</v>
      </c>
      <c r="K449" s="5" t="str">
        <f>IFERROR(__xludf.DUMMYFUNCTION("""COMPUTED_VALUE"""),"Dice Slots")</f>
        <v>Dice Slots</v>
      </c>
      <c r="L449" s="5" t="str">
        <f>IFERROR(__xludf.DUMMYFUNCTION("""COMPUTED_VALUE""")," Clone")</f>
        <v> Clone</v>
      </c>
      <c r="M449" s="5" t="str">
        <f>IFERROR(__xludf.DUMMYFUNCTION("""COMPUTED_VALUE"""),"Unicorn Dynamite Run")</f>
        <v>Unicorn Dynamite Run</v>
      </c>
      <c r="N449" s="5"/>
      <c r="O449" s="5"/>
      <c r="P449" s="12">
        <f>IFERROR(__xludf.DUMMYFUNCTION("""COMPUTED_VALUE"""),12.7)</f>
        <v>12.7</v>
      </c>
      <c r="Q449" s="13">
        <f>IFERROR(__xludf.DUMMYFUNCTION("""COMPUTED_VALUE"""),45797.0)</f>
        <v>45797</v>
      </c>
      <c r="R449" s="13">
        <f>IFERROR(__xludf.DUMMYFUNCTION("""COMPUTED_VALUE"""),45790.0)</f>
        <v>45790</v>
      </c>
      <c r="S449" s="13">
        <f>IFERROR(__xludf.DUMMYFUNCTION("""COMPUTED_VALUE"""),45797.0)</f>
        <v>45797</v>
      </c>
      <c r="T449" s="5" t="b">
        <f>IFERROR(__xludf.DUMMYFUNCTION("""COMPUTED_VALUE"""),TRUE)</f>
        <v>1</v>
      </c>
      <c r="U449" s="5" t="str">
        <f>IFERROR(__xludf.DUMMYFUNCTION("""COMPUTED_VALUE"""),"5x3")</f>
        <v>5x3</v>
      </c>
      <c r="V449" s="5">
        <f>IFERROR(__xludf.DUMMYFUNCTION("""COMPUTED_VALUE"""),10.0)</f>
        <v>10</v>
      </c>
      <c r="W449" s="5">
        <f>IFERROR(__xludf.DUMMYFUNCTION("""COMPUTED_VALUE"""),10.0)</f>
        <v>10</v>
      </c>
      <c r="X449" s="5">
        <f>IFERROR(__xludf.DUMMYFUNCTION("""COMPUTED_VALUE"""),96.0)</f>
        <v>96</v>
      </c>
      <c r="Y449" s="5" t="str">
        <f>IFERROR(__xludf.DUMMYFUNCTION("""COMPUTED_VALUE"""),"Low")</f>
        <v>Low</v>
      </c>
      <c r="Z449" s="5">
        <f>IFERROR(__xludf.DUMMYFUNCTION("""COMPUTED_VALUE"""),26.12)</f>
        <v>26.12</v>
      </c>
      <c r="AA449" s="5">
        <f>IFERROR(__xludf.DUMMYFUNCTION("""COMPUTED_VALUE"""),1100.0)</f>
        <v>1100</v>
      </c>
      <c r="AB449" s="5"/>
      <c r="AC449" s="5"/>
      <c r="AD449" s="5" t="str">
        <f>IFERROR(__xludf.DUMMYFUNCTION("""COMPUTED_VALUE"""),"0.1/100")</f>
        <v>0.1/100</v>
      </c>
      <c r="AE449" s="5"/>
      <c r="AF449" s="5"/>
      <c r="AG449" s="8">
        <f>IFERROR(__xludf.DUMMYFUNCTION("""COMPUTED_VALUE"""),46197.498252314814)</f>
        <v>46197.49825</v>
      </c>
      <c r="AH449" s="5" t="str">
        <f>IFERROR(__xludf.DUMMYFUNCTION("""COMPUTED_VALUE"""),"selena.mihajlovic@fazi.rs")</f>
        <v>selena.mihajlovic@fazi.rs</v>
      </c>
      <c r="AI449" s="13"/>
      <c r="AJ449" s="5"/>
      <c r="AK449" s="5">
        <f>IFERROR(__xludf.DUMMYFUNCTION("""COMPUTED_VALUE"""),10.0)</f>
        <v>10</v>
      </c>
      <c r="AL449" s="5" t="str">
        <f>IFERROR(__xludf.DUMMYFUNCTION("""COMPUTED_VALUE"""),"No")</f>
        <v>No</v>
      </c>
      <c r="AM449" s="5"/>
      <c r="AN449" s="7" t="str">
        <f>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AO449" s="5"/>
      <c r="AP449" s="5"/>
      <c r="AQ449" s="5" t="b">
        <f>IFERROR(__xludf.DUMMYFUNCTION("""COMPUTED_VALUE"""),TRUE)</f>
        <v>1</v>
      </c>
      <c r="AR449" s="5"/>
      <c r="AS449" s="5" t="str">
        <f>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AT449" s="5"/>
      <c r="AU449" s="5" t="str">
        <f>IFERROR(__xludf.DUMMYFUNCTION("""COMPUTED_VALUE"""),"Fazi")</f>
        <v>Fazi</v>
      </c>
      <c r="AV449" s="5"/>
      <c r="AW449" s="5"/>
      <c r="AX449" s="5"/>
      <c r="AY449" s="5"/>
      <c r="AZ449" s="5"/>
      <c r="BA449" s="5"/>
      <c r="BB449" s="5" t="b">
        <f>IFERROR(__xludf.DUMMYFUNCTION("""COMPUTED_VALUE"""),TRUE)</f>
        <v>1</v>
      </c>
      <c r="BC449" s="5" t="str">
        <f>IFERROR(__xludf.DUMMYFUNCTION("""COMPUTED_VALUE"""),"Tiptop")</f>
        <v>Tiptop</v>
      </c>
      <c r="BD449" s="7" t="str">
        <f>IFERROR(__xludf.DUMMYFUNCTION("""COMPUTED_VALUE"""),"https://gameserver-store-client-area.orbionlimited.com/Home/IntegrationGameLaunch/client-area?moneyType=0&amp;gameName=UnicornDynamiteRunDice&amp;platform=desktop&amp;languageCode=eng&amp;currency=EUR")</f>
        <v>https://gameserver-store-client-area.orbionlimited.com/Home/IntegrationGameLaunch/client-area?moneyType=0&amp;gameName=UnicornDynamiteRunDice&amp;platform=desktop&amp;languageCode=eng&amp;currency=EUR</v>
      </c>
      <c r="BE449" s="5" t="b">
        <f>IFERROR(__xludf.DUMMYFUNCTION("""COMPUTED_VALUE"""),TRUE)</f>
        <v>1</v>
      </c>
    </row>
    <row r="450">
      <c r="A450" s="5">
        <f>IFERROR(__xludf.DUMMYFUNCTION("""COMPUTED_VALUE"""),473.0)</f>
        <v>473</v>
      </c>
      <c r="B450" s="5">
        <f>IFERROR(__xludf.DUMMYFUNCTION("""COMPUTED_VALUE"""),400.0)</f>
        <v>400</v>
      </c>
      <c r="C450" s="5" t="str">
        <f>IFERROR(__xludf.DUMMYFUNCTION("""COMPUTED_VALUE"""),"Tiptop")</f>
        <v>Tiptop</v>
      </c>
      <c r="D450" s="5" t="str">
        <f>IFERROR(__xludf.DUMMYFUNCTION("""COMPUTED_VALUE"""),"Big Spin Dragons")</f>
        <v>Big Spin Dragons</v>
      </c>
      <c r="E450" s="5" t="str">
        <f>IFERROR(__xludf.DUMMYFUNCTION("""COMPUTED_VALUE"""),"V4-2")</f>
        <v>V4-2</v>
      </c>
      <c r="F450" s="5" t="str">
        <f>IFERROR(__xludf.DUMMYFUNCTION("""COMPUTED_VALUE"""),"UnicornBigSpinDragons")</f>
        <v>UnicornBigSpinDragons</v>
      </c>
      <c r="G450" s="5" t="str">
        <f>IFERROR(__xludf.DUMMYFUNCTION("""COMPUTED_VALUE"""),"Live")</f>
        <v>Live</v>
      </c>
      <c r="H450" s="5"/>
      <c r="I450" s="5"/>
      <c r="J450" s="5" t="str">
        <f>IFERROR(__xludf.DUMMYFUNCTION("""COMPUTED_VALUE"""),"JSON")</f>
        <v>JSON</v>
      </c>
      <c r="K450" s="5" t="str">
        <f>IFERROR(__xludf.DUMMYFUNCTION("""COMPUTED_VALUE"""),"Slot")</f>
        <v>Slot</v>
      </c>
      <c r="L450" s="5" t="str">
        <f>IFERROR(__xludf.DUMMYFUNCTION("""COMPUTED_VALUE"""),"Master")</f>
        <v>Master</v>
      </c>
      <c r="M450" s="5"/>
      <c r="N450" s="5"/>
      <c r="O450" s="5"/>
      <c r="P450" s="12">
        <f>IFERROR(__xludf.DUMMYFUNCTION("""COMPUTED_VALUE"""),12.0)</f>
        <v>12</v>
      </c>
      <c r="Q450" s="13">
        <f>IFERROR(__xludf.DUMMYFUNCTION("""COMPUTED_VALUE"""),45806.0)</f>
        <v>45806</v>
      </c>
      <c r="R450" s="13">
        <f>IFERROR(__xludf.DUMMYFUNCTION("""COMPUTED_VALUE"""),45799.0)</f>
        <v>45799</v>
      </c>
      <c r="S450" s="13">
        <f>IFERROR(__xludf.DUMMYFUNCTION("""COMPUTED_VALUE"""),45806.0)</f>
        <v>45806</v>
      </c>
      <c r="T450" s="5" t="b">
        <f>IFERROR(__xludf.DUMMYFUNCTION("""COMPUTED_VALUE"""),TRUE)</f>
        <v>1</v>
      </c>
      <c r="U450" s="5" t="str">
        <f>IFERROR(__xludf.DUMMYFUNCTION("""COMPUTED_VALUE"""),"5x3")</f>
        <v>5x3</v>
      </c>
      <c r="V450" s="5">
        <f>IFERROR(__xludf.DUMMYFUNCTION("""COMPUTED_VALUE"""),5.0)</f>
        <v>5</v>
      </c>
      <c r="W450" s="5">
        <f>IFERROR(__xludf.DUMMYFUNCTION("""COMPUTED_VALUE"""),5.0)</f>
        <v>5</v>
      </c>
      <c r="X450" s="5">
        <f>IFERROR(__xludf.DUMMYFUNCTION("""COMPUTED_VALUE"""),96.0)</f>
        <v>96</v>
      </c>
      <c r="Y450" s="5" t="str">
        <f>IFERROR(__xludf.DUMMYFUNCTION("""COMPUTED_VALUE"""),"Low")</f>
        <v>Low</v>
      </c>
      <c r="Z450" s="5">
        <f>IFERROR(__xludf.DUMMYFUNCTION("""COMPUTED_VALUE"""),14.4)</f>
        <v>14.4</v>
      </c>
      <c r="AA450" s="5">
        <f>IFERROR(__xludf.DUMMYFUNCTION("""COMPUTED_VALUE"""),10000.0)</f>
        <v>10000</v>
      </c>
      <c r="AB450" s="5"/>
      <c r="AC450" s="5"/>
      <c r="AD450" s="5" t="str">
        <f>IFERROR(__xludf.DUMMYFUNCTION("""COMPUTED_VALUE"""),"0.05/100")</f>
        <v>0.05/100</v>
      </c>
      <c r="AE450" s="5"/>
      <c r="AF450" s="5"/>
      <c r="AG450" s="8">
        <f>IFERROR(__xludf.DUMMYFUNCTION("""COMPUTED_VALUE"""),46197.498391203706)</f>
        <v>46197.49839</v>
      </c>
      <c r="AH450" s="5" t="str">
        <f>IFERROR(__xludf.DUMMYFUNCTION("""COMPUTED_VALUE"""),"selena.mihajlovic@fazi.rs")</f>
        <v>selena.mihajlovic@fazi.rs</v>
      </c>
      <c r="AI450" s="13"/>
      <c r="AJ450" s="5"/>
      <c r="AK450" s="5">
        <f>IFERROR(__xludf.DUMMYFUNCTION("""COMPUTED_VALUE"""),5.0)</f>
        <v>5</v>
      </c>
      <c r="AL450" s="5" t="str">
        <f>IFERROR(__xludf.DUMMYFUNCTION("""COMPUTED_VALUE"""),"No")</f>
        <v>No</v>
      </c>
      <c r="AM450" s="5"/>
      <c r="AN450" s="7" t="str">
        <f>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AO450" s="5"/>
      <c r="AP450" s="5"/>
      <c r="AQ450" s="5" t="b">
        <f>IFERROR(__xludf.DUMMYFUNCTION("""COMPUTED_VALUE"""),TRUE)</f>
        <v>1</v>
      </c>
      <c r="AR450" s="5"/>
      <c r="AS450" s="5" t="str">
        <f>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AT450" s="5"/>
      <c r="AU450" s="5" t="str">
        <f>IFERROR(__xludf.DUMMYFUNCTION("""COMPUTED_VALUE"""),"Fazi")</f>
        <v>Fazi</v>
      </c>
      <c r="AV450" s="5"/>
      <c r="AW450" s="5"/>
      <c r="AX450" s="5"/>
      <c r="AY450" s="5"/>
      <c r="AZ450" s="5"/>
      <c r="BA450" s="5"/>
      <c r="BB450" s="5" t="b">
        <f>IFERROR(__xludf.DUMMYFUNCTION("""COMPUTED_VALUE"""),TRUE)</f>
        <v>1</v>
      </c>
      <c r="BC450" s="5" t="str">
        <f>IFERROR(__xludf.DUMMYFUNCTION("""COMPUTED_VALUE"""),"Tiptop")</f>
        <v>Tiptop</v>
      </c>
      <c r="BD450" s="7" t="str">
        <f>IFERROR(__xludf.DUMMYFUNCTION("""COMPUTED_VALUE"""),"https://gameserver-store-client-area.orbionlimited.com/Home/IntegrationGameLaunch/client-area?moneyType=0&amp;gameName=UnicornBigSpinDragons&amp;platform=desktop&amp;languageCode=eng&amp;currency=EUR")</f>
        <v>https://gameserver-store-client-area.orbionlimited.com/Home/IntegrationGameLaunch/client-area?moneyType=0&amp;gameName=UnicornBigSpinDragons&amp;platform=desktop&amp;languageCode=eng&amp;currency=EUR</v>
      </c>
      <c r="BE450" s="5" t="b">
        <f>IFERROR(__xludf.DUMMYFUNCTION("""COMPUTED_VALUE"""),TRUE)</f>
        <v>1</v>
      </c>
    </row>
    <row r="451">
      <c r="A451" s="5">
        <f>IFERROR(__xludf.DUMMYFUNCTION("""COMPUTED_VALUE"""),474.0)</f>
        <v>474</v>
      </c>
      <c r="B451" s="5">
        <f>IFERROR(__xludf.DUMMYFUNCTION("""COMPUTED_VALUE"""),415.0)</f>
        <v>415</v>
      </c>
      <c r="C451" s="5" t="str">
        <f>IFERROR(__xludf.DUMMYFUNCTION("""COMPUTED_VALUE"""),"Tiptop")</f>
        <v>Tiptop</v>
      </c>
      <c r="D451" s="5" t="str">
        <f>IFERROR(__xludf.DUMMYFUNCTION("""COMPUTED_VALUE"""),"Simply Sevens Gems")</f>
        <v>Simply Sevens Gems</v>
      </c>
      <c r="E451" s="5" t="str">
        <f>IFERROR(__xludf.DUMMYFUNCTION("""COMPUTED_VALUE"""),"V4-2")</f>
        <v>V4-2</v>
      </c>
      <c r="F451" s="5" t="str">
        <f>IFERROR(__xludf.DUMMYFUNCTION("""COMPUTED_VALUE"""),"UnicornSimplySevensGems")</f>
        <v>UnicornSimplySevensGems</v>
      </c>
      <c r="G451" s="5" t="str">
        <f>IFERROR(__xludf.DUMMYFUNCTION("""COMPUTED_VALUE"""),"Live")</f>
        <v>Live</v>
      </c>
      <c r="H451" s="5"/>
      <c r="I451" s="5"/>
      <c r="J451" s="5" t="str">
        <f>IFERROR(__xludf.DUMMYFUNCTION("""COMPUTED_VALUE"""),"JSON")</f>
        <v>JSON</v>
      </c>
      <c r="K451" s="5" t="str">
        <f>IFERROR(__xludf.DUMMYFUNCTION("""COMPUTED_VALUE"""),"Slot")</f>
        <v>Slot</v>
      </c>
      <c r="L451" s="5" t="str">
        <f>IFERROR(__xludf.DUMMYFUNCTION("""COMPUTED_VALUE""")," Clone")</f>
        <v> Clone</v>
      </c>
      <c r="M451" s="5" t="str">
        <f>IFERROR(__xludf.DUMMYFUNCTION("""COMPUTED_VALUE"""),"Simply Sevens")</f>
        <v>Simply Sevens</v>
      </c>
      <c r="N451" s="5"/>
      <c r="O451" s="5"/>
      <c r="P451" s="12">
        <f>IFERROR(__xludf.DUMMYFUNCTION("""COMPUTED_VALUE"""),10.7)</f>
        <v>10.7</v>
      </c>
      <c r="Q451" s="13">
        <f>IFERROR(__xludf.DUMMYFUNCTION("""COMPUTED_VALUE"""),45813.0)</f>
        <v>45813</v>
      </c>
      <c r="R451" s="13">
        <f>IFERROR(__xludf.DUMMYFUNCTION("""COMPUTED_VALUE"""),45806.0)</f>
        <v>45806</v>
      </c>
      <c r="S451" s="13">
        <f>IFERROR(__xludf.DUMMYFUNCTION("""COMPUTED_VALUE"""),45813.0)</f>
        <v>45813</v>
      </c>
      <c r="T451" s="5" t="b">
        <f>IFERROR(__xludf.DUMMYFUNCTION("""COMPUTED_VALUE"""),TRUE)</f>
        <v>1</v>
      </c>
      <c r="U451" s="5" t="str">
        <f>IFERROR(__xludf.DUMMYFUNCTION("""COMPUTED_VALUE"""),"5x3")</f>
        <v>5x3</v>
      </c>
      <c r="V451" s="5">
        <f>IFERROR(__xludf.DUMMYFUNCTION("""COMPUTED_VALUE"""),10.0)</f>
        <v>10</v>
      </c>
      <c r="W451" s="5">
        <f>IFERROR(__xludf.DUMMYFUNCTION("""COMPUTED_VALUE"""),10.0)</f>
        <v>10</v>
      </c>
      <c r="X451" s="5">
        <f>IFERROR(__xludf.DUMMYFUNCTION("""COMPUTED_VALUE"""),96.0)</f>
        <v>96</v>
      </c>
      <c r="Y451" s="5" t="str">
        <f>IFERROR(__xludf.DUMMYFUNCTION("""COMPUTED_VALUE"""),"Low")</f>
        <v>Low</v>
      </c>
      <c r="Z451" s="5">
        <f>IFERROR(__xludf.DUMMYFUNCTION("""COMPUTED_VALUE"""),24.14)</f>
        <v>24.14</v>
      </c>
      <c r="AA451" s="5">
        <f>IFERROR(__xludf.DUMMYFUNCTION("""COMPUTED_VALUE"""),10000.0)</f>
        <v>10000</v>
      </c>
      <c r="AB451" s="5"/>
      <c r="AC451" s="5"/>
      <c r="AD451" s="5" t="str">
        <f>IFERROR(__xludf.DUMMYFUNCTION("""COMPUTED_VALUE"""),"0.1/100")</f>
        <v>0.1/100</v>
      </c>
      <c r="AE451" s="5"/>
      <c r="AF451" s="5"/>
      <c r="AG451" s="8">
        <f>IFERROR(__xludf.DUMMYFUNCTION("""COMPUTED_VALUE"""),46197.49857638889)</f>
        <v>46197.49858</v>
      </c>
      <c r="AH451" s="5" t="str">
        <f>IFERROR(__xludf.DUMMYFUNCTION("""COMPUTED_VALUE"""),"selena.mihajlovic@fazi.rs")</f>
        <v>selena.mihajlovic@fazi.rs</v>
      </c>
      <c r="AI451" s="13"/>
      <c r="AJ451" s="5"/>
      <c r="AK451" s="5">
        <f>IFERROR(__xludf.DUMMYFUNCTION("""COMPUTED_VALUE"""),10.0)</f>
        <v>10</v>
      </c>
      <c r="AL451" s="5" t="str">
        <f>IFERROR(__xludf.DUMMYFUNCTION("""COMPUTED_VALUE"""),"No")</f>
        <v>No</v>
      </c>
      <c r="AM451" s="5"/>
      <c r="AN451" s="7" t="str">
        <f>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AO451" s="5"/>
      <c r="AP451" s="5"/>
      <c r="AQ451" s="5" t="b">
        <f>IFERROR(__xludf.DUMMYFUNCTION("""COMPUTED_VALUE"""),TRUE)</f>
        <v>1</v>
      </c>
      <c r="AR451" s="5"/>
      <c r="AS451" s="5" t="str">
        <f>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AT451" s="5"/>
      <c r="AU451" s="5" t="str">
        <f>IFERROR(__xludf.DUMMYFUNCTION("""COMPUTED_VALUE"""),"Fazi")</f>
        <v>Fazi</v>
      </c>
      <c r="AV451" s="5"/>
      <c r="AW451" s="5"/>
      <c r="AX451" s="5"/>
      <c r="AY451" s="5"/>
      <c r="AZ451" s="5"/>
      <c r="BA451" s="5"/>
      <c r="BB451" s="5" t="b">
        <f>IFERROR(__xludf.DUMMYFUNCTION("""COMPUTED_VALUE"""),TRUE)</f>
        <v>1</v>
      </c>
      <c r="BC451" s="5" t="str">
        <f>IFERROR(__xludf.DUMMYFUNCTION("""COMPUTED_VALUE"""),"Tiptop")</f>
        <v>Tiptop</v>
      </c>
      <c r="BD451" s="7" t="str">
        <f>IFERROR(__xludf.DUMMYFUNCTION("""COMPUTED_VALUE"""),"https://gameserver-store-client-area.orbionlimited.com/Home/IntegrationGameLaunch/client-area?moneyType=0&amp;gameName=UnicornSimplySevensGems&amp;platform=desktop&amp;languageCode=eng&amp;currency=EUR")</f>
        <v>https://gameserver-store-client-area.orbionlimited.com/Home/IntegrationGameLaunch/client-area?moneyType=0&amp;gameName=UnicornSimplySevensGems&amp;platform=desktop&amp;languageCode=eng&amp;currency=EUR</v>
      </c>
      <c r="BE451" s="5" t="b">
        <f>IFERROR(__xludf.DUMMYFUNCTION("""COMPUTED_VALUE"""),TRUE)</f>
        <v>1</v>
      </c>
    </row>
    <row r="452">
      <c r="A452" s="5">
        <f>IFERROR(__xludf.DUMMYFUNCTION("""COMPUTED_VALUE"""),475.0)</f>
        <v>475</v>
      </c>
      <c r="B452" s="5">
        <f>IFERROR(__xludf.DUMMYFUNCTION("""COMPUTED_VALUE"""),407.0)</f>
        <v>407</v>
      </c>
      <c r="C452" s="5" t="str">
        <f>IFERROR(__xludf.DUMMYFUNCTION("""COMPUTED_VALUE"""),"Tiptop")</f>
        <v>Tiptop</v>
      </c>
      <c r="D452" s="5" t="str">
        <f>IFERROR(__xludf.DUMMYFUNCTION("""COMPUTED_VALUE"""),"Super Fire Dice Jackpot")</f>
        <v>Super Fire Dice Jackpot</v>
      </c>
      <c r="E452" s="5" t="str">
        <f>IFERROR(__xludf.DUMMYFUNCTION("""COMPUTED_VALUE"""),"V4-2")</f>
        <v>V4-2</v>
      </c>
      <c r="F452" s="5" t="str">
        <f>IFERROR(__xludf.DUMMYFUNCTION("""COMPUTED_VALUE"""),"UnicornSuperFireDiceJackpot")</f>
        <v>UnicornSuperFireDiceJackpot</v>
      </c>
      <c r="G452" s="5" t="str">
        <f>IFERROR(__xludf.DUMMYFUNCTION("""COMPUTED_VALUE"""),"Live")</f>
        <v>Live</v>
      </c>
      <c r="H452" s="5"/>
      <c r="I452" s="5"/>
      <c r="J452" s="5" t="str">
        <f>IFERROR(__xludf.DUMMYFUNCTION("""COMPUTED_VALUE"""),"JSON")</f>
        <v>JSON</v>
      </c>
      <c r="K452" s="5" t="str">
        <f>IFERROR(__xludf.DUMMYFUNCTION("""COMPUTED_VALUE"""),"Dice Slots")</f>
        <v>Dice Slots</v>
      </c>
      <c r="L452" s="5" t="str">
        <f>IFERROR(__xludf.DUMMYFUNCTION("""COMPUTED_VALUE""")," Clone")</f>
        <v> Clone</v>
      </c>
      <c r="M452" s="5" t="str">
        <f>IFERROR(__xludf.DUMMYFUNCTION("""COMPUTED_VALUE"""),"Unicorn 20 Hot Strike Jackpot")</f>
        <v>Unicorn 20 Hot Strike Jackpot</v>
      </c>
      <c r="N452" s="5"/>
      <c r="O452" s="5"/>
      <c r="P452" s="12">
        <f>IFERROR(__xludf.DUMMYFUNCTION("""COMPUTED_VALUE"""),10.6)</f>
        <v>10.6</v>
      </c>
      <c r="Q452" s="13">
        <f>IFERROR(__xludf.DUMMYFUNCTION("""COMPUTED_VALUE"""),45820.0)</f>
        <v>45820</v>
      </c>
      <c r="R452" s="13">
        <f>IFERROR(__xludf.DUMMYFUNCTION("""COMPUTED_VALUE"""),45813.0)</f>
        <v>45813</v>
      </c>
      <c r="S452" s="13">
        <f>IFERROR(__xludf.DUMMYFUNCTION("""COMPUTED_VALUE"""),45820.0)</f>
        <v>45820</v>
      </c>
      <c r="T452" s="5" t="b">
        <f>IFERROR(__xludf.DUMMYFUNCTION("""COMPUTED_VALUE"""),TRUE)</f>
        <v>1</v>
      </c>
      <c r="U452" s="5" t="str">
        <f>IFERROR(__xludf.DUMMYFUNCTION("""COMPUTED_VALUE"""),"5x3")</f>
        <v>5x3</v>
      </c>
      <c r="V452" s="5">
        <f>IFERROR(__xludf.DUMMYFUNCTION("""COMPUTED_VALUE"""),20.0)</f>
        <v>20</v>
      </c>
      <c r="W452" s="5">
        <f>IFERROR(__xludf.DUMMYFUNCTION("""COMPUTED_VALUE"""),20.0)</f>
        <v>20</v>
      </c>
      <c r="X452" s="5">
        <f>IFERROR(__xludf.DUMMYFUNCTION("""COMPUTED_VALUE"""),96.0)</f>
        <v>96</v>
      </c>
      <c r="Y452" s="5" t="str">
        <f>IFERROR(__xludf.DUMMYFUNCTION("""COMPUTED_VALUE"""),"Low")</f>
        <v>Low</v>
      </c>
      <c r="Z452" s="5">
        <f>IFERROR(__xludf.DUMMYFUNCTION("""COMPUTED_VALUE"""),14.46)</f>
        <v>14.46</v>
      </c>
      <c r="AA452" s="5">
        <f>IFERROR(__xludf.DUMMYFUNCTION("""COMPUTED_VALUE"""),10000.0)</f>
        <v>10000</v>
      </c>
      <c r="AB452" s="5"/>
      <c r="AC452" s="5"/>
      <c r="AD452" s="5" t="str">
        <f>IFERROR(__xludf.DUMMYFUNCTION("""COMPUTED_VALUE"""),"0.2/100")</f>
        <v>0.2/100</v>
      </c>
      <c r="AE452" s="5"/>
      <c r="AF452" s="5"/>
      <c r="AG452" s="8">
        <f>IFERROR(__xludf.DUMMYFUNCTION("""COMPUTED_VALUE"""),46197.49872685185)</f>
        <v>46197.49873</v>
      </c>
      <c r="AH452" s="5" t="str">
        <f>IFERROR(__xludf.DUMMYFUNCTION("""COMPUTED_VALUE"""),"selena.mihajlovic@fazi.rs")</f>
        <v>selena.mihajlovic@fazi.rs</v>
      </c>
      <c r="AI452" s="13"/>
      <c r="AJ452" s="5"/>
      <c r="AK452" s="5">
        <f>IFERROR(__xludf.DUMMYFUNCTION("""COMPUTED_VALUE"""),20.0)</f>
        <v>20</v>
      </c>
      <c r="AL452" s="5" t="str">
        <f>IFERROR(__xludf.DUMMYFUNCTION("""COMPUTED_VALUE"""),"No")</f>
        <v>No</v>
      </c>
      <c r="AM452" s="5"/>
      <c r="AN452" s="7" t="str">
        <f>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AO452" s="5"/>
      <c r="AP452" s="5"/>
      <c r="AQ452" s="5" t="b">
        <f>IFERROR(__xludf.DUMMYFUNCTION("""COMPUTED_VALUE"""),TRUE)</f>
        <v>1</v>
      </c>
      <c r="AR452" s="5"/>
      <c r="AS452" s="5" t="str">
        <f>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AT452" s="5"/>
      <c r="AU452" s="5" t="str">
        <f>IFERROR(__xludf.DUMMYFUNCTION("""COMPUTED_VALUE"""),"Fazi")</f>
        <v>Fazi</v>
      </c>
      <c r="AV452" s="5"/>
      <c r="AW452" s="5"/>
      <c r="AX452" s="5"/>
      <c r="AY452" s="5"/>
      <c r="AZ452" s="5"/>
      <c r="BA452" s="5"/>
      <c r="BB452" s="5" t="b">
        <f>IFERROR(__xludf.DUMMYFUNCTION("""COMPUTED_VALUE"""),TRUE)</f>
        <v>1</v>
      </c>
      <c r="BC452" s="5" t="str">
        <f>IFERROR(__xludf.DUMMYFUNCTION("""COMPUTED_VALUE"""),"Tiptop")</f>
        <v>Tiptop</v>
      </c>
      <c r="BD452" s="7" t="str">
        <f>IFERROR(__xludf.DUMMYFUNCTION("""COMPUTED_VALUE"""),"https://gameserver-store-client-area.orbionlimited.com/Home/IntegrationGameLaunch/client-area?moneyType=0&amp;gameName=UnicornSuperFireDiceJackpot&amp;platform=desktop&amp;languageCode=eng&amp;currency=EUR")</f>
        <v>https://gameserver-store-client-area.orbionlimited.com/Home/IntegrationGameLaunch/client-area?moneyType=0&amp;gameName=UnicornSuperFireDiceJackpot&amp;platform=desktop&amp;languageCode=eng&amp;currency=EUR</v>
      </c>
      <c r="BE452" s="5" t="b">
        <f>IFERROR(__xludf.DUMMYFUNCTION("""COMPUTED_VALUE"""),TRUE)</f>
        <v>1</v>
      </c>
    </row>
    <row r="453">
      <c r="A453" s="5">
        <f>IFERROR(__xludf.DUMMYFUNCTION("""COMPUTED_VALUE"""),476.0)</f>
        <v>476</v>
      </c>
      <c r="B453" s="5">
        <f>IFERROR(__xludf.DUMMYFUNCTION("""COMPUTED_VALUE"""),418.0)</f>
        <v>418</v>
      </c>
      <c r="C453" s="5" t="str">
        <f>IFERROR(__xludf.DUMMYFUNCTION("""COMPUTED_VALUE"""),"Tiptop")</f>
        <v>Tiptop</v>
      </c>
      <c r="D453" s="5" t="str">
        <f>IFERROR(__xludf.DUMMYFUNCTION("""COMPUTED_VALUE"""),"Mister Dice")</f>
        <v>Mister Dice</v>
      </c>
      <c r="E453" s="5" t="str">
        <f>IFERROR(__xludf.DUMMYFUNCTION("""COMPUTED_VALUE"""),"V4-2")</f>
        <v>V4-2</v>
      </c>
      <c r="F453" s="5" t="str">
        <f>IFERROR(__xludf.DUMMYFUNCTION("""COMPUTED_VALUE"""),"UnicornMisterDice")</f>
        <v>UnicornMisterDice</v>
      </c>
      <c r="G453" s="5" t="str">
        <f>IFERROR(__xludf.DUMMYFUNCTION("""COMPUTED_VALUE"""),"Live")</f>
        <v>Live</v>
      </c>
      <c r="H453" s="5"/>
      <c r="I453" s="5"/>
      <c r="J453" s="5" t="str">
        <f>IFERROR(__xludf.DUMMYFUNCTION("""COMPUTED_VALUE"""),"JSON")</f>
        <v>JSON</v>
      </c>
      <c r="K453" s="5" t="str">
        <f>IFERROR(__xludf.DUMMYFUNCTION("""COMPUTED_VALUE"""),"Dice Slots")</f>
        <v>Dice Slots</v>
      </c>
      <c r="L453" s="5" t="str">
        <f>IFERROR(__xludf.DUMMYFUNCTION("""COMPUTED_VALUE""")," Clone")</f>
        <v> Clone</v>
      </c>
      <c r="M453" s="5" t="str">
        <f>IFERROR(__xludf.DUMMYFUNCTION("""COMPUTED_VALUE"""),"MisterLuck")</f>
        <v>MisterLuck</v>
      </c>
      <c r="N453" s="5"/>
      <c r="O453" s="5"/>
      <c r="P453" s="12">
        <f>IFERROR(__xludf.DUMMYFUNCTION("""COMPUTED_VALUE"""),15.1)</f>
        <v>15.1</v>
      </c>
      <c r="Q453" s="13">
        <f>IFERROR(__xludf.DUMMYFUNCTION("""COMPUTED_VALUE"""),45825.0)</f>
        <v>45825</v>
      </c>
      <c r="R453" s="13">
        <f>IFERROR(__xludf.DUMMYFUNCTION("""COMPUTED_VALUE"""),45818.0)</f>
        <v>45818</v>
      </c>
      <c r="S453" s="13">
        <f>IFERROR(__xludf.DUMMYFUNCTION("""COMPUTED_VALUE"""),45825.0)</f>
        <v>45825</v>
      </c>
      <c r="T453" s="5" t="b">
        <f>IFERROR(__xludf.DUMMYFUNCTION("""COMPUTED_VALUE"""),TRUE)</f>
        <v>1</v>
      </c>
      <c r="U453" s="5" t="str">
        <f>IFERROR(__xludf.DUMMYFUNCTION("""COMPUTED_VALUE"""),"5x3")</f>
        <v>5x3</v>
      </c>
      <c r="V453" s="5">
        <f>IFERROR(__xludf.DUMMYFUNCTION("""COMPUTED_VALUE"""),5.0)</f>
        <v>5</v>
      </c>
      <c r="W453" s="5">
        <f>IFERROR(__xludf.DUMMYFUNCTION("""COMPUTED_VALUE"""),5.0)</f>
        <v>5</v>
      </c>
      <c r="X453" s="5">
        <f>IFERROR(__xludf.DUMMYFUNCTION("""COMPUTED_VALUE"""),96.0)</f>
        <v>96</v>
      </c>
      <c r="Y453" s="5" t="str">
        <f>IFERROR(__xludf.DUMMYFUNCTION("""COMPUTED_VALUE"""),"Low")</f>
        <v>Low</v>
      </c>
      <c r="Z453" s="5">
        <f>IFERROR(__xludf.DUMMYFUNCTION("""COMPUTED_VALUE"""),13.64)</f>
        <v>13.64</v>
      </c>
      <c r="AA453" s="5">
        <f>IFERROR(__xludf.DUMMYFUNCTION("""COMPUTED_VALUE"""),10000.0)</f>
        <v>10000</v>
      </c>
      <c r="AB453" s="5"/>
      <c r="AC453" s="5"/>
      <c r="AD453" s="5" t="str">
        <f>IFERROR(__xludf.DUMMYFUNCTION("""COMPUTED_VALUE"""),"0.05/100")</f>
        <v>0.05/100</v>
      </c>
      <c r="AE453" s="5"/>
      <c r="AF453" s="5"/>
      <c r="AG453" s="8">
        <f>IFERROR(__xludf.DUMMYFUNCTION("""COMPUTED_VALUE"""),46197.49885416667)</f>
        <v>46197.49885</v>
      </c>
      <c r="AH453" s="5" t="str">
        <f>IFERROR(__xludf.DUMMYFUNCTION("""COMPUTED_VALUE"""),"selena.mihajlovic@fazi.rs")</f>
        <v>selena.mihajlovic@fazi.rs</v>
      </c>
      <c r="AI453" s="13">
        <f>IFERROR(__xludf.DUMMYFUNCTION("""COMPUTED_VALUE"""),45817.0)</f>
        <v>45817</v>
      </c>
      <c r="AJ453" s="5" t="str">
        <f>IFERROR(__xludf.DUMMYFUNCTION("""COMPUTED_VALUE"""),"Panache (Gaming 1 integracija)")</f>
        <v>Panache (Gaming 1 integracija)</v>
      </c>
      <c r="AK453" s="5">
        <f>IFERROR(__xludf.DUMMYFUNCTION("""COMPUTED_VALUE"""),5.0)</f>
        <v>5</v>
      </c>
      <c r="AL453" s="5" t="str">
        <f>IFERROR(__xludf.DUMMYFUNCTION("""COMPUTED_VALUE"""),"No")</f>
        <v>No</v>
      </c>
      <c r="AM453" s="5"/>
      <c r="AN453" s="7" t="str">
        <f>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AO453" s="5"/>
      <c r="AP453" s="5"/>
      <c r="AQ453" s="5" t="b">
        <f>IFERROR(__xludf.DUMMYFUNCTION("""COMPUTED_VALUE"""),TRUE)</f>
        <v>1</v>
      </c>
      <c r="AR453" s="5"/>
      <c r="AS453" s="5" t="str">
        <f>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AT453" s="5"/>
      <c r="AU453" s="5" t="str">
        <f>IFERROR(__xludf.DUMMYFUNCTION("""COMPUTED_VALUE"""),"Fazi")</f>
        <v>Fazi</v>
      </c>
      <c r="AV453" s="5"/>
      <c r="AW453" s="5"/>
      <c r="AX453" s="5"/>
      <c r="AY453" s="5"/>
      <c r="AZ453" s="5"/>
      <c r="BA453" s="5"/>
      <c r="BB453" s="5" t="b">
        <f>IFERROR(__xludf.DUMMYFUNCTION("""COMPUTED_VALUE"""),TRUE)</f>
        <v>1</v>
      </c>
      <c r="BC453" s="5" t="str">
        <f>IFERROR(__xludf.DUMMYFUNCTION("""COMPUTED_VALUE"""),"Tiptop")</f>
        <v>Tiptop</v>
      </c>
      <c r="BD453" s="7" t="str">
        <f>IFERROR(__xludf.DUMMYFUNCTION("""COMPUTED_VALUE"""),"https://gameserver-store-client-area.orbionlimited.com/Home/IntegrationGameLaunch/client-area?moneyType=0&amp;gameName=UnicornMisterDice&amp;platform=desktop&amp;languageCode=eng&amp;currency=EUR")</f>
        <v>https://gameserver-store-client-area.orbionlimited.com/Home/IntegrationGameLaunch/client-area?moneyType=0&amp;gameName=UnicornMisterDice&amp;platform=desktop&amp;languageCode=eng&amp;currency=EUR</v>
      </c>
      <c r="BE453" s="5" t="b">
        <f>IFERROR(__xludf.DUMMYFUNCTION("""COMPUTED_VALUE"""),TRUE)</f>
        <v>1</v>
      </c>
    </row>
    <row r="454">
      <c r="A454" s="5">
        <f>IFERROR(__xludf.DUMMYFUNCTION("""COMPUTED_VALUE"""),477.0)</f>
        <v>477</v>
      </c>
      <c r="B454" s="5">
        <f>IFERROR(__xludf.DUMMYFUNCTION("""COMPUTED_VALUE"""),414.0)</f>
        <v>414</v>
      </c>
      <c r="C454" s="5" t="str">
        <f>IFERROR(__xludf.DUMMYFUNCTION("""COMPUTED_VALUE"""),"Tiptop")</f>
        <v>Tiptop</v>
      </c>
      <c r="D454" s="5" t="str">
        <f>IFERROR(__xludf.DUMMYFUNCTION("""COMPUTED_VALUE"""),"Three Reel Sevens")</f>
        <v>Three Reel Sevens</v>
      </c>
      <c r="E454" s="5" t="str">
        <f>IFERROR(__xludf.DUMMYFUNCTION("""COMPUTED_VALUE"""),"V4-2")</f>
        <v>V4-2</v>
      </c>
      <c r="F454" s="5" t="str">
        <f>IFERROR(__xludf.DUMMYFUNCTION("""COMPUTED_VALUE"""),"UnicornThreeReelSevens")</f>
        <v>UnicornThreeReelSevens</v>
      </c>
      <c r="G454" s="5" t="str">
        <f>IFERROR(__xludf.DUMMYFUNCTION("""COMPUTED_VALUE"""),"Live")</f>
        <v>Live</v>
      </c>
      <c r="H454" s="5"/>
      <c r="I454" s="5" t="str">
        <f>IFERROR(__xludf.DUMMYFUNCTION("""COMPUTED_VALUE"""),"TipTop")</f>
        <v>TipTop</v>
      </c>
      <c r="J454" s="5" t="str">
        <f>IFERROR(__xludf.DUMMYFUNCTION("""COMPUTED_VALUE"""),"JSON")</f>
        <v>JSON</v>
      </c>
      <c r="K454" s="5" t="str">
        <f>IFERROR(__xludf.DUMMYFUNCTION("""COMPUTED_VALUE"""),"Slot")</f>
        <v>Slot</v>
      </c>
      <c r="L454" s="5" t="str">
        <f>IFERROR(__xludf.DUMMYFUNCTION("""COMPUTED_VALUE"""),"Master")</f>
        <v>Master</v>
      </c>
      <c r="M454" s="5"/>
      <c r="N454" s="5"/>
      <c r="O454" s="5"/>
      <c r="P454" s="12">
        <f>IFERROR(__xludf.DUMMYFUNCTION("""COMPUTED_VALUE"""),10.5)</f>
        <v>10.5</v>
      </c>
      <c r="Q454" s="13">
        <f>IFERROR(__xludf.DUMMYFUNCTION("""COMPUTED_VALUE"""),45833.0)</f>
        <v>45833</v>
      </c>
      <c r="R454" s="13">
        <f>IFERROR(__xludf.DUMMYFUNCTION("""COMPUTED_VALUE"""),45826.0)</f>
        <v>45826</v>
      </c>
      <c r="S454" s="13">
        <f>IFERROR(__xludf.DUMMYFUNCTION("""COMPUTED_VALUE"""),45833.0)</f>
        <v>45833</v>
      </c>
      <c r="T454" s="5" t="b">
        <f>IFERROR(__xludf.DUMMYFUNCTION("""COMPUTED_VALUE"""),TRUE)</f>
        <v>1</v>
      </c>
      <c r="U454" s="5" t="str">
        <f>IFERROR(__xludf.DUMMYFUNCTION("""COMPUTED_VALUE"""),"3x3")</f>
        <v>3x3</v>
      </c>
      <c r="V454" s="5">
        <f>IFERROR(__xludf.DUMMYFUNCTION("""COMPUTED_VALUE"""),5.0)</f>
        <v>5</v>
      </c>
      <c r="W454" s="5">
        <f>IFERROR(__xludf.DUMMYFUNCTION("""COMPUTED_VALUE"""),5.0)</f>
        <v>5</v>
      </c>
      <c r="X454" s="5">
        <f>IFERROR(__xludf.DUMMYFUNCTION("""COMPUTED_VALUE"""),96.0)</f>
        <v>96</v>
      </c>
      <c r="Y454" s="5" t="str">
        <f>IFERROR(__xludf.DUMMYFUNCTION("""COMPUTED_VALUE"""),"Low")</f>
        <v>Low</v>
      </c>
      <c r="Z454" s="5">
        <f>IFERROR(__xludf.DUMMYFUNCTION("""COMPUTED_VALUE"""),12.6)</f>
        <v>12.6</v>
      </c>
      <c r="AA454" s="5">
        <f>IFERROR(__xludf.DUMMYFUNCTION("""COMPUTED_VALUE"""),1000.0)</f>
        <v>1000</v>
      </c>
      <c r="AB454" s="5"/>
      <c r="AC454" s="5"/>
      <c r="AD454" s="5" t="str">
        <f>IFERROR(__xludf.DUMMYFUNCTION("""COMPUTED_VALUE"""),"0.05/100")</f>
        <v>0.05/100</v>
      </c>
      <c r="AE454" s="5"/>
      <c r="AF454" s="5"/>
      <c r="AG454" s="8">
        <f>IFERROR(__xludf.DUMMYFUNCTION("""COMPUTED_VALUE"""),46197.499027777776)</f>
        <v>46197.49903</v>
      </c>
      <c r="AH454" s="5" t="str">
        <f>IFERROR(__xludf.DUMMYFUNCTION("""COMPUTED_VALUE"""),"selena.mihajlovic@fazi.rs")</f>
        <v>selena.mihajlovic@fazi.rs</v>
      </c>
      <c r="AI454" s="13"/>
      <c r="AJ454" s="5"/>
      <c r="AK454" s="5">
        <f>IFERROR(__xludf.DUMMYFUNCTION("""COMPUTED_VALUE"""),5.0)</f>
        <v>5</v>
      </c>
      <c r="AL454" s="5" t="str">
        <f>IFERROR(__xludf.DUMMYFUNCTION("""COMPUTED_VALUE"""),"No")</f>
        <v>No</v>
      </c>
      <c r="AM454" s="5"/>
      <c r="AN454" s="7" t="str">
        <f>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AO454" s="5"/>
      <c r="AP454" s="5"/>
      <c r="AQ454" s="5" t="b">
        <f>IFERROR(__xludf.DUMMYFUNCTION("""COMPUTED_VALUE"""),TRUE)</f>
        <v>1</v>
      </c>
      <c r="AR454" s="5"/>
      <c r="AS454" s="5" t="str">
        <f>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AT454" s="5"/>
      <c r="AU454" s="5" t="str">
        <f>IFERROR(__xludf.DUMMYFUNCTION("""COMPUTED_VALUE"""),"Fazi")</f>
        <v>Fazi</v>
      </c>
      <c r="AV454" s="5"/>
      <c r="AW454" s="5"/>
      <c r="AX454" s="5"/>
      <c r="AY454" s="5"/>
      <c r="AZ454" s="5"/>
      <c r="BA454" s="5"/>
      <c r="BB454" s="5" t="b">
        <f>IFERROR(__xludf.DUMMYFUNCTION("""COMPUTED_VALUE"""),TRUE)</f>
        <v>1</v>
      </c>
      <c r="BC454" s="5" t="str">
        <f>IFERROR(__xludf.DUMMYFUNCTION("""COMPUTED_VALUE"""),"Tiptop")</f>
        <v>Tiptop</v>
      </c>
      <c r="BD454" s="7" t="str">
        <f>IFERROR(__xludf.DUMMYFUNCTION("""COMPUTED_VALUE"""),"https://gameserver-store-client-area.orbionlimited.com/Home/IntegrationGameLaunch/client-area?moneyType=0&amp;gameName=UnicornThreeReelSevens&amp;platform=desktop&amp;languageCode=eng&amp;currency=EUR")</f>
        <v>https://gameserver-store-client-area.orbionlimited.com/Home/IntegrationGameLaunch/client-area?moneyType=0&amp;gameName=UnicornThreeReelSevens&amp;platform=desktop&amp;languageCode=eng&amp;currency=EUR</v>
      </c>
      <c r="BE454" s="5" t="b">
        <f>IFERROR(__xludf.DUMMYFUNCTION("""COMPUTED_VALUE"""),TRUE)</f>
        <v>1</v>
      </c>
    </row>
    <row r="455">
      <c r="A455" s="5">
        <f>IFERROR(__xludf.DUMMYFUNCTION("""COMPUTED_VALUE"""),478.0)</f>
        <v>478</v>
      </c>
      <c r="B455" s="5">
        <f>IFERROR(__xludf.DUMMYFUNCTION("""COMPUTED_VALUE"""),1006.0)</f>
        <v>1006</v>
      </c>
      <c r="C455" s="5" t="str">
        <f>IFERROR(__xludf.DUMMYFUNCTION("""COMPUTED_VALUE"""),"Fazi")</f>
        <v>Fazi</v>
      </c>
      <c r="D455" s="5" t="str">
        <f>IFERROR(__xludf.DUMMYFUNCTION("""COMPUTED_VALUE"""),"Lucky Sheriff")</f>
        <v>Lucky Sheriff</v>
      </c>
      <c r="E455" s="5" t="str">
        <f>IFERROR(__xludf.DUMMYFUNCTION("""COMPUTED_VALUE"""),"V4-1")</f>
        <v>V4-1</v>
      </c>
      <c r="F455" s="5" t="str">
        <f>IFERROR(__xludf.DUMMYFUNCTION("""COMPUTED_VALUE"""),"LuckySheriff")</f>
        <v>LuckySheriff</v>
      </c>
      <c r="G455" s="5" t="str">
        <f>IFERROR(__xludf.DUMMYFUNCTION("""COMPUTED_VALUE"""),"Live")</f>
        <v>Live</v>
      </c>
      <c r="H455" s="5"/>
      <c r="I455" s="5" t="str">
        <f>IFERROR(__xludf.DUMMYFUNCTION("""COMPUTED_VALUE"""),"V4")</f>
        <v>V4</v>
      </c>
      <c r="J455" s="5" t="str">
        <f>IFERROR(__xludf.DUMMYFUNCTION("""COMPUTED_VALUE"""),"JSON")</f>
        <v>JSON</v>
      </c>
      <c r="K455" s="5" t="str">
        <f>IFERROR(__xludf.DUMMYFUNCTION("""COMPUTED_VALUE"""),"Slot")</f>
        <v>Slot</v>
      </c>
      <c r="L455" s="5" t="str">
        <f>IFERROR(__xludf.DUMMYFUNCTION("""COMPUTED_VALUE"""),"Master")</f>
        <v>Master</v>
      </c>
      <c r="M455" s="5"/>
      <c r="N455" s="5"/>
      <c r="O455" s="5"/>
      <c r="P455" s="12">
        <f>IFERROR(__xludf.DUMMYFUNCTION("""COMPUTED_VALUE"""),23.75)</f>
        <v>23.75</v>
      </c>
      <c r="Q455" s="13">
        <f>IFERROR(__xludf.DUMMYFUNCTION("""COMPUTED_VALUE"""),45943.0)</f>
        <v>45943</v>
      </c>
      <c r="R455" s="13">
        <f>IFERROR(__xludf.DUMMYFUNCTION("""COMPUTED_VALUE"""),45953.0)</f>
        <v>45953</v>
      </c>
      <c r="S455" s="13">
        <f>IFERROR(__xludf.DUMMYFUNCTION("""COMPUTED_VALUE"""),45960.0)</f>
        <v>45960</v>
      </c>
      <c r="T455" s="5" t="b">
        <f>IFERROR(__xludf.DUMMYFUNCTION("""COMPUTED_VALUE"""),TRUE)</f>
        <v>1</v>
      </c>
      <c r="U455" s="5" t="str">
        <f>IFERROR(__xludf.DUMMYFUNCTION("""COMPUTED_VALUE"""),"5x3")</f>
        <v>5x3</v>
      </c>
      <c r="V455" s="5">
        <f>IFERROR(__xludf.DUMMYFUNCTION("""COMPUTED_VALUE"""),25.0)</f>
        <v>25</v>
      </c>
      <c r="W455" s="5">
        <f>IFERROR(__xludf.DUMMYFUNCTION("""COMPUTED_VALUE"""),25.0)</f>
        <v>25</v>
      </c>
      <c r="X455" s="5">
        <f>IFERROR(__xludf.DUMMYFUNCTION("""COMPUTED_VALUE"""),96.556)</f>
        <v>96.556</v>
      </c>
      <c r="Y455" s="5" t="str">
        <f>IFERROR(__xludf.DUMMYFUNCTION("""COMPUTED_VALUE"""),"High")</f>
        <v>High</v>
      </c>
      <c r="Z455" s="5">
        <f>IFERROR(__xludf.DUMMYFUNCTION("""COMPUTED_VALUE"""),43.091)</f>
        <v>43.091</v>
      </c>
      <c r="AA455" s="5">
        <f>IFERROR(__xludf.DUMMYFUNCTION("""COMPUTED_VALUE"""),1590.0)</f>
        <v>1590</v>
      </c>
      <c r="AB455" s="5"/>
      <c r="AC455" s="5" t="str">
        <f>IFERROR(__xludf.DUMMYFUNCTION("""COMPUTED_VALUE"""),"Wild Symbol, Respin, Bonus Game with Free Spins, Buy Bonus")</f>
        <v>Wild Symbol, Respin, Bonus Game with Free Spins, Buy Bonus</v>
      </c>
      <c r="AD455" s="5" t="str">
        <f>IFERROR(__xludf.DUMMYFUNCTION("""COMPUTED_VALUE"""),"0.25/50")</f>
        <v>0.25/50</v>
      </c>
      <c r="AE455" s="5"/>
      <c r="AF455" s="5"/>
      <c r="AG455" s="8">
        <f>IFERROR(__xludf.DUMMYFUNCTION("""COMPUTED_VALUE"""),46162.43084490741)</f>
        <v>46162.43084</v>
      </c>
      <c r="AH455" s="5" t="str">
        <f>IFERROR(__xludf.DUMMYFUNCTION("""COMPUTED_VALUE"""),"djordje.petrovic@fazi.rs")</f>
        <v>djordje.petrovic@fazi.rs</v>
      </c>
      <c r="AI455" s="13">
        <f>IFERROR(__xludf.DUMMYFUNCTION("""COMPUTED_VALUE"""),45950.0)</f>
        <v>45950</v>
      </c>
      <c r="AJ455" s="5" t="str">
        <f>IFERROR(__xludf.DUMMYFUNCTION("""COMPUTED_VALUE"""),"1xBet ")</f>
        <v>1xBet </v>
      </c>
      <c r="AK455" s="5">
        <f>IFERROR(__xludf.DUMMYFUNCTION("""COMPUTED_VALUE"""),5.0)</f>
        <v>5</v>
      </c>
      <c r="AL455" s="5" t="str">
        <f>IFERROR(__xludf.DUMMYFUNCTION("""COMPUTED_VALUE"""),"No")</f>
        <v>No</v>
      </c>
      <c r="AM455" s="5" t="str">
        <f>IFERROR(__xludf.DUMMYFUNCTION("""COMPUTED_VALUE"""),"Yes")</f>
        <v>Yes</v>
      </c>
      <c r="AN455" s="7" t="str">
        <f>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AO455" s="5" t="str">
        <f>IFERROR(__xludf.DUMMYFUNCTION("""COMPUTED_VALUE"""),"Yes")</f>
        <v>Yes</v>
      </c>
      <c r="AP455" s="5" t="str">
        <f>IFERROR(__xludf.DUMMYFUNCTION("""COMPUTED_VALUE"""),"Yes")</f>
        <v>Yes</v>
      </c>
      <c r="AQ455" s="5" t="b">
        <f>IFERROR(__xludf.DUMMYFUNCTION("""COMPUTED_VALUE"""),TRUE)</f>
        <v>1</v>
      </c>
      <c r="AR455" s="5"/>
      <c r="AS455" s="5" t="str">
        <f>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AT455" s="5" t="str">
        <f>IFERROR(__xludf.DUMMYFUNCTION("""COMPUTED_VALUE"""),"Yes")</f>
        <v>Yes</v>
      </c>
      <c r="AU455" s="5" t="str">
        <f>IFERROR(__xludf.DUMMYFUNCTION("""COMPUTED_VALUE"""),"Fazi")</f>
        <v>Fazi</v>
      </c>
      <c r="AV455" s="5"/>
      <c r="AW455" s="5"/>
      <c r="AX455" s="13">
        <f>IFERROR(__xludf.DUMMYFUNCTION("""COMPUTED_VALUE"""),45937.0)</f>
        <v>45937</v>
      </c>
      <c r="AY455" s="13"/>
      <c r="AZ455" s="13"/>
      <c r="BA455" s="5" t="str">
        <f>IFERROR(__xludf.DUMMYFUNCTION("""COMPUTED_VALUE"""),"50, 70")</f>
        <v>50, 70</v>
      </c>
      <c r="BB455" s="5"/>
      <c r="BC455" s="5" t="str">
        <f>IFERROR(__xludf.DUMMYFUNCTION("""COMPUTED_VALUE"""),"Foxi")</f>
        <v>Foxi</v>
      </c>
      <c r="BD455" s="7" t="str">
        <f>IFERROR(__xludf.DUMMYFUNCTION("""COMPUTED_VALUE"""),"https://gameserver-store-client-area.orbionlimited.com/Home/IntegrationGameLaunch/client-area?moneyType=0&amp;gameName=LuckySheriff&amp;platform=desktop&amp;languageCode=eng&amp;currency=EUR")</f>
        <v>https://gameserver-store-client-area.orbionlimited.com/Home/IntegrationGameLaunch/client-area?moneyType=0&amp;gameName=LuckySheriff&amp;platform=desktop&amp;languageCode=eng&amp;currency=EUR</v>
      </c>
      <c r="BE455" s="5" t="b">
        <f>IFERROR(__xludf.DUMMYFUNCTION("""COMPUTED_VALUE"""),TRUE)</f>
        <v>1</v>
      </c>
    </row>
    <row r="456">
      <c r="A456" s="5">
        <f>IFERROR(__xludf.DUMMYFUNCTION("""COMPUTED_VALUE"""),479.0)</f>
        <v>479</v>
      </c>
      <c r="B456" s="5">
        <f>IFERROR(__xludf.DUMMYFUNCTION("""COMPUTED_VALUE"""),1007.0)</f>
        <v>1007</v>
      </c>
      <c r="C456" s="5" t="str">
        <f>IFERROR(__xludf.DUMMYFUNCTION("""COMPUTED_VALUE"""),"Fazi")</f>
        <v>Fazi</v>
      </c>
      <c r="D456" s="5" t="str">
        <f>IFERROR(__xludf.DUMMYFUNCTION("""COMPUTED_VALUE"""),"Coin Splash")</f>
        <v>Coin Splash</v>
      </c>
      <c r="E456" s="5" t="str">
        <f>IFERROR(__xludf.DUMMYFUNCTION("""COMPUTED_VALUE"""),"V4-1")</f>
        <v>V4-1</v>
      </c>
      <c r="F456" s="5" t="str">
        <f>IFERROR(__xludf.DUMMYFUNCTION("""COMPUTED_VALUE"""),"CoinSplash")</f>
        <v>CoinSplash</v>
      </c>
      <c r="G456" s="5" t="str">
        <f>IFERROR(__xludf.DUMMYFUNCTION("""COMPUTED_VALUE"""),"Live")</f>
        <v>Live</v>
      </c>
      <c r="H456" s="5"/>
      <c r="I456" s="5" t="str">
        <f>IFERROR(__xludf.DUMMYFUNCTION("""COMPUTED_VALUE"""),"V4")</f>
        <v>V4</v>
      </c>
      <c r="J456" s="5" t="str">
        <f>IFERROR(__xludf.DUMMYFUNCTION("""COMPUTED_VALUE"""),"JSON")</f>
        <v>JSON</v>
      </c>
      <c r="K456" s="5" t="str">
        <f>IFERROR(__xludf.DUMMYFUNCTION("""COMPUTED_VALUE"""),"Slot")</f>
        <v>Slot</v>
      </c>
      <c r="L456" s="5" t="str">
        <f>IFERROR(__xludf.DUMMYFUNCTION("""COMPUTED_VALUE""")," Clone")</f>
        <v> Clone</v>
      </c>
      <c r="M456" s="5" t="str">
        <f>IFERROR(__xludf.DUMMYFUNCTION("""COMPUTED_VALUE"""),"Blow Fruits 40")</f>
        <v>Blow Fruits 40</v>
      </c>
      <c r="N456" s="7" t="str">
        <f>IFERROR(__xludf.DUMMYFUNCTION("""COMPUTED_VALUE"""),"https://drive.google.com/file/d/1rrWTfY4LMCdgbEbfmhrvsVsKCd2w4bvO/view?usp=sharing")</f>
        <v>https://drive.google.com/file/d/1rrWTfY4LMCdgbEbfmhrvsVsKCd2w4bvO/view?usp=sharing</v>
      </c>
      <c r="O456" s="7" t="str">
        <f>IFERROR(__xludf.DUMMYFUNCTION("""COMPUTED_VALUE"""),"https://drive.google.com/file/d/1TMpX-3d-GMrkiWUaYstT8weMYDI2yoSD/view?usp=sharing")</f>
        <v>https://drive.google.com/file/d/1TMpX-3d-GMrkiWUaYstT8weMYDI2yoSD/view?usp=sharing</v>
      </c>
      <c r="P456" s="12">
        <f>IFERROR(__xludf.DUMMYFUNCTION("""COMPUTED_VALUE"""),14.0)</f>
        <v>14</v>
      </c>
      <c r="Q456" s="13">
        <f>IFERROR(__xludf.DUMMYFUNCTION("""COMPUTED_VALUE"""),45783.0)</f>
        <v>45783</v>
      </c>
      <c r="R456" s="13">
        <f>IFERROR(__xludf.DUMMYFUNCTION("""COMPUTED_VALUE"""),45776.0)</f>
        <v>45776</v>
      </c>
      <c r="S456" s="13">
        <f>IFERROR(__xludf.DUMMYFUNCTION("""COMPUTED_VALUE"""),45783.0)</f>
        <v>45783</v>
      </c>
      <c r="T456" s="5" t="b">
        <f>IFERROR(__xludf.DUMMYFUNCTION("""COMPUTED_VALUE"""),TRUE)</f>
        <v>1</v>
      </c>
      <c r="U456" s="5" t="str">
        <f>IFERROR(__xludf.DUMMYFUNCTION("""COMPUTED_VALUE"""),"5x4")</f>
        <v>5x4</v>
      </c>
      <c r="V456" s="5">
        <f>IFERROR(__xludf.DUMMYFUNCTION("""COMPUTED_VALUE"""),40.0)</f>
        <v>40</v>
      </c>
      <c r="W456" s="5">
        <f>IFERROR(__xludf.DUMMYFUNCTION("""COMPUTED_VALUE"""),40.0)</f>
        <v>40</v>
      </c>
      <c r="X456" s="5">
        <f>IFERROR(__xludf.DUMMYFUNCTION("""COMPUTED_VALUE"""),96.594)</f>
        <v>96.594</v>
      </c>
      <c r="Y456" s="5" t="str">
        <f>IFERROR(__xludf.DUMMYFUNCTION("""COMPUTED_VALUE"""),"Medium")</f>
        <v>Medium</v>
      </c>
      <c r="Z456" s="5">
        <f>IFERROR(__xludf.DUMMYFUNCTION("""COMPUTED_VALUE"""),12.056)</f>
        <v>12.056</v>
      </c>
      <c r="AA456" s="5">
        <f>IFERROR(__xludf.DUMMYFUNCTION("""COMPUTED_VALUE"""),750.0)</f>
        <v>750</v>
      </c>
      <c r="AB456" s="5"/>
      <c r="AC456" s="5" t="str">
        <f>IFERROR(__xludf.DUMMYFUNCTION("""COMPUTED_VALUE"""),"Exploding Wild")</f>
        <v>Exploding Wild</v>
      </c>
      <c r="AD456" s="5" t="str">
        <f>IFERROR(__xludf.DUMMYFUNCTION("""COMPUTED_VALUE"""),"0.04/60")</f>
        <v>0.04/60</v>
      </c>
      <c r="AE456" s="5"/>
      <c r="AF456" s="5"/>
      <c r="AG456" s="8">
        <f>IFERROR(__xludf.DUMMYFUNCTION("""COMPUTED_VALUE"""),46198.518900462965)</f>
        <v>46198.5189</v>
      </c>
      <c r="AH456" s="5" t="str">
        <f>IFERROR(__xludf.DUMMYFUNCTION("""COMPUTED_VALUE"""),"selena.mihajlovic@fazi.rs")</f>
        <v>selena.mihajlovic@fazi.rs</v>
      </c>
      <c r="AI456" s="13"/>
      <c r="AJ456" s="5"/>
      <c r="AK456" s="5">
        <f>IFERROR(__xludf.DUMMYFUNCTION("""COMPUTED_VALUE"""),4.0)</f>
        <v>4</v>
      </c>
      <c r="AL456" s="5" t="str">
        <f>IFERROR(__xludf.DUMMYFUNCTION("""COMPUTED_VALUE"""),"Yes")</f>
        <v>Yes</v>
      </c>
      <c r="AM456" s="5"/>
      <c r="AN456" s="7" t="str">
        <f>IFERROR(__xludf.DUMMYFUNCTION("""COMPUTED_VALUE"""),"https://gameserver-store-msstg.fazi.rs/Home/IntegrationGameLaunch/fazi-stg16?moneyType=0&amp;currency=EUR&amp;gameName=CoinSplash")</f>
        <v>https://gameserver-store-msstg.fazi.rs/Home/IntegrationGameLaunch/fazi-stg16?moneyType=0&amp;currency=EUR&amp;gameName=CoinSplash</v>
      </c>
      <c r="AO456" s="5" t="str">
        <f>IFERROR(__xludf.DUMMYFUNCTION("""COMPUTED_VALUE"""),"Yes")</f>
        <v>Yes</v>
      </c>
      <c r="AP456" s="5" t="str">
        <f>IFERROR(__xludf.DUMMYFUNCTION("""COMPUTED_VALUE"""),"Yes")</f>
        <v>Yes</v>
      </c>
      <c r="AQ456" s="5" t="b">
        <f>IFERROR(__xludf.DUMMYFUNCTION("""COMPUTED_VALUE"""),TRUE)</f>
        <v>1</v>
      </c>
      <c r="AR456" s="5"/>
      <c r="AS456" s="5" t="str">
        <f>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AT456" s="5" t="str">
        <f>IFERROR(__xludf.DUMMYFUNCTION("""COMPUTED_VALUE"""),"No")</f>
        <v>No</v>
      </c>
      <c r="AU456" s="5" t="str">
        <f>IFERROR(__xludf.DUMMYFUNCTION("""COMPUTED_VALUE"""),"Fazi")</f>
        <v>Fazi</v>
      </c>
      <c r="AV456" s="5"/>
      <c r="AW456" s="5"/>
      <c r="AX456" s="5"/>
      <c r="AY456" s="5"/>
      <c r="AZ456" s="5"/>
      <c r="BA456" s="5"/>
      <c r="BB456" s="5"/>
      <c r="BC456" s="5" t="str">
        <f>IFERROR(__xludf.DUMMYFUNCTION("""COMPUTED_VALUE"""),"Foxi")</f>
        <v>Foxi</v>
      </c>
      <c r="BD456" s="7" t="str">
        <f>IFERROR(__xludf.DUMMYFUNCTION("""COMPUTED_VALUE"""),"https://gameserver-store-client-area.orbionlimited.com/Home/IntegrationGameLaunch/client-area?moneyType=0&amp;gameName=CoinSplash&amp;platform=desktop&amp;languageCode=eng&amp;currency=EUR")</f>
        <v>https://gameserver-store-client-area.orbionlimited.com/Home/IntegrationGameLaunch/client-area?moneyType=0&amp;gameName=CoinSplash&amp;platform=desktop&amp;languageCode=eng&amp;currency=EUR</v>
      </c>
      <c r="BE456" s="5" t="b">
        <f>IFERROR(__xludf.DUMMYFUNCTION("""COMPUTED_VALUE"""),TRUE)</f>
        <v>1</v>
      </c>
    </row>
    <row r="457">
      <c r="A457" s="5">
        <f>IFERROR(__xludf.DUMMYFUNCTION("""COMPUTED_VALUE"""),480.0)</f>
        <v>480</v>
      </c>
      <c r="B457" s="5">
        <f>IFERROR(__xludf.DUMMYFUNCTION("""COMPUTED_VALUE"""),180013.0)</f>
        <v>180013</v>
      </c>
      <c r="C457" s="5" t="str">
        <f>IFERROR(__xludf.DUMMYFUNCTION("""COMPUTED_VALUE"""),"Redstone")</f>
        <v>Redstone</v>
      </c>
      <c r="D457" s="5" t="str">
        <f>IFERROR(__xludf.DUMMYFUNCTION("""COMPUTED_VALUE"""),"10 Wild Heart")</f>
        <v>10 Wild Heart</v>
      </c>
      <c r="E457" s="5" t="str">
        <f>IFERROR(__xludf.DUMMYFUNCTION("""COMPUTED_VALUE"""),"Redstone")</f>
        <v>Redstone</v>
      </c>
      <c r="F457" s="5" t="str">
        <f>IFERROR(__xludf.DUMMYFUNCTION("""COMPUTED_VALUE"""),"Redstone10WildHeart")</f>
        <v>Redstone10WildHeart</v>
      </c>
      <c r="G457" s="5" t="str">
        <f>IFERROR(__xludf.DUMMYFUNCTION("""COMPUTED_VALUE"""),"Live")</f>
        <v>Live</v>
      </c>
      <c r="H457" s="5"/>
      <c r="I457" s="5" t="str">
        <f>IFERROR(__xludf.DUMMYFUNCTION("""COMPUTED_VALUE"""),"Redstone")</f>
        <v>Redstone</v>
      </c>
      <c r="J457" s="5" t="str">
        <f>IFERROR(__xludf.DUMMYFUNCTION("""COMPUTED_VALUE"""),"JSON")</f>
        <v>JSON</v>
      </c>
      <c r="K457" s="5" t="str">
        <f>IFERROR(__xludf.DUMMYFUNCTION("""COMPUTED_VALUE"""),"Slot")</f>
        <v>Slot</v>
      </c>
      <c r="L457" s="5" t="str">
        <f>IFERROR(__xludf.DUMMYFUNCTION("""COMPUTED_VALUE"""),"Master")</f>
        <v>Master</v>
      </c>
      <c r="M457" s="5"/>
      <c r="N457" s="7" t="str">
        <f>IFERROR(__xludf.DUMMYFUNCTION("""COMPUTED_VALUE"""),"https://drive.google.com/file/d/1ab3ESJmNaQTYQ2yRtk3CzvhG5e61AzoG/view?usp=drive_link")</f>
        <v>https://drive.google.com/file/d/1ab3ESJmNaQTYQ2yRtk3CzvhG5e61AzoG/view?usp=drive_link</v>
      </c>
      <c r="O457" s="7" t="str">
        <f>IFERROR(__xludf.DUMMYFUNCTION("""COMPUTED_VALUE"""),"https://drive.google.com/file/d/1-3HYx5EH8g8nTtAydEBMqfN6nNh_Jre2/view?usp=drive_link")</f>
        <v>https://drive.google.com/file/d/1-3HYx5EH8g8nTtAydEBMqfN6nNh_Jre2/view?usp=drive_link</v>
      </c>
      <c r="P457" s="12">
        <f>IFERROR(__xludf.DUMMYFUNCTION("""COMPUTED_VALUE"""),6.9)</f>
        <v>6.9</v>
      </c>
      <c r="Q457" s="13">
        <f>IFERROR(__xludf.DUMMYFUNCTION("""COMPUTED_VALUE"""),45754.0)</f>
        <v>45754</v>
      </c>
      <c r="R457" s="13">
        <f>IFERROR(__xludf.DUMMYFUNCTION("""COMPUTED_VALUE"""),45747.0)</f>
        <v>45747</v>
      </c>
      <c r="S457" s="13">
        <f>IFERROR(__xludf.DUMMYFUNCTION("""COMPUTED_VALUE"""),45754.0)</f>
        <v>45754</v>
      </c>
      <c r="T457" s="5" t="b">
        <f>IFERROR(__xludf.DUMMYFUNCTION("""COMPUTED_VALUE"""),TRUE)</f>
        <v>1</v>
      </c>
      <c r="U457" s="5" t="str">
        <f>IFERROR(__xludf.DUMMYFUNCTION("""COMPUTED_VALUE"""),"5x3")</f>
        <v>5x3</v>
      </c>
      <c r="V457" s="5">
        <f>IFERROR(__xludf.DUMMYFUNCTION("""COMPUTED_VALUE"""),10.0)</f>
        <v>10</v>
      </c>
      <c r="W457" s="5">
        <f>IFERROR(__xludf.DUMMYFUNCTION("""COMPUTED_VALUE"""),10.0)</f>
        <v>10</v>
      </c>
      <c r="X457" s="5">
        <f>IFERROR(__xludf.DUMMYFUNCTION("""COMPUTED_VALUE"""),95.96)</f>
        <v>95.96</v>
      </c>
      <c r="Y457" s="5" t="str">
        <f>IFERROR(__xludf.DUMMYFUNCTION("""COMPUTED_VALUE"""),"Medium")</f>
        <v>Medium</v>
      </c>
      <c r="Z457" s="5">
        <f>IFERROR(__xludf.DUMMYFUNCTION("""COMPUTED_VALUE"""),14.63)</f>
        <v>14.63</v>
      </c>
      <c r="AA457" s="5">
        <f>IFERROR(__xludf.DUMMYFUNCTION("""COMPUTED_VALUE"""),1538.0)</f>
        <v>1538</v>
      </c>
      <c r="AB457" s="5"/>
      <c r="AC457" s="5" t="str">
        <f>IFERROR(__xludf.DUMMYFUNCTION("""COMPUTED_VALUE"""),"Expanding Wild, Ante Bet, Bonus Game with Free Spins, Scatter")</f>
        <v>Expanding Wild, Ante Bet, Bonus Game with Free Spins, Scatter</v>
      </c>
      <c r="AD457" s="5" t="str">
        <f>IFERROR(__xludf.DUMMYFUNCTION("""COMPUTED_VALUE"""),"0.10/100")</f>
        <v>0.10/100</v>
      </c>
      <c r="AE457" s="5"/>
      <c r="AF457" s="5"/>
      <c r="AG457" s="8">
        <f>IFERROR(__xludf.DUMMYFUNCTION("""COMPUTED_VALUE"""),46157.52850694444)</f>
        <v>46157.52851</v>
      </c>
      <c r="AH457" s="5"/>
      <c r="AI457" s="13"/>
      <c r="AJ457" s="5"/>
      <c r="AK457" s="5">
        <f>IFERROR(__xludf.DUMMYFUNCTION("""COMPUTED_VALUE"""),1.0)</f>
        <v>1</v>
      </c>
      <c r="AL457" s="5" t="str">
        <f>IFERROR(__xludf.DUMMYFUNCTION("""COMPUTED_VALUE"""),"No")</f>
        <v>No</v>
      </c>
      <c r="AM457" s="5" t="str">
        <f>IFERROR(__xludf.DUMMYFUNCTION("""COMPUTED_VALUE"""),"No")</f>
        <v>No</v>
      </c>
      <c r="AN457" s="7" t="str">
        <f>IFERROR(__xludf.DUMMYFUNCTION("""COMPUTED_VALUE"""),"https://static.redstone.rs/games/10-wild-heart/")</f>
        <v>https://static.redstone.rs/games/10-wild-heart/</v>
      </c>
      <c r="AO457" s="5" t="str">
        <f>IFERROR(__xludf.DUMMYFUNCTION("""COMPUTED_VALUE"""),"No")</f>
        <v>No</v>
      </c>
      <c r="AP457" s="5" t="str">
        <f>IFERROR(__xludf.DUMMYFUNCTION("""COMPUTED_VALUE"""),"No")</f>
        <v>No</v>
      </c>
      <c r="AQ457" s="5" t="b">
        <f>IFERROR(__xludf.DUMMYFUNCTION("""COMPUTED_VALUE"""),TRUE)</f>
        <v>1</v>
      </c>
      <c r="AR457" s="5"/>
      <c r="AS457" s="5" t="str">
        <f>IFERROR(__xludf.DUMMYFUNCTION("""COMPUTED_VALUE"""),"With 10 Wild Heart, every spin brings you closer to exciting wins. Wilds bring the heat and with just a little luck, the payouts can be unforgettable! ")</f>
        <v>With 10 Wild Heart, every spin brings you closer to exciting wins. Wilds bring the heat and with just a little luck, the payouts can be unforgettable! </v>
      </c>
      <c r="AT457" s="5"/>
      <c r="AU457" s="5" t="str">
        <f>IFERROR(__xludf.DUMMYFUNCTION("""COMPUTED_VALUE"""),"Redstone")</f>
        <v>Redstone</v>
      </c>
      <c r="AV457" s="5"/>
      <c r="AW457" s="5"/>
      <c r="AX457" s="5"/>
      <c r="AY457" s="5"/>
      <c r="AZ457" s="5"/>
      <c r="BA457" s="5"/>
      <c r="BB457" s="5" t="b">
        <f>IFERROR(__xludf.DUMMYFUNCTION("""COMPUTED_VALUE"""),TRUE)</f>
        <v>1</v>
      </c>
      <c r="BC457" s="5" t="str">
        <f>IFERROR(__xludf.DUMMYFUNCTION("""COMPUTED_VALUE"""),"Redstone")</f>
        <v>Redstone</v>
      </c>
      <c r="BD457" s="7" t="str">
        <f>IFERROR(__xludf.DUMMYFUNCTION("""COMPUTED_VALUE"""),"https://static.redstone.rs/games/10-wild-heart/")</f>
        <v>https://static.redstone.rs/games/10-wild-heart/</v>
      </c>
      <c r="BE457" s="5" t="b">
        <f>IFERROR(__xludf.DUMMYFUNCTION("""COMPUTED_VALUE"""),TRUE)</f>
        <v>1</v>
      </c>
    </row>
    <row r="458">
      <c r="A458" s="5">
        <f>IFERROR(__xludf.DUMMYFUNCTION("""COMPUTED_VALUE"""),481.0)</f>
        <v>481</v>
      </c>
      <c r="B458" s="5">
        <f>IFERROR(__xludf.DUMMYFUNCTION("""COMPUTED_VALUE"""),180014.0)</f>
        <v>180014</v>
      </c>
      <c r="C458" s="5" t="str">
        <f>IFERROR(__xludf.DUMMYFUNCTION("""COMPUTED_VALUE"""),"Redstone")</f>
        <v>Redstone</v>
      </c>
      <c r="D458" s="5" t="str">
        <f>IFERROR(__xludf.DUMMYFUNCTION("""COMPUTED_VALUE"""),"40 Joker Fire")</f>
        <v>40 Joker Fire</v>
      </c>
      <c r="E458" s="5" t="str">
        <f>IFERROR(__xludf.DUMMYFUNCTION("""COMPUTED_VALUE"""),"Redstone")</f>
        <v>Redstone</v>
      </c>
      <c r="F458" s="5" t="str">
        <f>IFERROR(__xludf.DUMMYFUNCTION("""COMPUTED_VALUE"""),"Redstone40JokerFire")</f>
        <v>Redstone40JokerFire</v>
      </c>
      <c r="G458" s="5" t="str">
        <f>IFERROR(__xludf.DUMMYFUNCTION("""COMPUTED_VALUE"""),"Live")</f>
        <v>Live</v>
      </c>
      <c r="H458" s="5"/>
      <c r="I458" s="5" t="str">
        <f>IFERROR(__xludf.DUMMYFUNCTION("""COMPUTED_VALUE"""),"Redstone")</f>
        <v>Redstone</v>
      </c>
      <c r="J458" s="5" t="str">
        <f>IFERROR(__xludf.DUMMYFUNCTION("""COMPUTED_VALUE"""),"JSON")</f>
        <v>JSON</v>
      </c>
      <c r="K458" s="5" t="str">
        <f>IFERROR(__xludf.DUMMYFUNCTION("""COMPUTED_VALUE"""),"Slot")</f>
        <v>Slot</v>
      </c>
      <c r="L458" s="5" t="str">
        <f>IFERROR(__xludf.DUMMYFUNCTION("""COMPUTED_VALUE"""),"Master")</f>
        <v>Master</v>
      </c>
      <c r="M458" s="5"/>
      <c r="N458" s="7" t="str">
        <f>IFERROR(__xludf.DUMMYFUNCTION("""COMPUTED_VALUE"""),"https://drive.google.com/file/d/1u1cVt2r3D74ZWE5qJ4FseBw5PY-Ib4yK/view?usp=drive_link")</f>
        <v>https://drive.google.com/file/d/1u1cVt2r3D74ZWE5qJ4FseBw5PY-Ib4yK/view?usp=drive_link</v>
      </c>
      <c r="O458" s="7" t="str">
        <f>IFERROR(__xludf.DUMMYFUNCTION("""COMPUTED_VALUE"""),"https://drive.google.com/file/d/1yckcih0apcYhGCwgqTCD9bPSWnkOLgox/view?usp=drive_link")</f>
        <v>https://drive.google.com/file/d/1yckcih0apcYhGCwgqTCD9bPSWnkOLgox/view?usp=drive_link</v>
      </c>
      <c r="P458" s="12">
        <f>IFERROR(__xludf.DUMMYFUNCTION("""COMPUTED_VALUE"""),7.0)</f>
        <v>7</v>
      </c>
      <c r="Q458" s="13">
        <f>IFERROR(__xludf.DUMMYFUNCTION("""COMPUTED_VALUE"""),45762.0)</f>
        <v>45762</v>
      </c>
      <c r="R458" s="13">
        <f>IFERROR(__xludf.DUMMYFUNCTION("""COMPUTED_VALUE"""),45755.0)</f>
        <v>45755</v>
      </c>
      <c r="S458" s="13">
        <f>IFERROR(__xludf.DUMMYFUNCTION("""COMPUTED_VALUE"""),45762.0)</f>
        <v>45762</v>
      </c>
      <c r="T458" s="5" t="b">
        <f>IFERROR(__xludf.DUMMYFUNCTION("""COMPUTED_VALUE"""),TRUE)</f>
        <v>1</v>
      </c>
      <c r="U458" s="5" t="str">
        <f>IFERROR(__xludf.DUMMYFUNCTION("""COMPUTED_VALUE"""),"5x4")</f>
        <v>5x4</v>
      </c>
      <c r="V458" s="5">
        <f>IFERROR(__xludf.DUMMYFUNCTION("""COMPUTED_VALUE"""),40.0)</f>
        <v>40</v>
      </c>
      <c r="W458" s="5">
        <f>IFERROR(__xludf.DUMMYFUNCTION("""COMPUTED_VALUE"""),40.0)</f>
        <v>40</v>
      </c>
      <c r="X458" s="5">
        <f>IFERROR(__xludf.DUMMYFUNCTION("""COMPUTED_VALUE"""),96.0)</f>
        <v>96</v>
      </c>
      <c r="Y458" s="5" t="str">
        <f>IFERROR(__xludf.DUMMYFUNCTION("""COMPUTED_VALUE"""),"Medium")</f>
        <v>Medium</v>
      </c>
      <c r="Z458" s="5">
        <f>IFERROR(__xludf.DUMMYFUNCTION("""COMPUTED_VALUE"""),20.25)</f>
        <v>20.25</v>
      </c>
      <c r="AA458" s="5">
        <f>IFERROR(__xludf.DUMMYFUNCTION("""COMPUTED_VALUE"""),2000.0)</f>
        <v>2000</v>
      </c>
      <c r="AB458" s="5"/>
      <c r="AC458" s="5" t="str">
        <f>IFERROR(__xludf.DUMMYFUNCTION("""COMPUTED_VALUE"""),"Sticky Wild, Special Wild, Scatter")</f>
        <v>Sticky Wild, Special Wild, Scatter</v>
      </c>
      <c r="AD458" s="5" t="str">
        <f>IFERROR(__xludf.DUMMYFUNCTION("""COMPUTED_VALUE"""),"0.12/100")</f>
        <v>0.12/100</v>
      </c>
      <c r="AE458" s="5"/>
      <c r="AF458" s="5"/>
      <c r="AG458" s="8">
        <f>IFERROR(__xludf.DUMMYFUNCTION("""COMPUTED_VALUE"""),46157.52878472222)</f>
        <v>46157.52878</v>
      </c>
      <c r="AH458" s="5"/>
      <c r="AI458" s="13"/>
      <c r="AJ458" s="5"/>
      <c r="AK458" s="5">
        <f>IFERROR(__xludf.DUMMYFUNCTION("""COMPUTED_VALUE"""),1.0)</f>
        <v>1</v>
      </c>
      <c r="AL458" s="5" t="str">
        <f>IFERROR(__xludf.DUMMYFUNCTION("""COMPUTED_VALUE"""),"No")</f>
        <v>No</v>
      </c>
      <c r="AM458" s="5" t="str">
        <f>IFERROR(__xludf.DUMMYFUNCTION("""COMPUTED_VALUE"""),"No")</f>
        <v>No</v>
      </c>
      <c r="AN458" s="7" t="str">
        <f>IFERROR(__xludf.DUMMYFUNCTION("""COMPUTED_VALUE"""),"https://static.redstone.rs/games/40-joker-fire/")</f>
        <v>https://static.redstone.rs/games/40-joker-fire/</v>
      </c>
      <c r="AO458" s="5" t="str">
        <f>IFERROR(__xludf.DUMMYFUNCTION("""COMPUTED_VALUE"""),"No")</f>
        <v>No</v>
      </c>
      <c r="AP458" s="5" t="str">
        <f>IFERROR(__xludf.DUMMYFUNCTION("""COMPUTED_VALUE"""),"No")</f>
        <v>No</v>
      </c>
      <c r="AQ458" s="5" t="b">
        <f>IFERROR(__xludf.DUMMYFUNCTION("""COMPUTED_VALUE"""),TRUE)</f>
        <v>1</v>
      </c>
      <c r="AR458" s="5"/>
      <c r="AS458" s="5" t="str">
        <f>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AT458" s="5"/>
      <c r="AU458" s="5" t="str">
        <f>IFERROR(__xludf.DUMMYFUNCTION("""COMPUTED_VALUE"""),"Redstone")</f>
        <v>Redstone</v>
      </c>
      <c r="AV458" s="5"/>
      <c r="AW458" s="5"/>
      <c r="AX458" s="5"/>
      <c r="AY458" s="5"/>
      <c r="AZ458" s="5"/>
      <c r="BA458" s="5"/>
      <c r="BB458" s="5" t="b">
        <f>IFERROR(__xludf.DUMMYFUNCTION("""COMPUTED_VALUE"""),TRUE)</f>
        <v>1</v>
      </c>
      <c r="BC458" s="5" t="str">
        <f>IFERROR(__xludf.DUMMYFUNCTION("""COMPUTED_VALUE"""),"Redstone")</f>
        <v>Redstone</v>
      </c>
      <c r="BD458" s="7" t="str">
        <f>IFERROR(__xludf.DUMMYFUNCTION("""COMPUTED_VALUE"""),"https://static.redstone.rs/games/40-joker-fire/")</f>
        <v>https://static.redstone.rs/games/40-joker-fire/</v>
      </c>
      <c r="BE458" s="5" t="b">
        <f>IFERROR(__xludf.DUMMYFUNCTION("""COMPUTED_VALUE"""),TRUE)</f>
        <v>1</v>
      </c>
    </row>
    <row r="459">
      <c r="A459" s="5">
        <f>IFERROR(__xludf.DUMMYFUNCTION("""COMPUTED_VALUE"""),482.0)</f>
        <v>482</v>
      </c>
      <c r="B459" s="5">
        <f>IFERROR(__xludf.DUMMYFUNCTION("""COMPUTED_VALUE"""),180015.0)</f>
        <v>180015</v>
      </c>
      <c r="C459" s="5" t="str">
        <f>IFERROR(__xludf.DUMMYFUNCTION("""COMPUTED_VALUE"""),"Redstone")</f>
        <v>Redstone</v>
      </c>
      <c r="D459" s="5" t="str">
        <f>IFERROR(__xludf.DUMMYFUNCTION("""COMPUTED_VALUE"""),"Bonus Stars")</f>
        <v>Bonus Stars</v>
      </c>
      <c r="E459" s="5" t="str">
        <f>IFERROR(__xludf.DUMMYFUNCTION("""COMPUTED_VALUE"""),"Redstone")</f>
        <v>Redstone</v>
      </c>
      <c r="F459" s="5" t="str">
        <f>IFERROR(__xludf.DUMMYFUNCTION("""COMPUTED_VALUE"""),"RedstoneBonusStars")</f>
        <v>RedstoneBonusStars</v>
      </c>
      <c r="G459" s="5" t="str">
        <f>IFERROR(__xludf.DUMMYFUNCTION("""COMPUTED_VALUE"""),"Live")</f>
        <v>Live</v>
      </c>
      <c r="H459" s="5"/>
      <c r="I459" s="5" t="str">
        <f>IFERROR(__xludf.DUMMYFUNCTION("""COMPUTED_VALUE"""),"Redstone")</f>
        <v>Redstone</v>
      </c>
      <c r="J459" s="5" t="str">
        <f>IFERROR(__xludf.DUMMYFUNCTION("""COMPUTED_VALUE"""),"JSON")</f>
        <v>JSON</v>
      </c>
      <c r="K459" s="5" t="str">
        <f>IFERROR(__xludf.DUMMYFUNCTION("""COMPUTED_VALUE"""),"Slot")</f>
        <v>Slot</v>
      </c>
      <c r="L459" s="5" t="str">
        <f>IFERROR(__xludf.DUMMYFUNCTION("""COMPUTED_VALUE"""),"Master")</f>
        <v>Master</v>
      </c>
      <c r="M459" s="5"/>
      <c r="N459" s="7" t="str">
        <f>IFERROR(__xludf.DUMMYFUNCTION("""COMPUTED_VALUE"""),"https://drive.google.com/file/d/1TUmCnus95of-VOgrsOFgtYLc-yHhQAK4/view?usp=drive_link")</f>
        <v>https://drive.google.com/file/d/1TUmCnus95of-VOgrsOFgtYLc-yHhQAK4/view?usp=drive_link</v>
      </c>
      <c r="O459" s="7" t="str">
        <f>IFERROR(__xludf.DUMMYFUNCTION("""COMPUTED_VALUE"""),"https://drive.google.com/file/d/1B52c455_iGqdn6Gcz68rQ2OHYortgt9T/view?usp=drive_link")</f>
        <v>https://drive.google.com/file/d/1B52c455_iGqdn6Gcz68rQ2OHYortgt9T/view?usp=drive_link</v>
      </c>
      <c r="P459" s="12">
        <f>IFERROR(__xludf.DUMMYFUNCTION("""COMPUTED_VALUE"""),9.1)</f>
        <v>9.1</v>
      </c>
      <c r="Q459" s="13">
        <f>IFERROR(__xludf.DUMMYFUNCTION("""COMPUTED_VALUE"""),45784.0)</f>
        <v>45784</v>
      </c>
      <c r="R459" s="13">
        <f>IFERROR(__xludf.DUMMYFUNCTION("""COMPUTED_VALUE"""),45777.0)</f>
        <v>45777</v>
      </c>
      <c r="S459" s="13">
        <f>IFERROR(__xludf.DUMMYFUNCTION("""COMPUTED_VALUE"""),45784.0)</f>
        <v>45784</v>
      </c>
      <c r="T459" s="5" t="b">
        <f>IFERROR(__xludf.DUMMYFUNCTION("""COMPUTED_VALUE"""),TRUE)</f>
        <v>1</v>
      </c>
      <c r="U459" s="5" t="str">
        <f>IFERROR(__xludf.DUMMYFUNCTION("""COMPUTED_VALUE"""),"5x3")</f>
        <v>5x3</v>
      </c>
      <c r="V459" s="5">
        <f>IFERROR(__xludf.DUMMYFUNCTION("""COMPUTED_VALUE"""),30.0)</f>
        <v>30</v>
      </c>
      <c r="W459" s="5">
        <f>IFERROR(__xludf.DUMMYFUNCTION("""COMPUTED_VALUE"""),30.0)</f>
        <v>30</v>
      </c>
      <c r="X459" s="5">
        <f>IFERROR(__xludf.DUMMYFUNCTION("""COMPUTED_VALUE"""),96.0)</f>
        <v>96</v>
      </c>
      <c r="Y459" s="5" t="str">
        <f>IFERROR(__xludf.DUMMYFUNCTION("""COMPUTED_VALUE"""),"Medium")</f>
        <v>Medium</v>
      </c>
      <c r="Z459" s="5">
        <f>IFERROR(__xludf.DUMMYFUNCTION("""COMPUTED_VALUE"""),36.0)</f>
        <v>36</v>
      </c>
      <c r="AA459" s="5">
        <f>IFERROR(__xludf.DUMMYFUNCTION("""COMPUTED_VALUE"""),2000.0)</f>
        <v>2000</v>
      </c>
      <c r="AB459" s="5"/>
      <c r="AC459" s="5" t="str">
        <f>IFERROR(__xludf.DUMMYFUNCTION("""COMPUTED_VALUE"""),"Wild Symbol, Scatter, Bonus Game with Free Spins")</f>
        <v>Wild Symbol, Scatter, Bonus Game with Free Spins</v>
      </c>
      <c r="AD459" s="5" t="str">
        <f>IFERROR(__xludf.DUMMYFUNCTION("""COMPUTED_VALUE"""),"0.20/50")</f>
        <v>0.20/50</v>
      </c>
      <c r="AE459" s="5"/>
      <c r="AF459" s="5"/>
      <c r="AG459" s="8">
        <f>IFERROR(__xludf.DUMMYFUNCTION("""COMPUTED_VALUE"""),46157.52883101852)</f>
        <v>46157.52883</v>
      </c>
      <c r="AH459" s="5"/>
      <c r="AI459" s="13"/>
      <c r="AJ459" s="5"/>
      <c r="AK459" s="5">
        <f>IFERROR(__xludf.DUMMYFUNCTION("""COMPUTED_VALUE"""),1.0)</f>
        <v>1</v>
      </c>
      <c r="AL459" s="5" t="str">
        <f>IFERROR(__xludf.DUMMYFUNCTION("""COMPUTED_VALUE"""),"No")</f>
        <v>No</v>
      </c>
      <c r="AM459" s="5" t="str">
        <f>IFERROR(__xludf.DUMMYFUNCTION("""COMPUTED_VALUE"""),"No")</f>
        <v>No</v>
      </c>
      <c r="AN459" s="7" t="str">
        <f>IFERROR(__xludf.DUMMYFUNCTION("""COMPUTED_VALUE"""),"https://static.redstone.rs/games/bonus-stars/")</f>
        <v>https://static.redstone.rs/games/bonus-stars/</v>
      </c>
      <c r="AO459" s="5" t="str">
        <f>IFERROR(__xludf.DUMMYFUNCTION("""COMPUTED_VALUE"""),"No")</f>
        <v>No</v>
      </c>
      <c r="AP459" s="5" t="str">
        <f>IFERROR(__xludf.DUMMYFUNCTION("""COMPUTED_VALUE"""),"No")</f>
        <v>No</v>
      </c>
      <c r="AQ459" s="5" t="b">
        <f>IFERROR(__xludf.DUMMYFUNCTION("""COMPUTED_VALUE"""),TRUE)</f>
        <v>1</v>
      </c>
      <c r="AR459" s="5"/>
      <c r="AS459" s="5" t="str">
        <f>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AT459" s="5"/>
      <c r="AU459" s="5" t="str">
        <f>IFERROR(__xludf.DUMMYFUNCTION("""COMPUTED_VALUE"""),"Redstone")</f>
        <v>Redstone</v>
      </c>
      <c r="AV459" s="5"/>
      <c r="AW459" s="5"/>
      <c r="AX459" s="5"/>
      <c r="AY459" s="5"/>
      <c r="AZ459" s="5"/>
      <c r="BA459" s="5"/>
      <c r="BB459" s="5" t="b">
        <f>IFERROR(__xludf.DUMMYFUNCTION("""COMPUTED_VALUE"""),TRUE)</f>
        <v>1</v>
      </c>
      <c r="BC459" s="5" t="str">
        <f>IFERROR(__xludf.DUMMYFUNCTION("""COMPUTED_VALUE"""),"Redstone")</f>
        <v>Redstone</v>
      </c>
      <c r="BD459" s="7" t="str">
        <f>IFERROR(__xludf.DUMMYFUNCTION("""COMPUTED_VALUE"""),"https://static.redstone.rs/games/bonus-stars/")</f>
        <v>https://static.redstone.rs/games/bonus-stars/</v>
      </c>
      <c r="BE459" s="5" t="b">
        <f>IFERROR(__xludf.DUMMYFUNCTION("""COMPUTED_VALUE"""),TRUE)</f>
        <v>1</v>
      </c>
    </row>
    <row r="460">
      <c r="A460" s="5">
        <f>IFERROR(__xludf.DUMMYFUNCTION("""COMPUTED_VALUE"""),483.0)</f>
        <v>483</v>
      </c>
      <c r="B460" s="5">
        <f>IFERROR(__xludf.DUMMYFUNCTION("""COMPUTED_VALUE"""),180017.0)</f>
        <v>180017</v>
      </c>
      <c r="C460" s="5" t="str">
        <f>IFERROR(__xludf.DUMMYFUNCTION("""COMPUTED_VALUE"""),"Redstone")</f>
        <v>Redstone</v>
      </c>
      <c r="D460" s="5" t="str">
        <f>IFERROR(__xludf.DUMMYFUNCTION("""COMPUTED_VALUE"""),"5 Star Fire")</f>
        <v>5 Star Fire</v>
      </c>
      <c r="E460" s="5" t="str">
        <f>IFERROR(__xludf.DUMMYFUNCTION("""COMPUTED_VALUE"""),"Redstone")</f>
        <v>Redstone</v>
      </c>
      <c r="F460" s="5" t="str">
        <f>IFERROR(__xludf.DUMMYFUNCTION("""COMPUTED_VALUE"""),"Redstone5StarFire")</f>
        <v>Redstone5StarFire</v>
      </c>
      <c r="G460" s="5" t="str">
        <f>IFERROR(__xludf.DUMMYFUNCTION("""COMPUTED_VALUE"""),"Live")</f>
        <v>Live</v>
      </c>
      <c r="H460" s="5"/>
      <c r="I460" s="5" t="str">
        <f>IFERROR(__xludf.DUMMYFUNCTION("""COMPUTED_VALUE"""),"Redstone")</f>
        <v>Redstone</v>
      </c>
      <c r="J460" s="5" t="str">
        <f>IFERROR(__xludf.DUMMYFUNCTION("""COMPUTED_VALUE"""),"JSON")</f>
        <v>JSON</v>
      </c>
      <c r="K460" s="5" t="str">
        <f>IFERROR(__xludf.DUMMYFUNCTION("""COMPUTED_VALUE"""),"Slot")</f>
        <v>Slot</v>
      </c>
      <c r="L460" s="5" t="str">
        <f>IFERROR(__xludf.DUMMYFUNCTION("""COMPUTED_VALUE""")," Reskin")</f>
        <v> Reskin</v>
      </c>
      <c r="M460" s="5" t="str">
        <f>IFERROR(__xludf.DUMMYFUNCTION("""COMPUTED_VALUE"""),"5 Clover Fire")</f>
        <v>5 Clover Fire</v>
      </c>
      <c r="N460" s="7" t="str">
        <f>IFERROR(__xludf.DUMMYFUNCTION("""COMPUTED_VALUE"""),"https://drive.google.com/file/d/1h60qO101Dh-UU8dwVTfqnDytuQbjlzZh/view?usp=drive_link")</f>
        <v>https://drive.google.com/file/d/1h60qO101Dh-UU8dwVTfqnDytuQbjlzZh/view?usp=drive_link</v>
      </c>
      <c r="O460" s="7" t="str">
        <f>IFERROR(__xludf.DUMMYFUNCTION("""COMPUTED_VALUE"""),"https://drive.google.com/file/d/1aTMHsD7ChuP1pBEt37vm_24Ec2OmjgzM/view?usp=drive_link")</f>
        <v>https://drive.google.com/file/d/1aTMHsD7ChuP1pBEt37vm_24Ec2OmjgzM/view?usp=drive_link</v>
      </c>
      <c r="P460" s="12">
        <f>IFERROR(__xludf.DUMMYFUNCTION("""COMPUTED_VALUE"""),9.2)</f>
        <v>9.2</v>
      </c>
      <c r="Q460" s="13">
        <f>IFERROR(__xludf.DUMMYFUNCTION("""COMPUTED_VALUE"""),45790.0)</f>
        <v>45790</v>
      </c>
      <c r="R460" s="13">
        <f>IFERROR(__xludf.DUMMYFUNCTION("""COMPUTED_VALUE"""),45783.0)</f>
        <v>45783</v>
      </c>
      <c r="S460" s="13">
        <f>IFERROR(__xludf.DUMMYFUNCTION("""COMPUTED_VALUE"""),45790.0)</f>
        <v>45790</v>
      </c>
      <c r="T460" s="5" t="b">
        <f>IFERROR(__xludf.DUMMYFUNCTION("""COMPUTED_VALUE"""),TRUE)</f>
        <v>1</v>
      </c>
      <c r="U460" s="5" t="str">
        <f>IFERROR(__xludf.DUMMYFUNCTION("""COMPUTED_VALUE"""),"5x3")</f>
        <v>5x3</v>
      </c>
      <c r="V460" s="5">
        <f>IFERROR(__xludf.DUMMYFUNCTION("""COMPUTED_VALUE"""),5.0)</f>
        <v>5</v>
      </c>
      <c r="W460" s="5">
        <f>IFERROR(__xludf.DUMMYFUNCTION("""COMPUTED_VALUE"""),5.0)</f>
        <v>5</v>
      </c>
      <c r="X460" s="5">
        <f>IFERROR(__xludf.DUMMYFUNCTION("""COMPUTED_VALUE"""),96.45)</f>
        <v>96.45</v>
      </c>
      <c r="Y460" s="5" t="str">
        <f>IFERROR(__xludf.DUMMYFUNCTION("""COMPUTED_VALUE"""),"Medium")</f>
        <v>Medium</v>
      </c>
      <c r="Z460" s="5">
        <f>IFERROR(__xludf.DUMMYFUNCTION("""COMPUTED_VALUE"""),14.5)</f>
        <v>14.5</v>
      </c>
      <c r="AA460" s="5">
        <f>IFERROR(__xludf.DUMMYFUNCTION("""COMPUTED_VALUE"""),1222.0)</f>
        <v>1222</v>
      </c>
      <c r="AB460" s="5"/>
      <c r="AC460" s="5" t="str">
        <f>IFERROR(__xludf.DUMMYFUNCTION("""COMPUTED_VALUE"""),"Expanding Wild, Scatter")</f>
        <v>Expanding Wild, Scatter</v>
      </c>
      <c r="AD460" s="5" t="str">
        <f>IFERROR(__xludf.DUMMYFUNCTION("""COMPUTED_VALUE"""),"0.05/30")</f>
        <v>0.05/30</v>
      </c>
      <c r="AE460" s="5"/>
      <c r="AF460" s="5"/>
      <c r="AG460" s="8">
        <f>IFERROR(__xludf.DUMMYFUNCTION("""COMPUTED_VALUE"""),46212.49517361111)</f>
        <v>46212.49517</v>
      </c>
      <c r="AH460" s="5" t="str">
        <f>IFERROR(__xludf.DUMMYFUNCTION("""COMPUTED_VALUE"""),"selena.mihajlovic@fazi.rs")</f>
        <v>selena.mihajlovic@fazi.rs</v>
      </c>
      <c r="AI460" s="13"/>
      <c r="AJ460" s="5"/>
      <c r="AK460" s="5">
        <f>IFERROR(__xludf.DUMMYFUNCTION("""COMPUTED_VALUE"""),1.0)</f>
        <v>1</v>
      </c>
      <c r="AL460" s="5" t="str">
        <f>IFERROR(__xludf.DUMMYFUNCTION("""COMPUTED_VALUE"""),"No")</f>
        <v>No</v>
      </c>
      <c r="AM460" s="5" t="str">
        <f>IFERROR(__xludf.DUMMYFUNCTION("""COMPUTED_VALUE"""),"No")</f>
        <v>No</v>
      </c>
      <c r="AN460" s="7" t="str">
        <f>IFERROR(__xludf.DUMMYFUNCTION("""COMPUTED_VALUE"""),"https://static.redstone.rs/games/5-star-fire/")</f>
        <v>https://static.redstone.rs/games/5-star-fire/</v>
      </c>
      <c r="AO460" s="5" t="str">
        <f>IFERROR(__xludf.DUMMYFUNCTION("""COMPUTED_VALUE"""),"No")</f>
        <v>No</v>
      </c>
      <c r="AP460" s="5" t="str">
        <f>IFERROR(__xludf.DUMMYFUNCTION("""COMPUTED_VALUE"""),"No")</f>
        <v>No</v>
      </c>
      <c r="AQ460" s="5" t="b">
        <f>IFERROR(__xludf.DUMMYFUNCTION("""COMPUTED_VALUE"""),TRUE)</f>
        <v>1</v>
      </c>
      <c r="AR460" s="5"/>
      <c r="AS460" s="5" t="str">
        <f>IFERROR(__xludf.DUMMYFUNCTION("""COMPUTED_VALUE"""),"5 Star Fire is a five-line slot with clear mechanics, clear symbols and pure payouts. Spin, play, repeat!")</f>
        <v>5 Star Fire is a five-line slot with clear mechanics, clear symbols and pure payouts. Spin, play, repeat!</v>
      </c>
      <c r="AT460" s="5"/>
      <c r="AU460" s="5" t="str">
        <f>IFERROR(__xludf.DUMMYFUNCTION("""COMPUTED_VALUE"""),"Redstone")</f>
        <v>Redstone</v>
      </c>
      <c r="AV460" s="5"/>
      <c r="AW460" s="5"/>
      <c r="AX460" s="5"/>
      <c r="AY460" s="5"/>
      <c r="AZ460" s="5"/>
      <c r="BA460" s="5"/>
      <c r="BB460" s="5" t="b">
        <f>IFERROR(__xludf.DUMMYFUNCTION("""COMPUTED_VALUE"""),TRUE)</f>
        <v>1</v>
      </c>
      <c r="BC460" s="5" t="str">
        <f>IFERROR(__xludf.DUMMYFUNCTION("""COMPUTED_VALUE"""),"Redstone")</f>
        <v>Redstone</v>
      </c>
      <c r="BD460" s="7" t="str">
        <f>IFERROR(__xludf.DUMMYFUNCTION("""COMPUTED_VALUE"""),"https://static.redstone.rs/games/5-star-fire/")</f>
        <v>https://static.redstone.rs/games/5-star-fire/</v>
      </c>
      <c r="BE460" s="5" t="b">
        <f>IFERROR(__xludf.DUMMYFUNCTION("""COMPUTED_VALUE"""),TRUE)</f>
        <v>1</v>
      </c>
    </row>
    <row r="461">
      <c r="A461" s="5">
        <f>IFERROR(__xludf.DUMMYFUNCTION("""COMPUTED_VALUE"""),484.0)</f>
        <v>484</v>
      </c>
      <c r="B461" s="5">
        <f>IFERROR(__xludf.DUMMYFUNCTION("""COMPUTED_VALUE"""),180034.0)</f>
        <v>180034</v>
      </c>
      <c r="C461" s="5" t="str">
        <f>IFERROR(__xludf.DUMMYFUNCTION("""COMPUTED_VALUE"""),"Redstone")</f>
        <v>Redstone</v>
      </c>
      <c r="D461" s="5" t="str">
        <f>IFERROR(__xludf.DUMMYFUNCTION("""COMPUTED_VALUE"""),"Crush Bonanza")</f>
        <v>Crush Bonanza</v>
      </c>
      <c r="E461" s="5" t="str">
        <f>IFERROR(__xludf.DUMMYFUNCTION("""COMPUTED_VALUE"""),"Redstone")</f>
        <v>Redstone</v>
      </c>
      <c r="F461" s="5" t="str">
        <f>IFERROR(__xludf.DUMMYFUNCTION("""COMPUTED_VALUE"""),"RedstoneCrushBonanza")</f>
        <v>RedstoneCrushBonanza</v>
      </c>
      <c r="G461" s="5" t="str">
        <f>IFERROR(__xludf.DUMMYFUNCTION("""COMPUTED_VALUE"""),"Planned")</f>
        <v>Planned</v>
      </c>
      <c r="H461" s="5"/>
      <c r="I461" s="5" t="str">
        <f>IFERROR(__xludf.DUMMYFUNCTION("""COMPUTED_VALUE"""),"Redstone")</f>
        <v>Redstone</v>
      </c>
      <c r="J461" s="5" t="str">
        <f>IFERROR(__xludf.DUMMYFUNCTION("""COMPUTED_VALUE"""),"JSON")</f>
        <v>JSON</v>
      </c>
      <c r="K461" s="5" t="str">
        <f>IFERROR(__xludf.DUMMYFUNCTION("""COMPUTED_VALUE"""),"Slot")</f>
        <v>Slot</v>
      </c>
      <c r="L461" s="5"/>
      <c r="M461" s="5"/>
      <c r="N461" s="5"/>
      <c r="O461" s="5"/>
      <c r="P461" s="12"/>
      <c r="Q461" s="13"/>
      <c r="R461" s="13"/>
      <c r="S461" s="13"/>
      <c r="T461" s="5" t="b">
        <f>IFERROR(__xludf.DUMMYFUNCTION("""COMPUTED_VALUE"""),FALSE)</f>
        <v>0</v>
      </c>
      <c r="U461" s="5"/>
      <c r="V461" s="5"/>
      <c r="W461" s="5"/>
      <c r="X461" s="5"/>
      <c r="Y461" s="5"/>
      <c r="Z461" s="5"/>
      <c r="AA461" s="5"/>
      <c r="AB461" s="5"/>
      <c r="AC461" s="5"/>
      <c r="AD461" s="5"/>
      <c r="AE461" s="5"/>
      <c r="AF461" s="5"/>
      <c r="AG461" s="8">
        <f>IFERROR(__xludf.DUMMYFUNCTION("""COMPUTED_VALUE"""),45880.46435185185)</f>
        <v>45880.46435</v>
      </c>
      <c r="AH461" s="5" t="str">
        <f>IFERROR(__xludf.DUMMYFUNCTION("""COMPUTED_VALUE"""),"aleksandra.pesic@fazi.rs")</f>
        <v>aleksandra.pesic@fazi.rs</v>
      </c>
      <c r="AI461" s="13"/>
      <c r="AJ461" s="5"/>
      <c r="AK461" s="5"/>
      <c r="AL461" s="5"/>
      <c r="AM461" s="5"/>
      <c r="AN461" s="5"/>
      <c r="AO461" s="5"/>
      <c r="AP461" s="5"/>
      <c r="AQ461" s="5"/>
      <c r="AR461" s="5"/>
      <c r="AS461" s="5"/>
      <c r="AT461" s="5"/>
      <c r="AU461" s="5"/>
      <c r="AV461" s="5"/>
      <c r="AW461" s="5"/>
      <c r="AX461" s="5"/>
      <c r="AY461" s="5"/>
      <c r="AZ461" s="5"/>
      <c r="BA461" s="5" t="str">
        <f>IFERROR(__xludf.DUMMYFUNCTION("""COMPUTED_VALUE"""),"")</f>
        <v/>
      </c>
      <c r="BB461" s="5"/>
      <c r="BC461" s="5" t="str">
        <f>IFERROR(__xludf.DUMMYFUNCTION("""COMPUTED_VALUE"""),"Redstone")</f>
        <v>Redstone</v>
      </c>
      <c r="BD461" s="5"/>
      <c r="BE461" s="5"/>
    </row>
    <row r="462">
      <c r="A462" s="5">
        <f>IFERROR(__xludf.DUMMYFUNCTION("""COMPUTED_VALUE"""),485.0)</f>
        <v>485</v>
      </c>
      <c r="B462" s="5">
        <f>IFERROR(__xludf.DUMMYFUNCTION("""COMPUTED_VALUE"""),180031.0)</f>
        <v>180031</v>
      </c>
      <c r="C462" s="5" t="str">
        <f>IFERROR(__xludf.DUMMYFUNCTION("""COMPUTED_VALUE"""),"Redstone")</f>
        <v>Redstone</v>
      </c>
      <c r="D462" s="5" t="str">
        <f>IFERROR(__xludf.DUMMYFUNCTION("""COMPUTED_VALUE"""),"Sticky Brilliants")</f>
        <v>Sticky Brilliants</v>
      </c>
      <c r="E462" s="5" t="str">
        <f>IFERROR(__xludf.DUMMYFUNCTION("""COMPUTED_VALUE"""),"Redstone")</f>
        <v>Redstone</v>
      </c>
      <c r="F462" s="5" t="str">
        <f>IFERROR(__xludf.DUMMYFUNCTION("""COMPUTED_VALUE"""),"RedstoneStickyBrilliants")</f>
        <v>RedstoneStickyBrilliants</v>
      </c>
      <c r="G462" s="5" t="str">
        <f>IFERROR(__xludf.DUMMYFUNCTION("""COMPUTED_VALUE"""),"Planned")</f>
        <v>Planned</v>
      </c>
      <c r="H462" s="5"/>
      <c r="I462" s="5" t="str">
        <f>IFERROR(__xludf.DUMMYFUNCTION("""COMPUTED_VALUE"""),"Redstone")</f>
        <v>Redstone</v>
      </c>
      <c r="J462" s="5" t="str">
        <f>IFERROR(__xludf.DUMMYFUNCTION("""COMPUTED_VALUE"""),"JSON")</f>
        <v>JSON</v>
      </c>
      <c r="K462" s="5" t="str">
        <f>IFERROR(__xludf.DUMMYFUNCTION("""COMPUTED_VALUE"""),"Slot")</f>
        <v>Slot</v>
      </c>
      <c r="L462" s="5"/>
      <c r="M462" s="5"/>
      <c r="N462" s="5"/>
      <c r="O462" s="5"/>
      <c r="P462" s="12"/>
      <c r="Q462" s="13"/>
      <c r="R462" s="13">
        <f>IFERROR(__xludf.DUMMYFUNCTION("""COMPUTED_VALUE"""),45887.0)</f>
        <v>45887</v>
      </c>
      <c r="S462" s="13"/>
      <c r="T462" s="5" t="b">
        <f>IFERROR(__xludf.DUMMYFUNCTION("""COMPUTED_VALUE"""),FALSE)</f>
        <v>0</v>
      </c>
      <c r="U462" s="5"/>
      <c r="V462" s="5"/>
      <c r="W462" s="5"/>
      <c r="X462" s="5"/>
      <c r="Y462" s="5"/>
      <c r="Z462" s="5"/>
      <c r="AA462" s="5"/>
      <c r="AB462" s="5"/>
      <c r="AC462" s="5"/>
      <c r="AD462" s="5"/>
      <c r="AE462" s="5"/>
      <c r="AF462" s="5"/>
      <c r="AG462" s="8">
        <f>IFERROR(__xludf.DUMMYFUNCTION("""COMPUTED_VALUE"""),45859.59128472222)</f>
        <v>45859.59128</v>
      </c>
      <c r="AH462" s="5" t="str">
        <f>IFERROR(__xludf.DUMMYFUNCTION("""COMPUTED_VALUE"""),"iva.cirkovic@fazi.rs")</f>
        <v>iva.cirkovic@fazi.rs</v>
      </c>
      <c r="AI462" s="13"/>
      <c r="AJ462" s="5"/>
      <c r="AK462" s="5"/>
      <c r="AL462" s="5"/>
      <c r="AM462" s="5"/>
      <c r="AN462" s="5"/>
      <c r="AO462" s="5"/>
      <c r="AP462" s="5"/>
      <c r="AQ462" s="5"/>
      <c r="AR462" s="5"/>
      <c r="AS462" s="5"/>
      <c r="AT462" s="5"/>
      <c r="AU462" s="5"/>
      <c r="AV462" s="5"/>
      <c r="AW462" s="5"/>
      <c r="AX462" s="5"/>
      <c r="AY462" s="5"/>
      <c r="AZ462" s="5"/>
      <c r="BA462" s="5" t="str">
        <f>IFERROR(__xludf.DUMMYFUNCTION("""COMPUTED_VALUE"""),"")</f>
        <v/>
      </c>
      <c r="BB462" s="5"/>
      <c r="BC462" s="5" t="str">
        <f>IFERROR(__xludf.DUMMYFUNCTION("""COMPUTED_VALUE"""),"Redstone")</f>
        <v>Redstone</v>
      </c>
      <c r="BD462" s="5"/>
      <c r="BE462" s="5"/>
    </row>
    <row r="463">
      <c r="A463" s="5">
        <f>IFERROR(__xludf.DUMMYFUNCTION("""COMPUTED_VALUE"""),486.0)</f>
        <v>486</v>
      </c>
      <c r="B463" s="5">
        <f>IFERROR(__xludf.DUMMYFUNCTION("""COMPUTED_VALUE"""),180022.0)</f>
        <v>180022</v>
      </c>
      <c r="C463" s="5" t="str">
        <f>IFERROR(__xludf.DUMMYFUNCTION("""COMPUTED_VALUE"""),"Redstone")</f>
        <v>Redstone</v>
      </c>
      <c r="D463" s="5" t="str">
        <f>IFERROR(__xludf.DUMMYFUNCTION("""COMPUTED_VALUE"""),"Book of Mystic")</f>
        <v>Book of Mystic</v>
      </c>
      <c r="E463" s="5" t="str">
        <f>IFERROR(__xludf.DUMMYFUNCTION("""COMPUTED_VALUE"""),"Redstone")</f>
        <v>Redstone</v>
      </c>
      <c r="F463" s="5" t="str">
        <f>IFERROR(__xludf.DUMMYFUNCTION("""COMPUTED_VALUE"""),"RedstoneBookOfMystic")</f>
        <v>RedstoneBookOfMystic</v>
      </c>
      <c r="G463" s="5" t="str">
        <f>IFERROR(__xludf.DUMMYFUNCTION("""COMPUTED_VALUE"""),"Planned")</f>
        <v>Planned</v>
      </c>
      <c r="H463" s="5"/>
      <c r="I463" s="5" t="str">
        <f>IFERROR(__xludf.DUMMYFUNCTION("""COMPUTED_VALUE"""),"Redstone")</f>
        <v>Redstone</v>
      </c>
      <c r="J463" s="5" t="str">
        <f>IFERROR(__xludf.DUMMYFUNCTION("""COMPUTED_VALUE"""),"JSON")</f>
        <v>JSON</v>
      </c>
      <c r="K463" s="5"/>
      <c r="L463" s="5"/>
      <c r="M463" s="5"/>
      <c r="N463" s="5"/>
      <c r="O463" s="5"/>
      <c r="P463" s="12"/>
      <c r="Q463" s="13"/>
      <c r="R463" s="13">
        <f>IFERROR(__xludf.DUMMYFUNCTION("""COMPUTED_VALUE"""),45825.0)</f>
        <v>45825</v>
      </c>
      <c r="S463" s="13"/>
      <c r="T463" s="5" t="b">
        <f>IFERROR(__xludf.DUMMYFUNCTION("""COMPUTED_VALUE"""),FALSE)</f>
        <v>0</v>
      </c>
      <c r="U463" s="5"/>
      <c r="V463" s="5"/>
      <c r="W463" s="5"/>
      <c r="X463" s="5"/>
      <c r="Y463" s="5"/>
      <c r="Z463" s="5"/>
      <c r="AA463" s="5"/>
      <c r="AB463" s="5"/>
      <c r="AC463" s="5"/>
      <c r="AD463" s="5"/>
      <c r="AE463" s="5"/>
      <c r="AF463" s="5"/>
      <c r="AG463" s="8">
        <f>IFERROR(__xludf.DUMMYFUNCTION("""COMPUTED_VALUE"""),45831.535625000004)</f>
        <v>45831.53563</v>
      </c>
      <c r="AH463" s="5" t="str">
        <f>IFERROR(__xludf.DUMMYFUNCTION("""COMPUTED_VALUE"""),"danica.stojanovic@fazi.rs")</f>
        <v>danica.stojanovic@fazi.rs</v>
      </c>
      <c r="AI463" s="13"/>
      <c r="AJ463" s="5"/>
      <c r="AK463" s="5"/>
      <c r="AL463" s="5"/>
      <c r="AM463" s="5"/>
      <c r="AN463" s="5"/>
      <c r="AO463" s="5"/>
      <c r="AP463" s="5"/>
      <c r="AQ463" s="5"/>
      <c r="AR463" s="5"/>
      <c r="AS463" s="5"/>
      <c r="AT463" s="5"/>
      <c r="AU463" s="5"/>
      <c r="AV463" s="5"/>
      <c r="AW463" s="5"/>
      <c r="AX463" s="5"/>
      <c r="AY463" s="5"/>
      <c r="AZ463" s="5"/>
      <c r="BA463" s="5" t="str">
        <f>IFERROR(__xludf.DUMMYFUNCTION("""COMPUTED_VALUE"""),"")</f>
        <v/>
      </c>
      <c r="BB463" s="5"/>
      <c r="BC463" s="5" t="str">
        <f>IFERROR(__xludf.DUMMYFUNCTION("""COMPUTED_VALUE"""),"Redstone")</f>
        <v>Redstone</v>
      </c>
      <c r="BD463" s="5"/>
      <c r="BE463" s="5"/>
    </row>
    <row r="464">
      <c r="A464" s="5">
        <f>IFERROR(__xludf.DUMMYFUNCTION("""COMPUTED_VALUE"""),488.0)</f>
        <v>488</v>
      </c>
      <c r="B464" s="5">
        <f>IFERROR(__xludf.DUMMYFUNCTION("""COMPUTED_VALUE"""),180018.0)</f>
        <v>180018</v>
      </c>
      <c r="C464" s="5" t="str">
        <f>IFERROR(__xludf.DUMMYFUNCTION("""COMPUTED_VALUE"""),"Redstone")</f>
        <v>Redstone</v>
      </c>
      <c r="D464" s="5" t="str">
        <f>IFERROR(__xludf.DUMMYFUNCTION("""COMPUTED_VALUE"""),"Clover Drop")</f>
        <v>Clover Drop</v>
      </c>
      <c r="E464" s="5" t="str">
        <f>IFERROR(__xludf.DUMMYFUNCTION("""COMPUTED_VALUE"""),"Redstone")</f>
        <v>Redstone</v>
      </c>
      <c r="F464" s="5" t="str">
        <f>IFERROR(__xludf.DUMMYFUNCTION("""COMPUTED_VALUE"""),"RedstoneCloverDrop")</f>
        <v>RedstoneCloverDrop</v>
      </c>
      <c r="G464" s="5" t="str">
        <f>IFERROR(__xludf.DUMMYFUNCTION("""COMPUTED_VALUE"""),"Live")</f>
        <v>Live</v>
      </c>
      <c r="H464" s="5"/>
      <c r="I464" s="5" t="str">
        <f>IFERROR(__xludf.DUMMYFUNCTION("""COMPUTED_VALUE"""),"Redstone")</f>
        <v>Redstone</v>
      </c>
      <c r="J464" s="5" t="str">
        <f>IFERROR(__xludf.DUMMYFUNCTION("""COMPUTED_VALUE"""),"JSON")</f>
        <v>JSON</v>
      </c>
      <c r="K464" s="5" t="str">
        <f>IFERROR(__xludf.DUMMYFUNCTION("""COMPUTED_VALUE"""),"Slot")</f>
        <v>Slot</v>
      </c>
      <c r="L464" s="5" t="str">
        <f>IFERROR(__xludf.DUMMYFUNCTION("""COMPUTED_VALUE"""),"Master")</f>
        <v>Master</v>
      </c>
      <c r="M464" s="5"/>
      <c r="N464" s="7" t="str">
        <f>IFERROR(__xludf.DUMMYFUNCTION("""COMPUTED_VALUE"""),"https://drive.google.com/file/d/1KpdYiCmVfigVnXOC9uMf7jQVuYIILwMl/view?usp=drive_link")</f>
        <v>https://drive.google.com/file/d/1KpdYiCmVfigVnXOC9uMf7jQVuYIILwMl/view?usp=drive_link</v>
      </c>
      <c r="O464" s="7" t="str">
        <f>IFERROR(__xludf.DUMMYFUNCTION("""COMPUTED_VALUE"""),"https://drive.google.com/file/d/1kYwrHltkbiRkd1GIHWbjvR1fTvCX6lKX/view?usp=drive_link")</f>
        <v>https://drive.google.com/file/d/1kYwrHltkbiRkd1GIHWbjvR1fTvCX6lKX/view?usp=drive_link</v>
      </c>
      <c r="P464" s="12">
        <f>IFERROR(__xludf.DUMMYFUNCTION("""COMPUTED_VALUE"""),9.0)</f>
        <v>9</v>
      </c>
      <c r="Q464" s="13">
        <f>IFERROR(__xludf.DUMMYFUNCTION("""COMPUTED_VALUE"""),45798.0)</f>
        <v>45798</v>
      </c>
      <c r="R464" s="13">
        <f>IFERROR(__xludf.DUMMYFUNCTION("""COMPUTED_VALUE"""),45791.0)</f>
        <v>45791</v>
      </c>
      <c r="S464" s="13">
        <f>IFERROR(__xludf.DUMMYFUNCTION("""COMPUTED_VALUE"""),45798.0)</f>
        <v>45798</v>
      </c>
      <c r="T464" s="5" t="b">
        <f>IFERROR(__xludf.DUMMYFUNCTION("""COMPUTED_VALUE"""),TRUE)</f>
        <v>1</v>
      </c>
      <c r="U464" s="5" t="str">
        <f>IFERROR(__xludf.DUMMYFUNCTION("""COMPUTED_VALUE"""),"5x5")</f>
        <v>5x5</v>
      </c>
      <c r="V464" s="5">
        <f>IFERROR(__xludf.DUMMYFUNCTION("""COMPUTED_VALUE"""),15.0)</f>
        <v>15</v>
      </c>
      <c r="W464" s="5">
        <f>IFERROR(__xludf.DUMMYFUNCTION("""COMPUTED_VALUE"""),15.0)</f>
        <v>15</v>
      </c>
      <c r="X464" s="5">
        <f>IFERROR(__xludf.DUMMYFUNCTION("""COMPUTED_VALUE"""),96.08)</f>
        <v>96.08</v>
      </c>
      <c r="Y464" s="5" t="str">
        <f>IFERROR(__xludf.DUMMYFUNCTION("""COMPUTED_VALUE"""),"Medium")</f>
        <v>Medium</v>
      </c>
      <c r="Z464" s="5">
        <f>IFERROR(__xludf.DUMMYFUNCTION("""COMPUTED_VALUE"""),16.62)</f>
        <v>16.62</v>
      </c>
      <c r="AA464" s="5">
        <f>IFERROR(__xludf.DUMMYFUNCTION("""COMPUTED_VALUE"""),6100.0)</f>
        <v>6100</v>
      </c>
      <c r="AB464" s="5"/>
      <c r="AC464" s="5" t="str">
        <f>IFERROR(__xludf.DUMMYFUNCTION("""COMPUTED_VALUE"""),"Expanding Wild")</f>
        <v>Expanding Wild</v>
      </c>
      <c r="AD464" s="5" t="str">
        <f>IFERROR(__xludf.DUMMYFUNCTION("""COMPUTED_VALUE"""),"2/50")</f>
        <v>2/50</v>
      </c>
      <c r="AE464" s="5"/>
      <c r="AF464" s="5"/>
      <c r="AG464" s="8">
        <f>IFERROR(__xludf.DUMMYFUNCTION("""COMPUTED_VALUE"""),46212.55699074074)</f>
        <v>46212.55699</v>
      </c>
      <c r="AH464" s="5" t="str">
        <f>IFERROR(__xludf.DUMMYFUNCTION("""COMPUTED_VALUE"""),"selena.mihajlovic@fazi.rs")</f>
        <v>selena.mihajlovic@fazi.rs</v>
      </c>
      <c r="AI464" s="13"/>
      <c r="AJ464" s="5"/>
      <c r="AK464" s="5">
        <f>IFERROR(__xludf.DUMMYFUNCTION("""COMPUTED_VALUE"""),1.0)</f>
        <v>1</v>
      </c>
      <c r="AL464" s="5" t="str">
        <f>IFERROR(__xludf.DUMMYFUNCTION("""COMPUTED_VALUE"""),"No")</f>
        <v>No</v>
      </c>
      <c r="AM464" s="5" t="str">
        <f>IFERROR(__xludf.DUMMYFUNCTION("""COMPUTED_VALUE"""),"No")</f>
        <v>No</v>
      </c>
      <c r="AN464" s="7" t="str">
        <f>IFERROR(__xludf.DUMMYFUNCTION("""COMPUTED_VALUE"""),"https://static.redstone.rs/games/clover-drop/")</f>
        <v>https://static.redstone.rs/games/clover-drop/</v>
      </c>
      <c r="AO464" s="5" t="str">
        <f>IFERROR(__xludf.DUMMYFUNCTION("""COMPUTED_VALUE"""),"No")</f>
        <v>No</v>
      </c>
      <c r="AP464" s="5" t="str">
        <f>IFERROR(__xludf.DUMMYFUNCTION("""COMPUTED_VALUE"""),"No")</f>
        <v>No</v>
      </c>
      <c r="AQ464" s="5" t="b">
        <f>IFERROR(__xludf.DUMMYFUNCTION("""COMPUTED_VALUE"""),TRUE)</f>
        <v>1</v>
      </c>
      <c r="AR464" s="5"/>
      <c r="AS464" s="5" t="str">
        <f>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AT464" s="5"/>
      <c r="AU464" s="5" t="str">
        <f>IFERROR(__xludf.DUMMYFUNCTION("""COMPUTED_VALUE"""),"Redstone")</f>
        <v>Redstone</v>
      </c>
      <c r="AV464" s="5"/>
      <c r="AW464" s="5"/>
      <c r="AX464" s="5"/>
      <c r="AY464" s="5"/>
      <c r="AZ464" s="5"/>
      <c r="BA464" s="5"/>
      <c r="BB464" s="5" t="b">
        <f>IFERROR(__xludf.DUMMYFUNCTION("""COMPUTED_VALUE"""),TRUE)</f>
        <v>1</v>
      </c>
      <c r="BC464" s="5" t="str">
        <f>IFERROR(__xludf.DUMMYFUNCTION("""COMPUTED_VALUE"""),"Redstone")</f>
        <v>Redstone</v>
      </c>
      <c r="BD464" s="7" t="str">
        <f>IFERROR(__xludf.DUMMYFUNCTION("""COMPUTED_VALUE"""),"https://static.redstone.rs/games/clover-drop/")</f>
        <v>https://static.redstone.rs/games/clover-drop/</v>
      </c>
      <c r="BE464" s="5" t="b">
        <f>IFERROR(__xludf.DUMMYFUNCTION("""COMPUTED_VALUE"""),TRUE)</f>
        <v>1</v>
      </c>
    </row>
    <row r="465">
      <c r="A465" s="5">
        <f>IFERROR(__xludf.DUMMYFUNCTION("""COMPUTED_VALUE"""),489.0)</f>
        <v>489</v>
      </c>
      <c r="B465" s="5">
        <f>IFERROR(__xludf.DUMMYFUNCTION("""COMPUTED_VALUE"""),405.0)</f>
        <v>405</v>
      </c>
      <c r="C465" s="5" t="str">
        <f>IFERROR(__xludf.DUMMYFUNCTION("""COMPUTED_VALUE"""),"Playnet")</f>
        <v>Playnet</v>
      </c>
      <c r="D465" s="5" t="str">
        <f>IFERROR(__xludf.DUMMYFUNCTION("""COMPUTED_VALUE"""),"Clover Spread 40")</f>
        <v>Clover Spread 40</v>
      </c>
      <c r="E465" s="5" t="str">
        <f>IFERROR(__xludf.DUMMYFUNCTION("""COMPUTED_VALUE"""),"V4-2")</f>
        <v>V4-2</v>
      </c>
      <c r="F465" s="5" t="str">
        <f>IFERROR(__xludf.DUMMYFUNCTION("""COMPUTED_VALUE"""),"PlayNetCloverSpread40")</f>
        <v>PlayNetCloverSpread40</v>
      </c>
      <c r="G465" s="5" t="str">
        <f>IFERROR(__xludf.DUMMYFUNCTION("""COMPUTED_VALUE"""),"Live")</f>
        <v>Live</v>
      </c>
      <c r="H465" s="5"/>
      <c r="I465" s="5"/>
      <c r="J465" s="5" t="str">
        <f>IFERROR(__xludf.DUMMYFUNCTION("""COMPUTED_VALUE"""),"JSON")</f>
        <v>JSON</v>
      </c>
      <c r="K465" s="5" t="str">
        <f>IFERROR(__xludf.DUMMYFUNCTION("""COMPUTED_VALUE"""),"Slot")</f>
        <v>Slot</v>
      </c>
      <c r="L465" s="5" t="str">
        <f>IFERROR(__xludf.DUMMYFUNCTION("""COMPUTED_VALUE""")," Reskin")</f>
        <v> Reskin</v>
      </c>
      <c r="M465" s="5" t="str">
        <f>IFERROR(__xludf.DUMMYFUNCTION("""COMPUTED_VALUE"""),"Wild Hot 40 Blow")</f>
        <v>Wild Hot 40 Blow</v>
      </c>
      <c r="N465" s="5"/>
      <c r="O465" s="5"/>
      <c r="P465" s="12">
        <f>IFERROR(__xludf.DUMMYFUNCTION("""COMPUTED_VALUE"""),6.7)</f>
        <v>6.7</v>
      </c>
      <c r="Q465" s="13">
        <f>IFERROR(__xludf.DUMMYFUNCTION("""COMPUTED_VALUE"""),45763.0)</f>
        <v>45763</v>
      </c>
      <c r="R465" s="13">
        <f>IFERROR(__xludf.DUMMYFUNCTION("""COMPUTED_VALUE"""),45756.0)</f>
        <v>45756</v>
      </c>
      <c r="S465" s="13">
        <f>IFERROR(__xludf.DUMMYFUNCTION("""COMPUTED_VALUE"""),45763.0)</f>
        <v>45763</v>
      </c>
      <c r="T465" s="5" t="b">
        <f>IFERROR(__xludf.DUMMYFUNCTION("""COMPUTED_VALUE"""),TRUE)</f>
        <v>1</v>
      </c>
      <c r="U465" s="5" t="str">
        <f>IFERROR(__xludf.DUMMYFUNCTION("""COMPUTED_VALUE"""),"5x4")</f>
        <v>5x4</v>
      </c>
      <c r="V465" s="5">
        <f>IFERROR(__xludf.DUMMYFUNCTION("""COMPUTED_VALUE"""),40.0)</f>
        <v>40</v>
      </c>
      <c r="W465" s="5">
        <f>IFERROR(__xludf.DUMMYFUNCTION("""COMPUTED_VALUE"""),40.0)</f>
        <v>40</v>
      </c>
      <c r="X465" s="5">
        <f>IFERROR(__xludf.DUMMYFUNCTION("""COMPUTED_VALUE"""),96.268)</f>
        <v>96.268</v>
      </c>
      <c r="Y465" s="5" t="str">
        <f>IFERROR(__xludf.DUMMYFUNCTION("""COMPUTED_VALUE"""),"Medium")</f>
        <v>Medium</v>
      </c>
      <c r="Z465" s="5">
        <f>IFERROR(__xludf.DUMMYFUNCTION("""COMPUTED_VALUE"""),13.875)</f>
        <v>13.875</v>
      </c>
      <c r="AA465" s="5">
        <f>IFERROR(__xludf.DUMMYFUNCTION("""COMPUTED_VALUE"""),1000.0)</f>
        <v>1000</v>
      </c>
      <c r="AB465" s="5"/>
      <c r="AC465" s="5" t="str">
        <f>IFERROR(__xludf.DUMMYFUNCTION("""COMPUTED_VALUE"""),"Scatter, Exploding Wild")</f>
        <v>Scatter, Exploding Wild</v>
      </c>
      <c r="AD465" s="5" t="str">
        <f>IFERROR(__xludf.DUMMYFUNCTION("""COMPUTED_VALUE"""),"0.4/60")</f>
        <v>0.4/60</v>
      </c>
      <c r="AE465" s="5"/>
      <c r="AF465" s="5"/>
      <c r="AG465" s="8">
        <f>IFERROR(__xludf.DUMMYFUNCTION("""COMPUTED_VALUE"""),46220.50203703704)</f>
        <v>46220.50204</v>
      </c>
      <c r="AH465" s="5" t="str">
        <f>IFERROR(__xludf.DUMMYFUNCTION("""COMPUTED_VALUE"""),"selena.mihajlovic@fazi.rs")</f>
        <v>selena.mihajlovic@fazi.rs</v>
      </c>
      <c r="AI465" s="13"/>
      <c r="AJ465" s="5"/>
      <c r="AK465" s="5">
        <f>IFERROR(__xludf.DUMMYFUNCTION("""COMPUTED_VALUE"""),40.0)</f>
        <v>40</v>
      </c>
      <c r="AL465" s="5" t="str">
        <f>IFERROR(__xludf.DUMMYFUNCTION("""COMPUTED_VALUE"""),"No")</f>
        <v>No</v>
      </c>
      <c r="AM465" s="5" t="str">
        <f>IFERROR(__xludf.DUMMYFUNCTION("""COMPUTED_VALUE"""),"No")</f>
        <v>No</v>
      </c>
      <c r="AN465" s="7" t="str">
        <f>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AO465" s="5" t="str">
        <f>IFERROR(__xludf.DUMMYFUNCTION("""COMPUTED_VALUE"""),"No")</f>
        <v>No</v>
      </c>
      <c r="AP465" s="5" t="str">
        <f>IFERROR(__xludf.DUMMYFUNCTION("""COMPUTED_VALUE"""),"No")</f>
        <v>No</v>
      </c>
      <c r="AQ465" s="5" t="b">
        <f>IFERROR(__xludf.DUMMYFUNCTION("""COMPUTED_VALUE"""),TRUE)</f>
        <v>1</v>
      </c>
      <c r="AR465" s="5"/>
      <c r="AS465" s="5" t="str">
        <f>IFERROR(__xludf.DUMMYFUNCTION("""COMPUTED_VALUE"""),"One wild is all it takes! In Clover Spread 40 every wild expands to cover more space, bringing bigger chances to win!")</f>
        <v>One wild is all it takes! In Clover Spread 40 every wild expands to cover more space, bringing bigger chances to win!</v>
      </c>
      <c r="AT465" s="5"/>
      <c r="AU465" s="5" t="str">
        <f>IFERROR(__xludf.DUMMYFUNCTION("""COMPUTED_VALUE"""),"Fazi")</f>
        <v>Fazi</v>
      </c>
      <c r="AV465" s="5"/>
      <c r="AW465" s="5"/>
      <c r="AX465" s="5"/>
      <c r="AY465" s="5"/>
      <c r="AZ465" s="5"/>
      <c r="BA465" s="5"/>
      <c r="BB465" s="5" t="b">
        <f>IFERROR(__xludf.DUMMYFUNCTION("""COMPUTED_VALUE"""),TRUE)</f>
        <v>1</v>
      </c>
      <c r="BC465" s="5" t="str">
        <f>IFERROR(__xludf.DUMMYFUNCTION("""COMPUTED_VALUE"""),"Playnet")</f>
        <v>Playnet</v>
      </c>
      <c r="BD465" s="7" t="str">
        <f>IFERROR(__xludf.DUMMYFUNCTION("""COMPUTED_VALUE"""),"https://gameserver-store-client-area.orbionlimited.com/Home/IntegrationGameLaunch/client-area?moneyType=0&amp;gameName=PlayNetCloverSpread40&amp;platform=desktop&amp;languageCode=eng&amp;currency=EUR")</f>
        <v>https://gameserver-store-client-area.orbionlimited.com/Home/IntegrationGameLaunch/client-area?moneyType=0&amp;gameName=PlayNetCloverSpread40&amp;platform=desktop&amp;languageCode=eng&amp;currency=EUR</v>
      </c>
      <c r="BE465" s="5" t="b">
        <f>IFERROR(__xludf.DUMMYFUNCTION("""COMPUTED_VALUE"""),TRUE)</f>
        <v>1</v>
      </c>
    </row>
    <row r="466">
      <c r="A466" s="5">
        <f>IFERROR(__xludf.DUMMYFUNCTION("""COMPUTED_VALUE"""),490.0)</f>
        <v>490</v>
      </c>
      <c r="B466" s="5">
        <f>IFERROR(__xludf.DUMMYFUNCTION("""COMPUTED_VALUE"""),408.0)</f>
        <v>408</v>
      </c>
      <c r="C466" s="5" t="str">
        <f>IFERROR(__xludf.DUMMYFUNCTION("""COMPUTED_VALUE"""),"Playnet")</f>
        <v>Playnet</v>
      </c>
      <c r="D466" s="5" t="str">
        <f>IFERROR(__xludf.DUMMYFUNCTION("""COMPUTED_VALUE"""),"Majestic Crown x2")</f>
        <v>Majestic Crown x2</v>
      </c>
      <c r="E466" s="5" t="str">
        <f>IFERROR(__xludf.DUMMYFUNCTION("""COMPUTED_VALUE"""),"V4-2")</f>
        <v>V4-2</v>
      </c>
      <c r="F466" s="5" t="str">
        <f>IFERROR(__xludf.DUMMYFUNCTION("""COMPUTED_VALUE"""),"PlayNetMajesticCrownX2")</f>
        <v>PlayNetMajesticCrownX2</v>
      </c>
      <c r="G466" s="5" t="str">
        <f>IFERROR(__xludf.DUMMYFUNCTION("""COMPUTED_VALUE"""),"Live")</f>
        <v>Live</v>
      </c>
      <c r="H466" s="5"/>
      <c r="I466" s="5"/>
      <c r="J466" s="5" t="str">
        <f>IFERROR(__xludf.DUMMYFUNCTION("""COMPUTED_VALUE"""),"JSON")</f>
        <v>JSON</v>
      </c>
      <c r="K466" s="5" t="str">
        <f>IFERROR(__xludf.DUMMYFUNCTION("""COMPUTED_VALUE"""),"Slot")</f>
        <v>Slot</v>
      </c>
      <c r="L466" s="5" t="str">
        <f>IFERROR(__xludf.DUMMYFUNCTION("""COMPUTED_VALUE""")," Reskin")</f>
        <v> Reskin</v>
      </c>
      <c r="M466" s="5" t="str">
        <f>IFERROR(__xludf.DUMMYFUNCTION("""COMPUTED_VALUE"""),"Very Hot 5 Extreme")</f>
        <v>Very Hot 5 Extreme</v>
      </c>
      <c r="N466" s="5"/>
      <c r="O466" s="5"/>
      <c r="P466" s="12">
        <f>IFERROR(__xludf.DUMMYFUNCTION("""COMPUTED_VALUE"""),7.1)</f>
        <v>7.1</v>
      </c>
      <c r="Q466" s="13">
        <f>IFERROR(__xludf.DUMMYFUNCTION("""COMPUTED_VALUE"""),45777.0)</f>
        <v>45777</v>
      </c>
      <c r="R466" s="13">
        <f>IFERROR(__xludf.DUMMYFUNCTION("""COMPUTED_VALUE"""),45770.0)</f>
        <v>45770</v>
      </c>
      <c r="S466" s="13">
        <f>IFERROR(__xludf.DUMMYFUNCTION("""COMPUTED_VALUE"""),45777.0)</f>
        <v>45777</v>
      </c>
      <c r="T466" s="5" t="b">
        <f>IFERROR(__xludf.DUMMYFUNCTION("""COMPUTED_VALUE"""),TRUE)</f>
        <v>1</v>
      </c>
      <c r="U466" s="5" t="str">
        <f>IFERROR(__xludf.DUMMYFUNCTION("""COMPUTED_VALUE"""),"5x3")</f>
        <v>5x3</v>
      </c>
      <c r="V466" s="5">
        <f>IFERROR(__xludf.DUMMYFUNCTION("""COMPUTED_VALUE"""),5.0)</f>
        <v>5</v>
      </c>
      <c r="W466" s="5">
        <f>IFERROR(__xludf.DUMMYFUNCTION("""COMPUTED_VALUE"""),5.0)</f>
        <v>5</v>
      </c>
      <c r="X466" s="5">
        <f>IFERROR(__xludf.DUMMYFUNCTION("""COMPUTED_VALUE"""),96.453)</f>
        <v>96.453</v>
      </c>
      <c r="Y466" s="5" t="str">
        <f>IFERROR(__xludf.DUMMYFUNCTION("""COMPUTED_VALUE"""),"Medium")</f>
        <v>Medium</v>
      </c>
      <c r="Z466" s="5">
        <f>IFERROR(__xludf.DUMMYFUNCTION("""COMPUTED_VALUE"""),14.234)</f>
        <v>14.234</v>
      </c>
      <c r="AA466" s="5">
        <f>IFERROR(__xludf.DUMMYFUNCTION("""COMPUTED_VALUE"""),2624.0)</f>
        <v>2624</v>
      </c>
      <c r="AB466" s="5"/>
      <c r="AC466" s="5" t="str">
        <f>IFERROR(__xludf.DUMMYFUNCTION("""COMPUTED_VALUE"""),"Wild Multiplier, Expanding Wild, Scatter")</f>
        <v>Wild Multiplier, Expanding Wild, Scatter</v>
      </c>
      <c r="AD466" s="5" t="str">
        <f>IFERROR(__xludf.DUMMYFUNCTION("""COMPUTED_VALUE"""),"0.05/30")</f>
        <v>0.05/30</v>
      </c>
      <c r="AE466" s="5"/>
      <c r="AF466" s="5"/>
      <c r="AG466" s="8">
        <f>IFERROR(__xludf.DUMMYFUNCTION("""COMPUTED_VALUE"""),46220.50221064815)</f>
        <v>46220.50221</v>
      </c>
      <c r="AH466" s="5" t="str">
        <f>IFERROR(__xludf.DUMMYFUNCTION("""COMPUTED_VALUE"""),"selena.mihajlovic@fazi.rs")</f>
        <v>selena.mihajlovic@fazi.rs</v>
      </c>
      <c r="AI466" s="13"/>
      <c r="AJ466" s="5"/>
      <c r="AK466" s="5">
        <f>IFERROR(__xludf.DUMMYFUNCTION("""COMPUTED_VALUE"""),5.0)</f>
        <v>5</v>
      </c>
      <c r="AL466" s="5" t="str">
        <f>IFERROR(__xludf.DUMMYFUNCTION("""COMPUTED_VALUE"""),"No")</f>
        <v>No</v>
      </c>
      <c r="AM466" s="5" t="str">
        <f>IFERROR(__xludf.DUMMYFUNCTION("""COMPUTED_VALUE"""),"No")</f>
        <v>No</v>
      </c>
      <c r="AN466" s="7" t="str">
        <f>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AO466" s="5" t="str">
        <f>IFERROR(__xludf.DUMMYFUNCTION("""COMPUTED_VALUE"""),"No")</f>
        <v>No</v>
      </c>
      <c r="AP466" s="5" t="str">
        <f>IFERROR(__xludf.DUMMYFUNCTION("""COMPUTED_VALUE"""),"No")</f>
        <v>No</v>
      </c>
      <c r="AQ466" s="5" t="b">
        <f>IFERROR(__xludf.DUMMYFUNCTION("""COMPUTED_VALUE"""),TRUE)</f>
        <v>1</v>
      </c>
      <c r="AR466" s="5"/>
      <c r="AS466" s="5" t="str">
        <f>IFERROR(__xludf.DUMMYFUNCTION("""COMPUTED_VALUE"""),"Double the excitement with Majestic Crown X2! Land the special Crown symbol and see how far your luck can take you!")</f>
        <v>Double the excitement with Majestic Crown X2! Land the special Crown symbol and see how far your luck can take you!</v>
      </c>
      <c r="AT466" s="5"/>
      <c r="AU466" s="5" t="str">
        <f>IFERROR(__xludf.DUMMYFUNCTION("""COMPUTED_VALUE"""),"Fazi")</f>
        <v>Fazi</v>
      </c>
      <c r="AV466" s="5"/>
      <c r="AW466" s="5"/>
      <c r="AX466" s="5"/>
      <c r="AY466" s="5"/>
      <c r="AZ466" s="5"/>
      <c r="BA466" s="5"/>
      <c r="BB466" s="5" t="b">
        <f>IFERROR(__xludf.DUMMYFUNCTION("""COMPUTED_VALUE"""),TRUE)</f>
        <v>1</v>
      </c>
      <c r="BC466" s="5" t="str">
        <f>IFERROR(__xludf.DUMMYFUNCTION("""COMPUTED_VALUE"""),"Playnet")</f>
        <v>Playnet</v>
      </c>
      <c r="BD466" s="7" t="str">
        <f>IFERROR(__xludf.DUMMYFUNCTION("""COMPUTED_VALUE"""),"https://gameserver-store-client-area.orbionlimited.com/Home/IntegrationGameLaunch/client-area?moneyType=0&amp;gameName=PlayNetMajesticCrownX2&amp;platform=desktop&amp;languageCode=eng&amp;currency=EUR")</f>
        <v>https://gameserver-store-client-area.orbionlimited.com/Home/IntegrationGameLaunch/client-area?moneyType=0&amp;gameName=PlayNetMajesticCrownX2&amp;platform=desktop&amp;languageCode=eng&amp;currency=EUR</v>
      </c>
      <c r="BE466" s="5" t="b">
        <f>IFERROR(__xludf.DUMMYFUNCTION("""COMPUTED_VALUE"""),TRUE)</f>
        <v>1</v>
      </c>
    </row>
    <row r="467">
      <c r="A467" s="5">
        <f>IFERROR(__xludf.DUMMYFUNCTION("""COMPUTED_VALUE"""),491.0)</f>
        <v>491</v>
      </c>
      <c r="B467" s="5">
        <f>IFERROR(__xludf.DUMMYFUNCTION("""COMPUTED_VALUE"""),409.0)</f>
        <v>409</v>
      </c>
      <c r="C467" s="5" t="str">
        <f>IFERROR(__xludf.DUMMYFUNCTION("""COMPUTED_VALUE"""),"Playnet")</f>
        <v>Playnet</v>
      </c>
      <c r="D467" s="5" t="str">
        <f>IFERROR(__xludf.DUMMYFUNCTION("""COMPUTED_VALUE"""),"Bit Slot")</f>
        <v>Bit Slot</v>
      </c>
      <c r="E467" s="5" t="str">
        <f>IFERROR(__xludf.DUMMYFUNCTION("""COMPUTED_VALUE"""),"V4-2")</f>
        <v>V4-2</v>
      </c>
      <c r="F467" s="5" t="str">
        <f>IFERROR(__xludf.DUMMYFUNCTION("""COMPUTED_VALUE"""),"PlayNetBitSlot")</f>
        <v>PlayNetBitSlot</v>
      </c>
      <c r="G467" s="5" t="str">
        <f>IFERROR(__xludf.DUMMYFUNCTION("""COMPUTED_VALUE"""),"Live")</f>
        <v>Live</v>
      </c>
      <c r="H467" s="5"/>
      <c r="I467" s="5"/>
      <c r="J467" s="5" t="str">
        <f>IFERROR(__xludf.DUMMYFUNCTION("""COMPUTED_VALUE"""),"JSON")</f>
        <v>JSON</v>
      </c>
      <c r="K467" s="5" t="str">
        <f>IFERROR(__xludf.DUMMYFUNCTION("""COMPUTED_VALUE"""),"Slot")</f>
        <v>Slot</v>
      </c>
      <c r="L467" s="5" t="str">
        <f>IFERROR(__xludf.DUMMYFUNCTION("""COMPUTED_VALUE""")," Reskin")</f>
        <v> Reskin</v>
      </c>
      <c r="M467" s="5" t="str">
        <f>IFERROR(__xludf.DUMMYFUNCTION("""COMPUTED_VALUE"""),"Wild Hot 40 Blow")</f>
        <v>Wild Hot 40 Blow</v>
      </c>
      <c r="N467" s="5"/>
      <c r="O467" s="5"/>
      <c r="P467" s="12">
        <f>IFERROR(__xludf.DUMMYFUNCTION("""COMPUTED_VALUE"""),6.7)</f>
        <v>6.7</v>
      </c>
      <c r="Q467" s="13">
        <f>IFERROR(__xludf.DUMMYFUNCTION("""COMPUTED_VALUE"""),45818.0)</f>
        <v>45818</v>
      </c>
      <c r="R467" s="13">
        <f>IFERROR(__xludf.DUMMYFUNCTION("""COMPUTED_VALUE"""),45811.0)</f>
        <v>45811</v>
      </c>
      <c r="S467" s="13">
        <f>IFERROR(__xludf.DUMMYFUNCTION("""COMPUTED_VALUE"""),45818.0)</f>
        <v>45818</v>
      </c>
      <c r="T467" s="5" t="b">
        <f>IFERROR(__xludf.DUMMYFUNCTION("""COMPUTED_VALUE"""),TRUE)</f>
        <v>1</v>
      </c>
      <c r="U467" s="5" t="str">
        <f>IFERROR(__xludf.DUMMYFUNCTION("""COMPUTED_VALUE"""),"5x4")</f>
        <v>5x4</v>
      </c>
      <c r="V467" s="5">
        <f>IFERROR(__xludf.DUMMYFUNCTION("""COMPUTED_VALUE"""),40.0)</f>
        <v>40</v>
      </c>
      <c r="W467" s="5">
        <f>IFERROR(__xludf.DUMMYFUNCTION("""COMPUTED_VALUE"""),40.0)</f>
        <v>40</v>
      </c>
      <c r="X467" s="5">
        <f>IFERROR(__xludf.DUMMYFUNCTION("""COMPUTED_VALUE"""),96.268)</f>
        <v>96.268</v>
      </c>
      <c r="Y467" s="5" t="str">
        <f>IFERROR(__xludf.DUMMYFUNCTION("""COMPUTED_VALUE"""),"Medium")</f>
        <v>Medium</v>
      </c>
      <c r="Z467" s="5">
        <f>IFERROR(__xludf.DUMMYFUNCTION("""COMPUTED_VALUE"""),13.875)</f>
        <v>13.875</v>
      </c>
      <c r="AA467" s="5">
        <f>IFERROR(__xludf.DUMMYFUNCTION("""COMPUTED_VALUE"""),1000.0)</f>
        <v>1000</v>
      </c>
      <c r="AB467" s="5"/>
      <c r="AC467" s="5" t="str">
        <f>IFERROR(__xludf.DUMMYFUNCTION("""COMPUTED_VALUE"""),"Expanding Wild, Scatter")</f>
        <v>Expanding Wild, Scatter</v>
      </c>
      <c r="AD467" s="5" t="str">
        <f>IFERROR(__xludf.DUMMYFUNCTION("""COMPUTED_VALUE"""),"0.4/60")</f>
        <v>0.4/60</v>
      </c>
      <c r="AE467" s="5"/>
      <c r="AF467" s="5"/>
      <c r="AG467" s="8">
        <f>IFERROR(__xludf.DUMMYFUNCTION("""COMPUTED_VALUE"""),46220.50237268519)</f>
        <v>46220.50237</v>
      </c>
      <c r="AH467" s="5" t="str">
        <f>IFERROR(__xludf.DUMMYFUNCTION("""COMPUTED_VALUE"""),"selena.mihajlovic@fazi.rs")</f>
        <v>selena.mihajlovic@fazi.rs</v>
      </c>
      <c r="AI467" s="13"/>
      <c r="AJ467" s="5"/>
      <c r="AK467" s="5">
        <f>IFERROR(__xludf.DUMMYFUNCTION("""COMPUTED_VALUE"""),40.0)</f>
        <v>40</v>
      </c>
      <c r="AL467" s="5" t="str">
        <f>IFERROR(__xludf.DUMMYFUNCTION("""COMPUTED_VALUE"""),"No")</f>
        <v>No</v>
      </c>
      <c r="AM467" s="5" t="str">
        <f>IFERROR(__xludf.DUMMYFUNCTION("""COMPUTED_VALUE"""),"No")</f>
        <v>No</v>
      </c>
      <c r="AN467" s="7" t="str">
        <f>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AO467" s="5" t="str">
        <f>IFERROR(__xludf.DUMMYFUNCTION("""COMPUTED_VALUE"""),"No")</f>
        <v>No</v>
      </c>
      <c r="AP467" s="5" t="str">
        <f>IFERROR(__xludf.DUMMYFUNCTION("""COMPUTED_VALUE"""),"No")</f>
        <v>No</v>
      </c>
      <c r="AQ467" s="5" t="b">
        <f>IFERROR(__xludf.DUMMYFUNCTION("""COMPUTED_VALUE"""),TRUE)</f>
        <v>1</v>
      </c>
      <c r="AR467" s="5"/>
      <c r="AS467" s="5" t="str">
        <f>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AT467" s="5"/>
      <c r="AU467" s="5" t="str">
        <f>IFERROR(__xludf.DUMMYFUNCTION("""COMPUTED_VALUE"""),"Fazi")</f>
        <v>Fazi</v>
      </c>
      <c r="AV467" s="5"/>
      <c r="AW467" s="5"/>
      <c r="AX467" s="5"/>
      <c r="AY467" s="5"/>
      <c r="AZ467" s="5"/>
      <c r="BA467" s="5"/>
      <c r="BB467" s="5" t="b">
        <f>IFERROR(__xludf.DUMMYFUNCTION("""COMPUTED_VALUE"""),TRUE)</f>
        <v>1</v>
      </c>
      <c r="BC467" s="5" t="str">
        <f>IFERROR(__xludf.DUMMYFUNCTION("""COMPUTED_VALUE"""),"Playnet")</f>
        <v>Playnet</v>
      </c>
      <c r="BD467" s="7" t="str">
        <f>IFERROR(__xludf.DUMMYFUNCTION("""COMPUTED_VALUE"""),"https://gameserver-store-client-area.orbionlimited.com/Home/IntegrationGameLaunch/client-area?moneyType=0&amp;gameName=PlayNetBitSlot&amp;platform=desktop&amp;languageCode=eng&amp;currency=EUR")</f>
        <v>https://gameserver-store-client-area.orbionlimited.com/Home/IntegrationGameLaunch/client-area?moneyType=0&amp;gameName=PlayNetBitSlot&amp;platform=desktop&amp;languageCode=eng&amp;currency=EUR</v>
      </c>
      <c r="BE467" s="5" t="b">
        <f>IFERROR(__xludf.DUMMYFUNCTION("""COMPUTED_VALUE"""),TRUE)</f>
        <v>1</v>
      </c>
    </row>
    <row r="468">
      <c r="A468" s="5">
        <f>IFERROR(__xludf.DUMMYFUNCTION("""COMPUTED_VALUE"""),492.0)</f>
        <v>492</v>
      </c>
      <c r="B468" s="5">
        <f>IFERROR(__xludf.DUMMYFUNCTION("""COMPUTED_VALUE"""),413.0)</f>
        <v>413</v>
      </c>
      <c r="C468" s="5" t="str">
        <f>IFERROR(__xludf.DUMMYFUNCTION("""COMPUTED_VALUE"""),"Playnet")</f>
        <v>Playnet</v>
      </c>
      <c r="D468" s="5" t="str">
        <f>IFERROR(__xludf.DUMMYFUNCTION("""COMPUTED_VALUE"""),"Fortune Clover 10")</f>
        <v>Fortune Clover 10</v>
      </c>
      <c r="E468" s="5" t="str">
        <f>IFERROR(__xludf.DUMMYFUNCTION("""COMPUTED_VALUE"""),"V4-2")</f>
        <v>V4-2</v>
      </c>
      <c r="F468" s="5" t="str">
        <f>IFERROR(__xludf.DUMMYFUNCTION("""COMPUTED_VALUE"""),"PlayNetFortuneClover10")</f>
        <v>PlayNetFortuneClover10</v>
      </c>
      <c r="G468" s="5" t="str">
        <f>IFERROR(__xludf.DUMMYFUNCTION("""COMPUTED_VALUE"""),"Live")</f>
        <v>Live</v>
      </c>
      <c r="H468" s="5"/>
      <c r="I468" s="5" t="str">
        <f>IFERROR(__xludf.DUMMYFUNCTION("""COMPUTED_VALUE"""),"V4")</f>
        <v>V4</v>
      </c>
      <c r="J468" s="5" t="str">
        <f>IFERROR(__xludf.DUMMYFUNCTION("""COMPUTED_VALUE"""),"JSON")</f>
        <v>JSON</v>
      </c>
      <c r="K468" s="5" t="str">
        <f>IFERROR(__xludf.DUMMYFUNCTION("""COMPUTED_VALUE"""),"Slot")</f>
        <v>Slot</v>
      </c>
      <c r="L468" s="5" t="str">
        <f>IFERROR(__xludf.DUMMYFUNCTION("""COMPUTED_VALUE""")," Reskin")</f>
        <v> Reskin</v>
      </c>
      <c r="M468" s="5" t="str">
        <f>IFERROR(__xludf.DUMMYFUNCTION("""COMPUTED_VALUE"""),"Golden Crown")</f>
        <v>Golden Crown</v>
      </c>
      <c r="N468" s="5"/>
      <c r="O468" s="5"/>
      <c r="P468" s="12">
        <f>IFERROR(__xludf.DUMMYFUNCTION("""COMPUTED_VALUE"""),7.1)</f>
        <v>7.1</v>
      </c>
      <c r="Q468" s="13">
        <f>IFERROR(__xludf.DUMMYFUNCTION("""COMPUTED_VALUE"""),45796.0)</f>
        <v>45796</v>
      </c>
      <c r="R468" s="13">
        <f>IFERROR(__xludf.DUMMYFUNCTION("""COMPUTED_VALUE"""),45789.0)</f>
        <v>45789</v>
      </c>
      <c r="S468" s="13">
        <f>IFERROR(__xludf.DUMMYFUNCTION("""COMPUTED_VALUE"""),45796.0)</f>
        <v>45796</v>
      </c>
      <c r="T468" s="5" t="b">
        <f>IFERROR(__xludf.DUMMYFUNCTION("""COMPUTED_VALUE"""),TRUE)</f>
        <v>1</v>
      </c>
      <c r="U468" s="5" t="str">
        <f>IFERROR(__xludf.DUMMYFUNCTION("""COMPUTED_VALUE"""),"5x3")</f>
        <v>5x3</v>
      </c>
      <c r="V468" s="5">
        <f>IFERROR(__xludf.DUMMYFUNCTION("""COMPUTED_VALUE"""),10.0)</f>
        <v>10</v>
      </c>
      <c r="W468" s="5">
        <f>IFERROR(__xludf.DUMMYFUNCTION("""COMPUTED_VALUE"""),10.0)</f>
        <v>10</v>
      </c>
      <c r="X468" s="5">
        <f>IFERROR(__xludf.DUMMYFUNCTION("""COMPUTED_VALUE"""),95.962)</f>
        <v>95.962</v>
      </c>
      <c r="Y468" s="5" t="str">
        <f>IFERROR(__xludf.DUMMYFUNCTION("""COMPUTED_VALUE"""),"Medium")</f>
        <v>Medium</v>
      </c>
      <c r="Z468" s="5">
        <f>IFERROR(__xludf.DUMMYFUNCTION("""COMPUTED_VALUE"""),14.634)</f>
        <v>14.634</v>
      </c>
      <c r="AA468" s="5">
        <f>IFERROR(__xludf.DUMMYFUNCTION("""COMPUTED_VALUE"""),1538.0)</f>
        <v>1538</v>
      </c>
      <c r="AB468" s="5"/>
      <c r="AC468" s="5" t="str">
        <f>IFERROR(__xludf.DUMMYFUNCTION("""COMPUTED_VALUE"""),"Expanding Wild, Scatter")</f>
        <v>Expanding Wild, Scatter</v>
      </c>
      <c r="AD468" s="5" t="str">
        <f>IFERROR(__xludf.DUMMYFUNCTION("""COMPUTED_VALUE"""),"0.01/50")</f>
        <v>0.01/50</v>
      </c>
      <c r="AE468" s="5"/>
      <c r="AF468" s="5"/>
      <c r="AG468" s="8">
        <f>IFERROR(__xludf.DUMMYFUNCTION("""COMPUTED_VALUE"""),46220.50251157407)</f>
        <v>46220.50251</v>
      </c>
      <c r="AH468" s="5" t="str">
        <f>IFERROR(__xludf.DUMMYFUNCTION("""COMPUTED_VALUE"""),"selena.mihajlovic@fazi.rs")</f>
        <v>selena.mihajlovic@fazi.rs</v>
      </c>
      <c r="AI468" s="13"/>
      <c r="AJ468" s="5"/>
      <c r="AK468" s="5">
        <f>IFERROR(__xludf.DUMMYFUNCTION("""COMPUTED_VALUE"""),10.0)</f>
        <v>10</v>
      </c>
      <c r="AL468" s="5" t="str">
        <f>IFERROR(__xludf.DUMMYFUNCTION("""COMPUTED_VALUE"""),"No")</f>
        <v>No</v>
      </c>
      <c r="AM468" s="5" t="str">
        <f>IFERROR(__xludf.DUMMYFUNCTION("""COMPUTED_VALUE"""),"No")</f>
        <v>No</v>
      </c>
      <c r="AN468" s="7" t="str">
        <f>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AO468" s="5" t="str">
        <f>IFERROR(__xludf.DUMMYFUNCTION("""COMPUTED_VALUE"""),"No")</f>
        <v>No</v>
      </c>
      <c r="AP468" s="5" t="str">
        <f>IFERROR(__xludf.DUMMYFUNCTION("""COMPUTED_VALUE"""),"No")</f>
        <v>No</v>
      </c>
      <c r="AQ468" s="5" t="b">
        <f>IFERROR(__xludf.DUMMYFUNCTION("""COMPUTED_VALUE"""),TRUE)</f>
        <v>1</v>
      </c>
      <c r="AR468" s="5"/>
      <c r="AS468" s="5" t="str">
        <f>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AT468" s="5"/>
      <c r="AU468" s="5" t="str">
        <f>IFERROR(__xludf.DUMMYFUNCTION("""COMPUTED_VALUE"""),"Fazi")</f>
        <v>Fazi</v>
      </c>
      <c r="AV468" s="5"/>
      <c r="AW468" s="5"/>
      <c r="AX468" s="5"/>
      <c r="AY468" s="5"/>
      <c r="AZ468" s="5"/>
      <c r="BA468" s="5"/>
      <c r="BB468" s="5" t="b">
        <f>IFERROR(__xludf.DUMMYFUNCTION("""COMPUTED_VALUE"""),TRUE)</f>
        <v>1</v>
      </c>
      <c r="BC468" s="5" t="str">
        <f>IFERROR(__xludf.DUMMYFUNCTION("""COMPUTED_VALUE"""),"Playnet")</f>
        <v>Playnet</v>
      </c>
      <c r="BD468" s="7" t="str">
        <f>IFERROR(__xludf.DUMMYFUNCTION("""COMPUTED_VALUE"""),"https://gameserver-store-client-area.orbionlimited.com/Home/IntegrationGameLaunch/client-area?moneyType=0&amp;gameName=PlayNetFortuneClover10&amp;platform=desktop&amp;languageCode=eng&amp;currency=EUR")</f>
        <v>https://gameserver-store-client-area.orbionlimited.com/Home/IntegrationGameLaunch/client-area?moneyType=0&amp;gameName=PlayNetFortuneClover10&amp;platform=desktop&amp;languageCode=eng&amp;currency=EUR</v>
      </c>
      <c r="BE468" s="5" t="b">
        <f>IFERROR(__xludf.DUMMYFUNCTION("""COMPUTED_VALUE"""),TRUE)</f>
        <v>1</v>
      </c>
    </row>
    <row r="469">
      <c r="A469" s="5">
        <f>IFERROR(__xludf.DUMMYFUNCTION("""COMPUTED_VALUE"""),493.0)</f>
        <v>493</v>
      </c>
      <c r="B469" s="5">
        <f>IFERROR(__xludf.DUMMYFUNCTION("""COMPUTED_VALUE"""),416.0)</f>
        <v>416</v>
      </c>
      <c r="C469" s="5" t="str">
        <f>IFERROR(__xludf.DUMMYFUNCTION("""COMPUTED_VALUE"""),"Playnet")</f>
        <v>Playnet</v>
      </c>
      <c r="D469" s="5" t="str">
        <f>IFERROR(__xludf.DUMMYFUNCTION("""COMPUTED_VALUE"""),"Majestic Crown 100")</f>
        <v>Majestic Crown 100</v>
      </c>
      <c r="E469" s="5" t="str">
        <f>IFERROR(__xludf.DUMMYFUNCTION("""COMPUTED_VALUE"""),"V4-2")</f>
        <v>V4-2</v>
      </c>
      <c r="F469" s="5" t="str">
        <f>IFERROR(__xludf.DUMMYFUNCTION("""COMPUTED_VALUE"""),"PlayNetMajesticCrown100")</f>
        <v>PlayNetMajesticCrown100</v>
      </c>
      <c r="G469" s="5" t="str">
        <f>IFERROR(__xludf.DUMMYFUNCTION("""COMPUTED_VALUE"""),"Live")</f>
        <v>Live</v>
      </c>
      <c r="H469" s="5"/>
      <c r="I469" s="5"/>
      <c r="J469" s="5" t="str">
        <f>IFERROR(__xludf.DUMMYFUNCTION("""COMPUTED_VALUE"""),"JSON")</f>
        <v>JSON</v>
      </c>
      <c r="K469" s="5" t="str">
        <f>IFERROR(__xludf.DUMMYFUNCTION("""COMPUTED_VALUE"""),"Slot")</f>
        <v>Slot</v>
      </c>
      <c r="L469" s="5" t="str">
        <f>IFERROR(__xludf.DUMMYFUNCTION("""COMPUTED_VALUE""")," Reskin")</f>
        <v> Reskin</v>
      </c>
      <c r="M469" s="5" t="str">
        <f>IFERROR(__xludf.DUMMYFUNCTION("""COMPUTED_VALUE"""),"Epic Clover 100")</f>
        <v>Epic Clover 100</v>
      </c>
      <c r="N469" s="5"/>
      <c r="O469" s="5"/>
      <c r="P469" s="12">
        <f>IFERROR(__xludf.DUMMYFUNCTION("""COMPUTED_VALUE"""),7.0)</f>
        <v>7</v>
      </c>
      <c r="Q469" s="13">
        <f>IFERROR(__xludf.DUMMYFUNCTION("""COMPUTED_VALUE"""),45810.0)</f>
        <v>45810</v>
      </c>
      <c r="R469" s="13">
        <f>IFERROR(__xludf.DUMMYFUNCTION("""COMPUTED_VALUE"""),45803.0)</f>
        <v>45803</v>
      </c>
      <c r="S469" s="13">
        <f>IFERROR(__xludf.DUMMYFUNCTION("""COMPUTED_VALUE"""),45810.0)</f>
        <v>45810</v>
      </c>
      <c r="T469" s="5" t="b">
        <f>IFERROR(__xludf.DUMMYFUNCTION("""COMPUTED_VALUE"""),TRUE)</f>
        <v>1</v>
      </c>
      <c r="U469" s="5" t="str">
        <f>IFERROR(__xludf.DUMMYFUNCTION("""COMPUTED_VALUE"""),"5x4")</f>
        <v>5x4</v>
      </c>
      <c r="V469" s="5">
        <f>IFERROR(__xludf.DUMMYFUNCTION("""COMPUTED_VALUE"""),100.0)</f>
        <v>100</v>
      </c>
      <c r="W469" s="5">
        <f>IFERROR(__xludf.DUMMYFUNCTION("""COMPUTED_VALUE"""),100.0)</f>
        <v>100</v>
      </c>
      <c r="X469" s="5">
        <f>IFERROR(__xludf.DUMMYFUNCTION("""COMPUTED_VALUE"""),96.502)</f>
        <v>96.502</v>
      </c>
      <c r="Y469" s="5" t="str">
        <f>IFERROR(__xludf.DUMMYFUNCTION("""COMPUTED_VALUE"""),"Medium")</f>
        <v>Medium</v>
      </c>
      <c r="Z469" s="5">
        <f>IFERROR(__xludf.DUMMYFUNCTION("""COMPUTED_VALUE"""),13.309)</f>
        <v>13.309</v>
      </c>
      <c r="AA469" s="5">
        <f>IFERROR(__xludf.DUMMYFUNCTION("""COMPUTED_VALUE"""),3000.0)</f>
        <v>3000</v>
      </c>
      <c r="AB469" s="5"/>
      <c r="AC469" s="5" t="str">
        <f>IFERROR(__xludf.DUMMYFUNCTION("""COMPUTED_VALUE"""),"Scatter, Expanding Wild")</f>
        <v>Scatter, Expanding Wild</v>
      </c>
      <c r="AD469" s="5" t="str">
        <f>IFERROR(__xludf.DUMMYFUNCTION("""COMPUTED_VALUE"""),"1/100")</f>
        <v>1/100</v>
      </c>
      <c r="AE469" s="5"/>
      <c r="AF469" s="5"/>
      <c r="AG469" s="8">
        <f>IFERROR(__xludf.DUMMYFUNCTION("""COMPUTED_VALUE"""),46220.502650462964)</f>
        <v>46220.50265</v>
      </c>
      <c r="AH469" s="5" t="str">
        <f>IFERROR(__xludf.DUMMYFUNCTION("""COMPUTED_VALUE"""),"selena.mihajlovic@fazi.rs")</f>
        <v>selena.mihajlovic@fazi.rs</v>
      </c>
      <c r="AI469" s="13"/>
      <c r="AJ469" s="5"/>
      <c r="AK469" s="5"/>
      <c r="AL469" s="5" t="str">
        <f>IFERROR(__xludf.DUMMYFUNCTION("""COMPUTED_VALUE"""),"No")</f>
        <v>No</v>
      </c>
      <c r="AM469" s="5" t="str">
        <f>IFERROR(__xludf.DUMMYFUNCTION("""COMPUTED_VALUE"""),"No")</f>
        <v>No</v>
      </c>
      <c r="AN469" s="7" t="str">
        <f>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AO469" s="5" t="str">
        <f>IFERROR(__xludf.DUMMYFUNCTION("""COMPUTED_VALUE"""),"No")</f>
        <v>No</v>
      </c>
      <c r="AP469" s="5" t="str">
        <f>IFERROR(__xludf.DUMMYFUNCTION("""COMPUTED_VALUE"""),"No")</f>
        <v>No</v>
      </c>
      <c r="AQ469" s="5" t="b">
        <f>IFERROR(__xludf.DUMMYFUNCTION("""COMPUTED_VALUE"""),TRUE)</f>
        <v>1</v>
      </c>
      <c r="AR469" s="5"/>
      <c r="AS469" s="5" t="str">
        <f>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AT469" s="5"/>
      <c r="AU469" s="5" t="str">
        <f>IFERROR(__xludf.DUMMYFUNCTION("""COMPUTED_VALUE"""),"Fazi")</f>
        <v>Fazi</v>
      </c>
      <c r="AV469" s="5"/>
      <c r="AW469" s="5"/>
      <c r="AX469" s="5"/>
      <c r="AY469" s="5"/>
      <c r="AZ469" s="5"/>
      <c r="BA469" s="5"/>
      <c r="BB469" s="5" t="b">
        <f>IFERROR(__xludf.DUMMYFUNCTION("""COMPUTED_VALUE"""),TRUE)</f>
        <v>1</v>
      </c>
      <c r="BC469" s="5" t="str">
        <f>IFERROR(__xludf.DUMMYFUNCTION("""COMPUTED_VALUE"""),"Playnet")</f>
        <v>Playnet</v>
      </c>
      <c r="BD469" s="7" t="str">
        <f>IFERROR(__xludf.DUMMYFUNCTION("""COMPUTED_VALUE"""),"https://gameserver-store-client-area.orbionlimited.com/Home/IntegrationGameLaunch/client-area?moneyType=0&amp;gameName=PlayNetMajesticCrown100&amp;platform=desktop&amp;languageCode=eng&amp;currency=EUR")</f>
        <v>https://gameserver-store-client-area.orbionlimited.com/Home/IntegrationGameLaunch/client-area?moneyType=0&amp;gameName=PlayNetMajesticCrown100&amp;platform=desktop&amp;languageCode=eng&amp;currency=EUR</v>
      </c>
      <c r="BE469" s="5" t="b">
        <f>IFERROR(__xludf.DUMMYFUNCTION("""COMPUTED_VALUE"""),TRUE)</f>
        <v>1</v>
      </c>
    </row>
    <row r="470">
      <c r="A470" s="5">
        <f>IFERROR(__xludf.DUMMYFUNCTION("""COMPUTED_VALUE"""),494.0)</f>
        <v>494</v>
      </c>
      <c r="B470" s="5">
        <f>IFERROR(__xludf.DUMMYFUNCTION("""COMPUTED_VALUE"""),417.0)</f>
        <v>417</v>
      </c>
      <c r="C470" s="5" t="str">
        <f>IFERROR(__xludf.DUMMYFUNCTION("""COMPUTED_VALUE"""),"Playnet")</f>
        <v>Playnet</v>
      </c>
      <c r="D470" s="5" t="str">
        <f>IFERROR(__xludf.DUMMYFUNCTION("""COMPUTED_VALUE"""),"Fortune Clover 20")</f>
        <v>Fortune Clover 20</v>
      </c>
      <c r="E470" s="5" t="str">
        <f>IFERROR(__xludf.DUMMYFUNCTION("""COMPUTED_VALUE"""),"V4-2")</f>
        <v>V4-2</v>
      </c>
      <c r="F470" s="5" t="str">
        <f>IFERROR(__xludf.DUMMYFUNCTION("""COMPUTED_VALUE"""),"PlayNetFortuneClover20")</f>
        <v>PlayNetFortuneClover20</v>
      </c>
      <c r="G470" s="5" t="str">
        <f>IFERROR(__xludf.DUMMYFUNCTION("""COMPUTED_VALUE"""),"Live")</f>
        <v>Live</v>
      </c>
      <c r="H470" s="5"/>
      <c r="I470" s="5"/>
      <c r="J470" s="5" t="str">
        <f>IFERROR(__xludf.DUMMYFUNCTION("""COMPUTED_VALUE"""),"JSON")</f>
        <v>JSON</v>
      </c>
      <c r="K470" s="5" t="str">
        <f>IFERROR(__xludf.DUMMYFUNCTION("""COMPUTED_VALUE"""),"Slot")</f>
        <v>Slot</v>
      </c>
      <c r="L470" s="5" t="str">
        <f>IFERROR(__xludf.DUMMYFUNCTION("""COMPUTED_VALUE""")," Reskin")</f>
        <v> Reskin</v>
      </c>
      <c r="M470" s="5" t="str">
        <f>IFERROR(__xludf.DUMMYFUNCTION("""COMPUTED_VALUE"""),"Very Hot 20")</f>
        <v>Very Hot 20</v>
      </c>
      <c r="N470" s="5"/>
      <c r="O470" s="5"/>
      <c r="P470" s="12">
        <f>IFERROR(__xludf.DUMMYFUNCTION("""COMPUTED_VALUE"""),7.2)</f>
        <v>7.2</v>
      </c>
      <c r="Q470" s="13">
        <f>IFERROR(__xludf.DUMMYFUNCTION("""COMPUTED_VALUE"""),45826.0)</f>
        <v>45826</v>
      </c>
      <c r="R470" s="13">
        <f>IFERROR(__xludf.DUMMYFUNCTION("""COMPUTED_VALUE"""),45819.0)</f>
        <v>45819</v>
      </c>
      <c r="S470" s="13">
        <f>IFERROR(__xludf.DUMMYFUNCTION("""COMPUTED_VALUE"""),45826.0)</f>
        <v>45826</v>
      </c>
      <c r="T470" s="5" t="b">
        <f>IFERROR(__xludf.DUMMYFUNCTION("""COMPUTED_VALUE"""),TRUE)</f>
        <v>1</v>
      </c>
      <c r="U470" s="5" t="str">
        <f>IFERROR(__xludf.DUMMYFUNCTION("""COMPUTED_VALUE"""),"5x3")</f>
        <v>5x3</v>
      </c>
      <c r="V470" s="5">
        <f>IFERROR(__xludf.DUMMYFUNCTION("""COMPUTED_VALUE"""),20.0)</f>
        <v>20</v>
      </c>
      <c r="W470" s="5">
        <f>IFERROR(__xludf.DUMMYFUNCTION("""COMPUTED_VALUE"""),20.0)</f>
        <v>20</v>
      </c>
      <c r="X470" s="5">
        <f>IFERROR(__xludf.DUMMYFUNCTION("""COMPUTED_VALUE"""),96.504)</f>
        <v>96.504</v>
      </c>
      <c r="Y470" s="5" t="str">
        <f>IFERROR(__xludf.DUMMYFUNCTION("""COMPUTED_VALUE"""),"Medium")</f>
        <v>Medium</v>
      </c>
      <c r="Z470" s="5">
        <f>IFERROR(__xludf.DUMMYFUNCTION("""COMPUTED_VALUE"""),21.751)</f>
        <v>21.751</v>
      </c>
      <c r="AA470" s="5">
        <f>IFERROR(__xludf.DUMMYFUNCTION("""COMPUTED_VALUE"""),1231.5)</f>
        <v>1231.5</v>
      </c>
      <c r="AB470" s="5"/>
      <c r="AC470" s="5" t="str">
        <f>IFERROR(__xludf.DUMMYFUNCTION("""COMPUTED_VALUE"""),"Scatter, Expanding Wild")</f>
        <v>Scatter, Expanding Wild</v>
      </c>
      <c r="AD470" s="5" t="str">
        <f>IFERROR(__xludf.DUMMYFUNCTION("""COMPUTED_VALUE"""),"0.2/50")</f>
        <v>0.2/50</v>
      </c>
      <c r="AE470" s="5"/>
      <c r="AF470" s="5"/>
      <c r="AG470" s="8">
        <f>IFERROR(__xludf.DUMMYFUNCTION("""COMPUTED_VALUE"""),46220.502800925926)</f>
        <v>46220.5028</v>
      </c>
      <c r="AH470" s="5" t="str">
        <f>IFERROR(__xludf.DUMMYFUNCTION("""COMPUTED_VALUE"""),"selena.mihajlovic@fazi.rs")</f>
        <v>selena.mihajlovic@fazi.rs</v>
      </c>
      <c r="AI470" s="13"/>
      <c r="AJ470" s="5"/>
      <c r="AK470" s="5"/>
      <c r="AL470" s="5" t="str">
        <f>IFERROR(__xludf.DUMMYFUNCTION("""COMPUTED_VALUE"""),"No")</f>
        <v>No</v>
      </c>
      <c r="AM470" s="5" t="str">
        <f>IFERROR(__xludf.DUMMYFUNCTION("""COMPUTED_VALUE"""),"No")</f>
        <v>No</v>
      </c>
      <c r="AN470" s="7" t="str">
        <f>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AO470" s="5" t="str">
        <f>IFERROR(__xludf.DUMMYFUNCTION("""COMPUTED_VALUE"""),"No")</f>
        <v>No</v>
      </c>
      <c r="AP470" s="5" t="str">
        <f>IFERROR(__xludf.DUMMYFUNCTION("""COMPUTED_VALUE"""),"No")</f>
        <v>No</v>
      </c>
      <c r="AQ470" s="5" t="b">
        <f>IFERROR(__xludf.DUMMYFUNCTION("""COMPUTED_VALUE"""),TRUE)</f>
        <v>1</v>
      </c>
      <c r="AR470" s="5"/>
      <c r="AS470" s="5" t="str">
        <f>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AT470" s="5"/>
      <c r="AU470" s="5" t="str">
        <f>IFERROR(__xludf.DUMMYFUNCTION("""COMPUTED_VALUE"""),"Fazi")</f>
        <v>Fazi</v>
      </c>
      <c r="AV470" s="5"/>
      <c r="AW470" s="5"/>
      <c r="AX470" s="5"/>
      <c r="AY470" s="5"/>
      <c r="AZ470" s="5"/>
      <c r="BA470" s="5"/>
      <c r="BB470" s="5" t="b">
        <f>IFERROR(__xludf.DUMMYFUNCTION("""COMPUTED_VALUE"""),TRUE)</f>
        <v>1</v>
      </c>
      <c r="BC470" s="5" t="str">
        <f>IFERROR(__xludf.DUMMYFUNCTION("""COMPUTED_VALUE"""),"Playnet")</f>
        <v>Playnet</v>
      </c>
      <c r="BD470" s="7" t="str">
        <f>IFERROR(__xludf.DUMMYFUNCTION("""COMPUTED_VALUE"""),"https://gameserver-store-client-area.orbionlimited.com/Home/IntegrationGameLaunch/client-area?moneyType=0&amp;gameName=PlayNetFortuneClover20&amp;platform=desktop&amp;languageCode=eng&amp;currency=EUR")</f>
        <v>https://gameserver-store-client-area.orbionlimited.com/Home/IntegrationGameLaunch/client-area?moneyType=0&amp;gameName=PlayNetFortuneClover20&amp;platform=desktop&amp;languageCode=eng&amp;currency=EUR</v>
      </c>
      <c r="BE470" s="5" t="b">
        <f>IFERROR(__xludf.DUMMYFUNCTION("""COMPUTED_VALUE"""),TRUE)</f>
        <v>1</v>
      </c>
    </row>
    <row r="471">
      <c r="A471" s="5">
        <f>IFERROR(__xludf.DUMMYFUNCTION("""COMPUTED_VALUE"""),495.0)</f>
        <v>495</v>
      </c>
      <c r="B471" s="5">
        <f>IFERROR(__xludf.DUMMYFUNCTION("""COMPUTED_VALUE"""),3000001.0)</f>
        <v>3000001</v>
      </c>
      <c r="C471" s="5" t="str">
        <f>IFERROR(__xludf.DUMMYFUNCTION("""COMPUTED_VALUE"""),"SOKO studio")</f>
        <v>SOKO studio</v>
      </c>
      <c r="D471" s="5" t="str">
        <f>IFERROR(__xludf.DUMMYFUNCTION("""COMPUTED_VALUE"""),"Rock@roll")</f>
        <v>Rock@roll</v>
      </c>
      <c r="E471" s="5" t="str">
        <f>IFERROR(__xludf.DUMMYFUNCTION("""COMPUTED_VALUE"""),"SOKO studio")</f>
        <v>SOKO studio</v>
      </c>
      <c r="F471" s="5" t="str">
        <f>IFERROR(__xludf.DUMMYFUNCTION("""COMPUTED_VALUE"""),"rocket-roll")</f>
        <v>rocket-roll</v>
      </c>
      <c r="G471" s="5" t="str">
        <f>IFERROR(__xludf.DUMMYFUNCTION("""COMPUTED_VALUE"""),"Live")</f>
        <v>Live</v>
      </c>
      <c r="H471" s="5"/>
      <c r="I471" s="5" t="str">
        <f>IFERROR(__xludf.DUMMYFUNCTION("""COMPUTED_VALUE"""),"SOKO studio")</f>
        <v>SOKO studio</v>
      </c>
      <c r="J471" s="5" t="str">
        <f>IFERROR(__xludf.DUMMYFUNCTION("""COMPUTED_VALUE"""),"Aggregation platform")</f>
        <v>Aggregation platform</v>
      </c>
      <c r="K471" s="5"/>
      <c r="L471" s="5"/>
      <c r="M471" s="5"/>
      <c r="N471" s="5"/>
      <c r="O471" s="5"/>
      <c r="P471" s="12"/>
      <c r="Q471" s="13">
        <f>IFERROR(__xludf.DUMMYFUNCTION("""COMPUTED_VALUE"""),45729.0)</f>
        <v>45729</v>
      </c>
      <c r="R471" s="13"/>
      <c r="S471" s="13">
        <f>IFERROR(__xludf.DUMMYFUNCTION("""COMPUTED_VALUE"""),45729.0)</f>
        <v>45729</v>
      </c>
      <c r="T471" s="5" t="b">
        <f>IFERROR(__xludf.DUMMYFUNCTION("""COMPUTED_VALUE"""),TRUE)</f>
        <v>1</v>
      </c>
      <c r="U471" s="5"/>
      <c r="V471" s="5"/>
      <c r="W471" s="5"/>
      <c r="X471" s="5"/>
      <c r="Y471" s="5"/>
      <c r="Z471" s="5"/>
      <c r="AA471" s="5"/>
      <c r="AB471" s="5"/>
      <c r="AC471" s="5"/>
      <c r="AD471" s="5"/>
      <c r="AE471" s="5"/>
      <c r="AF471" s="5"/>
      <c r="AG471" s="8">
        <f>IFERROR(__xludf.DUMMYFUNCTION("""COMPUTED_VALUE"""),45726.474270833336)</f>
        <v>45726.47427</v>
      </c>
      <c r="AH471" s="5" t="str">
        <f>IFERROR(__xludf.DUMMYFUNCTION("""COMPUTED_VALUE"""),"aleksandra.pesic@fazi.rs")</f>
        <v>aleksandra.pesic@fazi.rs</v>
      </c>
      <c r="AI471" s="13"/>
      <c r="AJ471" s="5"/>
      <c r="AK471" s="5"/>
      <c r="AL471" s="5"/>
      <c r="AM471" s="5"/>
      <c r="AN471" s="5"/>
      <c r="AO471" s="5"/>
      <c r="AP471" s="5"/>
      <c r="AQ471" s="5"/>
      <c r="AR471" s="5"/>
      <c r="AS471" s="5"/>
      <c r="AT471" s="5"/>
      <c r="AU471" s="5"/>
      <c r="AV471" s="5"/>
      <c r="AW471" s="5"/>
      <c r="AX471" s="5"/>
      <c r="AY471" s="5"/>
      <c r="AZ471" s="5"/>
      <c r="BA471" s="5" t="str">
        <f>IFERROR(__xludf.DUMMYFUNCTION("""COMPUTED_VALUE"""),"")</f>
        <v/>
      </c>
      <c r="BB471" s="5"/>
      <c r="BC471" s="5" t="str">
        <f>IFERROR(__xludf.DUMMYFUNCTION("""COMPUTED_VALUE"""),"SOKO studio")</f>
        <v>SOKO studio</v>
      </c>
      <c r="BD471" s="5"/>
      <c r="BE471" s="5"/>
    </row>
    <row r="472">
      <c r="A472" s="5">
        <f>IFERROR(__xludf.DUMMYFUNCTION("""COMPUTED_VALUE"""),496.0)</f>
        <v>496</v>
      </c>
      <c r="B472" s="5">
        <f>IFERROR(__xludf.DUMMYFUNCTION("""COMPUTED_VALUE"""),3000002.0)</f>
        <v>3000002</v>
      </c>
      <c r="C472" s="5" t="str">
        <f>IFERROR(__xludf.DUMMYFUNCTION("""COMPUTED_VALUE"""),"SOKO studio")</f>
        <v>SOKO studio</v>
      </c>
      <c r="D472" s="5" t="str">
        <f>IFERROR(__xludf.DUMMYFUNCTION("""COMPUTED_VALUE"""),"Cosmic Comet Chase")</f>
        <v>Cosmic Comet Chase</v>
      </c>
      <c r="E472" s="5" t="str">
        <f>IFERROR(__xludf.DUMMYFUNCTION("""COMPUTED_VALUE"""),"SOKO studio")</f>
        <v>SOKO studio</v>
      </c>
      <c r="F472" s="5" t="str">
        <f>IFERROR(__xludf.DUMMYFUNCTION("""COMPUTED_VALUE"""),"cosmic-comet-chase")</f>
        <v>cosmic-comet-chase</v>
      </c>
      <c r="G472" s="5" t="str">
        <f>IFERROR(__xludf.DUMMYFUNCTION("""COMPUTED_VALUE"""),"Live")</f>
        <v>Live</v>
      </c>
      <c r="H472" s="5"/>
      <c r="I472" s="5" t="str">
        <f>IFERROR(__xludf.DUMMYFUNCTION("""COMPUTED_VALUE"""),"SOKO studio")</f>
        <v>SOKO studio</v>
      </c>
      <c r="J472" s="5" t="str">
        <f>IFERROR(__xludf.DUMMYFUNCTION("""COMPUTED_VALUE"""),"Aggregation platform")</f>
        <v>Aggregation platform</v>
      </c>
      <c r="K472" s="5"/>
      <c r="L472" s="5"/>
      <c r="M472" s="5"/>
      <c r="N472" s="5"/>
      <c r="O472" s="5"/>
      <c r="P472" s="12"/>
      <c r="Q472" s="13">
        <f>IFERROR(__xludf.DUMMYFUNCTION("""COMPUTED_VALUE"""),45736.0)</f>
        <v>45736</v>
      </c>
      <c r="R472" s="13"/>
      <c r="S472" s="13">
        <f>IFERROR(__xludf.DUMMYFUNCTION("""COMPUTED_VALUE"""),45736.0)</f>
        <v>45736</v>
      </c>
      <c r="T472" s="5" t="b">
        <f>IFERROR(__xludf.DUMMYFUNCTION("""COMPUTED_VALUE"""),TRUE)</f>
        <v>1</v>
      </c>
      <c r="U472" s="5"/>
      <c r="V472" s="5"/>
      <c r="W472" s="5"/>
      <c r="X472" s="5"/>
      <c r="Y472" s="5"/>
      <c r="Z472" s="5"/>
      <c r="AA472" s="5"/>
      <c r="AB472" s="5"/>
      <c r="AC472" s="5"/>
      <c r="AD472" s="5"/>
      <c r="AE472" s="5"/>
      <c r="AF472" s="5"/>
      <c r="AG472" s="8">
        <f>IFERROR(__xludf.DUMMYFUNCTION("""COMPUTED_VALUE"""),45726.47431712963)</f>
        <v>45726.47432</v>
      </c>
      <c r="AH472" s="5" t="str">
        <f>IFERROR(__xludf.DUMMYFUNCTION("""COMPUTED_VALUE"""),"aleksandra.pesic@fazi.rs")</f>
        <v>aleksandra.pesic@fazi.rs</v>
      </c>
      <c r="AI472" s="13"/>
      <c r="AJ472" s="5"/>
      <c r="AK472" s="5"/>
      <c r="AL472" s="5"/>
      <c r="AM472" s="5"/>
      <c r="AN472" s="5"/>
      <c r="AO472" s="5"/>
      <c r="AP472" s="5"/>
      <c r="AQ472" s="5"/>
      <c r="AR472" s="5"/>
      <c r="AS472" s="5"/>
      <c r="AT472" s="5"/>
      <c r="AU472" s="5"/>
      <c r="AV472" s="5"/>
      <c r="AW472" s="5"/>
      <c r="AX472" s="5"/>
      <c r="AY472" s="5"/>
      <c r="AZ472" s="5"/>
      <c r="BA472" s="5" t="str">
        <f>IFERROR(__xludf.DUMMYFUNCTION("""COMPUTED_VALUE"""),"")</f>
        <v/>
      </c>
      <c r="BB472" s="5"/>
      <c r="BC472" s="5" t="str">
        <f>IFERROR(__xludf.DUMMYFUNCTION("""COMPUTED_VALUE"""),"SOKO studio")</f>
        <v>SOKO studio</v>
      </c>
      <c r="BD472" s="5"/>
      <c r="BE472" s="5"/>
    </row>
    <row r="473">
      <c r="A473" s="5">
        <f>IFERROR(__xludf.DUMMYFUNCTION("""COMPUTED_VALUE"""),499.0)</f>
        <v>499</v>
      </c>
      <c r="B473" s="5">
        <f>IFERROR(__xludf.DUMMYFUNCTION("""COMPUTED_VALUE"""),3000003.0)</f>
        <v>3000003</v>
      </c>
      <c r="C473" s="5" t="str">
        <f>IFERROR(__xludf.DUMMYFUNCTION("""COMPUTED_VALUE"""),"SOKO studio")</f>
        <v>SOKO studio</v>
      </c>
      <c r="D473" s="5" t="str">
        <f>IFERROR(__xludf.DUMMYFUNCTION("""COMPUTED_VALUE"""),"Neon Fruits")</f>
        <v>Neon Fruits</v>
      </c>
      <c r="E473" s="5" t="str">
        <f>IFERROR(__xludf.DUMMYFUNCTION("""COMPUTED_VALUE"""),"SOKO studio")</f>
        <v>SOKO studio</v>
      </c>
      <c r="F473" s="5" t="str">
        <f>IFERROR(__xludf.DUMMYFUNCTION("""COMPUTED_VALUE"""),"neon-fruits")</f>
        <v>neon-fruits</v>
      </c>
      <c r="G473" s="5" t="str">
        <f>IFERROR(__xludf.DUMMYFUNCTION("""COMPUTED_VALUE"""),"Live")</f>
        <v>Live</v>
      </c>
      <c r="H473" s="5"/>
      <c r="I473" s="5" t="str">
        <f>IFERROR(__xludf.DUMMYFUNCTION("""COMPUTED_VALUE"""),"SOKO studio")</f>
        <v>SOKO studio</v>
      </c>
      <c r="J473" s="5" t="str">
        <f>IFERROR(__xludf.DUMMYFUNCTION("""COMPUTED_VALUE"""),"Aggregation platform")</f>
        <v>Aggregation platform</v>
      </c>
      <c r="K473" s="5"/>
      <c r="L473" s="5"/>
      <c r="M473" s="5"/>
      <c r="N473" s="5"/>
      <c r="O473" s="5"/>
      <c r="P473" s="12"/>
      <c r="Q473" s="13">
        <f>IFERROR(__xludf.DUMMYFUNCTION("""COMPUTED_VALUE"""),45755.0)</f>
        <v>45755</v>
      </c>
      <c r="R473" s="13"/>
      <c r="S473" s="13">
        <f>IFERROR(__xludf.DUMMYFUNCTION("""COMPUTED_VALUE"""),45755.0)</f>
        <v>45755</v>
      </c>
      <c r="T473" s="5"/>
      <c r="U473" s="5"/>
      <c r="V473" s="5"/>
      <c r="W473" s="5"/>
      <c r="X473" s="5"/>
      <c r="Y473" s="5"/>
      <c r="Z473" s="5"/>
      <c r="AA473" s="5"/>
      <c r="AB473" s="5"/>
      <c r="AC473" s="5"/>
      <c r="AD473" s="5"/>
      <c r="AE473" s="5"/>
      <c r="AF473" s="5"/>
      <c r="AG473" s="8">
        <f>IFERROR(__xludf.DUMMYFUNCTION("""COMPUTED_VALUE"""),45742.65791666666)</f>
        <v>45742.65792</v>
      </c>
      <c r="AH473" s="5" t="str">
        <f>IFERROR(__xludf.DUMMYFUNCTION("""COMPUTED_VALUE"""),"danica.stojanovic@fazi.rs")</f>
        <v>danica.stojanovic@fazi.rs</v>
      </c>
      <c r="AI473" s="13"/>
      <c r="AJ473" s="5"/>
      <c r="AK473" s="5"/>
      <c r="AL473" s="5"/>
      <c r="AM473" s="5"/>
      <c r="AN473" s="5"/>
      <c r="AO473" s="5"/>
      <c r="AP473" s="5"/>
      <c r="AQ473" s="5"/>
      <c r="AR473" s="5"/>
      <c r="AS473" s="5"/>
      <c r="AT473" s="5"/>
      <c r="AU473" s="5"/>
      <c r="AV473" s="5"/>
      <c r="AW473" s="5"/>
      <c r="AX473" s="5"/>
      <c r="AY473" s="5"/>
      <c r="AZ473" s="5"/>
      <c r="BA473" s="5" t="str">
        <f>IFERROR(__xludf.DUMMYFUNCTION("""COMPUTED_VALUE"""),"")</f>
        <v/>
      </c>
      <c r="BB473" s="5"/>
      <c r="BC473" s="5" t="str">
        <f>IFERROR(__xludf.DUMMYFUNCTION("""COMPUTED_VALUE"""),"SOKO studio")</f>
        <v>SOKO studio</v>
      </c>
      <c r="BD473" s="5"/>
      <c r="BE473" s="5"/>
    </row>
    <row r="474">
      <c r="A474" s="5">
        <f>IFERROR(__xludf.DUMMYFUNCTION("""COMPUTED_VALUE"""),500.0)</f>
        <v>500</v>
      </c>
      <c r="B474" s="5">
        <f>IFERROR(__xludf.DUMMYFUNCTION("""COMPUTED_VALUE"""),3011.0)</f>
        <v>3011</v>
      </c>
      <c r="C474" s="5" t="str">
        <f>IFERROR(__xludf.DUMMYFUNCTION("""COMPUTED_VALUE"""),"Fazi")</f>
        <v>Fazi</v>
      </c>
      <c r="D474" s="5" t="str">
        <f>IFERROR(__xludf.DUMMYFUNCTION("""COMPUTED_VALUE"""),"Golden Crown Booster")</f>
        <v>Golden Crown Booster</v>
      </c>
      <c r="E474" s="5" t="str">
        <f>IFERROR(__xludf.DUMMYFUNCTION("""COMPUTED_VALUE"""),"V2")</f>
        <v>V2</v>
      </c>
      <c r="F474" s="5" t="str">
        <f>IFERROR(__xludf.DUMMYFUNCTION("""COMPUTED_VALUE"""),"GoldenCrownBooster")</f>
        <v>GoldenCrownBooster</v>
      </c>
      <c r="G474" s="5" t="str">
        <f>IFERROR(__xludf.DUMMYFUNCTION("""COMPUTED_VALUE"""),"Live")</f>
        <v>Live</v>
      </c>
      <c r="H474" s="5"/>
      <c r="I474" s="5" t="str">
        <f>IFERROR(__xludf.DUMMYFUNCTION("""COMPUTED_VALUE"""),"V2")</f>
        <v>V2</v>
      </c>
      <c r="J474" s="5" t="str">
        <f>IFERROR(__xludf.DUMMYFUNCTION("""COMPUTED_VALUE"""),"JSON")</f>
        <v>JSON</v>
      </c>
      <c r="K474" s="5" t="str">
        <f>IFERROR(__xludf.DUMMYFUNCTION("""COMPUTED_VALUE"""),"Slot")</f>
        <v>Slot</v>
      </c>
      <c r="L474" s="5" t="str">
        <f>IFERROR(__xludf.DUMMYFUNCTION("""COMPUTED_VALUE""")," Clone")</f>
        <v> Clone</v>
      </c>
      <c r="M474" s="5" t="str">
        <f>IFERROR(__xludf.DUMMYFUNCTION("""COMPUTED_VALUE"""),"Golden Crown")</f>
        <v>Golden Crown</v>
      </c>
      <c r="N474" s="7" t="str">
        <f>IFERROR(__xludf.DUMMYFUNCTION("""COMPUTED_VALUE"""),"https://drive.google.com/drive/folders/1E7Mxi22KXbprgaL9JSeePsLAKW7oSG31")</f>
        <v>https://drive.google.com/drive/folders/1E7Mxi22KXbprgaL9JSeePsLAKW7oSG31</v>
      </c>
      <c r="O474" s="7" t="str">
        <f>IFERROR(__xludf.DUMMYFUNCTION("""COMPUTED_VALUE"""),"https://drive.google.com/drive/folders/1E7Mxi22KXbprgaL9JSeePsLAKW7oSG31")</f>
        <v>https://drive.google.com/drive/folders/1E7Mxi22KXbprgaL9JSeePsLAKW7oSG31</v>
      </c>
      <c r="P474" s="12">
        <f>IFERROR(__xludf.DUMMYFUNCTION("""COMPUTED_VALUE"""),38.9)</f>
        <v>38.9</v>
      </c>
      <c r="Q474" s="13">
        <f>IFERROR(__xludf.DUMMYFUNCTION("""COMPUTED_VALUE"""),45791.0)</f>
        <v>45791</v>
      </c>
      <c r="R474" s="13">
        <f>IFERROR(__xludf.DUMMYFUNCTION("""COMPUTED_VALUE"""),45784.0)</f>
        <v>45784</v>
      </c>
      <c r="S474" s="13">
        <f>IFERROR(__xludf.DUMMYFUNCTION("""COMPUTED_VALUE"""),45791.0)</f>
        <v>45791</v>
      </c>
      <c r="T474" s="5" t="b">
        <f>IFERROR(__xludf.DUMMYFUNCTION("""COMPUTED_VALUE"""),TRUE)</f>
        <v>1</v>
      </c>
      <c r="U474" s="5" t="str">
        <f>IFERROR(__xludf.DUMMYFUNCTION("""COMPUTED_VALUE"""),"5x3")</f>
        <v>5x3</v>
      </c>
      <c r="V474" s="5">
        <f>IFERROR(__xludf.DUMMYFUNCTION("""COMPUTED_VALUE"""),10.0)</f>
        <v>10</v>
      </c>
      <c r="W474" s="5">
        <f>IFERROR(__xludf.DUMMYFUNCTION("""COMPUTED_VALUE"""),10.0)</f>
        <v>10</v>
      </c>
      <c r="X474" s="5">
        <f>IFERROR(__xludf.DUMMYFUNCTION("""COMPUTED_VALUE"""),95.962)</f>
        <v>95.962</v>
      </c>
      <c r="Y474" s="5" t="str">
        <f>IFERROR(__xludf.DUMMYFUNCTION("""COMPUTED_VALUE"""),"Medium")</f>
        <v>Medium</v>
      </c>
      <c r="Z474" s="5">
        <f>IFERROR(__xludf.DUMMYFUNCTION("""COMPUTED_VALUE"""),14.63)</f>
        <v>14.63</v>
      </c>
      <c r="AA474" s="5">
        <f>IFERROR(__xludf.DUMMYFUNCTION("""COMPUTED_VALUE"""),1538.0)</f>
        <v>1538</v>
      </c>
      <c r="AB474" s="5">
        <f>IFERROR(__xludf.DUMMYFUNCTION("""COMPUTED_VALUE"""),4.0)</f>
        <v>4</v>
      </c>
      <c r="AC474" s="5" t="str">
        <f>IFERROR(__xludf.DUMMYFUNCTION("""COMPUTED_VALUE"""),"Scatter, Expanding Wild, Buy Feature")</f>
        <v>Scatter, Expanding Wild, Buy Feature</v>
      </c>
      <c r="AD474" s="5" t="str">
        <f>IFERROR(__xludf.DUMMYFUNCTION("""COMPUTED_VALUE"""),"0.1/40")</f>
        <v>0.1/40</v>
      </c>
      <c r="AE474" s="5"/>
      <c r="AF474" s="5"/>
      <c r="AG474" s="8">
        <f>IFERROR(__xludf.DUMMYFUNCTION("""COMPUTED_VALUE"""),46198.51925925926)</f>
        <v>46198.51926</v>
      </c>
      <c r="AH474" s="5" t="str">
        <f>IFERROR(__xludf.DUMMYFUNCTION("""COMPUTED_VALUE"""),"selena.mihajlovic@fazi.rs")</f>
        <v>selena.mihajlovic@fazi.rs</v>
      </c>
      <c r="AI474" s="13">
        <f>IFERROR(__xludf.DUMMYFUNCTION("""COMPUTED_VALUE"""),45775.0)</f>
        <v>45775</v>
      </c>
      <c r="AJ474" s="5" t="str">
        <f>IFERROR(__xludf.DUMMYFUNCTION("""COMPUTED_VALUE"""),"- Circus.be  kazino (Gaming 1 integracija)
- Pronet 
- Premierbet sva kazina, Mercurybet i Guinee (Btobet integracija)
")</f>
        <v>- Circus.be  kazino (Gaming 1 integracija)
- Pronet 
- Premierbet sva kazina, Mercurybet i Guinee (Btobet integracija)
</v>
      </c>
      <c r="AK474" s="5">
        <f>IFERROR(__xludf.DUMMYFUNCTION("""COMPUTED_VALUE"""),10.0)</f>
        <v>10</v>
      </c>
      <c r="AL474" s="5" t="str">
        <f>IFERROR(__xludf.DUMMYFUNCTION("""COMPUTED_VALUE"""),"Yes")</f>
        <v>Yes</v>
      </c>
      <c r="AM474" s="5"/>
      <c r="AN474" s="7" t="str">
        <f>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4" s="5" t="str">
        <f>IFERROR(__xludf.DUMMYFUNCTION("""COMPUTED_VALUE"""),"Yes")</f>
        <v>Yes</v>
      </c>
      <c r="AP474" s="5" t="str">
        <f>IFERROR(__xludf.DUMMYFUNCTION("""COMPUTED_VALUE"""),"Yes")</f>
        <v>Yes</v>
      </c>
      <c r="AQ474" s="5" t="b">
        <f>IFERROR(__xludf.DUMMYFUNCTION("""COMPUTED_VALUE"""),TRUE)</f>
        <v>1</v>
      </c>
      <c r="AR474" s="5"/>
      <c r="AS474" s="5" t="str">
        <f>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AT474" s="5" t="str">
        <f>IFERROR(__xludf.DUMMYFUNCTION("""COMPUTED_VALUE"""),"No")</f>
        <v>No</v>
      </c>
      <c r="AU474" s="5" t="str">
        <f>IFERROR(__xludf.DUMMYFUNCTION("""COMPUTED_VALUE"""),"Fazi")</f>
        <v>Fazi</v>
      </c>
      <c r="AV474" s="5"/>
      <c r="AW474" s="5"/>
      <c r="AX474" s="5"/>
      <c r="AY474" s="5"/>
      <c r="AZ474" s="5"/>
      <c r="BA474" s="5">
        <f>IFERROR(__xludf.DUMMYFUNCTION("""COMPUTED_VALUE"""),5.0)</f>
        <v>5</v>
      </c>
      <c r="BB474" s="5"/>
      <c r="BC474" s="5" t="str">
        <f>IFERROR(__xludf.DUMMYFUNCTION("""COMPUTED_VALUE"""),"Foxi")</f>
        <v>Foxi</v>
      </c>
      <c r="BD474" s="7" t="str">
        <f>IFERROR(__xludf.DUMMYFUNCTION("""COMPUTED_VALUE"""),"https://gameserver-store-client-area.orbionlimited.com/Home/IntegrationGameLaunch/client-area?moneyType=0&amp;gameName=GoldenCrownBooster&amp;platform=desktop&amp;languageCode=eng&amp;currency=EUR")</f>
        <v>https://gameserver-store-client-area.orbionlimited.com/Home/IntegrationGameLaunch/client-area?moneyType=0&amp;gameName=GoldenCrownBooster&amp;platform=desktop&amp;languageCode=eng&amp;currency=EUR</v>
      </c>
      <c r="BE474" s="5" t="b">
        <f>IFERROR(__xludf.DUMMYFUNCTION("""COMPUTED_VALUE"""),TRUE)</f>
        <v>1</v>
      </c>
    </row>
    <row r="475">
      <c r="A475" s="5">
        <f>IFERROR(__xludf.DUMMYFUNCTION("""COMPUTED_VALUE"""),501.0)</f>
        <v>501</v>
      </c>
      <c r="B475" s="5">
        <f>IFERROR(__xludf.DUMMYFUNCTION("""COMPUTED_VALUE"""),3012.0)</f>
        <v>3012</v>
      </c>
      <c r="C475" s="5" t="str">
        <f>IFERROR(__xludf.DUMMYFUNCTION("""COMPUTED_VALUE"""),"Fazi")</f>
        <v>Fazi</v>
      </c>
      <c r="D475" s="5" t="str">
        <f>IFERROR(__xludf.DUMMYFUNCTION("""COMPUTED_VALUE"""),"Very Hot 5 Booster")</f>
        <v>Very Hot 5 Booster</v>
      </c>
      <c r="E475" s="5" t="str">
        <f>IFERROR(__xludf.DUMMYFUNCTION("""COMPUTED_VALUE"""),"V2")</f>
        <v>V2</v>
      </c>
      <c r="F475" s="5" t="str">
        <f>IFERROR(__xludf.DUMMYFUNCTION("""COMPUTED_VALUE"""),"VeryHot5Booster")</f>
        <v>VeryHot5Booster</v>
      </c>
      <c r="G475" s="5" t="str">
        <f>IFERROR(__xludf.DUMMYFUNCTION("""COMPUTED_VALUE"""),"Live")</f>
        <v>Live</v>
      </c>
      <c r="H475" s="5"/>
      <c r="I475" s="5" t="str">
        <f>IFERROR(__xludf.DUMMYFUNCTION("""COMPUTED_VALUE"""),"V2")</f>
        <v>V2</v>
      </c>
      <c r="J475" s="5" t="str">
        <f>IFERROR(__xludf.DUMMYFUNCTION("""COMPUTED_VALUE"""),"JSON")</f>
        <v>JSON</v>
      </c>
      <c r="K475" s="5" t="str">
        <f>IFERROR(__xludf.DUMMYFUNCTION("""COMPUTED_VALUE"""),"Slot")</f>
        <v>Slot</v>
      </c>
      <c r="L475" s="5" t="str">
        <f>IFERROR(__xludf.DUMMYFUNCTION("""COMPUTED_VALUE""")," Clone")</f>
        <v> Clone</v>
      </c>
      <c r="M475" s="5" t="str">
        <f>IFERROR(__xludf.DUMMYFUNCTION("""COMPUTED_VALUE"""),"Very Hot 5")</f>
        <v>Very Hot 5</v>
      </c>
      <c r="N475" s="7" t="str">
        <f>IFERROR(__xludf.DUMMYFUNCTION("""COMPUTED_VALUE"""),"https://drive.google.com/drive/folders/1v8TLyjtbLiw7CDi6_PxsR9MjBAwfoDTs")</f>
        <v>https://drive.google.com/drive/folders/1v8TLyjtbLiw7CDi6_PxsR9MjBAwfoDTs</v>
      </c>
      <c r="O475" s="7" t="str">
        <f>IFERROR(__xludf.DUMMYFUNCTION("""COMPUTED_VALUE"""),"https://drive.google.com/drive/folders/1v8TLyjtbLiw7CDi6_PxsR9MjBAwfoDTs")</f>
        <v>https://drive.google.com/drive/folders/1v8TLyjtbLiw7CDi6_PxsR9MjBAwfoDTs</v>
      </c>
      <c r="P475" s="12">
        <f>IFERROR(__xludf.DUMMYFUNCTION("""COMPUTED_VALUE"""),19.5)</f>
        <v>19.5</v>
      </c>
      <c r="Q475" s="13">
        <f>IFERROR(__xludf.DUMMYFUNCTION("""COMPUTED_VALUE"""),45791.0)</f>
        <v>45791</v>
      </c>
      <c r="R475" s="13">
        <f>IFERROR(__xludf.DUMMYFUNCTION("""COMPUTED_VALUE"""),45784.0)</f>
        <v>45784</v>
      </c>
      <c r="S475" s="13">
        <f>IFERROR(__xludf.DUMMYFUNCTION("""COMPUTED_VALUE"""),45791.0)</f>
        <v>45791</v>
      </c>
      <c r="T475" s="5" t="b">
        <f>IFERROR(__xludf.DUMMYFUNCTION("""COMPUTED_VALUE"""),TRUE)</f>
        <v>1</v>
      </c>
      <c r="U475" s="5" t="str">
        <f>IFERROR(__xludf.DUMMYFUNCTION("""COMPUTED_VALUE"""),"5x3")</f>
        <v>5x3</v>
      </c>
      <c r="V475" s="5">
        <f>IFERROR(__xludf.DUMMYFUNCTION("""COMPUTED_VALUE"""),5.0)</f>
        <v>5</v>
      </c>
      <c r="W475" s="5">
        <f>IFERROR(__xludf.DUMMYFUNCTION("""COMPUTED_VALUE"""),5.0)</f>
        <v>5</v>
      </c>
      <c r="X475" s="5">
        <f>IFERROR(__xludf.DUMMYFUNCTION("""COMPUTED_VALUE"""),96.447)</f>
        <v>96.447</v>
      </c>
      <c r="Y475" s="5" t="str">
        <f>IFERROR(__xludf.DUMMYFUNCTION("""COMPUTED_VALUE"""),"Medium")</f>
        <v>Medium</v>
      </c>
      <c r="Z475" s="5">
        <f>IFERROR(__xludf.DUMMYFUNCTION("""COMPUTED_VALUE"""),14.51)</f>
        <v>14.51</v>
      </c>
      <c r="AA475" s="5">
        <f>IFERROR(__xludf.DUMMYFUNCTION("""COMPUTED_VALUE"""),1222.0)</f>
        <v>1222</v>
      </c>
      <c r="AB475" s="5">
        <f>IFERROR(__xludf.DUMMYFUNCTION("""COMPUTED_VALUE"""),4.0)</f>
        <v>4</v>
      </c>
      <c r="AC475" s="5" t="str">
        <f>IFERROR(__xludf.DUMMYFUNCTION("""COMPUTED_VALUE"""),"Scatter, Expanding Wild, Buy Feature")</f>
        <v>Scatter, Expanding Wild, Buy Feature</v>
      </c>
      <c r="AD475" s="5" t="str">
        <f>IFERROR(__xludf.DUMMYFUNCTION("""COMPUTED_VALUE"""),"0.5/30")</f>
        <v>0.5/30</v>
      </c>
      <c r="AE475" s="5"/>
      <c r="AF475" s="5"/>
      <c r="AG475" s="8">
        <f>IFERROR(__xludf.DUMMYFUNCTION("""COMPUTED_VALUE"""),46176.50013888889)</f>
        <v>46176.50014</v>
      </c>
      <c r="AH475" s="5" t="str">
        <f>IFERROR(__xludf.DUMMYFUNCTION("""COMPUTED_VALUE"""),"aleksandar.trajkovic@fazi.rs")</f>
        <v>aleksandar.trajkovic@fazi.rs</v>
      </c>
      <c r="AI475" s="13"/>
      <c r="AJ475" s="5"/>
      <c r="AK475" s="5">
        <f>IFERROR(__xludf.DUMMYFUNCTION("""COMPUTED_VALUE"""),5.0)</f>
        <v>5</v>
      </c>
      <c r="AL475" s="5" t="str">
        <f>IFERROR(__xludf.DUMMYFUNCTION("""COMPUTED_VALUE"""),"Yes")</f>
        <v>Yes</v>
      </c>
      <c r="AM475" s="5"/>
      <c r="AN475" s="7" t="str">
        <f>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AO475" s="5" t="str">
        <f>IFERROR(__xludf.DUMMYFUNCTION("""COMPUTED_VALUE"""),"Yes")</f>
        <v>Yes</v>
      </c>
      <c r="AP475" s="5" t="str">
        <f>IFERROR(__xludf.DUMMYFUNCTION("""COMPUTED_VALUE"""),"No")</f>
        <v>No</v>
      </c>
      <c r="AQ475" s="5" t="b">
        <f>IFERROR(__xludf.DUMMYFUNCTION("""COMPUTED_VALUE"""),TRUE)</f>
        <v>1</v>
      </c>
      <c r="AR475" s="5"/>
      <c r="AS475" s="5" t="str">
        <f>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AT475" s="5"/>
      <c r="AU475" s="5" t="str">
        <f>IFERROR(__xludf.DUMMYFUNCTION("""COMPUTED_VALUE"""),"Fazi")</f>
        <v>Fazi</v>
      </c>
      <c r="AV475" s="5"/>
      <c r="AW475" s="5"/>
      <c r="AX475" s="5"/>
      <c r="AY475" s="5"/>
      <c r="AZ475" s="5"/>
      <c r="BA475" s="5">
        <f>IFERROR(__xludf.DUMMYFUNCTION("""COMPUTED_VALUE"""),5.0)</f>
        <v>5</v>
      </c>
      <c r="BB475" s="5"/>
      <c r="BC475" s="5" t="str">
        <f>IFERROR(__xludf.DUMMYFUNCTION("""COMPUTED_VALUE"""),"Foxi")</f>
        <v>Foxi</v>
      </c>
      <c r="BD475" s="7" t="str">
        <f>IFERROR(__xludf.DUMMYFUNCTION("""COMPUTED_VALUE"""),"https://gameserver-store-client-area.orbionlimited.com/Home/IntegrationGameLaunch/client-area?moneyType=0&amp;gameName=VeryHot5Booster&amp;platform=desktop&amp;languageCode=eng&amp;currency=EUR")</f>
        <v>https://gameserver-store-client-area.orbionlimited.com/Home/IntegrationGameLaunch/client-area?moneyType=0&amp;gameName=VeryHot5Booster&amp;platform=desktop&amp;languageCode=eng&amp;currency=EUR</v>
      </c>
      <c r="BE475" s="5" t="b">
        <f>IFERROR(__xludf.DUMMYFUNCTION("""COMPUTED_VALUE"""),TRUE)</f>
        <v>1</v>
      </c>
    </row>
    <row r="476">
      <c r="A476" s="5">
        <f>IFERROR(__xludf.DUMMYFUNCTION("""COMPUTED_VALUE"""),502.0)</f>
        <v>502</v>
      </c>
      <c r="B476" s="5">
        <f>IFERROR(__xludf.DUMMYFUNCTION("""COMPUTED_VALUE"""),3016.0)</f>
        <v>3016</v>
      </c>
      <c r="C476" s="5" t="str">
        <f>IFERROR(__xludf.DUMMYFUNCTION("""COMPUTED_VALUE"""),"Fazi")</f>
        <v>Fazi</v>
      </c>
      <c r="D476" s="5" t="str">
        <f>IFERROR(__xludf.DUMMYFUNCTION("""COMPUTED_VALUE"""),"Epic Clover 40 Booster")</f>
        <v>Epic Clover 40 Booster</v>
      </c>
      <c r="E476" s="5" t="str">
        <f>IFERROR(__xludf.DUMMYFUNCTION("""COMPUTED_VALUE"""),"V2")</f>
        <v>V2</v>
      </c>
      <c r="F476" s="5" t="str">
        <f>IFERROR(__xludf.DUMMYFUNCTION("""COMPUTED_VALUE"""),"EpicClover40Booster")</f>
        <v>EpicClover40Booster</v>
      </c>
      <c r="G476" s="5" t="str">
        <f>IFERROR(__xludf.DUMMYFUNCTION("""COMPUTED_VALUE"""),"Live")</f>
        <v>Live</v>
      </c>
      <c r="H476" s="5"/>
      <c r="I476" s="5" t="str">
        <f>IFERROR(__xludf.DUMMYFUNCTION("""COMPUTED_VALUE"""),"V2")</f>
        <v>V2</v>
      </c>
      <c r="J476" s="5" t="str">
        <f>IFERROR(__xludf.DUMMYFUNCTION("""COMPUTED_VALUE"""),"JSON")</f>
        <v>JSON</v>
      </c>
      <c r="K476" s="5" t="str">
        <f>IFERROR(__xludf.DUMMYFUNCTION("""COMPUTED_VALUE"""),"Slot")</f>
        <v>Slot</v>
      </c>
      <c r="L476" s="5" t="str">
        <f>IFERROR(__xludf.DUMMYFUNCTION("""COMPUTED_VALUE""")," Clone")</f>
        <v> Clone</v>
      </c>
      <c r="M476" s="5" t="str">
        <f>IFERROR(__xludf.DUMMYFUNCTION("""COMPUTED_VALUE"""),"Epic Clover 40")</f>
        <v>Epic Clover 40</v>
      </c>
      <c r="N476" s="7" t="str">
        <f>IFERROR(__xludf.DUMMYFUNCTION("""COMPUTED_VALUE"""),"https://drive.google.com/drive/folders/1YXBfTlfZhbE8STuraiERB1FtF1PzqAXe")</f>
        <v>https://drive.google.com/drive/folders/1YXBfTlfZhbE8STuraiERB1FtF1PzqAXe</v>
      </c>
      <c r="O476" s="7" t="str">
        <f>IFERROR(__xludf.DUMMYFUNCTION("""COMPUTED_VALUE"""),"https://drive.google.com/drive/folders/1YXBfTlfZhbE8STuraiERB1FtF1PzqAXe")</f>
        <v>https://drive.google.com/drive/folders/1YXBfTlfZhbE8STuraiERB1FtF1PzqAXe</v>
      </c>
      <c r="P476" s="12">
        <f>IFERROR(__xludf.DUMMYFUNCTION("""COMPUTED_VALUE"""),23.8)</f>
        <v>23.8</v>
      </c>
      <c r="Q476" s="13">
        <f>IFERROR(__xludf.DUMMYFUNCTION("""COMPUTED_VALUE"""),45791.0)</f>
        <v>45791</v>
      </c>
      <c r="R476" s="13">
        <f>IFERROR(__xludf.DUMMYFUNCTION("""COMPUTED_VALUE"""),45784.0)</f>
        <v>45784</v>
      </c>
      <c r="S476" s="13">
        <f>IFERROR(__xludf.DUMMYFUNCTION("""COMPUTED_VALUE"""),45791.0)</f>
        <v>45791</v>
      </c>
      <c r="T476" s="5" t="b">
        <f>IFERROR(__xludf.DUMMYFUNCTION("""COMPUTED_VALUE"""),TRUE)</f>
        <v>1</v>
      </c>
      <c r="U476" s="5" t="str">
        <f>IFERROR(__xludf.DUMMYFUNCTION("""COMPUTED_VALUE"""),"5x4")</f>
        <v>5x4</v>
      </c>
      <c r="V476" s="5">
        <f>IFERROR(__xludf.DUMMYFUNCTION("""COMPUTED_VALUE"""),40.0)</f>
        <v>40</v>
      </c>
      <c r="W476" s="5">
        <f>IFERROR(__xludf.DUMMYFUNCTION("""COMPUTED_VALUE"""),40.0)</f>
        <v>40</v>
      </c>
      <c r="X476" s="5">
        <f>IFERROR(__xludf.DUMMYFUNCTION("""COMPUTED_VALUE"""),96.502)</f>
        <v>96.502</v>
      </c>
      <c r="Y476" s="5" t="str">
        <f>IFERROR(__xludf.DUMMYFUNCTION("""COMPUTED_VALUE"""),"Medium")</f>
        <v>Medium</v>
      </c>
      <c r="Z476" s="5">
        <f>IFERROR(__xludf.DUMMYFUNCTION("""COMPUTED_VALUE"""),11.6)</f>
        <v>11.6</v>
      </c>
      <c r="AA476" s="5">
        <f>IFERROR(__xludf.DUMMYFUNCTION("""COMPUTED_VALUE"""),3000.0)</f>
        <v>3000</v>
      </c>
      <c r="AB476" s="5">
        <f>IFERROR(__xludf.DUMMYFUNCTION("""COMPUTED_VALUE"""),4.0)</f>
        <v>4</v>
      </c>
      <c r="AC476" s="5" t="str">
        <f>IFERROR(__xludf.DUMMYFUNCTION("""COMPUTED_VALUE"""),"Expanding Wild, Scatter, Buy Feature")</f>
        <v>Expanding Wild, Scatter, Buy Feature</v>
      </c>
      <c r="AD476" s="5" t="str">
        <f>IFERROR(__xludf.DUMMYFUNCTION("""COMPUTED_VALUE"""),"0.4/40")</f>
        <v>0.4/40</v>
      </c>
      <c r="AE476" s="5"/>
      <c r="AF476" s="5"/>
      <c r="AG476" s="8">
        <f>IFERROR(__xludf.DUMMYFUNCTION("""COMPUTED_VALUE"""),46198.51912037037)</f>
        <v>46198.51912</v>
      </c>
      <c r="AH476" s="5" t="str">
        <f>IFERROR(__xludf.DUMMYFUNCTION("""COMPUTED_VALUE"""),"selena.mihajlovic@fazi.rs")</f>
        <v>selena.mihajlovic@fazi.rs</v>
      </c>
      <c r="AI476" s="13"/>
      <c r="AJ476" s="5"/>
      <c r="AK476" s="5">
        <f>IFERROR(__xludf.DUMMYFUNCTION("""COMPUTED_VALUE"""),40.0)</f>
        <v>40</v>
      </c>
      <c r="AL476" s="5" t="str">
        <f>IFERROR(__xludf.DUMMYFUNCTION("""COMPUTED_VALUE"""),"Yes")</f>
        <v>Yes</v>
      </c>
      <c r="AM476" s="5"/>
      <c r="AN476" s="7" t="str">
        <f>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6" s="5" t="str">
        <f>IFERROR(__xludf.DUMMYFUNCTION("""COMPUTED_VALUE"""),"Yes")</f>
        <v>Yes</v>
      </c>
      <c r="AP476" s="5"/>
      <c r="AQ476" s="5" t="b">
        <f>IFERROR(__xludf.DUMMYFUNCTION("""COMPUTED_VALUE"""),TRUE)</f>
        <v>1</v>
      </c>
      <c r="AR476" s="5"/>
      <c r="AS476" s="5" t="str">
        <f>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AT476" s="5"/>
      <c r="AU476" s="5" t="str">
        <f>IFERROR(__xludf.DUMMYFUNCTION("""COMPUTED_VALUE"""),"Fazi")</f>
        <v>Fazi</v>
      </c>
      <c r="AV476" s="5"/>
      <c r="AW476" s="5"/>
      <c r="AX476" s="5"/>
      <c r="AY476" s="5"/>
      <c r="AZ476" s="5"/>
      <c r="BA476" s="5">
        <f>IFERROR(__xludf.DUMMYFUNCTION("""COMPUTED_VALUE"""),7.0)</f>
        <v>7</v>
      </c>
      <c r="BB476" s="5"/>
      <c r="BC476" s="5" t="str">
        <f>IFERROR(__xludf.DUMMYFUNCTION("""COMPUTED_VALUE"""),"Foxi")</f>
        <v>Foxi</v>
      </c>
      <c r="BD476" s="7" t="str">
        <f>IFERROR(__xludf.DUMMYFUNCTION("""COMPUTED_VALUE"""),"https://gameserver-store-client-area.orbionlimited.com/Home/IntegrationGameLaunch/client-area?moneyType=0&amp;gameName=EpicClover40Booster&amp;platform=desktop&amp;languageCode=eng&amp;currency=EUR")</f>
        <v>https://gameserver-store-client-area.orbionlimited.com/Home/IntegrationGameLaunch/client-area?moneyType=0&amp;gameName=EpicClover40Booster&amp;platform=desktop&amp;languageCode=eng&amp;currency=EUR</v>
      </c>
      <c r="BE476" s="5" t="b">
        <f>IFERROR(__xludf.DUMMYFUNCTION("""COMPUTED_VALUE"""),TRUE)</f>
        <v>1</v>
      </c>
    </row>
    <row r="477">
      <c r="A477" s="5">
        <f>IFERROR(__xludf.DUMMYFUNCTION("""COMPUTED_VALUE"""),506.0)</f>
        <v>506</v>
      </c>
      <c r="B477" s="5">
        <f>IFERROR(__xludf.DUMMYFUNCTION("""COMPUTED_VALUE"""),180016.0)</f>
        <v>180016</v>
      </c>
      <c r="C477" s="5" t="str">
        <f>IFERROR(__xludf.DUMMYFUNCTION("""COMPUTED_VALUE"""),"Redstone")</f>
        <v>Redstone</v>
      </c>
      <c r="D477" s="5" t="str">
        <f>IFERROR(__xludf.DUMMYFUNCTION("""COMPUTED_VALUE"""),"Multi Crown 10")</f>
        <v>Multi Crown 10</v>
      </c>
      <c r="E477" s="5" t="str">
        <f>IFERROR(__xludf.DUMMYFUNCTION("""COMPUTED_VALUE"""),"Redstone")</f>
        <v>Redstone</v>
      </c>
      <c r="F477" s="5" t="str">
        <f>IFERROR(__xludf.DUMMYFUNCTION("""COMPUTED_VALUE"""),"RedstoneMultiCrown10")</f>
        <v>RedstoneMultiCrown10</v>
      </c>
      <c r="G477" s="5" t="str">
        <f>IFERROR(__xludf.DUMMYFUNCTION("""COMPUTED_VALUE"""),"Live")</f>
        <v>Live</v>
      </c>
      <c r="H477" s="5"/>
      <c r="I477" s="5" t="str">
        <f>IFERROR(__xludf.DUMMYFUNCTION("""COMPUTED_VALUE"""),"Redstone")</f>
        <v>Redstone</v>
      </c>
      <c r="J477" s="5" t="str">
        <f>IFERROR(__xludf.DUMMYFUNCTION("""COMPUTED_VALUE"""),"JSON")</f>
        <v>JSON</v>
      </c>
      <c r="K477" s="5" t="str">
        <f>IFERROR(__xludf.DUMMYFUNCTION("""COMPUTED_VALUE"""),"Slot")</f>
        <v>Slot</v>
      </c>
      <c r="L477" s="5" t="str">
        <f>IFERROR(__xludf.DUMMYFUNCTION("""COMPUTED_VALUE""")," Clone")</f>
        <v> Clone</v>
      </c>
      <c r="M477" s="5" t="str">
        <f>IFERROR(__xludf.DUMMYFUNCTION("""COMPUTED_VALUE"""),"Multi Clover 10")</f>
        <v>Multi Clover 10</v>
      </c>
      <c r="N477" s="7" t="str">
        <f>IFERROR(__xludf.DUMMYFUNCTION("""COMPUTED_VALUE"""),"https://drive.google.com/file/d/1FxFMrh81jeZhmR9kjvgWSmBDo91kdkwg/view?usp=drive_link")</f>
        <v>https://drive.google.com/file/d/1FxFMrh81jeZhmR9kjvgWSmBDo91kdkwg/view?usp=drive_link</v>
      </c>
      <c r="O477" s="7" t="str">
        <f>IFERROR(__xludf.DUMMYFUNCTION("""COMPUTED_VALUE"""),"https://drive.google.com/file/d/16Ns6l8sIiUoNONSVIlMt5kSv8VXKHB3b/view?usp=drive_link")</f>
        <v>https://drive.google.com/file/d/16Ns6l8sIiUoNONSVIlMt5kSv8VXKHB3b/view?usp=drive_link</v>
      </c>
      <c r="P477" s="12">
        <f>IFERROR(__xludf.DUMMYFUNCTION("""COMPUTED_VALUE"""),9.0)</f>
        <v>9</v>
      </c>
      <c r="Q477" s="13">
        <f>IFERROR(__xludf.DUMMYFUNCTION("""COMPUTED_VALUE"""),45804.0)</f>
        <v>45804</v>
      </c>
      <c r="R477" s="13">
        <f>IFERROR(__xludf.DUMMYFUNCTION("""COMPUTED_VALUE"""),45797.0)</f>
        <v>45797</v>
      </c>
      <c r="S477" s="13">
        <f>IFERROR(__xludf.DUMMYFUNCTION("""COMPUTED_VALUE"""),45804.0)</f>
        <v>45804</v>
      </c>
      <c r="T477" s="5" t="b">
        <f>IFERROR(__xludf.DUMMYFUNCTION("""COMPUTED_VALUE"""),TRUE)</f>
        <v>1</v>
      </c>
      <c r="U477" s="5" t="str">
        <f>IFERROR(__xludf.DUMMYFUNCTION("""COMPUTED_VALUE"""),"5x3")</f>
        <v>5x3</v>
      </c>
      <c r="V477" s="5">
        <f>IFERROR(__xludf.DUMMYFUNCTION("""COMPUTED_VALUE"""),10.0)</f>
        <v>10</v>
      </c>
      <c r="W477" s="5">
        <f>IFERROR(__xludf.DUMMYFUNCTION("""COMPUTED_VALUE"""),10.0)</f>
        <v>10</v>
      </c>
      <c r="X477" s="5">
        <f>IFERROR(__xludf.DUMMYFUNCTION("""COMPUTED_VALUE"""),96.01)</f>
        <v>96.01</v>
      </c>
      <c r="Y477" s="5" t="str">
        <f>IFERROR(__xludf.DUMMYFUNCTION("""COMPUTED_VALUE"""),"Medium")</f>
        <v>Medium</v>
      </c>
      <c r="Z477" s="5">
        <f>IFERROR(__xludf.DUMMYFUNCTION("""COMPUTED_VALUE"""),13.61)</f>
        <v>13.61</v>
      </c>
      <c r="AA477" s="5">
        <f>IFERROR(__xludf.DUMMYFUNCTION("""COMPUTED_VALUE"""),1615.0)</f>
        <v>1615</v>
      </c>
      <c r="AB477" s="5"/>
      <c r="AC477" s="5" t="str">
        <f>IFERROR(__xludf.DUMMYFUNCTION("""COMPUTED_VALUE"""),"Expanding Wild, Win Multiplier")</f>
        <v>Expanding Wild, Win Multiplier</v>
      </c>
      <c r="AD477" s="5" t="str">
        <f>IFERROR(__xludf.DUMMYFUNCTION("""COMPUTED_VALUE"""),"0.10/50")</f>
        <v>0.10/50</v>
      </c>
      <c r="AE477" s="5"/>
      <c r="AF477" s="5"/>
      <c r="AG477" s="8">
        <f>IFERROR(__xludf.DUMMYFUNCTION("""COMPUTED_VALUE"""),46157.52908564815)</f>
        <v>46157.52909</v>
      </c>
      <c r="AH477" s="5"/>
      <c r="AI477" s="13">
        <f>IFERROR(__xludf.DUMMYFUNCTION("""COMPUTED_VALUE"""),45792.0)</f>
        <v>45792</v>
      </c>
      <c r="AJ477" s="5" t="str">
        <f>IFERROR(__xludf.DUMMYFUNCTION("""COMPUTED_VALUE"""),"BtoBet;
Premierbet Mali 
Premierbet - sva kazina koja idu preko BtoBet-a
GuineeGames
Mercurybet")</f>
        <v>BtoBet;
Premierbet Mali 
Premierbet - sva kazina koja idu preko BtoBet-a
GuineeGames
Mercurybet</v>
      </c>
      <c r="AK477" s="5">
        <f>IFERROR(__xludf.DUMMYFUNCTION("""COMPUTED_VALUE"""),1.0)</f>
        <v>1</v>
      </c>
      <c r="AL477" s="5" t="str">
        <f>IFERROR(__xludf.DUMMYFUNCTION("""COMPUTED_VALUE"""),"No")</f>
        <v>No</v>
      </c>
      <c r="AM477" s="5" t="str">
        <f>IFERROR(__xludf.DUMMYFUNCTION("""COMPUTED_VALUE"""),"No")</f>
        <v>No</v>
      </c>
      <c r="AN477" s="7" t="str">
        <f>IFERROR(__xludf.DUMMYFUNCTION("""COMPUTED_VALUE"""),"https://static.redstone.rs/games/multi-crown-10/")</f>
        <v>https://static.redstone.rs/games/multi-crown-10/</v>
      </c>
      <c r="AO477" s="5" t="str">
        <f>IFERROR(__xludf.DUMMYFUNCTION("""COMPUTED_VALUE"""),"No")</f>
        <v>No</v>
      </c>
      <c r="AP477" s="5" t="str">
        <f>IFERROR(__xludf.DUMMYFUNCTION("""COMPUTED_VALUE"""),"No")</f>
        <v>No</v>
      </c>
      <c r="AQ477" s="5" t="b">
        <f>IFERROR(__xludf.DUMMYFUNCTION("""COMPUTED_VALUE"""),TRUE)</f>
        <v>1</v>
      </c>
      <c r="AR477" s="5"/>
      <c r="AS477" s="5" t="str">
        <f>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AT477" s="5"/>
      <c r="AU477" s="5" t="str">
        <f>IFERROR(__xludf.DUMMYFUNCTION("""COMPUTED_VALUE"""),"Redstone")</f>
        <v>Redstone</v>
      </c>
      <c r="AV477" s="5"/>
      <c r="AW477" s="5"/>
      <c r="AX477" s="5"/>
      <c r="AY477" s="5"/>
      <c r="AZ477" s="5"/>
      <c r="BA477" s="5"/>
      <c r="BB477" s="5" t="b">
        <f>IFERROR(__xludf.DUMMYFUNCTION("""COMPUTED_VALUE"""),TRUE)</f>
        <v>1</v>
      </c>
      <c r="BC477" s="5" t="str">
        <f>IFERROR(__xludf.DUMMYFUNCTION("""COMPUTED_VALUE"""),"Redstone")</f>
        <v>Redstone</v>
      </c>
      <c r="BD477" s="7" t="str">
        <f>IFERROR(__xludf.DUMMYFUNCTION("""COMPUTED_VALUE"""),"https://static.redstone.rs/games/multi-crown-10/")</f>
        <v>https://static.redstone.rs/games/multi-crown-10/</v>
      </c>
      <c r="BE477" s="5" t="b">
        <f>IFERROR(__xludf.DUMMYFUNCTION("""COMPUTED_VALUE"""),TRUE)</f>
        <v>1</v>
      </c>
    </row>
    <row r="478">
      <c r="A478" s="5">
        <f>IFERROR(__xludf.DUMMYFUNCTION("""COMPUTED_VALUE"""),507.0)</f>
        <v>507</v>
      </c>
      <c r="B478" s="5">
        <f>IFERROR(__xludf.DUMMYFUNCTION("""COMPUTED_VALUE"""),4010.0)</f>
        <v>4010</v>
      </c>
      <c r="C478" s="5" t="str">
        <f>IFERROR(__xludf.DUMMYFUNCTION("""COMPUTED_VALUE"""),"Fazi")</f>
        <v>Fazi</v>
      </c>
      <c r="D478" s="5" t="str">
        <f>IFERROR(__xludf.DUMMYFUNCTION("""COMPUTED_VALUE"""),"Betwoon Hot 5")</f>
        <v>Betwoon Hot 5</v>
      </c>
      <c r="E478" s="5" t="str">
        <f>IFERROR(__xludf.DUMMYFUNCTION("""COMPUTED_VALUE"""),"Sertifikacioni")</f>
        <v>Sertifikacioni</v>
      </c>
      <c r="F478" s="5" t="str">
        <f>IFERROR(__xludf.DUMMYFUNCTION("""COMPUTED_VALUE"""),"BetwoonHot5")</f>
        <v>BetwoonHot5</v>
      </c>
      <c r="G478" s="5" t="str">
        <f>IFERROR(__xludf.DUMMYFUNCTION("""COMPUTED_VALUE"""),"Live")</f>
        <v>Live</v>
      </c>
      <c r="H478" s="5"/>
      <c r="I478" s="5"/>
      <c r="J478" s="5" t="str">
        <f>IFERROR(__xludf.DUMMYFUNCTION("""COMPUTED_VALUE"""),"JSON")</f>
        <v>JSON</v>
      </c>
      <c r="K478" s="5" t="str">
        <f>IFERROR(__xludf.DUMMYFUNCTION("""COMPUTED_VALUE"""),"Slot")</f>
        <v>Slot</v>
      </c>
      <c r="L478" s="5" t="str">
        <f>IFERROR(__xludf.DUMMYFUNCTION("""COMPUTED_VALUE""")," Reskin")</f>
        <v> Reskin</v>
      </c>
      <c r="M478" s="5"/>
      <c r="N478" s="5"/>
      <c r="O478" s="5"/>
      <c r="P478" s="12"/>
      <c r="Q478" s="13">
        <f>IFERROR(__xludf.DUMMYFUNCTION("""COMPUTED_VALUE"""),45698.0)</f>
        <v>45698</v>
      </c>
      <c r="R478" s="13"/>
      <c r="S478" s="13"/>
      <c r="T478" s="5"/>
      <c r="U478" s="5"/>
      <c r="V478" s="5"/>
      <c r="W478" s="5"/>
      <c r="X478" s="5">
        <f>IFERROR(__xludf.DUMMYFUNCTION("""COMPUTED_VALUE"""),96.447)</f>
        <v>96.447</v>
      </c>
      <c r="Y478" s="5"/>
      <c r="Z478" s="5">
        <f>IFERROR(__xludf.DUMMYFUNCTION("""COMPUTED_VALUE"""),14.51)</f>
        <v>14.51</v>
      </c>
      <c r="AA478" s="5">
        <f>IFERROR(__xludf.DUMMYFUNCTION("""COMPUTED_VALUE"""),1222.0)</f>
        <v>1222</v>
      </c>
      <c r="AB478" s="5"/>
      <c r="AC478" s="5"/>
      <c r="AD478" s="5"/>
      <c r="AE478" s="5"/>
      <c r="AF478" s="5"/>
      <c r="AG478" s="8">
        <f>IFERROR(__xludf.DUMMYFUNCTION("""COMPUTED_VALUE"""),46020.51363425926)</f>
        <v>46020.51363</v>
      </c>
      <c r="AH478" s="5" t="str">
        <f>IFERROR(__xludf.DUMMYFUNCTION("""COMPUTED_VALUE"""),"djordje.jankovic@fazi.rs")</f>
        <v>djordje.jankovic@fazi.rs</v>
      </c>
      <c r="AI478" s="13">
        <f>IFERROR(__xludf.DUMMYFUNCTION("""COMPUTED_VALUE"""),45706.0)</f>
        <v>45706</v>
      </c>
      <c r="AJ478" s="5"/>
      <c r="AK478" s="5">
        <f>IFERROR(__xludf.DUMMYFUNCTION("""COMPUTED_VALUE"""),5.0)</f>
        <v>5</v>
      </c>
      <c r="AL478" s="5" t="str">
        <f>IFERROR(__xludf.DUMMYFUNCTION("""COMPUTED_VALUE"""),"Yes")</f>
        <v>Yes</v>
      </c>
      <c r="AM478" s="5"/>
      <c r="AN478" s="5"/>
      <c r="AO478" s="5"/>
      <c r="AP478" s="5"/>
      <c r="AQ478" s="5"/>
      <c r="AR478" s="5" t="b">
        <f>IFERROR(__xludf.DUMMYFUNCTION("""COMPUTED_VALUE"""),TRUE)</f>
        <v>1</v>
      </c>
      <c r="AS478" s="5"/>
      <c r="AT478" s="5"/>
      <c r="AU478" s="5" t="str">
        <f>IFERROR(__xludf.DUMMYFUNCTION("""COMPUTED_VALUE"""),"Fazi")</f>
        <v>Fazi</v>
      </c>
      <c r="AV478" s="5"/>
      <c r="AW478" s="5"/>
      <c r="AX478" s="5"/>
      <c r="AY478" s="5"/>
      <c r="AZ478" s="5"/>
      <c r="BA478" s="5" t="str">
        <f>IFERROR(__xludf.DUMMYFUNCTION("""COMPUTED_VALUE"""),"")</f>
        <v/>
      </c>
      <c r="BB478" s="5"/>
      <c r="BC478" s="5" t="str">
        <f>IFERROR(__xludf.DUMMYFUNCTION("""COMPUTED_VALUE"""),"Foxi")</f>
        <v>Foxi</v>
      </c>
      <c r="BD478" s="5" t="str">
        <f>IFERROR(__xludf.DUMMYFUNCTION("""COMPUTED_VALUE"""),"")</f>
        <v/>
      </c>
      <c r="BE478" s="5"/>
    </row>
    <row r="479">
      <c r="A479" s="5">
        <f>IFERROR(__xludf.DUMMYFUNCTION("""COMPUTED_VALUE"""),508.0)</f>
        <v>508</v>
      </c>
      <c r="B479" s="5">
        <f>IFERROR(__xludf.DUMMYFUNCTION("""COMPUTED_VALUE"""),3009.0)</f>
        <v>3009</v>
      </c>
      <c r="C479" s="5" t="str">
        <f>IFERROR(__xludf.DUMMYFUNCTION("""COMPUTED_VALUE"""),"Fazi")</f>
        <v>Fazi</v>
      </c>
      <c r="D479" s="5" t="str">
        <f>IFERROR(__xludf.DUMMYFUNCTION("""COMPUTED_VALUE"""),"Golden Crown Extreme")</f>
        <v>Golden Crown Extreme</v>
      </c>
      <c r="E479" s="5" t="str">
        <f>IFERROR(__xludf.DUMMYFUNCTION("""COMPUTED_VALUE"""),"V2")</f>
        <v>V2</v>
      </c>
      <c r="F479" s="5" t="str">
        <f>IFERROR(__xludf.DUMMYFUNCTION("""COMPUTED_VALUE"""),"GoldenCrownExtreme")</f>
        <v>GoldenCrownExtreme</v>
      </c>
      <c r="G479" s="5" t="str">
        <f>IFERROR(__xludf.DUMMYFUNCTION("""COMPUTED_VALUE"""),"Live")</f>
        <v>Live</v>
      </c>
      <c r="H479" s="5"/>
      <c r="I479" s="5" t="str">
        <f>IFERROR(__xludf.DUMMYFUNCTION("""COMPUTED_VALUE"""),"V4")</f>
        <v>V4</v>
      </c>
      <c r="J479" s="5" t="str">
        <f>IFERROR(__xludf.DUMMYFUNCTION("""COMPUTED_VALUE"""),"JSON")</f>
        <v>JSON</v>
      </c>
      <c r="K479" s="5" t="str">
        <f>IFERROR(__xludf.DUMMYFUNCTION("""COMPUTED_VALUE"""),"Slot")</f>
        <v>Slot</v>
      </c>
      <c r="L479" s="5" t="str">
        <f>IFERROR(__xludf.DUMMYFUNCTION("""COMPUTED_VALUE""")," Clone")</f>
        <v> Clone</v>
      </c>
      <c r="M479" s="5" t="str">
        <f>IFERROR(__xludf.DUMMYFUNCTION("""COMPUTED_VALUE"""),"Very Hot 40 Extreme")</f>
        <v>Very Hot 40 Extreme</v>
      </c>
      <c r="N479" s="7" t="str">
        <f>IFERROR(__xludf.DUMMYFUNCTION("""COMPUTED_VALUE"""),"https://drive.google.com/drive/folders/1rfagR-Gq8bh6HT3DqZCroCVSfPzgTrJO")</f>
        <v>https://drive.google.com/drive/folders/1rfagR-Gq8bh6HT3DqZCroCVSfPzgTrJO</v>
      </c>
      <c r="O479" s="7" t="str">
        <f>IFERROR(__xludf.DUMMYFUNCTION("""COMPUTED_VALUE"""),"https://drive.google.com/drive/folders/1rfagR-Gq8bh6HT3DqZCroCVSfPzgTrJO")</f>
        <v>https://drive.google.com/drive/folders/1rfagR-Gq8bh6HT3DqZCroCVSfPzgTrJO</v>
      </c>
      <c r="P479" s="12">
        <f>IFERROR(__xludf.DUMMYFUNCTION("""COMPUTED_VALUE"""),36.0)</f>
        <v>36</v>
      </c>
      <c r="Q479" s="13">
        <f>IFERROR(__xludf.DUMMYFUNCTION("""COMPUTED_VALUE"""),45805.0)</f>
        <v>45805</v>
      </c>
      <c r="R479" s="13">
        <f>IFERROR(__xludf.DUMMYFUNCTION("""COMPUTED_VALUE"""),45798.0)</f>
        <v>45798</v>
      </c>
      <c r="S479" s="13">
        <f>IFERROR(__xludf.DUMMYFUNCTION("""COMPUTED_VALUE"""),45805.0)</f>
        <v>45805</v>
      </c>
      <c r="T479" s="5" t="b">
        <f>IFERROR(__xludf.DUMMYFUNCTION("""COMPUTED_VALUE"""),TRUE)</f>
        <v>1</v>
      </c>
      <c r="U479" s="5" t="str">
        <f>IFERROR(__xludf.DUMMYFUNCTION("""COMPUTED_VALUE"""),"5x3")</f>
        <v>5x3</v>
      </c>
      <c r="V479" s="5">
        <f>IFERROR(__xludf.DUMMYFUNCTION("""COMPUTED_VALUE"""),10.0)</f>
        <v>10</v>
      </c>
      <c r="W479" s="5">
        <f>IFERROR(__xludf.DUMMYFUNCTION("""COMPUTED_VALUE"""),10.0)</f>
        <v>10</v>
      </c>
      <c r="X479" s="5">
        <f>IFERROR(__xludf.DUMMYFUNCTION("""COMPUTED_VALUE"""),96.535)</f>
        <v>96.535</v>
      </c>
      <c r="Y479" s="5" t="str">
        <f>IFERROR(__xludf.DUMMYFUNCTION("""COMPUTED_VALUE"""),"Medium")</f>
        <v>Medium</v>
      </c>
      <c r="Z479" s="5">
        <f>IFERROR(__xludf.DUMMYFUNCTION("""COMPUTED_VALUE"""),14.28)</f>
        <v>14.28</v>
      </c>
      <c r="AA479" s="5">
        <f>IFERROR(__xludf.DUMMYFUNCTION("""COMPUTED_VALUE"""),3076.0)</f>
        <v>3076</v>
      </c>
      <c r="AB479" s="5"/>
      <c r="AC479" s="5" t="str">
        <f>IFERROR(__xludf.DUMMYFUNCTION("""COMPUTED_VALUE"""),"Scatter, Win Multiplier, Expanding Wild")</f>
        <v>Scatter, Win Multiplier, Expanding Wild</v>
      </c>
      <c r="AD479" s="5" t="str">
        <f>IFERROR(__xludf.DUMMYFUNCTION("""COMPUTED_VALUE"""),"01/50")</f>
        <v>01/50</v>
      </c>
      <c r="AE479" s="5"/>
      <c r="AF479" s="5"/>
      <c r="AG479" s="8">
        <f>IFERROR(__xludf.DUMMYFUNCTION("""COMPUTED_VALUE"""),46212.45642361111)</f>
        <v>46212.45642</v>
      </c>
      <c r="AH479" s="5" t="str">
        <f>IFERROR(__xludf.DUMMYFUNCTION("""COMPUTED_VALUE"""),"milena.kocic@fazi.rs")</f>
        <v>milena.kocic@fazi.rs</v>
      </c>
      <c r="AI479" s="13"/>
      <c r="AJ479" s="5"/>
      <c r="AK479" s="5">
        <f>IFERROR(__xludf.DUMMYFUNCTION("""COMPUTED_VALUE"""),10.0)</f>
        <v>10</v>
      </c>
      <c r="AL479" s="5" t="str">
        <f>IFERROR(__xludf.DUMMYFUNCTION("""COMPUTED_VALUE"""),"Yes")</f>
        <v>Yes</v>
      </c>
      <c r="AM479" s="5" t="str">
        <f>IFERROR(__xludf.DUMMYFUNCTION("""COMPUTED_VALUE"""),"No")</f>
        <v>No</v>
      </c>
      <c r="AN479" s="7" t="str">
        <f>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9" s="5" t="str">
        <f>IFERROR(__xludf.DUMMYFUNCTION("""COMPUTED_VALUE"""),"Yes")</f>
        <v>Yes</v>
      </c>
      <c r="AP479" s="5" t="str">
        <f>IFERROR(__xludf.DUMMYFUNCTION("""COMPUTED_VALUE"""),"Yes")</f>
        <v>Yes</v>
      </c>
      <c r="AQ479" s="5" t="b">
        <f>IFERROR(__xludf.DUMMYFUNCTION("""COMPUTED_VALUE"""),TRUE)</f>
        <v>1</v>
      </c>
      <c r="AR479" s="5"/>
      <c r="AS479" s="5" t="str">
        <f>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AT479" s="5"/>
      <c r="AU479" s="5" t="str">
        <f>IFERROR(__xludf.DUMMYFUNCTION("""COMPUTED_VALUE"""),"Fazi")</f>
        <v>Fazi</v>
      </c>
      <c r="AV479" s="5"/>
      <c r="AW479" s="5"/>
      <c r="AX479" s="5"/>
      <c r="AY479" s="5"/>
      <c r="AZ479" s="5"/>
      <c r="BA479" s="5"/>
      <c r="BB479" s="5"/>
      <c r="BC479" s="5" t="str">
        <f>IFERROR(__xludf.DUMMYFUNCTION("""COMPUTED_VALUE"""),"Foxi")</f>
        <v>Foxi</v>
      </c>
      <c r="BD479" s="7" t="str">
        <f>IFERROR(__xludf.DUMMYFUNCTION("""COMPUTED_VALUE"""),"https://gameserver-store-client-area.orbionlimited.com/Home/IntegrationGameLaunch/client-area?moneyType=0&amp;gameName=GoldenCrownExtreme&amp;platform=desktop&amp;languageCode=eng&amp;currency=EUR")</f>
        <v>https://gameserver-store-client-area.orbionlimited.com/Home/IntegrationGameLaunch/client-area?moneyType=0&amp;gameName=GoldenCrownExtreme&amp;platform=desktop&amp;languageCode=eng&amp;currency=EUR</v>
      </c>
      <c r="BE479" s="5" t="b">
        <f>IFERROR(__xludf.DUMMYFUNCTION("""COMPUTED_VALUE"""),TRUE)</f>
        <v>1</v>
      </c>
    </row>
    <row r="480">
      <c r="A480" s="5">
        <f>IFERROR(__xludf.DUMMYFUNCTION("""COMPUTED_VALUE"""),509.0)</f>
        <v>509</v>
      </c>
      <c r="B480" s="5">
        <f>IFERROR(__xludf.DUMMYFUNCTION("""COMPUTED_VALUE"""),503.0)</f>
        <v>503</v>
      </c>
      <c r="C480" s="5" t="str">
        <f>IFERROR(__xludf.DUMMYFUNCTION("""COMPUTED_VALUE"""),"Playnet")</f>
        <v>Playnet</v>
      </c>
      <c r="D480" s="5" t="str">
        <f>IFERROR(__xludf.DUMMYFUNCTION("""COMPUTED_VALUE"""),"Majestic Crown 5")</f>
        <v>Majestic Crown 5</v>
      </c>
      <c r="E480" s="5" t="str">
        <f>IFERROR(__xludf.DUMMYFUNCTION("""COMPUTED_VALUE"""),"Sertifikacioni")</f>
        <v>Sertifikacioni</v>
      </c>
      <c r="F480" s="5" t="str">
        <f>IFERROR(__xludf.DUMMYFUNCTION("""COMPUTED_VALUE"""),"PlayNetMajesticCrown5")</f>
        <v>PlayNetMajesticCrown5</v>
      </c>
      <c r="G480" s="5" t="str">
        <f>IFERROR(__xludf.DUMMYFUNCTION("""COMPUTED_VALUE"""),"Live")</f>
        <v>Live</v>
      </c>
      <c r="H480" s="5"/>
      <c r="I480" s="5"/>
      <c r="J480" s="5"/>
      <c r="K480" s="5" t="str">
        <f>IFERROR(__xludf.DUMMYFUNCTION("""COMPUTED_VALUE"""),"Slot")</f>
        <v>Slot</v>
      </c>
      <c r="L480" s="5" t="str">
        <f>IFERROR(__xludf.DUMMYFUNCTION("""COMPUTED_VALUE""")," Reskin")</f>
        <v> Reskin</v>
      </c>
      <c r="M480" s="5" t="str">
        <f>IFERROR(__xludf.DUMMYFUNCTION("""COMPUTED_VALUE"""),"Epic Crown 5")</f>
        <v>Epic Crown 5</v>
      </c>
      <c r="N480" s="5"/>
      <c r="O480" s="5"/>
      <c r="P480" s="12">
        <f>IFERROR(__xludf.DUMMYFUNCTION("""COMPUTED_VALUE"""),7.2)</f>
        <v>7.2</v>
      </c>
      <c r="Q480" s="13">
        <f>IFERROR(__xludf.DUMMYFUNCTION("""COMPUTED_VALUE"""),45831.0)</f>
        <v>45831</v>
      </c>
      <c r="R480" s="13">
        <f>IFERROR(__xludf.DUMMYFUNCTION("""COMPUTED_VALUE"""),45832.0)</f>
        <v>45832</v>
      </c>
      <c r="S480" s="13">
        <f>IFERROR(__xludf.DUMMYFUNCTION("""COMPUTED_VALUE"""),45839.0)</f>
        <v>45839</v>
      </c>
      <c r="T480" s="5" t="b">
        <f>IFERROR(__xludf.DUMMYFUNCTION("""COMPUTED_VALUE"""),TRUE)</f>
        <v>1</v>
      </c>
      <c r="U480" s="5" t="str">
        <f>IFERROR(__xludf.DUMMYFUNCTION("""COMPUTED_VALUE"""),"5x3")</f>
        <v>5x3</v>
      </c>
      <c r="V480" s="5">
        <f>IFERROR(__xludf.DUMMYFUNCTION("""COMPUTED_VALUE"""),5.0)</f>
        <v>5</v>
      </c>
      <c r="W480" s="5">
        <f>IFERROR(__xludf.DUMMYFUNCTION("""COMPUTED_VALUE"""),5.0)</f>
        <v>5</v>
      </c>
      <c r="X480" s="5">
        <f>IFERROR(__xludf.DUMMYFUNCTION("""COMPUTED_VALUE"""),96.962)</f>
        <v>96.962</v>
      </c>
      <c r="Y480" s="5" t="str">
        <f>IFERROR(__xludf.DUMMYFUNCTION("""COMPUTED_VALUE"""),"Medium")</f>
        <v>Medium</v>
      </c>
      <c r="Z480" s="5">
        <f>IFERROR(__xludf.DUMMYFUNCTION("""COMPUTED_VALUE"""),12.259)</f>
        <v>12.259</v>
      </c>
      <c r="AA480" s="5">
        <f>IFERROR(__xludf.DUMMYFUNCTION("""COMPUTED_VALUE"""),2018.0)</f>
        <v>2018</v>
      </c>
      <c r="AB480" s="5"/>
      <c r="AC480" s="5" t="str">
        <f>IFERROR(__xludf.DUMMYFUNCTION("""COMPUTED_VALUE"""),"Scatter, Expanding Wild")</f>
        <v>Scatter, Expanding Wild</v>
      </c>
      <c r="AD480" s="5" t="str">
        <f>IFERROR(__xludf.DUMMYFUNCTION("""COMPUTED_VALUE"""),"0.05/30")</f>
        <v>0.05/30</v>
      </c>
      <c r="AE480" s="5"/>
      <c r="AF480" s="5"/>
      <c r="AG480" s="8">
        <f>IFERROR(__xludf.DUMMYFUNCTION("""COMPUTED_VALUE"""),46220.50300925926)</f>
        <v>46220.50301</v>
      </c>
      <c r="AH480" s="5" t="str">
        <f>IFERROR(__xludf.DUMMYFUNCTION("""COMPUTED_VALUE"""),"selena.mihajlovic@fazi.rs")</f>
        <v>selena.mihajlovic@fazi.rs</v>
      </c>
      <c r="AI480" s="13"/>
      <c r="AJ480" s="5"/>
      <c r="AK480" s="5"/>
      <c r="AL480" s="5" t="str">
        <f>IFERROR(__xludf.DUMMYFUNCTION("""COMPUTED_VALUE"""),"No")</f>
        <v>No</v>
      </c>
      <c r="AM480" s="5" t="str">
        <f>IFERROR(__xludf.DUMMYFUNCTION("""COMPUTED_VALUE"""),"No")</f>
        <v>No</v>
      </c>
      <c r="AN480" s="7" t="str">
        <f>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AO480" s="5" t="str">
        <f>IFERROR(__xludf.DUMMYFUNCTION("""COMPUTED_VALUE"""),"No")</f>
        <v>No</v>
      </c>
      <c r="AP480" s="5" t="str">
        <f>IFERROR(__xludf.DUMMYFUNCTION("""COMPUTED_VALUE"""),"No")</f>
        <v>No</v>
      </c>
      <c r="AQ480" s="5" t="b">
        <f>IFERROR(__xludf.DUMMYFUNCTION("""COMPUTED_VALUE"""),TRUE)</f>
        <v>1</v>
      </c>
      <c r="AR480" s="5"/>
      <c r="AS480" s="5" t="str">
        <f>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AT480" s="5"/>
      <c r="AU480" s="5" t="str">
        <f>IFERROR(__xludf.DUMMYFUNCTION("""COMPUTED_VALUE"""),"Fazi")</f>
        <v>Fazi</v>
      </c>
      <c r="AV480" s="5"/>
      <c r="AW480" s="5"/>
      <c r="AX480" s="5"/>
      <c r="AY480" s="5"/>
      <c r="AZ480" s="5"/>
      <c r="BA480" s="5"/>
      <c r="BB480" s="5" t="b">
        <f>IFERROR(__xludf.DUMMYFUNCTION("""COMPUTED_VALUE"""),TRUE)</f>
        <v>1</v>
      </c>
      <c r="BC480" s="5" t="str">
        <f>IFERROR(__xludf.DUMMYFUNCTION("""COMPUTED_VALUE"""),"Playnet")</f>
        <v>Playnet</v>
      </c>
      <c r="BD480" s="7" t="str">
        <f>IFERROR(__xludf.DUMMYFUNCTION("""COMPUTED_VALUE"""),"https://gameserver-store-client-area.orbionlimited.com/Home/IntegrationGameLaunch/client-area?moneyType=0&amp;gameName=PlayNetMajesticCrown5&amp;platform=desktop&amp;languageCode=eng&amp;currency=EUR")</f>
        <v>https://gameserver-store-client-area.orbionlimited.com/Home/IntegrationGameLaunch/client-area?moneyType=0&amp;gameName=PlayNetMajesticCrown5&amp;platform=desktop&amp;languageCode=eng&amp;currency=EUR</v>
      </c>
      <c r="BE480" s="5" t="b">
        <f>IFERROR(__xludf.DUMMYFUNCTION("""COMPUTED_VALUE"""),TRUE)</f>
        <v>1</v>
      </c>
    </row>
    <row r="481">
      <c r="A481" s="5">
        <f>IFERROR(__xludf.DUMMYFUNCTION("""COMPUTED_VALUE"""),510.0)</f>
        <v>510</v>
      </c>
      <c r="B481" s="5">
        <f>IFERROR(__xludf.DUMMYFUNCTION("""COMPUTED_VALUE"""),504.0)</f>
        <v>504</v>
      </c>
      <c r="C481" s="5" t="str">
        <f>IFERROR(__xludf.DUMMYFUNCTION("""COMPUTED_VALUE"""),"Playnet")</f>
        <v>Playnet</v>
      </c>
      <c r="D481" s="5" t="str">
        <f>IFERROR(__xludf.DUMMYFUNCTION("""COMPUTED_VALUE"""),"Royal Flame")</f>
        <v>Royal Flame</v>
      </c>
      <c r="E481" s="5" t="str">
        <f>IFERROR(__xludf.DUMMYFUNCTION("""COMPUTED_VALUE"""),"Sertifikacioni")</f>
        <v>Sertifikacioni</v>
      </c>
      <c r="F481" s="5" t="str">
        <f>IFERROR(__xludf.DUMMYFUNCTION("""COMPUTED_VALUE"""),"PlayNetRoyalFlame")</f>
        <v>PlayNetRoyalFlame</v>
      </c>
      <c r="G481" s="5" t="str">
        <f>IFERROR(__xludf.DUMMYFUNCTION("""COMPUTED_VALUE"""),"Retired")</f>
        <v>Retired</v>
      </c>
      <c r="H481" s="5"/>
      <c r="I481" s="5"/>
      <c r="J481" s="5" t="str">
        <f>IFERROR(__xludf.DUMMYFUNCTION("""COMPUTED_VALUE"""),"JSON")</f>
        <v>JSON</v>
      </c>
      <c r="K481" s="5" t="str">
        <f>IFERROR(__xludf.DUMMYFUNCTION("""COMPUTED_VALUE"""),"Slot")</f>
        <v>Slot</v>
      </c>
      <c r="L481" s="5" t="str">
        <f>IFERROR(__xludf.DUMMYFUNCTION("""COMPUTED_VALUE""")," Reskin")</f>
        <v> Reskin</v>
      </c>
      <c r="M481" s="5" t="str">
        <f>IFERROR(__xludf.DUMMYFUNCTION("""COMPUTED_VALUE"""),"Golden Crown")</f>
        <v>Golden Crown</v>
      </c>
      <c r="N481" s="5"/>
      <c r="O481" s="5"/>
      <c r="P481" s="12">
        <f>IFERROR(__xludf.DUMMYFUNCTION("""COMPUTED_VALUE"""),7.1)</f>
        <v>7.1</v>
      </c>
      <c r="Q481" s="13">
        <f>IFERROR(__xludf.DUMMYFUNCTION("""COMPUTED_VALUE"""),45861.0)</f>
        <v>45861</v>
      </c>
      <c r="R481" s="13"/>
      <c r="S481" s="13">
        <f>IFERROR(__xludf.DUMMYFUNCTION("""COMPUTED_VALUE"""),45861.0)</f>
        <v>45861</v>
      </c>
      <c r="T481" s="5" t="b">
        <f>IFERROR(__xludf.DUMMYFUNCTION("""COMPUTED_VALUE"""),TRUE)</f>
        <v>1</v>
      </c>
      <c r="U481" s="5" t="str">
        <f>IFERROR(__xludf.DUMMYFUNCTION("""COMPUTED_VALUE"""),"5x3")</f>
        <v>5x3</v>
      </c>
      <c r="V481" s="5">
        <f>IFERROR(__xludf.DUMMYFUNCTION("""COMPUTED_VALUE"""),10.0)</f>
        <v>10</v>
      </c>
      <c r="W481" s="5">
        <f>IFERROR(__xludf.DUMMYFUNCTION("""COMPUTED_VALUE"""),10.0)</f>
        <v>10</v>
      </c>
      <c r="X481" s="5">
        <f>IFERROR(__xludf.DUMMYFUNCTION("""COMPUTED_VALUE"""),95.962)</f>
        <v>95.962</v>
      </c>
      <c r="Y481" s="5" t="str">
        <f>IFERROR(__xludf.DUMMYFUNCTION("""COMPUTED_VALUE"""),"Medium")</f>
        <v>Medium</v>
      </c>
      <c r="Z481" s="5">
        <f>IFERROR(__xludf.DUMMYFUNCTION("""COMPUTED_VALUE"""),14.634)</f>
        <v>14.634</v>
      </c>
      <c r="AA481" s="5">
        <f>IFERROR(__xludf.DUMMYFUNCTION("""COMPUTED_VALUE"""),1538.0)</f>
        <v>1538</v>
      </c>
      <c r="AB481" s="5"/>
      <c r="AC481" s="5" t="str">
        <f>IFERROR(__xludf.DUMMYFUNCTION("""COMPUTED_VALUE"""),"Scatter, Expanding Wild")</f>
        <v>Scatter, Expanding Wild</v>
      </c>
      <c r="AD481" s="5" t="str">
        <f>IFERROR(__xludf.DUMMYFUNCTION("""COMPUTED_VALUE"""),"0.1/40")</f>
        <v>0.1/40</v>
      </c>
      <c r="AE481" s="5"/>
      <c r="AF481" s="5"/>
      <c r="AG481" s="8">
        <f>IFERROR(__xludf.DUMMYFUNCTION("""COMPUTED_VALUE"""),46220.397731481484)</f>
        <v>46220.39773</v>
      </c>
      <c r="AH481" s="5"/>
      <c r="AI481" s="13"/>
      <c r="AJ481" s="5"/>
      <c r="AK481" s="5">
        <f>IFERROR(__xludf.DUMMYFUNCTION("""COMPUTED_VALUE"""),10.0)</f>
        <v>10</v>
      </c>
      <c r="AL481" s="5" t="str">
        <f>IFERROR(__xludf.DUMMYFUNCTION("""COMPUTED_VALUE"""),"Yes")</f>
        <v>Yes</v>
      </c>
      <c r="AM481" s="5" t="str">
        <f>IFERROR(__xludf.DUMMYFUNCTION("""COMPUTED_VALUE"""),"Yes")</f>
        <v>Yes</v>
      </c>
      <c r="AN481" s="7" t="str">
        <f>IFERROR(__xludf.DUMMYFUNCTION("""COMPUTED_VALUE"""),"https://onlinegamespromo.fazi.rs/Home/IntegrationGameLaunch?moneyType=0&amp;gameName=PlayNetRoyalFlame&amp;platform=desktop&amp;languageCode=eng&amp;currency=EUR")</f>
        <v>https://onlinegamespromo.fazi.rs/Home/IntegrationGameLaunch?moneyType=0&amp;gameName=PlayNetRoyalFlame&amp;platform=desktop&amp;languageCode=eng&amp;currency=EUR</v>
      </c>
      <c r="AO481" s="5" t="str">
        <f>IFERROR(__xludf.DUMMYFUNCTION("""COMPUTED_VALUE"""),"Yes")</f>
        <v>Yes</v>
      </c>
      <c r="AP481" s="5" t="str">
        <f>IFERROR(__xludf.DUMMYFUNCTION("""COMPUTED_VALUE"""),"Yes")</f>
        <v>Yes</v>
      </c>
      <c r="AQ481" s="5"/>
      <c r="AR481" s="5"/>
      <c r="AS481" s="5" t="str">
        <f>IFERROR(__xludf.DUMMYFUNCTION("""COMPUTED_VALUE"""),"Royal Flame brings a bold new energy to the timeless fruit slot formula – with a royal upgrade. When the Queen of Fire appears, she doesn’t just rule the reels – she replaces all symbols except scatter and turns the heat all the way up. Expect vibrant vis"&amp;"uals, smooth gameplay, and a fiery twist on familiar favorites. Are you ready to play with fire?")</f>
        <v>Royal Flame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Are you ready to play with fire?</v>
      </c>
      <c r="AT481" s="5"/>
      <c r="AU481" s="5" t="str">
        <f>IFERROR(__xludf.DUMMYFUNCTION("""COMPUTED_VALUE"""),"Fazi")</f>
        <v>Fazi</v>
      </c>
      <c r="AV481" s="5"/>
      <c r="AW481" s="5"/>
      <c r="AX481" s="5"/>
      <c r="AY481" s="5"/>
      <c r="AZ481" s="5"/>
      <c r="BA481" s="5"/>
      <c r="BB481" s="5" t="b">
        <f>IFERROR(__xludf.DUMMYFUNCTION("""COMPUTED_VALUE"""),TRUE)</f>
        <v>1</v>
      </c>
      <c r="BC481" s="5" t="str">
        <f>IFERROR(__xludf.DUMMYFUNCTION("""COMPUTED_VALUE"""),"Playnet")</f>
        <v>Playnet</v>
      </c>
      <c r="BD481" s="7" t="str">
        <f>IFERROR(__xludf.DUMMYFUNCTION("""COMPUTED_VALUE"""),"https://gameserver-store-client-area.orbionlimited.com/Home/IntegrationGameLaunch/client-area?moneyType=0&amp;gameName=PlayNetRoyalFlame&amp;platform=desktop&amp;languageCode=eng&amp;currency=EUR")</f>
        <v>https://gameserver-store-client-area.orbionlimited.com/Home/IntegrationGameLaunch/client-area?moneyType=0&amp;gameName=PlayNetRoyalFlame&amp;platform=desktop&amp;languageCode=eng&amp;currency=EUR</v>
      </c>
      <c r="BE481" s="5"/>
    </row>
    <row r="482">
      <c r="A482" s="5">
        <f>IFERROR(__xludf.DUMMYFUNCTION("""COMPUTED_VALUE"""),511.0)</f>
        <v>511</v>
      </c>
      <c r="B482" s="5">
        <f>IFERROR(__xludf.DUMMYFUNCTION("""COMPUTED_VALUE"""),505.0)</f>
        <v>505</v>
      </c>
      <c r="C482" s="5" t="str">
        <f>IFERROR(__xludf.DUMMYFUNCTION("""COMPUTED_VALUE"""),"Playnet")</f>
        <v>Playnet</v>
      </c>
      <c r="D482" s="5" t="str">
        <f>IFERROR(__xludf.DUMMYFUNCTION("""COMPUTED_VALUE"""),"Diamond Heart 100")</f>
        <v>Diamond Heart 100</v>
      </c>
      <c r="E482" s="5" t="str">
        <f>IFERROR(__xludf.DUMMYFUNCTION("""COMPUTED_VALUE"""),"Sertifikacioni")</f>
        <v>Sertifikacioni</v>
      </c>
      <c r="F482" s="5" t="str">
        <f>IFERROR(__xludf.DUMMYFUNCTION("""COMPUTED_VALUE"""),"PlayNetDiamondHeart100")</f>
        <v>PlayNetDiamondHeart100</v>
      </c>
      <c r="G482" s="5" t="str">
        <f>IFERROR(__xludf.DUMMYFUNCTION("""COMPUTED_VALUE"""),"Live")</f>
        <v>Live</v>
      </c>
      <c r="H482" s="5"/>
      <c r="I482" s="5"/>
      <c r="J482" s="5" t="str">
        <f>IFERROR(__xludf.DUMMYFUNCTION("""COMPUTED_VALUE"""),"JSON")</f>
        <v>JSON</v>
      </c>
      <c r="K482" s="5" t="str">
        <f>IFERROR(__xludf.DUMMYFUNCTION("""COMPUTED_VALUE"""),"Slot")</f>
        <v>Slot</v>
      </c>
      <c r="L482" s="5" t="str">
        <f>IFERROR(__xludf.DUMMYFUNCTION("""COMPUTED_VALUE""")," Reskin")</f>
        <v> Reskin</v>
      </c>
      <c r="M482" s="5" t="str">
        <f>IFERROR(__xludf.DUMMYFUNCTION("""COMPUTED_VALUE"""),"Epic Clover 100")</f>
        <v>Epic Clover 100</v>
      </c>
      <c r="N482" s="5"/>
      <c r="O482" s="5"/>
      <c r="P482" s="12">
        <f>IFERROR(__xludf.DUMMYFUNCTION("""COMPUTED_VALUE"""),7.3)</f>
        <v>7.3</v>
      </c>
      <c r="Q482" s="13">
        <f>IFERROR(__xludf.DUMMYFUNCTION("""COMPUTED_VALUE"""),45873.0)</f>
        <v>45873</v>
      </c>
      <c r="R482" s="13">
        <f>IFERROR(__xludf.DUMMYFUNCTION("""COMPUTED_VALUE"""),45867.0)</f>
        <v>45867</v>
      </c>
      <c r="S482" s="13">
        <f>IFERROR(__xludf.DUMMYFUNCTION("""COMPUTED_VALUE"""),45874.0)</f>
        <v>45874</v>
      </c>
      <c r="T482" s="5" t="b">
        <f>IFERROR(__xludf.DUMMYFUNCTION("""COMPUTED_VALUE"""),TRUE)</f>
        <v>1</v>
      </c>
      <c r="U482" s="5" t="str">
        <f>IFERROR(__xludf.DUMMYFUNCTION("""COMPUTED_VALUE"""),"5x4")</f>
        <v>5x4</v>
      </c>
      <c r="V482" s="5">
        <f>IFERROR(__xludf.DUMMYFUNCTION("""COMPUTED_VALUE"""),100.0)</f>
        <v>100</v>
      </c>
      <c r="W482" s="5">
        <f>IFERROR(__xludf.DUMMYFUNCTION("""COMPUTED_VALUE"""),100.0)</f>
        <v>100</v>
      </c>
      <c r="X482" s="5">
        <f>IFERROR(__xludf.DUMMYFUNCTION("""COMPUTED_VALUE"""),96.502)</f>
        <v>96.502</v>
      </c>
      <c r="Y482" s="5" t="str">
        <f>IFERROR(__xludf.DUMMYFUNCTION("""COMPUTED_VALUE"""),"Medium")</f>
        <v>Medium</v>
      </c>
      <c r="Z482" s="5">
        <f>IFERROR(__xludf.DUMMYFUNCTION("""COMPUTED_VALUE"""),13.309)</f>
        <v>13.309</v>
      </c>
      <c r="AA482" s="5">
        <f>IFERROR(__xludf.DUMMYFUNCTION("""COMPUTED_VALUE"""),3000.0)</f>
        <v>3000</v>
      </c>
      <c r="AB482" s="5"/>
      <c r="AC482" s="5" t="str">
        <f>IFERROR(__xludf.DUMMYFUNCTION("""COMPUTED_VALUE"""),"Scatter, Expanding Wild")</f>
        <v>Scatter, Expanding Wild</v>
      </c>
      <c r="AD482" s="5" t="str">
        <f>IFERROR(__xludf.DUMMYFUNCTION("""COMPUTED_VALUE"""),"1/100")</f>
        <v>1/100</v>
      </c>
      <c r="AE482" s="5"/>
      <c r="AF482" s="5"/>
      <c r="AG482" s="8">
        <f>IFERROR(__xludf.DUMMYFUNCTION("""COMPUTED_VALUE"""),46220.503125)</f>
        <v>46220.50313</v>
      </c>
      <c r="AH482" s="5" t="str">
        <f>IFERROR(__xludf.DUMMYFUNCTION("""COMPUTED_VALUE"""),"selena.mihajlovic@fazi.rs")</f>
        <v>selena.mihajlovic@fazi.rs</v>
      </c>
      <c r="AI482" s="13"/>
      <c r="AJ482" s="5"/>
      <c r="AK482" s="5"/>
      <c r="AL482" s="5" t="str">
        <f>IFERROR(__xludf.DUMMYFUNCTION("""COMPUTED_VALUE"""),"No")</f>
        <v>No</v>
      </c>
      <c r="AM482" s="5" t="str">
        <f>IFERROR(__xludf.DUMMYFUNCTION("""COMPUTED_VALUE"""),"No")</f>
        <v>No</v>
      </c>
      <c r="AN482" s="7" t="str">
        <f>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AO482" s="5" t="str">
        <f>IFERROR(__xludf.DUMMYFUNCTION("""COMPUTED_VALUE"""),"No")</f>
        <v>No</v>
      </c>
      <c r="AP482" s="5" t="str">
        <f>IFERROR(__xludf.DUMMYFUNCTION("""COMPUTED_VALUE"""),"No")</f>
        <v>No</v>
      </c>
      <c r="AQ482" s="5" t="b">
        <f>IFERROR(__xludf.DUMMYFUNCTION("""COMPUTED_VALUE"""),TRUE)</f>
        <v>1</v>
      </c>
      <c r="AR482" s="5"/>
      <c r="AS482" s="5" t="str">
        <f>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AT482" s="5"/>
      <c r="AU482" s="5" t="str">
        <f>IFERROR(__xludf.DUMMYFUNCTION("""COMPUTED_VALUE"""),"Fazi")</f>
        <v>Fazi</v>
      </c>
      <c r="AV482" s="5"/>
      <c r="AW482" s="5"/>
      <c r="AX482" s="5"/>
      <c r="AY482" s="5"/>
      <c r="AZ482" s="5"/>
      <c r="BA482" s="5"/>
      <c r="BB482" s="5" t="b">
        <f>IFERROR(__xludf.DUMMYFUNCTION("""COMPUTED_VALUE"""),TRUE)</f>
        <v>1</v>
      </c>
      <c r="BC482" s="5" t="str">
        <f>IFERROR(__xludf.DUMMYFUNCTION("""COMPUTED_VALUE"""),"Playnet")</f>
        <v>Playnet</v>
      </c>
      <c r="BD482" s="7" t="str">
        <f>IFERROR(__xludf.DUMMYFUNCTION("""COMPUTED_VALUE"""),"https://gameserver-store-client-area.orbionlimited.com/Home/IntegrationGameLaunch/client-area?moneyType=0&amp;gameName=PlayNetDiamondHeart100&amp;platform=desktop&amp;languageCode=eng&amp;currency=EUR")</f>
        <v>https://gameserver-store-client-area.orbionlimited.com/Home/IntegrationGameLaunch/client-area?moneyType=0&amp;gameName=PlayNetDiamondHeart100&amp;platform=desktop&amp;languageCode=eng&amp;currency=EUR</v>
      </c>
      <c r="BE482" s="5" t="b">
        <f>IFERROR(__xludf.DUMMYFUNCTION("""COMPUTED_VALUE"""),TRUE)</f>
        <v>1</v>
      </c>
    </row>
    <row r="483">
      <c r="A483" s="5">
        <f>IFERROR(__xludf.DUMMYFUNCTION("""COMPUTED_VALUE"""),512.0)</f>
        <v>512</v>
      </c>
      <c r="B483" s="5">
        <f>IFERROR(__xludf.DUMMYFUNCTION("""COMPUTED_VALUE"""),506.0)</f>
        <v>506</v>
      </c>
      <c r="C483" s="5" t="str">
        <f>IFERROR(__xludf.DUMMYFUNCTION("""COMPUTED_VALUE"""),"Playnet")</f>
        <v>Playnet</v>
      </c>
      <c r="D483" s="5" t="str">
        <f>IFERROR(__xludf.DUMMYFUNCTION("""COMPUTED_VALUE"""),"Golden Getsby")</f>
        <v>Golden Getsby</v>
      </c>
      <c r="E483" s="5" t="str">
        <f>IFERROR(__xludf.DUMMYFUNCTION("""COMPUTED_VALUE"""),"Sertifikacioni")</f>
        <v>Sertifikacioni</v>
      </c>
      <c r="F483" s="5" t="str">
        <f>IFERROR(__xludf.DUMMYFUNCTION("""COMPUTED_VALUE"""),"PlayNetGoldenGetsby")</f>
        <v>PlayNetGoldenGetsby</v>
      </c>
      <c r="G483" s="5" t="str">
        <f>IFERROR(__xludf.DUMMYFUNCTION("""COMPUTED_VALUE"""),"Live")</f>
        <v>Live</v>
      </c>
      <c r="H483" s="5"/>
      <c r="I483" s="5"/>
      <c r="J483" s="5" t="str">
        <f>IFERROR(__xludf.DUMMYFUNCTION("""COMPUTED_VALUE"""),"JSON")</f>
        <v>JSON</v>
      </c>
      <c r="K483" s="5" t="str">
        <f>IFERROR(__xludf.DUMMYFUNCTION("""COMPUTED_VALUE"""),"Slot")</f>
        <v>Slot</v>
      </c>
      <c r="L483" s="5" t="str">
        <f>IFERROR(__xludf.DUMMYFUNCTION("""COMPUTED_VALUE""")," Reskin")</f>
        <v> Reskin</v>
      </c>
      <c r="M483" s="5" t="str">
        <f>IFERROR(__xludf.DUMMYFUNCTION("""COMPUTED_VALUE"""),"Retro 7 Hot")</f>
        <v>Retro 7 Hot</v>
      </c>
      <c r="N483" s="5"/>
      <c r="O483" s="5"/>
      <c r="P483" s="12">
        <f>IFERROR(__xludf.DUMMYFUNCTION("""COMPUTED_VALUE"""),7.3)</f>
        <v>7.3</v>
      </c>
      <c r="Q483" s="13">
        <f>IFERROR(__xludf.DUMMYFUNCTION("""COMPUTED_VALUE"""),45943.0)</f>
        <v>45943</v>
      </c>
      <c r="R483" s="13">
        <f>IFERROR(__xludf.DUMMYFUNCTION("""COMPUTED_VALUE"""),45944.0)</f>
        <v>45944</v>
      </c>
      <c r="S483" s="13">
        <f>IFERROR(__xludf.DUMMYFUNCTION("""COMPUTED_VALUE"""),45951.0)</f>
        <v>45951</v>
      </c>
      <c r="T483" s="5" t="b">
        <f>IFERROR(__xludf.DUMMYFUNCTION("""COMPUTED_VALUE"""),TRUE)</f>
        <v>1</v>
      </c>
      <c r="U483" s="5" t="str">
        <f>IFERROR(__xludf.DUMMYFUNCTION("""COMPUTED_VALUE"""),"3x3")</f>
        <v>3x3</v>
      </c>
      <c r="V483" s="5">
        <f>IFERROR(__xludf.DUMMYFUNCTION("""COMPUTED_VALUE"""),5.0)</f>
        <v>5</v>
      </c>
      <c r="W483" s="5">
        <f>IFERROR(__xludf.DUMMYFUNCTION("""COMPUTED_VALUE"""),5.0)</f>
        <v>5</v>
      </c>
      <c r="X483" s="5">
        <f>IFERROR(__xludf.DUMMYFUNCTION("""COMPUTED_VALUE"""),95.513)</f>
        <v>95.513</v>
      </c>
      <c r="Y483" s="5" t="str">
        <f>IFERROR(__xludf.DUMMYFUNCTION("""COMPUTED_VALUE"""),"Low")</f>
        <v>Low</v>
      </c>
      <c r="Z483" s="5">
        <f>IFERROR(__xludf.DUMMYFUNCTION("""COMPUTED_VALUE"""),6.513)</f>
        <v>6.513</v>
      </c>
      <c r="AA483" s="5">
        <f>IFERROR(__xludf.DUMMYFUNCTION("""COMPUTED_VALUE"""),60.0)</f>
        <v>60</v>
      </c>
      <c r="AB483" s="5"/>
      <c r="AC483" s="5" t="str">
        <f>IFERROR(__xludf.DUMMYFUNCTION("""COMPUTED_VALUE"""),"Win Multiplier")</f>
        <v>Win Multiplier</v>
      </c>
      <c r="AD483" s="5" t="str">
        <f>IFERROR(__xludf.DUMMYFUNCTION("""COMPUTED_VALUE"""),"0.05/30")</f>
        <v>0.05/30</v>
      </c>
      <c r="AE483" s="5"/>
      <c r="AF483" s="5"/>
      <c r="AG483" s="8">
        <f>IFERROR(__xludf.DUMMYFUNCTION("""COMPUTED_VALUE"""),46220.50337962963)</f>
        <v>46220.50338</v>
      </c>
      <c r="AH483" s="5" t="str">
        <f>IFERROR(__xludf.DUMMYFUNCTION("""COMPUTED_VALUE"""),"selena.mihajlovic@fazi.rs")</f>
        <v>selena.mihajlovic@fazi.rs</v>
      </c>
      <c r="AI483" s="13"/>
      <c r="AJ483" s="5"/>
      <c r="AK483" s="5"/>
      <c r="AL483" s="5" t="str">
        <f>IFERROR(__xludf.DUMMYFUNCTION("""COMPUTED_VALUE"""),"No")</f>
        <v>No</v>
      </c>
      <c r="AM483" s="5" t="str">
        <f>IFERROR(__xludf.DUMMYFUNCTION("""COMPUTED_VALUE"""),"No")</f>
        <v>No</v>
      </c>
      <c r="AN483" s="7" t="str">
        <f>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AO483" s="5" t="str">
        <f>IFERROR(__xludf.DUMMYFUNCTION("""COMPUTED_VALUE"""),"No")</f>
        <v>No</v>
      </c>
      <c r="AP483" s="5" t="str">
        <f>IFERROR(__xludf.DUMMYFUNCTION("""COMPUTED_VALUE"""),"No")</f>
        <v>No</v>
      </c>
      <c r="AQ483" s="5" t="b">
        <f>IFERROR(__xludf.DUMMYFUNCTION("""COMPUTED_VALUE"""),TRUE)</f>
        <v>1</v>
      </c>
      <c r="AR483" s="5"/>
      <c r="AS483" s="5" t="str">
        <f>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AT483" s="5"/>
      <c r="AU483" s="5" t="str">
        <f>IFERROR(__xludf.DUMMYFUNCTION("""COMPUTED_VALUE"""),"Fazi")</f>
        <v>Fazi</v>
      </c>
      <c r="AV483" s="5"/>
      <c r="AW483" s="5"/>
      <c r="AX483" s="13">
        <f>IFERROR(__xludf.DUMMYFUNCTION("""COMPUTED_VALUE"""),45937.0)</f>
        <v>45937</v>
      </c>
      <c r="AY483" s="13"/>
      <c r="AZ483" s="13"/>
      <c r="BA483" s="5"/>
      <c r="BB483" s="5" t="b">
        <f>IFERROR(__xludf.DUMMYFUNCTION("""COMPUTED_VALUE"""),TRUE)</f>
        <v>1</v>
      </c>
      <c r="BC483" s="5" t="str">
        <f>IFERROR(__xludf.DUMMYFUNCTION("""COMPUTED_VALUE"""),"Playnet")</f>
        <v>Playnet</v>
      </c>
      <c r="BD483" s="7" t="str">
        <f>IFERROR(__xludf.DUMMYFUNCTION("""COMPUTED_VALUE"""),"https://gameserver-store-client-area.orbionlimited.com/Home/IntegrationGameLaunch/client-area?moneyType=0&amp;gameName=PlayNetGoldenGetsby&amp;platform=desktop&amp;languageCode=eng&amp;currency=EUR")</f>
        <v>https://gameserver-store-client-area.orbionlimited.com/Home/IntegrationGameLaunch/client-area?moneyType=0&amp;gameName=PlayNetGoldenGetsby&amp;platform=desktop&amp;languageCode=eng&amp;currency=EUR</v>
      </c>
      <c r="BE483" s="5" t="b">
        <f>IFERROR(__xludf.DUMMYFUNCTION("""COMPUTED_VALUE"""),TRUE)</f>
        <v>1</v>
      </c>
    </row>
    <row r="484">
      <c r="A484" s="5">
        <f>IFERROR(__xludf.DUMMYFUNCTION("""COMPUTED_VALUE"""),513.0)</f>
        <v>513</v>
      </c>
      <c r="B484" s="5">
        <f>IFERROR(__xludf.DUMMYFUNCTION("""COMPUTED_VALUE"""),507.0)</f>
        <v>507</v>
      </c>
      <c r="C484" s="5" t="str">
        <f>IFERROR(__xludf.DUMMYFUNCTION("""COMPUTED_VALUE"""),"Playnet")</f>
        <v>Playnet</v>
      </c>
      <c r="D484" s="5" t="str">
        <f>IFERROR(__xludf.DUMMYFUNCTION("""COMPUTED_VALUE"""),"Dashing Hot 20")</f>
        <v>Dashing Hot 20</v>
      </c>
      <c r="E484" s="5" t="str">
        <f>IFERROR(__xludf.DUMMYFUNCTION("""COMPUTED_VALUE"""),"Sertifikacioni")</f>
        <v>Sertifikacioni</v>
      </c>
      <c r="F484" s="5" t="str">
        <f>IFERROR(__xludf.DUMMYFUNCTION("""COMPUTED_VALUE"""),"PlayNetDashingHot20")</f>
        <v>PlayNetDashingHot20</v>
      </c>
      <c r="G484" s="5" t="str">
        <f>IFERROR(__xludf.DUMMYFUNCTION("""COMPUTED_VALUE"""),"Live")</f>
        <v>Live</v>
      </c>
      <c r="H484" s="5"/>
      <c r="I484" s="5"/>
      <c r="J484" s="5" t="str">
        <f>IFERROR(__xludf.DUMMYFUNCTION("""COMPUTED_VALUE"""),"JSON")</f>
        <v>JSON</v>
      </c>
      <c r="K484" s="5" t="str">
        <f>IFERROR(__xludf.DUMMYFUNCTION("""COMPUTED_VALUE"""),"Slot")</f>
        <v>Slot</v>
      </c>
      <c r="L484" s="5" t="str">
        <f>IFERROR(__xludf.DUMMYFUNCTION("""COMPUTED_VALUE""")," Reskin")</f>
        <v> Reskin</v>
      </c>
      <c r="M484" s="5" t="str">
        <f>IFERROR(__xludf.DUMMYFUNCTION("""COMPUTED_VALUE"""),"Fruits and Stars")</f>
        <v>Fruits and Stars</v>
      </c>
      <c r="N484" s="5"/>
      <c r="O484" s="5"/>
      <c r="P484" s="12">
        <f>IFERROR(__xludf.DUMMYFUNCTION("""COMPUTED_VALUE"""),7.3)</f>
        <v>7.3</v>
      </c>
      <c r="Q484" s="13">
        <f>IFERROR(__xludf.DUMMYFUNCTION("""COMPUTED_VALUE"""),45915.0)</f>
        <v>45915</v>
      </c>
      <c r="R484" s="13">
        <f>IFERROR(__xludf.DUMMYFUNCTION("""COMPUTED_VALUE"""),45922.0)</f>
        <v>45922</v>
      </c>
      <c r="S484" s="13">
        <f>IFERROR(__xludf.DUMMYFUNCTION("""COMPUTED_VALUE"""),45929.0)</f>
        <v>45929</v>
      </c>
      <c r="T484" s="5" t="b">
        <f>IFERROR(__xludf.DUMMYFUNCTION("""COMPUTED_VALUE"""),TRUE)</f>
        <v>1</v>
      </c>
      <c r="U484" s="5" t="str">
        <f>IFERROR(__xludf.DUMMYFUNCTION("""COMPUTED_VALUE"""),"5x3")</f>
        <v>5x3</v>
      </c>
      <c r="V484" s="5">
        <f>IFERROR(__xludf.DUMMYFUNCTION("""COMPUTED_VALUE"""),20.0)</f>
        <v>20</v>
      </c>
      <c r="W484" s="5">
        <f>IFERROR(__xludf.DUMMYFUNCTION("""COMPUTED_VALUE"""),20.0)</f>
        <v>20</v>
      </c>
      <c r="X484" s="5">
        <f>IFERROR(__xludf.DUMMYFUNCTION("""COMPUTED_VALUE"""),95.79)</f>
        <v>95.79</v>
      </c>
      <c r="Y484" s="5" t="str">
        <f>IFERROR(__xludf.DUMMYFUNCTION("""COMPUTED_VALUE"""),"Low")</f>
        <v>Low</v>
      </c>
      <c r="Z484" s="5">
        <f>IFERROR(__xludf.DUMMYFUNCTION("""COMPUTED_VALUE"""),4.856)</f>
        <v>4.856</v>
      </c>
      <c r="AA484" s="5">
        <f>IFERROR(__xludf.DUMMYFUNCTION("""COMPUTED_VALUE"""),1000.0)</f>
        <v>1000</v>
      </c>
      <c r="AB484" s="5"/>
      <c r="AC484" s="5" t="str">
        <f>IFERROR(__xludf.DUMMYFUNCTION("""COMPUTED_VALUE"""),"Wild Symbol, Scatter")</f>
        <v>Wild Symbol, Scatter</v>
      </c>
      <c r="AD484" s="5" t="str">
        <f>IFERROR(__xludf.DUMMYFUNCTION("""COMPUTED_VALUE"""),"0.01/50")</f>
        <v>0.01/50</v>
      </c>
      <c r="AE484" s="5"/>
      <c r="AF484" s="5"/>
      <c r="AG484" s="8">
        <f>IFERROR(__xludf.DUMMYFUNCTION("""COMPUTED_VALUE"""),46220.50351851852)</f>
        <v>46220.50352</v>
      </c>
      <c r="AH484" s="5" t="str">
        <f>IFERROR(__xludf.DUMMYFUNCTION("""COMPUTED_VALUE"""),"selena.mihajlovic@fazi.rs")</f>
        <v>selena.mihajlovic@fazi.rs</v>
      </c>
      <c r="AI484" s="13"/>
      <c r="AJ484" s="5"/>
      <c r="AK484" s="5"/>
      <c r="AL484" s="5" t="str">
        <f>IFERROR(__xludf.DUMMYFUNCTION("""COMPUTED_VALUE"""),"No")</f>
        <v>No</v>
      </c>
      <c r="AM484" s="5" t="str">
        <f>IFERROR(__xludf.DUMMYFUNCTION("""COMPUTED_VALUE"""),"No")</f>
        <v>No</v>
      </c>
      <c r="AN484" s="7" t="str">
        <f>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AO484" s="5" t="str">
        <f>IFERROR(__xludf.DUMMYFUNCTION("""COMPUTED_VALUE"""),"No")</f>
        <v>No</v>
      </c>
      <c r="AP484" s="5" t="str">
        <f>IFERROR(__xludf.DUMMYFUNCTION("""COMPUTED_VALUE"""),"No")</f>
        <v>No</v>
      </c>
      <c r="AQ484" s="5" t="b">
        <f>IFERROR(__xludf.DUMMYFUNCTION("""COMPUTED_VALUE"""),TRUE)</f>
        <v>1</v>
      </c>
      <c r="AR484" s="5"/>
      <c r="AS484" s="5" t="str">
        <f>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AT484" s="5"/>
      <c r="AU484" s="5" t="str">
        <f>IFERROR(__xludf.DUMMYFUNCTION("""COMPUTED_VALUE"""),"Fazi")</f>
        <v>Fazi</v>
      </c>
      <c r="AV484" s="5"/>
      <c r="AW484" s="5"/>
      <c r="AX484" s="13">
        <f>IFERROR(__xludf.DUMMYFUNCTION("""COMPUTED_VALUE"""),45909.0)</f>
        <v>45909</v>
      </c>
      <c r="AY484" s="13"/>
      <c r="AZ484" s="13"/>
      <c r="BA484" s="5"/>
      <c r="BB484" s="5" t="b">
        <f>IFERROR(__xludf.DUMMYFUNCTION("""COMPUTED_VALUE"""),TRUE)</f>
        <v>1</v>
      </c>
      <c r="BC484" s="5" t="str">
        <f>IFERROR(__xludf.DUMMYFUNCTION("""COMPUTED_VALUE"""),"Playnet")</f>
        <v>Playnet</v>
      </c>
      <c r="BD484" s="7" t="str">
        <f>IFERROR(__xludf.DUMMYFUNCTION("""COMPUTED_VALUE"""),"https://gameserver-store-client-area.orbionlimited.com/Home/IntegrationGameLaunch/client-area?moneyType=0&amp;gameName=PlayNetDashingHot20&amp;platform=desktop&amp;languageCode=eng&amp;currency=EUR")</f>
        <v>https://gameserver-store-client-area.orbionlimited.com/Home/IntegrationGameLaunch/client-area?moneyType=0&amp;gameName=PlayNetDashingHot20&amp;platform=desktop&amp;languageCode=eng&amp;currency=EUR</v>
      </c>
      <c r="BE484" s="5" t="b">
        <f>IFERROR(__xludf.DUMMYFUNCTION("""COMPUTED_VALUE"""),TRUE)</f>
        <v>1</v>
      </c>
    </row>
    <row r="485">
      <c r="A485" s="5">
        <f>IFERROR(__xludf.DUMMYFUNCTION("""COMPUTED_VALUE"""),514.0)</f>
        <v>514</v>
      </c>
      <c r="B485" s="5">
        <f>IFERROR(__xludf.DUMMYFUNCTION("""COMPUTED_VALUE"""),509.0)</f>
        <v>509</v>
      </c>
      <c r="C485" s="5" t="str">
        <f>IFERROR(__xludf.DUMMYFUNCTION("""COMPUTED_VALUE"""),"Playnet")</f>
        <v>Playnet</v>
      </c>
      <c r="D485" s="5" t="str">
        <f>IFERROR(__xludf.DUMMYFUNCTION("""COMPUTED_VALUE"""),"Dark Temptress")</f>
        <v>Dark Temptress</v>
      </c>
      <c r="E485" s="5" t="str">
        <f>IFERROR(__xludf.DUMMYFUNCTION("""COMPUTED_VALUE"""),"Sertifikacioni")</f>
        <v>Sertifikacioni</v>
      </c>
      <c r="F485" s="5" t="str">
        <f>IFERROR(__xludf.DUMMYFUNCTION("""COMPUTED_VALUE"""),"PlayNetDarkTemptress")</f>
        <v>PlayNetDarkTemptress</v>
      </c>
      <c r="G485" s="5" t="str">
        <f>IFERROR(__xludf.DUMMYFUNCTION("""COMPUTED_VALUE"""),"Live")</f>
        <v>Live</v>
      </c>
      <c r="H485" s="5"/>
      <c r="I485" s="5"/>
      <c r="J485" s="5" t="str">
        <f>IFERROR(__xludf.DUMMYFUNCTION("""COMPUTED_VALUE"""),"JSON")</f>
        <v>JSON</v>
      </c>
      <c r="K485" s="5" t="str">
        <f>IFERROR(__xludf.DUMMYFUNCTION("""COMPUTED_VALUE"""),"Slot")</f>
        <v>Slot</v>
      </c>
      <c r="L485" s="5" t="str">
        <f>IFERROR(__xludf.DUMMYFUNCTION("""COMPUTED_VALUE""")," Reskin")</f>
        <v> Reskin</v>
      </c>
      <c r="M485" s="5" t="str">
        <f>IFERROR(__xludf.DUMMYFUNCTION("""COMPUTED_VALUE"""),"Epic Clover 40")</f>
        <v>Epic Clover 40</v>
      </c>
      <c r="N485" s="5"/>
      <c r="O485" s="5"/>
      <c r="P485" s="12">
        <f>IFERROR(__xludf.DUMMYFUNCTION("""COMPUTED_VALUE"""),7.3)</f>
        <v>7.3</v>
      </c>
      <c r="Q485" s="13">
        <f>IFERROR(__xludf.DUMMYFUNCTION("""COMPUTED_VALUE"""),45915.0)</f>
        <v>45915</v>
      </c>
      <c r="R485" s="13">
        <f>IFERROR(__xludf.DUMMYFUNCTION("""COMPUTED_VALUE"""),45915.0)</f>
        <v>45915</v>
      </c>
      <c r="S485" s="13">
        <f>IFERROR(__xludf.DUMMYFUNCTION("""COMPUTED_VALUE"""),45922.0)</f>
        <v>45922</v>
      </c>
      <c r="T485" s="5" t="b">
        <f>IFERROR(__xludf.DUMMYFUNCTION("""COMPUTED_VALUE"""),TRUE)</f>
        <v>1</v>
      </c>
      <c r="U485" s="5" t="str">
        <f>IFERROR(__xludf.DUMMYFUNCTION("""COMPUTED_VALUE"""),"5x4")</f>
        <v>5x4</v>
      </c>
      <c r="V485" s="5">
        <f>IFERROR(__xludf.DUMMYFUNCTION("""COMPUTED_VALUE"""),40.0)</f>
        <v>40</v>
      </c>
      <c r="W485" s="5">
        <f>IFERROR(__xludf.DUMMYFUNCTION("""COMPUTED_VALUE"""),40.0)</f>
        <v>40</v>
      </c>
      <c r="X485" s="5">
        <f>IFERROR(__xludf.DUMMYFUNCTION("""COMPUTED_VALUE"""),96.502)</f>
        <v>96.502</v>
      </c>
      <c r="Y485" s="5" t="str">
        <f>IFERROR(__xludf.DUMMYFUNCTION("""COMPUTED_VALUE"""),"Medium")</f>
        <v>Medium</v>
      </c>
      <c r="Z485" s="5">
        <f>IFERROR(__xludf.DUMMYFUNCTION("""COMPUTED_VALUE"""),11.601)</f>
        <v>11.601</v>
      </c>
      <c r="AA485" s="5">
        <f>IFERROR(__xludf.DUMMYFUNCTION("""COMPUTED_VALUE"""),3000.0)</f>
        <v>3000</v>
      </c>
      <c r="AB485" s="5"/>
      <c r="AC485" s="5" t="str">
        <f>IFERROR(__xludf.DUMMYFUNCTION("""COMPUTED_VALUE"""),"Scatter, Expanding Wild")</f>
        <v>Scatter, Expanding Wild</v>
      </c>
      <c r="AD485" s="5" t="str">
        <f>IFERROR(__xludf.DUMMYFUNCTION("""COMPUTED_VALUE"""),"0.4/60")</f>
        <v>0.4/60</v>
      </c>
      <c r="AE485" s="5"/>
      <c r="AF485" s="5"/>
      <c r="AG485" s="8">
        <f>IFERROR(__xludf.DUMMYFUNCTION("""COMPUTED_VALUE"""),46220.50381944444)</f>
        <v>46220.50382</v>
      </c>
      <c r="AH485" s="5" t="str">
        <f>IFERROR(__xludf.DUMMYFUNCTION("""COMPUTED_VALUE"""),"selena.mihajlovic@fazi.rs")</f>
        <v>selena.mihajlovic@fazi.rs</v>
      </c>
      <c r="AI485" s="13"/>
      <c r="AJ485" s="5"/>
      <c r="AK485" s="5"/>
      <c r="AL485" s="5" t="str">
        <f>IFERROR(__xludf.DUMMYFUNCTION("""COMPUTED_VALUE"""),"No")</f>
        <v>No</v>
      </c>
      <c r="AM485" s="5" t="str">
        <f>IFERROR(__xludf.DUMMYFUNCTION("""COMPUTED_VALUE"""),"No")</f>
        <v>No</v>
      </c>
      <c r="AN485" s="7" t="str">
        <f>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AO485" s="5"/>
      <c r="AP485" s="5" t="str">
        <f>IFERROR(__xludf.DUMMYFUNCTION("""COMPUTED_VALUE"""),"No")</f>
        <v>No</v>
      </c>
      <c r="AQ485" s="5" t="b">
        <f>IFERROR(__xludf.DUMMYFUNCTION("""COMPUTED_VALUE"""),TRUE)</f>
        <v>1</v>
      </c>
      <c r="AR485" s="5"/>
      <c r="AS485" s="5" t="str">
        <f>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AT485" s="5"/>
      <c r="AU485" s="5" t="str">
        <f>IFERROR(__xludf.DUMMYFUNCTION("""COMPUTED_VALUE"""),"Fazi")</f>
        <v>Fazi</v>
      </c>
      <c r="AV485" s="5"/>
      <c r="AW485" s="5"/>
      <c r="AX485" s="13">
        <f>IFERROR(__xludf.DUMMYFUNCTION("""COMPUTED_VALUE"""),45909.0)</f>
        <v>45909</v>
      </c>
      <c r="AY485" s="13"/>
      <c r="AZ485" s="13"/>
      <c r="BA485" s="5"/>
      <c r="BB485" s="5" t="b">
        <f>IFERROR(__xludf.DUMMYFUNCTION("""COMPUTED_VALUE"""),TRUE)</f>
        <v>1</v>
      </c>
      <c r="BC485" s="5" t="str">
        <f>IFERROR(__xludf.DUMMYFUNCTION("""COMPUTED_VALUE"""),"Playnet")</f>
        <v>Playnet</v>
      </c>
      <c r="BD485" s="7" t="str">
        <f>IFERROR(__xludf.DUMMYFUNCTION("""COMPUTED_VALUE"""),"https://gameserver-store-client-area.orbionlimited.com/Home/IntegrationGameLaunch/client-area?moneyType=0&amp;gameName=PlayNetDarkTemptress&amp;platform=desktop&amp;languageCode=eng&amp;currency=EUR")</f>
        <v>https://gameserver-store-client-area.orbionlimited.com/Home/IntegrationGameLaunch/client-area?moneyType=0&amp;gameName=PlayNetDarkTemptress&amp;platform=desktop&amp;languageCode=eng&amp;currency=EUR</v>
      </c>
      <c r="BE485" s="5" t="b">
        <f>IFERROR(__xludf.DUMMYFUNCTION("""COMPUTED_VALUE"""),TRUE)</f>
        <v>1</v>
      </c>
    </row>
    <row r="486">
      <c r="A486" s="5">
        <f>IFERROR(__xludf.DUMMYFUNCTION("""COMPUTED_VALUE"""),515.0)</f>
        <v>515</v>
      </c>
      <c r="B486" s="5">
        <f>IFERROR(__xludf.DUMMYFUNCTION("""COMPUTED_VALUE"""),2007.0)</f>
        <v>2007</v>
      </c>
      <c r="C486" s="5" t="str">
        <f>IFERROR(__xludf.DUMMYFUNCTION("""COMPUTED_VALUE"""),"Fazi")</f>
        <v>Fazi</v>
      </c>
      <c r="D486" s="5" t="str">
        <f>IFERROR(__xludf.DUMMYFUNCTION("""COMPUTED_VALUE"""),"Wild Sticky Clover")</f>
        <v>Wild Sticky Clover</v>
      </c>
      <c r="E486" s="5" t="str">
        <f>IFERROR(__xludf.DUMMYFUNCTION("""COMPUTED_VALUE"""),"V4-2")</f>
        <v>V4-2</v>
      </c>
      <c r="F486" s="5" t="str">
        <f>IFERROR(__xludf.DUMMYFUNCTION("""COMPUTED_VALUE"""),"WildStickyClover")</f>
        <v>WildStickyClover</v>
      </c>
      <c r="G486" s="5" t="str">
        <f>IFERROR(__xludf.DUMMYFUNCTION("""COMPUTED_VALUE"""),"Live")</f>
        <v>Live</v>
      </c>
      <c r="H486" s="5"/>
      <c r="I486" s="5" t="str">
        <f>IFERROR(__xludf.DUMMYFUNCTION("""COMPUTED_VALUE"""),"V4")</f>
        <v>V4</v>
      </c>
      <c r="J486" s="5" t="str">
        <f>IFERROR(__xludf.DUMMYFUNCTION("""COMPUTED_VALUE"""),"JSON")</f>
        <v>JSON</v>
      </c>
      <c r="K486" s="5" t="str">
        <f>IFERROR(__xludf.DUMMYFUNCTION("""COMPUTED_VALUE"""),"Slot")</f>
        <v>Slot</v>
      </c>
      <c r="L486" s="5" t="str">
        <f>IFERROR(__xludf.DUMMYFUNCTION("""COMPUTED_VALUE""")," Variant")</f>
        <v> Variant</v>
      </c>
      <c r="M486" s="5" t="str">
        <f>IFERROR(__xludf.DUMMYFUNCTION("""COMPUTED_VALUE"""),"Wild Lucky Clover")</f>
        <v>Wild Lucky Clover</v>
      </c>
      <c r="N486" s="5"/>
      <c r="O486" s="5"/>
      <c r="P486" s="12">
        <f>IFERROR(__xludf.DUMMYFUNCTION("""COMPUTED_VALUE"""),21.1)</f>
        <v>21.1</v>
      </c>
      <c r="Q486" s="13">
        <f>IFERROR(__xludf.DUMMYFUNCTION("""COMPUTED_VALUE"""),45831.0)</f>
        <v>45831</v>
      </c>
      <c r="R486" s="13">
        <f>IFERROR(__xludf.DUMMYFUNCTION("""COMPUTED_VALUE"""),45827.0)</f>
        <v>45827</v>
      </c>
      <c r="S486" s="13">
        <f>IFERROR(__xludf.DUMMYFUNCTION("""COMPUTED_VALUE"""),45834.0)</f>
        <v>45834</v>
      </c>
      <c r="T486" s="5" t="b">
        <f>IFERROR(__xludf.DUMMYFUNCTION("""COMPUTED_VALUE"""),TRUE)</f>
        <v>1</v>
      </c>
      <c r="U486" s="5" t="str">
        <f>IFERROR(__xludf.DUMMYFUNCTION("""COMPUTED_VALUE"""),"5x4")</f>
        <v>5x4</v>
      </c>
      <c r="V486" s="5">
        <f>IFERROR(__xludf.DUMMYFUNCTION("""COMPUTED_VALUE"""),40.0)</f>
        <v>40</v>
      </c>
      <c r="W486" s="5">
        <f>IFERROR(__xludf.DUMMYFUNCTION("""COMPUTED_VALUE"""),40.0)</f>
        <v>40</v>
      </c>
      <c r="X486" s="5">
        <f>IFERROR(__xludf.DUMMYFUNCTION("""COMPUTED_VALUE"""),96.62)</f>
        <v>96.62</v>
      </c>
      <c r="Y486" s="5" t="str">
        <f>IFERROR(__xludf.DUMMYFUNCTION("""COMPUTED_VALUE"""),"High")</f>
        <v>High</v>
      </c>
      <c r="Z486" s="5">
        <f>IFERROR(__xludf.DUMMYFUNCTION("""COMPUTED_VALUE"""),10.094)</f>
        <v>10.094</v>
      </c>
      <c r="AA486" s="5">
        <f>IFERROR(__xludf.DUMMYFUNCTION("""COMPUTED_VALUE"""),4000.0)</f>
        <v>4000</v>
      </c>
      <c r="AB486" s="5"/>
      <c r="AC486" s="5" t="str">
        <f>IFERROR(__xludf.DUMMYFUNCTION("""COMPUTED_VALUE"""),"Buy Bonus")</f>
        <v>Buy Bonus</v>
      </c>
      <c r="AD486" s="5" t="str">
        <f>IFERROR(__xludf.DUMMYFUNCTION("""COMPUTED_VALUE"""),"0.4/60")</f>
        <v>0.4/60</v>
      </c>
      <c r="AE486" s="5"/>
      <c r="AF486" s="5"/>
      <c r="AG486" s="8">
        <f>IFERROR(__xludf.DUMMYFUNCTION("""COMPUTED_VALUE"""),46212.55799768519)</f>
        <v>46212.558</v>
      </c>
      <c r="AH486" s="5" t="str">
        <f>IFERROR(__xludf.DUMMYFUNCTION("""COMPUTED_VALUE"""),"aleksandar.trajkovic@fazi.rs")</f>
        <v>aleksandar.trajkovic@fazi.rs</v>
      </c>
      <c r="AI486" s="13"/>
      <c r="AJ486" s="5"/>
      <c r="AK486" s="5">
        <f>IFERROR(__xludf.DUMMYFUNCTION("""COMPUTED_VALUE"""),4.0)</f>
        <v>4</v>
      </c>
      <c r="AL486" s="5" t="str">
        <f>IFERROR(__xludf.DUMMYFUNCTION("""COMPUTED_VALUE"""),"Yes")</f>
        <v>Yes</v>
      </c>
      <c r="AM486" s="5"/>
      <c r="AN486" s="5" t="str">
        <f>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AO486" s="5" t="str">
        <f>IFERROR(__xludf.DUMMYFUNCTION("""COMPUTED_VALUE"""),"Yes")</f>
        <v>Yes</v>
      </c>
      <c r="AP486" s="5" t="str">
        <f>IFERROR(__xludf.DUMMYFUNCTION("""COMPUTED_VALUE"""),"No")</f>
        <v>No</v>
      </c>
      <c r="AQ486" s="5" t="b">
        <f>IFERROR(__xludf.DUMMYFUNCTION("""COMPUTED_VALUE"""),TRUE)</f>
        <v>1</v>
      </c>
      <c r="AR486" s="5"/>
      <c r="AS486" s="5" t="str">
        <f>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AT486" s="5" t="str">
        <f>IFERROR(__xludf.DUMMYFUNCTION("""COMPUTED_VALUE"""),"Yes")</f>
        <v>Yes</v>
      </c>
      <c r="AU486" s="5" t="str">
        <f>IFERROR(__xludf.DUMMYFUNCTION("""COMPUTED_VALUE"""),"Fazi")</f>
        <v>Fazi</v>
      </c>
      <c r="AV486" s="5"/>
      <c r="AW486" s="5"/>
      <c r="AX486" s="5"/>
      <c r="AY486" s="5"/>
      <c r="AZ486" s="5"/>
      <c r="BA486" s="5" t="str">
        <f>IFERROR(__xludf.DUMMYFUNCTION("""COMPUTED_VALUE"""),"100, 285, 820")</f>
        <v>100, 285, 820</v>
      </c>
      <c r="BB486" s="5"/>
      <c r="BC486" s="5" t="str">
        <f>IFERROR(__xludf.DUMMYFUNCTION("""COMPUTED_VALUE"""),"Foxi")</f>
        <v>Foxi</v>
      </c>
      <c r="BD486" s="7" t="str">
        <f>IFERROR(__xludf.DUMMYFUNCTION("""COMPUTED_VALUE"""),"https://gameserver-store-client-area.orbionlimited.com/Home/IntegrationGameLaunch/client-area?moneyType=0&amp;gameName=WildStickyClover&amp;platform=desktop&amp;languageCode=eng&amp;currency=EUR")</f>
        <v>https://gameserver-store-client-area.orbionlimited.com/Home/IntegrationGameLaunch/client-area?moneyType=0&amp;gameName=WildStickyClover&amp;platform=desktop&amp;languageCode=eng&amp;currency=EUR</v>
      </c>
      <c r="BE486" s="5" t="b">
        <f>IFERROR(__xludf.DUMMYFUNCTION("""COMPUTED_VALUE"""),TRUE)</f>
        <v>1</v>
      </c>
    </row>
    <row r="487">
      <c r="A487" s="5">
        <f>IFERROR(__xludf.DUMMYFUNCTION("""COMPUTED_VALUE"""),516.0)</f>
        <v>516</v>
      </c>
      <c r="B487" s="5">
        <f>IFERROR(__xludf.DUMMYFUNCTION("""COMPUTED_VALUE"""),2013.0)</f>
        <v>2013</v>
      </c>
      <c r="C487" s="5" t="str">
        <f>IFERROR(__xludf.DUMMYFUNCTION("""COMPUTED_VALUE"""),"Fazi")</f>
        <v>Fazi</v>
      </c>
      <c r="D487" s="5" t="str">
        <f>IFERROR(__xludf.DUMMYFUNCTION("""COMPUTED_VALUE"""),"XSpins")</f>
        <v>XSpins</v>
      </c>
      <c r="E487" s="5" t="str">
        <f>IFERROR(__xludf.DUMMYFUNCTION("""COMPUTED_VALUE"""),"V4-2")</f>
        <v>V4-2</v>
      </c>
      <c r="F487" s="5" t="str">
        <f>IFERROR(__xludf.DUMMYFUNCTION("""COMPUTED_VALUE"""),"XSpins")</f>
        <v>XSpins</v>
      </c>
      <c r="G487" s="5" t="str">
        <f>IFERROR(__xludf.DUMMYFUNCTION("""COMPUTED_VALUE"""),"Live")</f>
        <v>Live</v>
      </c>
      <c r="H487" s="5"/>
      <c r="I487" s="5" t="str">
        <f>IFERROR(__xludf.DUMMYFUNCTION("""COMPUTED_VALUE"""),"V4")</f>
        <v>V4</v>
      </c>
      <c r="J487" s="5" t="str">
        <f>IFERROR(__xludf.DUMMYFUNCTION("""COMPUTED_VALUE"""),"JSON")</f>
        <v>JSON</v>
      </c>
      <c r="K487" s="5" t="str">
        <f>IFERROR(__xludf.DUMMYFUNCTION("""COMPUTED_VALUE"""),"Slot")</f>
        <v>Slot</v>
      </c>
      <c r="L487" s="5" t="str">
        <f>IFERROR(__xludf.DUMMYFUNCTION("""COMPUTED_VALUE"""),"Master")</f>
        <v>Master</v>
      </c>
      <c r="M487" s="5"/>
      <c r="N487" s="7" t="str">
        <f>IFERROR(__xludf.DUMMYFUNCTION("""COMPUTED_VALUE"""),"https://drive.google.com/drive/folders/1K0XeNmIwEJ7Qvyb5qEjhBQGruLxRdiMG?usp=drive_link")</f>
        <v>https://drive.google.com/drive/folders/1K0XeNmIwEJ7Qvyb5qEjhBQGruLxRdiMG?usp=drive_link</v>
      </c>
      <c r="O487" s="7" t="str">
        <f>IFERROR(__xludf.DUMMYFUNCTION("""COMPUTED_VALUE"""),"https://drive.google.com/drive/folders/1K0XeNmIwEJ7Qvyb5qEjhBQGruLxRdiMG?usp=drive_link")</f>
        <v>https://drive.google.com/drive/folders/1K0XeNmIwEJ7Qvyb5qEjhBQGruLxRdiMG?usp=drive_link</v>
      </c>
      <c r="P487" s="12">
        <f>IFERROR(__xludf.DUMMYFUNCTION("""COMPUTED_VALUE"""),14.8)</f>
        <v>14.8</v>
      </c>
      <c r="Q487" s="13">
        <f>IFERROR(__xludf.DUMMYFUNCTION("""COMPUTED_VALUE"""),46125.0)</f>
        <v>46125</v>
      </c>
      <c r="R487" s="13">
        <f>IFERROR(__xludf.DUMMYFUNCTION("""COMPUTED_VALUE"""),46168.0)</f>
        <v>46168</v>
      </c>
      <c r="S487" s="13">
        <f>IFERROR(__xludf.DUMMYFUNCTION("""COMPUTED_VALUE"""),46175.0)</f>
        <v>46175</v>
      </c>
      <c r="T487" s="5" t="b">
        <f>IFERROR(__xludf.DUMMYFUNCTION("""COMPUTED_VALUE"""),TRUE)</f>
        <v>1</v>
      </c>
      <c r="U487" s="5" t="str">
        <f>IFERROR(__xludf.DUMMYFUNCTION("""COMPUTED_VALUE"""),"/")</f>
        <v>/</v>
      </c>
      <c r="V487" s="5">
        <f>IFERROR(__xludf.DUMMYFUNCTION("""COMPUTED_VALUE"""),10.0)</f>
        <v>10</v>
      </c>
      <c r="W487" s="5"/>
      <c r="X487" s="5">
        <f>IFERROR(__xludf.DUMMYFUNCTION("""COMPUTED_VALUE"""),96.0)</f>
        <v>96</v>
      </c>
      <c r="Y487" s="5" t="str">
        <f>IFERROR(__xludf.DUMMYFUNCTION("""COMPUTED_VALUE"""),"High")</f>
        <v>High</v>
      </c>
      <c r="Z487" s="5">
        <f>IFERROR(__xludf.DUMMYFUNCTION("""COMPUTED_VALUE"""),87.272)</f>
        <v>87.272</v>
      </c>
      <c r="AA487" s="5">
        <f>IFERROR(__xludf.DUMMYFUNCTION("""COMPUTED_VALUE"""),15000.0)</f>
        <v>15000</v>
      </c>
      <c r="AB487" s="5"/>
      <c r="AC487" s="5" t="str">
        <f>IFERROR(__xludf.DUMMYFUNCTION("""COMPUTED_VALUE"""),"Win Multiplier")</f>
        <v>Win Multiplier</v>
      </c>
      <c r="AD487" s="5" t="str">
        <f>IFERROR(__xludf.DUMMYFUNCTION("""COMPUTED_VALUE"""),"0.05/40")</f>
        <v>0.05/40</v>
      </c>
      <c r="AE487" s="5"/>
      <c r="AF487" s="5"/>
      <c r="AG487" s="8">
        <f>IFERROR(__xludf.DUMMYFUNCTION("""COMPUTED_VALUE"""),46185.569606481484)</f>
        <v>46185.56961</v>
      </c>
      <c r="AH487" s="5" t="str">
        <f>IFERROR(__xludf.DUMMYFUNCTION("""COMPUTED_VALUE"""),"selena.mihajlovic@fazi.rs")</f>
        <v>selena.mihajlovic@fazi.rs</v>
      </c>
      <c r="AI487" s="13">
        <f>IFERROR(__xludf.DUMMYFUNCTION("""COMPUTED_VALUE"""),46150.0)</f>
        <v>46150</v>
      </c>
      <c r="AJ487" s="5" t="str">
        <f>IFERROR(__xludf.DUMMYFUNCTION("""COMPUTED_VALUE"""),"08.05. Venezuela Triumfobet
08.05. VolcanoBet MNE
11.05. Bonmoja
12.05. EVA India + Chile + Argentina
12.05. BtoBet
13.05. Mozzartbet RS
")</f>
        <v>08.05. Venezuela Triumfobet
08.05. VolcanoBet MNE
11.05. Bonmoja
12.05. EVA India + Chile + Argentina
12.05. BtoBet
13.05. Mozzartbet RS
</v>
      </c>
      <c r="AK487" s="5">
        <f>IFERROR(__xludf.DUMMYFUNCTION("""COMPUTED_VALUE"""),10.0)</f>
        <v>10</v>
      </c>
      <c r="AL487" s="5" t="str">
        <f>IFERROR(__xludf.DUMMYFUNCTION("""COMPUTED_VALUE"""),"No")</f>
        <v>No</v>
      </c>
      <c r="AM487" s="5" t="str">
        <f>IFERROR(__xludf.DUMMYFUNCTION("""COMPUTED_VALUE"""),"No")</f>
        <v>No</v>
      </c>
      <c r="AN487" s="7" t="str">
        <f>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AO487" s="5" t="str">
        <f>IFERROR(__xludf.DUMMYFUNCTION("""COMPUTED_VALUE"""),"Yes")</f>
        <v>Yes</v>
      </c>
      <c r="AP487" s="5" t="str">
        <f>IFERROR(__xludf.DUMMYFUNCTION("""COMPUTED_VALUE"""),"No")</f>
        <v>No</v>
      </c>
      <c r="AQ487" s="5" t="b">
        <f>IFERROR(__xludf.DUMMYFUNCTION("""COMPUTED_VALUE"""),TRUE)</f>
        <v>1</v>
      </c>
      <c r="AR487" s="5"/>
      <c r="AS487" s="5" t="str">
        <f>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AT487" s="5"/>
      <c r="AU487" s="5" t="str">
        <f>IFERROR(__xludf.DUMMYFUNCTION("""COMPUTED_VALUE"""),"Fazi")</f>
        <v>Fazi</v>
      </c>
      <c r="AV487" s="5">
        <f>IFERROR(__xludf.DUMMYFUNCTION("""COMPUTED_VALUE"""),10.0)</f>
        <v>10</v>
      </c>
      <c r="AW487" s="5"/>
      <c r="AX487" s="13">
        <f>IFERROR(__xludf.DUMMYFUNCTION("""COMPUTED_VALUE"""),46119.0)</f>
        <v>46119</v>
      </c>
      <c r="AY487" s="5" t="str">
        <f>IFERROR(__xludf.DUMMYFUNCTION("""COMPUTED_VALUE"""),"Da, igra ima mogucnost kofiguracije RTP za razlicite vrednosti. ")</f>
        <v>Da, igra ima mogucnost kofiguracije RTP za razlicite vrednosti. </v>
      </c>
      <c r="AZ487" s="7" t="str">
        <f>IFERROR(__xludf.DUMMYFUNCTION("""COMPUTED_VALUE"""),"https://drive.google.com/drive/folders/19YB-AjLXFU0pCCykpndBLg1UN-7aTI1K")</f>
        <v>https://drive.google.com/drive/folders/19YB-AjLXFU0pCCykpndBLg1UN-7aTI1K</v>
      </c>
      <c r="BA487" s="5"/>
      <c r="BB487" s="5" t="b">
        <f>IFERROR(__xludf.DUMMYFUNCTION("""COMPUTED_VALUE"""),TRUE)</f>
        <v>1</v>
      </c>
      <c r="BC487" s="5" t="str">
        <f>IFERROR(__xludf.DUMMYFUNCTION("""COMPUTED_VALUE"""),"Foxi")</f>
        <v>Foxi</v>
      </c>
      <c r="BD487" s="7" t="str">
        <f>IFERROR(__xludf.DUMMYFUNCTION("""COMPUTED_VALUE"""),"https://gameserver-store-client-area.orbionlimited.com/Home/IntegrationGameLaunch/client-area?moneyType=0&amp;gameName=XSpins&amp;platform=desktop&amp;languageCode=eng&amp;currency=EUR")</f>
        <v>https://gameserver-store-client-area.orbionlimited.com/Home/IntegrationGameLaunch/client-area?moneyType=0&amp;gameName=XSpins&amp;platform=desktop&amp;languageCode=eng&amp;currency=EUR</v>
      </c>
      <c r="BE487" s="5" t="b">
        <f>IFERROR(__xludf.DUMMYFUNCTION("""COMPUTED_VALUE"""),TRUE)</f>
        <v>1</v>
      </c>
    </row>
    <row r="488">
      <c r="A488" s="5">
        <f>IFERROR(__xludf.DUMMYFUNCTION("""COMPUTED_VALUE"""),517.0)</f>
        <v>517</v>
      </c>
      <c r="B488" s="5">
        <f>IFERROR(__xludf.DUMMYFUNCTION("""COMPUTED_VALUE"""),3019.0)</f>
        <v>3019</v>
      </c>
      <c r="C488" s="5" t="str">
        <f>IFERROR(__xludf.DUMMYFUNCTION("""COMPUTED_VALUE"""),"Fazi")</f>
        <v>Fazi</v>
      </c>
      <c r="D488" s="5" t="str">
        <f>IFERROR(__xludf.DUMMYFUNCTION("""COMPUTED_VALUE"""),"Epic Crown 5 Booster")</f>
        <v>Epic Crown 5 Booster</v>
      </c>
      <c r="E488" s="5" t="str">
        <f>IFERROR(__xludf.DUMMYFUNCTION("""COMPUTED_VALUE"""),"V2")</f>
        <v>V2</v>
      </c>
      <c r="F488" s="5" t="str">
        <f>IFERROR(__xludf.DUMMYFUNCTION("""COMPUTED_VALUE"""),"EpicCrown5Booster")</f>
        <v>EpicCrown5Booster</v>
      </c>
      <c r="G488" s="5" t="str">
        <f>IFERROR(__xludf.DUMMYFUNCTION("""COMPUTED_VALUE"""),"Live")</f>
        <v>Live</v>
      </c>
      <c r="H488" s="5"/>
      <c r="I488" s="5"/>
      <c r="J488" s="5" t="str">
        <f>IFERROR(__xludf.DUMMYFUNCTION("""COMPUTED_VALUE"""),"JSON")</f>
        <v>JSON</v>
      </c>
      <c r="K488" s="5" t="str">
        <f>IFERROR(__xludf.DUMMYFUNCTION("""COMPUTED_VALUE"""),"Slot")</f>
        <v>Slot</v>
      </c>
      <c r="L488" s="5" t="str">
        <f>IFERROR(__xludf.DUMMYFUNCTION("""COMPUTED_VALUE""")," Clone")</f>
        <v> Clone</v>
      </c>
      <c r="M488" s="5" t="str">
        <f>IFERROR(__xludf.DUMMYFUNCTION("""COMPUTED_VALUE"""),"Epic Crown 5")</f>
        <v>Epic Crown 5</v>
      </c>
      <c r="N488" s="5"/>
      <c r="O488" s="5"/>
      <c r="P488" s="12">
        <f>IFERROR(__xludf.DUMMYFUNCTION("""COMPUTED_VALUE"""),24.8)</f>
        <v>24.8</v>
      </c>
      <c r="Q488" s="13">
        <f>IFERROR(__xludf.DUMMYFUNCTION("""COMPUTED_VALUE"""),45811.0)</f>
        <v>45811</v>
      </c>
      <c r="R488" s="13">
        <f>IFERROR(__xludf.DUMMYFUNCTION("""COMPUTED_VALUE"""),45820.0)</f>
        <v>45820</v>
      </c>
      <c r="S488" s="13">
        <f>IFERROR(__xludf.DUMMYFUNCTION("""COMPUTED_VALUE"""),45827.0)</f>
        <v>45827</v>
      </c>
      <c r="T488" s="5" t="b">
        <f>IFERROR(__xludf.DUMMYFUNCTION("""COMPUTED_VALUE"""),TRUE)</f>
        <v>1</v>
      </c>
      <c r="U488" s="5" t="str">
        <f>IFERROR(__xludf.DUMMYFUNCTION("""COMPUTED_VALUE"""),"5x3")</f>
        <v>5x3</v>
      </c>
      <c r="V488" s="5">
        <f>IFERROR(__xludf.DUMMYFUNCTION("""COMPUTED_VALUE"""),5.0)</f>
        <v>5</v>
      </c>
      <c r="W488" s="5">
        <f>IFERROR(__xludf.DUMMYFUNCTION("""COMPUTED_VALUE"""),5.0)</f>
        <v>5</v>
      </c>
      <c r="X488" s="5">
        <f>IFERROR(__xludf.DUMMYFUNCTION("""COMPUTED_VALUE"""),95.962)</f>
        <v>95.962</v>
      </c>
      <c r="Y488" s="5" t="str">
        <f>IFERROR(__xludf.DUMMYFUNCTION("""COMPUTED_VALUE"""),"Medium")</f>
        <v>Medium</v>
      </c>
      <c r="Z488" s="5">
        <f>IFERROR(__xludf.DUMMYFUNCTION("""COMPUTED_VALUE"""),12.26)</f>
        <v>12.26</v>
      </c>
      <c r="AA488" s="5">
        <f>IFERROR(__xludf.DUMMYFUNCTION("""COMPUTED_VALUE"""),2018.0)</f>
        <v>2018</v>
      </c>
      <c r="AB488" s="5"/>
      <c r="AC488" s="5" t="str">
        <f>IFERROR(__xludf.DUMMYFUNCTION("""COMPUTED_VALUE"""),"Scatter, Expanding Wild, Buy Feature")</f>
        <v>Scatter, Expanding Wild, Buy Feature</v>
      </c>
      <c r="AD488" s="5" t="str">
        <f>IFERROR(__xludf.DUMMYFUNCTION("""COMPUTED_VALUE"""),"0.1/50")</f>
        <v>0.1/50</v>
      </c>
      <c r="AE488" s="5"/>
      <c r="AF488" s="5"/>
      <c r="AG488" s="8">
        <f>IFERROR(__xludf.DUMMYFUNCTION("""COMPUTED_VALUE"""),46198.51991898148)</f>
        <v>46198.51992</v>
      </c>
      <c r="AH488" s="5" t="str">
        <f>IFERROR(__xludf.DUMMYFUNCTION("""COMPUTED_VALUE"""),"selena.mihajlovic@fazi.rs")</f>
        <v>selena.mihajlovic@fazi.rs</v>
      </c>
      <c r="AI488" s="13"/>
      <c r="AJ488" s="5"/>
      <c r="AK488" s="5">
        <f>IFERROR(__xludf.DUMMYFUNCTION("""COMPUTED_VALUE"""),5.0)</f>
        <v>5</v>
      </c>
      <c r="AL488" s="5" t="str">
        <f>IFERROR(__xludf.DUMMYFUNCTION("""COMPUTED_VALUE"""),"Yes")</f>
        <v>Yes</v>
      </c>
      <c r="AM488" s="5"/>
      <c r="AN488" s="7" t="str">
        <f>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8" s="5" t="str">
        <f>IFERROR(__xludf.DUMMYFUNCTION("""COMPUTED_VALUE"""),"Yes")</f>
        <v>Yes</v>
      </c>
      <c r="AP488" s="5" t="str">
        <f>IFERROR(__xludf.DUMMYFUNCTION("""COMPUTED_VALUE"""),"No")</f>
        <v>No</v>
      </c>
      <c r="AQ488" s="5" t="b">
        <f>IFERROR(__xludf.DUMMYFUNCTION("""COMPUTED_VALUE"""),TRUE)</f>
        <v>1</v>
      </c>
      <c r="AR488" s="5"/>
      <c r="AS488" s="5" t="str">
        <f>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AT488" s="5"/>
      <c r="AU488" s="5" t="str">
        <f>IFERROR(__xludf.DUMMYFUNCTION("""COMPUTED_VALUE"""),"Fazi")</f>
        <v>Fazi</v>
      </c>
      <c r="AV488" s="5"/>
      <c r="AW488" s="5"/>
      <c r="AX488" s="5"/>
      <c r="AY488" s="5"/>
      <c r="AZ488" s="5"/>
      <c r="BA488" s="5">
        <f>IFERROR(__xludf.DUMMYFUNCTION("""COMPUTED_VALUE"""),5.0)</f>
        <v>5</v>
      </c>
      <c r="BB488" s="5"/>
      <c r="BC488" s="5" t="str">
        <f>IFERROR(__xludf.DUMMYFUNCTION("""COMPUTED_VALUE"""),"Foxi")</f>
        <v>Foxi</v>
      </c>
      <c r="BD488" s="7" t="str">
        <f>IFERROR(__xludf.DUMMYFUNCTION("""COMPUTED_VALUE"""),"https://gameserver-store-client-area.orbionlimited.com/Home/IntegrationGameLaunch/client-area?moneyType=0&amp;gameName=EpicCrown5Booster&amp;platform=desktop&amp;languageCode=eng&amp;currency=EUR")</f>
        <v>https://gameserver-store-client-area.orbionlimited.com/Home/IntegrationGameLaunch/client-area?moneyType=0&amp;gameName=EpicCrown5Booster&amp;platform=desktop&amp;languageCode=eng&amp;currency=EUR</v>
      </c>
      <c r="BE488" s="5" t="b">
        <f>IFERROR(__xludf.DUMMYFUNCTION("""COMPUTED_VALUE"""),TRUE)</f>
        <v>1</v>
      </c>
    </row>
    <row r="489">
      <c r="A489" s="5">
        <f>IFERROR(__xludf.DUMMYFUNCTION("""COMPUTED_VALUE"""),518.0)</f>
        <v>518</v>
      </c>
      <c r="B489" s="5">
        <f>IFERROR(__xludf.DUMMYFUNCTION("""COMPUTED_VALUE"""),3017.0)</f>
        <v>3017</v>
      </c>
      <c r="C489" s="5" t="str">
        <f>IFERROR(__xludf.DUMMYFUNCTION("""COMPUTED_VALUE"""),"Fazi")</f>
        <v>Fazi</v>
      </c>
      <c r="D489" s="5" t="str">
        <f>IFERROR(__xludf.DUMMYFUNCTION("""COMPUTED_VALUE"""),"Epic Crown 10 Booster")</f>
        <v>Epic Crown 10 Booster</v>
      </c>
      <c r="E489" s="5" t="str">
        <f>IFERROR(__xludf.DUMMYFUNCTION("""COMPUTED_VALUE"""),"V2")</f>
        <v>V2</v>
      </c>
      <c r="F489" s="5" t="str">
        <f>IFERROR(__xludf.DUMMYFUNCTION("""COMPUTED_VALUE"""),"EpicCrown10Booster")</f>
        <v>EpicCrown10Booster</v>
      </c>
      <c r="G489" s="5" t="str">
        <f>IFERROR(__xludf.DUMMYFUNCTION("""COMPUTED_VALUE"""),"Live")</f>
        <v>Live</v>
      </c>
      <c r="H489" s="5"/>
      <c r="I489" s="5"/>
      <c r="J489" s="5" t="str">
        <f>IFERROR(__xludf.DUMMYFUNCTION("""COMPUTED_VALUE"""),"JSON")</f>
        <v>JSON</v>
      </c>
      <c r="K489" s="5" t="str">
        <f>IFERROR(__xludf.DUMMYFUNCTION("""COMPUTED_VALUE"""),"Slot")</f>
        <v>Slot</v>
      </c>
      <c r="L489" s="5" t="str">
        <f>IFERROR(__xludf.DUMMYFUNCTION("""COMPUTED_VALUE""")," Clone")</f>
        <v> Clone</v>
      </c>
      <c r="M489" s="5" t="str">
        <f>IFERROR(__xludf.DUMMYFUNCTION("""COMPUTED_VALUE"""),"Epic Crown 10")</f>
        <v>Epic Crown 10</v>
      </c>
      <c r="N489" s="5"/>
      <c r="O489" s="5"/>
      <c r="P489" s="12">
        <f>IFERROR(__xludf.DUMMYFUNCTION("""COMPUTED_VALUE"""),24.5)</f>
        <v>24.5</v>
      </c>
      <c r="Q489" s="13">
        <f>IFERROR(__xludf.DUMMYFUNCTION("""COMPUTED_VALUE"""),45811.0)</f>
        <v>45811</v>
      </c>
      <c r="R489" s="13">
        <f>IFERROR(__xludf.DUMMYFUNCTION("""COMPUTED_VALUE"""),45812.0)</f>
        <v>45812</v>
      </c>
      <c r="S489" s="13">
        <f>IFERROR(__xludf.DUMMYFUNCTION("""COMPUTED_VALUE"""),45819.0)</f>
        <v>45819</v>
      </c>
      <c r="T489" s="5" t="b">
        <f>IFERROR(__xludf.DUMMYFUNCTION("""COMPUTED_VALUE"""),TRUE)</f>
        <v>1</v>
      </c>
      <c r="U489" s="5" t="str">
        <f>IFERROR(__xludf.DUMMYFUNCTION("""COMPUTED_VALUE"""),"5x3")</f>
        <v>5x3</v>
      </c>
      <c r="V489" s="5">
        <f>IFERROR(__xludf.DUMMYFUNCTION("""COMPUTED_VALUE"""),10.0)</f>
        <v>10</v>
      </c>
      <c r="W489" s="5">
        <f>IFERROR(__xludf.DUMMYFUNCTION("""COMPUTED_VALUE"""),10.0)</f>
        <v>10</v>
      </c>
      <c r="X489" s="5">
        <f>IFERROR(__xludf.DUMMYFUNCTION("""COMPUTED_VALUE"""),95.96)</f>
        <v>95.96</v>
      </c>
      <c r="Y489" s="5" t="str">
        <f>IFERROR(__xludf.DUMMYFUNCTION("""COMPUTED_VALUE"""),"Medium")</f>
        <v>Medium</v>
      </c>
      <c r="Z489" s="5">
        <f>IFERROR(__xludf.DUMMYFUNCTION("""COMPUTED_VALUE"""),14.63)</f>
        <v>14.63</v>
      </c>
      <c r="AA489" s="5">
        <f>IFERROR(__xludf.DUMMYFUNCTION("""COMPUTED_VALUE"""),1538.0)</f>
        <v>1538</v>
      </c>
      <c r="AB489" s="5"/>
      <c r="AC489" s="5" t="str">
        <f>IFERROR(__xludf.DUMMYFUNCTION("""COMPUTED_VALUE"""),"Buy Feature")</f>
        <v>Buy Feature</v>
      </c>
      <c r="AD489" s="5" t="str">
        <f>IFERROR(__xludf.DUMMYFUNCTION("""COMPUTED_VALUE"""),"01/50")</f>
        <v>01/50</v>
      </c>
      <c r="AE489" s="5"/>
      <c r="AF489" s="5"/>
      <c r="AG489" s="8">
        <f>IFERROR(__xludf.DUMMYFUNCTION("""COMPUTED_VALUE"""),46198.5200462963)</f>
        <v>46198.52005</v>
      </c>
      <c r="AH489" s="5" t="str">
        <f>IFERROR(__xludf.DUMMYFUNCTION("""COMPUTED_VALUE"""),"selena.mihajlovic@fazi.rs")</f>
        <v>selena.mihajlovic@fazi.rs</v>
      </c>
      <c r="AI489" s="13"/>
      <c r="AJ489" s="5"/>
      <c r="AK489" s="5">
        <f>IFERROR(__xludf.DUMMYFUNCTION("""COMPUTED_VALUE"""),10.0)</f>
        <v>10</v>
      </c>
      <c r="AL489" s="5" t="str">
        <f>IFERROR(__xludf.DUMMYFUNCTION("""COMPUTED_VALUE"""),"Yes")</f>
        <v>Yes</v>
      </c>
      <c r="AM489" s="5"/>
      <c r="AN489" s="7" t="str">
        <f>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9" s="5" t="str">
        <f>IFERROR(__xludf.DUMMYFUNCTION("""COMPUTED_VALUE"""),"Yes")</f>
        <v>Yes</v>
      </c>
      <c r="AP489" s="5" t="str">
        <f>IFERROR(__xludf.DUMMYFUNCTION("""COMPUTED_VALUE"""),"Yes")</f>
        <v>Yes</v>
      </c>
      <c r="AQ489" s="5" t="b">
        <f>IFERROR(__xludf.DUMMYFUNCTION("""COMPUTED_VALUE"""),TRUE)</f>
        <v>1</v>
      </c>
      <c r="AR489" s="5"/>
      <c r="AS489" s="5" t="str">
        <f>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AT489" s="5" t="str">
        <f>IFERROR(__xludf.DUMMYFUNCTION("""COMPUTED_VALUE"""),"No")</f>
        <v>No</v>
      </c>
      <c r="AU489" s="5" t="str">
        <f>IFERROR(__xludf.DUMMYFUNCTION("""COMPUTED_VALUE"""),"Fazi")</f>
        <v>Fazi</v>
      </c>
      <c r="AV489" s="5"/>
      <c r="AW489" s="5"/>
      <c r="AX489" s="5"/>
      <c r="AY489" s="5"/>
      <c r="AZ489" s="5"/>
      <c r="BA489" s="5">
        <f>IFERROR(__xludf.DUMMYFUNCTION("""COMPUTED_VALUE"""),5.0)</f>
        <v>5</v>
      </c>
      <c r="BB489" s="5"/>
      <c r="BC489" s="5" t="str">
        <f>IFERROR(__xludf.DUMMYFUNCTION("""COMPUTED_VALUE"""),"Foxi")</f>
        <v>Foxi</v>
      </c>
      <c r="BD489" s="7" t="str">
        <f>IFERROR(__xludf.DUMMYFUNCTION("""COMPUTED_VALUE"""),"https://gameserver-store-client-area.orbionlimited.com/Home/IntegrationGameLaunch/client-area?moneyType=0&amp;gameName=EpicCrown10Booster&amp;platform=desktop&amp;languageCode=eng&amp;currency=EUR")</f>
        <v>https://gameserver-store-client-area.orbionlimited.com/Home/IntegrationGameLaunch/client-area?moneyType=0&amp;gameName=EpicCrown10Booster&amp;platform=desktop&amp;languageCode=eng&amp;currency=EUR</v>
      </c>
      <c r="BE489" s="5" t="b">
        <f>IFERROR(__xludf.DUMMYFUNCTION("""COMPUTED_VALUE"""),TRUE)</f>
        <v>1</v>
      </c>
    </row>
    <row r="490">
      <c r="A490" s="5">
        <f>IFERROR(__xludf.DUMMYFUNCTION("""COMPUTED_VALUE"""),519.0)</f>
        <v>519</v>
      </c>
      <c r="B490" s="5">
        <f>IFERROR(__xludf.DUMMYFUNCTION("""COMPUTED_VALUE"""),180020.0)</f>
        <v>180020</v>
      </c>
      <c r="C490" s="5" t="str">
        <f>IFERROR(__xludf.DUMMYFUNCTION("""COMPUTED_VALUE"""),"Redstone")</f>
        <v>Redstone</v>
      </c>
      <c r="D490" s="5" t="str">
        <f>IFERROR(__xludf.DUMMYFUNCTION("""COMPUTED_VALUE"""),"777: Expand")</f>
        <v>777: Expand</v>
      </c>
      <c r="E490" s="5" t="str">
        <f>IFERROR(__xludf.DUMMYFUNCTION("""COMPUTED_VALUE"""),"Redstone")</f>
        <v>Redstone</v>
      </c>
      <c r="F490" s="5" t="str">
        <f>IFERROR(__xludf.DUMMYFUNCTION("""COMPUTED_VALUE"""),"Redstone777Expand")</f>
        <v>Redstone777Expand</v>
      </c>
      <c r="G490" s="5" t="str">
        <f>IFERROR(__xludf.DUMMYFUNCTION("""COMPUTED_VALUE"""),"Live")</f>
        <v>Live</v>
      </c>
      <c r="H490" s="5"/>
      <c r="I490" s="5" t="str">
        <f>IFERROR(__xludf.DUMMYFUNCTION("""COMPUTED_VALUE"""),"Redstone")</f>
        <v>Redstone</v>
      </c>
      <c r="J490" s="5" t="str">
        <f>IFERROR(__xludf.DUMMYFUNCTION("""COMPUTED_VALUE"""),"JSON")</f>
        <v>JSON</v>
      </c>
      <c r="K490" s="5" t="str">
        <f>IFERROR(__xludf.DUMMYFUNCTION("""COMPUTED_VALUE"""),"Slot")</f>
        <v>Slot</v>
      </c>
      <c r="L490" s="5" t="str">
        <f>IFERROR(__xludf.DUMMYFUNCTION("""COMPUTED_VALUE""")," Clone")</f>
        <v> Clone</v>
      </c>
      <c r="M490" s="5" t="str">
        <f>IFERROR(__xludf.DUMMYFUNCTION("""COMPUTED_VALUE"""),"Cosmic Sevens")</f>
        <v>Cosmic Sevens</v>
      </c>
      <c r="N490" s="7" t="str">
        <f>IFERROR(__xludf.DUMMYFUNCTION("""COMPUTED_VALUE"""),"https://drive.google.com/file/d/1f4lhNBlzwu96nXqSardoriE05sNVeNbC/view?usp=drive_link")</f>
        <v>https://drive.google.com/file/d/1f4lhNBlzwu96nXqSardoriE05sNVeNbC/view?usp=drive_link</v>
      </c>
      <c r="O490" s="7" t="str">
        <f>IFERROR(__xludf.DUMMYFUNCTION("""COMPUTED_VALUE"""),"https://drive.google.com/file/d/1TcFXfNxWA4OqQvlxID9tuaaRrNrBPlyn/view?usp=drive_link")</f>
        <v>https://drive.google.com/file/d/1TcFXfNxWA4OqQvlxID9tuaaRrNrBPlyn/view?usp=drive_link</v>
      </c>
      <c r="P490" s="12">
        <f>IFERROR(__xludf.DUMMYFUNCTION("""COMPUTED_VALUE"""),6.5)</f>
        <v>6.5</v>
      </c>
      <c r="Q490" s="13">
        <f>IFERROR(__xludf.DUMMYFUNCTION("""COMPUTED_VALUE"""),45803.0)</f>
        <v>45803</v>
      </c>
      <c r="R490" s="13">
        <f>IFERROR(__xludf.DUMMYFUNCTION("""COMPUTED_VALUE"""),45811.0)</f>
        <v>45811</v>
      </c>
      <c r="S490" s="13">
        <f>IFERROR(__xludf.DUMMYFUNCTION("""COMPUTED_VALUE"""),45818.0)</f>
        <v>45818</v>
      </c>
      <c r="T490" s="5" t="b">
        <f>IFERROR(__xludf.DUMMYFUNCTION("""COMPUTED_VALUE"""),TRUE)</f>
        <v>1</v>
      </c>
      <c r="U490" s="5" t="str">
        <f>IFERROR(__xludf.DUMMYFUNCTION("""COMPUTED_VALUE"""),"5x3")</f>
        <v>5x3</v>
      </c>
      <c r="V490" s="5">
        <f>IFERROR(__xludf.DUMMYFUNCTION("""COMPUTED_VALUE"""),10.0)</f>
        <v>10</v>
      </c>
      <c r="W490" s="5">
        <f>IFERROR(__xludf.DUMMYFUNCTION("""COMPUTED_VALUE"""),10.0)</f>
        <v>10</v>
      </c>
      <c r="X490" s="5">
        <f>IFERROR(__xludf.DUMMYFUNCTION("""COMPUTED_VALUE"""),96.03)</f>
        <v>96.03</v>
      </c>
      <c r="Y490" s="5" t="str">
        <f>IFERROR(__xludf.DUMMYFUNCTION("""COMPUTED_VALUE"""),"Medium")</f>
        <v>Medium</v>
      </c>
      <c r="Z490" s="5">
        <f>IFERROR(__xludf.DUMMYFUNCTION("""COMPUTED_VALUE"""),18.71)</f>
        <v>18.71</v>
      </c>
      <c r="AA490" s="5">
        <f>IFERROR(__xludf.DUMMYFUNCTION("""COMPUTED_VALUE"""),3000.0)</f>
        <v>3000</v>
      </c>
      <c r="AB490" s="5"/>
      <c r="AC490" s="5" t="str">
        <f>IFERROR(__xludf.DUMMYFUNCTION("""COMPUTED_VALUE"""),"Expanding Wild, Scatter")</f>
        <v>Expanding Wild, Scatter</v>
      </c>
      <c r="AD490" s="5" t="str">
        <f>IFERROR(__xludf.DUMMYFUNCTION("""COMPUTED_VALUE"""),"0.1/100")</f>
        <v>0.1/100</v>
      </c>
      <c r="AE490" s="5"/>
      <c r="AF490" s="5"/>
      <c r="AG490" s="8">
        <f>IFERROR(__xludf.DUMMYFUNCTION("""COMPUTED_VALUE"""),46157.52914351852)</f>
        <v>46157.52914</v>
      </c>
      <c r="AH490" s="5"/>
      <c r="AI490" s="13"/>
      <c r="AJ490" s="5"/>
      <c r="AK490" s="5">
        <f>IFERROR(__xludf.DUMMYFUNCTION("""COMPUTED_VALUE"""),1.0)</f>
        <v>1</v>
      </c>
      <c r="AL490" s="5" t="str">
        <f>IFERROR(__xludf.DUMMYFUNCTION("""COMPUTED_VALUE"""),"No")</f>
        <v>No</v>
      </c>
      <c r="AM490" s="5" t="str">
        <f>IFERROR(__xludf.DUMMYFUNCTION("""COMPUTED_VALUE"""),"No")</f>
        <v>No</v>
      </c>
      <c r="AN490" s="7" t="str">
        <f>IFERROR(__xludf.DUMMYFUNCTION("""COMPUTED_VALUE"""),"https://static.redstone.rs/games/777-expand/")</f>
        <v>https://static.redstone.rs/games/777-expand/</v>
      </c>
      <c r="AO490" s="5" t="str">
        <f>IFERROR(__xludf.DUMMYFUNCTION("""COMPUTED_VALUE"""),"No")</f>
        <v>No</v>
      </c>
      <c r="AP490" s="5" t="str">
        <f>IFERROR(__xludf.DUMMYFUNCTION("""COMPUTED_VALUE"""),"No")</f>
        <v>No</v>
      </c>
      <c r="AQ490" s="5" t="b">
        <f>IFERROR(__xludf.DUMMYFUNCTION("""COMPUTED_VALUE"""),TRUE)</f>
        <v>1</v>
      </c>
      <c r="AR490" s="5"/>
      <c r="AS490" s="5" t="str">
        <f>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AT490" s="5"/>
      <c r="AU490" s="5" t="str">
        <f>IFERROR(__xludf.DUMMYFUNCTION("""COMPUTED_VALUE"""),"Redstone")</f>
        <v>Redstone</v>
      </c>
      <c r="AV490" s="5"/>
      <c r="AW490" s="5"/>
      <c r="AX490" s="5"/>
      <c r="AY490" s="5"/>
      <c r="AZ490" s="5"/>
      <c r="BA490" s="5"/>
      <c r="BB490" s="5" t="b">
        <f>IFERROR(__xludf.DUMMYFUNCTION("""COMPUTED_VALUE"""),TRUE)</f>
        <v>1</v>
      </c>
      <c r="BC490" s="5" t="str">
        <f>IFERROR(__xludf.DUMMYFUNCTION("""COMPUTED_VALUE"""),"Redstone")</f>
        <v>Redstone</v>
      </c>
      <c r="BD490" s="7" t="str">
        <f>IFERROR(__xludf.DUMMYFUNCTION("""COMPUTED_VALUE"""),"https://static.redstone.rs/games/777-expand/")</f>
        <v>https://static.redstone.rs/games/777-expand/</v>
      </c>
      <c r="BE490" s="5" t="b">
        <f>IFERROR(__xludf.DUMMYFUNCTION("""COMPUTED_VALUE"""),TRUE)</f>
        <v>1</v>
      </c>
    </row>
    <row r="491">
      <c r="A491" s="5">
        <f>IFERROR(__xludf.DUMMYFUNCTION("""COMPUTED_VALUE"""),520.0)</f>
        <v>520</v>
      </c>
      <c r="B491" s="5">
        <f>IFERROR(__xludf.DUMMYFUNCTION("""COMPUTED_VALUE"""),180019.0)</f>
        <v>180019</v>
      </c>
      <c r="C491" s="5" t="str">
        <f>IFERROR(__xludf.DUMMYFUNCTION("""COMPUTED_VALUE"""),"Redstone")</f>
        <v>Redstone</v>
      </c>
      <c r="D491" s="5" t="str">
        <f>IFERROR(__xludf.DUMMYFUNCTION("""COMPUTED_VALUE"""),"Double Wild Crown")</f>
        <v>Double Wild Crown</v>
      </c>
      <c r="E491" s="5" t="str">
        <f>IFERROR(__xludf.DUMMYFUNCTION("""COMPUTED_VALUE"""),"Redstone")</f>
        <v>Redstone</v>
      </c>
      <c r="F491" s="5" t="str">
        <f>IFERROR(__xludf.DUMMYFUNCTION("""COMPUTED_VALUE"""),"RedstoneDoubleWildCrown")</f>
        <v>RedstoneDoubleWildCrown</v>
      </c>
      <c r="G491" s="5" t="str">
        <f>IFERROR(__xludf.DUMMYFUNCTION("""COMPUTED_VALUE"""),"Live")</f>
        <v>Live</v>
      </c>
      <c r="H491" s="5"/>
      <c r="I491" s="5" t="str">
        <f>IFERROR(__xludf.DUMMYFUNCTION("""COMPUTED_VALUE"""),"Redstone")</f>
        <v>Redstone</v>
      </c>
      <c r="J491" s="5" t="str">
        <f>IFERROR(__xludf.DUMMYFUNCTION("""COMPUTED_VALUE"""),"JSON")</f>
        <v>JSON</v>
      </c>
      <c r="K491" s="5" t="str">
        <f>IFERROR(__xludf.DUMMYFUNCTION("""COMPUTED_VALUE"""),"Slot")</f>
        <v>Slot</v>
      </c>
      <c r="L491" s="5" t="str">
        <f>IFERROR(__xludf.DUMMYFUNCTION("""COMPUTED_VALUE""")," Clone")</f>
        <v> Clone</v>
      </c>
      <c r="M491" s="5" t="str">
        <f>IFERROR(__xludf.DUMMYFUNCTION("""COMPUTED_VALUE"""),"Redstone Double Clover Fire")</f>
        <v>Redstone Double Clover Fire</v>
      </c>
      <c r="N491" s="7" t="str">
        <f>IFERROR(__xludf.DUMMYFUNCTION("""COMPUTED_VALUE"""),"https://drive.google.com/file/d/1aJouosXBdyj2Wk9aS-0qVDymlWZQ5Mb_/view?usp=drive_link")</f>
        <v>https://drive.google.com/file/d/1aJouosXBdyj2Wk9aS-0qVDymlWZQ5Mb_/view?usp=drive_link</v>
      </c>
      <c r="O491" s="7" t="str">
        <f>IFERROR(__xludf.DUMMYFUNCTION("""COMPUTED_VALUE"""),"https://drive.google.com/file/d/1zIRHFJQ_rufNyGH5m48RMyBrcv6KJEfn/view?usp=drive_link")</f>
        <v>https://drive.google.com/file/d/1zIRHFJQ_rufNyGH5m48RMyBrcv6KJEfn/view?usp=drive_link</v>
      </c>
      <c r="P491" s="12">
        <f>IFERROR(__xludf.DUMMYFUNCTION("""COMPUTED_VALUE"""),6.2)</f>
        <v>6.2</v>
      </c>
      <c r="Q491" s="13">
        <f>IFERROR(__xludf.DUMMYFUNCTION("""COMPUTED_VALUE"""),45803.0)</f>
        <v>45803</v>
      </c>
      <c r="R491" s="13">
        <f>IFERROR(__xludf.DUMMYFUNCTION("""COMPUTED_VALUE"""),45805.0)</f>
        <v>45805</v>
      </c>
      <c r="S491" s="13">
        <f>IFERROR(__xludf.DUMMYFUNCTION("""COMPUTED_VALUE"""),45812.0)</f>
        <v>45812</v>
      </c>
      <c r="T491" s="5" t="b">
        <f>IFERROR(__xludf.DUMMYFUNCTION("""COMPUTED_VALUE"""),TRUE)</f>
        <v>1</v>
      </c>
      <c r="U491" s="5" t="str">
        <f>IFERROR(__xludf.DUMMYFUNCTION("""COMPUTED_VALUE"""),"5x3")</f>
        <v>5x3</v>
      </c>
      <c r="V491" s="5">
        <f>IFERROR(__xludf.DUMMYFUNCTION("""COMPUTED_VALUE"""),5.0)</f>
        <v>5</v>
      </c>
      <c r="W491" s="5">
        <f>IFERROR(__xludf.DUMMYFUNCTION("""COMPUTED_VALUE"""),5.0)</f>
        <v>5</v>
      </c>
      <c r="X491" s="5">
        <f>IFERROR(__xludf.DUMMYFUNCTION("""COMPUTED_VALUE"""),96.45)</f>
        <v>96.45</v>
      </c>
      <c r="Y491" s="5" t="str">
        <f>IFERROR(__xludf.DUMMYFUNCTION("""COMPUTED_VALUE"""),"Medium")</f>
        <v>Medium</v>
      </c>
      <c r="Z491" s="5">
        <f>IFERROR(__xludf.DUMMYFUNCTION("""COMPUTED_VALUE"""),14.23)</f>
        <v>14.23</v>
      </c>
      <c r="AA491" s="5">
        <f>IFERROR(__xludf.DUMMYFUNCTION("""COMPUTED_VALUE"""),2600.0)</f>
        <v>2600</v>
      </c>
      <c r="AB491" s="5"/>
      <c r="AC491" s="5" t="str">
        <f>IFERROR(__xludf.DUMMYFUNCTION("""COMPUTED_VALUE"""),"Expanding Wild, Scatter")</f>
        <v>Expanding Wild, Scatter</v>
      </c>
      <c r="AD491" s="5" t="str">
        <f>IFERROR(__xludf.DUMMYFUNCTION("""COMPUTED_VALUE"""),"0.05/100")</f>
        <v>0.05/100</v>
      </c>
      <c r="AE491" s="5"/>
      <c r="AF491" s="5"/>
      <c r="AG491" s="8">
        <f>IFERROR(__xludf.DUMMYFUNCTION("""COMPUTED_VALUE"""),46157.52916666667)</f>
        <v>46157.52917</v>
      </c>
      <c r="AH491" s="5"/>
      <c r="AI491" s="13"/>
      <c r="AJ491" s="5"/>
      <c r="AK491" s="5">
        <f>IFERROR(__xludf.DUMMYFUNCTION("""COMPUTED_VALUE"""),1.0)</f>
        <v>1</v>
      </c>
      <c r="AL491" s="5" t="str">
        <f>IFERROR(__xludf.DUMMYFUNCTION("""COMPUTED_VALUE"""),"No")</f>
        <v>No</v>
      </c>
      <c r="AM491" s="5" t="str">
        <f>IFERROR(__xludf.DUMMYFUNCTION("""COMPUTED_VALUE"""),"No")</f>
        <v>No</v>
      </c>
      <c r="AN491" s="7" t="str">
        <f>IFERROR(__xludf.DUMMYFUNCTION("""COMPUTED_VALUE"""),"https://static.redstone.rs/games/double-wild-crown/")</f>
        <v>https://static.redstone.rs/games/double-wild-crown/</v>
      </c>
      <c r="AO491" s="5" t="str">
        <f>IFERROR(__xludf.DUMMYFUNCTION("""COMPUTED_VALUE"""),"No")</f>
        <v>No</v>
      </c>
      <c r="AP491" s="5" t="str">
        <f>IFERROR(__xludf.DUMMYFUNCTION("""COMPUTED_VALUE"""),"No")</f>
        <v>No</v>
      </c>
      <c r="AQ491" s="5" t="b">
        <f>IFERROR(__xludf.DUMMYFUNCTION("""COMPUTED_VALUE"""),TRUE)</f>
        <v>1</v>
      </c>
      <c r="AR491" s="5"/>
      <c r="AS491"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1" s="5"/>
      <c r="AU491" s="5" t="str">
        <f>IFERROR(__xludf.DUMMYFUNCTION("""COMPUTED_VALUE"""),"Redstone")</f>
        <v>Redstone</v>
      </c>
      <c r="AV491" s="5"/>
      <c r="AW491" s="5"/>
      <c r="AX491" s="5"/>
      <c r="AY491" s="5"/>
      <c r="AZ491" s="5"/>
      <c r="BA491" s="5"/>
      <c r="BB491" s="5" t="b">
        <f>IFERROR(__xludf.DUMMYFUNCTION("""COMPUTED_VALUE"""),TRUE)</f>
        <v>1</v>
      </c>
      <c r="BC491" s="5" t="str">
        <f>IFERROR(__xludf.DUMMYFUNCTION("""COMPUTED_VALUE"""),"Redstone")</f>
        <v>Redstone</v>
      </c>
      <c r="BD491" s="7" t="str">
        <f>IFERROR(__xludf.DUMMYFUNCTION("""COMPUTED_VALUE"""),"https://static.redstone.rs/games/double-wild-crown/")</f>
        <v>https://static.redstone.rs/games/double-wild-crown/</v>
      </c>
      <c r="BE491" s="5" t="b">
        <f>IFERROR(__xludf.DUMMYFUNCTION("""COMPUTED_VALUE"""),TRUE)</f>
        <v>1</v>
      </c>
    </row>
    <row r="492">
      <c r="A492" s="5">
        <f>IFERROR(__xludf.DUMMYFUNCTION("""COMPUTED_VALUE"""),521.0)</f>
        <v>521</v>
      </c>
      <c r="B492" s="5">
        <f>IFERROR(__xludf.DUMMYFUNCTION("""COMPUTED_VALUE"""),180021.0)</f>
        <v>180021</v>
      </c>
      <c r="C492" s="5" t="str">
        <f>IFERROR(__xludf.DUMMYFUNCTION("""COMPUTED_VALUE"""),"Redstone")</f>
        <v>Redstone</v>
      </c>
      <c r="D492" s="5" t="str">
        <f>IFERROR(__xludf.DUMMYFUNCTION("""COMPUTED_VALUE"""),"Double Wild Heart")</f>
        <v>Double Wild Heart</v>
      </c>
      <c r="E492" s="5" t="str">
        <f>IFERROR(__xludf.DUMMYFUNCTION("""COMPUTED_VALUE"""),"Redstone")</f>
        <v>Redstone</v>
      </c>
      <c r="F492" s="5" t="str">
        <f>IFERROR(__xludf.DUMMYFUNCTION("""COMPUTED_VALUE"""),"RedstoneDoubleWildHeart")</f>
        <v>RedstoneDoubleWildHeart</v>
      </c>
      <c r="G492" s="5" t="str">
        <f>IFERROR(__xludf.DUMMYFUNCTION("""COMPUTED_VALUE"""),"Live")</f>
        <v>Live</v>
      </c>
      <c r="H492" s="5"/>
      <c r="I492" s="5" t="str">
        <f>IFERROR(__xludf.DUMMYFUNCTION("""COMPUTED_VALUE"""),"Redstone")</f>
        <v>Redstone</v>
      </c>
      <c r="J492" s="5" t="str">
        <f>IFERROR(__xludf.DUMMYFUNCTION("""COMPUTED_VALUE"""),"JSON")</f>
        <v>JSON</v>
      </c>
      <c r="K492" s="5" t="str">
        <f>IFERROR(__xludf.DUMMYFUNCTION("""COMPUTED_VALUE"""),"Slot")</f>
        <v>Slot</v>
      </c>
      <c r="L492" s="5" t="str">
        <f>IFERROR(__xludf.DUMMYFUNCTION("""COMPUTED_VALUE""")," Clone")</f>
        <v> Clone</v>
      </c>
      <c r="M492" s="5" t="str">
        <f>IFERROR(__xludf.DUMMYFUNCTION("""COMPUTED_VALUE"""),"Redstone Double Clover Fire")</f>
        <v>Redstone Double Clover Fire</v>
      </c>
      <c r="N492" s="7" t="str">
        <f>IFERROR(__xludf.DUMMYFUNCTION("""COMPUTED_VALUE"""),"https://drive.google.com/file/d/1aJouosXBdyj2Wk9aS-0qVDymlWZQ5Mb_/view?usp=drive_link")</f>
        <v>https://drive.google.com/file/d/1aJouosXBdyj2Wk9aS-0qVDymlWZQ5Mb_/view?usp=drive_link</v>
      </c>
      <c r="O492" s="7" t="str">
        <f>IFERROR(__xludf.DUMMYFUNCTION("""COMPUTED_VALUE"""),"https://drive.google.com/file/d/1zIRHFJQ_rufNyGH5m48RMyBrcv6KJEfn/view?usp=drive_link")</f>
        <v>https://drive.google.com/file/d/1zIRHFJQ_rufNyGH5m48RMyBrcv6KJEfn/view?usp=drive_link</v>
      </c>
      <c r="P492" s="12">
        <f>IFERROR(__xludf.DUMMYFUNCTION("""COMPUTED_VALUE"""),6.2)</f>
        <v>6.2</v>
      </c>
      <c r="Q492" s="13">
        <f>IFERROR(__xludf.DUMMYFUNCTION("""COMPUTED_VALUE"""),45803.0)</f>
        <v>45803</v>
      </c>
      <c r="R492" s="13">
        <f>IFERROR(__xludf.DUMMYFUNCTION("""COMPUTED_VALUE"""),45895.0)</f>
        <v>45895</v>
      </c>
      <c r="S492" s="13">
        <f>IFERROR(__xludf.DUMMYFUNCTION("""COMPUTED_VALUE"""),45903.0)</f>
        <v>45903</v>
      </c>
      <c r="T492" s="5" t="b">
        <f>IFERROR(__xludf.DUMMYFUNCTION("""COMPUTED_VALUE"""),TRUE)</f>
        <v>1</v>
      </c>
      <c r="U492" s="5" t="str">
        <f>IFERROR(__xludf.DUMMYFUNCTION("""COMPUTED_VALUE"""),"5x3")</f>
        <v>5x3</v>
      </c>
      <c r="V492" s="5">
        <f>IFERROR(__xludf.DUMMYFUNCTION("""COMPUTED_VALUE"""),5.0)</f>
        <v>5</v>
      </c>
      <c r="W492" s="5">
        <f>IFERROR(__xludf.DUMMYFUNCTION("""COMPUTED_VALUE"""),5.0)</f>
        <v>5</v>
      </c>
      <c r="X492" s="5">
        <f>IFERROR(__xludf.DUMMYFUNCTION("""COMPUTED_VALUE"""),96.45)</f>
        <v>96.45</v>
      </c>
      <c r="Y492" s="5" t="str">
        <f>IFERROR(__xludf.DUMMYFUNCTION("""COMPUTED_VALUE"""),"Medium")</f>
        <v>Medium</v>
      </c>
      <c r="Z492" s="5">
        <f>IFERROR(__xludf.DUMMYFUNCTION("""COMPUTED_VALUE"""),14.23)</f>
        <v>14.23</v>
      </c>
      <c r="AA492" s="5">
        <f>IFERROR(__xludf.DUMMYFUNCTION("""COMPUTED_VALUE"""),2600.0)</f>
        <v>2600</v>
      </c>
      <c r="AB492" s="5"/>
      <c r="AC492" s="5" t="str">
        <f>IFERROR(__xludf.DUMMYFUNCTION("""COMPUTED_VALUE"""),"Expanding Wild, Scatter")</f>
        <v>Expanding Wild, Scatter</v>
      </c>
      <c r="AD492" s="5" t="str">
        <f>IFERROR(__xludf.DUMMYFUNCTION("""COMPUTED_VALUE"""),"0.05/100")</f>
        <v>0.05/100</v>
      </c>
      <c r="AE492" s="5"/>
      <c r="AF492" s="5"/>
      <c r="AG492" s="8">
        <f>IFERROR(__xludf.DUMMYFUNCTION("""COMPUTED_VALUE"""),46157.52946759259)</f>
        <v>46157.52947</v>
      </c>
      <c r="AH492" s="5"/>
      <c r="AI492" s="13"/>
      <c r="AJ492" s="5"/>
      <c r="AK492" s="5">
        <f>IFERROR(__xludf.DUMMYFUNCTION("""COMPUTED_VALUE"""),1.0)</f>
        <v>1</v>
      </c>
      <c r="AL492" s="5" t="str">
        <f>IFERROR(__xludf.DUMMYFUNCTION("""COMPUTED_VALUE"""),"No")</f>
        <v>No</v>
      </c>
      <c r="AM492" s="5" t="str">
        <f>IFERROR(__xludf.DUMMYFUNCTION("""COMPUTED_VALUE"""),"No")</f>
        <v>No</v>
      </c>
      <c r="AN492" s="7" t="str">
        <f>IFERROR(__xludf.DUMMYFUNCTION("""COMPUTED_VALUE"""),"https://static.redstone.rs/games/double-wild-crown/")</f>
        <v>https://static.redstone.rs/games/double-wild-crown/</v>
      </c>
      <c r="AO492" s="5" t="str">
        <f>IFERROR(__xludf.DUMMYFUNCTION("""COMPUTED_VALUE"""),"No")</f>
        <v>No</v>
      </c>
      <c r="AP492" s="5" t="str">
        <f>IFERROR(__xludf.DUMMYFUNCTION("""COMPUTED_VALUE"""),"No")</f>
        <v>No</v>
      </c>
      <c r="AQ492" s="5" t="b">
        <f>IFERROR(__xludf.DUMMYFUNCTION("""COMPUTED_VALUE"""),TRUE)</f>
        <v>1</v>
      </c>
      <c r="AR492" s="5"/>
      <c r="AS492"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2" s="5"/>
      <c r="AU492" s="5" t="str">
        <f>IFERROR(__xludf.DUMMYFUNCTION("""COMPUTED_VALUE"""),"Redstone")</f>
        <v>Redstone</v>
      </c>
      <c r="AV492" s="5"/>
      <c r="AW492" s="5"/>
      <c r="AX492" s="5"/>
      <c r="AY492" s="5"/>
      <c r="AZ492" s="5"/>
      <c r="BA492" s="5"/>
      <c r="BB492" s="5" t="b">
        <f>IFERROR(__xludf.DUMMYFUNCTION("""COMPUTED_VALUE"""),TRUE)</f>
        <v>1</v>
      </c>
      <c r="BC492" s="5" t="str">
        <f>IFERROR(__xludf.DUMMYFUNCTION("""COMPUTED_VALUE"""),"Redstone")</f>
        <v>Redstone</v>
      </c>
      <c r="BD492" s="7" t="str">
        <f>IFERROR(__xludf.DUMMYFUNCTION("""COMPUTED_VALUE"""),"https://static.redstone.rs/games/double-wild-crown/")</f>
        <v>https://static.redstone.rs/games/double-wild-crown/</v>
      </c>
      <c r="BE492" s="5" t="b">
        <f>IFERROR(__xludf.DUMMYFUNCTION("""COMPUTED_VALUE"""),TRUE)</f>
        <v>1</v>
      </c>
    </row>
    <row r="493">
      <c r="A493" s="5">
        <f>IFERROR(__xludf.DUMMYFUNCTION("""COMPUTED_VALUE"""),522.0)</f>
        <v>522</v>
      </c>
      <c r="B493" s="5">
        <f>IFERROR(__xludf.DUMMYFUNCTION("""COMPUTED_VALUE"""),2000004.0)</f>
        <v>2000004</v>
      </c>
      <c r="C493" s="5" t="str">
        <f>IFERROR(__xludf.DUMMYFUNCTION("""COMPUTED_VALUE"""),"Playnet")</f>
        <v>Playnet</v>
      </c>
      <c r="D493" s="5" t="str">
        <f>IFERROR(__xludf.DUMMYFUNCTION("""COMPUTED_VALUE"""),"NOVAPIXEL - Wheel of Joker")</f>
        <v>NOVAPIXEL - Wheel of Joker</v>
      </c>
      <c r="E493" s="5" t="str">
        <f>IFERROR(__xludf.DUMMYFUNCTION("""COMPUTED_VALUE"""),"NovaPixel")</f>
        <v>NovaPixel</v>
      </c>
      <c r="F493" s="5" t="str">
        <f>IFERROR(__xludf.DUMMYFUNCTION("""COMPUTED_VALUE"""),"NovaPixelWheelOfJoker")</f>
        <v>NovaPixelWheelOfJoker</v>
      </c>
      <c r="G493" s="5" t="str">
        <f>IFERROR(__xludf.DUMMYFUNCTION("""COMPUTED_VALUE"""),"Live")</f>
        <v>Live</v>
      </c>
      <c r="H493" s="5"/>
      <c r="I493" s="5" t="str">
        <f>IFERROR(__xludf.DUMMYFUNCTION("""COMPUTED_VALUE"""),"NovaPixel")</f>
        <v>NovaPixel</v>
      </c>
      <c r="J493" s="5" t="str">
        <f>IFERROR(__xludf.DUMMYFUNCTION("""COMPUTED_VALUE"""),"JSON")</f>
        <v>JSON</v>
      </c>
      <c r="K493" s="5" t="str">
        <f>IFERROR(__xludf.DUMMYFUNCTION("""COMPUTED_VALUE"""),"Slot")</f>
        <v>Slot</v>
      </c>
      <c r="L493" s="5" t="str">
        <f>IFERROR(__xludf.DUMMYFUNCTION("""COMPUTED_VALUE"""),"Master")</f>
        <v>Master</v>
      </c>
      <c r="M493" s="5"/>
      <c r="N493" s="5"/>
      <c r="O493" s="5"/>
      <c r="P493" s="12">
        <f>IFERROR(__xludf.DUMMYFUNCTION("""COMPUTED_VALUE"""),26.4)</f>
        <v>26.4</v>
      </c>
      <c r="Q493" s="13">
        <f>IFERROR(__xludf.DUMMYFUNCTION("""COMPUTED_VALUE"""),45855.0)</f>
        <v>45855</v>
      </c>
      <c r="R493" s="13"/>
      <c r="S493" s="13">
        <f>IFERROR(__xludf.DUMMYFUNCTION("""COMPUTED_VALUE"""),45894.0)</f>
        <v>45894</v>
      </c>
      <c r="T493" s="5" t="b">
        <f>IFERROR(__xludf.DUMMYFUNCTION("""COMPUTED_VALUE"""),TRUE)</f>
        <v>1</v>
      </c>
      <c r="U493" s="5" t="str">
        <f>IFERROR(__xludf.DUMMYFUNCTION("""COMPUTED_VALUE"""),"3x3")</f>
        <v>3x3</v>
      </c>
      <c r="V493" s="5">
        <f>IFERROR(__xludf.DUMMYFUNCTION("""COMPUTED_VALUE"""),5.0)</f>
        <v>5</v>
      </c>
      <c r="W493" s="5">
        <f>IFERROR(__xludf.DUMMYFUNCTION("""COMPUTED_VALUE"""),5.0)</f>
        <v>5</v>
      </c>
      <c r="X493" s="5">
        <f>IFERROR(__xludf.DUMMYFUNCTION("""COMPUTED_VALUE"""),96.23)</f>
        <v>96.23</v>
      </c>
      <c r="Y493" s="5" t="str">
        <f>IFERROR(__xludf.DUMMYFUNCTION("""COMPUTED_VALUE"""),"Medium")</f>
        <v>Medium</v>
      </c>
      <c r="Z493" s="5">
        <f>IFERROR(__xludf.DUMMYFUNCTION("""COMPUTED_VALUE"""),20.12)</f>
        <v>20.12</v>
      </c>
      <c r="AA493" s="5">
        <f>IFERROR(__xludf.DUMMYFUNCTION("""COMPUTED_VALUE"""),800.0)</f>
        <v>800</v>
      </c>
      <c r="AB493" s="5"/>
      <c r="AC493" s="5" t="str">
        <f>IFERROR(__xludf.DUMMYFUNCTION("""COMPUTED_VALUE"""),"Wild Symbol, Win Multiplier")</f>
        <v>Wild Symbol, Win Multiplier</v>
      </c>
      <c r="AD493" s="5" t="str">
        <f>IFERROR(__xludf.DUMMYFUNCTION("""COMPUTED_VALUE"""),"0.10/50")</f>
        <v>0.10/50</v>
      </c>
      <c r="AE493" s="5"/>
      <c r="AF493" s="5"/>
      <c r="AG493" s="8">
        <f>IFERROR(__xludf.DUMMYFUNCTION("""COMPUTED_VALUE"""),46220.40278935185)</f>
        <v>46220.40279</v>
      </c>
      <c r="AH493" s="5"/>
      <c r="AI493" s="13">
        <f>IFERROR(__xludf.DUMMYFUNCTION("""COMPUTED_VALUE"""),45855.0)</f>
        <v>45855</v>
      </c>
      <c r="AJ493" s="5" t="str">
        <f>IFERROR(__xludf.DUMMYFUNCTION("""COMPUTED_VALUE"""),"AdmiralMne TEST - NOVAPIXEL STUDIO - WHEEL OF JOKER")</f>
        <v>AdmiralMne TEST - NOVAPIXEL STUDIO - WHEEL OF JOKER</v>
      </c>
      <c r="AK493" s="5">
        <f>IFERROR(__xludf.DUMMYFUNCTION("""COMPUTED_VALUE"""),5.0)</f>
        <v>5</v>
      </c>
      <c r="AL493" s="5" t="str">
        <f>IFERROR(__xludf.DUMMYFUNCTION("""COMPUTED_VALUE"""),"No")</f>
        <v>No</v>
      </c>
      <c r="AM493" s="5" t="str">
        <f>IFERROR(__xludf.DUMMYFUNCTION("""COMPUTED_VALUE"""),"Yes")</f>
        <v>Yes</v>
      </c>
      <c r="AN493" s="7" t="str">
        <f>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AO493" s="5" t="str">
        <f>IFERROR(__xludf.DUMMYFUNCTION("""COMPUTED_VALUE"""),"No")</f>
        <v>No</v>
      </c>
      <c r="AP493" s="5" t="str">
        <f>IFERROR(__xludf.DUMMYFUNCTION("""COMPUTED_VALUE"""),"No")</f>
        <v>No</v>
      </c>
      <c r="AQ493" s="5" t="b">
        <f>IFERROR(__xludf.DUMMYFUNCTION("""COMPUTED_VALUE"""),TRUE)</f>
        <v>1</v>
      </c>
      <c r="AR493" s="5"/>
      <c r="AS493" s="5" t="str">
        <f>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AT493" s="5"/>
      <c r="AU493" s="5" t="str">
        <f>IFERROR(__xludf.DUMMYFUNCTION("""COMPUTED_VALUE"""),"NovaPixel")</f>
        <v>NovaPixel</v>
      </c>
      <c r="AV493" s="5"/>
      <c r="AW493" s="5"/>
      <c r="AX493" s="5"/>
      <c r="AY493" s="5"/>
      <c r="AZ493" s="5"/>
      <c r="BA493" s="5"/>
      <c r="BB493" s="5" t="b">
        <f>IFERROR(__xludf.DUMMYFUNCTION("""COMPUTED_VALUE"""),TRUE)</f>
        <v>1</v>
      </c>
      <c r="BC493" s="5" t="str">
        <f>IFERROR(__xludf.DUMMYFUNCTION("""COMPUTED_VALUE"""),"Playnet")</f>
        <v>Playnet</v>
      </c>
      <c r="BD493" s="7" t="str">
        <f>IFERROR(__xludf.DUMMYFUNCTION("""COMPUTED_VALUE"""),"https://gameserver-store-client-area.orbionlimited.com/Home/IntegrationGameLaunch/client-area?moneyType=0&amp;gameName=NovaPixelWheelOfJoker&amp;platform=desktop&amp;languageCode=eng&amp;currency=EUR")</f>
        <v>https://gameserver-store-client-area.orbionlimited.com/Home/IntegrationGameLaunch/client-area?moneyType=0&amp;gameName=NovaPixelWheelOfJoker&amp;platform=desktop&amp;languageCode=eng&amp;currency=EUR</v>
      </c>
      <c r="BE493" s="5" t="b">
        <f>IFERROR(__xludf.DUMMYFUNCTION("""COMPUTED_VALUE"""),TRUE)</f>
        <v>1</v>
      </c>
    </row>
    <row r="494">
      <c r="A494" s="5">
        <f>IFERROR(__xludf.DUMMYFUNCTION("""COMPUTED_VALUE"""),523.0)</f>
        <v>523</v>
      </c>
      <c r="B494" s="5">
        <f>IFERROR(__xludf.DUMMYFUNCTION("""COMPUTED_VALUE"""),999988.0)</f>
        <v>999988</v>
      </c>
      <c r="C494" s="5" t="str">
        <f>IFERROR(__xludf.DUMMYFUNCTION("""COMPUTED_VALUE"""),"Fazi")</f>
        <v>Fazi</v>
      </c>
      <c r="D494" s="5" t="str">
        <f>IFERROR(__xludf.DUMMYFUNCTION("""COMPUTED_VALUE"""),"Fazi Game")</f>
        <v>Fazi Game</v>
      </c>
      <c r="E494" s="5"/>
      <c r="F494" s="5" t="str">
        <f>IFERROR(__xludf.DUMMYFUNCTION("""COMPUTED_VALUE"""),"TBD-F2")</f>
        <v>TBD-F2</v>
      </c>
      <c r="G494" s="5" t="str">
        <f>IFERROR(__xludf.DUMMYFUNCTION("""COMPUTED_VALUE"""),"Retired")</f>
        <v>Retired</v>
      </c>
      <c r="H494" s="5"/>
      <c r="I494" s="5"/>
      <c r="J494" s="5"/>
      <c r="K494" s="5"/>
      <c r="L494" s="5"/>
      <c r="M494" s="5"/>
      <c r="N494" s="5"/>
      <c r="O494" s="5"/>
      <c r="P494" s="12"/>
      <c r="Q494" s="13">
        <f>IFERROR(__xludf.DUMMYFUNCTION("""COMPUTED_VALUE"""),43831.0)</f>
        <v>43831</v>
      </c>
      <c r="R494" s="13"/>
      <c r="S494" s="13">
        <f>IFERROR(__xludf.DUMMYFUNCTION("""COMPUTED_VALUE"""),43831.0)</f>
        <v>43831</v>
      </c>
      <c r="T494" s="5"/>
      <c r="U494" s="5"/>
      <c r="V494" s="5"/>
      <c r="W494" s="5"/>
      <c r="X494" s="5"/>
      <c r="Y494" s="5"/>
      <c r="Z494" s="5"/>
      <c r="AA494" s="5"/>
      <c r="AB494" s="5"/>
      <c r="AC494" s="5"/>
      <c r="AD494" s="5"/>
      <c r="AE494" s="5"/>
      <c r="AF494" s="5"/>
      <c r="AG494" s="8">
        <f>IFERROR(__xludf.DUMMYFUNCTION("""COMPUTED_VALUE"""),45817.569236111114)</f>
        <v>45817.56924</v>
      </c>
      <c r="AH494" s="5" t="str">
        <f>IFERROR(__xludf.DUMMYFUNCTION("""COMPUTED_VALUE"""),"aleksandra.pesic@fazi.rs")</f>
        <v>aleksandra.pesic@fazi.rs</v>
      </c>
      <c r="AI494" s="13"/>
      <c r="AJ494" s="5"/>
      <c r="AK494" s="5"/>
      <c r="AL494" s="5"/>
      <c r="AM494" s="5"/>
      <c r="AN494" s="5"/>
      <c r="AO494" s="5"/>
      <c r="AP494" s="5"/>
      <c r="AQ494" s="5"/>
      <c r="AR494" s="5"/>
      <c r="AS494" s="5"/>
      <c r="AT494" s="5"/>
      <c r="AU494" s="5" t="str">
        <f>IFERROR(__xludf.DUMMYFUNCTION("""COMPUTED_VALUE"""),"Fazi")</f>
        <v>Fazi</v>
      </c>
      <c r="AV494" s="5"/>
      <c r="AW494" s="5"/>
      <c r="AX494" s="5"/>
      <c r="AY494" s="5"/>
      <c r="AZ494" s="5"/>
      <c r="BA494" s="5" t="str">
        <f>IFERROR(__xludf.DUMMYFUNCTION("""COMPUTED_VALUE"""),"")</f>
        <v/>
      </c>
      <c r="BB494" s="5"/>
      <c r="BC494" s="5" t="str">
        <f>IFERROR(__xludf.DUMMYFUNCTION("""COMPUTED_VALUE"""),"Foxi")</f>
        <v>Foxi</v>
      </c>
      <c r="BD494" s="5" t="str">
        <f>IFERROR(__xludf.DUMMYFUNCTION("""COMPUTED_VALUE"""),"")</f>
        <v/>
      </c>
      <c r="BE494" s="5"/>
    </row>
    <row r="495">
      <c r="A495" s="5">
        <f>IFERROR(__xludf.DUMMYFUNCTION("""COMPUTED_VALUE"""),524.0)</f>
        <v>524</v>
      </c>
      <c r="B495" s="5">
        <f>IFERROR(__xludf.DUMMYFUNCTION("""COMPUTED_VALUE"""),999985.0)</f>
        <v>999985</v>
      </c>
      <c r="C495" s="5" t="str">
        <f>IFERROR(__xludf.DUMMYFUNCTION("""COMPUTED_VALUE"""),"Fazi")</f>
        <v>Fazi</v>
      </c>
      <c r="D495" s="5" t="str">
        <f>IFERROR(__xludf.DUMMYFUNCTION("""COMPUTED_VALUE"""),"Fazi Game")</f>
        <v>Fazi Game</v>
      </c>
      <c r="E495" s="5"/>
      <c r="F495" s="5" t="str">
        <f>IFERROR(__xludf.DUMMYFUNCTION("""COMPUTED_VALUE"""),"TBD-F3")</f>
        <v>TBD-F3</v>
      </c>
      <c r="G495" s="5" t="str">
        <f>IFERROR(__xludf.DUMMYFUNCTION("""COMPUTED_VALUE"""),"Retired")</f>
        <v>Retired</v>
      </c>
      <c r="H495" s="5"/>
      <c r="I495" s="5"/>
      <c r="J495" s="5"/>
      <c r="K495" s="5"/>
      <c r="L495" s="5"/>
      <c r="M495" s="5"/>
      <c r="N495" s="5"/>
      <c r="O495" s="5"/>
      <c r="P495" s="12"/>
      <c r="Q495" s="13">
        <f>IFERROR(__xludf.DUMMYFUNCTION("""COMPUTED_VALUE"""),43831.0)</f>
        <v>43831</v>
      </c>
      <c r="R495" s="13"/>
      <c r="S495" s="13">
        <f>IFERROR(__xludf.DUMMYFUNCTION("""COMPUTED_VALUE"""),43831.0)</f>
        <v>43831</v>
      </c>
      <c r="T495" s="5" t="b">
        <f>IFERROR(__xludf.DUMMYFUNCTION("""COMPUTED_VALUE"""),FALSE)</f>
        <v>0</v>
      </c>
      <c r="U495" s="5"/>
      <c r="V495" s="5"/>
      <c r="W495" s="5"/>
      <c r="X495" s="5"/>
      <c r="Y495" s="5"/>
      <c r="Z495" s="5"/>
      <c r="AA495" s="5"/>
      <c r="AB495" s="5"/>
      <c r="AC495" s="5"/>
      <c r="AD495" s="5"/>
      <c r="AE495" s="5"/>
      <c r="AF495" s="5"/>
      <c r="AG495" s="8">
        <f>IFERROR(__xludf.DUMMYFUNCTION("""COMPUTED_VALUE"""),45847.56212962963)</f>
        <v>45847.56213</v>
      </c>
      <c r="AH495" s="5" t="str">
        <f>IFERROR(__xludf.DUMMYFUNCTION("""COMPUTED_VALUE"""),"aleksandra.pesic@fazi.rs")</f>
        <v>aleksandra.pesic@fazi.rs</v>
      </c>
      <c r="AI495" s="13"/>
      <c r="AJ495" s="5"/>
      <c r="AK495" s="5"/>
      <c r="AL495" s="5"/>
      <c r="AM495" s="5"/>
      <c r="AN495" s="5"/>
      <c r="AO495" s="5"/>
      <c r="AP495" s="5"/>
      <c r="AQ495" s="5"/>
      <c r="AR495" s="5"/>
      <c r="AS495" s="5"/>
      <c r="AT495" s="5"/>
      <c r="AU495" s="5" t="str">
        <f>IFERROR(__xludf.DUMMYFUNCTION("""COMPUTED_VALUE"""),"Fazi")</f>
        <v>Fazi</v>
      </c>
      <c r="AV495" s="5"/>
      <c r="AW495" s="5"/>
      <c r="AX495" s="5"/>
      <c r="AY495" s="5"/>
      <c r="AZ495" s="5"/>
      <c r="BA495" s="5" t="str">
        <f>IFERROR(__xludf.DUMMYFUNCTION("""COMPUTED_VALUE"""),"")</f>
        <v/>
      </c>
      <c r="BB495" s="5"/>
      <c r="BC495" s="5" t="str">
        <f>IFERROR(__xludf.DUMMYFUNCTION("""COMPUTED_VALUE"""),"Foxi")</f>
        <v>Foxi</v>
      </c>
      <c r="BD495" s="5" t="str">
        <f>IFERROR(__xludf.DUMMYFUNCTION("""COMPUTED_VALUE"""),"")</f>
        <v/>
      </c>
      <c r="BE495" s="5"/>
    </row>
    <row r="496">
      <c r="A496" s="5">
        <f>IFERROR(__xludf.DUMMYFUNCTION("""COMPUTED_VALUE"""),525.0)</f>
        <v>525</v>
      </c>
      <c r="B496" s="5">
        <f>IFERROR(__xludf.DUMMYFUNCTION("""COMPUTED_VALUE"""),999982.0)</f>
        <v>999982</v>
      </c>
      <c r="C496" s="5" t="str">
        <f>IFERROR(__xludf.DUMMYFUNCTION("""COMPUTED_VALUE"""),"Fazi")</f>
        <v>Fazi</v>
      </c>
      <c r="D496" s="5" t="str">
        <f>IFERROR(__xludf.DUMMYFUNCTION("""COMPUTED_VALUE"""),"Fazi Game")</f>
        <v>Fazi Game</v>
      </c>
      <c r="E496" s="5"/>
      <c r="F496" s="5" t="str">
        <f>IFERROR(__xludf.DUMMYFUNCTION("""COMPUTED_VALUE"""),"TBD-F4")</f>
        <v>TBD-F4</v>
      </c>
      <c r="G496" s="5" t="str">
        <f>IFERROR(__xludf.DUMMYFUNCTION("""COMPUTED_VALUE"""),"Retired")</f>
        <v>Retired</v>
      </c>
      <c r="H496" s="5"/>
      <c r="I496" s="5"/>
      <c r="J496" s="5"/>
      <c r="K496" s="5"/>
      <c r="L496" s="5"/>
      <c r="M496" s="5"/>
      <c r="N496" s="5"/>
      <c r="O496" s="5"/>
      <c r="P496" s="12"/>
      <c r="Q496" s="13">
        <f>IFERROR(__xludf.DUMMYFUNCTION("""COMPUTED_VALUE"""),43831.0)</f>
        <v>43831</v>
      </c>
      <c r="R496" s="13"/>
      <c r="S496" s="13">
        <f>IFERROR(__xludf.DUMMYFUNCTION("""COMPUTED_VALUE"""),43831.0)</f>
        <v>43831</v>
      </c>
      <c r="T496" s="5"/>
      <c r="U496" s="5"/>
      <c r="V496" s="5"/>
      <c r="W496" s="5"/>
      <c r="X496" s="5"/>
      <c r="Y496" s="5"/>
      <c r="Z496" s="5"/>
      <c r="AA496" s="5"/>
      <c r="AB496" s="5"/>
      <c r="AC496" s="5"/>
      <c r="AD496" s="5"/>
      <c r="AE496" s="5"/>
      <c r="AF496" s="5"/>
      <c r="AG496" s="8">
        <f>IFERROR(__xludf.DUMMYFUNCTION("""COMPUTED_VALUE"""),45817.56846064815)</f>
        <v>45817.56846</v>
      </c>
      <c r="AH496" s="5" t="str">
        <f>IFERROR(__xludf.DUMMYFUNCTION("""COMPUTED_VALUE"""),"aleksandra.pesic@fazi.rs")</f>
        <v>aleksandra.pesic@fazi.rs</v>
      </c>
      <c r="AI496" s="13"/>
      <c r="AJ496" s="5"/>
      <c r="AK496" s="5"/>
      <c r="AL496" s="5"/>
      <c r="AM496" s="5"/>
      <c r="AN496" s="5"/>
      <c r="AO496" s="5"/>
      <c r="AP496" s="5"/>
      <c r="AQ496" s="5"/>
      <c r="AR496" s="5"/>
      <c r="AS496" s="5"/>
      <c r="AT496" s="5"/>
      <c r="AU496" s="5" t="str">
        <f>IFERROR(__xludf.DUMMYFUNCTION("""COMPUTED_VALUE"""),"Fazi")</f>
        <v>Fazi</v>
      </c>
      <c r="AV496" s="5"/>
      <c r="AW496" s="5"/>
      <c r="AX496" s="5"/>
      <c r="AY496" s="5"/>
      <c r="AZ496" s="5"/>
      <c r="BA496" s="5" t="str">
        <f>IFERROR(__xludf.DUMMYFUNCTION("""COMPUTED_VALUE"""),"")</f>
        <v/>
      </c>
      <c r="BB496" s="5"/>
      <c r="BC496" s="5" t="str">
        <f>IFERROR(__xludf.DUMMYFUNCTION("""COMPUTED_VALUE"""),"Foxi")</f>
        <v>Foxi</v>
      </c>
      <c r="BD496" s="5" t="str">
        <f>IFERROR(__xludf.DUMMYFUNCTION("""COMPUTED_VALUE"""),"")</f>
        <v/>
      </c>
      <c r="BE496" s="5"/>
    </row>
    <row r="497">
      <c r="A497" s="5">
        <f>IFERROR(__xludf.DUMMYFUNCTION("""COMPUTED_VALUE"""),526.0)</f>
        <v>526</v>
      </c>
      <c r="B497" s="5">
        <f>IFERROR(__xludf.DUMMYFUNCTION("""COMPUTED_VALUE"""),999981.0)</f>
        <v>999981</v>
      </c>
      <c r="C497" s="5" t="str">
        <f>IFERROR(__xludf.DUMMYFUNCTION("""COMPUTED_VALUE"""),"Fazi")</f>
        <v>Fazi</v>
      </c>
      <c r="D497" s="5" t="str">
        <f>IFERROR(__xludf.DUMMYFUNCTION("""COMPUTED_VALUE"""),"Fazi Game")</f>
        <v>Fazi Game</v>
      </c>
      <c r="E497" s="5"/>
      <c r="F497" s="5" t="str">
        <f>IFERROR(__xludf.DUMMYFUNCTION("""COMPUTED_VALUE"""),"TBD-F5")</f>
        <v>TBD-F5</v>
      </c>
      <c r="G497" s="5" t="str">
        <f>IFERROR(__xludf.DUMMYFUNCTION("""COMPUTED_VALUE"""),"Retired")</f>
        <v>Retired</v>
      </c>
      <c r="H497" s="5"/>
      <c r="I497" s="5"/>
      <c r="J497" s="5"/>
      <c r="K497" s="5"/>
      <c r="L497" s="5"/>
      <c r="M497" s="5"/>
      <c r="N497" s="5"/>
      <c r="O497" s="5"/>
      <c r="P497" s="12"/>
      <c r="Q497" s="13">
        <f>IFERROR(__xludf.DUMMYFUNCTION("""COMPUTED_VALUE"""),43831.0)</f>
        <v>43831</v>
      </c>
      <c r="R497" s="13"/>
      <c r="S497" s="13">
        <f>IFERROR(__xludf.DUMMYFUNCTION("""COMPUTED_VALUE"""),43831.0)</f>
        <v>43831</v>
      </c>
      <c r="T497" s="5"/>
      <c r="U497" s="5"/>
      <c r="V497" s="5"/>
      <c r="W497" s="5"/>
      <c r="X497" s="5"/>
      <c r="Y497" s="5"/>
      <c r="Z497" s="5"/>
      <c r="AA497" s="5"/>
      <c r="AB497" s="5"/>
      <c r="AC497" s="5"/>
      <c r="AD497" s="5"/>
      <c r="AE497" s="5"/>
      <c r="AF497" s="5"/>
      <c r="AG497" s="8">
        <f>IFERROR(__xludf.DUMMYFUNCTION("""COMPUTED_VALUE"""),45817.555879629625)</f>
        <v>45817.55588</v>
      </c>
      <c r="AH497" s="5" t="str">
        <f>IFERROR(__xludf.DUMMYFUNCTION("""COMPUTED_VALUE"""),"aleksandra.pesic@fazi.rs")</f>
        <v>aleksandra.pesic@fazi.rs</v>
      </c>
      <c r="AI497" s="13"/>
      <c r="AJ497" s="5"/>
      <c r="AK497" s="5"/>
      <c r="AL497" s="5"/>
      <c r="AM497" s="5"/>
      <c r="AN497" s="5"/>
      <c r="AO497" s="5"/>
      <c r="AP497" s="5"/>
      <c r="AQ497" s="5"/>
      <c r="AR497" s="5"/>
      <c r="AS497" s="5"/>
      <c r="AT497" s="5"/>
      <c r="AU497" s="5" t="str">
        <f>IFERROR(__xludf.DUMMYFUNCTION("""COMPUTED_VALUE"""),"Fazi")</f>
        <v>Fazi</v>
      </c>
      <c r="AV497" s="5"/>
      <c r="AW497" s="5"/>
      <c r="AX497" s="5"/>
      <c r="AY497" s="5"/>
      <c r="AZ497" s="5"/>
      <c r="BA497" s="5" t="str">
        <f>IFERROR(__xludf.DUMMYFUNCTION("""COMPUTED_VALUE"""),"")</f>
        <v/>
      </c>
      <c r="BB497" s="5"/>
      <c r="BC497" s="5" t="str">
        <f>IFERROR(__xludf.DUMMYFUNCTION("""COMPUTED_VALUE"""),"Foxi")</f>
        <v>Foxi</v>
      </c>
      <c r="BD497" s="5" t="str">
        <f>IFERROR(__xludf.DUMMYFUNCTION("""COMPUTED_VALUE"""),"")</f>
        <v/>
      </c>
      <c r="BE497" s="5"/>
    </row>
    <row r="498">
      <c r="A498" s="5">
        <f>IFERROR(__xludf.DUMMYFUNCTION("""COMPUTED_VALUE"""),527.0)</f>
        <v>527</v>
      </c>
      <c r="B498" s="5">
        <f>IFERROR(__xludf.DUMMYFUNCTION("""COMPUTED_VALUE"""),999980.0)</f>
        <v>999980</v>
      </c>
      <c r="C498" s="5" t="str">
        <f>IFERROR(__xludf.DUMMYFUNCTION("""COMPUTED_VALUE"""),"Fazi")</f>
        <v>Fazi</v>
      </c>
      <c r="D498" s="5" t="str">
        <f>IFERROR(__xludf.DUMMYFUNCTION("""COMPUTED_VALUE"""),"Fazi Game")</f>
        <v>Fazi Game</v>
      </c>
      <c r="E498" s="5"/>
      <c r="F498" s="5" t="str">
        <f>IFERROR(__xludf.DUMMYFUNCTION("""COMPUTED_VALUE"""),"TBD-F6")</f>
        <v>TBD-F6</v>
      </c>
      <c r="G498" s="5" t="str">
        <f>IFERROR(__xludf.DUMMYFUNCTION("""COMPUTED_VALUE"""),"Retired")</f>
        <v>Retired</v>
      </c>
      <c r="H498" s="5"/>
      <c r="I498" s="5"/>
      <c r="J498" s="5"/>
      <c r="K498" s="5"/>
      <c r="L498" s="5"/>
      <c r="M498" s="5"/>
      <c r="N498" s="5"/>
      <c r="O498" s="5"/>
      <c r="P498" s="12"/>
      <c r="Q498" s="13">
        <f>IFERROR(__xludf.DUMMYFUNCTION("""COMPUTED_VALUE"""),43831.0)</f>
        <v>43831</v>
      </c>
      <c r="R498" s="13"/>
      <c r="S498" s="13">
        <f>IFERROR(__xludf.DUMMYFUNCTION("""COMPUTED_VALUE"""),43831.0)</f>
        <v>43831</v>
      </c>
      <c r="T498" s="5"/>
      <c r="U498" s="5"/>
      <c r="V498" s="5"/>
      <c r="W498" s="5"/>
      <c r="X498" s="5"/>
      <c r="Y498" s="5"/>
      <c r="Z498" s="5"/>
      <c r="AA498" s="5"/>
      <c r="AB498" s="5"/>
      <c r="AC498" s="5"/>
      <c r="AD498" s="5"/>
      <c r="AE498" s="5"/>
      <c r="AF498" s="5"/>
      <c r="AG498" s="8">
        <f>IFERROR(__xludf.DUMMYFUNCTION("""COMPUTED_VALUE"""),45847.561307870375)</f>
        <v>45847.56131</v>
      </c>
      <c r="AH498" s="5" t="str">
        <f>IFERROR(__xludf.DUMMYFUNCTION("""COMPUTED_VALUE"""),"aleksandra.pesic@fazi.rs")</f>
        <v>aleksandra.pesic@fazi.rs</v>
      </c>
      <c r="AI498" s="13"/>
      <c r="AJ498" s="5"/>
      <c r="AK498" s="5"/>
      <c r="AL498" s="5"/>
      <c r="AM498" s="5"/>
      <c r="AN498" s="5"/>
      <c r="AO498" s="5"/>
      <c r="AP498" s="5"/>
      <c r="AQ498" s="5"/>
      <c r="AR498" s="5"/>
      <c r="AS498" s="5"/>
      <c r="AT498" s="5"/>
      <c r="AU498" s="5" t="str">
        <f>IFERROR(__xludf.DUMMYFUNCTION("""COMPUTED_VALUE"""),"Fazi")</f>
        <v>Fazi</v>
      </c>
      <c r="AV498" s="5"/>
      <c r="AW498" s="5"/>
      <c r="AX498" s="5"/>
      <c r="AY498" s="5"/>
      <c r="AZ498" s="5"/>
      <c r="BA498" s="5" t="str">
        <f>IFERROR(__xludf.DUMMYFUNCTION("""COMPUTED_VALUE"""),"")</f>
        <v/>
      </c>
      <c r="BB498" s="5"/>
      <c r="BC498" s="5" t="str">
        <f>IFERROR(__xludf.DUMMYFUNCTION("""COMPUTED_VALUE"""),"Foxi")</f>
        <v>Foxi</v>
      </c>
      <c r="BD498" s="5" t="str">
        <f>IFERROR(__xludf.DUMMYFUNCTION("""COMPUTED_VALUE"""),"")</f>
        <v/>
      </c>
      <c r="BE498" s="5"/>
    </row>
    <row r="499">
      <c r="A499" s="5">
        <f>IFERROR(__xludf.DUMMYFUNCTION("""COMPUTED_VALUE"""),528.0)</f>
        <v>528</v>
      </c>
      <c r="B499" s="5">
        <f>IFERROR(__xludf.DUMMYFUNCTION("""COMPUTED_VALUE"""),999979.0)</f>
        <v>999979</v>
      </c>
      <c r="C499" s="5" t="str">
        <f>IFERROR(__xludf.DUMMYFUNCTION("""COMPUTED_VALUE"""),"Fazi")</f>
        <v>Fazi</v>
      </c>
      <c r="D499" s="5" t="str">
        <f>IFERROR(__xludf.DUMMYFUNCTION("""COMPUTED_VALUE"""),"Fazi Game")</f>
        <v>Fazi Game</v>
      </c>
      <c r="E499" s="5"/>
      <c r="F499" s="5" t="str">
        <f>IFERROR(__xludf.DUMMYFUNCTION("""COMPUTED_VALUE"""),"TBD-F7")</f>
        <v>TBD-F7</v>
      </c>
      <c r="G499" s="5" t="str">
        <f>IFERROR(__xludf.DUMMYFUNCTION("""COMPUTED_VALUE"""),"Retired")</f>
        <v>Retired</v>
      </c>
      <c r="H499" s="5"/>
      <c r="I499" s="5"/>
      <c r="J499" s="5"/>
      <c r="K499" s="5"/>
      <c r="L499" s="5"/>
      <c r="M499" s="5"/>
      <c r="N499" s="5"/>
      <c r="O499" s="5"/>
      <c r="P499" s="12"/>
      <c r="Q499" s="13">
        <f>IFERROR(__xludf.DUMMYFUNCTION("""COMPUTED_VALUE"""),43831.0)</f>
        <v>43831</v>
      </c>
      <c r="R499" s="13"/>
      <c r="S499" s="13">
        <f>IFERROR(__xludf.DUMMYFUNCTION("""COMPUTED_VALUE"""),43831.0)</f>
        <v>43831</v>
      </c>
      <c r="T499" s="5"/>
      <c r="U499" s="5"/>
      <c r="V499" s="5"/>
      <c r="W499" s="5"/>
      <c r="X499" s="5"/>
      <c r="Y499" s="5"/>
      <c r="Z499" s="5"/>
      <c r="AA499" s="5"/>
      <c r="AB499" s="5"/>
      <c r="AC499" s="5"/>
      <c r="AD499" s="5"/>
      <c r="AE499" s="5"/>
      <c r="AF499" s="5"/>
      <c r="AG499" s="8">
        <f>IFERROR(__xludf.DUMMYFUNCTION("""COMPUTED_VALUE"""),45847.56372685185)</f>
        <v>45847.56373</v>
      </c>
      <c r="AH499" s="5" t="str">
        <f>IFERROR(__xludf.DUMMYFUNCTION("""COMPUTED_VALUE"""),"aleksandra.pesic@fazi.rs")</f>
        <v>aleksandra.pesic@fazi.rs</v>
      </c>
      <c r="AI499" s="13"/>
      <c r="AJ499" s="5"/>
      <c r="AK499" s="5"/>
      <c r="AL499" s="5"/>
      <c r="AM499" s="5"/>
      <c r="AN499" s="5"/>
      <c r="AO499" s="5"/>
      <c r="AP499" s="5"/>
      <c r="AQ499" s="5"/>
      <c r="AR499" s="5"/>
      <c r="AS499" s="5"/>
      <c r="AT499" s="5"/>
      <c r="AU499" s="5" t="str">
        <f>IFERROR(__xludf.DUMMYFUNCTION("""COMPUTED_VALUE"""),"Fazi")</f>
        <v>Fazi</v>
      </c>
      <c r="AV499" s="5"/>
      <c r="AW499" s="5"/>
      <c r="AX499" s="5"/>
      <c r="AY499" s="5"/>
      <c r="AZ499" s="5"/>
      <c r="BA499" s="5" t="str">
        <f>IFERROR(__xludf.DUMMYFUNCTION("""COMPUTED_VALUE"""),"")</f>
        <v/>
      </c>
      <c r="BB499" s="5"/>
      <c r="BC499" s="5" t="str">
        <f>IFERROR(__xludf.DUMMYFUNCTION("""COMPUTED_VALUE"""),"Foxi")</f>
        <v>Foxi</v>
      </c>
      <c r="BD499" s="5" t="str">
        <f>IFERROR(__xludf.DUMMYFUNCTION("""COMPUTED_VALUE"""),"")</f>
        <v/>
      </c>
      <c r="BE499" s="5"/>
    </row>
    <row r="500">
      <c r="A500" s="5">
        <f>IFERROR(__xludf.DUMMYFUNCTION("""COMPUTED_VALUE"""),529.0)</f>
        <v>529</v>
      </c>
      <c r="B500" s="5">
        <f>IFERROR(__xludf.DUMMYFUNCTION("""COMPUTED_VALUE"""),999978.0)</f>
        <v>999978</v>
      </c>
      <c r="C500" s="5" t="str">
        <f>IFERROR(__xludf.DUMMYFUNCTION("""COMPUTED_VALUE"""),"Fazi")</f>
        <v>Fazi</v>
      </c>
      <c r="D500" s="5" t="str">
        <f>IFERROR(__xludf.DUMMYFUNCTION("""COMPUTED_VALUE"""),"Fazi Game")</f>
        <v>Fazi Game</v>
      </c>
      <c r="E500" s="5"/>
      <c r="F500" s="5" t="str">
        <f>IFERROR(__xludf.DUMMYFUNCTION("""COMPUTED_VALUE"""),"TBD-F8")</f>
        <v>TBD-F8</v>
      </c>
      <c r="G500" s="5" t="str">
        <f>IFERROR(__xludf.DUMMYFUNCTION("""COMPUTED_VALUE"""),"Retired")</f>
        <v>Retired</v>
      </c>
      <c r="H500" s="5"/>
      <c r="I500" s="5"/>
      <c r="J500" s="5"/>
      <c r="K500" s="5"/>
      <c r="L500" s="5"/>
      <c r="M500" s="5"/>
      <c r="N500" s="5"/>
      <c r="O500" s="5"/>
      <c r="P500" s="12"/>
      <c r="Q500" s="13">
        <f>IFERROR(__xludf.DUMMYFUNCTION("""COMPUTED_VALUE"""),43831.0)</f>
        <v>43831</v>
      </c>
      <c r="R500" s="13"/>
      <c r="S500" s="13">
        <f>IFERROR(__xludf.DUMMYFUNCTION("""COMPUTED_VALUE"""),43831.0)</f>
        <v>43831</v>
      </c>
      <c r="T500" s="5" t="b">
        <f>IFERROR(__xludf.DUMMYFUNCTION("""COMPUTED_VALUE"""),FALSE)</f>
        <v>0</v>
      </c>
      <c r="U500" s="5"/>
      <c r="V500" s="5"/>
      <c r="W500" s="5"/>
      <c r="X500" s="5"/>
      <c r="Y500" s="5"/>
      <c r="Z500" s="5"/>
      <c r="AA500" s="5"/>
      <c r="AB500" s="5"/>
      <c r="AC500" s="5"/>
      <c r="AD500" s="5"/>
      <c r="AE500" s="5"/>
      <c r="AF500" s="5"/>
      <c r="AG500" s="8">
        <f>IFERROR(__xludf.DUMMYFUNCTION("""COMPUTED_VALUE"""),45847.564039351855)</f>
        <v>45847.56404</v>
      </c>
      <c r="AH500" s="5" t="str">
        <f>IFERROR(__xludf.DUMMYFUNCTION("""COMPUTED_VALUE"""),"aleksandra.pesic@fazi.rs")</f>
        <v>aleksandra.pesic@fazi.rs</v>
      </c>
      <c r="AI500" s="13"/>
      <c r="AJ500" s="5"/>
      <c r="AK500" s="5"/>
      <c r="AL500" s="5"/>
      <c r="AM500" s="5"/>
      <c r="AN500" s="5"/>
      <c r="AO500" s="5"/>
      <c r="AP500" s="5"/>
      <c r="AQ500" s="5"/>
      <c r="AR500" s="5"/>
      <c r="AS500" s="5"/>
      <c r="AT500" s="5"/>
      <c r="AU500" s="5" t="str">
        <f>IFERROR(__xludf.DUMMYFUNCTION("""COMPUTED_VALUE"""),"Fazi")</f>
        <v>Fazi</v>
      </c>
      <c r="AV500" s="5"/>
      <c r="AW500" s="5"/>
      <c r="AX500" s="5"/>
      <c r="AY500" s="5"/>
      <c r="AZ500" s="5"/>
      <c r="BA500" s="5" t="str">
        <f>IFERROR(__xludf.DUMMYFUNCTION("""COMPUTED_VALUE"""),"")</f>
        <v/>
      </c>
      <c r="BB500" s="5"/>
      <c r="BC500" s="5" t="str">
        <f>IFERROR(__xludf.DUMMYFUNCTION("""COMPUTED_VALUE"""),"Foxi")</f>
        <v>Foxi</v>
      </c>
      <c r="BD500" s="5" t="str">
        <f>IFERROR(__xludf.DUMMYFUNCTION("""COMPUTED_VALUE"""),"")</f>
        <v/>
      </c>
      <c r="BE500" s="5"/>
    </row>
    <row r="501">
      <c r="A501" s="5">
        <f>IFERROR(__xludf.DUMMYFUNCTION("""COMPUTED_VALUE"""),530.0)</f>
        <v>530</v>
      </c>
      <c r="B501" s="5">
        <f>IFERROR(__xludf.DUMMYFUNCTION("""COMPUTED_VALUE"""),999975.0)</f>
        <v>999975</v>
      </c>
      <c r="C501" s="5" t="str">
        <f>IFERROR(__xludf.DUMMYFUNCTION("""COMPUTED_VALUE"""),"Fazi")</f>
        <v>Fazi</v>
      </c>
      <c r="D501" s="5" t="str">
        <f>IFERROR(__xludf.DUMMYFUNCTION("""COMPUTED_VALUE"""),"Fazi Game")</f>
        <v>Fazi Game</v>
      </c>
      <c r="E501" s="5"/>
      <c r="F501" s="5" t="str">
        <f>IFERROR(__xludf.DUMMYFUNCTION("""COMPUTED_VALUE"""),"TBD-F9")</f>
        <v>TBD-F9</v>
      </c>
      <c r="G501" s="5" t="str">
        <f>IFERROR(__xludf.DUMMYFUNCTION("""COMPUTED_VALUE"""),"Retired")</f>
        <v>Retired</v>
      </c>
      <c r="H501" s="5"/>
      <c r="I501" s="5"/>
      <c r="J501" s="5"/>
      <c r="K501" s="5"/>
      <c r="L501" s="5"/>
      <c r="M501" s="5"/>
      <c r="N501" s="5"/>
      <c r="O501" s="5"/>
      <c r="P501" s="12"/>
      <c r="Q501" s="13">
        <f>IFERROR(__xludf.DUMMYFUNCTION("""COMPUTED_VALUE"""),43831.0)</f>
        <v>43831</v>
      </c>
      <c r="R501" s="13"/>
      <c r="S501" s="13">
        <f>IFERROR(__xludf.DUMMYFUNCTION("""COMPUTED_VALUE"""),43831.0)</f>
        <v>43831</v>
      </c>
      <c r="T501" s="5"/>
      <c r="U501" s="5"/>
      <c r="V501" s="5"/>
      <c r="W501" s="5"/>
      <c r="X501" s="5"/>
      <c r="Y501" s="5"/>
      <c r="Z501" s="5"/>
      <c r="AA501" s="5"/>
      <c r="AB501" s="5"/>
      <c r="AC501" s="5"/>
      <c r="AD501" s="5"/>
      <c r="AE501" s="5"/>
      <c r="AF501" s="5"/>
      <c r="AG501" s="8">
        <f>IFERROR(__xludf.DUMMYFUNCTION("""COMPUTED_VALUE"""),45847.565300925926)</f>
        <v>45847.5653</v>
      </c>
      <c r="AH501" s="5" t="str">
        <f>IFERROR(__xludf.DUMMYFUNCTION("""COMPUTED_VALUE"""),"aleksandra.pesic@fazi.rs")</f>
        <v>aleksandra.pesic@fazi.rs</v>
      </c>
      <c r="AI501" s="13"/>
      <c r="AJ501" s="5"/>
      <c r="AK501" s="5"/>
      <c r="AL501" s="5"/>
      <c r="AM501" s="5"/>
      <c r="AN501" s="5"/>
      <c r="AO501" s="5"/>
      <c r="AP501" s="5"/>
      <c r="AQ501" s="5"/>
      <c r="AR501" s="5"/>
      <c r="AS501" s="5"/>
      <c r="AT501" s="5"/>
      <c r="AU501" s="5" t="str">
        <f>IFERROR(__xludf.DUMMYFUNCTION("""COMPUTED_VALUE"""),"Fazi")</f>
        <v>Fazi</v>
      </c>
      <c r="AV501" s="5"/>
      <c r="AW501" s="5"/>
      <c r="AX501" s="5"/>
      <c r="AY501" s="5"/>
      <c r="AZ501" s="5"/>
      <c r="BA501" s="5" t="str">
        <f>IFERROR(__xludf.DUMMYFUNCTION("""COMPUTED_VALUE"""),"")</f>
        <v/>
      </c>
      <c r="BB501" s="5"/>
      <c r="BC501" s="5" t="str">
        <f>IFERROR(__xludf.DUMMYFUNCTION("""COMPUTED_VALUE"""),"Foxi")</f>
        <v>Foxi</v>
      </c>
      <c r="BD501" s="5" t="str">
        <f>IFERROR(__xludf.DUMMYFUNCTION("""COMPUTED_VALUE"""),"")</f>
        <v/>
      </c>
      <c r="BE501" s="5"/>
    </row>
    <row r="502">
      <c r="A502" s="5">
        <f>IFERROR(__xludf.DUMMYFUNCTION("""COMPUTED_VALUE"""),531.0)</f>
        <v>531</v>
      </c>
      <c r="B502" s="5">
        <f>IFERROR(__xludf.DUMMYFUNCTION("""COMPUTED_VALUE"""),999974.0)</f>
        <v>999974</v>
      </c>
      <c r="C502" s="5" t="str">
        <f>IFERROR(__xludf.DUMMYFUNCTION("""COMPUTED_VALUE"""),"Fazi")</f>
        <v>Fazi</v>
      </c>
      <c r="D502" s="5" t="str">
        <f>IFERROR(__xludf.DUMMYFUNCTION("""COMPUTED_VALUE"""),"Fazi Game")</f>
        <v>Fazi Game</v>
      </c>
      <c r="E502" s="5"/>
      <c r="F502" s="5" t="str">
        <f>IFERROR(__xludf.DUMMYFUNCTION("""COMPUTED_VALUE"""),"TBD-F10")</f>
        <v>TBD-F10</v>
      </c>
      <c r="G502" s="5" t="str">
        <f>IFERROR(__xludf.DUMMYFUNCTION("""COMPUTED_VALUE"""),"Retired")</f>
        <v>Retired</v>
      </c>
      <c r="H502" s="5"/>
      <c r="I502" s="5"/>
      <c r="J502" s="5"/>
      <c r="K502" s="5"/>
      <c r="L502" s="5"/>
      <c r="M502" s="5"/>
      <c r="N502" s="5"/>
      <c r="O502" s="5"/>
      <c r="P502" s="12"/>
      <c r="Q502" s="13">
        <f>IFERROR(__xludf.DUMMYFUNCTION("""COMPUTED_VALUE"""),43831.0)</f>
        <v>43831</v>
      </c>
      <c r="R502" s="13"/>
      <c r="S502" s="13">
        <f>IFERROR(__xludf.DUMMYFUNCTION("""COMPUTED_VALUE"""),43831.0)</f>
        <v>43831</v>
      </c>
      <c r="T502" s="5"/>
      <c r="U502" s="5"/>
      <c r="V502" s="5"/>
      <c r="W502" s="5"/>
      <c r="X502" s="5"/>
      <c r="Y502" s="5"/>
      <c r="Z502" s="5"/>
      <c r="AA502" s="5"/>
      <c r="AB502" s="5"/>
      <c r="AC502" s="5"/>
      <c r="AD502" s="5"/>
      <c r="AE502" s="5"/>
      <c r="AF502" s="5"/>
      <c r="AG502" s="8">
        <f>IFERROR(__xludf.DUMMYFUNCTION("""COMPUTED_VALUE"""),45847.56439814815)</f>
        <v>45847.5644</v>
      </c>
      <c r="AH502" s="5" t="str">
        <f>IFERROR(__xludf.DUMMYFUNCTION("""COMPUTED_VALUE"""),"aleksandra.pesic@fazi.rs")</f>
        <v>aleksandra.pesic@fazi.rs</v>
      </c>
      <c r="AI502" s="13"/>
      <c r="AJ502" s="5"/>
      <c r="AK502" s="5"/>
      <c r="AL502" s="5"/>
      <c r="AM502" s="5"/>
      <c r="AN502" s="5"/>
      <c r="AO502" s="5"/>
      <c r="AP502" s="5"/>
      <c r="AQ502" s="5"/>
      <c r="AR502" s="5"/>
      <c r="AS502" s="5"/>
      <c r="AT502" s="5"/>
      <c r="AU502" s="5" t="str">
        <f>IFERROR(__xludf.DUMMYFUNCTION("""COMPUTED_VALUE"""),"Fazi")</f>
        <v>Fazi</v>
      </c>
      <c r="AV502" s="5"/>
      <c r="AW502" s="5"/>
      <c r="AX502" s="5"/>
      <c r="AY502" s="5"/>
      <c r="AZ502" s="5"/>
      <c r="BA502" s="5" t="str">
        <f>IFERROR(__xludf.DUMMYFUNCTION("""COMPUTED_VALUE"""),"")</f>
        <v/>
      </c>
      <c r="BB502" s="5"/>
      <c r="BC502" s="5" t="str">
        <f>IFERROR(__xludf.DUMMYFUNCTION("""COMPUTED_VALUE"""),"Foxi")</f>
        <v>Foxi</v>
      </c>
      <c r="BD502" s="5" t="str">
        <f>IFERROR(__xludf.DUMMYFUNCTION("""COMPUTED_VALUE"""),"")</f>
        <v/>
      </c>
      <c r="BE502" s="5"/>
    </row>
    <row r="503">
      <c r="A503" s="5">
        <f>IFERROR(__xludf.DUMMYFUNCTION("""COMPUTED_VALUE"""),532.0)</f>
        <v>532</v>
      </c>
      <c r="B503" s="5">
        <f>IFERROR(__xludf.DUMMYFUNCTION("""COMPUTED_VALUE"""),999973.0)</f>
        <v>999973</v>
      </c>
      <c r="C503" s="5" t="str">
        <f>IFERROR(__xludf.DUMMYFUNCTION("""COMPUTED_VALUE"""),"Fazi")</f>
        <v>Fazi</v>
      </c>
      <c r="D503" s="5" t="str">
        <f>IFERROR(__xludf.DUMMYFUNCTION("""COMPUTED_VALUE"""),"Fazi Game")</f>
        <v>Fazi Game</v>
      </c>
      <c r="E503" s="5"/>
      <c r="F503" s="5" t="str">
        <f>IFERROR(__xludf.DUMMYFUNCTION("""COMPUTED_VALUE"""),"TBD-F11")</f>
        <v>TBD-F11</v>
      </c>
      <c r="G503" s="5" t="str">
        <f>IFERROR(__xludf.DUMMYFUNCTION("""COMPUTED_VALUE"""),"Retired")</f>
        <v>Retired</v>
      </c>
      <c r="H503" s="5"/>
      <c r="I503" s="5"/>
      <c r="J503" s="5"/>
      <c r="K503" s="5" t="str">
        <f>IFERROR(__xludf.DUMMYFUNCTION("""COMPUTED_VALUE"""),"Slot")</f>
        <v>Slot</v>
      </c>
      <c r="L503" s="5"/>
      <c r="M503" s="5"/>
      <c r="N503" s="5"/>
      <c r="O503" s="5"/>
      <c r="P503" s="12"/>
      <c r="Q503" s="13">
        <f>IFERROR(__xludf.DUMMYFUNCTION("""COMPUTED_VALUE"""),43831.0)</f>
        <v>43831</v>
      </c>
      <c r="R503" s="13"/>
      <c r="S503" s="13">
        <f>IFERROR(__xludf.DUMMYFUNCTION("""COMPUTED_VALUE"""),43831.0)</f>
        <v>43831</v>
      </c>
      <c r="T503" s="5"/>
      <c r="U503" s="5"/>
      <c r="V503" s="5"/>
      <c r="W503" s="5"/>
      <c r="X503" s="5"/>
      <c r="Y503" s="5"/>
      <c r="Z503" s="5"/>
      <c r="AA503" s="5"/>
      <c r="AB503" s="5"/>
      <c r="AC503" s="5"/>
      <c r="AD503" s="5"/>
      <c r="AE503" s="5"/>
      <c r="AF503" s="5"/>
      <c r="AG503" s="8">
        <f>IFERROR(__xludf.DUMMYFUNCTION("""COMPUTED_VALUE"""),45866.51766203704)</f>
        <v>45866.51766</v>
      </c>
      <c r="AH503" s="5" t="str">
        <f>IFERROR(__xludf.DUMMYFUNCTION("""COMPUTED_VALUE"""),"iva.cirkovic@fazi.rs")</f>
        <v>iva.cirkovic@fazi.rs</v>
      </c>
      <c r="AI503" s="13"/>
      <c r="AJ503" s="5"/>
      <c r="AK503" s="5"/>
      <c r="AL503" s="5"/>
      <c r="AM503" s="5"/>
      <c r="AN503" s="5"/>
      <c r="AO503" s="5"/>
      <c r="AP503" s="5"/>
      <c r="AQ503" s="5"/>
      <c r="AR503" s="5"/>
      <c r="AS503" s="5"/>
      <c r="AT503" s="5"/>
      <c r="AU503" s="5" t="str">
        <f>IFERROR(__xludf.DUMMYFUNCTION("""COMPUTED_VALUE"""),"Fazi")</f>
        <v>Fazi</v>
      </c>
      <c r="AV503" s="5"/>
      <c r="AW503" s="5"/>
      <c r="AX503" s="5"/>
      <c r="AY503" s="5"/>
      <c r="AZ503" s="5"/>
      <c r="BA503" s="5" t="str">
        <f>IFERROR(__xludf.DUMMYFUNCTION("""COMPUTED_VALUE"""),"")</f>
        <v/>
      </c>
      <c r="BB503" s="5"/>
      <c r="BC503" s="5" t="str">
        <f>IFERROR(__xludf.DUMMYFUNCTION("""COMPUTED_VALUE"""),"Foxi")</f>
        <v>Foxi</v>
      </c>
      <c r="BD503" s="5" t="str">
        <f>IFERROR(__xludf.DUMMYFUNCTION("""COMPUTED_VALUE"""),"")</f>
        <v/>
      </c>
      <c r="BE503" s="5"/>
    </row>
    <row r="504">
      <c r="A504" s="5">
        <f>IFERROR(__xludf.DUMMYFUNCTION("""COMPUTED_VALUE"""),533.0)</f>
        <v>533</v>
      </c>
      <c r="B504" s="5">
        <f>IFERROR(__xludf.DUMMYFUNCTION("""COMPUTED_VALUE"""),999972.0)</f>
        <v>999972</v>
      </c>
      <c r="C504" s="5" t="str">
        <f>IFERROR(__xludf.DUMMYFUNCTION("""COMPUTED_VALUE"""),"Fazi")</f>
        <v>Fazi</v>
      </c>
      <c r="D504" s="5" t="str">
        <f>IFERROR(__xludf.DUMMYFUNCTION("""COMPUTED_VALUE"""),"Fazi Game")</f>
        <v>Fazi Game</v>
      </c>
      <c r="E504" s="5"/>
      <c r="F504" s="5" t="str">
        <f>IFERROR(__xludf.DUMMYFUNCTION("""COMPUTED_VALUE"""),"TBD-F12")</f>
        <v>TBD-F12</v>
      </c>
      <c r="G504" s="5" t="str">
        <f>IFERROR(__xludf.DUMMYFUNCTION("""COMPUTED_VALUE"""),"Retired")</f>
        <v>Retired</v>
      </c>
      <c r="H504" s="5"/>
      <c r="I504" s="5"/>
      <c r="J504" s="5"/>
      <c r="K504" s="5" t="str">
        <f>IFERROR(__xludf.DUMMYFUNCTION("""COMPUTED_VALUE"""),"Slot")</f>
        <v>Slot</v>
      </c>
      <c r="L504" s="5"/>
      <c r="M504" s="5"/>
      <c r="N504" s="5"/>
      <c r="O504" s="5"/>
      <c r="P504" s="12"/>
      <c r="Q504" s="13">
        <f>IFERROR(__xludf.DUMMYFUNCTION("""COMPUTED_VALUE"""),43831.0)</f>
        <v>43831</v>
      </c>
      <c r="R504" s="13"/>
      <c r="S504" s="13">
        <f>IFERROR(__xludf.DUMMYFUNCTION("""COMPUTED_VALUE"""),43831.0)</f>
        <v>43831</v>
      </c>
      <c r="T504" s="5"/>
      <c r="U504" s="5"/>
      <c r="V504" s="5"/>
      <c r="W504" s="5"/>
      <c r="X504" s="5"/>
      <c r="Y504" s="5"/>
      <c r="Z504" s="5"/>
      <c r="AA504" s="5"/>
      <c r="AB504" s="5"/>
      <c r="AC504" s="5"/>
      <c r="AD504" s="5"/>
      <c r="AE504" s="5"/>
      <c r="AF504" s="5"/>
      <c r="AG504" s="8">
        <f>IFERROR(__xludf.DUMMYFUNCTION("""COMPUTED_VALUE"""),45873.538622685184)</f>
        <v>45873.53862</v>
      </c>
      <c r="AH504" s="5" t="str">
        <f>IFERROR(__xludf.DUMMYFUNCTION("""COMPUTED_VALUE"""),"aleksandra.pesic@fazi.rs")</f>
        <v>aleksandra.pesic@fazi.rs</v>
      </c>
      <c r="AI504" s="13"/>
      <c r="AJ504" s="5"/>
      <c r="AK504" s="5"/>
      <c r="AL504" s="5"/>
      <c r="AM504" s="5"/>
      <c r="AN504" s="5"/>
      <c r="AO504" s="5"/>
      <c r="AP504" s="5"/>
      <c r="AQ504" s="5"/>
      <c r="AR504" s="5"/>
      <c r="AS504" s="5"/>
      <c r="AT504" s="5"/>
      <c r="AU504" s="5" t="str">
        <f>IFERROR(__xludf.DUMMYFUNCTION("""COMPUTED_VALUE"""),"Fazi")</f>
        <v>Fazi</v>
      </c>
      <c r="AV504" s="5"/>
      <c r="AW504" s="5"/>
      <c r="AX504" s="5"/>
      <c r="AY504" s="5"/>
      <c r="AZ504" s="5"/>
      <c r="BA504" s="5" t="str">
        <f>IFERROR(__xludf.DUMMYFUNCTION("""COMPUTED_VALUE"""),"")</f>
        <v/>
      </c>
      <c r="BB504" s="5"/>
      <c r="BC504" s="5" t="str">
        <f>IFERROR(__xludf.DUMMYFUNCTION("""COMPUTED_VALUE"""),"Foxi")</f>
        <v>Foxi</v>
      </c>
      <c r="BD504" s="5" t="str">
        <f>IFERROR(__xludf.DUMMYFUNCTION("""COMPUTED_VALUE"""),"")</f>
        <v/>
      </c>
      <c r="BE504" s="5"/>
    </row>
    <row r="505">
      <c r="A505" s="5">
        <f>IFERROR(__xludf.DUMMYFUNCTION("""COMPUTED_VALUE"""),534.0)</f>
        <v>534</v>
      </c>
      <c r="B505" s="5">
        <f>IFERROR(__xludf.DUMMYFUNCTION("""COMPUTED_VALUE"""),999971.0)</f>
        <v>999971</v>
      </c>
      <c r="C505" s="5" t="str">
        <f>IFERROR(__xludf.DUMMYFUNCTION("""COMPUTED_VALUE"""),"Fazi")</f>
        <v>Fazi</v>
      </c>
      <c r="D505" s="5" t="str">
        <f>IFERROR(__xludf.DUMMYFUNCTION("""COMPUTED_VALUE"""),"Fazi Game")</f>
        <v>Fazi Game</v>
      </c>
      <c r="E505" s="5"/>
      <c r="F505" s="5" t="str">
        <f>IFERROR(__xludf.DUMMYFUNCTION("""COMPUTED_VALUE"""),"TBD-F13")</f>
        <v>TBD-F13</v>
      </c>
      <c r="G505" s="5" t="str">
        <f>IFERROR(__xludf.DUMMYFUNCTION("""COMPUTED_VALUE"""),"Retired")</f>
        <v>Retired</v>
      </c>
      <c r="H505" s="5"/>
      <c r="I505" s="5"/>
      <c r="J505" s="5"/>
      <c r="K505" s="5" t="str">
        <f>IFERROR(__xludf.DUMMYFUNCTION("""COMPUTED_VALUE"""),"Slot")</f>
        <v>Slot</v>
      </c>
      <c r="L505" s="5"/>
      <c r="M505" s="5"/>
      <c r="N505" s="5"/>
      <c r="O505" s="5"/>
      <c r="P505" s="12"/>
      <c r="Q505" s="13">
        <f>IFERROR(__xludf.DUMMYFUNCTION("""COMPUTED_VALUE"""),43831.0)</f>
        <v>43831</v>
      </c>
      <c r="R505" s="13"/>
      <c r="S505" s="13">
        <f>IFERROR(__xludf.DUMMYFUNCTION("""COMPUTED_VALUE"""),43831.0)</f>
        <v>43831</v>
      </c>
      <c r="T505" s="5"/>
      <c r="U505" s="5"/>
      <c r="V505" s="5"/>
      <c r="W505" s="5"/>
      <c r="X505" s="5"/>
      <c r="Y505" s="5"/>
      <c r="Z505" s="5"/>
      <c r="AA505" s="5"/>
      <c r="AB505" s="5"/>
      <c r="AC505" s="5"/>
      <c r="AD505" s="5"/>
      <c r="AE505" s="5"/>
      <c r="AF505" s="5"/>
      <c r="AG505" s="8">
        <f>IFERROR(__xludf.DUMMYFUNCTION("""COMPUTED_VALUE"""),45873.53787037037)</f>
        <v>45873.53787</v>
      </c>
      <c r="AH505" s="5" t="str">
        <f>IFERROR(__xludf.DUMMYFUNCTION("""COMPUTED_VALUE"""),"aleksandra.pesic@fazi.rs")</f>
        <v>aleksandra.pesic@fazi.rs</v>
      </c>
      <c r="AI505" s="13"/>
      <c r="AJ505" s="5"/>
      <c r="AK505" s="5"/>
      <c r="AL505" s="5"/>
      <c r="AM505" s="5"/>
      <c r="AN505" s="5"/>
      <c r="AO505" s="5"/>
      <c r="AP505" s="5"/>
      <c r="AQ505" s="5"/>
      <c r="AR505" s="5"/>
      <c r="AS505" s="5"/>
      <c r="AT505" s="5"/>
      <c r="AU505" s="5" t="str">
        <f>IFERROR(__xludf.DUMMYFUNCTION("""COMPUTED_VALUE"""),"Fazi")</f>
        <v>Fazi</v>
      </c>
      <c r="AV505" s="5"/>
      <c r="AW505" s="5"/>
      <c r="AX505" s="5"/>
      <c r="AY505" s="5"/>
      <c r="AZ505" s="5"/>
      <c r="BA505" s="5" t="str">
        <f>IFERROR(__xludf.DUMMYFUNCTION("""COMPUTED_VALUE"""),"")</f>
        <v/>
      </c>
      <c r="BB505" s="5"/>
      <c r="BC505" s="5" t="str">
        <f>IFERROR(__xludf.DUMMYFUNCTION("""COMPUTED_VALUE"""),"Foxi")</f>
        <v>Foxi</v>
      </c>
      <c r="BD505" s="5" t="str">
        <f>IFERROR(__xludf.DUMMYFUNCTION("""COMPUTED_VALUE"""),"")</f>
        <v/>
      </c>
      <c r="BE505" s="5"/>
    </row>
    <row r="506">
      <c r="A506" s="5">
        <f>IFERROR(__xludf.DUMMYFUNCTION("""COMPUTED_VALUE"""),536.0)</f>
        <v>536</v>
      </c>
      <c r="B506" s="5">
        <f>IFERROR(__xludf.DUMMYFUNCTION("""COMPUTED_VALUE"""),180023.0)</f>
        <v>180023</v>
      </c>
      <c r="C506" s="5" t="str">
        <f>IFERROR(__xludf.DUMMYFUNCTION("""COMPUTED_VALUE"""),"Redstone")</f>
        <v>Redstone</v>
      </c>
      <c r="D506" s="5" t="str">
        <f>IFERROR(__xludf.DUMMYFUNCTION("""COMPUTED_VALUE"""),"40 Wild Crown")</f>
        <v>40 Wild Crown</v>
      </c>
      <c r="E506" s="5" t="str">
        <f>IFERROR(__xludf.DUMMYFUNCTION("""COMPUTED_VALUE"""),"Redstone")</f>
        <v>Redstone</v>
      </c>
      <c r="F506" s="5" t="str">
        <f>IFERROR(__xludf.DUMMYFUNCTION("""COMPUTED_VALUE"""),"Redstone40WildCrown")</f>
        <v>Redstone40WildCrown</v>
      </c>
      <c r="G506" s="5" t="str">
        <f>IFERROR(__xludf.DUMMYFUNCTION("""COMPUTED_VALUE"""),"Live")</f>
        <v>Live</v>
      </c>
      <c r="H506" s="5"/>
      <c r="I506" s="5" t="str">
        <f>IFERROR(__xludf.DUMMYFUNCTION("""COMPUTED_VALUE"""),"Redstone")</f>
        <v>Redstone</v>
      </c>
      <c r="J506" s="5" t="str">
        <f>IFERROR(__xludf.DUMMYFUNCTION("""COMPUTED_VALUE"""),"JSON")</f>
        <v>JSON</v>
      </c>
      <c r="K506" s="5" t="str">
        <f>IFERROR(__xludf.DUMMYFUNCTION("""COMPUTED_VALUE"""),"Slot")</f>
        <v>Slot</v>
      </c>
      <c r="L506" s="5" t="str">
        <f>IFERROR(__xludf.DUMMYFUNCTION("""COMPUTED_VALUE"""),"Master")</f>
        <v>Master</v>
      </c>
      <c r="M506" s="5"/>
      <c r="N506" s="7" t="str">
        <f>IFERROR(__xludf.DUMMYFUNCTION("""COMPUTED_VALUE"""),"https://drive.google.com/file/d/1ChDrkhCI27hZry0ILWOPTx_uPeueAvMZ/view?usp=drive_link")</f>
        <v>https://drive.google.com/file/d/1ChDrkhCI27hZry0ILWOPTx_uPeueAvMZ/view?usp=drive_link</v>
      </c>
      <c r="O506" s="7" t="str">
        <f>IFERROR(__xludf.DUMMYFUNCTION("""COMPUTED_VALUE"""),"https://drive.google.com/file/d/1ztU0U7_kgwbIaRZ_UCS6mO_iZYclWO1A/view?usp=drive_link")</f>
        <v>https://drive.google.com/file/d/1ztU0U7_kgwbIaRZ_UCS6mO_iZYclWO1A/view?usp=drive_link</v>
      </c>
      <c r="P506" s="12">
        <f>IFERROR(__xludf.DUMMYFUNCTION("""COMPUTED_VALUE"""),8.0)</f>
        <v>8</v>
      </c>
      <c r="Q506" s="13">
        <f>IFERROR(__xludf.DUMMYFUNCTION("""COMPUTED_VALUE"""),45840.0)</f>
        <v>45840</v>
      </c>
      <c r="R506" s="13">
        <f>IFERROR(__xludf.DUMMYFUNCTION("""COMPUTED_VALUE"""),45833.0)</f>
        <v>45833</v>
      </c>
      <c r="S506" s="13">
        <f>IFERROR(__xludf.DUMMYFUNCTION("""COMPUTED_VALUE"""),45840.0)</f>
        <v>45840</v>
      </c>
      <c r="T506" s="5" t="b">
        <f>IFERROR(__xludf.DUMMYFUNCTION("""COMPUTED_VALUE"""),TRUE)</f>
        <v>1</v>
      </c>
      <c r="U506" s="5" t="str">
        <f>IFERROR(__xludf.DUMMYFUNCTION("""COMPUTED_VALUE"""),"5x4")</f>
        <v>5x4</v>
      </c>
      <c r="V506" s="5">
        <f>IFERROR(__xludf.DUMMYFUNCTION("""COMPUTED_VALUE"""),40.0)</f>
        <v>40</v>
      </c>
      <c r="W506" s="5">
        <f>IFERROR(__xludf.DUMMYFUNCTION("""COMPUTED_VALUE"""),40.0)</f>
        <v>40</v>
      </c>
      <c r="X506" s="5">
        <f>IFERROR(__xludf.DUMMYFUNCTION("""COMPUTED_VALUE"""),95.98)</f>
        <v>95.98</v>
      </c>
      <c r="Y506" s="5" t="str">
        <f>IFERROR(__xludf.DUMMYFUNCTION("""COMPUTED_VALUE"""),"Medium")</f>
        <v>Medium</v>
      </c>
      <c r="Z506" s="5">
        <f>IFERROR(__xludf.DUMMYFUNCTION("""COMPUTED_VALUE"""),22.12)</f>
        <v>22.12</v>
      </c>
      <c r="AA506" s="5">
        <f>IFERROR(__xludf.DUMMYFUNCTION("""COMPUTED_VALUE"""),727.5)</f>
        <v>727.5</v>
      </c>
      <c r="AB506" s="5"/>
      <c r="AC506" s="5" t="str">
        <f>IFERROR(__xludf.DUMMYFUNCTION("""COMPUTED_VALUE"""),"Expanding Wild, Scatter")</f>
        <v>Expanding Wild, Scatter</v>
      </c>
      <c r="AD506" s="5" t="str">
        <f>IFERROR(__xludf.DUMMYFUNCTION("""COMPUTED_VALUE"""),"0.04/50")</f>
        <v>0.04/50</v>
      </c>
      <c r="AE506" s="5"/>
      <c r="AF506" s="5"/>
      <c r="AG506" s="8">
        <f>IFERROR(__xludf.DUMMYFUNCTION("""COMPUTED_VALUE"""),46227.36554398148)</f>
        <v>46227.36554</v>
      </c>
      <c r="AH506" s="5"/>
      <c r="AI506" s="13"/>
      <c r="AJ506" s="5"/>
      <c r="AK506" s="5">
        <f>IFERROR(__xludf.DUMMYFUNCTION("""COMPUTED_VALUE"""),1.0)</f>
        <v>1</v>
      </c>
      <c r="AL506" s="5" t="str">
        <f>IFERROR(__xludf.DUMMYFUNCTION("""COMPUTED_VALUE"""),"No")</f>
        <v>No</v>
      </c>
      <c r="AM506" s="5" t="str">
        <f>IFERROR(__xludf.DUMMYFUNCTION("""COMPUTED_VALUE"""),"No")</f>
        <v>No</v>
      </c>
      <c r="AN506" s="7" t="str">
        <f>IFERROR(__xludf.DUMMYFUNCTION("""COMPUTED_VALUE"""),"https://static.redstone.rs/games/40-wild-crown/")</f>
        <v>https://static.redstone.rs/games/40-wild-crown/</v>
      </c>
      <c r="AO506" s="5" t="str">
        <f>IFERROR(__xludf.DUMMYFUNCTION("""COMPUTED_VALUE"""),"No")</f>
        <v>No</v>
      </c>
      <c r="AP506" s="5" t="str">
        <f>IFERROR(__xludf.DUMMYFUNCTION("""COMPUTED_VALUE"""),"No")</f>
        <v>No</v>
      </c>
      <c r="AQ506" s="5" t="b">
        <f>IFERROR(__xludf.DUMMYFUNCTION("""COMPUTED_VALUE"""),TRUE)</f>
        <v>1</v>
      </c>
      <c r="AR506" s="5"/>
      <c r="AS506" s="5" t="str">
        <f>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AT506" s="5"/>
      <c r="AU506" s="5" t="str">
        <f>IFERROR(__xludf.DUMMYFUNCTION("""COMPUTED_VALUE"""),"Redstone")</f>
        <v>Redstone</v>
      </c>
      <c r="AV506" s="5"/>
      <c r="AW506" s="5"/>
      <c r="AX506" s="5"/>
      <c r="AY506" s="5"/>
      <c r="AZ506" s="5"/>
      <c r="BA506" s="5"/>
      <c r="BB506" s="5" t="b">
        <f>IFERROR(__xludf.DUMMYFUNCTION("""COMPUTED_VALUE"""),TRUE)</f>
        <v>1</v>
      </c>
      <c r="BC506" s="5" t="str">
        <f>IFERROR(__xludf.DUMMYFUNCTION("""COMPUTED_VALUE"""),"Redstone")</f>
        <v>Redstone</v>
      </c>
      <c r="BD506" s="7" t="str">
        <f>IFERROR(__xludf.DUMMYFUNCTION("""COMPUTED_VALUE"""),"https://static.redstone.rs/games/40-wild-crown/")</f>
        <v>https://static.redstone.rs/games/40-wild-crown/</v>
      </c>
      <c r="BE506" s="5" t="b">
        <f>IFERROR(__xludf.DUMMYFUNCTION("""COMPUTED_VALUE"""),TRUE)</f>
        <v>1</v>
      </c>
    </row>
    <row r="507">
      <c r="A507" s="5">
        <f>IFERROR(__xludf.DUMMYFUNCTION("""COMPUTED_VALUE"""),537.0)</f>
        <v>537</v>
      </c>
      <c r="B507" s="5">
        <f>IFERROR(__xludf.DUMMYFUNCTION("""COMPUTED_VALUE"""),180024.0)</f>
        <v>180024</v>
      </c>
      <c r="C507" s="5" t="str">
        <f>IFERROR(__xludf.DUMMYFUNCTION("""COMPUTED_VALUE"""),"Redstone")</f>
        <v>Redstone</v>
      </c>
      <c r="D507" s="5" t="str">
        <f>IFERROR(__xludf.DUMMYFUNCTION("""COMPUTED_VALUE"""),"Double Crown 5")</f>
        <v>Double Crown 5</v>
      </c>
      <c r="E507" s="5" t="str">
        <f>IFERROR(__xludf.DUMMYFUNCTION("""COMPUTED_VALUE"""),"Redstone")</f>
        <v>Redstone</v>
      </c>
      <c r="F507" s="5" t="str">
        <f>IFERROR(__xludf.DUMMYFUNCTION("""COMPUTED_VALUE"""),"RedstoneDoubleCrown5")</f>
        <v>RedstoneDoubleCrown5</v>
      </c>
      <c r="G507" s="5" t="str">
        <f>IFERROR(__xludf.DUMMYFUNCTION("""COMPUTED_VALUE"""),"Live")</f>
        <v>Live</v>
      </c>
      <c r="H507" s="5"/>
      <c r="I507" s="5" t="str">
        <f>IFERROR(__xludf.DUMMYFUNCTION("""COMPUTED_VALUE"""),"Redstone")</f>
        <v>Redstone</v>
      </c>
      <c r="J507" s="5" t="str">
        <f>IFERROR(__xludf.DUMMYFUNCTION("""COMPUTED_VALUE"""),"JSON")</f>
        <v>JSON</v>
      </c>
      <c r="K507" s="5" t="str">
        <f>IFERROR(__xludf.DUMMYFUNCTION("""COMPUTED_VALUE"""),"Slot")</f>
        <v>Slot</v>
      </c>
      <c r="L507" s="5" t="str">
        <f>IFERROR(__xludf.DUMMYFUNCTION("""COMPUTED_VALUE"""),"Master")</f>
        <v>Master</v>
      </c>
      <c r="M507" s="5"/>
      <c r="N507" s="7" t="str">
        <f>IFERROR(__xludf.DUMMYFUNCTION("""COMPUTED_VALUE"""),"https://drive.google.com/file/d/1-amw2f6rGQxPdLmoRqPQ4B4OnBMCaUiT/view?usp=drive_link")</f>
        <v>https://drive.google.com/file/d/1-amw2f6rGQxPdLmoRqPQ4B4OnBMCaUiT/view?usp=drive_link</v>
      </c>
      <c r="O507" s="7" t="str">
        <f>IFERROR(__xludf.DUMMYFUNCTION("""COMPUTED_VALUE"""),"https://drive.google.com/file/d/1YcfrIj3IZ2DKPIWzXEqRg38PA6964GYy/view?usp=drive_link")</f>
        <v>https://drive.google.com/file/d/1YcfrIj3IZ2DKPIWzXEqRg38PA6964GYy/view?usp=drive_link</v>
      </c>
      <c r="P507" s="12">
        <f>IFERROR(__xludf.DUMMYFUNCTION("""COMPUTED_VALUE"""),10.0)</f>
        <v>10</v>
      </c>
      <c r="Q507" s="13">
        <f>IFERROR(__xludf.DUMMYFUNCTION("""COMPUTED_VALUE"""),45846.0)</f>
        <v>45846</v>
      </c>
      <c r="R507" s="13">
        <f>IFERROR(__xludf.DUMMYFUNCTION("""COMPUTED_VALUE"""),45839.0)</f>
        <v>45839</v>
      </c>
      <c r="S507" s="13">
        <f>IFERROR(__xludf.DUMMYFUNCTION("""COMPUTED_VALUE"""),45846.0)</f>
        <v>45846</v>
      </c>
      <c r="T507" s="5" t="b">
        <f>IFERROR(__xludf.DUMMYFUNCTION("""COMPUTED_VALUE"""),TRUE)</f>
        <v>1</v>
      </c>
      <c r="U507" s="5" t="str">
        <f>IFERROR(__xludf.DUMMYFUNCTION("""COMPUTED_VALUE"""),"3x3")</f>
        <v>3x3</v>
      </c>
      <c r="V507" s="5">
        <f>IFERROR(__xludf.DUMMYFUNCTION("""COMPUTED_VALUE"""),5.0)</f>
        <v>5</v>
      </c>
      <c r="W507" s="5">
        <f>IFERROR(__xludf.DUMMYFUNCTION("""COMPUTED_VALUE"""),5.0)</f>
        <v>5</v>
      </c>
      <c r="X507" s="5">
        <f>IFERROR(__xludf.DUMMYFUNCTION("""COMPUTED_VALUE"""),96.12)</f>
        <v>96.12</v>
      </c>
      <c r="Y507" s="5" t="str">
        <f>IFERROR(__xludf.DUMMYFUNCTION("""COMPUTED_VALUE"""),"Medium")</f>
        <v>Medium</v>
      </c>
      <c r="Z507" s="5">
        <f>IFERROR(__xludf.DUMMYFUNCTION("""COMPUTED_VALUE"""),12.28)</f>
        <v>12.28</v>
      </c>
      <c r="AA507" s="5">
        <f>IFERROR(__xludf.DUMMYFUNCTION("""COMPUTED_VALUE"""),180.0)</f>
        <v>180</v>
      </c>
      <c r="AB507" s="5"/>
      <c r="AC507" s="5" t="str">
        <f>IFERROR(__xludf.DUMMYFUNCTION("""COMPUTED_VALUE"""),"Wild Symbol, Win Multiplier")</f>
        <v>Wild Symbol, Win Multiplier</v>
      </c>
      <c r="AD507" s="5" t="str">
        <f>IFERROR(__xludf.DUMMYFUNCTION("""COMPUTED_VALUE"""),"0.10/50")</f>
        <v>0.10/50</v>
      </c>
      <c r="AE507" s="5"/>
      <c r="AF507" s="5"/>
      <c r="AG507" s="8">
        <f>IFERROR(__xludf.DUMMYFUNCTION("""COMPUTED_VALUE"""),46157.52956018518)</f>
        <v>46157.52956</v>
      </c>
      <c r="AH507" s="5"/>
      <c r="AI507" s="13"/>
      <c r="AJ507" s="5"/>
      <c r="AK507" s="5">
        <f>IFERROR(__xludf.DUMMYFUNCTION("""COMPUTED_VALUE"""),1.0)</f>
        <v>1</v>
      </c>
      <c r="AL507" s="5" t="str">
        <f>IFERROR(__xludf.DUMMYFUNCTION("""COMPUTED_VALUE"""),"No")</f>
        <v>No</v>
      </c>
      <c r="AM507" s="5" t="str">
        <f>IFERROR(__xludf.DUMMYFUNCTION("""COMPUTED_VALUE"""),"No")</f>
        <v>No</v>
      </c>
      <c r="AN507" s="7" t="str">
        <f>IFERROR(__xludf.DUMMYFUNCTION("""COMPUTED_VALUE"""),"https://static.redstone.rs/games/double-crown-5/")</f>
        <v>https://static.redstone.rs/games/double-crown-5/</v>
      </c>
      <c r="AO507" s="5" t="str">
        <f>IFERROR(__xludf.DUMMYFUNCTION("""COMPUTED_VALUE"""),"No")</f>
        <v>No</v>
      </c>
      <c r="AP507" s="5" t="str">
        <f>IFERROR(__xludf.DUMMYFUNCTION("""COMPUTED_VALUE"""),"No")</f>
        <v>No</v>
      </c>
      <c r="AQ507" s="5" t="b">
        <f>IFERROR(__xludf.DUMMYFUNCTION("""COMPUTED_VALUE"""),TRUE)</f>
        <v>1</v>
      </c>
      <c r="AR507" s="5"/>
      <c r="AS507" s="5" t="str">
        <f>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AT507" s="5"/>
      <c r="AU507" s="5" t="str">
        <f>IFERROR(__xludf.DUMMYFUNCTION("""COMPUTED_VALUE"""),"Redstone")</f>
        <v>Redstone</v>
      </c>
      <c r="AV507" s="5"/>
      <c r="AW507" s="5"/>
      <c r="AX507" s="5"/>
      <c r="AY507" s="5"/>
      <c r="AZ507" s="5"/>
      <c r="BA507" s="5"/>
      <c r="BB507" s="5" t="b">
        <f>IFERROR(__xludf.DUMMYFUNCTION("""COMPUTED_VALUE"""),TRUE)</f>
        <v>1</v>
      </c>
      <c r="BC507" s="5" t="str">
        <f>IFERROR(__xludf.DUMMYFUNCTION("""COMPUTED_VALUE"""),"Redstone")</f>
        <v>Redstone</v>
      </c>
      <c r="BD507" s="7" t="str">
        <f>IFERROR(__xludf.DUMMYFUNCTION("""COMPUTED_VALUE"""),"https://static.redstone.rs/games/double-crown-5/")</f>
        <v>https://static.redstone.rs/games/double-crown-5/</v>
      </c>
      <c r="BE507" s="5" t="b">
        <f>IFERROR(__xludf.DUMMYFUNCTION("""COMPUTED_VALUE"""),TRUE)</f>
        <v>1</v>
      </c>
    </row>
    <row r="508">
      <c r="A508" s="5">
        <f>IFERROR(__xludf.DUMMYFUNCTION("""COMPUTED_VALUE"""),538.0)</f>
        <v>538</v>
      </c>
      <c r="B508" s="5">
        <f>IFERROR(__xludf.DUMMYFUNCTION("""COMPUTED_VALUE"""),180025.0)</f>
        <v>180025</v>
      </c>
      <c r="C508" s="5" t="str">
        <f>IFERROR(__xludf.DUMMYFUNCTION("""COMPUTED_VALUE"""),"Redstone")</f>
        <v>Redstone</v>
      </c>
      <c r="D508" s="5" t="str">
        <f>IFERROR(__xludf.DUMMYFUNCTION("""COMPUTED_VALUE"""),"Heart Royale ")</f>
        <v>Heart Royale </v>
      </c>
      <c r="E508" s="5" t="str">
        <f>IFERROR(__xludf.DUMMYFUNCTION("""COMPUTED_VALUE"""),"Redstone")</f>
        <v>Redstone</v>
      </c>
      <c r="F508" s="5" t="str">
        <f>IFERROR(__xludf.DUMMYFUNCTION("""COMPUTED_VALUE"""),"RedstoneHeartRoyale")</f>
        <v>RedstoneHeartRoyale</v>
      </c>
      <c r="G508" s="5" t="str">
        <f>IFERROR(__xludf.DUMMYFUNCTION("""COMPUTED_VALUE"""),"Live")</f>
        <v>Live</v>
      </c>
      <c r="H508" s="5"/>
      <c r="I508" s="5" t="str">
        <f>IFERROR(__xludf.DUMMYFUNCTION("""COMPUTED_VALUE"""),"Redstone")</f>
        <v>Redstone</v>
      </c>
      <c r="J508" s="5" t="str">
        <f>IFERROR(__xludf.DUMMYFUNCTION("""COMPUTED_VALUE"""),"JSON")</f>
        <v>JSON</v>
      </c>
      <c r="K508" s="5" t="str">
        <f>IFERROR(__xludf.DUMMYFUNCTION("""COMPUTED_VALUE"""),"Slot")</f>
        <v>Slot</v>
      </c>
      <c r="L508" s="5" t="str">
        <f>IFERROR(__xludf.DUMMYFUNCTION("""COMPUTED_VALUE"""),"Master")</f>
        <v>Master</v>
      </c>
      <c r="M508" s="5"/>
      <c r="N508" s="7" t="str">
        <f>IFERROR(__xludf.DUMMYFUNCTION("""COMPUTED_VALUE"""),"https://drive.google.com/file/d/1oz6yW5qnOMRoaFkZSgqtFto3q_2PdbZ6/view?usp=drive_link")</f>
        <v>https://drive.google.com/file/d/1oz6yW5qnOMRoaFkZSgqtFto3q_2PdbZ6/view?usp=drive_link</v>
      </c>
      <c r="O508" s="7" t="str">
        <f>IFERROR(__xludf.DUMMYFUNCTION("""COMPUTED_VALUE"""),"https://drive.google.com/file/d/1LZlXE5diYEEbyW4iyCuBT6KsdLU41E_9/view?usp=drive_link")</f>
        <v>https://drive.google.com/file/d/1LZlXE5diYEEbyW4iyCuBT6KsdLU41E_9/view?usp=drive_link</v>
      </c>
      <c r="P508" s="12">
        <f>IFERROR(__xludf.DUMMYFUNCTION("""COMPUTED_VALUE"""),9.3)</f>
        <v>9.3</v>
      </c>
      <c r="Q508" s="13">
        <f>IFERROR(__xludf.DUMMYFUNCTION("""COMPUTED_VALUE"""),45854.0)</f>
        <v>45854</v>
      </c>
      <c r="R508" s="13">
        <f>IFERROR(__xludf.DUMMYFUNCTION("""COMPUTED_VALUE"""),45847.0)</f>
        <v>45847</v>
      </c>
      <c r="S508" s="13">
        <f>IFERROR(__xludf.DUMMYFUNCTION("""COMPUTED_VALUE"""),45854.0)</f>
        <v>45854</v>
      </c>
      <c r="T508" s="5" t="b">
        <f>IFERROR(__xludf.DUMMYFUNCTION("""COMPUTED_VALUE"""),TRUE)</f>
        <v>1</v>
      </c>
      <c r="U508" s="5" t="str">
        <f>IFERROR(__xludf.DUMMYFUNCTION("""COMPUTED_VALUE"""),"5x3")</f>
        <v>5x3</v>
      </c>
      <c r="V508" s="5">
        <f>IFERROR(__xludf.DUMMYFUNCTION("""COMPUTED_VALUE"""),5.0)</f>
        <v>5</v>
      </c>
      <c r="W508" s="5">
        <f>IFERROR(__xludf.DUMMYFUNCTION("""COMPUTED_VALUE"""),5.0)</f>
        <v>5</v>
      </c>
      <c r="X508" s="5">
        <f>IFERROR(__xludf.DUMMYFUNCTION("""COMPUTED_VALUE"""),95.99)</f>
        <v>95.99</v>
      </c>
      <c r="Y508" s="5" t="str">
        <f>IFERROR(__xludf.DUMMYFUNCTION("""COMPUTED_VALUE"""),"Medium")</f>
        <v>Medium</v>
      </c>
      <c r="Z508" s="5">
        <f>IFERROR(__xludf.DUMMYFUNCTION("""COMPUTED_VALUE"""),10.37)</f>
        <v>10.37</v>
      </c>
      <c r="AA508" s="5">
        <f>IFERROR(__xludf.DUMMYFUNCTION("""COMPUTED_VALUE"""),6150.0)</f>
        <v>6150</v>
      </c>
      <c r="AB508" s="5"/>
      <c r="AC508" s="5" t="str">
        <f>IFERROR(__xludf.DUMMYFUNCTION("""COMPUTED_VALUE"""),"Wild Multiplier, Expanding Wild")</f>
        <v>Wild Multiplier, Expanding Wild</v>
      </c>
      <c r="AD508" s="5" t="str">
        <f>IFERROR(__xludf.DUMMYFUNCTION("""COMPUTED_VALUE"""),"0.01/50")</f>
        <v>0.01/50</v>
      </c>
      <c r="AE508" s="5"/>
      <c r="AF508" s="5"/>
      <c r="AG508" s="8">
        <f>IFERROR(__xludf.DUMMYFUNCTION("""COMPUTED_VALUE"""),46157.53021990741)</f>
        <v>46157.53022</v>
      </c>
      <c r="AH508" s="5"/>
      <c r="AI508" s="13"/>
      <c r="AJ508" s="5"/>
      <c r="AK508" s="5">
        <f>IFERROR(__xludf.DUMMYFUNCTION("""COMPUTED_VALUE"""),1.0)</f>
        <v>1</v>
      </c>
      <c r="AL508" s="5" t="str">
        <f>IFERROR(__xludf.DUMMYFUNCTION("""COMPUTED_VALUE"""),"No")</f>
        <v>No</v>
      </c>
      <c r="AM508" s="5" t="str">
        <f>IFERROR(__xludf.DUMMYFUNCTION("""COMPUTED_VALUE"""),"No")</f>
        <v>No</v>
      </c>
      <c r="AN508" s="7" t="str">
        <f>IFERROR(__xludf.DUMMYFUNCTION("""COMPUTED_VALUE"""),"https://static.redstone.rs/games/heart-royale/")</f>
        <v>https://static.redstone.rs/games/heart-royale/</v>
      </c>
      <c r="AO508" s="5" t="str">
        <f>IFERROR(__xludf.DUMMYFUNCTION("""COMPUTED_VALUE"""),"No")</f>
        <v>No</v>
      </c>
      <c r="AP508" s="5" t="str">
        <f>IFERROR(__xludf.DUMMYFUNCTION("""COMPUTED_VALUE"""),"No")</f>
        <v>No</v>
      </c>
      <c r="AQ508" s="5" t="b">
        <f>IFERROR(__xludf.DUMMYFUNCTION("""COMPUTED_VALUE"""),TRUE)</f>
        <v>1</v>
      </c>
      <c r="AR508" s="5"/>
      <c r="AS508" s="5" t="str">
        <f>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AT508" s="5"/>
      <c r="AU508" s="5" t="str">
        <f>IFERROR(__xludf.DUMMYFUNCTION("""COMPUTED_VALUE"""),"Redstone")</f>
        <v>Redstone</v>
      </c>
      <c r="AV508" s="5"/>
      <c r="AW508" s="5"/>
      <c r="AX508" s="5"/>
      <c r="AY508" s="5"/>
      <c r="AZ508" s="5"/>
      <c r="BA508" s="5"/>
      <c r="BB508" s="5" t="b">
        <f>IFERROR(__xludf.DUMMYFUNCTION("""COMPUTED_VALUE"""),TRUE)</f>
        <v>1</v>
      </c>
      <c r="BC508" s="5" t="str">
        <f>IFERROR(__xludf.DUMMYFUNCTION("""COMPUTED_VALUE"""),"Redstone")</f>
        <v>Redstone</v>
      </c>
      <c r="BD508" s="7" t="str">
        <f>IFERROR(__xludf.DUMMYFUNCTION("""COMPUTED_VALUE"""),"https://static.redstone.rs/games/heart-royale/")</f>
        <v>https://static.redstone.rs/games/heart-royale/</v>
      </c>
      <c r="BE508" s="5" t="b">
        <f>IFERROR(__xludf.DUMMYFUNCTION("""COMPUTED_VALUE"""),TRUE)</f>
        <v>1</v>
      </c>
    </row>
    <row r="509">
      <c r="A509" s="5">
        <f>IFERROR(__xludf.DUMMYFUNCTION("""COMPUTED_VALUE"""),539.0)</f>
        <v>539</v>
      </c>
      <c r="B509" s="5">
        <f>IFERROR(__xludf.DUMMYFUNCTION("""COMPUTED_VALUE"""),180026.0)</f>
        <v>180026</v>
      </c>
      <c r="C509" s="5" t="str">
        <f>IFERROR(__xludf.DUMMYFUNCTION("""COMPUTED_VALUE"""),"Redstone")</f>
        <v>Redstone</v>
      </c>
      <c r="D509" s="5" t="str">
        <f>IFERROR(__xludf.DUMMYFUNCTION("""COMPUTED_VALUE"""),"Reel X5: 27 Ways")</f>
        <v>Reel X5: 27 Ways</v>
      </c>
      <c r="E509" s="5" t="str">
        <f>IFERROR(__xludf.DUMMYFUNCTION("""COMPUTED_VALUE"""),"Redstone")</f>
        <v>Redstone</v>
      </c>
      <c r="F509" s="5" t="str">
        <f>IFERROR(__xludf.DUMMYFUNCTION("""COMPUTED_VALUE"""),"RedstoneReelX527Ways")</f>
        <v>RedstoneReelX527Ways</v>
      </c>
      <c r="G509" s="5" t="str">
        <f>IFERROR(__xludf.DUMMYFUNCTION("""COMPUTED_VALUE"""),"Live")</f>
        <v>Live</v>
      </c>
      <c r="H509" s="5"/>
      <c r="I509" s="5" t="str">
        <f>IFERROR(__xludf.DUMMYFUNCTION("""COMPUTED_VALUE"""),"Redstone")</f>
        <v>Redstone</v>
      </c>
      <c r="J509" s="5" t="str">
        <f>IFERROR(__xludf.DUMMYFUNCTION("""COMPUTED_VALUE"""),"JSON")</f>
        <v>JSON</v>
      </c>
      <c r="K509" s="5" t="str">
        <f>IFERROR(__xludf.DUMMYFUNCTION("""COMPUTED_VALUE"""),"Slot")</f>
        <v>Slot</v>
      </c>
      <c r="L509" s="5" t="str">
        <f>IFERROR(__xludf.DUMMYFUNCTION("""COMPUTED_VALUE"""),"Master")</f>
        <v>Master</v>
      </c>
      <c r="M509" s="5"/>
      <c r="N509" s="7" t="str">
        <f>IFERROR(__xludf.DUMMYFUNCTION("""COMPUTED_VALUE"""),"https://drive.google.com/file/d/1aQMoqx1Q0PxgTRx-QfcLaCK7eHBA4cDj/view?usp=drive_link")</f>
        <v>https://drive.google.com/file/d/1aQMoqx1Q0PxgTRx-QfcLaCK7eHBA4cDj/view?usp=drive_link</v>
      </c>
      <c r="O509" s="7" t="str">
        <f>IFERROR(__xludf.DUMMYFUNCTION("""COMPUTED_VALUE"""),"https://drive.google.com/file/d/1ezyMekXOVMpheGJbphiWWp4EOr-96GWP/view?usp=drive_link")</f>
        <v>https://drive.google.com/file/d/1ezyMekXOVMpheGJbphiWWp4EOr-96GWP/view?usp=drive_link</v>
      </c>
      <c r="P509" s="12">
        <f>IFERROR(__xludf.DUMMYFUNCTION("""COMPUTED_VALUE"""),6.7)</f>
        <v>6.7</v>
      </c>
      <c r="Q509" s="13">
        <f>IFERROR(__xludf.DUMMYFUNCTION("""COMPUTED_VALUE"""),45860.0)</f>
        <v>45860</v>
      </c>
      <c r="R509" s="13">
        <f>IFERROR(__xludf.DUMMYFUNCTION("""COMPUTED_VALUE"""),45853.0)</f>
        <v>45853</v>
      </c>
      <c r="S509" s="13">
        <f>IFERROR(__xludf.DUMMYFUNCTION("""COMPUTED_VALUE"""),45860.0)</f>
        <v>45860</v>
      </c>
      <c r="T509" s="5" t="b">
        <f>IFERROR(__xludf.DUMMYFUNCTION("""COMPUTED_VALUE"""),TRUE)</f>
        <v>1</v>
      </c>
      <c r="U509" s="5" t="str">
        <f>IFERROR(__xludf.DUMMYFUNCTION("""COMPUTED_VALUE"""),"3x3")</f>
        <v>3x3</v>
      </c>
      <c r="V509" s="5">
        <f>IFERROR(__xludf.DUMMYFUNCTION("""COMPUTED_VALUE"""),27.0)</f>
        <v>27</v>
      </c>
      <c r="W509" s="5">
        <f>IFERROR(__xludf.DUMMYFUNCTION("""COMPUTED_VALUE"""),27.0)</f>
        <v>27</v>
      </c>
      <c r="X509" s="5">
        <f>IFERROR(__xludf.DUMMYFUNCTION("""COMPUTED_VALUE"""),96.0)</f>
        <v>96</v>
      </c>
      <c r="Y509" s="5" t="str">
        <f>IFERROR(__xludf.DUMMYFUNCTION("""COMPUTED_VALUE"""),"Low")</f>
        <v>Low</v>
      </c>
      <c r="Z509" s="5">
        <f>IFERROR(__xludf.DUMMYFUNCTION("""COMPUTED_VALUE"""),11.92)</f>
        <v>11.92</v>
      </c>
      <c r="AA509" s="5">
        <f>IFERROR(__xludf.DUMMYFUNCTION("""COMPUTED_VALUE"""),450.0)</f>
        <v>450</v>
      </c>
      <c r="AB509" s="5"/>
      <c r="AC509" s="5" t="str">
        <f>IFERROR(__xludf.DUMMYFUNCTION("""COMPUTED_VALUE"""),"Win Multiplier")</f>
        <v>Win Multiplier</v>
      </c>
      <c r="AD509" s="5" t="str">
        <f>IFERROR(__xludf.DUMMYFUNCTION("""COMPUTED_VALUE"""),"0.10/50")</f>
        <v>0.10/50</v>
      </c>
      <c r="AE509" s="5"/>
      <c r="AF509" s="5"/>
      <c r="AG509" s="8">
        <f>IFERROR(__xludf.DUMMYFUNCTION("""COMPUTED_VALUE"""),46157.530439814815)</f>
        <v>46157.53044</v>
      </c>
      <c r="AH509" s="5"/>
      <c r="AI509" s="13"/>
      <c r="AJ509" s="5"/>
      <c r="AK509" s="5">
        <f>IFERROR(__xludf.DUMMYFUNCTION("""COMPUTED_VALUE"""),1.0)</f>
        <v>1</v>
      </c>
      <c r="AL509" s="5" t="str">
        <f>IFERROR(__xludf.DUMMYFUNCTION("""COMPUTED_VALUE"""),"No")</f>
        <v>No</v>
      </c>
      <c r="AM509" s="5" t="str">
        <f>IFERROR(__xludf.DUMMYFUNCTION("""COMPUTED_VALUE"""),"No")</f>
        <v>No</v>
      </c>
      <c r="AN509" s="7" t="str">
        <f>IFERROR(__xludf.DUMMYFUNCTION("""COMPUTED_VALUE"""),"https://static.redstone.rs/games/reel-x5-27-ways/")</f>
        <v>https://static.redstone.rs/games/reel-x5-27-ways/</v>
      </c>
      <c r="AO509" s="5" t="str">
        <f>IFERROR(__xludf.DUMMYFUNCTION("""COMPUTED_VALUE"""),"No")</f>
        <v>No</v>
      </c>
      <c r="AP509" s="5" t="str">
        <f>IFERROR(__xludf.DUMMYFUNCTION("""COMPUTED_VALUE"""),"No")</f>
        <v>No</v>
      </c>
      <c r="AQ509" s="5" t="b">
        <f>IFERROR(__xludf.DUMMYFUNCTION("""COMPUTED_VALUE"""),TRUE)</f>
        <v>1</v>
      </c>
      <c r="AR509" s="5"/>
      <c r="AS509" s="5" t="str">
        <f>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AT509" s="5"/>
      <c r="AU509" s="5" t="str">
        <f>IFERROR(__xludf.DUMMYFUNCTION("""COMPUTED_VALUE"""),"Redstone")</f>
        <v>Redstone</v>
      </c>
      <c r="AV509" s="5"/>
      <c r="AW509" s="5"/>
      <c r="AX509" s="5"/>
      <c r="AY509" s="5"/>
      <c r="AZ509" s="5"/>
      <c r="BA509" s="5"/>
      <c r="BB509" s="5" t="b">
        <f>IFERROR(__xludf.DUMMYFUNCTION("""COMPUTED_VALUE"""),TRUE)</f>
        <v>1</v>
      </c>
      <c r="BC509" s="5" t="str">
        <f>IFERROR(__xludf.DUMMYFUNCTION("""COMPUTED_VALUE"""),"Redstone")</f>
        <v>Redstone</v>
      </c>
      <c r="BD509" s="7" t="str">
        <f>IFERROR(__xludf.DUMMYFUNCTION("""COMPUTED_VALUE"""),"https://static.redstone.rs/games/reel-x5-27-ways/")</f>
        <v>https://static.redstone.rs/games/reel-x5-27-ways/</v>
      </c>
      <c r="BE509" s="5" t="b">
        <f>IFERROR(__xludf.DUMMYFUNCTION("""COMPUTED_VALUE"""),TRUE)</f>
        <v>1</v>
      </c>
    </row>
    <row r="510">
      <c r="A510" s="5">
        <f>IFERROR(__xludf.DUMMYFUNCTION("""COMPUTED_VALUE"""),540.0)</f>
        <v>540</v>
      </c>
      <c r="B510" s="5">
        <f>IFERROR(__xludf.DUMMYFUNCTION("""COMPUTED_VALUE"""),180027.0)</f>
        <v>180027</v>
      </c>
      <c r="C510" s="5" t="str">
        <f>IFERROR(__xludf.DUMMYFUNCTION("""COMPUTED_VALUE"""),"Redstone")</f>
        <v>Redstone</v>
      </c>
      <c r="D510" s="5" t="str">
        <f>IFERROR(__xludf.DUMMYFUNCTION("""COMPUTED_VALUE"""),"Crown Drop")</f>
        <v>Crown Drop</v>
      </c>
      <c r="E510" s="5" t="str">
        <f>IFERROR(__xludf.DUMMYFUNCTION("""COMPUTED_VALUE"""),"Redstone")</f>
        <v>Redstone</v>
      </c>
      <c r="F510" s="5" t="str">
        <f>IFERROR(__xludf.DUMMYFUNCTION("""COMPUTED_VALUE"""),"RedstoneCrownDrop")</f>
        <v>RedstoneCrownDrop</v>
      </c>
      <c r="G510" s="5" t="str">
        <f>IFERROR(__xludf.DUMMYFUNCTION("""COMPUTED_VALUE"""),"Live")</f>
        <v>Live</v>
      </c>
      <c r="H510" s="5"/>
      <c r="I510" s="5" t="str">
        <f>IFERROR(__xludf.DUMMYFUNCTION("""COMPUTED_VALUE"""),"Redstone")</f>
        <v>Redstone</v>
      </c>
      <c r="J510" s="5" t="str">
        <f>IFERROR(__xludf.DUMMYFUNCTION("""COMPUTED_VALUE"""),"JSON")</f>
        <v>JSON</v>
      </c>
      <c r="K510" s="5" t="str">
        <f>IFERROR(__xludf.DUMMYFUNCTION("""COMPUTED_VALUE"""),"Slot")</f>
        <v>Slot</v>
      </c>
      <c r="L510" s="5" t="str">
        <f>IFERROR(__xludf.DUMMYFUNCTION("""COMPUTED_VALUE"""),"Master")</f>
        <v>Master</v>
      </c>
      <c r="M510" s="5"/>
      <c r="N510" s="7" t="str">
        <f>IFERROR(__xludf.DUMMYFUNCTION("""COMPUTED_VALUE"""),"https://drive.google.com/file/d/12E3WH7zMmakKE9xQtqyckajMvhnbC-Hr/view?usp=drive_link")</f>
        <v>https://drive.google.com/file/d/12E3WH7zMmakKE9xQtqyckajMvhnbC-Hr/view?usp=drive_link</v>
      </c>
      <c r="O510" s="7" t="str">
        <f>IFERROR(__xludf.DUMMYFUNCTION("""COMPUTED_VALUE"""),"https://drive.google.com/file/d/19ze_Zg77kWqTu22_FVM6AbHjo7vnCW-j/view?usp=drive_link")</f>
        <v>https://drive.google.com/file/d/19ze_Zg77kWqTu22_FVM6AbHjo7vnCW-j/view?usp=drive_link</v>
      </c>
      <c r="P510" s="12">
        <f>IFERROR(__xludf.DUMMYFUNCTION("""COMPUTED_VALUE"""),7.8)</f>
        <v>7.8</v>
      </c>
      <c r="Q510" s="13">
        <f>IFERROR(__xludf.DUMMYFUNCTION("""COMPUTED_VALUE"""),45866.0)</f>
        <v>45866</v>
      </c>
      <c r="R510" s="13">
        <f>IFERROR(__xludf.DUMMYFUNCTION("""COMPUTED_VALUE"""),45859.0)</f>
        <v>45859</v>
      </c>
      <c r="S510" s="13">
        <f>IFERROR(__xludf.DUMMYFUNCTION("""COMPUTED_VALUE"""),45866.0)</f>
        <v>45866</v>
      </c>
      <c r="T510" s="5" t="b">
        <f>IFERROR(__xludf.DUMMYFUNCTION("""COMPUTED_VALUE"""),TRUE)</f>
        <v>1</v>
      </c>
      <c r="U510" s="5" t="str">
        <f>IFERROR(__xludf.DUMMYFUNCTION("""COMPUTED_VALUE"""),"5x5")</f>
        <v>5x5</v>
      </c>
      <c r="V510" s="5">
        <f>IFERROR(__xludf.DUMMYFUNCTION("""COMPUTED_VALUE"""),20.0)</f>
        <v>20</v>
      </c>
      <c r="W510" s="5">
        <f>IFERROR(__xludf.DUMMYFUNCTION("""COMPUTED_VALUE"""),20.0)</f>
        <v>20</v>
      </c>
      <c r="X510" s="5">
        <f>IFERROR(__xludf.DUMMYFUNCTION("""COMPUTED_VALUE"""),96.02)</f>
        <v>96.02</v>
      </c>
      <c r="Y510" s="5" t="str">
        <f>IFERROR(__xludf.DUMMYFUNCTION("""COMPUTED_VALUE"""),"Medium")</f>
        <v>Medium</v>
      </c>
      <c r="Z510" s="5">
        <f>IFERROR(__xludf.DUMMYFUNCTION("""COMPUTED_VALUE"""),19.8)</f>
        <v>19.8</v>
      </c>
      <c r="AA510" s="5">
        <f>IFERROR(__xludf.DUMMYFUNCTION("""COMPUTED_VALUE"""),916.5)</f>
        <v>916.5</v>
      </c>
      <c r="AB510" s="5"/>
      <c r="AC510" s="5" t="str">
        <f>IFERROR(__xludf.DUMMYFUNCTION("""COMPUTED_VALUE"""),"Expanding Wild, Scatter")</f>
        <v>Expanding Wild, Scatter</v>
      </c>
      <c r="AD510" s="5" t="str">
        <f>IFERROR(__xludf.DUMMYFUNCTION("""COMPUTED_VALUE"""),"0.02/50")</f>
        <v>0.02/50</v>
      </c>
      <c r="AE510" s="5"/>
      <c r="AF510" s="5"/>
      <c r="AG510" s="8">
        <f>IFERROR(__xludf.DUMMYFUNCTION("""COMPUTED_VALUE"""),46157.530706018515)</f>
        <v>46157.53071</v>
      </c>
      <c r="AH510" s="5"/>
      <c r="AI510" s="13"/>
      <c r="AJ510" s="5"/>
      <c r="AK510" s="5">
        <f>IFERROR(__xludf.DUMMYFUNCTION("""COMPUTED_VALUE"""),1.0)</f>
        <v>1</v>
      </c>
      <c r="AL510" s="5" t="str">
        <f>IFERROR(__xludf.DUMMYFUNCTION("""COMPUTED_VALUE"""),"No")</f>
        <v>No</v>
      </c>
      <c r="AM510" s="5" t="str">
        <f>IFERROR(__xludf.DUMMYFUNCTION("""COMPUTED_VALUE"""),"No")</f>
        <v>No</v>
      </c>
      <c r="AN510" s="7" t="str">
        <f>IFERROR(__xludf.DUMMYFUNCTION("""COMPUTED_VALUE"""),"https://static.redstone.rs/games/crown-drop/")</f>
        <v>https://static.redstone.rs/games/crown-drop/</v>
      </c>
      <c r="AO510" s="5" t="str">
        <f>IFERROR(__xludf.DUMMYFUNCTION("""COMPUTED_VALUE"""),"No")</f>
        <v>No</v>
      </c>
      <c r="AP510" s="5" t="str">
        <f>IFERROR(__xludf.DUMMYFUNCTION("""COMPUTED_VALUE"""),"No")</f>
        <v>No</v>
      </c>
      <c r="AQ510" s="5" t="b">
        <f>IFERROR(__xludf.DUMMYFUNCTION("""COMPUTED_VALUE"""),TRUE)</f>
        <v>1</v>
      </c>
      <c r="AR510" s="5"/>
      <c r="AS510" s="5" t="str">
        <f>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AT510" s="5"/>
      <c r="AU510" s="5" t="str">
        <f>IFERROR(__xludf.DUMMYFUNCTION("""COMPUTED_VALUE"""),"Redstone")</f>
        <v>Redstone</v>
      </c>
      <c r="AV510" s="5"/>
      <c r="AW510" s="5"/>
      <c r="AX510" s="5"/>
      <c r="AY510" s="5"/>
      <c r="AZ510" s="5"/>
      <c r="BA510" s="5"/>
      <c r="BB510" s="5" t="b">
        <f>IFERROR(__xludf.DUMMYFUNCTION("""COMPUTED_VALUE"""),TRUE)</f>
        <v>1</v>
      </c>
      <c r="BC510" s="5" t="str">
        <f>IFERROR(__xludf.DUMMYFUNCTION("""COMPUTED_VALUE"""),"Redstone")</f>
        <v>Redstone</v>
      </c>
      <c r="BD510" s="7" t="str">
        <f>IFERROR(__xludf.DUMMYFUNCTION("""COMPUTED_VALUE"""),"https://static.redstone.rs/games/crown-drop/")</f>
        <v>https://static.redstone.rs/games/crown-drop/</v>
      </c>
      <c r="BE510" s="5" t="b">
        <f>IFERROR(__xludf.DUMMYFUNCTION("""COMPUTED_VALUE"""),TRUE)</f>
        <v>1</v>
      </c>
    </row>
    <row r="511">
      <c r="A511" s="5">
        <f>IFERROR(__xludf.DUMMYFUNCTION("""COMPUTED_VALUE"""),541.0)</f>
        <v>541</v>
      </c>
      <c r="B511" s="5">
        <f>IFERROR(__xludf.DUMMYFUNCTION("""COMPUTED_VALUE"""),180028.0)</f>
        <v>180028</v>
      </c>
      <c r="C511" s="5" t="str">
        <f>IFERROR(__xludf.DUMMYFUNCTION("""COMPUTED_VALUE"""),"Redstone")</f>
        <v>Redstone</v>
      </c>
      <c r="D511" s="5" t="str">
        <f>IFERROR(__xludf.DUMMYFUNCTION("""COMPUTED_VALUE"""),"5 Clover Fire 6 Reels")</f>
        <v>5 Clover Fire 6 Reels</v>
      </c>
      <c r="E511" s="5" t="str">
        <f>IFERROR(__xludf.DUMMYFUNCTION("""COMPUTED_VALUE"""),"Redstone")</f>
        <v>Redstone</v>
      </c>
      <c r="F511" s="5" t="str">
        <f>IFERROR(__xludf.DUMMYFUNCTION("""COMPUTED_VALUE"""),"Redstone5CloverFire6Reels")</f>
        <v>Redstone5CloverFire6Reels</v>
      </c>
      <c r="G511" s="5" t="str">
        <f>IFERROR(__xludf.DUMMYFUNCTION("""COMPUTED_VALUE"""),"Live")</f>
        <v>Live</v>
      </c>
      <c r="H511" s="5"/>
      <c r="I511" s="5" t="str">
        <f>IFERROR(__xludf.DUMMYFUNCTION("""COMPUTED_VALUE"""),"Redstone")</f>
        <v>Redstone</v>
      </c>
      <c r="J511" s="5" t="str">
        <f>IFERROR(__xludf.DUMMYFUNCTION("""COMPUTED_VALUE"""),"JSON")</f>
        <v>JSON</v>
      </c>
      <c r="K511" s="5" t="str">
        <f>IFERROR(__xludf.DUMMYFUNCTION("""COMPUTED_VALUE"""),"Slot")</f>
        <v>Slot</v>
      </c>
      <c r="L511" s="5" t="str">
        <f>IFERROR(__xludf.DUMMYFUNCTION("""COMPUTED_VALUE"""),"Master")</f>
        <v>Master</v>
      </c>
      <c r="M511" s="5"/>
      <c r="N511" s="7" t="str">
        <f>IFERROR(__xludf.DUMMYFUNCTION("""COMPUTED_VALUE"""),"https://drive.google.com/file/d/12E3WH7zMmakKE9xQtqyckajMvhnbC-Hr/view?usp=drive_link")</f>
        <v>https://drive.google.com/file/d/12E3WH7zMmakKE9xQtqyckajMvhnbC-Hr/view?usp=drive_link</v>
      </c>
      <c r="O511" s="7" t="str">
        <f>IFERROR(__xludf.DUMMYFUNCTION("""COMPUTED_VALUE"""),"https://drive.google.com/file/d/19ze_Zg77kWqTu22_FVM6AbHjo7vnCW-j/view?usp=drive_link")</f>
        <v>https://drive.google.com/file/d/19ze_Zg77kWqTu22_FVM6AbHjo7vnCW-j/view?usp=drive_link</v>
      </c>
      <c r="P511" s="12">
        <f>IFERROR(__xludf.DUMMYFUNCTION("""COMPUTED_VALUE"""),7.6)</f>
        <v>7.6</v>
      </c>
      <c r="Q511" s="13">
        <f>IFERROR(__xludf.DUMMYFUNCTION("""COMPUTED_VALUE"""),45875.0)</f>
        <v>45875</v>
      </c>
      <c r="R511" s="13">
        <f>IFERROR(__xludf.DUMMYFUNCTION("""COMPUTED_VALUE"""),45868.0)</f>
        <v>45868</v>
      </c>
      <c r="S511" s="13">
        <f>IFERROR(__xludf.DUMMYFUNCTION("""COMPUTED_VALUE"""),45875.0)</f>
        <v>45875</v>
      </c>
      <c r="T511" s="5" t="b">
        <f>IFERROR(__xludf.DUMMYFUNCTION("""COMPUTED_VALUE"""),TRUE)</f>
        <v>1</v>
      </c>
      <c r="U511" s="5" t="str">
        <f>IFERROR(__xludf.DUMMYFUNCTION("""COMPUTED_VALUE"""),"6x3")</f>
        <v>6x3</v>
      </c>
      <c r="V511" s="5">
        <f>IFERROR(__xludf.DUMMYFUNCTION("""COMPUTED_VALUE"""),5.0)</f>
        <v>5</v>
      </c>
      <c r="W511" s="5">
        <f>IFERROR(__xludf.DUMMYFUNCTION("""COMPUTED_VALUE"""),5.0)</f>
        <v>5</v>
      </c>
      <c r="X511" s="5">
        <f>IFERROR(__xludf.DUMMYFUNCTION("""COMPUTED_VALUE"""),95.95)</f>
        <v>95.95</v>
      </c>
      <c r="Y511" s="5" t="str">
        <f>IFERROR(__xludf.DUMMYFUNCTION("""COMPUTED_VALUE"""),"Medium")</f>
        <v>Medium</v>
      </c>
      <c r="Z511" s="5">
        <f>IFERROR(__xludf.DUMMYFUNCTION("""COMPUTED_VALUE"""),19.58)</f>
        <v>19.58</v>
      </c>
      <c r="AA511" s="5">
        <f>IFERROR(__xludf.DUMMYFUNCTION("""COMPUTED_VALUE"""),1245.0)</f>
        <v>1245</v>
      </c>
      <c r="AB511" s="5"/>
      <c r="AC511" s="5" t="str">
        <f>IFERROR(__xludf.DUMMYFUNCTION("""COMPUTED_VALUE"""),"Expanding Wild, Scatter")</f>
        <v>Expanding Wild, Scatter</v>
      </c>
      <c r="AD511" s="5" t="str">
        <f>IFERROR(__xludf.DUMMYFUNCTION("""COMPUTED_VALUE"""),"0.02/50")</f>
        <v>0.02/50</v>
      </c>
      <c r="AE511" s="5"/>
      <c r="AF511" s="5"/>
      <c r="AG511" s="8">
        <f>IFERROR(__xludf.DUMMYFUNCTION("""COMPUTED_VALUE"""),46157.53089120371)</f>
        <v>46157.53089</v>
      </c>
      <c r="AH511" s="5"/>
      <c r="AI511" s="13"/>
      <c r="AJ511" s="5"/>
      <c r="AK511" s="5">
        <f>IFERROR(__xludf.DUMMYFUNCTION("""COMPUTED_VALUE"""),1.0)</f>
        <v>1</v>
      </c>
      <c r="AL511" s="5" t="str">
        <f>IFERROR(__xludf.DUMMYFUNCTION("""COMPUTED_VALUE"""),"No")</f>
        <v>No</v>
      </c>
      <c r="AM511" s="5" t="str">
        <f>IFERROR(__xludf.DUMMYFUNCTION("""COMPUTED_VALUE"""),"No")</f>
        <v>No</v>
      </c>
      <c r="AN511" s="7" t="str">
        <f>IFERROR(__xludf.DUMMYFUNCTION("""COMPUTED_VALUE"""),"https://static.redstone.rs/games/5-clover-fire-6-reels/")</f>
        <v>https://static.redstone.rs/games/5-clover-fire-6-reels/</v>
      </c>
      <c r="AO511" s="5" t="str">
        <f>IFERROR(__xludf.DUMMYFUNCTION("""COMPUTED_VALUE"""),"No")</f>
        <v>No</v>
      </c>
      <c r="AP511" s="5" t="str">
        <f>IFERROR(__xludf.DUMMYFUNCTION("""COMPUTED_VALUE"""),"No")</f>
        <v>No</v>
      </c>
      <c r="AQ511" s="5" t="b">
        <f>IFERROR(__xludf.DUMMYFUNCTION("""COMPUTED_VALUE"""),TRUE)</f>
        <v>1</v>
      </c>
      <c r="AR511" s="5"/>
      <c r="AS511" s="5" t="str">
        <f>IFERROR(__xludf.DUMMYFUNCTION("""COMPUTED_VALUE"""),"More clovers, more fire, more ways to win! 5 Clover Fire 6 Reels delivers even more thrills on every spin.")</f>
        <v>More clovers, more fire, more ways to win! 5 Clover Fire 6 Reels delivers even more thrills on every spin.</v>
      </c>
      <c r="AT511" s="5"/>
      <c r="AU511" s="5" t="str">
        <f>IFERROR(__xludf.DUMMYFUNCTION("""COMPUTED_VALUE"""),"Redstone")</f>
        <v>Redstone</v>
      </c>
      <c r="AV511" s="5"/>
      <c r="AW511" s="5"/>
      <c r="AX511" s="5"/>
      <c r="AY511" s="5"/>
      <c r="AZ511" s="5"/>
      <c r="BA511" s="5"/>
      <c r="BB511" s="5" t="b">
        <f>IFERROR(__xludf.DUMMYFUNCTION("""COMPUTED_VALUE"""),TRUE)</f>
        <v>1</v>
      </c>
      <c r="BC511" s="5" t="str">
        <f>IFERROR(__xludf.DUMMYFUNCTION("""COMPUTED_VALUE"""),"Redstone")</f>
        <v>Redstone</v>
      </c>
      <c r="BD511" s="7" t="str">
        <f>IFERROR(__xludf.DUMMYFUNCTION("""COMPUTED_VALUE"""),"https://static.redstone.rs/games/5-clover-fire-6-reels/")</f>
        <v>https://static.redstone.rs/games/5-clover-fire-6-reels/</v>
      </c>
      <c r="BE511" s="5" t="b">
        <f>IFERROR(__xludf.DUMMYFUNCTION("""COMPUTED_VALUE"""),TRUE)</f>
        <v>1</v>
      </c>
    </row>
    <row r="512">
      <c r="A512" s="5">
        <f>IFERROR(__xludf.DUMMYFUNCTION("""COMPUTED_VALUE"""),542.0)</f>
        <v>542</v>
      </c>
      <c r="B512" s="5">
        <f>IFERROR(__xludf.DUMMYFUNCTION("""COMPUTED_VALUE"""),180029.0)</f>
        <v>180029</v>
      </c>
      <c r="C512" s="5" t="str">
        <f>IFERROR(__xludf.DUMMYFUNCTION("""COMPUTED_VALUE"""),"Redstone")</f>
        <v>Redstone</v>
      </c>
      <c r="D512" s="5" t="str">
        <f>IFERROR(__xludf.DUMMYFUNCTION("""COMPUTED_VALUE"""),"10 Extra Bank")</f>
        <v>10 Extra Bank</v>
      </c>
      <c r="E512" s="5" t="str">
        <f>IFERROR(__xludf.DUMMYFUNCTION("""COMPUTED_VALUE"""),"Redstone")</f>
        <v>Redstone</v>
      </c>
      <c r="F512" s="5" t="str">
        <f>IFERROR(__xludf.DUMMYFUNCTION("""COMPUTED_VALUE"""),"Redstone10ExtraBank")</f>
        <v>Redstone10ExtraBank</v>
      </c>
      <c r="G512" s="5" t="str">
        <f>IFERROR(__xludf.DUMMYFUNCTION("""COMPUTED_VALUE"""),"Live")</f>
        <v>Live</v>
      </c>
      <c r="H512" s="5"/>
      <c r="I512" s="5" t="str">
        <f>IFERROR(__xludf.DUMMYFUNCTION("""COMPUTED_VALUE"""),"Redstone")</f>
        <v>Redstone</v>
      </c>
      <c r="J512" s="5" t="str">
        <f>IFERROR(__xludf.DUMMYFUNCTION("""COMPUTED_VALUE"""),"JSON")</f>
        <v>JSON</v>
      </c>
      <c r="K512" s="5" t="str">
        <f>IFERROR(__xludf.DUMMYFUNCTION("""COMPUTED_VALUE"""),"Slot")</f>
        <v>Slot</v>
      </c>
      <c r="L512" s="5" t="str">
        <f>IFERROR(__xludf.DUMMYFUNCTION("""COMPUTED_VALUE"""),"Master")</f>
        <v>Master</v>
      </c>
      <c r="M512" s="5"/>
      <c r="N512" s="7" t="str">
        <f>IFERROR(__xludf.DUMMYFUNCTION("""COMPUTED_VALUE"""),"https://drive.google.com/file/d/1VacTNVGL_aAgcRqDK1PiGT2sJWAclThw/view?usp=drive_link")</f>
        <v>https://drive.google.com/file/d/1VacTNVGL_aAgcRqDK1PiGT2sJWAclThw/view?usp=drive_link</v>
      </c>
      <c r="O512" s="7" t="str">
        <f>IFERROR(__xludf.DUMMYFUNCTION("""COMPUTED_VALUE"""),"https://drive.google.com/file/d/1o6AJewj4icCYI4peF3C-aGmSVPa12E4c/view?usp=drive_link")</f>
        <v>https://drive.google.com/file/d/1o6AJewj4icCYI4peF3C-aGmSVPa12E4c/view?usp=drive_link</v>
      </c>
      <c r="P512" s="12">
        <f>IFERROR(__xludf.DUMMYFUNCTION("""COMPUTED_VALUE"""),6.3)</f>
        <v>6.3</v>
      </c>
      <c r="Q512" s="13">
        <f>IFERROR(__xludf.DUMMYFUNCTION("""COMPUTED_VALUE"""),45880.0)</f>
        <v>45880</v>
      </c>
      <c r="R512" s="13">
        <f>IFERROR(__xludf.DUMMYFUNCTION("""COMPUTED_VALUE"""),45873.0)</f>
        <v>45873</v>
      </c>
      <c r="S512" s="13">
        <f>IFERROR(__xludf.DUMMYFUNCTION("""COMPUTED_VALUE"""),45880.0)</f>
        <v>45880</v>
      </c>
      <c r="T512" s="5" t="b">
        <f>IFERROR(__xludf.DUMMYFUNCTION("""COMPUTED_VALUE"""),TRUE)</f>
        <v>1</v>
      </c>
      <c r="U512" s="5" t="str">
        <f>IFERROR(__xludf.DUMMYFUNCTION("""COMPUTED_VALUE"""),"5x3")</f>
        <v>5x3</v>
      </c>
      <c r="V512" s="5">
        <f>IFERROR(__xludf.DUMMYFUNCTION("""COMPUTED_VALUE"""),10.0)</f>
        <v>10</v>
      </c>
      <c r="W512" s="5">
        <f>IFERROR(__xludf.DUMMYFUNCTION("""COMPUTED_VALUE"""),10.0)</f>
        <v>10</v>
      </c>
      <c r="X512" s="5">
        <f>IFERROR(__xludf.DUMMYFUNCTION("""COMPUTED_VALUE"""),96.25)</f>
        <v>96.25</v>
      </c>
      <c r="Y512" s="5" t="str">
        <f>IFERROR(__xludf.DUMMYFUNCTION("""COMPUTED_VALUE"""),"High")</f>
        <v>High</v>
      </c>
      <c r="Z512" s="5">
        <f>IFERROR(__xludf.DUMMYFUNCTION("""COMPUTED_VALUE"""),14.44)</f>
        <v>14.44</v>
      </c>
      <c r="AA512" s="5">
        <f>IFERROR(__xludf.DUMMYFUNCTION("""COMPUTED_VALUE"""),17500.0)</f>
        <v>17500</v>
      </c>
      <c r="AB512" s="5"/>
      <c r="AC512" s="5" t="str">
        <f>IFERROR(__xludf.DUMMYFUNCTION("""COMPUTED_VALUE"""),"Scatter, Wild Symbol, Win Multiplier")</f>
        <v>Scatter, Wild Symbol, Win Multiplier</v>
      </c>
      <c r="AD512" s="5" t="str">
        <f>IFERROR(__xludf.DUMMYFUNCTION("""COMPUTED_VALUE"""),"0.01/50")</f>
        <v>0.01/50</v>
      </c>
      <c r="AE512" s="5"/>
      <c r="AF512" s="5"/>
      <c r="AG512" s="8">
        <f>IFERROR(__xludf.DUMMYFUNCTION("""COMPUTED_VALUE"""),46157.53091435185)</f>
        <v>46157.53091</v>
      </c>
      <c r="AH512" s="5"/>
      <c r="AI512" s="13"/>
      <c r="AJ512" s="5"/>
      <c r="AK512" s="5">
        <f>IFERROR(__xludf.DUMMYFUNCTION("""COMPUTED_VALUE"""),1.0)</f>
        <v>1</v>
      </c>
      <c r="AL512" s="5" t="str">
        <f>IFERROR(__xludf.DUMMYFUNCTION("""COMPUTED_VALUE"""),"No")</f>
        <v>No</v>
      </c>
      <c r="AM512" s="5" t="str">
        <f>IFERROR(__xludf.DUMMYFUNCTION("""COMPUTED_VALUE"""),"No")</f>
        <v>No</v>
      </c>
      <c r="AN512" s="7" t="str">
        <f>IFERROR(__xludf.DUMMYFUNCTION("""COMPUTED_VALUE"""),"https://static.redstone.rs/games/10-extra-bank/")</f>
        <v>https://static.redstone.rs/games/10-extra-bank/</v>
      </c>
      <c r="AO512" s="5" t="str">
        <f>IFERROR(__xludf.DUMMYFUNCTION("""COMPUTED_VALUE"""),"No")</f>
        <v>No</v>
      </c>
      <c r="AP512" s="5" t="str">
        <f>IFERROR(__xludf.DUMMYFUNCTION("""COMPUTED_VALUE"""),"No")</f>
        <v>No</v>
      </c>
      <c r="AQ512" s="5" t="b">
        <f>IFERROR(__xludf.DUMMYFUNCTION("""COMPUTED_VALUE"""),TRUE)</f>
        <v>1</v>
      </c>
      <c r="AR512" s="5"/>
      <c r="AS512" s="5" t="str">
        <f>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AT512" s="5"/>
      <c r="AU512" s="5" t="str">
        <f>IFERROR(__xludf.DUMMYFUNCTION("""COMPUTED_VALUE"""),"Redstone")</f>
        <v>Redstone</v>
      </c>
      <c r="AV512" s="5"/>
      <c r="AW512" s="5"/>
      <c r="AX512" s="5"/>
      <c r="AY512" s="5"/>
      <c r="AZ512" s="5"/>
      <c r="BA512" s="5"/>
      <c r="BB512" s="5" t="b">
        <f>IFERROR(__xludf.DUMMYFUNCTION("""COMPUTED_VALUE"""),TRUE)</f>
        <v>1</v>
      </c>
      <c r="BC512" s="5" t="str">
        <f>IFERROR(__xludf.DUMMYFUNCTION("""COMPUTED_VALUE"""),"Redstone")</f>
        <v>Redstone</v>
      </c>
      <c r="BD512" s="7" t="str">
        <f>IFERROR(__xludf.DUMMYFUNCTION("""COMPUTED_VALUE"""),"https://static.redstone.rs/games/10-extra-bank/")</f>
        <v>https://static.redstone.rs/games/10-extra-bank/</v>
      </c>
      <c r="BE512" s="5" t="b">
        <f>IFERROR(__xludf.DUMMYFUNCTION("""COMPUTED_VALUE"""),TRUE)</f>
        <v>1</v>
      </c>
    </row>
    <row r="513">
      <c r="A513" s="5">
        <f>IFERROR(__xludf.DUMMYFUNCTION("""COMPUTED_VALUE"""),543.0)</f>
        <v>543</v>
      </c>
      <c r="B513" s="5">
        <f>IFERROR(__xludf.DUMMYFUNCTION("""COMPUTED_VALUE"""),180030.0)</f>
        <v>180030</v>
      </c>
      <c r="C513" s="5" t="str">
        <f>IFERROR(__xludf.DUMMYFUNCTION("""COMPUTED_VALUE"""),"Redstone")</f>
        <v>Redstone</v>
      </c>
      <c r="D513" s="5" t="str">
        <f>IFERROR(__xludf.DUMMYFUNCTION("""COMPUTED_VALUE"""),"Sevens Heaven")</f>
        <v>Sevens Heaven</v>
      </c>
      <c r="E513" s="5" t="str">
        <f>IFERROR(__xludf.DUMMYFUNCTION("""COMPUTED_VALUE"""),"Redstone")</f>
        <v>Redstone</v>
      </c>
      <c r="F513" s="5" t="str">
        <f>IFERROR(__xludf.DUMMYFUNCTION("""COMPUTED_VALUE"""),"RedstoneSevensHeaven")</f>
        <v>RedstoneSevensHeaven</v>
      </c>
      <c r="G513" s="5" t="str">
        <f>IFERROR(__xludf.DUMMYFUNCTION("""COMPUTED_VALUE"""),"Live")</f>
        <v>Live</v>
      </c>
      <c r="H513" s="5"/>
      <c r="I513" s="5" t="str">
        <f>IFERROR(__xludf.DUMMYFUNCTION("""COMPUTED_VALUE"""),"Redstone")</f>
        <v>Redstone</v>
      </c>
      <c r="J513" s="5" t="str">
        <f>IFERROR(__xludf.DUMMYFUNCTION("""COMPUTED_VALUE"""),"JSON")</f>
        <v>JSON</v>
      </c>
      <c r="K513" s="5" t="str">
        <f>IFERROR(__xludf.DUMMYFUNCTION("""COMPUTED_VALUE"""),"Slot")</f>
        <v>Slot</v>
      </c>
      <c r="L513" s="5" t="str">
        <f>IFERROR(__xludf.DUMMYFUNCTION("""COMPUTED_VALUE"""),"Master")</f>
        <v>Master</v>
      </c>
      <c r="M513" s="5"/>
      <c r="N513" s="7" t="str">
        <f>IFERROR(__xludf.DUMMYFUNCTION("""COMPUTED_VALUE"""),"https://drive.google.com/file/d/1Lm3CxFfwVfVgcvTRH5RvbJ6oclwLuqtI/view?usp=drive_link")</f>
        <v>https://drive.google.com/file/d/1Lm3CxFfwVfVgcvTRH5RvbJ6oclwLuqtI/view?usp=drive_link</v>
      </c>
      <c r="O513" s="7" t="str">
        <f>IFERROR(__xludf.DUMMYFUNCTION("""COMPUTED_VALUE"""),"https://drive.google.com/file/d/1PNTSXbNOv7IUVWEaPyuY1S9I2kNKYxok/view?usp=drive_link")</f>
        <v>https://drive.google.com/file/d/1PNTSXbNOv7IUVWEaPyuY1S9I2kNKYxok/view?usp=drive_link</v>
      </c>
      <c r="P513" s="12">
        <f>IFERROR(__xludf.DUMMYFUNCTION("""COMPUTED_VALUE"""),9.3)</f>
        <v>9.3</v>
      </c>
      <c r="Q513" s="13">
        <f>IFERROR(__xludf.DUMMYFUNCTION("""COMPUTED_VALUE"""),45889.0)</f>
        <v>45889</v>
      </c>
      <c r="R513" s="13">
        <f>IFERROR(__xludf.DUMMYFUNCTION("""COMPUTED_VALUE"""),45882.0)</f>
        <v>45882</v>
      </c>
      <c r="S513" s="13">
        <f>IFERROR(__xludf.DUMMYFUNCTION("""COMPUTED_VALUE"""),45889.0)</f>
        <v>45889</v>
      </c>
      <c r="T513" s="5" t="b">
        <f>IFERROR(__xludf.DUMMYFUNCTION("""COMPUTED_VALUE"""),TRUE)</f>
        <v>1</v>
      </c>
      <c r="U513" s="5"/>
      <c r="V513" s="5">
        <f>IFERROR(__xludf.DUMMYFUNCTION("""COMPUTED_VALUE"""),5.0)</f>
        <v>5</v>
      </c>
      <c r="W513" s="5">
        <f>IFERROR(__xludf.DUMMYFUNCTION("""COMPUTED_VALUE"""),5.0)</f>
        <v>5</v>
      </c>
      <c r="X513" s="5">
        <f>IFERROR(__xludf.DUMMYFUNCTION("""COMPUTED_VALUE"""),95.99)</f>
        <v>95.99</v>
      </c>
      <c r="Y513" s="5" t="str">
        <f>IFERROR(__xludf.DUMMYFUNCTION("""COMPUTED_VALUE"""),"Medium")</f>
        <v>Medium</v>
      </c>
      <c r="Z513" s="5">
        <f>IFERROR(__xludf.DUMMYFUNCTION("""COMPUTED_VALUE"""),8.61)</f>
        <v>8.61</v>
      </c>
      <c r="AA513" s="5">
        <f>IFERROR(__xludf.DUMMYFUNCTION("""COMPUTED_VALUE"""),1202.0)</f>
        <v>1202</v>
      </c>
      <c r="AB513" s="5"/>
      <c r="AC513" s="5" t="str">
        <f>IFERROR(__xludf.DUMMYFUNCTION("""COMPUTED_VALUE"""),"Bonus Game with Free Spins, Buy Bonus, Wild Symbol, Special Wild")</f>
        <v>Bonus Game with Free Spins, Buy Bonus, Wild Symbol, Special Wild</v>
      </c>
      <c r="AD513" s="5" t="str">
        <f>IFERROR(__xludf.DUMMYFUNCTION("""COMPUTED_VALUE"""),"0.01/50")</f>
        <v>0.01/50</v>
      </c>
      <c r="AE513" s="5"/>
      <c r="AF513" s="5"/>
      <c r="AG513" s="8">
        <f>IFERROR(__xludf.DUMMYFUNCTION("""COMPUTED_VALUE"""),46157.531122685185)</f>
        <v>46157.53112</v>
      </c>
      <c r="AH513" s="5"/>
      <c r="AI513" s="13"/>
      <c r="AJ513" s="5"/>
      <c r="AK513" s="5">
        <f>IFERROR(__xludf.DUMMYFUNCTION("""COMPUTED_VALUE"""),1.0)</f>
        <v>1</v>
      </c>
      <c r="AL513" s="5" t="str">
        <f>IFERROR(__xludf.DUMMYFUNCTION("""COMPUTED_VALUE"""),"No")</f>
        <v>No</v>
      </c>
      <c r="AM513" s="5" t="str">
        <f>IFERROR(__xludf.DUMMYFUNCTION("""COMPUTED_VALUE"""),"No")</f>
        <v>No</v>
      </c>
      <c r="AN513" s="7" t="str">
        <f>IFERROR(__xludf.DUMMYFUNCTION("""COMPUTED_VALUE"""),"https://static.redstone.rs/games/sevens-heaven/")</f>
        <v>https://static.redstone.rs/games/sevens-heaven/</v>
      </c>
      <c r="AO513" s="5" t="str">
        <f>IFERROR(__xludf.DUMMYFUNCTION("""COMPUTED_VALUE"""),"No")</f>
        <v>No</v>
      </c>
      <c r="AP513" s="5" t="str">
        <f>IFERROR(__xludf.DUMMYFUNCTION("""COMPUTED_VALUE"""),"No")</f>
        <v>No</v>
      </c>
      <c r="AQ513" s="5" t="b">
        <f>IFERROR(__xludf.DUMMYFUNCTION("""COMPUTED_VALUE"""),TRUE)</f>
        <v>1</v>
      </c>
      <c r="AR513" s="5"/>
      <c r="AS513" s="5" t="str">
        <f>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AT513" s="5"/>
      <c r="AU513" s="5" t="str">
        <f>IFERROR(__xludf.DUMMYFUNCTION("""COMPUTED_VALUE"""),"Redstone")</f>
        <v>Redstone</v>
      </c>
      <c r="AV513" s="5"/>
      <c r="AW513" s="5"/>
      <c r="AX513" s="5"/>
      <c r="AY513" s="5"/>
      <c r="AZ513" s="5"/>
      <c r="BA513" s="5"/>
      <c r="BB513" s="5" t="b">
        <f>IFERROR(__xludf.DUMMYFUNCTION("""COMPUTED_VALUE"""),TRUE)</f>
        <v>1</v>
      </c>
      <c r="BC513" s="5" t="str">
        <f>IFERROR(__xludf.DUMMYFUNCTION("""COMPUTED_VALUE"""),"Redstone")</f>
        <v>Redstone</v>
      </c>
      <c r="BD513" s="7" t="str">
        <f>IFERROR(__xludf.DUMMYFUNCTION("""COMPUTED_VALUE"""),"https://static.redstone.rs/games/sevens-heaven/")</f>
        <v>https://static.redstone.rs/games/sevens-heaven/</v>
      </c>
      <c r="BE513" s="5" t="b">
        <f>IFERROR(__xludf.DUMMYFUNCTION("""COMPUTED_VALUE"""),TRUE)</f>
        <v>1</v>
      </c>
    </row>
    <row r="514">
      <c r="A514" s="5">
        <f>IFERROR(__xludf.DUMMYFUNCTION("""COMPUTED_VALUE"""),544.0)</f>
        <v>544</v>
      </c>
      <c r="B514" s="5">
        <f>IFERROR(__xludf.DUMMYFUNCTION("""COMPUTED_VALUE"""),180032.0)</f>
        <v>180032</v>
      </c>
      <c r="C514" s="5" t="str">
        <f>IFERROR(__xludf.DUMMYFUNCTION("""COMPUTED_VALUE"""),"Redstone")</f>
        <v>Redstone</v>
      </c>
      <c r="D514" s="5" t="str">
        <f>IFERROR(__xludf.DUMMYFUNCTION("""COMPUTED_VALUE"""),"777: Extra Chance")</f>
        <v>777: Extra Chance</v>
      </c>
      <c r="E514" s="5" t="str">
        <f>IFERROR(__xludf.DUMMYFUNCTION("""COMPUTED_VALUE"""),"Redstone")</f>
        <v>Redstone</v>
      </c>
      <c r="F514" s="5" t="str">
        <f>IFERROR(__xludf.DUMMYFUNCTION("""COMPUTED_VALUE"""),"Redstone777ExtraChance")</f>
        <v>Redstone777ExtraChance</v>
      </c>
      <c r="G514" s="5" t="str">
        <f>IFERROR(__xludf.DUMMYFUNCTION("""COMPUTED_VALUE"""),"Live")</f>
        <v>Live</v>
      </c>
      <c r="H514" s="5"/>
      <c r="I514" s="5" t="str">
        <f>IFERROR(__xludf.DUMMYFUNCTION("""COMPUTED_VALUE"""),"Redstone")</f>
        <v>Redstone</v>
      </c>
      <c r="J514" s="5" t="str">
        <f>IFERROR(__xludf.DUMMYFUNCTION("""COMPUTED_VALUE"""),"JSON")</f>
        <v>JSON</v>
      </c>
      <c r="K514" s="5" t="str">
        <f>IFERROR(__xludf.DUMMYFUNCTION("""COMPUTED_VALUE"""),"Slot")</f>
        <v>Slot</v>
      </c>
      <c r="L514" s="5" t="str">
        <f>IFERROR(__xludf.DUMMYFUNCTION("""COMPUTED_VALUE"""),"Master")</f>
        <v>Master</v>
      </c>
      <c r="M514" s="5"/>
      <c r="N514" s="7" t="str">
        <f>IFERROR(__xludf.DUMMYFUNCTION("""COMPUTED_VALUE"""),"https://drive.google.com/file/d/14aIlIqcZg1Skq3bwzv1xwbhfZKAM3Afg/view?usp=drive_link")</f>
        <v>https://drive.google.com/file/d/14aIlIqcZg1Skq3bwzv1xwbhfZKAM3Afg/view?usp=drive_link</v>
      </c>
      <c r="O514" s="7" t="str">
        <f>IFERROR(__xludf.DUMMYFUNCTION("""COMPUTED_VALUE"""),"https://drive.google.com/file/d/1yBoSRTbPDKFVw5zsHcyLBdPtQIqkS0QY/view?usp=drive_link")</f>
        <v>https://drive.google.com/file/d/1yBoSRTbPDKFVw5zsHcyLBdPtQIqkS0QY/view?usp=drive_link</v>
      </c>
      <c r="P514" s="12">
        <f>IFERROR(__xludf.DUMMYFUNCTION("""COMPUTED_VALUE"""),10.0)</f>
        <v>10</v>
      </c>
      <c r="Q514" s="13">
        <f>IFERROR(__xludf.DUMMYFUNCTION("""COMPUTED_VALUE"""),45895.0)</f>
        <v>45895</v>
      </c>
      <c r="R514" s="13">
        <f>IFERROR(__xludf.DUMMYFUNCTION("""COMPUTED_VALUE"""),45888.0)</f>
        <v>45888</v>
      </c>
      <c r="S514" s="13">
        <f>IFERROR(__xludf.DUMMYFUNCTION("""COMPUTED_VALUE"""),45895.0)</f>
        <v>45895</v>
      </c>
      <c r="T514" s="5" t="b">
        <f>IFERROR(__xludf.DUMMYFUNCTION("""COMPUTED_VALUE"""),TRUE)</f>
        <v>1</v>
      </c>
      <c r="U514" s="5" t="str">
        <f>IFERROR(__xludf.DUMMYFUNCTION("""COMPUTED_VALUE"""),"5x3")</f>
        <v>5x3</v>
      </c>
      <c r="V514" s="5">
        <f>IFERROR(__xludf.DUMMYFUNCTION("""COMPUTED_VALUE"""),5.0)</f>
        <v>5</v>
      </c>
      <c r="W514" s="5">
        <f>IFERROR(__xludf.DUMMYFUNCTION("""COMPUTED_VALUE"""),5.0)</f>
        <v>5</v>
      </c>
      <c r="X514" s="5">
        <f>IFERROR(__xludf.DUMMYFUNCTION("""COMPUTED_VALUE"""),96.0)</f>
        <v>96</v>
      </c>
      <c r="Y514" s="5" t="str">
        <f>IFERROR(__xludf.DUMMYFUNCTION("""COMPUTED_VALUE"""),"Medium")</f>
        <v>Medium</v>
      </c>
      <c r="Z514" s="5">
        <f>IFERROR(__xludf.DUMMYFUNCTION("""COMPUTED_VALUE"""),9.07)</f>
        <v>9.07</v>
      </c>
      <c r="AA514" s="5">
        <f>IFERROR(__xludf.DUMMYFUNCTION("""COMPUTED_VALUE"""),1000.0)</f>
        <v>1000</v>
      </c>
      <c r="AB514" s="5"/>
      <c r="AC514" s="5" t="str">
        <f>IFERROR(__xludf.DUMMYFUNCTION("""COMPUTED_VALUE"""),"Respin")</f>
        <v>Respin</v>
      </c>
      <c r="AD514" s="5" t="str">
        <f>IFERROR(__xludf.DUMMYFUNCTION("""COMPUTED_VALUE"""),"0.01/50")</f>
        <v>0.01/50</v>
      </c>
      <c r="AE514" s="5"/>
      <c r="AF514" s="5"/>
      <c r="AG514" s="8">
        <f>IFERROR(__xludf.DUMMYFUNCTION("""COMPUTED_VALUE"""),46157.55253472222)</f>
        <v>46157.55253</v>
      </c>
      <c r="AH514" s="5"/>
      <c r="AI514" s="13"/>
      <c r="AJ514" s="5"/>
      <c r="AK514" s="5">
        <f>IFERROR(__xludf.DUMMYFUNCTION("""COMPUTED_VALUE"""),1.0)</f>
        <v>1</v>
      </c>
      <c r="AL514" s="5" t="str">
        <f>IFERROR(__xludf.DUMMYFUNCTION("""COMPUTED_VALUE"""),"No")</f>
        <v>No</v>
      </c>
      <c r="AM514" s="5" t="str">
        <f>IFERROR(__xludf.DUMMYFUNCTION("""COMPUTED_VALUE"""),"Yes")</f>
        <v>Yes</v>
      </c>
      <c r="AN514" s="7" t="str">
        <f>IFERROR(__xludf.DUMMYFUNCTION("""COMPUTED_VALUE"""),"https://static.redstone.rs/games/777-extra-chance/")</f>
        <v>https://static.redstone.rs/games/777-extra-chance/</v>
      </c>
      <c r="AO514" s="5" t="str">
        <f>IFERROR(__xludf.DUMMYFUNCTION("""COMPUTED_VALUE"""),"No")</f>
        <v>No</v>
      </c>
      <c r="AP514" s="5" t="str">
        <f>IFERROR(__xludf.DUMMYFUNCTION("""COMPUTED_VALUE"""),"No")</f>
        <v>No</v>
      </c>
      <c r="AQ514" s="5" t="b">
        <f>IFERROR(__xludf.DUMMYFUNCTION("""COMPUTED_VALUE"""),TRUE)</f>
        <v>1</v>
      </c>
      <c r="AR514" s="5"/>
      <c r="AS514" s="5" t="str">
        <f>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AT514" s="5"/>
      <c r="AU514" s="5" t="str">
        <f>IFERROR(__xludf.DUMMYFUNCTION("""COMPUTED_VALUE"""),"Redstone")</f>
        <v>Redstone</v>
      </c>
      <c r="AV514" s="5"/>
      <c r="AW514" s="5"/>
      <c r="AX514" s="5"/>
      <c r="AY514" s="5"/>
      <c r="AZ514" s="5"/>
      <c r="BA514" s="5"/>
      <c r="BB514" s="5" t="b">
        <f>IFERROR(__xludf.DUMMYFUNCTION("""COMPUTED_VALUE"""),TRUE)</f>
        <v>1</v>
      </c>
      <c r="BC514" s="5" t="str">
        <f>IFERROR(__xludf.DUMMYFUNCTION("""COMPUTED_VALUE"""),"Redstone")</f>
        <v>Redstone</v>
      </c>
      <c r="BD514" s="7" t="str">
        <f>IFERROR(__xludf.DUMMYFUNCTION("""COMPUTED_VALUE"""),"https://static.redstone.rs/games/777-extra-chance/")</f>
        <v>https://static.redstone.rs/games/777-extra-chance/</v>
      </c>
      <c r="BE514" s="5" t="b">
        <f>IFERROR(__xludf.DUMMYFUNCTION("""COMPUTED_VALUE"""),TRUE)</f>
        <v>1</v>
      </c>
    </row>
    <row r="515">
      <c r="A515" s="5">
        <f>IFERROR(__xludf.DUMMYFUNCTION("""COMPUTED_VALUE"""),546.0)</f>
        <v>546</v>
      </c>
      <c r="B515" s="5">
        <f>IFERROR(__xludf.DUMMYFUNCTION("""COMPUTED_VALUE"""),180035.0)</f>
        <v>180035</v>
      </c>
      <c r="C515" s="5" t="str">
        <f>IFERROR(__xludf.DUMMYFUNCTION("""COMPUTED_VALUE"""),"Redstone")</f>
        <v>Redstone</v>
      </c>
      <c r="D515" s="5" t="str">
        <f>IFERROR(__xludf.DUMMYFUNCTION("""COMPUTED_VALUE"""),"81 Respin Fire")</f>
        <v>81 Respin Fire</v>
      </c>
      <c r="E515" s="5" t="str">
        <f>IFERROR(__xludf.DUMMYFUNCTION("""COMPUTED_VALUE"""),"Redstone")</f>
        <v>Redstone</v>
      </c>
      <c r="F515" s="5" t="str">
        <f>IFERROR(__xludf.DUMMYFUNCTION("""COMPUTED_VALUE"""),"Redstone81RespinFire")</f>
        <v>Redstone81RespinFire</v>
      </c>
      <c r="G515" s="5" t="str">
        <f>IFERROR(__xludf.DUMMYFUNCTION("""COMPUTED_VALUE"""),"Planned")</f>
        <v>Planned</v>
      </c>
      <c r="H515" s="5"/>
      <c r="I515" s="5" t="str">
        <f>IFERROR(__xludf.DUMMYFUNCTION("""COMPUTED_VALUE"""),"Redstone")</f>
        <v>Redstone</v>
      </c>
      <c r="J515" s="5" t="str">
        <f>IFERROR(__xludf.DUMMYFUNCTION("""COMPUTED_VALUE"""),"JSON")</f>
        <v>JSON</v>
      </c>
      <c r="K515" s="5" t="str">
        <f>IFERROR(__xludf.DUMMYFUNCTION("""COMPUTED_VALUE"""),"Slot")</f>
        <v>Slot</v>
      </c>
      <c r="L515" s="5"/>
      <c r="M515" s="5"/>
      <c r="N515" s="5"/>
      <c r="O515" s="5"/>
      <c r="P515" s="12"/>
      <c r="Q515" s="13"/>
      <c r="R515" s="13"/>
      <c r="S515" s="13"/>
      <c r="T515" s="5" t="b">
        <f>IFERROR(__xludf.DUMMYFUNCTION("""COMPUTED_VALUE"""),FALSE)</f>
        <v>0</v>
      </c>
      <c r="U515" s="5"/>
      <c r="V515" s="5"/>
      <c r="W515" s="5"/>
      <c r="X515" s="5"/>
      <c r="Y515" s="5"/>
      <c r="Z515" s="5"/>
      <c r="AA515" s="5"/>
      <c r="AB515" s="5"/>
      <c r="AC515" s="5"/>
      <c r="AD515" s="5"/>
      <c r="AE515" s="5"/>
      <c r="AF515" s="5"/>
      <c r="AG515" s="8">
        <f>IFERROR(__xludf.DUMMYFUNCTION("""COMPUTED_VALUE"""),45859.48339120371)</f>
        <v>45859.48339</v>
      </c>
      <c r="AH515" s="5" t="str">
        <f>IFERROR(__xludf.DUMMYFUNCTION("""COMPUTED_VALUE"""),"iva.cirkovic@fazi.rs")</f>
        <v>iva.cirkovic@fazi.rs</v>
      </c>
      <c r="AI515" s="13"/>
      <c r="AJ515" s="5"/>
      <c r="AK515" s="5"/>
      <c r="AL515" s="5"/>
      <c r="AM515" s="5"/>
      <c r="AN515" s="5"/>
      <c r="AO515" s="5"/>
      <c r="AP515" s="5"/>
      <c r="AQ515" s="5"/>
      <c r="AR515" s="5"/>
      <c r="AS515" s="5"/>
      <c r="AT515" s="5"/>
      <c r="AU515" s="5"/>
      <c r="AV515" s="5"/>
      <c r="AW515" s="5"/>
      <c r="AX515" s="5"/>
      <c r="AY515" s="5"/>
      <c r="AZ515" s="5"/>
      <c r="BA515" s="5" t="str">
        <f>IFERROR(__xludf.DUMMYFUNCTION("""COMPUTED_VALUE"""),"")</f>
        <v/>
      </c>
      <c r="BB515" s="5"/>
      <c r="BC515" s="5" t="str">
        <f>IFERROR(__xludf.DUMMYFUNCTION("""COMPUTED_VALUE"""),"Redstone")</f>
        <v>Redstone</v>
      </c>
      <c r="BD515" s="5"/>
      <c r="BE515" s="5"/>
    </row>
    <row r="516">
      <c r="A516" s="5">
        <f>IFERROR(__xludf.DUMMYFUNCTION("""COMPUTED_VALUE"""),547.0)</f>
        <v>547</v>
      </c>
      <c r="B516" s="5">
        <f>IFERROR(__xludf.DUMMYFUNCTION("""COMPUTED_VALUE"""),180036.0)</f>
        <v>180036</v>
      </c>
      <c r="C516" s="5" t="str">
        <f>IFERROR(__xludf.DUMMYFUNCTION("""COMPUTED_VALUE"""),"Redstone")</f>
        <v>Redstone</v>
      </c>
      <c r="D516" s="5" t="str">
        <f>IFERROR(__xludf.DUMMYFUNCTION("""COMPUTED_VALUE"""),"Hang That Witch")</f>
        <v>Hang That Witch</v>
      </c>
      <c r="E516" s="5" t="str">
        <f>IFERROR(__xludf.DUMMYFUNCTION("""COMPUTED_VALUE"""),"Redstone")</f>
        <v>Redstone</v>
      </c>
      <c r="F516" s="5" t="str">
        <f>IFERROR(__xludf.DUMMYFUNCTION("""COMPUTED_VALUE"""),"RedstoneHangThatWitch")</f>
        <v>RedstoneHangThatWitch</v>
      </c>
      <c r="G516" s="5" t="str">
        <f>IFERROR(__xludf.DUMMYFUNCTION("""COMPUTED_VALUE"""),"Planned")</f>
        <v>Planned</v>
      </c>
      <c r="H516" s="5"/>
      <c r="I516" s="5" t="str">
        <f>IFERROR(__xludf.DUMMYFUNCTION("""COMPUTED_VALUE"""),"Redstone")</f>
        <v>Redstone</v>
      </c>
      <c r="J516" s="5" t="str">
        <f>IFERROR(__xludf.DUMMYFUNCTION("""COMPUTED_VALUE"""),"JSON")</f>
        <v>JSON</v>
      </c>
      <c r="K516" s="5" t="str">
        <f>IFERROR(__xludf.DUMMYFUNCTION("""COMPUTED_VALUE"""),"Slot")</f>
        <v>Slot</v>
      </c>
      <c r="L516" s="5"/>
      <c r="M516" s="5"/>
      <c r="N516" s="5"/>
      <c r="O516" s="5"/>
      <c r="P516" s="12"/>
      <c r="Q516" s="13"/>
      <c r="R516" s="13"/>
      <c r="S516" s="13"/>
      <c r="T516" s="5" t="b">
        <f>IFERROR(__xludf.DUMMYFUNCTION("""COMPUTED_VALUE"""),FALSE)</f>
        <v>0</v>
      </c>
      <c r="U516" s="5"/>
      <c r="V516" s="5"/>
      <c r="W516" s="5"/>
      <c r="X516" s="5"/>
      <c r="Y516" s="5"/>
      <c r="Z516" s="5"/>
      <c r="AA516" s="5"/>
      <c r="AB516" s="5"/>
      <c r="AC516" s="5"/>
      <c r="AD516" s="5"/>
      <c r="AE516" s="5"/>
      <c r="AF516" s="5"/>
      <c r="AG516" s="8">
        <f>IFERROR(__xludf.DUMMYFUNCTION("""COMPUTED_VALUE"""),45859.48385416667)</f>
        <v>45859.48385</v>
      </c>
      <c r="AH516" s="5" t="str">
        <f>IFERROR(__xludf.DUMMYFUNCTION("""COMPUTED_VALUE"""),"iva.cirkovic@fazi.rs")</f>
        <v>iva.cirkovic@fazi.rs</v>
      </c>
      <c r="AI516" s="13"/>
      <c r="AJ516" s="5"/>
      <c r="AK516" s="5"/>
      <c r="AL516" s="5"/>
      <c r="AM516" s="5"/>
      <c r="AN516" s="5"/>
      <c r="AO516" s="5"/>
      <c r="AP516" s="5"/>
      <c r="AQ516" s="5"/>
      <c r="AR516" s="5"/>
      <c r="AS516" s="5"/>
      <c r="AT516" s="5"/>
      <c r="AU516" s="5"/>
      <c r="AV516" s="5"/>
      <c r="AW516" s="5"/>
      <c r="AX516" s="5"/>
      <c r="AY516" s="5"/>
      <c r="AZ516" s="5"/>
      <c r="BA516" s="5" t="str">
        <f>IFERROR(__xludf.DUMMYFUNCTION("""COMPUTED_VALUE"""),"")</f>
        <v/>
      </c>
      <c r="BB516" s="5"/>
      <c r="BC516" s="5" t="str">
        <f>IFERROR(__xludf.DUMMYFUNCTION("""COMPUTED_VALUE"""),"Redstone")</f>
        <v>Redstone</v>
      </c>
      <c r="BD516" s="5"/>
      <c r="BE516" s="5"/>
    </row>
    <row r="517">
      <c r="A517" s="5">
        <f>IFERROR(__xludf.DUMMYFUNCTION("""COMPUTED_VALUE"""),548.0)</f>
        <v>548</v>
      </c>
      <c r="B517" s="5">
        <f>IFERROR(__xludf.DUMMYFUNCTION("""COMPUTED_VALUE"""),180003.0)</f>
        <v>180003</v>
      </c>
      <c r="C517" s="5" t="str">
        <f>IFERROR(__xludf.DUMMYFUNCTION("""COMPUTED_VALUE"""),"Redstone")</f>
        <v>Redstone</v>
      </c>
      <c r="D517" s="5" t="str">
        <f>IFERROR(__xludf.DUMMYFUNCTION("""COMPUTED_VALUE"""),"Divine Strike")</f>
        <v>Divine Strike</v>
      </c>
      <c r="E517" s="5" t="str">
        <f>IFERROR(__xludf.DUMMYFUNCTION("""COMPUTED_VALUE"""),"Redstone")</f>
        <v>Redstone</v>
      </c>
      <c r="F517" s="5" t="str">
        <f>IFERROR(__xludf.DUMMYFUNCTION("""COMPUTED_VALUE"""),"RedstoneDivineStrike")</f>
        <v>RedstoneDivineStrike</v>
      </c>
      <c r="G517" s="5" t="str">
        <f>IFERROR(__xludf.DUMMYFUNCTION("""COMPUTED_VALUE"""),"Live")</f>
        <v>Live</v>
      </c>
      <c r="H517" s="5"/>
      <c r="I517" s="5" t="str">
        <f>IFERROR(__xludf.DUMMYFUNCTION("""COMPUTED_VALUE"""),"Redstone")</f>
        <v>Redstone</v>
      </c>
      <c r="J517" s="5" t="str">
        <f>IFERROR(__xludf.DUMMYFUNCTION("""COMPUTED_VALUE"""),"JSON")</f>
        <v>JSON</v>
      </c>
      <c r="K517" s="5" t="str">
        <f>IFERROR(__xludf.DUMMYFUNCTION("""COMPUTED_VALUE"""),"Slot")</f>
        <v>Slot</v>
      </c>
      <c r="L517" s="5" t="str">
        <f>IFERROR(__xludf.DUMMYFUNCTION("""COMPUTED_VALUE"""),"Master")</f>
        <v>Master</v>
      </c>
      <c r="M517" s="5"/>
      <c r="N517" s="7" t="str">
        <f>IFERROR(__xludf.DUMMYFUNCTION("""COMPUTED_VALUE"""),"https://drive.google.com/file/d/1sozgxAOMJhmouetXB1qT8TA_QKMRoOeC/view?usp=drive_link")</f>
        <v>https://drive.google.com/file/d/1sozgxAOMJhmouetXB1qT8TA_QKMRoOeC/view?usp=drive_link</v>
      </c>
      <c r="O517" s="7" t="str">
        <f>IFERROR(__xludf.DUMMYFUNCTION("""COMPUTED_VALUE"""),"https://drive.google.com/file/d/1wVT1F3jhJ2gCAvE-C8Xt1INuqdOIXZPh/view?usp=drive_link")</f>
        <v>https://drive.google.com/file/d/1wVT1F3jhJ2gCAvE-C8Xt1INuqdOIXZPh/view?usp=drive_link</v>
      </c>
      <c r="P517" s="12">
        <f>IFERROR(__xludf.DUMMYFUNCTION("""COMPUTED_VALUE"""),13.9)</f>
        <v>13.9</v>
      </c>
      <c r="Q517" s="13">
        <f>IFERROR(__xludf.DUMMYFUNCTION("""COMPUTED_VALUE"""),45721.0)</f>
        <v>45721</v>
      </c>
      <c r="R517" s="14">
        <f>IFERROR(__xludf.DUMMYFUNCTION("""COMPUTED_VALUE"""),45715.0)</f>
        <v>45715</v>
      </c>
      <c r="S517" s="13">
        <f>IFERROR(__xludf.DUMMYFUNCTION("""COMPUTED_VALUE"""),45721.0)</f>
        <v>45721</v>
      </c>
      <c r="T517" s="5" t="b">
        <f>IFERROR(__xludf.DUMMYFUNCTION("""COMPUTED_VALUE"""),TRUE)</f>
        <v>1</v>
      </c>
      <c r="U517" s="5" t="str">
        <f>IFERROR(__xludf.DUMMYFUNCTION("""COMPUTED_VALUE"""),"5x4")</f>
        <v>5x4</v>
      </c>
      <c r="V517" s="5">
        <f>IFERROR(__xludf.DUMMYFUNCTION("""COMPUTED_VALUE"""),40.0)</f>
        <v>40</v>
      </c>
      <c r="W517" s="5">
        <f>IFERROR(__xludf.DUMMYFUNCTION("""COMPUTED_VALUE"""),40.0)</f>
        <v>40</v>
      </c>
      <c r="X517" s="11">
        <f>IFERROR(__xludf.DUMMYFUNCTION("""COMPUTED_VALUE"""),95.32)</f>
        <v>95.32</v>
      </c>
      <c r="Y517" s="5" t="str">
        <f>IFERROR(__xludf.DUMMYFUNCTION("""COMPUTED_VALUE"""),"Medium")</f>
        <v>Medium</v>
      </c>
      <c r="Z517" s="5">
        <f>IFERROR(__xludf.DUMMYFUNCTION("""COMPUTED_VALUE"""),12.34)</f>
        <v>12.34</v>
      </c>
      <c r="AA517" s="5">
        <f>IFERROR(__xludf.DUMMYFUNCTION("""COMPUTED_VALUE"""),2000.0)</f>
        <v>2000</v>
      </c>
      <c r="AB517" s="5"/>
      <c r="AC517" s="5" t="str">
        <f>IFERROR(__xludf.DUMMYFUNCTION("""COMPUTED_VALUE"""),"Buy Bonus, Ante Bet, Bonus Game with Free Spins, Special Wild")</f>
        <v>Buy Bonus, Ante Bet, Bonus Game with Free Spins, Special Wild</v>
      </c>
      <c r="AD517" s="5" t="str">
        <f>IFERROR(__xludf.DUMMYFUNCTION("""COMPUTED_VALUE"""),"0.40/60")</f>
        <v>0.40/60</v>
      </c>
      <c r="AE517" s="5"/>
      <c r="AF517" s="5"/>
      <c r="AG517" s="8">
        <f>IFERROR(__xludf.DUMMYFUNCTION("""COMPUTED_VALUE"""),46157.531319444446)</f>
        <v>46157.53132</v>
      </c>
      <c r="AH517" s="5"/>
      <c r="AI517" s="13">
        <f>IFERROR(__xludf.DUMMYFUNCTION("""COMPUTED_VALUE"""),45704.0)</f>
        <v>45704</v>
      </c>
      <c r="AJ517" s="5" t="str">
        <f>IFERROR(__xludf.DUMMYFUNCTION("""COMPUTED_VALUE"""),"BetB2B agregacija")</f>
        <v>BetB2B agregacija</v>
      </c>
      <c r="AK517" s="5">
        <f>IFERROR(__xludf.DUMMYFUNCTION("""COMPUTED_VALUE"""),1.0)</f>
        <v>1</v>
      </c>
      <c r="AL517" s="5" t="str">
        <f>IFERROR(__xludf.DUMMYFUNCTION("""COMPUTED_VALUE"""),"No")</f>
        <v>No</v>
      </c>
      <c r="AM517" s="5" t="str">
        <f>IFERROR(__xludf.DUMMYFUNCTION("""COMPUTED_VALUE"""),"No")</f>
        <v>No</v>
      </c>
      <c r="AN517" s="7" t="str">
        <f>IFERROR(__xludf.DUMMYFUNCTION("""COMPUTED_VALUE"""),"https://static.redstone.rs/games/divine-strike/")</f>
        <v>https://static.redstone.rs/games/divine-strike/</v>
      </c>
      <c r="AO517" s="5" t="str">
        <f>IFERROR(__xludf.DUMMYFUNCTION("""COMPUTED_VALUE"""),"No")</f>
        <v>No</v>
      </c>
      <c r="AP517" s="5" t="str">
        <f>IFERROR(__xludf.DUMMYFUNCTION("""COMPUTED_VALUE"""),"No")</f>
        <v>No</v>
      </c>
      <c r="AQ517" s="5" t="b">
        <f>IFERROR(__xludf.DUMMYFUNCTION("""COMPUTED_VALUE"""),TRUE)</f>
        <v>1</v>
      </c>
      <c r="AR517" s="5"/>
      <c r="AS517" s="5" t="str">
        <f>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AT517" s="5"/>
      <c r="AU517" s="5" t="str">
        <f>IFERROR(__xludf.DUMMYFUNCTION("""COMPUTED_VALUE"""),"Redstone")</f>
        <v>Redstone</v>
      </c>
      <c r="AV517" s="5"/>
      <c r="AW517" s="5"/>
      <c r="AX517" s="5"/>
      <c r="AY517" s="5"/>
      <c r="AZ517" s="5"/>
      <c r="BA517" s="5"/>
      <c r="BB517" s="5" t="b">
        <f>IFERROR(__xludf.DUMMYFUNCTION("""COMPUTED_VALUE"""),TRUE)</f>
        <v>1</v>
      </c>
      <c r="BC517" s="5" t="str">
        <f>IFERROR(__xludf.DUMMYFUNCTION("""COMPUTED_VALUE"""),"Redstone")</f>
        <v>Redstone</v>
      </c>
      <c r="BD517" s="7" t="str">
        <f>IFERROR(__xludf.DUMMYFUNCTION("""COMPUTED_VALUE"""),"https://static.redstone.rs/games/divine-strike/")</f>
        <v>https://static.redstone.rs/games/divine-strike/</v>
      </c>
      <c r="BE517" s="5" t="b">
        <f>IFERROR(__xludf.DUMMYFUNCTION("""COMPUTED_VALUE"""),TRUE)</f>
        <v>1</v>
      </c>
    </row>
    <row r="518">
      <c r="A518" s="5">
        <f>IFERROR(__xludf.DUMMYFUNCTION("""COMPUTED_VALUE"""),549.0)</f>
        <v>549</v>
      </c>
      <c r="B518" s="5">
        <f>IFERROR(__xludf.DUMMYFUNCTION("""COMPUTED_VALUE"""),4007.0)</f>
        <v>4007</v>
      </c>
      <c r="C518" s="5" t="str">
        <f>IFERROR(__xludf.DUMMYFUNCTION("""COMPUTED_VALUE"""),"Fazi")</f>
        <v>Fazi</v>
      </c>
      <c r="D518" s="5" t="str">
        <f>IFERROR(__xludf.DUMMYFUNCTION("""COMPUTED_VALUE"""),"Toto Wild Hot 40")</f>
        <v>Toto Wild Hot 40</v>
      </c>
      <c r="E518" s="5" t="str">
        <f>IFERROR(__xludf.DUMMYFUNCTION("""COMPUTED_VALUE"""),"Sertifikacioni")</f>
        <v>Sertifikacioni</v>
      </c>
      <c r="F518" s="5" t="str">
        <f>IFERROR(__xludf.DUMMYFUNCTION("""COMPUTED_VALUE"""),"TotoWildHot40")</f>
        <v>TotoWildHot40</v>
      </c>
      <c r="G518" s="5" t="str">
        <f>IFERROR(__xludf.DUMMYFUNCTION("""COMPUTED_VALUE"""),"Live")</f>
        <v>Live</v>
      </c>
      <c r="H518" s="5"/>
      <c r="I518" s="5" t="str">
        <f>IFERROR(__xludf.DUMMYFUNCTION("""COMPUTED_VALUE"""),"V2")</f>
        <v>V2</v>
      </c>
      <c r="J518" s="5" t="str">
        <f>IFERROR(__xludf.DUMMYFUNCTION("""COMPUTED_VALUE"""),"Binary")</f>
        <v>Binary</v>
      </c>
      <c r="K518" s="5" t="str">
        <f>IFERROR(__xludf.DUMMYFUNCTION("""COMPUTED_VALUE"""),"Slot")</f>
        <v>Slot</v>
      </c>
      <c r="L518" s="5" t="str">
        <f>IFERROR(__xludf.DUMMYFUNCTION("""COMPUTED_VALUE""")," Reskin")</f>
        <v> Reskin</v>
      </c>
      <c r="M518" s="5" t="str">
        <f>IFERROR(__xludf.DUMMYFUNCTION("""COMPUTED_VALUE"""),"Wild Hot 40")</f>
        <v>Wild Hot 40</v>
      </c>
      <c r="N518" s="5"/>
      <c r="O518" s="5"/>
      <c r="P518" s="12"/>
      <c r="Q518" s="13">
        <f>IFERROR(__xludf.DUMMYFUNCTION("""COMPUTED_VALUE"""),45797.0)</f>
        <v>45797</v>
      </c>
      <c r="R518" s="13"/>
      <c r="S518" s="13"/>
      <c r="T518" s="5"/>
      <c r="U518" s="5" t="str">
        <f>IFERROR(__xludf.DUMMYFUNCTION("""COMPUTED_VALUE"""),"5x4")</f>
        <v>5x4</v>
      </c>
      <c r="V518" s="5">
        <f>IFERROR(__xludf.DUMMYFUNCTION("""COMPUTED_VALUE"""),40.0)</f>
        <v>40</v>
      </c>
      <c r="W518" s="5">
        <f>IFERROR(__xludf.DUMMYFUNCTION("""COMPUTED_VALUE"""),40.0)</f>
        <v>40</v>
      </c>
      <c r="X518" s="5">
        <f>IFERROR(__xludf.DUMMYFUNCTION("""COMPUTED_VALUE"""),96.584)</f>
        <v>96.584</v>
      </c>
      <c r="Y518" s="5" t="str">
        <f>IFERROR(__xludf.DUMMYFUNCTION("""COMPUTED_VALUE"""),"Low")</f>
        <v>Low</v>
      </c>
      <c r="Z518" s="5">
        <f>IFERROR(__xludf.DUMMYFUNCTION("""COMPUTED_VALUE"""),16.73)</f>
        <v>16.73</v>
      </c>
      <c r="AA518" s="5">
        <f>IFERROR(__xludf.DUMMYFUNCTION("""COMPUTED_VALUE"""),1000.0)</f>
        <v>1000</v>
      </c>
      <c r="AB518" s="5"/>
      <c r="AC518" s="5" t="str">
        <f>IFERROR(__xludf.DUMMYFUNCTION("""COMPUTED_VALUE"""),"Wild Symbol, Scatter")</f>
        <v>Wild Symbol, Scatter</v>
      </c>
      <c r="AD518" s="5"/>
      <c r="AE518" s="5"/>
      <c r="AF518" s="5"/>
      <c r="AG518" s="8">
        <f>IFERROR(__xludf.DUMMYFUNCTION("""COMPUTED_VALUE"""),46020.51311342593)</f>
        <v>46020.51311</v>
      </c>
      <c r="AH518" s="5" t="str">
        <f>IFERROR(__xludf.DUMMYFUNCTION("""COMPUTED_VALUE"""),"djordje.jankovic@fazi.rs")</f>
        <v>djordje.jankovic@fazi.rs</v>
      </c>
      <c r="AI518" s="13">
        <f>IFERROR(__xludf.DUMMYFUNCTION("""COMPUTED_VALUE"""),45803.0)</f>
        <v>45803</v>
      </c>
      <c r="AJ518" s="5"/>
      <c r="AK518" s="5">
        <f>IFERROR(__xludf.DUMMYFUNCTION("""COMPUTED_VALUE"""),40.0)</f>
        <v>40</v>
      </c>
      <c r="AL518" s="5" t="str">
        <f>IFERROR(__xludf.DUMMYFUNCTION("""COMPUTED_VALUE"""),"Yes")</f>
        <v>Yes</v>
      </c>
      <c r="AM518" s="5"/>
      <c r="AN518" s="5"/>
      <c r="AO518" s="5"/>
      <c r="AP518" s="5"/>
      <c r="AQ518" s="5"/>
      <c r="AR518" s="5" t="b">
        <f>IFERROR(__xludf.DUMMYFUNCTION("""COMPUTED_VALUE"""),TRUE)</f>
        <v>1</v>
      </c>
      <c r="AS518" s="5"/>
      <c r="AT518" s="5"/>
      <c r="AU518" s="5" t="str">
        <f>IFERROR(__xludf.DUMMYFUNCTION("""COMPUTED_VALUE"""),"Fazi")</f>
        <v>Fazi</v>
      </c>
      <c r="AV518" s="5"/>
      <c r="AW518" s="5"/>
      <c r="AX518" s="5"/>
      <c r="AY518" s="5"/>
      <c r="AZ518" s="5"/>
      <c r="BA518" s="5" t="str">
        <f>IFERROR(__xludf.DUMMYFUNCTION("""COMPUTED_VALUE"""),"")</f>
        <v/>
      </c>
      <c r="BB518" s="5"/>
      <c r="BC518" s="5" t="str">
        <f>IFERROR(__xludf.DUMMYFUNCTION("""COMPUTED_VALUE"""),"Foxi")</f>
        <v>Foxi</v>
      </c>
      <c r="BD518" s="5" t="str">
        <f>IFERROR(__xludf.DUMMYFUNCTION("""COMPUTED_VALUE"""),"")</f>
        <v/>
      </c>
      <c r="BE518" s="5"/>
    </row>
    <row r="519">
      <c r="A519" s="5">
        <f>IFERROR(__xludf.DUMMYFUNCTION("""COMPUTED_VALUE"""),550.0)</f>
        <v>550</v>
      </c>
      <c r="B519" s="5">
        <f>IFERROR(__xludf.DUMMYFUNCTION("""COMPUTED_VALUE"""),4008.0)</f>
        <v>4008</v>
      </c>
      <c r="C519" s="5" t="str">
        <f>IFERROR(__xludf.DUMMYFUNCTION("""COMPUTED_VALUE"""),"Fazi")</f>
        <v>Fazi</v>
      </c>
      <c r="D519" s="5" t="str">
        <f>IFERROR(__xludf.DUMMYFUNCTION("""COMPUTED_VALUE"""),"Toto Fruity Win 40")</f>
        <v>Toto Fruity Win 40</v>
      </c>
      <c r="E519" s="5" t="str">
        <f>IFERROR(__xludf.DUMMYFUNCTION("""COMPUTED_VALUE"""),"Sertifikacioni")</f>
        <v>Sertifikacioni</v>
      </c>
      <c r="F519" s="5" t="str">
        <f>IFERROR(__xludf.DUMMYFUNCTION("""COMPUTED_VALUE"""),"TotoFruityWin40")</f>
        <v>TotoFruityWin40</v>
      </c>
      <c r="G519" s="5" t="str">
        <f>IFERROR(__xludf.DUMMYFUNCTION("""COMPUTED_VALUE"""),"Live")</f>
        <v>Live</v>
      </c>
      <c r="H519" s="5"/>
      <c r="I519" s="5" t="str">
        <f>IFERROR(__xludf.DUMMYFUNCTION("""COMPUTED_VALUE"""),"V2")</f>
        <v>V2</v>
      </c>
      <c r="J519" s="5" t="str">
        <f>IFERROR(__xludf.DUMMYFUNCTION("""COMPUTED_VALUE"""),"Binary")</f>
        <v>Binary</v>
      </c>
      <c r="K519" s="5" t="str">
        <f>IFERROR(__xludf.DUMMYFUNCTION("""COMPUTED_VALUE"""),"Slot")</f>
        <v>Slot</v>
      </c>
      <c r="L519" s="5" t="str">
        <f>IFERROR(__xludf.DUMMYFUNCTION("""COMPUTED_VALUE""")," Reskin")</f>
        <v> Reskin</v>
      </c>
      <c r="M519" s="5" t="str">
        <f>IFERROR(__xludf.DUMMYFUNCTION("""COMPUTED_VALUE"""),"Fruity Win 40")</f>
        <v>Fruity Win 40</v>
      </c>
      <c r="N519" s="5"/>
      <c r="O519" s="5"/>
      <c r="P519" s="12"/>
      <c r="Q519" s="13">
        <f>IFERROR(__xludf.DUMMYFUNCTION("""COMPUTED_VALUE"""),45797.0)</f>
        <v>45797</v>
      </c>
      <c r="R519" s="13"/>
      <c r="S519" s="13"/>
      <c r="T519" s="5"/>
      <c r="U519" s="5" t="str">
        <f>IFERROR(__xludf.DUMMYFUNCTION("""COMPUTED_VALUE"""),"5x4")</f>
        <v>5x4</v>
      </c>
      <c r="V519" s="5">
        <f>IFERROR(__xludf.DUMMYFUNCTION("""COMPUTED_VALUE"""),40.0)</f>
        <v>40</v>
      </c>
      <c r="W519" s="5">
        <f>IFERROR(__xludf.DUMMYFUNCTION("""COMPUTED_VALUE"""),40.0)</f>
        <v>40</v>
      </c>
      <c r="X519" s="5">
        <f>IFERROR(__xludf.DUMMYFUNCTION("""COMPUTED_VALUE"""),96.584)</f>
        <v>96.584</v>
      </c>
      <c r="Y519" s="5" t="str">
        <f>IFERROR(__xludf.DUMMYFUNCTION("""COMPUTED_VALUE"""),"Low")</f>
        <v>Low</v>
      </c>
      <c r="Z519" s="5">
        <f>IFERROR(__xludf.DUMMYFUNCTION("""COMPUTED_VALUE"""),16.73)</f>
        <v>16.73</v>
      </c>
      <c r="AA519" s="5">
        <f>IFERROR(__xludf.DUMMYFUNCTION("""COMPUTED_VALUE"""),1000.0)</f>
        <v>1000</v>
      </c>
      <c r="AB519" s="5"/>
      <c r="AC519" s="5" t="str">
        <f>IFERROR(__xludf.DUMMYFUNCTION("""COMPUTED_VALUE"""),"Wild Symbol, Scatter")</f>
        <v>Wild Symbol, Scatter</v>
      </c>
      <c r="AD519" s="5" t="str">
        <f>IFERROR(__xludf.DUMMYFUNCTION("""COMPUTED_VALUE"""),"0.4/60")</f>
        <v>0.4/60</v>
      </c>
      <c r="AE519" s="5"/>
      <c r="AF519" s="5"/>
      <c r="AG519" s="8">
        <f>IFERROR(__xludf.DUMMYFUNCTION("""COMPUTED_VALUE"""),46020.512407407405)</f>
        <v>46020.51241</v>
      </c>
      <c r="AH519" s="5" t="str">
        <f>IFERROR(__xludf.DUMMYFUNCTION("""COMPUTED_VALUE"""),"djordje.jankovic@fazi.rs")</f>
        <v>djordje.jankovic@fazi.rs</v>
      </c>
      <c r="AI519" s="13">
        <f>IFERROR(__xludf.DUMMYFUNCTION("""COMPUTED_VALUE"""),45803.0)</f>
        <v>45803</v>
      </c>
      <c r="AJ519" s="5"/>
      <c r="AK519" s="5">
        <f>IFERROR(__xludf.DUMMYFUNCTION("""COMPUTED_VALUE"""),40.0)</f>
        <v>40</v>
      </c>
      <c r="AL519" s="5" t="str">
        <f>IFERROR(__xludf.DUMMYFUNCTION("""COMPUTED_VALUE"""),"Yes")</f>
        <v>Yes</v>
      </c>
      <c r="AM519" s="5"/>
      <c r="AN519" s="5"/>
      <c r="AO519" s="5"/>
      <c r="AP519" s="5"/>
      <c r="AQ519" s="5"/>
      <c r="AR519" s="5" t="b">
        <f>IFERROR(__xludf.DUMMYFUNCTION("""COMPUTED_VALUE"""),TRUE)</f>
        <v>1</v>
      </c>
      <c r="AS519" s="5"/>
      <c r="AT519" s="5"/>
      <c r="AU519" s="5" t="str">
        <f>IFERROR(__xludf.DUMMYFUNCTION("""COMPUTED_VALUE"""),"Fazi")</f>
        <v>Fazi</v>
      </c>
      <c r="AV519" s="5"/>
      <c r="AW519" s="5"/>
      <c r="AX519" s="5"/>
      <c r="AY519" s="5"/>
      <c r="AZ519" s="5"/>
      <c r="BA519" s="5" t="str">
        <f>IFERROR(__xludf.DUMMYFUNCTION("""COMPUTED_VALUE"""),"")</f>
        <v/>
      </c>
      <c r="BB519" s="5"/>
      <c r="BC519" s="5" t="str">
        <f>IFERROR(__xludf.DUMMYFUNCTION("""COMPUTED_VALUE"""),"Foxi")</f>
        <v>Foxi</v>
      </c>
      <c r="BD519" s="5" t="str">
        <f>IFERROR(__xludf.DUMMYFUNCTION("""COMPUTED_VALUE"""),"")</f>
        <v/>
      </c>
      <c r="BE519" s="5"/>
    </row>
    <row r="520">
      <c r="A520" s="5">
        <f>IFERROR(__xludf.DUMMYFUNCTION("""COMPUTED_VALUE"""),551.0)</f>
        <v>551</v>
      </c>
      <c r="B520" s="5">
        <f>IFERROR(__xludf.DUMMYFUNCTION("""COMPUTED_VALUE"""),4009.0)</f>
        <v>4009</v>
      </c>
      <c r="C520" s="5" t="str">
        <f>IFERROR(__xludf.DUMMYFUNCTION("""COMPUTED_VALUE"""),"Fazi")</f>
        <v>Fazi</v>
      </c>
      <c r="D520" s="5" t="str">
        <f>IFERROR(__xludf.DUMMYFUNCTION("""COMPUTED_VALUE"""),"Bet Andreas Wild")</f>
        <v>Bet Andreas Wild</v>
      </c>
      <c r="E520" s="5" t="str">
        <f>IFERROR(__xludf.DUMMYFUNCTION("""COMPUTED_VALUE"""),"Sertifikacioni")</f>
        <v>Sertifikacioni</v>
      </c>
      <c r="F520" s="5" t="str">
        <f>IFERROR(__xludf.DUMMYFUNCTION("""COMPUTED_VALUE"""),"BetAndreasWild")</f>
        <v>BetAndreasWild</v>
      </c>
      <c r="G520" s="5" t="str">
        <f>IFERROR(__xludf.DUMMYFUNCTION("""COMPUTED_VALUE"""),"Live")</f>
        <v>Live</v>
      </c>
      <c r="H520" s="5"/>
      <c r="I520" s="5" t="str">
        <f>IFERROR(__xludf.DUMMYFUNCTION("""COMPUTED_VALUE"""),"V4")</f>
        <v>V4</v>
      </c>
      <c r="J520" s="5" t="str">
        <f>IFERROR(__xludf.DUMMYFUNCTION("""COMPUTED_VALUE"""),"JSON")</f>
        <v>JSON</v>
      </c>
      <c r="K520" s="5" t="str">
        <f>IFERROR(__xludf.DUMMYFUNCTION("""COMPUTED_VALUE"""),"Slot")</f>
        <v>Slot</v>
      </c>
      <c r="L520" s="5" t="str">
        <f>IFERROR(__xludf.DUMMYFUNCTION("""COMPUTED_VALUE""")," Reskin")</f>
        <v> Reskin</v>
      </c>
      <c r="M520" s="5" t="str">
        <f>IFERROR(__xludf.DUMMYFUNCTION("""COMPUTED_VALUE"""),"Wild 27")</f>
        <v>Wild 27</v>
      </c>
      <c r="N520" s="5"/>
      <c r="O520" s="5"/>
      <c r="P520" s="12"/>
      <c r="Q520" s="13">
        <f>IFERROR(__xludf.DUMMYFUNCTION("""COMPUTED_VALUE"""),45684.0)</f>
        <v>45684</v>
      </c>
      <c r="R520" s="13"/>
      <c r="S520" s="13"/>
      <c r="T520" s="5"/>
      <c r="U520" s="5" t="str">
        <f>IFERROR(__xludf.DUMMYFUNCTION("""COMPUTED_VALUE"""),"3x3")</f>
        <v>3x3</v>
      </c>
      <c r="V520" s="5">
        <f>IFERROR(__xludf.DUMMYFUNCTION("""COMPUTED_VALUE"""),27.0)</f>
        <v>27</v>
      </c>
      <c r="W520" s="5">
        <f>IFERROR(__xludf.DUMMYFUNCTION("""COMPUTED_VALUE"""),27.0)</f>
        <v>27</v>
      </c>
      <c r="X520" s="5">
        <f>IFERROR(__xludf.DUMMYFUNCTION("""COMPUTED_VALUE"""),96.24)</f>
        <v>96.24</v>
      </c>
      <c r="Y520" s="5" t="str">
        <f>IFERROR(__xludf.DUMMYFUNCTION("""COMPUTED_VALUE"""),"Low")</f>
        <v>Low</v>
      </c>
      <c r="Z520" s="5">
        <f>IFERROR(__xludf.DUMMYFUNCTION("""COMPUTED_VALUE"""),6.58)</f>
        <v>6.58</v>
      </c>
      <c r="AA520" s="5">
        <f>IFERROR(__xludf.DUMMYFUNCTION("""COMPUTED_VALUE"""),108.0)</f>
        <v>108</v>
      </c>
      <c r="AB520" s="5"/>
      <c r="AC520" s="5" t="str">
        <f>IFERROR(__xludf.DUMMYFUNCTION("""COMPUTED_VALUE"""),"Win Multiplier")</f>
        <v>Win Multiplier</v>
      </c>
      <c r="AD520" s="5" t="str">
        <f>IFERROR(__xludf.DUMMYFUNCTION("""COMPUTED_VALUE"""),"0.1/40")</f>
        <v>0.1/40</v>
      </c>
      <c r="AE520" s="5"/>
      <c r="AF520" s="5"/>
      <c r="AG520" s="8">
        <f>IFERROR(__xludf.DUMMYFUNCTION("""COMPUTED_VALUE"""),46213.44640046296)</f>
        <v>46213.4464</v>
      </c>
      <c r="AH520" s="5" t="str">
        <f>IFERROR(__xludf.DUMMYFUNCTION("""COMPUTED_VALUE"""),"djordje.petrovic@fazi.rs")</f>
        <v>djordje.petrovic@fazi.rs</v>
      </c>
      <c r="AI520" s="13">
        <f>IFERROR(__xludf.DUMMYFUNCTION("""COMPUTED_VALUE"""),45691.0)</f>
        <v>45691</v>
      </c>
      <c r="AJ520" s="5"/>
      <c r="AK520" s="5">
        <f>IFERROR(__xludf.DUMMYFUNCTION("""COMPUTED_VALUE"""),1.0)</f>
        <v>1</v>
      </c>
      <c r="AL520" s="5" t="str">
        <f>IFERROR(__xludf.DUMMYFUNCTION("""COMPUTED_VALUE"""),"Yes")</f>
        <v>Yes</v>
      </c>
      <c r="AM520" s="5"/>
      <c r="AN520" s="5"/>
      <c r="AO520" s="5"/>
      <c r="AP520" s="5" t="str">
        <f>IFERROR(__xludf.DUMMYFUNCTION("""COMPUTED_VALUE"""),"No")</f>
        <v>No</v>
      </c>
      <c r="AQ520" s="5"/>
      <c r="AR520" s="5" t="b">
        <f>IFERROR(__xludf.DUMMYFUNCTION("""COMPUTED_VALUE"""),TRUE)</f>
        <v>1</v>
      </c>
      <c r="AS520" s="5"/>
      <c r="AT520" s="5"/>
      <c r="AU520" s="5" t="str">
        <f>IFERROR(__xludf.DUMMYFUNCTION("""COMPUTED_VALUE"""),"Fazi")</f>
        <v>Fazi</v>
      </c>
      <c r="AV520" s="5"/>
      <c r="AW520" s="5"/>
      <c r="AX520" s="5"/>
      <c r="AY520" s="5"/>
      <c r="AZ520" s="5"/>
      <c r="BA520" s="5"/>
      <c r="BB520" s="5"/>
      <c r="BC520" s="5" t="str">
        <f>IFERROR(__xludf.DUMMYFUNCTION("""COMPUTED_VALUE"""),"Foxi")</f>
        <v>Foxi</v>
      </c>
      <c r="BD520" s="5"/>
      <c r="BE520" s="5"/>
    </row>
    <row r="521">
      <c r="A521" s="5">
        <f>IFERROR(__xludf.DUMMYFUNCTION("""COMPUTED_VALUE"""),552.0)</f>
        <v>552</v>
      </c>
      <c r="B521" s="5">
        <f>IFERROR(__xludf.DUMMYFUNCTION("""COMPUTED_VALUE"""),4013.0)</f>
        <v>4013</v>
      </c>
      <c r="C521" s="5" t="str">
        <f>IFERROR(__xludf.DUMMYFUNCTION("""COMPUTED_VALUE"""),"Fazi")</f>
        <v>Fazi</v>
      </c>
      <c r="D521" s="5" t="str">
        <f>IFERROR(__xludf.DUMMYFUNCTION("""COMPUTED_VALUE"""),"Max Bet Hot 40 Blow")</f>
        <v>Max Bet Hot 40 Blow</v>
      </c>
      <c r="E521" s="5" t="str">
        <f>IFERROR(__xludf.DUMMYFUNCTION("""COMPUTED_VALUE"""),"Sertifikacioni")</f>
        <v>Sertifikacioni</v>
      </c>
      <c r="F521" s="5" t="str">
        <f>IFERROR(__xludf.DUMMYFUNCTION("""COMPUTED_VALUE"""),"MaxBetHot40Blow")</f>
        <v>MaxBetHot40Blow</v>
      </c>
      <c r="G521" s="5" t="str">
        <f>IFERROR(__xludf.DUMMYFUNCTION("""COMPUTED_VALUE"""),"Live")</f>
        <v>Live</v>
      </c>
      <c r="H521" s="5"/>
      <c r="I521" s="5" t="str">
        <f>IFERROR(__xludf.DUMMYFUNCTION("""COMPUTED_VALUE"""),"V2")</f>
        <v>V2</v>
      </c>
      <c r="J521" s="5" t="str">
        <f>IFERROR(__xludf.DUMMYFUNCTION("""COMPUTED_VALUE"""),"Binary")</f>
        <v>Binary</v>
      </c>
      <c r="K521" s="5" t="str">
        <f>IFERROR(__xludf.DUMMYFUNCTION("""COMPUTED_VALUE"""),"Slot")</f>
        <v>Slot</v>
      </c>
      <c r="L521" s="5" t="str">
        <f>IFERROR(__xludf.DUMMYFUNCTION("""COMPUTED_VALUE""")," Reskin")</f>
        <v> Reskin</v>
      </c>
      <c r="M521" s="5" t="str">
        <f>IFERROR(__xludf.DUMMYFUNCTION("""COMPUTED_VALUE"""),"Wild Hot 40 Blow")</f>
        <v>Wild Hot 40 Blow</v>
      </c>
      <c r="N521" s="5"/>
      <c r="O521" s="5"/>
      <c r="P521" s="12"/>
      <c r="Q521" s="13">
        <f>IFERROR(__xludf.DUMMYFUNCTION("""COMPUTED_VALUE"""),45741.0)</f>
        <v>45741</v>
      </c>
      <c r="R521" s="13"/>
      <c r="S521" s="13"/>
      <c r="T521" s="5"/>
      <c r="U521" s="5" t="str">
        <f>IFERROR(__xludf.DUMMYFUNCTION("""COMPUTED_VALUE"""),"5x4")</f>
        <v>5x4</v>
      </c>
      <c r="V521" s="5">
        <f>IFERROR(__xludf.DUMMYFUNCTION("""COMPUTED_VALUE"""),40.0)</f>
        <v>40</v>
      </c>
      <c r="W521" s="5">
        <f>IFERROR(__xludf.DUMMYFUNCTION("""COMPUTED_VALUE"""),40.0)</f>
        <v>40</v>
      </c>
      <c r="X521" s="5">
        <f>IFERROR(__xludf.DUMMYFUNCTION("""COMPUTED_VALUE"""),96.269)</f>
        <v>96.269</v>
      </c>
      <c r="Y521" s="5" t="str">
        <f>IFERROR(__xludf.DUMMYFUNCTION("""COMPUTED_VALUE"""),"Medium")</f>
        <v>Medium</v>
      </c>
      <c r="Z521" s="5">
        <f>IFERROR(__xludf.DUMMYFUNCTION("""COMPUTED_VALUE"""),13.88)</f>
        <v>13.88</v>
      </c>
      <c r="AA521" s="5">
        <f>IFERROR(__xludf.DUMMYFUNCTION("""COMPUTED_VALUE"""),1000.0)</f>
        <v>1000</v>
      </c>
      <c r="AB521" s="5">
        <f>IFERROR(__xludf.DUMMYFUNCTION("""COMPUTED_VALUE"""),35.0)</f>
        <v>35</v>
      </c>
      <c r="AC521" s="5" t="str">
        <f>IFERROR(__xludf.DUMMYFUNCTION("""COMPUTED_VALUE"""),"Wild Symbol, Scatter, Exploding Wild")</f>
        <v>Wild Symbol, Scatter, Exploding Wild</v>
      </c>
      <c r="AD521" s="5" t="str">
        <f>IFERROR(__xludf.DUMMYFUNCTION("""COMPUTED_VALUE"""),"0.40/60")</f>
        <v>0.40/60</v>
      </c>
      <c r="AE521" s="5"/>
      <c r="AF521" s="5"/>
      <c r="AG521" s="8">
        <f>IFERROR(__xludf.DUMMYFUNCTION("""COMPUTED_VALUE"""),46020.51170138889)</f>
        <v>46020.5117</v>
      </c>
      <c r="AH521" s="5" t="str">
        <f>IFERROR(__xludf.DUMMYFUNCTION("""COMPUTED_VALUE"""),"djordje.jankovic@fazi.rs")</f>
        <v>djordje.jankovic@fazi.rs</v>
      </c>
      <c r="AI521" s="13">
        <f>IFERROR(__xludf.DUMMYFUNCTION("""COMPUTED_VALUE"""),45747.0)</f>
        <v>45747</v>
      </c>
      <c r="AJ521" s="5"/>
      <c r="AK521" s="5">
        <f>IFERROR(__xludf.DUMMYFUNCTION("""COMPUTED_VALUE"""),40.0)</f>
        <v>40</v>
      </c>
      <c r="AL521" s="5" t="str">
        <f>IFERROR(__xludf.DUMMYFUNCTION("""COMPUTED_VALUE"""),"Yes")</f>
        <v>Yes</v>
      </c>
      <c r="AM521" s="5"/>
      <c r="AN521" s="5"/>
      <c r="AO521" s="5"/>
      <c r="AP521" s="5"/>
      <c r="AQ521" s="5"/>
      <c r="AR521" s="5" t="b">
        <f>IFERROR(__xludf.DUMMYFUNCTION("""COMPUTED_VALUE"""),TRUE)</f>
        <v>1</v>
      </c>
      <c r="AS521" s="5"/>
      <c r="AT521" s="5"/>
      <c r="AU521" s="5" t="str">
        <f>IFERROR(__xludf.DUMMYFUNCTION("""COMPUTED_VALUE"""),"Fazi")</f>
        <v>Fazi</v>
      </c>
      <c r="AV521" s="5"/>
      <c r="AW521" s="5"/>
      <c r="AX521" s="5"/>
      <c r="AY521" s="5"/>
      <c r="AZ521" s="5"/>
      <c r="BA521" s="5" t="str">
        <f>IFERROR(__xludf.DUMMYFUNCTION("""COMPUTED_VALUE"""),"")</f>
        <v/>
      </c>
      <c r="BB521" s="5"/>
      <c r="BC521" s="5" t="str">
        <f>IFERROR(__xludf.DUMMYFUNCTION("""COMPUTED_VALUE"""),"Foxi")</f>
        <v>Foxi</v>
      </c>
      <c r="BD521" s="5" t="str">
        <f>IFERROR(__xludf.DUMMYFUNCTION("""COMPUTED_VALUE"""),"")</f>
        <v/>
      </c>
      <c r="BE521" s="5"/>
    </row>
    <row r="522">
      <c r="A522" s="5">
        <f>IFERROR(__xludf.DUMMYFUNCTION("""COMPUTED_VALUE"""),553.0)</f>
        <v>553</v>
      </c>
      <c r="B522" s="5">
        <f>IFERROR(__xludf.DUMMYFUNCTION("""COMPUTED_VALUE"""),4014.0)</f>
        <v>4014</v>
      </c>
      <c r="C522" s="5" t="str">
        <f>IFERROR(__xludf.DUMMYFUNCTION("""COMPUTED_VALUE"""),"Fazi")</f>
        <v>Fazi</v>
      </c>
      <c r="D522" s="5" t="str">
        <f>IFERROR(__xludf.DUMMYFUNCTION("""COMPUTED_VALUE"""),"Max Bet Clover 2")</f>
        <v>Max Bet Clover 2</v>
      </c>
      <c r="E522" s="5" t="str">
        <f>IFERROR(__xludf.DUMMYFUNCTION("""COMPUTED_VALUE"""),"Sertifikacioni")</f>
        <v>Sertifikacioni</v>
      </c>
      <c r="F522" s="5" t="str">
        <f>IFERROR(__xludf.DUMMYFUNCTION("""COMPUTED_VALUE"""),"MaxBetClover2")</f>
        <v>MaxBetClover2</v>
      </c>
      <c r="G522" s="5" t="str">
        <f>IFERROR(__xludf.DUMMYFUNCTION("""COMPUTED_VALUE"""),"Live")</f>
        <v>Live</v>
      </c>
      <c r="H522" s="5" t="str">
        <f>IFERROR(__xludf.DUMMYFUNCTION("""COMPUTED_VALUE"""),"MaxBet")</f>
        <v>MaxBet</v>
      </c>
      <c r="I522" s="5" t="str">
        <f>IFERROR(__xludf.DUMMYFUNCTION("""COMPUTED_VALUE"""),"V2")</f>
        <v>V2</v>
      </c>
      <c r="J522" s="5" t="str">
        <f>IFERROR(__xludf.DUMMYFUNCTION("""COMPUTED_VALUE"""),"Binary")</f>
        <v>Binary</v>
      </c>
      <c r="K522" s="5" t="str">
        <f>IFERROR(__xludf.DUMMYFUNCTION("""COMPUTED_VALUE"""),"Slot")</f>
        <v>Slot</v>
      </c>
      <c r="L522" s="5" t="str">
        <f>IFERROR(__xludf.DUMMYFUNCTION("""COMPUTED_VALUE""")," Reskin")</f>
        <v> Reskin</v>
      </c>
      <c r="M522" s="5" t="str">
        <f>IFERROR(__xludf.DUMMYFUNCTION("""COMPUTED_VALUE"""),"Wild Lucky Clover 2")</f>
        <v>Wild Lucky Clover 2</v>
      </c>
      <c r="N522" s="5"/>
      <c r="O522" s="5"/>
      <c r="P522" s="12"/>
      <c r="Q522" s="13">
        <f>IFERROR(__xludf.DUMMYFUNCTION("""COMPUTED_VALUE"""),45741.0)</f>
        <v>45741</v>
      </c>
      <c r="R522" s="13"/>
      <c r="S522" s="13"/>
      <c r="T522" s="5"/>
      <c r="U522" s="5" t="str">
        <f>IFERROR(__xludf.DUMMYFUNCTION("""COMPUTED_VALUE"""),"5x4")</f>
        <v>5x4</v>
      </c>
      <c r="V522" s="5">
        <f>IFERROR(__xludf.DUMMYFUNCTION("""COMPUTED_VALUE"""),40.0)</f>
        <v>40</v>
      </c>
      <c r="W522" s="5">
        <f>IFERROR(__xludf.DUMMYFUNCTION("""COMPUTED_VALUE"""),40.0)</f>
        <v>40</v>
      </c>
      <c r="X522" s="5">
        <f>IFERROR(__xludf.DUMMYFUNCTION("""COMPUTED_VALUE"""),96.395)</f>
        <v>96.395</v>
      </c>
      <c r="Y522" s="5" t="str">
        <f>IFERROR(__xludf.DUMMYFUNCTION("""COMPUTED_VALUE"""),"Medium")</f>
        <v>Medium</v>
      </c>
      <c r="Z522" s="5">
        <f>IFERROR(__xludf.DUMMYFUNCTION("""COMPUTED_VALUE"""),12.6299999999999)</f>
        <v>12.63</v>
      </c>
      <c r="AA522" s="5">
        <f>IFERROR(__xludf.DUMMYFUNCTION("""COMPUTED_VALUE"""),2501.0)</f>
        <v>2501</v>
      </c>
      <c r="AB522" s="5">
        <f>IFERROR(__xludf.DUMMYFUNCTION("""COMPUTED_VALUE"""),210.0)</f>
        <v>210</v>
      </c>
      <c r="AC522" s="5" t="str">
        <f>IFERROR(__xludf.DUMMYFUNCTION("""COMPUTED_VALUE"""),"Bonus Game with Free Spins, Converting Wild, Wild Symbol, Wild Multiplier")</f>
        <v>Bonus Game with Free Spins, Converting Wild, Wild Symbol, Wild Multiplier</v>
      </c>
      <c r="AD522" s="5"/>
      <c r="AE522" s="5"/>
      <c r="AF522" s="5"/>
      <c r="AG522" s="8">
        <f>IFERROR(__xludf.DUMMYFUNCTION("""COMPUTED_VALUE"""),46065.62259259259)</f>
        <v>46065.62259</v>
      </c>
      <c r="AH522" s="5" t="str">
        <f>IFERROR(__xludf.DUMMYFUNCTION("""COMPUTED_VALUE"""),"petra.ilic@fazi.rs")</f>
        <v>petra.ilic@fazi.rs</v>
      </c>
      <c r="AI522" s="13">
        <f>IFERROR(__xludf.DUMMYFUNCTION("""COMPUTED_VALUE"""),45747.0)</f>
        <v>45747</v>
      </c>
      <c r="AJ522" s="5"/>
      <c r="AK522" s="5">
        <f>IFERROR(__xludf.DUMMYFUNCTION("""COMPUTED_VALUE"""),40.0)</f>
        <v>40</v>
      </c>
      <c r="AL522" s="5" t="str">
        <f>IFERROR(__xludf.DUMMYFUNCTION("""COMPUTED_VALUE"""),"Yes")</f>
        <v>Yes</v>
      </c>
      <c r="AM522" s="5"/>
      <c r="AN522" s="5"/>
      <c r="AO522" s="5"/>
      <c r="AP522" s="5"/>
      <c r="AQ522" s="5"/>
      <c r="AR522" s="5" t="b">
        <f>IFERROR(__xludf.DUMMYFUNCTION("""COMPUTED_VALUE"""),TRUE)</f>
        <v>1</v>
      </c>
      <c r="AS522" s="5"/>
      <c r="AT522" s="5"/>
      <c r="AU522" s="5" t="str">
        <f>IFERROR(__xludf.DUMMYFUNCTION("""COMPUTED_VALUE"""),"Fazi")</f>
        <v>Fazi</v>
      </c>
      <c r="AV522" s="5"/>
      <c r="AW522" s="5"/>
      <c r="AX522" s="5"/>
      <c r="AY522" s="5"/>
      <c r="AZ522" s="5"/>
      <c r="BA522" s="5" t="str">
        <f>IFERROR(__xludf.DUMMYFUNCTION("""COMPUTED_VALUE"""),"")</f>
        <v/>
      </c>
      <c r="BB522" s="5"/>
      <c r="BC522" s="5" t="str">
        <f>IFERROR(__xludf.DUMMYFUNCTION("""COMPUTED_VALUE"""),"Foxi")</f>
        <v>Foxi</v>
      </c>
      <c r="BD522" s="5" t="str">
        <f>IFERROR(__xludf.DUMMYFUNCTION("""COMPUTED_VALUE"""),"")</f>
        <v/>
      </c>
      <c r="BE522" s="5"/>
    </row>
    <row r="523">
      <c r="A523" s="5">
        <f>IFERROR(__xludf.DUMMYFUNCTION("""COMPUTED_VALUE"""),554.0)</f>
        <v>554</v>
      </c>
      <c r="B523" s="5">
        <f>IFERROR(__xludf.DUMMYFUNCTION("""COMPUTED_VALUE"""),4015.0)</f>
        <v>4015</v>
      </c>
      <c r="C523" s="5" t="str">
        <f>IFERROR(__xludf.DUMMYFUNCTION("""COMPUTED_VALUE"""),"Fazi")</f>
        <v>Fazi</v>
      </c>
      <c r="D523" s="5" t="str">
        <f>IFERROR(__xludf.DUMMYFUNCTION("""COMPUTED_VALUE"""),"Max Bet Hot 40")</f>
        <v>Max Bet Hot 40</v>
      </c>
      <c r="E523" s="5" t="str">
        <f>IFERROR(__xludf.DUMMYFUNCTION("""COMPUTED_VALUE"""),"Sertifikacioni")</f>
        <v>Sertifikacioni</v>
      </c>
      <c r="F523" s="5" t="str">
        <f>IFERROR(__xludf.DUMMYFUNCTION("""COMPUTED_VALUE"""),"MaxBetHot40")</f>
        <v>MaxBetHot40</v>
      </c>
      <c r="G523" s="5" t="str">
        <f>IFERROR(__xludf.DUMMYFUNCTION("""COMPUTED_VALUE"""),"Live")</f>
        <v>Live</v>
      </c>
      <c r="H523" s="5" t="str">
        <f>IFERROR(__xludf.DUMMYFUNCTION("""COMPUTED_VALUE"""),"MaxBet")</f>
        <v>MaxBet</v>
      </c>
      <c r="I523" s="5" t="str">
        <f>IFERROR(__xludf.DUMMYFUNCTION("""COMPUTED_VALUE"""),"V2")</f>
        <v>V2</v>
      </c>
      <c r="J523" s="5" t="str">
        <f>IFERROR(__xludf.DUMMYFUNCTION("""COMPUTED_VALUE"""),"JSON")</f>
        <v>JSON</v>
      </c>
      <c r="K523" s="5" t="str">
        <f>IFERROR(__xludf.DUMMYFUNCTION("""COMPUTED_VALUE"""),"Slot")</f>
        <v>Slot</v>
      </c>
      <c r="L523" s="5" t="str">
        <f>IFERROR(__xludf.DUMMYFUNCTION("""COMPUTED_VALUE""")," Reskin")</f>
        <v> Reskin</v>
      </c>
      <c r="M523" s="5" t="str">
        <f>IFERROR(__xludf.DUMMYFUNCTION("""COMPUTED_VALUE"""),"Wild Hot 40")</f>
        <v>Wild Hot 40</v>
      </c>
      <c r="N523" s="5"/>
      <c r="O523" s="5"/>
      <c r="P523" s="12"/>
      <c r="Q523" s="13">
        <f>IFERROR(__xludf.DUMMYFUNCTION("""COMPUTED_VALUE"""),45741.0)</f>
        <v>45741</v>
      </c>
      <c r="R523" s="13"/>
      <c r="S523" s="13"/>
      <c r="T523" s="5"/>
      <c r="U523" s="5" t="str">
        <f>IFERROR(__xludf.DUMMYFUNCTION("""COMPUTED_VALUE"""),"5x4")</f>
        <v>5x4</v>
      </c>
      <c r="V523" s="5">
        <f>IFERROR(__xludf.DUMMYFUNCTION("""COMPUTED_VALUE"""),40.0)</f>
        <v>40</v>
      </c>
      <c r="W523" s="5">
        <f>IFERROR(__xludf.DUMMYFUNCTION("""COMPUTED_VALUE"""),40.0)</f>
        <v>40</v>
      </c>
      <c r="X523" s="5">
        <f>IFERROR(__xludf.DUMMYFUNCTION("""COMPUTED_VALUE"""),96.584)</f>
        <v>96.584</v>
      </c>
      <c r="Y523" s="5" t="str">
        <f>IFERROR(__xludf.DUMMYFUNCTION("""COMPUTED_VALUE"""),"Low")</f>
        <v>Low</v>
      </c>
      <c r="Z523" s="5">
        <f>IFERROR(__xludf.DUMMYFUNCTION("""COMPUTED_VALUE"""),16.73)</f>
        <v>16.73</v>
      </c>
      <c r="AA523" s="5">
        <f>IFERROR(__xludf.DUMMYFUNCTION("""COMPUTED_VALUE"""),1000.0)</f>
        <v>1000</v>
      </c>
      <c r="AB523" s="5"/>
      <c r="AC523" s="5" t="str">
        <f>IFERROR(__xludf.DUMMYFUNCTION("""COMPUTED_VALUE"""),"Wild Symbol, Scatter")</f>
        <v>Wild Symbol, Scatter</v>
      </c>
      <c r="AD523" s="5" t="str">
        <f>IFERROR(__xludf.DUMMYFUNCTION("""COMPUTED_VALUE"""),"0.40/60")</f>
        <v>0.40/60</v>
      </c>
      <c r="AE523" s="5"/>
      <c r="AF523" s="5"/>
      <c r="AG523" s="8">
        <f>IFERROR(__xludf.DUMMYFUNCTION("""COMPUTED_VALUE"""),46161.448912037034)</f>
        <v>46161.44891</v>
      </c>
      <c r="AH523" s="5" t="str">
        <f>IFERROR(__xludf.DUMMYFUNCTION("""COMPUTED_VALUE"""),"danilo.subic@fazi.rs")</f>
        <v>danilo.subic@fazi.rs</v>
      </c>
      <c r="AI523" s="13">
        <f>IFERROR(__xludf.DUMMYFUNCTION("""COMPUTED_VALUE"""),45747.0)</f>
        <v>45747</v>
      </c>
      <c r="AJ523" s="5"/>
      <c r="AK523" s="5">
        <f>IFERROR(__xludf.DUMMYFUNCTION("""COMPUTED_VALUE"""),40.0)</f>
        <v>40</v>
      </c>
      <c r="AL523" s="5" t="str">
        <f>IFERROR(__xludf.DUMMYFUNCTION("""COMPUTED_VALUE"""),"Yes")</f>
        <v>Yes</v>
      </c>
      <c r="AM523" s="5"/>
      <c r="AN523" s="5"/>
      <c r="AO523" s="5"/>
      <c r="AP523" s="5" t="str">
        <f>IFERROR(__xludf.DUMMYFUNCTION("""COMPUTED_VALUE"""),"Yes")</f>
        <v>Yes</v>
      </c>
      <c r="AQ523" s="5"/>
      <c r="AR523" s="5" t="b">
        <f>IFERROR(__xludf.DUMMYFUNCTION("""COMPUTED_VALUE"""),TRUE)</f>
        <v>1</v>
      </c>
      <c r="AS523" s="5"/>
      <c r="AT523" s="5"/>
      <c r="AU523" s="5" t="str">
        <f>IFERROR(__xludf.DUMMYFUNCTION("""COMPUTED_VALUE"""),"Fazi")</f>
        <v>Fazi</v>
      </c>
      <c r="AV523" s="5"/>
      <c r="AW523" s="5"/>
      <c r="AX523" s="5"/>
      <c r="AY523" s="5"/>
      <c r="AZ523" s="5"/>
      <c r="BA523" s="5"/>
      <c r="BB523" s="5"/>
      <c r="BC523" s="5" t="str">
        <f>IFERROR(__xludf.DUMMYFUNCTION("""COMPUTED_VALUE"""),"Foxi")</f>
        <v>Foxi</v>
      </c>
      <c r="BD523" s="5" t="str">
        <f>IFERROR(__xludf.DUMMYFUNCTION("""COMPUTED_VALUE"""),"")</f>
        <v/>
      </c>
      <c r="BE523" s="5"/>
    </row>
    <row r="524">
      <c r="A524" s="5">
        <f>IFERROR(__xludf.DUMMYFUNCTION("""COMPUTED_VALUE"""),555.0)</f>
        <v>555</v>
      </c>
      <c r="B524" s="5">
        <f>IFERROR(__xludf.DUMMYFUNCTION("""COMPUTED_VALUE"""),4012.0)</f>
        <v>4012</v>
      </c>
      <c r="C524" s="5" t="str">
        <f>IFERROR(__xludf.DUMMYFUNCTION("""COMPUTED_VALUE"""),"Fazi")</f>
        <v>Fazi</v>
      </c>
      <c r="D524" s="5" t="str">
        <f>IFERROR(__xludf.DUMMYFUNCTION("""COMPUTED_VALUE"""),"Senator Hot 5")</f>
        <v>Senator Hot 5</v>
      </c>
      <c r="E524" s="5" t="str">
        <f>IFERROR(__xludf.DUMMYFUNCTION("""COMPUTED_VALUE"""),"Sertifikacioni")</f>
        <v>Sertifikacioni</v>
      </c>
      <c r="F524" s="5" t="str">
        <f>IFERROR(__xludf.DUMMYFUNCTION("""COMPUTED_VALUE"""),"SenatorHot5")</f>
        <v>SenatorHot5</v>
      </c>
      <c r="G524" s="5" t="str">
        <f>IFERROR(__xludf.DUMMYFUNCTION("""COMPUTED_VALUE"""),"Live")</f>
        <v>Live</v>
      </c>
      <c r="H524" s="5"/>
      <c r="I524" s="5" t="str">
        <f>IFERROR(__xludf.DUMMYFUNCTION("""COMPUTED_VALUE"""),"V2")</f>
        <v>V2</v>
      </c>
      <c r="J524" s="5" t="str">
        <f>IFERROR(__xludf.DUMMYFUNCTION("""COMPUTED_VALUE"""),"Binary")</f>
        <v>Binary</v>
      </c>
      <c r="K524" s="5" t="str">
        <f>IFERROR(__xludf.DUMMYFUNCTION("""COMPUTED_VALUE"""),"Slot")</f>
        <v>Slot</v>
      </c>
      <c r="L524" s="5" t="str">
        <f>IFERROR(__xludf.DUMMYFUNCTION("""COMPUTED_VALUE""")," Reskin")</f>
        <v> Reskin</v>
      </c>
      <c r="M524" s="5" t="str">
        <f>IFERROR(__xludf.DUMMYFUNCTION("""COMPUTED_VALUE"""),"Very Hot 5")</f>
        <v>Very Hot 5</v>
      </c>
      <c r="N524" s="5"/>
      <c r="O524" s="5"/>
      <c r="P524" s="12"/>
      <c r="Q524" s="13">
        <f>IFERROR(__xludf.DUMMYFUNCTION("""COMPUTED_VALUE"""),45741.0)</f>
        <v>45741</v>
      </c>
      <c r="R524" s="13"/>
      <c r="S524" s="13"/>
      <c r="T524" s="5"/>
      <c r="U524" s="5" t="str">
        <f>IFERROR(__xludf.DUMMYFUNCTION("""COMPUTED_VALUE"""),"5x3")</f>
        <v>5x3</v>
      </c>
      <c r="V524" s="5">
        <f>IFERROR(__xludf.DUMMYFUNCTION("""COMPUTED_VALUE"""),5.0)</f>
        <v>5</v>
      </c>
      <c r="W524" s="5">
        <f>IFERROR(__xludf.DUMMYFUNCTION("""COMPUTED_VALUE"""),5.0)</f>
        <v>5</v>
      </c>
      <c r="X524" s="5">
        <f>IFERROR(__xludf.DUMMYFUNCTION("""COMPUTED_VALUE"""),96.447)</f>
        <v>96.447</v>
      </c>
      <c r="Y524" s="5" t="str">
        <f>IFERROR(__xludf.DUMMYFUNCTION("""COMPUTED_VALUE"""),"Medium")</f>
        <v>Medium</v>
      </c>
      <c r="Z524" s="5">
        <f>IFERROR(__xludf.DUMMYFUNCTION("""COMPUTED_VALUE"""),14.51)</f>
        <v>14.51</v>
      </c>
      <c r="AA524" s="5">
        <f>IFERROR(__xludf.DUMMYFUNCTION("""COMPUTED_VALUE"""),1222.0)</f>
        <v>1222</v>
      </c>
      <c r="AB524" s="5">
        <f>IFERROR(__xludf.DUMMYFUNCTION("""COMPUTED_VALUE"""),4.0)</f>
        <v>4</v>
      </c>
      <c r="AC524" s="5" t="str">
        <f>IFERROR(__xludf.DUMMYFUNCTION("""COMPUTED_VALUE"""),"Scatter, Expanding Wild")</f>
        <v>Scatter, Expanding Wild</v>
      </c>
      <c r="AD524" s="5"/>
      <c r="AE524" s="5"/>
      <c r="AF524" s="5"/>
      <c r="AG524" s="8">
        <f>IFERROR(__xludf.DUMMYFUNCTION("""COMPUTED_VALUE"""),45995.57633101852)</f>
        <v>45995.57633</v>
      </c>
      <c r="AH524" s="5" t="str">
        <f>IFERROR(__xludf.DUMMYFUNCTION("""COMPUTED_VALUE"""),"djordje.jankovic@fazi.rs")</f>
        <v>djordje.jankovic@fazi.rs</v>
      </c>
      <c r="AI524" s="13">
        <f>IFERROR(__xludf.DUMMYFUNCTION("""COMPUTED_VALUE"""),45747.0)</f>
        <v>45747</v>
      </c>
      <c r="AJ524" s="5"/>
      <c r="AK524" s="5">
        <f>IFERROR(__xludf.DUMMYFUNCTION("""COMPUTED_VALUE"""),5.0)</f>
        <v>5</v>
      </c>
      <c r="AL524" s="5" t="str">
        <f>IFERROR(__xludf.DUMMYFUNCTION("""COMPUTED_VALUE"""),"Yes")</f>
        <v>Yes</v>
      </c>
      <c r="AM524" s="5"/>
      <c r="AN524" s="5"/>
      <c r="AO524" s="5"/>
      <c r="AP524" s="5"/>
      <c r="AQ524" s="5"/>
      <c r="AR524" s="5" t="b">
        <f>IFERROR(__xludf.DUMMYFUNCTION("""COMPUTED_VALUE"""),TRUE)</f>
        <v>1</v>
      </c>
      <c r="AS524" s="5"/>
      <c r="AT524" s="5"/>
      <c r="AU524" s="5" t="str">
        <f>IFERROR(__xludf.DUMMYFUNCTION("""COMPUTED_VALUE"""),"Fazi")</f>
        <v>Fazi</v>
      </c>
      <c r="AV524" s="5"/>
      <c r="AW524" s="5"/>
      <c r="AX524" s="5"/>
      <c r="AY524" s="5"/>
      <c r="AZ524" s="5"/>
      <c r="BA524" s="5" t="str">
        <f>IFERROR(__xludf.DUMMYFUNCTION("""COMPUTED_VALUE"""),"")</f>
        <v/>
      </c>
      <c r="BB524" s="5"/>
      <c r="BC524" s="5" t="str">
        <f>IFERROR(__xludf.DUMMYFUNCTION("""COMPUTED_VALUE"""),"Foxi")</f>
        <v>Foxi</v>
      </c>
      <c r="BD524" s="5" t="str">
        <f>IFERROR(__xludf.DUMMYFUNCTION("""COMPUTED_VALUE"""),"")</f>
        <v/>
      </c>
      <c r="BE524" s="5"/>
    </row>
    <row r="525">
      <c r="A525" s="5">
        <f>IFERROR(__xludf.DUMMYFUNCTION("""COMPUTED_VALUE"""),556.0)</f>
        <v>556</v>
      </c>
      <c r="B525" s="5">
        <f>IFERROR(__xludf.DUMMYFUNCTION("""COMPUTED_VALUE"""),4016.0)</f>
        <v>4016</v>
      </c>
      <c r="C525" s="5" t="str">
        <f>IFERROR(__xludf.DUMMYFUNCTION("""COMPUTED_VALUE"""),"Fazi")</f>
        <v>Fazi</v>
      </c>
      <c r="D525" s="5" t="str">
        <f>IFERROR(__xludf.DUMMYFUNCTION("""COMPUTED_VALUE"""),"Most Bet 27")</f>
        <v>Most Bet 27</v>
      </c>
      <c r="E525" s="5" t="str">
        <f>IFERROR(__xludf.DUMMYFUNCTION("""COMPUTED_VALUE"""),"Sertifikacioni")</f>
        <v>Sertifikacioni</v>
      </c>
      <c r="F525" s="5" t="str">
        <f>IFERROR(__xludf.DUMMYFUNCTION("""COMPUTED_VALUE"""),"MostBet27")</f>
        <v>MostBet27</v>
      </c>
      <c r="G525" s="5" t="str">
        <f>IFERROR(__xludf.DUMMYFUNCTION("""COMPUTED_VALUE"""),"Live")</f>
        <v>Live</v>
      </c>
      <c r="H525" s="5"/>
      <c r="I525" s="5" t="str">
        <f>IFERROR(__xludf.DUMMYFUNCTION("""COMPUTED_VALUE"""),"V4")</f>
        <v>V4</v>
      </c>
      <c r="J525" s="5" t="str">
        <f>IFERROR(__xludf.DUMMYFUNCTION("""COMPUTED_VALUE"""),"JSON")</f>
        <v>JSON</v>
      </c>
      <c r="K525" s="5" t="str">
        <f>IFERROR(__xludf.DUMMYFUNCTION("""COMPUTED_VALUE"""),"Slot")</f>
        <v>Slot</v>
      </c>
      <c r="L525" s="5" t="str">
        <f>IFERROR(__xludf.DUMMYFUNCTION("""COMPUTED_VALUE""")," Reskin")</f>
        <v> Reskin</v>
      </c>
      <c r="M525" s="5" t="str">
        <f>IFERROR(__xludf.DUMMYFUNCTION("""COMPUTED_VALUE"""),"Wild 27")</f>
        <v>Wild 27</v>
      </c>
      <c r="N525" s="5"/>
      <c r="O525" s="5"/>
      <c r="P525" s="12"/>
      <c r="Q525" s="13">
        <f>IFERROR(__xludf.DUMMYFUNCTION("""COMPUTED_VALUE"""),45741.0)</f>
        <v>45741</v>
      </c>
      <c r="R525" s="13"/>
      <c r="S525" s="13"/>
      <c r="T525" s="5"/>
      <c r="U525" s="5" t="str">
        <f>IFERROR(__xludf.DUMMYFUNCTION("""COMPUTED_VALUE"""),"3x3")</f>
        <v>3x3</v>
      </c>
      <c r="V525" s="5">
        <f>IFERROR(__xludf.DUMMYFUNCTION("""COMPUTED_VALUE"""),27.0)</f>
        <v>27</v>
      </c>
      <c r="W525" s="5">
        <f>IFERROR(__xludf.DUMMYFUNCTION("""COMPUTED_VALUE"""),27.0)</f>
        <v>27</v>
      </c>
      <c r="X525" s="5">
        <f>IFERROR(__xludf.DUMMYFUNCTION("""COMPUTED_VALUE"""),96.24)</f>
        <v>96.24</v>
      </c>
      <c r="Y525" s="5" t="str">
        <f>IFERROR(__xludf.DUMMYFUNCTION("""COMPUTED_VALUE"""),"Low")</f>
        <v>Low</v>
      </c>
      <c r="Z525" s="5">
        <f>IFERROR(__xludf.DUMMYFUNCTION("""COMPUTED_VALUE"""),6.58)</f>
        <v>6.58</v>
      </c>
      <c r="AA525" s="5">
        <f>IFERROR(__xludf.DUMMYFUNCTION("""COMPUTED_VALUE"""),108.0)</f>
        <v>108</v>
      </c>
      <c r="AB525" s="5"/>
      <c r="AC525" s="5" t="str">
        <f>IFERROR(__xludf.DUMMYFUNCTION("""COMPUTED_VALUE"""),"Win Multiplier")</f>
        <v>Win Multiplier</v>
      </c>
      <c r="AD525" s="5" t="str">
        <f>IFERROR(__xludf.DUMMYFUNCTION("""COMPUTED_VALUE"""),"0.1/40")</f>
        <v>0.1/40</v>
      </c>
      <c r="AE525" s="5"/>
      <c r="AF525" s="5"/>
      <c r="AG525" s="8">
        <f>IFERROR(__xludf.DUMMYFUNCTION("""COMPUTED_VALUE"""),46213.446539351855)</f>
        <v>46213.44654</v>
      </c>
      <c r="AH525" s="5" t="str">
        <f>IFERROR(__xludf.DUMMYFUNCTION("""COMPUTED_VALUE"""),"djordje.petrovic@fazi.rs")</f>
        <v>djordje.petrovic@fazi.rs</v>
      </c>
      <c r="AI525" s="13">
        <f>IFERROR(__xludf.DUMMYFUNCTION("""COMPUTED_VALUE"""),45747.0)</f>
        <v>45747</v>
      </c>
      <c r="AJ525" s="5"/>
      <c r="AK525" s="5">
        <f>IFERROR(__xludf.DUMMYFUNCTION("""COMPUTED_VALUE"""),1.0)</f>
        <v>1</v>
      </c>
      <c r="AL525" s="5" t="str">
        <f>IFERROR(__xludf.DUMMYFUNCTION("""COMPUTED_VALUE"""),"Yes")</f>
        <v>Yes</v>
      </c>
      <c r="AM525" s="5"/>
      <c r="AN525" s="5"/>
      <c r="AO525" s="5"/>
      <c r="AP525" s="5" t="str">
        <f>IFERROR(__xludf.DUMMYFUNCTION("""COMPUTED_VALUE"""),"No")</f>
        <v>No</v>
      </c>
      <c r="AQ525" s="5"/>
      <c r="AR525" s="5" t="b">
        <f>IFERROR(__xludf.DUMMYFUNCTION("""COMPUTED_VALUE"""),TRUE)</f>
        <v>1</v>
      </c>
      <c r="AS525" s="5"/>
      <c r="AT525" s="5"/>
      <c r="AU525" s="5" t="str">
        <f>IFERROR(__xludf.DUMMYFUNCTION("""COMPUTED_VALUE"""),"Fazi")</f>
        <v>Fazi</v>
      </c>
      <c r="AV525" s="5"/>
      <c r="AW525" s="5"/>
      <c r="AX525" s="5"/>
      <c r="AY525" s="5"/>
      <c r="AZ525" s="5"/>
      <c r="BA525" s="5"/>
      <c r="BB525" s="5"/>
      <c r="BC525" s="5" t="str">
        <f>IFERROR(__xludf.DUMMYFUNCTION("""COMPUTED_VALUE"""),"Foxi")</f>
        <v>Foxi</v>
      </c>
      <c r="BD525" s="5"/>
      <c r="BE525" s="5"/>
    </row>
    <row r="526">
      <c r="A526" s="5">
        <f>IFERROR(__xludf.DUMMYFUNCTION("""COMPUTED_VALUE"""),557.0)</f>
        <v>557</v>
      </c>
      <c r="B526" s="5">
        <f>IFERROR(__xludf.DUMMYFUNCTION("""COMPUTED_VALUE"""),501.0)</f>
        <v>501</v>
      </c>
      <c r="C526" s="5" t="str">
        <f>IFERROR(__xludf.DUMMYFUNCTION("""COMPUTED_VALUE"""),"Tiptop")</f>
        <v>Tiptop</v>
      </c>
      <c r="D526" s="5" t="str">
        <f>IFERROR(__xludf.DUMMYFUNCTION("""COMPUTED_VALUE"""),"Enchanted Gems")</f>
        <v>Enchanted Gems</v>
      </c>
      <c r="E526" s="5" t="str">
        <f>IFERROR(__xludf.DUMMYFUNCTION("""COMPUTED_VALUE"""),"Sertifikacioni")</f>
        <v>Sertifikacioni</v>
      </c>
      <c r="F526" s="5" t="str">
        <f>IFERROR(__xludf.DUMMYFUNCTION("""COMPUTED_VALUE"""),"UnicornEnchantedGems")</f>
        <v>UnicornEnchantedGems</v>
      </c>
      <c r="G526" s="5" t="str">
        <f>IFERROR(__xludf.DUMMYFUNCTION("""COMPUTED_VALUE"""),"Live")</f>
        <v>Live</v>
      </c>
      <c r="H526" s="5"/>
      <c r="I526" s="5" t="str">
        <f>IFERROR(__xludf.DUMMYFUNCTION("""COMPUTED_VALUE"""),"TipTop")</f>
        <v>TipTop</v>
      </c>
      <c r="J526" s="5" t="str">
        <f>IFERROR(__xludf.DUMMYFUNCTION("""COMPUTED_VALUE"""),"JSON")</f>
        <v>JSON</v>
      </c>
      <c r="K526" s="5" t="str">
        <f>IFERROR(__xludf.DUMMYFUNCTION("""COMPUTED_VALUE"""),"Slot")</f>
        <v>Slot</v>
      </c>
      <c r="L526" s="5" t="str">
        <f>IFERROR(__xludf.DUMMYFUNCTION("""COMPUTED_VALUE""")," Clone")</f>
        <v> Clone</v>
      </c>
      <c r="M526" s="5" t="str">
        <f>IFERROR(__xludf.DUMMYFUNCTION("""COMPUTED_VALUE"""),"Simply Sevens")</f>
        <v>Simply Sevens</v>
      </c>
      <c r="N526" s="5"/>
      <c r="O526" s="5"/>
      <c r="P526" s="12">
        <f>IFERROR(__xludf.DUMMYFUNCTION("""COMPUTED_VALUE"""),13.6)</f>
        <v>13.6</v>
      </c>
      <c r="Q526" s="13">
        <f>IFERROR(__xludf.DUMMYFUNCTION("""COMPUTED_VALUE"""),45841.0)</f>
        <v>45841</v>
      </c>
      <c r="R526" s="13">
        <f>IFERROR(__xludf.DUMMYFUNCTION("""COMPUTED_VALUE"""),45835.0)</f>
        <v>45835</v>
      </c>
      <c r="S526" s="13">
        <f>IFERROR(__xludf.DUMMYFUNCTION("""COMPUTED_VALUE"""),45841.0)</f>
        <v>45841</v>
      </c>
      <c r="T526" s="5" t="b">
        <f>IFERROR(__xludf.DUMMYFUNCTION("""COMPUTED_VALUE"""),TRUE)</f>
        <v>1</v>
      </c>
      <c r="U526" s="5" t="str">
        <f>IFERROR(__xludf.DUMMYFUNCTION("""COMPUTED_VALUE"""),"5x3")</f>
        <v>5x3</v>
      </c>
      <c r="V526" s="5">
        <f>IFERROR(__xludf.DUMMYFUNCTION("""COMPUTED_VALUE"""),10.0)</f>
        <v>10</v>
      </c>
      <c r="W526" s="5">
        <f>IFERROR(__xludf.DUMMYFUNCTION("""COMPUTED_VALUE"""),10.0)</f>
        <v>10</v>
      </c>
      <c r="X526" s="5">
        <f>IFERROR(__xludf.DUMMYFUNCTION("""COMPUTED_VALUE"""),96.0)</f>
        <v>96</v>
      </c>
      <c r="Y526" s="5" t="str">
        <f>IFERROR(__xludf.DUMMYFUNCTION("""COMPUTED_VALUE"""),"Low")</f>
        <v>Low</v>
      </c>
      <c r="Z526" s="5">
        <f>IFERROR(__xludf.DUMMYFUNCTION("""COMPUTED_VALUE"""),24.14)</f>
        <v>24.14</v>
      </c>
      <c r="AA526" s="5">
        <f>IFERROR(__xludf.DUMMYFUNCTION("""COMPUTED_VALUE"""),10000.0)</f>
        <v>10000</v>
      </c>
      <c r="AB526" s="5"/>
      <c r="AC526" s="5"/>
      <c r="AD526" s="5" t="str">
        <f>IFERROR(__xludf.DUMMYFUNCTION("""COMPUTED_VALUE"""),"0.1/100")</f>
        <v>0.1/100</v>
      </c>
      <c r="AE526" s="5"/>
      <c r="AF526" s="5"/>
      <c r="AG526" s="8">
        <f>IFERROR(__xludf.DUMMYFUNCTION("""COMPUTED_VALUE"""),46197.49914351852)</f>
        <v>46197.49914</v>
      </c>
      <c r="AH526" s="5" t="str">
        <f>IFERROR(__xludf.DUMMYFUNCTION("""COMPUTED_VALUE"""),"selena.mihajlovic@fazi.rs")</f>
        <v>selena.mihajlovic@fazi.rs</v>
      </c>
      <c r="AI526" s="13"/>
      <c r="AJ526" s="5"/>
      <c r="AK526" s="5">
        <f>IFERROR(__xludf.DUMMYFUNCTION("""COMPUTED_VALUE"""),10.0)</f>
        <v>10</v>
      </c>
      <c r="AL526" s="5" t="str">
        <f>IFERROR(__xludf.DUMMYFUNCTION("""COMPUTED_VALUE"""),"No")</f>
        <v>No</v>
      </c>
      <c r="AM526" s="5"/>
      <c r="AN526" s="7" t="str">
        <f>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AO526" s="5"/>
      <c r="AP526" s="5"/>
      <c r="AQ526" s="5" t="b">
        <f>IFERROR(__xludf.DUMMYFUNCTION("""COMPUTED_VALUE"""),TRUE)</f>
        <v>1</v>
      </c>
      <c r="AR526" s="5"/>
      <c r="AS526" s="5" t="str">
        <f>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AT526" s="5"/>
      <c r="AU526" s="5" t="str">
        <f>IFERROR(__xludf.DUMMYFUNCTION("""COMPUTED_VALUE"""),"Fazi")</f>
        <v>Fazi</v>
      </c>
      <c r="AV526" s="5"/>
      <c r="AW526" s="5"/>
      <c r="AX526" s="5"/>
      <c r="AY526" s="5"/>
      <c r="AZ526" s="5"/>
      <c r="BA526" s="5"/>
      <c r="BB526" s="5" t="b">
        <f>IFERROR(__xludf.DUMMYFUNCTION("""COMPUTED_VALUE"""),TRUE)</f>
        <v>1</v>
      </c>
      <c r="BC526" s="5" t="str">
        <f>IFERROR(__xludf.DUMMYFUNCTION("""COMPUTED_VALUE"""),"Tiptop")</f>
        <v>Tiptop</v>
      </c>
      <c r="BD526" s="7" t="str">
        <f>IFERROR(__xludf.DUMMYFUNCTION("""COMPUTED_VALUE"""),"https://gameserver-store-client-area.orbionlimited.com/Home/IntegrationGameLaunch/client-area?moneyType=0&amp;gameName=UnicornEnchantedGems&amp;platform=desktop&amp;languageCode=eng&amp;currency=EUR")</f>
        <v>https://gameserver-store-client-area.orbionlimited.com/Home/IntegrationGameLaunch/client-area?moneyType=0&amp;gameName=UnicornEnchantedGems&amp;platform=desktop&amp;languageCode=eng&amp;currency=EUR</v>
      </c>
      <c r="BE526" s="5" t="b">
        <f>IFERROR(__xludf.DUMMYFUNCTION("""COMPUTED_VALUE"""),TRUE)</f>
        <v>1</v>
      </c>
    </row>
    <row r="527">
      <c r="A527" s="5">
        <f>IFERROR(__xludf.DUMMYFUNCTION("""COMPUTED_VALUE"""),558.0)</f>
        <v>558</v>
      </c>
      <c r="B527" s="5">
        <f>IFERROR(__xludf.DUMMYFUNCTION("""COMPUTED_VALUE"""),502.0)</f>
        <v>502</v>
      </c>
      <c r="C527" s="5" t="str">
        <f>IFERROR(__xludf.DUMMYFUNCTION("""COMPUTED_VALUE"""),"Tiptop")</f>
        <v>Tiptop</v>
      </c>
      <c r="D527" s="5" t="str">
        <f>IFERROR(__xludf.DUMMYFUNCTION("""COMPUTED_VALUE"""),"Supreme Sevens Dice")</f>
        <v>Supreme Sevens Dice</v>
      </c>
      <c r="E527" s="5" t="str">
        <f>IFERROR(__xludf.DUMMYFUNCTION("""COMPUTED_VALUE"""),"Sertifikacioni")</f>
        <v>Sertifikacioni</v>
      </c>
      <c r="F527" s="5" t="str">
        <f>IFERROR(__xludf.DUMMYFUNCTION("""COMPUTED_VALUE"""),"UnicornSupremeSevensDice")</f>
        <v>UnicornSupremeSevensDice</v>
      </c>
      <c r="G527" s="5" t="str">
        <f>IFERROR(__xludf.DUMMYFUNCTION("""COMPUTED_VALUE"""),"Live")</f>
        <v>Live</v>
      </c>
      <c r="H527" s="5"/>
      <c r="I527" s="5" t="str">
        <f>IFERROR(__xludf.DUMMYFUNCTION("""COMPUTED_VALUE"""),"TipTop")</f>
        <v>TipTop</v>
      </c>
      <c r="J527" s="5" t="str">
        <f>IFERROR(__xludf.DUMMYFUNCTION("""COMPUTED_VALUE"""),"JSON")</f>
        <v>JSON</v>
      </c>
      <c r="K527" s="5" t="str">
        <f>IFERROR(__xludf.DUMMYFUNCTION("""COMPUTED_VALUE"""),"Dice Slots")</f>
        <v>Dice Slots</v>
      </c>
      <c r="L527" s="5" t="str">
        <f>IFERROR(__xludf.DUMMYFUNCTION("""COMPUTED_VALUE""")," Clone")</f>
        <v> Clone</v>
      </c>
      <c r="M527" s="5" t="str">
        <f>IFERROR(__xludf.DUMMYFUNCTION("""COMPUTED_VALUE"""),"Fruit Island")</f>
        <v>Fruit Island</v>
      </c>
      <c r="N527" s="5"/>
      <c r="O527" s="5"/>
      <c r="P527" s="12">
        <f>IFERROR(__xludf.DUMMYFUNCTION("""COMPUTED_VALUE"""),10.4)</f>
        <v>10.4</v>
      </c>
      <c r="Q527" s="13">
        <f>IFERROR(__xludf.DUMMYFUNCTION("""COMPUTED_VALUE"""),45847.0)</f>
        <v>45847</v>
      </c>
      <c r="R527" s="13">
        <f>IFERROR(__xludf.DUMMYFUNCTION("""COMPUTED_VALUE"""),45840.0)</f>
        <v>45840</v>
      </c>
      <c r="S527" s="13">
        <f>IFERROR(__xludf.DUMMYFUNCTION("""COMPUTED_VALUE"""),45847.0)</f>
        <v>45847</v>
      </c>
      <c r="T527" s="5" t="b">
        <f>IFERROR(__xludf.DUMMYFUNCTION("""COMPUTED_VALUE"""),TRUE)</f>
        <v>1</v>
      </c>
      <c r="U527" s="5" t="str">
        <f>IFERROR(__xludf.DUMMYFUNCTION("""COMPUTED_VALUE"""),"5x3")</f>
        <v>5x3</v>
      </c>
      <c r="V527" s="5">
        <f>IFERROR(__xludf.DUMMYFUNCTION("""COMPUTED_VALUE"""),5.0)</f>
        <v>5</v>
      </c>
      <c r="W527" s="5">
        <f>IFERROR(__xludf.DUMMYFUNCTION("""COMPUTED_VALUE"""),5.0)</f>
        <v>5</v>
      </c>
      <c r="X527" s="5">
        <f>IFERROR(__xludf.DUMMYFUNCTION("""COMPUTED_VALUE"""),96.0)</f>
        <v>96</v>
      </c>
      <c r="Y527" s="5" t="str">
        <f>IFERROR(__xludf.DUMMYFUNCTION("""COMPUTED_VALUE"""),"Low")</f>
        <v>Low</v>
      </c>
      <c r="Z527" s="5">
        <f>IFERROR(__xludf.DUMMYFUNCTION("""COMPUTED_VALUE"""),10.5)</f>
        <v>10.5</v>
      </c>
      <c r="AA527" s="5">
        <f>IFERROR(__xludf.DUMMYFUNCTION("""COMPUTED_VALUE"""),1000.0)</f>
        <v>1000</v>
      </c>
      <c r="AB527" s="5"/>
      <c r="AC527" s="5"/>
      <c r="AD527" s="5" t="str">
        <f>IFERROR(__xludf.DUMMYFUNCTION("""COMPUTED_VALUE"""),"0.05/100")</f>
        <v>0.05/100</v>
      </c>
      <c r="AE527" s="5"/>
      <c r="AF527" s="5"/>
      <c r="AG527" s="8">
        <f>IFERROR(__xludf.DUMMYFUNCTION("""COMPUTED_VALUE"""),46197.49930555555)</f>
        <v>46197.49931</v>
      </c>
      <c r="AH527" s="5" t="str">
        <f>IFERROR(__xludf.DUMMYFUNCTION("""COMPUTED_VALUE"""),"selena.mihajlovic@fazi.rs")</f>
        <v>selena.mihajlovic@fazi.rs</v>
      </c>
      <c r="AI527" s="13"/>
      <c r="AJ527" s="5"/>
      <c r="AK527" s="5">
        <f>IFERROR(__xludf.DUMMYFUNCTION("""COMPUTED_VALUE"""),5.0)</f>
        <v>5</v>
      </c>
      <c r="AL527" s="5" t="str">
        <f>IFERROR(__xludf.DUMMYFUNCTION("""COMPUTED_VALUE"""),"No")</f>
        <v>No</v>
      </c>
      <c r="AM527" s="5"/>
      <c r="AN527" s="7" t="str">
        <f>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AO527" s="5"/>
      <c r="AP527" s="5"/>
      <c r="AQ527" s="5" t="b">
        <f>IFERROR(__xludf.DUMMYFUNCTION("""COMPUTED_VALUE"""),TRUE)</f>
        <v>1</v>
      </c>
      <c r="AR527" s="5"/>
      <c r="AS527"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27" s="5"/>
      <c r="AU527" s="5" t="str">
        <f>IFERROR(__xludf.DUMMYFUNCTION("""COMPUTED_VALUE"""),"Fazi")</f>
        <v>Fazi</v>
      </c>
      <c r="AV527" s="5"/>
      <c r="AW527" s="5"/>
      <c r="AX527" s="5"/>
      <c r="AY527" s="5"/>
      <c r="AZ527" s="5"/>
      <c r="BA527" s="5"/>
      <c r="BB527" s="5" t="b">
        <f>IFERROR(__xludf.DUMMYFUNCTION("""COMPUTED_VALUE"""),TRUE)</f>
        <v>1</v>
      </c>
      <c r="BC527" s="5" t="str">
        <f>IFERROR(__xludf.DUMMYFUNCTION("""COMPUTED_VALUE"""),"Tiptop")</f>
        <v>Tiptop</v>
      </c>
      <c r="BD527" s="7" t="str">
        <f>IFERROR(__xludf.DUMMYFUNCTION("""COMPUTED_VALUE"""),"https://gameserver-store-client-area.orbionlimited.com/Home/IntegrationGameLaunch/client-area?moneyType=0&amp;gameName=UnicornSupremeSevensDice&amp;platform=desktop&amp;languageCode=eng&amp;currency=EUR")</f>
        <v>https://gameserver-store-client-area.orbionlimited.com/Home/IntegrationGameLaunch/client-area?moneyType=0&amp;gameName=UnicornSupremeSevensDice&amp;platform=desktop&amp;languageCode=eng&amp;currency=EUR</v>
      </c>
      <c r="BE527" s="5" t="b">
        <f>IFERROR(__xludf.DUMMYFUNCTION("""COMPUTED_VALUE"""),TRUE)</f>
        <v>1</v>
      </c>
    </row>
    <row r="528">
      <c r="A528" s="5">
        <f>IFERROR(__xludf.DUMMYFUNCTION("""COMPUTED_VALUE"""),559.0)</f>
        <v>559</v>
      </c>
      <c r="B528" s="5">
        <f>IFERROR(__xludf.DUMMYFUNCTION("""COMPUTED_VALUE"""),373.0)</f>
        <v>373</v>
      </c>
      <c r="C528" s="5" t="str">
        <f>IFERROR(__xludf.DUMMYFUNCTION("""COMPUTED_VALUE"""),"Tiptop")</f>
        <v>Tiptop</v>
      </c>
      <c r="D528" s="5" t="str">
        <f>IFERROR(__xludf.DUMMYFUNCTION("""COMPUTED_VALUE"""),"Reely Wild Reels")</f>
        <v>Reely Wild Reels</v>
      </c>
      <c r="E528" s="5" t="str">
        <f>IFERROR(__xludf.DUMMYFUNCTION("""COMPUTED_VALUE"""),"V4-2")</f>
        <v>V4-2</v>
      </c>
      <c r="F528" s="5" t="str">
        <f>IFERROR(__xludf.DUMMYFUNCTION("""COMPUTED_VALUE"""),"UnicornReelyWildReels")</f>
        <v>UnicornReelyWildReels</v>
      </c>
      <c r="G528" s="5" t="str">
        <f>IFERROR(__xludf.DUMMYFUNCTION("""COMPUTED_VALUE"""),"Live")</f>
        <v>Live</v>
      </c>
      <c r="H528" s="5"/>
      <c r="I528" s="5" t="str">
        <f>IFERROR(__xludf.DUMMYFUNCTION("""COMPUTED_VALUE"""),"TipTop")</f>
        <v>TipTop</v>
      </c>
      <c r="J528" s="5" t="str">
        <f>IFERROR(__xludf.DUMMYFUNCTION("""COMPUTED_VALUE"""),"JSON")</f>
        <v>JSON</v>
      </c>
      <c r="K528" s="5" t="str">
        <f>IFERROR(__xludf.DUMMYFUNCTION("""COMPUTED_VALUE"""),"Slot")</f>
        <v>Slot</v>
      </c>
      <c r="L528" s="5" t="str">
        <f>IFERROR(__xludf.DUMMYFUNCTION("""COMPUTED_VALUE""")," Clone")</f>
        <v> Clone</v>
      </c>
      <c r="M528" s="5" t="str">
        <f>IFERROR(__xludf.DUMMYFUNCTION("""COMPUTED_VALUE"""),"Casino Fruits")</f>
        <v>Casino Fruits</v>
      </c>
      <c r="N528" s="5"/>
      <c r="O528" s="5"/>
      <c r="P528" s="12">
        <f>IFERROR(__xludf.DUMMYFUNCTION("""COMPUTED_VALUE"""),10.5)</f>
        <v>10.5</v>
      </c>
      <c r="Q528" s="13">
        <f>IFERROR(__xludf.DUMMYFUNCTION("""COMPUTED_VALUE"""),45853.0)</f>
        <v>45853</v>
      </c>
      <c r="R528" s="13">
        <f>IFERROR(__xludf.DUMMYFUNCTION("""COMPUTED_VALUE"""),45846.0)</f>
        <v>45846</v>
      </c>
      <c r="S528" s="13">
        <f>IFERROR(__xludf.DUMMYFUNCTION("""COMPUTED_VALUE"""),45853.0)</f>
        <v>45853</v>
      </c>
      <c r="T528" s="5" t="b">
        <f>IFERROR(__xludf.DUMMYFUNCTION("""COMPUTED_VALUE"""),TRUE)</f>
        <v>1</v>
      </c>
      <c r="U528" s="5" t="str">
        <f>IFERROR(__xludf.DUMMYFUNCTION("""COMPUTED_VALUE"""),"5x3")</f>
        <v>5x3</v>
      </c>
      <c r="V528" s="5">
        <f>IFERROR(__xludf.DUMMYFUNCTION("""COMPUTED_VALUE"""),10.0)</f>
        <v>10</v>
      </c>
      <c r="W528" s="5">
        <f>IFERROR(__xludf.DUMMYFUNCTION("""COMPUTED_VALUE"""),10.0)</f>
        <v>10</v>
      </c>
      <c r="X528" s="5">
        <f>IFERROR(__xludf.DUMMYFUNCTION("""COMPUTED_VALUE"""),96.0)</f>
        <v>96</v>
      </c>
      <c r="Y528" s="5" t="str">
        <f>IFERROR(__xludf.DUMMYFUNCTION("""COMPUTED_VALUE"""),"Low")</f>
        <v>Low</v>
      </c>
      <c r="Z528" s="5">
        <f>IFERROR(__xludf.DUMMYFUNCTION("""COMPUTED_VALUE"""),12.79)</f>
        <v>12.79</v>
      </c>
      <c r="AA528" s="5">
        <f>IFERROR(__xludf.DUMMYFUNCTION("""COMPUTED_VALUE"""),2000.0)</f>
        <v>2000</v>
      </c>
      <c r="AB528" s="5"/>
      <c r="AC528" s="5"/>
      <c r="AD528" s="5" t="str">
        <f>IFERROR(__xludf.DUMMYFUNCTION("""COMPUTED_VALUE"""),"0.1/100")</f>
        <v>0.1/100</v>
      </c>
      <c r="AE528" s="5"/>
      <c r="AF528" s="5"/>
      <c r="AG528" s="8">
        <f>IFERROR(__xludf.DUMMYFUNCTION("""COMPUTED_VALUE"""),46197.495625)</f>
        <v>46197.49563</v>
      </c>
      <c r="AH528" s="5" t="str">
        <f>IFERROR(__xludf.DUMMYFUNCTION("""COMPUTED_VALUE"""),"selena.mihajlovic@fazi.rs")</f>
        <v>selena.mihajlovic@fazi.rs</v>
      </c>
      <c r="AI528" s="13"/>
      <c r="AJ528" s="5"/>
      <c r="AK528" s="5">
        <f>IFERROR(__xludf.DUMMYFUNCTION("""COMPUTED_VALUE"""),10.0)</f>
        <v>10</v>
      </c>
      <c r="AL528" s="5" t="str">
        <f>IFERROR(__xludf.DUMMYFUNCTION("""COMPUTED_VALUE"""),"No")</f>
        <v>No</v>
      </c>
      <c r="AM528" s="5"/>
      <c r="AN528" s="7" t="str">
        <f>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AO528" s="5"/>
      <c r="AP528" s="5"/>
      <c r="AQ528" s="5" t="b">
        <f>IFERROR(__xludf.DUMMYFUNCTION("""COMPUTED_VALUE"""),TRUE)</f>
        <v>1</v>
      </c>
      <c r="AR528" s="5"/>
      <c r="AS528" s="5" t="str">
        <f>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AT528" s="5"/>
      <c r="AU528" s="5" t="str">
        <f>IFERROR(__xludf.DUMMYFUNCTION("""COMPUTED_VALUE"""),"Fazi")</f>
        <v>Fazi</v>
      </c>
      <c r="AV528" s="5"/>
      <c r="AW528" s="5"/>
      <c r="AX528" s="5"/>
      <c r="AY528" s="5"/>
      <c r="AZ528" s="5"/>
      <c r="BA528" s="5"/>
      <c r="BB528" s="5" t="b">
        <f>IFERROR(__xludf.DUMMYFUNCTION("""COMPUTED_VALUE"""),TRUE)</f>
        <v>1</v>
      </c>
      <c r="BC528" s="5" t="str">
        <f>IFERROR(__xludf.DUMMYFUNCTION("""COMPUTED_VALUE"""),"Tiptop")</f>
        <v>Tiptop</v>
      </c>
      <c r="BD528" s="7" t="str">
        <f>IFERROR(__xludf.DUMMYFUNCTION("""COMPUTED_VALUE"""),"https://gameserver-store-client-area.orbionlimited.com/Home/IntegrationGameLaunch/client-area?moneyType=0&amp;gameName=UnicornReelyWildReels&amp;platform=desktop&amp;languageCode=eng&amp;currency=EUR")</f>
        <v>https://gameserver-store-client-area.orbionlimited.com/Home/IntegrationGameLaunch/client-area?moneyType=0&amp;gameName=UnicornReelyWildReels&amp;platform=desktop&amp;languageCode=eng&amp;currency=EUR</v>
      </c>
      <c r="BE528" s="5" t="b">
        <f>IFERROR(__xludf.DUMMYFUNCTION("""COMPUTED_VALUE"""),TRUE)</f>
        <v>1</v>
      </c>
    </row>
    <row r="529">
      <c r="A529" s="5">
        <f>IFERROR(__xludf.DUMMYFUNCTION("""COMPUTED_VALUE"""),560.0)</f>
        <v>560</v>
      </c>
      <c r="B529" s="5">
        <f>IFERROR(__xludf.DUMMYFUNCTION("""COMPUTED_VALUE"""),422.0)</f>
        <v>422</v>
      </c>
      <c r="C529" s="5" t="str">
        <f>IFERROR(__xludf.DUMMYFUNCTION("""COMPUTED_VALUE"""),"Tiptop")</f>
        <v>Tiptop</v>
      </c>
      <c r="D529" s="5" t="str">
        <f>IFERROR(__xludf.DUMMYFUNCTION("""COMPUTED_VALUE"""),"Dynamite Escape")</f>
        <v>Dynamite Escape</v>
      </c>
      <c r="E529" s="5" t="str">
        <f>IFERROR(__xludf.DUMMYFUNCTION("""COMPUTED_VALUE"""),"V4-2")</f>
        <v>V4-2</v>
      </c>
      <c r="F529" s="5" t="str">
        <f>IFERROR(__xludf.DUMMYFUNCTION("""COMPUTED_VALUE"""),"UnicornDynamiteEscape")</f>
        <v>UnicornDynamiteEscape</v>
      </c>
      <c r="G529" s="5" t="str">
        <f>IFERROR(__xludf.DUMMYFUNCTION("""COMPUTED_VALUE"""),"Live")</f>
        <v>Live</v>
      </c>
      <c r="H529" s="5"/>
      <c r="I529" s="5" t="str">
        <f>IFERROR(__xludf.DUMMYFUNCTION("""COMPUTED_VALUE"""),"TipTop")</f>
        <v>TipTop</v>
      </c>
      <c r="J529" s="5" t="str">
        <f>IFERROR(__xludf.DUMMYFUNCTION("""COMPUTED_VALUE"""),"JSON")</f>
        <v>JSON</v>
      </c>
      <c r="K529" s="5" t="str">
        <f>IFERROR(__xludf.DUMMYFUNCTION("""COMPUTED_VALUE"""),"Slot")</f>
        <v>Slot</v>
      </c>
      <c r="L529" s="5" t="str">
        <f>IFERROR(__xludf.DUMMYFUNCTION("""COMPUTED_VALUE"""),"Master")</f>
        <v>Master</v>
      </c>
      <c r="M529" s="5"/>
      <c r="N529" s="5"/>
      <c r="O529" s="5"/>
      <c r="P529" s="12">
        <f>IFERROR(__xludf.DUMMYFUNCTION("""COMPUTED_VALUE"""),13.7)</f>
        <v>13.7</v>
      </c>
      <c r="Q529" s="13">
        <f>IFERROR(__xludf.DUMMYFUNCTION("""COMPUTED_VALUE"""),45862.0)</f>
        <v>45862</v>
      </c>
      <c r="R529" s="13">
        <f>IFERROR(__xludf.DUMMYFUNCTION("""COMPUTED_VALUE"""),45855.0)</f>
        <v>45855</v>
      </c>
      <c r="S529" s="13">
        <f>IFERROR(__xludf.DUMMYFUNCTION("""COMPUTED_VALUE"""),45862.0)</f>
        <v>45862</v>
      </c>
      <c r="T529" s="5" t="b">
        <f>IFERROR(__xludf.DUMMYFUNCTION("""COMPUTED_VALUE"""),TRUE)</f>
        <v>1</v>
      </c>
      <c r="U529" s="5" t="str">
        <f>IFERROR(__xludf.DUMMYFUNCTION("""COMPUTED_VALUE"""),"5X3")</f>
        <v>5X3</v>
      </c>
      <c r="V529" s="5">
        <f>IFERROR(__xludf.DUMMYFUNCTION("""COMPUTED_VALUE"""),5.0)</f>
        <v>5</v>
      </c>
      <c r="W529" s="5">
        <f>IFERROR(__xludf.DUMMYFUNCTION("""COMPUTED_VALUE"""),5.0)</f>
        <v>5</v>
      </c>
      <c r="X529" s="5">
        <f>IFERROR(__xludf.DUMMYFUNCTION("""COMPUTED_VALUE"""),96.0)</f>
        <v>96</v>
      </c>
      <c r="Y529" s="5" t="str">
        <f>IFERROR(__xludf.DUMMYFUNCTION("""COMPUTED_VALUE"""),"Medium")</f>
        <v>Medium</v>
      </c>
      <c r="Z529" s="5">
        <f>IFERROR(__xludf.DUMMYFUNCTION("""COMPUTED_VALUE"""),19.17)</f>
        <v>19.17</v>
      </c>
      <c r="AA529" s="5">
        <f>IFERROR(__xludf.DUMMYFUNCTION("""COMPUTED_VALUE"""),4000.0)</f>
        <v>4000</v>
      </c>
      <c r="AB529" s="5"/>
      <c r="AC529" s="5"/>
      <c r="AD529" s="5" t="str">
        <f>IFERROR(__xludf.DUMMYFUNCTION("""COMPUTED_VALUE"""),"0.05/100")</f>
        <v>0.05/100</v>
      </c>
      <c r="AE529" s="5"/>
      <c r="AF529" s="5"/>
      <c r="AG529" s="8">
        <f>IFERROR(__xludf.DUMMYFUNCTION("""COMPUTED_VALUE"""),46197.49972222222)</f>
        <v>46197.49972</v>
      </c>
      <c r="AH529" s="5" t="str">
        <f>IFERROR(__xludf.DUMMYFUNCTION("""COMPUTED_VALUE"""),"selena.mihajlovic@fazi.rs")</f>
        <v>selena.mihajlovic@fazi.rs</v>
      </c>
      <c r="AI529" s="13"/>
      <c r="AJ529" s="5"/>
      <c r="AK529" s="5">
        <f>IFERROR(__xludf.DUMMYFUNCTION("""COMPUTED_VALUE"""),5.0)</f>
        <v>5</v>
      </c>
      <c r="AL529" s="5" t="str">
        <f>IFERROR(__xludf.DUMMYFUNCTION("""COMPUTED_VALUE"""),"No")</f>
        <v>No</v>
      </c>
      <c r="AM529" s="5"/>
      <c r="AN529" s="7" t="str">
        <f>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AO529" s="5"/>
      <c r="AP529" s="5"/>
      <c r="AQ529" s="5" t="b">
        <f>IFERROR(__xludf.DUMMYFUNCTION("""COMPUTED_VALUE"""),TRUE)</f>
        <v>1</v>
      </c>
      <c r="AR529" s="5"/>
      <c r="AS529" s="5" t="str">
        <f>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AT529" s="5"/>
      <c r="AU529" s="5" t="str">
        <f>IFERROR(__xludf.DUMMYFUNCTION("""COMPUTED_VALUE"""),"Fazi")</f>
        <v>Fazi</v>
      </c>
      <c r="AV529" s="5"/>
      <c r="AW529" s="5"/>
      <c r="AX529" s="5"/>
      <c r="AY529" s="5"/>
      <c r="AZ529" s="5"/>
      <c r="BA529" s="5"/>
      <c r="BB529" s="5" t="b">
        <f>IFERROR(__xludf.DUMMYFUNCTION("""COMPUTED_VALUE"""),TRUE)</f>
        <v>1</v>
      </c>
      <c r="BC529" s="5" t="str">
        <f>IFERROR(__xludf.DUMMYFUNCTION("""COMPUTED_VALUE"""),"Tiptop")</f>
        <v>Tiptop</v>
      </c>
      <c r="BD529" s="7" t="str">
        <f>IFERROR(__xludf.DUMMYFUNCTION("""COMPUTED_VALUE"""),"https://gameserver-store-client-area.orbionlimited.com/Home/IntegrationGameLaunch/client-area?moneyType=0&amp;gameName=UnicornDynamiteEscape&amp;platform=desktop&amp;languageCode=eng&amp;currency=EUR")</f>
        <v>https://gameserver-store-client-area.orbionlimited.com/Home/IntegrationGameLaunch/client-area?moneyType=0&amp;gameName=UnicornDynamiteEscape&amp;platform=desktop&amp;languageCode=eng&amp;currency=EUR</v>
      </c>
      <c r="BE529" s="5" t="b">
        <f>IFERROR(__xludf.DUMMYFUNCTION("""COMPUTED_VALUE"""),TRUE)</f>
        <v>1</v>
      </c>
    </row>
    <row r="530">
      <c r="A530" s="5">
        <f>IFERROR(__xludf.DUMMYFUNCTION("""COMPUTED_VALUE"""),561.0)</f>
        <v>561</v>
      </c>
      <c r="B530" s="5">
        <f>IFERROR(__xludf.DUMMYFUNCTION("""COMPUTED_VALUE"""),423.0)</f>
        <v>423</v>
      </c>
      <c r="C530" s="5" t="str">
        <f>IFERROR(__xludf.DUMMYFUNCTION("""COMPUTED_VALUE"""),"Tiptop")</f>
        <v>Tiptop</v>
      </c>
      <c r="D530" s="5" t="str">
        <f>IFERROR(__xludf.DUMMYFUNCTION("""COMPUTED_VALUE"""),"Buffalo Sevens Jackpot")</f>
        <v>Buffalo Sevens Jackpot</v>
      </c>
      <c r="E530" s="5" t="str">
        <f>IFERROR(__xludf.DUMMYFUNCTION("""COMPUTED_VALUE"""),"V4-2")</f>
        <v>V4-2</v>
      </c>
      <c r="F530" s="5" t="str">
        <f>IFERROR(__xludf.DUMMYFUNCTION("""COMPUTED_VALUE"""),"UnicornBuffaloSevensJackpot")</f>
        <v>UnicornBuffaloSevensJackpot</v>
      </c>
      <c r="G530" s="5" t="str">
        <f>IFERROR(__xludf.DUMMYFUNCTION("""COMPUTED_VALUE"""),"Live")</f>
        <v>Live</v>
      </c>
      <c r="H530" s="5"/>
      <c r="I530" s="5" t="str">
        <f>IFERROR(__xludf.DUMMYFUNCTION("""COMPUTED_VALUE"""),"TipTop")</f>
        <v>TipTop</v>
      </c>
      <c r="J530" s="5" t="str">
        <f>IFERROR(__xludf.DUMMYFUNCTION("""COMPUTED_VALUE"""),"JSON")</f>
        <v>JSON</v>
      </c>
      <c r="K530" s="5" t="str">
        <f>IFERROR(__xludf.DUMMYFUNCTION("""COMPUTED_VALUE"""),"Slot")</f>
        <v>Slot</v>
      </c>
      <c r="L530" s="5" t="str">
        <f>IFERROR(__xludf.DUMMYFUNCTION("""COMPUTED_VALUE"""),"Master")</f>
        <v>Master</v>
      </c>
      <c r="M530" s="5"/>
      <c r="N530" s="5"/>
      <c r="O530" s="5"/>
      <c r="P530" s="12">
        <f>IFERROR(__xludf.DUMMYFUNCTION("""COMPUTED_VALUE"""),11.8)</f>
        <v>11.8</v>
      </c>
      <c r="Q530" s="13">
        <f>IFERROR(__xludf.DUMMYFUNCTION("""COMPUTED_VALUE"""),45869.0)</f>
        <v>45869</v>
      </c>
      <c r="R530" s="13">
        <f>IFERROR(__xludf.DUMMYFUNCTION("""COMPUTED_VALUE"""),45862.0)</f>
        <v>45862</v>
      </c>
      <c r="S530" s="13">
        <f>IFERROR(__xludf.DUMMYFUNCTION("""COMPUTED_VALUE"""),45869.0)</f>
        <v>45869</v>
      </c>
      <c r="T530" s="5" t="b">
        <f>IFERROR(__xludf.DUMMYFUNCTION("""COMPUTED_VALUE"""),TRUE)</f>
        <v>1</v>
      </c>
      <c r="U530" s="5" t="str">
        <f>IFERROR(__xludf.DUMMYFUNCTION("""COMPUTED_VALUE"""),"5X3")</f>
        <v>5X3</v>
      </c>
      <c r="V530" s="5">
        <f>IFERROR(__xludf.DUMMYFUNCTION("""COMPUTED_VALUE"""),10.0)</f>
        <v>10</v>
      </c>
      <c r="W530" s="5">
        <f>IFERROR(__xludf.DUMMYFUNCTION("""COMPUTED_VALUE"""),10.0)</f>
        <v>10</v>
      </c>
      <c r="X530" s="5">
        <f>IFERROR(__xludf.DUMMYFUNCTION("""COMPUTED_VALUE"""),96.0)</f>
        <v>96</v>
      </c>
      <c r="Y530" s="5" t="str">
        <f>IFERROR(__xludf.DUMMYFUNCTION("""COMPUTED_VALUE"""),"Low")</f>
        <v>Low</v>
      </c>
      <c r="Z530" s="5">
        <f>IFERROR(__xludf.DUMMYFUNCTION("""COMPUTED_VALUE"""),9.08)</f>
        <v>9.08</v>
      </c>
      <c r="AA530" s="5">
        <f>IFERROR(__xludf.DUMMYFUNCTION("""COMPUTED_VALUE"""),10000.0)</f>
        <v>10000</v>
      </c>
      <c r="AB530" s="5"/>
      <c r="AC530" s="5"/>
      <c r="AD530" s="5" t="str">
        <f>IFERROR(__xludf.DUMMYFUNCTION("""COMPUTED_VALUE"""),"0.1/100")</f>
        <v>0.1/100</v>
      </c>
      <c r="AE530" s="5"/>
      <c r="AF530" s="5"/>
      <c r="AG530" s="8">
        <f>IFERROR(__xludf.DUMMYFUNCTION("""COMPUTED_VALUE"""),46197.500023148146)</f>
        <v>46197.50002</v>
      </c>
      <c r="AH530" s="5" t="str">
        <f>IFERROR(__xludf.DUMMYFUNCTION("""COMPUTED_VALUE"""),"selena.mihajlovic@fazi.rs")</f>
        <v>selena.mihajlovic@fazi.rs</v>
      </c>
      <c r="AI530" s="13"/>
      <c r="AJ530" s="5"/>
      <c r="AK530" s="5">
        <f>IFERROR(__xludf.DUMMYFUNCTION("""COMPUTED_VALUE"""),10.0)</f>
        <v>10</v>
      </c>
      <c r="AL530" s="5" t="str">
        <f>IFERROR(__xludf.DUMMYFUNCTION("""COMPUTED_VALUE"""),"No")</f>
        <v>No</v>
      </c>
      <c r="AM530" s="5"/>
      <c r="AN530" s="7" t="str">
        <f>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AO530" s="5"/>
      <c r="AP530" s="5"/>
      <c r="AQ530" s="5" t="b">
        <f>IFERROR(__xludf.DUMMYFUNCTION("""COMPUTED_VALUE"""),TRUE)</f>
        <v>1</v>
      </c>
      <c r="AR530" s="5"/>
      <c r="AS530"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30" s="5"/>
      <c r="AU530" s="5" t="str">
        <f>IFERROR(__xludf.DUMMYFUNCTION("""COMPUTED_VALUE"""),"Fazi")</f>
        <v>Fazi</v>
      </c>
      <c r="AV530" s="5"/>
      <c r="AW530" s="5"/>
      <c r="AX530" s="5"/>
      <c r="AY530" s="5"/>
      <c r="AZ530" s="5"/>
      <c r="BA530" s="5"/>
      <c r="BB530" s="5" t="b">
        <f>IFERROR(__xludf.DUMMYFUNCTION("""COMPUTED_VALUE"""),TRUE)</f>
        <v>1</v>
      </c>
      <c r="BC530" s="5" t="str">
        <f>IFERROR(__xludf.DUMMYFUNCTION("""COMPUTED_VALUE"""),"Tiptop")</f>
        <v>Tiptop</v>
      </c>
      <c r="BD530" s="7" t="str">
        <f>IFERROR(__xludf.DUMMYFUNCTION("""COMPUTED_VALUE"""),"https://gameserver-store-client-area.orbionlimited.com/Home/IntegrationGameLaunch/client-area?moneyType=0&amp;gameName=UnicornBuffaloSevensJackpot&amp;platform=desktop&amp;languageCode=eng&amp;currency=EUR")</f>
        <v>https://gameserver-store-client-area.orbionlimited.com/Home/IntegrationGameLaunch/client-area?moneyType=0&amp;gameName=UnicornBuffaloSevensJackpot&amp;platform=desktop&amp;languageCode=eng&amp;currency=EUR</v>
      </c>
      <c r="BE530" s="5" t="b">
        <f>IFERROR(__xludf.DUMMYFUNCTION("""COMPUTED_VALUE"""),TRUE)</f>
        <v>1</v>
      </c>
    </row>
    <row r="531">
      <c r="A531" s="5">
        <f>IFERROR(__xludf.DUMMYFUNCTION("""COMPUTED_VALUE"""),562.0)</f>
        <v>562</v>
      </c>
      <c r="B531" s="5">
        <f>IFERROR(__xludf.DUMMYFUNCTION("""COMPUTED_VALUE"""),425.0)</f>
        <v>425</v>
      </c>
      <c r="C531" s="5" t="str">
        <f>IFERROR(__xludf.DUMMYFUNCTION("""COMPUTED_VALUE"""),"Tiptop")</f>
        <v>Tiptop</v>
      </c>
      <c r="D531" s="5" t="str">
        <f>IFERROR(__xludf.DUMMYFUNCTION("""COMPUTED_VALUE"""),"Scatter Kaching")</f>
        <v>Scatter Kaching</v>
      </c>
      <c r="E531" s="5" t="str">
        <f>IFERROR(__xludf.DUMMYFUNCTION("""COMPUTED_VALUE"""),"V4-2")</f>
        <v>V4-2</v>
      </c>
      <c r="F531" s="5" t="str">
        <f>IFERROR(__xludf.DUMMYFUNCTION("""COMPUTED_VALUE"""),"UnicornScatterKaChing")</f>
        <v>UnicornScatterKaChing</v>
      </c>
      <c r="G531" s="5" t="str">
        <f>IFERROR(__xludf.DUMMYFUNCTION("""COMPUTED_VALUE"""),"Live")</f>
        <v>Live</v>
      </c>
      <c r="H531" s="5"/>
      <c r="I531" s="5" t="str">
        <f>IFERROR(__xludf.DUMMYFUNCTION("""COMPUTED_VALUE"""),"TipTop")</f>
        <v>TipTop</v>
      </c>
      <c r="J531" s="5" t="str">
        <f>IFERROR(__xludf.DUMMYFUNCTION("""COMPUTED_VALUE"""),"JSON")</f>
        <v>JSON</v>
      </c>
      <c r="K531" s="5" t="str">
        <f>IFERROR(__xludf.DUMMYFUNCTION("""COMPUTED_VALUE"""),"Slot")</f>
        <v>Slot</v>
      </c>
      <c r="L531" s="5" t="str">
        <f>IFERROR(__xludf.DUMMYFUNCTION("""COMPUTED_VALUE"""),"Master")</f>
        <v>Master</v>
      </c>
      <c r="M531" s="5"/>
      <c r="N531" s="5"/>
      <c r="O531" s="5"/>
      <c r="P531" s="12">
        <f>IFERROR(__xludf.DUMMYFUNCTION("""COMPUTED_VALUE"""),11.9)</f>
        <v>11.9</v>
      </c>
      <c r="Q531" s="13">
        <f>IFERROR(__xludf.DUMMYFUNCTION("""COMPUTED_VALUE"""),45882.0)</f>
        <v>45882</v>
      </c>
      <c r="R531" s="13">
        <f>IFERROR(__xludf.DUMMYFUNCTION("""COMPUTED_VALUE"""),45875.0)</f>
        <v>45875</v>
      </c>
      <c r="S531" s="13">
        <f>IFERROR(__xludf.DUMMYFUNCTION("""COMPUTED_VALUE"""),45882.0)</f>
        <v>45882</v>
      </c>
      <c r="T531" s="5" t="b">
        <f>IFERROR(__xludf.DUMMYFUNCTION("""COMPUTED_VALUE"""),TRUE)</f>
        <v>1</v>
      </c>
      <c r="U531" s="5" t="str">
        <f>IFERROR(__xludf.DUMMYFUNCTION("""COMPUTED_VALUE"""),"5X3")</f>
        <v>5X3</v>
      </c>
      <c r="V531" s="5">
        <f>IFERROR(__xludf.DUMMYFUNCTION("""COMPUTED_VALUE"""),10.0)</f>
        <v>10</v>
      </c>
      <c r="W531" s="5">
        <f>IFERROR(__xludf.DUMMYFUNCTION("""COMPUTED_VALUE"""),10.0)</f>
        <v>10</v>
      </c>
      <c r="X531" s="5">
        <f>IFERROR(__xludf.DUMMYFUNCTION("""COMPUTED_VALUE"""),96.0)</f>
        <v>96</v>
      </c>
      <c r="Y531" s="5" t="str">
        <f>IFERROR(__xludf.DUMMYFUNCTION("""COMPUTED_VALUE"""),"Low")</f>
        <v>Low</v>
      </c>
      <c r="Z531" s="5">
        <f>IFERROR(__xludf.DUMMYFUNCTION("""COMPUTED_VALUE"""),27.38)</f>
        <v>27.38</v>
      </c>
      <c r="AA531" s="5">
        <f>IFERROR(__xludf.DUMMYFUNCTION("""COMPUTED_VALUE"""),10000.0)</f>
        <v>10000</v>
      </c>
      <c r="AB531" s="5"/>
      <c r="AC531" s="5"/>
      <c r="AD531" s="5" t="str">
        <f>IFERROR(__xludf.DUMMYFUNCTION("""COMPUTED_VALUE"""),"0.1/100")</f>
        <v>0.1/100</v>
      </c>
      <c r="AE531" s="5"/>
      <c r="AF531" s="5"/>
      <c r="AG531" s="8">
        <f>IFERROR(__xludf.DUMMYFUNCTION("""COMPUTED_VALUE"""),46197.50017361111)</f>
        <v>46197.50017</v>
      </c>
      <c r="AH531" s="5" t="str">
        <f>IFERROR(__xludf.DUMMYFUNCTION("""COMPUTED_VALUE"""),"selena.mihajlovic@fazi.rs")</f>
        <v>selena.mihajlovic@fazi.rs</v>
      </c>
      <c r="AI531" s="13"/>
      <c r="AJ531" s="5"/>
      <c r="AK531" s="5">
        <f>IFERROR(__xludf.DUMMYFUNCTION("""COMPUTED_VALUE"""),10.0)</f>
        <v>10</v>
      </c>
      <c r="AL531" s="5" t="str">
        <f>IFERROR(__xludf.DUMMYFUNCTION("""COMPUTED_VALUE"""),"No")</f>
        <v>No</v>
      </c>
      <c r="AM531" s="5"/>
      <c r="AN531" s="7" t="str">
        <f>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AO531" s="5"/>
      <c r="AP531" s="5"/>
      <c r="AQ531" s="5" t="b">
        <f>IFERROR(__xludf.DUMMYFUNCTION("""COMPUTED_VALUE"""),TRUE)</f>
        <v>1</v>
      </c>
      <c r="AR531" s="5"/>
      <c r="AS531" s="5" t="str">
        <f>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AT531" s="5"/>
      <c r="AU531" s="5" t="str">
        <f>IFERROR(__xludf.DUMMYFUNCTION("""COMPUTED_VALUE"""),"Fazi")</f>
        <v>Fazi</v>
      </c>
      <c r="AV531" s="5"/>
      <c r="AW531" s="5"/>
      <c r="AX531" s="5"/>
      <c r="AY531" s="5"/>
      <c r="AZ531" s="5"/>
      <c r="BA531" s="5"/>
      <c r="BB531" s="5" t="b">
        <f>IFERROR(__xludf.DUMMYFUNCTION("""COMPUTED_VALUE"""),TRUE)</f>
        <v>1</v>
      </c>
      <c r="BC531" s="5" t="str">
        <f>IFERROR(__xludf.DUMMYFUNCTION("""COMPUTED_VALUE"""),"Tiptop")</f>
        <v>Tiptop</v>
      </c>
      <c r="BD531" s="7" t="str">
        <f>IFERROR(__xludf.DUMMYFUNCTION("""COMPUTED_VALUE"""),"https://gameserver-store-client-area.orbionlimited.com/Home/IntegrationGameLaunch/client-area?moneyType=0&amp;gameName=UnicornScatterKaChing&amp;platform=desktop&amp;languageCode=eng&amp;currency=EUR")</f>
        <v>https://gameserver-store-client-area.orbionlimited.com/Home/IntegrationGameLaunch/client-area?moneyType=0&amp;gameName=UnicornScatterKaChing&amp;platform=desktop&amp;languageCode=eng&amp;currency=EUR</v>
      </c>
      <c r="BE531" s="5" t="b">
        <f>IFERROR(__xludf.DUMMYFUNCTION("""COMPUTED_VALUE"""),TRUE)</f>
        <v>1</v>
      </c>
    </row>
    <row r="532">
      <c r="A532" s="5">
        <f>IFERROR(__xludf.DUMMYFUNCTION("""COMPUTED_VALUE"""),563.0)</f>
        <v>563</v>
      </c>
      <c r="B532" s="5">
        <f>IFERROR(__xludf.DUMMYFUNCTION("""COMPUTED_VALUE"""),426.0)</f>
        <v>426</v>
      </c>
      <c r="C532" s="5" t="str">
        <f>IFERROR(__xludf.DUMMYFUNCTION("""COMPUTED_VALUE"""),"Tiptop")</f>
        <v>Tiptop</v>
      </c>
      <c r="D532" s="5" t="str">
        <f>IFERROR(__xludf.DUMMYFUNCTION("""COMPUTED_VALUE"""),"Fruit Play")</f>
        <v>Fruit Play</v>
      </c>
      <c r="E532" s="5" t="str">
        <f>IFERROR(__xludf.DUMMYFUNCTION("""COMPUTED_VALUE"""),"V4-2")</f>
        <v>V4-2</v>
      </c>
      <c r="F532" s="5" t="str">
        <f>IFERROR(__xludf.DUMMYFUNCTION("""COMPUTED_VALUE"""),"UnicornFruitPlay")</f>
        <v>UnicornFruitPlay</v>
      </c>
      <c r="G532" s="5" t="str">
        <f>IFERROR(__xludf.DUMMYFUNCTION("""COMPUTED_VALUE"""),"Live")</f>
        <v>Live</v>
      </c>
      <c r="H532" s="5"/>
      <c r="I532" s="5" t="str">
        <f>IFERROR(__xludf.DUMMYFUNCTION("""COMPUTED_VALUE"""),"TipTop")</f>
        <v>TipTop</v>
      </c>
      <c r="J532" s="5" t="str">
        <f>IFERROR(__xludf.DUMMYFUNCTION("""COMPUTED_VALUE"""),"JSON")</f>
        <v>JSON</v>
      </c>
      <c r="K532" s="5" t="str">
        <f>IFERROR(__xludf.DUMMYFUNCTION("""COMPUTED_VALUE"""),"Slot")</f>
        <v>Slot</v>
      </c>
      <c r="L532" s="5" t="str">
        <f>IFERROR(__xludf.DUMMYFUNCTION("""COMPUTED_VALUE"""),"Master")</f>
        <v>Master</v>
      </c>
      <c r="M532" s="5"/>
      <c r="N532" s="5"/>
      <c r="O532" s="5"/>
      <c r="P532" s="12">
        <f>IFERROR(__xludf.DUMMYFUNCTION("""COMPUTED_VALUE"""),11.9)</f>
        <v>11.9</v>
      </c>
      <c r="Q532" s="13">
        <f>IFERROR(__xludf.DUMMYFUNCTION("""COMPUTED_VALUE"""),45909.0)</f>
        <v>45909</v>
      </c>
      <c r="R532" s="13">
        <f>IFERROR(__xludf.DUMMYFUNCTION("""COMPUTED_VALUE"""),45903.0)</f>
        <v>45903</v>
      </c>
      <c r="S532" s="13">
        <f>IFERROR(__xludf.DUMMYFUNCTION("""COMPUTED_VALUE"""),45910.0)</f>
        <v>45910</v>
      </c>
      <c r="T532" s="5" t="b">
        <f>IFERROR(__xludf.DUMMYFUNCTION("""COMPUTED_VALUE"""),TRUE)</f>
        <v>1</v>
      </c>
      <c r="U532" s="5" t="str">
        <f>IFERROR(__xludf.DUMMYFUNCTION("""COMPUTED_VALUE"""),"5X3")</f>
        <v>5X3</v>
      </c>
      <c r="V532" s="5">
        <f>IFERROR(__xludf.DUMMYFUNCTION("""COMPUTED_VALUE"""),10.0)</f>
        <v>10</v>
      </c>
      <c r="W532" s="5">
        <f>IFERROR(__xludf.DUMMYFUNCTION("""COMPUTED_VALUE"""),10.0)</f>
        <v>10</v>
      </c>
      <c r="X532" s="5">
        <f>IFERROR(__xludf.DUMMYFUNCTION("""COMPUTED_VALUE"""),96.0)</f>
        <v>96</v>
      </c>
      <c r="Y532" s="5" t="str">
        <f>IFERROR(__xludf.DUMMYFUNCTION("""COMPUTED_VALUE"""),"Low")</f>
        <v>Low</v>
      </c>
      <c r="Z532" s="5">
        <f>IFERROR(__xludf.DUMMYFUNCTION("""COMPUTED_VALUE"""),15.07)</f>
        <v>15.07</v>
      </c>
      <c r="AA532" s="5">
        <f>IFERROR(__xludf.DUMMYFUNCTION("""COMPUTED_VALUE"""),10000.0)</f>
        <v>10000</v>
      </c>
      <c r="AB532" s="5"/>
      <c r="AC532" s="5"/>
      <c r="AD532" s="5" t="str">
        <f>IFERROR(__xludf.DUMMYFUNCTION("""COMPUTED_VALUE"""),"0.1/100")</f>
        <v>0.1/100</v>
      </c>
      <c r="AE532" s="5"/>
      <c r="AF532" s="5"/>
      <c r="AG532" s="8">
        <f>IFERROR(__xludf.DUMMYFUNCTION("""COMPUTED_VALUE"""),46197.50067129629)</f>
        <v>46197.50067</v>
      </c>
      <c r="AH532" s="5" t="str">
        <f>IFERROR(__xludf.DUMMYFUNCTION("""COMPUTED_VALUE"""),"selena.mihajlovic@fazi.rs")</f>
        <v>selena.mihajlovic@fazi.rs</v>
      </c>
      <c r="AI532" s="13"/>
      <c r="AJ532" s="5"/>
      <c r="AK532" s="5">
        <f>IFERROR(__xludf.DUMMYFUNCTION("""COMPUTED_VALUE"""),10.0)</f>
        <v>10</v>
      </c>
      <c r="AL532" s="5" t="str">
        <f>IFERROR(__xludf.DUMMYFUNCTION("""COMPUTED_VALUE"""),"No")</f>
        <v>No</v>
      </c>
      <c r="AM532" s="5"/>
      <c r="AN532" s="7" t="str">
        <f>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AO532" s="5"/>
      <c r="AP532" s="5"/>
      <c r="AQ532" s="5" t="b">
        <f>IFERROR(__xludf.DUMMYFUNCTION("""COMPUTED_VALUE"""),TRUE)</f>
        <v>1</v>
      </c>
      <c r="AR532" s="5"/>
      <c r="AS532" s="5" t="str">
        <f>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AT532" s="5"/>
      <c r="AU532" s="5" t="str">
        <f>IFERROR(__xludf.DUMMYFUNCTION("""COMPUTED_VALUE"""),"Fazi")</f>
        <v>Fazi</v>
      </c>
      <c r="AV532" s="5"/>
      <c r="AW532" s="5"/>
      <c r="AX532" s="13">
        <f>IFERROR(__xludf.DUMMYFUNCTION("""COMPUTED_VALUE"""),45902.0)</f>
        <v>45902</v>
      </c>
      <c r="AY532" s="13"/>
      <c r="AZ532" s="13"/>
      <c r="BA532" s="5"/>
      <c r="BB532" s="5" t="b">
        <f>IFERROR(__xludf.DUMMYFUNCTION("""COMPUTED_VALUE"""),TRUE)</f>
        <v>1</v>
      </c>
      <c r="BC532" s="5" t="str">
        <f>IFERROR(__xludf.DUMMYFUNCTION("""COMPUTED_VALUE"""),"Tiptop")</f>
        <v>Tiptop</v>
      </c>
      <c r="BD532" s="7" t="str">
        <f>IFERROR(__xludf.DUMMYFUNCTION("""COMPUTED_VALUE"""),"https://gameserver-store-client-area.orbionlimited.com/Home/IntegrationGameLaunch/client-area?moneyType=0&amp;gameName=UnicornFruitPlay&amp;platform=desktop&amp;languageCode=eng&amp;currency=EUR")</f>
        <v>https://gameserver-store-client-area.orbionlimited.com/Home/IntegrationGameLaunch/client-area?moneyType=0&amp;gameName=UnicornFruitPlay&amp;platform=desktop&amp;languageCode=eng&amp;currency=EUR</v>
      </c>
      <c r="BE532" s="5" t="b">
        <f>IFERROR(__xludf.DUMMYFUNCTION("""COMPUTED_VALUE"""),TRUE)</f>
        <v>1</v>
      </c>
    </row>
    <row r="533">
      <c r="A533" s="5">
        <f>IFERROR(__xludf.DUMMYFUNCTION("""COMPUTED_VALUE"""),564.0)</f>
        <v>564</v>
      </c>
      <c r="B533" s="5">
        <f>IFERROR(__xludf.DUMMYFUNCTION("""COMPUTED_VALUE"""),424.0)</f>
        <v>424</v>
      </c>
      <c r="C533" s="5" t="str">
        <f>IFERROR(__xludf.DUMMYFUNCTION("""COMPUTED_VALUE"""),"Tiptop")</f>
        <v>Tiptop</v>
      </c>
      <c r="D533" s="5" t="str">
        <f>IFERROR(__xludf.DUMMYFUNCTION("""COMPUTED_VALUE"""),"Fruit Island Jackpot")</f>
        <v>Fruit Island Jackpot</v>
      </c>
      <c r="E533" s="5" t="str">
        <f>IFERROR(__xludf.DUMMYFUNCTION("""COMPUTED_VALUE"""),"V4-2")</f>
        <v>V4-2</v>
      </c>
      <c r="F533" s="5" t="str">
        <f>IFERROR(__xludf.DUMMYFUNCTION("""COMPUTED_VALUE"""),"UnicornFruitIslandJackpot")</f>
        <v>UnicornFruitIslandJackpot</v>
      </c>
      <c r="G533" s="5" t="str">
        <f>IFERROR(__xludf.DUMMYFUNCTION("""COMPUTED_VALUE"""),"Live")</f>
        <v>Live</v>
      </c>
      <c r="H533" s="5"/>
      <c r="I533" s="5" t="str">
        <f>IFERROR(__xludf.DUMMYFUNCTION("""COMPUTED_VALUE"""),"TipTop")</f>
        <v>TipTop</v>
      </c>
      <c r="J533" s="5" t="str">
        <f>IFERROR(__xludf.DUMMYFUNCTION("""COMPUTED_VALUE"""),"JSON")</f>
        <v>JSON</v>
      </c>
      <c r="K533" s="5" t="str">
        <f>IFERROR(__xludf.DUMMYFUNCTION("""COMPUTED_VALUE"""),"Slot")</f>
        <v>Slot</v>
      </c>
      <c r="L533" s="5" t="str">
        <f>IFERROR(__xludf.DUMMYFUNCTION("""COMPUTED_VALUE"""),"Master")</f>
        <v>Master</v>
      </c>
      <c r="M533" s="5"/>
      <c r="N533" s="5"/>
      <c r="O533" s="5"/>
      <c r="P533" s="12">
        <f>IFERROR(__xludf.DUMMYFUNCTION("""COMPUTED_VALUE"""),10.8)</f>
        <v>10.8</v>
      </c>
      <c r="Q533" s="13">
        <f>IFERROR(__xludf.DUMMYFUNCTION("""COMPUTED_VALUE"""),45859.0)</f>
        <v>45859</v>
      </c>
      <c r="R533" s="13">
        <f>IFERROR(__xludf.DUMMYFUNCTION("""COMPUTED_VALUE"""),45889.0)</f>
        <v>45889</v>
      </c>
      <c r="S533" s="13">
        <f>IFERROR(__xludf.DUMMYFUNCTION("""COMPUTED_VALUE"""),45896.0)</f>
        <v>45896</v>
      </c>
      <c r="T533" s="5" t="b">
        <f>IFERROR(__xludf.DUMMYFUNCTION("""COMPUTED_VALUE"""),TRUE)</f>
        <v>1</v>
      </c>
      <c r="U533" s="5" t="str">
        <f>IFERROR(__xludf.DUMMYFUNCTION("""COMPUTED_VALUE"""),"5X3")</f>
        <v>5X3</v>
      </c>
      <c r="V533" s="5">
        <f>IFERROR(__xludf.DUMMYFUNCTION("""COMPUTED_VALUE"""),5.0)</f>
        <v>5</v>
      </c>
      <c r="W533" s="5">
        <f>IFERROR(__xludf.DUMMYFUNCTION("""COMPUTED_VALUE"""),5.0)</f>
        <v>5</v>
      </c>
      <c r="X533" s="5">
        <f>IFERROR(__xludf.DUMMYFUNCTION("""COMPUTED_VALUE"""),96.0)</f>
        <v>96</v>
      </c>
      <c r="Y533" s="5" t="str">
        <f>IFERROR(__xludf.DUMMYFUNCTION("""COMPUTED_VALUE"""),"Low")</f>
        <v>Low</v>
      </c>
      <c r="Z533" s="5">
        <f>IFERROR(__xludf.DUMMYFUNCTION("""COMPUTED_VALUE"""),10.39)</f>
        <v>10.39</v>
      </c>
      <c r="AA533" s="5">
        <f>IFERROR(__xludf.DUMMYFUNCTION("""COMPUTED_VALUE"""),10000.0)</f>
        <v>10000</v>
      </c>
      <c r="AB533" s="5"/>
      <c r="AC533" s="5"/>
      <c r="AD533" s="5" t="str">
        <f>IFERROR(__xludf.DUMMYFUNCTION("""COMPUTED_VALUE"""),"0.05/100")</f>
        <v>0.05/100</v>
      </c>
      <c r="AE533" s="5"/>
      <c r="AF533" s="5"/>
      <c r="AG533" s="8">
        <f>IFERROR(__xludf.DUMMYFUNCTION("""COMPUTED_VALUE"""),46197.500497685185)</f>
        <v>46197.5005</v>
      </c>
      <c r="AH533" s="5" t="str">
        <f>IFERROR(__xludf.DUMMYFUNCTION("""COMPUTED_VALUE"""),"selena.mihajlovic@fazi.rs")</f>
        <v>selena.mihajlovic@fazi.rs</v>
      </c>
      <c r="AI533" s="13">
        <f>IFERROR(__xludf.DUMMYFUNCTION("""COMPUTED_VALUE"""),45865.0)</f>
        <v>45865</v>
      </c>
      <c r="AJ533" s="5" t="str">
        <f>IFERROR(__xludf.DUMMYFUNCTION("""COMPUTED_VALUE"""),"BtoBet - cela grupacija ")</f>
        <v>BtoBet - cela grupacija </v>
      </c>
      <c r="AK533" s="5">
        <f>IFERROR(__xludf.DUMMYFUNCTION("""COMPUTED_VALUE"""),5.0)</f>
        <v>5</v>
      </c>
      <c r="AL533" s="5" t="str">
        <f>IFERROR(__xludf.DUMMYFUNCTION("""COMPUTED_VALUE"""),"No")</f>
        <v>No</v>
      </c>
      <c r="AM533" s="5"/>
      <c r="AN533" s="7" t="str">
        <f>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AO533" s="5"/>
      <c r="AP533" s="5"/>
      <c r="AQ533" s="5" t="b">
        <f>IFERROR(__xludf.DUMMYFUNCTION("""COMPUTED_VALUE"""),TRUE)</f>
        <v>1</v>
      </c>
      <c r="AR533" s="5"/>
      <c r="AS533" s="5" t="str">
        <f>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AT533" s="5"/>
      <c r="AU533" s="5" t="str">
        <f>IFERROR(__xludf.DUMMYFUNCTION("""COMPUTED_VALUE"""),"Fazi")</f>
        <v>Fazi</v>
      </c>
      <c r="AV533" s="5"/>
      <c r="AW533" s="5"/>
      <c r="AX533" s="5"/>
      <c r="AY533" s="5"/>
      <c r="AZ533" s="5"/>
      <c r="BA533" s="5"/>
      <c r="BB533" s="5" t="b">
        <f>IFERROR(__xludf.DUMMYFUNCTION("""COMPUTED_VALUE"""),TRUE)</f>
        <v>1</v>
      </c>
      <c r="BC533" s="5" t="str">
        <f>IFERROR(__xludf.DUMMYFUNCTION("""COMPUTED_VALUE"""),"Tiptop")</f>
        <v>Tiptop</v>
      </c>
      <c r="BD533" s="7" t="str">
        <f>IFERROR(__xludf.DUMMYFUNCTION("""COMPUTED_VALUE"""),"https://gameserver-store-client-area.orbionlimited.com/Home/IntegrationGameLaunch/client-area?moneyType=0&amp;gameName=UnicornFruitIslandJackpot&amp;platform=desktop&amp;languageCode=eng&amp;currency=EUR")</f>
        <v>https://gameserver-store-client-area.orbionlimited.com/Home/IntegrationGameLaunch/client-area?moneyType=0&amp;gameName=UnicornFruitIslandJackpot&amp;platform=desktop&amp;languageCode=eng&amp;currency=EUR</v>
      </c>
      <c r="BE533" s="5" t="b">
        <f>IFERROR(__xludf.DUMMYFUNCTION("""COMPUTED_VALUE"""),TRUE)</f>
        <v>1</v>
      </c>
    </row>
    <row r="534">
      <c r="A534" s="5">
        <f>IFERROR(__xludf.DUMMYFUNCTION("""COMPUTED_VALUE"""),565.0)</f>
        <v>565</v>
      </c>
      <c r="B534" s="5">
        <f>IFERROR(__xludf.DUMMYFUNCTION("""COMPUTED_VALUE"""),427.0)</f>
        <v>427</v>
      </c>
      <c r="C534" s="5" t="str">
        <f>IFERROR(__xludf.DUMMYFUNCTION("""COMPUTED_VALUE"""),"Tiptop")</f>
        <v>Tiptop</v>
      </c>
      <c r="D534" s="5" t="str">
        <f>IFERROR(__xludf.DUMMYFUNCTION("""COMPUTED_VALUE"""),"Collect Call")</f>
        <v>Collect Call</v>
      </c>
      <c r="E534" s="5" t="str">
        <f>IFERROR(__xludf.DUMMYFUNCTION("""COMPUTED_VALUE"""),"V4-2")</f>
        <v>V4-2</v>
      </c>
      <c r="F534" s="5" t="str">
        <f>IFERROR(__xludf.DUMMYFUNCTION("""COMPUTED_VALUE"""),"UnicornCollectCall")</f>
        <v>UnicornCollectCall</v>
      </c>
      <c r="G534" s="5" t="str">
        <f>IFERROR(__xludf.DUMMYFUNCTION("""COMPUTED_VALUE"""),"Live")</f>
        <v>Live</v>
      </c>
      <c r="H534" s="5"/>
      <c r="I534" s="5" t="str">
        <f>IFERROR(__xludf.DUMMYFUNCTION("""COMPUTED_VALUE"""),"TipTop")</f>
        <v>TipTop</v>
      </c>
      <c r="J534" s="5" t="str">
        <f>IFERROR(__xludf.DUMMYFUNCTION("""COMPUTED_VALUE"""),"JSON")</f>
        <v>JSON</v>
      </c>
      <c r="K534" s="5" t="str">
        <f>IFERROR(__xludf.DUMMYFUNCTION("""COMPUTED_VALUE"""),"Slot")</f>
        <v>Slot</v>
      </c>
      <c r="L534" s="5" t="str">
        <f>IFERROR(__xludf.DUMMYFUNCTION("""COMPUTED_VALUE"""),"Master")</f>
        <v>Master</v>
      </c>
      <c r="M534" s="5"/>
      <c r="N534" s="5"/>
      <c r="O534" s="5"/>
      <c r="P534" s="12">
        <f>IFERROR(__xludf.DUMMYFUNCTION("""COMPUTED_VALUE"""),13.0)</f>
        <v>13</v>
      </c>
      <c r="Q534" s="13">
        <f>IFERROR(__xludf.DUMMYFUNCTION("""COMPUTED_VALUE"""),45915.0)</f>
        <v>45915</v>
      </c>
      <c r="R534" s="13">
        <f>IFERROR(__xludf.DUMMYFUNCTION("""COMPUTED_VALUE"""),45916.0)</f>
        <v>45916</v>
      </c>
      <c r="S534" s="13">
        <f>IFERROR(__xludf.DUMMYFUNCTION("""COMPUTED_VALUE"""),45923.0)</f>
        <v>45923</v>
      </c>
      <c r="T534" s="5" t="b">
        <f>IFERROR(__xludf.DUMMYFUNCTION("""COMPUTED_VALUE"""),TRUE)</f>
        <v>1</v>
      </c>
      <c r="U534" s="5" t="str">
        <f>IFERROR(__xludf.DUMMYFUNCTION("""COMPUTED_VALUE"""),"5X4")</f>
        <v>5X4</v>
      </c>
      <c r="V534" s="5">
        <f>IFERROR(__xludf.DUMMYFUNCTION("""COMPUTED_VALUE"""),40.0)</f>
        <v>40</v>
      </c>
      <c r="W534" s="5">
        <f>IFERROR(__xludf.DUMMYFUNCTION("""COMPUTED_VALUE"""),40.0)</f>
        <v>40</v>
      </c>
      <c r="X534" s="5">
        <f>IFERROR(__xludf.DUMMYFUNCTION("""COMPUTED_VALUE"""),96.0)</f>
        <v>96</v>
      </c>
      <c r="Y534" s="5" t="str">
        <f>IFERROR(__xludf.DUMMYFUNCTION("""COMPUTED_VALUE"""),"Low")</f>
        <v>Low</v>
      </c>
      <c r="Z534" s="5">
        <f>IFERROR(__xludf.DUMMYFUNCTION("""COMPUTED_VALUE"""),13.69)</f>
        <v>13.69</v>
      </c>
      <c r="AA534" s="5">
        <f>IFERROR(__xludf.DUMMYFUNCTION("""COMPUTED_VALUE"""),1000.0)</f>
        <v>1000</v>
      </c>
      <c r="AB534" s="5"/>
      <c r="AC534" s="5"/>
      <c r="AD534" s="5" t="str">
        <f>IFERROR(__xludf.DUMMYFUNCTION("""COMPUTED_VALUE"""),"0.4/100")</f>
        <v>0.4/100</v>
      </c>
      <c r="AE534" s="5"/>
      <c r="AF534" s="5"/>
      <c r="AG534" s="8">
        <f>IFERROR(__xludf.DUMMYFUNCTION("""COMPUTED_VALUE"""),46197.501122685186)</f>
        <v>46197.50112</v>
      </c>
      <c r="AH534" s="5" t="str">
        <f>IFERROR(__xludf.DUMMYFUNCTION("""COMPUTED_VALUE"""),"selena.mihajlovic@fazi.rs")</f>
        <v>selena.mihajlovic@fazi.rs</v>
      </c>
      <c r="AI534" s="13"/>
      <c r="AJ534" s="5"/>
      <c r="AK534" s="5">
        <f>IFERROR(__xludf.DUMMYFUNCTION("""COMPUTED_VALUE"""),40.0)</f>
        <v>40</v>
      </c>
      <c r="AL534" s="5" t="str">
        <f>IFERROR(__xludf.DUMMYFUNCTION("""COMPUTED_VALUE"""),"No")</f>
        <v>No</v>
      </c>
      <c r="AM534" s="5"/>
      <c r="AN534" s="7" t="str">
        <f>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AO534" s="5"/>
      <c r="AP534" s="5"/>
      <c r="AQ534" s="5" t="b">
        <f>IFERROR(__xludf.DUMMYFUNCTION("""COMPUTED_VALUE"""),TRUE)</f>
        <v>1</v>
      </c>
      <c r="AR534" s="5"/>
      <c r="AS534" s="5" t="str">
        <f>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AT534" s="5"/>
      <c r="AU534" s="5" t="str">
        <f>IFERROR(__xludf.DUMMYFUNCTION("""COMPUTED_VALUE"""),"Fazi")</f>
        <v>Fazi</v>
      </c>
      <c r="AV534" s="5"/>
      <c r="AW534" s="5"/>
      <c r="AX534" s="13">
        <f>IFERROR(__xludf.DUMMYFUNCTION("""COMPUTED_VALUE"""),45909.0)</f>
        <v>45909</v>
      </c>
      <c r="AY534" s="13"/>
      <c r="AZ534" s="13"/>
      <c r="BA534" s="5"/>
      <c r="BB534" s="5" t="b">
        <f>IFERROR(__xludf.DUMMYFUNCTION("""COMPUTED_VALUE"""),TRUE)</f>
        <v>1</v>
      </c>
      <c r="BC534" s="5" t="str">
        <f>IFERROR(__xludf.DUMMYFUNCTION("""COMPUTED_VALUE"""),"Tiptop")</f>
        <v>Tiptop</v>
      </c>
      <c r="BD534" s="7" t="str">
        <f>IFERROR(__xludf.DUMMYFUNCTION("""COMPUTED_VALUE"""),"https://gameserver-store-client-area.orbionlimited.com/Home/IntegrationGameLaunch/client-area?moneyType=0&amp;gameName=UnicornCollectCall&amp;platform=desktop&amp;languageCode=eng&amp;currency=EUR")</f>
        <v>https://gameserver-store-client-area.orbionlimited.com/Home/IntegrationGameLaunch/client-area?moneyType=0&amp;gameName=UnicornCollectCall&amp;platform=desktop&amp;languageCode=eng&amp;currency=EUR</v>
      </c>
      <c r="BE534" s="5" t="b">
        <f>IFERROR(__xludf.DUMMYFUNCTION("""COMPUTED_VALUE"""),TRUE)</f>
        <v>1</v>
      </c>
    </row>
    <row r="535">
      <c r="A535" s="5">
        <f>IFERROR(__xludf.DUMMYFUNCTION("""COMPUTED_VALUE"""),566.0)</f>
        <v>566</v>
      </c>
      <c r="B535" s="5">
        <f>IFERROR(__xludf.DUMMYFUNCTION("""COMPUTED_VALUE"""),508.0)</f>
        <v>508</v>
      </c>
      <c r="C535" s="5" t="str">
        <f>IFERROR(__xludf.DUMMYFUNCTION("""COMPUTED_VALUE"""),"Tiptop")</f>
        <v>Tiptop</v>
      </c>
      <c r="D535" s="5" t="str">
        <f>IFERROR(__xludf.DUMMYFUNCTION("""COMPUTED_VALUE"""),"Coyote Sevens Halloween")</f>
        <v>Coyote Sevens Halloween</v>
      </c>
      <c r="E535" s="5" t="str">
        <f>IFERROR(__xludf.DUMMYFUNCTION("""COMPUTED_VALUE"""),"Sertifikacioni")</f>
        <v>Sertifikacioni</v>
      </c>
      <c r="F535" s="5" t="str">
        <f>IFERROR(__xludf.DUMMYFUNCTION("""COMPUTED_VALUE"""),"UnicornCoyoteSevensHalloween")</f>
        <v>UnicornCoyoteSevensHalloween</v>
      </c>
      <c r="G535" s="5" t="str">
        <f>IFERROR(__xludf.DUMMYFUNCTION("""COMPUTED_VALUE"""),"Live")</f>
        <v>Live</v>
      </c>
      <c r="H535" s="5"/>
      <c r="I535" s="5" t="str">
        <f>IFERROR(__xludf.DUMMYFUNCTION("""COMPUTED_VALUE"""),"TipTop")</f>
        <v>TipTop</v>
      </c>
      <c r="J535" s="5" t="str">
        <f>IFERROR(__xludf.DUMMYFUNCTION("""COMPUTED_VALUE"""),"JSON")</f>
        <v>JSON</v>
      </c>
      <c r="K535" s="5" t="str">
        <f>IFERROR(__xludf.DUMMYFUNCTION("""COMPUTED_VALUE"""),"Slot")</f>
        <v>Slot</v>
      </c>
      <c r="L535" s="5" t="str">
        <f>IFERROR(__xludf.DUMMYFUNCTION("""COMPUTED_VALUE""")," Clone")</f>
        <v> Clone</v>
      </c>
      <c r="M535" s="5" t="str">
        <f>IFERROR(__xludf.DUMMYFUNCTION("""COMPUTED_VALUE"""),"Coyote Sevens")</f>
        <v>Coyote Sevens</v>
      </c>
      <c r="N535" s="5"/>
      <c r="O535" s="5"/>
      <c r="P535" s="12">
        <f>IFERROR(__xludf.DUMMYFUNCTION("""COMPUTED_VALUE"""),11.8)</f>
        <v>11.8</v>
      </c>
      <c r="Q535" s="13">
        <f>IFERROR(__xludf.DUMMYFUNCTION("""COMPUTED_VALUE"""),45915.0)</f>
        <v>45915</v>
      </c>
      <c r="R535" s="13">
        <f>IFERROR(__xludf.DUMMYFUNCTION("""COMPUTED_VALUE"""),45909.0)</f>
        <v>45909</v>
      </c>
      <c r="S535" s="13">
        <f>IFERROR(__xludf.DUMMYFUNCTION("""COMPUTED_VALUE"""),45916.0)</f>
        <v>45916</v>
      </c>
      <c r="T535" s="5" t="b">
        <f>IFERROR(__xludf.DUMMYFUNCTION("""COMPUTED_VALUE"""),TRUE)</f>
        <v>1</v>
      </c>
      <c r="U535" s="5" t="str">
        <f>IFERROR(__xludf.DUMMYFUNCTION("""COMPUTED_VALUE"""),"5X3")</f>
        <v>5X3</v>
      </c>
      <c r="V535" s="5">
        <f>IFERROR(__xludf.DUMMYFUNCTION("""COMPUTED_VALUE"""),5.0)</f>
        <v>5</v>
      </c>
      <c r="W535" s="5">
        <f>IFERROR(__xludf.DUMMYFUNCTION("""COMPUTED_VALUE"""),5.0)</f>
        <v>5</v>
      </c>
      <c r="X535" s="5">
        <f>IFERROR(__xludf.DUMMYFUNCTION("""COMPUTED_VALUE"""),96.0)</f>
        <v>96</v>
      </c>
      <c r="Y535" s="5" t="str">
        <f>IFERROR(__xludf.DUMMYFUNCTION("""COMPUTED_VALUE"""),"Medium")</f>
        <v>Medium</v>
      </c>
      <c r="Z535" s="5">
        <f>IFERROR(__xludf.DUMMYFUNCTION("""COMPUTED_VALUE"""),10.1)</f>
        <v>10.1</v>
      </c>
      <c r="AA535" s="5">
        <f>IFERROR(__xludf.DUMMYFUNCTION("""COMPUTED_VALUE"""),1000.0)</f>
        <v>1000</v>
      </c>
      <c r="AB535" s="5"/>
      <c r="AC535" s="5"/>
      <c r="AD535" s="5" t="str">
        <f>IFERROR(__xludf.DUMMYFUNCTION("""COMPUTED_VALUE"""),"0.05/100")</f>
        <v>0.05/100</v>
      </c>
      <c r="AE535" s="5"/>
      <c r="AF535" s="5"/>
      <c r="AG535" s="8">
        <f>IFERROR(__xludf.DUMMYFUNCTION("""COMPUTED_VALUE"""),46197.501388888886)</f>
        <v>46197.50139</v>
      </c>
      <c r="AH535" s="5" t="str">
        <f>IFERROR(__xludf.DUMMYFUNCTION("""COMPUTED_VALUE"""),"selena.mihajlovic@fazi.rs")</f>
        <v>selena.mihajlovic@fazi.rs</v>
      </c>
      <c r="AI535" s="13"/>
      <c r="AJ535" s="5"/>
      <c r="AK535" s="5">
        <f>IFERROR(__xludf.DUMMYFUNCTION("""COMPUTED_VALUE"""),5.0)</f>
        <v>5</v>
      </c>
      <c r="AL535" s="5" t="str">
        <f>IFERROR(__xludf.DUMMYFUNCTION("""COMPUTED_VALUE"""),"No")</f>
        <v>No</v>
      </c>
      <c r="AM535" s="5"/>
      <c r="AN535" s="7" t="str">
        <f>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AO535" s="5"/>
      <c r="AP535" s="5"/>
      <c r="AQ535" s="5" t="b">
        <f>IFERROR(__xludf.DUMMYFUNCTION("""COMPUTED_VALUE"""),TRUE)</f>
        <v>1</v>
      </c>
      <c r="AR535" s="5"/>
      <c r="AS535" s="5" t="str">
        <f>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AT535" s="5"/>
      <c r="AU535" s="5" t="str">
        <f>IFERROR(__xludf.DUMMYFUNCTION("""COMPUTED_VALUE"""),"Fazi")</f>
        <v>Fazi</v>
      </c>
      <c r="AV535" s="5"/>
      <c r="AW535" s="5"/>
      <c r="AX535" s="13">
        <f>IFERROR(__xludf.DUMMYFUNCTION("""COMPUTED_VALUE"""),45909.0)</f>
        <v>45909</v>
      </c>
      <c r="AY535" s="13"/>
      <c r="AZ535" s="13"/>
      <c r="BA535" s="5"/>
      <c r="BB535" s="5" t="b">
        <f>IFERROR(__xludf.DUMMYFUNCTION("""COMPUTED_VALUE"""),TRUE)</f>
        <v>1</v>
      </c>
      <c r="BC535" s="5" t="str">
        <f>IFERROR(__xludf.DUMMYFUNCTION("""COMPUTED_VALUE"""),"Tiptop")</f>
        <v>Tiptop</v>
      </c>
      <c r="BD535" s="7" t="str">
        <f>IFERROR(__xludf.DUMMYFUNCTION("""COMPUTED_VALUE"""),"https://gameserver-store-client-area.orbionlimited.com/Home/IntegrationGameLaunch/client-area?moneyType=0&amp;gameName=UnicornCoyoteSevensHalloween&amp;platform=desktop&amp;languageCode=eng&amp;currency=EUR")</f>
        <v>https://gameserver-store-client-area.orbionlimited.com/Home/IntegrationGameLaunch/client-area?moneyType=0&amp;gameName=UnicornCoyoteSevensHalloween&amp;platform=desktop&amp;languageCode=eng&amp;currency=EUR</v>
      </c>
      <c r="BE535" s="5" t="b">
        <f>IFERROR(__xludf.DUMMYFUNCTION("""COMPUTED_VALUE"""),TRUE)</f>
        <v>1</v>
      </c>
    </row>
    <row r="536">
      <c r="A536" s="5">
        <f>IFERROR(__xludf.DUMMYFUNCTION("""COMPUTED_VALUE"""),567.0)</f>
        <v>567</v>
      </c>
      <c r="B536" s="5">
        <f>IFERROR(__xludf.DUMMYFUNCTION("""COMPUTED_VALUE"""),510.0)</f>
        <v>510</v>
      </c>
      <c r="C536" s="5" t="str">
        <f>IFERROR(__xludf.DUMMYFUNCTION("""COMPUTED_VALUE"""),"Tiptop")</f>
        <v>Tiptop</v>
      </c>
      <c r="D536" s="5" t="str">
        <f>IFERROR(__xludf.DUMMYFUNCTION("""COMPUTED_VALUE"""),"Lava Gems")</f>
        <v>Lava Gems</v>
      </c>
      <c r="E536" s="5" t="str">
        <f>IFERROR(__xludf.DUMMYFUNCTION("""COMPUTED_VALUE"""),"Sertifikacioni")</f>
        <v>Sertifikacioni</v>
      </c>
      <c r="F536" s="5" t="str">
        <f>IFERROR(__xludf.DUMMYFUNCTION("""COMPUTED_VALUE"""),"UnicornLavaGems")</f>
        <v>UnicornLavaGems</v>
      </c>
      <c r="G536" s="5" t="str">
        <f>IFERROR(__xludf.DUMMYFUNCTION("""COMPUTED_VALUE"""),"Live")</f>
        <v>Live</v>
      </c>
      <c r="H536" s="5"/>
      <c r="I536" s="5" t="str">
        <f>IFERROR(__xludf.DUMMYFUNCTION("""COMPUTED_VALUE"""),"TipTop")</f>
        <v>TipTop</v>
      </c>
      <c r="J536" s="5" t="str">
        <f>IFERROR(__xludf.DUMMYFUNCTION("""COMPUTED_VALUE"""),"JSON")</f>
        <v>JSON</v>
      </c>
      <c r="K536" s="5" t="str">
        <f>IFERROR(__xludf.DUMMYFUNCTION("""COMPUTED_VALUE"""),"Slot")</f>
        <v>Slot</v>
      </c>
      <c r="L536" s="5" t="str">
        <f>IFERROR(__xludf.DUMMYFUNCTION("""COMPUTED_VALUE""")," Clone")</f>
        <v> Clone</v>
      </c>
      <c r="M536" s="5" t="str">
        <f>IFERROR(__xludf.DUMMYFUNCTION("""COMPUTED_VALUE"""),"Lava Diamonds")</f>
        <v>Lava Diamonds</v>
      </c>
      <c r="N536" s="5"/>
      <c r="O536" s="5"/>
      <c r="P536" s="12">
        <f>IFERROR(__xludf.DUMMYFUNCTION("""COMPUTED_VALUE"""),11.0)</f>
        <v>11</v>
      </c>
      <c r="Q536" s="13">
        <f>IFERROR(__xludf.DUMMYFUNCTION("""COMPUTED_VALUE"""),45929.0)</f>
        <v>45929</v>
      </c>
      <c r="R536" s="13">
        <f>IFERROR(__xludf.DUMMYFUNCTION("""COMPUTED_VALUE"""),45931.0)</f>
        <v>45931</v>
      </c>
      <c r="S536" s="13">
        <f>IFERROR(__xludf.DUMMYFUNCTION("""COMPUTED_VALUE"""),45938.0)</f>
        <v>45938</v>
      </c>
      <c r="T536" s="5" t="b">
        <f>IFERROR(__xludf.DUMMYFUNCTION("""COMPUTED_VALUE"""),TRUE)</f>
        <v>1</v>
      </c>
      <c r="U536" s="5" t="str">
        <f>IFERROR(__xludf.DUMMYFUNCTION("""COMPUTED_VALUE"""),"5X3")</f>
        <v>5X3</v>
      </c>
      <c r="V536" s="5">
        <f>IFERROR(__xludf.DUMMYFUNCTION("""COMPUTED_VALUE"""),10.0)</f>
        <v>10</v>
      </c>
      <c r="W536" s="5">
        <f>IFERROR(__xludf.DUMMYFUNCTION("""COMPUTED_VALUE"""),10.0)</f>
        <v>10</v>
      </c>
      <c r="X536" s="5">
        <f>IFERROR(__xludf.DUMMYFUNCTION("""COMPUTED_VALUE"""),96.0)</f>
        <v>96</v>
      </c>
      <c r="Y536" s="5" t="str">
        <f>IFERROR(__xludf.DUMMYFUNCTION("""COMPUTED_VALUE"""),"Low")</f>
        <v>Low</v>
      </c>
      <c r="Z536" s="5">
        <f>IFERROR(__xludf.DUMMYFUNCTION("""COMPUTED_VALUE"""),24.14)</f>
        <v>24.14</v>
      </c>
      <c r="AA536" s="5">
        <f>IFERROR(__xludf.DUMMYFUNCTION("""COMPUTED_VALUE"""),10000.0)</f>
        <v>10000</v>
      </c>
      <c r="AB536" s="5"/>
      <c r="AC536" s="5"/>
      <c r="AD536" s="5" t="str">
        <f>IFERROR(__xludf.DUMMYFUNCTION("""COMPUTED_VALUE"""),"0.1/100")</f>
        <v>0.1/100</v>
      </c>
      <c r="AE536" s="5"/>
      <c r="AF536" s="5"/>
      <c r="AG536" s="8">
        <f>IFERROR(__xludf.DUMMYFUNCTION("""COMPUTED_VALUE"""),46197.501539351855)</f>
        <v>46197.50154</v>
      </c>
      <c r="AH536" s="5" t="str">
        <f>IFERROR(__xludf.DUMMYFUNCTION("""COMPUTED_VALUE"""),"selena.mihajlovic@fazi.rs")</f>
        <v>selena.mihajlovic@fazi.rs</v>
      </c>
      <c r="AI536" s="13"/>
      <c r="AJ536" s="5"/>
      <c r="AK536" s="5">
        <f>IFERROR(__xludf.DUMMYFUNCTION("""COMPUTED_VALUE"""),10.0)</f>
        <v>10</v>
      </c>
      <c r="AL536" s="5" t="str">
        <f>IFERROR(__xludf.DUMMYFUNCTION("""COMPUTED_VALUE"""),"No")</f>
        <v>No</v>
      </c>
      <c r="AM536" s="5"/>
      <c r="AN536" s="7" t="str">
        <f>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AO536" s="5"/>
      <c r="AP536" s="5"/>
      <c r="AQ536" s="5" t="b">
        <f>IFERROR(__xludf.DUMMYFUNCTION("""COMPUTED_VALUE"""),TRUE)</f>
        <v>1</v>
      </c>
      <c r="AR536" s="5" t="b">
        <f>IFERROR(__xludf.DUMMYFUNCTION("""COMPUTED_VALUE"""),FALSE)</f>
        <v>0</v>
      </c>
      <c r="AS536" s="5" t="str">
        <f>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AT536" s="5"/>
      <c r="AU536" s="5" t="str">
        <f>IFERROR(__xludf.DUMMYFUNCTION("""COMPUTED_VALUE"""),"Fazi")</f>
        <v>Fazi</v>
      </c>
      <c r="AV536" s="5"/>
      <c r="AW536" s="5"/>
      <c r="AX536" s="13">
        <f>IFERROR(__xludf.DUMMYFUNCTION("""COMPUTED_VALUE"""),45923.0)</f>
        <v>45923</v>
      </c>
      <c r="AY536" s="13"/>
      <c r="AZ536" s="13"/>
      <c r="BA536" s="5"/>
      <c r="BB536" s="5" t="b">
        <f>IFERROR(__xludf.DUMMYFUNCTION("""COMPUTED_VALUE"""),TRUE)</f>
        <v>1</v>
      </c>
      <c r="BC536" s="5" t="str">
        <f>IFERROR(__xludf.DUMMYFUNCTION("""COMPUTED_VALUE"""),"Tiptop")</f>
        <v>Tiptop</v>
      </c>
      <c r="BD536" s="7" t="str">
        <f>IFERROR(__xludf.DUMMYFUNCTION("""COMPUTED_VALUE"""),"https://gameserver-store-client-area.orbionlimited.com/Home/IntegrationGameLaunch/client-area?moneyType=0&amp;gameName=UnicornLavaGems&amp;platform=desktop&amp;languageCode=eng&amp;currency=EUR")</f>
        <v>https://gameserver-store-client-area.orbionlimited.com/Home/IntegrationGameLaunch/client-area?moneyType=0&amp;gameName=UnicornLavaGems&amp;platform=desktop&amp;languageCode=eng&amp;currency=EUR</v>
      </c>
      <c r="BE536" s="5" t="b">
        <f>IFERROR(__xludf.DUMMYFUNCTION("""COMPUTED_VALUE"""),TRUE)</f>
        <v>1</v>
      </c>
    </row>
    <row r="537">
      <c r="A537" s="5">
        <f>IFERROR(__xludf.DUMMYFUNCTION("""COMPUTED_VALUE"""),568.0)</f>
        <v>568</v>
      </c>
      <c r="B537" s="5">
        <f>IFERROR(__xludf.DUMMYFUNCTION("""COMPUTED_VALUE"""),4000000.0)</f>
        <v>4000000</v>
      </c>
      <c r="C537" s="5" t="str">
        <f>IFERROR(__xludf.DUMMYFUNCTION("""COMPUTED_VALUE"""),"Tiptop")</f>
        <v>Tiptop</v>
      </c>
      <c r="D537" s="5" t="str">
        <f>IFERROR(__xludf.DUMMYFUNCTION("""COMPUTED_VALUE"""),"The Kings Halloween")</f>
        <v>The Kings Halloween</v>
      </c>
      <c r="E537" s="5" t="str">
        <f>IFERROR(__xludf.DUMMYFUNCTION("""COMPUTED_VALUE"""),"TipTop")</f>
        <v>TipTop</v>
      </c>
      <c r="F537" s="5" t="str">
        <f>IFERROR(__xludf.DUMMYFUNCTION("""COMPUTED_VALUE"""),"UnicornTheKingsHalloween")</f>
        <v>UnicornTheKingsHalloween</v>
      </c>
      <c r="G537" s="5" t="str">
        <f>IFERROR(__xludf.DUMMYFUNCTION("""COMPUTED_VALUE"""),"Live")</f>
        <v>Live</v>
      </c>
      <c r="H537" s="5"/>
      <c r="I537" s="5"/>
      <c r="J537" s="5" t="str">
        <f>IFERROR(__xludf.DUMMYFUNCTION("""COMPUTED_VALUE"""),"JSON")</f>
        <v>JSON</v>
      </c>
      <c r="K537" s="5" t="str">
        <f>IFERROR(__xludf.DUMMYFUNCTION("""COMPUTED_VALUE"""),"Slot")</f>
        <v>Slot</v>
      </c>
      <c r="L537" s="5" t="str">
        <f>IFERROR(__xludf.DUMMYFUNCTION("""COMPUTED_VALUE"""),"Master")</f>
        <v>Master</v>
      </c>
      <c r="M537" s="5"/>
      <c r="N537" s="5"/>
      <c r="O537" s="5"/>
      <c r="P537" s="12">
        <f>IFERROR(__xludf.DUMMYFUNCTION("""COMPUTED_VALUE"""),11.8)</f>
        <v>11.8</v>
      </c>
      <c r="Q537" s="13">
        <f>IFERROR(__xludf.DUMMYFUNCTION("""COMPUTED_VALUE"""),45929.0)</f>
        <v>45929</v>
      </c>
      <c r="R537" s="13">
        <f>IFERROR(__xludf.DUMMYFUNCTION("""COMPUTED_VALUE"""),45924.0)</f>
        <v>45924</v>
      </c>
      <c r="S537" s="13">
        <f>IFERROR(__xludf.DUMMYFUNCTION("""COMPUTED_VALUE"""),45931.0)</f>
        <v>45931</v>
      </c>
      <c r="T537" s="5" t="b">
        <f>IFERROR(__xludf.DUMMYFUNCTION("""COMPUTED_VALUE"""),TRUE)</f>
        <v>1</v>
      </c>
      <c r="U537" s="5" t="str">
        <f>IFERROR(__xludf.DUMMYFUNCTION("""COMPUTED_VALUE"""),"5X3")</f>
        <v>5X3</v>
      </c>
      <c r="V537" s="5">
        <f>IFERROR(__xludf.DUMMYFUNCTION("""COMPUTED_VALUE"""),5.0)</f>
        <v>5</v>
      </c>
      <c r="W537" s="5">
        <f>IFERROR(__xludf.DUMMYFUNCTION("""COMPUTED_VALUE"""),5.0)</f>
        <v>5</v>
      </c>
      <c r="X537" s="5">
        <f>IFERROR(__xludf.DUMMYFUNCTION("""COMPUTED_VALUE"""),96.0)</f>
        <v>96</v>
      </c>
      <c r="Y537" s="5" t="str">
        <f>IFERROR(__xludf.DUMMYFUNCTION("""COMPUTED_VALUE"""),"Low")</f>
        <v>Low</v>
      </c>
      <c r="Z537" s="5">
        <f>IFERROR(__xludf.DUMMYFUNCTION("""COMPUTED_VALUE"""),17.5)</f>
        <v>17.5</v>
      </c>
      <c r="AA537" s="5">
        <f>IFERROR(__xludf.DUMMYFUNCTION("""COMPUTED_VALUE"""),1100.0)</f>
        <v>1100</v>
      </c>
      <c r="AB537" s="5"/>
      <c r="AC537" s="5"/>
      <c r="AD537" s="5" t="str">
        <f>IFERROR(__xludf.DUMMYFUNCTION("""COMPUTED_VALUE"""),"0.05/100")</f>
        <v>0.05/100</v>
      </c>
      <c r="AE537" s="5"/>
      <c r="AF537" s="5"/>
      <c r="AG537" s="8">
        <f>IFERROR(__xludf.DUMMYFUNCTION("""COMPUTED_VALUE"""),46197.50170138889)</f>
        <v>46197.5017</v>
      </c>
      <c r="AH537" s="5" t="str">
        <f>IFERROR(__xludf.DUMMYFUNCTION("""COMPUTED_VALUE"""),"selena.mihajlovic@fazi.rs")</f>
        <v>selena.mihajlovic@fazi.rs</v>
      </c>
      <c r="AI537" s="13"/>
      <c r="AJ537" s="5"/>
      <c r="AK537" s="5">
        <f>IFERROR(__xludf.DUMMYFUNCTION("""COMPUTED_VALUE"""),5.0)</f>
        <v>5</v>
      </c>
      <c r="AL537" s="5" t="str">
        <f>IFERROR(__xludf.DUMMYFUNCTION("""COMPUTED_VALUE"""),"No")</f>
        <v>No</v>
      </c>
      <c r="AM537" s="5"/>
      <c r="AN537" s="7" t="str">
        <f>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AO537" s="5"/>
      <c r="AP537" s="5"/>
      <c r="AQ537" s="5" t="b">
        <f>IFERROR(__xludf.DUMMYFUNCTION("""COMPUTED_VALUE"""),TRUE)</f>
        <v>1</v>
      </c>
      <c r="AR537" s="5"/>
      <c r="AS537" s="5" t="str">
        <f>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AT537" s="5"/>
      <c r="AU537" s="5" t="str">
        <f>IFERROR(__xludf.DUMMYFUNCTION("""COMPUTED_VALUE"""),"Tiptop")</f>
        <v>Tiptop</v>
      </c>
      <c r="AV537" s="5"/>
      <c r="AW537" s="5"/>
      <c r="AX537" s="13">
        <f>IFERROR(__xludf.DUMMYFUNCTION("""COMPUTED_VALUE"""),45923.0)</f>
        <v>45923</v>
      </c>
      <c r="AY537" s="13"/>
      <c r="AZ537" s="13"/>
      <c r="BA537" s="5"/>
      <c r="BB537" s="5" t="b">
        <f>IFERROR(__xludf.DUMMYFUNCTION("""COMPUTED_VALUE"""),TRUE)</f>
        <v>1</v>
      </c>
      <c r="BC537" s="5" t="str">
        <f>IFERROR(__xludf.DUMMYFUNCTION("""COMPUTED_VALUE"""),"Tiptop")</f>
        <v>Tiptop</v>
      </c>
      <c r="BD537" s="7" t="str">
        <f>IFERROR(__xludf.DUMMYFUNCTION("""COMPUTED_VALUE"""),"https://gameserver-store-client-area.orbionlimited.com/Home/IntegrationGameLaunch/client-area?moneyType=0&amp;gameName=UnicornTheKingsHalloween&amp;platform=desktop&amp;languageCode=eng&amp;currency=EUR")</f>
        <v>https://gameserver-store-client-area.orbionlimited.com/Home/IntegrationGameLaunch/client-area?moneyType=0&amp;gameName=UnicornTheKingsHalloween&amp;platform=desktop&amp;languageCode=eng&amp;currency=EUR</v>
      </c>
      <c r="BE537" s="5" t="b">
        <f>IFERROR(__xludf.DUMMYFUNCTION("""COMPUTED_VALUE"""),TRUE)</f>
        <v>1</v>
      </c>
    </row>
    <row r="538">
      <c r="A538" s="5">
        <f>IFERROR(__xludf.DUMMYFUNCTION("""COMPUTED_VALUE"""),571.0)</f>
        <v>571</v>
      </c>
      <c r="B538" s="5">
        <f>IFERROR(__xludf.DUMMYFUNCTION("""COMPUTED_VALUE"""),3010.0)</f>
        <v>3010</v>
      </c>
      <c r="C538" s="5" t="str">
        <f>IFERROR(__xludf.DUMMYFUNCTION("""COMPUTED_VALUE"""),"Fazi")</f>
        <v>Fazi</v>
      </c>
      <c r="D538" s="5" t="str">
        <f>IFERROR(__xludf.DUMMYFUNCTION("""COMPUTED_VALUE"""),"Wild Sunflower")</f>
        <v>Wild Sunflower</v>
      </c>
      <c r="E538" s="5" t="str">
        <f>IFERROR(__xludf.DUMMYFUNCTION("""COMPUTED_VALUE"""),"V2")</f>
        <v>V2</v>
      </c>
      <c r="F538" s="5" t="str">
        <f>IFERROR(__xludf.DUMMYFUNCTION("""COMPUTED_VALUE"""),"WildSunflower")</f>
        <v>WildSunflower</v>
      </c>
      <c r="G538" s="5" t="str">
        <f>IFERROR(__xludf.DUMMYFUNCTION("""COMPUTED_VALUE"""),"Live")</f>
        <v>Live</v>
      </c>
      <c r="H538" s="5"/>
      <c r="I538" s="5" t="str">
        <f>IFERROR(__xludf.DUMMYFUNCTION("""COMPUTED_VALUE"""),"V4")</f>
        <v>V4</v>
      </c>
      <c r="J538" s="5" t="str">
        <f>IFERROR(__xludf.DUMMYFUNCTION("""COMPUTED_VALUE"""),"JSON")</f>
        <v>JSON</v>
      </c>
      <c r="K538" s="5" t="str">
        <f>IFERROR(__xludf.DUMMYFUNCTION("""COMPUTED_VALUE"""),"Slot")</f>
        <v>Slot</v>
      </c>
      <c r="L538" s="5" t="str">
        <f>IFERROR(__xludf.DUMMYFUNCTION("""COMPUTED_VALUE"""),"Master")</f>
        <v>Master</v>
      </c>
      <c r="M538" s="5"/>
      <c r="N538" s="5"/>
      <c r="O538" s="5"/>
      <c r="P538" s="12">
        <f>IFERROR(__xludf.DUMMYFUNCTION("""COMPUTED_VALUE"""),50.0)</f>
        <v>50</v>
      </c>
      <c r="Q538" s="13">
        <f>IFERROR(__xludf.DUMMYFUNCTION("""COMPUTED_VALUE"""),45881.0)</f>
        <v>45881</v>
      </c>
      <c r="R538" s="13">
        <f>IFERROR(__xludf.DUMMYFUNCTION("""COMPUTED_VALUE"""),45904.0)</f>
        <v>45904</v>
      </c>
      <c r="S538" s="13">
        <f>IFERROR(__xludf.DUMMYFUNCTION("""COMPUTED_VALUE"""),45911.0)</f>
        <v>45911</v>
      </c>
      <c r="T538" s="5" t="b">
        <f>IFERROR(__xludf.DUMMYFUNCTION("""COMPUTED_VALUE"""),TRUE)</f>
        <v>1</v>
      </c>
      <c r="U538" s="5" t="str">
        <f>IFERROR(__xludf.DUMMYFUNCTION("""COMPUTED_VALUE"""),"5x4")</f>
        <v>5x4</v>
      </c>
      <c r="V538" s="5">
        <f>IFERROR(__xludf.DUMMYFUNCTION("""COMPUTED_VALUE"""),40.0)</f>
        <v>40</v>
      </c>
      <c r="W538" s="5">
        <f>IFERROR(__xludf.DUMMYFUNCTION("""COMPUTED_VALUE"""),40.0)</f>
        <v>40</v>
      </c>
      <c r="X538" s="5">
        <f>IFERROR(__xludf.DUMMYFUNCTION("""COMPUTED_VALUE"""),96.621)</f>
        <v>96.621</v>
      </c>
      <c r="Y538" s="5" t="str">
        <f>IFERROR(__xludf.DUMMYFUNCTION("""COMPUTED_VALUE"""),"Medium")</f>
        <v>Medium</v>
      </c>
      <c r="Z538" s="5">
        <f>IFERROR(__xludf.DUMMYFUNCTION("""COMPUTED_VALUE"""),11.144)</f>
        <v>11.144</v>
      </c>
      <c r="AA538" s="5">
        <f>IFERROR(__xludf.DUMMYFUNCTION("""COMPUTED_VALUE"""),6000.0)</f>
        <v>6000</v>
      </c>
      <c r="AB538" s="5"/>
      <c r="AC538" s="5" t="str">
        <f>IFERROR(__xludf.DUMMYFUNCTION("""COMPUTED_VALUE"""),"Buy Bonus")</f>
        <v>Buy Bonus</v>
      </c>
      <c r="AD538" s="5" t="str">
        <f>IFERROR(__xludf.DUMMYFUNCTION("""COMPUTED_VALUE"""),"0.4/40")</f>
        <v>0.4/40</v>
      </c>
      <c r="AE538" s="5"/>
      <c r="AF538" s="5"/>
      <c r="AG538" s="8">
        <f>IFERROR(__xludf.DUMMYFUNCTION("""COMPUTED_VALUE"""),46213.446875)</f>
        <v>46213.44688</v>
      </c>
      <c r="AH538" s="5" t="str">
        <f>IFERROR(__xludf.DUMMYFUNCTION("""COMPUTED_VALUE"""),"djordje.petrovic@fazi.rs")</f>
        <v>djordje.petrovic@fazi.rs</v>
      </c>
      <c r="AI538" s="13"/>
      <c r="AJ538" s="5"/>
      <c r="AK538" s="5">
        <f>IFERROR(__xludf.DUMMYFUNCTION("""COMPUTED_VALUE"""),4.0)</f>
        <v>4</v>
      </c>
      <c r="AL538" s="5" t="str">
        <f>IFERROR(__xludf.DUMMYFUNCTION("""COMPUTED_VALUE"""),"Yes")</f>
        <v>Yes</v>
      </c>
      <c r="AM538" s="5"/>
      <c r="AN538" s="7" t="str">
        <f>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AO538" s="5" t="str">
        <f>IFERROR(__xludf.DUMMYFUNCTION("""COMPUTED_VALUE"""),"Yes")</f>
        <v>Yes</v>
      </c>
      <c r="AP538" s="5" t="str">
        <f>IFERROR(__xludf.DUMMYFUNCTION("""COMPUTED_VALUE"""),"No")</f>
        <v>No</v>
      </c>
      <c r="AQ538" s="5" t="b">
        <f>IFERROR(__xludf.DUMMYFUNCTION("""COMPUTED_VALUE"""),TRUE)</f>
        <v>1</v>
      </c>
      <c r="AR538" s="5"/>
      <c r="AS538" s="5" t="str">
        <f>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AT538" s="5"/>
      <c r="AU538" s="5" t="str">
        <f>IFERROR(__xludf.DUMMYFUNCTION("""COMPUTED_VALUE"""),"Fazi")</f>
        <v>Fazi</v>
      </c>
      <c r="AV538" s="5"/>
      <c r="AW538" s="5"/>
      <c r="AX538" s="5"/>
      <c r="AY538" s="5"/>
      <c r="AZ538" s="5"/>
      <c r="BA538" s="5" t="str">
        <f>IFERROR(__xludf.DUMMYFUNCTION("""COMPUTED_VALUE"""),"25, 40, 100")</f>
        <v>25, 40, 100</v>
      </c>
      <c r="BB538" s="5"/>
      <c r="BC538" s="5" t="str">
        <f>IFERROR(__xludf.DUMMYFUNCTION("""COMPUTED_VALUE"""),"Foxi")</f>
        <v>Foxi</v>
      </c>
      <c r="BD538" s="7" t="str">
        <f>IFERROR(__xludf.DUMMYFUNCTION("""COMPUTED_VALUE"""),"https://gameserver-store-client-area.orbionlimited.com/Home/IntegrationGameLaunch/client-area?moneyType=0&amp;gameName=WildSunflower&amp;platform=desktop&amp;languageCode=eng&amp;currency=EUR")</f>
        <v>https://gameserver-store-client-area.orbionlimited.com/Home/IntegrationGameLaunch/client-area?moneyType=0&amp;gameName=WildSunflower&amp;platform=desktop&amp;languageCode=eng&amp;currency=EUR</v>
      </c>
      <c r="BE538" s="5" t="b">
        <f>IFERROR(__xludf.DUMMYFUNCTION("""COMPUTED_VALUE"""),TRUE)</f>
        <v>1</v>
      </c>
    </row>
    <row r="539">
      <c r="A539" s="5">
        <f>IFERROR(__xludf.DUMMYFUNCTION("""COMPUTED_VALUE"""),572.0)</f>
        <v>572</v>
      </c>
      <c r="B539" s="5">
        <f>IFERROR(__xludf.DUMMYFUNCTION("""COMPUTED_VALUE"""),3013.0)</f>
        <v>3013</v>
      </c>
      <c r="C539" s="5" t="str">
        <f>IFERROR(__xludf.DUMMYFUNCTION("""COMPUTED_VALUE"""),"Fazi")</f>
        <v>Fazi</v>
      </c>
      <c r="D539" s="5" t="str">
        <f>IFERROR(__xludf.DUMMYFUNCTION("""COMPUTED_VALUE"""),"Golden Crown Max Booster")</f>
        <v>Golden Crown Max Booster</v>
      </c>
      <c r="E539" s="5" t="str">
        <f>IFERROR(__xludf.DUMMYFUNCTION("""COMPUTED_VALUE"""),"V2")</f>
        <v>V2</v>
      </c>
      <c r="F539" s="5" t="str">
        <f>IFERROR(__xludf.DUMMYFUNCTION("""COMPUTED_VALUE"""),"GoldenCrownMaxBooster")</f>
        <v>GoldenCrownMaxBooster</v>
      </c>
      <c r="G539" s="5" t="str">
        <f>IFERROR(__xludf.DUMMYFUNCTION("""COMPUTED_VALUE"""),"Live")</f>
        <v>Live</v>
      </c>
      <c r="H539" s="5"/>
      <c r="I539" s="5" t="str">
        <f>IFERROR(__xludf.DUMMYFUNCTION("""COMPUTED_VALUE"""),"V2")</f>
        <v>V2</v>
      </c>
      <c r="J539" s="5" t="str">
        <f>IFERROR(__xludf.DUMMYFUNCTION("""COMPUTED_VALUE"""),"JSON")</f>
        <v>JSON</v>
      </c>
      <c r="K539" s="5" t="str">
        <f>IFERROR(__xludf.DUMMYFUNCTION("""COMPUTED_VALUE"""),"Slot")</f>
        <v>Slot</v>
      </c>
      <c r="L539" s="5" t="str">
        <f>IFERROR(__xludf.DUMMYFUNCTION("""COMPUTED_VALUE""")," Clone")</f>
        <v> Clone</v>
      </c>
      <c r="M539" s="5" t="str">
        <f>IFERROR(__xludf.DUMMYFUNCTION("""COMPUTED_VALUE"""),"Golden Crown Max")</f>
        <v>Golden Crown Max</v>
      </c>
      <c r="N539" s="5"/>
      <c r="O539" s="5"/>
      <c r="P539" s="12">
        <f>IFERROR(__xludf.DUMMYFUNCTION("""COMPUTED_VALUE"""),19.0)</f>
        <v>19</v>
      </c>
      <c r="Q539" s="13">
        <f>IFERROR(__xludf.DUMMYFUNCTION("""COMPUTED_VALUE"""),45855.0)</f>
        <v>45855</v>
      </c>
      <c r="R539" s="13">
        <f>IFERROR(__xludf.DUMMYFUNCTION("""COMPUTED_VALUE"""),45848.0)</f>
        <v>45848</v>
      </c>
      <c r="S539" s="13">
        <f>IFERROR(__xludf.DUMMYFUNCTION("""COMPUTED_VALUE"""),45855.0)</f>
        <v>45855</v>
      </c>
      <c r="T539" s="5" t="b">
        <f>IFERROR(__xludf.DUMMYFUNCTION("""COMPUTED_VALUE"""),TRUE)</f>
        <v>1</v>
      </c>
      <c r="U539" s="5" t="str">
        <f>IFERROR(__xludf.DUMMYFUNCTION("""COMPUTED_VALUE"""),"5x4")</f>
        <v>5x4</v>
      </c>
      <c r="V539" s="5">
        <f>IFERROR(__xludf.DUMMYFUNCTION("""COMPUTED_VALUE"""),40.0)</f>
        <v>40</v>
      </c>
      <c r="W539" s="5">
        <f>IFERROR(__xludf.DUMMYFUNCTION("""COMPUTED_VALUE"""),40.0)</f>
        <v>40</v>
      </c>
      <c r="X539" s="5">
        <f>IFERROR(__xludf.DUMMYFUNCTION("""COMPUTED_VALUE"""),96.483)</f>
        <v>96.483</v>
      </c>
      <c r="Y539" s="5" t="str">
        <f>IFERROR(__xludf.DUMMYFUNCTION("""COMPUTED_VALUE"""),"High")</f>
        <v>High</v>
      </c>
      <c r="Z539" s="5">
        <f>IFERROR(__xludf.DUMMYFUNCTION("""COMPUTED_VALUE"""),12.5)</f>
        <v>12.5</v>
      </c>
      <c r="AA539" s="5">
        <f>IFERROR(__xludf.DUMMYFUNCTION("""COMPUTED_VALUE"""),5000.0)</f>
        <v>5000</v>
      </c>
      <c r="AB539" s="5"/>
      <c r="AC539" s="5" t="str">
        <f>IFERROR(__xludf.DUMMYFUNCTION("""COMPUTED_VALUE"""),"Buy Feature, Expanding Wild, Scatter")</f>
        <v>Buy Feature, Expanding Wild, Scatter</v>
      </c>
      <c r="AD539" s="5" t="str">
        <f>IFERROR(__xludf.DUMMYFUNCTION("""COMPUTED_VALUE"""),"0.4/40")</f>
        <v>0.4/40</v>
      </c>
      <c r="AE539" s="5"/>
      <c r="AF539" s="5"/>
      <c r="AG539" s="8">
        <f>IFERROR(__xludf.DUMMYFUNCTION("""COMPUTED_VALUE"""),46073.5678587963)</f>
        <v>46073.56786</v>
      </c>
      <c r="AH539" s="5" t="str">
        <f>IFERROR(__xludf.DUMMYFUNCTION("""COMPUTED_VALUE"""),"milutin.toskic@fazi.rs")</f>
        <v>milutin.toskic@fazi.rs</v>
      </c>
      <c r="AI539" s="13"/>
      <c r="AJ539" s="5"/>
      <c r="AK539" s="5">
        <f>IFERROR(__xludf.DUMMYFUNCTION("""COMPUTED_VALUE"""),40.0)</f>
        <v>40</v>
      </c>
      <c r="AL539" s="5" t="str">
        <f>IFERROR(__xludf.DUMMYFUNCTION("""COMPUTED_VALUE"""),"Yes")</f>
        <v>Yes</v>
      </c>
      <c r="AM539" s="5"/>
      <c r="AN539" s="7" t="str">
        <f>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AO539" s="5" t="str">
        <f>IFERROR(__xludf.DUMMYFUNCTION("""COMPUTED_VALUE"""),"Yes")</f>
        <v>Yes</v>
      </c>
      <c r="AP539" s="5" t="str">
        <f>IFERROR(__xludf.DUMMYFUNCTION("""COMPUTED_VALUE"""),"Yes")</f>
        <v>Yes</v>
      </c>
      <c r="AQ539" s="5" t="b">
        <f>IFERROR(__xludf.DUMMYFUNCTION("""COMPUTED_VALUE"""),TRUE)</f>
        <v>1</v>
      </c>
      <c r="AR539" s="5"/>
      <c r="AS539" s="5" t="str">
        <f>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AT539" s="5" t="str">
        <f>IFERROR(__xludf.DUMMYFUNCTION("""COMPUTED_VALUE"""),"No")</f>
        <v>No</v>
      </c>
      <c r="AU539" s="5" t="str">
        <f>IFERROR(__xludf.DUMMYFUNCTION("""COMPUTED_VALUE"""),"Fazi")</f>
        <v>Fazi</v>
      </c>
      <c r="AV539" s="5"/>
      <c r="AW539" s="5"/>
      <c r="AX539" s="5"/>
      <c r="AY539" s="5"/>
      <c r="AZ539" s="5"/>
      <c r="BA539" s="5">
        <f>IFERROR(__xludf.DUMMYFUNCTION("""COMPUTED_VALUE"""),7.0)</f>
        <v>7</v>
      </c>
      <c r="BB539" s="5"/>
      <c r="BC539" s="5" t="str">
        <f>IFERROR(__xludf.DUMMYFUNCTION("""COMPUTED_VALUE"""),"Foxi")</f>
        <v>Foxi</v>
      </c>
      <c r="BD539" s="7" t="str">
        <f>IFERROR(__xludf.DUMMYFUNCTION("""COMPUTED_VALUE"""),"https://gameserver-store-client-area.orbionlimited.com/Home/IntegrationGameLaunch/client-area?moneyType=0&amp;gameName=GoldenCrownMaxBooster&amp;platform=desktop&amp;languageCode=eng&amp;currency=EUR")</f>
        <v>https://gameserver-store-client-area.orbionlimited.com/Home/IntegrationGameLaunch/client-area?moneyType=0&amp;gameName=GoldenCrownMaxBooster&amp;platform=desktop&amp;languageCode=eng&amp;currency=EUR</v>
      </c>
      <c r="BE539" s="5" t="b">
        <f>IFERROR(__xludf.DUMMYFUNCTION("""COMPUTED_VALUE"""),TRUE)</f>
        <v>1</v>
      </c>
    </row>
    <row r="540">
      <c r="A540" s="5">
        <f>IFERROR(__xludf.DUMMYFUNCTION("""COMPUTED_VALUE"""),573.0)</f>
        <v>573</v>
      </c>
      <c r="B540" s="5">
        <f>IFERROR(__xludf.DUMMYFUNCTION("""COMPUTED_VALUE"""),3014.0)</f>
        <v>3014</v>
      </c>
      <c r="C540" s="5" t="str">
        <f>IFERROR(__xludf.DUMMYFUNCTION("""COMPUTED_VALUE"""),"Fazi")</f>
        <v>Fazi</v>
      </c>
      <c r="D540" s="5" t="str">
        <f>IFERROR(__xludf.DUMMYFUNCTION("""COMPUTED_VALUE"""),"Very Hot 40 Booster")</f>
        <v>Very Hot 40 Booster</v>
      </c>
      <c r="E540" s="5" t="str">
        <f>IFERROR(__xludf.DUMMYFUNCTION("""COMPUTED_VALUE"""),"V2")</f>
        <v>V2</v>
      </c>
      <c r="F540" s="5" t="str">
        <f>IFERROR(__xludf.DUMMYFUNCTION("""COMPUTED_VALUE"""),"VeryHot40Booster")</f>
        <v>VeryHot40Booster</v>
      </c>
      <c r="G540" s="5" t="str">
        <f>IFERROR(__xludf.DUMMYFUNCTION("""COMPUTED_VALUE"""),"Live")</f>
        <v>Live</v>
      </c>
      <c r="H540" s="5"/>
      <c r="I540" s="5" t="str">
        <f>IFERROR(__xludf.DUMMYFUNCTION("""COMPUTED_VALUE"""),"V2")</f>
        <v>V2</v>
      </c>
      <c r="J540" s="5" t="str">
        <f>IFERROR(__xludf.DUMMYFUNCTION("""COMPUTED_VALUE"""),"JSON")</f>
        <v>JSON</v>
      </c>
      <c r="K540" s="5" t="str">
        <f>IFERROR(__xludf.DUMMYFUNCTION("""COMPUTED_VALUE"""),"Slot")</f>
        <v>Slot</v>
      </c>
      <c r="L540" s="5" t="str">
        <f>IFERROR(__xludf.DUMMYFUNCTION("""COMPUTED_VALUE""")," Clone")</f>
        <v> Clone</v>
      </c>
      <c r="M540" s="5" t="str">
        <f>IFERROR(__xludf.DUMMYFUNCTION("""COMPUTED_VALUE"""),"Very Hot 40")</f>
        <v>Very Hot 40</v>
      </c>
      <c r="N540" s="5"/>
      <c r="O540" s="5"/>
      <c r="P540" s="12">
        <f>IFERROR(__xludf.DUMMYFUNCTION("""COMPUTED_VALUE"""),18.5)</f>
        <v>18.5</v>
      </c>
      <c r="Q540" s="13">
        <f>IFERROR(__xludf.DUMMYFUNCTION("""COMPUTED_VALUE"""),45848.0)</f>
        <v>45848</v>
      </c>
      <c r="R540" s="13">
        <f>IFERROR(__xludf.DUMMYFUNCTION("""COMPUTED_VALUE"""),45841.0)</f>
        <v>45841</v>
      </c>
      <c r="S540" s="13">
        <f>IFERROR(__xludf.DUMMYFUNCTION("""COMPUTED_VALUE"""),45848.0)</f>
        <v>45848</v>
      </c>
      <c r="T540" s="5" t="b">
        <f>IFERROR(__xludf.DUMMYFUNCTION("""COMPUTED_VALUE"""),TRUE)</f>
        <v>1</v>
      </c>
      <c r="U540" s="5" t="str">
        <f>IFERROR(__xludf.DUMMYFUNCTION("""COMPUTED_VALUE"""),"5x3")</f>
        <v>5x3</v>
      </c>
      <c r="V540" s="5">
        <f>IFERROR(__xludf.DUMMYFUNCTION("""COMPUTED_VALUE"""),40.0)</f>
        <v>40</v>
      </c>
      <c r="W540" s="5">
        <f>IFERROR(__xludf.DUMMYFUNCTION("""COMPUTED_VALUE"""),40.0)</f>
        <v>40</v>
      </c>
      <c r="X540" s="5">
        <f>IFERROR(__xludf.DUMMYFUNCTION("""COMPUTED_VALUE"""),96.53)</f>
        <v>96.53</v>
      </c>
      <c r="Y540" s="5" t="str">
        <f>IFERROR(__xludf.DUMMYFUNCTION("""COMPUTED_VALUE"""),"Low")</f>
        <v>Low</v>
      </c>
      <c r="Z540" s="5">
        <f>IFERROR(__xludf.DUMMYFUNCTION("""COMPUTED_VALUE"""),23.38)</f>
        <v>23.38</v>
      </c>
      <c r="AA540" s="5">
        <f>IFERROR(__xludf.DUMMYFUNCTION("""COMPUTED_VALUE"""),876.75)</f>
        <v>876.75</v>
      </c>
      <c r="AB540" s="5">
        <f>IFERROR(__xludf.DUMMYFUNCTION("""COMPUTED_VALUE"""),4.0)</f>
        <v>4</v>
      </c>
      <c r="AC540" s="5" t="str">
        <f>IFERROR(__xludf.DUMMYFUNCTION("""COMPUTED_VALUE"""),"Buy Feature")</f>
        <v>Buy Feature</v>
      </c>
      <c r="AD540" s="5" t="str">
        <f>IFERROR(__xludf.DUMMYFUNCTION("""COMPUTED_VALUE"""),"0.4/40")</f>
        <v>0.4/40</v>
      </c>
      <c r="AE540" s="5"/>
      <c r="AF540" s="5"/>
      <c r="AG540" s="8">
        <f>IFERROR(__xludf.DUMMYFUNCTION("""COMPUTED_VALUE"""),46231.492268518516)</f>
        <v>46231.49227</v>
      </c>
      <c r="AH540" s="5" t="str">
        <f>IFERROR(__xludf.DUMMYFUNCTION("""COMPUTED_VALUE"""),"selena.mihajlovic@fazi.rs")</f>
        <v>selena.mihajlovic@fazi.rs</v>
      </c>
      <c r="AI540" s="13"/>
      <c r="AJ540" s="5"/>
      <c r="AK540" s="5">
        <f>IFERROR(__xludf.DUMMYFUNCTION("""COMPUTED_VALUE"""),40.0)</f>
        <v>40</v>
      </c>
      <c r="AL540" s="5" t="str">
        <f>IFERROR(__xludf.DUMMYFUNCTION("""COMPUTED_VALUE"""),"Yes")</f>
        <v>Yes</v>
      </c>
      <c r="AM540" s="5"/>
      <c r="AN540" s="7" t="str">
        <f>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AO540" s="5" t="str">
        <f>IFERROR(__xludf.DUMMYFUNCTION("""COMPUTED_VALUE"""),"Yes")</f>
        <v>Yes</v>
      </c>
      <c r="AP540" s="5" t="str">
        <f>IFERROR(__xludf.DUMMYFUNCTION("""COMPUTED_VALUE"""),"No")</f>
        <v>No</v>
      </c>
      <c r="AQ540" s="5" t="b">
        <f>IFERROR(__xludf.DUMMYFUNCTION("""COMPUTED_VALUE"""),TRUE)</f>
        <v>1</v>
      </c>
      <c r="AR540" s="5"/>
      <c r="AS540" s="5" t="str">
        <f>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AT540" s="5"/>
      <c r="AU540" s="5" t="str">
        <f>IFERROR(__xludf.DUMMYFUNCTION("""COMPUTED_VALUE"""),"Fazi")</f>
        <v>Fazi</v>
      </c>
      <c r="AV540" s="5"/>
      <c r="AW540" s="5"/>
      <c r="AX540" s="5"/>
      <c r="AY540" s="5"/>
      <c r="AZ540" s="5"/>
      <c r="BA540" s="5">
        <f>IFERROR(__xludf.DUMMYFUNCTION("""COMPUTED_VALUE"""),5.0)</f>
        <v>5</v>
      </c>
      <c r="BB540" s="5" t="b">
        <f>IFERROR(__xludf.DUMMYFUNCTION("""COMPUTED_VALUE"""),TRUE)</f>
        <v>1</v>
      </c>
      <c r="BC540" s="5" t="str">
        <f>IFERROR(__xludf.DUMMYFUNCTION("""COMPUTED_VALUE"""),"Foxi")</f>
        <v>Foxi</v>
      </c>
      <c r="BD540" s="7" t="str">
        <f>IFERROR(__xludf.DUMMYFUNCTION("""COMPUTED_VALUE"""),"https://gameserver-store-client-area.orbionlimited.com/Home/IntegrationGameLaunch/client-area?moneyType=0&amp;gameName=VeryHot40Booster&amp;platform=desktop&amp;languageCode=eng&amp;currency=EUR")</f>
        <v>https://gameserver-store-client-area.orbionlimited.com/Home/IntegrationGameLaunch/client-area?moneyType=0&amp;gameName=VeryHot40Booster&amp;platform=desktop&amp;languageCode=eng&amp;currency=EUR</v>
      </c>
      <c r="BE540" s="5" t="b">
        <f>IFERROR(__xludf.DUMMYFUNCTION("""COMPUTED_VALUE"""),TRUE)</f>
        <v>1</v>
      </c>
    </row>
    <row r="541">
      <c r="A541" s="5">
        <f>IFERROR(__xludf.DUMMYFUNCTION("""COMPUTED_VALUE"""),574.0)</f>
        <v>574</v>
      </c>
      <c r="B541" s="5">
        <f>IFERROR(__xludf.DUMMYFUNCTION("""COMPUTED_VALUE"""),3015.0)</f>
        <v>3015</v>
      </c>
      <c r="C541" s="5" t="str">
        <f>IFERROR(__xludf.DUMMYFUNCTION("""COMPUTED_VALUE"""),"Fazi")</f>
        <v>Fazi</v>
      </c>
      <c r="D541" s="5" t="str">
        <f>IFERROR(__xludf.DUMMYFUNCTION("""COMPUTED_VALUE"""),"Golden Crown 40 Booster")</f>
        <v>Golden Crown 40 Booster</v>
      </c>
      <c r="E541" s="5" t="str">
        <f>IFERROR(__xludf.DUMMYFUNCTION("""COMPUTED_VALUE"""),"V2")</f>
        <v>V2</v>
      </c>
      <c r="F541" s="5" t="str">
        <f>IFERROR(__xludf.DUMMYFUNCTION("""COMPUTED_VALUE"""),"GoldenCrown40Booster")</f>
        <v>GoldenCrown40Booster</v>
      </c>
      <c r="G541" s="5" t="str">
        <f>IFERROR(__xludf.DUMMYFUNCTION("""COMPUTED_VALUE"""),"Live")</f>
        <v>Live</v>
      </c>
      <c r="H541" s="5"/>
      <c r="I541" s="5" t="str">
        <f>IFERROR(__xludf.DUMMYFUNCTION("""COMPUTED_VALUE"""),"V2")</f>
        <v>V2</v>
      </c>
      <c r="J541" s="5" t="str">
        <f>IFERROR(__xludf.DUMMYFUNCTION("""COMPUTED_VALUE"""),"JSON")</f>
        <v>JSON</v>
      </c>
      <c r="K541" s="5" t="str">
        <f>IFERROR(__xludf.DUMMYFUNCTION("""COMPUTED_VALUE"""),"Slot")</f>
        <v>Slot</v>
      </c>
      <c r="L541" s="5" t="str">
        <f>IFERROR(__xludf.DUMMYFUNCTION("""COMPUTED_VALUE""")," Clone")</f>
        <v> Clone</v>
      </c>
      <c r="M541" s="5" t="str">
        <f>IFERROR(__xludf.DUMMYFUNCTION("""COMPUTED_VALUE"""),"Golden Crown 40")</f>
        <v>Golden Crown 40</v>
      </c>
      <c r="N541" s="5"/>
      <c r="O541" s="5"/>
      <c r="P541" s="12">
        <f>IFERROR(__xludf.DUMMYFUNCTION("""COMPUTED_VALUE"""),17.4)</f>
        <v>17.4</v>
      </c>
      <c r="Q541" s="13">
        <f>IFERROR(__xludf.DUMMYFUNCTION("""COMPUTED_VALUE"""),45839.0)</f>
        <v>45839</v>
      </c>
      <c r="R541" s="13">
        <f>IFERROR(__xludf.DUMMYFUNCTION("""COMPUTED_VALUE"""),45876.0)</f>
        <v>45876</v>
      </c>
      <c r="S541" s="13">
        <f>IFERROR(__xludf.DUMMYFUNCTION("""COMPUTED_VALUE"""),45883.0)</f>
        <v>45883</v>
      </c>
      <c r="T541" s="5" t="b">
        <f>IFERROR(__xludf.DUMMYFUNCTION("""COMPUTED_VALUE"""),TRUE)</f>
        <v>1</v>
      </c>
      <c r="U541" s="5" t="str">
        <f>IFERROR(__xludf.DUMMYFUNCTION("""COMPUTED_VALUE"""),"5x3")</f>
        <v>5x3</v>
      </c>
      <c r="V541" s="5">
        <f>IFERROR(__xludf.DUMMYFUNCTION("""COMPUTED_VALUE"""),40.0)</f>
        <v>40</v>
      </c>
      <c r="W541" s="5">
        <f>IFERROR(__xludf.DUMMYFUNCTION("""COMPUTED_VALUE"""),40.0)</f>
        <v>40</v>
      </c>
      <c r="X541" s="5">
        <f>IFERROR(__xludf.DUMMYFUNCTION("""COMPUTED_VALUE"""),95.962)</f>
        <v>95.962</v>
      </c>
      <c r="Y541" s="5" t="str">
        <f>IFERROR(__xludf.DUMMYFUNCTION("""COMPUTED_VALUE"""),"Medium")</f>
        <v>Medium</v>
      </c>
      <c r="Z541" s="5">
        <f>IFERROR(__xludf.DUMMYFUNCTION("""COMPUTED_VALUE"""),18.35)</f>
        <v>18.35</v>
      </c>
      <c r="AA541" s="5">
        <f>IFERROR(__xludf.DUMMYFUNCTION("""COMPUTED_VALUE"""),1420.25)</f>
        <v>1420.25</v>
      </c>
      <c r="AB541" s="5"/>
      <c r="AC541" s="5" t="str">
        <f>IFERROR(__xludf.DUMMYFUNCTION("""COMPUTED_VALUE"""),"Expanding Wild, Scatter, Buy Feature")</f>
        <v>Expanding Wild, Scatter, Buy Feature</v>
      </c>
      <c r="AD541" s="5" t="str">
        <f>IFERROR(__xludf.DUMMYFUNCTION("""COMPUTED_VALUE"""),"0.4/50")</f>
        <v>0.4/50</v>
      </c>
      <c r="AE541" s="5"/>
      <c r="AF541" s="5"/>
      <c r="AG541" s="8">
        <f>IFERROR(__xludf.DUMMYFUNCTION("""COMPUTED_VALUE"""),46176.49613425926)</f>
        <v>46176.49613</v>
      </c>
      <c r="AH541" s="5" t="str">
        <f>IFERROR(__xludf.DUMMYFUNCTION("""COMPUTED_VALUE"""),"aleksandar.trajkovic@fazi.rs")</f>
        <v>aleksandar.trajkovic@fazi.rs</v>
      </c>
      <c r="AI541" s="13">
        <f>IFERROR(__xludf.DUMMYFUNCTION("""COMPUTED_VALUE"""),45870.0)</f>
        <v>45870</v>
      </c>
      <c r="AJ541" s="5" t="str">
        <f>IFERROR(__xludf.DUMMYFUNCTION("""COMPUTED_VALUE"""),"Betb2b - 1xbet ")</f>
        <v>Betb2b - 1xbet </v>
      </c>
      <c r="AK541" s="5">
        <f>IFERROR(__xludf.DUMMYFUNCTION("""COMPUTED_VALUE"""),40.0)</f>
        <v>40</v>
      </c>
      <c r="AL541" s="5" t="str">
        <f>IFERROR(__xludf.DUMMYFUNCTION("""COMPUTED_VALUE"""),"Yes")</f>
        <v>Yes</v>
      </c>
      <c r="AM541" s="5"/>
      <c r="AN541" s="7" t="str">
        <f>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541" s="5" t="str">
        <f>IFERROR(__xludf.DUMMYFUNCTION("""COMPUTED_VALUE"""),"Yes")</f>
        <v>Yes</v>
      </c>
      <c r="AP541" s="5" t="str">
        <f>IFERROR(__xludf.DUMMYFUNCTION("""COMPUTED_VALUE"""),"No")</f>
        <v>No</v>
      </c>
      <c r="AQ541" s="5" t="b">
        <f>IFERROR(__xludf.DUMMYFUNCTION("""COMPUTED_VALUE"""),TRUE)</f>
        <v>1</v>
      </c>
      <c r="AR541" s="5"/>
      <c r="AS541" s="5" t="str">
        <f>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AT541" s="5"/>
      <c r="AU541" s="5" t="str">
        <f>IFERROR(__xludf.DUMMYFUNCTION("""COMPUTED_VALUE"""),"Fazi")</f>
        <v>Fazi</v>
      </c>
      <c r="AV541" s="5"/>
      <c r="AW541" s="5"/>
      <c r="AX541" s="5"/>
      <c r="AY541" s="5"/>
      <c r="AZ541" s="5"/>
      <c r="BA541" s="5">
        <f>IFERROR(__xludf.DUMMYFUNCTION("""COMPUTED_VALUE"""),5.0)</f>
        <v>5</v>
      </c>
      <c r="BB541" s="5"/>
      <c r="BC541" s="5" t="str">
        <f>IFERROR(__xludf.DUMMYFUNCTION("""COMPUTED_VALUE"""),"Foxi")</f>
        <v>Foxi</v>
      </c>
      <c r="BD541" s="7" t="str">
        <f>IFERROR(__xludf.DUMMYFUNCTION("""COMPUTED_VALUE"""),"https://gameserver-store-client-area.orbionlimited.com/Home/IntegrationGameLaunch/client-area?moneyType=0&amp;gameName=GoldenCrown40Booster&amp;platform=desktop&amp;languageCode=eng&amp;currency=EUR")</f>
        <v>https://gameserver-store-client-area.orbionlimited.com/Home/IntegrationGameLaunch/client-area?moneyType=0&amp;gameName=GoldenCrown40Booster&amp;platform=desktop&amp;languageCode=eng&amp;currency=EUR</v>
      </c>
      <c r="BE541" s="5" t="b">
        <f>IFERROR(__xludf.DUMMYFUNCTION("""COMPUTED_VALUE"""),TRUE)</f>
        <v>1</v>
      </c>
    </row>
    <row r="542">
      <c r="A542" s="5">
        <f>IFERROR(__xludf.DUMMYFUNCTION("""COMPUTED_VALUE"""),575.0)</f>
        <v>575</v>
      </c>
      <c r="B542" s="5">
        <f>IFERROR(__xludf.DUMMYFUNCTION("""COMPUTED_VALUE"""),3020.0)</f>
        <v>3020</v>
      </c>
      <c r="C542" s="5" t="str">
        <f>IFERROR(__xludf.DUMMYFUNCTION("""COMPUTED_VALUE"""),"Fazi")</f>
        <v>Fazi</v>
      </c>
      <c r="D542" s="5" t="str">
        <f>IFERROR(__xludf.DUMMYFUNCTION("""COMPUTED_VALUE"""),"Brilliant Heart Booster")</f>
        <v>Brilliant Heart Booster</v>
      </c>
      <c r="E542" s="5" t="str">
        <f>IFERROR(__xludf.DUMMYFUNCTION("""COMPUTED_VALUE"""),"V2")</f>
        <v>V2</v>
      </c>
      <c r="F542" s="5" t="str">
        <f>IFERROR(__xludf.DUMMYFUNCTION("""COMPUTED_VALUE"""),"BrilliantHeartBooster")</f>
        <v>BrilliantHeartBooster</v>
      </c>
      <c r="G542" s="5" t="str">
        <f>IFERROR(__xludf.DUMMYFUNCTION("""COMPUTED_VALUE"""),"Live")</f>
        <v>Live</v>
      </c>
      <c r="H542" s="5"/>
      <c r="I542" s="5" t="str">
        <f>IFERROR(__xludf.DUMMYFUNCTION("""COMPUTED_VALUE"""),"V2")</f>
        <v>V2</v>
      </c>
      <c r="J542" s="5" t="str">
        <f>IFERROR(__xludf.DUMMYFUNCTION("""COMPUTED_VALUE"""),"JSON")</f>
        <v>JSON</v>
      </c>
      <c r="K542" s="5" t="str">
        <f>IFERROR(__xludf.DUMMYFUNCTION("""COMPUTED_VALUE"""),"Slot")</f>
        <v>Slot</v>
      </c>
      <c r="L542" s="5" t="str">
        <f>IFERROR(__xludf.DUMMYFUNCTION("""COMPUTED_VALUE""")," Clone")</f>
        <v> Clone</v>
      </c>
      <c r="M542" s="5" t="str">
        <f>IFERROR(__xludf.DUMMYFUNCTION("""COMPUTED_VALUE"""),"Brilliant Heart")</f>
        <v>Brilliant Heart</v>
      </c>
      <c r="N542" s="5"/>
      <c r="O542" s="5"/>
      <c r="P542" s="12">
        <f>IFERROR(__xludf.DUMMYFUNCTION("""COMPUTED_VALUE"""),25.3)</f>
        <v>25.3</v>
      </c>
      <c r="Q542" s="13">
        <f>IFERROR(__xludf.DUMMYFUNCTION("""COMPUTED_VALUE"""),45839.0)</f>
        <v>45839</v>
      </c>
      <c r="R542" s="13">
        <f>IFERROR(__xludf.DUMMYFUNCTION("""COMPUTED_VALUE"""),45897.0)</f>
        <v>45897</v>
      </c>
      <c r="S542" s="13">
        <f>IFERROR(__xludf.DUMMYFUNCTION("""COMPUTED_VALUE"""),45904.0)</f>
        <v>45904</v>
      </c>
      <c r="T542" s="5" t="b">
        <f>IFERROR(__xludf.DUMMYFUNCTION("""COMPUTED_VALUE"""),TRUE)</f>
        <v>1</v>
      </c>
      <c r="U542" s="5" t="str">
        <f>IFERROR(__xludf.DUMMYFUNCTION("""COMPUTED_VALUE"""),"5x4")</f>
        <v>5x4</v>
      </c>
      <c r="V542" s="5">
        <f>IFERROR(__xludf.DUMMYFUNCTION("""COMPUTED_VALUE"""),40.0)</f>
        <v>40</v>
      </c>
      <c r="W542" s="5">
        <f>IFERROR(__xludf.DUMMYFUNCTION("""COMPUTED_VALUE"""),40.0)</f>
        <v>40</v>
      </c>
      <c r="X542" s="5">
        <f>IFERROR(__xludf.DUMMYFUNCTION("""COMPUTED_VALUE"""),96.483)</f>
        <v>96.483</v>
      </c>
      <c r="Y542" s="5" t="str">
        <f>IFERROR(__xludf.DUMMYFUNCTION("""COMPUTED_VALUE"""),"High")</f>
        <v>High</v>
      </c>
      <c r="Z542" s="5">
        <f>IFERROR(__xludf.DUMMYFUNCTION("""COMPUTED_VALUE"""),12.5)</f>
        <v>12.5</v>
      </c>
      <c r="AA542" s="5">
        <f>IFERROR(__xludf.DUMMYFUNCTION("""COMPUTED_VALUE"""),5000.0)</f>
        <v>5000</v>
      </c>
      <c r="AB542" s="5"/>
      <c r="AC542" s="5" t="str">
        <f>IFERROR(__xludf.DUMMYFUNCTION("""COMPUTED_VALUE"""),"Buy Feature")</f>
        <v>Buy Feature</v>
      </c>
      <c r="AD542" s="5" t="str">
        <f>IFERROR(__xludf.DUMMYFUNCTION("""COMPUTED_VALUE"""),"0.4/60")</f>
        <v>0.4/60</v>
      </c>
      <c r="AE542" s="5"/>
      <c r="AF542" s="5"/>
      <c r="AG542" s="8">
        <f>IFERROR(__xludf.DUMMYFUNCTION("""COMPUTED_VALUE"""),46176.500659722224)</f>
        <v>46176.50066</v>
      </c>
      <c r="AH542" s="5" t="str">
        <f>IFERROR(__xludf.DUMMYFUNCTION("""COMPUTED_VALUE"""),"aleksandar.trajkovic@fazi.rs")</f>
        <v>aleksandar.trajkovic@fazi.rs</v>
      </c>
      <c r="AI542" s="13">
        <f>IFERROR(__xludf.DUMMYFUNCTION("""COMPUTED_VALUE"""),45870.0)</f>
        <v>45870</v>
      </c>
      <c r="AJ542" s="5" t="str">
        <f>IFERROR(__xludf.DUMMYFUNCTION("""COMPUTED_VALUE"""),"4RABET - Pre-release je 01. avgusta
Casino770 (Integracija Reevo) - 6. avgusta 
Totogaming.am (Digitain) - 1. avgust")</f>
        <v>4RABET - Pre-release je 01. avgusta
Casino770 (Integracija Reevo) - 6. avgusta 
Totogaming.am (Digitain) - 1. avgust</v>
      </c>
      <c r="AK542" s="5">
        <f>IFERROR(__xludf.DUMMYFUNCTION("""COMPUTED_VALUE"""),40.0)</f>
        <v>40</v>
      </c>
      <c r="AL542" s="5" t="str">
        <f>IFERROR(__xludf.DUMMYFUNCTION("""COMPUTED_VALUE"""),"Yes")</f>
        <v>Yes</v>
      </c>
      <c r="AM542" s="5"/>
      <c r="AN542" s="7" t="str">
        <f>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542" s="5" t="str">
        <f>IFERROR(__xludf.DUMMYFUNCTION("""COMPUTED_VALUE"""),"Yes")</f>
        <v>Yes</v>
      </c>
      <c r="AP542" s="5" t="str">
        <f>IFERROR(__xludf.DUMMYFUNCTION("""COMPUTED_VALUE"""),"No")</f>
        <v>No</v>
      </c>
      <c r="AQ542" s="5" t="b">
        <f>IFERROR(__xludf.DUMMYFUNCTION("""COMPUTED_VALUE"""),TRUE)</f>
        <v>1</v>
      </c>
      <c r="AR542" s="5"/>
      <c r="AS542" s="5" t="str">
        <f>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AT542" s="5"/>
      <c r="AU542" s="5" t="str">
        <f>IFERROR(__xludf.DUMMYFUNCTION("""COMPUTED_VALUE"""),"Fazi")</f>
        <v>Fazi</v>
      </c>
      <c r="AV542" s="5"/>
      <c r="AW542" s="5"/>
      <c r="AX542" s="5"/>
      <c r="AY542" s="5"/>
      <c r="AZ542" s="5"/>
      <c r="BA542" s="5">
        <f>IFERROR(__xludf.DUMMYFUNCTION("""COMPUTED_VALUE"""),7.0)</f>
        <v>7</v>
      </c>
      <c r="BB542" s="5"/>
      <c r="BC542" s="5" t="str">
        <f>IFERROR(__xludf.DUMMYFUNCTION("""COMPUTED_VALUE"""),"Foxi")</f>
        <v>Foxi</v>
      </c>
      <c r="BD542" s="7" t="str">
        <f>IFERROR(__xludf.DUMMYFUNCTION("""COMPUTED_VALUE"""),"https://gameserver-store-client-area.orbionlimited.com/Home/IntegrationGameLaunch/client-area?moneyType=0&amp;gameName=BrilliantHeartBooster&amp;platform=desktop&amp;languageCode=eng&amp;currency=EUR")</f>
        <v>https://gameserver-store-client-area.orbionlimited.com/Home/IntegrationGameLaunch/client-area?moneyType=0&amp;gameName=BrilliantHeartBooster&amp;platform=desktop&amp;languageCode=eng&amp;currency=EUR</v>
      </c>
      <c r="BE542" s="5" t="b">
        <f>IFERROR(__xludf.DUMMYFUNCTION("""COMPUTED_VALUE"""),TRUE)</f>
        <v>1</v>
      </c>
    </row>
    <row r="543">
      <c r="A543" s="5">
        <f>IFERROR(__xludf.DUMMYFUNCTION("""COMPUTED_VALUE"""),576.0)</f>
        <v>576</v>
      </c>
      <c r="B543" s="5">
        <f>IFERROR(__xludf.DUMMYFUNCTION("""COMPUTED_VALUE"""),3018.0)</f>
        <v>3018</v>
      </c>
      <c r="C543" s="5" t="str">
        <f>IFERROR(__xludf.DUMMYFUNCTION("""COMPUTED_VALUE"""),"Fazi")</f>
        <v>Fazi</v>
      </c>
      <c r="D543" s="5" t="str">
        <f>IFERROR(__xludf.DUMMYFUNCTION("""COMPUTED_VALUE"""),"Epic Clover 100 Booster")</f>
        <v>Epic Clover 100 Booster</v>
      </c>
      <c r="E543" s="5" t="str">
        <f>IFERROR(__xludf.DUMMYFUNCTION("""COMPUTED_VALUE"""),"V2")</f>
        <v>V2</v>
      </c>
      <c r="F543" s="5" t="str">
        <f>IFERROR(__xludf.DUMMYFUNCTION("""COMPUTED_VALUE"""),"EpicClover100Booster")</f>
        <v>EpicClover100Booster</v>
      </c>
      <c r="G543" s="5" t="str">
        <f>IFERROR(__xludf.DUMMYFUNCTION("""COMPUTED_VALUE"""),"Live")</f>
        <v>Live</v>
      </c>
      <c r="H543" s="5"/>
      <c r="I543" s="5" t="str">
        <f>IFERROR(__xludf.DUMMYFUNCTION("""COMPUTED_VALUE"""),"V2")</f>
        <v>V2</v>
      </c>
      <c r="J543" s="5" t="str">
        <f>IFERROR(__xludf.DUMMYFUNCTION("""COMPUTED_VALUE"""),"JSON")</f>
        <v>JSON</v>
      </c>
      <c r="K543" s="5" t="str">
        <f>IFERROR(__xludf.DUMMYFUNCTION("""COMPUTED_VALUE"""),"Slot")</f>
        <v>Slot</v>
      </c>
      <c r="L543" s="5" t="str">
        <f>IFERROR(__xludf.DUMMYFUNCTION("""COMPUTED_VALUE""")," Clone")</f>
        <v> Clone</v>
      </c>
      <c r="M543" s="5" t="str">
        <f>IFERROR(__xludf.DUMMYFUNCTION("""COMPUTED_VALUE"""),"Epic Clover 100")</f>
        <v>Epic Clover 100</v>
      </c>
      <c r="N543" s="5"/>
      <c r="O543" s="5"/>
      <c r="P543" s="12">
        <f>IFERROR(__xludf.DUMMYFUNCTION("""COMPUTED_VALUE"""),25.3)</f>
        <v>25.3</v>
      </c>
      <c r="Q543" s="13">
        <f>IFERROR(__xludf.DUMMYFUNCTION("""COMPUTED_VALUE"""),45839.0)</f>
        <v>45839</v>
      </c>
      <c r="R543" s="13">
        <f>IFERROR(__xludf.DUMMYFUNCTION("""COMPUTED_VALUE"""),45869.0)</f>
        <v>45869</v>
      </c>
      <c r="S543" s="13">
        <f>IFERROR(__xludf.DUMMYFUNCTION("""COMPUTED_VALUE"""),45876.0)</f>
        <v>45876</v>
      </c>
      <c r="T543" s="5" t="b">
        <f>IFERROR(__xludf.DUMMYFUNCTION("""COMPUTED_VALUE"""),TRUE)</f>
        <v>1</v>
      </c>
      <c r="U543" s="5" t="str">
        <f>IFERROR(__xludf.DUMMYFUNCTION("""COMPUTED_VALUE"""),"5x4")</f>
        <v>5x4</v>
      </c>
      <c r="V543" s="5">
        <f>IFERROR(__xludf.DUMMYFUNCTION("""COMPUTED_VALUE"""),100.0)</f>
        <v>100</v>
      </c>
      <c r="W543" s="5">
        <f>IFERROR(__xludf.DUMMYFUNCTION("""COMPUTED_VALUE"""),100.0)</f>
        <v>100</v>
      </c>
      <c r="X543" s="5">
        <f>IFERROR(__xludf.DUMMYFUNCTION("""COMPUTED_VALUE"""),96.502)</f>
        <v>96.502</v>
      </c>
      <c r="Y543" s="5" t="str">
        <f>IFERROR(__xludf.DUMMYFUNCTION("""COMPUTED_VALUE"""),"Medium")</f>
        <v>Medium</v>
      </c>
      <c r="Z543" s="5">
        <f>IFERROR(__xludf.DUMMYFUNCTION("""COMPUTED_VALUE"""),13.309)</f>
        <v>13.309</v>
      </c>
      <c r="AA543" s="5">
        <f>IFERROR(__xludf.DUMMYFUNCTION("""COMPUTED_VALUE"""),3000.0)</f>
        <v>3000</v>
      </c>
      <c r="AB543" s="5"/>
      <c r="AC543" s="5" t="str">
        <f>IFERROR(__xludf.DUMMYFUNCTION("""COMPUTED_VALUE"""),"Expanding Wild, Scatter")</f>
        <v>Expanding Wild, Scatter</v>
      </c>
      <c r="AD543" s="5" t="str">
        <f>IFERROR(__xludf.DUMMYFUNCTION("""COMPUTED_VALUE"""),"1/100")</f>
        <v>1/100</v>
      </c>
      <c r="AE543" s="5"/>
      <c r="AF543" s="5"/>
      <c r="AG543" s="8">
        <f>IFERROR(__xludf.DUMMYFUNCTION("""COMPUTED_VALUE"""),46176.500810185185)</f>
        <v>46176.50081</v>
      </c>
      <c r="AH543" s="5" t="str">
        <f>IFERROR(__xludf.DUMMYFUNCTION("""COMPUTED_VALUE"""),"aleksandar.trajkovic@fazi.rs")</f>
        <v>aleksandar.trajkovic@fazi.rs</v>
      </c>
      <c r="AI543" s="13">
        <f>IFERROR(__xludf.DUMMYFUNCTION("""COMPUTED_VALUE"""),45846.0)</f>
        <v>45846</v>
      </c>
      <c r="AJ543" s="5" t="str">
        <f>IFERROR(__xludf.DUMMYFUNCTION("""COMPUTED_VALUE"""),"1. Volcano Mne
2. Hub 88")</f>
        <v>1. Volcano Mne
2. Hub 88</v>
      </c>
      <c r="AK543" s="5">
        <f>IFERROR(__xludf.DUMMYFUNCTION("""COMPUTED_VALUE"""),100.0)</f>
        <v>100</v>
      </c>
      <c r="AL543" s="5" t="str">
        <f>IFERROR(__xludf.DUMMYFUNCTION("""COMPUTED_VALUE"""),"Yes")</f>
        <v>Yes</v>
      </c>
      <c r="AM543" s="5"/>
      <c r="AN543" s="7" t="str">
        <f>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AO543" s="5" t="str">
        <f>IFERROR(__xludf.DUMMYFUNCTION("""COMPUTED_VALUE"""),"Yes")</f>
        <v>Yes</v>
      </c>
      <c r="AP543" s="5" t="str">
        <f>IFERROR(__xludf.DUMMYFUNCTION("""COMPUTED_VALUE"""),"No")</f>
        <v>No</v>
      </c>
      <c r="AQ543" s="5" t="b">
        <f>IFERROR(__xludf.DUMMYFUNCTION("""COMPUTED_VALUE"""),TRUE)</f>
        <v>1</v>
      </c>
      <c r="AR543" s="5"/>
      <c r="AS543" s="5" t="str">
        <f>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AT543" s="5"/>
      <c r="AU543" s="5" t="str">
        <f>IFERROR(__xludf.DUMMYFUNCTION("""COMPUTED_VALUE"""),"Fazi")</f>
        <v>Fazi</v>
      </c>
      <c r="AV543" s="5"/>
      <c r="AW543" s="5"/>
      <c r="AX543" s="5"/>
      <c r="AY543" s="5"/>
      <c r="AZ543" s="5"/>
      <c r="BA543" s="5">
        <f>IFERROR(__xludf.DUMMYFUNCTION("""COMPUTED_VALUE"""),7.0)</f>
        <v>7</v>
      </c>
      <c r="BB543" s="5"/>
      <c r="BC543" s="5" t="str">
        <f>IFERROR(__xludf.DUMMYFUNCTION("""COMPUTED_VALUE"""),"Foxi")</f>
        <v>Foxi</v>
      </c>
      <c r="BD543" s="7" t="str">
        <f>IFERROR(__xludf.DUMMYFUNCTION("""COMPUTED_VALUE"""),"https://gameserver-store-client-area.orbionlimited.com/Home/IntegrationGameLaunch/client-area?moneyType=0&amp;gameName=EpicClover100Booster&amp;platform=desktop&amp;languageCode=eng&amp;currency=EUR")</f>
        <v>https://gameserver-store-client-area.orbionlimited.com/Home/IntegrationGameLaunch/client-area?moneyType=0&amp;gameName=EpicClover100Booster&amp;platform=desktop&amp;languageCode=eng&amp;currency=EUR</v>
      </c>
      <c r="BE543" s="5" t="b">
        <f>IFERROR(__xludf.DUMMYFUNCTION("""COMPUTED_VALUE"""),TRUE)</f>
        <v>1</v>
      </c>
    </row>
    <row r="544">
      <c r="A544" s="5">
        <f>IFERROR(__xludf.DUMMYFUNCTION("""COMPUTED_VALUE"""),578.0)</f>
        <v>578</v>
      </c>
      <c r="B544" s="5">
        <f>IFERROR(__xludf.DUMMYFUNCTION("""COMPUTED_VALUE"""),4019.0)</f>
        <v>4019</v>
      </c>
      <c r="C544" s="5" t="str">
        <f>IFERROR(__xludf.DUMMYFUNCTION("""COMPUTED_VALUE"""),"Fazi")</f>
        <v>Fazi</v>
      </c>
      <c r="D544" s="5" t="str">
        <f>IFERROR(__xludf.DUMMYFUNCTION("""COMPUTED_VALUE"""),"AdmiralBet 40 Free Spins")</f>
        <v>AdmiralBet 40 Free Spins</v>
      </c>
      <c r="E544" s="5" t="str">
        <f>IFERROR(__xludf.DUMMYFUNCTION("""COMPUTED_VALUE"""),"Sertifikacioni")</f>
        <v>Sertifikacioni</v>
      </c>
      <c r="F544" s="5" t="str">
        <f>IFERROR(__xludf.DUMMYFUNCTION("""COMPUTED_VALUE"""),"AdmiralBetWildHot40FreeSpins")</f>
        <v>AdmiralBetWildHot40FreeSpins</v>
      </c>
      <c r="G544" s="5" t="str">
        <f>IFERROR(__xludf.DUMMYFUNCTION("""COMPUTED_VALUE"""),"Live")</f>
        <v>Live</v>
      </c>
      <c r="H544" s="5" t="str">
        <f>IFERROR(__xludf.DUMMYFUNCTION("""COMPUTED_VALUE"""),"AmiralBet brendirana igra")</f>
        <v>AmiralBet brendirana igra</v>
      </c>
      <c r="I544" s="5" t="str">
        <f>IFERROR(__xludf.DUMMYFUNCTION("""COMPUTED_VALUE"""),"V2")</f>
        <v>V2</v>
      </c>
      <c r="J544" s="5" t="str">
        <f>IFERROR(__xludf.DUMMYFUNCTION("""COMPUTED_VALUE"""),"JSON")</f>
        <v>JSON</v>
      </c>
      <c r="K544" s="5" t="str">
        <f>IFERROR(__xludf.DUMMYFUNCTION("""COMPUTED_VALUE"""),"Slot")</f>
        <v>Slot</v>
      </c>
      <c r="L544" s="5" t="str">
        <f>IFERROR(__xludf.DUMMYFUNCTION("""COMPUTED_VALUE""")," Clone")</f>
        <v> Clone</v>
      </c>
      <c r="M544" s="5" t="str">
        <f>IFERROR(__xludf.DUMMYFUNCTION("""COMPUTED_VALUE"""),"Wild Hot 40 Free Spins")</f>
        <v>Wild Hot 40 Free Spins</v>
      </c>
      <c r="N544" s="5"/>
      <c r="O544" s="5"/>
      <c r="P544" s="12"/>
      <c r="Q544" s="13">
        <f>IFERROR(__xludf.DUMMYFUNCTION("""COMPUTED_VALUE"""),45845.0)</f>
        <v>45845</v>
      </c>
      <c r="R544" s="13"/>
      <c r="S544" s="13"/>
      <c r="T544" s="5"/>
      <c r="U544" s="5" t="str">
        <f>IFERROR(__xludf.DUMMYFUNCTION("""COMPUTED_VALUE"""),"5x4")</f>
        <v>5x4</v>
      </c>
      <c r="V544" s="5">
        <f>IFERROR(__xludf.DUMMYFUNCTION("""COMPUTED_VALUE"""),40.0)</f>
        <v>40</v>
      </c>
      <c r="W544" s="5">
        <f>IFERROR(__xludf.DUMMYFUNCTION("""COMPUTED_VALUE"""),40.0)</f>
        <v>40</v>
      </c>
      <c r="X544" s="5">
        <f>IFERROR(__xludf.DUMMYFUNCTION("""COMPUTED_VALUE"""),96.024)</f>
        <v>96.024</v>
      </c>
      <c r="Y544" s="5" t="str">
        <f>IFERROR(__xludf.DUMMYFUNCTION("""COMPUTED_VALUE"""),"Low")</f>
        <v>Low</v>
      </c>
      <c r="Z544" s="5">
        <f>IFERROR(__xludf.DUMMYFUNCTION("""COMPUTED_VALUE"""),17.23)</f>
        <v>17.23</v>
      </c>
      <c r="AA544" s="5">
        <f>IFERROR(__xludf.DUMMYFUNCTION("""COMPUTED_VALUE"""),1046.0)</f>
        <v>1046</v>
      </c>
      <c r="AB544" s="5"/>
      <c r="AC544" s="5"/>
      <c r="AD544" s="5"/>
      <c r="AE544" s="5"/>
      <c r="AF544" s="5"/>
      <c r="AG544" s="8">
        <f>IFERROR(__xludf.DUMMYFUNCTION("""COMPUTED_VALUE"""),46160.41798611111)</f>
        <v>46160.41799</v>
      </c>
      <c r="AH544" s="5" t="str">
        <f>IFERROR(__xludf.DUMMYFUNCTION("""COMPUTED_VALUE"""),"danilo.subic@fazi.rs")</f>
        <v>danilo.subic@fazi.rs</v>
      </c>
      <c r="AI544" s="13"/>
      <c r="AJ544" s="5"/>
      <c r="AK544" s="5">
        <f>IFERROR(__xludf.DUMMYFUNCTION("""COMPUTED_VALUE"""),40.0)</f>
        <v>40</v>
      </c>
      <c r="AL544" s="5" t="str">
        <f>IFERROR(__xludf.DUMMYFUNCTION("""COMPUTED_VALUE"""),"Yes")</f>
        <v>Yes</v>
      </c>
      <c r="AM544" s="5"/>
      <c r="AN544" s="5"/>
      <c r="AO544" s="5"/>
      <c r="AP544" s="5"/>
      <c r="AQ544" s="5"/>
      <c r="AR544" s="5" t="b">
        <f>IFERROR(__xludf.DUMMYFUNCTION("""COMPUTED_VALUE"""),TRUE)</f>
        <v>1</v>
      </c>
      <c r="AS544" s="5"/>
      <c r="AT544" s="5"/>
      <c r="AU544" s="5" t="str">
        <f>IFERROR(__xludf.DUMMYFUNCTION("""COMPUTED_VALUE"""),"Fazi")</f>
        <v>Fazi</v>
      </c>
      <c r="AV544" s="5"/>
      <c r="AW544" s="5"/>
      <c r="AX544" s="5"/>
      <c r="AY544" s="5"/>
      <c r="AZ544" s="5"/>
      <c r="BA544" s="5"/>
      <c r="BB544" s="5"/>
      <c r="BC544" s="5" t="str">
        <f>IFERROR(__xludf.DUMMYFUNCTION("""COMPUTED_VALUE"""),"Foxi")</f>
        <v>Foxi</v>
      </c>
      <c r="BD544" s="5" t="str">
        <f>IFERROR(__xludf.DUMMYFUNCTION("""COMPUTED_VALUE"""),"")</f>
        <v/>
      </c>
      <c r="BE544" s="5"/>
    </row>
    <row r="545">
      <c r="A545" s="5">
        <f>IFERROR(__xludf.DUMMYFUNCTION("""COMPUTED_VALUE"""),579.0)</f>
        <v>579</v>
      </c>
      <c r="B545" s="5">
        <f>IFERROR(__xludf.DUMMYFUNCTION("""COMPUTED_VALUE"""),1008.0)</f>
        <v>1008</v>
      </c>
      <c r="C545" s="5" t="str">
        <f>IFERROR(__xludf.DUMMYFUNCTION("""COMPUTED_VALUE"""),"Fazi")</f>
        <v>Fazi</v>
      </c>
      <c r="D545" s="5" t="str">
        <f>IFERROR(__xludf.DUMMYFUNCTION("""COMPUTED_VALUE"""),"Coin Splash Extreme ")</f>
        <v>Coin Splash Extreme </v>
      </c>
      <c r="E545" s="5" t="str">
        <f>IFERROR(__xludf.DUMMYFUNCTION("""COMPUTED_VALUE"""),"V4-1")</f>
        <v>V4-1</v>
      </c>
      <c r="F545" s="5" t="str">
        <f>IFERROR(__xludf.DUMMYFUNCTION("""COMPUTED_VALUE"""),"CoinSplashExtreme")</f>
        <v>CoinSplashExtreme</v>
      </c>
      <c r="G545" s="5" t="str">
        <f>IFERROR(__xludf.DUMMYFUNCTION("""COMPUTED_VALUE"""),"Live")</f>
        <v>Live</v>
      </c>
      <c r="H545" s="5"/>
      <c r="I545" s="5" t="str">
        <f>IFERROR(__xludf.DUMMYFUNCTION("""COMPUTED_VALUE"""),"V4")</f>
        <v>V4</v>
      </c>
      <c r="J545" s="5" t="str">
        <f>IFERROR(__xludf.DUMMYFUNCTION("""COMPUTED_VALUE"""),"JSON")</f>
        <v>JSON</v>
      </c>
      <c r="K545" s="5" t="str">
        <f>IFERROR(__xludf.DUMMYFUNCTION("""COMPUTED_VALUE"""),"Slot")</f>
        <v>Slot</v>
      </c>
      <c r="L545" s="5" t="str">
        <f>IFERROR(__xludf.DUMMYFUNCTION("""COMPUTED_VALUE""")," Reskin")</f>
        <v> Reskin</v>
      </c>
      <c r="M545" s="5" t="str">
        <f>IFERROR(__xludf.DUMMYFUNCTION("""COMPUTED_VALUE"""),"Coin Splash")</f>
        <v>Coin Splash</v>
      </c>
      <c r="N545" s="7" t="str">
        <f>IFERROR(__xludf.DUMMYFUNCTION("""COMPUTED_VALUE"""),"https://docs.google.com/document/d/1z_oBmRrusRG8QoBsKB7r1hO9I9nEW2i3/edit?usp=drive_link&amp;ouid=114298052477200652286&amp;rtpof=true&amp;sd=true")</f>
        <v>https://docs.google.com/document/d/1z_oBmRrusRG8QoBsKB7r1hO9I9nEW2i3/edit?usp=drive_link&amp;ouid=114298052477200652286&amp;rtpof=true&amp;sd=true</v>
      </c>
      <c r="O545" s="7" t="str">
        <f>IFERROR(__xludf.DUMMYFUNCTION("""COMPUTED_VALUE"""),"https://docs.google.com/document/d/1rFw9hKKp68GvTh-Nl3jKCE82IHC5AboA/edit?usp=drive_link&amp;ouid=114298052477200652286&amp;rtpof=true&amp;sd=true")</f>
        <v>https://docs.google.com/document/d/1rFw9hKKp68GvTh-Nl3jKCE82IHC5AboA/edit?usp=drive_link&amp;ouid=114298052477200652286&amp;rtpof=true&amp;sd=true</v>
      </c>
      <c r="P545" s="12">
        <f>IFERROR(__xludf.DUMMYFUNCTION("""COMPUTED_VALUE"""),16.2)</f>
        <v>16.2</v>
      </c>
      <c r="Q545" s="13">
        <f>IFERROR(__xludf.DUMMYFUNCTION("""COMPUTED_VALUE"""),45929.0)</f>
        <v>45929</v>
      </c>
      <c r="R545" s="13">
        <f>IFERROR(__xludf.DUMMYFUNCTION("""COMPUTED_VALUE"""),45932.0)</f>
        <v>45932</v>
      </c>
      <c r="S545" s="13">
        <f>IFERROR(__xludf.DUMMYFUNCTION("""COMPUTED_VALUE"""),45939.0)</f>
        <v>45939</v>
      </c>
      <c r="T545" s="5" t="b">
        <f>IFERROR(__xludf.DUMMYFUNCTION("""COMPUTED_VALUE"""),TRUE)</f>
        <v>1</v>
      </c>
      <c r="U545" s="5" t="str">
        <f>IFERROR(__xludf.DUMMYFUNCTION("""COMPUTED_VALUE"""),"5x4")</f>
        <v>5x4</v>
      </c>
      <c r="V545" s="5">
        <f>IFERROR(__xludf.DUMMYFUNCTION("""COMPUTED_VALUE"""),40.0)</f>
        <v>40</v>
      </c>
      <c r="W545" s="5">
        <f>IFERROR(__xludf.DUMMYFUNCTION("""COMPUTED_VALUE"""),40.0)</f>
        <v>40</v>
      </c>
      <c r="X545" s="5">
        <f>IFERROR(__xludf.DUMMYFUNCTION("""COMPUTED_VALUE"""),96.558)</f>
        <v>96.558</v>
      </c>
      <c r="Y545" s="5" t="str">
        <f>IFERROR(__xludf.DUMMYFUNCTION("""COMPUTED_VALUE"""),"High")</f>
        <v>High</v>
      </c>
      <c r="Z545" s="5">
        <f>IFERROR(__xludf.DUMMYFUNCTION("""COMPUTED_VALUE"""),9.965)</f>
        <v>9.965</v>
      </c>
      <c r="AA545" s="5">
        <f>IFERROR(__xludf.DUMMYFUNCTION("""COMPUTED_VALUE"""),2000.0)</f>
        <v>2000</v>
      </c>
      <c r="AB545" s="5">
        <f>IFERROR(__xludf.DUMMYFUNCTION("""COMPUTED_VALUE"""),9.965)</f>
        <v>9.965</v>
      </c>
      <c r="AC545" s="5" t="str">
        <f>IFERROR(__xludf.DUMMYFUNCTION("""COMPUTED_VALUE"""),"Exploding Wild")</f>
        <v>Exploding Wild</v>
      </c>
      <c r="AD545" s="5" t="str">
        <f>IFERROR(__xludf.DUMMYFUNCTION("""COMPUTED_VALUE"""),"0.04/40")</f>
        <v>0.04/40</v>
      </c>
      <c r="AE545" s="5"/>
      <c r="AF545" s="5"/>
      <c r="AG545" s="8">
        <f>IFERROR(__xludf.DUMMYFUNCTION("""COMPUTED_VALUE"""),46198.52033564815)</f>
        <v>46198.52034</v>
      </c>
      <c r="AH545" s="5" t="str">
        <f>IFERROR(__xludf.DUMMYFUNCTION("""COMPUTED_VALUE"""),"selena.mihajlovic@fazi.rs")</f>
        <v>selena.mihajlovic@fazi.rs</v>
      </c>
      <c r="AI545" s="13"/>
      <c r="AJ545" s="5"/>
      <c r="AK545" s="5">
        <f>IFERROR(__xludf.DUMMYFUNCTION("""COMPUTED_VALUE"""),4.0)</f>
        <v>4</v>
      </c>
      <c r="AL545" s="5" t="str">
        <f>IFERROR(__xludf.DUMMYFUNCTION("""COMPUTED_VALUE"""),"Yes")</f>
        <v>Yes</v>
      </c>
      <c r="AM545" s="5"/>
      <c r="AN545" s="7" t="str">
        <f>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AO545" s="5" t="str">
        <f>IFERROR(__xludf.DUMMYFUNCTION("""COMPUTED_VALUE"""),"Yes")</f>
        <v>Yes</v>
      </c>
      <c r="AP545" s="5" t="str">
        <f>IFERROR(__xludf.DUMMYFUNCTION("""COMPUTED_VALUE"""),"Yes")</f>
        <v>Yes</v>
      </c>
      <c r="AQ545" s="5" t="b">
        <f>IFERROR(__xludf.DUMMYFUNCTION("""COMPUTED_VALUE"""),TRUE)</f>
        <v>1</v>
      </c>
      <c r="AR545" s="5"/>
      <c r="AS545" s="5" t="str">
        <f>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AT545" s="5" t="str">
        <f>IFERROR(__xludf.DUMMYFUNCTION("""COMPUTED_VALUE"""),"Yes")</f>
        <v>Yes</v>
      </c>
      <c r="AU545" s="5" t="str">
        <f>IFERROR(__xludf.DUMMYFUNCTION("""COMPUTED_VALUE"""),"Fazi")</f>
        <v>Fazi</v>
      </c>
      <c r="AV545" s="5"/>
      <c r="AW545" s="5"/>
      <c r="AX545" s="13">
        <f>IFERROR(__xludf.DUMMYFUNCTION("""COMPUTED_VALUE"""),45923.0)</f>
        <v>45923</v>
      </c>
      <c r="AY545" s="13"/>
      <c r="AZ545" s="13"/>
      <c r="BA545" s="5"/>
      <c r="BB545" s="5"/>
      <c r="BC545" s="5" t="str">
        <f>IFERROR(__xludf.DUMMYFUNCTION("""COMPUTED_VALUE"""),"Foxi")</f>
        <v>Foxi</v>
      </c>
      <c r="BD545" s="7" t="str">
        <f>IFERROR(__xludf.DUMMYFUNCTION("""COMPUTED_VALUE"""),"https://gameserver-store-client-area.orbionlimited.com/Home/IntegrationGameLaunch/client-area?moneyType=0&amp;gameName=CoinSplashExtreme&amp;platform=desktop&amp;languageCode=eng&amp;currency=EUR")</f>
        <v>https://gameserver-store-client-area.orbionlimited.com/Home/IntegrationGameLaunch/client-area?moneyType=0&amp;gameName=CoinSplashExtreme&amp;platform=desktop&amp;languageCode=eng&amp;currency=EUR</v>
      </c>
      <c r="BE545" s="5" t="b">
        <f>IFERROR(__xludf.DUMMYFUNCTION("""COMPUTED_VALUE"""),TRUE)</f>
        <v>1</v>
      </c>
    </row>
    <row r="546">
      <c r="A546" s="5">
        <f>IFERROR(__xludf.DUMMYFUNCTION("""COMPUTED_VALUE"""),580.0)</f>
        <v>580</v>
      </c>
      <c r="B546" s="5">
        <f>IFERROR(__xludf.DUMMYFUNCTION("""COMPUTED_VALUE"""),2008.0)</f>
        <v>2008</v>
      </c>
      <c r="C546" s="5" t="str">
        <f>IFERROR(__xludf.DUMMYFUNCTION("""COMPUTED_VALUE"""),"Fazi")</f>
        <v>Fazi</v>
      </c>
      <c r="D546" s="5" t="str">
        <f>IFERROR(__xludf.DUMMYFUNCTION("""COMPUTED_VALUE"""),"Hot Clock")</f>
        <v>Hot Clock</v>
      </c>
      <c r="E546" s="5" t="str">
        <f>IFERROR(__xludf.DUMMYFUNCTION("""COMPUTED_VALUE"""),"V4-2")</f>
        <v>V4-2</v>
      </c>
      <c r="F546" s="5" t="str">
        <f>IFERROR(__xludf.DUMMYFUNCTION("""COMPUTED_VALUE"""),"HotClock")</f>
        <v>HotClock</v>
      </c>
      <c r="G546" s="5" t="str">
        <f>IFERROR(__xludf.DUMMYFUNCTION("""COMPUTED_VALUE"""),"Live")</f>
        <v>Live</v>
      </c>
      <c r="H546" s="5"/>
      <c r="I546" s="5" t="str">
        <f>IFERROR(__xludf.DUMMYFUNCTION("""COMPUTED_VALUE"""),"V4")</f>
        <v>V4</v>
      </c>
      <c r="J546" s="5" t="str">
        <f>IFERROR(__xludf.DUMMYFUNCTION("""COMPUTED_VALUE"""),"JSON")</f>
        <v>JSON</v>
      </c>
      <c r="K546" s="5" t="str">
        <f>IFERROR(__xludf.DUMMYFUNCTION("""COMPUTED_VALUE"""),"Slot")</f>
        <v>Slot</v>
      </c>
      <c r="L546" s="5" t="str">
        <f>IFERROR(__xludf.DUMMYFUNCTION("""COMPUTED_VALUE"""),"Master")</f>
        <v>Master</v>
      </c>
      <c r="M546" s="5"/>
      <c r="N546" s="7" t="str">
        <f>IFERROR(__xludf.DUMMYFUNCTION("""COMPUTED_VALUE"""),"https://drive.google.com/drive/folders/15If-w8kO7AuO2xHYBS8w2z47YmBhdYIa?usp=drive_link")</f>
        <v>https://drive.google.com/drive/folders/15If-w8kO7AuO2xHYBS8w2z47YmBhdYIa?usp=drive_link</v>
      </c>
      <c r="O546" s="7" t="str">
        <f>IFERROR(__xludf.DUMMYFUNCTION("""COMPUTED_VALUE"""),"https://drive.google.com/drive/folders/15If-w8kO7AuO2xHYBS8w2z47YmBhdYIa?usp=drive_link")</f>
        <v>https://drive.google.com/drive/folders/15If-w8kO7AuO2xHYBS8w2z47YmBhdYIa?usp=drive_link</v>
      </c>
      <c r="P546" s="12">
        <f>IFERROR(__xludf.DUMMYFUNCTION("""COMPUTED_VALUE"""),19.8)</f>
        <v>19.8</v>
      </c>
      <c r="Q546" s="13">
        <f>IFERROR(__xludf.DUMMYFUNCTION("""COMPUTED_VALUE"""),46013.0)</f>
        <v>46013</v>
      </c>
      <c r="R546" s="13">
        <f>IFERROR(__xludf.DUMMYFUNCTION("""COMPUTED_VALUE"""),46023.0)</f>
        <v>46023</v>
      </c>
      <c r="S546" s="13">
        <f>IFERROR(__xludf.DUMMYFUNCTION("""COMPUTED_VALUE"""),46030.0)</f>
        <v>46030</v>
      </c>
      <c r="T546" s="5" t="b">
        <f>IFERROR(__xludf.DUMMYFUNCTION("""COMPUTED_VALUE"""),TRUE)</f>
        <v>1</v>
      </c>
      <c r="U546" s="5" t="str">
        <f>IFERROR(__xludf.DUMMYFUNCTION("""COMPUTED_VALUE"""),"5x3")</f>
        <v>5x3</v>
      </c>
      <c r="V546" s="5">
        <f>IFERROR(__xludf.DUMMYFUNCTION("""COMPUTED_VALUE"""),10.0)</f>
        <v>10</v>
      </c>
      <c r="W546" s="5">
        <f>IFERROR(__xludf.DUMMYFUNCTION("""COMPUTED_VALUE"""),10.0)</f>
        <v>10</v>
      </c>
      <c r="X546" s="5">
        <f>IFERROR(__xludf.DUMMYFUNCTION("""COMPUTED_VALUE"""),96.5)</f>
        <v>96.5</v>
      </c>
      <c r="Y546" s="5" t="str">
        <f>IFERROR(__xludf.DUMMYFUNCTION("""COMPUTED_VALUE"""),"Medium")</f>
        <v>Medium</v>
      </c>
      <c r="Z546" s="5">
        <f>IFERROR(__xludf.DUMMYFUNCTION("""COMPUTED_VALUE"""),19.232)</f>
        <v>19.232</v>
      </c>
      <c r="AA546" s="5">
        <f>IFERROR(__xludf.DUMMYFUNCTION("""COMPUTED_VALUE"""),4076.0)</f>
        <v>4076</v>
      </c>
      <c r="AB546" s="5"/>
      <c r="AC546" s="5"/>
      <c r="AD546" s="5" t="str">
        <f>IFERROR(__xludf.DUMMYFUNCTION("""COMPUTED_VALUE"""),"0.1/50")</f>
        <v>0.1/50</v>
      </c>
      <c r="AE546" s="5"/>
      <c r="AF546" s="5"/>
      <c r="AG546" s="8">
        <f>IFERROR(__xludf.DUMMYFUNCTION("""COMPUTED_VALUE"""),46198.520590277774)</f>
        <v>46198.52059</v>
      </c>
      <c r="AH546" s="5" t="str">
        <f>IFERROR(__xludf.DUMMYFUNCTION("""COMPUTED_VALUE"""),"selena.mihajlovic@fazi.rs")</f>
        <v>selena.mihajlovic@fazi.rs</v>
      </c>
      <c r="AI546" s="13">
        <f>IFERROR(__xludf.DUMMYFUNCTION("""COMPUTED_VALUE"""),45992.0)</f>
        <v>45992</v>
      </c>
      <c r="AJ546" s="5" t="str">
        <f>IFERROR(__xludf.DUMMYFUNCTION("""COMPUTED_VALUE"""),"MozzartBet SRB i KE, Pinco i KoralPlay")</f>
        <v>MozzartBet SRB i KE, Pinco i KoralPlay</v>
      </c>
      <c r="AK546" s="5">
        <f>IFERROR(__xludf.DUMMYFUNCTION("""COMPUTED_VALUE"""),1.0)</f>
        <v>1</v>
      </c>
      <c r="AL546" s="5" t="str">
        <f>IFERROR(__xludf.DUMMYFUNCTION("""COMPUTED_VALUE"""),"Yes")</f>
        <v>Yes</v>
      </c>
      <c r="AM546" s="5" t="str">
        <f>IFERROR(__xludf.DUMMYFUNCTION("""COMPUTED_VALUE"""),"Yes")</f>
        <v>Yes</v>
      </c>
      <c r="AN546" s="7" t="str">
        <f>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AO546" s="5" t="str">
        <f>IFERROR(__xludf.DUMMYFUNCTION("""COMPUTED_VALUE"""),"Yes")</f>
        <v>Yes</v>
      </c>
      <c r="AP546" s="5" t="str">
        <f>IFERROR(__xludf.DUMMYFUNCTION("""COMPUTED_VALUE"""),"Yes")</f>
        <v>Yes</v>
      </c>
      <c r="AQ546" s="5" t="b">
        <f>IFERROR(__xludf.DUMMYFUNCTION("""COMPUTED_VALUE"""),TRUE)</f>
        <v>1</v>
      </c>
      <c r="AR546" s="5"/>
      <c r="AS546" s="5" t="str">
        <f>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AT546" s="5" t="str">
        <f>IFERROR(__xludf.DUMMYFUNCTION("""COMPUTED_VALUE"""),"Yes")</f>
        <v>Yes</v>
      </c>
      <c r="AU546" s="5" t="str">
        <f>IFERROR(__xludf.DUMMYFUNCTION("""COMPUTED_VALUE"""),"Fazi")</f>
        <v>Fazi</v>
      </c>
      <c r="AV546" s="5"/>
      <c r="AW546" s="5"/>
      <c r="AX546" s="13">
        <f>IFERROR(__xludf.DUMMYFUNCTION("""COMPUTED_VALUE"""),46007.0)</f>
        <v>46007</v>
      </c>
      <c r="AY546" s="13"/>
      <c r="AZ546" s="13"/>
      <c r="BA546" s="5"/>
      <c r="BB546" s="5"/>
      <c r="BC546" s="5" t="str">
        <f>IFERROR(__xludf.DUMMYFUNCTION("""COMPUTED_VALUE"""),"Foxi")</f>
        <v>Foxi</v>
      </c>
      <c r="BD546" s="7" t="str">
        <f>IFERROR(__xludf.DUMMYFUNCTION("""COMPUTED_VALUE"""),"https://gameserver-store-client-area.orbionlimited.com/Home/IntegrationGameLaunch/client-area?moneyType=0&amp;gameName=HotClock&amp;platform=desktop&amp;languageCode=eng&amp;currency=EUR")</f>
        <v>https://gameserver-store-client-area.orbionlimited.com/Home/IntegrationGameLaunch/client-area?moneyType=0&amp;gameName=HotClock&amp;platform=desktop&amp;languageCode=eng&amp;currency=EUR</v>
      </c>
      <c r="BE546" s="5" t="b">
        <f>IFERROR(__xludf.DUMMYFUNCTION("""COMPUTED_VALUE"""),TRUE)</f>
        <v>1</v>
      </c>
    </row>
    <row r="547">
      <c r="A547" s="5">
        <f>IFERROR(__xludf.DUMMYFUNCTION("""COMPUTED_VALUE"""),581.0)</f>
        <v>581</v>
      </c>
      <c r="B547" s="5">
        <f>IFERROR(__xludf.DUMMYFUNCTION("""COMPUTED_VALUE"""),180038.0)</f>
        <v>180038</v>
      </c>
      <c r="C547" s="5" t="str">
        <f>IFERROR(__xludf.DUMMYFUNCTION("""COMPUTED_VALUE"""),"Redstone")</f>
        <v>Redstone</v>
      </c>
      <c r="D547" s="5" t="str">
        <f>IFERROR(__xludf.DUMMYFUNCTION("""COMPUTED_VALUE"""),"10 Wild Crown Halloween")</f>
        <v>10 Wild Crown Halloween</v>
      </c>
      <c r="E547" s="5" t="str">
        <f>IFERROR(__xludf.DUMMYFUNCTION("""COMPUTED_VALUE"""),"Redstone")</f>
        <v>Redstone</v>
      </c>
      <c r="F547" s="5" t="str">
        <f>IFERROR(__xludf.DUMMYFUNCTION("""COMPUTED_VALUE"""),"Redstone10WildCrownHalloween")</f>
        <v>Redstone10WildCrownHalloween</v>
      </c>
      <c r="G547" s="5" t="str">
        <f>IFERROR(__xludf.DUMMYFUNCTION("""COMPUTED_VALUE"""),"Live")</f>
        <v>Live</v>
      </c>
      <c r="H547" s="5"/>
      <c r="I547" s="5" t="str">
        <f>IFERROR(__xludf.DUMMYFUNCTION("""COMPUTED_VALUE"""),"Redstone")</f>
        <v>Redstone</v>
      </c>
      <c r="J547" s="5" t="str">
        <f>IFERROR(__xludf.DUMMYFUNCTION("""COMPUTED_VALUE"""),"JSON")</f>
        <v>JSON</v>
      </c>
      <c r="K547" s="5" t="str">
        <f>IFERROR(__xludf.DUMMYFUNCTION("""COMPUTED_VALUE"""),"Slot")</f>
        <v>Slot</v>
      </c>
      <c r="L547" s="5" t="str">
        <f>IFERROR(__xludf.DUMMYFUNCTION("""COMPUTED_VALUE""")," Reskin")</f>
        <v> Reskin</v>
      </c>
      <c r="M547" s="5" t="str">
        <f>IFERROR(__xludf.DUMMYFUNCTION("""COMPUTED_VALUE"""),"10 Wild Crown")</f>
        <v>10 Wild Crown</v>
      </c>
      <c r="N547" s="7" t="str">
        <f>IFERROR(__xludf.DUMMYFUNCTION("""COMPUTED_VALUE"""),"https://docs.google.com/document/d/1wQKvroH717U3Tz5iLDLHctfsGMzwXNTX/edit?usp=drive_link&amp;ouid=107596163405648766688&amp;rtpof=true&amp;sd=true")</f>
        <v>https://docs.google.com/document/d/1wQKvroH717U3Tz5iLDLHctfsGMzwXNTX/edit?usp=drive_link&amp;ouid=107596163405648766688&amp;rtpof=true&amp;sd=true</v>
      </c>
      <c r="O547" s="7" t="str">
        <f>IFERROR(__xludf.DUMMYFUNCTION("""COMPUTED_VALUE"""),"https://docs.google.com/document/d/1IwYx_XrjmbWMYmCnxTslCwFx2GC9xycX/edit?usp=drive_link&amp;ouid=107596163405648766688&amp;rtpof=true&amp;sd=true")</f>
        <v>https://docs.google.com/document/d/1IwYx_XrjmbWMYmCnxTslCwFx2GC9xycX/edit?usp=drive_link&amp;ouid=107596163405648766688&amp;rtpof=true&amp;sd=true</v>
      </c>
      <c r="P547" s="12">
        <f>IFERROR(__xludf.DUMMYFUNCTION("""COMPUTED_VALUE"""),6.5)</f>
        <v>6.5</v>
      </c>
      <c r="Q547" s="13">
        <f>IFERROR(__xludf.DUMMYFUNCTION("""COMPUTED_VALUE"""),45873.0)</f>
        <v>45873</v>
      </c>
      <c r="R547" s="13">
        <f>IFERROR(__xludf.DUMMYFUNCTION("""COMPUTED_VALUE"""),45917.0)</f>
        <v>45917</v>
      </c>
      <c r="S547" s="13">
        <f>IFERROR(__xludf.DUMMYFUNCTION("""COMPUTED_VALUE"""),45924.0)</f>
        <v>45924</v>
      </c>
      <c r="T547" s="5" t="b">
        <f>IFERROR(__xludf.DUMMYFUNCTION("""COMPUTED_VALUE"""),TRUE)</f>
        <v>1</v>
      </c>
      <c r="U547" s="5" t="str">
        <f>IFERROR(__xludf.DUMMYFUNCTION("""COMPUTED_VALUE"""),"5x3")</f>
        <v>5x3</v>
      </c>
      <c r="V547" s="5">
        <f>IFERROR(__xludf.DUMMYFUNCTION("""COMPUTED_VALUE"""),10.0)</f>
        <v>10</v>
      </c>
      <c r="W547" s="5">
        <f>IFERROR(__xludf.DUMMYFUNCTION("""COMPUTED_VALUE"""),10.0)</f>
        <v>10</v>
      </c>
      <c r="X547" s="5">
        <f>IFERROR(__xludf.DUMMYFUNCTION("""COMPUTED_VALUE"""),95.96)</f>
        <v>95.96</v>
      </c>
      <c r="Y547" s="5" t="str">
        <f>IFERROR(__xludf.DUMMYFUNCTION("""COMPUTED_VALUE"""),"Medium")</f>
        <v>Medium</v>
      </c>
      <c r="Z547" s="5">
        <f>IFERROR(__xludf.DUMMYFUNCTION("""COMPUTED_VALUE"""),14.63)</f>
        <v>14.63</v>
      </c>
      <c r="AA547" s="5">
        <f>IFERROR(__xludf.DUMMYFUNCTION("""COMPUTED_VALUE"""),1538.0)</f>
        <v>1538</v>
      </c>
      <c r="AB547" s="5"/>
      <c r="AC547" s="5" t="str">
        <f>IFERROR(__xludf.DUMMYFUNCTION("""COMPUTED_VALUE"""),"Expanding Wild, Scatter")</f>
        <v>Expanding Wild, Scatter</v>
      </c>
      <c r="AD547" s="5" t="str">
        <f>IFERROR(__xludf.DUMMYFUNCTION("""COMPUTED_VALUE"""),"0.10/40")</f>
        <v>0.10/40</v>
      </c>
      <c r="AE547" s="5"/>
      <c r="AF547" s="5"/>
      <c r="AG547" s="8">
        <f>IFERROR(__xludf.DUMMYFUNCTION("""COMPUTED_VALUE"""),46212.558912037035)</f>
        <v>46212.55891</v>
      </c>
      <c r="AH547" s="5" t="str">
        <f>IFERROR(__xludf.DUMMYFUNCTION("""COMPUTED_VALUE"""),"selena.mihajlovic@fazi.rs")</f>
        <v>selena.mihajlovic@fazi.rs</v>
      </c>
      <c r="AI547" s="13"/>
      <c r="AJ547" s="5"/>
      <c r="AK547" s="5">
        <f>IFERROR(__xludf.DUMMYFUNCTION("""COMPUTED_VALUE"""),1.0)</f>
        <v>1</v>
      </c>
      <c r="AL547" s="5" t="str">
        <f>IFERROR(__xludf.DUMMYFUNCTION("""COMPUTED_VALUE"""),"No")</f>
        <v>No</v>
      </c>
      <c r="AM547" s="5" t="str">
        <f>IFERROR(__xludf.DUMMYFUNCTION("""COMPUTED_VALUE"""),"No")</f>
        <v>No</v>
      </c>
      <c r="AN547" s="7" t="str">
        <f>IFERROR(__xludf.DUMMYFUNCTION("""COMPUTED_VALUE"""),"https://static.redstone.rs/games/10-wild-crown-halloween/")</f>
        <v>https://static.redstone.rs/games/10-wild-crown-halloween/</v>
      </c>
      <c r="AO547" s="5" t="str">
        <f>IFERROR(__xludf.DUMMYFUNCTION("""COMPUTED_VALUE"""),"No")</f>
        <v>No</v>
      </c>
      <c r="AP547" s="5" t="str">
        <f>IFERROR(__xludf.DUMMYFUNCTION("""COMPUTED_VALUE"""),"No")</f>
        <v>No</v>
      </c>
      <c r="AQ547" s="5" t="b">
        <f>IFERROR(__xludf.DUMMYFUNCTION("""COMPUTED_VALUE"""),TRUE)</f>
        <v>1</v>
      </c>
      <c r="AR547" s="5"/>
      <c r="AS547" s="5" t="str">
        <f>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AT547" s="5"/>
      <c r="AU547" s="5" t="str">
        <f>IFERROR(__xludf.DUMMYFUNCTION("""COMPUTED_VALUE"""),"Redstone")</f>
        <v>Redstone</v>
      </c>
      <c r="AV547" s="5"/>
      <c r="AW547" s="5"/>
      <c r="AX547" s="5"/>
      <c r="AY547" s="5"/>
      <c r="AZ547" s="5"/>
      <c r="BA547" s="5"/>
      <c r="BB547" s="5" t="b">
        <f>IFERROR(__xludf.DUMMYFUNCTION("""COMPUTED_VALUE"""),TRUE)</f>
        <v>1</v>
      </c>
      <c r="BC547" s="5" t="str">
        <f>IFERROR(__xludf.DUMMYFUNCTION("""COMPUTED_VALUE"""),"Redstone")</f>
        <v>Redstone</v>
      </c>
      <c r="BD547" s="7" t="str">
        <f>IFERROR(__xludf.DUMMYFUNCTION("""COMPUTED_VALUE"""),"https://static.redstone.rs/games/10-wild-crown-halloween/")</f>
        <v>https://static.redstone.rs/games/10-wild-crown-halloween/</v>
      </c>
      <c r="BE547" s="5" t="b">
        <f>IFERROR(__xludf.DUMMYFUNCTION("""COMPUTED_VALUE"""),TRUE)</f>
        <v>1</v>
      </c>
    </row>
    <row r="548">
      <c r="A548" s="5">
        <f>IFERROR(__xludf.DUMMYFUNCTION("""COMPUTED_VALUE"""),582.0)</f>
        <v>582</v>
      </c>
      <c r="B548" s="5">
        <f>IFERROR(__xludf.DUMMYFUNCTION("""COMPUTED_VALUE"""),180037.0)</f>
        <v>180037</v>
      </c>
      <c r="C548" s="5" t="str">
        <f>IFERROR(__xludf.DUMMYFUNCTION("""COMPUTED_VALUE"""),"Redstone")</f>
        <v>Redstone</v>
      </c>
      <c r="D548" s="5" t="str">
        <f>IFERROR(__xludf.DUMMYFUNCTION("""COMPUTED_VALUE"""),"5 Clover Fire Halloween")</f>
        <v>5 Clover Fire Halloween</v>
      </c>
      <c r="E548" s="5" t="str">
        <f>IFERROR(__xludf.DUMMYFUNCTION("""COMPUTED_VALUE"""),"Redstone")</f>
        <v>Redstone</v>
      </c>
      <c r="F548" s="5" t="str">
        <f>IFERROR(__xludf.DUMMYFUNCTION("""COMPUTED_VALUE"""),"Redstone5CloverFireHalloween")</f>
        <v>Redstone5CloverFireHalloween</v>
      </c>
      <c r="G548" s="5" t="str">
        <f>IFERROR(__xludf.DUMMYFUNCTION("""COMPUTED_VALUE"""),"Live")</f>
        <v>Live</v>
      </c>
      <c r="H548" s="5"/>
      <c r="I548" s="5" t="str">
        <f>IFERROR(__xludf.DUMMYFUNCTION("""COMPUTED_VALUE"""),"Redstone")</f>
        <v>Redstone</v>
      </c>
      <c r="J548" s="5" t="str">
        <f>IFERROR(__xludf.DUMMYFUNCTION("""COMPUTED_VALUE"""),"JSON")</f>
        <v>JSON</v>
      </c>
      <c r="K548" s="5" t="str">
        <f>IFERROR(__xludf.DUMMYFUNCTION("""COMPUTED_VALUE"""),"Slot")</f>
        <v>Slot</v>
      </c>
      <c r="L548" s="5" t="str">
        <f>IFERROR(__xludf.DUMMYFUNCTION("""COMPUTED_VALUE""")," Reskin")</f>
        <v> Reskin</v>
      </c>
      <c r="M548" s="5" t="str">
        <f>IFERROR(__xludf.DUMMYFUNCTION("""COMPUTED_VALUE"""),"5 Clover Fire")</f>
        <v>5 Clover Fire</v>
      </c>
      <c r="N548" s="7" t="str">
        <f>IFERROR(__xludf.DUMMYFUNCTION("""COMPUTED_VALUE"""),"https://docs.google.com/document/d/1JUWW4nQltXBbyiLWnANAsePI56Gc7bx6/edit?usp=drive_link&amp;ouid=107596163405648766688&amp;rtpof=true&amp;sd=true")</f>
        <v>https://docs.google.com/document/d/1JUWW4nQltXBbyiLWnANAsePI56Gc7bx6/edit?usp=drive_link&amp;ouid=107596163405648766688&amp;rtpof=true&amp;sd=true</v>
      </c>
      <c r="O548" s="7" t="str">
        <f>IFERROR(__xludf.DUMMYFUNCTION("""COMPUTED_VALUE"""),"https://docs.google.com/document/d/1s_5ZB5oz6OlIkYiPyUg17u852A4cHd_l/edit?usp=drive_link&amp;ouid=107596163405648766688&amp;rtpof=true&amp;sd=true")</f>
        <v>https://docs.google.com/document/d/1s_5ZB5oz6OlIkYiPyUg17u852A4cHd_l/edit?usp=drive_link&amp;ouid=107596163405648766688&amp;rtpof=true&amp;sd=true</v>
      </c>
      <c r="P548" s="12">
        <f>IFERROR(__xludf.DUMMYFUNCTION("""COMPUTED_VALUE"""),6.6)</f>
        <v>6.6</v>
      </c>
      <c r="Q548" s="13">
        <f>IFERROR(__xludf.DUMMYFUNCTION("""COMPUTED_VALUE"""),45859.0)</f>
        <v>45859</v>
      </c>
      <c r="R548" s="13">
        <f>IFERROR(__xludf.DUMMYFUNCTION("""COMPUTED_VALUE"""),45910.0)</f>
        <v>45910</v>
      </c>
      <c r="S548" s="13">
        <f>IFERROR(__xludf.DUMMYFUNCTION("""COMPUTED_VALUE"""),45917.0)</f>
        <v>45917</v>
      </c>
      <c r="T548" s="5" t="b">
        <f>IFERROR(__xludf.DUMMYFUNCTION("""COMPUTED_VALUE"""),TRUE)</f>
        <v>1</v>
      </c>
      <c r="U548" s="5" t="str">
        <f>IFERROR(__xludf.DUMMYFUNCTION("""COMPUTED_VALUE"""),"5x3")</f>
        <v>5x3</v>
      </c>
      <c r="V548" s="5">
        <f>IFERROR(__xludf.DUMMYFUNCTION("""COMPUTED_VALUE"""),5.0)</f>
        <v>5</v>
      </c>
      <c r="W548" s="5">
        <f>IFERROR(__xludf.DUMMYFUNCTION("""COMPUTED_VALUE"""),5.0)</f>
        <v>5</v>
      </c>
      <c r="X548" s="5">
        <f>IFERROR(__xludf.DUMMYFUNCTION("""COMPUTED_VALUE"""),96.45)</f>
        <v>96.45</v>
      </c>
      <c r="Y548" s="5" t="str">
        <f>IFERROR(__xludf.DUMMYFUNCTION("""COMPUTED_VALUE"""),"Medium")</f>
        <v>Medium</v>
      </c>
      <c r="Z548" s="5">
        <f>IFERROR(__xludf.DUMMYFUNCTION("""COMPUTED_VALUE"""),14.5)</f>
        <v>14.5</v>
      </c>
      <c r="AA548" s="5">
        <f>IFERROR(__xludf.DUMMYFUNCTION("""COMPUTED_VALUE"""),1222.0)</f>
        <v>1222</v>
      </c>
      <c r="AB548" s="5"/>
      <c r="AC548" s="5" t="str">
        <f>IFERROR(__xludf.DUMMYFUNCTION("""COMPUTED_VALUE"""),"Expanding Wild, Scatter")</f>
        <v>Expanding Wild, Scatter</v>
      </c>
      <c r="AD548" s="5" t="str">
        <f>IFERROR(__xludf.DUMMYFUNCTION("""COMPUTED_VALUE"""),"0.05/30")</f>
        <v>0.05/30</v>
      </c>
      <c r="AE548" s="5"/>
      <c r="AF548" s="5"/>
      <c r="AG548" s="8">
        <f>IFERROR(__xludf.DUMMYFUNCTION("""COMPUTED_VALUE"""),46157.53138888889)</f>
        <v>46157.53139</v>
      </c>
      <c r="AH548" s="5"/>
      <c r="AI548" s="13"/>
      <c r="AJ548" s="5"/>
      <c r="AK548" s="5">
        <f>IFERROR(__xludf.DUMMYFUNCTION("""COMPUTED_VALUE"""),1.0)</f>
        <v>1</v>
      </c>
      <c r="AL548" s="5" t="str">
        <f>IFERROR(__xludf.DUMMYFUNCTION("""COMPUTED_VALUE"""),"No")</f>
        <v>No</v>
      </c>
      <c r="AM548" s="5" t="str">
        <f>IFERROR(__xludf.DUMMYFUNCTION("""COMPUTED_VALUE"""),"No")</f>
        <v>No</v>
      </c>
      <c r="AN548" s="7" t="str">
        <f>IFERROR(__xludf.DUMMYFUNCTION("""COMPUTED_VALUE"""),"https://static.redstone.rs/games/5-clover-fire-halloween/")</f>
        <v>https://static.redstone.rs/games/5-clover-fire-halloween/</v>
      </c>
      <c r="AO548" s="5" t="str">
        <f>IFERROR(__xludf.DUMMYFUNCTION("""COMPUTED_VALUE"""),"No")</f>
        <v>No</v>
      </c>
      <c r="AP548" s="5" t="str">
        <f>IFERROR(__xludf.DUMMYFUNCTION("""COMPUTED_VALUE"""),"No")</f>
        <v>No</v>
      </c>
      <c r="AQ548" s="5" t="b">
        <f>IFERROR(__xludf.DUMMYFUNCTION("""COMPUTED_VALUE"""),TRUE)</f>
        <v>1</v>
      </c>
      <c r="AR548" s="5"/>
      <c r="AS548" s="5" t="str">
        <f>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AT548" s="5"/>
      <c r="AU548" s="5" t="str">
        <f>IFERROR(__xludf.DUMMYFUNCTION("""COMPUTED_VALUE"""),"Redstone")</f>
        <v>Redstone</v>
      </c>
      <c r="AV548" s="5"/>
      <c r="AW548" s="5"/>
      <c r="AX548" s="5"/>
      <c r="AY548" s="5"/>
      <c r="AZ548" s="5"/>
      <c r="BA548" s="5"/>
      <c r="BB548" s="5" t="b">
        <f>IFERROR(__xludf.DUMMYFUNCTION("""COMPUTED_VALUE"""),TRUE)</f>
        <v>1</v>
      </c>
      <c r="BC548" s="5" t="str">
        <f>IFERROR(__xludf.DUMMYFUNCTION("""COMPUTED_VALUE"""),"Redstone")</f>
        <v>Redstone</v>
      </c>
      <c r="BD548" s="7" t="str">
        <f>IFERROR(__xludf.DUMMYFUNCTION("""COMPUTED_VALUE"""),"https://static.redstone.rs/games/5-clover-fire-halloween/")</f>
        <v>https://static.redstone.rs/games/5-clover-fire-halloween/</v>
      </c>
      <c r="BE548" s="5" t="b">
        <f>IFERROR(__xludf.DUMMYFUNCTION("""COMPUTED_VALUE"""),TRUE)</f>
        <v>1</v>
      </c>
    </row>
    <row r="549">
      <c r="A549" s="5">
        <f>IFERROR(__xludf.DUMMYFUNCTION("""COMPUTED_VALUE"""),583.0)</f>
        <v>583</v>
      </c>
      <c r="B549" s="5">
        <f>IFERROR(__xludf.DUMMYFUNCTION("""COMPUTED_VALUE"""),5001.0)</f>
        <v>5001</v>
      </c>
      <c r="C549" s="5" t="str">
        <f>IFERROR(__xludf.DUMMYFUNCTION("""COMPUTED_VALUE"""),"Fazi")</f>
        <v>Fazi</v>
      </c>
      <c r="D549" s="5" t="str">
        <f>IFERROR(__xludf.DUMMYFUNCTION("""COMPUTED_VALUE"""),"Fruit Lock 7")</f>
        <v>Fruit Lock 7</v>
      </c>
      <c r="E549" s="5" t="str">
        <f>IFERROR(__xludf.DUMMYFUNCTION("""COMPUTED_VALUE"""),"V4-3")</f>
        <v>V4-3</v>
      </c>
      <c r="F549" s="5" t="str">
        <f>IFERROR(__xludf.DUMMYFUNCTION("""COMPUTED_VALUE"""),"FruitLock7")</f>
        <v>FruitLock7</v>
      </c>
      <c r="G549" s="5" t="str">
        <f>IFERROR(__xludf.DUMMYFUNCTION("""COMPUTED_VALUE"""),"Live")</f>
        <v>Live</v>
      </c>
      <c r="H549" s="5"/>
      <c r="I549" s="5" t="str">
        <f>IFERROR(__xludf.DUMMYFUNCTION("""COMPUTED_VALUE"""),"V4")</f>
        <v>V4</v>
      </c>
      <c r="J549" s="5" t="str">
        <f>IFERROR(__xludf.DUMMYFUNCTION("""COMPUTED_VALUE"""),"JSON")</f>
        <v>JSON</v>
      </c>
      <c r="K549" s="5" t="str">
        <f>IFERROR(__xludf.DUMMYFUNCTION("""COMPUTED_VALUE"""),"Slot")</f>
        <v>Slot</v>
      </c>
      <c r="L549" s="5" t="str">
        <f>IFERROR(__xludf.DUMMYFUNCTION("""COMPUTED_VALUE"""),"Master")</f>
        <v>Master</v>
      </c>
      <c r="M549" s="5"/>
      <c r="N549" s="5"/>
      <c r="O549" s="5"/>
      <c r="P549" s="12">
        <f>IFERROR(__xludf.DUMMYFUNCTION("""COMPUTED_VALUE"""),16.0)</f>
        <v>16</v>
      </c>
      <c r="Q549" s="13">
        <f>IFERROR(__xludf.DUMMYFUNCTION("""COMPUTED_VALUE"""),46013.0)</f>
        <v>46013</v>
      </c>
      <c r="R549" s="13">
        <f>IFERROR(__xludf.DUMMYFUNCTION("""COMPUTED_VALUE"""),46030.0)</f>
        <v>46030</v>
      </c>
      <c r="S549" s="13">
        <f>IFERROR(__xludf.DUMMYFUNCTION("""COMPUTED_VALUE"""),46037.0)</f>
        <v>46037</v>
      </c>
      <c r="T549" s="5" t="b">
        <f>IFERROR(__xludf.DUMMYFUNCTION("""COMPUTED_VALUE"""),TRUE)</f>
        <v>1</v>
      </c>
      <c r="U549" s="5" t="str">
        <f>IFERROR(__xludf.DUMMYFUNCTION("""COMPUTED_VALUE"""),"5x3")</f>
        <v>5x3</v>
      </c>
      <c r="V549" s="5">
        <f>IFERROR(__xludf.DUMMYFUNCTION("""COMPUTED_VALUE"""),20.0)</f>
        <v>20</v>
      </c>
      <c r="W549" s="5">
        <f>IFERROR(__xludf.DUMMYFUNCTION("""COMPUTED_VALUE"""),20.0)</f>
        <v>20</v>
      </c>
      <c r="X549" s="5">
        <f>IFERROR(__xludf.DUMMYFUNCTION("""COMPUTED_VALUE"""),96.542)</f>
        <v>96.542</v>
      </c>
      <c r="Y549" s="5" t="str">
        <f>IFERROR(__xludf.DUMMYFUNCTION("""COMPUTED_VALUE"""),"High")</f>
        <v>High</v>
      </c>
      <c r="Z549" s="5">
        <f>IFERROR(__xludf.DUMMYFUNCTION("""COMPUTED_VALUE"""),9.941)</f>
        <v>9.941</v>
      </c>
      <c r="AA549" s="5">
        <f>IFERROR(__xludf.DUMMYFUNCTION("""COMPUTED_VALUE"""),3000.0)</f>
        <v>3000</v>
      </c>
      <c r="AB549" s="5"/>
      <c r="AC549" s="5"/>
      <c r="AD549" s="5" t="str">
        <f>IFERROR(__xludf.DUMMYFUNCTION("""COMPUTED_VALUE"""),"0.2/50")</f>
        <v>0.2/50</v>
      </c>
      <c r="AE549" s="5"/>
      <c r="AF549" s="5"/>
      <c r="AG549" s="8">
        <f>IFERROR(__xludf.DUMMYFUNCTION("""COMPUTED_VALUE"""),46213.52490740741)</f>
        <v>46213.52491</v>
      </c>
      <c r="AH549" s="5" t="str">
        <f>IFERROR(__xludf.DUMMYFUNCTION("""COMPUTED_VALUE"""),"zdravkovic.predrag@fazi.rs")</f>
        <v>zdravkovic.predrag@fazi.rs</v>
      </c>
      <c r="AI549" s="13"/>
      <c r="AJ549" s="5" t="str">
        <f>IFERROR(__xludf.DUMMYFUNCTION("""COMPUTED_VALUE"""),"AGREGACIONA PLATFROMA")</f>
        <v>AGREGACIONA PLATFROMA</v>
      </c>
      <c r="AK549" s="5">
        <f>IFERROR(__xludf.DUMMYFUNCTION("""COMPUTED_VALUE"""),20.0)</f>
        <v>20</v>
      </c>
      <c r="AL549" s="5" t="str">
        <f>IFERROR(__xludf.DUMMYFUNCTION("""COMPUTED_VALUE"""),"Yes")</f>
        <v>Yes</v>
      </c>
      <c r="AM549" s="5"/>
      <c r="AN549" s="7" t="str">
        <f>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AO549" s="5" t="str">
        <f>IFERROR(__xludf.DUMMYFUNCTION("""COMPUTED_VALUE"""),"Yes")</f>
        <v>Yes</v>
      </c>
      <c r="AP549" s="5" t="str">
        <f>IFERROR(__xludf.DUMMYFUNCTION("""COMPUTED_VALUE"""),"No")</f>
        <v>No</v>
      </c>
      <c r="AQ549" s="5" t="b">
        <f>IFERROR(__xludf.DUMMYFUNCTION("""COMPUTED_VALUE"""),TRUE)</f>
        <v>1</v>
      </c>
      <c r="AR549" s="5"/>
      <c r="AS549" s="5"/>
      <c r="AT549" s="5"/>
      <c r="AU549" s="5" t="str">
        <f>IFERROR(__xludf.DUMMYFUNCTION("""COMPUTED_VALUE"""),"Fazi")</f>
        <v>Fazi</v>
      </c>
      <c r="AV549" s="5">
        <f>IFERROR(__xludf.DUMMYFUNCTION("""COMPUTED_VALUE"""),1.0)</f>
        <v>1</v>
      </c>
      <c r="AW549" s="5"/>
      <c r="AX549" s="13">
        <f>IFERROR(__xludf.DUMMYFUNCTION("""COMPUTED_VALUE"""),46007.0)</f>
        <v>46007</v>
      </c>
      <c r="AY549" s="13"/>
      <c r="AZ549" s="13"/>
      <c r="BA549" s="5"/>
      <c r="BB549" s="5"/>
      <c r="BC549" s="5" t="str">
        <f>IFERROR(__xludf.DUMMYFUNCTION("""COMPUTED_VALUE"""),"Foxi")</f>
        <v>Foxi</v>
      </c>
      <c r="BD549" s="7" t="str">
        <f>IFERROR(__xludf.DUMMYFUNCTION("""COMPUTED_VALUE"""),"https://gameserver-store-client-area.orbionlimited.com/Home/IntegrationGameLaunch/client-area?moneyType=0&amp;gameName=FruitLock7&amp;platform=desktop&amp;languageCode=eng&amp;currency=EUR")</f>
        <v>https://gameserver-store-client-area.orbionlimited.com/Home/IntegrationGameLaunch/client-area?moneyType=0&amp;gameName=FruitLock7&amp;platform=desktop&amp;languageCode=eng&amp;currency=EUR</v>
      </c>
      <c r="BE549" s="5" t="b">
        <f>IFERROR(__xludf.DUMMYFUNCTION("""COMPUTED_VALUE"""),TRUE)</f>
        <v>1</v>
      </c>
    </row>
    <row r="550">
      <c r="A550" s="5">
        <f>IFERROR(__xludf.DUMMYFUNCTION("""COMPUTED_VALUE"""),584.0)</f>
        <v>584</v>
      </c>
      <c r="B550" s="5">
        <f>IFERROR(__xludf.DUMMYFUNCTION("""COMPUTED_VALUE"""),4023.0)</f>
        <v>4023</v>
      </c>
      <c r="C550" s="5" t="str">
        <f>IFERROR(__xludf.DUMMYFUNCTION("""COMPUTED_VALUE"""),"Fazi")</f>
        <v>Fazi</v>
      </c>
      <c r="D550" s="5" t="str">
        <f>IFERROR(__xludf.DUMMYFUNCTION("""COMPUTED_VALUE"""),"Golden Crown Halloween")</f>
        <v>Golden Crown Halloween</v>
      </c>
      <c r="E550" s="5" t="str">
        <f>IFERROR(__xludf.DUMMYFUNCTION("""COMPUTED_VALUE"""),"Sertifikacioni")</f>
        <v>Sertifikacioni</v>
      </c>
      <c r="F550" s="5" t="str">
        <f>IFERROR(__xludf.DUMMYFUNCTION("""COMPUTED_VALUE"""),"GoldenCrownHalloween")</f>
        <v>GoldenCrownHalloween</v>
      </c>
      <c r="G550" s="5" t="str">
        <f>IFERROR(__xludf.DUMMYFUNCTION("""COMPUTED_VALUE"""),"Live")</f>
        <v>Live</v>
      </c>
      <c r="H550" s="5"/>
      <c r="I550" s="5" t="str">
        <f>IFERROR(__xludf.DUMMYFUNCTION("""COMPUTED_VALUE"""),"V2")</f>
        <v>V2</v>
      </c>
      <c r="J550" s="5" t="str">
        <f>IFERROR(__xludf.DUMMYFUNCTION("""COMPUTED_VALUE"""),"JSON")</f>
        <v>JSON</v>
      </c>
      <c r="K550" s="5" t="str">
        <f>IFERROR(__xludf.DUMMYFUNCTION("""COMPUTED_VALUE"""),"Slot")</f>
        <v>Slot</v>
      </c>
      <c r="L550" s="5" t="str">
        <f>IFERROR(__xludf.DUMMYFUNCTION("""COMPUTED_VALUE""")," Clone")</f>
        <v> Clone</v>
      </c>
      <c r="M550" s="5" t="str">
        <f>IFERROR(__xludf.DUMMYFUNCTION("""COMPUTED_VALUE"""),"Golden Crown")</f>
        <v>Golden Crown</v>
      </c>
      <c r="N550" s="5"/>
      <c r="O550" s="5"/>
      <c r="P550" s="12">
        <f>IFERROR(__xludf.DUMMYFUNCTION("""COMPUTED_VALUE"""),21.2)</f>
        <v>21.2</v>
      </c>
      <c r="Q550" s="13">
        <f>IFERROR(__xludf.DUMMYFUNCTION("""COMPUTED_VALUE"""),45915.0)</f>
        <v>45915</v>
      </c>
      <c r="R550" s="13">
        <f>IFERROR(__xludf.DUMMYFUNCTION("""COMPUTED_VALUE"""),45911.0)</f>
        <v>45911</v>
      </c>
      <c r="S550" s="13">
        <f>IFERROR(__xludf.DUMMYFUNCTION("""COMPUTED_VALUE"""),45918.0)</f>
        <v>45918</v>
      </c>
      <c r="T550" s="5" t="b">
        <f>IFERROR(__xludf.DUMMYFUNCTION("""COMPUTED_VALUE"""),FALSE)</f>
        <v>0</v>
      </c>
      <c r="U550" s="5" t="str">
        <f>IFERROR(__xludf.DUMMYFUNCTION("""COMPUTED_VALUE"""),"5x3")</f>
        <v>5x3</v>
      </c>
      <c r="V550" s="5">
        <f>IFERROR(__xludf.DUMMYFUNCTION("""COMPUTED_VALUE"""),10.0)</f>
        <v>10</v>
      </c>
      <c r="W550" s="5">
        <f>IFERROR(__xludf.DUMMYFUNCTION("""COMPUTED_VALUE"""),10.0)</f>
        <v>10</v>
      </c>
      <c r="X550" s="5">
        <f>IFERROR(__xludf.DUMMYFUNCTION("""COMPUTED_VALUE"""),95.962)</f>
        <v>95.962</v>
      </c>
      <c r="Y550" s="5" t="str">
        <f>IFERROR(__xludf.DUMMYFUNCTION("""COMPUTED_VALUE"""),"Medium")</f>
        <v>Medium</v>
      </c>
      <c r="Z550" s="5">
        <f>IFERROR(__xludf.DUMMYFUNCTION("""COMPUTED_VALUE"""),14.63)</f>
        <v>14.63</v>
      </c>
      <c r="AA550" s="5">
        <f>IFERROR(__xludf.DUMMYFUNCTION("""COMPUTED_VALUE"""),1538.0)</f>
        <v>1538</v>
      </c>
      <c r="AB550" s="5"/>
      <c r="AC550" s="5" t="str">
        <f>IFERROR(__xludf.DUMMYFUNCTION("""COMPUTED_VALUE"""),"Expanding Wild, Scatter")</f>
        <v>Expanding Wild, Scatter</v>
      </c>
      <c r="AD550" s="5" t="str">
        <f>IFERROR(__xludf.DUMMYFUNCTION("""COMPUTED_VALUE"""),"0.1/40")</f>
        <v>0.1/40</v>
      </c>
      <c r="AE550" s="5"/>
      <c r="AF550" s="5"/>
      <c r="AG550" s="8">
        <f>IFERROR(__xludf.DUMMYFUNCTION("""COMPUTED_VALUE"""),46160.42324074074)</f>
        <v>46160.42324</v>
      </c>
      <c r="AH550" s="5" t="str">
        <f>IFERROR(__xludf.DUMMYFUNCTION("""COMPUTED_VALUE"""),"danilo.subic@fazi.rs")</f>
        <v>danilo.subic@fazi.rs</v>
      </c>
      <c r="AI550" s="13"/>
      <c r="AJ550" s="5"/>
      <c r="AK550" s="5">
        <f>IFERROR(__xludf.DUMMYFUNCTION("""COMPUTED_VALUE"""),10.0)</f>
        <v>10</v>
      </c>
      <c r="AL550" s="5" t="str">
        <f>IFERROR(__xludf.DUMMYFUNCTION("""COMPUTED_VALUE"""),"Yes")</f>
        <v>Yes</v>
      </c>
      <c r="AM550" s="5"/>
      <c r="AN550" s="7" t="str">
        <f>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550" s="5"/>
      <c r="AP550" s="5" t="str">
        <f>IFERROR(__xludf.DUMMYFUNCTION("""COMPUTED_VALUE"""),"Yes")</f>
        <v>Yes</v>
      </c>
      <c r="AQ550" s="5" t="b">
        <f>IFERROR(__xludf.DUMMYFUNCTION("""COMPUTED_VALUE"""),TRUE)</f>
        <v>1</v>
      </c>
      <c r="AR550" s="5"/>
      <c r="AS550" s="5" t="str">
        <f>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AT550" s="5"/>
      <c r="AU550" s="5" t="str">
        <f>IFERROR(__xludf.DUMMYFUNCTION("""COMPUTED_VALUE"""),"Fazi")</f>
        <v>Fazi</v>
      </c>
      <c r="AV550" s="5"/>
      <c r="AW550" s="5"/>
      <c r="AX550" s="13">
        <f>IFERROR(__xludf.DUMMYFUNCTION("""COMPUTED_VALUE"""),45909.0)</f>
        <v>45909</v>
      </c>
      <c r="AY550" s="13"/>
      <c r="AZ550" s="13"/>
      <c r="BA550" s="5"/>
      <c r="BB550" s="5"/>
      <c r="BC550" s="5" t="str">
        <f>IFERROR(__xludf.DUMMYFUNCTION("""COMPUTED_VALUE"""),"Foxi")</f>
        <v>Foxi</v>
      </c>
      <c r="BD550" s="7" t="str">
        <f>IFERROR(__xludf.DUMMYFUNCTION("""COMPUTED_VALUE"""),"https://gameserver-store-client-area.orbionlimited.com/Home/IntegrationGameLaunch/client-area?moneyType=0&amp;gameName=GoldenCrownHalloween&amp;platform=desktop&amp;languageCode=eng&amp;currency=EUR")</f>
        <v>https://gameserver-store-client-area.orbionlimited.com/Home/IntegrationGameLaunch/client-area?moneyType=0&amp;gameName=GoldenCrownHalloween&amp;platform=desktop&amp;languageCode=eng&amp;currency=EUR</v>
      </c>
      <c r="BE550" s="5" t="b">
        <f>IFERROR(__xludf.DUMMYFUNCTION("""COMPUTED_VALUE"""),TRUE)</f>
        <v>1</v>
      </c>
    </row>
    <row r="551">
      <c r="A551" s="5">
        <f>IFERROR(__xludf.DUMMYFUNCTION("""COMPUTED_VALUE"""),585.0)</f>
        <v>585</v>
      </c>
      <c r="B551" s="5">
        <f>IFERROR(__xludf.DUMMYFUNCTION("""COMPUTED_VALUE"""),4024.0)</f>
        <v>4024</v>
      </c>
      <c r="C551" s="5" t="str">
        <f>IFERROR(__xludf.DUMMYFUNCTION("""COMPUTED_VALUE"""),"Fazi")</f>
        <v>Fazi</v>
      </c>
      <c r="D551" s="5" t="str">
        <f>IFERROR(__xludf.DUMMYFUNCTION("""COMPUTED_VALUE""")," Wild 27 Halloween")</f>
        <v> Wild 27 Halloween</v>
      </c>
      <c r="E551" s="5" t="str">
        <f>IFERROR(__xludf.DUMMYFUNCTION("""COMPUTED_VALUE"""),"Sertifikacioni")</f>
        <v>Sertifikacioni</v>
      </c>
      <c r="F551" s="5" t="str">
        <f>IFERROR(__xludf.DUMMYFUNCTION("""COMPUTED_VALUE"""),"Wild27Halloween")</f>
        <v>Wild27Halloween</v>
      </c>
      <c r="G551" s="5" t="str">
        <f>IFERROR(__xludf.DUMMYFUNCTION("""COMPUTED_VALUE"""),"Live")</f>
        <v>Live</v>
      </c>
      <c r="H551" s="5"/>
      <c r="I551" s="5" t="str">
        <f>IFERROR(__xludf.DUMMYFUNCTION("""COMPUTED_VALUE"""),"V4")</f>
        <v>V4</v>
      </c>
      <c r="J551" s="5" t="str">
        <f>IFERROR(__xludf.DUMMYFUNCTION("""COMPUTED_VALUE"""),"JSON")</f>
        <v>JSON</v>
      </c>
      <c r="K551" s="5" t="str">
        <f>IFERROR(__xludf.DUMMYFUNCTION("""COMPUTED_VALUE"""),"Slot")</f>
        <v>Slot</v>
      </c>
      <c r="L551" s="5" t="str">
        <f>IFERROR(__xludf.DUMMYFUNCTION("""COMPUTED_VALUE""")," Clone")</f>
        <v> Clone</v>
      </c>
      <c r="M551" s="5" t="str">
        <f>IFERROR(__xludf.DUMMYFUNCTION("""COMPUTED_VALUE"""),"Wild 27")</f>
        <v>Wild 27</v>
      </c>
      <c r="N551" s="5"/>
      <c r="O551" s="5"/>
      <c r="P551" s="12">
        <f>IFERROR(__xludf.DUMMYFUNCTION("""COMPUTED_VALUE"""),8.5)</f>
        <v>8.5</v>
      </c>
      <c r="Q551" s="13">
        <f>IFERROR(__xludf.DUMMYFUNCTION("""COMPUTED_VALUE"""),45915.0)</f>
        <v>45915</v>
      </c>
      <c r="R551" s="13">
        <f>IFERROR(__xludf.DUMMYFUNCTION("""COMPUTED_VALUE"""),45918.0)</f>
        <v>45918</v>
      </c>
      <c r="S551" s="13">
        <f>IFERROR(__xludf.DUMMYFUNCTION("""COMPUTED_VALUE"""),45925.0)</f>
        <v>45925</v>
      </c>
      <c r="T551" s="5" t="b">
        <f>IFERROR(__xludf.DUMMYFUNCTION("""COMPUTED_VALUE"""),TRUE)</f>
        <v>1</v>
      </c>
      <c r="U551" s="5" t="str">
        <f>IFERROR(__xludf.DUMMYFUNCTION("""COMPUTED_VALUE"""),"3x3")</f>
        <v>3x3</v>
      </c>
      <c r="V551" s="5">
        <f>IFERROR(__xludf.DUMMYFUNCTION("""COMPUTED_VALUE"""),27.0)</f>
        <v>27</v>
      </c>
      <c r="W551" s="5">
        <f>IFERROR(__xludf.DUMMYFUNCTION("""COMPUTED_VALUE"""),27.0)</f>
        <v>27</v>
      </c>
      <c r="X551" s="5">
        <f>IFERROR(__xludf.DUMMYFUNCTION("""COMPUTED_VALUE"""),96.24)</f>
        <v>96.24</v>
      </c>
      <c r="Y551" s="5" t="str">
        <f>IFERROR(__xludf.DUMMYFUNCTION("""COMPUTED_VALUE"""),"Low")</f>
        <v>Low</v>
      </c>
      <c r="Z551" s="5">
        <f>IFERROR(__xludf.DUMMYFUNCTION("""COMPUTED_VALUE"""),6.58)</f>
        <v>6.58</v>
      </c>
      <c r="AA551" s="5">
        <f>IFERROR(__xludf.DUMMYFUNCTION("""COMPUTED_VALUE"""),108.0)</f>
        <v>108</v>
      </c>
      <c r="AB551" s="5"/>
      <c r="AC551" s="5"/>
      <c r="AD551" s="5" t="str">
        <f>IFERROR(__xludf.DUMMYFUNCTION("""COMPUTED_VALUE"""),"0.1/40	")</f>
        <v>0.1/40	</v>
      </c>
      <c r="AE551" s="5"/>
      <c r="AF551" s="5"/>
      <c r="AG551" s="8">
        <f>IFERROR(__xludf.DUMMYFUNCTION("""COMPUTED_VALUE"""),46176.73872685185)</f>
        <v>46176.73873</v>
      </c>
      <c r="AH551" s="5" t="str">
        <f>IFERROR(__xludf.DUMMYFUNCTION("""COMPUTED_VALUE"""),"petra.ilic@fazi.rs")</f>
        <v>petra.ilic@fazi.rs</v>
      </c>
      <c r="AI551" s="13"/>
      <c r="AJ551" s="5"/>
      <c r="AK551" s="5">
        <f>IFERROR(__xludf.DUMMYFUNCTION("""COMPUTED_VALUE"""),1.0)</f>
        <v>1</v>
      </c>
      <c r="AL551" s="5" t="str">
        <f>IFERROR(__xludf.DUMMYFUNCTION("""COMPUTED_VALUE"""),"Yes")</f>
        <v>Yes</v>
      </c>
      <c r="AM551" s="5"/>
      <c r="AN551" s="7" t="str">
        <f>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AO551" s="5"/>
      <c r="AP551" s="5" t="str">
        <f>IFERROR(__xludf.DUMMYFUNCTION("""COMPUTED_VALUE"""),"Yes")</f>
        <v>Yes</v>
      </c>
      <c r="AQ551" s="5" t="b">
        <f>IFERROR(__xludf.DUMMYFUNCTION("""COMPUTED_VALUE"""),TRUE)</f>
        <v>1</v>
      </c>
      <c r="AR551" s="5"/>
      <c r="AS551" s="5" t="str">
        <f>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AT551" s="5"/>
      <c r="AU551" s="5" t="str">
        <f>IFERROR(__xludf.DUMMYFUNCTION("""COMPUTED_VALUE"""),"Fazi")</f>
        <v>Fazi</v>
      </c>
      <c r="AV551" s="5"/>
      <c r="AW551" s="5"/>
      <c r="AX551" s="13">
        <f>IFERROR(__xludf.DUMMYFUNCTION("""COMPUTED_VALUE"""),45909.0)</f>
        <v>45909</v>
      </c>
      <c r="AY551" s="13"/>
      <c r="AZ551" s="13"/>
      <c r="BA551" s="5"/>
      <c r="BB551" s="5"/>
      <c r="BC551" s="5" t="str">
        <f>IFERROR(__xludf.DUMMYFUNCTION("""COMPUTED_VALUE"""),"Foxi")</f>
        <v>Foxi</v>
      </c>
      <c r="BD551" s="7" t="str">
        <f>IFERROR(__xludf.DUMMYFUNCTION("""COMPUTED_VALUE"""),"https://gameserver-store-client-area.orbionlimited.com/Home/IntegrationGameLaunch/client-area?moneyType=0&amp;gameName=Wild27Halloween&amp;platform=desktop&amp;languageCode=eng&amp;currency=EUR")</f>
        <v>https://gameserver-store-client-area.orbionlimited.com/Home/IntegrationGameLaunch/client-area?moneyType=0&amp;gameName=Wild27Halloween&amp;platform=desktop&amp;languageCode=eng&amp;currency=EUR</v>
      </c>
      <c r="BE551" s="5" t="b">
        <f>IFERROR(__xludf.DUMMYFUNCTION("""COMPUTED_VALUE"""),TRUE)</f>
        <v>1</v>
      </c>
    </row>
    <row r="552">
      <c r="A552" s="5">
        <f>IFERROR(__xludf.DUMMYFUNCTION("""COMPUTED_VALUE"""),586.0)</f>
        <v>586</v>
      </c>
      <c r="B552" s="5">
        <f>IFERROR(__xludf.DUMMYFUNCTION("""COMPUTED_VALUE"""),4021.0)</f>
        <v>4021</v>
      </c>
      <c r="C552" s="5" t="str">
        <f>IFERROR(__xludf.DUMMYFUNCTION("""COMPUTED_VALUE"""),"Fazi")</f>
        <v>Fazi</v>
      </c>
      <c r="D552" s="5" t="str">
        <f>IFERROR(__xludf.DUMMYFUNCTION("""COMPUTED_VALUE"""),"Wild Wins 40")</f>
        <v>Wild Wins 40</v>
      </c>
      <c r="E552" s="5" t="str">
        <f>IFERROR(__xludf.DUMMYFUNCTION("""COMPUTED_VALUE"""),"Sertifikacioni")</f>
        <v>Sertifikacioni</v>
      </c>
      <c r="F552" s="5" t="str">
        <f>IFERROR(__xludf.DUMMYFUNCTION("""COMPUTED_VALUE"""),"WildWins40")</f>
        <v>WildWins40</v>
      </c>
      <c r="G552" s="5" t="str">
        <f>IFERROR(__xludf.DUMMYFUNCTION("""COMPUTED_VALUE"""),"Live")</f>
        <v>Live</v>
      </c>
      <c r="H552" s="5" t="str">
        <f>IFERROR(__xludf.DUMMYFUNCTION("""COMPUTED_VALUE"""),"WildWins40 - Soft2Bet")</f>
        <v>WildWins40 - Soft2Bet</v>
      </c>
      <c r="I552" s="5" t="str">
        <f>IFERROR(__xludf.DUMMYFUNCTION("""COMPUTED_VALUE"""),"V2")</f>
        <v>V2</v>
      </c>
      <c r="J552" s="5" t="str">
        <f>IFERROR(__xludf.DUMMYFUNCTION("""COMPUTED_VALUE"""),"JSON")</f>
        <v>JSON</v>
      </c>
      <c r="K552" s="5" t="str">
        <f>IFERROR(__xludf.DUMMYFUNCTION("""COMPUTED_VALUE"""),"Slot")</f>
        <v>Slot</v>
      </c>
      <c r="L552" s="5" t="str">
        <f>IFERROR(__xludf.DUMMYFUNCTION("""COMPUTED_VALUE""")," Clone")</f>
        <v> Clone</v>
      </c>
      <c r="M552" s="5" t="str">
        <f>IFERROR(__xludf.DUMMYFUNCTION("""COMPUTED_VALUE"""),"Wild Hot 40")</f>
        <v>Wild Hot 40</v>
      </c>
      <c r="N552" s="5"/>
      <c r="O552" s="5"/>
      <c r="P552" s="12"/>
      <c r="Q552" s="13">
        <f>IFERROR(__xludf.DUMMYFUNCTION("""COMPUTED_VALUE"""),45915.0)</f>
        <v>45915</v>
      </c>
      <c r="R552" s="13"/>
      <c r="S552" s="13">
        <f>IFERROR(__xludf.DUMMYFUNCTION("""COMPUTED_VALUE"""),45945.0)</f>
        <v>45945</v>
      </c>
      <c r="T552" s="5"/>
      <c r="U552" s="5" t="str">
        <f>IFERROR(__xludf.DUMMYFUNCTION("""COMPUTED_VALUE"""),"5x4")</f>
        <v>5x4</v>
      </c>
      <c r="V552" s="5">
        <f>IFERROR(__xludf.DUMMYFUNCTION("""COMPUTED_VALUE"""),40.0)</f>
        <v>40</v>
      </c>
      <c r="W552" s="5">
        <f>IFERROR(__xludf.DUMMYFUNCTION("""COMPUTED_VALUE"""),40.0)</f>
        <v>40</v>
      </c>
      <c r="X552" s="5">
        <f>IFERROR(__xludf.DUMMYFUNCTION("""COMPUTED_VALUE"""),96.584)</f>
        <v>96.584</v>
      </c>
      <c r="Y552" s="5" t="str">
        <f>IFERROR(__xludf.DUMMYFUNCTION("""COMPUTED_VALUE"""),"Low")</f>
        <v>Low</v>
      </c>
      <c r="Z552" s="5">
        <f>IFERROR(__xludf.DUMMYFUNCTION("""COMPUTED_VALUE"""),16.73)</f>
        <v>16.73</v>
      </c>
      <c r="AA552" s="5">
        <f>IFERROR(__xludf.DUMMYFUNCTION("""COMPUTED_VALUE"""),1000.0)</f>
        <v>1000</v>
      </c>
      <c r="AB552" s="5"/>
      <c r="AC552" s="5"/>
      <c r="AD552" s="5" t="str">
        <f>IFERROR(__xludf.DUMMYFUNCTION("""COMPUTED_VALUE"""),"0.40/60")</f>
        <v>0.40/60</v>
      </c>
      <c r="AE552" s="5"/>
      <c r="AF552" s="5"/>
      <c r="AG552" s="8">
        <f>IFERROR(__xludf.DUMMYFUNCTION("""COMPUTED_VALUE"""),46160.419328703705)</f>
        <v>46160.41933</v>
      </c>
      <c r="AH552" s="5" t="str">
        <f>IFERROR(__xludf.DUMMYFUNCTION("""COMPUTED_VALUE"""),"danilo.subic@fazi.rs")</f>
        <v>danilo.subic@fazi.rs</v>
      </c>
      <c r="AI552" s="13"/>
      <c r="AJ552" s="5"/>
      <c r="AK552" s="5">
        <f>IFERROR(__xludf.DUMMYFUNCTION("""COMPUTED_VALUE"""),40.0)</f>
        <v>40</v>
      </c>
      <c r="AL552" s="5" t="str">
        <f>IFERROR(__xludf.DUMMYFUNCTION("""COMPUTED_VALUE"""),"Yes")</f>
        <v>Yes</v>
      </c>
      <c r="AM552" s="5"/>
      <c r="AN552" s="5"/>
      <c r="AO552" s="5"/>
      <c r="AP552" s="5" t="str">
        <f>IFERROR(__xludf.DUMMYFUNCTION("""COMPUTED_VALUE"""),"Yes")</f>
        <v>Yes</v>
      </c>
      <c r="AQ552" s="5"/>
      <c r="AR552" s="5" t="b">
        <f>IFERROR(__xludf.DUMMYFUNCTION("""COMPUTED_VALUE"""),TRUE)</f>
        <v>1</v>
      </c>
      <c r="AS552" s="5"/>
      <c r="AT552" s="5"/>
      <c r="AU552" s="5" t="str">
        <f>IFERROR(__xludf.DUMMYFUNCTION("""COMPUTED_VALUE"""),"Fazi")</f>
        <v>Fazi</v>
      </c>
      <c r="AV552" s="5"/>
      <c r="AW552" s="5"/>
      <c r="AX552" s="13">
        <f>IFERROR(__xludf.DUMMYFUNCTION("""COMPUTED_VALUE"""),45909.0)</f>
        <v>45909</v>
      </c>
      <c r="AY552" s="13"/>
      <c r="AZ552" s="13"/>
      <c r="BA552" s="5"/>
      <c r="BB552" s="5"/>
      <c r="BC552" s="5" t="str">
        <f>IFERROR(__xludf.DUMMYFUNCTION("""COMPUTED_VALUE"""),"Foxi")</f>
        <v>Foxi</v>
      </c>
      <c r="BD552" s="5" t="str">
        <f>IFERROR(__xludf.DUMMYFUNCTION("""COMPUTED_VALUE"""),"")</f>
        <v/>
      </c>
      <c r="BE552" s="5"/>
    </row>
    <row r="553">
      <c r="A553" s="5">
        <f>IFERROR(__xludf.DUMMYFUNCTION("""COMPUTED_VALUE"""),587.0)</f>
        <v>587</v>
      </c>
      <c r="B553" s="5">
        <f>IFERROR(__xludf.DUMMYFUNCTION("""COMPUTED_VALUE"""),3000005.0)</f>
        <v>3000005</v>
      </c>
      <c r="C553" s="5" t="str">
        <f>IFERROR(__xludf.DUMMYFUNCTION("""COMPUTED_VALUE"""),"SOKO studio")</f>
        <v>SOKO studio</v>
      </c>
      <c r="D553" s="5" t="str">
        <f>IFERROR(__xludf.DUMMYFUNCTION("""COMPUTED_VALUE"""),"Sugar Luck")</f>
        <v>Sugar Luck</v>
      </c>
      <c r="E553" s="5" t="str">
        <f>IFERROR(__xludf.DUMMYFUNCTION("""COMPUTED_VALUE"""),"SOKO studio")</f>
        <v>SOKO studio</v>
      </c>
      <c r="F553" s="5" t="str">
        <f>IFERROR(__xludf.DUMMYFUNCTION("""COMPUTED_VALUE"""),"sugar-luck")</f>
        <v>sugar-luck</v>
      </c>
      <c r="G553" s="5" t="str">
        <f>IFERROR(__xludf.DUMMYFUNCTION("""COMPUTED_VALUE"""),"Live")</f>
        <v>Live</v>
      </c>
      <c r="H553" s="5"/>
      <c r="I553" s="5" t="str">
        <f>IFERROR(__xludf.DUMMYFUNCTION("""COMPUTED_VALUE"""),"SOKO studio")</f>
        <v>SOKO studio</v>
      </c>
      <c r="J553" s="5" t="str">
        <f>IFERROR(__xludf.DUMMYFUNCTION("""COMPUTED_VALUE"""),"Aggregation platform")</f>
        <v>Aggregation platform</v>
      </c>
      <c r="K553" s="5" t="str">
        <f>IFERROR(__xludf.DUMMYFUNCTION("""COMPUTED_VALUE"""),"Slot")</f>
        <v>Slot</v>
      </c>
      <c r="L553" s="5"/>
      <c r="M553" s="5"/>
      <c r="N553" s="5"/>
      <c r="O553" s="5"/>
      <c r="P553" s="12"/>
      <c r="Q553" s="13">
        <f>IFERROR(__xludf.DUMMYFUNCTION("""COMPUTED_VALUE"""),45876.0)</f>
        <v>45876</v>
      </c>
      <c r="R553" s="13"/>
      <c r="S553" s="13">
        <f>IFERROR(__xludf.DUMMYFUNCTION("""COMPUTED_VALUE"""),45908.0)</f>
        <v>45908</v>
      </c>
      <c r="T553" s="5"/>
      <c r="U553" s="5"/>
      <c r="V553" s="5"/>
      <c r="W553" s="5"/>
      <c r="X553" s="5"/>
      <c r="Y553" s="5"/>
      <c r="Z553" s="5"/>
      <c r="AA553" s="5"/>
      <c r="AB553" s="5"/>
      <c r="AC553" s="5"/>
      <c r="AD553" s="5"/>
      <c r="AE553" s="5"/>
      <c r="AF553" s="5"/>
      <c r="AG553" s="8">
        <f>IFERROR(__xludf.DUMMYFUNCTION("""COMPUTED_VALUE"""),46083.697534722225)</f>
        <v>46083.69753</v>
      </c>
      <c r="AH553" s="5" t="str">
        <f>IFERROR(__xludf.DUMMYFUNCTION("""COMPUTED_VALUE"""),"vanja.svetska@fazi.rs")</f>
        <v>vanja.svetska@fazi.rs</v>
      </c>
      <c r="AI553" s="13"/>
      <c r="AJ553" s="5" t="str">
        <f>IFERROR(__xludf.DUMMYFUNCTION("""COMPUTED_VALUE"""),"AGREGACIONA PLATFORMA")</f>
        <v>AGREGACIONA PLATFORMA</v>
      </c>
      <c r="AK553" s="5"/>
      <c r="AL553" s="5"/>
      <c r="AM553" s="5"/>
      <c r="AN553" s="5"/>
      <c r="AO553" s="5"/>
      <c r="AP553" s="5"/>
      <c r="AQ553" s="5"/>
      <c r="AR553" s="5"/>
      <c r="AS553" s="5"/>
      <c r="AT553" s="5"/>
      <c r="AU553" s="5" t="str">
        <f>IFERROR(__xludf.DUMMYFUNCTION("""COMPUTED_VALUE"""),"SOKO studio")</f>
        <v>SOKO studio</v>
      </c>
      <c r="AV553" s="5"/>
      <c r="AW553" s="5"/>
      <c r="AX553" s="5"/>
      <c r="AY553" s="5"/>
      <c r="AZ553" s="5"/>
      <c r="BA553" s="5" t="str">
        <f>IFERROR(__xludf.DUMMYFUNCTION("""COMPUTED_VALUE"""),"")</f>
        <v/>
      </c>
      <c r="BB553" s="5"/>
      <c r="BC553" s="5" t="str">
        <f>IFERROR(__xludf.DUMMYFUNCTION("""COMPUTED_VALUE"""),"SOKO studio")</f>
        <v>SOKO studio</v>
      </c>
      <c r="BD553" s="5"/>
      <c r="BE553" s="5"/>
    </row>
    <row r="554">
      <c r="A554" s="5">
        <f>IFERROR(__xludf.DUMMYFUNCTION("""COMPUTED_VALUE"""),588.0)</f>
        <v>588</v>
      </c>
      <c r="B554" s="5">
        <f>IFERROR(__xludf.DUMMYFUNCTION("""COMPUTED_VALUE"""),3000006.0)</f>
        <v>3000006</v>
      </c>
      <c r="C554" s="5" t="str">
        <f>IFERROR(__xludf.DUMMYFUNCTION("""COMPUTED_VALUE"""),"SOKO studio")</f>
        <v>SOKO studio</v>
      </c>
      <c r="D554" s="5" t="str">
        <f>IFERROR(__xludf.DUMMYFUNCTION("""COMPUTED_VALUE"""),"Fruity Luck")</f>
        <v>Fruity Luck</v>
      </c>
      <c r="E554" s="5" t="str">
        <f>IFERROR(__xludf.DUMMYFUNCTION("""COMPUTED_VALUE"""),"SOKO studio")</f>
        <v>SOKO studio</v>
      </c>
      <c r="F554" s="5" t="str">
        <f>IFERROR(__xludf.DUMMYFUNCTION("""COMPUTED_VALUE"""),"fruity-luck")</f>
        <v>fruity-luck</v>
      </c>
      <c r="G554" s="5" t="str">
        <f>IFERROR(__xludf.DUMMYFUNCTION("""COMPUTED_VALUE"""),"Live")</f>
        <v>Live</v>
      </c>
      <c r="H554" s="5"/>
      <c r="I554" s="5" t="str">
        <f>IFERROR(__xludf.DUMMYFUNCTION("""COMPUTED_VALUE"""),"SOKO studio")</f>
        <v>SOKO studio</v>
      </c>
      <c r="J554" s="5" t="str">
        <f>IFERROR(__xludf.DUMMYFUNCTION("""COMPUTED_VALUE"""),"Aggregation platform")</f>
        <v>Aggregation platform</v>
      </c>
      <c r="K554" s="5" t="str">
        <f>IFERROR(__xludf.DUMMYFUNCTION("""COMPUTED_VALUE"""),"Slot")</f>
        <v>Slot</v>
      </c>
      <c r="L554" s="5"/>
      <c r="M554" s="5"/>
      <c r="N554" s="5"/>
      <c r="O554" s="5"/>
      <c r="P554" s="12"/>
      <c r="Q554" s="13">
        <f>IFERROR(__xludf.DUMMYFUNCTION("""COMPUTED_VALUE"""),45876.0)</f>
        <v>45876</v>
      </c>
      <c r="R554" s="13"/>
      <c r="S554" s="13">
        <f>IFERROR(__xludf.DUMMYFUNCTION("""COMPUTED_VALUE"""),45915.0)</f>
        <v>45915</v>
      </c>
      <c r="T554" s="5" t="b">
        <f>IFERROR(__xludf.DUMMYFUNCTION("""COMPUTED_VALUE"""),TRUE)</f>
        <v>1</v>
      </c>
      <c r="U554" s="5"/>
      <c r="V554" s="5"/>
      <c r="W554" s="5"/>
      <c r="X554" s="5"/>
      <c r="Y554" s="5"/>
      <c r="Z554" s="5"/>
      <c r="AA554" s="5"/>
      <c r="AB554" s="5"/>
      <c r="AC554" s="5"/>
      <c r="AD554" s="5"/>
      <c r="AE554" s="5"/>
      <c r="AF554" s="5"/>
      <c r="AG554" s="8">
        <f>IFERROR(__xludf.DUMMYFUNCTION("""COMPUTED_VALUE"""),46083.696967592594)</f>
        <v>46083.69697</v>
      </c>
      <c r="AH554" s="5" t="str">
        <f>IFERROR(__xludf.DUMMYFUNCTION("""COMPUTED_VALUE"""),"vanja.svetska@fazi.rs")</f>
        <v>vanja.svetska@fazi.rs</v>
      </c>
      <c r="AI554" s="13"/>
      <c r="AJ554" s="5"/>
      <c r="AK554" s="5"/>
      <c r="AL554" s="5"/>
      <c r="AM554" s="5"/>
      <c r="AN554" s="5"/>
      <c r="AO554" s="5"/>
      <c r="AP554" s="5"/>
      <c r="AQ554" s="5"/>
      <c r="AR554" s="5"/>
      <c r="AS554" s="5"/>
      <c r="AT554" s="5"/>
      <c r="AU554" s="5" t="str">
        <f>IFERROR(__xludf.DUMMYFUNCTION("""COMPUTED_VALUE"""),"SOKO studio")</f>
        <v>SOKO studio</v>
      </c>
      <c r="AV554" s="5"/>
      <c r="AW554" s="5"/>
      <c r="AX554" s="5"/>
      <c r="AY554" s="5"/>
      <c r="AZ554" s="5"/>
      <c r="BA554" s="5" t="str">
        <f>IFERROR(__xludf.DUMMYFUNCTION("""COMPUTED_VALUE"""),"")</f>
        <v/>
      </c>
      <c r="BB554" s="5"/>
      <c r="BC554" s="5" t="str">
        <f>IFERROR(__xludf.DUMMYFUNCTION("""COMPUTED_VALUE"""),"SOKO studio")</f>
        <v>SOKO studio</v>
      </c>
      <c r="BD554" s="5"/>
      <c r="BE554" s="5"/>
    </row>
    <row r="555">
      <c r="A555" s="5">
        <f>IFERROR(__xludf.DUMMYFUNCTION("""COMPUTED_VALUE"""),589.0)</f>
        <v>589</v>
      </c>
      <c r="B555" s="5">
        <f>IFERROR(__xludf.DUMMYFUNCTION("""COMPUTED_VALUE"""),4020.0)</f>
        <v>4020</v>
      </c>
      <c r="C555" s="5" t="str">
        <f>IFERROR(__xludf.DUMMYFUNCTION("""COMPUTED_VALUE"""),"Fazi")</f>
        <v>Fazi</v>
      </c>
      <c r="D555" s="5" t="str">
        <f>IFERROR(__xludf.DUMMYFUNCTION("""COMPUTED_VALUE"""),"BongoBongo Hot 40")</f>
        <v>BongoBongo Hot 40</v>
      </c>
      <c r="E555" s="5" t="str">
        <f>IFERROR(__xludf.DUMMYFUNCTION("""COMPUTED_VALUE"""),"Sertifikacioni")</f>
        <v>Sertifikacioni</v>
      </c>
      <c r="F555" s="5" t="str">
        <f>IFERROR(__xludf.DUMMYFUNCTION("""COMPUTED_VALUE"""),"BongoBongoHot40")</f>
        <v>BongoBongoHot40</v>
      </c>
      <c r="G555" s="5" t="str">
        <f>IFERROR(__xludf.DUMMYFUNCTION("""COMPUTED_VALUE"""),"Live")</f>
        <v>Live</v>
      </c>
      <c r="H555" s="5"/>
      <c r="I555" s="5" t="str">
        <f>IFERROR(__xludf.DUMMYFUNCTION("""COMPUTED_VALUE"""),"V2")</f>
        <v>V2</v>
      </c>
      <c r="J555" s="5" t="str">
        <f>IFERROR(__xludf.DUMMYFUNCTION("""COMPUTED_VALUE"""),"JSON")</f>
        <v>JSON</v>
      </c>
      <c r="K555" s="5" t="str">
        <f>IFERROR(__xludf.DUMMYFUNCTION("""COMPUTED_VALUE"""),"Slot")</f>
        <v>Slot</v>
      </c>
      <c r="L555" s="5" t="str">
        <f>IFERROR(__xludf.DUMMYFUNCTION("""COMPUTED_VALUE""")," Reskin")</f>
        <v> Reskin</v>
      </c>
      <c r="M555" s="5" t="str">
        <f>IFERROR(__xludf.DUMMYFUNCTION("""COMPUTED_VALUE"""),"Wild Hot 40")</f>
        <v>Wild Hot 40</v>
      </c>
      <c r="N555" s="5"/>
      <c r="O555" s="5"/>
      <c r="P555" s="12"/>
      <c r="Q555" s="13"/>
      <c r="R555" s="13"/>
      <c r="S555" s="13"/>
      <c r="T555" s="5"/>
      <c r="U555" s="5" t="str">
        <f>IFERROR(__xludf.DUMMYFUNCTION("""COMPUTED_VALUE"""),"5x4")</f>
        <v>5x4</v>
      </c>
      <c r="V555" s="5">
        <f>IFERROR(__xludf.DUMMYFUNCTION("""COMPUTED_VALUE"""),40.0)</f>
        <v>40</v>
      </c>
      <c r="W555" s="5">
        <f>IFERROR(__xludf.DUMMYFUNCTION("""COMPUTED_VALUE"""),40.0)</f>
        <v>40</v>
      </c>
      <c r="X555" s="5">
        <f>IFERROR(__xludf.DUMMYFUNCTION("""COMPUTED_VALUE"""),96.584)</f>
        <v>96.584</v>
      </c>
      <c r="Y555" s="5" t="str">
        <f>IFERROR(__xludf.DUMMYFUNCTION("""COMPUTED_VALUE"""),"Low")</f>
        <v>Low</v>
      </c>
      <c r="Z555" s="5">
        <f>IFERROR(__xludf.DUMMYFUNCTION("""COMPUTED_VALUE"""),16.73)</f>
        <v>16.73</v>
      </c>
      <c r="AA555" s="5">
        <f>IFERROR(__xludf.DUMMYFUNCTION("""COMPUTED_VALUE"""),1000.0)</f>
        <v>1000</v>
      </c>
      <c r="AB555" s="5"/>
      <c r="AC555" s="5"/>
      <c r="AD555" s="5" t="str">
        <f>IFERROR(__xludf.DUMMYFUNCTION("""COMPUTED_VALUE"""),"0.40/60")</f>
        <v>0.40/60</v>
      </c>
      <c r="AE555" s="5"/>
      <c r="AF555" s="5"/>
      <c r="AG555" s="8">
        <f>IFERROR(__xludf.DUMMYFUNCTION("""COMPUTED_VALUE"""),46160.4190625)</f>
        <v>46160.41906</v>
      </c>
      <c r="AH555" s="5" t="str">
        <f>IFERROR(__xludf.DUMMYFUNCTION("""COMPUTED_VALUE"""),"danilo.subic@fazi.rs")</f>
        <v>danilo.subic@fazi.rs</v>
      </c>
      <c r="AI555" s="13"/>
      <c r="AJ555" s="5"/>
      <c r="AK555" s="5">
        <f>IFERROR(__xludf.DUMMYFUNCTION("""COMPUTED_VALUE"""),40.0)</f>
        <v>40</v>
      </c>
      <c r="AL555" s="5" t="str">
        <f>IFERROR(__xludf.DUMMYFUNCTION("""COMPUTED_VALUE"""),"Yes")</f>
        <v>Yes</v>
      </c>
      <c r="AM555" s="5"/>
      <c r="AN555" s="5"/>
      <c r="AO555" s="5"/>
      <c r="AP555" s="5"/>
      <c r="AQ555" s="5"/>
      <c r="AR555" s="5" t="b">
        <f>IFERROR(__xludf.DUMMYFUNCTION("""COMPUTED_VALUE"""),TRUE)</f>
        <v>1</v>
      </c>
      <c r="AS555" s="5"/>
      <c r="AT555" s="5"/>
      <c r="AU555" s="5" t="str">
        <f>IFERROR(__xludf.DUMMYFUNCTION("""COMPUTED_VALUE"""),"Fazi")</f>
        <v>Fazi</v>
      </c>
      <c r="AV555" s="5">
        <f>IFERROR(__xludf.DUMMYFUNCTION("""COMPUTED_VALUE"""),40.0)</f>
        <v>40</v>
      </c>
      <c r="AW555" s="5"/>
      <c r="AX555" s="5"/>
      <c r="AY555" s="5"/>
      <c r="AZ555" s="5"/>
      <c r="BA555" s="5"/>
      <c r="BB555" s="5"/>
      <c r="BC555" s="5" t="str">
        <f>IFERROR(__xludf.DUMMYFUNCTION("""COMPUTED_VALUE"""),"Foxi")</f>
        <v>Foxi</v>
      </c>
      <c r="BD555" s="5" t="str">
        <f>IFERROR(__xludf.DUMMYFUNCTION("""COMPUTED_VALUE"""),"")</f>
        <v/>
      </c>
      <c r="BE555" s="5"/>
    </row>
    <row r="556">
      <c r="A556" s="5">
        <f>IFERROR(__xludf.DUMMYFUNCTION("""COMPUTED_VALUE"""),590.0)</f>
        <v>590</v>
      </c>
      <c r="B556" s="5">
        <f>IFERROR(__xludf.DUMMYFUNCTION("""COMPUTED_VALUE"""),4018.0)</f>
        <v>4018</v>
      </c>
      <c r="C556" s="5" t="str">
        <f>IFERROR(__xludf.DUMMYFUNCTION("""COMPUTED_VALUE"""),"Fazi")</f>
        <v>Fazi</v>
      </c>
      <c r="D556" s="5" t="str">
        <f>IFERROR(__xludf.DUMMYFUNCTION("""COMPUTED_VALUE"""),"Bet Arabia Free Spins")</f>
        <v>Bet Arabia Free Spins</v>
      </c>
      <c r="E556" s="5" t="str">
        <f>IFERROR(__xludf.DUMMYFUNCTION("""COMPUTED_VALUE"""),"Sertifikacioni")</f>
        <v>Sertifikacioni</v>
      </c>
      <c r="F556" s="5" t="str">
        <f>IFERROR(__xludf.DUMMYFUNCTION("""COMPUTED_VALUE"""),"BetArabiaFreeSpins")</f>
        <v>BetArabiaFreeSpins</v>
      </c>
      <c r="G556" s="5" t="str">
        <f>IFERROR(__xludf.DUMMYFUNCTION("""COMPUTED_VALUE"""),"Live")</f>
        <v>Live</v>
      </c>
      <c r="H556" s="5"/>
      <c r="I556" s="5" t="str">
        <f>IFERROR(__xludf.DUMMYFUNCTION("""COMPUTED_VALUE"""),"V2")</f>
        <v>V2</v>
      </c>
      <c r="J556" s="5" t="str">
        <f>IFERROR(__xludf.DUMMYFUNCTION("""COMPUTED_VALUE"""),"JSON")</f>
        <v>JSON</v>
      </c>
      <c r="K556" s="5" t="str">
        <f>IFERROR(__xludf.DUMMYFUNCTION("""COMPUTED_VALUE"""),"Slot")</f>
        <v>Slot</v>
      </c>
      <c r="L556" s="5" t="str">
        <f>IFERROR(__xludf.DUMMYFUNCTION("""COMPUTED_VALUE""")," Reskin")</f>
        <v> Reskin</v>
      </c>
      <c r="M556" s="5" t="str">
        <f>IFERROR(__xludf.DUMMYFUNCTION("""COMPUTED_VALUE"""),"Crystal Hot 40 Free")</f>
        <v>Crystal Hot 40 Free</v>
      </c>
      <c r="N556" s="5"/>
      <c r="O556" s="5"/>
      <c r="P556" s="12"/>
      <c r="Q556" s="13"/>
      <c r="R556" s="13"/>
      <c r="S556" s="13"/>
      <c r="T556" s="5"/>
      <c r="U556" s="5" t="str">
        <f>IFERROR(__xludf.DUMMYFUNCTION("""COMPUTED_VALUE"""),"5x4")</f>
        <v>5x4</v>
      </c>
      <c r="V556" s="5">
        <f>IFERROR(__xludf.DUMMYFUNCTION("""COMPUTED_VALUE"""),40.0)</f>
        <v>40</v>
      </c>
      <c r="W556" s="5">
        <f>IFERROR(__xludf.DUMMYFUNCTION("""COMPUTED_VALUE"""),40.0)</f>
        <v>40</v>
      </c>
      <c r="X556" s="5">
        <f>IFERROR(__xludf.DUMMYFUNCTION("""COMPUTED_VALUE"""),96.024)</f>
        <v>96.024</v>
      </c>
      <c r="Y556" s="5" t="str">
        <f>IFERROR(__xludf.DUMMYFUNCTION("""COMPUTED_VALUE"""),"Low")</f>
        <v>Low</v>
      </c>
      <c r="Z556" s="5">
        <f>IFERROR(__xludf.DUMMYFUNCTION("""COMPUTED_VALUE"""),17.23)</f>
        <v>17.23</v>
      </c>
      <c r="AA556" s="5">
        <f>IFERROR(__xludf.DUMMYFUNCTION("""COMPUTED_VALUE"""),1046.0)</f>
        <v>1046</v>
      </c>
      <c r="AB556" s="5"/>
      <c r="AC556" s="5"/>
      <c r="AD556" s="5"/>
      <c r="AE556" s="5"/>
      <c r="AF556" s="5"/>
      <c r="AG556" s="8">
        <f>IFERROR(__xludf.DUMMYFUNCTION("""COMPUTED_VALUE"""),46080.441782407404)</f>
        <v>46080.44178</v>
      </c>
      <c r="AH556" s="5" t="str">
        <f>IFERROR(__xludf.DUMMYFUNCTION("""COMPUTED_VALUE"""),"danilo.subic@fazi.rs")</f>
        <v>danilo.subic@fazi.rs</v>
      </c>
      <c r="AI556" s="13"/>
      <c r="AJ556" s="5"/>
      <c r="AK556" s="5">
        <f>IFERROR(__xludf.DUMMYFUNCTION("""COMPUTED_VALUE"""),40.0)</f>
        <v>40</v>
      </c>
      <c r="AL556" s="5" t="str">
        <f>IFERROR(__xludf.DUMMYFUNCTION("""COMPUTED_VALUE"""),"Yes")</f>
        <v>Yes</v>
      </c>
      <c r="AM556" s="5"/>
      <c r="AN556" s="5"/>
      <c r="AO556" s="5" t="str">
        <f>IFERROR(__xludf.DUMMYFUNCTION("""COMPUTED_VALUE"""),"Yes")</f>
        <v>Yes</v>
      </c>
      <c r="AP556" s="5"/>
      <c r="AQ556" s="5"/>
      <c r="AR556" s="5" t="b">
        <f>IFERROR(__xludf.DUMMYFUNCTION("""COMPUTED_VALUE"""),TRUE)</f>
        <v>1</v>
      </c>
      <c r="AS556" s="5"/>
      <c r="AT556" s="5"/>
      <c r="AU556" s="5" t="str">
        <f>IFERROR(__xludf.DUMMYFUNCTION("""COMPUTED_VALUE"""),"Fazi")</f>
        <v>Fazi</v>
      </c>
      <c r="AV556" s="5">
        <f>IFERROR(__xludf.DUMMYFUNCTION("""COMPUTED_VALUE"""),40.0)</f>
        <v>40</v>
      </c>
      <c r="AW556" s="5"/>
      <c r="AX556" s="5"/>
      <c r="AY556" s="5"/>
      <c r="AZ556" s="5"/>
      <c r="BA556" s="5" t="str">
        <f>IFERROR(__xludf.DUMMYFUNCTION("""COMPUTED_VALUE"""),"")</f>
        <v/>
      </c>
      <c r="BB556" s="5"/>
      <c r="BC556" s="5" t="str">
        <f>IFERROR(__xludf.DUMMYFUNCTION("""COMPUTED_VALUE"""),"Foxi")</f>
        <v>Foxi</v>
      </c>
      <c r="BD556" s="5" t="str">
        <f>IFERROR(__xludf.DUMMYFUNCTION("""COMPUTED_VALUE"""),"")</f>
        <v/>
      </c>
      <c r="BE556" s="5"/>
    </row>
    <row r="557">
      <c r="A557" s="5">
        <f>IFERROR(__xludf.DUMMYFUNCTION("""COMPUTED_VALUE"""),591.0)</f>
        <v>591</v>
      </c>
      <c r="B557" s="5">
        <f>IFERROR(__xludf.DUMMYFUNCTION("""COMPUTED_VALUE"""),3000000.0)</f>
        <v>3000000</v>
      </c>
      <c r="C557" s="5" t="str">
        <f>IFERROR(__xludf.DUMMYFUNCTION("""COMPUTED_VALUE"""),"Tiptop")</f>
        <v>Tiptop</v>
      </c>
      <c r="D557" s="5" t="str">
        <f>IFERROR(__xludf.DUMMYFUNCTION("""COMPUTED_VALUE"""),"Super High Runner")</f>
        <v>Super High Runner</v>
      </c>
      <c r="E557" s="5" t="str">
        <f>IFERROR(__xludf.DUMMYFUNCTION("""COMPUTED_VALUE"""),"TipTop")</f>
        <v>TipTop</v>
      </c>
      <c r="F557" s="5" t="str">
        <f>IFERROR(__xludf.DUMMYFUNCTION("""COMPUTED_VALUE"""),"UnicornSuperHighRunner")</f>
        <v>UnicornSuperHighRunner</v>
      </c>
      <c r="G557" s="5" t="str">
        <f>IFERROR(__xludf.DUMMYFUNCTION("""COMPUTED_VALUE"""),"Live")</f>
        <v>Live</v>
      </c>
      <c r="H557" s="5"/>
      <c r="I557" s="5"/>
      <c r="J557" s="5" t="str">
        <f>IFERROR(__xludf.DUMMYFUNCTION("""COMPUTED_VALUE"""),"JSON")</f>
        <v>JSON</v>
      </c>
      <c r="K557" s="5" t="str">
        <f>IFERROR(__xludf.DUMMYFUNCTION("""COMPUTED_VALUE"""),"Slot")</f>
        <v>Slot</v>
      </c>
      <c r="L557" s="5" t="str">
        <f>IFERROR(__xludf.DUMMYFUNCTION("""COMPUTED_VALUE"""),"Master")</f>
        <v>Master</v>
      </c>
      <c r="M557" s="5"/>
      <c r="N557" s="5"/>
      <c r="O557" s="5"/>
      <c r="P557" s="12">
        <f>IFERROR(__xludf.DUMMYFUNCTION("""COMPUTED_VALUE"""),10.3)</f>
        <v>10.3</v>
      </c>
      <c r="Q557" s="13">
        <f>IFERROR(__xludf.DUMMYFUNCTION("""COMPUTED_VALUE"""),45915.0)</f>
        <v>45915</v>
      </c>
      <c r="R557" s="13">
        <f>IFERROR(__xludf.DUMMYFUNCTION("""COMPUTED_VALUE"""),45938.0)</f>
        <v>45938</v>
      </c>
      <c r="S557" s="13">
        <f>IFERROR(__xludf.DUMMYFUNCTION("""COMPUTED_VALUE"""),45945.0)</f>
        <v>45945</v>
      </c>
      <c r="T557" s="5" t="b">
        <f>IFERROR(__xludf.DUMMYFUNCTION("""COMPUTED_VALUE"""),TRUE)</f>
        <v>1</v>
      </c>
      <c r="U557" s="5" t="str">
        <f>IFERROR(__xludf.DUMMYFUNCTION("""COMPUTED_VALUE"""),"5X3")</f>
        <v>5X3</v>
      </c>
      <c r="V557" s="5">
        <f>IFERROR(__xludf.DUMMYFUNCTION("""COMPUTED_VALUE"""),5.0)</f>
        <v>5</v>
      </c>
      <c r="W557" s="5">
        <f>IFERROR(__xludf.DUMMYFUNCTION("""COMPUTED_VALUE"""),5.0)</f>
        <v>5</v>
      </c>
      <c r="X557" s="5">
        <f>IFERROR(__xludf.DUMMYFUNCTION("""COMPUTED_VALUE"""),96.0)</f>
        <v>96</v>
      </c>
      <c r="Y557" s="5" t="str">
        <f>IFERROR(__xludf.DUMMYFUNCTION("""COMPUTED_VALUE"""),"Low")</f>
        <v>Low</v>
      </c>
      <c r="Z557" s="5">
        <f>IFERROR(__xludf.DUMMYFUNCTION("""COMPUTED_VALUE"""),10.9)</f>
        <v>10.9</v>
      </c>
      <c r="AA557" s="5">
        <f>IFERROR(__xludf.DUMMYFUNCTION("""COMPUTED_VALUE"""),1030.0)</f>
        <v>1030</v>
      </c>
      <c r="AB557" s="5"/>
      <c r="AC557" s="5"/>
      <c r="AD557" s="5" t="str">
        <f>IFERROR(__xludf.DUMMYFUNCTION("""COMPUTED_VALUE"""),"0.05/100")</f>
        <v>0.05/100</v>
      </c>
      <c r="AE557" s="5"/>
      <c r="AF557" s="5"/>
      <c r="AG557" s="8">
        <f>IFERROR(__xludf.DUMMYFUNCTION("""COMPUTED_VALUE"""),46197.5018287037)</f>
        <v>46197.50183</v>
      </c>
      <c r="AH557" s="5" t="str">
        <f>IFERROR(__xludf.DUMMYFUNCTION("""COMPUTED_VALUE"""),"selena.mihajlovic@fazi.rs")</f>
        <v>selena.mihajlovic@fazi.rs</v>
      </c>
      <c r="AI557" s="13">
        <f>IFERROR(__xludf.DUMMYFUNCTION("""COMPUTED_VALUE"""),45917.0)</f>
        <v>45917</v>
      </c>
      <c r="AJ557" s="5" t="str">
        <f>IFERROR(__xludf.DUMMYFUNCTION("""COMPUTED_VALUE"""),"Volcano Montenegro")</f>
        <v>Volcano Montenegro</v>
      </c>
      <c r="AK557" s="5">
        <f>IFERROR(__xludf.DUMMYFUNCTION("""COMPUTED_VALUE"""),5.0)</f>
        <v>5</v>
      </c>
      <c r="AL557" s="5" t="str">
        <f>IFERROR(__xludf.DUMMYFUNCTION("""COMPUTED_VALUE"""),"No")</f>
        <v>No</v>
      </c>
      <c r="AM557" s="5"/>
      <c r="AN557" s="7" t="str">
        <f>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AO557" s="5"/>
      <c r="AP557" s="5"/>
      <c r="AQ557" s="5" t="b">
        <f>IFERROR(__xludf.DUMMYFUNCTION("""COMPUTED_VALUE"""),TRUE)</f>
        <v>1</v>
      </c>
      <c r="AR557" s="5"/>
      <c r="AS557" s="5" t="str">
        <f>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AT557" s="5"/>
      <c r="AU557" s="5" t="str">
        <f>IFERROR(__xludf.DUMMYFUNCTION("""COMPUTED_VALUE"""),"Tiptop")</f>
        <v>Tiptop</v>
      </c>
      <c r="AV557" s="5"/>
      <c r="AW557" s="5"/>
      <c r="AX557" s="13">
        <f>IFERROR(__xludf.DUMMYFUNCTION("""COMPUTED_VALUE"""),45902.0)</f>
        <v>45902</v>
      </c>
      <c r="AY557" s="13"/>
      <c r="AZ557" s="13"/>
      <c r="BA557" s="5"/>
      <c r="BB557" s="5" t="b">
        <f>IFERROR(__xludf.DUMMYFUNCTION("""COMPUTED_VALUE"""),TRUE)</f>
        <v>1</v>
      </c>
      <c r="BC557" s="5" t="str">
        <f>IFERROR(__xludf.DUMMYFUNCTION("""COMPUTED_VALUE"""),"Tiptop")</f>
        <v>Tiptop</v>
      </c>
      <c r="BD557" s="7" t="str">
        <f>IFERROR(__xludf.DUMMYFUNCTION("""COMPUTED_VALUE"""),"https://gameserver-store-client-area.orbionlimited.com/Home/IntegrationGameLaunch/client-area?moneyType=0&amp;gameName=UnicornSuperHighRunner&amp;platform=desktop&amp;languageCode=eng&amp;currency=EUR")</f>
        <v>https://gameserver-store-client-area.orbionlimited.com/Home/IntegrationGameLaunch/client-area?moneyType=0&amp;gameName=UnicornSuperHighRunner&amp;platform=desktop&amp;languageCode=eng&amp;currency=EUR</v>
      </c>
      <c r="BE557" s="5" t="b">
        <f>IFERROR(__xludf.DUMMYFUNCTION("""COMPUTED_VALUE"""),TRUE)</f>
        <v>1</v>
      </c>
    </row>
    <row r="558">
      <c r="A558" s="5">
        <f>IFERROR(__xludf.DUMMYFUNCTION("""COMPUTED_VALUE"""),592.0)</f>
        <v>592</v>
      </c>
      <c r="B558" s="5">
        <f>IFERROR(__xludf.DUMMYFUNCTION("""COMPUTED_VALUE"""),511.0)</f>
        <v>511</v>
      </c>
      <c r="C558" s="5" t="str">
        <f>IFERROR(__xludf.DUMMYFUNCTION("""COMPUTED_VALUE"""),"Playnet")</f>
        <v>Playnet</v>
      </c>
      <c r="D558" s="5" t="str">
        <f>IFERROR(__xludf.DUMMYFUNCTION("""COMPUTED_VALUE"""),"Brewmaster's Bank")</f>
        <v>Brewmaster's Bank</v>
      </c>
      <c r="E558" s="5" t="str">
        <f>IFERROR(__xludf.DUMMYFUNCTION("""COMPUTED_VALUE"""),"Sertifikacioni")</f>
        <v>Sertifikacioni</v>
      </c>
      <c r="F558" s="5" t="str">
        <f>IFERROR(__xludf.DUMMYFUNCTION("""COMPUTED_VALUE"""),"PlayNetBrewmastersBank")</f>
        <v>PlayNetBrewmastersBank</v>
      </c>
      <c r="G558" s="5" t="str">
        <f>IFERROR(__xludf.DUMMYFUNCTION("""COMPUTED_VALUE"""),"Live")</f>
        <v>Live</v>
      </c>
      <c r="H558" s="5"/>
      <c r="I558" s="5"/>
      <c r="J558" s="5" t="str">
        <f>IFERROR(__xludf.DUMMYFUNCTION("""COMPUTED_VALUE"""),"JSON")</f>
        <v>JSON</v>
      </c>
      <c r="K558" s="5" t="str">
        <f>IFERROR(__xludf.DUMMYFUNCTION("""COMPUTED_VALUE"""),"Slot")</f>
        <v>Slot</v>
      </c>
      <c r="L558" s="5" t="str">
        <f>IFERROR(__xludf.DUMMYFUNCTION("""COMPUTED_VALUE""")," Clone")</f>
        <v> Clone</v>
      </c>
      <c r="M558" s="5" t="str">
        <f>IFERROR(__xludf.DUMMYFUNCTION("""COMPUTED_VALUE"""),"Very Hot 5")</f>
        <v>Very Hot 5</v>
      </c>
      <c r="N558" s="5"/>
      <c r="O558" s="5"/>
      <c r="P558" s="12">
        <f>IFERROR(__xludf.DUMMYFUNCTION("""COMPUTED_VALUE"""),7.3)</f>
        <v>7.3</v>
      </c>
      <c r="Q558" s="13">
        <f>IFERROR(__xludf.DUMMYFUNCTION("""COMPUTED_VALUE"""),45915.0)</f>
        <v>45915</v>
      </c>
      <c r="R558" s="13">
        <f>IFERROR(__xludf.DUMMYFUNCTION("""COMPUTED_VALUE"""),45912.0)</f>
        <v>45912</v>
      </c>
      <c r="S558" s="13">
        <f>IFERROR(__xludf.DUMMYFUNCTION("""COMPUTED_VALUE"""),45919.0)</f>
        <v>45919</v>
      </c>
      <c r="T558" s="5" t="b">
        <f>IFERROR(__xludf.DUMMYFUNCTION("""COMPUTED_VALUE"""),TRUE)</f>
        <v>1</v>
      </c>
      <c r="U558" s="5" t="str">
        <f>IFERROR(__xludf.DUMMYFUNCTION("""COMPUTED_VALUE"""),"5x3")</f>
        <v>5x3</v>
      </c>
      <c r="V558" s="5">
        <f>IFERROR(__xludf.DUMMYFUNCTION("""COMPUTED_VALUE"""),5.0)</f>
        <v>5</v>
      </c>
      <c r="W558" s="5">
        <f>IFERROR(__xludf.DUMMYFUNCTION("""COMPUTED_VALUE"""),5.0)</f>
        <v>5</v>
      </c>
      <c r="X558" s="5">
        <f>IFERROR(__xludf.DUMMYFUNCTION("""COMPUTED_VALUE"""),96.447)</f>
        <v>96.447</v>
      </c>
      <c r="Y558" s="5" t="str">
        <f>IFERROR(__xludf.DUMMYFUNCTION("""COMPUTED_VALUE"""),"Medium")</f>
        <v>Medium</v>
      </c>
      <c r="Z558" s="5">
        <f>IFERROR(__xludf.DUMMYFUNCTION("""COMPUTED_VALUE"""),14.505)</f>
        <v>14.505</v>
      </c>
      <c r="AA558" s="5">
        <f>IFERROR(__xludf.DUMMYFUNCTION("""COMPUTED_VALUE"""),1222.0)</f>
        <v>1222</v>
      </c>
      <c r="AB558" s="5"/>
      <c r="AC558" s="5" t="str">
        <f>IFERROR(__xludf.DUMMYFUNCTION("""COMPUTED_VALUE"""),"Expanding Wild, Scatter")</f>
        <v>Expanding Wild, Scatter</v>
      </c>
      <c r="AD558" s="5" t="str">
        <f>IFERROR(__xludf.DUMMYFUNCTION("""COMPUTED_VALUE"""),"0.05/30")</f>
        <v>0.05/30</v>
      </c>
      <c r="AE558" s="5"/>
      <c r="AF558" s="5"/>
      <c r="AG558" s="8">
        <f>IFERROR(__xludf.DUMMYFUNCTION("""COMPUTED_VALUE"""),46220.50457175926)</f>
        <v>46220.50457</v>
      </c>
      <c r="AH558" s="5" t="str">
        <f>IFERROR(__xludf.DUMMYFUNCTION("""COMPUTED_VALUE"""),"selena.mihajlovic@fazi.rs")</f>
        <v>selena.mihajlovic@fazi.rs</v>
      </c>
      <c r="AI558" s="13"/>
      <c r="AJ558" s="5"/>
      <c r="AK558" s="5"/>
      <c r="AL558" s="5" t="str">
        <f>IFERROR(__xludf.DUMMYFUNCTION("""COMPUTED_VALUE"""),"No")</f>
        <v>No</v>
      </c>
      <c r="AM558" s="5" t="str">
        <f>IFERROR(__xludf.DUMMYFUNCTION("""COMPUTED_VALUE"""),"No")</f>
        <v>No</v>
      </c>
      <c r="AN558" s="7" t="str">
        <f>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AO558" s="5" t="str">
        <f>IFERROR(__xludf.DUMMYFUNCTION("""COMPUTED_VALUE"""),"No")</f>
        <v>No</v>
      </c>
      <c r="AP558" s="5" t="str">
        <f>IFERROR(__xludf.DUMMYFUNCTION("""COMPUTED_VALUE"""),"No")</f>
        <v>No</v>
      </c>
      <c r="AQ558" s="5" t="b">
        <f>IFERROR(__xludf.DUMMYFUNCTION("""COMPUTED_VALUE"""),TRUE)</f>
        <v>1</v>
      </c>
      <c r="AR558" s="5"/>
      <c r="AS558" s="5" t="str">
        <f>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AT558" s="5"/>
      <c r="AU558" s="5" t="str">
        <f>IFERROR(__xludf.DUMMYFUNCTION("""COMPUTED_VALUE"""),"Fazi")</f>
        <v>Fazi</v>
      </c>
      <c r="AV558" s="5"/>
      <c r="AW558" s="5"/>
      <c r="AX558" s="13">
        <f>IFERROR(__xludf.DUMMYFUNCTION("""COMPUTED_VALUE"""),45909.0)</f>
        <v>45909</v>
      </c>
      <c r="AY558" s="13"/>
      <c r="AZ558" s="13"/>
      <c r="BA558" s="5"/>
      <c r="BB558" s="5" t="b">
        <f>IFERROR(__xludf.DUMMYFUNCTION("""COMPUTED_VALUE"""),TRUE)</f>
        <v>1</v>
      </c>
      <c r="BC558" s="5" t="str">
        <f>IFERROR(__xludf.DUMMYFUNCTION("""COMPUTED_VALUE"""),"Playnet")</f>
        <v>Playnet</v>
      </c>
      <c r="BD558" s="7" t="str">
        <f>IFERROR(__xludf.DUMMYFUNCTION("""COMPUTED_VALUE"""),"https://gameserver-store-client-area.orbionlimited.com/Home/IntegrationGameLaunch/client-area?moneyType=0&amp;gameName=PlayNetBrewmastersBank&amp;platform=desktop&amp;languageCode=eng&amp;currency=EUR")</f>
        <v>https://gameserver-store-client-area.orbionlimited.com/Home/IntegrationGameLaunch/client-area?moneyType=0&amp;gameName=PlayNetBrewmastersBank&amp;platform=desktop&amp;languageCode=eng&amp;currency=EUR</v>
      </c>
      <c r="BE558" s="5" t="b">
        <f>IFERROR(__xludf.DUMMYFUNCTION("""COMPUTED_VALUE"""),TRUE)</f>
        <v>1</v>
      </c>
    </row>
    <row r="559">
      <c r="A559" s="5">
        <f>IFERROR(__xludf.DUMMYFUNCTION("""COMPUTED_VALUE"""),593.0)</f>
        <v>593</v>
      </c>
      <c r="B559" s="5">
        <f>IFERROR(__xludf.DUMMYFUNCTION("""COMPUTED_VALUE"""),512.0)</f>
        <v>512</v>
      </c>
      <c r="C559" s="5" t="str">
        <f>IFERROR(__xludf.DUMMYFUNCTION("""COMPUTED_VALUE"""),"Tiptop")</f>
        <v>Tiptop</v>
      </c>
      <c r="D559" s="5" t="str">
        <f>IFERROR(__xludf.DUMMYFUNCTION("""COMPUTED_VALUE"""),"Big Spin Dice")</f>
        <v>Big Spin Dice</v>
      </c>
      <c r="E559" s="5" t="str">
        <f>IFERROR(__xludf.DUMMYFUNCTION("""COMPUTED_VALUE"""),"Sertifikacioni")</f>
        <v>Sertifikacioni</v>
      </c>
      <c r="F559" s="5" t="str">
        <f>IFERROR(__xludf.DUMMYFUNCTION("""COMPUTED_VALUE"""),"UnicornBigSpinDice")</f>
        <v>UnicornBigSpinDice</v>
      </c>
      <c r="G559" s="5" t="str">
        <f>IFERROR(__xludf.DUMMYFUNCTION("""COMPUTED_VALUE"""),"Live")</f>
        <v>Live</v>
      </c>
      <c r="H559" s="5"/>
      <c r="I559" s="5"/>
      <c r="J559" s="5" t="str">
        <f>IFERROR(__xludf.DUMMYFUNCTION("""COMPUTED_VALUE"""),"JSON")</f>
        <v>JSON</v>
      </c>
      <c r="K559" s="5" t="str">
        <f>IFERROR(__xludf.DUMMYFUNCTION("""COMPUTED_VALUE"""),"Dice Slots")</f>
        <v>Dice Slots</v>
      </c>
      <c r="L559" s="5" t="str">
        <f>IFERROR(__xludf.DUMMYFUNCTION("""COMPUTED_VALUE""")," Clone")</f>
        <v> Clone</v>
      </c>
      <c r="M559" s="5" t="str">
        <f>IFERROR(__xludf.DUMMYFUNCTION("""COMPUTED_VALUE"""),"Big Spin Dragons")</f>
        <v>Big Spin Dragons</v>
      </c>
      <c r="N559" s="5"/>
      <c r="O559" s="5"/>
      <c r="P559" s="12">
        <f>IFERROR(__xludf.DUMMYFUNCTION("""COMPUTED_VALUE"""),10.8)</f>
        <v>10.8</v>
      </c>
      <c r="Q559" s="13">
        <f>IFERROR(__xludf.DUMMYFUNCTION("""COMPUTED_VALUE"""),45943.0)</f>
        <v>45943</v>
      </c>
      <c r="R559" s="13">
        <f>IFERROR(__xludf.DUMMYFUNCTION("""COMPUTED_VALUE"""),45945.0)</f>
        <v>45945</v>
      </c>
      <c r="S559" s="13">
        <f>IFERROR(__xludf.DUMMYFUNCTION("""COMPUTED_VALUE"""),45952.0)</f>
        <v>45952</v>
      </c>
      <c r="T559" s="5" t="b">
        <f>IFERROR(__xludf.DUMMYFUNCTION("""COMPUTED_VALUE"""),TRUE)</f>
        <v>1</v>
      </c>
      <c r="U559" s="5" t="str">
        <f>IFERROR(__xludf.DUMMYFUNCTION("""COMPUTED_VALUE"""),"5X3")</f>
        <v>5X3</v>
      </c>
      <c r="V559" s="5">
        <f>IFERROR(__xludf.DUMMYFUNCTION("""COMPUTED_VALUE"""),5.0)</f>
        <v>5</v>
      </c>
      <c r="W559" s="5">
        <f>IFERROR(__xludf.DUMMYFUNCTION("""COMPUTED_VALUE"""),5.0)</f>
        <v>5</v>
      </c>
      <c r="X559" s="5">
        <f>IFERROR(__xludf.DUMMYFUNCTION("""COMPUTED_VALUE"""),96.0)</f>
        <v>96</v>
      </c>
      <c r="Y559" s="5" t="str">
        <f>IFERROR(__xludf.DUMMYFUNCTION("""COMPUTED_VALUE"""),"Low")</f>
        <v>Low</v>
      </c>
      <c r="Z559" s="5">
        <f>IFERROR(__xludf.DUMMYFUNCTION("""COMPUTED_VALUE"""),14.4)</f>
        <v>14.4</v>
      </c>
      <c r="AA559" s="5">
        <f>IFERROR(__xludf.DUMMYFUNCTION("""COMPUTED_VALUE"""),10000.0)</f>
        <v>10000</v>
      </c>
      <c r="AB559" s="5"/>
      <c r="AC559" s="5"/>
      <c r="AD559" s="5" t="str">
        <f>IFERROR(__xludf.DUMMYFUNCTION("""COMPUTED_VALUE"""),"0.05/100")</f>
        <v>0.05/100</v>
      </c>
      <c r="AE559" s="5"/>
      <c r="AF559" s="5"/>
      <c r="AG559" s="8">
        <f>IFERROR(__xludf.DUMMYFUNCTION("""COMPUTED_VALUE"""),46197.501979166664)</f>
        <v>46197.50198</v>
      </c>
      <c r="AH559" s="5" t="str">
        <f>IFERROR(__xludf.DUMMYFUNCTION("""COMPUTED_VALUE"""),"selena.mihajlovic@fazi.rs")</f>
        <v>selena.mihajlovic@fazi.rs</v>
      </c>
      <c r="AI559" s="13"/>
      <c r="AJ559" s="5"/>
      <c r="AK559" s="5">
        <f>IFERROR(__xludf.DUMMYFUNCTION("""COMPUTED_VALUE"""),5.0)</f>
        <v>5</v>
      </c>
      <c r="AL559" s="5" t="str">
        <f>IFERROR(__xludf.DUMMYFUNCTION("""COMPUTED_VALUE"""),"No")</f>
        <v>No</v>
      </c>
      <c r="AM559" s="5"/>
      <c r="AN559" s="7" t="str">
        <f>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AO559" s="5"/>
      <c r="AP559" s="5"/>
      <c r="AQ559" s="5" t="b">
        <f>IFERROR(__xludf.DUMMYFUNCTION("""COMPUTED_VALUE"""),TRUE)</f>
        <v>1</v>
      </c>
      <c r="AR559" s="5"/>
      <c r="AS559" s="5" t="str">
        <f>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AT559" s="5"/>
      <c r="AU559" s="5" t="str">
        <f>IFERROR(__xludf.DUMMYFUNCTION("""COMPUTED_VALUE"""),"Fazi")</f>
        <v>Fazi</v>
      </c>
      <c r="AV559" s="5"/>
      <c r="AW559" s="5"/>
      <c r="AX559" s="13">
        <f>IFERROR(__xludf.DUMMYFUNCTION("""COMPUTED_VALUE"""),45937.0)</f>
        <v>45937</v>
      </c>
      <c r="AY559" s="13"/>
      <c r="AZ559" s="13"/>
      <c r="BA559" s="5"/>
      <c r="BB559" s="5" t="b">
        <f>IFERROR(__xludf.DUMMYFUNCTION("""COMPUTED_VALUE"""),TRUE)</f>
        <v>1</v>
      </c>
      <c r="BC559" s="5" t="str">
        <f>IFERROR(__xludf.DUMMYFUNCTION("""COMPUTED_VALUE"""),"Tiptop")</f>
        <v>Tiptop</v>
      </c>
      <c r="BD559" s="7" t="str">
        <f>IFERROR(__xludf.DUMMYFUNCTION("""COMPUTED_VALUE"""),"https://gameserver-store-client-area.orbionlimited.com/Home/IntegrationGameLaunch/client-area?moneyType=0&amp;gameName=UnicornBigSpinDice&amp;platform=desktop&amp;languageCode=eng&amp;currency=EUR")</f>
        <v>https://gameserver-store-client-area.orbionlimited.com/Home/IntegrationGameLaunch/client-area?moneyType=0&amp;gameName=UnicornBigSpinDice&amp;platform=desktop&amp;languageCode=eng&amp;currency=EUR</v>
      </c>
      <c r="BE559" s="5" t="b">
        <f>IFERROR(__xludf.DUMMYFUNCTION("""COMPUTED_VALUE"""),TRUE)</f>
        <v>1</v>
      </c>
    </row>
    <row r="560">
      <c r="A560" s="5">
        <f>IFERROR(__xludf.DUMMYFUNCTION("""COMPUTED_VALUE"""),594.0)</f>
        <v>594</v>
      </c>
      <c r="B560" s="5">
        <f>IFERROR(__xludf.DUMMYFUNCTION("""COMPUTED_VALUE"""),513.0)</f>
        <v>513</v>
      </c>
      <c r="C560" s="5" t="str">
        <f>IFERROR(__xludf.DUMMYFUNCTION("""COMPUTED_VALUE"""),"Tiptop")</f>
        <v>Tiptop</v>
      </c>
      <c r="D560" s="5" t="str">
        <f>IFERROR(__xludf.DUMMYFUNCTION("""COMPUTED_VALUE"""),"Fruit Island Dice")</f>
        <v>Fruit Island Dice</v>
      </c>
      <c r="E560" s="5" t="str">
        <f>IFERROR(__xludf.DUMMYFUNCTION("""COMPUTED_VALUE"""),"Sertifikacioni")</f>
        <v>Sertifikacioni</v>
      </c>
      <c r="F560" s="5" t="str">
        <f>IFERROR(__xludf.DUMMYFUNCTION("""COMPUTED_VALUE"""),"UnicornFruitIslandDice")</f>
        <v>UnicornFruitIslandDice</v>
      </c>
      <c r="G560" s="5" t="str">
        <f>IFERROR(__xludf.DUMMYFUNCTION("""COMPUTED_VALUE"""),"Live")</f>
        <v>Live</v>
      </c>
      <c r="H560" s="5"/>
      <c r="I560" s="5"/>
      <c r="J560" s="5" t="str">
        <f>IFERROR(__xludf.DUMMYFUNCTION("""COMPUTED_VALUE"""),"JSON")</f>
        <v>JSON</v>
      </c>
      <c r="K560" s="5" t="str">
        <f>IFERROR(__xludf.DUMMYFUNCTION("""COMPUTED_VALUE"""),"Dice Slots")</f>
        <v>Dice Slots</v>
      </c>
      <c r="L560" s="5" t="str">
        <f>IFERROR(__xludf.DUMMYFUNCTION("""COMPUTED_VALUE""")," Clone")</f>
        <v> Clone</v>
      </c>
      <c r="M560" s="5" t="str">
        <f>IFERROR(__xludf.DUMMYFUNCTION("""COMPUTED_VALUE"""),"Fruit Island")</f>
        <v>Fruit Island</v>
      </c>
      <c r="N560" s="5"/>
      <c r="O560" s="5"/>
      <c r="P560" s="12">
        <f>IFERROR(__xludf.DUMMYFUNCTION("""COMPUTED_VALUE"""),10.2)</f>
        <v>10.2</v>
      </c>
      <c r="Q560" s="13">
        <f>IFERROR(__xludf.DUMMYFUNCTION("""COMPUTED_VALUE"""),45943.0)</f>
        <v>45943</v>
      </c>
      <c r="R560" s="13">
        <f>IFERROR(__xludf.DUMMYFUNCTION("""COMPUTED_VALUE"""),45952.0)</f>
        <v>45952</v>
      </c>
      <c r="S560" s="13">
        <f>IFERROR(__xludf.DUMMYFUNCTION("""COMPUTED_VALUE"""),45959.0)</f>
        <v>45959</v>
      </c>
      <c r="T560" s="5" t="b">
        <f>IFERROR(__xludf.DUMMYFUNCTION("""COMPUTED_VALUE"""),TRUE)</f>
        <v>1</v>
      </c>
      <c r="U560" s="5" t="str">
        <f>IFERROR(__xludf.DUMMYFUNCTION("""COMPUTED_VALUE"""),"5X3")</f>
        <v>5X3</v>
      </c>
      <c r="V560" s="5">
        <f>IFERROR(__xludf.DUMMYFUNCTION("""COMPUTED_VALUE"""),5.0)</f>
        <v>5</v>
      </c>
      <c r="W560" s="5">
        <f>IFERROR(__xludf.DUMMYFUNCTION("""COMPUTED_VALUE"""),5.0)</f>
        <v>5</v>
      </c>
      <c r="X560" s="5">
        <f>IFERROR(__xludf.DUMMYFUNCTION("""COMPUTED_VALUE"""),96.0)</f>
        <v>96</v>
      </c>
      <c r="Y560" s="5" t="str">
        <f>IFERROR(__xludf.DUMMYFUNCTION("""COMPUTED_VALUE"""),"Low")</f>
        <v>Low</v>
      </c>
      <c r="Z560" s="5">
        <f>IFERROR(__xludf.DUMMYFUNCTION("""COMPUTED_VALUE"""),10.5)</f>
        <v>10.5</v>
      </c>
      <c r="AA560" s="5">
        <f>IFERROR(__xludf.DUMMYFUNCTION("""COMPUTED_VALUE"""),1000.0)</f>
        <v>1000</v>
      </c>
      <c r="AB560" s="5"/>
      <c r="AC560" s="5"/>
      <c r="AD560" s="5" t="str">
        <f>IFERROR(__xludf.DUMMYFUNCTION("""COMPUTED_VALUE"""),"0.05/100")</f>
        <v>0.05/100</v>
      </c>
      <c r="AE560" s="5"/>
      <c r="AF560" s="5"/>
      <c r="AG560" s="8">
        <f>IFERROR(__xludf.DUMMYFUNCTION("""COMPUTED_VALUE"""),46197.50215277778)</f>
        <v>46197.50215</v>
      </c>
      <c r="AH560" s="5" t="str">
        <f>IFERROR(__xludf.DUMMYFUNCTION("""COMPUTED_VALUE"""),"selena.mihajlovic@fazi.rs")</f>
        <v>selena.mihajlovic@fazi.rs</v>
      </c>
      <c r="AI560" s="13">
        <f>IFERROR(__xludf.DUMMYFUNCTION("""COMPUTED_VALUE"""),45944.0)</f>
        <v>45944</v>
      </c>
      <c r="AJ560" s="5" t="str">
        <f>IFERROR(__xludf.DUMMYFUNCTION("""COMPUTED_VALUE"""),"KoralPlay")</f>
        <v>KoralPlay</v>
      </c>
      <c r="AK560" s="5">
        <f>IFERROR(__xludf.DUMMYFUNCTION("""COMPUTED_VALUE"""),5.0)</f>
        <v>5</v>
      </c>
      <c r="AL560" s="5" t="str">
        <f>IFERROR(__xludf.DUMMYFUNCTION("""COMPUTED_VALUE"""),"No")</f>
        <v>No</v>
      </c>
      <c r="AM560" s="5"/>
      <c r="AN560" s="7" t="str">
        <f>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AO560" s="5"/>
      <c r="AP560" s="5"/>
      <c r="AQ560" s="5" t="b">
        <f>IFERROR(__xludf.DUMMYFUNCTION("""COMPUTED_VALUE"""),TRUE)</f>
        <v>1</v>
      </c>
      <c r="AR560" s="5"/>
      <c r="AS560" s="5" t="str">
        <f>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AT560" s="5"/>
      <c r="AU560" s="5" t="str">
        <f>IFERROR(__xludf.DUMMYFUNCTION("""COMPUTED_VALUE"""),"Fazi")</f>
        <v>Fazi</v>
      </c>
      <c r="AV560" s="5"/>
      <c r="AW560" s="5"/>
      <c r="AX560" s="13">
        <f>IFERROR(__xludf.DUMMYFUNCTION("""COMPUTED_VALUE"""),45937.0)</f>
        <v>45937</v>
      </c>
      <c r="AY560" s="13"/>
      <c r="AZ560" s="13"/>
      <c r="BA560" s="5"/>
      <c r="BB560" s="5" t="b">
        <f>IFERROR(__xludf.DUMMYFUNCTION("""COMPUTED_VALUE"""),TRUE)</f>
        <v>1</v>
      </c>
      <c r="BC560" s="5" t="str">
        <f>IFERROR(__xludf.DUMMYFUNCTION("""COMPUTED_VALUE"""),"Tiptop")</f>
        <v>Tiptop</v>
      </c>
      <c r="BD560" s="7" t="str">
        <f>IFERROR(__xludf.DUMMYFUNCTION("""COMPUTED_VALUE"""),"https://gameserver-store-client-area.orbionlimited.com/Home/IntegrationGameLaunch/client-area?moneyType=0&amp;gameName=UnicornFruitIslandDice&amp;platform=desktop&amp;languageCode=eng&amp;currency=EUR")</f>
        <v>https://gameserver-store-client-area.orbionlimited.com/Home/IntegrationGameLaunch/client-area?moneyType=0&amp;gameName=UnicornFruitIslandDice&amp;platform=desktop&amp;languageCode=eng&amp;currency=EUR</v>
      </c>
      <c r="BE560" s="5" t="b">
        <f>IFERROR(__xludf.DUMMYFUNCTION("""COMPUTED_VALUE"""),TRUE)</f>
        <v>1</v>
      </c>
    </row>
    <row r="561">
      <c r="A561" s="5">
        <f>IFERROR(__xludf.DUMMYFUNCTION("""COMPUTED_VALUE"""),595.0)</f>
        <v>595</v>
      </c>
      <c r="B561" s="5">
        <f>IFERROR(__xludf.DUMMYFUNCTION("""COMPUTED_VALUE"""),515.0)</f>
        <v>515</v>
      </c>
      <c r="C561" s="5" t="str">
        <f>IFERROR(__xludf.DUMMYFUNCTION("""COMPUTED_VALUE"""),"Tiptop")</f>
        <v>Tiptop</v>
      </c>
      <c r="D561" s="5" t="str">
        <f>IFERROR(__xludf.DUMMYFUNCTION("""COMPUTED_VALUE"""),"Storm Dice")</f>
        <v>Storm Dice</v>
      </c>
      <c r="E561" s="5" t="str">
        <f>IFERROR(__xludf.DUMMYFUNCTION("""COMPUTED_VALUE"""),"Sertifikacioni")</f>
        <v>Sertifikacioni</v>
      </c>
      <c r="F561" s="5" t="str">
        <f>IFERROR(__xludf.DUMMYFUNCTION("""COMPUTED_VALUE"""),"UnicornStormDice")</f>
        <v>UnicornStormDice</v>
      </c>
      <c r="G561" s="5" t="str">
        <f>IFERROR(__xludf.DUMMYFUNCTION("""COMPUTED_VALUE"""),"Live")</f>
        <v>Live</v>
      </c>
      <c r="H561" s="5"/>
      <c r="I561" s="5"/>
      <c r="J561" s="5" t="str">
        <f>IFERROR(__xludf.DUMMYFUNCTION("""COMPUTED_VALUE"""),"JSON")</f>
        <v>JSON</v>
      </c>
      <c r="K561" s="5" t="str">
        <f>IFERROR(__xludf.DUMMYFUNCTION("""COMPUTED_VALUE"""),"Dice Slots")</f>
        <v>Dice Slots</v>
      </c>
      <c r="L561" s="5" t="str">
        <f>IFERROR(__xludf.DUMMYFUNCTION("""COMPUTED_VALUE""")," Clone")</f>
        <v> Clone</v>
      </c>
      <c r="M561" s="5" t="str">
        <f>IFERROR(__xludf.DUMMYFUNCTION("""COMPUTED_VALUE"""),"Coyote Sevens")</f>
        <v>Coyote Sevens</v>
      </c>
      <c r="N561" s="5"/>
      <c r="O561" s="5"/>
      <c r="P561" s="12">
        <f>IFERROR(__xludf.DUMMYFUNCTION("""COMPUTED_VALUE"""),10.5)</f>
        <v>10.5</v>
      </c>
      <c r="Q561" s="13">
        <f>IFERROR(__xludf.DUMMYFUNCTION("""COMPUTED_VALUE"""),45957.0)</f>
        <v>45957</v>
      </c>
      <c r="R561" s="13">
        <f>IFERROR(__xludf.DUMMYFUNCTION("""COMPUTED_VALUE"""),45959.0)</f>
        <v>45959</v>
      </c>
      <c r="S561" s="13">
        <f>IFERROR(__xludf.DUMMYFUNCTION("""COMPUTED_VALUE"""),45966.0)</f>
        <v>45966</v>
      </c>
      <c r="T561" s="5" t="b">
        <f>IFERROR(__xludf.DUMMYFUNCTION("""COMPUTED_VALUE"""),TRUE)</f>
        <v>1</v>
      </c>
      <c r="U561" s="5" t="str">
        <f>IFERROR(__xludf.DUMMYFUNCTION("""COMPUTED_VALUE"""),"5X3")</f>
        <v>5X3</v>
      </c>
      <c r="V561" s="5">
        <f>IFERROR(__xludf.DUMMYFUNCTION("""COMPUTED_VALUE"""),5.0)</f>
        <v>5</v>
      </c>
      <c r="W561" s="5">
        <f>IFERROR(__xludf.DUMMYFUNCTION("""COMPUTED_VALUE"""),5.0)</f>
        <v>5</v>
      </c>
      <c r="X561" s="5">
        <f>IFERROR(__xludf.DUMMYFUNCTION("""COMPUTED_VALUE"""),96.0)</f>
        <v>96</v>
      </c>
      <c r="Y561" s="5" t="str">
        <f>IFERROR(__xludf.DUMMYFUNCTION("""COMPUTED_VALUE"""),"Medium")</f>
        <v>Medium</v>
      </c>
      <c r="Z561" s="5">
        <f>IFERROR(__xludf.DUMMYFUNCTION("""COMPUTED_VALUE"""),10.1)</f>
        <v>10.1</v>
      </c>
      <c r="AA561" s="5">
        <f>IFERROR(__xludf.DUMMYFUNCTION("""COMPUTED_VALUE"""),1000.0)</f>
        <v>1000</v>
      </c>
      <c r="AB561" s="5"/>
      <c r="AC561" s="5"/>
      <c r="AD561" s="5" t="str">
        <f>IFERROR(__xludf.DUMMYFUNCTION("""COMPUTED_VALUE"""),"0.05/100")</f>
        <v>0.05/100</v>
      </c>
      <c r="AE561" s="5"/>
      <c r="AF561" s="5"/>
      <c r="AG561" s="8">
        <f>IFERROR(__xludf.DUMMYFUNCTION("""COMPUTED_VALUE"""),46197.50230324074)</f>
        <v>46197.5023</v>
      </c>
      <c r="AH561" s="5" t="str">
        <f>IFERROR(__xludf.DUMMYFUNCTION("""COMPUTED_VALUE"""),"selena.mihajlovic@fazi.rs")</f>
        <v>selena.mihajlovic@fazi.rs</v>
      </c>
      <c r="AI561" s="13"/>
      <c r="AJ561" s="5"/>
      <c r="AK561" s="5">
        <f>IFERROR(__xludf.DUMMYFUNCTION("""COMPUTED_VALUE"""),5.0)</f>
        <v>5</v>
      </c>
      <c r="AL561" s="5" t="str">
        <f>IFERROR(__xludf.DUMMYFUNCTION("""COMPUTED_VALUE"""),"No")</f>
        <v>No</v>
      </c>
      <c r="AM561" s="5"/>
      <c r="AN561" s="7" t="str">
        <f>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AO561" s="5"/>
      <c r="AP561" s="5"/>
      <c r="AQ561" s="5" t="b">
        <f>IFERROR(__xludf.DUMMYFUNCTION("""COMPUTED_VALUE"""),TRUE)</f>
        <v>1</v>
      </c>
      <c r="AR561" s="5"/>
      <c r="AS561" s="5" t="str">
        <f>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AT561" s="5"/>
      <c r="AU561" s="5" t="str">
        <f>IFERROR(__xludf.DUMMYFUNCTION("""COMPUTED_VALUE"""),"Fazi")</f>
        <v>Fazi</v>
      </c>
      <c r="AV561" s="5"/>
      <c r="AW561" s="5"/>
      <c r="AX561" s="13">
        <f>IFERROR(__xludf.DUMMYFUNCTION("""COMPUTED_VALUE"""),45951.0)</f>
        <v>45951</v>
      </c>
      <c r="AY561" s="13"/>
      <c r="AZ561" s="13"/>
      <c r="BA561" s="5"/>
      <c r="BB561" s="5" t="b">
        <f>IFERROR(__xludf.DUMMYFUNCTION("""COMPUTED_VALUE"""),TRUE)</f>
        <v>1</v>
      </c>
      <c r="BC561" s="5" t="str">
        <f>IFERROR(__xludf.DUMMYFUNCTION("""COMPUTED_VALUE"""),"Tiptop")</f>
        <v>Tiptop</v>
      </c>
      <c r="BD561" s="7" t="str">
        <f>IFERROR(__xludf.DUMMYFUNCTION("""COMPUTED_VALUE"""),"https://gameserver-store-client-area.orbionlimited.com/Home/IntegrationGameLaunch/client-area?moneyType=0&amp;gameName=UnicornStormDice&amp;platform=desktop&amp;languageCode=eng&amp;currency=EUR")</f>
        <v>https://gameserver-store-client-area.orbionlimited.com/Home/IntegrationGameLaunch/client-area?moneyType=0&amp;gameName=UnicornStormDice&amp;platform=desktop&amp;languageCode=eng&amp;currency=EUR</v>
      </c>
      <c r="BE561" s="5" t="b">
        <f>IFERROR(__xludf.DUMMYFUNCTION("""COMPUTED_VALUE"""),TRUE)</f>
        <v>1</v>
      </c>
    </row>
    <row r="562">
      <c r="A562" s="5">
        <f>IFERROR(__xludf.DUMMYFUNCTION("""COMPUTED_VALUE"""),596.0)</f>
        <v>596</v>
      </c>
      <c r="B562" s="5">
        <f>IFERROR(__xludf.DUMMYFUNCTION("""COMPUTED_VALUE"""),519.0)</f>
        <v>519</v>
      </c>
      <c r="C562" s="5" t="str">
        <f>IFERROR(__xludf.DUMMYFUNCTION("""COMPUTED_VALUE"""),"Tiptop")</f>
        <v>Tiptop</v>
      </c>
      <c r="D562" s="5" t="str">
        <f>IFERROR(__xludf.DUMMYFUNCTION("""COMPUTED_VALUE"""),"Santas Rudolf")</f>
        <v>Santas Rudolf</v>
      </c>
      <c r="E562" s="5" t="str">
        <f>IFERROR(__xludf.DUMMYFUNCTION("""COMPUTED_VALUE"""),"Sertifikacioni")</f>
        <v>Sertifikacioni</v>
      </c>
      <c r="F562" s="5" t="str">
        <f>IFERROR(__xludf.DUMMYFUNCTION("""COMPUTED_VALUE"""),"UnicornSantasRudolf")</f>
        <v>UnicornSantasRudolf</v>
      </c>
      <c r="G562" s="5" t="str">
        <f>IFERROR(__xludf.DUMMYFUNCTION("""COMPUTED_VALUE"""),"Live")</f>
        <v>Live</v>
      </c>
      <c r="H562" s="5"/>
      <c r="I562" s="5"/>
      <c r="J562" s="5" t="str">
        <f>IFERROR(__xludf.DUMMYFUNCTION("""COMPUTED_VALUE"""),"JSON")</f>
        <v>JSON</v>
      </c>
      <c r="K562" s="5" t="str">
        <f>IFERROR(__xludf.DUMMYFUNCTION("""COMPUTED_VALUE"""),"Slot")</f>
        <v>Slot</v>
      </c>
      <c r="L562" s="5" t="str">
        <f>IFERROR(__xludf.DUMMYFUNCTION("""COMPUTED_VALUE""")," Clone")</f>
        <v> Clone</v>
      </c>
      <c r="M562" s="5" t="str">
        <f>IFERROR(__xludf.DUMMYFUNCTION("""COMPUTED_VALUE"""),"Buffalo Sevens Jackpot")</f>
        <v>Buffalo Sevens Jackpot</v>
      </c>
      <c r="N562" s="5"/>
      <c r="O562" s="5"/>
      <c r="P562" s="12">
        <f>IFERROR(__xludf.DUMMYFUNCTION("""COMPUTED_VALUE"""),10.5)</f>
        <v>10.5</v>
      </c>
      <c r="Q562" s="13">
        <f>IFERROR(__xludf.DUMMYFUNCTION("""COMPUTED_VALUE"""),45973.0)</f>
        <v>45973</v>
      </c>
      <c r="R562" s="13">
        <f>IFERROR(__xludf.DUMMYFUNCTION("""COMPUTED_VALUE"""),45966.0)</f>
        <v>45966</v>
      </c>
      <c r="S562" s="13">
        <f>IFERROR(__xludf.DUMMYFUNCTION("""COMPUTED_VALUE"""),45973.0)</f>
        <v>45973</v>
      </c>
      <c r="T562" s="5" t="b">
        <f>IFERROR(__xludf.DUMMYFUNCTION("""COMPUTED_VALUE"""),TRUE)</f>
        <v>1</v>
      </c>
      <c r="U562" s="5" t="str">
        <f>IFERROR(__xludf.DUMMYFUNCTION("""COMPUTED_VALUE"""),"5X3")</f>
        <v>5X3</v>
      </c>
      <c r="V562" s="5">
        <f>IFERROR(__xludf.DUMMYFUNCTION("""COMPUTED_VALUE"""),10.0)</f>
        <v>10</v>
      </c>
      <c r="W562" s="5">
        <f>IFERROR(__xludf.DUMMYFUNCTION("""COMPUTED_VALUE"""),10.0)</f>
        <v>10</v>
      </c>
      <c r="X562" s="5">
        <f>IFERROR(__xludf.DUMMYFUNCTION("""COMPUTED_VALUE"""),96.0)</f>
        <v>96</v>
      </c>
      <c r="Y562" s="5" t="str">
        <f>IFERROR(__xludf.DUMMYFUNCTION("""COMPUTED_VALUE"""),"Low")</f>
        <v>Low</v>
      </c>
      <c r="Z562" s="5">
        <f>IFERROR(__xludf.DUMMYFUNCTION("""COMPUTED_VALUE"""),9.08)</f>
        <v>9.08</v>
      </c>
      <c r="AA562" s="5">
        <f>IFERROR(__xludf.DUMMYFUNCTION("""COMPUTED_VALUE"""),10000.0)</f>
        <v>10000</v>
      </c>
      <c r="AB562" s="5"/>
      <c r="AC562" s="5"/>
      <c r="AD562" s="5" t="str">
        <f>IFERROR(__xludf.DUMMYFUNCTION("""COMPUTED_VALUE"""),"0.1/100")</f>
        <v>0.1/100</v>
      </c>
      <c r="AE562" s="5"/>
      <c r="AF562" s="5"/>
      <c r="AG562" s="8">
        <f>IFERROR(__xludf.DUMMYFUNCTION("""COMPUTED_VALUE"""),46197.50244212963)</f>
        <v>46197.50244</v>
      </c>
      <c r="AH562" s="5" t="str">
        <f>IFERROR(__xludf.DUMMYFUNCTION("""COMPUTED_VALUE"""),"selena.mihajlovic@fazi.rs")</f>
        <v>selena.mihajlovic@fazi.rs</v>
      </c>
      <c r="AI562" s="13"/>
      <c r="AJ562" s="5"/>
      <c r="AK562" s="5">
        <f>IFERROR(__xludf.DUMMYFUNCTION("""COMPUTED_VALUE"""),10.0)</f>
        <v>10</v>
      </c>
      <c r="AL562" s="5" t="str">
        <f>IFERROR(__xludf.DUMMYFUNCTION("""COMPUTED_VALUE"""),"No")</f>
        <v>No</v>
      </c>
      <c r="AM562" s="5"/>
      <c r="AN562" s="7" t="str">
        <f>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AO562" s="5"/>
      <c r="AP562" s="5"/>
      <c r="AQ562" s="5" t="b">
        <f>IFERROR(__xludf.DUMMYFUNCTION("""COMPUTED_VALUE"""),TRUE)</f>
        <v>1</v>
      </c>
      <c r="AR562" s="5"/>
      <c r="AS562" s="5" t="str">
        <f>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AT562" s="5"/>
      <c r="AU562" s="5" t="str">
        <f>IFERROR(__xludf.DUMMYFUNCTION("""COMPUTED_VALUE"""),"Fazi")</f>
        <v>Fazi</v>
      </c>
      <c r="AV562" s="5"/>
      <c r="AW562" s="5"/>
      <c r="AX562" s="13">
        <f>IFERROR(__xludf.DUMMYFUNCTION("""COMPUTED_VALUE"""),45965.0)</f>
        <v>45965</v>
      </c>
      <c r="AY562" s="13"/>
      <c r="AZ562" s="13"/>
      <c r="BA562" s="5"/>
      <c r="BB562" s="5" t="b">
        <f>IFERROR(__xludf.DUMMYFUNCTION("""COMPUTED_VALUE"""),TRUE)</f>
        <v>1</v>
      </c>
      <c r="BC562" s="5" t="str">
        <f>IFERROR(__xludf.DUMMYFUNCTION("""COMPUTED_VALUE"""),"Tiptop")</f>
        <v>Tiptop</v>
      </c>
      <c r="BD562" s="7" t="str">
        <f>IFERROR(__xludf.DUMMYFUNCTION("""COMPUTED_VALUE"""),"https://gameserver-store-client-area.orbionlimited.com/Home/IntegrationGameLaunch/client-area?moneyType=0&amp;gameName=UnicornSantasRudolf&amp;platform=desktop&amp;languageCode=eng&amp;currency=EUR")</f>
        <v>https://gameserver-store-client-area.orbionlimited.com/Home/IntegrationGameLaunch/client-area?moneyType=0&amp;gameName=UnicornSantasRudolf&amp;platform=desktop&amp;languageCode=eng&amp;currency=EUR</v>
      </c>
      <c r="BE562" s="5" t="b">
        <f>IFERROR(__xludf.DUMMYFUNCTION("""COMPUTED_VALUE"""),TRUE)</f>
        <v>1</v>
      </c>
    </row>
    <row r="563">
      <c r="A563" s="5">
        <f>IFERROR(__xludf.DUMMYFUNCTION("""COMPUTED_VALUE"""),598.0)</f>
        <v>598</v>
      </c>
      <c r="B563" s="5">
        <f>IFERROR(__xludf.DUMMYFUNCTION("""COMPUTED_VALUE"""),520.0)</f>
        <v>520</v>
      </c>
      <c r="C563" s="5" t="str">
        <f>IFERROR(__xludf.DUMMYFUNCTION("""COMPUTED_VALUE"""),"Tiptop")</f>
        <v>Tiptop</v>
      </c>
      <c r="D563" s="5" t="str">
        <f>IFERROR(__xludf.DUMMYFUNCTION("""COMPUTED_VALUE"""),"Gold Line Gems")</f>
        <v>Gold Line Gems</v>
      </c>
      <c r="E563" s="5" t="str">
        <f>IFERROR(__xludf.DUMMYFUNCTION("""COMPUTED_VALUE"""),"Sertifikacioni")</f>
        <v>Sertifikacioni</v>
      </c>
      <c r="F563" s="5" t="str">
        <f>IFERROR(__xludf.DUMMYFUNCTION("""COMPUTED_VALUE"""),"UnicornGoldLineGems")</f>
        <v>UnicornGoldLineGems</v>
      </c>
      <c r="G563" s="5" t="str">
        <f>IFERROR(__xludf.DUMMYFUNCTION("""COMPUTED_VALUE"""),"Live")</f>
        <v>Live</v>
      </c>
      <c r="H563" s="5"/>
      <c r="I563" s="5"/>
      <c r="J563" s="5" t="str">
        <f>IFERROR(__xludf.DUMMYFUNCTION("""COMPUTED_VALUE"""),"JSON")</f>
        <v>JSON</v>
      </c>
      <c r="K563" s="5" t="str">
        <f>IFERROR(__xludf.DUMMYFUNCTION("""COMPUTED_VALUE"""),"Slot")</f>
        <v>Slot</v>
      </c>
      <c r="L563" s="5" t="str">
        <f>IFERROR(__xludf.DUMMYFUNCTION("""COMPUTED_VALUE""")," Clone")</f>
        <v> Clone</v>
      </c>
      <c r="M563" s="5" t="str">
        <f>IFERROR(__xludf.DUMMYFUNCTION("""COMPUTED_VALUE"""),"Gold Line")</f>
        <v>Gold Line</v>
      </c>
      <c r="N563" s="5"/>
      <c r="O563" s="5"/>
      <c r="P563" s="12">
        <f>IFERROR(__xludf.DUMMYFUNCTION("""COMPUTED_VALUE"""),12.4)</f>
        <v>12.4</v>
      </c>
      <c r="Q563" s="13">
        <f>IFERROR(__xludf.DUMMYFUNCTION("""COMPUTED_VALUE"""),45973.0)</f>
        <v>45973</v>
      </c>
      <c r="R563" s="13">
        <f>IFERROR(__xludf.DUMMYFUNCTION("""COMPUTED_VALUE"""),45973.0)</f>
        <v>45973</v>
      </c>
      <c r="S563" s="13">
        <f>IFERROR(__xludf.DUMMYFUNCTION("""COMPUTED_VALUE"""),45980.0)</f>
        <v>45980</v>
      </c>
      <c r="T563" s="5" t="b">
        <f>IFERROR(__xludf.DUMMYFUNCTION("""COMPUTED_VALUE"""),TRUE)</f>
        <v>1</v>
      </c>
      <c r="U563" s="5" t="str">
        <f>IFERROR(__xludf.DUMMYFUNCTION("""COMPUTED_VALUE"""),"5X3")</f>
        <v>5X3</v>
      </c>
      <c r="V563" s="5">
        <f>IFERROR(__xludf.DUMMYFUNCTION("""COMPUTED_VALUE"""),20.0)</f>
        <v>20</v>
      </c>
      <c r="W563" s="5" t="str">
        <f>IFERROR(__xludf.DUMMYFUNCTION("""COMPUTED_VALUE"""),"10+1")</f>
        <v>10+1</v>
      </c>
      <c r="X563" s="5">
        <f>IFERROR(__xludf.DUMMYFUNCTION("""COMPUTED_VALUE"""),96.0)</f>
        <v>96</v>
      </c>
      <c r="Y563" s="5" t="str">
        <f>IFERROR(__xludf.DUMMYFUNCTION("""COMPUTED_VALUE"""),"Low")</f>
        <v>Low</v>
      </c>
      <c r="Z563" s="5">
        <f>IFERROR(__xludf.DUMMYFUNCTION("""COMPUTED_VALUE"""),17.39)</f>
        <v>17.39</v>
      </c>
      <c r="AA563" s="5">
        <f>IFERROR(__xludf.DUMMYFUNCTION("""COMPUTED_VALUE"""),10000.0)</f>
        <v>10000</v>
      </c>
      <c r="AB563" s="5"/>
      <c r="AC563" s="5"/>
      <c r="AD563" s="5" t="str">
        <f>IFERROR(__xludf.DUMMYFUNCTION("""COMPUTED_VALUE"""),"0.2/100")</f>
        <v>0.2/100</v>
      </c>
      <c r="AE563" s="5"/>
      <c r="AF563" s="5"/>
      <c r="AG563" s="8">
        <f>IFERROR(__xludf.DUMMYFUNCTION("""COMPUTED_VALUE"""),46197.502592592595)</f>
        <v>46197.50259</v>
      </c>
      <c r="AH563" s="5" t="str">
        <f>IFERROR(__xludf.DUMMYFUNCTION("""COMPUTED_VALUE"""),"selena.mihajlovic@fazi.rs")</f>
        <v>selena.mihajlovic@fazi.rs</v>
      </c>
      <c r="AI563" s="13"/>
      <c r="AJ563" s="5"/>
      <c r="AK563" s="5">
        <f>IFERROR(__xludf.DUMMYFUNCTION("""COMPUTED_VALUE"""),20.0)</f>
        <v>20</v>
      </c>
      <c r="AL563" s="5" t="str">
        <f>IFERROR(__xludf.DUMMYFUNCTION("""COMPUTED_VALUE"""),"No")</f>
        <v>No</v>
      </c>
      <c r="AM563" s="5"/>
      <c r="AN563" s="7" t="str">
        <f>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AO563" s="5"/>
      <c r="AP563" s="5"/>
      <c r="AQ563" s="5" t="b">
        <f>IFERROR(__xludf.DUMMYFUNCTION("""COMPUTED_VALUE"""),TRUE)</f>
        <v>1</v>
      </c>
      <c r="AR563" s="5"/>
      <c r="AS563" s="5" t="str">
        <f>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AT563" s="5"/>
      <c r="AU563" s="5" t="str">
        <f>IFERROR(__xludf.DUMMYFUNCTION("""COMPUTED_VALUE"""),"Fazi")</f>
        <v>Fazi</v>
      </c>
      <c r="AV563" s="5"/>
      <c r="AW563" s="5"/>
      <c r="AX563" s="13">
        <f>IFERROR(__xludf.DUMMYFUNCTION("""COMPUTED_VALUE"""),45965.0)</f>
        <v>45965</v>
      </c>
      <c r="AY563" s="13"/>
      <c r="AZ563" s="13"/>
      <c r="BA563" s="5"/>
      <c r="BB563" s="5" t="b">
        <f>IFERROR(__xludf.DUMMYFUNCTION("""COMPUTED_VALUE"""),TRUE)</f>
        <v>1</v>
      </c>
      <c r="BC563" s="5" t="str">
        <f>IFERROR(__xludf.DUMMYFUNCTION("""COMPUTED_VALUE"""),"Tiptop")</f>
        <v>Tiptop</v>
      </c>
      <c r="BD563" s="7" t="str">
        <f>IFERROR(__xludf.DUMMYFUNCTION("""COMPUTED_VALUE"""),"https://gameserver-store-client-area.orbionlimited.com/Home/IntegrationGameLaunch/client-area?moneyType=0&amp;gameName=UnicornGoldLineGems&amp;platform=desktop&amp;languageCode=eng&amp;currency=EUR")</f>
        <v>https://gameserver-store-client-area.orbionlimited.com/Home/IntegrationGameLaunch/client-area?moneyType=0&amp;gameName=UnicornGoldLineGems&amp;platform=desktop&amp;languageCode=eng&amp;currency=EUR</v>
      </c>
      <c r="BE563" s="5" t="b">
        <f>IFERROR(__xludf.DUMMYFUNCTION("""COMPUTED_VALUE"""),TRUE)</f>
        <v>1</v>
      </c>
    </row>
    <row r="564">
      <c r="A564" s="5">
        <f>IFERROR(__xludf.DUMMYFUNCTION("""COMPUTED_VALUE"""),599.0)</f>
        <v>599</v>
      </c>
      <c r="B564" s="5">
        <f>IFERROR(__xludf.DUMMYFUNCTION("""COMPUTED_VALUE"""),521.0)</f>
        <v>521</v>
      </c>
      <c r="C564" s="5" t="str">
        <f>IFERROR(__xludf.DUMMYFUNCTION("""COMPUTED_VALUE"""),"Tiptop")</f>
        <v>Tiptop</v>
      </c>
      <c r="D564" s="5" t="str">
        <f>IFERROR(__xludf.DUMMYFUNCTION("""COMPUTED_VALUE"""),"Christmas Presents 2025")</f>
        <v>Christmas Presents 2025</v>
      </c>
      <c r="E564" s="5" t="str">
        <f>IFERROR(__xludf.DUMMYFUNCTION("""COMPUTED_VALUE"""),"Sertifikacioni")</f>
        <v>Sertifikacioni</v>
      </c>
      <c r="F564" s="5" t="str">
        <f>IFERROR(__xludf.DUMMYFUNCTION("""COMPUTED_VALUE"""),"UnicornChristmasPresents2025")</f>
        <v>UnicornChristmasPresents2025</v>
      </c>
      <c r="G564" s="5" t="str">
        <f>IFERROR(__xludf.DUMMYFUNCTION("""COMPUTED_VALUE"""),"Live")</f>
        <v>Live</v>
      </c>
      <c r="H564" s="5"/>
      <c r="I564" s="5"/>
      <c r="J564" s="5" t="str">
        <f>IFERROR(__xludf.DUMMYFUNCTION("""COMPUTED_VALUE"""),"JSON")</f>
        <v>JSON</v>
      </c>
      <c r="K564" s="5" t="str">
        <f>IFERROR(__xludf.DUMMYFUNCTION("""COMPUTED_VALUE"""),"Slot")</f>
        <v>Slot</v>
      </c>
      <c r="L564" s="5" t="str">
        <f>IFERROR(__xludf.DUMMYFUNCTION("""COMPUTED_VALUE""")," Clone")</f>
        <v> Clone</v>
      </c>
      <c r="M564" s="5" t="str">
        <f>IFERROR(__xludf.DUMMYFUNCTION("""COMPUTED_VALUE"""),"Christmas Presents")</f>
        <v>Christmas Presents</v>
      </c>
      <c r="N564" s="5"/>
      <c r="O564" s="5"/>
      <c r="P564" s="12">
        <f>IFERROR(__xludf.DUMMYFUNCTION("""COMPUTED_VALUE"""),16.7)</f>
        <v>16.7</v>
      </c>
      <c r="Q564" s="13">
        <f>IFERROR(__xludf.DUMMYFUNCTION("""COMPUTED_VALUE"""),45973.0)</f>
        <v>45973</v>
      </c>
      <c r="R564" s="13">
        <f>IFERROR(__xludf.DUMMYFUNCTION("""COMPUTED_VALUE"""),45980.0)</f>
        <v>45980</v>
      </c>
      <c r="S564" s="13">
        <f>IFERROR(__xludf.DUMMYFUNCTION("""COMPUTED_VALUE"""),45987.0)</f>
        <v>45987</v>
      </c>
      <c r="T564" s="5" t="b">
        <f>IFERROR(__xludf.DUMMYFUNCTION("""COMPUTED_VALUE"""),TRUE)</f>
        <v>1</v>
      </c>
      <c r="U564" s="5" t="str">
        <f>IFERROR(__xludf.DUMMYFUNCTION("""COMPUTED_VALUE"""),"5X3")</f>
        <v>5X3</v>
      </c>
      <c r="V564" s="5">
        <f>IFERROR(__xludf.DUMMYFUNCTION("""COMPUTED_VALUE"""),5.0)</f>
        <v>5</v>
      </c>
      <c r="W564" s="5">
        <f>IFERROR(__xludf.DUMMYFUNCTION("""COMPUTED_VALUE"""),5.0)</f>
        <v>5</v>
      </c>
      <c r="X564" s="5">
        <f>IFERROR(__xludf.DUMMYFUNCTION("""COMPUTED_VALUE"""),96.0)</f>
        <v>96</v>
      </c>
      <c r="Y564" s="5" t="str">
        <f>IFERROR(__xludf.DUMMYFUNCTION("""COMPUTED_VALUE"""),"Low")</f>
        <v>Low</v>
      </c>
      <c r="Z564" s="5">
        <f>IFERROR(__xludf.DUMMYFUNCTION("""COMPUTED_VALUE"""),13.64)</f>
        <v>13.64</v>
      </c>
      <c r="AA564" s="5">
        <f>IFERROR(__xludf.DUMMYFUNCTION("""COMPUTED_VALUE"""),10000.0)</f>
        <v>10000</v>
      </c>
      <c r="AB564" s="5"/>
      <c r="AC564" s="5"/>
      <c r="AD564" s="5" t="str">
        <f>IFERROR(__xludf.DUMMYFUNCTION("""COMPUTED_VALUE"""),"0.05/100")</f>
        <v>0.05/100</v>
      </c>
      <c r="AE564" s="5"/>
      <c r="AF564" s="5"/>
      <c r="AG564" s="8">
        <f>IFERROR(__xludf.DUMMYFUNCTION("""COMPUTED_VALUE"""),46197.50273148148)</f>
        <v>46197.50273</v>
      </c>
      <c r="AH564" s="5" t="str">
        <f>IFERROR(__xludf.DUMMYFUNCTION("""COMPUTED_VALUE"""),"selena.mihajlovic@fazi.rs")</f>
        <v>selena.mihajlovic@fazi.rs</v>
      </c>
      <c r="AI564" s="13">
        <f>IFERROR(__xludf.DUMMYFUNCTION("""COMPUTED_VALUE"""),45978.0)</f>
        <v>45978</v>
      </c>
      <c r="AJ564" s="5" t="str">
        <f>IFERROR(__xludf.DUMMYFUNCTION("""COMPUTED_VALUE"""),"PinUp")</f>
        <v>PinUp</v>
      </c>
      <c r="AK564" s="5">
        <f>IFERROR(__xludf.DUMMYFUNCTION("""COMPUTED_VALUE"""),5.0)</f>
        <v>5</v>
      </c>
      <c r="AL564" s="5" t="str">
        <f>IFERROR(__xludf.DUMMYFUNCTION("""COMPUTED_VALUE"""),"No")</f>
        <v>No</v>
      </c>
      <c r="AM564" s="5"/>
      <c r="AN564" s="7" t="str">
        <f>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AO564" s="5"/>
      <c r="AP564" s="5"/>
      <c r="AQ564" s="5" t="b">
        <f>IFERROR(__xludf.DUMMYFUNCTION("""COMPUTED_VALUE"""),TRUE)</f>
        <v>1</v>
      </c>
      <c r="AR564" s="5"/>
      <c r="AS564" s="5" t="str">
        <f>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AT564" s="5"/>
      <c r="AU564" s="5" t="str">
        <f>IFERROR(__xludf.DUMMYFUNCTION("""COMPUTED_VALUE"""),"Fazi")</f>
        <v>Fazi</v>
      </c>
      <c r="AV564" s="5"/>
      <c r="AW564" s="5"/>
      <c r="AX564" s="13">
        <f>IFERROR(__xludf.DUMMYFUNCTION("""COMPUTED_VALUE"""),45965.0)</f>
        <v>45965</v>
      </c>
      <c r="AY564" s="13"/>
      <c r="AZ564" s="13"/>
      <c r="BA564" s="5"/>
      <c r="BB564" s="5" t="b">
        <f>IFERROR(__xludf.DUMMYFUNCTION("""COMPUTED_VALUE"""),TRUE)</f>
        <v>1</v>
      </c>
      <c r="BC564" s="5" t="str">
        <f>IFERROR(__xludf.DUMMYFUNCTION("""COMPUTED_VALUE"""),"Tiptop")</f>
        <v>Tiptop</v>
      </c>
      <c r="BD564" s="7" t="str">
        <f>IFERROR(__xludf.DUMMYFUNCTION("""COMPUTED_VALUE"""),"https://gameserver-store-client-area.orbionlimited.com/Home/IntegrationGameLaunch/client-area?moneyType=0&amp;gameName=UnicornChristmasPresents2025&amp;platform=desktop&amp;languageCode=eng&amp;currency=EUR")</f>
        <v>https://gameserver-store-client-area.orbionlimited.com/Home/IntegrationGameLaunch/client-area?moneyType=0&amp;gameName=UnicornChristmasPresents2025&amp;platform=desktop&amp;languageCode=eng&amp;currency=EUR</v>
      </c>
      <c r="BE564" s="5" t="b">
        <f>IFERROR(__xludf.DUMMYFUNCTION("""COMPUTED_VALUE"""),TRUE)</f>
        <v>1</v>
      </c>
    </row>
    <row r="565">
      <c r="A565" s="5">
        <f>IFERROR(__xludf.DUMMYFUNCTION("""COMPUTED_VALUE"""),600.0)</f>
        <v>600</v>
      </c>
      <c r="B565" s="5">
        <f>IFERROR(__xludf.DUMMYFUNCTION("""COMPUTED_VALUE"""),522.0)</f>
        <v>522</v>
      </c>
      <c r="C565" s="5" t="str">
        <f>IFERROR(__xludf.DUMMYFUNCTION("""COMPUTED_VALUE"""),"Tiptop")</f>
        <v>Tiptop</v>
      </c>
      <c r="D565" s="5" t="str">
        <f>IFERROR(__xludf.DUMMYFUNCTION("""COMPUTED_VALUE"""),"Money Standard Platinum")</f>
        <v>Money Standard Platinum</v>
      </c>
      <c r="E565" s="5" t="str">
        <f>IFERROR(__xludf.DUMMYFUNCTION("""COMPUTED_VALUE"""),"Sertifikacioni")</f>
        <v>Sertifikacioni</v>
      </c>
      <c r="F565" s="5" t="str">
        <f>IFERROR(__xludf.DUMMYFUNCTION("""COMPUTED_VALUE"""),"UnicornMoneyStandardPlatinum")</f>
        <v>UnicornMoneyStandardPlatinum</v>
      </c>
      <c r="G565" s="5" t="str">
        <f>IFERROR(__xludf.DUMMYFUNCTION("""COMPUTED_VALUE"""),"Live")</f>
        <v>Live</v>
      </c>
      <c r="H565" s="5"/>
      <c r="I565" s="5" t="str">
        <f>IFERROR(__xludf.DUMMYFUNCTION("""COMPUTED_VALUE"""),"TipTop")</f>
        <v>TipTop</v>
      </c>
      <c r="J565" s="5" t="str">
        <f>IFERROR(__xludf.DUMMYFUNCTION("""COMPUTED_VALUE"""),"JSON")</f>
        <v>JSON</v>
      </c>
      <c r="K565" s="5" t="str">
        <f>IFERROR(__xludf.DUMMYFUNCTION("""COMPUTED_VALUE"""),"Slot")</f>
        <v>Slot</v>
      </c>
      <c r="L565" s="5" t="str">
        <f>IFERROR(__xludf.DUMMYFUNCTION("""COMPUTED_VALUE""")," Clone")</f>
        <v> Clone</v>
      </c>
      <c r="M565" s="5" t="str">
        <f>IFERROR(__xludf.DUMMYFUNCTION("""COMPUTED_VALUE"""),"Money Standard")</f>
        <v>Money Standard</v>
      </c>
      <c r="N565" s="5"/>
      <c r="O565" s="5"/>
      <c r="P565" s="12">
        <f>IFERROR(__xludf.DUMMYFUNCTION("""COMPUTED_VALUE"""),10.1)</f>
        <v>10.1</v>
      </c>
      <c r="Q565" s="13">
        <f>IFERROR(__xludf.DUMMYFUNCTION("""COMPUTED_VALUE"""),45985.0)</f>
        <v>45985</v>
      </c>
      <c r="R565" s="13">
        <f>IFERROR(__xludf.DUMMYFUNCTION("""COMPUTED_VALUE"""),45987.0)</f>
        <v>45987</v>
      </c>
      <c r="S565" s="13">
        <f>IFERROR(__xludf.DUMMYFUNCTION("""COMPUTED_VALUE"""),45994.0)</f>
        <v>45994</v>
      </c>
      <c r="T565" s="5" t="b">
        <f>IFERROR(__xludf.DUMMYFUNCTION("""COMPUTED_VALUE"""),TRUE)</f>
        <v>1</v>
      </c>
      <c r="U565" s="5" t="str">
        <f>IFERROR(__xludf.DUMMYFUNCTION("""COMPUTED_VALUE"""),"5X4")</f>
        <v>5X4</v>
      </c>
      <c r="V565" s="5">
        <f>IFERROR(__xludf.DUMMYFUNCTION("""COMPUTED_VALUE"""),20.0)</f>
        <v>20</v>
      </c>
      <c r="W565" s="5">
        <f>IFERROR(__xludf.DUMMYFUNCTION("""COMPUTED_VALUE"""),20.0)</f>
        <v>20</v>
      </c>
      <c r="X565" s="5">
        <f>IFERROR(__xludf.DUMMYFUNCTION("""COMPUTED_VALUE"""),96.0)</f>
        <v>96</v>
      </c>
      <c r="Y565" s="5" t="str">
        <f>IFERROR(__xludf.DUMMYFUNCTION("""COMPUTED_VALUE"""),"Low")</f>
        <v>Low</v>
      </c>
      <c r="Z565" s="5">
        <f>IFERROR(__xludf.DUMMYFUNCTION("""COMPUTED_VALUE"""),11.7)</f>
        <v>11.7</v>
      </c>
      <c r="AA565" s="5">
        <f>IFERROR(__xludf.DUMMYFUNCTION("""COMPUTED_VALUE"""),5000.0)</f>
        <v>5000</v>
      </c>
      <c r="AB565" s="5"/>
      <c r="AC565" s="5"/>
      <c r="AD565" s="5" t="str">
        <f>IFERROR(__xludf.DUMMYFUNCTION("""COMPUTED_VALUE"""),"0.2/100")</f>
        <v>0.2/100</v>
      </c>
      <c r="AE565" s="5"/>
      <c r="AF565" s="5"/>
      <c r="AG565" s="8">
        <f>IFERROR(__xludf.DUMMYFUNCTION("""COMPUTED_VALUE"""),46197.50287037037)</f>
        <v>46197.50287</v>
      </c>
      <c r="AH565" s="5" t="str">
        <f>IFERROR(__xludf.DUMMYFUNCTION("""COMPUTED_VALUE"""),"selena.mihajlovic@fazi.rs")</f>
        <v>selena.mihajlovic@fazi.rs</v>
      </c>
      <c r="AI565" s="13"/>
      <c r="AJ565" s="5"/>
      <c r="AK565" s="5">
        <f>IFERROR(__xludf.DUMMYFUNCTION("""COMPUTED_VALUE"""),20.0)</f>
        <v>20</v>
      </c>
      <c r="AL565" s="5" t="str">
        <f>IFERROR(__xludf.DUMMYFUNCTION("""COMPUTED_VALUE"""),"No")</f>
        <v>No</v>
      </c>
      <c r="AM565" s="5"/>
      <c r="AN565" s="7" t="str">
        <f>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AO565" s="5"/>
      <c r="AP565" s="5"/>
      <c r="AQ565" s="5" t="b">
        <f>IFERROR(__xludf.DUMMYFUNCTION("""COMPUTED_VALUE"""),TRUE)</f>
        <v>1</v>
      </c>
      <c r="AR565" s="5"/>
      <c r="AS565" s="5" t="str">
        <f>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AT565" s="5"/>
      <c r="AU565" s="5" t="str">
        <f>IFERROR(__xludf.DUMMYFUNCTION("""COMPUTED_VALUE"""),"Fazi")</f>
        <v>Fazi</v>
      </c>
      <c r="AV565" s="5"/>
      <c r="AW565" s="5"/>
      <c r="AX565" s="13">
        <f>IFERROR(__xludf.DUMMYFUNCTION("""COMPUTED_VALUE"""),45979.0)</f>
        <v>45979</v>
      </c>
      <c r="AY565" s="13"/>
      <c r="AZ565" s="13"/>
      <c r="BA565" s="5"/>
      <c r="BB565" s="5" t="b">
        <f>IFERROR(__xludf.DUMMYFUNCTION("""COMPUTED_VALUE"""),TRUE)</f>
        <v>1</v>
      </c>
      <c r="BC565" s="5" t="str">
        <f>IFERROR(__xludf.DUMMYFUNCTION("""COMPUTED_VALUE"""),"Tiptop")</f>
        <v>Tiptop</v>
      </c>
      <c r="BD565" s="7" t="str">
        <f>IFERROR(__xludf.DUMMYFUNCTION("""COMPUTED_VALUE"""),"https://gameserver-store-client-area.orbionlimited.com/Home/IntegrationGameLaunch/client-area?moneyType=0&amp;gameName=UnicornMoneyStandardPlatinum&amp;platform=desktop&amp;languageCode=eng&amp;currency=EUR")</f>
        <v>https://gameserver-store-client-area.orbionlimited.com/Home/IntegrationGameLaunch/client-area?moneyType=0&amp;gameName=UnicornMoneyStandardPlatinum&amp;platform=desktop&amp;languageCode=eng&amp;currency=EUR</v>
      </c>
      <c r="BE565" s="5" t="b">
        <f>IFERROR(__xludf.DUMMYFUNCTION("""COMPUTED_VALUE"""),TRUE)</f>
        <v>1</v>
      </c>
    </row>
    <row r="566">
      <c r="A566" s="5">
        <f>IFERROR(__xludf.DUMMYFUNCTION("""COMPUTED_VALUE"""),601.0)</f>
        <v>601</v>
      </c>
      <c r="B566" s="5">
        <f>IFERROR(__xludf.DUMMYFUNCTION("""COMPUTED_VALUE"""),429.0)</f>
        <v>429</v>
      </c>
      <c r="C566" s="5" t="str">
        <f>IFERROR(__xludf.DUMMYFUNCTION("""COMPUTED_VALUE"""),"Tiptop")</f>
        <v>Tiptop</v>
      </c>
      <c r="D566" s="5" t="str">
        <f>IFERROR(__xludf.DUMMYFUNCTION("""COMPUTED_VALUE"""),"Fruit Multipliers")</f>
        <v>Fruit Multipliers</v>
      </c>
      <c r="E566" s="5" t="str">
        <f>IFERROR(__xludf.DUMMYFUNCTION("""COMPUTED_VALUE"""),"V4-2")</f>
        <v>V4-2</v>
      </c>
      <c r="F566" s="5" t="str">
        <f>IFERROR(__xludf.DUMMYFUNCTION("""COMPUTED_VALUE"""),"UnicornFruitMultipliers")</f>
        <v>UnicornFruitMultipliers</v>
      </c>
      <c r="G566" s="5" t="str">
        <f>IFERROR(__xludf.DUMMYFUNCTION("""COMPUTED_VALUE"""),"Live")</f>
        <v>Live</v>
      </c>
      <c r="H566" s="5"/>
      <c r="I566" s="5" t="str">
        <f>IFERROR(__xludf.DUMMYFUNCTION("""COMPUTED_VALUE"""),"TipTop")</f>
        <v>TipTop</v>
      </c>
      <c r="J566" s="5" t="str">
        <f>IFERROR(__xludf.DUMMYFUNCTION("""COMPUTED_VALUE"""),"JSON")</f>
        <v>JSON</v>
      </c>
      <c r="K566" s="5" t="str">
        <f>IFERROR(__xludf.DUMMYFUNCTION("""COMPUTED_VALUE"""),"Slot")</f>
        <v>Slot</v>
      </c>
      <c r="L566" s="5" t="str">
        <f>IFERROR(__xludf.DUMMYFUNCTION("""COMPUTED_VALUE"""),"Master")</f>
        <v>Master</v>
      </c>
      <c r="M566" s="5"/>
      <c r="N566" s="5"/>
      <c r="O566" s="5"/>
      <c r="P566" s="12">
        <f>IFERROR(__xludf.DUMMYFUNCTION("""COMPUTED_VALUE"""),11.3)</f>
        <v>11.3</v>
      </c>
      <c r="Q566" s="13">
        <f>IFERROR(__xludf.DUMMYFUNCTION("""COMPUTED_VALUE"""),45973.0)</f>
        <v>45973</v>
      </c>
      <c r="R566" s="13">
        <f>IFERROR(__xludf.DUMMYFUNCTION("""COMPUTED_VALUE"""),45994.0)</f>
        <v>45994</v>
      </c>
      <c r="S566" s="13">
        <f>IFERROR(__xludf.DUMMYFUNCTION("""COMPUTED_VALUE"""),46001.0)</f>
        <v>46001</v>
      </c>
      <c r="T566" s="5" t="b">
        <f>IFERROR(__xludf.DUMMYFUNCTION("""COMPUTED_VALUE"""),TRUE)</f>
        <v>1</v>
      </c>
      <c r="U566" s="5" t="str">
        <f>IFERROR(__xludf.DUMMYFUNCTION("""COMPUTED_VALUE"""),"5X3")</f>
        <v>5X3</v>
      </c>
      <c r="V566" s="5">
        <f>IFERROR(__xludf.DUMMYFUNCTION("""COMPUTED_VALUE"""),10.0)</f>
        <v>10</v>
      </c>
      <c r="W566" s="5">
        <f>IFERROR(__xludf.DUMMYFUNCTION("""COMPUTED_VALUE"""),10.0)</f>
        <v>10</v>
      </c>
      <c r="X566" s="5">
        <f>IFERROR(__xludf.DUMMYFUNCTION("""COMPUTED_VALUE"""),96.0)</f>
        <v>96</v>
      </c>
      <c r="Y566" s="5" t="str">
        <f>IFERROR(__xludf.DUMMYFUNCTION("""COMPUTED_VALUE"""),"Low")</f>
        <v>Low</v>
      </c>
      <c r="Z566" s="5">
        <f>IFERROR(__xludf.DUMMYFUNCTION("""COMPUTED_VALUE"""),22.81)</f>
        <v>22.81</v>
      </c>
      <c r="AA566" s="5">
        <f>IFERROR(__xludf.DUMMYFUNCTION("""COMPUTED_VALUE"""),10000.0)</f>
        <v>10000</v>
      </c>
      <c r="AB566" s="5"/>
      <c r="AC566" s="5"/>
      <c r="AD566" s="5" t="str">
        <f>IFERROR(__xludf.DUMMYFUNCTION("""COMPUTED_VALUE"""),"0.1/100")</f>
        <v>0.1/100</v>
      </c>
      <c r="AE566" s="5"/>
      <c r="AF566" s="5"/>
      <c r="AG566" s="8">
        <f>IFERROR(__xludf.DUMMYFUNCTION("""COMPUTED_VALUE"""),46197.50304398148)</f>
        <v>46197.50304</v>
      </c>
      <c r="AH566" s="5" t="str">
        <f>IFERROR(__xludf.DUMMYFUNCTION("""COMPUTED_VALUE"""),"selena.mihajlovic@fazi.rs")</f>
        <v>selena.mihajlovic@fazi.rs</v>
      </c>
      <c r="AI566" s="13">
        <f>IFERROR(__xludf.DUMMYFUNCTION("""COMPUTED_VALUE"""),45974.0)</f>
        <v>45974</v>
      </c>
      <c r="AJ566" s="5" t="str">
        <f>IFERROR(__xludf.DUMMYFUNCTION("""COMPUTED_VALUE"""),"Koral Play")</f>
        <v>Koral Play</v>
      </c>
      <c r="AK566" s="5">
        <f>IFERROR(__xludf.DUMMYFUNCTION("""COMPUTED_VALUE"""),10.0)</f>
        <v>10</v>
      </c>
      <c r="AL566" s="5" t="str">
        <f>IFERROR(__xludf.DUMMYFUNCTION("""COMPUTED_VALUE"""),"No")</f>
        <v>No</v>
      </c>
      <c r="AM566" s="5"/>
      <c r="AN566" s="7" t="str">
        <f>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AO566" s="5"/>
      <c r="AP566" s="5"/>
      <c r="AQ566" s="5" t="b">
        <f>IFERROR(__xludf.DUMMYFUNCTION("""COMPUTED_VALUE"""),TRUE)</f>
        <v>1</v>
      </c>
      <c r="AR566" s="5"/>
      <c r="AS566" s="5" t="str">
        <f>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AT566" s="5"/>
      <c r="AU566" s="5" t="str">
        <f>IFERROR(__xludf.DUMMYFUNCTION("""COMPUTED_VALUE"""),"Fazi")</f>
        <v>Fazi</v>
      </c>
      <c r="AV566" s="5"/>
      <c r="AW566" s="5"/>
      <c r="AX566" s="13">
        <f>IFERROR(__xludf.DUMMYFUNCTION("""COMPUTED_VALUE"""),45965.0)</f>
        <v>45965</v>
      </c>
      <c r="AY566" s="13"/>
      <c r="AZ566" s="13"/>
      <c r="BA566" s="5"/>
      <c r="BB566" s="5" t="b">
        <f>IFERROR(__xludf.DUMMYFUNCTION("""COMPUTED_VALUE"""),TRUE)</f>
        <v>1</v>
      </c>
      <c r="BC566" s="5" t="str">
        <f>IFERROR(__xludf.DUMMYFUNCTION("""COMPUTED_VALUE"""),"Tiptop")</f>
        <v>Tiptop</v>
      </c>
      <c r="BD566" s="7" t="str">
        <f>IFERROR(__xludf.DUMMYFUNCTION("""COMPUTED_VALUE"""),"https://gameserver-store-client-area.orbionlimited.com/Home/IntegrationGameLaunch/client-area?moneyType=0&amp;gameName=UnicornFruitMultipliers&amp;platform=desktop&amp;languageCode=eng&amp;currency=EUR")</f>
        <v>https://gameserver-store-client-area.orbionlimited.com/Home/IntegrationGameLaunch/client-area?moneyType=0&amp;gameName=UnicornFruitMultipliers&amp;platform=desktop&amp;languageCode=eng&amp;currency=EUR</v>
      </c>
      <c r="BE566" s="5" t="b">
        <f>IFERROR(__xludf.DUMMYFUNCTION("""COMPUTED_VALUE"""),TRUE)</f>
        <v>1</v>
      </c>
    </row>
    <row r="567">
      <c r="A567" s="5">
        <f>IFERROR(__xludf.DUMMYFUNCTION("""COMPUTED_VALUE"""),602.0)</f>
        <v>602</v>
      </c>
      <c r="B567" s="5">
        <f>IFERROR(__xludf.DUMMYFUNCTION("""COMPUTED_VALUE"""),428.0)</f>
        <v>428</v>
      </c>
      <c r="C567" s="5" t="str">
        <f>IFERROR(__xludf.DUMMYFUNCTION("""COMPUTED_VALUE"""),"Tiptop")</f>
        <v>Tiptop</v>
      </c>
      <c r="D567" s="5" t="str">
        <f>IFERROR(__xludf.DUMMYFUNCTION("""COMPUTED_VALUE"""),"Sevens Pay")</f>
        <v>Sevens Pay</v>
      </c>
      <c r="E567" s="5" t="str">
        <f>IFERROR(__xludf.DUMMYFUNCTION("""COMPUTED_VALUE"""),"V4-2")</f>
        <v>V4-2</v>
      </c>
      <c r="F567" s="5" t="str">
        <f>IFERROR(__xludf.DUMMYFUNCTION("""COMPUTED_VALUE"""),"UnicornSevensPay")</f>
        <v>UnicornSevensPay</v>
      </c>
      <c r="G567" s="5" t="str">
        <f>IFERROR(__xludf.DUMMYFUNCTION("""COMPUTED_VALUE"""),"Live")</f>
        <v>Live</v>
      </c>
      <c r="H567" s="5"/>
      <c r="I567" s="5" t="str">
        <f>IFERROR(__xludf.DUMMYFUNCTION("""COMPUTED_VALUE"""),"TipTop")</f>
        <v>TipTop</v>
      </c>
      <c r="J567" s="5" t="str">
        <f>IFERROR(__xludf.DUMMYFUNCTION("""COMPUTED_VALUE"""),"JSON")</f>
        <v>JSON</v>
      </c>
      <c r="K567" s="5" t="str">
        <f>IFERROR(__xludf.DUMMYFUNCTION("""COMPUTED_VALUE"""),"Slot")</f>
        <v>Slot</v>
      </c>
      <c r="L567" s="5" t="str">
        <f>IFERROR(__xludf.DUMMYFUNCTION("""COMPUTED_VALUE"""),"Master")</f>
        <v>Master</v>
      </c>
      <c r="M567" s="5"/>
      <c r="N567" s="5"/>
      <c r="O567" s="5"/>
      <c r="P567" s="12">
        <f>IFERROR(__xludf.DUMMYFUNCTION("""COMPUTED_VALUE"""),9.8)</f>
        <v>9.8</v>
      </c>
      <c r="Q567" s="13">
        <f>IFERROR(__xludf.DUMMYFUNCTION("""COMPUTED_VALUE"""),45973.0)</f>
        <v>45973</v>
      </c>
      <c r="R567" s="13">
        <f>IFERROR(__xludf.DUMMYFUNCTION("""COMPUTED_VALUE"""),46001.0)</f>
        <v>46001</v>
      </c>
      <c r="S567" s="13">
        <f>IFERROR(__xludf.DUMMYFUNCTION("""COMPUTED_VALUE"""),46008.0)</f>
        <v>46008</v>
      </c>
      <c r="T567" s="5" t="b">
        <f>IFERROR(__xludf.DUMMYFUNCTION("""COMPUTED_VALUE"""),TRUE)</f>
        <v>1</v>
      </c>
      <c r="U567" s="5" t="str">
        <f>IFERROR(__xludf.DUMMYFUNCTION("""COMPUTED_VALUE"""),"5X3")</f>
        <v>5X3</v>
      </c>
      <c r="V567" s="5">
        <f>IFERROR(__xludf.DUMMYFUNCTION("""COMPUTED_VALUE"""),10.0)</f>
        <v>10</v>
      </c>
      <c r="W567" s="5">
        <f>IFERROR(__xludf.DUMMYFUNCTION("""COMPUTED_VALUE"""),10.0)</f>
        <v>10</v>
      </c>
      <c r="X567" s="5">
        <f>IFERROR(__xludf.DUMMYFUNCTION("""COMPUTED_VALUE"""),96.0)</f>
        <v>96</v>
      </c>
      <c r="Y567" s="5" t="str">
        <f>IFERROR(__xludf.DUMMYFUNCTION("""COMPUTED_VALUE"""),"Low")</f>
        <v>Low</v>
      </c>
      <c r="Z567" s="5">
        <f>IFERROR(__xludf.DUMMYFUNCTION("""COMPUTED_VALUE"""),9.85)</f>
        <v>9.85</v>
      </c>
      <c r="AA567" s="5">
        <f>IFERROR(__xludf.DUMMYFUNCTION("""COMPUTED_VALUE"""),1000.0)</f>
        <v>1000</v>
      </c>
      <c r="AB567" s="5"/>
      <c r="AC567" s="5"/>
      <c r="AD567" s="5" t="str">
        <f>IFERROR(__xludf.DUMMYFUNCTION("""COMPUTED_VALUE"""),"0.1/100")</f>
        <v>0.1/100</v>
      </c>
      <c r="AE567" s="5"/>
      <c r="AF567" s="5"/>
      <c r="AG567" s="8">
        <f>IFERROR(__xludf.DUMMYFUNCTION("""COMPUTED_VALUE"""),46197.503229166665)</f>
        <v>46197.50323</v>
      </c>
      <c r="AH567" s="5" t="str">
        <f>IFERROR(__xludf.DUMMYFUNCTION("""COMPUTED_VALUE"""),"selena.mihajlovic@fazi.rs")</f>
        <v>selena.mihajlovic@fazi.rs</v>
      </c>
      <c r="AI567" s="13"/>
      <c r="AJ567" s="5"/>
      <c r="AK567" s="5">
        <f>IFERROR(__xludf.DUMMYFUNCTION("""COMPUTED_VALUE"""),10.0)</f>
        <v>10</v>
      </c>
      <c r="AL567" s="5" t="str">
        <f>IFERROR(__xludf.DUMMYFUNCTION("""COMPUTED_VALUE"""),"No")</f>
        <v>No</v>
      </c>
      <c r="AM567" s="5"/>
      <c r="AN567" s="7" t="str">
        <f>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AO567" s="5"/>
      <c r="AP567" s="5"/>
      <c r="AQ567" s="5" t="b">
        <f>IFERROR(__xludf.DUMMYFUNCTION("""COMPUTED_VALUE"""),TRUE)</f>
        <v>1</v>
      </c>
      <c r="AR567" s="5"/>
      <c r="AS567" s="5" t="str">
        <f>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AT567" s="5"/>
      <c r="AU567" s="5" t="str">
        <f>IFERROR(__xludf.DUMMYFUNCTION("""COMPUTED_VALUE"""),"Fazi")</f>
        <v>Fazi</v>
      </c>
      <c r="AV567" s="5"/>
      <c r="AW567" s="5"/>
      <c r="AX567" s="13">
        <f>IFERROR(__xludf.DUMMYFUNCTION("""COMPUTED_VALUE"""),45965.0)</f>
        <v>45965</v>
      </c>
      <c r="AY567" s="13"/>
      <c r="AZ567" s="13"/>
      <c r="BA567" s="5"/>
      <c r="BB567" s="5" t="b">
        <f>IFERROR(__xludf.DUMMYFUNCTION("""COMPUTED_VALUE"""),TRUE)</f>
        <v>1</v>
      </c>
      <c r="BC567" s="5" t="str">
        <f>IFERROR(__xludf.DUMMYFUNCTION("""COMPUTED_VALUE"""),"Tiptop")</f>
        <v>Tiptop</v>
      </c>
      <c r="BD567" s="7" t="str">
        <f>IFERROR(__xludf.DUMMYFUNCTION("""COMPUTED_VALUE"""),"https://gameserver-store-client-area.orbionlimited.com/Home/IntegrationGameLaunch/client-area?moneyType=0&amp;gameName=UnicornSevensPay&amp;platform=desktop&amp;languageCode=eng&amp;currency=EUR")</f>
        <v>https://gameserver-store-client-area.orbionlimited.com/Home/IntegrationGameLaunch/client-area?moneyType=0&amp;gameName=UnicornSevensPay&amp;platform=desktop&amp;languageCode=eng&amp;currency=EUR</v>
      </c>
      <c r="BE567" s="5" t="b">
        <f>IFERROR(__xludf.DUMMYFUNCTION("""COMPUTED_VALUE"""),TRUE)</f>
        <v>1</v>
      </c>
    </row>
    <row r="568">
      <c r="A568" s="5">
        <f>IFERROR(__xludf.DUMMYFUNCTION("""COMPUTED_VALUE"""),603.0)</f>
        <v>603</v>
      </c>
      <c r="B568" s="5">
        <f>IFERROR(__xludf.DUMMYFUNCTION("""COMPUTED_VALUE"""),514.0)</f>
        <v>514</v>
      </c>
      <c r="C568" s="5" t="str">
        <f>IFERROR(__xludf.DUMMYFUNCTION("""COMPUTED_VALUE"""),"Playnet")</f>
        <v>Playnet</v>
      </c>
      <c r="D568" s="5" t="str">
        <f>IFERROR(__xludf.DUMMYFUNCTION("""COMPUTED_VALUE"""),"Majestic Crown 40")</f>
        <v>Majestic Crown 40</v>
      </c>
      <c r="E568" s="5" t="str">
        <f>IFERROR(__xludf.DUMMYFUNCTION("""COMPUTED_VALUE"""),"Sertifikacioni")</f>
        <v>Sertifikacioni</v>
      </c>
      <c r="F568" s="5" t="str">
        <f>IFERROR(__xludf.DUMMYFUNCTION("""COMPUTED_VALUE"""),"PlayNetMajesticCrown40")</f>
        <v>PlayNetMajesticCrown40</v>
      </c>
      <c r="G568" s="5" t="str">
        <f>IFERROR(__xludf.DUMMYFUNCTION("""COMPUTED_VALUE"""),"Live")</f>
        <v>Live</v>
      </c>
      <c r="H568" s="5"/>
      <c r="I568" s="5"/>
      <c r="J568" s="5" t="str">
        <f>IFERROR(__xludf.DUMMYFUNCTION("""COMPUTED_VALUE"""),"JSON")</f>
        <v>JSON</v>
      </c>
      <c r="K568" s="5" t="str">
        <f>IFERROR(__xludf.DUMMYFUNCTION("""COMPUTED_VALUE"""),"Slot")</f>
        <v>Slot</v>
      </c>
      <c r="L568" s="5" t="str">
        <f>IFERROR(__xludf.DUMMYFUNCTION("""COMPUTED_VALUE""")," Clone")</f>
        <v> Clone</v>
      </c>
      <c r="M568" s="5" t="str">
        <f>IFERROR(__xludf.DUMMYFUNCTION("""COMPUTED_VALUE"""),"Golden Crown 40")</f>
        <v>Golden Crown 40</v>
      </c>
      <c r="N568" s="5"/>
      <c r="O568" s="5"/>
      <c r="P568" s="12">
        <f>IFERROR(__xludf.DUMMYFUNCTION("""COMPUTED_VALUE"""),7.2)</f>
        <v>7.2</v>
      </c>
      <c r="Q568" s="13">
        <f>IFERROR(__xludf.DUMMYFUNCTION("""COMPUTED_VALUE"""),45929.0)</f>
        <v>45929</v>
      </c>
      <c r="R568" s="13">
        <f>IFERROR(__xludf.DUMMYFUNCTION("""COMPUTED_VALUE"""),45929.0)</f>
        <v>45929</v>
      </c>
      <c r="S568" s="13">
        <f>IFERROR(__xludf.DUMMYFUNCTION("""COMPUTED_VALUE"""),45936.0)</f>
        <v>45936</v>
      </c>
      <c r="T568" s="5" t="b">
        <f>IFERROR(__xludf.DUMMYFUNCTION("""COMPUTED_VALUE"""),TRUE)</f>
        <v>1</v>
      </c>
      <c r="U568" s="5" t="str">
        <f>IFERROR(__xludf.DUMMYFUNCTION("""COMPUTED_VALUE"""),"5x3")</f>
        <v>5x3</v>
      </c>
      <c r="V568" s="5">
        <f>IFERROR(__xludf.DUMMYFUNCTION("""COMPUTED_VALUE"""),40.0)</f>
        <v>40</v>
      </c>
      <c r="W568" s="5">
        <f>IFERROR(__xludf.DUMMYFUNCTION("""COMPUTED_VALUE"""),40.0)</f>
        <v>40</v>
      </c>
      <c r="X568" s="5">
        <f>IFERROR(__xludf.DUMMYFUNCTION("""COMPUTED_VALUE"""),95.962)</f>
        <v>95.962</v>
      </c>
      <c r="Y568" s="5" t="str">
        <f>IFERROR(__xludf.DUMMYFUNCTION("""COMPUTED_VALUE"""),"Medium")</f>
        <v>Medium</v>
      </c>
      <c r="Z568" s="5">
        <f>IFERROR(__xludf.DUMMYFUNCTION("""COMPUTED_VALUE"""),18.351)</f>
        <v>18.351</v>
      </c>
      <c r="AA568" s="5">
        <f>IFERROR(__xludf.DUMMYFUNCTION("""COMPUTED_VALUE"""),1421.0)</f>
        <v>1421</v>
      </c>
      <c r="AB568" s="5"/>
      <c r="AC568" s="5" t="str">
        <f>IFERROR(__xludf.DUMMYFUNCTION("""COMPUTED_VALUE"""),"Scatter, Expanding Wild")</f>
        <v>Scatter, Expanding Wild</v>
      </c>
      <c r="AD568" s="5" t="str">
        <f>IFERROR(__xludf.DUMMYFUNCTION("""COMPUTED_VALUE"""),"0.2/50")</f>
        <v>0.2/50</v>
      </c>
      <c r="AE568" s="5"/>
      <c r="AF568" s="5"/>
      <c r="AG568" s="8">
        <f>IFERROR(__xludf.DUMMYFUNCTION("""COMPUTED_VALUE"""),46220.504745370374)</f>
        <v>46220.50475</v>
      </c>
      <c r="AH568" s="5" t="str">
        <f>IFERROR(__xludf.DUMMYFUNCTION("""COMPUTED_VALUE"""),"selena.mihajlovic@fazi.rs")</f>
        <v>selena.mihajlovic@fazi.rs</v>
      </c>
      <c r="AI568" s="13"/>
      <c r="AJ568" s="5"/>
      <c r="AK568" s="5"/>
      <c r="AL568" s="5" t="str">
        <f>IFERROR(__xludf.DUMMYFUNCTION("""COMPUTED_VALUE"""),"No")</f>
        <v>No</v>
      </c>
      <c r="AM568" s="5" t="str">
        <f>IFERROR(__xludf.DUMMYFUNCTION("""COMPUTED_VALUE"""),"No")</f>
        <v>No</v>
      </c>
      <c r="AN568" s="7" t="str">
        <f>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AO568" s="5"/>
      <c r="AP568" s="5" t="str">
        <f>IFERROR(__xludf.DUMMYFUNCTION("""COMPUTED_VALUE"""),"No")</f>
        <v>No</v>
      </c>
      <c r="AQ568" s="5" t="b">
        <f>IFERROR(__xludf.DUMMYFUNCTION("""COMPUTED_VALUE"""),TRUE)</f>
        <v>1</v>
      </c>
      <c r="AR568" s="5"/>
      <c r="AS568" s="5" t="str">
        <f>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AT568" s="5"/>
      <c r="AU568" s="5" t="str">
        <f>IFERROR(__xludf.DUMMYFUNCTION("""COMPUTED_VALUE"""),"Fazi")</f>
        <v>Fazi</v>
      </c>
      <c r="AV568" s="5"/>
      <c r="AW568" s="5"/>
      <c r="AX568" s="13">
        <f>IFERROR(__xludf.DUMMYFUNCTION("""COMPUTED_VALUE"""),45923.0)</f>
        <v>45923</v>
      </c>
      <c r="AY568" s="13"/>
      <c r="AZ568" s="13"/>
      <c r="BA568" s="5"/>
      <c r="BB568" s="5" t="b">
        <f>IFERROR(__xludf.DUMMYFUNCTION("""COMPUTED_VALUE"""),TRUE)</f>
        <v>1</v>
      </c>
      <c r="BC568" s="5" t="str">
        <f>IFERROR(__xludf.DUMMYFUNCTION("""COMPUTED_VALUE"""),"Playnet")</f>
        <v>Playnet</v>
      </c>
      <c r="BD568" s="7" t="str">
        <f>IFERROR(__xludf.DUMMYFUNCTION("""COMPUTED_VALUE"""),"https://gameserver-store-client-area.orbionlimited.com/Home/IntegrationGameLaunch/client-area?moneyType=0&amp;gameName=PlayNetMajesticCrown40&amp;platform=desktop&amp;languageCode=eng&amp;currency=EUR")</f>
        <v>https://gameserver-store-client-area.orbionlimited.com/Home/IntegrationGameLaunch/client-area?moneyType=0&amp;gameName=PlayNetMajesticCrown40&amp;platform=desktop&amp;languageCode=eng&amp;currency=EUR</v>
      </c>
      <c r="BE568" s="5" t="b">
        <f>IFERROR(__xludf.DUMMYFUNCTION("""COMPUTED_VALUE"""),TRUE)</f>
        <v>1</v>
      </c>
    </row>
    <row r="569">
      <c r="A569" s="5">
        <f>IFERROR(__xludf.DUMMYFUNCTION("""COMPUTED_VALUE"""),604.0)</f>
        <v>604</v>
      </c>
      <c r="B569" s="5">
        <f>IFERROR(__xludf.DUMMYFUNCTION("""COMPUTED_VALUE"""),518.0)</f>
        <v>518</v>
      </c>
      <c r="C569" s="5" t="str">
        <f>IFERROR(__xludf.DUMMYFUNCTION("""COMPUTED_VALUE"""),"Playnet")</f>
        <v>Playnet</v>
      </c>
      <c r="D569" s="5" t="str">
        <f>IFERROR(__xludf.DUMMYFUNCTION("""COMPUTED_VALUE"""),"Neptune's Jewels")</f>
        <v>Neptune's Jewels</v>
      </c>
      <c r="E569" s="5" t="str">
        <f>IFERROR(__xludf.DUMMYFUNCTION("""COMPUTED_VALUE"""),"Sertifikacioni")</f>
        <v>Sertifikacioni</v>
      </c>
      <c r="F569" s="5" t="str">
        <f>IFERROR(__xludf.DUMMYFUNCTION("""COMPUTED_VALUE"""),"PlayNetNeptunesJewels")</f>
        <v>PlayNetNeptunesJewels</v>
      </c>
      <c r="G569" s="5" t="str">
        <f>IFERROR(__xludf.DUMMYFUNCTION("""COMPUTED_VALUE"""),"Live")</f>
        <v>Live</v>
      </c>
      <c r="H569" s="5"/>
      <c r="I569" s="5"/>
      <c r="J569" s="5" t="str">
        <f>IFERROR(__xludf.DUMMYFUNCTION("""COMPUTED_VALUE"""),"JSON")</f>
        <v>JSON</v>
      </c>
      <c r="K569" s="5" t="str">
        <f>IFERROR(__xludf.DUMMYFUNCTION("""COMPUTED_VALUE"""),"Slot")</f>
        <v>Slot</v>
      </c>
      <c r="L569" s="5" t="str">
        <f>IFERROR(__xludf.DUMMYFUNCTION("""COMPUTED_VALUE""")," Clone")</f>
        <v> Clone</v>
      </c>
      <c r="M569" s="5" t="str">
        <f>IFERROR(__xludf.DUMMYFUNCTION("""COMPUTED_VALUE"""),"Wild Lucky Clover")</f>
        <v>Wild Lucky Clover</v>
      </c>
      <c r="N569" s="5"/>
      <c r="O569" s="5"/>
      <c r="P569" s="12">
        <f>IFERROR(__xludf.DUMMYFUNCTION("""COMPUTED_VALUE"""),7.2)</f>
        <v>7.2</v>
      </c>
      <c r="Q569" s="13">
        <f>IFERROR(__xludf.DUMMYFUNCTION("""COMPUTED_VALUE"""),45973.0)</f>
        <v>45973</v>
      </c>
      <c r="R569" s="13">
        <f>IFERROR(__xludf.DUMMYFUNCTION("""COMPUTED_VALUE"""),46041.0)</f>
        <v>46041</v>
      </c>
      <c r="S569" s="13">
        <f>IFERROR(__xludf.DUMMYFUNCTION("""COMPUTED_VALUE"""),46048.0)</f>
        <v>46048</v>
      </c>
      <c r="T569" s="5" t="b">
        <f>IFERROR(__xludf.DUMMYFUNCTION("""COMPUTED_VALUE"""),TRUE)</f>
        <v>1</v>
      </c>
      <c r="U569" s="5" t="str">
        <f>IFERROR(__xludf.DUMMYFUNCTION("""COMPUTED_VALUE"""),"5x4")</f>
        <v>5x4</v>
      </c>
      <c r="V569" s="5">
        <f>IFERROR(__xludf.DUMMYFUNCTION("""COMPUTED_VALUE"""),40.0)</f>
        <v>40</v>
      </c>
      <c r="W569" s="5">
        <f>IFERROR(__xludf.DUMMYFUNCTION("""COMPUTED_VALUE"""),40.0)</f>
        <v>40</v>
      </c>
      <c r="X569" s="5">
        <f>IFERROR(__xludf.DUMMYFUNCTION("""COMPUTED_VALUE"""),96.291)</f>
        <v>96.291</v>
      </c>
      <c r="Y569" s="5" t="str">
        <f>IFERROR(__xludf.DUMMYFUNCTION("""COMPUTED_VALUE"""),"Medium")</f>
        <v>Medium</v>
      </c>
      <c r="Z569" s="5">
        <f>IFERROR(__xludf.DUMMYFUNCTION("""COMPUTED_VALUE"""),12.67)</f>
        <v>12.67</v>
      </c>
      <c r="AA569" s="5">
        <f>IFERROR(__xludf.DUMMYFUNCTION("""COMPUTED_VALUE"""),1043.0)</f>
        <v>1043</v>
      </c>
      <c r="AB569" s="5"/>
      <c r="AC569" s="5" t="str">
        <f>IFERROR(__xludf.DUMMYFUNCTION("""COMPUTED_VALUE"""),"Bonus Game with Free Spins, Wild Symbol, Scatter, Special Wild")</f>
        <v>Bonus Game with Free Spins, Wild Symbol, Scatter, Special Wild</v>
      </c>
      <c r="AD569" s="5" t="str">
        <f>IFERROR(__xludf.DUMMYFUNCTION("""COMPUTED_VALUE"""),"0.1/60")</f>
        <v>0.1/60</v>
      </c>
      <c r="AE569" s="5"/>
      <c r="AF569" s="5"/>
      <c r="AG569" s="8">
        <f>IFERROR(__xludf.DUMMYFUNCTION("""COMPUTED_VALUE"""),46220.504907407405)</f>
        <v>46220.50491</v>
      </c>
      <c r="AH569" s="5" t="str">
        <f>IFERROR(__xludf.DUMMYFUNCTION("""COMPUTED_VALUE"""),"selena.mihajlovic@fazi.rs")</f>
        <v>selena.mihajlovic@fazi.rs</v>
      </c>
      <c r="AI569" s="13"/>
      <c r="AJ569" s="5"/>
      <c r="AK569" s="5"/>
      <c r="AL569" s="5" t="str">
        <f>IFERROR(__xludf.DUMMYFUNCTION("""COMPUTED_VALUE"""),"No")</f>
        <v>No</v>
      </c>
      <c r="AM569" s="5" t="str">
        <f>IFERROR(__xludf.DUMMYFUNCTION("""COMPUTED_VALUE"""),"No")</f>
        <v>No</v>
      </c>
      <c r="AN569" s="7" t="str">
        <f>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AO569" s="5" t="str">
        <f>IFERROR(__xludf.DUMMYFUNCTION("""COMPUTED_VALUE"""),"No")</f>
        <v>No</v>
      </c>
      <c r="AP569" s="5" t="str">
        <f>IFERROR(__xludf.DUMMYFUNCTION("""COMPUTED_VALUE"""),"No")</f>
        <v>No</v>
      </c>
      <c r="AQ569" s="5" t="b">
        <f>IFERROR(__xludf.DUMMYFUNCTION("""COMPUTED_VALUE"""),TRUE)</f>
        <v>1</v>
      </c>
      <c r="AR569" s="5"/>
      <c r="AS569" s="5" t="str">
        <f>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AT569" s="5"/>
      <c r="AU569" s="5" t="str">
        <f>IFERROR(__xludf.DUMMYFUNCTION("""COMPUTED_VALUE"""),"Fazi")</f>
        <v>Fazi</v>
      </c>
      <c r="AV569" s="5"/>
      <c r="AW569" s="5"/>
      <c r="AX569" s="13">
        <f>IFERROR(__xludf.DUMMYFUNCTION("""COMPUTED_VALUE"""),45965.0)</f>
        <v>45965</v>
      </c>
      <c r="AY569" s="13"/>
      <c r="AZ569" s="13"/>
      <c r="BA569" s="5"/>
      <c r="BB569" s="5" t="b">
        <f>IFERROR(__xludf.DUMMYFUNCTION("""COMPUTED_VALUE"""),TRUE)</f>
        <v>1</v>
      </c>
      <c r="BC569" s="5" t="str">
        <f>IFERROR(__xludf.DUMMYFUNCTION("""COMPUTED_VALUE"""),"Playnet")</f>
        <v>Playnet</v>
      </c>
      <c r="BD569" s="7" t="str">
        <f>IFERROR(__xludf.DUMMYFUNCTION("""COMPUTED_VALUE"""),"https://gameserver-store-client-area.orbionlimited.com/Home/IntegrationGameLaunch/client-area?moneyType=0&amp;gameName=PlayNetNeptunesJewels&amp;platform=desktop&amp;languageCode=eng&amp;currency=EUR")</f>
        <v>https://gameserver-store-client-area.orbionlimited.com/Home/IntegrationGameLaunch/client-area?moneyType=0&amp;gameName=PlayNetNeptunesJewels&amp;platform=desktop&amp;languageCode=eng&amp;currency=EUR</v>
      </c>
      <c r="BE569" s="5" t="b">
        <f>IFERROR(__xludf.DUMMYFUNCTION("""COMPUTED_VALUE"""),TRUE)</f>
        <v>1</v>
      </c>
    </row>
    <row r="570">
      <c r="A570" s="5">
        <f>IFERROR(__xludf.DUMMYFUNCTION("""COMPUTED_VALUE"""),605.0)</f>
        <v>605</v>
      </c>
      <c r="B570" s="5">
        <f>IFERROR(__xludf.DUMMYFUNCTION("""COMPUTED_VALUE"""),516.0)</f>
        <v>516</v>
      </c>
      <c r="C570" s="5" t="str">
        <f>IFERROR(__xludf.DUMMYFUNCTION("""COMPUTED_VALUE"""),"Playnet")</f>
        <v>Playnet</v>
      </c>
      <c r="D570" s="5" t="str">
        <f>IFERROR(__xludf.DUMMYFUNCTION("""COMPUTED_VALUE"""),"81 Magic Stars")</f>
        <v>81 Magic Stars</v>
      </c>
      <c r="E570" s="5" t="str">
        <f>IFERROR(__xludf.DUMMYFUNCTION("""COMPUTED_VALUE"""),"Sertifikacioni")</f>
        <v>Sertifikacioni</v>
      </c>
      <c r="F570" s="5" t="str">
        <f>IFERROR(__xludf.DUMMYFUNCTION("""COMPUTED_VALUE"""),"PlayNet81MagicStars")</f>
        <v>PlayNet81MagicStars</v>
      </c>
      <c r="G570" s="5" t="str">
        <f>IFERROR(__xludf.DUMMYFUNCTION("""COMPUTED_VALUE"""),"Live")</f>
        <v>Live</v>
      </c>
      <c r="H570" s="5"/>
      <c r="I570" s="5"/>
      <c r="J570" s="5" t="str">
        <f>IFERROR(__xludf.DUMMYFUNCTION("""COMPUTED_VALUE"""),"JSON")</f>
        <v>JSON</v>
      </c>
      <c r="K570" s="5" t="str">
        <f>IFERROR(__xludf.DUMMYFUNCTION("""COMPUTED_VALUE"""),"Slot")</f>
        <v>Slot</v>
      </c>
      <c r="L570" s="5" t="str">
        <f>IFERROR(__xludf.DUMMYFUNCTION("""COMPUTED_VALUE""")," Clone")</f>
        <v> Clone</v>
      </c>
      <c r="M570" s="5" t="str">
        <f>IFERROR(__xludf.DUMMYFUNCTION("""COMPUTED_VALUE"""),"Wild 81")</f>
        <v>Wild 81</v>
      </c>
      <c r="N570" s="5"/>
      <c r="O570" s="5"/>
      <c r="P570" s="12">
        <f>IFERROR(__xludf.DUMMYFUNCTION("""COMPUTED_VALUE"""),7.2)</f>
        <v>7.2</v>
      </c>
      <c r="Q570" s="13">
        <f>IFERROR(__xludf.DUMMYFUNCTION("""COMPUTED_VALUE"""),45957.0)</f>
        <v>45957</v>
      </c>
      <c r="R570" s="13">
        <f>IFERROR(__xludf.DUMMYFUNCTION("""COMPUTED_VALUE"""),45951.0)</f>
        <v>45951</v>
      </c>
      <c r="S570" s="13">
        <f>IFERROR(__xludf.DUMMYFUNCTION("""COMPUTED_VALUE"""),45958.0)</f>
        <v>45958</v>
      </c>
      <c r="T570" s="5" t="b">
        <f>IFERROR(__xludf.DUMMYFUNCTION("""COMPUTED_VALUE"""),TRUE)</f>
        <v>1</v>
      </c>
      <c r="U570" s="5" t="str">
        <f>IFERROR(__xludf.DUMMYFUNCTION("""COMPUTED_VALUE"""),"4x3")</f>
        <v>4x3</v>
      </c>
      <c r="V570" s="5">
        <f>IFERROR(__xludf.DUMMYFUNCTION("""COMPUTED_VALUE"""),81.0)</f>
        <v>81</v>
      </c>
      <c r="W570" s="5">
        <f>IFERROR(__xludf.DUMMYFUNCTION("""COMPUTED_VALUE"""),81.0)</f>
        <v>81</v>
      </c>
      <c r="X570" s="5">
        <f>IFERROR(__xludf.DUMMYFUNCTION("""COMPUTED_VALUE"""),96.55)</f>
        <v>96.55</v>
      </c>
      <c r="Y570" s="5" t="str">
        <f>IFERROR(__xludf.DUMMYFUNCTION("""COMPUTED_VALUE"""),"High")</f>
        <v>High</v>
      </c>
      <c r="Z570" s="5">
        <f>IFERROR(__xludf.DUMMYFUNCTION("""COMPUTED_VALUE"""),5.1)</f>
        <v>5.1</v>
      </c>
      <c r="AA570" s="5">
        <f>IFERROR(__xludf.DUMMYFUNCTION("""COMPUTED_VALUE"""),3200.0)</f>
        <v>3200</v>
      </c>
      <c r="AB570" s="5"/>
      <c r="AC570" s="5" t="str">
        <f>IFERROR(__xludf.DUMMYFUNCTION("""COMPUTED_VALUE"""),"Wild Multiplier, Mystery symbol")</f>
        <v>Wild Multiplier, Mystery symbol</v>
      </c>
      <c r="AD570" s="5" t="str">
        <f>IFERROR(__xludf.DUMMYFUNCTION("""COMPUTED_VALUE"""),"0.1/50")</f>
        <v>0.1/50</v>
      </c>
      <c r="AE570" s="5"/>
      <c r="AF570" s="5"/>
      <c r="AG570" s="8">
        <f>IFERROR(__xludf.DUMMYFUNCTION("""COMPUTED_VALUE"""),46220.50506944444)</f>
        <v>46220.50507</v>
      </c>
      <c r="AH570" s="5" t="str">
        <f>IFERROR(__xludf.DUMMYFUNCTION("""COMPUTED_VALUE"""),"selena.mihajlovic@fazi.rs")</f>
        <v>selena.mihajlovic@fazi.rs</v>
      </c>
      <c r="AI570" s="13"/>
      <c r="AJ570" s="5"/>
      <c r="AK570" s="5"/>
      <c r="AL570" s="5" t="str">
        <f>IFERROR(__xludf.DUMMYFUNCTION("""COMPUTED_VALUE"""),"No")</f>
        <v>No</v>
      </c>
      <c r="AM570" s="5" t="str">
        <f>IFERROR(__xludf.DUMMYFUNCTION("""COMPUTED_VALUE"""),"No")</f>
        <v>No</v>
      </c>
      <c r="AN570" s="7" t="str">
        <f>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AO570" s="5" t="str">
        <f>IFERROR(__xludf.DUMMYFUNCTION("""COMPUTED_VALUE"""),"No")</f>
        <v>No</v>
      </c>
      <c r="AP570" s="5" t="str">
        <f>IFERROR(__xludf.DUMMYFUNCTION("""COMPUTED_VALUE"""),"No")</f>
        <v>No</v>
      </c>
      <c r="AQ570" s="5" t="b">
        <f>IFERROR(__xludf.DUMMYFUNCTION("""COMPUTED_VALUE"""),TRUE)</f>
        <v>1</v>
      </c>
      <c r="AR570" s="5"/>
      <c r="AS570" s="5" t="str">
        <f>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AT570" s="5"/>
      <c r="AU570" s="5" t="str">
        <f>IFERROR(__xludf.DUMMYFUNCTION("""COMPUTED_VALUE"""),"Fazi")</f>
        <v>Fazi</v>
      </c>
      <c r="AV570" s="5"/>
      <c r="AW570" s="5"/>
      <c r="AX570" s="13">
        <f>IFERROR(__xludf.DUMMYFUNCTION("""COMPUTED_VALUE"""),45951.0)</f>
        <v>45951</v>
      </c>
      <c r="AY570" s="13"/>
      <c r="AZ570" s="13"/>
      <c r="BA570" s="5"/>
      <c r="BB570" s="5" t="b">
        <f>IFERROR(__xludf.DUMMYFUNCTION("""COMPUTED_VALUE"""),TRUE)</f>
        <v>1</v>
      </c>
      <c r="BC570" s="5" t="str">
        <f>IFERROR(__xludf.DUMMYFUNCTION("""COMPUTED_VALUE"""),"Playnet")</f>
        <v>Playnet</v>
      </c>
      <c r="BD570" s="7" t="str">
        <f>IFERROR(__xludf.DUMMYFUNCTION("""COMPUTED_VALUE"""),"https://gameserver-store-client-area.orbionlimited.com/Home/IntegrationGameLaunch/client-area?moneyType=0&amp;gameName=PlayNet81MagicStars&amp;platform=desktop&amp;languageCode=eng&amp;currency=EUR")</f>
        <v>https://gameserver-store-client-area.orbionlimited.com/Home/IntegrationGameLaunch/client-area?moneyType=0&amp;gameName=PlayNet81MagicStars&amp;platform=desktop&amp;languageCode=eng&amp;currency=EUR</v>
      </c>
      <c r="BE570" s="5" t="b">
        <f>IFERROR(__xludf.DUMMYFUNCTION("""COMPUTED_VALUE"""),TRUE)</f>
        <v>1</v>
      </c>
    </row>
    <row r="571">
      <c r="A571" s="5">
        <f>IFERROR(__xludf.DUMMYFUNCTION("""COMPUTED_VALUE"""),606.0)</f>
        <v>606</v>
      </c>
      <c r="B571" s="5">
        <f>IFERROR(__xludf.DUMMYFUNCTION("""COMPUTED_VALUE"""),180039.0)</f>
        <v>180039</v>
      </c>
      <c r="C571" s="5" t="str">
        <f>IFERROR(__xludf.DUMMYFUNCTION("""COMPUTED_VALUE"""),"Redstone")</f>
        <v>Redstone</v>
      </c>
      <c r="D571" s="5" t="str">
        <f>IFERROR(__xludf.DUMMYFUNCTION("""COMPUTED_VALUE"""),"Clover Field 40")</f>
        <v>Clover Field 40</v>
      </c>
      <c r="E571" s="5" t="str">
        <f>IFERROR(__xludf.DUMMYFUNCTION("""COMPUTED_VALUE"""),"Redstone")</f>
        <v>Redstone</v>
      </c>
      <c r="F571" s="5" t="str">
        <f>IFERROR(__xludf.DUMMYFUNCTION("""COMPUTED_VALUE"""),"Redstone40CloverField")</f>
        <v>Redstone40CloverField</v>
      </c>
      <c r="G571" s="5" t="str">
        <f>IFERROR(__xludf.DUMMYFUNCTION("""COMPUTED_VALUE"""),"Live")</f>
        <v>Live</v>
      </c>
      <c r="H571" s="5"/>
      <c r="I571" s="5" t="str">
        <f>IFERROR(__xludf.DUMMYFUNCTION("""COMPUTED_VALUE"""),"Redstone")</f>
        <v>Redstone</v>
      </c>
      <c r="J571" s="5" t="str">
        <f>IFERROR(__xludf.DUMMYFUNCTION("""COMPUTED_VALUE"""),"JSON")</f>
        <v>JSON</v>
      </c>
      <c r="K571" s="5" t="str">
        <f>IFERROR(__xludf.DUMMYFUNCTION("""COMPUTED_VALUE"""),"Slot")</f>
        <v>Slot</v>
      </c>
      <c r="L571" s="5" t="str">
        <f>IFERROR(__xludf.DUMMYFUNCTION("""COMPUTED_VALUE""")," Reskin")</f>
        <v> Reskin</v>
      </c>
      <c r="M571" s="5" t="str">
        <f>IFERROR(__xludf.DUMMYFUNCTION("""COMPUTED_VALUE"""),"Crown Blast 40")</f>
        <v>Crown Blast 40</v>
      </c>
      <c r="N571" s="7" t="str">
        <f>IFERROR(__xludf.DUMMYFUNCTION("""COMPUTED_VALUE"""),"https://docs.google.com/document/d/1sH6XUlpwEM0tyHiJJZHQSuyJNQCPan13/edit?usp=drive_link&amp;ouid=107596163405648766688&amp;rtpof=true&amp;sd=true")</f>
        <v>https://docs.google.com/document/d/1sH6XUlpwEM0tyHiJJZHQSuyJNQCPan13/edit?usp=drive_link&amp;ouid=107596163405648766688&amp;rtpof=true&amp;sd=true</v>
      </c>
      <c r="O571" s="7" t="str">
        <f>IFERROR(__xludf.DUMMYFUNCTION("""COMPUTED_VALUE"""),"https://docs.google.com/document/d/1JYKWuP-KVnSWFW5rQ1bh3IyFyT5Gyik5/edit?usp=drive_link&amp;ouid=107596163405648766688&amp;rtpof=true&amp;sd=true")</f>
        <v>https://docs.google.com/document/d/1JYKWuP-KVnSWFW5rQ1bh3IyFyT5Gyik5/edit?usp=drive_link&amp;ouid=107596163405648766688&amp;rtpof=true&amp;sd=true</v>
      </c>
      <c r="P571" s="12">
        <f>IFERROR(__xludf.DUMMYFUNCTION("""COMPUTED_VALUE"""),6.5)</f>
        <v>6.5</v>
      </c>
      <c r="Q571" s="13">
        <f>IFERROR(__xludf.DUMMYFUNCTION("""COMPUTED_VALUE"""),45929.0)</f>
        <v>45929</v>
      </c>
      <c r="R571" s="13">
        <f>IFERROR(__xludf.DUMMYFUNCTION("""COMPUTED_VALUE"""),45926.0)</f>
        <v>45926</v>
      </c>
      <c r="S571" s="13">
        <f>IFERROR(__xludf.DUMMYFUNCTION("""COMPUTED_VALUE"""),45933.0)</f>
        <v>45933</v>
      </c>
      <c r="T571" s="5" t="b">
        <f>IFERROR(__xludf.DUMMYFUNCTION("""COMPUTED_VALUE"""),TRUE)</f>
        <v>1</v>
      </c>
      <c r="U571" s="5" t="str">
        <f>IFERROR(__xludf.DUMMYFUNCTION("""COMPUTED_VALUE"""),"5x4")</f>
        <v>5x4</v>
      </c>
      <c r="V571" s="5">
        <f>IFERROR(__xludf.DUMMYFUNCTION("""COMPUTED_VALUE"""),40.0)</f>
        <v>40</v>
      </c>
      <c r="W571" s="5">
        <f>IFERROR(__xludf.DUMMYFUNCTION("""COMPUTED_VALUE"""),40.0)</f>
        <v>40</v>
      </c>
      <c r="X571" s="5">
        <f>IFERROR(__xludf.DUMMYFUNCTION("""COMPUTED_VALUE"""),96.27)</f>
        <v>96.27</v>
      </c>
      <c r="Y571" s="5" t="str">
        <f>IFERROR(__xludf.DUMMYFUNCTION("""COMPUTED_VALUE"""),"Medium")</f>
        <v>Medium</v>
      </c>
      <c r="Z571" s="5">
        <f>IFERROR(__xludf.DUMMYFUNCTION("""COMPUTED_VALUE"""),13.88)</f>
        <v>13.88</v>
      </c>
      <c r="AA571" s="5">
        <f>IFERROR(__xludf.DUMMYFUNCTION("""COMPUTED_VALUE"""),1000.0)</f>
        <v>1000</v>
      </c>
      <c r="AB571" s="5"/>
      <c r="AC571" s="5" t="str">
        <f>IFERROR(__xludf.DUMMYFUNCTION("""COMPUTED_VALUE"""),"Exploding Wild, Scatter")</f>
        <v>Exploding Wild, Scatter</v>
      </c>
      <c r="AD571" s="5" t="str">
        <f>IFERROR(__xludf.DUMMYFUNCTION("""COMPUTED_VALUE"""),"0.04/50")</f>
        <v>0.04/50</v>
      </c>
      <c r="AE571" s="5"/>
      <c r="AF571" s="5"/>
      <c r="AG571" s="8">
        <f>IFERROR(__xludf.DUMMYFUNCTION("""COMPUTED_VALUE"""),46227.36528935185)</f>
        <v>46227.36529</v>
      </c>
      <c r="AH571" s="5"/>
      <c r="AI571" s="13"/>
      <c r="AJ571" s="5"/>
      <c r="AK571" s="5">
        <f>IFERROR(__xludf.DUMMYFUNCTION("""COMPUTED_VALUE"""),1.0)</f>
        <v>1</v>
      </c>
      <c r="AL571" s="5" t="str">
        <f>IFERROR(__xludf.DUMMYFUNCTION("""COMPUTED_VALUE"""),"No")</f>
        <v>No</v>
      </c>
      <c r="AM571" s="5" t="str">
        <f>IFERROR(__xludf.DUMMYFUNCTION("""COMPUTED_VALUE"""),"No")</f>
        <v>No</v>
      </c>
      <c r="AN571" s="7" t="str">
        <f>IFERROR(__xludf.DUMMYFUNCTION("""COMPUTED_VALUE"""),"https://static.redstone.rs/games/clover-field-40/")</f>
        <v>https://static.redstone.rs/games/clover-field-40/</v>
      </c>
      <c r="AO571" s="5" t="str">
        <f>IFERROR(__xludf.DUMMYFUNCTION("""COMPUTED_VALUE"""),"No")</f>
        <v>No</v>
      </c>
      <c r="AP571" s="5" t="str">
        <f>IFERROR(__xludf.DUMMYFUNCTION("""COMPUTED_VALUE"""),"No")</f>
        <v>No</v>
      </c>
      <c r="AQ571" s="5" t="b">
        <f>IFERROR(__xludf.DUMMYFUNCTION("""COMPUTED_VALUE"""),TRUE)</f>
        <v>1</v>
      </c>
      <c r="AR571" s="5"/>
      <c r="AS571" s="5" t="str">
        <f>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AT571" s="5"/>
      <c r="AU571" s="5" t="str">
        <f>IFERROR(__xludf.DUMMYFUNCTION("""COMPUTED_VALUE"""),"Redstone")</f>
        <v>Redstone</v>
      </c>
      <c r="AV571" s="5"/>
      <c r="AW571" s="5"/>
      <c r="AX571" s="13">
        <f>IFERROR(__xludf.DUMMYFUNCTION("""COMPUTED_VALUE"""),45923.0)</f>
        <v>45923</v>
      </c>
      <c r="AY571" s="13"/>
      <c r="AZ571" s="13"/>
      <c r="BA571" s="5"/>
      <c r="BB571" s="5" t="b">
        <f>IFERROR(__xludf.DUMMYFUNCTION("""COMPUTED_VALUE"""),TRUE)</f>
        <v>1</v>
      </c>
      <c r="BC571" s="5" t="str">
        <f>IFERROR(__xludf.DUMMYFUNCTION("""COMPUTED_VALUE"""),"Redstone")</f>
        <v>Redstone</v>
      </c>
      <c r="BD571" s="7" t="str">
        <f>IFERROR(__xludf.DUMMYFUNCTION("""COMPUTED_VALUE"""),"https://static.redstone.rs/games/clover-field-40/")</f>
        <v>https://static.redstone.rs/games/clover-field-40/</v>
      </c>
      <c r="BE571" s="5" t="b">
        <f>IFERROR(__xludf.DUMMYFUNCTION("""COMPUTED_VALUE"""),TRUE)</f>
        <v>1</v>
      </c>
    </row>
    <row r="572">
      <c r="A572" s="5">
        <f>IFERROR(__xludf.DUMMYFUNCTION("""COMPUTED_VALUE"""),607.0)</f>
        <v>607</v>
      </c>
      <c r="B572" s="5">
        <f>IFERROR(__xludf.DUMMYFUNCTION("""COMPUTED_VALUE"""),517.0)</f>
        <v>517</v>
      </c>
      <c r="C572" s="5" t="str">
        <f>IFERROR(__xludf.DUMMYFUNCTION("""COMPUTED_VALUE"""),"Playnet")</f>
        <v>Playnet</v>
      </c>
      <c r="D572" s="5" t="str">
        <f>IFERROR(__xludf.DUMMYFUNCTION("""COMPUTED_VALUE"""),"Elf &amp; Roll")</f>
        <v>Elf &amp; Roll</v>
      </c>
      <c r="E572" s="5" t="str">
        <f>IFERROR(__xludf.DUMMYFUNCTION("""COMPUTED_VALUE"""),"Sertifikacioni")</f>
        <v>Sertifikacioni</v>
      </c>
      <c r="F572" s="5" t="str">
        <f>IFERROR(__xludf.DUMMYFUNCTION("""COMPUTED_VALUE"""),"PlayNetElfAndRoll")</f>
        <v>PlayNetElfAndRoll</v>
      </c>
      <c r="G572" s="5" t="str">
        <f>IFERROR(__xludf.DUMMYFUNCTION("""COMPUTED_VALUE"""),"Live")</f>
        <v>Live</v>
      </c>
      <c r="H572" s="5"/>
      <c r="I572" s="5"/>
      <c r="J572" s="5" t="str">
        <f>IFERROR(__xludf.DUMMYFUNCTION("""COMPUTED_VALUE"""),"JSON")</f>
        <v>JSON</v>
      </c>
      <c r="K572" s="5" t="str">
        <f>IFERROR(__xludf.DUMMYFUNCTION("""COMPUTED_VALUE"""),"Slot")</f>
        <v>Slot</v>
      </c>
      <c r="L572" s="5" t="str">
        <f>IFERROR(__xludf.DUMMYFUNCTION("""COMPUTED_VALUE""")," Clone")</f>
        <v> Clone</v>
      </c>
      <c r="M572" s="5" t="str">
        <f>IFERROR(__xludf.DUMMYFUNCTION("""COMPUTED_VALUE"""),"Golden Crown")</f>
        <v>Golden Crown</v>
      </c>
      <c r="N572" s="5"/>
      <c r="O572" s="5"/>
      <c r="P572" s="12">
        <f>IFERROR(__xludf.DUMMYFUNCTION("""COMPUTED_VALUE"""),7.2)</f>
        <v>7.2</v>
      </c>
      <c r="Q572" s="13">
        <f>IFERROR(__xludf.DUMMYFUNCTION("""COMPUTED_VALUE"""),45964.0)</f>
        <v>45964</v>
      </c>
      <c r="R572" s="13">
        <f>IFERROR(__xludf.DUMMYFUNCTION("""COMPUTED_VALUE"""),45958.0)</f>
        <v>45958</v>
      </c>
      <c r="S572" s="13">
        <f>IFERROR(__xludf.DUMMYFUNCTION("""COMPUTED_VALUE"""),45965.0)</f>
        <v>45965</v>
      </c>
      <c r="T572" s="5" t="b">
        <f>IFERROR(__xludf.DUMMYFUNCTION("""COMPUTED_VALUE"""),TRUE)</f>
        <v>1</v>
      </c>
      <c r="U572" s="5" t="str">
        <f>IFERROR(__xludf.DUMMYFUNCTION("""COMPUTED_VALUE"""),"5x3")</f>
        <v>5x3</v>
      </c>
      <c r="V572" s="5">
        <f>IFERROR(__xludf.DUMMYFUNCTION("""COMPUTED_VALUE"""),10.0)</f>
        <v>10</v>
      </c>
      <c r="W572" s="5">
        <f>IFERROR(__xludf.DUMMYFUNCTION("""COMPUTED_VALUE"""),10.0)</f>
        <v>10</v>
      </c>
      <c r="X572" s="5">
        <f>IFERROR(__xludf.DUMMYFUNCTION("""COMPUTED_VALUE"""),95.962)</f>
        <v>95.962</v>
      </c>
      <c r="Y572" s="5" t="str">
        <f>IFERROR(__xludf.DUMMYFUNCTION("""COMPUTED_VALUE"""),"Medium")</f>
        <v>Medium</v>
      </c>
      <c r="Z572" s="5">
        <f>IFERROR(__xludf.DUMMYFUNCTION("""COMPUTED_VALUE"""),14.634)</f>
        <v>14.634</v>
      </c>
      <c r="AA572" s="5">
        <f>IFERROR(__xludf.DUMMYFUNCTION("""COMPUTED_VALUE"""),1538.0)</f>
        <v>1538</v>
      </c>
      <c r="AB572" s="5"/>
      <c r="AC572" s="5" t="str">
        <f>IFERROR(__xludf.DUMMYFUNCTION("""COMPUTED_VALUE"""),"Scatter, Expanding Wild")</f>
        <v>Scatter, Expanding Wild</v>
      </c>
      <c r="AD572" s="5" t="str">
        <f>IFERROR(__xludf.DUMMYFUNCTION("""COMPUTED_VALUE"""),"0.1/40")</f>
        <v>0.1/40</v>
      </c>
      <c r="AE572" s="5"/>
      <c r="AF572" s="5"/>
      <c r="AG572" s="8">
        <f>IFERROR(__xludf.DUMMYFUNCTION("""COMPUTED_VALUE"""),46220.50518518518)</f>
        <v>46220.50519</v>
      </c>
      <c r="AH572" s="5" t="str">
        <f>IFERROR(__xludf.DUMMYFUNCTION("""COMPUTED_VALUE"""),"selena.mihajlovic@fazi.rs")</f>
        <v>selena.mihajlovic@fazi.rs</v>
      </c>
      <c r="AI572" s="13"/>
      <c r="AJ572" s="5"/>
      <c r="AK572" s="5"/>
      <c r="AL572" s="5" t="str">
        <f>IFERROR(__xludf.DUMMYFUNCTION("""COMPUTED_VALUE"""),"No")</f>
        <v>No</v>
      </c>
      <c r="AM572" s="5" t="str">
        <f>IFERROR(__xludf.DUMMYFUNCTION("""COMPUTED_VALUE"""),"No")</f>
        <v>No</v>
      </c>
      <c r="AN572" s="7" t="str">
        <f>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AO572" s="5" t="str">
        <f>IFERROR(__xludf.DUMMYFUNCTION("""COMPUTED_VALUE"""),"No")</f>
        <v>No</v>
      </c>
      <c r="AP572" s="5" t="str">
        <f>IFERROR(__xludf.DUMMYFUNCTION("""COMPUTED_VALUE"""),"No")</f>
        <v>No</v>
      </c>
      <c r="AQ572" s="5" t="b">
        <f>IFERROR(__xludf.DUMMYFUNCTION("""COMPUTED_VALUE"""),TRUE)</f>
        <v>1</v>
      </c>
      <c r="AR572" s="5"/>
      <c r="AS572" s="5" t="str">
        <f>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AT572" s="5"/>
      <c r="AU572" s="5" t="str">
        <f>IFERROR(__xludf.DUMMYFUNCTION("""COMPUTED_VALUE"""),"Fazi")</f>
        <v>Fazi</v>
      </c>
      <c r="AV572" s="5"/>
      <c r="AW572" s="5"/>
      <c r="AX572" s="13">
        <f>IFERROR(__xludf.DUMMYFUNCTION("""COMPUTED_VALUE"""),45951.0)</f>
        <v>45951</v>
      </c>
      <c r="AY572" s="13"/>
      <c r="AZ572" s="13"/>
      <c r="BA572" s="5"/>
      <c r="BB572" s="5" t="b">
        <f>IFERROR(__xludf.DUMMYFUNCTION("""COMPUTED_VALUE"""),TRUE)</f>
        <v>1</v>
      </c>
      <c r="BC572" s="5" t="str">
        <f>IFERROR(__xludf.DUMMYFUNCTION("""COMPUTED_VALUE"""),"Playnet")</f>
        <v>Playnet</v>
      </c>
      <c r="BD572" s="7" t="str">
        <f>IFERROR(__xludf.DUMMYFUNCTION("""COMPUTED_VALUE"""),"https://gameserver-store-client-area.orbionlimited.com/Home/IntegrationGameLaunch/client-area?moneyType=0&amp;gameName=PlayNetElfAndRoll&amp;platform=desktop&amp;languageCode=eng&amp;currency=EUR")</f>
        <v>https://gameserver-store-client-area.orbionlimited.com/Home/IntegrationGameLaunch/client-area?moneyType=0&amp;gameName=PlayNetElfAndRoll&amp;platform=desktop&amp;languageCode=eng&amp;currency=EUR</v>
      </c>
      <c r="BE572" s="5" t="b">
        <f>IFERROR(__xludf.DUMMYFUNCTION("""COMPUTED_VALUE"""),TRUE)</f>
        <v>1</v>
      </c>
    </row>
    <row r="573">
      <c r="A573" s="5">
        <f>IFERROR(__xludf.DUMMYFUNCTION("""COMPUTED_VALUE"""),608.0)</f>
        <v>608</v>
      </c>
      <c r="B573" s="5">
        <f>IFERROR(__xludf.DUMMYFUNCTION("""COMPUTED_VALUE"""),180040.0)</f>
        <v>180040</v>
      </c>
      <c r="C573" s="5" t="str">
        <f>IFERROR(__xludf.DUMMYFUNCTION("""COMPUTED_VALUE"""),"Redstone")</f>
        <v>Redstone</v>
      </c>
      <c r="D573" s="5" t="str">
        <f>IFERROR(__xludf.DUMMYFUNCTION("""COMPUTED_VALUE"""),"Multi Heart 5")</f>
        <v>Multi Heart 5</v>
      </c>
      <c r="E573" s="5" t="str">
        <f>IFERROR(__xludf.DUMMYFUNCTION("""COMPUTED_VALUE"""),"Redstone")</f>
        <v>Redstone</v>
      </c>
      <c r="F573" s="5" t="str">
        <f>IFERROR(__xludf.DUMMYFUNCTION("""COMPUTED_VALUE"""),"RedstoneMultiHeart5")</f>
        <v>RedstoneMultiHeart5</v>
      </c>
      <c r="G573" s="5" t="str">
        <f>IFERROR(__xludf.DUMMYFUNCTION("""COMPUTED_VALUE"""),"Live")</f>
        <v>Live</v>
      </c>
      <c r="H573" s="5"/>
      <c r="I573" s="5" t="str">
        <f>IFERROR(__xludf.DUMMYFUNCTION("""COMPUTED_VALUE"""),"Redstone")</f>
        <v>Redstone</v>
      </c>
      <c r="J573" s="5" t="str">
        <f>IFERROR(__xludf.DUMMYFUNCTION("""COMPUTED_VALUE"""),"JSON")</f>
        <v>JSON</v>
      </c>
      <c r="K573" s="5" t="str">
        <f>IFERROR(__xludf.DUMMYFUNCTION("""COMPUTED_VALUE"""),"Slot")</f>
        <v>Slot</v>
      </c>
      <c r="L573" s="5" t="str">
        <f>IFERROR(__xludf.DUMMYFUNCTION("""COMPUTED_VALUE"""),"Master")</f>
        <v>Master</v>
      </c>
      <c r="M573" s="5"/>
      <c r="N573" s="7" t="str">
        <f>IFERROR(__xludf.DUMMYFUNCTION("""COMPUTED_VALUE"""),"https://docs.google.com/document/d/1xtsilRluhzm1KI6FDEQ7opNOnITAA9Tw/edit?usp=drive_link&amp;ouid=107596163405648766688&amp;rtpof=true&amp;sd=true")</f>
        <v>https://docs.google.com/document/d/1xtsilRluhzm1KI6FDEQ7opNOnITAA9Tw/edit?usp=drive_link&amp;ouid=107596163405648766688&amp;rtpof=true&amp;sd=true</v>
      </c>
      <c r="O573" s="7" t="str">
        <f>IFERROR(__xludf.DUMMYFUNCTION("""COMPUTED_VALUE"""),"https://docs.google.com/document/d/11FY-e__Z3N_KJDK2EjKnCASsruOiCOfn/edit?usp=drive_link&amp;ouid=107596163405648766688&amp;rtpof=true&amp;sd=true")</f>
        <v>https://docs.google.com/document/d/11FY-e__Z3N_KJDK2EjKnCASsruOiCOfn/edit?usp=drive_link&amp;ouid=107596163405648766688&amp;rtpof=true&amp;sd=true</v>
      </c>
      <c r="P573" s="12">
        <f>IFERROR(__xludf.DUMMYFUNCTION("""COMPUTED_VALUE"""),8.7)</f>
        <v>8.7</v>
      </c>
      <c r="Q573" s="13">
        <f>IFERROR(__xludf.DUMMYFUNCTION("""COMPUTED_VALUE"""),45929.0)</f>
        <v>45929</v>
      </c>
      <c r="R573" s="13">
        <f>IFERROR(__xludf.DUMMYFUNCTION("""COMPUTED_VALUE"""),45930.0)</f>
        <v>45930</v>
      </c>
      <c r="S573" s="13">
        <f>IFERROR(__xludf.DUMMYFUNCTION("""COMPUTED_VALUE"""),45937.0)</f>
        <v>45937</v>
      </c>
      <c r="T573" s="5" t="b">
        <f>IFERROR(__xludf.DUMMYFUNCTION("""COMPUTED_VALUE"""),TRUE)</f>
        <v>1</v>
      </c>
      <c r="U573" s="5" t="str">
        <f>IFERROR(__xludf.DUMMYFUNCTION("""COMPUTED_VALUE"""),"5x3")</f>
        <v>5x3</v>
      </c>
      <c r="V573" s="5">
        <f>IFERROR(__xludf.DUMMYFUNCTION("""COMPUTED_VALUE"""),5.0)</f>
        <v>5</v>
      </c>
      <c r="W573" s="5">
        <f>IFERROR(__xludf.DUMMYFUNCTION("""COMPUTED_VALUE"""),5.0)</f>
        <v>5</v>
      </c>
      <c r="X573" s="5">
        <f>IFERROR(__xludf.DUMMYFUNCTION("""COMPUTED_VALUE"""),95.96)</f>
        <v>95.96</v>
      </c>
      <c r="Y573" s="5" t="str">
        <f>IFERROR(__xludf.DUMMYFUNCTION("""COMPUTED_VALUE"""),"Medium")</f>
        <v>Medium</v>
      </c>
      <c r="Z573" s="5">
        <f>IFERROR(__xludf.DUMMYFUNCTION("""COMPUTED_VALUE"""),10.7)</f>
        <v>10.7</v>
      </c>
      <c r="AA573" s="5">
        <f>IFERROR(__xludf.DUMMYFUNCTION("""COMPUTED_VALUE"""),2150.0)</f>
        <v>2150</v>
      </c>
      <c r="AB573" s="5"/>
      <c r="AC573" s="5" t="str">
        <f>IFERROR(__xludf.DUMMYFUNCTION("""COMPUTED_VALUE"""),"Expanding Wild, Wild Multiplier")</f>
        <v>Expanding Wild, Wild Multiplier</v>
      </c>
      <c r="AD573" s="5" t="str">
        <f>IFERROR(__xludf.DUMMYFUNCTION("""COMPUTED_VALUE"""),"0.05/30")</f>
        <v>0.05/30</v>
      </c>
      <c r="AE573" s="5"/>
      <c r="AF573" s="5"/>
      <c r="AG573" s="8">
        <f>IFERROR(__xludf.DUMMYFUNCTION("""COMPUTED_VALUE"""),46227.365)</f>
        <v>46227.365</v>
      </c>
      <c r="AH573" s="5"/>
      <c r="AI573" s="13"/>
      <c r="AJ573" s="5"/>
      <c r="AK573" s="5">
        <f>IFERROR(__xludf.DUMMYFUNCTION("""COMPUTED_VALUE"""),1.0)</f>
        <v>1</v>
      </c>
      <c r="AL573" s="5" t="str">
        <f>IFERROR(__xludf.DUMMYFUNCTION("""COMPUTED_VALUE"""),"No")</f>
        <v>No</v>
      </c>
      <c r="AM573" s="5" t="str">
        <f>IFERROR(__xludf.DUMMYFUNCTION("""COMPUTED_VALUE"""),"No")</f>
        <v>No</v>
      </c>
      <c r="AN573" s="7" t="str">
        <f>IFERROR(__xludf.DUMMYFUNCTION("""COMPUTED_VALUE"""),"https://static.redstone.rs/games/multi-heart-5/")</f>
        <v>https://static.redstone.rs/games/multi-heart-5/</v>
      </c>
      <c r="AO573" s="5" t="str">
        <f>IFERROR(__xludf.DUMMYFUNCTION("""COMPUTED_VALUE"""),"No")</f>
        <v>No</v>
      </c>
      <c r="AP573" s="5" t="str">
        <f>IFERROR(__xludf.DUMMYFUNCTION("""COMPUTED_VALUE"""),"No")</f>
        <v>No</v>
      </c>
      <c r="AQ573" s="5" t="b">
        <f>IFERROR(__xludf.DUMMYFUNCTION("""COMPUTED_VALUE"""),TRUE)</f>
        <v>1</v>
      </c>
      <c r="AR573" s="5"/>
      <c r="AS573" s="5" t="str">
        <f>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AT573" s="5"/>
      <c r="AU573" s="5" t="str">
        <f>IFERROR(__xludf.DUMMYFUNCTION("""COMPUTED_VALUE"""),"Redstone")</f>
        <v>Redstone</v>
      </c>
      <c r="AV573" s="5"/>
      <c r="AW573" s="5"/>
      <c r="AX573" s="13">
        <f>IFERROR(__xludf.DUMMYFUNCTION("""COMPUTED_VALUE"""),45923.0)</f>
        <v>45923</v>
      </c>
      <c r="AY573" s="13"/>
      <c r="AZ573" s="13"/>
      <c r="BA573" s="5"/>
      <c r="BB573" s="5" t="b">
        <f>IFERROR(__xludf.DUMMYFUNCTION("""COMPUTED_VALUE"""),TRUE)</f>
        <v>1</v>
      </c>
      <c r="BC573" s="5" t="str">
        <f>IFERROR(__xludf.DUMMYFUNCTION("""COMPUTED_VALUE"""),"Redstone")</f>
        <v>Redstone</v>
      </c>
      <c r="BD573" s="7" t="str">
        <f>IFERROR(__xludf.DUMMYFUNCTION("""COMPUTED_VALUE"""),"https://static.redstone.rs/games/multi-heart-5/")</f>
        <v>https://static.redstone.rs/games/multi-heart-5/</v>
      </c>
      <c r="BE573" s="5" t="b">
        <f>IFERROR(__xludf.DUMMYFUNCTION("""COMPUTED_VALUE"""),TRUE)</f>
        <v>1</v>
      </c>
    </row>
    <row r="574">
      <c r="A574" s="5">
        <f>IFERROR(__xludf.DUMMYFUNCTION("""COMPUTED_VALUE"""),609.0)</f>
        <v>609</v>
      </c>
      <c r="B574" s="5">
        <f>IFERROR(__xludf.DUMMYFUNCTION("""COMPUTED_VALUE"""),180041.0)</f>
        <v>180041</v>
      </c>
      <c r="C574" s="5" t="str">
        <f>IFERROR(__xludf.DUMMYFUNCTION("""COMPUTED_VALUE"""),"Redstone")</f>
        <v>Redstone</v>
      </c>
      <c r="D574" s="5" t="str">
        <f>IFERROR(__xludf.DUMMYFUNCTION("""COMPUTED_VALUE"""),"20 Wild Heart")</f>
        <v>20 Wild Heart</v>
      </c>
      <c r="E574" s="5" t="str">
        <f>IFERROR(__xludf.DUMMYFUNCTION("""COMPUTED_VALUE"""),"Redstone")</f>
        <v>Redstone</v>
      </c>
      <c r="F574" s="5" t="str">
        <f>IFERROR(__xludf.DUMMYFUNCTION("""COMPUTED_VALUE"""),"Redstone20WildHeart")</f>
        <v>Redstone20WildHeart</v>
      </c>
      <c r="G574" s="5" t="str">
        <f>IFERROR(__xludf.DUMMYFUNCTION("""COMPUTED_VALUE"""),"Live")</f>
        <v>Live</v>
      </c>
      <c r="H574" s="5"/>
      <c r="I574" s="5" t="str">
        <f>IFERROR(__xludf.DUMMYFUNCTION("""COMPUTED_VALUE"""),"Redstone")</f>
        <v>Redstone</v>
      </c>
      <c r="J574" s="5" t="str">
        <f>IFERROR(__xludf.DUMMYFUNCTION("""COMPUTED_VALUE"""),"JSON")</f>
        <v>JSON</v>
      </c>
      <c r="K574" s="5" t="str">
        <f>IFERROR(__xludf.DUMMYFUNCTION("""COMPUTED_VALUE"""),"Slot")</f>
        <v>Slot</v>
      </c>
      <c r="L574" s="5"/>
      <c r="M574" s="5"/>
      <c r="N574" s="5"/>
      <c r="O574" s="5"/>
      <c r="P574" s="12">
        <f>IFERROR(__xludf.DUMMYFUNCTION("""COMPUTED_VALUE"""),4.4)</f>
        <v>4.4</v>
      </c>
      <c r="Q574" s="13">
        <f>IFERROR(__xludf.DUMMYFUNCTION("""COMPUTED_VALUE"""),45929.0)</f>
        <v>45929</v>
      </c>
      <c r="R574" s="13"/>
      <c r="S574" s="13">
        <f>IFERROR(__xludf.DUMMYFUNCTION("""COMPUTED_VALUE"""),45943.0)</f>
        <v>45943</v>
      </c>
      <c r="T574" s="5" t="b">
        <f>IFERROR(__xludf.DUMMYFUNCTION("""COMPUTED_VALUE"""),TRUE)</f>
        <v>1</v>
      </c>
      <c r="U574" s="5" t="str">
        <f>IFERROR(__xludf.DUMMYFUNCTION("""COMPUTED_VALUE"""),"5x3")</f>
        <v>5x3</v>
      </c>
      <c r="V574" s="5">
        <f>IFERROR(__xludf.DUMMYFUNCTION("""COMPUTED_VALUE"""),20.0)</f>
        <v>20</v>
      </c>
      <c r="W574" s="5">
        <f>IFERROR(__xludf.DUMMYFUNCTION("""COMPUTED_VALUE"""),20.0)</f>
        <v>20</v>
      </c>
      <c r="X574" s="5">
        <f>IFERROR(__xludf.DUMMYFUNCTION("""COMPUTED_VALUE"""),96.5)</f>
        <v>96.5</v>
      </c>
      <c r="Y574" s="5" t="str">
        <f>IFERROR(__xludf.DUMMYFUNCTION("""COMPUTED_VALUE"""),"Medium")</f>
        <v>Medium</v>
      </c>
      <c r="Z574" s="5">
        <f>IFERROR(__xludf.DUMMYFUNCTION("""COMPUTED_VALUE"""),21.75)</f>
        <v>21.75</v>
      </c>
      <c r="AA574" s="5">
        <f>IFERROR(__xludf.DUMMYFUNCTION("""COMPUTED_VALUE"""),1200.0)</f>
        <v>1200</v>
      </c>
      <c r="AB574" s="5"/>
      <c r="AC574" s="5" t="str">
        <f>IFERROR(__xludf.DUMMYFUNCTION("""COMPUTED_VALUE"""),"Exploding Wild, Scatter")</f>
        <v>Exploding Wild, Scatter</v>
      </c>
      <c r="AD574" s="5" t="str">
        <f>IFERROR(__xludf.DUMMYFUNCTION("""COMPUTED_VALUE"""),"0.20/100")</f>
        <v>0.20/100</v>
      </c>
      <c r="AE574" s="5"/>
      <c r="AF574" s="5"/>
      <c r="AG574" s="8">
        <f>IFERROR(__xludf.DUMMYFUNCTION("""COMPUTED_VALUE"""),45902.56133101852)</f>
        <v>45902.56133</v>
      </c>
      <c r="AH574" s="5" t="str">
        <f>IFERROR(__xludf.DUMMYFUNCTION("""COMPUTED_VALUE"""),"danica.stojanovic@fazi.rs")</f>
        <v>danica.stojanovic@fazi.rs</v>
      </c>
      <c r="AI574" s="13"/>
      <c r="AJ574" s="5"/>
      <c r="AK574" s="5">
        <f>IFERROR(__xludf.DUMMYFUNCTION("""COMPUTED_VALUE"""),1.0)</f>
        <v>1</v>
      </c>
      <c r="AL574" s="5" t="str">
        <f>IFERROR(__xludf.DUMMYFUNCTION("""COMPUTED_VALUE"""),"No")</f>
        <v>No</v>
      </c>
      <c r="AM574" s="5"/>
      <c r="AN574" s="7" t="str">
        <f>IFERROR(__xludf.DUMMYFUNCTION("""COMPUTED_VALUE"""),"https://static.redstone.rs/games/20-wild-heart/")</f>
        <v>https://static.redstone.rs/games/20-wild-heart/</v>
      </c>
      <c r="AO574" s="5" t="str">
        <f>IFERROR(__xludf.DUMMYFUNCTION("""COMPUTED_VALUE"""),"No")</f>
        <v>No</v>
      </c>
      <c r="AP574" s="5" t="str">
        <f>IFERROR(__xludf.DUMMYFUNCTION("""COMPUTED_VALUE"""),"No")</f>
        <v>No</v>
      </c>
      <c r="AQ574" s="5"/>
      <c r="AR574" s="5"/>
      <c r="AS574" s="5" t="str">
        <f>IFERROR(__xludf.DUMMYFUNCTION("""COMPUTED_VALUE"""),"Every Wild Heart grows to cover the reels, bringing more chances for thrilling payouts!")</f>
        <v>Every Wild Heart grows to cover the reels, bringing more chances for thrilling payouts!</v>
      </c>
      <c r="AT574" s="5"/>
      <c r="AU574" s="5" t="str">
        <f>IFERROR(__xludf.DUMMYFUNCTION("""COMPUTED_VALUE"""),"Redstone")</f>
        <v>Redstone</v>
      </c>
      <c r="AV574" s="5">
        <f>IFERROR(__xludf.DUMMYFUNCTION("""COMPUTED_VALUE"""),2.0)</f>
        <v>2</v>
      </c>
      <c r="AW574" s="5"/>
      <c r="AX574" s="13">
        <f>IFERROR(__xludf.DUMMYFUNCTION("""COMPUTED_VALUE"""),45923.0)</f>
        <v>45923</v>
      </c>
      <c r="AY574" s="13"/>
      <c r="AZ574" s="13"/>
      <c r="BA574" s="5" t="str">
        <f>IFERROR(__xludf.DUMMYFUNCTION("""COMPUTED_VALUE"""),"")</f>
        <v/>
      </c>
      <c r="BB574" s="5" t="b">
        <f>IFERROR(__xludf.DUMMYFUNCTION("""COMPUTED_VALUE"""),TRUE)</f>
        <v>1</v>
      </c>
      <c r="BC574" s="5" t="str">
        <f>IFERROR(__xludf.DUMMYFUNCTION("""COMPUTED_VALUE"""),"Redstone")</f>
        <v>Redstone</v>
      </c>
      <c r="BD574" s="7" t="str">
        <f>IFERROR(__xludf.DUMMYFUNCTION("""COMPUTED_VALUE"""),"https://static.redstone.rs/games/20-wild-heart/")</f>
        <v>https://static.redstone.rs/games/20-wild-heart/</v>
      </c>
      <c r="BE574" s="5"/>
    </row>
    <row r="575">
      <c r="A575" s="5">
        <f>IFERROR(__xludf.DUMMYFUNCTION("""COMPUTED_VALUE"""),609.0)</f>
        <v>609</v>
      </c>
      <c r="B575" s="5">
        <f>IFERROR(__xludf.DUMMYFUNCTION("""COMPUTED_VALUE"""),523.0)</f>
        <v>523</v>
      </c>
      <c r="C575" s="5" t="str">
        <f>IFERROR(__xludf.DUMMYFUNCTION("""COMPUTED_VALUE"""),"Playnet")</f>
        <v>Playnet</v>
      </c>
      <c r="D575" s="5" t="str">
        <f>IFERROR(__xludf.DUMMYFUNCTION("""COMPUTED_VALUE"""),"Fortune Clover x2 Xmas")</f>
        <v>Fortune Clover x2 Xmas</v>
      </c>
      <c r="E575" s="5" t="str">
        <f>IFERROR(__xludf.DUMMYFUNCTION("""COMPUTED_VALUE"""),"Sertifikacioni")</f>
        <v>Sertifikacioni</v>
      </c>
      <c r="F575" s="5" t="str">
        <f>IFERROR(__xludf.DUMMYFUNCTION("""COMPUTED_VALUE"""),"PlayNetFortuneCloverX2Xmas")</f>
        <v>PlayNetFortuneCloverX2Xmas</v>
      </c>
      <c r="G575" s="5" t="str">
        <f>IFERROR(__xludf.DUMMYFUNCTION("""COMPUTED_VALUE"""),"Live")</f>
        <v>Live</v>
      </c>
      <c r="H575" s="5"/>
      <c r="I575" s="5"/>
      <c r="J575" s="5" t="str">
        <f>IFERROR(__xludf.DUMMYFUNCTION("""COMPUTED_VALUE"""),"JSON")</f>
        <v>JSON</v>
      </c>
      <c r="K575" s="5" t="str">
        <f>IFERROR(__xludf.DUMMYFUNCTION("""COMPUTED_VALUE"""),"Slot")</f>
        <v>Slot</v>
      </c>
      <c r="L575" s="5" t="str">
        <f>IFERROR(__xludf.DUMMYFUNCTION("""COMPUTED_VALUE""")," Clone")</f>
        <v> Clone</v>
      </c>
      <c r="M575" s="5" t="str">
        <f>IFERROR(__xludf.DUMMYFUNCTION("""COMPUTED_VALUE"""),"Very Hot 5 Extreme")</f>
        <v>Very Hot 5 Extreme</v>
      </c>
      <c r="N575" s="5"/>
      <c r="O575" s="5"/>
      <c r="P575" s="12">
        <f>IFERROR(__xludf.DUMMYFUNCTION("""COMPUTED_VALUE"""),7.2)</f>
        <v>7.2</v>
      </c>
      <c r="Q575" s="13">
        <f>IFERROR(__xludf.DUMMYFUNCTION("""COMPUTED_VALUE"""),45999.0)</f>
        <v>45999</v>
      </c>
      <c r="R575" s="13"/>
      <c r="S575" s="13">
        <f>IFERROR(__xludf.DUMMYFUNCTION("""COMPUTED_VALUE"""),45999.0)</f>
        <v>45999</v>
      </c>
      <c r="T575" s="5" t="b">
        <f>IFERROR(__xludf.DUMMYFUNCTION("""COMPUTED_VALUE"""),TRUE)</f>
        <v>1</v>
      </c>
      <c r="U575" s="5" t="str">
        <f>IFERROR(__xludf.DUMMYFUNCTION("""COMPUTED_VALUE"""),"5x3")</f>
        <v>5x3</v>
      </c>
      <c r="V575" s="5">
        <f>IFERROR(__xludf.DUMMYFUNCTION("""COMPUTED_VALUE"""),5.0)</f>
        <v>5</v>
      </c>
      <c r="W575" s="5">
        <f>IFERROR(__xludf.DUMMYFUNCTION("""COMPUTED_VALUE"""),5.0)</f>
        <v>5</v>
      </c>
      <c r="X575" s="5">
        <f>IFERROR(__xludf.DUMMYFUNCTION("""COMPUTED_VALUE"""),96.453)</f>
        <v>96.453</v>
      </c>
      <c r="Y575" s="5" t="str">
        <f>IFERROR(__xludf.DUMMYFUNCTION("""COMPUTED_VALUE"""),"Medium")</f>
        <v>Medium</v>
      </c>
      <c r="Z575" s="5">
        <f>IFERROR(__xludf.DUMMYFUNCTION("""COMPUTED_VALUE"""),14.234)</f>
        <v>14.234</v>
      </c>
      <c r="AA575" s="5">
        <f>IFERROR(__xludf.DUMMYFUNCTION("""COMPUTED_VALUE"""),2624.0)</f>
        <v>2624</v>
      </c>
      <c r="AB575" s="5"/>
      <c r="AC575" s="5" t="str">
        <f>IFERROR(__xludf.DUMMYFUNCTION("""COMPUTED_VALUE"""),"Wild Multiplier Expanding Wild Scatter")</f>
        <v>Wild Multiplier Expanding Wild Scatter</v>
      </c>
      <c r="AD575" s="5" t="str">
        <f>IFERROR(__xludf.DUMMYFUNCTION("""COMPUTED_VALUE"""),"0.05/30")</f>
        <v>0.05/30</v>
      </c>
      <c r="AE575" s="5"/>
      <c r="AF575" s="5"/>
      <c r="AG575" s="8">
        <f>IFERROR(__xludf.DUMMYFUNCTION("""COMPUTED_VALUE"""),45902.56133101852)</f>
        <v>45902.56133</v>
      </c>
      <c r="AH575" s="5" t="str">
        <f>IFERROR(__xludf.DUMMYFUNCTION("""COMPUTED_VALUE"""),"sara.dimitrijevic@fazi.rs")</f>
        <v>sara.dimitrijevic@fazi.rs</v>
      </c>
      <c r="AI575" s="13"/>
      <c r="AJ575" s="5"/>
      <c r="AK575" s="5"/>
      <c r="AL575" s="5" t="str">
        <f>IFERROR(__xludf.DUMMYFUNCTION("""COMPUTED_VALUE"""),"NO")</f>
        <v>NO</v>
      </c>
      <c r="AM575" s="5"/>
      <c r="AN575" s="7" t="str">
        <f>IFERROR(__xludf.DUMMYFUNCTION("""COMPUTED_VALUE"""),"https://onlinegamespromo.fazi.rs/Home/IntegrationGameLaunch?moneyType=0&amp;gameName=PlayNetFortuneCloverX2Xmas&amp;platform=desktop&amp;languageCode=eng&amp;currency=EUR")</f>
        <v>https://onlinegamespromo.fazi.rs/Home/IntegrationGameLaunch?moneyType=0&amp;gameName=PlayNetFortuneCloverX2Xmas&amp;platform=desktop&amp;languageCode=eng&amp;currency=EUR</v>
      </c>
      <c r="AO575" s="5"/>
      <c r="AP575" s="5"/>
      <c r="AQ575" s="5"/>
      <c r="AR575" s="5"/>
      <c r="AS575" s="5" t="str">
        <f>IFERROR(__xludf.DUMMYFUNCTION("""COMPUTED_VALUE"""),"Fortune Clover x2 Xmas wraps the festive spirit in every spin! Land the special clover symbol and see how far your luck can take you. One expanding wild can make all the difference.")</f>
        <v>Fortune Clover x2 Xmas wraps the festive spirit in every spin! Land the special clover symbol and see how far your luck can take you. One expanding wild can make all the difference.</v>
      </c>
      <c r="AT575" s="5"/>
      <c r="AU575" s="5" t="str">
        <f>IFERROR(__xludf.DUMMYFUNCTION("""COMPUTED_VALUE"""),"Fazi")</f>
        <v>Fazi</v>
      </c>
      <c r="AV575" s="5"/>
      <c r="AW575" s="5"/>
      <c r="AX575" s="13">
        <f>IFERROR(__xludf.DUMMYFUNCTION("""COMPUTED_VALUE"""),45993.0)</f>
        <v>45993</v>
      </c>
      <c r="AY575" s="13"/>
      <c r="AZ575" s="13"/>
      <c r="BA575" s="5" t="str">
        <f>IFERROR(__xludf.DUMMYFUNCTION("""COMPUTED_VALUE"""),"")</f>
        <v/>
      </c>
      <c r="BB575" s="5"/>
      <c r="BC575" s="5" t="str">
        <f>IFERROR(__xludf.DUMMYFUNCTION("""COMPUTED_VALUE"""),"Playnet")</f>
        <v>Playnet</v>
      </c>
      <c r="BD575" s="5"/>
      <c r="BE575" s="5"/>
    </row>
    <row r="576">
      <c r="A576" s="5">
        <f>IFERROR(__xludf.DUMMYFUNCTION("""COMPUTED_VALUE"""),610.0)</f>
        <v>610</v>
      </c>
      <c r="B576" s="5">
        <f>IFERROR(__xludf.DUMMYFUNCTION("""COMPUTED_VALUE"""),180042.0)</f>
        <v>180042</v>
      </c>
      <c r="C576" s="5" t="str">
        <f>IFERROR(__xludf.DUMMYFUNCTION("""COMPUTED_VALUE"""),"Redstone")</f>
        <v>Redstone</v>
      </c>
      <c r="D576" s="5" t="str">
        <f>IFERROR(__xludf.DUMMYFUNCTION("""COMPUTED_VALUE"""),"Chilli Hot 40")</f>
        <v>Chilli Hot 40</v>
      </c>
      <c r="E576" s="5" t="str">
        <f>IFERROR(__xludf.DUMMYFUNCTION("""COMPUTED_VALUE"""),"Redstone")</f>
        <v>Redstone</v>
      </c>
      <c r="F576" s="5" t="str">
        <f>IFERROR(__xludf.DUMMYFUNCTION("""COMPUTED_VALUE"""),"RedstoneChilliHot40")</f>
        <v>RedstoneChilliHot40</v>
      </c>
      <c r="G576" s="5" t="str">
        <f>IFERROR(__xludf.DUMMYFUNCTION("""COMPUTED_VALUE"""),"Live")</f>
        <v>Live</v>
      </c>
      <c r="H576" s="5"/>
      <c r="I576" s="5" t="str">
        <f>IFERROR(__xludf.DUMMYFUNCTION("""COMPUTED_VALUE"""),"Redstone")</f>
        <v>Redstone</v>
      </c>
      <c r="J576" s="5" t="str">
        <f>IFERROR(__xludf.DUMMYFUNCTION("""COMPUTED_VALUE"""),"JSON")</f>
        <v>JSON</v>
      </c>
      <c r="K576" s="5" t="str">
        <f>IFERROR(__xludf.DUMMYFUNCTION("""COMPUTED_VALUE"""),"Slot")</f>
        <v>Slot</v>
      </c>
      <c r="L576" s="5" t="str">
        <f>IFERROR(__xludf.DUMMYFUNCTION("""COMPUTED_VALUE"""),"Master")</f>
        <v>Master</v>
      </c>
      <c r="M576" s="5"/>
      <c r="N576" s="7" t="str">
        <f>IFERROR(__xludf.DUMMYFUNCTION("""COMPUTED_VALUE"""),"https://docs.google.com/document/d/1VivZXUXDZhRUzt9BX4F04ZPfuh1BOlLX/edit?usp=drive_link&amp;ouid=107596163405648766688&amp;rtpof=true&amp;sd=true")</f>
        <v>https://docs.google.com/document/d/1VivZXUXDZhRUzt9BX4F04ZPfuh1BOlLX/edit?usp=drive_link&amp;ouid=107596163405648766688&amp;rtpof=true&amp;sd=true</v>
      </c>
      <c r="O576" s="7" t="str">
        <f>IFERROR(__xludf.DUMMYFUNCTION("""COMPUTED_VALUE"""),"https://docs.google.com/document/d/1LSKczJRKVsnUMYp-FOykWGNmy_rW_iFt/edit?usp=drive_link&amp;ouid=107596163405648766688&amp;rtpof=true&amp;sd=true")</f>
        <v>https://docs.google.com/document/d/1LSKczJRKVsnUMYp-FOykWGNmy_rW_iFt/edit?usp=drive_link&amp;ouid=107596163405648766688&amp;rtpof=true&amp;sd=true</v>
      </c>
      <c r="P576" s="12">
        <f>IFERROR(__xludf.DUMMYFUNCTION("""COMPUTED_VALUE"""),6.6)</f>
        <v>6.6</v>
      </c>
      <c r="Q576" s="13">
        <f>IFERROR(__xludf.DUMMYFUNCTION("""COMPUTED_VALUE"""),45929.0)</f>
        <v>45929</v>
      </c>
      <c r="R576" s="13">
        <f>IFERROR(__xludf.DUMMYFUNCTION("""COMPUTED_VALUE"""),45947.0)</f>
        <v>45947</v>
      </c>
      <c r="S576" s="13">
        <f>IFERROR(__xludf.DUMMYFUNCTION("""COMPUTED_VALUE"""),45954.0)</f>
        <v>45954</v>
      </c>
      <c r="T576" s="5" t="b">
        <f>IFERROR(__xludf.DUMMYFUNCTION("""COMPUTED_VALUE"""),TRUE)</f>
        <v>1</v>
      </c>
      <c r="U576" s="5" t="str">
        <f>IFERROR(__xludf.DUMMYFUNCTION("""COMPUTED_VALUE"""),"5x")</f>
        <v>5x</v>
      </c>
      <c r="V576" s="5">
        <f>IFERROR(__xludf.DUMMYFUNCTION("""COMPUTED_VALUE"""),40.0)</f>
        <v>40</v>
      </c>
      <c r="W576" s="5">
        <f>IFERROR(__xludf.DUMMYFUNCTION("""COMPUTED_VALUE"""),40.0)</f>
        <v>40</v>
      </c>
      <c r="X576" s="5">
        <f>IFERROR(__xludf.DUMMYFUNCTION("""COMPUTED_VALUE"""),95.98)</f>
        <v>95.98</v>
      </c>
      <c r="Y576" s="5" t="str">
        <f>IFERROR(__xludf.DUMMYFUNCTION("""COMPUTED_VALUE"""),"Medium")</f>
        <v>Medium</v>
      </c>
      <c r="Z576" s="5">
        <f>IFERROR(__xludf.DUMMYFUNCTION("""COMPUTED_VALUE"""),21.92)</f>
        <v>21.92</v>
      </c>
      <c r="AA576" s="5">
        <f>IFERROR(__xludf.DUMMYFUNCTION("""COMPUTED_VALUE"""),727.5)</f>
        <v>727.5</v>
      </c>
      <c r="AB576" s="5"/>
      <c r="AC576" s="5" t="str">
        <f>IFERROR(__xludf.DUMMYFUNCTION("""COMPUTED_VALUE"""),"Expanding Wild, Scatter")</f>
        <v>Expanding Wild, Scatter</v>
      </c>
      <c r="AD576" s="5" t="str">
        <f>IFERROR(__xludf.DUMMYFUNCTION("""COMPUTED_VALUE"""),"0.04/50")</f>
        <v>0.04/50</v>
      </c>
      <c r="AE576" s="5"/>
      <c r="AF576" s="5"/>
      <c r="AG576" s="8">
        <f>IFERROR(__xludf.DUMMYFUNCTION("""COMPUTED_VALUE"""),46157.5531712963)</f>
        <v>46157.55317</v>
      </c>
      <c r="AH576" s="5"/>
      <c r="AI576" s="13"/>
      <c r="AJ576" s="5"/>
      <c r="AK576" s="5">
        <f>IFERROR(__xludf.DUMMYFUNCTION("""COMPUTED_VALUE"""),1.0)</f>
        <v>1</v>
      </c>
      <c r="AL576" s="5" t="str">
        <f>IFERROR(__xludf.DUMMYFUNCTION("""COMPUTED_VALUE"""),"No")</f>
        <v>No</v>
      </c>
      <c r="AM576" s="5" t="str">
        <f>IFERROR(__xludf.DUMMYFUNCTION("""COMPUTED_VALUE"""),"No")</f>
        <v>No</v>
      </c>
      <c r="AN576" s="7" t="str">
        <f>IFERROR(__xludf.DUMMYFUNCTION("""COMPUTED_VALUE"""),"https://static.redstone.rs/games/chilli-hot-40/")</f>
        <v>https://static.redstone.rs/games/chilli-hot-40/</v>
      </c>
      <c r="AO576" s="5" t="str">
        <f>IFERROR(__xludf.DUMMYFUNCTION("""COMPUTED_VALUE"""),"No")</f>
        <v>No</v>
      </c>
      <c r="AP576" s="5" t="str">
        <f>IFERROR(__xludf.DUMMYFUNCTION("""COMPUTED_VALUE"""),"No")</f>
        <v>No</v>
      </c>
      <c r="AQ576" s="5" t="b">
        <f>IFERROR(__xludf.DUMMYFUNCTION("""COMPUTED_VALUE"""),TRUE)</f>
        <v>1</v>
      </c>
      <c r="AR576" s="5"/>
      <c r="AS576" s="5" t="str">
        <f>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AT576" s="5"/>
      <c r="AU576" s="5" t="str">
        <f>IFERROR(__xludf.DUMMYFUNCTION("""COMPUTED_VALUE"""),"Redstone")</f>
        <v>Redstone</v>
      </c>
      <c r="AV576" s="5"/>
      <c r="AW576" s="5"/>
      <c r="AX576" s="13">
        <f>IFERROR(__xludf.DUMMYFUNCTION("""COMPUTED_VALUE"""),45923.0)</f>
        <v>45923</v>
      </c>
      <c r="AY576" s="13"/>
      <c r="AZ576" s="13"/>
      <c r="BA576" s="5"/>
      <c r="BB576" s="5" t="b">
        <f>IFERROR(__xludf.DUMMYFUNCTION("""COMPUTED_VALUE"""),TRUE)</f>
        <v>1</v>
      </c>
      <c r="BC576" s="5" t="str">
        <f>IFERROR(__xludf.DUMMYFUNCTION("""COMPUTED_VALUE"""),"Redstone")</f>
        <v>Redstone</v>
      </c>
      <c r="BD576" s="7" t="str">
        <f>IFERROR(__xludf.DUMMYFUNCTION("""COMPUTED_VALUE"""),"https://static.redstone.rs/games/chilli-hot-40/")</f>
        <v>https://static.redstone.rs/games/chilli-hot-40/</v>
      </c>
      <c r="BE576" s="5" t="b">
        <f>IFERROR(__xludf.DUMMYFUNCTION("""COMPUTED_VALUE"""),TRUE)</f>
        <v>1</v>
      </c>
    </row>
    <row r="577">
      <c r="A577" s="5">
        <f>IFERROR(__xludf.DUMMYFUNCTION("""COMPUTED_VALUE"""),611.0)</f>
        <v>611</v>
      </c>
      <c r="B577" s="5">
        <f>IFERROR(__xludf.DUMMYFUNCTION("""COMPUTED_VALUE"""),524.0)</f>
        <v>524</v>
      </c>
      <c r="C577" s="5" t="str">
        <f>IFERROR(__xludf.DUMMYFUNCTION("""COMPUTED_VALUE"""),"Playnet")</f>
        <v>Playnet</v>
      </c>
      <c r="D577" s="5" t="str">
        <f>IFERROR(__xludf.DUMMYFUNCTION("""COMPUTED_VALUE"""),"Gears of Fortune")</f>
        <v>Gears of Fortune</v>
      </c>
      <c r="E577" s="5" t="str">
        <f>IFERROR(__xludf.DUMMYFUNCTION("""COMPUTED_VALUE"""),"Sertifikacioni")</f>
        <v>Sertifikacioni</v>
      </c>
      <c r="F577" s="5" t="str">
        <f>IFERROR(__xludf.DUMMYFUNCTION("""COMPUTED_VALUE""")," PlayNetGearsOfFortune")</f>
        <v> PlayNetGearsOfFortune</v>
      </c>
      <c r="G577" s="5" t="str">
        <f>IFERROR(__xludf.DUMMYFUNCTION("""COMPUTED_VALUE"""),"Live")</f>
        <v>Live</v>
      </c>
      <c r="H577" s="5"/>
      <c r="I577" s="5"/>
      <c r="J577" s="5" t="str">
        <f>IFERROR(__xludf.DUMMYFUNCTION("""COMPUTED_VALUE"""),"JSON")</f>
        <v>JSON</v>
      </c>
      <c r="K577" s="5" t="str">
        <f>IFERROR(__xludf.DUMMYFUNCTION("""COMPUTED_VALUE"""),"Slot")</f>
        <v>Slot</v>
      </c>
      <c r="L577" s="5" t="str">
        <f>IFERROR(__xludf.DUMMYFUNCTION("""COMPUTED_VALUE""")," Clone")</f>
        <v> Clone</v>
      </c>
      <c r="M577" s="5" t="str">
        <f>IFERROR(__xludf.DUMMYFUNCTION("""COMPUTED_VALUE"""),"Wild Hot 40")</f>
        <v>Wild Hot 40</v>
      </c>
      <c r="N577" s="7" t="str">
        <f>IFERROR(__xludf.DUMMYFUNCTION("""COMPUTED_VALUE"""),"https://drive.google.com/drive/u/1/folders/1xobLzwkTCpqNacZe9peJ5JCe2x1v25FW")</f>
        <v>https://drive.google.com/drive/u/1/folders/1xobLzwkTCpqNacZe9peJ5JCe2x1v25FW</v>
      </c>
      <c r="O577" s="7" t="str">
        <f>IFERROR(__xludf.DUMMYFUNCTION("""COMPUTED_VALUE"""),"https://drive.google.com/drive/u/1/folders/1xobLzwkTCpqNacZe9peJ5JCe2x1v25FW")</f>
        <v>https://drive.google.com/drive/u/1/folders/1xobLzwkTCpqNacZe9peJ5JCe2x1v25FW</v>
      </c>
      <c r="P577" s="12">
        <f>IFERROR(__xludf.DUMMYFUNCTION("""COMPUTED_VALUE"""),7.2)</f>
        <v>7.2</v>
      </c>
      <c r="Q577" s="13">
        <f>IFERROR(__xludf.DUMMYFUNCTION("""COMPUTED_VALUE"""),45999.0)</f>
        <v>45999</v>
      </c>
      <c r="R577" s="13">
        <f>IFERROR(__xludf.DUMMYFUNCTION("""COMPUTED_VALUE"""),45999.0)</f>
        <v>45999</v>
      </c>
      <c r="S577" s="13">
        <f>IFERROR(__xludf.DUMMYFUNCTION("""COMPUTED_VALUE"""),46006.0)</f>
        <v>46006</v>
      </c>
      <c r="T577" s="5" t="b">
        <f>IFERROR(__xludf.DUMMYFUNCTION("""COMPUTED_VALUE"""),TRUE)</f>
        <v>1</v>
      </c>
      <c r="U577" s="5" t="str">
        <f>IFERROR(__xludf.DUMMYFUNCTION("""COMPUTED_VALUE"""),"5x4")</f>
        <v>5x4</v>
      </c>
      <c r="V577" s="5">
        <f>IFERROR(__xludf.DUMMYFUNCTION("""COMPUTED_VALUE"""),40.0)</f>
        <v>40</v>
      </c>
      <c r="W577" s="5">
        <f>IFERROR(__xludf.DUMMYFUNCTION("""COMPUTED_VALUE"""),40.0)</f>
        <v>40</v>
      </c>
      <c r="X577" s="5">
        <f>IFERROR(__xludf.DUMMYFUNCTION("""COMPUTED_VALUE"""),96.584)</f>
        <v>96.584</v>
      </c>
      <c r="Y577" s="5" t="str">
        <f>IFERROR(__xludf.DUMMYFUNCTION("""COMPUTED_VALUE"""),"Low")</f>
        <v>Low</v>
      </c>
      <c r="Z577" s="5">
        <f>IFERROR(__xludf.DUMMYFUNCTION("""COMPUTED_VALUE"""),16.725)</f>
        <v>16.725</v>
      </c>
      <c r="AA577" s="5">
        <f>IFERROR(__xludf.DUMMYFUNCTION("""COMPUTED_VALUE"""),1000.0)</f>
        <v>1000</v>
      </c>
      <c r="AB577" s="5"/>
      <c r="AC577" s="5" t="str">
        <f>IFERROR(__xludf.DUMMYFUNCTION("""COMPUTED_VALUE"""),"Scatter, Wild Symbol")</f>
        <v>Scatter, Wild Symbol</v>
      </c>
      <c r="AD577" s="5" t="str">
        <f>IFERROR(__xludf.DUMMYFUNCTION("""COMPUTED_VALUE"""),"0.40/60")</f>
        <v>0.40/60</v>
      </c>
      <c r="AE577" s="5"/>
      <c r="AF577" s="5"/>
      <c r="AG577" s="8">
        <f>IFERROR(__xludf.DUMMYFUNCTION("""COMPUTED_VALUE"""),46220.50643518518)</f>
        <v>46220.50644</v>
      </c>
      <c r="AH577" s="5" t="str">
        <f>IFERROR(__xludf.DUMMYFUNCTION("""COMPUTED_VALUE"""),"selena.mihajlovic@fazi.rs")</f>
        <v>selena.mihajlovic@fazi.rs</v>
      </c>
      <c r="AI577" s="13"/>
      <c r="AJ577" s="5"/>
      <c r="AK577" s="5"/>
      <c r="AL577" s="5" t="str">
        <f>IFERROR(__xludf.DUMMYFUNCTION("""COMPUTED_VALUE"""),"No")</f>
        <v>No</v>
      </c>
      <c r="AM577" s="5" t="str">
        <f>IFERROR(__xludf.DUMMYFUNCTION("""COMPUTED_VALUE"""),"No")</f>
        <v>No</v>
      </c>
      <c r="AN577" s="5" t="str">
        <f>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AO577" s="5" t="str">
        <f>IFERROR(__xludf.DUMMYFUNCTION("""COMPUTED_VALUE"""),"No")</f>
        <v>No</v>
      </c>
      <c r="AP577" s="5" t="str">
        <f>IFERROR(__xludf.DUMMYFUNCTION("""COMPUTED_VALUE"""),"No")</f>
        <v>No</v>
      </c>
      <c r="AQ577" s="5" t="b">
        <f>IFERROR(__xludf.DUMMYFUNCTION("""COMPUTED_VALUE"""),TRUE)</f>
        <v>1</v>
      </c>
      <c r="AR577" s="5"/>
      <c r="AS577" s="5" t="str">
        <f>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AT577" s="5"/>
      <c r="AU577" s="5" t="str">
        <f>IFERROR(__xludf.DUMMYFUNCTION("""COMPUTED_VALUE"""),"Fazi")</f>
        <v>Fazi</v>
      </c>
      <c r="AV577" s="5"/>
      <c r="AW577" s="5"/>
      <c r="AX577" s="13">
        <f>IFERROR(__xludf.DUMMYFUNCTION("""COMPUTED_VALUE"""),45993.0)</f>
        <v>45993</v>
      </c>
      <c r="AY577" s="13"/>
      <c r="AZ577" s="13"/>
      <c r="BA577" s="5"/>
      <c r="BB577" s="5" t="b">
        <f>IFERROR(__xludf.DUMMYFUNCTION("""COMPUTED_VALUE"""),TRUE)</f>
        <v>1</v>
      </c>
      <c r="BC577" s="5" t="str">
        <f>IFERROR(__xludf.DUMMYFUNCTION("""COMPUTED_VALUE"""),"Playnet")</f>
        <v>Playnet</v>
      </c>
      <c r="BD577" s="5" t="str">
        <f>IFERROR(__xludf.DUMMYFUNCTION("""COMPUTED_VALUE"""),"https://gameserver-store-client-area.orbionlimited.com/Home/IntegrationGameLaunch/client-area?moneyType=0&amp;gameName= PlayNetGearsOfFortune&amp;platform=desktop&amp;languageCode=eng&amp;currency=EUR")</f>
        <v>https://gameserver-store-client-area.orbionlimited.com/Home/IntegrationGameLaunch/client-area?moneyType=0&amp;gameName= PlayNetGearsOfFortune&amp;platform=desktop&amp;languageCode=eng&amp;currency=EUR</v>
      </c>
      <c r="BE577" s="5" t="b">
        <f>IFERROR(__xludf.DUMMYFUNCTION("""COMPUTED_VALUE"""),TRUE)</f>
        <v>1</v>
      </c>
    </row>
    <row r="578">
      <c r="A578" s="5">
        <f>IFERROR(__xludf.DUMMYFUNCTION("""COMPUTED_VALUE"""),612.0)</f>
        <v>612</v>
      </c>
      <c r="B578" s="5">
        <f>IFERROR(__xludf.DUMMYFUNCTION("""COMPUTED_VALUE"""),180043.0)</f>
        <v>180043</v>
      </c>
      <c r="C578" s="5" t="str">
        <f>IFERROR(__xludf.DUMMYFUNCTION("""COMPUTED_VALUE"""),"Redstone")</f>
        <v>Redstone</v>
      </c>
      <c r="D578" s="5" t="str">
        <f>IFERROR(__xludf.DUMMYFUNCTION("""COMPUTED_VALUE"""),"Inferno Hot 20")</f>
        <v>Inferno Hot 20</v>
      </c>
      <c r="E578" s="5" t="str">
        <f>IFERROR(__xludf.DUMMYFUNCTION("""COMPUTED_VALUE"""),"Redstone")</f>
        <v>Redstone</v>
      </c>
      <c r="F578" s="5" t="str">
        <f>IFERROR(__xludf.DUMMYFUNCTION("""COMPUTED_VALUE"""),"RedstoneInfernoHot20")</f>
        <v>RedstoneInfernoHot20</v>
      </c>
      <c r="G578" s="5" t="str">
        <f>IFERROR(__xludf.DUMMYFUNCTION("""COMPUTED_VALUE"""),"Live")</f>
        <v>Live</v>
      </c>
      <c r="H578" s="5"/>
      <c r="I578" s="5" t="str">
        <f>IFERROR(__xludf.DUMMYFUNCTION("""COMPUTED_VALUE"""),"Redstone")</f>
        <v>Redstone</v>
      </c>
      <c r="J578" s="5" t="str">
        <f>IFERROR(__xludf.DUMMYFUNCTION("""COMPUTED_VALUE"""),"JSON")</f>
        <v>JSON</v>
      </c>
      <c r="K578" s="5" t="str">
        <f>IFERROR(__xludf.DUMMYFUNCTION("""COMPUTED_VALUE"""),"Slot")</f>
        <v>Slot</v>
      </c>
      <c r="L578" s="5" t="str">
        <f>IFERROR(__xludf.DUMMYFUNCTION("""COMPUTED_VALUE"""),"Master")</f>
        <v>Master</v>
      </c>
      <c r="M578" s="5"/>
      <c r="N578" s="7" t="str">
        <f>IFERROR(__xludf.DUMMYFUNCTION("""COMPUTED_VALUE"""),"https://docs.google.com/document/d/1eB8Zj8GpDRP7UX4wYyRxIQ6j_NzzOI15/edit?usp=drive_link&amp;ouid=107596163405648766688&amp;rtpof=true&amp;sd=true")</f>
        <v>https://docs.google.com/document/d/1eB8Zj8GpDRP7UX4wYyRxIQ6j_NzzOI15/edit?usp=drive_link&amp;ouid=107596163405648766688&amp;rtpof=true&amp;sd=true</v>
      </c>
      <c r="O578" s="7" t="str">
        <f>IFERROR(__xludf.DUMMYFUNCTION("""COMPUTED_VALUE"""),"https://docs.google.com/document/d/1lt4c7fu2mMR24TV6mjkpAD6uJd9uRARo/edit?usp=drive_link&amp;ouid=107596163405648766688&amp;rtpof=true&amp;sd=true")</f>
        <v>https://docs.google.com/document/d/1lt4c7fu2mMR24TV6mjkpAD6uJd9uRARo/edit?usp=drive_link&amp;ouid=107596163405648766688&amp;rtpof=true&amp;sd=true</v>
      </c>
      <c r="P578" s="12">
        <f>IFERROR(__xludf.DUMMYFUNCTION("""COMPUTED_VALUE"""),13.2)</f>
        <v>13.2</v>
      </c>
      <c r="Q578" s="13">
        <f>IFERROR(__xludf.DUMMYFUNCTION("""COMPUTED_VALUE"""),45943.0)</f>
        <v>45943</v>
      </c>
      <c r="R578" s="13">
        <f>IFERROR(__xludf.DUMMYFUNCTION("""COMPUTED_VALUE"""),45957.0)</f>
        <v>45957</v>
      </c>
      <c r="S578" s="13">
        <f>IFERROR(__xludf.DUMMYFUNCTION("""COMPUTED_VALUE"""),45964.0)</f>
        <v>45964</v>
      </c>
      <c r="T578" s="5" t="b">
        <f>IFERROR(__xludf.DUMMYFUNCTION("""COMPUTED_VALUE"""),TRUE)</f>
        <v>1</v>
      </c>
      <c r="U578" s="5" t="str">
        <f>IFERROR(__xludf.DUMMYFUNCTION("""COMPUTED_VALUE"""),"5x3")</f>
        <v>5x3</v>
      </c>
      <c r="V578" s="5">
        <f>IFERROR(__xludf.DUMMYFUNCTION("""COMPUTED_VALUE"""),20.0)</f>
        <v>20</v>
      </c>
      <c r="W578" s="5"/>
      <c r="X578" s="5">
        <f>IFERROR(__xludf.DUMMYFUNCTION("""COMPUTED_VALUE"""),95.98)</f>
        <v>95.98</v>
      </c>
      <c r="Y578" s="5" t="str">
        <f>IFERROR(__xludf.DUMMYFUNCTION("""COMPUTED_VALUE"""),"Medium")</f>
        <v>Medium</v>
      </c>
      <c r="Z578" s="5">
        <f>IFERROR(__xludf.DUMMYFUNCTION("""COMPUTED_VALUE"""),15.99)</f>
        <v>15.99</v>
      </c>
      <c r="AA578" s="5">
        <f>IFERROR(__xludf.DUMMYFUNCTION("""COMPUTED_VALUE"""),1000.0)</f>
        <v>1000</v>
      </c>
      <c r="AB578" s="5"/>
      <c r="AC578" s="5" t="str">
        <f>IFERROR(__xludf.DUMMYFUNCTION("""COMPUTED_VALUE"""),"Special Wild, Bonus Game with Free Spins, Scatter")</f>
        <v>Special Wild, Bonus Game with Free Spins, Scatter</v>
      </c>
      <c r="AD578" s="5" t="str">
        <f>IFERROR(__xludf.DUMMYFUNCTION("""COMPUTED_VALUE"""),"0.04/60")</f>
        <v>0.04/60</v>
      </c>
      <c r="AE578" s="5"/>
      <c r="AF578" s="5"/>
      <c r="AG578" s="8">
        <f>IFERROR(__xludf.DUMMYFUNCTION("""COMPUTED_VALUE"""),46227.36451388889)</f>
        <v>46227.36451</v>
      </c>
      <c r="AH578" s="5"/>
      <c r="AI578" s="13"/>
      <c r="AJ578" s="5"/>
      <c r="AK578" s="5">
        <f>IFERROR(__xludf.DUMMYFUNCTION("""COMPUTED_VALUE"""),1.0)</f>
        <v>1</v>
      </c>
      <c r="AL578" s="5" t="str">
        <f>IFERROR(__xludf.DUMMYFUNCTION("""COMPUTED_VALUE"""),"No")</f>
        <v>No</v>
      </c>
      <c r="AM578" s="5" t="str">
        <f>IFERROR(__xludf.DUMMYFUNCTION("""COMPUTED_VALUE"""),"No")</f>
        <v>No</v>
      </c>
      <c r="AN578" s="7" t="str">
        <f>IFERROR(__xludf.DUMMYFUNCTION("""COMPUTED_VALUE"""),"https://static.redstone.rs/games/inferno-hot-20/")</f>
        <v>https://static.redstone.rs/games/inferno-hot-20/</v>
      </c>
      <c r="AO578" s="5" t="str">
        <f>IFERROR(__xludf.DUMMYFUNCTION("""COMPUTED_VALUE"""),"No")</f>
        <v>No</v>
      </c>
      <c r="AP578" s="5" t="str">
        <f>IFERROR(__xludf.DUMMYFUNCTION("""COMPUTED_VALUE"""),"No")</f>
        <v>No</v>
      </c>
      <c r="AQ578" s="5" t="b">
        <f>IFERROR(__xludf.DUMMYFUNCTION("""COMPUTED_VALUE"""),TRUE)</f>
        <v>1</v>
      </c>
      <c r="AR578" s="5"/>
      <c r="AS578" s="5" t="str">
        <f>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AT578" s="5"/>
      <c r="AU578" s="5" t="str">
        <f>IFERROR(__xludf.DUMMYFUNCTION("""COMPUTED_VALUE"""),"Redstone")</f>
        <v>Redstone</v>
      </c>
      <c r="AV578" s="5"/>
      <c r="AW578" s="5"/>
      <c r="AX578" s="13">
        <f>IFERROR(__xludf.DUMMYFUNCTION("""COMPUTED_VALUE"""),45937.0)</f>
        <v>45937</v>
      </c>
      <c r="AY578" s="13"/>
      <c r="AZ578" s="13"/>
      <c r="BA578" s="5"/>
      <c r="BB578" s="5" t="b">
        <f>IFERROR(__xludf.DUMMYFUNCTION("""COMPUTED_VALUE"""),TRUE)</f>
        <v>1</v>
      </c>
      <c r="BC578" s="5" t="str">
        <f>IFERROR(__xludf.DUMMYFUNCTION("""COMPUTED_VALUE"""),"Redstone")</f>
        <v>Redstone</v>
      </c>
      <c r="BD578" s="7" t="str">
        <f>IFERROR(__xludf.DUMMYFUNCTION("""COMPUTED_VALUE"""),"https://static.redstone.rs/games/inferno-hot-20/")</f>
        <v>https://static.redstone.rs/games/inferno-hot-20/</v>
      </c>
      <c r="BE578" s="5" t="b">
        <f>IFERROR(__xludf.DUMMYFUNCTION("""COMPUTED_VALUE"""),TRUE)</f>
        <v>1</v>
      </c>
    </row>
    <row r="579">
      <c r="A579" s="5">
        <f>IFERROR(__xludf.DUMMYFUNCTION("""COMPUTED_VALUE"""),613.0)</f>
        <v>613</v>
      </c>
      <c r="B579" s="5">
        <f>IFERROR(__xludf.DUMMYFUNCTION("""COMPUTED_VALUE"""),180044.0)</f>
        <v>180044</v>
      </c>
      <c r="C579" s="5" t="str">
        <f>IFERROR(__xludf.DUMMYFUNCTION("""COMPUTED_VALUE"""),"Redstone")</f>
        <v>Redstone</v>
      </c>
      <c r="D579" s="5" t="str">
        <f>IFERROR(__xludf.DUMMYFUNCTION("""COMPUTED_VALUE"""),"Crown Blast 40")</f>
        <v>Crown Blast 40</v>
      </c>
      <c r="E579" s="5" t="str">
        <f>IFERROR(__xludf.DUMMYFUNCTION("""COMPUTED_VALUE"""),"Redstone")</f>
        <v>Redstone</v>
      </c>
      <c r="F579" s="5" t="str">
        <f>IFERROR(__xludf.DUMMYFUNCTION("""COMPUTED_VALUE"""),"RedstoneCrownBlast40")</f>
        <v>RedstoneCrownBlast40</v>
      </c>
      <c r="G579" s="5" t="str">
        <f>IFERROR(__xludf.DUMMYFUNCTION("""COMPUTED_VALUE"""),"Live")</f>
        <v>Live</v>
      </c>
      <c r="H579" s="5"/>
      <c r="I579" s="5" t="str">
        <f>IFERROR(__xludf.DUMMYFUNCTION("""COMPUTED_VALUE"""),"Redstone")</f>
        <v>Redstone</v>
      </c>
      <c r="J579" s="5" t="str">
        <f>IFERROR(__xludf.DUMMYFUNCTION("""COMPUTED_VALUE"""),"JSON")</f>
        <v>JSON</v>
      </c>
      <c r="K579" s="5" t="str">
        <f>IFERROR(__xludf.DUMMYFUNCTION("""COMPUTED_VALUE"""),"Slot")</f>
        <v>Slot</v>
      </c>
      <c r="L579" s="5" t="str">
        <f>IFERROR(__xludf.DUMMYFUNCTION("""COMPUTED_VALUE"""),"Master")</f>
        <v>Master</v>
      </c>
      <c r="M579" s="5"/>
      <c r="N579" s="7" t="str">
        <f>IFERROR(__xludf.DUMMYFUNCTION("""COMPUTED_VALUE"""),"https://docs.google.com/document/d/1qmAXqo_q_BkgcnoVk1ggWiCI9AKtUCcO/edit?usp=drive_link&amp;ouid=107596163405648766688&amp;rtpof=true&amp;sd=true")</f>
        <v>https://docs.google.com/document/d/1qmAXqo_q_BkgcnoVk1ggWiCI9AKtUCcO/edit?usp=drive_link&amp;ouid=107596163405648766688&amp;rtpof=true&amp;sd=true</v>
      </c>
      <c r="O579" s="7" t="str">
        <f>IFERROR(__xludf.DUMMYFUNCTION("""COMPUTED_VALUE"""),"https://docs.google.com/document/d/175yAHEGjGKnpzip5wEvUxeOsdQLpQ2kU/edit?usp=drive_link&amp;ouid=107596163405648766688&amp;rtpof=true&amp;sd=true")</f>
        <v>https://docs.google.com/document/d/175yAHEGjGKnpzip5wEvUxeOsdQLpQ2kU/edit?usp=drive_link&amp;ouid=107596163405648766688&amp;rtpof=true&amp;sd=true</v>
      </c>
      <c r="P579" s="12">
        <f>IFERROR(__xludf.DUMMYFUNCTION("""COMPUTED_VALUE"""),9.0)</f>
        <v>9</v>
      </c>
      <c r="Q579" s="13">
        <f>IFERROR(__xludf.DUMMYFUNCTION("""COMPUTED_VALUE"""),45929.0)</f>
        <v>45929</v>
      </c>
      <c r="R579" s="13">
        <f>IFERROR(__xludf.DUMMYFUNCTION("""COMPUTED_VALUE"""),45964.0)</f>
        <v>45964</v>
      </c>
      <c r="S579" s="13">
        <f>IFERROR(__xludf.DUMMYFUNCTION("""COMPUTED_VALUE"""),45971.0)</f>
        <v>45971</v>
      </c>
      <c r="T579" s="5" t="b">
        <f>IFERROR(__xludf.DUMMYFUNCTION("""COMPUTED_VALUE"""),TRUE)</f>
        <v>1</v>
      </c>
      <c r="U579" s="5" t="str">
        <f>IFERROR(__xludf.DUMMYFUNCTION("""COMPUTED_VALUE"""),"5x4")</f>
        <v>5x4</v>
      </c>
      <c r="V579" s="5">
        <f>IFERROR(__xludf.DUMMYFUNCTION("""COMPUTED_VALUE"""),40.0)</f>
        <v>40</v>
      </c>
      <c r="W579" s="5">
        <f>IFERROR(__xludf.DUMMYFUNCTION("""COMPUTED_VALUE"""),40.0)</f>
        <v>40</v>
      </c>
      <c r="X579" s="5">
        <f>IFERROR(__xludf.DUMMYFUNCTION("""COMPUTED_VALUE"""),96.27)</f>
        <v>96.27</v>
      </c>
      <c r="Y579" s="5" t="str">
        <f>IFERROR(__xludf.DUMMYFUNCTION("""COMPUTED_VALUE"""),"Medium")</f>
        <v>Medium</v>
      </c>
      <c r="Z579" s="5">
        <f>IFERROR(__xludf.DUMMYFUNCTION("""COMPUTED_VALUE"""),13.88)</f>
        <v>13.88</v>
      </c>
      <c r="AA579" s="5">
        <f>IFERROR(__xludf.DUMMYFUNCTION("""COMPUTED_VALUE"""),1000.0)</f>
        <v>1000</v>
      </c>
      <c r="AB579" s="5"/>
      <c r="AC579" s="5" t="str">
        <f>IFERROR(__xludf.DUMMYFUNCTION("""COMPUTED_VALUE"""),"Exploding Wild, Scatter")</f>
        <v>Exploding Wild, Scatter</v>
      </c>
      <c r="AD579" s="5" t="str">
        <f>IFERROR(__xludf.DUMMYFUNCTION("""COMPUTED_VALUE"""),"0.04/50")</f>
        <v>0.04/50</v>
      </c>
      <c r="AE579" s="5"/>
      <c r="AF579" s="5"/>
      <c r="AG579" s="8">
        <f>IFERROR(__xludf.DUMMYFUNCTION("""COMPUTED_VALUE"""),46191.41875)</f>
        <v>46191.41875</v>
      </c>
      <c r="AH579" s="5"/>
      <c r="AI579" s="13"/>
      <c r="AJ579" s="5"/>
      <c r="AK579" s="5">
        <f>IFERROR(__xludf.DUMMYFUNCTION("""COMPUTED_VALUE"""),1.0)</f>
        <v>1</v>
      </c>
      <c r="AL579" s="5" t="str">
        <f>IFERROR(__xludf.DUMMYFUNCTION("""COMPUTED_VALUE"""),"No")</f>
        <v>No</v>
      </c>
      <c r="AM579" s="5" t="str">
        <f>IFERROR(__xludf.DUMMYFUNCTION("""COMPUTED_VALUE"""),"No")</f>
        <v>No</v>
      </c>
      <c r="AN579" s="7" t="str">
        <f>IFERROR(__xludf.DUMMYFUNCTION("""COMPUTED_VALUE"""),"https://static.redstone.rs/games/crown-blast-40/")</f>
        <v>https://static.redstone.rs/games/crown-blast-40/</v>
      </c>
      <c r="AO579" s="5" t="str">
        <f>IFERROR(__xludf.DUMMYFUNCTION("""COMPUTED_VALUE"""),"No")</f>
        <v>No</v>
      </c>
      <c r="AP579" s="5" t="str">
        <f>IFERROR(__xludf.DUMMYFUNCTION("""COMPUTED_VALUE"""),"No")</f>
        <v>No</v>
      </c>
      <c r="AQ579" s="5" t="b">
        <f>IFERROR(__xludf.DUMMYFUNCTION("""COMPUTED_VALUE"""),TRUE)</f>
        <v>1</v>
      </c>
      <c r="AR579" s="5"/>
      <c r="AS579" s="5" t="str">
        <f>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AT579" s="5"/>
      <c r="AU579" s="5" t="str">
        <f>IFERROR(__xludf.DUMMYFUNCTION("""COMPUTED_VALUE"""),"Redstone")</f>
        <v>Redstone</v>
      </c>
      <c r="AV579" s="5"/>
      <c r="AW579" s="5"/>
      <c r="AX579" s="13">
        <f>IFERROR(__xludf.DUMMYFUNCTION("""COMPUTED_VALUE"""),45923.0)</f>
        <v>45923</v>
      </c>
      <c r="AY579" s="13"/>
      <c r="AZ579" s="13"/>
      <c r="BA579" s="5"/>
      <c r="BB579" s="5" t="b">
        <f>IFERROR(__xludf.DUMMYFUNCTION("""COMPUTED_VALUE"""),TRUE)</f>
        <v>1</v>
      </c>
      <c r="BC579" s="5" t="str">
        <f>IFERROR(__xludf.DUMMYFUNCTION("""COMPUTED_VALUE"""),"Redstone")</f>
        <v>Redstone</v>
      </c>
      <c r="BD579" s="7" t="str">
        <f>IFERROR(__xludf.DUMMYFUNCTION("""COMPUTED_VALUE"""),"https://static.redstone.rs/games/crown-blast-40/")</f>
        <v>https://static.redstone.rs/games/crown-blast-40/</v>
      </c>
      <c r="BE579" s="5" t="b">
        <f>IFERROR(__xludf.DUMMYFUNCTION("""COMPUTED_VALUE"""),TRUE)</f>
        <v>1</v>
      </c>
    </row>
    <row r="580">
      <c r="A580" s="5">
        <f>IFERROR(__xludf.DUMMYFUNCTION("""COMPUTED_VALUE"""),614.0)</f>
        <v>614</v>
      </c>
      <c r="B580" s="5">
        <f>IFERROR(__xludf.DUMMYFUNCTION("""COMPUTED_VALUE"""),180045.0)</f>
        <v>180045</v>
      </c>
      <c r="C580" s="5" t="str">
        <f>IFERROR(__xludf.DUMMYFUNCTION("""COMPUTED_VALUE"""),"Redstone")</f>
        <v>Redstone</v>
      </c>
      <c r="D580" s="5" t="str">
        <f>IFERROR(__xludf.DUMMYFUNCTION("""COMPUTED_VALUE"""),"Crown Royale")</f>
        <v>Crown Royale</v>
      </c>
      <c r="E580" s="5" t="str">
        <f>IFERROR(__xludf.DUMMYFUNCTION("""COMPUTED_VALUE"""),"Redstone")</f>
        <v>Redstone</v>
      </c>
      <c r="F580" s="5" t="str">
        <f>IFERROR(__xludf.DUMMYFUNCTION("""COMPUTED_VALUE"""),"RedstoneCrownRoyale")</f>
        <v>RedstoneCrownRoyale</v>
      </c>
      <c r="G580" s="5" t="str">
        <f>IFERROR(__xludf.DUMMYFUNCTION("""COMPUTED_VALUE"""),"Live")</f>
        <v>Live</v>
      </c>
      <c r="H580" s="5"/>
      <c r="I580" s="5" t="str">
        <f>IFERROR(__xludf.DUMMYFUNCTION("""COMPUTED_VALUE"""),"Redstone")</f>
        <v>Redstone</v>
      </c>
      <c r="J580" s="5" t="str">
        <f>IFERROR(__xludf.DUMMYFUNCTION("""COMPUTED_VALUE"""),"JSON")</f>
        <v>JSON</v>
      </c>
      <c r="K580" s="5" t="str">
        <f>IFERROR(__xludf.DUMMYFUNCTION("""COMPUTED_VALUE"""),"Slot")</f>
        <v>Slot</v>
      </c>
      <c r="L580" s="5"/>
      <c r="M580" s="5"/>
      <c r="N580" s="5"/>
      <c r="O580" s="5"/>
      <c r="P580" s="12">
        <f>IFERROR(__xludf.DUMMYFUNCTION("""COMPUTED_VALUE"""),7.7)</f>
        <v>7.7</v>
      </c>
      <c r="Q580" s="13">
        <f>IFERROR(__xludf.DUMMYFUNCTION("""COMPUTED_VALUE"""),45957.0)</f>
        <v>45957</v>
      </c>
      <c r="R580" s="13"/>
      <c r="S580" s="13">
        <f>IFERROR(__xludf.DUMMYFUNCTION("""COMPUTED_VALUE"""),45978.0)</f>
        <v>45978</v>
      </c>
      <c r="T580" s="5"/>
      <c r="U580" s="5" t="str">
        <f>IFERROR(__xludf.DUMMYFUNCTION("""COMPUTED_VALUE"""),"5x3")</f>
        <v>5x3</v>
      </c>
      <c r="V580" s="5">
        <f>IFERROR(__xludf.DUMMYFUNCTION("""COMPUTED_VALUE"""),5.0)</f>
        <v>5</v>
      </c>
      <c r="W580" s="5">
        <f>IFERROR(__xludf.DUMMYFUNCTION("""COMPUTED_VALUE"""),5.0)</f>
        <v>5</v>
      </c>
      <c r="X580" s="5">
        <f>IFERROR(__xludf.DUMMYFUNCTION("""COMPUTED_VALUE"""),96.03)</f>
        <v>96.03</v>
      </c>
      <c r="Y580" s="5" t="str">
        <f>IFERROR(__xludf.DUMMYFUNCTION("""COMPUTED_VALUE"""),"Medium")</f>
        <v>Medium</v>
      </c>
      <c r="Z580" s="5">
        <f>IFERROR(__xludf.DUMMYFUNCTION("""COMPUTED_VALUE"""),10.37)</f>
        <v>10.37</v>
      </c>
      <c r="AA580" s="5">
        <f>IFERROR(__xludf.DUMMYFUNCTION("""COMPUTED_VALUE"""),6150.0)</f>
        <v>6150</v>
      </c>
      <c r="AB580" s="5"/>
      <c r="AC580" s="5" t="str">
        <f>IFERROR(__xludf.DUMMYFUNCTION("""COMPUTED_VALUE"""),"Expanding Wild")</f>
        <v>Expanding Wild</v>
      </c>
      <c r="AD580" s="5" t="str">
        <f>IFERROR(__xludf.DUMMYFUNCTION("""COMPUTED_VALUE"""),"0.02/50")</f>
        <v>0.02/50</v>
      </c>
      <c r="AE580" s="5"/>
      <c r="AF580" s="5"/>
      <c r="AG580" s="8">
        <f>IFERROR(__xludf.DUMMYFUNCTION("""COMPUTED_VALUE"""),45902.56916666667)</f>
        <v>45902.56917</v>
      </c>
      <c r="AH580" s="5" t="str">
        <f>IFERROR(__xludf.DUMMYFUNCTION("""COMPUTED_VALUE"""),"danica.stojanovic@fazi.rs")</f>
        <v>danica.stojanovic@fazi.rs</v>
      </c>
      <c r="AI580" s="13"/>
      <c r="AJ580" s="5"/>
      <c r="AK580" s="5">
        <f>IFERROR(__xludf.DUMMYFUNCTION("""COMPUTED_VALUE"""),1.0)</f>
        <v>1</v>
      </c>
      <c r="AL580" s="5" t="str">
        <f>IFERROR(__xludf.DUMMYFUNCTION("""COMPUTED_VALUE"""),"No")</f>
        <v>No</v>
      </c>
      <c r="AM580" s="5"/>
      <c r="AN580" s="7" t="str">
        <f>IFERROR(__xludf.DUMMYFUNCTION("""COMPUTED_VALUE"""),"https://static.redstone.rs/games/crown-royale/")</f>
        <v>https://static.redstone.rs/games/crown-royale/</v>
      </c>
      <c r="AO580" s="5" t="str">
        <f>IFERROR(__xludf.DUMMYFUNCTION("""COMPUTED_VALUE"""),"No")</f>
        <v>No</v>
      </c>
      <c r="AP580" s="5" t="str">
        <f>IFERROR(__xludf.DUMMYFUNCTION("""COMPUTED_VALUE"""),"No")</f>
        <v>No</v>
      </c>
      <c r="AQ580" s="5"/>
      <c r="AR580" s="5"/>
      <c r="AS580" s="5" t="str">
        <f>IFERROR(__xludf.DUMMYFUNCTION("""COMPUTED_VALUE"""),"Step into the world of royal wins! In Crown Royale, every spin brings a chance to claim your crown. Wilds fit for a king!")</f>
        <v>Step into the world of royal wins! In Crown Royale, every spin brings a chance to claim your crown. Wilds fit for a king!</v>
      </c>
      <c r="AT580" s="5"/>
      <c r="AU580" s="5" t="str">
        <f>IFERROR(__xludf.DUMMYFUNCTION("""COMPUTED_VALUE"""),"Redstone")</f>
        <v>Redstone</v>
      </c>
      <c r="AV580" s="5">
        <f>IFERROR(__xludf.DUMMYFUNCTION("""COMPUTED_VALUE"""),2.0)</f>
        <v>2</v>
      </c>
      <c r="AW580" s="5"/>
      <c r="AX580" s="13">
        <f>IFERROR(__xludf.DUMMYFUNCTION("""COMPUTED_VALUE"""),45951.0)</f>
        <v>45951</v>
      </c>
      <c r="AY580" s="13"/>
      <c r="AZ580" s="13"/>
      <c r="BA580" s="5" t="str">
        <f>IFERROR(__xludf.DUMMYFUNCTION("""COMPUTED_VALUE"""),"")</f>
        <v/>
      </c>
      <c r="BB580" s="5"/>
      <c r="BC580" s="5" t="str">
        <f>IFERROR(__xludf.DUMMYFUNCTION("""COMPUTED_VALUE"""),"Redstone")</f>
        <v>Redstone</v>
      </c>
      <c r="BD580" s="7" t="str">
        <f>IFERROR(__xludf.DUMMYFUNCTION("""COMPUTED_VALUE"""),"https://static.redstone.rs/games/crown-royale/")</f>
        <v>https://static.redstone.rs/games/crown-royale/</v>
      </c>
      <c r="BE580" s="5"/>
    </row>
    <row r="581">
      <c r="A581" s="5">
        <f>IFERROR(__xludf.DUMMYFUNCTION("""COMPUTED_VALUE"""),614.0)</f>
        <v>614</v>
      </c>
      <c r="B581" s="5">
        <f>IFERROR(__xludf.DUMMYFUNCTION("""COMPUTED_VALUE"""),180051.0)</f>
        <v>180051</v>
      </c>
      <c r="C581" s="5" t="str">
        <f>IFERROR(__xludf.DUMMYFUNCTION("""COMPUTED_VALUE"""),"Redstone")</f>
        <v>Redstone</v>
      </c>
      <c r="D581" s="5" t="str">
        <f>IFERROR(__xludf.DUMMYFUNCTION("""COMPUTED_VALUE"""),"Double Clover Fire Christmas")</f>
        <v>Double Clover Fire Christmas</v>
      </c>
      <c r="E581" s="5" t="str">
        <f>IFERROR(__xludf.DUMMYFUNCTION("""COMPUTED_VALUE"""),"Redstone")</f>
        <v>Redstone</v>
      </c>
      <c r="F581" s="5" t="str">
        <f>IFERROR(__xludf.DUMMYFUNCTION("""COMPUTED_VALUE"""),"RedstoneDoubleCloverFireChristmas")</f>
        <v>RedstoneDoubleCloverFireChristmas</v>
      </c>
      <c r="G581" s="5" t="str">
        <f>IFERROR(__xludf.DUMMYFUNCTION("""COMPUTED_VALUE"""),"Live")</f>
        <v>Live</v>
      </c>
      <c r="H581" s="5"/>
      <c r="I581" s="5" t="str">
        <f>IFERROR(__xludf.DUMMYFUNCTION("""COMPUTED_VALUE"""),"Redstone")</f>
        <v>Redstone</v>
      </c>
      <c r="J581" s="5" t="str">
        <f>IFERROR(__xludf.DUMMYFUNCTION("""COMPUTED_VALUE"""),"JSON")</f>
        <v>JSON</v>
      </c>
      <c r="K581" s="5" t="str">
        <f>IFERROR(__xludf.DUMMYFUNCTION("""COMPUTED_VALUE"""),"Slot")</f>
        <v>Slot</v>
      </c>
      <c r="L581" s="5"/>
      <c r="M581" s="5"/>
      <c r="N581" s="5"/>
      <c r="O581" s="5"/>
      <c r="P581" s="12">
        <f>IFERROR(__xludf.DUMMYFUNCTION("""COMPUTED_VALUE"""),6.3)</f>
        <v>6.3</v>
      </c>
      <c r="Q581" s="13">
        <f>IFERROR(__xludf.DUMMYFUNCTION("""COMPUTED_VALUE"""),45973.0)</f>
        <v>45973</v>
      </c>
      <c r="R581" s="13"/>
      <c r="S581" s="13">
        <f>IFERROR(__xludf.DUMMYFUNCTION("""COMPUTED_VALUE"""),46013.0)</f>
        <v>46013</v>
      </c>
      <c r="T581" s="5" t="b">
        <f>IFERROR(__xludf.DUMMYFUNCTION("""COMPUTED_VALUE"""),TRUE)</f>
        <v>1</v>
      </c>
      <c r="U581" s="5" t="str">
        <f>IFERROR(__xludf.DUMMYFUNCTION("""COMPUTED_VALUE"""),"5x3")</f>
        <v>5x3</v>
      </c>
      <c r="V581" s="5">
        <f>IFERROR(__xludf.DUMMYFUNCTION("""COMPUTED_VALUE"""),5.0)</f>
        <v>5</v>
      </c>
      <c r="W581" s="5">
        <f>IFERROR(__xludf.DUMMYFUNCTION("""COMPUTED_VALUE"""),5.0)</f>
        <v>5</v>
      </c>
      <c r="X581" s="5">
        <f>IFERROR(__xludf.DUMMYFUNCTION("""COMPUTED_VALUE"""),96.45)</f>
        <v>96.45</v>
      </c>
      <c r="Y581" s="5" t="str">
        <f>IFERROR(__xludf.DUMMYFUNCTION("""COMPUTED_VALUE"""),"Medium")</f>
        <v>Medium</v>
      </c>
      <c r="Z581" s="5">
        <f>IFERROR(__xludf.DUMMYFUNCTION("""COMPUTED_VALUE"""),14.23)</f>
        <v>14.23</v>
      </c>
      <c r="AA581" s="5">
        <f>IFERROR(__xludf.DUMMYFUNCTION("""COMPUTED_VALUE"""),2600.0)</f>
        <v>2600</v>
      </c>
      <c r="AB581" s="5"/>
      <c r="AC581" s="5" t="str">
        <f>IFERROR(__xludf.DUMMYFUNCTION("""COMPUTED_VALUE"""),"Expanding Wild, Wild Multiplier")</f>
        <v>Expanding Wild, Wild Multiplier</v>
      </c>
      <c r="AD581" s="5" t="str">
        <f>IFERROR(__xludf.DUMMYFUNCTION("""COMPUTED_VALUE"""),"0.05/100")</f>
        <v>0.05/100</v>
      </c>
      <c r="AE581" s="5"/>
      <c r="AF581" s="5"/>
      <c r="AG581" s="8">
        <f>IFERROR(__xludf.DUMMYFUNCTION("""COMPUTED_VALUE"""),45902.56916666667)</f>
        <v>45902.56917</v>
      </c>
      <c r="AH581" s="5" t="str">
        <f>IFERROR(__xludf.DUMMYFUNCTION("""COMPUTED_VALUE"""),"sara.dimitrijevic@fazi.rs")</f>
        <v>sara.dimitrijevic@fazi.rs</v>
      </c>
      <c r="AI581" s="13"/>
      <c r="AJ581" s="5"/>
      <c r="AK581" s="5">
        <f>IFERROR(__xludf.DUMMYFUNCTION("""COMPUTED_VALUE"""),1.0)</f>
        <v>1</v>
      </c>
      <c r="AL581" s="5" t="str">
        <f>IFERROR(__xludf.DUMMYFUNCTION("""COMPUTED_VALUE"""),"No")</f>
        <v>No</v>
      </c>
      <c r="AM581" s="5"/>
      <c r="AN581" s="7" t="str">
        <f>IFERROR(__xludf.DUMMYFUNCTION("""COMPUTED_VALUE"""),"https://static.redstone.rs/games/double-clover-fire-christmas/")</f>
        <v>https://static.redstone.rs/games/double-clover-fire-christmas/</v>
      </c>
      <c r="AO581" s="5" t="str">
        <f>IFERROR(__xludf.DUMMYFUNCTION("""COMPUTED_VALUE"""),"No")</f>
        <v>No</v>
      </c>
      <c r="AP581" s="5" t="str">
        <f>IFERROR(__xludf.DUMMYFUNCTION("""COMPUTED_VALUE"""),"No")</f>
        <v>No</v>
      </c>
      <c r="AQ581" s="5"/>
      <c r="AR581" s="5"/>
      <c r="AS581" s="5" t="str">
        <f>IFERROR(__xludf.DUMMYFUNCTION("""COMPUTED_VALUE"""),"The central Wild lights up the reels with festive magic, expanding and delivering fiery wins with a dazzling x2 multiplier!")</f>
        <v>The central Wild lights up the reels with festive magic, expanding and delivering fiery wins with a dazzling x2 multiplier!</v>
      </c>
      <c r="AT581" s="5"/>
      <c r="AU581" s="5" t="str">
        <f>IFERROR(__xludf.DUMMYFUNCTION("""COMPUTED_VALUE"""),"Redstone")</f>
        <v>Redstone</v>
      </c>
      <c r="AV581" s="5">
        <f>IFERROR(__xludf.DUMMYFUNCTION("""COMPUTED_VALUE"""),1.0)</f>
        <v>1</v>
      </c>
      <c r="AW581" s="5"/>
      <c r="AX581" s="13">
        <f>IFERROR(__xludf.DUMMYFUNCTION("""COMPUTED_VALUE"""),45965.0)</f>
        <v>45965</v>
      </c>
      <c r="AY581" s="13"/>
      <c r="AZ581" s="13"/>
      <c r="BA581" s="5" t="str">
        <f>IFERROR(__xludf.DUMMYFUNCTION("""COMPUTED_VALUE"""),"")</f>
        <v/>
      </c>
      <c r="BB581" s="5"/>
      <c r="BC581" s="5" t="str">
        <f>IFERROR(__xludf.DUMMYFUNCTION("""COMPUTED_VALUE"""),"Redstone")</f>
        <v>Redstone</v>
      </c>
      <c r="BD581" s="7" t="str">
        <f>IFERROR(__xludf.DUMMYFUNCTION("""COMPUTED_VALUE"""),"https://static.redstone.rs/games/double-clover-fire-christmas/")</f>
        <v>https://static.redstone.rs/games/double-clover-fire-christmas/</v>
      </c>
      <c r="BE581" s="5"/>
    </row>
    <row r="582">
      <c r="A582" s="5">
        <f>IFERROR(__xludf.DUMMYFUNCTION("""COMPUTED_VALUE"""),615.0)</f>
        <v>615</v>
      </c>
      <c r="B582" s="5">
        <f>IFERROR(__xludf.DUMMYFUNCTION("""COMPUTED_VALUE"""),180046.0)</f>
        <v>180046</v>
      </c>
      <c r="C582" s="5" t="str">
        <f>IFERROR(__xludf.DUMMYFUNCTION("""COMPUTED_VALUE"""),"Redstone")</f>
        <v>Redstone</v>
      </c>
      <c r="D582" s="5" t="str">
        <f>IFERROR(__xludf.DUMMYFUNCTION("""COMPUTED_VALUE"""),"Chilli Double 40")</f>
        <v>Chilli Double 40</v>
      </c>
      <c r="E582" s="5" t="str">
        <f>IFERROR(__xludf.DUMMYFUNCTION("""COMPUTED_VALUE"""),"Redstone")</f>
        <v>Redstone</v>
      </c>
      <c r="F582" s="5" t="str">
        <f>IFERROR(__xludf.DUMMYFUNCTION("""COMPUTED_VALUE"""),"RedstoneChilliDouble40")</f>
        <v>RedstoneChilliDouble40</v>
      </c>
      <c r="G582" s="5" t="str">
        <f>IFERROR(__xludf.DUMMYFUNCTION("""COMPUTED_VALUE"""),"Live")</f>
        <v>Live</v>
      </c>
      <c r="H582" s="5"/>
      <c r="I582" s="5" t="str">
        <f>IFERROR(__xludf.DUMMYFUNCTION("""COMPUTED_VALUE"""),"Redstone")</f>
        <v>Redstone</v>
      </c>
      <c r="J582" s="5" t="str">
        <f>IFERROR(__xludf.DUMMYFUNCTION("""COMPUTED_VALUE"""),"JSON")</f>
        <v>JSON</v>
      </c>
      <c r="K582" s="5" t="str">
        <f>IFERROR(__xludf.DUMMYFUNCTION("""COMPUTED_VALUE"""),"Slot")</f>
        <v>Slot</v>
      </c>
      <c r="L582" s="5" t="str">
        <f>IFERROR(__xludf.DUMMYFUNCTION("""COMPUTED_VALUE"""),"Master")</f>
        <v>Master</v>
      </c>
      <c r="M582" s="5"/>
      <c r="N582" s="7" t="str">
        <f>IFERROR(__xludf.DUMMYFUNCTION("""COMPUTED_VALUE"""),"https://docs.google.com/document/d/1pGz8v4wEYOaOb3oRWonm64YBQQLWyukQ/edit?usp=drive_link&amp;ouid=107596163405648766688&amp;rtpof=true&amp;sd=true")</f>
        <v>https://docs.google.com/document/d/1pGz8v4wEYOaOb3oRWonm64YBQQLWyukQ/edit?usp=drive_link&amp;ouid=107596163405648766688&amp;rtpof=true&amp;sd=true</v>
      </c>
      <c r="O582" s="7" t="str">
        <f>IFERROR(__xludf.DUMMYFUNCTION("""COMPUTED_VALUE"""),"https://docs.google.com/document/d/1P0OLybWJSmCwl1aJINFLKqWmFR4_1TKT/edit?usp=drive_link&amp;ouid=107596163405648766688&amp;rtpof=true&amp;sd=true")</f>
        <v>https://docs.google.com/document/d/1P0OLybWJSmCwl1aJINFLKqWmFR4_1TKT/edit?usp=drive_link&amp;ouid=107596163405648766688&amp;rtpof=true&amp;sd=true</v>
      </c>
      <c r="P582" s="12">
        <f>IFERROR(__xludf.DUMMYFUNCTION("""COMPUTED_VALUE"""),7.4)</f>
        <v>7.4</v>
      </c>
      <c r="Q582" s="13">
        <f>IFERROR(__xludf.DUMMYFUNCTION("""COMPUTED_VALUE"""),45929.0)</f>
        <v>45929</v>
      </c>
      <c r="R582" s="13">
        <f>IFERROR(__xludf.DUMMYFUNCTION("""COMPUTED_VALUE"""),45979.0)</f>
        <v>45979</v>
      </c>
      <c r="S582" s="13">
        <f>IFERROR(__xludf.DUMMYFUNCTION("""COMPUTED_VALUE"""),45986.0)</f>
        <v>45986</v>
      </c>
      <c r="T582" s="5" t="b">
        <f>IFERROR(__xludf.DUMMYFUNCTION("""COMPUTED_VALUE"""),TRUE)</f>
        <v>1</v>
      </c>
      <c r="U582" s="5" t="str">
        <f>IFERROR(__xludf.DUMMYFUNCTION("""COMPUTED_VALUE"""),"5x3")</f>
        <v>5x3</v>
      </c>
      <c r="V582" s="5">
        <f>IFERROR(__xludf.DUMMYFUNCTION("""COMPUTED_VALUE"""),40.0)</f>
        <v>40</v>
      </c>
      <c r="W582" s="5">
        <f>IFERROR(__xludf.DUMMYFUNCTION("""COMPUTED_VALUE"""),40.0)</f>
        <v>40</v>
      </c>
      <c r="X582" s="5">
        <f>IFERROR(__xludf.DUMMYFUNCTION("""COMPUTED_VALUE"""),95.99)</f>
        <v>95.99</v>
      </c>
      <c r="Y582" s="5" t="str">
        <f>IFERROR(__xludf.DUMMYFUNCTION("""COMPUTED_VALUE"""),"Medium")</f>
        <v>Medium</v>
      </c>
      <c r="Z582" s="5">
        <f>IFERROR(__xludf.DUMMYFUNCTION("""COMPUTED_VALUE"""),19.73)</f>
        <v>19.73</v>
      </c>
      <c r="AA582" s="5">
        <f>IFERROR(__xludf.DUMMYFUNCTION("""COMPUTED_VALUE"""),1290.0)</f>
        <v>1290</v>
      </c>
      <c r="AB582" s="5"/>
      <c r="AC582" s="5" t="str">
        <f>IFERROR(__xludf.DUMMYFUNCTION("""COMPUTED_VALUE"""),"Expanding Wild, Scatter")</f>
        <v>Expanding Wild, Scatter</v>
      </c>
      <c r="AD582" s="5" t="str">
        <f>IFERROR(__xludf.DUMMYFUNCTION("""COMPUTED_VALUE"""),"0.04/50")</f>
        <v>0.04/50</v>
      </c>
      <c r="AE582" s="5"/>
      <c r="AF582" s="5"/>
      <c r="AG582" s="8">
        <f>IFERROR(__xludf.DUMMYFUNCTION("""COMPUTED_VALUE"""),46191.528136574074)</f>
        <v>46191.52814</v>
      </c>
      <c r="AH582" s="5"/>
      <c r="AI582" s="13"/>
      <c r="AJ582" s="5"/>
      <c r="AK582" s="5">
        <f>IFERROR(__xludf.DUMMYFUNCTION("""COMPUTED_VALUE"""),1.0)</f>
        <v>1</v>
      </c>
      <c r="AL582" s="5" t="str">
        <f>IFERROR(__xludf.DUMMYFUNCTION("""COMPUTED_VALUE"""),"No")</f>
        <v>No</v>
      </c>
      <c r="AM582" s="5" t="str">
        <f>IFERROR(__xludf.DUMMYFUNCTION("""COMPUTED_VALUE"""),"No")</f>
        <v>No</v>
      </c>
      <c r="AN582" s="7" t="str">
        <f>IFERROR(__xludf.DUMMYFUNCTION("""COMPUTED_VALUE"""),"https://static.redstone.rs/games/chilli-double-40/")</f>
        <v>https://static.redstone.rs/games/chilli-double-40/</v>
      </c>
      <c r="AO582" s="5" t="str">
        <f>IFERROR(__xludf.DUMMYFUNCTION("""COMPUTED_VALUE"""),"No")</f>
        <v>No</v>
      </c>
      <c r="AP582" s="5" t="str">
        <f>IFERROR(__xludf.DUMMYFUNCTION("""COMPUTED_VALUE"""),"No")</f>
        <v>No</v>
      </c>
      <c r="AQ582" s="5" t="b">
        <f>IFERROR(__xludf.DUMMYFUNCTION("""COMPUTED_VALUE"""),TRUE)</f>
        <v>1</v>
      </c>
      <c r="AR582" s="5"/>
      <c r="AS582" s="5" t="str">
        <f>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AT582" s="5"/>
      <c r="AU582" s="5" t="str">
        <f>IFERROR(__xludf.DUMMYFUNCTION("""COMPUTED_VALUE"""),"Redstone")</f>
        <v>Redstone</v>
      </c>
      <c r="AV582" s="5"/>
      <c r="AW582" s="5"/>
      <c r="AX582" s="13">
        <f>IFERROR(__xludf.DUMMYFUNCTION("""COMPUTED_VALUE"""),45923.0)</f>
        <v>45923</v>
      </c>
      <c r="AY582" s="13"/>
      <c r="AZ582" s="13"/>
      <c r="BA582" s="5"/>
      <c r="BB582" s="5" t="b">
        <f>IFERROR(__xludf.DUMMYFUNCTION("""COMPUTED_VALUE"""),TRUE)</f>
        <v>1</v>
      </c>
      <c r="BC582" s="5" t="str">
        <f>IFERROR(__xludf.DUMMYFUNCTION("""COMPUTED_VALUE"""),"Redstone")</f>
        <v>Redstone</v>
      </c>
      <c r="BD582" s="7" t="str">
        <f>IFERROR(__xludf.DUMMYFUNCTION("""COMPUTED_VALUE"""),"https://static.redstone.rs/games/chilli-double-40/")</f>
        <v>https://static.redstone.rs/games/chilli-double-40/</v>
      </c>
      <c r="BE582" s="5" t="b">
        <f>IFERROR(__xludf.DUMMYFUNCTION("""COMPUTED_VALUE"""),TRUE)</f>
        <v>1</v>
      </c>
    </row>
    <row r="583">
      <c r="A583" s="5">
        <f>IFERROR(__xludf.DUMMYFUNCTION("""COMPUTED_VALUE"""),616.0)</f>
        <v>616</v>
      </c>
      <c r="B583" s="5">
        <f>IFERROR(__xludf.DUMMYFUNCTION("""COMPUTED_VALUE"""),180050.0)</f>
        <v>180050</v>
      </c>
      <c r="C583" s="5" t="str">
        <f>IFERROR(__xludf.DUMMYFUNCTION("""COMPUTED_VALUE"""),"Redstone")</f>
        <v>Redstone</v>
      </c>
      <c r="D583" s="5" t="str">
        <f>IFERROR(__xludf.DUMMYFUNCTION("""COMPUTED_VALUE"""),"20 Coin Collector")</f>
        <v>20 Coin Collector</v>
      </c>
      <c r="E583" s="5" t="str">
        <f>IFERROR(__xludf.DUMMYFUNCTION("""COMPUTED_VALUE"""),"Redstone")</f>
        <v>Redstone</v>
      </c>
      <c r="F583" s="5" t="str">
        <f>IFERROR(__xludf.DUMMYFUNCTION("""COMPUTED_VALUE"""),"Redstone20CoinCollector")</f>
        <v>Redstone20CoinCollector</v>
      </c>
      <c r="G583" s="5" t="str">
        <f>IFERROR(__xludf.DUMMYFUNCTION("""COMPUTED_VALUE"""),"Planned")</f>
        <v>Planned</v>
      </c>
      <c r="H583" s="5"/>
      <c r="I583" s="5"/>
      <c r="J583" s="5"/>
      <c r="K583" s="5" t="str">
        <f>IFERROR(__xludf.DUMMYFUNCTION("""COMPUTED_VALUE"""),"Slot")</f>
        <v>Slot</v>
      </c>
      <c r="L583" s="5"/>
      <c r="M583" s="5"/>
      <c r="N583" s="5"/>
      <c r="O583" s="5"/>
      <c r="P583" s="12"/>
      <c r="Q583" s="13">
        <f>IFERROR(__xludf.DUMMYFUNCTION("""COMPUTED_VALUE"""),45999.0)</f>
        <v>45999</v>
      </c>
      <c r="R583" s="13">
        <f>IFERROR(__xludf.DUMMYFUNCTION("""COMPUTED_VALUE"""),46000.0)</f>
        <v>46000</v>
      </c>
      <c r="S583" s="13"/>
      <c r="T583" s="5" t="b">
        <f>IFERROR(__xludf.DUMMYFUNCTION("""COMPUTED_VALUE"""),FALSE)</f>
        <v>0</v>
      </c>
      <c r="U583" s="5"/>
      <c r="V583" s="5"/>
      <c r="W583" s="5"/>
      <c r="X583" s="5"/>
      <c r="Y583" s="5"/>
      <c r="Z583" s="5"/>
      <c r="AA583" s="5"/>
      <c r="AB583" s="5"/>
      <c r="AC583" s="5"/>
      <c r="AD583" s="5"/>
      <c r="AE583" s="5"/>
      <c r="AF583" s="5"/>
      <c r="AG583" s="8">
        <f>IFERROR(__xludf.DUMMYFUNCTION("""COMPUTED_VALUE"""),45996.59479166667)</f>
        <v>45996.59479</v>
      </c>
      <c r="AH583" s="5" t="str">
        <f>IFERROR(__xludf.DUMMYFUNCTION("""COMPUTED_VALUE"""),"iva.cirkovic@fazi.rs")</f>
        <v>iva.cirkovic@fazi.rs</v>
      </c>
      <c r="AI583" s="13"/>
      <c r="AJ583" s="5"/>
      <c r="AK583" s="5"/>
      <c r="AL583" s="5"/>
      <c r="AM583" s="5"/>
      <c r="AN583" s="5"/>
      <c r="AO583" s="5"/>
      <c r="AP583" s="5"/>
      <c r="AQ583" s="5"/>
      <c r="AR583" s="5"/>
      <c r="AS583" s="5"/>
      <c r="AT583" s="5"/>
      <c r="AU583" s="5" t="str">
        <f>IFERROR(__xludf.DUMMYFUNCTION("""COMPUTED_VALUE"""),"Redstone")</f>
        <v>Redstone</v>
      </c>
      <c r="AV583" s="5"/>
      <c r="AW583" s="5"/>
      <c r="AX583" s="13">
        <f>IFERROR(__xludf.DUMMYFUNCTION("""COMPUTED_VALUE"""),45993.0)</f>
        <v>45993</v>
      </c>
      <c r="AY583" s="13"/>
      <c r="AZ583" s="13"/>
      <c r="BA583" s="5" t="str">
        <f>IFERROR(__xludf.DUMMYFUNCTION("""COMPUTED_VALUE"""),"")</f>
        <v/>
      </c>
      <c r="BB583" s="5"/>
      <c r="BC583" s="5" t="str">
        <f>IFERROR(__xludf.DUMMYFUNCTION("""COMPUTED_VALUE"""),"Redstone")</f>
        <v>Redstone</v>
      </c>
      <c r="BD583" s="5"/>
      <c r="BE583" s="5"/>
    </row>
    <row r="584">
      <c r="A584" s="5">
        <f>IFERROR(__xludf.DUMMYFUNCTION("""COMPUTED_VALUE"""),617.0)</f>
        <v>617</v>
      </c>
      <c r="B584" s="5">
        <f>IFERROR(__xludf.DUMMYFUNCTION("""COMPUTED_VALUE"""),180049.0)</f>
        <v>180049</v>
      </c>
      <c r="C584" s="5" t="str">
        <f>IFERROR(__xludf.DUMMYFUNCTION("""COMPUTED_VALUE"""),"Redstone")</f>
        <v>Redstone</v>
      </c>
      <c r="D584" s="5" t="str">
        <f>IFERROR(__xludf.DUMMYFUNCTION("""COMPUTED_VALUE"""),"5 Bomb Fire")</f>
        <v>5 Bomb Fire</v>
      </c>
      <c r="E584" s="5" t="str">
        <f>IFERROR(__xludf.DUMMYFUNCTION("""COMPUTED_VALUE"""),"Redstone")</f>
        <v>Redstone</v>
      </c>
      <c r="F584" s="5" t="str">
        <f>IFERROR(__xludf.DUMMYFUNCTION("""COMPUTED_VALUE"""),"Redstone5BombFire")</f>
        <v>Redstone5BombFire</v>
      </c>
      <c r="G584" s="5" t="str">
        <f>IFERROR(__xludf.DUMMYFUNCTION("""COMPUTED_VALUE"""),"In Development")</f>
        <v>In Development</v>
      </c>
      <c r="H584" s="5"/>
      <c r="I584" s="5"/>
      <c r="J584" s="5"/>
      <c r="K584" s="5" t="str">
        <f>IFERROR(__xludf.DUMMYFUNCTION("""COMPUTED_VALUE"""),"Slot")</f>
        <v>Slot</v>
      </c>
      <c r="L584" s="5"/>
      <c r="M584" s="5"/>
      <c r="N584" s="5"/>
      <c r="O584" s="5"/>
      <c r="P584" s="12"/>
      <c r="Q584" s="13"/>
      <c r="R584" s="13"/>
      <c r="S584" s="13"/>
      <c r="T584" s="5"/>
      <c r="U584" s="5"/>
      <c r="V584" s="5"/>
      <c r="W584" s="5"/>
      <c r="X584" s="5"/>
      <c r="Y584" s="5"/>
      <c r="Z584" s="5"/>
      <c r="AA584" s="5"/>
      <c r="AB584" s="5"/>
      <c r="AC584" s="5"/>
      <c r="AD584" s="5"/>
      <c r="AE584" s="5"/>
      <c r="AF584" s="5"/>
      <c r="AG584" s="8">
        <f>IFERROR(__xludf.DUMMYFUNCTION("""COMPUTED_VALUE"""),45958.469826388886)</f>
        <v>45958.46983</v>
      </c>
      <c r="AH584" s="5" t="str">
        <f>IFERROR(__xludf.DUMMYFUNCTION("""COMPUTED_VALUE"""),"danica.stojanovic@fazi.rs")</f>
        <v>danica.stojanovic@fazi.rs</v>
      </c>
      <c r="AI584" s="13"/>
      <c r="AJ584" s="5"/>
      <c r="AK584" s="5"/>
      <c r="AL584" s="5"/>
      <c r="AM584" s="5"/>
      <c r="AN584" s="5"/>
      <c r="AO584" s="5"/>
      <c r="AP584" s="5"/>
      <c r="AQ584" s="5"/>
      <c r="AR584" s="5"/>
      <c r="AS584" s="5"/>
      <c r="AT584" s="5"/>
      <c r="AU584" s="5" t="str">
        <f>IFERROR(__xludf.DUMMYFUNCTION("""COMPUTED_VALUE"""),"Redstone")</f>
        <v>Redstone</v>
      </c>
      <c r="AV584" s="5"/>
      <c r="AW584" s="5"/>
      <c r="AX584" s="13"/>
      <c r="AY584" s="13"/>
      <c r="AZ584" s="13"/>
      <c r="BA584" s="5" t="str">
        <f>IFERROR(__xludf.DUMMYFUNCTION("""COMPUTED_VALUE"""),"")</f>
        <v/>
      </c>
      <c r="BB584" s="5"/>
      <c r="BC584" s="5" t="str">
        <f>IFERROR(__xludf.DUMMYFUNCTION("""COMPUTED_VALUE"""),"Redstone")</f>
        <v>Redstone</v>
      </c>
      <c r="BD584" s="5"/>
      <c r="BE584" s="5"/>
    </row>
    <row r="585">
      <c r="A585" s="5">
        <f>IFERROR(__xludf.DUMMYFUNCTION("""COMPUTED_VALUE"""),618.0)</f>
        <v>618</v>
      </c>
      <c r="B585" s="5">
        <f>IFERROR(__xludf.DUMMYFUNCTION("""COMPUTED_VALUE"""),180047.0)</f>
        <v>180047</v>
      </c>
      <c r="C585" s="5" t="str">
        <f>IFERROR(__xludf.DUMMYFUNCTION("""COMPUTED_VALUE"""),"Redstone")</f>
        <v>Redstone</v>
      </c>
      <c r="D585" s="5" t="str">
        <f>IFERROR(__xludf.DUMMYFUNCTION("""COMPUTED_VALUE"""),"Respin Gems")</f>
        <v>Respin Gems</v>
      </c>
      <c r="E585" s="5" t="str">
        <f>IFERROR(__xludf.DUMMYFUNCTION("""COMPUTED_VALUE"""),"Redstone")</f>
        <v>Redstone</v>
      </c>
      <c r="F585" s="5" t="str">
        <f>IFERROR(__xludf.DUMMYFUNCTION("""COMPUTED_VALUE"""),"RedstoneRespinGems")</f>
        <v>RedstoneRespinGems</v>
      </c>
      <c r="G585" s="5" t="str">
        <f>IFERROR(__xludf.DUMMYFUNCTION("""COMPUTED_VALUE"""),"Live")</f>
        <v>Live</v>
      </c>
      <c r="H585" s="5"/>
      <c r="I585" s="5" t="str">
        <f>IFERROR(__xludf.DUMMYFUNCTION("""COMPUTED_VALUE"""),"Redstone")</f>
        <v>Redstone</v>
      </c>
      <c r="J585" s="5" t="str">
        <f>IFERROR(__xludf.DUMMYFUNCTION("""COMPUTED_VALUE"""),"JSON")</f>
        <v>JSON</v>
      </c>
      <c r="K585" s="5" t="str">
        <f>IFERROR(__xludf.DUMMYFUNCTION("""COMPUTED_VALUE"""),"Slot")</f>
        <v>Slot</v>
      </c>
      <c r="L585" s="5" t="str">
        <f>IFERROR(__xludf.DUMMYFUNCTION("""COMPUTED_VALUE"""),"Master")</f>
        <v>Master</v>
      </c>
      <c r="M585" s="5"/>
      <c r="N585" s="7" t="str">
        <f>IFERROR(__xludf.DUMMYFUNCTION("""COMPUTED_VALUE"""),"https://docs.google.com/document/d/14qfdOa4DH6f1LMLro6CIQl5qhYhqBTv_/edit?usp=drive_link&amp;ouid=107596163405648766688&amp;rtpof=true&amp;sd=true")</f>
        <v>https://docs.google.com/document/d/14qfdOa4DH6f1LMLro6CIQl5qhYhqBTv_/edit?usp=drive_link&amp;ouid=107596163405648766688&amp;rtpof=true&amp;sd=true</v>
      </c>
      <c r="O585" s="7" t="str">
        <f>IFERROR(__xludf.DUMMYFUNCTION("""COMPUTED_VALUE"""),"https://docs.google.com/document/d/1GX-x1OumJ4cDvfNLgsM7VpoBD-1Sp7L6/edit?usp=drive_link&amp;ouid=107596163405648766688&amp;rtpof=true&amp;sd=true")</f>
        <v>https://docs.google.com/document/d/1GX-x1OumJ4cDvfNLgsM7VpoBD-1Sp7L6/edit?usp=drive_link&amp;ouid=107596163405648766688&amp;rtpof=true&amp;sd=true</v>
      </c>
      <c r="P585" s="12">
        <f>IFERROR(__xludf.DUMMYFUNCTION("""COMPUTED_VALUE"""),9.8)</f>
        <v>9.8</v>
      </c>
      <c r="Q585" s="13">
        <f>IFERROR(__xludf.DUMMYFUNCTION("""COMPUTED_VALUE"""),45957.0)</f>
        <v>45957</v>
      </c>
      <c r="R585" s="13">
        <f>IFERROR(__xludf.DUMMYFUNCTION("""COMPUTED_VALUE"""),45985.0)</f>
        <v>45985</v>
      </c>
      <c r="S585" s="13">
        <f>IFERROR(__xludf.DUMMYFUNCTION("""COMPUTED_VALUE"""),45992.0)</f>
        <v>45992</v>
      </c>
      <c r="T585" s="5" t="b">
        <f>IFERROR(__xludf.DUMMYFUNCTION("""COMPUTED_VALUE"""),TRUE)</f>
        <v>1</v>
      </c>
      <c r="U585" s="5" t="str">
        <f>IFERROR(__xludf.DUMMYFUNCTION("""COMPUTED_VALUE"""),"5x3")</f>
        <v>5x3</v>
      </c>
      <c r="V585" s="5">
        <f>IFERROR(__xludf.DUMMYFUNCTION("""COMPUTED_VALUE"""),5.0)</f>
        <v>5</v>
      </c>
      <c r="W585" s="5">
        <f>IFERROR(__xludf.DUMMYFUNCTION("""COMPUTED_VALUE"""),5.0)</f>
        <v>5</v>
      </c>
      <c r="X585" s="5">
        <f>IFERROR(__xludf.DUMMYFUNCTION("""COMPUTED_VALUE"""),95.96)</f>
        <v>95.96</v>
      </c>
      <c r="Y585" s="5" t="str">
        <f>IFERROR(__xludf.DUMMYFUNCTION("""COMPUTED_VALUE"""),"Medium")</f>
        <v>Medium</v>
      </c>
      <c r="Z585" s="5">
        <f>IFERROR(__xludf.DUMMYFUNCTION("""COMPUTED_VALUE"""),11.39)</f>
        <v>11.39</v>
      </c>
      <c r="AA585" s="5">
        <f>IFERROR(__xludf.DUMMYFUNCTION("""COMPUTED_VALUE"""),1222.0)</f>
        <v>1222</v>
      </c>
      <c r="AB585" s="5"/>
      <c r="AC585" s="5" t="str">
        <f>IFERROR(__xludf.DUMMYFUNCTION("""COMPUTED_VALUE"""),"Expanding Wild, Scatter, Sticky Wild")</f>
        <v>Expanding Wild, Scatter, Sticky Wild</v>
      </c>
      <c r="AD585" s="5" t="str">
        <f>IFERROR(__xludf.DUMMYFUNCTION("""COMPUTED_VALUE"""),"0.02/60")</f>
        <v>0.02/60</v>
      </c>
      <c r="AE585" s="5"/>
      <c r="AF585" s="5"/>
      <c r="AG585" s="8">
        <f>IFERROR(__xludf.DUMMYFUNCTION("""COMPUTED_VALUE"""),46212.56201388889)</f>
        <v>46212.56201</v>
      </c>
      <c r="AH585" s="5" t="str">
        <f>IFERROR(__xludf.DUMMYFUNCTION("""COMPUTED_VALUE"""),"selena.mihajlovic@fazi.rs")</f>
        <v>selena.mihajlovic@fazi.rs</v>
      </c>
      <c r="AI585" s="13"/>
      <c r="AJ585" s="5"/>
      <c r="AK585" s="5">
        <f>IFERROR(__xludf.DUMMYFUNCTION("""COMPUTED_VALUE"""),1.0)</f>
        <v>1</v>
      </c>
      <c r="AL585" s="5" t="str">
        <f>IFERROR(__xludf.DUMMYFUNCTION("""COMPUTED_VALUE"""),"No")</f>
        <v>No</v>
      </c>
      <c r="AM585" s="5" t="str">
        <f>IFERROR(__xludf.DUMMYFUNCTION("""COMPUTED_VALUE"""),"Yes")</f>
        <v>Yes</v>
      </c>
      <c r="AN585" s="7" t="str">
        <f>IFERROR(__xludf.DUMMYFUNCTION("""COMPUTED_VALUE"""),"https://static.redstone.rs/games/respin-gems/")</f>
        <v>https://static.redstone.rs/games/respin-gems/</v>
      </c>
      <c r="AO585" s="5" t="str">
        <f>IFERROR(__xludf.DUMMYFUNCTION("""COMPUTED_VALUE"""),"No")</f>
        <v>No</v>
      </c>
      <c r="AP585" s="5" t="str">
        <f>IFERROR(__xludf.DUMMYFUNCTION("""COMPUTED_VALUE"""),"No")</f>
        <v>No</v>
      </c>
      <c r="AQ585" s="5" t="b">
        <f>IFERROR(__xludf.DUMMYFUNCTION("""COMPUTED_VALUE"""),TRUE)</f>
        <v>1</v>
      </c>
      <c r="AR585" s="5"/>
      <c r="AS585" s="5" t="str">
        <f>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AT585" s="5"/>
      <c r="AU585" s="5" t="str">
        <f>IFERROR(__xludf.DUMMYFUNCTION("""COMPUTED_VALUE"""),"Redstone")</f>
        <v>Redstone</v>
      </c>
      <c r="AV585" s="5"/>
      <c r="AW585" s="5"/>
      <c r="AX585" s="13">
        <f>IFERROR(__xludf.DUMMYFUNCTION("""COMPUTED_VALUE"""),45951.0)</f>
        <v>45951</v>
      </c>
      <c r="AY585" s="13"/>
      <c r="AZ585" s="13"/>
      <c r="BA585" s="5"/>
      <c r="BB585" s="5" t="b">
        <f>IFERROR(__xludf.DUMMYFUNCTION("""COMPUTED_VALUE"""),TRUE)</f>
        <v>1</v>
      </c>
      <c r="BC585" s="5" t="str">
        <f>IFERROR(__xludf.DUMMYFUNCTION("""COMPUTED_VALUE"""),"Redstone")</f>
        <v>Redstone</v>
      </c>
      <c r="BD585" s="7" t="str">
        <f>IFERROR(__xludf.DUMMYFUNCTION("""COMPUTED_VALUE"""),"https://static.redstone.rs/games/respin-gems/")</f>
        <v>https://static.redstone.rs/games/respin-gems/</v>
      </c>
      <c r="BE585" s="5" t="b">
        <f>IFERROR(__xludf.DUMMYFUNCTION("""COMPUTED_VALUE"""),TRUE)</f>
        <v>1</v>
      </c>
    </row>
    <row r="586">
      <c r="A586" s="5">
        <f>IFERROR(__xludf.DUMMYFUNCTION("""COMPUTED_VALUE"""),619.0)</f>
        <v>619</v>
      </c>
      <c r="B586" s="5">
        <f>IFERROR(__xludf.DUMMYFUNCTION("""COMPUTED_VALUE"""),180048.0)</f>
        <v>180048</v>
      </c>
      <c r="C586" s="5" t="str">
        <f>IFERROR(__xludf.DUMMYFUNCTION("""COMPUTED_VALUE"""),"Redstone")</f>
        <v>Redstone</v>
      </c>
      <c r="D586" s="5" t="str">
        <f>IFERROR(__xludf.DUMMYFUNCTION("""COMPUTED_VALUE"""),"9 of a Kind")</f>
        <v>9 of a Kind</v>
      </c>
      <c r="E586" s="5" t="str">
        <f>IFERROR(__xludf.DUMMYFUNCTION("""COMPUTED_VALUE"""),"Redstone")</f>
        <v>Redstone</v>
      </c>
      <c r="F586" s="5" t="str">
        <f>IFERROR(__xludf.DUMMYFUNCTION("""COMPUTED_VALUE"""),"Redstone9ofaKind")</f>
        <v>Redstone9ofaKind</v>
      </c>
      <c r="G586" s="5" t="str">
        <f>IFERROR(__xludf.DUMMYFUNCTION("""COMPUTED_VALUE"""),"Live")</f>
        <v>Live</v>
      </c>
      <c r="H586" s="5"/>
      <c r="I586" s="5" t="str">
        <f>IFERROR(__xludf.DUMMYFUNCTION("""COMPUTED_VALUE"""),"Redstone")</f>
        <v>Redstone</v>
      </c>
      <c r="J586" s="5" t="str">
        <f>IFERROR(__xludf.DUMMYFUNCTION("""COMPUTED_VALUE"""),"JSON")</f>
        <v>JSON</v>
      </c>
      <c r="K586" s="5" t="str">
        <f>IFERROR(__xludf.DUMMYFUNCTION("""COMPUTED_VALUE"""),"Slot")</f>
        <v>Slot</v>
      </c>
      <c r="L586" s="5" t="str">
        <f>IFERROR(__xludf.DUMMYFUNCTION("""COMPUTED_VALUE"""),"Master")</f>
        <v>Master</v>
      </c>
      <c r="M586" s="5"/>
      <c r="N586" s="7" t="str">
        <f>IFERROR(__xludf.DUMMYFUNCTION("""COMPUTED_VALUE"""),"https://docs.google.com/document/d/16mVOqNDHj0YfOy86pbA6dbbJw00ix8XV/edit?usp=drive_link&amp;ouid=107596163405648766688&amp;rtpof=true&amp;sd=true")</f>
        <v>https://docs.google.com/document/d/16mVOqNDHj0YfOy86pbA6dbbJw00ix8XV/edit?usp=drive_link&amp;ouid=107596163405648766688&amp;rtpof=true&amp;sd=true</v>
      </c>
      <c r="O586" s="7" t="str">
        <f>IFERROR(__xludf.DUMMYFUNCTION("""COMPUTED_VALUE"""),"https://docs.google.com/document/d/1n3iagnwoNQgP7OEszAJZ7lrySjhjx3fU/edit?usp=drive_link&amp;ouid=107596163405648766688&amp;rtpof=true&amp;sd=true")</f>
        <v>https://docs.google.com/document/d/1n3iagnwoNQgP7OEszAJZ7lrySjhjx3fU/edit?usp=drive_link&amp;ouid=107596163405648766688&amp;rtpof=true&amp;sd=true</v>
      </c>
      <c r="P586" s="12">
        <f>IFERROR(__xludf.DUMMYFUNCTION("""COMPUTED_VALUE"""),13.0)</f>
        <v>13</v>
      </c>
      <c r="Q586" s="13">
        <f>IFERROR(__xludf.DUMMYFUNCTION("""COMPUTED_VALUE"""),45973.0)</f>
        <v>45973</v>
      </c>
      <c r="R586" s="13">
        <f>IFERROR(__xludf.DUMMYFUNCTION("""COMPUTED_VALUE"""),45986.0)</f>
        <v>45986</v>
      </c>
      <c r="S586" s="13">
        <f>IFERROR(__xludf.DUMMYFUNCTION("""COMPUTED_VALUE"""),45993.0)</f>
        <v>45993</v>
      </c>
      <c r="T586" s="5" t="b">
        <f>IFERROR(__xludf.DUMMYFUNCTION("""COMPUTED_VALUE"""),TRUE)</f>
        <v>1</v>
      </c>
      <c r="U586" s="5" t="str">
        <f>IFERROR(__xludf.DUMMYFUNCTION("""COMPUTED_VALUE"""),"3x3")</f>
        <v>3x3</v>
      </c>
      <c r="V586" s="5">
        <f>IFERROR(__xludf.DUMMYFUNCTION("""COMPUTED_VALUE"""),5.0)</f>
        <v>5</v>
      </c>
      <c r="W586" s="5">
        <f>IFERROR(__xludf.DUMMYFUNCTION("""COMPUTED_VALUE"""),5.0)</f>
        <v>5</v>
      </c>
      <c r="X586" s="5">
        <f>IFERROR(__xludf.DUMMYFUNCTION("""COMPUTED_VALUE"""),96.15)</f>
        <v>96.15</v>
      </c>
      <c r="Y586" s="5" t="str">
        <f>IFERROR(__xludf.DUMMYFUNCTION("""COMPUTED_VALUE"""),"Medium")</f>
        <v>Medium</v>
      </c>
      <c r="Z586" s="5">
        <f>IFERROR(__xludf.DUMMYFUNCTION("""COMPUTED_VALUE"""),6.86)</f>
        <v>6.86</v>
      </c>
      <c r="AA586" s="5">
        <f>IFERROR(__xludf.DUMMYFUNCTION("""COMPUTED_VALUE"""),500.0)</f>
        <v>500</v>
      </c>
      <c r="AB586" s="5"/>
      <c r="AC586" s="5" t="str">
        <f>IFERROR(__xludf.DUMMYFUNCTION("""COMPUTED_VALUE"""),"Wild Multiplier")</f>
        <v>Wild Multiplier</v>
      </c>
      <c r="AD586" s="5" t="str">
        <f>IFERROR(__xludf.DUMMYFUNCTION("""COMPUTED_VALUE"""),"0.04/50")</f>
        <v>0.04/50</v>
      </c>
      <c r="AE586" s="5"/>
      <c r="AF586" s="5"/>
      <c r="AG586" s="8">
        <f>IFERROR(__xludf.DUMMYFUNCTION("""COMPUTED_VALUE"""),46212.56229166667)</f>
        <v>46212.56229</v>
      </c>
      <c r="AH586" s="5" t="str">
        <f>IFERROR(__xludf.DUMMYFUNCTION("""COMPUTED_VALUE"""),"selena.mihajlovic@fazi.rs")</f>
        <v>selena.mihajlovic@fazi.rs</v>
      </c>
      <c r="AI586" s="13"/>
      <c r="AJ586" s="5"/>
      <c r="AK586" s="5">
        <f>IFERROR(__xludf.DUMMYFUNCTION("""COMPUTED_VALUE"""),1.0)</f>
        <v>1</v>
      </c>
      <c r="AL586" s="5" t="str">
        <f>IFERROR(__xludf.DUMMYFUNCTION("""COMPUTED_VALUE"""),"No")</f>
        <v>No</v>
      </c>
      <c r="AM586" s="5" t="str">
        <f>IFERROR(__xludf.DUMMYFUNCTION("""COMPUTED_VALUE"""),"No")</f>
        <v>No</v>
      </c>
      <c r="AN586" s="7" t="str">
        <f>IFERROR(__xludf.DUMMYFUNCTION("""COMPUTED_VALUE"""),"https://static.redstone.rs/games/9-of-a-kind/")</f>
        <v>https://static.redstone.rs/games/9-of-a-kind/</v>
      </c>
      <c r="AO586" s="5" t="str">
        <f>IFERROR(__xludf.DUMMYFUNCTION("""COMPUTED_VALUE"""),"No")</f>
        <v>No</v>
      </c>
      <c r="AP586" s="5" t="str">
        <f>IFERROR(__xludf.DUMMYFUNCTION("""COMPUTED_VALUE"""),"No")</f>
        <v>No</v>
      </c>
      <c r="AQ586" s="5" t="b">
        <f>IFERROR(__xludf.DUMMYFUNCTION("""COMPUTED_VALUE"""),TRUE)</f>
        <v>1</v>
      </c>
      <c r="AR586" s="5"/>
      <c r="AS586" s="5" t="str">
        <f>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AT586" s="5"/>
      <c r="AU586" s="5" t="str">
        <f>IFERROR(__xludf.DUMMYFUNCTION("""COMPUTED_VALUE"""),"Redstone")</f>
        <v>Redstone</v>
      </c>
      <c r="AV586" s="5"/>
      <c r="AW586" s="5"/>
      <c r="AX586" s="13">
        <f>IFERROR(__xludf.DUMMYFUNCTION("""COMPUTED_VALUE"""),45951.0)</f>
        <v>45951</v>
      </c>
      <c r="AY586" s="13"/>
      <c r="AZ586" s="13"/>
      <c r="BA586" s="5"/>
      <c r="BB586" s="5" t="b">
        <f>IFERROR(__xludf.DUMMYFUNCTION("""COMPUTED_VALUE"""),TRUE)</f>
        <v>1</v>
      </c>
      <c r="BC586" s="5" t="str">
        <f>IFERROR(__xludf.DUMMYFUNCTION("""COMPUTED_VALUE"""),"Redstone")</f>
        <v>Redstone</v>
      </c>
      <c r="BD586" s="7" t="str">
        <f>IFERROR(__xludf.DUMMYFUNCTION("""COMPUTED_VALUE"""),"https://static.redstone.rs/games/9-of-a-kind/")</f>
        <v>https://static.redstone.rs/games/9-of-a-kind/</v>
      </c>
      <c r="BE586" s="5" t="b">
        <f>IFERROR(__xludf.DUMMYFUNCTION("""COMPUTED_VALUE"""),TRUE)</f>
        <v>1</v>
      </c>
    </row>
    <row r="587">
      <c r="A587" s="5">
        <f>IFERROR(__xludf.DUMMYFUNCTION("""COMPUTED_VALUE"""),620.0)</f>
        <v>620</v>
      </c>
      <c r="B587" s="5">
        <f>IFERROR(__xludf.DUMMYFUNCTION("""COMPUTED_VALUE"""),3023.0)</f>
        <v>3023</v>
      </c>
      <c r="C587" s="5" t="str">
        <f>IFERROR(__xludf.DUMMYFUNCTION("""COMPUTED_VALUE"""),"Fazi")</f>
        <v>Fazi</v>
      </c>
      <c r="D587" s="5" t="str">
        <f>IFERROR(__xludf.DUMMYFUNCTION("""COMPUTED_VALUE"""),"Wild Joker Hot Booster")</f>
        <v>Wild Joker Hot Booster</v>
      </c>
      <c r="E587" s="5" t="str">
        <f>IFERROR(__xludf.DUMMYFUNCTION("""COMPUTED_VALUE"""),"V2")</f>
        <v>V2</v>
      </c>
      <c r="F587" s="5" t="str">
        <f>IFERROR(__xludf.DUMMYFUNCTION("""COMPUTED_VALUE"""),"WildJokerHotBooster")</f>
        <v>WildJokerHotBooster</v>
      </c>
      <c r="G587" s="5" t="str">
        <f>IFERROR(__xludf.DUMMYFUNCTION("""COMPUTED_VALUE"""),"Live")</f>
        <v>Live</v>
      </c>
      <c r="H587" s="5"/>
      <c r="I587" s="5" t="str">
        <f>IFERROR(__xludf.DUMMYFUNCTION("""COMPUTED_VALUE"""),"V2")</f>
        <v>V2</v>
      </c>
      <c r="J587" s="5" t="str">
        <f>IFERROR(__xludf.DUMMYFUNCTION("""COMPUTED_VALUE"""),"JSON")</f>
        <v>JSON</v>
      </c>
      <c r="K587" s="5" t="str">
        <f>IFERROR(__xludf.DUMMYFUNCTION("""COMPUTED_VALUE"""),"Slot")</f>
        <v>Slot</v>
      </c>
      <c r="L587" s="5" t="str">
        <f>IFERROR(__xludf.DUMMYFUNCTION("""COMPUTED_VALUE""")," Clone")</f>
        <v> Clone</v>
      </c>
      <c r="M587" s="5" t="str">
        <f>IFERROR(__xludf.DUMMYFUNCTION("""COMPUTED_VALUE"""),"Wild Joker Hot")</f>
        <v>Wild Joker Hot</v>
      </c>
      <c r="N587" s="5"/>
      <c r="O587" s="5"/>
      <c r="P587" s="12">
        <f>IFERROR(__xludf.DUMMYFUNCTION("""COMPUTED_VALUE"""),29.2)</f>
        <v>29.2</v>
      </c>
      <c r="Q587" s="13">
        <f>IFERROR(__xludf.DUMMYFUNCTION("""COMPUTED_VALUE"""),45929.0)</f>
        <v>45929</v>
      </c>
      <c r="R587" s="13">
        <f>IFERROR(__xludf.DUMMYFUNCTION("""COMPUTED_VALUE"""),46002.0)</f>
        <v>46002</v>
      </c>
      <c r="S587" s="13">
        <f>IFERROR(__xludf.DUMMYFUNCTION("""COMPUTED_VALUE"""),46009.0)</f>
        <v>46009</v>
      </c>
      <c r="T587" s="5" t="b">
        <f>IFERROR(__xludf.DUMMYFUNCTION("""COMPUTED_VALUE"""),TRUE)</f>
        <v>1</v>
      </c>
      <c r="U587" s="5" t="str">
        <f>IFERROR(__xludf.DUMMYFUNCTION("""COMPUTED_VALUE"""),"5x3")</f>
        <v>5x3</v>
      </c>
      <c r="V587" s="5">
        <f>IFERROR(__xludf.DUMMYFUNCTION("""COMPUTED_VALUE"""),10.0)</f>
        <v>10</v>
      </c>
      <c r="W587" s="5">
        <f>IFERROR(__xludf.DUMMYFUNCTION("""COMPUTED_VALUE"""),10.0)</f>
        <v>10</v>
      </c>
      <c r="X587" s="5">
        <f>IFERROR(__xludf.DUMMYFUNCTION("""COMPUTED_VALUE"""),96.124)</f>
        <v>96.124</v>
      </c>
      <c r="Y587" s="5" t="str">
        <f>IFERROR(__xludf.DUMMYFUNCTION("""COMPUTED_VALUE"""),"Medium")</f>
        <v>Medium</v>
      </c>
      <c r="Z587" s="5">
        <f>IFERROR(__xludf.DUMMYFUNCTION("""COMPUTED_VALUE"""),17.809)</f>
        <v>17.809</v>
      </c>
      <c r="AA587" s="5">
        <f>IFERROR(__xludf.DUMMYFUNCTION("""COMPUTED_VALUE"""),3092.0)</f>
        <v>3092</v>
      </c>
      <c r="AB587" s="5"/>
      <c r="AC587" s="5" t="str">
        <f>IFERROR(__xludf.DUMMYFUNCTION("""COMPUTED_VALUE"""),"Buy Feature")</f>
        <v>Buy Feature</v>
      </c>
      <c r="AD587" s="5" t="str">
        <f>IFERROR(__xludf.DUMMYFUNCTION("""COMPUTED_VALUE"""),"0.10/40")</f>
        <v>0.10/40</v>
      </c>
      <c r="AE587" s="5"/>
      <c r="AF587" s="5"/>
      <c r="AG587" s="8">
        <f>IFERROR(__xludf.DUMMYFUNCTION("""COMPUTED_VALUE"""),46198.52104166667)</f>
        <v>46198.52104</v>
      </c>
      <c r="AH587" s="5" t="str">
        <f>IFERROR(__xludf.DUMMYFUNCTION("""COMPUTED_VALUE"""),"selena.mihajlovic@fazi.rs")</f>
        <v>selena.mihajlovic@fazi.rs</v>
      </c>
      <c r="AI587" s="13">
        <f>IFERROR(__xludf.DUMMYFUNCTION("""COMPUTED_VALUE"""),45989.0)</f>
        <v>45989</v>
      </c>
      <c r="AJ587" s="5" t="str">
        <f>IFERROR(__xludf.DUMMYFUNCTION("""COMPUTED_VALUE"""),"VOlcanoBet MNE
08.12.  - kod Atlantic Management ,Cerberlot, Magic 365, Spinado (SoftSwiss Integracija)
Premierbet 28.10 - 28.11")</f>
        <v>VOlcanoBet MNE
08.12.  - kod Atlantic Management ,Cerberlot, Magic 365, Spinado (SoftSwiss Integracija)
Premierbet 28.10 - 28.11</v>
      </c>
      <c r="AK587" s="5">
        <f>IFERROR(__xludf.DUMMYFUNCTION("""COMPUTED_VALUE"""),10.0)</f>
        <v>10</v>
      </c>
      <c r="AL587" s="5" t="str">
        <f>IFERROR(__xludf.DUMMYFUNCTION("""COMPUTED_VALUE"""),"Yes")</f>
        <v>Yes</v>
      </c>
      <c r="AM587" s="5"/>
      <c r="AN587" s="7" t="str">
        <f>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AO587" s="5" t="str">
        <f>IFERROR(__xludf.DUMMYFUNCTION("""COMPUTED_VALUE"""),"Yes")</f>
        <v>Yes</v>
      </c>
      <c r="AP587" s="5" t="str">
        <f>IFERROR(__xludf.DUMMYFUNCTION("""COMPUTED_VALUE"""),"No")</f>
        <v>No</v>
      </c>
      <c r="AQ587" s="5" t="b">
        <f>IFERROR(__xludf.DUMMYFUNCTION("""COMPUTED_VALUE"""),TRUE)</f>
        <v>1</v>
      </c>
      <c r="AR587" s="5"/>
      <c r="AS587" s="5"/>
      <c r="AT587" s="5"/>
      <c r="AU587" s="5" t="str">
        <f>IFERROR(__xludf.DUMMYFUNCTION("""COMPUTED_VALUE"""),"Fazi")</f>
        <v>Fazi</v>
      </c>
      <c r="AV587" s="5"/>
      <c r="AW587" s="5"/>
      <c r="AX587" s="13">
        <f>IFERROR(__xludf.DUMMYFUNCTION("""COMPUTED_VALUE"""),45923.0)</f>
        <v>45923</v>
      </c>
      <c r="AY587" s="13"/>
      <c r="AZ587" s="13"/>
      <c r="BA587" s="5">
        <f>IFERROR(__xludf.DUMMYFUNCTION("""COMPUTED_VALUE"""),5.0)</f>
        <v>5</v>
      </c>
      <c r="BB587" s="5"/>
      <c r="BC587" s="5" t="str">
        <f>IFERROR(__xludf.DUMMYFUNCTION("""COMPUTED_VALUE"""),"Foxi")</f>
        <v>Foxi</v>
      </c>
      <c r="BD587" s="7" t="str">
        <f>IFERROR(__xludf.DUMMYFUNCTION("""COMPUTED_VALUE"""),"https://gameserver-store-client-area.orbionlimited.com/Home/IntegrationGameLaunch/client-area?moneyType=0&amp;gameName=WildJokerHotBooster&amp;platform=desktop&amp;languageCode=eng&amp;currency=EUR")</f>
        <v>https://gameserver-store-client-area.orbionlimited.com/Home/IntegrationGameLaunch/client-area?moneyType=0&amp;gameName=WildJokerHotBooster&amp;platform=desktop&amp;languageCode=eng&amp;currency=EUR</v>
      </c>
      <c r="BE587" s="5" t="b">
        <f>IFERROR(__xludf.DUMMYFUNCTION("""COMPUTED_VALUE"""),TRUE)</f>
        <v>1</v>
      </c>
    </row>
    <row r="588">
      <c r="A588" s="5">
        <f>IFERROR(__xludf.DUMMYFUNCTION("""COMPUTED_VALUE"""),621.0)</f>
        <v>621</v>
      </c>
      <c r="B588" s="5">
        <f>IFERROR(__xludf.DUMMYFUNCTION("""COMPUTED_VALUE"""),3024.0)</f>
        <v>3024</v>
      </c>
      <c r="C588" s="5" t="str">
        <f>IFERROR(__xludf.DUMMYFUNCTION("""COMPUTED_VALUE"""),"Fazi")</f>
        <v>Fazi</v>
      </c>
      <c r="D588" s="5" t="str">
        <f>IFERROR(__xludf.DUMMYFUNCTION("""COMPUTED_VALUE"""),"Money 5 Booster")</f>
        <v>Money 5 Booster</v>
      </c>
      <c r="E588" s="5" t="str">
        <f>IFERROR(__xludf.DUMMYFUNCTION("""COMPUTED_VALUE"""),"V2")</f>
        <v>V2</v>
      </c>
      <c r="F588" s="5" t="str">
        <f>IFERROR(__xludf.DUMMYFUNCTION("""COMPUTED_VALUE"""),"Money5Booster")</f>
        <v>Money5Booster</v>
      </c>
      <c r="G588" s="5" t="str">
        <f>IFERROR(__xludf.DUMMYFUNCTION("""COMPUTED_VALUE"""),"Live")</f>
        <v>Live</v>
      </c>
      <c r="H588" s="5"/>
      <c r="I588" s="5" t="str">
        <f>IFERROR(__xludf.DUMMYFUNCTION("""COMPUTED_VALUE"""),"V2")</f>
        <v>V2</v>
      </c>
      <c r="J588" s="5" t="str">
        <f>IFERROR(__xludf.DUMMYFUNCTION("""COMPUTED_VALUE"""),"JSON")</f>
        <v>JSON</v>
      </c>
      <c r="K588" s="5" t="str">
        <f>IFERROR(__xludf.DUMMYFUNCTION("""COMPUTED_VALUE"""),"Slot")</f>
        <v>Slot</v>
      </c>
      <c r="L588" s="5" t="str">
        <f>IFERROR(__xludf.DUMMYFUNCTION("""COMPUTED_VALUE""")," Clone")</f>
        <v> Clone</v>
      </c>
      <c r="M588" s="5" t="str">
        <f>IFERROR(__xludf.DUMMYFUNCTION("""COMPUTED_VALUE"""),"Money 5")</f>
        <v>Money 5</v>
      </c>
      <c r="N588" s="5"/>
      <c r="O588" s="5"/>
      <c r="P588" s="12">
        <f>IFERROR(__xludf.DUMMYFUNCTION("""COMPUTED_VALUE"""),24.0)</f>
        <v>24</v>
      </c>
      <c r="Q588" s="13">
        <f>IFERROR(__xludf.DUMMYFUNCTION("""COMPUTED_VALUE"""),45929.0)</f>
        <v>45929</v>
      </c>
      <c r="R588" s="13">
        <f>IFERROR(__xludf.DUMMYFUNCTION("""COMPUTED_VALUE"""),45946.0)</f>
        <v>45946</v>
      </c>
      <c r="S588" s="13">
        <f>IFERROR(__xludf.DUMMYFUNCTION("""COMPUTED_VALUE"""),45953.0)</f>
        <v>45953</v>
      </c>
      <c r="T588" s="5" t="b">
        <f>IFERROR(__xludf.DUMMYFUNCTION("""COMPUTED_VALUE"""),TRUE)</f>
        <v>1</v>
      </c>
      <c r="U588" s="5" t="str">
        <f>IFERROR(__xludf.DUMMYFUNCTION("""COMPUTED_VALUE"""),"5x3")</f>
        <v>5x3</v>
      </c>
      <c r="V588" s="5">
        <f>IFERROR(__xludf.DUMMYFUNCTION("""COMPUTED_VALUE"""),5.0)</f>
        <v>5</v>
      </c>
      <c r="W588" s="5">
        <f>IFERROR(__xludf.DUMMYFUNCTION("""COMPUTED_VALUE"""),5.0)</f>
        <v>5</v>
      </c>
      <c r="X588" s="5">
        <f>IFERROR(__xludf.DUMMYFUNCTION("""COMPUTED_VALUE"""),96.786)</f>
        <v>96.786</v>
      </c>
      <c r="Y588" s="5" t="str">
        <f>IFERROR(__xludf.DUMMYFUNCTION("""COMPUTED_VALUE"""),"Medium")</f>
        <v>Medium</v>
      </c>
      <c r="Z588" s="5">
        <f>IFERROR(__xludf.DUMMYFUNCTION("""COMPUTED_VALUE"""),14.504)</f>
        <v>14.504</v>
      </c>
      <c r="AA588" s="5">
        <f>IFERROR(__xludf.DUMMYFUNCTION("""COMPUTED_VALUE"""),1222.0)</f>
        <v>1222</v>
      </c>
      <c r="AB588" s="5"/>
      <c r="AC588" s="5" t="str">
        <f>IFERROR(__xludf.DUMMYFUNCTION("""COMPUTED_VALUE"""),"Buy Feature")</f>
        <v>Buy Feature</v>
      </c>
      <c r="AD588" s="5" t="str">
        <f>IFERROR(__xludf.DUMMYFUNCTION("""COMPUTED_VALUE"""),"0.05/30")</f>
        <v>0.05/30</v>
      </c>
      <c r="AE588" s="5"/>
      <c r="AF588" s="5"/>
      <c r="AG588" s="8">
        <f>IFERROR(__xludf.DUMMYFUNCTION("""COMPUTED_VALUE"""),46198.521145833336)</f>
        <v>46198.52115</v>
      </c>
      <c r="AH588" s="5" t="str">
        <f>IFERROR(__xludf.DUMMYFUNCTION("""COMPUTED_VALUE"""),"selena.mihajlovic@fazi.rs")</f>
        <v>selena.mihajlovic@fazi.rs</v>
      </c>
      <c r="AI588" s="13">
        <f>IFERROR(__xludf.DUMMYFUNCTION("""COMPUTED_VALUE"""),45944.0)</f>
        <v>45944</v>
      </c>
      <c r="AJ588" s="5" t="str">
        <f>IFERROR(__xludf.DUMMYFUNCTION("""COMPUTED_VALUE"""),"IChancy")</f>
        <v>IChancy</v>
      </c>
      <c r="AK588" s="5">
        <f>IFERROR(__xludf.DUMMYFUNCTION("""COMPUTED_VALUE"""),5.0)</f>
        <v>5</v>
      </c>
      <c r="AL588" s="5" t="str">
        <f>IFERROR(__xludf.DUMMYFUNCTION("""COMPUTED_VALUE"""),"Yes")</f>
        <v>Yes</v>
      </c>
      <c r="AM588" s="5"/>
      <c r="AN588" s="7" t="str">
        <f>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AO588" s="5" t="str">
        <f>IFERROR(__xludf.DUMMYFUNCTION("""COMPUTED_VALUE"""),"Yes")</f>
        <v>Yes</v>
      </c>
      <c r="AP588" s="5" t="str">
        <f>IFERROR(__xludf.DUMMYFUNCTION("""COMPUTED_VALUE"""),"No")</f>
        <v>No</v>
      </c>
      <c r="AQ588" s="5" t="b">
        <f>IFERROR(__xludf.DUMMYFUNCTION("""COMPUTED_VALUE"""),TRUE)</f>
        <v>1</v>
      </c>
      <c r="AR588" s="5"/>
      <c r="AS588" s="5" t="str">
        <f>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AT588" s="5"/>
      <c r="AU588" s="5" t="str">
        <f>IFERROR(__xludf.DUMMYFUNCTION("""COMPUTED_VALUE"""),"Fazi")</f>
        <v>Fazi</v>
      </c>
      <c r="AV588" s="5"/>
      <c r="AW588" s="5"/>
      <c r="AX588" s="13">
        <f>IFERROR(__xludf.DUMMYFUNCTION("""COMPUTED_VALUE"""),45923.0)</f>
        <v>45923</v>
      </c>
      <c r="AY588" s="13"/>
      <c r="AZ588" s="13"/>
      <c r="BA588" s="5">
        <f>IFERROR(__xludf.DUMMYFUNCTION("""COMPUTED_VALUE"""),5.0)</f>
        <v>5</v>
      </c>
      <c r="BB588" s="5"/>
      <c r="BC588" s="5" t="str">
        <f>IFERROR(__xludf.DUMMYFUNCTION("""COMPUTED_VALUE"""),"Foxi")</f>
        <v>Foxi</v>
      </c>
      <c r="BD588" s="7" t="str">
        <f>IFERROR(__xludf.DUMMYFUNCTION("""COMPUTED_VALUE"""),"https://gameserver-store-client-area.orbionlimited.com/Home/IntegrationGameLaunch/client-area?moneyType=0&amp;gameName=Money5Booster&amp;platform=desktop&amp;languageCode=eng&amp;currency=EUR")</f>
        <v>https://gameserver-store-client-area.orbionlimited.com/Home/IntegrationGameLaunch/client-area?moneyType=0&amp;gameName=Money5Booster&amp;platform=desktop&amp;languageCode=eng&amp;currency=EUR</v>
      </c>
      <c r="BE588" s="5" t="b">
        <f>IFERROR(__xludf.DUMMYFUNCTION("""COMPUTED_VALUE"""),TRUE)</f>
        <v>1</v>
      </c>
    </row>
    <row r="589">
      <c r="A589" s="5">
        <f>IFERROR(__xludf.DUMMYFUNCTION("""COMPUTED_VALUE"""),622.0)</f>
        <v>622</v>
      </c>
      <c r="B589" s="5">
        <f>IFERROR(__xludf.DUMMYFUNCTION("""COMPUTED_VALUE"""),3026.0)</f>
        <v>3026</v>
      </c>
      <c r="C589" s="5" t="str">
        <f>IFERROR(__xludf.DUMMYFUNCTION("""COMPUTED_VALUE"""),"Fazi")</f>
        <v>Fazi</v>
      </c>
      <c r="D589" s="5" t="str">
        <f>IFERROR(__xludf.DUMMYFUNCTION("""COMPUTED_VALUE"""),"Golden Crown Christmas Booster")</f>
        <v>Golden Crown Christmas Booster</v>
      </c>
      <c r="E589" s="5" t="str">
        <f>IFERROR(__xludf.DUMMYFUNCTION("""COMPUTED_VALUE"""),"V2")</f>
        <v>V2</v>
      </c>
      <c r="F589" s="5" t="str">
        <f>IFERROR(__xludf.DUMMYFUNCTION("""COMPUTED_VALUE"""),"GoldenCrownChristmasBooster")</f>
        <v>GoldenCrownChristmasBooster</v>
      </c>
      <c r="G589" s="5" t="str">
        <f>IFERROR(__xludf.DUMMYFUNCTION("""COMPUTED_VALUE"""),"Live")</f>
        <v>Live</v>
      </c>
      <c r="H589" s="5"/>
      <c r="I589" s="5" t="str">
        <f>IFERROR(__xludf.DUMMYFUNCTION("""COMPUTED_VALUE"""),"V2")</f>
        <v>V2</v>
      </c>
      <c r="J589" s="5" t="str">
        <f>IFERROR(__xludf.DUMMYFUNCTION("""COMPUTED_VALUE"""),"JSON")</f>
        <v>JSON</v>
      </c>
      <c r="K589" s="5" t="str">
        <f>IFERROR(__xludf.DUMMYFUNCTION("""COMPUTED_VALUE"""),"Slot")</f>
        <v>Slot</v>
      </c>
      <c r="L589" s="5" t="str">
        <f>IFERROR(__xludf.DUMMYFUNCTION("""COMPUTED_VALUE""")," Clone")</f>
        <v> Clone</v>
      </c>
      <c r="M589" s="5" t="str">
        <f>IFERROR(__xludf.DUMMYFUNCTION("""COMPUTED_VALUE"""),"Golden Crown")</f>
        <v>Golden Crown</v>
      </c>
      <c r="N589" s="5"/>
      <c r="O589" s="5"/>
      <c r="P589" s="12">
        <f>IFERROR(__xludf.DUMMYFUNCTION("""COMPUTED_VALUE"""),16.6)</f>
        <v>16.6</v>
      </c>
      <c r="Q589" s="13">
        <f>IFERROR(__xludf.DUMMYFUNCTION("""COMPUTED_VALUE"""),45929.0)</f>
        <v>45929</v>
      </c>
      <c r="R589" s="13"/>
      <c r="S589" s="13">
        <f>IFERROR(__xludf.DUMMYFUNCTION("""COMPUTED_VALUE"""),45974.0)</f>
        <v>45974</v>
      </c>
      <c r="T589" s="5" t="b">
        <f>IFERROR(__xludf.DUMMYFUNCTION("""COMPUTED_VALUE"""),TRUE)</f>
        <v>1</v>
      </c>
      <c r="U589" s="5" t="str">
        <f>IFERROR(__xludf.DUMMYFUNCTION("""COMPUTED_VALUE"""),"5x3")</f>
        <v>5x3</v>
      </c>
      <c r="V589" s="5">
        <f>IFERROR(__xludf.DUMMYFUNCTION("""COMPUTED_VALUE"""),10.0)</f>
        <v>10</v>
      </c>
      <c r="W589" s="5">
        <f>IFERROR(__xludf.DUMMYFUNCTION("""COMPUTED_VALUE"""),10.0)</f>
        <v>10</v>
      </c>
      <c r="X589" s="5">
        <f>IFERROR(__xludf.DUMMYFUNCTION("""COMPUTED_VALUE"""),95.962)</f>
        <v>95.962</v>
      </c>
      <c r="Y589" s="5" t="str">
        <f>IFERROR(__xludf.DUMMYFUNCTION("""COMPUTED_VALUE"""),"Medium")</f>
        <v>Medium</v>
      </c>
      <c r="Z589" s="5">
        <f>IFERROR(__xludf.DUMMYFUNCTION("""COMPUTED_VALUE"""),14.634)</f>
        <v>14.634</v>
      </c>
      <c r="AA589" s="5">
        <f>IFERROR(__xludf.DUMMYFUNCTION("""COMPUTED_VALUE"""),1538.0)</f>
        <v>1538</v>
      </c>
      <c r="AB589" s="5"/>
      <c r="AC589" s="5" t="str">
        <f>IFERROR(__xludf.DUMMYFUNCTION("""COMPUTED_VALUE"""),"Buy Feature")</f>
        <v>Buy Feature</v>
      </c>
      <c r="AD589" s="5" t="str">
        <f>IFERROR(__xludf.DUMMYFUNCTION("""COMPUTED_VALUE"""),"0.1/40")</f>
        <v>0.1/40</v>
      </c>
      <c r="AE589" s="5"/>
      <c r="AF589" s="5"/>
      <c r="AG589" s="8">
        <f>IFERROR(__xludf.DUMMYFUNCTION("""COMPUTED_VALUE"""),46266.63082175926)</f>
        <v>46266.63082</v>
      </c>
      <c r="AH589" s="5" t="str">
        <f>IFERROR(__xludf.DUMMYFUNCTION("""COMPUTED_VALUE"""),"selena.mihajlovic@fazi.rs")</f>
        <v>selena.mihajlovic@fazi.rs</v>
      </c>
      <c r="AI589" s="13">
        <f>IFERROR(__xludf.DUMMYFUNCTION("""COMPUTED_VALUE"""),45943.0)</f>
        <v>45943</v>
      </c>
      <c r="AJ589" s="5" t="str">
        <f>IFERROR(__xludf.DUMMYFUNCTION("""COMPUTED_VALUE"""),"Digitain Grandpasha")</f>
        <v>Digitain Grandpasha</v>
      </c>
      <c r="AK589" s="5">
        <f>IFERROR(__xludf.DUMMYFUNCTION("""COMPUTED_VALUE"""),10.0)</f>
        <v>10</v>
      </c>
      <c r="AL589" s="5" t="str">
        <f>IFERROR(__xludf.DUMMYFUNCTION("""COMPUTED_VALUE"""),"Yes")</f>
        <v>Yes</v>
      </c>
      <c r="AM589" s="5"/>
      <c r="AN589" s="7" t="str">
        <f>IFERROR(__xludf.DUMMYFUNCTION("""COMPUTED_VALUE"""),"https://onlinegamespromo.fazi.rs/Home/IntegrationGameLaunch?moneyType=0&amp;gameName=GoldenCrownChristmasBooster&amp;platform=desktop&amp;languageCode=eng&amp;currency=EUR")</f>
        <v>https://onlinegamespromo.fazi.rs/Home/IntegrationGameLaunch?moneyType=0&amp;gameName=GoldenCrownChristmasBooster&amp;platform=desktop&amp;languageCode=eng&amp;currency=EUR</v>
      </c>
      <c r="AO589" s="5" t="str">
        <f>IFERROR(__xludf.DUMMYFUNCTION("""COMPUTED_VALUE"""),"Yes")</f>
        <v>Yes</v>
      </c>
      <c r="AP589" s="5" t="str">
        <f>IFERROR(__xludf.DUMMYFUNCTION("""COMPUTED_VALUE"""),"No")</f>
        <v>No</v>
      </c>
      <c r="AQ589" s="5" t="b">
        <f>IFERROR(__xludf.DUMMYFUNCTION("""COMPUTED_VALUE"""),TRUE)</f>
        <v>1</v>
      </c>
      <c r="AR589" s="5"/>
      <c r="AS589" s="5" t="str">
        <f>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AT589" s="5"/>
      <c r="AU589" s="5" t="str">
        <f>IFERROR(__xludf.DUMMYFUNCTION("""COMPUTED_VALUE"""),"Fazi")</f>
        <v>Fazi</v>
      </c>
      <c r="AV589" s="5"/>
      <c r="AW589" s="5"/>
      <c r="AX589" s="13">
        <f>IFERROR(__xludf.DUMMYFUNCTION("""COMPUTED_VALUE"""),45923.0)</f>
        <v>45923</v>
      </c>
      <c r="AY589" s="13"/>
      <c r="AZ589" s="13"/>
      <c r="BA589" s="5">
        <f>IFERROR(__xludf.DUMMYFUNCTION("""COMPUTED_VALUE"""),5.0)</f>
        <v>5</v>
      </c>
      <c r="BB589" s="5"/>
      <c r="BC589" s="5" t="str">
        <f>IFERROR(__xludf.DUMMYFUNCTION("""COMPUTED_VALUE"""),"Foxi")</f>
        <v>Foxi</v>
      </c>
      <c r="BD589" s="7" t="str">
        <f>IFERROR(__xludf.DUMMYFUNCTION("""COMPUTED_VALUE"""),"https://gameserver-store-client-area.orbionlimited.com/Home/IntegrationGameLaunch/client-area?moneyType=0&amp;gameName=GoldenCrownChristmasBooster&amp;platform=desktop&amp;languageCode=eng&amp;currency=EUR")</f>
        <v>https://gameserver-store-client-area.orbionlimited.com/Home/IntegrationGameLaunch/client-area?moneyType=0&amp;gameName=GoldenCrownChristmasBooster&amp;platform=desktop&amp;languageCode=eng&amp;currency=EUR</v>
      </c>
      <c r="BE589" s="5" t="b">
        <f>IFERROR(__xludf.DUMMYFUNCTION("""COMPUTED_VALUE"""),TRUE)</f>
        <v>1</v>
      </c>
    </row>
    <row r="590">
      <c r="A590" s="5">
        <f>IFERROR(__xludf.DUMMYFUNCTION("""COMPUTED_VALUE"""),623.0)</f>
        <v>623</v>
      </c>
      <c r="B590" s="5">
        <f>IFERROR(__xludf.DUMMYFUNCTION("""COMPUTED_VALUE"""),3021.0)</f>
        <v>3021</v>
      </c>
      <c r="C590" s="5" t="str">
        <f>IFERROR(__xludf.DUMMYFUNCTION("""COMPUTED_VALUE"""),"Fazi")</f>
        <v>Fazi</v>
      </c>
      <c r="D590" s="5" t="str">
        <f>IFERROR(__xludf.DUMMYFUNCTION("""COMPUTED_VALUE"""),"Bella's World")</f>
        <v>Bella's World</v>
      </c>
      <c r="E590" s="5" t="str">
        <f>IFERROR(__xludf.DUMMYFUNCTION("""COMPUTED_VALUE"""),"V2")</f>
        <v>V2</v>
      </c>
      <c r="F590" s="5" t="str">
        <f>IFERROR(__xludf.DUMMYFUNCTION("""COMPUTED_VALUE"""),"BellasWorld")</f>
        <v>BellasWorld</v>
      </c>
      <c r="G590" s="5" t="str">
        <f>IFERROR(__xludf.DUMMYFUNCTION("""COMPUTED_VALUE"""),"Live")</f>
        <v>Live</v>
      </c>
      <c r="H590" s="5"/>
      <c r="I590" s="5" t="str">
        <f>IFERROR(__xludf.DUMMYFUNCTION("""COMPUTED_VALUE"""),"V4")</f>
        <v>V4</v>
      </c>
      <c r="J590" s="5" t="str">
        <f>IFERROR(__xludf.DUMMYFUNCTION("""COMPUTED_VALUE"""),"JSON")</f>
        <v>JSON</v>
      </c>
      <c r="K590" s="5" t="str">
        <f>IFERROR(__xludf.DUMMYFUNCTION("""COMPUTED_VALUE"""),"Slot")</f>
        <v>Slot</v>
      </c>
      <c r="L590" s="5" t="str">
        <f>IFERROR(__xludf.DUMMYFUNCTION("""COMPUTED_VALUE""")," Clone")</f>
        <v> Clone</v>
      </c>
      <c r="M590" s="5" t="str">
        <f>IFERROR(__xludf.DUMMYFUNCTION("""COMPUTED_VALUE"""),"Lollas World")</f>
        <v>Lollas World</v>
      </c>
      <c r="N590" s="7" t="str">
        <f>IFERROR(__xludf.DUMMYFUNCTION("""COMPUTED_VALUE"""),"https://drive.google.com/drive/folders/1GZelJ4WbdaZbsXFcj-RTy7MWNcV0zsX4?usp=drive_link")</f>
        <v>https://drive.google.com/drive/folders/1GZelJ4WbdaZbsXFcj-RTy7MWNcV0zsX4?usp=drive_link</v>
      </c>
      <c r="O590" s="7" t="str">
        <f>IFERROR(__xludf.DUMMYFUNCTION("""COMPUTED_VALUE"""),"https://drive.google.com/drive/folders/1GZelJ4WbdaZbsXFcj-RTy7MWNcV0zsX4?usp=drive_link")</f>
        <v>https://drive.google.com/drive/folders/1GZelJ4WbdaZbsXFcj-RTy7MWNcV0zsX4?usp=drive_link</v>
      </c>
      <c r="P590" s="12">
        <f>IFERROR(__xludf.DUMMYFUNCTION("""COMPUTED_VALUE"""),31.9)</f>
        <v>31.9</v>
      </c>
      <c r="Q590" s="13">
        <f>IFERROR(__xludf.DUMMYFUNCTION("""COMPUTED_VALUE"""),45943.0)</f>
        <v>45943</v>
      </c>
      <c r="R590" s="13">
        <f>IFERROR(__xludf.DUMMYFUNCTION("""COMPUTED_VALUE"""),45939.0)</f>
        <v>45939</v>
      </c>
      <c r="S590" s="13">
        <f>IFERROR(__xludf.DUMMYFUNCTION("""COMPUTED_VALUE"""),45946.0)</f>
        <v>45946</v>
      </c>
      <c r="T590" s="5" t="b">
        <f>IFERROR(__xludf.DUMMYFUNCTION("""COMPUTED_VALUE"""),TRUE)</f>
        <v>1</v>
      </c>
      <c r="U590" s="5" t="str">
        <f>IFERROR(__xludf.DUMMYFUNCTION("""COMPUTED_VALUE"""),"5x4")</f>
        <v>5x4</v>
      </c>
      <c r="V590" s="5">
        <f>IFERROR(__xludf.DUMMYFUNCTION("""COMPUTED_VALUE"""),40.0)</f>
        <v>40</v>
      </c>
      <c r="W590" s="5">
        <f>IFERROR(__xludf.DUMMYFUNCTION("""COMPUTED_VALUE"""),40.0)</f>
        <v>40</v>
      </c>
      <c r="X590" s="5">
        <f>IFERROR(__xludf.DUMMYFUNCTION("""COMPUTED_VALUE"""),95.479)</f>
        <v>95.479</v>
      </c>
      <c r="Y590" s="5" t="str">
        <f>IFERROR(__xludf.DUMMYFUNCTION("""COMPUTED_VALUE"""),"Medium")</f>
        <v>Medium</v>
      </c>
      <c r="Z590" s="5">
        <f>IFERROR(__xludf.DUMMYFUNCTION("""COMPUTED_VALUE"""),14.804)</f>
        <v>14.804</v>
      </c>
      <c r="AA590" s="5">
        <f>IFERROR(__xludf.DUMMYFUNCTION("""COMPUTED_VALUE"""),1000.0)</f>
        <v>1000</v>
      </c>
      <c r="AB590" s="5">
        <f>IFERROR(__xludf.DUMMYFUNCTION("""COMPUTED_VALUE"""),14.804)</f>
        <v>14.804</v>
      </c>
      <c r="AC590" s="5" t="str">
        <f>IFERROR(__xludf.DUMMYFUNCTION("""COMPUTED_VALUE"""),"Wild Symbol, Scatter")</f>
        <v>Wild Symbol, Scatter</v>
      </c>
      <c r="AD590" s="5" t="str">
        <f>IFERROR(__xludf.DUMMYFUNCTION("""COMPUTED_VALUE"""),"0.4/40")</f>
        <v>0.4/40</v>
      </c>
      <c r="AE590" s="5"/>
      <c r="AF590" s="5"/>
      <c r="AG590" s="8">
        <f>IFERROR(__xludf.DUMMYFUNCTION("""COMPUTED_VALUE"""),46198.52141203704)</f>
        <v>46198.52141</v>
      </c>
      <c r="AH590" s="5" t="str">
        <f>IFERROR(__xludf.DUMMYFUNCTION("""COMPUTED_VALUE"""),"selena.mihajlovic@fazi.rs")</f>
        <v>selena.mihajlovic@fazi.rs</v>
      </c>
      <c r="AI590" s="13"/>
      <c r="AJ590" s="5"/>
      <c r="AK590" s="5">
        <f>IFERROR(__xludf.DUMMYFUNCTION("""COMPUTED_VALUE"""),10.0)</f>
        <v>10</v>
      </c>
      <c r="AL590" s="5" t="str">
        <f>IFERROR(__xludf.DUMMYFUNCTION("""COMPUTED_VALUE"""),"Yes")</f>
        <v>Yes</v>
      </c>
      <c r="AM590" s="5"/>
      <c r="AN590" s="7" t="str">
        <f>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AO590" s="5" t="str">
        <f>IFERROR(__xludf.DUMMYFUNCTION("""COMPUTED_VALUE"""),"Yes")</f>
        <v>Yes</v>
      </c>
      <c r="AP590" s="5" t="str">
        <f>IFERROR(__xludf.DUMMYFUNCTION("""COMPUTED_VALUE"""),"Yes")</f>
        <v>Yes</v>
      </c>
      <c r="AQ590" s="5" t="b">
        <f>IFERROR(__xludf.DUMMYFUNCTION("""COMPUTED_VALUE"""),TRUE)</f>
        <v>1</v>
      </c>
      <c r="AR590" s="5"/>
      <c r="AS590" s="5" t="str">
        <f>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AT590" s="5" t="str">
        <f>IFERROR(__xludf.DUMMYFUNCTION("""COMPUTED_VALUE"""),"Yes")</f>
        <v>Yes</v>
      </c>
      <c r="AU590" s="5" t="str">
        <f>IFERROR(__xludf.DUMMYFUNCTION("""COMPUTED_VALUE"""),"Fazi")</f>
        <v>Fazi</v>
      </c>
      <c r="AV590" s="5"/>
      <c r="AW590" s="5"/>
      <c r="AX590" s="13">
        <f>IFERROR(__xludf.DUMMYFUNCTION("""COMPUTED_VALUE"""),45933.0)</f>
        <v>45933</v>
      </c>
      <c r="AY590" s="13"/>
      <c r="AZ590" s="13"/>
      <c r="BA590" s="5"/>
      <c r="BB590" s="5"/>
      <c r="BC590" s="5" t="str">
        <f>IFERROR(__xludf.DUMMYFUNCTION("""COMPUTED_VALUE"""),"Foxi")</f>
        <v>Foxi</v>
      </c>
      <c r="BD590" s="7" t="str">
        <f>IFERROR(__xludf.DUMMYFUNCTION("""COMPUTED_VALUE"""),"https://gameserver-store-client-area.orbionlimited.com/Home/IntegrationGameLaunch/client-area?moneyType=0&amp;gameName=BellasWorld&amp;platform=desktop&amp;languageCode=eng&amp;currency=EUR")</f>
        <v>https://gameserver-store-client-area.orbionlimited.com/Home/IntegrationGameLaunch/client-area?moneyType=0&amp;gameName=BellasWorld&amp;platform=desktop&amp;languageCode=eng&amp;currency=EUR</v>
      </c>
      <c r="BE590" s="5" t="b">
        <f>IFERROR(__xludf.DUMMYFUNCTION("""COMPUTED_VALUE"""),TRUE)</f>
        <v>1</v>
      </c>
    </row>
    <row r="591">
      <c r="A591" s="5">
        <f>IFERROR(__xludf.DUMMYFUNCTION("""COMPUTED_VALUE"""),625.0)</f>
        <v>625</v>
      </c>
      <c r="B591" s="5">
        <f>IFERROR(__xludf.DUMMYFUNCTION("""COMPUTED_VALUE"""),1010.0)</f>
        <v>1010</v>
      </c>
      <c r="C591" s="5" t="str">
        <f>IFERROR(__xludf.DUMMYFUNCTION("""COMPUTED_VALUE"""),"Fazi")</f>
        <v>Fazi</v>
      </c>
      <c r="D591" s="5" t="str">
        <f>IFERROR(__xludf.DUMMYFUNCTION("""COMPUTED_VALUE"""),"Wild 27 Extreme")</f>
        <v>Wild 27 Extreme</v>
      </c>
      <c r="E591" s="5" t="str">
        <f>IFERROR(__xludf.DUMMYFUNCTION("""COMPUTED_VALUE"""),"V4-1")</f>
        <v>V4-1</v>
      </c>
      <c r="F591" s="5" t="str">
        <f>IFERROR(__xludf.DUMMYFUNCTION("""COMPUTED_VALUE"""),"Wild27Extreme")</f>
        <v>Wild27Extreme</v>
      </c>
      <c r="G591" s="5" t="str">
        <f>IFERROR(__xludf.DUMMYFUNCTION("""COMPUTED_VALUE"""),"Live")</f>
        <v>Live</v>
      </c>
      <c r="H591" s="5"/>
      <c r="I591" s="5" t="str">
        <f>IFERROR(__xludf.DUMMYFUNCTION("""COMPUTED_VALUE"""),"V4")</f>
        <v>V4</v>
      </c>
      <c r="J591" s="5" t="str">
        <f>IFERROR(__xludf.DUMMYFUNCTION("""COMPUTED_VALUE"""),"JSON")</f>
        <v>JSON</v>
      </c>
      <c r="K591" s="5" t="str">
        <f>IFERROR(__xludf.DUMMYFUNCTION("""COMPUTED_VALUE"""),"Slot")</f>
        <v>Slot</v>
      </c>
      <c r="L591" s="5" t="str">
        <f>IFERROR(__xludf.DUMMYFUNCTION("""COMPUTED_VALUE""")," Clone")</f>
        <v> Clone</v>
      </c>
      <c r="M591" s="5" t="str">
        <f>IFERROR(__xludf.DUMMYFUNCTION("""COMPUTED_VALUE"""),"Wild 27")</f>
        <v>Wild 27</v>
      </c>
      <c r="N591" s="5"/>
      <c r="O591" s="5"/>
      <c r="P591" s="12">
        <f>IFERROR(__xludf.DUMMYFUNCTION("""COMPUTED_VALUE"""),12.62)</f>
        <v>12.62</v>
      </c>
      <c r="Q591" s="13">
        <f>IFERROR(__xludf.DUMMYFUNCTION("""COMPUTED_VALUE"""),45957.0)</f>
        <v>45957</v>
      </c>
      <c r="R591" s="13">
        <f>IFERROR(__xludf.DUMMYFUNCTION("""COMPUTED_VALUE"""),45974.0)</f>
        <v>45974</v>
      </c>
      <c r="S591" s="13">
        <f>IFERROR(__xludf.DUMMYFUNCTION("""COMPUTED_VALUE"""),45981.0)</f>
        <v>45981</v>
      </c>
      <c r="T591" s="5" t="b">
        <f>IFERROR(__xludf.DUMMYFUNCTION("""COMPUTED_VALUE"""),TRUE)</f>
        <v>1</v>
      </c>
      <c r="U591" s="5" t="str">
        <f>IFERROR(__xludf.DUMMYFUNCTION("""COMPUTED_VALUE"""),"3x3")</f>
        <v>3x3</v>
      </c>
      <c r="V591" s="5">
        <f>IFERROR(__xludf.DUMMYFUNCTION("""COMPUTED_VALUE"""),27.0)</f>
        <v>27</v>
      </c>
      <c r="W591" s="5">
        <f>IFERROR(__xludf.DUMMYFUNCTION("""COMPUTED_VALUE"""),27.0)</f>
        <v>27</v>
      </c>
      <c r="X591" s="5">
        <f>IFERROR(__xludf.DUMMYFUNCTION("""COMPUTED_VALUE"""),96.516)</f>
        <v>96.516</v>
      </c>
      <c r="Y591" s="5" t="str">
        <f>IFERROR(__xludf.DUMMYFUNCTION("""COMPUTED_VALUE"""),"High")</f>
        <v>High</v>
      </c>
      <c r="Z591" s="5">
        <f>IFERROR(__xludf.DUMMYFUNCTION("""COMPUTED_VALUE"""),6.72)</f>
        <v>6.72</v>
      </c>
      <c r="AA591" s="5">
        <f>IFERROR(__xludf.DUMMYFUNCTION("""COMPUTED_VALUE"""),3240.0)</f>
        <v>3240</v>
      </c>
      <c r="AB591" s="5"/>
      <c r="AC591" s="5" t="str">
        <f>IFERROR(__xludf.DUMMYFUNCTION("""COMPUTED_VALUE"""),"Win Multiplier, Wild Symbol")</f>
        <v>Win Multiplier, Wild Symbol</v>
      </c>
      <c r="AD591" s="5" t="str">
        <f>IFERROR(__xludf.DUMMYFUNCTION("""COMPUTED_VALUE"""),"0.1/50")</f>
        <v>0.1/50</v>
      </c>
      <c r="AE591" s="5"/>
      <c r="AF591" s="5"/>
      <c r="AG591" s="8">
        <f>IFERROR(__xludf.DUMMYFUNCTION("""COMPUTED_VALUE"""),46259.63423611111)</f>
        <v>46259.63424</v>
      </c>
      <c r="AH591" s="5" t="str">
        <f>IFERROR(__xludf.DUMMYFUNCTION("""COMPUTED_VALUE"""),"djordje.petrovic@fazi.rs")</f>
        <v>djordje.petrovic@fazi.rs</v>
      </c>
      <c r="AI591" s="13"/>
      <c r="AJ591" s="5"/>
      <c r="AK591" s="5">
        <f>IFERROR(__xludf.DUMMYFUNCTION("""COMPUTED_VALUE"""),1.0)</f>
        <v>1</v>
      </c>
      <c r="AL591" s="5" t="str">
        <f>IFERROR(__xludf.DUMMYFUNCTION("""COMPUTED_VALUE"""),"Yes")</f>
        <v>Yes</v>
      </c>
      <c r="AM591" s="5"/>
      <c r="AN591" s="7" t="str">
        <f>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AO591" s="5" t="str">
        <f>IFERROR(__xludf.DUMMYFUNCTION("""COMPUTED_VALUE"""),"Yes")</f>
        <v>Yes</v>
      </c>
      <c r="AP591" s="5" t="str">
        <f>IFERROR(__xludf.DUMMYFUNCTION("""COMPUTED_VALUE"""),"Yes")</f>
        <v>Yes</v>
      </c>
      <c r="AQ591" s="5" t="b">
        <f>IFERROR(__xludf.DUMMYFUNCTION("""COMPUTED_VALUE"""),TRUE)</f>
        <v>1</v>
      </c>
      <c r="AR591" s="5"/>
      <c r="AS591" s="5" t="str">
        <f>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AT591" s="5" t="str">
        <f>IFERROR(__xludf.DUMMYFUNCTION("""COMPUTED_VALUE"""),"Yes")</f>
        <v>Yes</v>
      </c>
      <c r="AU591" s="5" t="str">
        <f>IFERROR(__xludf.DUMMYFUNCTION("""COMPUTED_VALUE"""),"Fazi")</f>
        <v>Fazi</v>
      </c>
      <c r="AV591" s="5"/>
      <c r="AW591" s="5"/>
      <c r="AX591" s="13">
        <f>IFERROR(__xludf.DUMMYFUNCTION("""COMPUTED_VALUE"""),45951.0)</f>
        <v>45951</v>
      </c>
      <c r="AY591" s="13"/>
      <c r="AZ591" s="13"/>
      <c r="BA591" s="5"/>
      <c r="BB591" s="5"/>
      <c r="BC591" s="5" t="str">
        <f>IFERROR(__xludf.DUMMYFUNCTION("""COMPUTED_VALUE"""),"Foxi")</f>
        <v>Foxi</v>
      </c>
      <c r="BD591" s="7" t="str">
        <f>IFERROR(__xludf.DUMMYFUNCTION("""COMPUTED_VALUE"""),"https://gameserver-store-client-area.orbionlimited.com/Home/IntegrationGameLaunch/client-area?moneyType=0&amp;gameName=Wild27Extreme&amp;platform=desktop&amp;languageCode=eng&amp;currency=EUR")</f>
        <v>https://gameserver-store-client-area.orbionlimited.com/Home/IntegrationGameLaunch/client-area?moneyType=0&amp;gameName=Wild27Extreme&amp;platform=desktop&amp;languageCode=eng&amp;currency=EUR</v>
      </c>
      <c r="BE591" s="5" t="b">
        <f>IFERROR(__xludf.DUMMYFUNCTION("""COMPUTED_VALUE"""),TRUE)</f>
        <v>1</v>
      </c>
    </row>
    <row r="592">
      <c r="A592" s="5">
        <f>IFERROR(__xludf.DUMMYFUNCTION("""COMPUTED_VALUE"""),626.0)</f>
        <v>626</v>
      </c>
      <c r="B592" s="5">
        <f>IFERROR(__xludf.DUMMYFUNCTION("""COMPUTED_VALUE"""),1009.0)</f>
        <v>1009</v>
      </c>
      <c r="C592" s="5" t="str">
        <f>IFERROR(__xludf.DUMMYFUNCTION("""COMPUTED_VALUE"""),"Fazi")</f>
        <v>Fazi</v>
      </c>
      <c r="D592" s="5" t="str">
        <f>IFERROR(__xludf.DUMMYFUNCTION("""COMPUTED_VALUE"""),"Macaco Da Fortuna")</f>
        <v>Macaco Da Fortuna</v>
      </c>
      <c r="E592" s="5" t="str">
        <f>IFERROR(__xludf.DUMMYFUNCTION("""COMPUTED_VALUE"""),"V4-1")</f>
        <v>V4-1</v>
      </c>
      <c r="F592" s="5" t="str">
        <f>IFERROR(__xludf.DUMMYFUNCTION("""COMPUTED_VALUE"""),"MacacoDaFortuna")</f>
        <v>MacacoDaFortuna</v>
      </c>
      <c r="G592" s="5" t="str">
        <f>IFERROR(__xludf.DUMMYFUNCTION("""COMPUTED_VALUE"""),"Live")</f>
        <v>Live</v>
      </c>
      <c r="H592" s="5"/>
      <c r="I592" s="5" t="str">
        <f>IFERROR(__xludf.DUMMYFUNCTION("""COMPUTED_VALUE"""),"V4")</f>
        <v>V4</v>
      </c>
      <c r="J592" s="5" t="str">
        <f>IFERROR(__xludf.DUMMYFUNCTION("""COMPUTED_VALUE"""),"JSON")</f>
        <v>JSON</v>
      </c>
      <c r="K592" s="5" t="str">
        <f>IFERROR(__xludf.DUMMYFUNCTION("""COMPUTED_VALUE"""),"Slot")</f>
        <v>Slot</v>
      </c>
      <c r="L592" s="5" t="str">
        <f>IFERROR(__xludf.DUMMYFUNCTION("""COMPUTED_VALUE"""),"Master")</f>
        <v>Master</v>
      </c>
      <c r="M592" s="5"/>
      <c r="N592" s="5"/>
      <c r="O592" s="5"/>
      <c r="P592" s="12">
        <f>IFERROR(__xludf.DUMMYFUNCTION("""COMPUTED_VALUE"""),22.3)</f>
        <v>22.3</v>
      </c>
      <c r="Q592" s="13">
        <f>IFERROR(__xludf.DUMMYFUNCTION("""COMPUTED_VALUE"""),45999.0)</f>
        <v>45999</v>
      </c>
      <c r="R592" s="13">
        <f>IFERROR(__xludf.DUMMYFUNCTION("""COMPUTED_VALUE"""),45995.0)</f>
        <v>45995</v>
      </c>
      <c r="S592" s="13">
        <f>IFERROR(__xludf.DUMMYFUNCTION("""COMPUTED_VALUE"""),46002.0)</f>
        <v>46002</v>
      </c>
      <c r="T592" s="5" t="b">
        <f>IFERROR(__xludf.DUMMYFUNCTION("""COMPUTED_VALUE"""),TRUE)</f>
        <v>1</v>
      </c>
      <c r="U592" s="5" t="str">
        <f>IFERROR(__xludf.DUMMYFUNCTION("""COMPUTED_VALUE"""),"3x3")</f>
        <v>3x3</v>
      </c>
      <c r="V592" s="5">
        <f>IFERROR(__xludf.DUMMYFUNCTION("""COMPUTED_VALUE"""),5.0)</f>
        <v>5</v>
      </c>
      <c r="W592" s="5">
        <f>IFERROR(__xludf.DUMMYFUNCTION("""COMPUTED_VALUE"""),5.0)</f>
        <v>5</v>
      </c>
      <c r="X592" s="5">
        <f>IFERROR(__xludf.DUMMYFUNCTION("""COMPUTED_VALUE"""),96.626)</f>
        <v>96.626</v>
      </c>
      <c r="Y592" s="5" t="str">
        <f>IFERROR(__xludf.DUMMYFUNCTION("""COMPUTED_VALUE"""),"High")</f>
        <v>High</v>
      </c>
      <c r="Z592" s="5">
        <f>IFERROR(__xludf.DUMMYFUNCTION("""COMPUTED_VALUE"""),17.151)</f>
        <v>17.151</v>
      </c>
      <c r="AA592" s="5">
        <f>IFERROR(__xludf.DUMMYFUNCTION("""COMPUTED_VALUE"""),7500.0)</f>
        <v>7500</v>
      </c>
      <c r="AB592" s="5"/>
      <c r="AC592" s="5" t="str">
        <f>IFERROR(__xludf.DUMMYFUNCTION("""COMPUTED_VALUE"""),"Bonus Game with Special Symbol, Bonus Game with Multiplier, Wild Symbol, Buy Bonus")</f>
        <v>Bonus Game with Special Symbol, Bonus Game with Multiplier, Wild Symbol, Buy Bonus</v>
      </c>
      <c r="AD592" s="5" t="str">
        <f>IFERROR(__xludf.DUMMYFUNCTION("""COMPUTED_VALUE"""),"0.1/50")</f>
        <v>0.1/50</v>
      </c>
      <c r="AE592" s="5"/>
      <c r="AF592" s="5"/>
      <c r="AG592" s="8">
        <f>IFERROR(__xludf.DUMMYFUNCTION("""COMPUTED_VALUE"""),46161.68534722222)</f>
        <v>46161.68535</v>
      </c>
      <c r="AH592" s="5" t="str">
        <f>IFERROR(__xludf.DUMMYFUNCTION("""COMPUTED_VALUE"""),"djordje.petrovic@fazi.rs")</f>
        <v>djordje.petrovic@fazi.rs</v>
      </c>
      <c r="AI592" s="13"/>
      <c r="AJ592" s="5"/>
      <c r="AK592" s="5">
        <f>IFERROR(__xludf.DUMMYFUNCTION("""COMPUTED_VALUE"""),1.0)</f>
        <v>1</v>
      </c>
      <c r="AL592" s="5"/>
      <c r="AM592" s="5" t="str">
        <f>IFERROR(__xludf.DUMMYFUNCTION("""COMPUTED_VALUE"""),"Yes")</f>
        <v>Yes</v>
      </c>
      <c r="AN592" s="7" t="str">
        <f>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AO592" s="5" t="str">
        <f>IFERROR(__xludf.DUMMYFUNCTION("""COMPUTED_VALUE"""),"Yes")</f>
        <v>Yes</v>
      </c>
      <c r="AP592" s="5" t="str">
        <f>IFERROR(__xludf.DUMMYFUNCTION("""COMPUTED_VALUE"""),"Yes")</f>
        <v>Yes</v>
      </c>
      <c r="AQ592" s="5" t="b">
        <f>IFERROR(__xludf.DUMMYFUNCTION("""COMPUTED_VALUE"""),TRUE)</f>
        <v>1</v>
      </c>
      <c r="AR592" s="5"/>
      <c r="AS592" s="5" t="str">
        <f>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AT592" s="5" t="str">
        <f>IFERROR(__xludf.DUMMYFUNCTION("""COMPUTED_VALUE"""),"Yes")</f>
        <v>Yes</v>
      </c>
      <c r="AU592" s="5" t="str">
        <f>IFERROR(__xludf.DUMMYFUNCTION("""COMPUTED_VALUE"""),"Fazi")</f>
        <v>Fazi</v>
      </c>
      <c r="AV592" s="5"/>
      <c r="AW592" s="5"/>
      <c r="AX592" s="13">
        <f>IFERROR(__xludf.DUMMYFUNCTION("""COMPUTED_VALUE"""),45993.0)</f>
        <v>45993</v>
      </c>
      <c r="AY592" s="13"/>
      <c r="AZ592" s="13"/>
      <c r="BA592" s="5" t="str">
        <f>IFERROR(__xludf.DUMMYFUNCTION("""COMPUTED_VALUE"""),"20, 20, 70")</f>
        <v>20, 20, 70</v>
      </c>
      <c r="BB592" s="5"/>
      <c r="BC592" s="5" t="str">
        <f>IFERROR(__xludf.DUMMYFUNCTION("""COMPUTED_VALUE"""),"Foxi")</f>
        <v>Foxi</v>
      </c>
      <c r="BD592" s="7" t="str">
        <f>IFERROR(__xludf.DUMMYFUNCTION("""COMPUTED_VALUE"""),"https://gameserver-store-client-area.orbionlimited.com/Home/IntegrationGameLaunch/client-area?moneyType=0&amp;gameName=MacacoDaFortuna&amp;platform=desktop&amp;languageCode=eng&amp;currency=EUR")</f>
        <v>https://gameserver-store-client-area.orbionlimited.com/Home/IntegrationGameLaunch/client-area?moneyType=0&amp;gameName=MacacoDaFortuna&amp;platform=desktop&amp;languageCode=eng&amp;currency=EUR</v>
      </c>
      <c r="BE592" s="5" t="b">
        <f>IFERROR(__xludf.DUMMYFUNCTION("""COMPUTED_VALUE"""),TRUE)</f>
        <v>1</v>
      </c>
    </row>
    <row r="593">
      <c r="A593" s="5">
        <f>IFERROR(__xludf.DUMMYFUNCTION("""COMPUTED_VALUE"""),627.0)</f>
        <v>627</v>
      </c>
      <c r="B593" s="5">
        <f>IFERROR(__xludf.DUMMYFUNCTION("""COMPUTED_VALUE"""),4022.0)</f>
        <v>4022</v>
      </c>
      <c r="C593" s="5" t="str">
        <f>IFERROR(__xludf.DUMMYFUNCTION("""COMPUTED_VALUE"""),"Fazi")</f>
        <v>Fazi</v>
      </c>
      <c r="D593" s="5" t="str">
        <f>IFERROR(__xludf.DUMMYFUNCTION("""COMPUTED_VALUE"""),"Giga Hot 40 Free Spins")</f>
        <v>Giga Hot 40 Free Spins</v>
      </c>
      <c r="E593" s="5" t="str">
        <f>IFERROR(__xludf.DUMMYFUNCTION("""COMPUTED_VALUE"""),"Sertifikacioni")</f>
        <v>Sertifikacioni</v>
      </c>
      <c r="F593" s="5" t="str">
        <f>IFERROR(__xludf.DUMMYFUNCTION("""COMPUTED_VALUE"""),"GigaHot40FreeSpins")</f>
        <v>GigaHot40FreeSpins</v>
      </c>
      <c r="G593" s="5" t="str">
        <f>IFERROR(__xludf.DUMMYFUNCTION("""COMPUTED_VALUE"""),"Live")</f>
        <v>Live</v>
      </c>
      <c r="H593" s="5"/>
      <c r="I593" s="5" t="str">
        <f>IFERROR(__xludf.DUMMYFUNCTION("""COMPUTED_VALUE"""),"V2")</f>
        <v>V2</v>
      </c>
      <c r="J593" s="5" t="str">
        <f>IFERROR(__xludf.DUMMYFUNCTION("""COMPUTED_VALUE"""),"JSON")</f>
        <v>JSON</v>
      </c>
      <c r="K593" s="5" t="str">
        <f>IFERROR(__xludf.DUMMYFUNCTION("""COMPUTED_VALUE"""),"Slot")</f>
        <v>Slot</v>
      </c>
      <c r="L593" s="5" t="str">
        <f>IFERROR(__xludf.DUMMYFUNCTION("""COMPUTED_VALUE""")," Clone")</f>
        <v> Clone</v>
      </c>
      <c r="M593" s="5" t="str">
        <f>IFERROR(__xludf.DUMMYFUNCTION("""COMPUTED_VALUE"""),"Wild Hot 40 Free Spins")</f>
        <v>Wild Hot 40 Free Spins</v>
      </c>
      <c r="N593" s="7" t="str">
        <f>IFERROR(__xludf.DUMMYFUNCTION("""COMPUTED_VALUE"""),"https://drive.google.com/file/d/11nqspWdKwJLxCnv99VNV3vo-0_o1Wn4b/view?usp=drive_link")</f>
        <v>https://drive.google.com/file/d/11nqspWdKwJLxCnv99VNV3vo-0_o1Wn4b/view?usp=drive_link</v>
      </c>
      <c r="O593" s="7" t="str">
        <f>IFERROR(__xludf.DUMMYFUNCTION("""COMPUTED_VALUE"""),"https://drive.google.com/file/d/1rtmq9pPb1_XNqUr3ktqWB_elDLzzFtQy/view?usp=drive_link")</f>
        <v>https://drive.google.com/file/d/1rtmq9pPb1_XNqUr3ktqWB_elDLzzFtQy/view?usp=drive_link</v>
      </c>
      <c r="P593" s="12">
        <f>IFERROR(__xludf.DUMMYFUNCTION("""COMPUTED_VALUE"""),5.4)</f>
        <v>5.4</v>
      </c>
      <c r="Q593" s="13">
        <f>IFERROR(__xludf.DUMMYFUNCTION("""COMPUTED_VALUE"""),45929.0)</f>
        <v>45929</v>
      </c>
      <c r="R593" s="13">
        <f>IFERROR(__xludf.DUMMYFUNCTION("""COMPUTED_VALUE"""),45925.0)</f>
        <v>45925</v>
      </c>
      <c r="S593" s="13">
        <f>IFERROR(__xludf.DUMMYFUNCTION("""COMPUTED_VALUE"""),45932.0)</f>
        <v>45932</v>
      </c>
      <c r="T593" s="5" t="b">
        <f>IFERROR(__xludf.DUMMYFUNCTION("""COMPUTED_VALUE"""),TRUE)</f>
        <v>1</v>
      </c>
      <c r="U593" s="5" t="str">
        <f>IFERROR(__xludf.DUMMYFUNCTION("""COMPUTED_VALUE"""),"5x4")</f>
        <v>5x4</v>
      </c>
      <c r="V593" s="5">
        <f>IFERROR(__xludf.DUMMYFUNCTION("""COMPUTED_VALUE"""),40.0)</f>
        <v>40</v>
      </c>
      <c r="W593" s="5">
        <f>IFERROR(__xludf.DUMMYFUNCTION("""COMPUTED_VALUE"""),40.0)</f>
        <v>40</v>
      </c>
      <c r="X593" s="5">
        <f>IFERROR(__xludf.DUMMYFUNCTION("""COMPUTED_VALUE"""),96.024)</f>
        <v>96.024</v>
      </c>
      <c r="Y593" s="5" t="str">
        <f>IFERROR(__xludf.DUMMYFUNCTION("""COMPUTED_VALUE"""),"Low")</f>
        <v>Low</v>
      </c>
      <c r="Z593" s="5">
        <f>IFERROR(__xludf.DUMMYFUNCTION("""COMPUTED_VALUE"""),17.23)</f>
        <v>17.23</v>
      </c>
      <c r="AA593" s="5">
        <f>IFERROR(__xludf.DUMMYFUNCTION("""COMPUTED_VALUE"""),1046.0)</f>
        <v>1046</v>
      </c>
      <c r="AB593" s="5"/>
      <c r="AC593" s="5" t="str">
        <f>IFERROR(__xludf.DUMMYFUNCTION("""COMPUTED_VALUE"""),"Buy Bonus, Bonus Game with Free Spins, Wild Symbol")</f>
        <v>Buy Bonus, Bonus Game with Free Spins, Wild Symbol</v>
      </c>
      <c r="AD593" s="5" t="str">
        <f>IFERROR(__xludf.DUMMYFUNCTION("""COMPUTED_VALUE"""),"0.4/60")</f>
        <v>0.4/60</v>
      </c>
      <c r="AE593" s="5"/>
      <c r="AF593" s="5"/>
      <c r="AG593" s="8">
        <f>IFERROR(__xludf.DUMMYFUNCTION("""COMPUTED_VALUE"""),46260.704097222224)</f>
        <v>46260.7041</v>
      </c>
      <c r="AH593" s="5" t="str">
        <f>IFERROR(__xludf.DUMMYFUNCTION("""COMPUTED_VALUE"""),"petra.ilic@fazi.rs")</f>
        <v>petra.ilic@fazi.rs</v>
      </c>
      <c r="AI593" s="13"/>
      <c r="AJ593" s="5"/>
      <c r="AK593" s="5">
        <f>IFERROR(__xludf.DUMMYFUNCTION("""COMPUTED_VALUE"""),40.0)</f>
        <v>40</v>
      </c>
      <c r="AL593" s="5" t="str">
        <f>IFERROR(__xludf.DUMMYFUNCTION("""COMPUTED_VALUE"""),"Yes")</f>
        <v>Yes</v>
      </c>
      <c r="AM593" s="5"/>
      <c r="AN593" s="7" t="str">
        <f>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AO593" s="5" t="str">
        <f>IFERROR(__xludf.DUMMYFUNCTION("""COMPUTED_VALUE"""),"Yes")</f>
        <v>Yes</v>
      </c>
      <c r="AP593" s="5" t="str">
        <f>IFERROR(__xludf.DUMMYFUNCTION("""COMPUTED_VALUE"""),"No")</f>
        <v>No</v>
      </c>
      <c r="AQ593" s="5" t="b">
        <f>IFERROR(__xludf.DUMMYFUNCTION("""COMPUTED_VALUE"""),TRUE)</f>
        <v>1</v>
      </c>
      <c r="AR593" s="5"/>
      <c r="AS593" s="5" t="str">
        <f>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AT593" s="5"/>
      <c r="AU593" s="5" t="str">
        <f>IFERROR(__xludf.DUMMYFUNCTION("""COMPUTED_VALUE"""),"Fazi")</f>
        <v>Fazi</v>
      </c>
      <c r="AV593" s="5"/>
      <c r="AW593" s="5"/>
      <c r="AX593" s="13">
        <f>IFERROR(__xludf.DUMMYFUNCTION("""COMPUTED_VALUE"""),45923.0)</f>
        <v>45923</v>
      </c>
      <c r="AY593" s="13"/>
      <c r="AZ593" s="13"/>
      <c r="BA593" s="5" t="str">
        <f>IFERROR(__xludf.DUMMYFUNCTION("""COMPUTED_VALUE"""),"30, 42, 63")</f>
        <v>30, 42, 63</v>
      </c>
      <c r="BB593" s="5"/>
      <c r="BC593" s="5" t="str">
        <f>IFERROR(__xludf.DUMMYFUNCTION("""COMPUTED_VALUE"""),"Foxi")</f>
        <v>Foxi</v>
      </c>
      <c r="BD593" s="7" t="str">
        <f>IFERROR(__xludf.DUMMYFUNCTION("""COMPUTED_VALUE"""),"https://gameserver-store-client-area.orbionlimited.com/Home/IntegrationGameLaunch/client-area?moneyType=0&amp;gameName=GigaHot40FreeSpins&amp;platform=desktop&amp;languageCode=eng&amp;currency=EUR")</f>
        <v>https://gameserver-store-client-area.orbionlimited.com/Home/IntegrationGameLaunch/client-area?moneyType=0&amp;gameName=GigaHot40FreeSpins&amp;platform=desktop&amp;languageCode=eng&amp;currency=EUR</v>
      </c>
      <c r="BE593" s="5" t="b">
        <f>IFERROR(__xludf.DUMMYFUNCTION("""COMPUTED_VALUE"""),TRUE)</f>
        <v>1</v>
      </c>
    </row>
    <row r="594">
      <c r="A594" s="5">
        <f>IFERROR(__xludf.DUMMYFUNCTION("""COMPUTED_VALUE"""),628.0)</f>
        <v>628</v>
      </c>
      <c r="B594" s="5">
        <f>IFERROR(__xludf.DUMMYFUNCTION("""COMPUTED_VALUE"""),-1.0)</f>
        <v>-1</v>
      </c>
      <c r="C594" s="5" t="str">
        <f>IFERROR(__xludf.DUMMYFUNCTION("""COMPUTED_VALUE"""),"Fazi")</f>
        <v>Fazi</v>
      </c>
      <c r="D594" s="5" t="str">
        <f>IFERROR(__xludf.DUMMYFUNCTION("""COMPUTED_VALUE"""),"Lolla's World reskin")</f>
        <v>Lolla's World reskin</v>
      </c>
      <c r="E594" s="5" t="str">
        <f>IFERROR(__xludf.DUMMYFUNCTION("""COMPUTED_VALUE"""),"V2")</f>
        <v>V2</v>
      </c>
      <c r="F594" s="5" t="str">
        <f>IFERROR(__xludf.DUMMYFUNCTION("""COMPUTED_VALUE"""),"TBD")</f>
        <v>TBD</v>
      </c>
      <c r="G594" s="5" t="str">
        <f>IFERROR(__xludf.DUMMYFUNCTION("""COMPUTED_VALUE"""),"In Development")</f>
        <v>In Development</v>
      </c>
      <c r="H594" s="5"/>
      <c r="I594" s="5"/>
      <c r="J594" s="5"/>
      <c r="K594" s="5" t="str">
        <f>IFERROR(__xludf.DUMMYFUNCTION("""COMPUTED_VALUE"""),"Slot")</f>
        <v>Slot</v>
      </c>
      <c r="L594" s="5"/>
      <c r="M594" s="5"/>
      <c r="N594" s="5"/>
      <c r="O594" s="5"/>
      <c r="P594" s="12"/>
      <c r="Q594" s="13">
        <f>IFERROR(__xludf.DUMMYFUNCTION("""COMPUTED_VALUE"""),45943.0)</f>
        <v>45943</v>
      </c>
      <c r="R594" s="13"/>
      <c r="S594" s="13"/>
      <c r="T594" s="5"/>
      <c r="U594" s="5"/>
      <c r="V594" s="5"/>
      <c r="W594" s="5"/>
      <c r="X594" s="5"/>
      <c r="Y594" s="5"/>
      <c r="Z594" s="5"/>
      <c r="AA594" s="5"/>
      <c r="AB594" s="5"/>
      <c r="AC594" s="5"/>
      <c r="AD594" s="5"/>
      <c r="AE594" s="5"/>
      <c r="AF594" s="5"/>
      <c r="AG594" s="8">
        <f>IFERROR(__xludf.DUMMYFUNCTION("""COMPUTED_VALUE"""),45931.46983796296)</f>
        <v>45931.46984</v>
      </c>
      <c r="AH594" s="5" t="str">
        <f>IFERROR(__xludf.DUMMYFUNCTION("""COMPUTED_VALUE"""),"aleksandra.pesic@fazi.rs")</f>
        <v>aleksandra.pesic@fazi.rs</v>
      </c>
      <c r="AI594" s="13"/>
      <c r="AJ594" s="5"/>
      <c r="AK594" s="5"/>
      <c r="AL594" s="5"/>
      <c r="AM594" s="5"/>
      <c r="AN594" s="5"/>
      <c r="AO594" s="5"/>
      <c r="AP594" s="5"/>
      <c r="AQ594" s="5"/>
      <c r="AR594" s="5"/>
      <c r="AS594" s="5"/>
      <c r="AT594" s="5"/>
      <c r="AU594" s="5" t="str">
        <f>IFERROR(__xludf.DUMMYFUNCTION("""COMPUTED_VALUE"""),"Fazi")</f>
        <v>Fazi</v>
      </c>
      <c r="AV594" s="5"/>
      <c r="AW594" s="5"/>
      <c r="AX594" s="13"/>
      <c r="AY594" s="13"/>
      <c r="AZ594" s="13"/>
      <c r="BA594" s="5" t="str">
        <f>IFERROR(__xludf.DUMMYFUNCTION("""COMPUTED_VALUE"""),"")</f>
        <v/>
      </c>
      <c r="BB594" s="5"/>
      <c r="BC594" s="5" t="str">
        <f>IFERROR(__xludf.DUMMYFUNCTION("""COMPUTED_VALUE"""),"Foxi")</f>
        <v>Foxi</v>
      </c>
      <c r="BD594" s="5" t="str">
        <f>IFERROR(__xludf.DUMMYFUNCTION("""COMPUTED_VALUE"""),"")</f>
        <v/>
      </c>
      <c r="BE594" s="5"/>
    </row>
    <row r="595">
      <c r="A595" s="5">
        <f>IFERROR(__xludf.DUMMYFUNCTION("""COMPUTED_VALUE"""),629.0)</f>
        <v>629</v>
      </c>
      <c r="B595" s="5">
        <f>IFERROR(__xludf.DUMMYFUNCTION("""COMPUTED_VALUE"""),3025.0)</f>
        <v>3025</v>
      </c>
      <c r="C595" s="5" t="str">
        <f>IFERROR(__xludf.DUMMYFUNCTION("""COMPUTED_VALUE"""),"Fazi")</f>
        <v>Fazi</v>
      </c>
      <c r="D595" s="5" t="str">
        <f>IFERROR(__xludf.DUMMYFUNCTION("""COMPUTED_VALUE"""),"Very Hot 5 Christmas Booster")</f>
        <v>Very Hot 5 Christmas Booster</v>
      </c>
      <c r="E595" s="5" t="str">
        <f>IFERROR(__xludf.DUMMYFUNCTION("""COMPUTED_VALUE"""),"V2")</f>
        <v>V2</v>
      </c>
      <c r="F595" s="5" t="str">
        <f>IFERROR(__xludf.DUMMYFUNCTION("""COMPUTED_VALUE"""),"VeryHot5ChristmasBooster")</f>
        <v>VeryHot5ChristmasBooster</v>
      </c>
      <c r="G595" s="5" t="str">
        <f>IFERROR(__xludf.DUMMYFUNCTION("""COMPUTED_VALUE"""),"Live")</f>
        <v>Live</v>
      </c>
      <c r="H595" s="5"/>
      <c r="I595" s="5" t="str">
        <f>IFERROR(__xludf.DUMMYFUNCTION("""COMPUTED_VALUE"""),"V2")</f>
        <v>V2</v>
      </c>
      <c r="J595" s="5" t="str">
        <f>IFERROR(__xludf.DUMMYFUNCTION("""COMPUTED_VALUE"""),"JSON")</f>
        <v>JSON</v>
      </c>
      <c r="K595" s="5" t="str">
        <f>IFERROR(__xludf.DUMMYFUNCTION("""COMPUTED_VALUE"""),"Slot")</f>
        <v>Slot</v>
      </c>
      <c r="L595" s="5"/>
      <c r="M595" s="5"/>
      <c r="N595" s="5"/>
      <c r="O595" s="5"/>
      <c r="P595" s="12">
        <f>IFERROR(__xludf.DUMMYFUNCTION("""COMPUTED_VALUE"""),19.3)</f>
        <v>19.3</v>
      </c>
      <c r="Q595" s="13">
        <f>IFERROR(__xludf.DUMMYFUNCTION("""COMPUTED_VALUE"""),45957.0)</f>
        <v>45957</v>
      </c>
      <c r="R595" s="13">
        <f>IFERROR(__xludf.DUMMYFUNCTION("""COMPUTED_VALUE"""),45960.0)</f>
        <v>45960</v>
      </c>
      <c r="S595" s="13">
        <f>IFERROR(__xludf.DUMMYFUNCTION("""COMPUTED_VALUE"""),45967.0)</f>
        <v>45967</v>
      </c>
      <c r="T595" s="5" t="b">
        <f>IFERROR(__xludf.DUMMYFUNCTION("""COMPUTED_VALUE"""),TRUE)</f>
        <v>1</v>
      </c>
      <c r="U595" s="5" t="str">
        <f>IFERROR(__xludf.DUMMYFUNCTION("""COMPUTED_VALUE"""),"5x3")</f>
        <v>5x3</v>
      </c>
      <c r="V595" s="5">
        <f>IFERROR(__xludf.DUMMYFUNCTION("""COMPUTED_VALUE"""),5.0)</f>
        <v>5</v>
      </c>
      <c r="W595" s="5">
        <f>IFERROR(__xludf.DUMMYFUNCTION("""COMPUTED_VALUE"""),5.0)</f>
        <v>5</v>
      </c>
      <c r="X595" s="5">
        <f>IFERROR(__xludf.DUMMYFUNCTION("""COMPUTED_VALUE"""),96.447)</f>
        <v>96.447</v>
      </c>
      <c r="Y595" s="5" t="str">
        <f>IFERROR(__xludf.DUMMYFUNCTION("""COMPUTED_VALUE"""),"Medium")</f>
        <v>Medium</v>
      </c>
      <c r="Z595" s="5">
        <f>IFERROR(__xludf.DUMMYFUNCTION("""COMPUTED_VALUE"""),14.51)</f>
        <v>14.51</v>
      </c>
      <c r="AA595" s="5">
        <f>IFERROR(__xludf.DUMMYFUNCTION("""COMPUTED_VALUE"""),1222.0)</f>
        <v>1222</v>
      </c>
      <c r="AB595" s="5">
        <f>IFERROR(__xludf.DUMMYFUNCTION("""COMPUTED_VALUE"""),4.0)</f>
        <v>4</v>
      </c>
      <c r="AC595" s="5" t="str">
        <f>IFERROR(__xludf.DUMMYFUNCTION("""COMPUTED_VALUE"""),"Buy Feature")</f>
        <v>Buy Feature</v>
      </c>
      <c r="AD595" s="5" t="str">
        <f>IFERROR(__xludf.DUMMYFUNCTION("""COMPUTED_VALUE"""),"0.5/30")</f>
        <v>0.5/30</v>
      </c>
      <c r="AE595" s="5"/>
      <c r="AF595" s="5"/>
      <c r="AG595" s="8">
        <f>IFERROR(__xludf.DUMMYFUNCTION("""COMPUTED_VALUE"""),46198.52373842592)</f>
        <v>46198.52374</v>
      </c>
      <c r="AH595" s="5" t="str">
        <f>IFERROR(__xludf.DUMMYFUNCTION("""COMPUTED_VALUE"""),"selena.mihajlovic@fazi.rs")</f>
        <v>selena.mihajlovic@fazi.rs</v>
      </c>
      <c r="AI595" s="13">
        <f>IFERROR(__xludf.DUMMYFUNCTION("""COMPUTED_VALUE"""),45962.0)</f>
        <v>45962</v>
      </c>
      <c r="AJ595" s="5" t="str">
        <f>IFERROR(__xludf.DUMMYFUNCTION("""COMPUTED_VALUE"""),"Platincasino (Softswiss integracija) 01.11-06.11")</f>
        <v>Platincasino (Softswiss integracija) 01.11-06.11</v>
      </c>
      <c r="AK595" s="5">
        <f>IFERROR(__xludf.DUMMYFUNCTION("""COMPUTED_VALUE"""),5.0)</f>
        <v>5</v>
      </c>
      <c r="AL595" s="5" t="str">
        <f>IFERROR(__xludf.DUMMYFUNCTION("""COMPUTED_VALUE"""),"Yes")</f>
        <v>Yes</v>
      </c>
      <c r="AM595" s="5"/>
      <c r="AN595" s="7" t="str">
        <f>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AO595" s="5" t="str">
        <f>IFERROR(__xludf.DUMMYFUNCTION("""COMPUTED_VALUE"""),"Yes")</f>
        <v>Yes</v>
      </c>
      <c r="AP595" s="5" t="str">
        <f>IFERROR(__xludf.DUMMYFUNCTION("""COMPUTED_VALUE"""),"No")</f>
        <v>No</v>
      </c>
      <c r="AQ595" s="5" t="b">
        <f>IFERROR(__xludf.DUMMYFUNCTION("""COMPUTED_VALUE"""),TRUE)</f>
        <v>1</v>
      </c>
      <c r="AR595" s="5"/>
      <c r="AS595" s="5" t="str">
        <f>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AT595" s="5"/>
      <c r="AU595" s="5" t="str">
        <f>IFERROR(__xludf.DUMMYFUNCTION("""COMPUTED_VALUE"""),"Fazi")</f>
        <v>Fazi</v>
      </c>
      <c r="AV595" s="5"/>
      <c r="AW595" s="5"/>
      <c r="AX595" s="13">
        <f>IFERROR(__xludf.DUMMYFUNCTION("""COMPUTED_VALUE"""),45924.0)</f>
        <v>45924</v>
      </c>
      <c r="AY595" s="13"/>
      <c r="AZ595" s="13"/>
      <c r="BA595" s="5">
        <f>IFERROR(__xludf.DUMMYFUNCTION("""COMPUTED_VALUE"""),5.0)</f>
        <v>5</v>
      </c>
      <c r="BB595" s="5"/>
      <c r="BC595" s="5" t="str">
        <f>IFERROR(__xludf.DUMMYFUNCTION("""COMPUTED_VALUE"""),"Foxi")</f>
        <v>Foxi</v>
      </c>
      <c r="BD595" s="7" t="str">
        <f>IFERROR(__xludf.DUMMYFUNCTION("""COMPUTED_VALUE"""),"https://gameserver-store-client-area.orbionlimited.com/Home/IntegrationGameLaunch/client-area?moneyType=0&amp;gameName=VeryHot5ChristmasBooster&amp;platform=desktop&amp;languageCode=eng&amp;currency=EUR")</f>
        <v>https://gameserver-store-client-area.orbionlimited.com/Home/IntegrationGameLaunch/client-area?moneyType=0&amp;gameName=VeryHot5ChristmasBooster&amp;platform=desktop&amp;languageCode=eng&amp;currency=EUR</v>
      </c>
      <c r="BE595" s="5" t="b">
        <f>IFERROR(__xludf.DUMMYFUNCTION("""COMPUTED_VALUE"""),TRUE)</f>
        <v>1</v>
      </c>
    </row>
    <row r="596">
      <c r="A596" s="5">
        <f>IFERROR(__xludf.DUMMYFUNCTION("""COMPUTED_VALUE"""),630.0)</f>
        <v>630</v>
      </c>
      <c r="B596" s="5">
        <f>IFERROR(__xludf.DUMMYFUNCTION("""COMPUTED_VALUE"""),-1.0)</f>
        <v>-1</v>
      </c>
      <c r="C596" s="5" t="str">
        <f>IFERROR(__xludf.DUMMYFUNCTION("""COMPUTED_VALUE"""),"Fazi")</f>
        <v>Fazi</v>
      </c>
      <c r="D596" s="5" t="str">
        <f>IFERROR(__xludf.DUMMYFUNCTION("""COMPUTED_VALUE"""),"Wild Booster (Golden Crown Christmas)")</f>
        <v>Wild Booster (Golden Crown Christmas)</v>
      </c>
      <c r="E596" s="5" t="str">
        <f>IFERROR(__xludf.DUMMYFUNCTION("""COMPUTED_VALUE"""),"V2")</f>
        <v>V2</v>
      </c>
      <c r="F596" s="5" t="str">
        <f>IFERROR(__xludf.DUMMYFUNCTION("""COMPUTED_VALUE"""),"TBD")</f>
        <v>TBD</v>
      </c>
      <c r="G596" s="5" t="str">
        <f>IFERROR(__xludf.DUMMYFUNCTION("""COMPUTED_VALUE"""),"In Development")</f>
        <v>In Development</v>
      </c>
      <c r="H596" s="5"/>
      <c r="I596" s="5"/>
      <c r="J596" s="5"/>
      <c r="K596" s="5" t="str">
        <f>IFERROR(__xludf.DUMMYFUNCTION("""COMPUTED_VALUE"""),"Slot")</f>
        <v>Slot</v>
      </c>
      <c r="L596" s="5"/>
      <c r="M596" s="5"/>
      <c r="N596" s="5"/>
      <c r="O596" s="5"/>
      <c r="P596" s="12"/>
      <c r="Q596" s="13">
        <f>IFERROR(__xludf.DUMMYFUNCTION("""COMPUTED_VALUE"""),45957.0)</f>
        <v>45957</v>
      </c>
      <c r="R596" s="13">
        <f>IFERROR(__xludf.DUMMYFUNCTION("""COMPUTED_VALUE"""),45967.0)</f>
        <v>45967</v>
      </c>
      <c r="S596" s="13">
        <f>IFERROR(__xludf.DUMMYFUNCTION("""COMPUTED_VALUE"""),45974.0)</f>
        <v>45974</v>
      </c>
      <c r="T596" s="5" t="b">
        <f>IFERROR(__xludf.DUMMYFUNCTION("""COMPUTED_VALUE"""),TRUE)</f>
        <v>1</v>
      </c>
      <c r="U596" s="5"/>
      <c r="V596" s="5"/>
      <c r="W596" s="5"/>
      <c r="X596" s="5"/>
      <c r="Y596" s="5"/>
      <c r="Z596" s="5"/>
      <c r="AA596" s="5"/>
      <c r="AB596" s="5"/>
      <c r="AC596" s="5"/>
      <c r="AD596" s="5"/>
      <c r="AE596" s="5"/>
      <c r="AF596" s="5"/>
      <c r="AG596" s="8">
        <f>IFERROR(__xludf.DUMMYFUNCTION("""COMPUTED_VALUE"""),45951.605787037035)</f>
        <v>45951.60579</v>
      </c>
      <c r="AH596" s="5" t="str">
        <f>IFERROR(__xludf.DUMMYFUNCTION("""COMPUTED_VALUE"""),"selena.mihajlovic@fazi.rs")</f>
        <v>selena.mihajlovic@fazi.rs</v>
      </c>
      <c r="AI596" s="13"/>
      <c r="AJ596" s="5"/>
      <c r="AK596" s="5"/>
      <c r="AL596" s="5"/>
      <c r="AM596" s="5"/>
      <c r="AN596" s="5"/>
      <c r="AO596" s="5"/>
      <c r="AP596" s="5"/>
      <c r="AQ596" s="5"/>
      <c r="AR596" s="5"/>
      <c r="AS596" s="5"/>
      <c r="AT596" s="5"/>
      <c r="AU596" s="5" t="str">
        <f>IFERROR(__xludf.DUMMYFUNCTION("""COMPUTED_VALUE"""),"Fazi")</f>
        <v>Fazi</v>
      </c>
      <c r="AV596" s="5"/>
      <c r="AW596" s="5"/>
      <c r="AX596" s="13">
        <f>IFERROR(__xludf.DUMMYFUNCTION("""COMPUTED_VALUE"""),45951.0)</f>
        <v>45951</v>
      </c>
      <c r="AY596" s="13"/>
      <c r="AZ596" s="13"/>
      <c r="BA596" s="5" t="str">
        <f>IFERROR(__xludf.DUMMYFUNCTION("""COMPUTED_VALUE"""),"")</f>
        <v/>
      </c>
      <c r="BB596" s="5"/>
      <c r="BC596" s="5" t="str">
        <f>IFERROR(__xludf.DUMMYFUNCTION("""COMPUTED_VALUE"""),"Foxi")</f>
        <v>Foxi</v>
      </c>
      <c r="BD596" s="5" t="str">
        <f>IFERROR(__xludf.DUMMYFUNCTION("""COMPUTED_VALUE"""),"")</f>
        <v/>
      </c>
      <c r="BE596" s="5"/>
    </row>
    <row r="597">
      <c r="A597" s="5">
        <f>IFERROR(__xludf.DUMMYFUNCTION("""COMPUTED_VALUE"""),631.0)</f>
        <v>631</v>
      </c>
      <c r="B597" s="5">
        <f>IFERROR(__xludf.DUMMYFUNCTION("""COMPUTED_VALUE"""),3022.0)</f>
        <v>3022</v>
      </c>
      <c r="C597" s="5" t="str">
        <f>IFERROR(__xludf.DUMMYFUNCTION("""COMPUTED_VALUE"""),"Fazi")</f>
        <v>Fazi</v>
      </c>
      <c r="D597" s="5" t="str">
        <f>IFERROR(__xludf.DUMMYFUNCTION("""COMPUTED_VALUE"""),"Taxi Rush")</f>
        <v>Taxi Rush</v>
      </c>
      <c r="E597" s="5" t="str">
        <f>IFERROR(__xludf.DUMMYFUNCTION("""COMPUTED_VALUE"""),"V2")</f>
        <v>V2</v>
      </c>
      <c r="F597" s="5" t="str">
        <f>IFERROR(__xludf.DUMMYFUNCTION("""COMPUTED_VALUE"""),"TaxiRush")</f>
        <v>TaxiRush</v>
      </c>
      <c r="G597" s="5" t="str">
        <f>IFERROR(__xludf.DUMMYFUNCTION("""COMPUTED_VALUE"""),"Live")</f>
        <v>Live</v>
      </c>
      <c r="H597" s="5"/>
      <c r="I597" s="5" t="str">
        <f>IFERROR(__xludf.DUMMYFUNCTION("""COMPUTED_VALUE"""),"V4")</f>
        <v>V4</v>
      </c>
      <c r="J597" s="5" t="str">
        <f>IFERROR(__xludf.DUMMYFUNCTION("""COMPUTED_VALUE"""),"JSON")</f>
        <v>JSON</v>
      </c>
      <c r="K597" s="5" t="str">
        <f>IFERROR(__xludf.DUMMYFUNCTION("""COMPUTED_VALUE"""),"Slot")</f>
        <v>Slot</v>
      </c>
      <c r="L597" s="5" t="str">
        <f>IFERROR(__xludf.DUMMYFUNCTION("""COMPUTED_VALUE"""),"Master")</f>
        <v>Master</v>
      </c>
      <c r="M597" s="5"/>
      <c r="N597" s="7" t="str">
        <f>IFERROR(__xludf.DUMMYFUNCTION("""COMPUTED_VALUE"""),"https://drive.google.com/drive/folders/19wze01OCqWkObIFrTigTyuzJjYXUlgk9?usp=drive_link")</f>
        <v>https://drive.google.com/drive/folders/19wze01OCqWkObIFrTigTyuzJjYXUlgk9?usp=drive_link</v>
      </c>
      <c r="O597" s="7" t="str">
        <f>IFERROR(__xludf.DUMMYFUNCTION("""COMPUTED_VALUE"""),"https://drive.google.com/drive/folders/19wze01OCqWkObIFrTigTyuzJjYXUlgk9?usp=drive_link")</f>
        <v>https://drive.google.com/drive/folders/19wze01OCqWkObIFrTigTyuzJjYXUlgk9?usp=drive_link</v>
      </c>
      <c r="P597" s="12">
        <f>IFERROR(__xludf.DUMMYFUNCTION("""COMPUTED_VALUE"""),34.4)</f>
        <v>34.4</v>
      </c>
      <c r="Q597" s="13">
        <f>IFERROR(__xludf.DUMMYFUNCTION("""COMPUTED_VALUE"""),45988.0)</f>
        <v>45988</v>
      </c>
      <c r="R597" s="13">
        <f>IFERROR(__xludf.DUMMYFUNCTION("""COMPUTED_VALUE"""),45981.0)</f>
        <v>45981</v>
      </c>
      <c r="S597" s="13">
        <f>IFERROR(__xludf.DUMMYFUNCTION("""COMPUTED_VALUE"""),45988.0)</f>
        <v>45988</v>
      </c>
      <c r="T597" s="5" t="b">
        <f>IFERROR(__xludf.DUMMYFUNCTION("""COMPUTED_VALUE"""),TRUE)</f>
        <v>1</v>
      </c>
      <c r="U597" s="5" t="str">
        <f>IFERROR(__xludf.DUMMYFUNCTION("""COMPUTED_VALUE"""),"5x4")</f>
        <v>5x4</v>
      </c>
      <c r="V597" s="5">
        <f>IFERROR(__xludf.DUMMYFUNCTION("""COMPUTED_VALUE"""),20.0)</f>
        <v>20</v>
      </c>
      <c r="W597" s="5">
        <f>IFERROR(__xludf.DUMMYFUNCTION("""COMPUTED_VALUE"""),20.0)</f>
        <v>20</v>
      </c>
      <c r="X597" s="5">
        <f>IFERROR(__xludf.DUMMYFUNCTION("""COMPUTED_VALUE"""),96.393)</f>
        <v>96.393</v>
      </c>
      <c r="Y597" s="5" t="str">
        <f>IFERROR(__xludf.DUMMYFUNCTION("""COMPUTED_VALUE"""),"High")</f>
        <v>High</v>
      </c>
      <c r="Z597" s="5">
        <f>IFERROR(__xludf.DUMMYFUNCTION("""COMPUTED_VALUE"""),11.685)</f>
        <v>11.685</v>
      </c>
      <c r="AA597" s="5">
        <f>IFERROR(__xludf.DUMMYFUNCTION("""COMPUTED_VALUE"""),24000.0)</f>
        <v>24000</v>
      </c>
      <c r="AB597" s="5"/>
      <c r="AC597" s="5" t="str">
        <f>IFERROR(__xludf.DUMMYFUNCTION("""COMPUTED_VALUE"""),"Win Multiplier, Win Multiplier, Buy Bonus")</f>
        <v>Win Multiplier, Win Multiplier, Buy Bonus</v>
      </c>
      <c r="AD597" s="5" t="str">
        <f>IFERROR(__xludf.DUMMYFUNCTION("""COMPUTED_VALUE"""),"0.02/50")</f>
        <v>0.02/50</v>
      </c>
      <c r="AE597" s="5"/>
      <c r="AF597" s="5"/>
      <c r="AG597" s="8">
        <f>IFERROR(__xludf.DUMMYFUNCTION("""COMPUTED_VALUE"""),46213.44731481482)</f>
        <v>46213.44731</v>
      </c>
      <c r="AH597" s="5" t="str">
        <f>IFERROR(__xludf.DUMMYFUNCTION("""COMPUTED_VALUE"""),"djordje.petrovic@fazi.rs")</f>
        <v>djordje.petrovic@fazi.rs</v>
      </c>
      <c r="AI597" s="13"/>
      <c r="AJ597" s="5"/>
      <c r="AK597" s="5">
        <f>IFERROR(__xludf.DUMMYFUNCTION("""COMPUTED_VALUE"""),2.0)</f>
        <v>2</v>
      </c>
      <c r="AL597" s="5" t="str">
        <f>IFERROR(__xludf.DUMMYFUNCTION("""COMPUTED_VALUE"""),"Yes")</f>
        <v>Yes</v>
      </c>
      <c r="AM597" s="5"/>
      <c r="AN597" s="7" t="str">
        <f>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AO597" s="5" t="str">
        <f>IFERROR(__xludf.DUMMYFUNCTION("""COMPUTED_VALUE"""),"Yes")</f>
        <v>Yes</v>
      </c>
      <c r="AP597" s="5" t="str">
        <f>IFERROR(__xludf.DUMMYFUNCTION("""COMPUTED_VALUE"""),"No")</f>
        <v>No</v>
      </c>
      <c r="AQ597" s="5" t="b">
        <f>IFERROR(__xludf.DUMMYFUNCTION("""COMPUTED_VALUE"""),TRUE)</f>
        <v>1</v>
      </c>
      <c r="AR597" s="5"/>
      <c r="AS597" s="5" t="str">
        <f>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AT597" s="5"/>
      <c r="AU597" s="5" t="str">
        <f>IFERROR(__xludf.DUMMYFUNCTION("""COMPUTED_VALUE"""),"Fazi")</f>
        <v>Fazi</v>
      </c>
      <c r="AV597" s="5">
        <f>IFERROR(__xludf.DUMMYFUNCTION("""COMPUTED_VALUE"""),1.0)</f>
        <v>1</v>
      </c>
      <c r="AW597" s="5"/>
      <c r="AX597" s="13">
        <f>IFERROR(__xludf.DUMMYFUNCTION("""COMPUTED_VALUE"""),45987.0)</f>
        <v>45987</v>
      </c>
      <c r="AY597" s="13"/>
      <c r="AZ597" s="13"/>
      <c r="BA597" s="5">
        <f>IFERROR(__xludf.DUMMYFUNCTION("""COMPUTED_VALUE"""),90.0)</f>
        <v>90</v>
      </c>
      <c r="BB597" s="5"/>
      <c r="BC597" s="5" t="str">
        <f>IFERROR(__xludf.DUMMYFUNCTION("""COMPUTED_VALUE"""),"Foxi")</f>
        <v>Foxi</v>
      </c>
      <c r="BD597" s="7" t="str">
        <f>IFERROR(__xludf.DUMMYFUNCTION("""COMPUTED_VALUE"""),"https://gameserver-store-client-area.orbionlimited.com/Home/IntegrationGameLaunch/client-area?moneyType=0&amp;gameName=TaxiRush&amp;platform=desktop&amp;languageCode=eng&amp;currency=EUR")</f>
        <v>https://gameserver-store-client-area.orbionlimited.com/Home/IntegrationGameLaunch/client-area?moneyType=0&amp;gameName=TaxiRush&amp;platform=desktop&amp;languageCode=eng&amp;currency=EUR</v>
      </c>
      <c r="BE597" s="5" t="b">
        <f>IFERROR(__xludf.DUMMYFUNCTION("""COMPUTED_VALUE"""),TRUE)</f>
        <v>1</v>
      </c>
    </row>
    <row r="598">
      <c r="A598" s="5">
        <f>IFERROR(__xludf.DUMMYFUNCTION("""COMPUTED_VALUE"""),632.0)</f>
        <v>632</v>
      </c>
      <c r="B598" s="5">
        <f>IFERROR(__xludf.DUMMYFUNCTION("""COMPUTED_VALUE"""),2009.0)</f>
        <v>2009</v>
      </c>
      <c r="C598" s="5" t="str">
        <f>IFERROR(__xludf.DUMMYFUNCTION("""COMPUTED_VALUE"""),"Fazi")</f>
        <v>Fazi</v>
      </c>
      <c r="D598" s="5" t="str">
        <f>IFERROR(__xludf.DUMMYFUNCTION("""COMPUTED_VALUE"""),"Wild Hot 40 Hold&amp;Win")</f>
        <v>Wild Hot 40 Hold&amp;Win</v>
      </c>
      <c r="E598" s="5" t="str">
        <f>IFERROR(__xludf.DUMMYFUNCTION("""COMPUTED_VALUE"""),"V4-2")</f>
        <v>V4-2</v>
      </c>
      <c r="F598" s="5" t="str">
        <f>IFERROR(__xludf.DUMMYFUNCTION("""COMPUTED_VALUE"""),"WildHot40HoldAndWin")</f>
        <v>WildHot40HoldAndWin</v>
      </c>
      <c r="G598" s="5" t="str">
        <f>IFERROR(__xludf.DUMMYFUNCTION("""COMPUTED_VALUE"""),"Live")</f>
        <v>Live</v>
      </c>
      <c r="H598" s="5"/>
      <c r="I598" s="5" t="str">
        <f>IFERROR(__xludf.DUMMYFUNCTION("""COMPUTED_VALUE"""),"V4")</f>
        <v>V4</v>
      </c>
      <c r="J598" s="5" t="str">
        <f>IFERROR(__xludf.DUMMYFUNCTION("""COMPUTED_VALUE"""),"JSON")</f>
        <v>JSON</v>
      </c>
      <c r="K598" s="5" t="str">
        <f>IFERROR(__xludf.DUMMYFUNCTION("""COMPUTED_VALUE"""),"Slot")</f>
        <v>Slot</v>
      </c>
      <c r="L598" s="5" t="str">
        <f>IFERROR(__xludf.DUMMYFUNCTION("""COMPUTED_VALUE""")," Variant")</f>
        <v> Variant</v>
      </c>
      <c r="M598" s="5" t="str">
        <f>IFERROR(__xludf.DUMMYFUNCTION("""COMPUTED_VALUE"""),"Wild Hot 40")</f>
        <v>Wild Hot 40</v>
      </c>
      <c r="N598" s="7" t="str">
        <f>IFERROR(__xludf.DUMMYFUNCTION("""COMPUTED_VALUE"""),"https://drive.google.com/drive/folders/1aYvN7XLSW87H6DxUxwws3PZknweDxVY8?usp=drive_link")</f>
        <v>https://drive.google.com/drive/folders/1aYvN7XLSW87H6DxUxwws3PZknweDxVY8?usp=drive_link</v>
      </c>
      <c r="O598" s="7" t="str">
        <f>IFERROR(__xludf.DUMMYFUNCTION("""COMPUTED_VALUE"""),"https://drive.google.com/drive/folders/1aYvN7XLSW87H6DxUxwws3PZknweDxVY8?usp=drive_link")</f>
        <v>https://drive.google.com/drive/folders/1aYvN7XLSW87H6DxUxwws3PZknweDxVY8?usp=drive_link</v>
      </c>
      <c r="P598" s="12">
        <f>IFERROR(__xludf.DUMMYFUNCTION("""COMPUTED_VALUE"""),21.4)</f>
        <v>21.4</v>
      </c>
      <c r="Q598" s="13">
        <f>IFERROR(__xludf.DUMMYFUNCTION("""COMPUTED_VALUE"""),45985.0)</f>
        <v>45985</v>
      </c>
      <c r="R598" s="13">
        <f>IFERROR(__xludf.DUMMYFUNCTION("""COMPUTED_VALUE"""),45988.0)</f>
        <v>45988</v>
      </c>
      <c r="S598" s="13">
        <f>IFERROR(__xludf.DUMMYFUNCTION("""COMPUTED_VALUE"""),45995.0)</f>
        <v>45995</v>
      </c>
      <c r="T598" s="5" t="b">
        <f>IFERROR(__xludf.DUMMYFUNCTION("""COMPUTED_VALUE"""),TRUE)</f>
        <v>1</v>
      </c>
      <c r="U598" s="5" t="str">
        <f>IFERROR(__xludf.DUMMYFUNCTION("""COMPUTED_VALUE"""),"5x4")</f>
        <v>5x4</v>
      </c>
      <c r="V598" s="5">
        <f>IFERROR(__xludf.DUMMYFUNCTION("""COMPUTED_VALUE"""),40.0)</f>
        <v>40</v>
      </c>
      <c r="W598" s="5">
        <f>IFERROR(__xludf.DUMMYFUNCTION("""COMPUTED_VALUE"""),40.0)</f>
        <v>40</v>
      </c>
      <c r="X598" s="5">
        <f>IFERROR(__xludf.DUMMYFUNCTION("""COMPUTED_VALUE"""),96.584)</f>
        <v>96.584</v>
      </c>
      <c r="Y598" s="5" t="str">
        <f>IFERROR(__xludf.DUMMYFUNCTION("""COMPUTED_VALUE"""),"Medium")</f>
        <v>Medium</v>
      </c>
      <c r="Z598" s="5">
        <f>IFERROR(__xludf.DUMMYFUNCTION("""COMPUTED_VALUE"""),17.255)</f>
        <v>17.255</v>
      </c>
      <c r="AA598" s="5">
        <f>IFERROR(__xludf.DUMMYFUNCTION("""COMPUTED_VALUE"""),1250.0)</f>
        <v>1250</v>
      </c>
      <c r="AB598" s="5"/>
      <c r="AC598" s="5" t="str">
        <f>IFERROR(__xludf.DUMMYFUNCTION("""COMPUTED_VALUE"""),"Buy Feature, Hold and Win, Wild Symbol, Scatter")</f>
        <v>Buy Feature, Hold and Win, Wild Symbol, Scatter</v>
      </c>
      <c r="AD598" s="5" t="str">
        <f>IFERROR(__xludf.DUMMYFUNCTION("""COMPUTED_VALUE"""),"0.40/60")</f>
        <v>0.40/60</v>
      </c>
      <c r="AE598" s="5"/>
      <c r="AF598" s="5"/>
      <c r="AG598" s="8">
        <f>IFERROR(__xludf.DUMMYFUNCTION("""COMPUTED_VALUE"""),46150.62048611111)</f>
        <v>46150.62049</v>
      </c>
      <c r="AH598" s="5" t="str">
        <f>IFERROR(__xludf.DUMMYFUNCTION("""COMPUTED_VALUE"""),"ana.antic@fazi.rs")</f>
        <v>ana.antic@fazi.rs</v>
      </c>
      <c r="AI598" s="13"/>
      <c r="AJ598" s="5"/>
      <c r="AK598" s="5">
        <f>IFERROR(__xludf.DUMMYFUNCTION("""COMPUTED_VALUE"""),4.0)</f>
        <v>4</v>
      </c>
      <c r="AL598" s="5" t="str">
        <f>IFERROR(__xludf.DUMMYFUNCTION("""COMPUTED_VALUE"""),"Yes")</f>
        <v>Yes</v>
      </c>
      <c r="AM598" s="5"/>
      <c r="AN598" s="7" t="str">
        <f>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AO598" s="5" t="str">
        <f>IFERROR(__xludf.DUMMYFUNCTION("""COMPUTED_VALUE"""),"Yes")</f>
        <v>Yes</v>
      </c>
      <c r="AP598" s="5" t="str">
        <f>IFERROR(__xludf.DUMMYFUNCTION("""COMPUTED_VALUE"""),"Yes")</f>
        <v>Yes</v>
      </c>
      <c r="AQ598" s="5" t="b">
        <f>IFERROR(__xludf.DUMMYFUNCTION("""COMPUTED_VALUE"""),TRUE)</f>
        <v>1</v>
      </c>
      <c r="AR598" s="5"/>
      <c r="AS598" s="5" t="str">
        <f>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AT598" s="5"/>
      <c r="AU598" s="5" t="str">
        <f>IFERROR(__xludf.DUMMYFUNCTION("""COMPUTED_VALUE"""),"Fazi")</f>
        <v>Fazi</v>
      </c>
      <c r="AV598" s="5">
        <f>IFERROR(__xludf.DUMMYFUNCTION("""COMPUTED_VALUE"""),1.0)</f>
        <v>1</v>
      </c>
      <c r="AW598" s="5"/>
      <c r="AX598" s="13">
        <f>IFERROR(__xludf.DUMMYFUNCTION("""COMPUTED_VALUE"""),45979.0)</f>
        <v>45979</v>
      </c>
      <c r="AY598" s="13"/>
      <c r="AZ598" s="13"/>
      <c r="BA598" s="5">
        <f>IFERROR(__xludf.DUMMYFUNCTION("""COMPUTED_VALUE"""),40.0)</f>
        <v>40</v>
      </c>
      <c r="BB598" s="5"/>
      <c r="BC598" s="5" t="str">
        <f>IFERROR(__xludf.DUMMYFUNCTION("""COMPUTED_VALUE"""),"Foxi")</f>
        <v>Foxi</v>
      </c>
      <c r="BD598" s="7" t="str">
        <f>IFERROR(__xludf.DUMMYFUNCTION("""COMPUTED_VALUE"""),"https://gameserver-store-client-area.orbionlimited.com/Home/IntegrationGameLaunch/client-area?moneyType=0&amp;gameName=WildHot40HoldAndWin&amp;platform=desktop&amp;languageCode=eng&amp;currency=EUR")</f>
        <v>https://gameserver-store-client-area.orbionlimited.com/Home/IntegrationGameLaunch/client-area?moneyType=0&amp;gameName=WildHot40HoldAndWin&amp;platform=desktop&amp;languageCode=eng&amp;currency=EUR</v>
      </c>
      <c r="BE598" s="5" t="b">
        <f>IFERROR(__xludf.DUMMYFUNCTION("""COMPUTED_VALUE"""),TRUE)</f>
        <v>1</v>
      </c>
    </row>
    <row r="599">
      <c r="A599" s="5">
        <f>IFERROR(__xludf.DUMMYFUNCTION("""COMPUTED_VALUE"""),633.0)</f>
        <v>633</v>
      </c>
      <c r="B599" s="5">
        <f>IFERROR(__xludf.DUMMYFUNCTION("""COMPUTED_VALUE"""),-1.0)</f>
        <v>-1</v>
      </c>
      <c r="C599" s="5" t="str">
        <f>IFERROR(__xludf.DUMMYFUNCTION("""COMPUTED_VALUE"""),"Fazi")</f>
        <v>Fazi</v>
      </c>
      <c r="D599" s="5" t="str">
        <f>IFERROR(__xludf.DUMMYFUNCTION("""COMPUTED_VALUE"""),"Wild Booster (Wild Joker Hot)")</f>
        <v>Wild Booster (Wild Joker Hot)</v>
      </c>
      <c r="E599" s="5" t="str">
        <f>IFERROR(__xludf.DUMMYFUNCTION("""COMPUTED_VALUE"""),"V2")</f>
        <v>V2</v>
      </c>
      <c r="F599" s="5" t="str">
        <f>IFERROR(__xludf.DUMMYFUNCTION("""COMPUTED_VALUE"""),"TBD")</f>
        <v>TBD</v>
      </c>
      <c r="G599" s="5" t="str">
        <f>IFERROR(__xludf.DUMMYFUNCTION("""COMPUTED_VALUE"""),"Planned")</f>
        <v>Planned</v>
      </c>
      <c r="H599" s="5"/>
      <c r="I599" s="5"/>
      <c r="J599" s="5"/>
      <c r="K599" s="5" t="str">
        <f>IFERROR(__xludf.DUMMYFUNCTION("""COMPUTED_VALUE"""),"Slot")</f>
        <v>Slot</v>
      </c>
      <c r="L599" s="5"/>
      <c r="M599" s="5"/>
      <c r="N599" s="5"/>
      <c r="O599" s="5"/>
      <c r="P599" s="12"/>
      <c r="Q599" s="13">
        <f>IFERROR(__xludf.DUMMYFUNCTION("""COMPUTED_VALUE"""),45999.0)</f>
        <v>45999</v>
      </c>
      <c r="R599" s="13"/>
      <c r="S599" s="13"/>
      <c r="T599" s="5" t="b">
        <f>IFERROR(__xludf.DUMMYFUNCTION("""COMPUTED_VALUE"""),FALSE)</f>
        <v>0</v>
      </c>
      <c r="U599" s="5"/>
      <c r="V599" s="5"/>
      <c r="W599" s="5"/>
      <c r="X599" s="5"/>
      <c r="Y599" s="5"/>
      <c r="Z599" s="5"/>
      <c r="AA599" s="5"/>
      <c r="AB599" s="5"/>
      <c r="AC599" s="5"/>
      <c r="AD599" s="5"/>
      <c r="AE599" s="5"/>
      <c r="AF599" s="5"/>
      <c r="AG599" s="8">
        <f>IFERROR(__xludf.DUMMYFUNCTION("""COMPUTED_VALUE"""),45979.6859837963)</f>
        <v>45979.68598</v>
      </c>
      <c r="AH599" s="5" t="str">
        <f>IFERROR(__xludf.DUMMYFUNCTION("""COMPUTED_VALUE"""),"aleksandra.pesic@fazi.rs")</f>
        <v>aleksandra.pesic@fazi.rs</v>
      </c>
      <c r="AI599" s="13"/>
      <c r="AJ599" s="5"/>
      <c r="AK599" s="5"/>
      <c r="AL599" s="5"/>
      <c r="AM599" s="5"/>
      <c r="AN599" s="5"/>
      <c r="AO599" s="5"/>
      <c r="AP599" s="5"/>
      <c r="AQ599" s="5"/>
      <c r="AR599" s="5"/>
      <c r="AS599" s="5"/>
      <c r="AT599" s="5"/>
      <c r="AU599" s="5" t="str">
        <f>IFERROR(__xludf.DUMMYFUNCTION("""COMPUTED_VALUE"""),"Fazi")</f>
        <v>Fazi</v>
      </c>
      <c r="AV599" s="5"/>
      <c r="AW599" s="5"/>
      <c r="AX599" s="13"/>
      <c r="AY599" s="13"/>
      <c r="AZ599" s="13"/>
      <c r="BA599" s="5" t="str">
        <f>IFERROR(__xludf.DUMMYFUNCTION("""COMPUTED_VALUE"""),"")</f>
        <v/>
      </c>
      <c r="BB599" s="5"/>
      <c r="BC599" s="5" t="str">
        <f>IFERROR(__xludf.DUMMYFUNCTION("""COMPUTED_VALUE"""),"Foxi")</f>
        <v>Foxi</v>
      </c>
      <c r="BD599" s="5" t="str">
        <f>IFERROR(__xludf.DUMMYFUNCTION("""COMPUTED_VALUE"""),"")</f>
        <v/>
      </c>
      <c r="BE599" s="5"/>
    </row>
    <row r="600">
      <c r="A600" s="5">
        <f>IFERROR(__xludf.DUMMYFUNCTION("""COMPUTED_VALUE"""),635.0)</f>
        <v>635</v>
      </c>
      <c r="B600" s="5">
        <f>IFERROR(__xludf.DUMMYFUNCTION("""COMPUTED_VALUE"""),3027.0)</f>
        <v>3027</v>
      </c>
      <c r="C600" s="5" t="str">
        <f>IFERROR(__xludf.DUMMYFUNCTION("""COMPUTED_VALUE"""),"Fazi")</f>
        <v>Fazi</v>
      </c>
      <c r="D600" s="5" t="str">
        <f>IFERROR(__xludf.DUMMYFUNCTION("""COMPUTED_VALUE"""),"Wild Hot 40 Blow Booster")</f>
        <v>Wild Hot 40 Blow Booster</v>
      </c>
      <c r="E600" s="5" t="str">
        <f>IFERROR(__xludf.DUMMYFUNCTION("""COMPUTED_VALUE"""),"V2")</f>
        <v>V2</v>
      </c>
      <c r="F600" s="5" t="str">
        <f>IFERROR(__xludf.DUMMYFUNCTION("""COMPUTED_VALUE"""),"WildHot40BlowBooster")</f>
        <v>WildHot40BlowBooster</v>
      </c>
      <c r="G600" s="5" t="str">
        <f>IFERROR(__xludf.DUMMYFUNCTION("""COMPUTED_VALUE"""),"Live")</f>
        <v>Live</v>
      </c>
      <c r="H600" s="5"/>
      <c r="I600" s="5" t="str">
        <f>IFERROR(__xludf.DUMMYFUNCTION("""COMPUTED_VALUE"""),"V2")</f>
        <v>V2</v>
      </c>
      <c r="J600" s="5" t="str">
        <f>IFERROR(__xludf.DUMMYFUNCTION("""COMPUTED_VALUE"""),"JSON")</f>
        <v>JSON</v>
      </c>
      <c r="K600" s="5" t="str">
        <f>IFERROR(__xludf.DUMMYFUNCTION("""COMPUTED_VALUE"""),"Slot")</f>
        <v>Slot</v>
      </c>
      <c r="L600" s="5" t="str">
        <f>IFERROR(__xludf.DUMMYFUNCTION("""COMPUTED_VALUE""")," Clone")</f>
        <v> Clone</v>
      </c>
      <c r="M600" s="5" t="str">
        <f>IFERROR(__xludf.DUMMYFUNCTION("""COMPUTED_VALUE"""),"Wild Hot 40 Blow")</f>
        <v>Wild Hot 40 Blow</v>
      </c>
      <c r="N600" s="5"/>
      <c r="O600" s="5"/>
      <c r="P600" s="12"/>
      <c r="Q600" s="13">
        <f>IFERROR(__xludf.DUMMYFUNCTION("""COMPUTED_VALUE"""),46013.0)</f>
        <v>46013</v>
      </c>
      <c r="R600" s="13">
        <f>IFERROR(__xludf.DUMMYFUNCTION("""COMPUTED_VALUE"""),46037.0)</f>
        <v>46037</v>
      </c>
      <c r="S600" s="13">
        <f>IFERROR(__xludf.DUMMYFUNCTION("""COMPUTED_VALUE"""),46044.0)</f>
        <v>46044</v>
      </c>
      <c r="T600" s="5" t="b">
        <f>IFERROR(__xludf.DUMMYFUNCTION("""COMPUTED_VALUE"""),TRUE)</f>
        <v>1</v>
      </c>
      <c r="U600" s="5" t="str">
        <f>IFERROR(__xludf.DUMMYFUNCTION("""COMPUTED_VALUE"""),"5x4")</f>
        <v>5x4</v>
      </c>
      <c r="V600" s="5">
        <f>IFERROR(__xludf.DUMMYFUNCTION("""COMPUTED_VALUE"""),40.0)</f>
        <v>40</v>
      </c>
      <c r="W600" s="5">
        <f>IFERROR(__xludf.DUMMYFUNCTION("""COMPUTED_VALUE"""),40.0)</f>
        <v>40</v>
      </c>
      <c r="X600" s="5">
        <f>IFERROR(__xludf.DUMMYFUNCTION("""COMPUTED_VALUE"""),96.269)</f>
        <v>96.269</v>
      </c>
      <c r="Y600" s="5" t="str">
        <f>IFERROR(__xludf.DUMMYFUNCTION("""COMPUTED_VALUE"""),"Medium")</f>
        <v>Medium</v>
      </c>
      <c r="Z600" s="5">
        <f>IFERROR(__xludf.DUMMYFUNCTION("""COMPUTED_VALUE"""),13.88)</f>
        <v>13.88</v>
      </c>
      <c r="AA600" s="5">
        <f>IFERROR(__xludf.DUMMYFUNCTION("""COMPUTED_VALUE"""),1000.0)</f>
        <v>1000</v>
      </c>
      <c r="AB600" s="5"/>
      <c r="AC600" s="5" t="str">
        <f>IFERROR(__xludf.DUMMYFUNCTION("""COMPUTED_VALUE"""),"Buy Feature, Exploding Wild, Wild Symbol")</f>
        <v>Buy Feature, Exploding Wild, Wild Symbol</v>
      </c>
      <c r="AD600" s="5" t="str">
        <f>IFERROR(__xludf.DUMMYFUNCTION("""COMPUTED_VALUE"""),"0.4/60")</f>
        <v>0.4/60</v>
      </c>
      <c r="AE600" s="5"/>
      <c r="AF600" s="5"/>
      <c r="AG600" s="8">
        <f>IFERROR(__xludf.DUMMYFUNCTION("""COMPUTED_VALUE"""),46198.52394675926)</f>
        <v>46198.52395</v>
      </c>
      <c r="AH600" s="5" t="str">
        <f>IFERROR(__xludf.DUMMYFUNCTION("""COMPUTED_VALUE"""),"selena.mihajlovic@fazi.rs")</f>
        <v>selena.mihajlovic@fazi.rs</v>
      </c>
      <c r="AI600" s="13">
        <f>IFERROR(__xludf.DUMMYFUNCTION("""COMPUTED_VALUE"""),46034.0)</f>
        <v>46034</v>
      </c>
      <c r="AJ600" s="5" t="str">
        <f>IFERROR(__xludf.DUMMYFUNCTION("""COMPUTED_VALUE"""),"1xbet - testiraju igru od 9.01., pre-release 12.01.")</f>
        <v>1xbet - testiraju igru od 9.01., pre-release 12.01.</v>
      </c>
      <c r="AK600" s="5">
        <f>IFERROR(__xludf.DUMMYFUNCTION("""COMPUTED_VALUE"""),40.0)</f>
        <v>40</v>
      </c>
      <c r="AL600" s="5" t="str">
        <f>IFERROR(__xludf.DUMMYFUNCTION("""COMPUTED_VALUE"""),"Yes")</f>
        <v>Yes</v>
      </c>
      <c r="AM600" s="5"/>
      <c r="AN600" s="5"/>
      <c r="AO600" s="5" t="str">
        <f>IFERROR(__xludf.DUMMYFUNCTION("""COMPUTED_VALUE"""),"Yes")</f>
        <v>Yes</v>
      </c>
      <c r="AP600" s="5" t="str">
        <f>IFERROR(__xludf.DUMMYFUNCTION("""COMPUTED_VALUE"""),"No")</f>
        <v>No</v>
      </c>
      <c r="AQ600" s="5" t="b">
        <f>IFERROR(__xludf.DUMMYFUNCTION("""COMPUTED_VALUE"""),TRUE)</f>
        <v>1</v>
      </c>
      <c r="AR600" s="5"/>
      <c r="AS600" s="5" t="str">
        <f>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AT600" s="5"/>
      <c r="AU600" s="5" t="str">
        <f>IFERROR(__xludf.DUMMYFUNCTION("""COMPUTED_VALUE"""),"Fazi")</f>
        <v>Fazi</v>
      </c>
      <c r="AV600" s="5">
        <f>IFERROR(__xludf.DUMMYFUNCTION("""COMPUTED_VALUE"""),1.0)</f>
        <v>1</v>
      </c>
      <c r="AW600" s="5"/>
      <c r="AX600" s="13">
        <f>IFERROR(__xludf.DUMMYFUNCTION("""COMPUTED_VALUE"""),46007.0)</f>
        <v>46007</v>
      </c>
      <c r="AY600" s="13"/>
      <c r="AZ600" s="13"/>
      <c r="BA600" s="5">
        <f>IFERROR(__xludf.DUMMYFUNCTION("""COMPUTED_VALUE"""),15.0)</f>
        <v>15</v>
      </c>
      <c r="BB600" s="5"/>
      <c r="BC600" s="5" t="str">
        <f>IFERROR(__xludf.DUMMYFUNCTION("""COMPUTED_VALUE"""),"Foxi")</f>
        <v>Foxi</v>
      </c>
      <c r="BD600" s="7" t="str">
        <f>IFERROR(__xludf.DUMMYFUNCTION("""COMPUTED_VALUE"""),"https://gameserver-store-client-area.orbionlimited.com/Home/IntegrationGameLaunch/client-area?moneyType=0&amp;gameName=WildHot40BlowBooster&amp;platform=desktop&amp;languageCode=eng&amp;currency=EUR")</f>
        <v>https://gameserver-store-client-area.orbionlimited.com/Home/IntegrationGameLaunch/client-area?moneyType=0&amp;gameName=WildHot40BlowBooster&amp;platform=desktop&amp;languageCode=eng&amp;currency=EUR</v>
      </c>
      <c r="BE600" s="5" t="b">
        <f>IFERROR(__xludf.DUMMYFUNCTION("""COMPUTED_VALUE"""),TRUE)</f>
        <v>1</v>
      </c>
    </row>
    <row r="601">
      <c r="A601" s="5">
        <f>IFERROR(__xludf.DUMMYFUNCTION("""COMPUTED_VALUE"""),636.0)</f>
        <v>636</v>
      </c>
      <c r="B601" s="5">
        <f>IFERROR(__xludf.DUMMYFUNCTION("""COMPUTED_VALUE"""),9999999.0)</f>
        <v>9999999</v>
      </c>
      <c r="C601" s="5" t="str">
        <f>IFERROR(__xludf.DUMMYFUNCTION("""COMPUTED_VALUE"""),"SOKO studio")</f>
        <v>SOKO studio</v>
      </c>
      <c r="D601" s="5" t="str">
        <f>IFERROR(__xludf.DUMMYFUNCTION("""COMPUTED_VALUE"""),"Bluff and Bite")</f>
        <v>Bluff and Bite</v>
      </c>
      <c r="E601" s="5" t="str">
        <f>IFERROR(__xludf.DUMMYFUNCTION("""COMPUTED_VALUE"""),"SOKO studio")</f>
        <v>SOKO studio</v>
      </c>
      <c r="F601" s="5" t="str">
        <f>IFERROR(__xludf.DUMMYFUNCTION("""COMPUTED_VALUE"""),"bluff-and-bite")</f>
        <v>bluff-and-bite</v>
      </c>
      <c r="G601" s="5" t="str">
        <f>IFERROR(__xludf.DUMMYFUNCTION("""COMPUTED_VALUE"""),"Live")</f>
        <v>Live</v>
      </c>
      <c r="H601" s="5"/>
      <c r="I601" s="5" t="str">
        <f>IFERROR(__xludf.DUMMYFUNCTION("""COMPUTED_VALUE"""),"SOKO studio")</f>
        <v>SOKO studio</v>
      </c>
      <c r="J601" s="5" t="str">
        <f>IFERROR(__xludf.DUMMYFUNCTION("""COMPUTED_VALUE"""),"Aggregation platform")</f>
        <v>Aggregation platform</v>
      </c>
      <c r="K601" s="5" t="str">
        <f>IFERROR(__xludf.DUMMYFUNCTION("""COMPUTED_VALUE"""),"Slot")</f>
        <v>Slot</v>
      </c>
      <c r="L601" s="5" t="str">
        <f>IFERROR(__xludf.DUMMYFUNCTION("""COMPUTED_VALUE"""),"Master")</f>
        <v>Master</v>
      </c>
      <c r="M601" s="5"/>
      <c r="N601" s="7" t="str">
        <f>IFERROR(__xludf.DUMMYFUNCTION("""COMPUTED_VALUE"""),"https://docs.google.com/document/d/1nyoPmhgfwHrvoXXt_3Xv7d10pcKzixSK8GLZz0JaP90/edit?usp=sharing")</f>
        <v>https://docs.google.com/document/d/1nyoPmhgfwHrvoXXt_3Xv7d10pcKzixSK8GLZz0JaP90/edit?usp=sharing</v>
      </c>
      <c r="O601" s="5"/>
      <c r="P601" s="5">
        <f>IFERROR(__xludf.DUMMYFUNCTION("""COMPUTED_VALUE"""),12.53)</f>
        <v>12.53</v>
      </c>
      <c r="Q601" s="13">
        <f>IFERROR(__xludf.DUMMYFUNCTION("""COMPUTED_VALUE"""),45929.0)</f>
        <v>45929</v>
      </c>
      <c r="R601" s="13"/>
      <c r="S601" s="13">
        <f>IFERROR(__xludf.DUMMYFUNCTION("""COMPUTED_VALUE"""),45936.0)</f>
        <v>45936</v>
      </c>
      <c r="T601" s="5" t="b">
        <f>IFERROR(__xludf.DUMMYFUNCTION("""COMPUTED_VALUE"""),TRUE)</f>
        <v>1</v>
      </c>
      <c r="U601" s="5" t="str">
        <f>IFERROR(__xludf.DUMMYFUNCTION("""COMPUTED_VALUE"""),"5 reels x 4 rows")</f>
        <v>5 reels x 4 rows</v>
      </c>
      <c r="V601" s="5">
        <f>IFERROR(__xludf.DUMMYFUNCTION("""COMPUTED_VALUE"""),14.0)</f>
        <v>14</v>
      </c>
      <c r="W601" s="5"/>
      <c r="X601" s="5">
        <f>IFERROR(__xludf.DUMMYFUNCTION("""COMPUTED_VALUE"""),95.03)</f>
        <v>95.03</v>
      </c>
      <c r="Y601" s="5" t="str">
        <f>IFERROR(__xludf.DUMMYFUNCTION("""COMPUTED_VALUE"""),"High")</f>
        <v>High</v>
      </c>
      <c r="Z601" s="5">
        <f>IFERROR(__xludf.DUMMYFUNCTION("""COMPUTED_VALUE"""),29.15)</f>
        <v>29.15</v>
      </c>
      <c r="AA601" s="5"/>
      <c r="AB601" s="5"/>
      <c r="AC601" s="5"/>
      <c r="AD601" s="5" t="str">
        <f>IFERROR(__xludf.DUMMYFUNCTION("""COMPUTED_VALUE"""),"0.05€/50€")</f>
        <v>0.05€/50€</v>
      </c>
      <c r="AE601" s="5"/>
      <c r="AF601" s="5"/>
      <c r="AG601" s="8">
        <f>IFERROR(__xludf.DUMMYFUNCTION("""COMPUTED_VALUE"""),46083.693657407406)</f>
        <v>46083.69366</v>
      </c>
      <c r="AH601" s="5" t="str">
        <f>IFERROR(__xludf.DUMMYFUNCTION("""COMPUTED_VALUE"""),"vanja.svetska@fazi.rs")</f>
        <v>vanja.svetska@fazi.rs</v>
      </c>
      <c r="AI601" s="13"/>
      <c r="AJ601" s="5"/>
      <c r="AK601" s="5"/>
      <c r="AL601" s="5"/>
      <c r="AM601" s="5"/>
      <c r="AN601" s="7" t="str">
        <f>IFERROR(__xludf.DUMMYFUNCTION("""COMPUTED_VALUE"""),"https://bluff-and-bite.soko.games/ ")</f>
        <v>https://bluff-and-bite.soko.games/ </v>
      </c>
      <c r="AO601" s="5"/>
      <c r="AP601" s="5"/>
      <c r="AQ601" s="5"/>
      <c r="AR601" s="5"/>
      <c r="AS601" s="5" t="str">
        <f>IFERROR(__xludf.DUMMYFUNCTION("""COMPUTED_VALUE"""),"Welcome to Bluff and Bite, the high-stakes slot where style meets strategy! Step into a moody  speakeasy filled with poker chips, smooth-talking canines, cunning foxes, and the kingpin of  the game - the powerful Pig, your ticket to the biggest wins. Feat"&amp;"uring a 5x4 grid and 14  paylines, the game offers countless ways to outwit the odds and score impressive rewards.  With every spin, you’ll feel the rush of high-stakes bluffing and the bite of big wins. ")</f>
        <v>Welcome to Bluff and Bite, the high-stakes slot where style meets strategy! Step into a moody  speakeasy filled with poker chips, smooth-talking canines, cunning foxes, and the kingpin of  the game - the powerful Pig, your ticket to the biggest wins. Featuring a 5x4 grid and 14  paylines, the game offers countless ways to outwit the odds and score impressive rewards.  With every spin, you’ll feel the rush of high-stakes bluffing and the bite of big wins. </v>
      </c>
      <c r="AT601" s="5"/>
      <c r="AU601" s="5" t="str">
        <f>IFERROR(__xludf.DUMMYFUNCTION("""COMPUTED_VALUE"""),"SOKO studio")</f>
        <v>SOKO studio</v>
      </c>
      <c r="AV601" s="5"/>
      <c r="AW601" s="5"/>
      <c r="AX601" s="13">
        <f>IFERROR(__xludf.DUMMYFUNCTION("""COMPUTED_VALUE"""),45923.0)</f>
        <v>45923</v>
      </c>
      <c r="AY601" s="13"/>
      <c r="AZ601" s="13"/>
      <c r="BA601" s="5" t="str">
        <f>IFERROR(__xludf.DUMMYFUNCTION("""COMPUTED_VALUE"""),"")</f>
        <v/>
      </c>
      <c r="BB601" s="5"/>
      <c r="BC601" s="5" t="str">
        <f>IFERROR(__xludf.DUMMYFUNCTION("""COMPUTED_VALUE"""),"SOKO studio")</f>
        <v>SOKO studio</v>
      </c>
      <c r="BD601" s="7" t="str">
        <f>IFERROR(__xludf.DUMMYFUNCTION("""COMPUTED_VALUE"""),"https://bluff-and-bite.soko.games/ ")</f>
        <v>https://bluff-and-bite.soko.games/ </v>
      </c>
      <c r="BE601" s="5"/>
    </row>
    <row r="602">
      <c r="A602" s="5">
        <f>IFERROR(__xludf.DUMMYFUNCTION("""COMPUTED_VALUE"""),637.0)</f>
        <v>637</v>
      </c>
      <c r="B602" s="5">
        <f>IFERROR(__xludf.DUMMYFUNCTION("""COMPUTED_VALUE"""),999998.0)</f>
        <v>999998</v>
      </c>
      <c r="C602" s="5" t="str">
        <f>IFERROR(__xludf.DUMMYFUNCTION("""COMPUTED_VALUE"""),"SOKO studio")</f>
        <v>SOKO studio</v>
      </c>
      <c r="D602" s="5" t="str">
        <f>IFERROR(__xludf.DUMMYFUNCTION("""COMPUTED_VALUE"""),"Royal Crown Delight")</f>
        <v>Royal Crown Delight</v>
      </c>
      <c r="E602" s="5" t="str">
        <f>IFERROR(__xludf.DUMMYFUNCTION("""COMPUTED_VALUE"""),"SOKO studio")</f>
        <v>SOKO studio</v>
      </c>
      <c r="F602" s="5" t="str">
        <f>IFERROR(__xludf.DUMMYFUNCTION("""COMPUTED_VALUE"""),"royal-crown-delight")</f>
        <v>royal-crown-delight</v>
      </c>
      <c r="G602" s="5" t="str">
        <f>IFERROR(__xludf.DUMMYFUNCTION("""COMPUTED_VALUE"""),"Live")</f>
        <v>Live</v>
      </c>
      <c r="H602" s="5"/>
      <c r="I602" s="5" t="str">
        <f>IFERROR(__xludf.DUMMYFUNCTION("""COMPUTED_VALUE"""),"SOKO studio")</f>
        <v>SOKO studio</v>
      </c>
      <c r="J602" s="5" t="str">
        <f>IFERROR(__xludf.DUMMYFUNCTION("""COMPUTED_VALUE"""),"Aggregation platform")</f>
        <v>Aggregation platform</v>
      </c>
      <c r="K602" s="5" t="str">
        <f>IFERROR(__xludf.DUMMYFUNCTION("""COMPUTED_VALUE"""),"Slot")</f>
        <v>Slot</v>
      </c>
      <c r="L602" s="5" t="str">
        <f>IFERROR(__xludf.DUMMYFUNCTION("""COMPUTED_VALUE"""),"Master")</f>
        <v>Master</v>
      </c>
      <c r="M602" s="5"/>
      <c r="N602" s="7" t="str">
        <f>IFERROR(__xludf.DUMMYFUNCTION("""COMPUTED_VALUE"""),"https://docs.google.com/document/d/1wsxv80TasNJSVPDmBEYitjsMJWzttW8ePuy1g7fNqbs/edit?usp=sharing")</f>
        <v>https://docs.google.com/document/d/1wsxv80TasNJSVPDmBEYitjsMJWzttW8ePuy1g7fNqbs/edit?usp=sharing</v>
      </c>
      <c r="O602" s="5"/>
      <c r="P602" s="5">
        <f>IFERROR(__xludf.DUMMYFUNCTION("""COMPUTED_VALUE"""),21.06)</f>
        <v>21.06</v>
      </c>
      <c r="Q602" s="13">
        <f>IFERROR(__xludf.DUMMYFUNCTION("""COMPUTED_VALUE"""),45943.0)</f>
        <v>45943</v>
      </c>
      <c r="R602" s="13"/>
      <c r="S602" s="13">
        <f>IFERROR(__xludf.DUMMYFUNCTION("""COMPUTED_VALUE"""),45950.0)</f>
        <v>45950</v>
      </c>
      <c r="T602" s="5" t="b">
        <f>IFERROR(__xludf.DUMMYFUNCTION("""COMPUTED_VALUE"""),TRUE)</f>
        <v>1</v>
      </c>
      <c r="U602" s="5" t="str">
        <f>IFERROR(__xludf.DUMMYFUNCTION("""COMPUTED_VALUE"""),"5 reels x 3 rows")</f>
        <v>5 reels x 3 rows</v>
      </c>
      <c r="V602" s="5">
        <f>IFERROR(__xludf.DUMMYFUNCTION("""COMPUTED_VALUE"""),5.0)</f>
        <v>5</v>
      </c>
      <c r="W602" s="5"/>
      <c r="X602" s="5">
        <f>IFERROR(__xludf.DUMMYFUNCTION("""COMPUTED_VALUE"""),95.13)</f>
        <v>95.13</v>
      </c>
      <c r="Y602" s="5" t="str">
        <f>IFERROR(__xludf.DUMMYFUNCTION("""COMPUTED_VALUE"""),"High")</f>
        <v>High</v>
      </c>
      <c r="Z602" s="5">
        <f>IFERROR(__xludf.DUMMYFUNCTION("""COMPUTED_VALUE"""),16.4)</f>
        <v>16.4</v>
      </c>
      <c r="AA602" s="5"/>
      <c r="AB602" s="5"/>
      <c r="AC602" s="5"/>
      <c r="AD602" s="5" t="str">
        <f>IFERROR(__xludf.DUMMYFUNCTION("""COMPUTED_VALUE"""),"0.05€/50€")</f>
        <v>0.05€/50€</v>
      </c>
      <c r="AE602" s="5"/>
      <c r="AF602" s="5"/>
      <c r="AG602" s="8">
        <f>IFERROR(__xludf.DUMMYFUNCTION("""COMPUTED_VALUE"""),46083.693078703705)</f>
        <v>46083.69308</v>
      </c>
      <c r="AH602" s="5" t="str">
        <f>IFERROR(__xludf.DUMMYFUNCTION("""COMPUTED_VALUE"""),"vanja.svetska@fazi.rs")</f>
        <v>vanja.svetska@fazi.rs</v>
      </c>
      <c r="AI602" s="13"/>
      <c r="AJ602" s="5"/>
      <c r="AK602" s="5"/>
      <c r="AL602" s="5"/>
      <c r="AM602" s="5"/>
      <c r="AN602" s="7" t="str">
        <f>IFERROR(__xludf.DUMMYFUNCTION("""COMPUTED_VALUE"""),"https://royal-crown-delight.soko.games/")</f>
        <v>https://royal-crown-delight.soko.games/</v>
      </c>
      <c r="AO602" s="5"/>
      <c r="AP602" s="5"/>
      <c r="AQ602" s="5"/>
      <c r="AR602" s="5"/>
      <c r="AS602" s="5" t="str">
        <f>IFERROR(__xludf.DUMMYFUNCTION("""COMPUTED_VALUE"""),"Welcome to Royal Crown Delight, a majestic slot adventure fit for royalty! Set in a grand castle  and shining with opulent symbols like golden crowns, sparkling rings, and lucky sevens, this  5x3 slot with 5 paylines invites you to spin for regal rewards."&amp;" With rich visuals and classic  charm, every spin is a chance to claim your throne and delight in royal riches! ")</f>
        <v>Welcome to Royal Crown Delight,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 </v>
      </c>
      <c r="AT602" s="5"/>
      <c r="AU602" s="5" t="str">
        <f>IFERROR(__xludf.DUMMYFUNCTION("""COMPUTED_VALUE"""),"SOKO studio")</f>
        <v>SOKO studio</v>
      </c>
      <c r="AV602" s="5"/>
      <c r="AW602" s="5"/>
      <c r="AX602" s="13">
        <f>IFERROR(__xludf.DUMMYFUNCTION("""COMPUTED_VALUE"""),45937.0)</f>
        <v>45937</v>
      </c>
      <c r="AY602" s="13"/>
      <c r="AZ602" s="13"/>
      <c r="BA602" s="5" t="str">
        <f>IFERROR(__xludf.DUMMYFUNCTION("""COMPUTED_VALUE"""),"")</f>
        <v/>
      </c>
      <c r="BB602" s="5"/>
      <c r="BC602" s="5" t="str">
        <f>IFERROR(__xludf.DUMMYFUNCTION("""COMPUTED_VALUE"""),"SOKO studio")</f>
        <v>SOKO studio</v>
      </c>
      <c r="BD602" s="7" t="str">
        <f>IFERROR(__xludf.DUMMYFUNCTION("""COMPUTED_VALUE"""),"https://royal-crown-delight.soko.games/")</f>
        <v>https://royal-crown-delight.soko.games/</v>
      </c>
      <c r="BE602" s="5"/>
    </row>
    <row r="603">
      <c r="A603" s="5">
        <f>IFERROR(__xludf.DUMMYFUNCTION("""COMPUTED_VALUE"""),638.0)</f>
        <v>638</v>
      </c>
      <c r="B603" s="5">
        <f>IFERROR(__xludf.DUMMYFUNCTION("""COMPUTED_VALUE"""),4026.0)</f>
        <v>4026</v>
      </c>
      <c r="C603" s="5" t="str">
        <f>IFERROR(__xludf.DUMMYFUNCTION("""COMPUTED_VALUE"""),"Fazi")</f>
        <v>Fazi</v>
      </c>
      <c r="D603" s="5" t="str">
        <f>IFERROR(__xludf.DUMMYFUNCTION("""COMPUTED_VALUE"""),"AdmiralBet Bonus Crown")</f>
        <v>AdmiralBet Bonus Crown</v>
      </c>
      <c r="E603" s="5" t="str">
        <f>IFERROR(__xludf.DUMMYFUNCTION("""COMPUTED_VALUE"""),"Sertifikacioni")</f>
        <v>Sertifikacioni</v>
      </c>
      <c r="F603" s="5" t="str">
        <f>IFERROR(__xludf.DUMMYFUNCTION("""COMPUTED_VALUE"""),"AdmiralBetBonusCrown")</f>
        <v>AdmiralBetBonusCrown</v>
      </c>
      <c r="G603" s="5" t="str">
        <f>IFERROR(__xludf.DUMMYFUNCTION("""COMPUTED_VALUE"""),"Deployed")</f>
        <v>Deployed</v>
      </c>
      <c r="H603" s="5" t="str">
        <f>IFERROR(__xludf.DUMMYFUNCTION("""COMPUTED_VALUE"""),"Admiralbet")</f>
        <v>Admiralbet</v>
      </c>
      <c r="I603" s="5" t="str">
        <f>IFERROR(__xludf.DUMMYFUNCTION("""COMPUTED_VALUE"""),"V4")</f>
        <v>V4</v>
      </c>
      <c r="J603" s="5" t="str">
        <f>IFERROR(__xludf.DUMMYFUNCTION("""COMPUTED_VALUE"""),"JSON")</f>
        <v>JSON</v>
      </c>
      <c r="K603" s="5" t="str">
        <f>IFERROR(__xludf.DUMMYFUNCTION("""COMPUTED_VALUE"""),"Slot")</f>
        <v>Slot</v>
      </c>
      <c r="L603" s="5" t="str">
        <f>IFERROR(__xludf.DUMMYFUNCTION("""COMPUTED_VALUE""")," Clone")</f>
        <v> Clone</v>
      </c>
      <c r="M603" s="5" t="str">
        <f>IFERROR(__xludf.DUMMYFUNCTION("""COMPUTED_VALUE"""),"Bonus Epic Crown")</f>
        <v>Bonus Epic Crown</v>
      </c>
      <c r="N603" s="5"/>
      <c r="O603" s="5"/>
      <c r="P603" s="12"/>
      <c r="Q603" s="13">
        <f>IFERROR(__xludf.DUMMYFUNCTION("""COMPUTED_VALUE"""),45943.0)</f>
        <v>45943</v>
      </c>
      <c r="R603" s="13"/>
      <c r="S603" s="13"/>
      <c r="T603" s="5"/>
      <c r="U603" s="5" t="str">
        <f>IFERROR(__xludf.DUMMYFUNCTION("""COMPUTED_VALUE"""),"5x3")</f>
        <v>5x3</v>
      </c>
      <c r="V603" s="5">
        <f>IFERROR(__xludf.DUMMYFUNCTION("""COMPUTED_VALUE"""),10.0)</f>
        <v>10</v>
      </c>
      <c r="W603" s="5"/>
      <c r="X603" s="5">
        <f>IFERROR(__xludf.DUMMYFUNCTION("""COMPUTED_VALUE"""),96.533)</f>
        <v>96.533</v>
      </c>
      <c r="Y603" s="5" t="str">
        <f>IFERROR(__xludf.DUMMYFUNCTION("""COMPUTED_VALUE"""),"High")</f>
        <v>High</v>
      </c>
      <c r="Z603" s="5"/>
      <c r="AA603" s="5">
        <f>IFERROR(__xludf.DUMMYFUNCTION("""COMPUTED_VALUE"""),20108.0)</f>
        <v>20108</v>
      </c>
      <c r="AB603" s="5"/>
      <c r="AC603" s="5"/>
      <c r="AD603" s="5"/>
      <c r="AE603" s="5"/>
      <c r="AF603" s="5"/>
      <c r="AG603" s="8">
        <f>IFERROR(__xludf.DUMMYFUNCTION("""COMPUTED_VALUE"""),46063.54023148148)</f>
        <v>46063.54023</v>
      </c>
      <c r="AH603" s="5" t="str">
        <f>IFERROR(__xludf.DUMMYFUNCTION("""COMPUTED_VALUE"""),"petra.ilic@fazi.rs")</f>
        <v>petra.ilic@fazi.rs</v>
      </c>
      <c r="AI603" s="13"/>
      <c r="AJ603" s="5"/>
      <c r="AK603" s="5">
        <f>IFERROR(__xludf.DUMMYFUNCTION("""COMPUTED_VALUE"""),10.0)</f>
        <v>10</v>
      </c>
      <c r="AL603" s="5" t="str">
        <f>IFERROR(__xludf.DUMMYFUNCTION("""COMPUTED_VALUE"""),"Yes")</f>
        <v>Yes</v>
      </c>
      <c r="AM603" s="5"/>
      <c r="AN603" s="5"/>
      <c r="AO603" s="5"/>
      <c r="AP603" s="5" t="str">
        <f>IFERROR(__xludf.DUMMYFUNCTION("""COMPUTED_VALUE"""),"Yes")</f>
        <v>Yes</v>
      </c>
      <c r="AQ603" s="5"/>
      <c r="AR603" s="5" t="b">
        <f>IFERROR(__xludf.DUMMYFUNCTION("""COMPUTED_VALUE"""),TRUE)</f>
        <v>1</v>
      </c>
      <c r="AS603" s="5"/>
      <c r="AT603" s="5"/>
      <c r="AU603" s="5" t="str">
        <f>IFERROR(__xludf.DUMMYFUNCTION("""COMPUTED_VALUE"""),"Fazi")</f>
        <v>Fazi</v>
      </c>
      <c r="AV603" s="5"/>
      <c r="AW603" s="5"/>
      <c r="AX603" s="13">
        <f>IFERROR(__xludf.DUMMYFUNCTION("""COMPUTED_VALUE"""),45937.0)</f>
        <v>45937</v>
      </c>
      <c r="AY603" s="13"/>
      <c r="AZ603" s="13"/>
      <c r="BA603" s="5" t="str">
        <f>IFERROR(__xludf.DUMMYFUNCTION("""COMPUTED_VALUE"""),"")</f>
        <v/>
      </c>
      <c r="BB603" s="5"/>
      <c r="BC603" s="5" t="str">
        <f>IFERROR(__xludf.DUMMYFUNCTION("""COMPUTED_VALUE"""),"Foxi")</f>
        <v>Foxi</v>
      </c>
      <c r="BD603" s="5" t="str">
        <f>IFERROR(__xludf.DUMMYFUNCTION("""COMPUTED_VALUE"""),"")</f>
        <v/>
      </c>
      <c r="BE603" s="5"/>
    </row>
    <row r="604">
      <c r="A604" s="5">
        <f>IFERROR(__xludf.DUMMYFUNCTION("""COMPUTED_VALUE"""),639.0)</f>
        <v>639</v>
      </c>
      <c r="B604" s="5">
        <f>IFERROR(__xludf.DUMMYFUNCTION("""COMPUTED_VALUE"""),4025.0)</f>
        <v>4025</v>
      </c>
      <c r="C604" s="5" t="str">
        <f>IFERROR(__xludf.DUMMYFUNCTION("""COMPUTED_VALUE"""),"Fazi")</f>
        <v>Fazi</v>
      </c>
      <c r="D604" s="5" t="str">
        <f>IFERROR(__xludf.DUMMYFUNCTION("""COMPUTED_VALUE"""),"Cratos Hot 40")</f>
        <v>Cratos Hot 40</v>
      </c>
      <c r="E604" s="5" t="str">
        <f>IFERROR(__xludf.DUMMYFUNCTION("""COMPUTED_VALUE"""),"Sertifikacioni")</f>
        <v>Sertifikacioni</v>
      </c>
      <c r="F604" s="5" t="str">
        <f>IFERROR(__xludf.DUMMYFUNCTION("""COMPUTED_VALUE"""),"CratosHot40")</f>
        <v>CratosHot40</v>
      </c>
      <c r="G604" s="5" t="str">
        <f>IFERROR(__xludf.DUMMYFUNCTION("""COMPUTED_VALUE"""),"Deployed")</f>
        <v>Deployed</v>
      </c>
      <c r="H604" s="5" t="str">
        <f>IFERROR(__xludf.DUMMYFUNCTION("""COMPUTED_VALUE"""),"BNW")</f>
        <v>BNW</v>
      </c>
      <c r="I604" s="5" t="str">
        <f>IFERROR(__xludf.DUMMYFUNCTION("""COMPUTED_VALUE"""),"V2")</f>
        <v>V2</v>
      </c>
      <c r="J604" s="5" t="str">
        <f>IFERROR(__xludf.DUMMYFUNCTION("""COMPUTED_VALUE"""),"JSON")</f>
        <v>JSON</v>
      </c>
      <c r="K604" s="5" t="str">
        <f>IFERROR(__xludf.DUMMYFUNCTION("""COMPUTED_VALUE"""),"Slot")</f>
        <v>Slot</v>
      </c>
      <c r="L604" s="5" t="str">
        <f>IFERROR(__xludf.DUMMYFUNCTION("""COMPUTED_VALUE""")," Clone")</f>
        <v> Clone</v>
      </c>
      <c r="M604" s="5" t="str">
        <f>IFERROR(__xludf.DUMMYFUNCTION("""COMPUTED_VALUE"""),"Wild Hot 40")</f>
        <v>Wild Hot 40</v>
      </c>
      <c r="N604" s="5"/>
      <c r="O604" s="5"/>
      <c r="P604" s="12"/>
      <c r="Q604" s="13">
        <f>IFERROR(__xludf.DUMMYFUNCTION("""COMPUTED_VALUE"""),45943.0)</f>
        <v>45943</v>
      </c>
      <c r="R604" s="13"/>
      <c r="S604" s="13"/>
      <c r="T604" s="5"/>
      <c r="U604" s="5" t="str">
        <f>IFERROR(__xludf.DUMMYFUNCTION("""COMPUTED_VALUE"""),"5x4")</f>
        <v>5x4</v>
      </c>
      <c r="V604" s="5">
        <f>IFERROR(__xludf.DUMMYFUNCTION("""COMPUTED_VALUE"""),40.0)</f>
        <v>40</v>
      </c>
      <c r="W604" s="5">
        <f>IFERROR(__xludf.DUMMYFUNCTION("""COMPUTED_VALUE"""),40.0)</f>
        <v>40</v>
      </c>
      <c r="X604" s="5">
        <f>IFERROR(__xludf.DUMMYFUNCTION("""COMPUTED_VALUE"""),96.584)</f>
        <v>96.584</v>
      </c>
      <c r="Y604" s="5" t="str">
        <f>IFERROR(__xludf.DUMMYFUNCTION("""COMPUTED_VALUE"""),"Low")</f>
        <v>Low</v>
      </c>
      <c r="Z604" s="5"/>
      <c r="AA604" s="5">
        <f>IFERROR(__xludf.DUMMYFUNCTION("""COMPUTED_VALUE"""),16.73)</f>
        <v>16.73</v>
      </c>
      <c r="AB604" s="5"/>
      <c r="AC604" s="5"/>
      <c r="AD604" s="5"/>
      <c r="AE604" s="5"/>
      <c r="AF604" s="5"/>
      <c r="AG604" s="8">
        <f>IFERROR(__xludf.DUMMYFUNCTION("""COMPUTED_VALUE"""),45995.56857638889)</f>
        <v>45995.56858</v>
      </c>
      <c r="AH604" s="5" t="str">
        <f>IFERROR(__xludf.DUMMYFUNCTION("""COMPUTED_VALUE"""),"djordje.jankovic@fazi.rs")</f>
        <v>djordje.jankovic@fazi.rs</v>
      </c>
      <c r="AI604" s="13"/>
      <c r="AJ604" s="5"/>
      <c r="AK604" s="5">
        <f>IFERROR(__xludf.DUMMYFUNCTION("""COMPUTED_VALUE"""),40.0)</f>
        <v>40</v>
      </c>
      <c r="AL604" s="5" t="str">
        <f>IFERROR(__xludf.DUMMYFUNCTION("""COMPUTED_VALUE"""),"Yes")</f>
        <v>Yes</v>
      </c>
      <c r="AM604" s="5"/>
      <c r="AN604" s="5"/>
      <c r="AO604" s="5"/>
      <c r="AP604" s="5"/>
      <c r="AQ604" s="5"/>
      <c r="AR604" s="5" t="b">
        <f>IFERROR(__xludf.DUMMYFUNCTION("""COMPUTED_VALUE"""),TRUE)</f>
        <v>1</v>
      </c>
      <c r="AS604" s="5"/>
      <c r="AT604" s="5"/>
      <c r="AU604" s="5" t="str">
        <f>IFERROR(__xludf.DUMMYFUNCTION("""COMPUTED_VALUE"""),"Fazi")</f>
        <v>Fazi</v>
      </c>
      <c r="AV604" s="5"/>
      <c r="AW604" s="5"/>
      <c r="AX604" s="13">
        <f>IFERROR(__xludf.DUMMYFUNCTION("""COMPUTED_VALUE"""),45937.0)</f>
        <v>45937</v>
      </c>
      <c r="AY604" s="13"/>
      <c r="AZ604" s="13"/>
      <c r="BA604" s="5" t="str">
        <f>IFERROR(__xludf.DUMMYFUNCTION("""COMPUTED_VALUE"""),"")</f>
        <v/>
      </c>
      <c r="BB604" s="5"/>
      <c r="BC604" s="5" t="str">
        <f>IFERROR(__xludf.DUMMYFUNCTION("""COMPUTED_VALUE"""),"Foxi")</f>
        <v>Foxi</v>
      </c>
      <c r="BD604" s="5" t="str">
        <f>IFERROR(__xludf.DUMMYFUNCTION("""COMPUTED_VALUE"""),"")</f>
        <v/>
      </c>
      <c r="BE604" s="5"/>
    </row>
    <row r="605">
      <c r="A605" s="5">
        <f>IFERROR(__xludf.DUMMYFUNCTION("""COMPUTED_VALUE"""),640.0)</f>
        <v>640</v>
      </c>
      <c r="B605" s="5">
        <f>IFERROR(__xludf.DUMMYFUNCTION("""COMPUTED_VALUE"""),999997.0)</f>
        <v>999997</v>
      </c>
      <c r="C605" s="5" t="str">
        <f>IFERROR(__xludf.DUMMYFUNCTION("""COMPUTED_VALUE"""),"SOKO studio")</f>
        <v>SOKO studio</v>
      </c>
      <c r="D605" s="5" t="str">
        <f>IFERROR(__xludf.DUMMYFUNCTION("""COMPUTED_VALUE"""),"Planet Dice Escape")</f>
        <v>Planet Dice Escape</v>
      </c>
      <c r="E605" s="5" t="str">
        <f>IFERROR(__xludf.DUMMYFUNCTION("""COMPUTED_VALUE"""),"SOKO studio")</f>
        <v>SOKO studio</v>
      </c>
      <c r="F605" s="5" t="str">
        <f>IFERROR(__xludf.DUMMYFUNCTION("""COMPUTED_VALUE"""),"planet-dice-escape")</f>
        <v>planet-dice-escape</v>
      </c>
      <c r="G605" s="5" t="str">
        <f>IFERROR(__xludf.DUMMYFUNCTION("""COMPUTED_VALUE"""),"Live")</f>
        <v>Live</v>
      </c>
      <c r="H605" s="5"/>
      <c r="I605" s="5" t="str">
        <f>IFERROR(__xludf.DUMMYFUNCTION("""COMPUTED_VALUE"""),"SOKO studio")</f>
        <v>SOKO studio</v>
      </c>
      <c r="J605" s="5" t="str">
        <f>IFERROR(__xludf.DUMMYFUNCTION("""COMPUTED_VALUE"""),"Aggregation platform")</f>
        <v>Aggregation platform</v>
      </c>
      <c r="K605" s="5" t="str">
        <f>IFERROR(__xludf.DUMMYFUNCTION("""COMPUTED_VALUE"""),"Dice Slots")</f>
        <v>Dice Slots</v>
      </c>
      <c r="L605" s="5"/>
      <c r="M605" s="5"/>
      <c r="N605" s="7" t="str">
        <f>IFERROR(__xludf.DUMMYFUNCTION("""COMPUTED_VALUE"""),"https://docs.google.com/document/d/1iu0RrgAD6QmQzXKSZ8XsXqF5xa9Try95/edit?usp=sharing&amp;ouid=111339991327238394179&amp;rtpof=true&amp;sd=true")</f>
        <v>https://docs.google.com/document/d/1iu0RrgAD6QmQzXKSZ8XsXqF5xa9Try95/edit?usp=sharing&amp;ouid=111339991327238394179&amp;rtpof=true&amp;sd=true</v>
      </c>
      <c r="O605" s="5"/>
      <c r="P605" s="5">
        <f>IFERROR(__xludf.DUMMYFUNCTION("""COMPUTED_VALUE"""),14.53)</f>
        <v>14.53</v>
      </c>
      <c r="Q605" s="13">
        <f>IFERROR(__xludf.DUMMYFUNCTION("""COMPUTED_VALUE"""),45957.0)</f>
        <v>45957</v>
      </c>
      <c r="R605" s="13">
        <f>IFERROR(__xludf.DUMMYFUNCTION("""COMPUTED_VALUE"""),45957.0)</f>
        <v>45957</v>
      </c>
      <c r="S605" s="13">
        <f>IFERROR(__xludf.DUMMYFUNCTION("""COMPUTED_VALUE"""),45964.0)</f>
        <v>45964</v>
      </c>
      <c r="T605" s="5" t="b">
        <f>IFERROR(__xludf.DUMMYFUNCTION("""COMPUTED_VALUE"""),TRUE)</f>
        <v>1</v>
      </c>
      <c r="U605" s="5"/>
      <c r="V605" s="5"/>
      <c r="W605" s="5"/>
      <c r="X605" s="5">
        <f>IFERROR(__xludf.DUMMYFUNCTION("""COMPUTED_VALUE"""),97.0)</f>
        <v>97</v>
      </c>
      <c r="Y605" s="5"/>
      <c r="Z605" s="5"/>
      <c r="AA605" s="5">
        <f>IFERROR(__xludf.DUMMYFUNCTION("""COMPUTED_VALUE"""),4898.5)</f>
        <v>4898.5</v>
      </c>
      <c r="AB605" s="5"/>
      <c r="AC605" s="5"/>
      <c r="AD605" s="5" t="str">
        <f>IFERROR(__xludf.DUMMYFUNCTION("""COMPUTED_VALUE"""),"0.05€/50€")</f>
        <v>0.05€/50€</v>
      </c>
      <c r="AE605" s="5"/>
      <c r="AF605" s="5"/>
      <c r="AG605" s="8">
        <f>IFERROR(__xludf.DUMMYFUNCTION("""COMPUTED_VALUE"""),46083.695925925924)</f>
        <v>46083.69593</v>
      </c>
      <c r="AH605" s="5" t="str">
        <f>IFERROR(__xludf.DUMMYFUNCTION("""COMPUTED_VALUE"""),"vanja.svetska@fazi.rs")</f>
        <v>vanja.svetska@fazi.rs</v>
      </c>
      <c r="AI605" s="13"/>
      <c r="AJ605" s="5"/>
      <c r="AK605" s="5"/>
      <c r="AL605" s="5"/>
      <c r="AM605" s="5"/>
      <c r="AN605" s="7" t="str">
        <f>IFERROR(__xludf.DUMMYFUNCTION("""COMPUTED_VALUE"""),"https://planet-dice-escape.soko.games/")</f>
        <v>https://planet-dice-escape.soko.games/</v>
      </c>
      <c r="AO605" s="5"/>
      <c r="AP605" s="5"/>
      <c r="AQ605" s="5"/>
      <c r="AR605" s="5"/>
      <c r="AS605" s="5" t="str">
        <f>IFERROR(__xludf.DUMMYFUNCTION("""COMPUTED_VALUE"""),"In Planet Dice Escape, your mission is to launch a rocket into space - but only if the stars
align in your favor. Predict the perfect launch angle and the odds of a crash, then watch the
rocket blast off… or explode on the pad.")</f>
        <v>In Planet Dice Escape, your mission is to launch a rocket into space - but only if the stars
align in your favor. Predict the perfect launch angle and the odds of a crash, then watch the
rocket blast off… or explode on the pad.</v>
      </c>
      <c r="AT605" s="5"/>
      <c r="AU605" s="5" t="str">
        <f>IFERROR(__xludf.DUMMYFUNCTION("""COMPUTED_VALUE"""),"SOKO studio")</f>
        <v>SOKO studio</v>
      </c>
      <c r="AV605" s="5"/>
      <c r="AW605" s="5"/>
      <c r="AX605" s="13">
        <f>IFERROR(__xludf.DUMMYFUNCTION("""COMPUTED_VALUE"""),45951.0)</f>
        <v>45951</v>
      </c>
      <c r="AY605" s="13"/>
      <c r="AZ605" s="13"/>
      <c r="BA605" s="5" t="str">
        <f>IFERROR(__xludf.DUMMYFUNCTION("""COMPUTED_VALUE"""),"")</f>
        <v/>
      </c>
      <c r="BB605" s="5"/>
      <c r="BC605" s="5" t="str">
        <f>IFERROR(__xludf.DUMMYFUNCTION("""COMPUTED_VALUE"""),"SOKO studio")</f>
        <v>SOKO studio</v>
      </c>
      <c r="BD605" s="7" t="str">
        <f>IFERROR(__xludf.DUMMYFUNCTION("""COMPUTED_VALUE"""),"https://planet-dice-escape.soko.games/")</f>
        <v>https://planet-dice-escape.soko.games/</v>
      </c>
      <c r="BE605" s="5"/>
    </row>
    <row r="606">
      <c r="A606" s="5">
        <f>IFERROR(__xludf.DUMMYFUNCTION("""COMPUTED_VALUE"""),641.0)</f>
        <v>641</v>
      </c>
      <c r="B606" s="5">
        <f>IFERROR(__xludf.DUMMYFUNCTION("""COMPUTED_VALUE"""),999996.0)</f>
        <v>999996</v>
      </c>
      <c r="C606" s="5" t="str">
        <f>IFERROR(__xludf.DUMMYFUNCTION("""COMPUTED_VALUE"""),"SOKO studio")</f>
        <v>SOKO studio</v>
      </c>
      <c r="D606" s="5" t="str">
        <f>IFERROR(__xludf.DUMMYFUNCTION("""COMPUTED_VALUE"""),"Wild Tiki Mayhem")</f>
        <v>Wild Tiki Mayhem</v>
      </c>
      <c r="E606" s="5" t="str">
        <f>IFERROR(__xludf.DUMMYFUNCTION("""COMPUTED_VALUE"""),"SOKO studio")</f>
        <v>SOKO studio</v>
      </c>
      <c r="F606" s="5" t="str">
        <f>IFERROR(__xludf.DUMMYFUNCTION("""COMPUTED_VALUE"""),"wild-tiki-mayhem")</f>
        <v>wild-tiki-mayhem</v>
      </c>
      <c r="G606" s="5" t="str">
        <f>IFERROR(__xludf.DUMMYFUNCTION("""COMPUTED_VALUE"""),"Live")</f>
        <v>Live</v>
      </c>
      <c r="H606" s="5"/>
      <c r="I606" s="5" t="str">
        <f>IFERROR(__xludf.DUMMYFUNCTION("""COMPUTED_VALUE"""),"SOKO studio")</f>
        <v>SOKO studio</v>
      </c>
      <c r="J606" s="5" t="str">
        <f>IFERROR(__xludf.DUMMYFUNCTION("""COMPUTED_VALUE"""),"Aggregation platform")</f>
        <v>Aggregation platform</v>
      </c>
      <c r="K606" s="5" t="str">
        <f>IFERROR(__xludf.DUMMYFUNCTION("""COMPUTED_VALUE"""),"Slot")</f>
        <v>Slot</v>
      </c>
      <c r="L606" s="5"/>
      <c r="M606" s="5"/>
      <c r="N606" s="7" t="str">
        <f>IFERROR(__xludf.DUMMYFUNCTION("""COMPUTED_VALUE"""),"https://docs.google.com/document/d/1kZ4kAh-gpuF_5xP4c2lczTY31oFixz7T/edit?usp=sharing&amp;ouid=111339991327238394179&amp;rtpof=true&amp;sd=true")</f>
        <v>https://docs.google.com/document/d/1kZ4kAh-gpuF_5xP4c2lczTY31oFixz7T/edit?usp=sharing&amp;ouid=111339991327238394179&amp;rtpof=true&amp;sd=true</v>
      </c>
      <c r="O606" s="5"/>
      <c r="P606" s="5">
        <f>IFERROR(__xludf.DUMMYFUNCTION("""COMPUTED_VALUE"""),20.3)</f>
        <v>20.3</v>
      </c>
      <c r="Q606" s="13">
        <f>IFERROR(__xludf.DUMMYFUNCTION("""COMPUTED_VALUE"""),45971.0)</f>
        <v>45971</v>
      </c>
      <c r="R606" s="13">
        <f>IFERROR(__xludf.DUMMYFUNCTION("""COMPUTED_VALUE"""),45972.0)</f>
        <v>45972</v>
      </c>
      <c r="S606" s="13">
        <f>IFERROR(__xludf.DUMMYFUNCTION("""COMPUTED_VALUE"""),45979.0)</f>
        <v>45979</v>
      </c>
      <c r="T606" s="5" t="b">
        <f>IFERROR(__xludf.DUMMYFUNCTION("""COMPUTED_VALUE"""),TRUE)</f>
        <v>1</v>
      </c>
      <c r="U606" s="5" t="str">
        <f>IFERROR(__xludf.DUMMYFUNCTION("""COMPUTED_VALUE"""),"5 reels x 3 rows")</f>
        <v>5 reels x 3 rows</v>
      </c>
      <c r="V606" s="5">
        <f>IFERROR(__xludf.DUMMYFUNCTION("""COMPUTED_VALUE"""),5.0)</f>
        <v>5</v>
      </c>
      <c r="W606" s="5"/>
      <c r="X606" s="5">
        <f>IFERROR(__xludf.DUMMYFUNCTION("""COMPUTED_VALUE"""),95.13)</f>
        <v>95.13</v>
      </c>
      <c r="Y606" s="5" t="str">
        <f>IFERROR(__xludf.DUMMYFUNCTION("""COMPUTED_VALUE"""),"High")</f>
        <v>High</v>
      </c>
      <c r="Z606" s="5">
        <f>IFERROR(__xludf.DUMMYFUNCTION("""COMPUTED_VALUE"""),16.4)</f>
        <v>16.4</v>
      </c>
      <c r="AA606" s="5">
        <f>IFERROR(__xludf.DUMMYFUNCTION("""COMPUTED_VALUE"""),1234.0)</f>
        <v>1234</v>
      </c>
      <c r="AB606" s="5"/>
      <c r="AC606" s="5"/>
      <c r="AD606" s="5" t="str">
        <f>IFERROR(__xludf.DUMMYFUNCTION("""COMPUTED_VALUE"""),"0.05€/50€")</f>
        <v>0.05€/50€</v>
      </c>
      <c r="AE606" s="5"/>
      <c r="AF606" s="5"/>
      <c r="AG606" s="8">
        <f>IFERROR(__xludf.DUMMYFUNCTION("""COMPUTED_VALUE"""),46083.69428240741)</f>
        <v>46083.69428</v>
      </c>
      <c r="AH606" s="5" t="str">
        <f>IFERROR(__xludf.DUMMYFUNCTION("""COMPUTED_VALUE"""),"vanja.svetska@fazi.rs")</f>
        <v>vanja.svetska@fazi.rs</v>
      </c>
      <c r="AI606" s="13"/>
      <c r="AJ606" s="5"/>
      <c r="AK606" s="5"/>
      <c r="AL606" s="5"/>
      <c r="AM606" s="5"/>
      <c r="AN606" s="7" t="str">
        <f>IFERROR(__xludf.DUMMYFUNCTION("""COMPUTED_VALUE"""),"https://wild-tiki-mayhem.soko.games/")</f>
        <v>https://wild-tiki-mayhem.soko.games/</v>
      </c>
      <c r="AO606" s="5"/>
      <c r="AP606" s="5"/>
      <c r="AQ606" s="5"/>
      <c r="AR606" s="5"/>
      <c r="AS606" s="5" t="str">
        <f>IFERROR(__xludf.DUMMYFUNCTION("""COMPUTED_VALUE"""),"Welcome to Wild Tiki Mayhem, a thrilling slot adventure set on a mysterious tropical island! Surrounded by vibrant tiki masks and fiery totems, this 5x3 slot with 5 paylines brings wild energy to every spin. With bold visuals, pulsing tribal spirit, and t"&amp;"he chance to unlock powerful scatters and wilds, every spin draws you deeper into the island’s mayhem and closer to untamed rewards!")</f>
        <v>Welcome to Wild Tiki Mayhem, a thrilling slot adventure set on a mysterious tropical island! Surrounded by vibrant tiki masks and fiery totems, this 5x3 slot with 5 paylines brings wild energy to every spin. With bold visuals, pulsing tribal spirit, and the chance to unlock powerful scatters and wilds, every spin draws you deeper into the island’s mayhem and closer to untamed rewards!</v>
      </c>
      <c r="AT606" s="5"/>
      <c r="AU606" s="5" t="str">
        <f>IFERROR(__xludf.DUMMYFUNCTION("""COMPUTED_VALUE"""),"SOKO studio")</f>
        <v>SOKO studio</v>
      </c>
      <c r="AV606" s="5"/>
      <c r="AW606" s="5"/>
      <c r="AX606" s="13">
        <f>IFERROR(__xludf.DUMMYFUNCTION("""COMPUTED_VALUE"""),45965.0)</f>
        <v>45965</v>
      </c>
      <c r="AY606" s="13"/>
      <c r="AZ606" s="13"/>
      <c r="BA606" s="5" t="str">
        <f>IFERROR(__xludf.DUMMYFUNCTION("""COMPUTED_VALUE"""),"")</f>
        <v/>
      </c>
      <c r="BB606" s="5"/>
      <c r="BC606" s="5" t="str">
        <f>IFERROR(__xludf.DUMMYFUNCTION("""COMPUTED_VALUE"""),"SOKO studio")</f>
        <v>SOKO studio</v>
      </c>
      <c r="BD606" s="7" t="str">
        <f>IFERROR(__xludf.DUMMYFUNCTION("""COMPUTED_VALUE"""),"https://wild-tiki-mayhem.soko.games/")</f>
        <v>https://wild-tiki-mayhem.soko.games/</v>
      </c>
      <c r="BE606" s="5"/>
    </row>
    <row r="607">
      <c r="A607" s="5">
        <f>IFERROR(__xludf.DUMMYFUNCTION("""COMPUTED_VALUE"""),642.0)</f>
        <v>642</v>
      </c>
      <c r="B607" s="5">
        <f>IFERROR(__xludf.DUMMYFUNCTION("""COMPUTED_VALUE"""),4028.0)</f>
        <v>4028</v>
      </c>
      <c r="C607" s="5" t="str">
        <f>IFERROR(__xludf.DUMMYFUNCTION("""COMPUTED_VALUE"""),"Fazi")</f>
        <v>Fazi</v>
      </c>
      <c r="D607" s="5" t="str">
        <f>IFERROR(__xludf.DUMMYFUNCTION("""COMPUTED_VALUE"""),"Wild Hot 223")</f>
        <v>Wild Hot 223</v>
      </c>
      <c r="E607" s="5" t="str">
        <f>IFERROR(__xludf.DUMMYFUNCTION("""COMPUTED_VALUE"""),"Sertifikacioni")</f>
        <v>Sertifikacioni</v>
      </c>
      <c r="F607" s="5" t="str">
        <f>IFERROR(__xludf.DUMMYFUNCTION("""COMPUTED_VALUE"""),"WildHot223")</f>
        <v>WildHot223</v>
      </c>
      <c r="G607" s="5" t="str">
        <f>IFERROR(__xludf.DUMMYFUNCTION("""COMPUTED_VALUE"""),"Deployed")</f>
        <v>Deployed</v>
      </c>
      <c r="H607" s="5" t="str">
        <f>IFERROR(__xludf.DUMMYFUNCTION("""COMPUTED_VALUE"""),"KoralPlay ")</f>
        <v>KoralPlay </v>
      </c>
      <c r="I607" s="5" t="str">
        <f>IFERROR(__xludf.DUMMYFUNCTION("""COMPUTED_VALUE"""),"V2")</f>
        <v>V2</v>
      </c>
      <c r="J607" s="5" t="str">
        <f>IFERROR(__xludf.DUMMYFUNCTION("""COMPUTED_VALUE"""),"JSON")</f>
        <v>JSON</v>
      </c>
      <c r="K607" s="5" t="str">
        <f>IFERROR(__xludf.DUMMYFUNCTION("""COMPUTED_VALUE"""),"Slot")</f>
        <v>Slot</v>
      </c>
      <c r="L607" s="5" t="str">
        <f>IFERROR(__xludf.DUMMYFUNCTION("""COMPUTED_VALUE""")," Clone")</f>
        <v> Clone</v>
      </c>
      <c r="M607" s="5" t="str">
        <f>IFERROR(__xludf.DUMMYFUNCTION("""COMPUTED_VALUE"""),"Wild Hot 40")</f>
        <v>Wild Hot 40</v>
      </c>
      <c r="N607" s="5"/>
      <c r="O607" s="5"/>
      <c r="P607" s="12"/>
      <c r="Q607" s="13">
        <f>IFERROR(__xludf.DUMMYFUNCTION("""COMPUTED_VALUE"""),45957.0)</f>
        <v>45957</v>
      </c>
      <c r="R607" s="13"/>
      <c r="S607" s="13"/>
      <c r="T607" s="5"/>
      <c r="U607" s="5"/>
      <c r="V607" s="5">
        <f>IFERROR(__xludf.DUMMYFUNCTION("""COMPUTED_VALUE"""),40.0)</f>
        <v>40</v>
      </c>
      <c r="W607" s="5"/>
      <c r="X607" s="5">
        <f>IFERROR(__xludf.DUMMYFUNCTION("""COMPUTED_VALUE"""),96.584)</f>
        <v>96.584</v>
      </c>
      <c r="Y607" s="5" t="str">
        <f>IFERROR(__xludf.DUMMYFUNCTION("""COMPUTED_VALUE"""),"Low")</f>
        <v>Low</v>
      </c>
      <c r="Z607" s="5">
        <f>IFERROR(__xludf.DUMMYFUNCTION("""COMPUTED_VALUE"""),16.73)</f>
        <v>16.73</v>
      </c>
      <c r="AA607" s="5">
        <f>IFERROR(__xludf.DUMMYFUNCTION("""COMPUTED_VALUE"""),1000.0)</f>
        <v>1000</v>
      </c>
      <c r="AB607" s="5"/>
      <c r="AC607" s="5"/>
      <c r="AD607" s="5"/>
      <c r="AE607" s="5"/>
      <c r="AF607" s="5"/>
      <c r="AG607" s="8">
        <f>IFERROR(__xludf.DUMMYFUNCTION("""COMPUTED_VALUE"""),46063.531793981485)</f>
        <v>46063.53179</v>
      </c>
      <c r="AH607" s="5" t="str">
        <f>IFERROR(__xludf.DUMMYFUNCTION("""COMPUTED_VALUE"""),"petra.ilic@fazi.rs")</f>
        <v>petra.ilic@fazi.rs</v>
      </c>
      <c r="AI607" s="13"/>
      <c r="AJ607" s="5"/>
      <c r="AK607" s="5">
        <f>IFERROR(__xludf.DUMMYFUNCTION("""COMPUTED_VALUE"""),40.0)</f>
        <v>40</v>
      </c>
      <c r="AL607" s="5" t="str">
        <f>IFERROR(__xludf.DUMMYFUNCTION("""COMPUTED_VALUE"""),"Yes")</f>
        <v>Yes</v>
      </c>
      <c r="AM607" s="5"/>
      <c r="AN607" s="5"/>
      <c r="AO607" s="5"/>
      <c r="AP607" s="5" t="str">
        <f>IFERROR(__xludf.DUMMYFUNCTION("""COMPUTED_VALUE"""),"Yes")</f>
        <v>Yes</v>
      </c>
      <c r="AQ607" s="5"/>
      <c r="AR607" s="5" t="b">
        <f>IFERROR(__xludf.DUMMYFUNCTION("""COMPUTED_VALUE"""),TRUE)</f>
        <v>1</v>
      </c>
      <c r="AS607" s="5"/>
      <c r="AT607" s="5"/>
      <c r="AU607" s="5" t="str">
        <f>IFERROR(__xludf.DUMMYFUNCTION("""COMPUTED_VALUE"""),"Fazi")</f>
        <v>Fazi</v>
      </c>
      <c r="AV607" s="5"/>
      <c r="AW607" s="5"/>
      <c r="AX607" s="13">
        <f>IFERROR(__xludf.DUMMYFUNCTION("""COMPUTED_VALUE"""),45951.0)</f>
        <v>45951</v>
      </c>
      <c r="AY607" s="13"/>
      <c r="AZ607" s="13"/>
      <c r="BA607" s="5" t="str">
        <f>IFERROR(__xludf.DUMMYFUNCTION("""COMPUTED_VALUE"""),"")</f>
        <v/>
      </c>
      <c r="BB607" s="5"/>
      <c r="BC607" s="5" t="str">
        <f>IFERROR(__xludf.DUMMYFUNCTION("""COMPUTED_VALUE"""),"Foxi")</f>
        <v>Foxi</v>
      </c>
      <c r="BD607" s="5" t="str">
        <f>IFERROR(__xludf.DUMMYFUNCTION("""COMPUTED_VALUE"""),"")</f>
        <v/>
      </c>
      <c r="BE607" s="5"/>
    </row>
    <row r="608">
      <c r="A608" s="5">
        <f>IFERROR(__xludf.DUMMYFUNCTION("""COMPUTED_VALUE"""),643.0)</f>
        <v>643</v>
      </c>
      <c r="B608" s="5">
        <f>IFERROR(__xludf.DUMMYFUNCTION("""COMPUTED_VALUE"""),180052.0)</f>
        <v>180052</v>
      </c>
      <c r="C608" s="5" t="str">
        <f>IFERROR(__xludf.DUMMYFUNCTION("""COMPUTED_VALUE"""),"Redstone")</f>
        <v>Redstone</v>
      </c>
      <c r="D608" s="5" t="str">
        <f>IFERROR(__xludf.DUMMYFUNCTION("""COMPUTED_VALUE"""),"5 Wild Diamond")</f>
        <v>5 Wild Diamond</v>
      </c>
      <c r="E608" s="5" t="str">
        <f>IFERROR(__xludf.DUMMYFUNCTION("""COMPUTED_VALUE"""),"Redstone")</f>
        <v>Redstone</v>
      </c>
      <c r="F608" s="5" t="str">
        <f>IFERROR(__xludf.DUMMYFUNCTION("""COMPUTED_VALUE"""),"Redstone5WildDiamond")</f>
        <v>Redstone5WildDiamond</v>
      </c>
      <c r="G608" s="5" t="str">
        <f>IFERROR(__xludf.DUMMYFUNCTION("""COMPUTED_VALUE"""),"Live")</f>
        <v>Live</v>
      </c>
      <c r="H608" s="5"/>
      <c r="I608" s="5" t="str">
        <f>IFERROR(__xludf.DUMMYFUNCTION("""COMPUTED_VALUE"""),"Redstone")</f>
        <v>Redstone</v>
      </c>
      <c r="J608" s="5" t="str">
        <f>IFERROR(__xludf.DUMMYFUNCTION("""COMPUTED_VALUE"""),"JSON")</f>
        <v>JSON</v>
      </c>
      <c r="K608" s="5" t="str">
        <f>IFERROR(__xludf.DUMMYFUNCTION("""COMPUTED_VALUE"""),"Slot")</f>
        <v>Slot</v>
      </c>
      <c r="L608" s="5" t="str">
        <f>IFERROR(__xludf.DUMMYFUNCTION("""COMPUTED_VALUE""")," Reskin")</f>
        <v> Reskin</v>
      </c>
      <c r="M608" s="5" t="str">
        <f>IFERROR(__xludf.DUMMYFUNCTION("""COMPUTED_VALUE"""),"5 Clover Fire")</f>
        <v>5 Clover Fire</v>
      </c>
      <c r="N608" s="7" t="str">
        <f>IFERROR(__xludf.DUMMYFUNCTION("""COMPUTED_VALUE"""),"https://docs.google.com/document/d/1-wqW8xdzjNitvuyufm3GsLU75GnufP5F/edit?usp=drive_link&amp;ouid=107596163405648766688&amp;rtpof=true&amp;sd=true")</f>
        <v>https://docs.google.com/document/d/1-wqW8xdzjNitvuyufm3GsLU75GnufP5F/edit?usp=drive_link&amp;ouid=107596163405648766688&amp;rtpof=true&amp;sd=true</v>
      </c>
      <c r="O608" s="7" t="str">
        <f>IFERROR(__xludf.DUMMYFUNCTION("""COMPUTED_VALUE"""),"https://docs.google.com/document/d/1BMCkTR-TX6Vk19Z3mA0o0cp0QhfG4mI1/edit?usp=drive_link&amp;ouid=107596163405648766688&amp;rtpof=true&amp;sd=true")</f>
        <v>https://docs.google.com/document/d/1BMCkTR-TX6Vk19Z3mA0o0cp0QhfG4mI1/edit?usp=drive_link&amp;ouid=107596163405648766688&amp;rtpof=true&amp;sd=true</v>
      </c>
      <c r="P608" s="12">
        <f>IFERROR(__xludf.DUMMYFUNCTION("""COMPUTED_VALUE"""),4.9)</f>
        <v>4.9</v>
      </c>
      <c r="Q608" s="13">
        <f>IFERROR(__xludf.DUMMYFUNCTION("""COMPUTED_VALUE"""),45973.0)</f>
        <v>45973</v>
      </c>
      <c r="R608" s="13">
        <f>IFERROR(__xludf.DUMMYFUNCTION("""COMPUTED_VALUE"""),45993.0)</f>
        <v>45993</v>
      </c>
      <c r="S608" s="13">
        <f>IFERROR(__xludf.DUMMYFUNCTION("""COMPUTED_VALUE"""),46000.0)</f>
        <v>46000</v>
      </c>
      <c r="T608" s="5" t="b">
        <f>IFERROR(__xludf.DUMMYFUNCTION("""COMPUTED_VALUE"""),TRUE)</f>
        <v>1</v>
      </c>
      <c r="U608" s="5" t="str">
        <f>IFERROR(__xludf.DUMMYFUNCTION("""COMPUTED_VALUE"""),"96,45")</f>
        <v>96,45</v>
      </c>
      <c r="V608" s="5">
        <f>IFERROR(__xludf.DUMMYFUNCTION("""COMPUTED_VALUE"""),5.0)</f>
        <v>5</v>
      </c>
      <c r="W608" s="5">
        <f>IFERROR(__xludf.DUMMYFUNCTION("""COMPUTED_VALUE"""),5.0)</f>
        <v>5</v>
      </c>
      <c r="X608" s="5">
        <f>IFERROR(__xludf.DUMMYFUNCTION("""COMPUTED_VALUE"""),96.45)</f>
        <v>96.45</v>
      </c>
      <c r="Y608" s="5" t="str">
        <f>IFERROR(__xludf.DUMMYFUNCTION("""COMPUTED_VALUE"""),"Medium")</f>
        <v>Medium</v>
      </c>
      <c r="Z608" s="5">
        <f>IFERROR(__xludf.DUMMYFUNCTION("""COMPUTED_VALUE"""),14.5)</f>
        <v>14.5</v>
      </c>
      <c r="AA608" s="5">
        <f>IFERROR(__xludf.DUMMYFUNCTION("""COMPUTED_VALUE"""),1222.0)</f>
        <v>1222</v>
      </c>
      <c r="AB608" s="5"/>
      <c r="AC608" s="5" t="str">
        <f>IFERROR(__xludf.DUMMYFUNCTION("""COMPUTED_VALUE"""),"Scatter, Expanding Wild")</f>
        <v>Scatter, Expanding Wild</v>
      </c>
      <c r="AD608" s="5" t="str">
        <f>IFERROR(__xludf.DUMMYFUNCTION("""COMPUTED_VALUE"""),"0.05/30")</f>
        <v>0.05/30</v>
      </c>
      <c r="AE608" s="5"/>
      <c r="AF608" s="5"/>
      <c r="AG608" s="8">
        <f>IFERROR(__xludf.DUMMYFUNCTION("""COMPUTED_VALUE"""),46191.52914351852)</f>
        <v>46191.52914</v>
      </c>
      <c r="AH608" s="5"/>
      <c r="AI608" s="13"/>
      <c r="AJ608" s="5"/>
      <c r="AK608" s="5">
        <f>IFERROR(__xludf.DUMMYFUNCTION("""COMPUTED_VALUE"""),1.0)</f>
        <v>1</v>
      </c>
      <c r="AL608" s="5" t="str">
        <f>IFERROR(__xludf.DUMMYFUNCTION("""COMPUTED_VALUE"""),"No")</f>
        <v>No</v>
      </c>
      <c r="AM608" s="5" t="str">
        <f>IFERROR(__xludf.DUMMYFUNCTION("""COMPUTED_VALUE"""),"No")</f>
        <v>No</v>
      </c>
      <c r="AN608" s="7" t="str">
        <f>IFERROR(__xludf.DUMMYFUNCTION("""COMPUTED_VALUE"""),"https://static.redstone.rs/games/5-wild-diamond/")</f>
        <v>https://static.redstone.rs/games/5-wild-diamond/</v>
      </c>
      <c r="AO608" s="5" t="str">
        <f>IFERROR(__xludf.DUMMYFUNCTION("""COMPUTED_VALUE"""),"No")</f>
        <v>No</v>
      </c>
      <c r="AP608" s="5" t="str">
        <f>IFERROR(__xludf.DUMMYFUNCTION("""COMPUTED_VALUE"""),"No")</f>
        <v>No</v>
      </c>
      <c r="AQ608" s="5" t="b">
        <f>IFERROR(__xludf.DUMMYFUNCTION("""COMPUTED_VALUE"""),TRUE)</f>
        <v>1</v>
      </c>
      <c r="AR608" s="5"/>
      <c r="AS608" s="5" t="str">
        <f>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AT608" s="5"/>
      <c r="AU608" s="5" t="str">
        <f>IFERROR(__xludf.DUMMYFUNCTION("""COMPUTED_VALUE"""),"Redstone")</f>
        <v>Redstone</v>
      </c>
      <c r="AV608" s="5"/>
      <c r="AW608" s="5"/>
      <c r="AX608" s="13">
        <f>IFERROR(__xludf.DUMMYFUNCTION("""COMPUTED_VALUE"""),45965.0)</f>
        <v>45965</v>
      </c>
      <c r="AY608" s="13"/>
      <c r="AZ608" s="13"/>
      <c r="BA608" s="5"/>
      <c r="BB608" s="5" t="b">
        <f>IFERROR(__xludf.DUMMYFUNCTION("""COMPUTED_VALUE"""),TRUE)</f>
        <v>1</v>
      </c>
      <c r="BC608" s="5" t="str">
        <f>IFERROR(__xludf.DUMMYFUNCTION("""COMPUTED_VALUE"""),"Redstone")</f>
        <v>Redstone</v>
      </c>
      <c r="BD608" s="7" t="str">
        <f>IFERROR(__xludf.DUMMYFUNCTION("""COMPUTED_VALUE"""),"https://static.redstone.rs/games/5-wild-diamond/")</f>
        <v>https://static.redstone.rs/games/5-wild-diamond/</v>
      </c>
      <c r="BE608" s="5" t="b">
        <f>IFERROR(__xludf.DUMMYFUNCTION("""COMPUTED_VALUE"""),TRUE)</f>
        <v>1</v>
      </c>
    </row>
    <row r="609">
      <c r="A609" s="5">
        <f>IFERROR(__xludf.DUMMYFUNCTION("""COMPUTED_VALUE"""),644.0)</f>
        <v>644</v>
      </c>
      <c r="B609" s="5">
        <f>IFERROR(__xludf.DUMMYFUNCTION("""COMPUTED_VALUE"""),999999.0)</f>
        <v>999999</v>
      </c>
      <c r="C609" s="5" t="str">
        <f>IFERROR(__xludf.DUMMYFUNCTION("""COMPUTED_VALUE"""),"SOKO studio")</f>
        <v>SOKO studio</v>
      </c>
      <c r="D609" s="5" t="str">
        <f>IFERROR(__xludf.DUMMYFUNCTION("""COMPUTED_VALUE"""),"Christmas Sugar Luck")</f>
        <v>Christmas Sugar Luck</v>
      </c>
      <c r="E609" s="5" t="str">
        <f>IFERROR(__xludf.DUMMYFUNCTION("""COMPUTED_VALUE"""),"SOKO studio")</f>
        <v>SOKO studio</v>
      </c>
      <c r="F609" s="5" t="str">
        <f>IFERROR(__xludf.DUMMYFUNCTION("""COMPUTED_VALUE"""),"christmas-sugar-luck")</f>
        <v>christmas-sugar-luck</v>
      </c>
      <c r="G609" s="5" t="str">
        <f>IFERROR(__xludf.DUMMYFUNCTION("""COMPUTED_VALUE"""),"Live")</f>
        <v>Live</v>
      </c>
      <c r="H609" s="5"/>
      <c r="I609" s="5" t="str">
        <f>IFERROR(__xludf.DUMMYFUNCTION("""COMPUTED_VALUE"""),"SOKO studio")</f>
        <v>SOKO studio</v>
      </c>
      <c r="J609" s="5" t="str">
        <f>IFERROR(__xludf.DUMMYFUNCTION("""COMPUTED_VALUE"""),"Aggregation platform")</f>
        <v>Aggregation platform</v>
      </c>
      <c r="K609" s="5" t="str">
        <f>IFERROR(__xludf.DUMMYFUNCTION("""COMPUTED_VALUE"""),"Slot")</f>
        <v>Slot</v>
      </c>
      <c r="L609" s="5"/>
      <c r="M609" s="5"/>
      <c r="N609" s="7" t="str">
        <f>IFERROR(__xludf.DUMMYFUNCTION("""COMPUTED_VALUE"""),"https://docs.google.com/document/d/1ups8VbsyAU1YSsAfJMMhW8VBCHE40rFtctJjZw8g4cE/edit?usp=sharing")</f>
        <v>https://docs.google.com/document/d/1ups8VbsyAU1YSsAfJMMhW8VBCHE40rFtctJjZw8g4cE/edit?usp=sharing</v>
      </c>
      <c r="O609" s="5"/>
      <c r="P609" s="5">
        <f>IFERROR(__xludf.DUMMYFUNCTION("""COMPUTED_VALUE"""),22.35)</f>
        <v>22.35</v>
      </c>
      <c r="Q609" s="13">
        <f>IFERROR(__xludf.DUMMYFUNCTION("""COMPUTED_VALUE"""),45999.0)</f>
        <v>45999</v>
      </c>
      <c r="R609" s="13"/>
      <c r="S609" s="13">
        <f>IFERROR(__xludf.DUMMYFUNCTION("""COMPUTED_VALUE"""),46006.0)</f>
        <v>46006</v>
      </c>
      <c r="T609" s="5" t="b">
        <f>IFERROR(__xludf.DUMMYFUNCTION("""COMPUTED_VALUE"""),TRUE)</f>
        <v>1</v>
      </c>
      <c r="U609" s="5" t="str">
        <f>IFERROR(__xludf.DUMMYFUNCTION("""COMPUTED_VALUE"""),"5x3")</f>
        <v>5x3</v>
      </c>
      <c r="V609" s="5">
        <f>IFERROR(__xludf.DUMMYFUNCTION("""COMPUTED_VALUE"""),5.0)</f>
        <v>5</v>
      </c>
      <c r="W609" s="5"/>
      <c r="X609" s="5">
        <f>IFERROR(__xludf.DUMMYFUNCTION("""COMPUTED_VALUE"""),94.98)</f>
        <v>94.98</v>
      </c>
      <c r="Y609" s="5" t="str">
        <f>IFERROR(__xludf.DUMMYFUNCTION("""COMPUTED_VALUE"""),"High")</f>
        <v>High</v>
      </c>
      <c r="Z609" s="5">
        <f>IFERROR(__xludf.DUMMYFUNCTION("""COMPUTED_VALUE"""),11.02)</f>
        <v>11.02</v>
      </c>
      <c r="AA609" s="5">
        <f>IFERROR(__xludf.DUMMYFUNCTION("""COMPUTED_VALUE"""),1226.0)</f>
        <v>1226</v>
      </c>
      <c r="AB609" s="5"/>
      <c r="AC609" s="5"/>
      <c r="AD609" s="5" t="str">
        <f>IFERROR(__xludf.DUMMYFUNCTION("""COMPUTED_VALUE"""),"0.05€/50€")</f>
        <v>0.05€/50€</v>
      </c>
      <c r="AE609" s="5"/>
      <c r="AF609" s="5"/>
      <c r="AG609" s="8">
        <f>IFERROR(__xludf.DUMMYFUNCTION("""COMPUTED_VALUE"""),46098.62)</f>
        <v>46098.62</v>
      </c>
      <c r="AH609" s="5" t="str">
        <f>IFERROR(__xludf.DUMMYFUNCTION("""COMPUTED_VALUE"""),"vanja.svetska@fazi.rs")</f>
        <v>vanja.svetska@fazi.rs</v>
      </c>
      <c r="AI609" s="13"/>
      <c r="AJ609" s="5"/>
      <c r="AK609" s="5"/>
      <c r="AL609" s="5"/>
      <c r="AM609" s="5"/>
      <c r="AN609" s="7" t="str">
        <f>IFERROR(__xludf.DUMMYFUNCTION("""COMPUTED_VALUE"""),"https://christmas-sugar-luck.soko.games/")</f>
        <v>https://christmas-sugar-luck.soko.games/</v>
      </c>
      <c r="AO609" s="5"/>
      <c r="AP609" s="5"/>
      <c r="AQ609" s="5"/>
      <c r="AR609" s="5"/>
      <c r="AS609" s="5" t="str">
        <f>IFERROR(__xludf.DUMMYFUNCTION("""COMPUTED_VALUE"""),"Welcome to Christmas Sugar Luck, a merry twist on the classic candy-filled adventure! Step
into a winter wonderland of sweet delights, where gingerbread, lollipops, and holiday cheer
fill every reel. Set on a 5x3 grid with 5 paylines, this game brings the"&amp;" magic of Christmas to life
with every spin!")</f>
        <v>Welcome to Christmas Sugar Luck, a merry twist on the classic candy-filled adventure! Step
into a winter wonderland of sweet delights, where gingerbread, lollipops, and holiday cheer
fill every reel. Set on a 5x3 grid with 5 paylines, this game brings the magic of Christmas to life
with every spin!</v>
      </c>
      <c r="AT609" s="5"/>
      <c r="AU609" s="5" t="str">
        <f>IFERROR(__xludf.DUMMYFUNCTION("""COMPUTED_VALUE"""),"SOKO studio")</f>
        <v>SOKO studio</v>
      </c>
      <c r="AV609" s="5"/>
      <c r="AW609" s="5"/>
      <c r="AX609" s="13">
        <f>IFERROR(__xludf.DUMMYFUNCTION("""COMPUTED_VALUE"""),45993.0)</f>
        <v>45993</v>
      </c>
      <c r="AY609" s="5"/>
      <c r="AZ609" s="5"/>
      <c r="BA609" s="5" t="str">
        <f>IFERROR(__xludf.DUMMYFUNCTION("""COMPUTED_VALUE"""),"")</f>
        <v/>
      </c>
      <c r="BB609" s="5"/>
      <c r="BC609" s="5" t="str">
        <f>IFERROR(__xludf.DUMMYFUNCTION("""COMPUTED_VALUE"""),"SOKO studio")</f>
        <v>SOKO studio</v>
      </c>
      <c r="BD609" s="7" t="str">
        <f>IFERROR(__xludf.DUMMYFUNCTION("""COMPUTED_VALUE"""),"https://christmas-sugar-luck.soko.games/")</f>
        <v>https://christmas-sugar-luck.soko.games/</v>
      </c>
      <c r="BE609" s="5"/>
    </row>
    <row r="610">
      <c r="A610" s="5">
        <f>IFERROR(__xludf.DUMMYFUNCTION("""COMPUTED_VALUE"""),645.0)</f>
        <v>645</v>
      </c>
      <c r="B610" s="5">
        <f>IFERROR(__xludf.DUMMYFUNCTION("""COMPUTED_VALUE"""),4027.0)</f>
        <v>4027</v>
      </c>
      <c r="C610" s="5" t="str">
        <f>IFERROR(__xludf.DUMMYFUNCTION("""COMPUTED_VALUE"""),"Fazi")</f>
        <v>Fazi</v>
      </c>
      <c r="D610" s="5" t="str">
        <f>IFERROR(__xludf.DUMMYFUNCTION("""COMPUTED_VALUE"""),"Konfam Ball")</f>
        <v>Konfam Ball</v>
      </c>
      <c r="E610" s="5" t="str">
        <f>IFERROR(__xludf.DUMMYFUNCTION("""COMPUTED_VALUE"""),"Sertifikacioni")</f>
        <v>Sertifikacioni</v>
      </c>
      <c r="F610" s="5" t="str">
        <f>IFERROR(__xludf.DUMMYFUNCTION("""COMPUTED_VALUE"""),"KonfamBall")</f>
        <v>KonfamBall</v>
      </c>
      <c r="G610" s="5" t="str">
        <f>IFERROR(__xludf.DUMMYFUNCTION("""COMPUTED_VALUE"""),"Deployed")</f>
        <v>Deployed</v>
      </c>
      <c r="H610" s="5" t="str">
        <f>IFERROR(__xludf.DUMMYFUNCTION("""COMPUTED_VALUE"""),"King Makers ")</f>
        <v>King Makers </v>
      </c>
      <c r="I610" s="5" t="str">
        <f>IFERROR(__xludf.DUMMYFUNCTION("""COMPUTED_VALUE"""),"V2")</f>
        <v>V2</v>
      </c>
      <c r="J610" s="5" t="str">
        <f>IFERROR(__xludf.DUMMYFUNCTION("""COMPUTED_VALUE"""),"Binary")</f>
        <v>Binary</v>
      </c>
      <c r="K610" s="5" t="str">
        <f>IFERROR(__xludf.DUMMYFUNCTION("""COMPUTED_VALUE"""),"Slot")</f>
        <v>Slot</v>
      </c>
      <c r="L610" s="5" t="str">
        <f>IFERROR(__xludf.DUMMYFUNCTION("""COMPUTED_VALUE""")," Clone")</f>
        <v> Clone</v>
      </c>
      <c r="M610" s="5" t="str">
        <f>IFERROR(__xludf.DUMMYFUNCTION("""COMPUTED_VALUE"""),"Football Victory")</f>
        <v>Football Victory</v>
      </c>
      <c r="N610" s="5"/>
      <c r="O610" s="5"/>
      <c r="P610" s="12"/>
      <c r="Q610" s="13">
        <f>IFERROR(__xludf.DUMMYFUNCTION("""COMPUTED_VALUE"""),45973.0)</f>
        <v>45973</v>
      </c>
      <c r="R610" s="13"/>
      <c r="S610" s="13"/>
      <c r="T610" s="5"/>
      <c r="U610" s="5" t="str">
        <f>IFERROR(__xludf.DUMMYFUNCTION("""COMPUTED_VALUE"""),"5x3")</f>
        <v>5x3</v>
      </c>
      <c r="V610" s="5">
        <f>IFERROR(__xludf.DUMMYFUNCTION("""COMPUTED_VALUE"""),30.0)</f>
        <v>30</v>
      </c>
      <c r="W610" s="5"/>
      <c r="X610" s="5">
        <f>IFERROR(__xludf.DUMMYFUNCTION("""COMPUTED_VALUE"""),96.48)</f>
        <v>96.48</v>
      </c>
      <c r="Y610" s="5"/>
      <c r="Z610" s="5">
        <f>IFERROR(__xludf.DUMMYFUNCTION("""COMPUTED_VALUE"""),21.289)</f>
        <v>21.289</v>
      </c>
      <c r="AA610" s="5">
        <f>IFERROR(__xludf.DUMMYFUNCTION("""COMPUTED_VALUE"""),2752.0)</f>
        <v>2752</v>
      </c>
      <c r="AB610" s="5">
        <f>IFERROR(__xludf.DUMMYFUNCTION("""COMPUTED_VALUE"""),168.0)</f>
        <v>168</v>
      </c>
      <c r="AC610" s="5"/>
      <c r="AD610" s="5"/>
      <c r="AE610" s="5"/>
      <c r="AF610" s="5"/>
      <c r="AG610" s="8">
        <f>IFERROR(__xludf.DUMMYFUNCTION("""COMPUTED_VALUE"""),45973.713368055556)</f>
        <v>45973.71337</v>
      </c>
      <c r="AH610" s="5" t="str">
        <f>IFERROR(__xludf.DUMMYFUNCTION("""COMPUTED_VALUE"""),"petra.ilic@fazi.rs")</f>
        <v>petra.ilic@fazi.rs</v>
      </c>
      <c r="AI610" s="13"/>
      <c r="AJ610" s="5"/>
      <c r="AK610" s="5">
        <f>IFERROR(__xludf.DUMMYFUNCTION("""COMPUTED_VALUE"""),30.0)</f>
        <v>30</v>
      </c>
      <c r="AL610" s="5" t="str">
        <f>IFERROR(__xludf.DUMMYFUNCTION("""COMPUTED_VALUE"""),"Yes")</f>
        <v>Yes</v>
      </c>
      <c r="AM610" s="5"/>
      <c r="AN610" s="5"/>
      <c r="AO610" s="5"/>
      <c r="AP610" s="5"/>
      <c r="AQ610" s="5"/>
      <c r="AR610" s="5" t="b">
        <f>IFERROR(__xludf.DUMMYFUNCTION("""COMPUTED_VALUE"""),TRUE)</f>
        <v>1</v>
      </c>
      <c r="AS610" s="5"/>
      <c r="AT610" s="5"/>
      <c r="AU610" s="5" t="str">
        <f>IFERROR(__xludf.DUMMYFUNCTION("""COMPUTED_VALUE"""),"Fazi")</f>
        <v>Fazi</v>
      </c>
      <c r="AV610" s="5"/>
      <c r="AW610" s="5"/>
      <c r="AX610" s="13">
        <f>IFERROR(__xludf.DUMMYFUNCTION("""COMPUTED_VALUE"""),45965.0)</f>
        <v>45965</v>
      </c>
      <c r="AY610" s="5"/>
      <c r="AZ610" s="5"/>
      <c r="BA610" s="5" t="str">
        <f>IFERROR(__xludf.DUMMYFUNCTION("""COMPUTED_VALUE"""),"")</f>
        <v/>
      </c>
      <c r="BB610" s="5"/>
      <c r="BC610" s="5" t="str">
        <f>IFERROR(__xludf.DUMMYFUNCTION("""COMPUTED_VALUE"""),"Foxi")</f>
        <v>Foxi</v>
      </c>
      <c r="BD610" s="5" t="str">
        <f>IFERROR(__xludf.DUMMYFUNCTION("""COMPUTED_VALUE"""),"")</f>
        <v/>
      </c>
      <c r="BE610" s="5"/>
    </row>
    <row r="611">
      <c r="A611" s="5">
        <f>IFERROR(__xludf.DUMMYFUNCTION("""COMPUTED_VALUE"""),646.0)</f>
        <v>646</v>
      </c>
      <c r="B611" s="5">
        <f>IFERROR(__xludf.DUMMYFUNCTION("""COMPUTED_VALUE"""),526.0)</f>
        <v>526</v>
      </c>
      <c r="C611" s="5" t="str">
        <f>IFERROR(__xludf.DUMMYFUNCTION("""COMPUTED_VALUE"""),"Tiptop")</f>
        <v>Tiptop</v>
      </c>
      <c r="D611" s="5" t="str">
        <f>IFERROR(__xludf.DUMMYFUNCTION("""COMPUTED_VALUE"""),"Dynamite Boom Dice")</f>
        <v>Dynamite Boom Dice</v>
      </c>
      <c r="E611" s="5" t="str">
        <f>IFERROR(__xludf.DUMMYFUNCTION("""COMPUTED_VALUE"""),"Sertifikacioni")</f>
        <v>Sertifikacioni</v>
      </c>
      <c r="F611" s="5" t="str">
        <f>IFERROR(__xludf.DUMMYFUNCTION("""COMPUTED_VALUE"""),"UnicornDynamiteBoomDice")</f>
        <v>UnicornDynamiteBoomDice</v>
      </c>
      <c r="G611" s="5" t="str">
        <f>IFERROR(__xludf.DUMMYFUNCTION("""COMPUTED_VALUE"""),"Live")</f>
        <v>Live</v>
      </c>
      <c r="H611" s="5"/>
      <c r="I611" s="5"/>
      <c r="J611" s="5" t="str">
        <f>IFERROR(__xludf.DUMMYFUNCTION("""COMPUTED_VALUE"""),"JSON")</f>
        <v>JSON</v>
      </c>
      <c r="K611" s="5" t="str">
        <f>IFERROR(__xludf.DUMMYFUNCTION("""COMPUTED_VALUE"""),"Slot")</f>
        <v>Slot</v>
      </c>
      <c r="L611" s="5" t="str">
        <f>IFERROR(__xludf.DUMMYFUNCTION("""COMPUTED_VALUE""")," Clone")</f>
        <v> Clone</v>
      </c>
      <c r="M611" s="5" t="str">
        <f>IFERROR(__xludf.DUMMYFUNCTION("""COMPUTED_VALUE"""),"Dynamite Boom")</f>
        <v>Dynamite Boom</v>
      </c>
      <c r="N611" s="5"/>
      <c r="O611" s="5"/>
      <c r="P611" s="12">
        <f>IFERROR(__xludf.DUMMYFUNCTION("""COMPUTED_VALUE"""),14.2)</f>
        <v>14.2</v>
      </c>
      <c r="Q611" s="13">
        <f>IFERROR(__xludf.DUMMYFUNCTION("""COMPUTED_VALUE"""),46013.0)</f>
        <v>46013</v>
      </c>
      <c r="R611" s="13">
        <f>IFERROR(__xludf.DUMMYFUNCTION("""COMPUTED_VALUE"""),46043.0)</f>
        <v>46043</v>
      </c>
      <c r="S611" s="13">
        <f>IFERROR(__xludf.DUMMYFUNCTION("""COMPUTED_VALUE"""),46050.0)</f>
        <v>46050</v>
      </c>
      <c r="T611" s="5" t="b">
        <f>IFERROR(__xludf.DUMMYFUNCTION("""COMPUTED_VALUE"""),TRUE)</f>
        <v>1</v>
      </c>
      <c r="U611" s="5" t="str">
        <f>IFERROR(__xludf.DUMMYFUNCTION("""COMPUTED_VALUE"""),"5X3")</f>
        <v>5X3</v>
      </c>
      <c r="V611" s="5">
        <f>IFERROR(__xludf.DUMMYFUNCTION("""COMPUTED_VALUE"""),5.0)</f>
        <v>5</v>
      </c>
      <c r="W611" s="5">
        <f>IFERROR(__xludf.DUMMYFUNCTION("""COMPUTED_VALUE"""),5.0)</f>
        <v>5</v>
      </c>
      <c r="X611" s="5">
        <f>IFERROR(__xludf.DUMMYFUNCTION("""COMPUTED_VALUE"""),96.0)</f>
        <v>96</v>
      </c>
      <c r="Y611" s="5" t="str">
        <f>IFERROR(__xludf.DUMMYFUNCTION("""COMPUTED_VALUE"""),"Low")</f>
        <v>Low</v>
      </c>
      <c r="Z611" s="5">
        <f>IFERROR(__xludf.DUMMYFUNCTION("""COMPUTED_VALUE"""),13.64)</f>
        <v>13.64</v>
      </c>
      <c r="AA611" s="5">
        <f>IFERROR(__xludf.DUMMYFUNCTION("""COMPUTED_VALUE"""),10000.0)</f>
        <v>10000</v>
      </c>
      <c r="AB611" s="5"/>
      <c r="AC611" s="5"/>
      <c r="AD611" s="5" t="str">
        <f>IFERROR(__xludf.DUMMYFUNCTION("""COMPUTED_VALUE"""),"0.05/100")</f>
        <v>0.05/100</v>
      </c>
      <c r="AE611" s="5"/>
      <c r="AF611" s="5"/>
      <c r="AG611" s="8">
        <f>IFERROR(__xludf.DUMMYFUNCTION("""COMPUTED_VALUE"""),46197.5033912037)</f>
        <v>46197.50339</v>
      </c>
      <c r="AH611" s="5" t="str">
        <f>IFERROR(__xludf.DUMMYFUNCTION("""COMPUTED_VALUE"""),"selena.mihajlovic@fazi.rs")</f>
        <v>selena.mihajlovic@fazi.rs</v>
      </c>
      <c r="AI611" s="13"/>
      <c r="AJ611" s="5"/>
      <c r="AK611" s="5">
        <f>IFERROR(__xludf.DUMMYFUNCTION("""COMPUTED_VALUE"""),5.0)</f>
        <v>5</v>
      </c>
      <c r="AL611" s="5" t="str">
        <f>IFERROR(__xludf.DUMMYFUNCTION("""COMPUTED_VALUE"""),"No")</f>
        <v>No</v>
      </c>
      <c r="AM611" s="5"/>
      <c r="AN611" s="7" t="str">
        <f>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AO611" s="5"/>
      <c r="AP611" s="5"/>
      <c r="AQ611" s="5" t="b">
        <f>IFERROR(__xludf.DUMMYFUNCTION("""COMPUTED_VALUE"""),TRUE)</f>
        <v>1</v>
      </c>
      <c r="AR611" s="5"/>
      <c r="AS611" s="5" t="str">
        <f>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AT611" s="5"/>
      <c r="AU611" s="5" t="str">
        <f>IFERROR(__xludf.DUMMYFUNCTION("""COMPUTED_VALUE"""),"Fazi")</f>
        <v>Fazi</v>
      </c>
      <c r="AV611" s="5"/>
      <c r="AW611" s="5"/>
      <c r="AX611" s="13">
        <f>IFERROR(__xludf.DUMMYFUNCTION("""COMPUTED_VALUE"""),46007.0)</f>
        <v>46007</v>
      </c>
      <c r="AY611" s="5"/>
      <c r="AZ611" s="5"/>
      <c r="BA611" s="5"/>
      <c r="BB611" s="5" t="b">
        <f>IFERROR(__xludf.DUMMYFUNCTION("""COMPUTED_VALUE"""),TRUE)</f>
        <v>1</v>
      </c>
      <c r="BC611" s="5" t="str">
        <f>IFERROR(__xludf.DUMMYFUNCTION("""COMPUTED_VALUE"""),"Tiptop")</f>
        <v>Tiptop</v>
      </c>
      <c r="BD611" s="7" t="str">
        <f>IFERROR(__xludf.DUMMYFUNCTION("""COMPUTED_VALUE"""),"https://gameserver-store-client-area.orbionlimited.com/Home/IntegrationGameLaunch/client-area?moneyType=0&amp;gameName=UnicornDynamiteBoomDice&amp;platform=desktop&amp;languageCode=eng&amp;currency=EUR")</f>
        <v>https://gameserver-store-client-area.orbionlimited.com/Home/IntegrationGameLaunch/client-area?moneyType=0&amp;gameName=UnicornDynamiteBoomDice&amp;platform=desktop&amp;languageCode=eng&amp;currency=EUR</v>
      </c>
      <c r="BE611" s="5" t="b">
        <f>IFERROR(__xludf.DUMMYFUNCTION("""COMPUTED_VALUE"""),TRUE)</f>
        <v>1</v>
      </c>
    </row>
    <row r="612">
      <c r="A612" s="5">
        <f>IFERROR(__xludf.DUMMYFUNCTION("""COMPUTED_VALUE"""),647.0)</f>
        <v>647</v>
      </c>
      <c r="B612" s="5">
        <f>IFERROR(__xludf.DUMMYFUNCTION("""COMPUTED_VALUE"""),527.0)</f>
        <v>527</v>
      </c>
      <c r="C612" s="5" t="str">
        <f>IFERROR(__xludf.DUMMYFUNCTION("""COMPUTED_VALUE"""),"Tiptop")</f>
        <v>Tiptop</v>
      </c>
      <c r="D612" s="5" t="str">
        <f>IFERROR(__xludf.DUMMYFUNCTION("""COMPUTED_VALUE"""),"Buffalo Dice Jackpot")</f>
        <v>Buffalo Dice Jackpot</v>
      </c>
      <c r="E612" s="5" t="str">
        <f>IFERROR(__xludf.DUMMYFUNCTION("""COMPUTED_VALUE"""),"Sertifikacioni")</f>
        <v>Sertifikacioni</v>
      </c>
      <c r="F612" s="5" t="str">
        <f>IFERROR(__xludf.DUMMYFUNCTION("""COMPUTED_VALUE"""),"UnicornBuffaloDiceJackpot")</f>
        <v>UnicornBuffaloDiceJackpot</v>
      </c>
      <c r="G612" s="5" t="str">
        <f>IFERROR(__xludf.DUMMYFUNCTION("""COMPUTED_VALUE"""),"Live")</f>
        <v>Live</v>
      </c>
      <c r="H612" s="5"/>
      <c r="I612" s="5"/>
      <c r="J612" s="5" t="str">
        <f>IFERROR(__xludf.DUMMYFUNCTION("""COMPUTED_VALUE"""),"JSON")</f>
        <v>JSON</v>
      </c>
      <c r="K612" s="5" t="str">
        <f>IFERROR(__xludf.DUMMYFUNCTION("""COMPUTED_VALUE"""),"Slot")</f>
        <v>Slot</v>
      </c>
      <c r="L612" s="5" t="str">
        <f>IFERROR(__xludf.DUMMYFUNCTION("""COMPUTED_VALUE""")," Clone")</f>
        <v> Clone</v>
      </c>
      <c r="M612" s="5" t="str">
        <f>IFERROR(__xludf.DUMMYFUNCTION("""COMPUTED_VALUE"""),"Buffalo Sevens Jackpot")</f>
        <v>Buffalo Sevens Jackpot</v>
      </c>
      <c r="N612" s="5"/>
      <c r="O612" s="5"/>
      <c r="P612" s="12">
        <f>IFERROR(__xludf.DUMMYFUNCTION("""COMPUTED_VALUE"""),11.7)</f>
        <v>11.7</v>
      </c>
      <c r="Q612" s="13">
        <f>IFERROR(__xludf.DUMMYFUNCTION("""COMPUTED_VALUE"""),46055.0)</f>
        <v>46055</v>
      </c>
      <c r="R612" s="13">
        <f>IFERROR(__xludf.DUMMYFUNCTION("""COMPUTED_VALUE"""),46064.0)</f>
        <v>46064</v>
      </c>
      <c r="S612" s="13">
        <f>IFERROR(__xludf.DUMMYFUNCTION("""COMPUTED_VALUE"""),46071.0)</f>
        <v>46071</v>
      </c>
      <c r="T612" s="5" t="b">
        <f>IFERROR(__xludf.DUMMYFUNCTION("""COMPUTED_VALUE"""),TRUE)</f>
        <v>1</v>
      </c>
      <c r="U612" s="5" t="str">
        <f>IFERROR(__xludf.DUMMYFUNCTION("""COMPUTED_VALUE"""),"5X3")</f>
        <v>5X3</v>
      </c>
      <c r="V612" s="5">
        <f>IFERROR(__xludf.DUMMYFUNCTION("""COMPUTED_VALUE"""),10.0)</f>
        <v>10</v>
      </c>
      <c r="W612" s="5">
        <f>IFERROR(__xludf.DUMMYFUNCTION("""COMPUTED_VALUE"""),10.0)</f>
        <v>10</v>
      </c>
      <c r="X612" s="5">
        <f>IFERROR(__xludf.DUMMYFUNCTION("""COMPUTED_VALUE"""),96.0)</f>
        <v>96</v>
      </c>
      <c r="Y612" s="5" t="str">
        <f>IFERROR(__xludf.DUMMYFUNCTION("""COMPUTED_VALUE"""),"Low")</f>
        <v>Low</v>
      </c>
      <c r="Z612" s="5">
        <f>IFERROR(__xludf.DUMMYFUNCTION("""COMPUTED_VALUE"""),9.08)</f>
        <v>9.08</v>
      </c>
      <c r="AA612" s="5">
        <f>IFERROR(__xludf.DUMMYFUNCTION("""COMPUTED_VALUE"""),10000.0)</f>
        <v>10000</v>
      </c>
      <c r="AB612" s="5"/>
      <c r="AC612" s="5"/>
      <c r="AD612" s="5" t="str">
        <f>IFERROR(__xludf.DUMMYFUNCTION("""COMPUTED_VALUE"""),"0.1/100")</f>
        <v>0.1/100</v>
      </c>
      <c r="AE612" s="5"/>
      <c r="AF612" s="5"/>
      <c r="AG612" s="8">
        <f>IFERROR(__xludf.DUMMYFUNCTION("""COMPUTED_VALUE"""),46197.50363425926)</f>
        <v>46197.50363</v>
      </c>
      <c r="AH612" s="5" t="str">
        <f>IFERROR(__xludf.DUMMYFUNCTION("""COMPUTED_VALUE"""),"selena.mihajlovic@fazi.rs")</f>
        <v>selena.mihajlovic@fazi.rs</v>
      </c>
      <c r="AI612" s="13">
        <f>IFERROR(__xludf.DUMMYFUNCTION("""COMPUTED_VALUE"""),46057.0)</f>
        <v>46057</v>
      </c>
      <c r="AJ612" s="5" t="str">
        <f>IFERROR(__xludf.DUMMYFUNCTION("""COMPUTED_VALUE"""),"04.02. Peppermill - Belgium")</f>
        <v>04.02. Peppermill - Belgium</v>
      </c>
      <c r="AK612" s="5">
        <f>IFERROR(__xludf.DUMMYFUNCTION("""COMPUTED_VALUE"""),10.0)</f>
        <v>10</v>
      </c>
      <c r="AL612" s="5" t="str">
        <f>IFERROR(__xludf.DUMMYFUNCTION("""COMPUTED_VALUE"""),"No")</f>
        <v>No</v>
      </c>
      <c r="AM612" s="5"/>
      <c r="AN612" s="7" t="str">
        <f>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AO612" s="5"/>
      <c r="AP612" s="5"/>
      <c r="AQ612" s="5" t="b">
        <f>IFERROR(__xludf.DUMMYFUNCTION("""COMPUTED_VALUE"""),TRUE)</f>
        <v>1</v>
      </c>
      <c r="AR612" s="5"/>
      <c r="AS612" s="5" t="str">
        <f>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AT612" s="5"/>
      <c r="AU612" s="5" t="str">
        <f>IFERROR(__xludf.DUMMYFUNCTION("""COMPUTED_VALUE"""),"Fazi")</f>
        <v>Fazi</v>
      </c>
      <c r="AV612" s="5"/>
      <c r="AW612" s="5"/>
      <c r="AX612" s="13">
        <f>IFERROR(__xludf.DUMMYFUNCTION("""COMPUTED_VALUE"""),46049.0)</f>
        <v>46049</v>
      </c>
      <c r="AY612" s="5"/>
      <c r="AZ612" s="5"/>
      <c r="BA612" s="5"/>
      <c r="BB612" s="5" t="b">
        <f>IFERROR(__xludf.DUMMYFUNCTION("""COMPUTED_VALUE"""),TRUE)</f>
        <v>1</v>
      </c>
      <c r="BC612" s="5" t="str">
        <f>IFERROR(__xludf.DUMMYFUNCTION("""COMPUTED_VALUE"""),"Tiptop")</f>
        <v>Tiptop</v>
      </c>
      <c r="BD612" s="7" t="str">
        <f>IFERROR(__xludf.DUMMYFUNCTION("""COMPUTED_VALUE"""),"https://gameserver-store-client-area.orbionlimited.com/Home/IntegrationGameLaunch/client-area?moneyType=0&amp;gameName=UnicornBuffaloDiceJackpot&amp;platform=desktop&amp;languageCode=eng&amp;currency=EUR")</f>
        <v>https://gameserver-store-client-area.orbionlimited.com/Home/IntegrationGameLaunch/client-area?moneyType=0&amp;gameName=UnicornBuffaloDiceJackpot&amp;platform=desktop&amp;languageCode=eng&amp;currency=EUR</v>
      </c>
      <c r="BE612" s="5" t="b">
        <f>IFERROR(__xludf.DUMMYFUNCTION("""COMPUTED_VALUE"""),TRUE)</f>
        <v>1</v>
      </c>
    </row>
    <row r="613">
      <c r="A613" s="5">
        <f>IFERROR(__xludf.DUMMYFUNCTION("""COMPUTED_VALUE"""),648.0)</f>
        <v>648</v>
      </c>
      <c r="B613" s="5">
        <f>IFERROR(__xludf.DUMMYFUNCTION("""COMPUTED_VALUE"""),525.0)</f>
        <v>525</v>
      </c>
      <c r="C613" s="5" t="str">
        <f>IFERROR(__xludf.DUMMYFUNCTION("""COMPUTED_VALUE"""),"Tiptop")</f>
        <v>Tiptop</v>
      </c>
      <c r="D613" s="5" t="str">
        <f>IFERROR(__xludf.DUMMYFUNCTION("""COMPUTED_VALUE"""),"Triple Stacked Diamond Jackpot")</f>
        <v>Triple Stacked Diamond Jackpot</v>
      </c>
      <c r="E613" s="5" t="str">
        <f>IFERROR(__xludf.DUMMYFUNCTION("""COMPUTED_VALUE"""),"Sertifikacioni")</f>
        <v>Sertifikacioni</v>
      </c>
      <c r="F613" s="5" t="str">
        <f>IFERROR(__xludf.DUMMYFUNCTION("""COMPUTED_VALUE"""),"UnicornTripleStackedDiamondJackpot")</f>
        <v>UnicornTripleStackedDiamondJackpot</v>
      </c>
      <c r="G613" s="5" t="str">
        <f>IFERROR(__xludf.DUMMYFUNCTION("""COMPUTED_VALUE"""),"Live")</f>
        <v>Live</v>
      </c>
      <c r="H613" s="5"/>
      <c r="I613" s="5"/>
      <c r="J613" s="5" t="str">
        <f>IFERROR(__xludf.DUMMYFUNCTION("""COMPUTED_VALUE"""),"JSON")</f>
        <v>JSON</v>
      </c>
      <c r="K613" s="5" t="str">
        <f>IFERROR(__xludf.DUMMYFUNCTION("""COMPUTED_VALUE"""),"Slot")</f>
        <v>Slot</v>
      </c>
      <c r="L613" s="5" t="str">
        <f>IFERROR(__xludf.DUMMYFUNCTION("""COMPUTED_VALUE""")," Clone")</f>
        <v> Clone</v>
      </c>
      <c r="M613" s="5" t="str">
        <f>IFERROR(__xludf.DUMMYFUNCTION("""COMPUTED_VALUE"""),"Buffalo Sevens Jackpot")</f>
        <v>Buffalo Sevens Jackpot</v>
      </c>
      <c r="N613" s="5"/>
      <c r="O613" s="5"/>
      <c r="P613" s="12">
        <f>IFERROR(__xludf.DUMMYFUNCTION("""COMPUTED_VALUE"""),11.5)</f>
        <v>11.5</v>
      </c>
      <c r="Q613" s="13">
        <f>IFERROR(__xludf.DUMMYFUNCTION("""COMPUTED_VALUE"""),46013.0)</f>
        <v>46013</v>
      </c>
      <c r="R613" s="13">
        <f>IFERROR(__xludf.DUMMYFUNCTION("""COMPUTED_VALUE"""),46029.0)</f>
        <v>46029</v>
      </c>
      <c r="S613" s="13">
        <f>IFERROR(__xludf.DUMMYFUNCTION("""COMPUTED_VALUE"""),46036.0)</f>
        <v>46036</v>
      </c>
      <c r="T613" s="5" t="b">
        <f>IFERROR(__xludf.DUMMYFUNCTION("""COMPUTED_VALUE"""),TRUE)</f>
        <v>1</v>
      </c>
      <c r="U613" s="5" t="str">
        <f>IFERROR(__xludf.DUMMYFUNCTION("""COMPUTED_VALUE"""),"5X3")</f>
        <v>5X3</v>
      </c>
      <c r="V613" s="5">
        <f>IFERROR(__xludf.DUMMYFUNCTION("""COMPUTED_VALUE"""),10.0)</f>
        <v>10</v>
      </c>
      <c r="W613" s="5">
        <f>IFERROR(__xludf.DUMMYFUNCTION("""COMPUTED_VALUE"""),10.0)</f>
        <v>10</v>
      </c>
      <c r="X613" s="5">
        <f>IFERROR(__xludf.DUMMYFUNCTION("""COMPUTED_VALUE"""),96.0)</f>
        <v>96</v>
      </c>
      <c r="Y613" s="5" t="str">
        <f>IFERROR(__xludf.DUMMYFUNCTION("""COMPUTED_VALUE"""),"Low")</f>
        <v>Low</v>
      </c>
      <c r="Z613" s="5">
        <f>IFERROR(__xludf.DUMMYFUNCTION("""COMPUTED_VALUE"""),9.08)</f>
        <v>9.08</v>
      </c>
      <c r="AA613" s="5">
        <f>IFERROR(__xludf.DUMMYFUNCTION("""COMPUTED_VALUE"""),10000.0)</f>
        <v>10000</v>
      </c>
      <c r="AB613" s="5"/>
      <c r="AC613" s="5"/>
      <c r="AD613" s="5" t="str">
        <f>IFERROR(__xludf.DUMMYFUNCTION("""COMPUTED_VALUE"""),"0.1/100")</f>
        <v>0.1/100</v>
      </c>
      <c r="AE613" s="5"/>
      <c r="AF613" s="5"/>
      <c r="AG613" s="8">
        <f>IFERROR(__xludf.DUMMYFUNCTION("""COMPUTED_VALUE"""),46197.504155092596)</f>
        <v>46197.50416</v>
      </c>
      <c r="AH613" s="5" t="str">
        <f>IFERROR(__xludf.DUMMYFUNCTION("""COMPUTED_VALUE"""),"selena.mihajlovic@fazi.rs")</f>
        <v>selena.mihajlovic@fazi.rs</v>
      </c>
      <c r="AI613" s="13">
        <f>IFERROR(__xludf.DUMMYFUNCTION("""COMPUTED_VALUE"""),46014.0)</f>
        <v>46014</v>
      </c>
      <c r="AJ613" s="5" t="str">
        <f>IFERROR(__xludf.DUMMYFUNCTION("""COMPUTED_VALUE"""),"Koral Play")</f>
        <v>Koral Play</v>
      </c>
      <c r="AK613" s="5">
        <f>IFERROR(__xludf.DUMMYFUNCTION("""COMPUTED_VALUE"""),10.0)</f>
        <v>10</v>
      </c>
      <c r="AL613" s="5" t="str">
        <f>IFERROR(__xludf.DUMMYFUNCTION("""COMPUTED_VALUE"""),"No")</f>
        <v>No</v>
      </c>
      <c r="AM613" s="5"/>
      <c r="AN613" s="7" t="str">
        <f>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AO613" s="5"/>
      <c r="AP613" s="5"/>
      <c r="AQ613" s="5" t="b">
        <f>IFERROR(__xludf.DUMMYFUNCTION("""COMPUTED_VALUE"""),TRUE)</f>
        <v>1</v>
      </c>
      <c r="AR613" s="5"/>
      <c r="AS613" s="5" t="str">
        <f>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AT613" s="5"/>
      <c r="AU613" s="5" t="str">
        <f>IFERROR(__xludf.DUMMYFUNCTION("""COMPUTED_VALUE"""),"Fazi")</f>
        <v>Fazi</v>
      </c>
      <c r="AV613" s="5"/>
      <c r="AW613" s="5"/>
      <c r="AX613" s="13">
        <f>IFERROR(__xludf.DUMMYFUNCTION("""COMPUTED_VALUE"""),46007.0)</f>
        <v>46007</v>
      </c>
      <c r="AY613" s="5"/>
      <c r="AZ613" s="5"/>
      <c r="BA613" s="5"/>
      <c r="BB613" s="5" t="b">
        <f>IFERROR(__xludf.DUMMYFUNCTION("""COMPUTED_VALUE"""),TRUE)</f>
        <v>1</v>
      </c>
      <c r="BC613" s="5" t="str">
        <f>IFERROR(__xludf.DUMMYFUNCTION("""COMPUTED_VALUE"""),"Tiptop")</f>
        <v>Tiptop</v>
      </c>
      <c r="BD613" s="7" t="str">
        <f>IFERROR(__xludf.DUMMYFUNCTION("""COMPUTED_VALUE"""),"https://gameserver-store-client-area.orbionlimited.com/Home/IntegrationGameLaunch/client-area?moneyType=0&amp;gameName=UnicornTripleStackedDiamondJackpot&amp;platform=desktop&amp;languageCode=eng&amp;currency=EUR")</f>
        <v>https://gameserver-store-client-area.orbionlimited.com/Home/IntegrationGameLaunch/client-area?moneyType=0&amp;gameName=UnicornTripleStackedDiamondJackpot&amp;platform=desktop&amp;languageCode=eng&amp;currency=EUR</v>
      </c>
      <c r="BE613" s="5" t="b">
        <f>IFERROR(__xludf.DUMMYFUNCTION("""COMPUTED_VALUE"""),TRUE)</f>
        <v>1</v>
      </c>
    </row>
    <row r="614">
      <c r="A614" s="5">
        <f>IFERROR(__xludf.DUMMYFUNCTION("""COMPUTED_VALUE"""),649.0)</f>
        <v>649</v>
      </c>
      <c r="B614" s="5">
        <f>IFERROR(__xludf.DUMMYFUNCTION("""COMPUTED_VALUE"""),4029.0)</f>
        <v>4029</v>
      </c>
      <c r="C614" s="5" t="str">
        <f>IFERROR(__xludf.DUMMYFUNCTION("""COMPUTED_VALUE"""),"Fazi")</f>
        <v>Fazi</v>
      </c>
      <c r="D614" s="5" t="str">
        <f>IFERROR(__xludf.DUMMYFUNCTION("""COMPUTED_VALUE"""),"Super Triple Double")</f>
        <v>Super Triple Double</v>
      </c>
      <c r="E614" s="5" t="str">
        <f>IFERROR(__xludf.DUMMYFUNCTION("""COMPUTED_VALUE"""),"Sertifikacioni")</f>
        <v>Sertifikacioni</v>
      </c>
      <c r="F614" s="5" t="str">
        <f>IFERROR(__xludf.DUMMYFUNCTION("""COMPUTED_VALUE"""),"SuperTripleDouble")</f>
        <v>SuperTripleDouble</v>
      </c>
      <c r="G614" s="5" t="str">
        <f>IFERROR(__xludf.DUMMYFUNCTION("""COMPUTED_VALUE"""),"Deployed")</f>
        <v>Deployed</v>
      </c>
      <c r="H614" s="5" t="str">
        <f>IFERROR(__xludf.DUMMYFUNCTION("""COMPUTED_VALUE"""),"Superbet")</f>
        <v>Superbet</v>
      </c>
      <c r="I614" s="5" t="str">
        <f>IFERROR(__xludf.DUMMYFUNCTION("""COMPUTED_VALUE"""),"V4")</f>
        <v>V4</v>
      </c>
      <c r="J614" s="5" t="str">
        <f>IFERROR(__xludf.DUMMYFUNCTION("""COMPUTED_VALUE"""),"JSON")</f>
        <v>JSON</v>
      </c>
      <c r="K614" s="5" t="str">
        <f>IFERROR(__xludf.DUMMYFUNCTION("""COMPUTED_VALUE"""),"Slot")</f>
        <v>Slot</v>
      </c>
      <c r="L614" s="5" t="str">
        <f>IFERROR(__xludf.DUMMYFUNCTION("""COMPUTED_VALUE""")," Clone")</f>
        <v> Clone</v>
      </c>
      <c r="M614" s="5" t="str">
        <f>IFERROR(__xludf.DUMMYFUNCTION("""COMPUTED_VALUE"""),"Joker Triple Double")</f>
        <v>Joker Triple Double</v>
      </c>
      <c r="N614" s="5"/>
      <c r="O614" s="5"/>
      <c r="P614" s="12"/>
      <c r="Q614" s="13">
        <f>IFERROR(__xludf.DUMMYFUNCTION("""COMPUTED_VALUE"""),45985.0)</f>
        <v>45985</v>
      </c>
      <c r="R614" s="13"/>
      <c r="S614" s="13"/>
      <c r="T614" s="5"/>
      <c r="U614" s="5" t="str">
        <f>IFERROR(__xludf.DUMMYFUNCTION("""COMPUTED_VALUE"""),"3x3")</f>
        <v>3x3</v>
      </c>
      <c r="V614" s="5">
        <f>IFERROR(__xludf.DUMMYFUNCTION("""COMPUTED_VALUE"""),5.0)</f>
        <v>5</v>
      </c>
      <c r="W614" s="5">
        <f>IFERROR(__xludf.DUMMYFUNCTION("""COMPUTED_VALUE"""),5.0)</f>
        <v>5</v>
      </c>
      <c r="X614" s="5">
        <f>IFERROR(__xludf.DUMMYFUNCTION("""COMPUTED_VALUE"""),96.5)</f>
        <v>96.5</v>
      </c>
      <c r="Y614" s="5" t="str">
        <f>IFERROR(__xludf.DUMMYFUNCTION("""COMPUTED_VALUE"""),"Medium")</f>
        <v>Medium</v>
      </c>
      <c r="Z614" s="5">
        <f>IFERROR(__xludf.DUMMYFUNCTION("""COMPUTED_VALUE"""),7.03)</f>
        <v>7.03</v>
      </c>
      <c r="AA614" s="5">
        <f>IFERROR(__xludf.DUMMYFUNCTION("""COMPUTED_VALUE"""),1590.0)</f>
        <v>1590</v>
      </c>
      <c r="AB614" s="5"/>
      <c r="AC614" s="5"/>
      <c r="AD614" s="5"/>
      <c r="AE614" s="5"/>
      <c r="AF614" s="5"/>
      <c r="AG614" s="8">
        <f>IFERROR(__xludf.DUMMYFUNCTION("""COMPUTED_VALUE"""),46210.535625)</f>
        <v>46210.53563</v>
      </c>
      <c r="AH614" s="5" t="str">
        <f>IFERROR(__xludf.DUMMYFUNCTION("""COMPUTED_VALUE"""),"petra.ilic@fazi.rs")</f>
        <v>petra.ilic@fazi.rs</v>
      </c>
      <c r="AI614" s="13"/>
      <c r="AJ614" s="5"/>
      <c r="AK614" s="5">
        <f>IFERROR(__xludf.DUMMYFUNCTION("""COMPUTED_VALUE"""),5.0)</f>
        <v>5</v>
      </c>
      <c r="AL614" s="5" t="str">
        <f>IFERROR(__xludf.DUMMYFUNCTION("""COMPUTED_VALUE"""),"Yes")</f>
        <v>Yes</v>
      </c>
      <c r="AM614" s="5" t="str">
        <f>IFERROR(__xludf.DUMMYFUNCTION("""COMPUTED_VALUE"""),"Yes")</f>
        <v>Yes</v>
      </c>
      <c r="AN614" s="5"/>
      <c r="AO614" s="5"/>
      <c r="AP614" s="5" t="str">
        <f>IFERROR(__xludf.DUMMYFUNCTION("""COMPUTED_VALUE"""),"Yes")</f>
        <v>Yes</v>
      </c>
      <c r="AQ614" s="5"/>
      <c r="AR614" s="5" t="b">
        <f>IFERROR(__xludf.DUMMYFUNCTION("""COMPUTED_VALUE"""),TRUE)</f>
        <v>1</v>
      </c>
      <c r="AS614" s="5"/>
      <c r="AT614" s="5"/>
      <c r="AU614" s="5" t="str">
        <f>IFERROR(__xludf.DUMMYFUNCTION("""COMPUTED_VALUE"""),"Fazi")</f>
        <v>Fazi</v>
      </c>
      <c r="AV614" s="5"/>
      <c r="AW614" s="5"/>
      <c r="AX614" s="13">
        <f>IFERROR(__xludf.DUMMYFUNCTION("""COMPUTED_VALUE"""),45979.0)</f>
        <v>45979</v>
      </c>
      <c r="AY614" s="5"/>
      <c r="AZ614" s="5"/>
      <c r="BA614" s="5"/>
      <c r="BB614" s="5"/>
      <c r="BC614" s="5" t="str">
        <f>IFERROR(__xludf.DUMMYFUNCTION("""COMPUTED_VALUE"""),"Foxi")</f>
        <v>Foxi</v>
      </c>
      <c r="BD614" s="5"/>
      <c r="BE614" s="5"/>
    </row>
    <row r="615">
      <c r="A615" s="5">
        <f>IFERROR(__xludf.DUMMYFUNCTION("""COMPUTED_VALUE"""),650.0)</f>
        <v>650</v>
      </c>
      <c r="B615" s="5">
        <f>IFERROR(__xludf.DUMMYFUNCTION("""COMPUTED_VALUE"""),180053.0)</f>
        <v>180053</v>
      </c>
      <c r="C615" s="5" t="str">
        <f>IFERROR(__xludf.DUMMYFUNCTION("""COMPUTED_VALUE"""),"Redstone")</f>
        <v>Redstone</v>
      </c>
      <c r="D615" s="5" t="str">
        <f>IFERROR(__xludf.DUMMYFUNCTION("""COMPUTED_VALUE"""),"Inferno Hot 40")</f>
        <v>Inferno Hot 40</v>
      </c>
      <c r="E615" s="5" t="str">
        <f>IFERROR(__xludf.DUMMYFUNCTION("""COMPUTED_VALUE"""),"Redstone")</f>
        <v>Redstone</v>
      </c>
      <c r="F615" s="5" t="str">
        <f>IFERROR(__xludf.DUMMYFUNCTION("""COMPUTED_VALUE"""),"RedstoneInfernoHot40")</f>
        <v>RedstoneInfernoHot40</v>
      </c>
      <c r="G615" s="5" t="str">
        <f>IFERROR(__xludf.DUMMYFUNCTION("""COMPUTED_VALUE"""),"Live")</f>
        <v>Live</v>
      </c>
      <c r="H615" s="5"/>
      <c r="I615" s="5" t="str">
        <f>IFERROR(__xludf.DUMMYFUNCTION("""COMPUTED_VALUE"""),"Redstone")</f>
        <v>Redstone</v>
      </c>
      <c r="J615" s="5" t="str">
        <f>IFERROR(__xludf.DUMMYFUNCTION("""COMPUTED_VALUE"""),"JSON")</f>
        <v>JSON</v>
      </c>
      <c r="K615" s="5" t="str">
        <f>IFERROR(__xludf.DUMMYFUNCTION("""COMPUTED_VALUE"""),"Slot")</f>
        <v>Slot</v>
      </c>
      <c r="L615" s="5" t="str">
        <f>IFERROR(__xludf.DUMMYFUNCTION("""COMPUTED_VALUE"""),"Master")</f>
        <v>Master</v>
      </c>
      <c r="M615" s="5"/>
      <c r="N615" s="7" t="str">
        <f>IFERROR(__xludf.DUMMYFUNCTION("""COMPUTED_VALUE"""),"https://docs.google.com/document/d/1iB-fYOYIBEHV0AW9G05ZA_tWHmZN4mxl/edit?usp=drive_link&amp;ouid=107596163405648766688&amp;rtpof=true&amp;sd=true")</f>
        <v>https://docs.google.com/document/d/1iB-fYOYIBEHV0AW9G05ZA_tWHmZN4mxl/edit?usp=drive_link&amp;ouid=107596163405648766688&amp;rtpof=true&amp;sd=true</v>
      </c>
      <c r="O615" s="7" t="str">
        <f>IFERROR(__xludf.DUMMYFUNCTION("""COMPUTED_VALUE"""),"https://docs.google.com/document/d/16R_As6-ZUQyJ_Hez5_opOQ2sGzAJZNjB/edit?usp=drive_link&amp;ouid=107596163405648766688&amp;rtpof=true&amp;sd=true")</f>
        <v>https://docs.google.com/document/d/16R_As6-ZUQyJ_Hez5_opOQ2sGzAJZNjB/edit?usp=drive_link&amp;ouid=107596163405648766688&amp;rtpof=true&amp;sd=true</v>
      </c>
      <c r="P615" s="12">
        <f>IFERROR(__xludf.DUMMYFUNCTION("""COMPUTED_VALUE"""),16.0)</f>
        <v>16</v>
      </c>
      <c r="Q615" s="13">
        <f>IFERROR(__xludf.DUMMYFUNCTION("""COMPUTED_VALUE"""),45999.0)</f>
        <v>45999</v>
      </c>
      <c r="R615" s="13">
        <f>IFERROR(__xludf.DUMMYFUNCTION("""COMPUTED_VALUE"""),46028.0)</f>
        <v>46028</v>
      </c>
      <c r="S615" s="13">
        <f>IFERROR(__xludf.DUMMYFUNCTION("""COMPUTED_VALUE"""),46035.0)</f>
        <v>46035</v>
      </c>
      <c r="T615" s="5" t="b">
        <f>IFERROR(__xludf.DUMMYFUNCTION("""COMPUTED_VALUE"""),TRUE)</f>
        <v>1</v>
      </c>
      <c r="U615" s="5" t="str">
        <f>IFERROR(__xludf.DUMMYFUNCTION("""COMPUTED_VALUE"""),"5x3")</f>
        <v>5x3</v>
      </c>
      <c r="V615" s="5">
        <f>IFERROR(__xludf.DUMMYFUNCTION("""COMPUTED_VALUE"""),40.0)</f>
        <v>40</v>
      </c>
      <c r="W615" s="5">
        <f>IFERROR(__xludf.DUMMYFUNCTION("""COMPUTED_VALUE"""),40.0)</f>
        <v>40</v>
      </c>
      <c r="X615" s="5">
        <f>IFERROR(__xludf.DUMMYFUNCTION("""COMPUTED_VALUE"""),96.13)</f>
        <v>96.13</v>
      </c>
      <c r="Y615" s="5" t="str">
        <f>IFERROR(__xludf.DUMMYFUNCTION("""COMPUTED_VALUE"""),"Medium")</f>
        <v>Medium</v>
      </c>
      <c r="Z615" s="5">
        <f>IFERROR(__xludf.DUMMYFUNCTION("""COMPUTED_VALUE"""),14.4)</f>
        <v>14.4</v>
      </c>
      <c r="AA615" s="5">
        <f>IFERROR(__xludf.DUMMYFUNCTION("""COMPUTED_VALUE"""),1000.0)</f>
        <v>1000</v>
      </c>
      <c r="AB615" s="5"/>
      <c r="AC615" s="5" t="str">
        <f>IFERROR(__xludf.DUMMYFUNCTION("""COMPUTED_VALUE"""),"Special Wild, Scatter, Bonus Game with Free Spins")</f>
        <v>Special Wild, Scatter, Bonus Game with Free Spins</v>
      </c>
      <c r="AD615" s="5" t="str">
        <f>IFERROR(__xludf.DUMMYFUNCTION("""COMPUTED_VALUE"""),"0.04/50")</f>
        <v>0.04/50</v>
      </c>
      <c r="AE615" s="5"/>
      <c r="AF615" s="5"/>
      <c r="AG615" s="8">
        <f>IFERROR(__xludf.DUMMYFUNCTION("""COMPUTED_VALUE"""),46227.36356481481)</f>
        <v>46227.36356</v>
      </c>
      <c r="AH615" s="5"/>
      <c r="AI615" s="13"/>
      <c r="AJ615" s="5"/>
      <c r="AK615" s="5">
        <f>IFERROR(__xludf.DUMMYFUNCTION("""COMPUTED_VALUE"""),1.0)</f>
        <v>1</v>
      </c>
      <c r="AL615" s="5" t="str">
        <f>IFERROR(__xludf.DUMMYFUNCTION("""COMPUTED_VALUE"""),"No")</f>
        <v>No</v>
      </c>
      <c r="AM615" s="5" t="str">
        <f>IFERROR(__xludf.DUMMYFUNCTION("""COMPUTED_VALUE"""),"No")</f>
        <v>No</v>
      </c>
      <c r="AN615" s="7" t="str">
        <f>IFERROR(__xludf.DUMMYFUNCTION("""COMPUTED_VALUE"""),"https://static.redstone.rs/games/inferno-hot-40/")</f>
        <v>https://static.redstone.rs/games/inferno-hot-40/</v>
      </c>
      <c r="AO615" s="5" t="str">
        <f>IFERROR(__xludf.DUMMYFUNCTION("""COMPUTED_VALUE"""),"No")</f>
        <v>No</v>
      </c>
      <c r="AP615" s="5" t="str">
        <f>IFERROR(__xludf.DUMMYFUNCTION("""COMPUTED_VALUE"""),"No")</f>
        <v>No</v>
      </c>
      <c r="AQ615" s="5" t="b">
        <f>IFERROR(__xludf.DUMMYFUNCTION("""COMPUTED_VALUE"""),TRUE)</f>
        <v>1</v>
      </c>
      <c r="AR615" s="5"/>
      <c r="AS615" s="5" t="str">
        <f>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AT615" s="5"/>
      <c r="AU615" s="5" t="str">
        <f>IFERROR(__xludf.DUMMYFUNCTION("""COMPUTED_VALUE"""),"Redstone")</f>
        <v>Redstone</v>
      </c>
      <c r="AV615" s="5"/>
      <c r="AW615" s="5"/>
      <c r="AX615" s="13">
        <f>IFERROR(__xludf.DUMMYFUNCTION("""COMPUTED_VALUE"""),45993.0)</f>
        <v>45993</v>
      </c>
      <c r="AY615" s="5"/>
      <c r="AZ615" s="5"/>
      <c r="BA615" s="5"/>
      <c r="BB615" s="5" t="b">
        <f>IFERROR(__xludf.DUMMYFUNCTION("""COMPUTED_VALUE"""),TRUE)</f>
        <v>1</v>
      </c>
      <c r="BC615" s="5" t="str">
        <f>IFERROR(__xludf.DUMMYFUNCTION("""COMPUTED_VALUE"""),"Redstone")</f>
        <v>Redstone</v>
      </c>
      <c r="BD615" s="7" t="str">
        <f>IFERROR(__xludf.DUMMYFUNCTION("""COMPUTED_VALUE"""),"https://static.redstone.rs/games/inferno-hot-40/")</f>
        <v>https://static.redstone.rs/games/inferno-hot-40/</v>
      </c>
      <c r="BE615" s="5" t="b">
        <f>IFERROR(__xludf.DUMMYFUNCTION("""COMPUTED_VALUE"""),TRUE)</f>
        <v>1</v>
      </c>
    </row>
    <row r="616">
      <c r="A616" s="5">
        <f>IFERROR(__xludf.DUMMYFUNCTION("""COMPUTED_VALUE"""),651.0)</f>
        <v>651</v>
      </c>
      <c r="B616" s="5">
        <f>IFERROR(__xludf.DUMMYFUNCTION("""COMPUTED_VALUE"""),180054.0)</f>
        <v>180054</v>
      </c>
      <c r="C616" s="5" t="str">
        <f>IFERROR(__xludf.DUMMYFUNCTION("""COMPUTED_VALUE"""),"Redstone")</f>
        <v>Redstone</v>
      </c>
      <c r="D616" s="5" t="str">
        <f>IFERROR(__xludf.DUMMYFUNCTION("""COMPUTED_VALUE"""),"Rolling Hearts 10")</f>
        <v>Rolling Hearts 10</v>
      </c>
      <c r="E616" s="5" t="str">
        <f>IFERROR(__xludf.DUMMYFUNCTION("""COMPUTED_VALUE"""),"Redstone")</f>
        <v>Redstone</v>
      </c>
      <c r="F616" s="5" t="str">
        <f>IFERROR(__xludf.DUMMYFUNCTION("""COMPUTED_VALUE"""),"RedstoneRollingHearts10")</f>
        <v>RedstoneRollingHearts10</v>
      </c>
      <c r="G616" s="5" t="str">
        <f>IFERROR(__xludf.DUMMYFUNCTION("""COMPUTED_VALUE"""),"Live")</f>
        <v>Live</v>
      </c>
      <c r="H616" s="5"/>
      <c r="I616" s="5" t="str">
        <f>IFERROR(__xludf.DUMMYFUNCTION("""COMPUTED_VALUE"""),"Redstone")</f>
        <v>Redstone</v>
      </c>
      <c r="J616" s="5" t="str">
        <f>IFERROR(__xludf.DUMMYFUNCTION("""COMPUTED_VALUE"""),"JSON")</f>
        <v>JSON</v>
      </c>
      <c r="K616" s="5" t="str">
        <f>IFERROR(__xludf.DUMMYFUNCTION("""COMPUTED_VALUE"""),"Slot")</f>
        <v>Slot</v>
      </c>
      <c r="L616" s="5" t="str">
        <f>IFERROR(__xludf.DUMMYFUNCTION("""COMPUTED_VALUE"""),"Master")</f>
        <v>Master</v>
      </c>
      <c r="M616" s="5"/>
      <c r="N616" s="7" t="str">
        <f>IFERROR(__xludf.DUMMYFUNCTION("""COMPUTED_VALUE"""),"https://docs.google.com/document/d/1OKaK17fVSvw2seE-5WVKSmYfAzFV6uzr/edit?usp=drive_link&amp;ouid=107596163405648766688&amp;rtpof=true&amp;sd=true")</f>
        <v>https://docs.google.com/document/d/1OKaK17fVSvw2seE-5WVKSmYfAzFV6uzr/edit?usp=drive_link&amp;ouid=107596163405648766688&amp;rtpof=true&amp;sd=true</v>
      </c>
      <c r="O616" s="7" t="str">
        <f>IFERROR(__xludf.DUMMYFUNCTION("""COMPUTED_VALUE"""),"https://docs.google.com/document/d/1BmVvjc8oNoRk258RUZV_8Ak95o41mJ9l/edit?usp=drive_link&amp;ouid=107596163405648766688&amp;rtpof=true&amp;sd=true")</f>
        <v>https://docs.google.com/document/d/1BmVvjc8oNoRk258RUZV_8Ak95o41mJ9l/edit?usp=drive_link&amp;ouid=107596163405648766688&amp;rtpof=true&amp;sd=true</v>
      </c>
      <c r="P616" s="12">
        <f>IFERROR(__xludf.DUMMYFUNCTION("""COMPUTED_VALUE"""),7.3)</f>
        <v>7.3</v>
      </c>
      <c r="Q616" s="13">
        <f>IFERROR(__xludf.DUMMYFUNCTION("""COMPUTED_VALUE"""),45999.0)</f>
        <v>45999</v>
      </c>
      <c r="R616" s="13">
        <f>IFERROR(__xludf.DUMMYFUNCTION("""COMPUTED_VALUE"""),46034.0)</f>
        <v>46034</v>
      </c>
      <c r="S616" s="13">
        <f>IFERROR(__xludf.DUMMYFUNCTION("""COMPUTED_VALUE"""),46041.0)</f>
        <v>46041</v>
      </c>
      <c r="T616" s="5" t="b">
        <f>IFERROR(__xludf.DUMMYFUNCTION("""COMPUTED_VALUE"""),TRUE)</f>
        <v>1</v>
      </c>
      <c r="U616" s="5" t="str">
        <f>IFERROR(__xludf.DUMMYFUNCTION("""COMPUTED_VALUE"""),"5x3")</f>
        <v>5x3</v>
      </c>
      <c r="V616" s="5">
        <f>IFERROR(__xludf.DUMMYFUNCTION("""COMPUTED_VALUE"""),10.0)</f>
        <v>10</v>
      </c>
      <c r="W616" s="5">
        <f>IFERROR(__xludf.DUMMYFUNCTION("""COMPUTED_VALUE"""),10.0)</f>
        <v>10</v>
      </c>
      <c r="X616" s="5">
        <f>IFERROR(__xludf.DUMMYFUNCTION("""COMPUTED_VALUE"""),96.33)</f>
        <v>96.33</v>
      </c>
      <c r="Y616" s="5" t="str">
        <f>IFERROR(__xludf.DUMMYFUNCTION("""COMPUTED_VALUE"""),"Medium")</f>
        <v>Medium</v>
      </c>
      <c r="Z616" s="5">
        <f>IFERROR(__xludf.DUMMYFUNCTION("""COMPUTED_VALUE"""),12.5)</f>
        <v>12.5</v>
      </c>
      <c r="AA616" s="5">
        <f>IFERROR(__xludf.DUMMYFUNCTION("""COMPUTED_VALUE"""),950.0)</f>
        <v>950</v>
      </c>
      <c r="AB616" s="5"/>
      <c r="AC616" s="5" t="str">
        <f>IFERROR(__xludf.DUMMYFUNCTION("""COMPUTED_VALUE"""),"Scatter, Exploding Wild")</f>
        <v>Scatter, Exploding Wild</v>
      </c>
      <c r="AD616" s="5" t="str">
        <f>IFERROR(__xludf.DUMMYFUNCTION("""COMPUTED_VALUE"""),"0.02/50")</f>
        <v>0.02/50</v>
      </c>
      <c r="AE616" s="5"/>
      <c r="AF616" s="5"/>
      <c r="AG616" s="8">
        <f>IFERROR(__xludf.DUMMYFUNCTION("""COMPUTED_VALUE"""),46157.558287037034)</f>
        <v>46157.55829</v>
      </c>
      <c r="AH616" s="5"/>
      <c r="AI616" s="13"/>
      <c r="AJ616" s="5"/>
      <c r="AK616" s="5">
        <f>IFERROR(__xludf.DUMMYFUNCTION("""COMPUTED_VALUE"""),1.0)</f>
        <v>1</v>
      </c>
      <c r="AL616" s="5" t="str">
        <f>IFERROR(__xludf.DUMMYFUNCTION("""COMPUTED_VALUE"""),"No")</f>
        <v>No</v>
      </c>
      <c r="AM616" s="5" t="str">
        <f>IFERROR(__xludf.DUMMYFUNCTION("""COMPUTED_VALUE"""),"No")</f>
        <v>No</v>
      </c>
      <c r="AN616" s="7" t="str">
        <f>IFERROR(__xludf.DUMMYFUNCTION("""COMPUTED_VALUE"""),"https://static.redstone.rs/games/rolling-hearts-10/")</f>
        <v>https://static.redstone.rs/games/rolling-hearts-10/</v>
      </c>
      <c r="AO616" s="5" t="str">
        <f>IFERROR(__xludf.DUMMYFUNCTION("""COMPUTED_VALUE"""),"No")</f>
        <v>No</v>
      </c>
      <c r="AP616" s="5" t="str">
        <f>IFERROR(__xludf.DUMMYFUNCTION("""COMPUTED_VALUE"""),"No")</f>
        <v>No</v>
      </c>
      <c r="AQ616" s="5" t="b">
        <f>IFERROR(__xludf.DUMMYFUNCTION("""COMPUTED_VALUE"""),TRUE)</f>
        <v>1</v>
      </c>
      <c r="AR616" s="5"/>
      <c r="AS616" s="5" t="str">
        <f>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AT616" s="5"/>
      <c r="AU616" s="5" t="str">
        <f>IFERROR(__xludf.DUMMYFUNCTION("""COMPUTED_VALUE"""),"Redstone")</f>
        <v>Redstone</v>
      </c>
      <c r="AV616" s="5"/>
      <c r="AW616" s="5"/>
      <c r="AX616" s="13">
        <f>IFERROR(__xludf.DUMMYFUNCTION("""COMPUTED_VALUE"""),45993.0)</f>
        <v>45993</v>
      </c>
      <c r="AY616" s="5"/>
      <c r="AZ616" s="5"/>
      <c r="BA616" s="5"/>
      <c r="BB616" s="5" t="b">
        <f>IFERROR(__xludf.DUMMYFUNCTION("""COMPUTED_VALUE"""),TRUE)</f>
        <v>1</v>
      </c>
      <c r="BC616" s="5" t="str">
        <f>IFERROR(__xludf.DUMMYFUNCTION("""COMPUTED_VALUE"""),"Redstone")</f>
        <v>Redstone</v>
      </c>
      <c r="BD616" s="7" t="str">
        <f>IFERROR(__xludf.DUMMYFUNCTION("""COMPUTED_VALUE"""),"https://static.redstone.rs/games/rolling-hearts-10/")</f>
        <v>https://static.redstone.rs/games/rolling-hearts-10/</v>
      </c>
      <c r="BE616" s="5" t="b">
        <f>IFERROR(__xludf.DUMMYFUNCTION("""COMPUTED_VALUE"""),TRUE)</f>
        <v>1</v>
      </c>
    </row>
    <row r="617">
      <c r="A617" s="5">
        <f>IFERROR(__xludf.DUMMYFUNCTION("""COMPUTED_VALUE"""),652.0)</f>
        <v>652</v>
      </c>
      <c r="B617" s="5">
        <f>IFERROR(__xludf.DUMMYFUNCTION("""COMPUTED_VALUE"""),180056.0)</f>
        <v>180056</v>
      </c>
      <c r="C617" s="5" t="str">
        <f>IFERROR(__xludf.DUMMYFUNCTION("""COMPUTED_VALUE"""),"Redstone")</f>
        <v>Redstone</v>
      </c>
      <c r="D617" s="5" t="str">
        <f>IFERROR(__xludf.DUMMYFUNCTION("""COMPUTED_VALUE"""),"Cupid's Wild Hearts")</f>
        <v>Cupid's Wild Hearts</v>
      </c>
      <c r="E617" s="5" t="str">
        <f>IFERROR(__xludf.DUMMYFUNCTION("""COMPUTED_VALUE"""),"Redstone")</f>
        <v>Redstone</v>
      </c>
      <c r="F617" s="5" t="str">
        <f>IFERROR(__xludf.DUMMYFUNCTION("""COMPUTED_VALUE"""),"RedstoneCupidsWildHearts")</f>
        <v>RedstoneCupidsWildHearts</v>
      </c>
      <c r="G617" s="5" t="str">
        <f>IFERROR(__xludf.DUMMYFUNCTION("""COMPUTED_VALUE"""),"Live")</f>
        <v>Live</v>
      </c>
      <c r="H617" s="5"/>
      <c r="I617" s="5" t="str">
        <f>IFERROR(__xludf.DUMMYFUNCTION("""COMPUTED_VALUE"""),"Redstone")</f>
        <v>Redstone</v>
      </c>
      <c r="J617" s="5" t="str">
        <f>IFERROR(__xludf.DUMMYFUNCTION("""COMPUTED_VALUE"""),"JSON")</f>
        <v>JSON</v>
      </c>
      <c r="K617" s="5" t="str">
        <f>IFERROR(__xludf.DUMMYFUNCTION("""COMPUTED_VALUE"""),"Slot")</f>
        <v>Slot</v>
      </c>
      <c r="L617" s="5" t="str">
        <f>IFERROR(__xludf.DUMMYFUNCTION("""COMPUTED_VALUE"""),"Master")</f>
        <v>Master</v>
      </c>
      <c r="M617" s="5"/>
      <c r="N617" s="7" t="str">
        <f>IFERROR(__xludf.DUMMYFUNCTION("""COMPUTED_VALUE"""),"https://docs.google.com/document/d/1V_pbVs9VNOGhh-Bmmu7VWHYfyDU_sZV-/edit?usp=drive_link&amp;ouid=107596163405648766688&amp;rtpof=true&amp;sd=true")</f>
        <v>https://docs.google.com/document/d/1V_pbVs9VNOGhh-Bmmu7VWHYfyDU_sZV-/edit?usp=drive_link&amp;ouid=107596163405648766688&amp;rtpof=true&amp;sd=true</v>
      </c>
      <c r="O617" s="7" t="str">
        <f>IFERROR(__xludf.DUMMYFUNCTION("""COMPUTED_VALUE"""),"https://docs.google.com/document/d/1xf3OyPgMTEXRmzWDnN_TPxxIpINZ1-hf/edit?usp=drive_link&amp;ouid=107596163405648766688&amp;rtpof=true&amp;sd=true")</f>
        <v>https://docs.google.com/document/d/1xf3OyPgMTEXRmzWDnN_TPxxIpINZ1-hf/edit?usp=drive_link&amp;ouid=107596163405648766688&amp;rtpof=true&amp;sd=true</v>
      </c>
      <c r="P617" s="12">
        <f>IFERROR(__xludf.DUMMYFUNCTION("""COMPUTED_VALUE"""),9.5)</f>
        <v>9.5</v>
      </c>
      <c r="Q617" s="13">
        <f>IFERROR(__xludf.DUMMYFUNCTION("""COMPUTED_VALUE"""),46041.0)</f>
        <v>46041</v>
      </c>
      <c r="R617" s="13">
        <f>IFERROR(__xludf.DUMMYFUNCTION("""COMPUTED_VALUE"""),46042.0)</f>
        <v>46042</v>
      </c>
      <c r="S617" s="13">
        <f>IFERROR(__xludf.DUMMYFUNCTION("""COMPUTED_VALUE"""),46049.0)</f>
        <v>46049</v>
      </c>
      <c r="T617" s="5" t="b">
        <f>IFERROR(__xludf.DUMMYFUNCTION("""COMPUTED_VALUE"""),TRUE)</f>
        <v>1</v>
      </c>
      <c r="U617" s="5" t="str">
        <f>IFERROR(__xludf.DUMMYFUNCTION("""COMPUTED_VALUE"""),"5x3")</f>
        <v>5x3</v>
      </c>
      <c r="V617" s="5">
        <f>IFERROR(__xludf.DUMMYFUNCTION("""COMPUTED_VALUE"""),5.0)</f>
        <v>5</v>
      </c>
      <c r="W617" s="5">
        <f>IFERROR(__xludf.DUMMYFUNCTION("""COMPUTED_VALUE"""),5.0)</f>
        <v>5</v>
      </c>
      <c r="X617" s="5">
        <f>IFERROR(__xludf.DUMMYFUNCTION("""COMPUTED_VALUE"""),96.03)</f>
        <v>96.03</v>
      </c>
      <c r="Y617" s="5" t="str">
        <f>IFERROR(__xludf.DUMMYFUNCTION("""COMPUTED_VALUE"""),"Medium")</f>
        <v>Medium</v>
      </c>
      <c r="Z617" s="5">
        <f>IFERROR(__xludf.DUMMYFUNCTION("""COMPUTED_VALUE"""),14.62)</f>
        <v>14.62</v>
      </c>
      <c r="AA617" s="5">
        <f>IFERROR(__xludf.DUMMYFUNCTION("""COMPUTED_VALUE"""),2624.0)</f>
        <v>2624</v>
      </c>
      <c r="AB617" s="5"/>
      <c r="AC617" s="5" t="str">
        <f>IFERROR(__xludf.DUMMYFUNCTION("""COMPUTED_VALUE"""),"Wild Multiplier, Expanding Wild")</f>
        <v>Wild Multiplier, Expanding Wild</v>
      </c>
      <c r="AD617" s="5" t="str">
        <f>IFERROR(__xludf.DUMMYFUNCTION("""COMPUTED_VALUE"""),"0.05/50")</f>
        <v>0.05/50</v>
      </c>
      <c r="AE617" s="5"/>
      <c r="AF617" s="5"/>
      <c r="AG617" s="8">
        <f>IFERROR(__xludf.DUMMYFUNCTION("""COMPUTED_VALUE"""),46212.56288194445)</f>
        <v>46212.56288</v>
      </c>
      <c r="AH617" s="5" t="str">
        <f>IFERROR(__xludf.DUMMYFUNCTION("""COMPUTED_VALUE"""),"selena.mihajlovic@fazi.rs")</f>
        <v>selena.mihajlovic@fazi.rs</v>
      </c>
      <c r="AI617" s="13"/>
      <c r="AJ617" s="5"/>
      <c r="AK617" s="5">
        <f>IFERROR(__xludf.DUMMYFUNCTION("""COMPUTED_VALUE"""),1.0)</f>
        <v>1</v>
      </c>
      <c r="AL617" s="5" t="str">
        <f>IFERROR(__xludf.DUMMYFUNCTION("""COMPUTED_VALUE"""),"No")</f>
        <v>No</v>
      </c>
      <c r="AM617" s="5" t="str">
        <f>IFERROR(__xludf.DUMMYFUNCTION("""COMPUTED_VALUE"""),"No")</f>
        <v>No</v>
      </c>
      <c r="AN617" s="7" t="str">
        <f>IFERROR(__xludf.DUMMYFUNCTION("""COMPUTED_VALUE"""),"https://static.redstone.rs/games/cupids-wild-hearts/")</f>
        <v>https://static.redstone.rs/games/cupids-wild-hearts/</v>
      </c>
      <c r="AO617" s="5" t="str">
        <f>IFERROR(__xludf.DUMMYFUNCTION("""COMPUTED_VALUE"""),"No")</f>
        <v>No</v>
      </c>
      <c r="AP617" s="5" t="str">
        <f>IFERROR(__xludf.DUMMYFUNCTION("""COMPUTED_VALUE"""),"No")</f>
        <v>No</v>
      </c>
      <c r="AQ617" s="5" t="b">
        <f>IFERROR(__xludf.DUMMYFUNCTION("""COMPUTED_VALUE"""),TRUE)</f>
        <v>1</v>
      </c>
      <c r="AR617" s="5"/>
      <c r="AS617" s="5" t="str">
        <f>IFERROR(__xludf.DUMMYFUNCTION("""COMPUTED_VALUE"""),"Let Cupid guide your spin in Cupid's Wild Heart. Follow the arrow and see where the Wild appears! ")</f>
        <v>Let Cupid guide your spin in Cupid's Wild Heart. Follow the arrow and see where the Wild appears! </v>
      </c>
      <c r="AT617" s="5"/>
      <c r="AU617" s="5" t="str">
        <f>IFERROR(__xludf.DUMMYFUNCTION("""COMPUTED_VALUE"""),"Redstone")</f>
        <v>Redstone</v>
      </c>
      <c r="AV617" s="5"/>
      <c r="AW617" s="5"/>
      <c r="AX617" s="13">
        <f>IFERROR(__xludf.DUMMYFUNCTION("""COMPUTED_VALUE"""),46035.0)</f>
        <v>46035</v>
      </c>
      <c r="AY617" s="5"/>
      <c r="AZ617" s="5"/>
      <c r="BA617" s="5"/>
      <c r="BB617" s="5" t="b">
        <f>IFERROR(__xludf.DUMMYFUNCTION("""COMPUTED_VALUE"""),TRUE)</f>
        <v>1</v>
      </c>
      <c r="BC617" s="5" t="str">
        <f>IFERROR(__xludf.DUMMYFUNCTION("""COMPUTED_VALUE"""),"Redstone")</f>
        <v>Redstone</v>
      </c>
      <c r="BD617" s="7" t="str">
        <f>IFERROR(__xludf.DUMMYFUNCTION("""COMPUTED_VALUE"""),"https://static.redstone.rs/games/cupids-wild-hearts/")</f>
        <v>https://static.redstone.rs/games/cupids-wild-hearts/</v>
      </c>
      <c r="BE617" s="5" t="b">
        <f>IFERROR(__xludf.DUMMYFUNCTION("""COMPUTED_VALUE"""),TRUE)</f>
        <v>1</v>
      </c>
    </row>
    <row r="618">
      <c r="A618" s="5">
        <f>IFERROR(__xludf.DUMMYFUNCTION("""COMPUTED_VALUE"""),653.0)</f>
        <v>653</v>
      </c>
      <c r="B618" s="5">
        <f>IFERROR(__xludf.DUMMYFUNCTION("""COMPUTED_VALUE"""),180055.0)</f>
        <v>180055</v>
      </c>
      <c r="C618" s="5" t="str">
        <f>IFERROR(__xludf.DUMMYFUNCTION("""COMPUTED_VALUE"""),"Redstone")</f>
        <v>Redstone</v>
      </c>
      <c r="D618" s="5" t="str">
        <f>IFERROR(__xludf.DUMMYFUNCTION("""COMPUTED_VALUE"""),"Double Wild Diamond")</f>
        <v>Double Wild Diamond</v>
      </c>
      <c r="E618" s="5" t="str">
        <f>IFERROR(__xludf.DUMMYFUNCTION("""COMPUTED_VALUE"""),"Redstone")</f>
        <v>Redstone</v>
      </c>
      <c r="F618" s="5" t="str">
        <f>IFERROR(__xludf.DUMMYFUNCTION("""COMPUTED_VALUE"""),"RedstoneDoubleWildDiamond")</f>
        <v>RedstoneDoubleWildDiamond</v>
      </c>
      <c r="G618" s="5" t="str">
        <f>IFERROR(__xludf.DUMMYFUNCTION("""COMPUTED_VALUE"""),"Live")</f>
        <v>Live</v>
      </c>
      <c r="H618" s="5"/>
      <c r="I618" s="5" t="str">
        <f>IFERROR(__xludf.DUMMYFUNCTION("""COMPUTED_VALUE"""),"Redstone")</f>
        <v>Redstone</v>
      </c>
      <c r="J618" s="5" t="str">
        <f>IFERROR(__xludf.DUMMYFUNCTION("""COMPUTED_VALUE"""),"JSON")</f>
        <v>JSON</v>
      </c>
      <c r="K618" s="5" t="str">
        <f>IFERROR(__xludf.DUMMYFUNCTION("""COMPUTED_VALUE"""),"Slot")</f>
        <v>Slot</v>
      </c>
      <c r="L618" s="5" t="str">
        <f>IFERROR(__xludf.DUMMYFUNCTION("""COMPUTED_VALUE""")," Reskin")</f>
        <v> Reskin</v>
      </c>
      <c r="M618" s="5" t="str">
        <f>IFERROR(__xludf.DUMMYFUNCTION("""COMPUTED_VALUE"""),"Chilli Double")</f>
        <v>Chilli Double</v>
      </c>
      <c r="N618" s="7" t="str">
        <f>IFERROR(__xludf.DUMMYFUNCTION("""COMPUTED_VALUE"""),"https://docs.google.com/document/d/1jC0UVytQOVQFSLVZ3aljFKvtQvdFaFOY/edit?usp=drive_link&amp;ouid=107596163405648766688&amp;rtpof=true&amp;sd=true")</f>
        <v>https://docs.google.com/document/d/1jC0UVytQOVQFSLVZ3aljFKvtQvdFaFOY/edit?usp=drive_link&amp;ouid=107596163405648766688&amp;rtpof=true&amp;sd=true</v>
      </c>
      <c r="O618" s="7" t="str">
        <f>IFERROR(__xludf.DUMMYFUNCTION("""COMPUTED_VALUE"""),"https://docs.google.com/document/d/1VLSxKu5PELHE5vo69Dem-Dw5_wwquqfd/edit?usp=drive_link&amp;ouid=107596163405648766688&amp;rtpof=true&amp;sd=true")</f>
        <v>https://docs.google.com/document/d/1VLSxKu5PELHE5vo69Dem-Dw5_wwquqfd/edit?usp=drive_link&amp;ouid=107596163405648766688&amp;rtpof=true&amp;sd=true</v>
      </c>
      <c r="P618" s="12">
        <f>IFERROR(__xludf.DUMMYFUNCTION("""COMPUTED_VALUE"""),5.1)</f>
        <v>5.1</v>
      </c>
      <c r="Q618" s="13">
        <f>IFERROR(__xludf.DUMMYFUNCTION("""COMPUTED_VALUE"""),45999.0)</f>
        <v>45999</v>
      </c>
      <c r="R618" s="13">
        <f>IFERROR(__xludf.DUMMYFUNCTION("""COMPUTED_VALUE"""),46051.0)</f>
        <v>46051</v>
      </c>
      <c r="S618" s="13">
        <f>IFERROR(__xludf.DUMMYFUNCTION("""COMPUTED_VALUE"""),46058.0)</f>
        <v>46058</v>
      </c>
      <c r="T618" s="5" t="b">
        <f>IFERROR(__xludf.DUMMYFUNCTION("""COMPUTED_VALUE"""),TRUE)</f>
        <v>1</v>
      </c>
      <c r="U618" s="5" t="str">
        <f>IFERROR(__xludf.DUMMYFUNCTION("""COMPUTED_VALUE"""),"5x3")</f>
        <v>5x3</v>
      </c>
      <c r="V618" s="5">
        <f>IFERROR(__xludf.DUMMYFUNCTION("""COMPUTED_VALUE"""),5.0)</f>
        <v>5</v>
      </c>
      <c r="W618" s="5">
        <f>IFERROR(__xludf.DUMMYFUNCTION("""COMPUTED_VALUE"""),5.0)</f>
        <v>5</v>
      </c>
      <c r="X618" s="5">
        <f>IFERROR(__xludf.DUMMYFUNCTION("""COMPUTED_VALUE"""),96.45)</f>
        <v>96.45</v>
      </c>
      <c r="Y618" s="5" t="str">
        <f>IFERROR(__xludf.DUMMYFUNCTION("""COMPUTED_VALUE"""),"Medium")</f>
        <v>Medium</v>
      </c>
      <c r="Z618" s="5">
        <f>IFERROR(__xludf.DUMMYFUNCTION("""COMPUTED_VALUE"""),14.23)</f>
        <v>14.23</v>
      </c>
      <c r="AA618" s="5">
        <f>IFERROR(__xludf.DUMMYFUNCTION("""COMPUTED_VALUE"""),2624.0)</f>
        <v>2624</v>
      </c>
      <c r="AB618" s="5"/>
      <c r="AC618" s="5" t="str">
        <f>IFERROR(__xludf.DUMMYFUNCTION("""COMPUTED_VALUE"""),"Scatter, Expanding Wild, Wild Multiplier")</f>
        <v>Scatter, Expanding Wild, Wild Multiplier</v>
      </c>
      <c r="AD618" s="5" t="str">
        <f>IFERROR(__xludf.DUMMYFUNCTION("""COMPUTED_VALUE"""),"0.05/100")</f>
        <v>0.05/100</v>
      </c>
      <c r="AE618" s="5"/>
      <c r="AF618" s="5"/>
      <c r="AG618" s="8">
        <f>IFERROR(__xludf.DUMMYFUNCTION("""COMPUTED_VALUE"""),46191.5303125)</f>
        <v>46191.53031</v>
      </c>
      <c r="AH618" s="5"/>
      <c r="AI618" s="13"/>
      <c r="AJ618" s="5"/>
      <c r="AK618" s="5">
        <f>IFERROR(__xludf.DUMMYFUNCTION("""COMPUTED_VALUE"""),1.0)</f>
        <v>1</v>
      </c>
      <c r="AL618" s="5" t="str">
        <f>IFERROR(__xludf.DUMMYFUNCTION("""COMPUTED_VALUE"""),"No")</f>
        <v>No</v>
      </c>
      <c r="AM618" s="5" t="str">
        <f>IFERROR(__xludf.DUMMYFUNCTION("""COMPUTED_VALUE"""),"No")</f>
        <v>No</v>
      </c>
      <c r="AN618" s="7" t="str">
        <f>IFERROR(__xludf.DUMMYFUNCTION("""COMPUTED_VALUE"""),"https://static.redstone.rs/games/double-wild-diamond/")</f>
        <v>https://static.redstone.rs/games/double-wild-diamond/</v>
      </c>
      <c r="AO618" s="5" t="str">
        <f>IFERROR(__xludf.DUMMYFUNCTION("""COMPUTED_VALUE"""),"No")</f>
        <v>No</v>
      </c>
      <c r="AP618" s="5" t="str">
        <f>IFERROR(__xludf.DUMMYFUNCTION("""COMPUTED_VALUE"""),"No")</f>
        <v>No</v>
      </c>
      <c r="AQ618" s="5" t="b">
        <f>IFERROR(__xludf.DUMMYFUNCTION("""COMPUTED_VALUE"""),TRUE)</f>
        <v>1</v>
      </c>
      <c r="AR618" s="5"/>
      <c r="AS618" s="5" t="str">
        <f>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AT618" s="5"/>
      <c r="AU618" s="5" t="str">
        <f>IFERROR(__xludf.DUMMYFUNCTION("""COMPUTED_VALUE"""),"Redstone")</f>
        <v>Redstone</v>
      </c>
      <c r="AV618" s="5"/>
      <c r="AW618" s="5"/>
      <c r="AX618" s="13">
        <f>IFERROR(__xludf.DUMMYFUNCTION("""COMPUTED_VALUE"""),45993.0)</f>
        <v>45993</v>
      </c>
      <c r="AY618" s="5"/>
      <c r="AZ618" s="5"/>
      <c r="BA618" s="5"/>
      <c r="BB618" s="5" t="b">
        <f>IFERROR(__xludf.DUMMYFUNCTION("""COMPUTED_VALUE"""),TRUE)</f>
        <v>1</v>
      </c>
      <c r="BC618" s="5" t="str">
        <f>IFERROR(__xludf.DUMMYFUNCTION("""COMPUTED_VALUE"""),"Redstone")</f>
        <v>Redstone</v>
      </c>
      <c r="BD618" s="7" t="str">
        <f>IFERROR(__xludf.DUMMYFUNCTION("""COMPUTED_VALUE"""),"https://static.redstone.rs/games/double-wild-diamond/")</f>
        <v>https://static.redstone.rs/games/double-wild-diamond/</v>
      </c>
      <c r="BE618" s="5" t="b">
        <f>IFERROR(__xludf.DUMMYFUNCTION("""COMPUTED_VALUE"""),TRUE)</f>
        <v>1</v>
      </c>
    </row>
    <row r="619">
      <c r="A619" s="5">
        <f>IFERROR(__xludf.DUMMYFUNCTION("""COMPUTED_VALUE"""),654.0)</f>
        <v>654</v>
      </c>
      <c r="B619" s="5">
        <f>IFERROR(__xludf.DUMMYFUNCTION("""COMPUTED_VALUE"""),528.0)</f>
        <v>528</v>
      </c>
      <c r="C619" s="5" t="str">
        <f>IFERROR(__xludf.DUMMYFUNCTION("""COMPUTED_VALUE"""),"Playnet")</f>
        <v>Playnet</v>
      </c>
      <c r="D619" s="5" t="str">
        <f>IFERROR(__xludf.DUMMYFUNCTION("""COMPUTED_VALUE"""),"Diamond Heart 10")</f>
        <v>Diamond Heart 10</v>
      </c>
      <c r="E619" s="5" t="str">
        <f>IFERROR(__xludf.DUMMYFUNCTION("""COMPUTED_VALUE"""),"Sertifikacioni")</f>
        <v>Sertifikacioni</v>
      </c>
      <c r="F619" s="5" t="str">
        <f>IFERROR(__xludf.DUMMYFUNCTION("""COMPUTED_VALUE"""),"PlayNetDiamondHeart10")</f>
        <v>PlayNetDiamondHeart10</v>
      </c>
      <c r="G619" s="5" t="str">
        <f>IFERROR(__xludf.DUMMYFUNCTION("""COMPUTED_VALUE"""),"Live")</f>
        <v>Live</v>
      </c>
      <c r="H619" s="5"/>
      <c r="I619" s="5"/>
      <c r="J619" s="5" t="str">
        <f>IFERROR(__xludf.DUMMYFUNCTION("""COMPUTED_VALUE"""),"JSON")</f>
        <v>JSON</v>
      </c>
      <c r="K619" s="5" t="str">
        <f>IFERROR(__xludf.DUMMYFUNCTION("""COMPUTED_VALUE"""),"Slot")</f>
        <v>Slot</v>
      </c>
      <c r="L619" s="5" t="str">
        <f>IFERROR(__xludf.DUMMYFUNCTION("""COMPUTED_VALUE""")," Clone")</f>
        <v> Clone</v>
      </c>
      <c r="M619" s="5" t="str">
        <f>IFERROR(__xludf.DUMMYFUNCTION("""COMPUTED_VALUE"""),"Golden Crown")</f>
        <v>Golden Crown</v>
      </c>
      <c r="N619" s="5"/>
      <c r="O619" s="5"/>
      <c r="P619" s="12">
        <f>IFERROR(__xludf.DUMMYFUNCTION("""COMPUTED_VALUE"""),15.0)</f>
        <v>15</v>
      </c>
      <c r="Q619" s="13">
        <f>IFERROR(__xludf.DUMMYFUNCTION("""COMPUTED_VALUE"""),46013.0)</f>
        <v>46013</v>
      </c>
      <c r="R619" s="13">
        <f>IFERROR(__xludf.DUMMYFUNCTION("""COMPUTED_VALUE"""),46035.0)</f>
        <v>46035</v>
      </c>
      <c r="S619" s="13">
        <f>IFERROR(__xludf.DUMMYFUNCTION("""COMPUTED_VALUE"""),46042.0)</f>
        <v>46042</v>
      </c>
      <c r="T619" s="5" t="b">
        <f>IFERROR(__xludf.DUMMYFUNCTION("""COMPUTED_VALUE"""),TRUE)</f>
        <v>1</v>
      </c>
      <c r="U619" s="5" t="str">
        <f>IFERROR(__xludf.DUMMYFUNCTION("""COMPUTED_VALUE"""),"5x3")</f>
        <v>5x3</v>
      </c>
      <c r="V619" s="5">
        <f>IFERROR(__xludf.DUMMYFUNCTION("""COMPUTED_VALUE"""),10.0)</f>
        <v>10</v>
      </c>
      <c r="W619" s="5">
        <f>IFERROR(__xludf.DUMMYFUNCTION("""COMPUTED_VALUE"""),10.0)</f>
        <v>10</v>
      </c>
      <c r="X619" s="5">
        <f>IFERROR(__xludf.DUMMYFUNCTION("""COMPUTED_VALUE"""),95.962)</f>
        <v>95.962</v>
      </c>
      <c r="Y619" s="5" t="str">
        <f>IFERROR(__xludf.DUMMYFUNCTION("""COMPUTED_VALUE"""),"Medium")</f>
        <v>Medium</v>
      </c>
      <c r="Z619" s="5">
        <f>IFERROR(__xludf.DUMMYFUNCTION("""COMPUTED_VALUE"""),14.634)</f>
        <v>14.634</v>
      </c>
      <c r="AA619" s="5">
        <f>IFERROR(__xludf.DUMMYFUNCTION("""COMPUTED_VALUE"""),1538.0)</f>
        <v>1538</v>
      </c>
      <c r="AB619" s="5"/>
      <c r="AC619" s="5" t="str">
        <f>IFERROR(__xludf.DUMMYFUNCTION("""COMPUTED_VALUE"""),"Expanding Wild, Scatter")</f>
        <v>Expanding Wild, Scatter</v>
      </c>
      <c r="AD619" s="5" t="str">
        <f>IFERROR(__xludf.DUMMYFUNCTION("""COMPUTED_VALUE"""),"0.1/40")</f>
        <v>0.1/40</v>
      </c>
      <c r="AE619" s="5"/>
      <c r="AF619" s="5"/>
      <c r="AG619" s="8">
        <f>IFERROR(__xludf.DUMMYFUNCTION("""COMPUTED_VALUE"""),46220.506585648145)</f>
        <v>46220.50659</v>
      </c>
      <c r="AH619" s="5" t="str">
        <f>IFERROR(__xludf.DUMMYFUNCTION("""COMPUTED_VALUE"""),"selena.mihajlovic@fazi.rs")</f>
        <v>selena.mihajlovic@fazi.rs</v>
      </c>
      <c r="AI619" s="13">
        <f>IFERROR(__xludf.DUMMYFUNCTION("""COMPUTED_VALUE"""),46023.0)</f>
        <v>46023</v>
      </c>
      <c r="AJ619" s="5" t="str">
        <f>IFERROR(__xludf.DUMMYFUNCTION("""COMPUTED_VALUE"""),"KoralPlay ( Betconstruct integracija) ")</f>
        <v>KoralPlay ( Betconstruct integracija) </v>
      </c>
      <c r="AK619" s="5"/>
      <c r="AL619" s="5" t="str">
        <f>IFERROR(__xludf.DUMMYFUNCTION("""COMPUTED_VALUE"""),"No")</f>
        <v>No</v>
      </c>
      <c r="AM619" s="5" t="str">
        <f>IFERROR(__xludf.DUMMYFUNCTION("""COMPUTED_VALUE"""),"No")</f>
        <v>No</v>
      </c>
      <c r="AN619" s="7" t="str">
        <f>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AO619" s="5" t="str">
        <f>IFERROR(__xludf.DUMMYFUNCTION("""COMPUTED_VALUE"""),"No")</f>
        <v>No</v>
      </c>
      <c r="AP619" s="5" t="str">
        <f>IFERROR(__xludf.DUMMYFUNCTION("""COMPUTED_VALUE"""),"No")</f>
        <v>No</v>
      </c>
      <c r="AQ619" s="5" t="b">
        <f>IFERROR(__xludf.DUMMYFUNCTION("""COMPUTED_VALUE"""),TRUE)</f>
        <v>1</v>
      </c>
      <c r="AR619" s="5"/>
      <c r="AS619" s="5" t="str">
        <f>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619" s="5"/>
      <c r="AU619" s="5" t="str">
        <f>IFERROR(__xludf.DUMMYFUNCTION("""COMPUTED_VALUE"""),"Fazi")</f>
        <v>Fazi</v>
      </c>
      <c r="AV619" s="5"/>
      <c r="AW619" s="5"/>
      <c r="AX619" s="13">
        <f>IFERROR(__xludf.DUMMYFUNCTION("""COMPUTED_VALUE"""),46007.0)</f>
        <v>46007</v>
      </c>
      <c r="AY619" s="5"/>
      <c r="AZ619" s="5"/>
      <c r="BA619" s="5"/>
      <c r="BB619" s="5" t="b">
        <f>IFERROR(__xludf.DUMMYFUNCTION("""COMPUTED_VALUE"""),TRUE)</f>
        <v>1</v>
      </c>
      <c r="BC619" s="5" t="str">
        <f>IFERROR(__xludf.DUMMYFUNCTION("""COMPUTED_VALUE"""),"Playnet")</f>
        <v>Playnet</v>
      </c>
      <c r="BD619" s="7" t="str">
        <f>IFERROR(__xludf.DUMMYFUNCTION("""COMPUTED_VALUE"""),"https://gameserver-store-client-area.orbionlimited.com/Home/IntegrationGameLaunch/client-area?moneyType=0&amp;gameName=PlayNetDiamondHeart10&amp;platform=desktop&amp;languageCode=eng&amp;currency=EUR")</f>
        <v>https://gameserver-store-client-area.orbionlimited.com/Home/IntegrationGameLaunch/client-area?moneyType=0&amp;gameName=PlayNetDiamondHeart10&amp;platform=desktop&amp;languageCode=eng&amp;currency=EUR</v>
      </c>
      <c r="BE619" s="5" t="b">
        <f>IFERROR(__xludf.DUMMYFUNCTION("""COMPUTED_VALUE"""),TRUE)</f>
        <v>1</v>
      </c>
    </row>
    <row r="620">
      <c r="A620" s="5">
        <f>IFERROR(__xludf.DUMMYFUNCTION("""COMPUTED_VALUE"""),655.0)</f>
        <v>655</v>
      </c>
      <c r="B620" s="5">
        <f>IFERROR(__xludf.DUMMYFUNCTION("""COMPUTED_VALUE"""),529.0)</f>
        <v>529</v>
      </c>
      <c r="C620" s="5" t="str">
        <f>IFERROR(__xludf.DUMMYFUNCTION("""COMPUTED_VALUE"""),"Playnet")</f>
        <v>Playnet</v>
      </c>
      <c r="D620" s="5" t="str">
        <f>IFERROR(__xludf.DUMMYFUNCTION("""COMPUTED_VALUE"""),"Leprechaun's Fortune Clover")</f>
        <v>Leprechaun's Fortune Clover</v>
      </c>
      <c r="E620" s="5" t="str">
        <f>IFERROR(__xludf.DUMMYFUNCTION("""COMPUTED_VALUE"""),"Sertifikacioni")</f>
        <v>Sertifikacioni</v>
      </c>
      <c r="F620" s="5" t="str">
        <f>IFERROR(__xludf.DUMMYFUNCTION("""COMPUTED_VALUE"""),"PlayNetLeprechaunsFortuneClover")</f>
        <v>PlayNetLeprechaunsFortuneClover</v>
      </c>
      <c r="G620" s="5" t="str">
        <f>IFERROR(__xludf.DUMMYFUNCTION("""COMPUTED_VALUE"""),"Live")</f>
        <v>Live</v>
      </c>
      <c r="H620" s="5"/>
      <c r="I620" s="5"/>
      <c r="J620" s="5" t="str">
        <f>IFERROR(__xludf.DUMMYFUNCTION("""COMPUTED_VALUE"""),"JSON")</f>
        <v>JSON</v>
      </c>
      <c r="K620" s="5" t="str">
        <f>IFERROR(__xludf.DUMMYFUNCTION("""COMPUTED_VALUE"""),"Slot")</f>
        <v>Slot</v>
      </c>
      <c r="L620" s="5" t="str">
        <f>IFERROR(__xludf.DUMMYFUNCTION("""COMPUTED_VALUE""")," Clone")</f>
        <v> Clone</v>
      </c>
      <c r="M620" s="5" t="str">
        <f>IFERROR(__xludf.DUMMYFUNCTION("""COMPUTED_VALUE"""),"Fortune Clover x2")</f>
        <v>Fortune Clover x2</v>
      </c>
      <c r="N620" s="5"/>
      <c r="O620" s="5"/>
      <c r="P620" s="12">
        <f>IFERROR(__xludf.DUMMYFUNCTION("""COMPUTED_VALUE"""),15.0)</f>
        <v>15</v>
      </c>
      <c r="Q620" s="13">
        <f>IFERROR(__xludf.DUMMYFUNCTION("""COMPUTED_VALUE"""),46041.0)</f>
        <v>46041</v>
      </c>
      <c r="R620" s="13">
        <f>IFERROR(__xludf.DUMMYFUNCTION("""COMPUTED_VALUE"""),46050.0)</f>
        <v>46050</v>
      </c>
      <c r="S620" s="13">
        <f>IFERROR(__xludf.DUMMYFUNCTION("""COMPUTED_VALUE"""),46057.0)</f>
        <v>46057</v>
      </c>
      <c r="T620" s="5" t="b">
        <f>IFERROR(__xludf.DUMMYFUNCTION("""COMPUTED_VALUE"""),TRUE)</f>
        <v>1</v>
      </c>
      <c r="U620" s="5" t="str">
        <f>IFERROR(__xludf.DUMMYFUNCTION("""COMPUTED_VALUE"""),"5x3")</f>
        <v>5x3</v>
      </c>
      <c r="V620" s="5">
        <f>IFERROR(__xludf.DUMMYFUNCTION("""COMPUTED_VALUE"""),5.0)</f>
        <v>5</v>
      </c>
      <c r="W620" s="5">
        <f>IFERROR(__xludf.DUMMYFUNCTION("""COMPUTED_VALUE"""),5.0)</f>
        <v>5</v>
      </c>
      <c r="X620" s="5">
        <f>IFERROR(__xludf.DUMMYFUNCTION("""COMPUTED_VALUE"""),96.453)</f>
        <v>96.453</v>
      </c>
      <c r="Y620" s="5" t="str">
        <f>IFERROR(__xludf.DUMMYFUNCTION("""COMPUTED_VALUE"""),"Medium")</f>
        <v>Medium</v>
      </c>
      <c r="Z620" s="5">
        <f>IFERROR(__xludf.DUMMYFUNCTION("""COMPUTED_VALUE"""),14.234)</f>
        <v>14.234</v>
      </c>
      <c r="AA620" s="5">
        <f>IFERROR(__xludf.DUMMYFUNCTION("""COMPUTED_VALUE"""),2624.0)</f>
        <v>2624</v>
      </c>
      <c r="AB620" s="5"/>
      <c r="AC620" s="5" t="str">
        <f>IFERROR(__xludf.DUMMYFUNCTION("""COMPUTED_VALUE"""),"Scatter, Expanding Wild, Wild Multiplier")</f>
        <v>Scatter, Expanding Wild, Wild Multiplier</v>
      </c>
      <c r="AD620" s="5" t="str">
        <f>IFERROR(__xludf.DUMMYFUNCTION("""COMPUTED_VALUE"""),"0.05/30")</f>
        <v>0.05/30</v>
      </c>
      <c r="AE620" s="5"/>
      <c r="AF620" s="5"/>
      <c r="AG620" s="8">
        <f>IFERROR(__xludf.DUMMYFUNCTION("""COMPUTED_VALUE"""),46220.50677083333)</f>
        <v>46220.50677</v>
      </c>
      <c r="AH620" s="5" t="str">
        <f>IFERROR(__xludf.DUMMYFUNCTION("""COMPUTED_VALUE"""),"selena.mihajlovic@fazi.rs")</f>
        <v>selena.mihajlovic@fazi.rs</v>
      </c>
      <c r="AI620" s="13"/>
      <c r="AJ620" s="5"/>
      <c r="AK620" s="5"/>
      <c r="AL620" s="5" t="str">
        <f>IFERROR(__xludf.DUMMYFUNCTION("""COMPUTED_VALUE"""),"No")</f>
        <v>No</v>
      </c>
      <c r="AM620" s="5" t="str">
        <f>IFERROR(__xludf.DUMMYFUNCTION("""COMPUTED_VALUE"""),"No")</f>
        <v>No</v>
      </c>
      <c r="AN620" s="7" t="str">
        <f>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AO620" s="5" t="str">
        <f>IFERROR(__xludf.DUMMYFUNCTION("""COMPUTED_VALUE"""),"No")</f>
        <v>No</v>
      </c>
      <c r="AP620" s="5" t="str">
        <f>IFERROR(__xludf.DUMMYFUNCTION("""COMPUTED_VALUE"""),"No")</f>
        <v>No</v>
      </c>
      <c r="AQ620" s="5" t="b">
        <f>IFERROR(__xludf.DUMMYFUNCTION("""COMPUTED_VALUE"""),TRUE)</f>
        <v>1</v>
      </c>
      <c r="AR620" s="5"/>
      <c r="AS620" s="5" t="str">
        <f>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AT620" s="5"/>
      <c r="AU620" s="5" t="str">
        <f>IFERROR(__xludf.DUMMYFUNCTION("""COMPUTED_VALUE"""),"Fazi")</f>
        <v>Fazi</v>
      </c>
      <c r="AV620" s="5"/>
      <c r="AW620" s="5"/>
      <c r="AX620" s="13">
        <f>IFERROR(__xludf.DUMMYFUNCTION("""COMPUTED_VALUE"""),46035.0)</f>
        <v>46035</v>
      </c>
      <c r="AY620" s="5"/>
      <c r="AZ620" s="5"/>
      <c r="BA620" s="5"/>
      <c r="BB620" s="5" t="b">
        <f>IFERROR(__xludf.DUMMYFUNCTION("""COMPUTED_VALUE"""),TRUE)</f>
        <v>1</v>
      </c>
      <c r="BC620" s="5" t="str">
        <f>IFERROR(__xludf.DUMMYFUNCTION("""COMPUTED_VALUE"""),"Playnet")</f>
        <v>Playnet</v>
      </c>
      <c r="BD620" s="7" t="str">
        <f>IFERROR(__xludf.DUMMYFUNCTION("""COMPUTED_VALUE"""),"https://gameserver-store-client-area.orbionlimited.com/Home/IntegrationGameLaunch/client-area?moneyType=0&amp;gameName=PlayNetLeprechaunsFortuneClover&amp;platform=desktop&amp;languageCode=eng&amp;currency=EUR")</f>
        <v>https://gameserver-store-client-area.orbionlimited.com/Home/IntegrationGameLaunch/client-area?moneyType=0&amp;gameName=PlayNetLeprechaunsFortuneClover&amp;platform=desktop&amp;languageCode=eng&amp;currency=EUR</v>
      </c>
      <c r="BE620" s="5" t="b">
        <f>IFERROR(__xludf.DUMMYFUNCTION("""COMPUTED_VALUE"""),TRUE)</f>
        <v>1</v>
      </c>
    </row>
    <row r="621">
      <c r="A621" s="5">
        <f>IFERROR(__xludf.DUMMYFUNCTION("""COMPUTED_VALUE"""),656.0)</f>
        <v>656</v>
      </c>
      <c r="B621" s="5">
        <f>IFERROR(__xludf.DUMMYFUNCTION("""COMPUTED_VALUE"""),530.0)</f>
        <v>530</v>
      </c>
      <c r="C621" s="5" t="str">
        <f>IFERROR(__xludf.DUMMYFUNCTION("""COMPUTED_VALUE"""),"Playnet")</f>
        <v>Playnet</v>
      </c>
      <c r="D621" s="5" t="str">
        <f>IFERROR(__xludf.DUMMYFUNCTION("""COMPUTED_VALUE"""),"Empress Of Flame")</f>
        <v>Empress Of Flame</v>
      </c>
      <c r="E621" s="5" t="str">
        <f>IFERROR(__xludf.DUMMYFUNCTION("""COMPUTED_VALUE"""),"Sertifikacioni")</f>
        <v>Sertifikacioni</v>
      </c>
      <c r="F621" s="5" t="str">
        <f>IFERROR(__xludf.DUMMYFUNCTION("""COMPUTED_VALUE"""),"PlayNetEmpressOfFlame")</f>
        <v>PlayNetEmpressOfFlame</v>
      </c>
      <c r="G621" s="5" t="str">
        <f>IFERROR(__xludf.DUMMYFUNCTION("""COMPUTED_VALUE"""),"Live")</f>
        <v>Live</v>
      </c>
      <c r="H621" s="5"/>
      <c r="I621" s="5"/>
      <c r="J621" s="5" t="str">
        <f>IFERROR(__xludf.DUMMYFUNCTION("""COMPUTED_VALUE"""),"JSON")</f>
        <v>JSON</v>
      </c>
      <c r="K621" s="5" t="str">
        <f>IFERROR(__xludf.DUMMYFUNCTION("""COMPUTED_VALUE"""),"Slot")</f>
        <v>Slot</v>
      </c>
      <c r="L621" s="5" t="str">
        <f>IFERROR(__xludf.DUMMYFUNCTION("""COMPUTED_VALUE""")," Clone")</f>
        <v> Clone</v>
      </c>
      <c r="M621" s="5" t="str">
        <f>IFERROR(__xludf.DUMMYFUNCTION("""COMPUTED_VALUE"""),"Turbo Stars 10")</f>
        <v>Turbo Stars 10</v>
      </c>
      <c r="N621" s="5"/>
      <c r="O621" s="5"/>
      <c r="P621" s="12">
        <f>IFERROR(__xludf.DUMMYFUNCTION("""COMPUTED_VALUE"""),17.0)</f>
        <v>17</v>
      </c>
      <c r="Q621" s="13">
        <f>IFERROR(__xludf.DUMMYFUNCTION("""COMPUTED_VALUE"""),46097.0)</f>
        <v>46097</v>
      </c>
      <c r="R621" s="13">
        <f>IFERROR(__xludf.DUMMYFUNCTION("""COMPUTED_VALUE"""),46122.0)</f>
        <v>46122</v>
      </c>
      <c r="S621" s="13">
        <f>IFERROR(__xludf.DUMMYFUNCTION("""COMPUTED_VALUE"""),46129.0)</f>
        <v>46129</v>
      </c>
      <c r="T621" s="5" t="b">
        <f>IFERROR(__xludf.DUMMYFUNCTION("""COMPUTED_VALUE"""),TRUE)</f>
        <v>1</v>
      </c>
      <c r="U621" s="5" t="str">
        <f>IFERROR(__xludf.DUMMYFUNCTION("""COMPUTED_VALUE"""),"5x3")</f>
        <v>5x3</v>
      </c>
      <c r="V621" s="5">
        <f>IFERROR(__xludf.DUMMYFUNCTION("""COMPUTED_VALUE"""),10.0)</f>
        <v>10</v>
      </c>
      <c r="W621" s="5">
        <f>IFERROR(__xludf.DUMMYFUNCTION("""COMPUTED_VALUE"""),10.0)</f>
        <v>10</v>
      </c>
      <c r="X621" s="5">
        <f>IFERROR(__xludf.DUMMYFUNCTION("""COMPUTED_VALUE"""),95.544)</f>
        <v>95.544</v>
      </c>
      <c r="Y621" s="5" t="str">
        <f>IFERROR(__xludf.DUMMYFUNCTION("""COMPUTED_VALUE"""),"Medium")</f>
        <v>Medium</v>
      </c>
      <c r="Z621" s="5">
        <f>IFERROR(__xludf.DUMMYFUNCTION("""COMPUTED_VALUE"""),13.022)</f>
        <v>13.022</v>
      </c>
      <c r="AA621" s="5">
        <f>IFERROR(__xludf.DUMMYFUNCTION("""COMPUTED_VALUE"""),1611.0)</f>
        <v>1611</v>
      </c>
      <c r="AB621" s="5"/>
      <c r="AC621" s="5" t="str">
        <f>IFERROR(__xludf.DUMMYFUNCTION("""COMPUTED_VALUE"""),"Expanding Wild")</f>
        <v>Expanding Wild</v>
      </c>
      <c r="AD621" s="5" t="str">
        <f>IFERROR(__xludf.DUMMYFUNCTION("""COMPUTED_VALUE"""),"0.1/40")</f>
        <v>0.1/40</v>
      </c>
      <c r="AE621" s="5"/>
      <c r="AF621" s="5"/>
      <c r="AG621" s="8">
        <f>IFERROR(__xludf.DUMMYFUNCTION("""COMPUTED_VALUE"""),46220.506944444445)</f>
        <v>46220.50694</v>
      </c>
      <c r="AH621" s="5" t="str">
        <f>IFERROR(__xludf.DUMMYFUNCTION("""COMPUTED_VALUE"""),"selena.mihajlovic@fazi.rs")</f>
        <v>selena.mihajlovic@fazi.rs</v>
      </c>
      <c r="AI621" s="13">
        <f>IFERROR(__xludf.DUMMYFUNCTION("""COMPUTED_VALUE"""),46119.0)</f>
        <v>46119</v>
      </c>
      <c r="AJ621" s="5" t="str">
        <f>IFERROR(__xludf.DUMMYFUNCTION("""COMPUTED_VALUE"""),"07.04. Mostbet")</f>
        <v>07.04. Mostbet</v>
      </c>
      <c r="AK621" s="5"/>
      <c r="AL621" s="5" t="str">
        <f>IFERROR(__xludf.DUMMYFUNCTION("""COMPUTED_VALUE"""),"No")</f>
        <v>No</v>
      </c>
      <c r="AM621" s="5" t="str">
        <f>IFERROR(__xludf.DUMMYFUNCTION("""COMPUTED_VALUE"""),"Yes")</f>
        <v>Yes</v>
      </c>
      <c r="AN621" s="7" t="str">
        <f>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AO621" s="5" t="str">
        <f>IFERROR(__xludf.DUMMYFUNCTION("""COMPUTED_VALUE"""),"No")</f>
        <v>No</v>
      </c>
      <c r="AP621" s="5" t="str">
        <f>IFERROR(__xludf.DUMMYFUNCTION("""COMPUTED_VALUE"""),"No")</f>
        <v>No</v>
      </c>
      <c r="AQ621" s="5" t="b">
        <f>IFERROR(__xludf.DUMMYFUNCTION("""COMPUTED_VALUE"""),TRUE)</f>
        <v>1</v>
      </c>
      <c r="AR621" s="5"/>
      <c r="AS621" s="5" t="str">
        <f>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AT621" s="5"/>
      <c r="AU621" s="5" t="str">
        <f>IFERROR(__xludf.DUMMYFUNCTION("""COMPUTED_VALUE"""),"Fazi")</f>
        <v>Fazi</v>
      </c>
      <c r="AV621" s="5"/>
      <c r="AW621" s="5"/>
      <c r="AX621" s="13">
        <f>IFERROR(__xludf.DUMMYFUNCTION("""COMPUTED_VALUE"""),46091.0)</f>
        <v>46091</v>
      </c>
      <c r="AY621" s="5"/>
      <c r="AZ621" s="5"/>
      <c r="BA621" s="5"/>
      <c r="BB621" s="5" t="b">
        <f>IFERROR(__xludf.DUMMYFUNCTION("""COMPUTED_VALUE"""),TRUE)</f>
        <v>1</v>
      </c>
      <c r="BC621" s="5" t="str">
        <f>IFERROR(__xludf.DUMMYFUNCTION("""COMPUTED_VALUE"""),"Playnet")</f>
        <v>Playnet</v>
      </c>
      <c r="BD621" s="7" t="str">
        <f>IFERROR(__xludf.DUMMYFUNCTION("""COMPUTED_VALUE"""),"https://gameserver-store-client-area.orbionlimited.com/Home/IntegrationGameLaunch/client-area?moneyType=0&amp;gameName=PlayNetEmpressOfFlame&amp;platform=desktop&amp;languageCode=eng&amp;currency=EUR")</f>
        <v>https://gameserver-store-client-area.orbionlimited.com/Home/IntegrationGameLaunch/client-area?moneyType=0&amp;gameName=PlayNetEmpressOfFlame&amp;platform=desktop&amp;languageCode=eng&amp;currency=EUR</v>
      </c>
      <c r="BE621" s="5" t="b">
        <f>IFERROR(__xludf.DUMMYFUNCTION("""COMPUTED_VALUE"""),TRUE)</f>
        <v>1</v>
      </c>
    </row>
    <row r="622">
      <c r="A622" s="5">
        <f>IFERROR(__xludf.DUMMYFUNCTION("""COMPUTED_VALUE"""),657.0)</f>
        <v>657</v>
      </c>
      <c r="B622" s="5">
        <f>IFERROR(__xludf.DUMMYFUNCTION("""COMPUTED_VALUE"""),4000001.0)</f>
        <v>4000001</v>
      </c>
      <c r="C622" s="5" t="str">
        <f>IFERROR(__xludf.DUMMYFUNCTION("""COMPUTED_VALUE"""),"Tiptop")</f>
        <v>Tiptop</v>
      </c>
      <c r="D622" s="5" t="str">
        <f>IFERROR(__xludf.DUMMYFUNCTION("""COMPUTED_VALUE"""),"Three Reel Fruit Boost")</f>
        <v>Three Reel Fruit Boost</v>
      </c>
      <c r="E622" s="5" t="str">
        <f>IFERROR(__xludf.DUMMYFUNCTION("""COMPUTED_VALUE"""),"TipTop")</f>
        <v>TipTop</v>
      </c>
      <c r="F622" s="5" t="str">
        <f>IFERROR(__xludf.DUMMYFUNCTION("""COMPUTED_VALUE"""),"UnicornThreeReelFruitBoost")</f>
        <v>UnicornThreeReelFruitBoost</v>
      </c>
      <c r="G622" s="5" t="str">
        <f>IFERROR(__xludf.DUMMYFUNCTION("""COMPUTED_VALUE"""),"Live")</f>
        <v>Live</v>
      </c>
      <c r="H622" s="5"/>
      <c r="I622" s="5" t="str">
        <f>IFERROR(__xludf.DUMMYFUNCTION("""COMPUTED_VALUE"""),"TipTop")</f>
        <v>TipTop</v>
      </c>
      <c r="J622" s="5" t="str">
        <f>IFERROR(__xludf.DUMMYFUNCTION("""COMPUTED_VALUE"""),"JSON")</f>
        <v>JSON</v>
      </c>
      <c r="K622" s="5" t="str">
        <f>IFERROR(__xludf.DUMMYFUNCTION("""COMPUTED_VALUE"""),"Slot")</f>
        <v>Slot</v>
      </c>
      <c r="L622" s="5" t="str">
        <f>IFERROR(__xludf.DUMMYFUNCTION("""COMPUTED_VALUE"""),"Master")</f>
        <v>Master</v>
      </c>
      <c r="M622" s="5"/>
      <c r="N622" s="5"/>
      <c r="O622" s="5"/>
      <c r="P622" s="12">
        <f>IFERROR(__xludf.DUMMYFUNCTION("""COMPUTED_VALUE"""),11.43)</f>
        <v>11.43</v>
      </c>
      <c r="Q622" s="13">
        <f>IFERROR(__xludf.DUMMYFUNCTION("""COMPUTED_VALUE"""),46013.0)</f>
        <v>46013</v>
      </c>
      <c r="R622" s="13">
        <f>IFERROR(__xludf.DUMMYFUNCTION("""COMPUTED_VALUE"""),46169.0)</f>
        <v>46169</v>
      </c>
      <c r="S622" s="13">
        <f>IFERROR(__xludf.DUMMYFUNCTION("""COMPUTED_VALUE"""),46176.0)</f>
        <v>46176</v>
      </c>
      <c r="T622" s="5" t="b">
        <f>IFERROR(__xludf.DUMMYFUNCTION("""COMPUTED_VALUE"""),TRUE)</f>
        <v>1</v>
      </c>
      <c r="U622" s="5" t="str">
        <f>IFERROR(__xludf.DUMMYFUNCTION("""COMPUTED_VALUE"""),"3X3")</f>
        <v>3X3</v>
      </c>
      <c r="V622" s="5">
        <f>IFERROR(__xludf.DUMMYFUNCTION("""COMPUTED_VALUE"""),5.0)</f>
        <v>5</v>
      </c>
      <c r="W622" s="5">
        <f>IFERROR(__xludf.DUMMYFUNCTION("""COMPUTED_VALUE"""),5.0)</f>
        <v>5</v>
      </c>
      <c r="X622" s="5">
        <f>IFERROR(__xludf.DUMMYFUNCTION("""COMPUTED_VALUE"""),96.0)</f>
        <v>96</v>
      </c>
      <c r="Y622" s="5" t="str">
        <f>IFERROR(__xludf.DUMMYFUNCTION("""COMPUTED_VALUE"""),"Low")</f>
        <v>Low</v>
      </c>
      <c r="Z622" s="5">
        <f>IFERROR(__xludf.DUMMYFUNCTION("""COMPUTED_VALUE"""),17.07)</f>
        <v>17.07</v>
      </c>
      <c r="AA622" s="5">
        <f>IFERROR(__xludf.DUMMYFUNCTION("""COMPUTED_VALUE"""),500.0)</f>
        <v>500</v>
      </c>
      <c r="AB622" s="5"/>
      <c r="AC622" s="5"/>
      <c r="AD622" s="5" t="str">
        <f>IFERROR(__xludf.DUMMYFUNCTION("""COMPUTED_VALUE"""),"0.05/100")</f>
        <v>0.05/100</v>
      </c>
      <c r="AE622" s="5"/>
      <c r="AF622" s="5"/>
      <c r="AG622" s="8">
        <f>IFERROR(__xludf.DUMMYFUNCTION("""COMPUTED_VALUE"""),46197.504328703704)</f>
        <v>46197.50433</v>
      </c>
      <c r="AH622" s="5" t="str">
        <f>IFERROR(__xludf.DUMMYFUNCTION("""COMPUTED_VALUE"""),"selena.mihajlovic@fazi.rs")</f>
        <v>selena.mihajlovic@fazi.rs</v>
      </c>
      <c r="AI622" s="13"/>
      <c r="AJ622" s="5"/>
      <c r="AK622" s="5">
        <f>IFERROR(__xludf.DUMMYFUNCTION("""COMPUTED_VALUE"""),5.0)</f>
        <v>5</v>
      </c>
      <c r="AL622" s="5" t="str">
        <f>IFERROR(__xludf.DUMMYFUNCTION("""COMPUTED_VALUE"""),"No")</f>
        <v>No</v>
      </c>
      <c r="AM622" s="5"/>
      <c r="AN622" s="7" t="str">
        <f>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AO622" s="5"/>
      <c r="AP622" s="5"/>
      <c r="AQ622" s="5" t="b">
        <f>IFERROR(__xludf.DUMMYFUNCTION("""COMPUTED_VALUE"""),TRUE)</f>
        <v>1</v>
      </c>
      <c r="AR622" s="5"/>
      <c r="AS622" s="5" t="str">
        <f>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AT622" s="5"/>
      <c r="AU622" s="5" t="str">
        <f>IFERROR(__xludf.DUMMYFUNCTION("""COMPUTED_VALUE"""),"Tiptop")</f>
        <v>Tiptop</v>
      </c>
      <c r="AV622" s="5"/>
      <c r="AW622" s="5"/>
      <c r="AX622" s="13">
        <f>IFERROR(__xludf.DUMMYFUNCTION("""COMPUTED_VALUE"""),46007.0)</f>
        <v>46007</v>
      </c>
      <c r="AY622" s="5"/>
      <c r="AZ622" s="5"/>
      <c r="BA622" s="5"/>
      <c r="BB622" s="5" t="b">
        <f>IFERROR(__xludf.DUMMYFUNCTION("""COMPUTED_VALUE"""),TRUE)</f>
        <v>1</v>
      </c>
      <c r="BC622" s="5" t="str">
        <f>IFERROR(__xludf.DUMMYFUNCTION("""COMPUTED_VALUE"""),"Tiptop")</f>
        <v>Tiptop</v>
      </c>
      <c r="BD622" s="7" t="str">
        <f>IFERROR(__xludf.DUMMYFUNCTION("""COMPUTED_VALUE"""),"https://gameserver-store-client-area.orbionlimited.com/Home/IntegrationGameLaunch/client-area?moneyType=0&amp;gameName=UnicornThreeReelFruitBoost&amp;platform=desktop&amp;languageCode=eng&amp;currency=EUR")</f>
        <v>https://gameserver-store-client-area.orbionlimited.com/Home/IntegrationGameLaunch/client-area?moneyType=0&amp;gameName=UnicornThreeReelFruitBoost&amp;platform=desktop&amp;languageCode=eng&amp;currency=EUR</v>
      </c>
      <c r="BE622" s="5" t="b">
        <f>IFERROR(__xludf.DUMMYFUNCTION("""COMPUTED_VALUE"""),TRUE)</f>
        <v>1</v>
      </c>
    </row>
    <row r="623">
      <c r="A623" s="5">
        <f>IFERROR(__xludf.DUMMYFUNCTION("""COMPUTED_VALUE"""),658.0)</f>
        <v>658</v>
      </c>
      <c r="B623" s="5">
        <f>IFERROR(__xludf.DUMMYFUNCTION("""COMPUTED_VALUE"""),2012.0)</f>
        <v>2012</v>
      </c>
      <c r="C623" s="5" t="str">
        <f>IFERROR(__xludf.DUMMYFUNCTION("""COMPUTED_VALUE"""),"Fazi")</f>
        <v>Fazi</v>
      </c>
      <c r="D623" s="5" t="str">
        <f>IFERROR(__xludf.DUMMYFUNCTION("""COMPUTED_VALUE"""),"Star Heat 40")</f>
        <v>Star Heat 40</v>
      </c>
      <c r="E623" s="5" t="str">
        <f>IFERROR(__xludf.DUMMYFUNCTION("""COMPUTED_VALUE"""),"V4-2")</f>
        <v>V4-2</v>
      </c>
      <c r="F623" s="5" t="str">
        <f>IFERROR(__xludf.DUMMYFUNCTION("""COMPUTED_VALUE"""),"StarHeat40")</f>
        <v>StarHeat40</v>
      </c>
      <c r="G623" s="5" t="str">
        <f>IFERROR(__xludf.DUMMYFUNCTION("""COMPUTED_VALUE"""),"Live")</f>
        <v>Live</v>
      </c>
      <c r="H623" s="5"/>
      <c r="I623" s="5" t="str">
        <f>IFERROR(__xludf.DUMMYFUNCTION("""COMPUTED_VALUE"""),"V4")</f>
        <v>V4</v>
      </c>
      <c r="J623" s="5" t="str">
        <f>IFERROR(__xludf.DUMMYFUNCTION("""COMPUTED_VALUE"""),"JSON")</f>
        <v>JSON</v>
      </c>
      <c r="K623" s="5" t="str">
        <f>IFERROR(__xludf.DUMMYFUNCTION("""COMPUTED_VALUE"""),"Slot")</f>
        <v>Slot</v>
      </c>
      <c r="L623" s="5" t="str">
        <f>IFERROR(__xludf.DUMMYFUNCTION("""COMPUTED_VALUE""")," Reskin")</f>
        <v> Reskin</v>
      </c>
      <c r="M623" s="5" t="str">
        <f>IFERROR(__xludf.DUMMYFUNCTION("""COMPUTED_VALUE"""),"Wild Heat 40")</f>
        <v>Wild Heat 40</v>
      </c>
      <c r="N623" s="5"/>
      <c r="O623" s="5"/>
      <c r="P623" s="12">
        <f>IFERROR(__xludf.DUMMYFUNCTION("""COMPUTED_VALUE"""),28.0)</f>
        <v>28</v>
      </c>
      <c r="Q623" s="13">
        <f>IFERROR(__xludf.DUMMYFUNCTION("""COMPUTED_VALUE"""),46041.0)</f>
        <v>46041</v>
      </c>
      <c r="R623" s="13">
        <f>IFERROR(__xludf.DUMMYFUNCTION("""COMPUTED_VALUE"""),46128.0)</f>
        <v>46128</v>
      </c>
      <c r="S623" s="13">
        <f>IFERROR(__xludf.DUMMYFUNCTION("""COMPUTED_VALUE"""),46135.0)</f>
        <v>46135</v>
      </c>
      <c r="T623" s="5" t="b">
        <f>IFERROR(__xludf.DUMMYFUNCTION("""COMPUTED_VALUE"""),TRUE)</f>
        <v>1</v>
      </c>
      <c r="U623" s="5" t="str">
        <f>IFERROR(__xludf.DUMMYFUNCTION("""COMPUTED_VALUE"""),"5x4")</f>
        <v>5x4</v>
      </c>
      <c r="V623" s="5">
        <f>IFERROR(__xludf.DUMMYFUNCTION("""COMPUTED_VALUE"""),40.0)</f>
        <v>40</v>
      </c>
      <c r="W623" s="5">
        <f>IFERROR(__xludf.DUMMYFUNCTION("""COMPUTED_VALUE"""),40.0)</f>
        <v>40</v>
      </c>
      <c r="X623" s="5">
        <f>IFERROR(__xludf.DUMMYFUNCTION("""COMPUTED_VALUE"""),96.997)</f>
        <v>96.997</v>
      </c>
      <c r="Y623" s="5" t="str">
        <f>IFERROR(__xludf.DUMMYFUNCTION("""COMPUTED_VALUE"""),"Low")</f>
        <v>Low</v>
      </c>
      <c r="Z623" s="5">
        <f>IFERROR(__xludf.DUMMYFUNCTION("""COMPUTED_VALUE"""),16.768)</f>
        <v>16.768</v>
      </c>
      <c r="AA623" s="5">
        <f>IFERROR(__xludf.DUMMYFUNCTION("""COMPUTED_VALUE"""),1000.0)</f>
        <v>1000</v>
      </c>
      <c r="AB623" s="5"/>
      <c r="AC623" s="5" t="str">
        <f>IFERROR(__xludf.DUMMYFUNCTION("""COMPUTED_VALUE"""),"Wild Symbol")</f>
        <v>Wild Symbol</v>
      </c>
      <c r="AD623" s="5" t="str">
        <f>IFERROR(__xludf.DUMMYFUNCTION("""COMPUTED_VALUE"""),"0.40/60")</f>
        <v>0.40/60</v>
      </c>
      <c r="AE623" s="5"/>
      <c r="AF623" s="5"/>
      <c r="AG623" s="8">
        <f>IFERROR(__xludf.DUMMYFUNCTION("""COMPUTED_VALUE"""),46161.51896990741)</f>
        <v>46161.51897</v>
      </c>
      <c r="AH623" s="5" t="str">
        <f>IFERROR(__xludf.DUMMYFUNCTION("""COMPUTED_VALUE"""),"djordje.petrovic@fazi.rs")</f>
        <v>djordje.petrovic@fazi.rs</v>
      </c>
      <c r="AI623" s="13">
        <f>IFERROR(__xludf.DUMMYFUNCTION("""COMPUTED_VALUE"""),46092.0)</f>
        <v>46092</v>
      </c>
      <c r="AJ623" s="5" t="str">
        <f>IFERROR(__xludf.DUMMYFUNCTION("""COMPUTED_VALUE"""),"11.03. Koralplay
27.03. Kanggeten 
08.04. Pinnbet SRB
23.03 Azar Latino
26.03 Juegalo (Digitain) ")</f>
        <v>11.03. Koralplay
27.03. Kanggeten 
08.04. Pinnbet SRB
23.03 Azar Latino
26.03 Juegalo (Digitain) </v>
      </c>
      <c r="AK623" s="5">
        <f>IFERROR(__xludf.DUMMYFUNCTION("""COMPUTED_VALUE"""),40.0)</f>
        <v>40</v>
      </c>
      <c r="AL623" s="5" t="str">
        <f>IFERROR(__xludf.DUMMYFUNCTION("""COMPUTED_VALUE"""),"Yes")</f>
        <v>Yes</v>
      </c>
      <c r="AM623" s="5"/>
      <c r="AN623" s="7" t="str">
        <f>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AO623" s="5" t="str">
        <f>IFERROR(__xludf.DUMMYFUNCTION("""COMPUTED_VALUE"""),"Yes")</f>
        <v>Yes</v>
      </c>
      <c r="AP623" s="5" t="str">
        <f>IFERROR(__xludf.DUMMYFUNCTION("""COMPUTED_VALUE"""),"Yes")</f>
        <v>Yes</v>
      </c>
      <c r="AQ623" s="5" t="b">
        <f>IFERROR(__xludf.DUMMYFUNCTION("""COMPUTED_VALUE"""),TRUE)</f>
        <v>1</v>
      </c>
      <c r="AR623" s="5"/>
      <c r="AS623" s="5" t="str">
        <f>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AT623" s="5" t="str">
        <f>IFERROR(__xludf.DUMMYFUNCTION("""COMPUTED_VALUE"""),"Yes")</f>
        <v>Yes</v>
      </c>
      <c r="AU623" s="5" t="str">
        <f>IFERROR(__xludf.DUMMYFUNCTION("""COMPUTED_VALUE"""),"Fazi")</f>
        <v>Fazi</v>
      </c>
      <c r="AV623" s="5">
        <f>IFERROR(__xludf.DUMMYFUNCTION("""COMPUTED_VALUE"""),1.0)</f>
        <v>1</v>
      </c>
      <c r="AW623" s="5"/>
      <c r="AX623" s="13">
        <f>IFERROR(__xludf.DUMMYFUNCTION("""COMPUTED_VALUE"""),46035.0)</f>
        <v>46035</v>
      </c>
      <c r="AY623" s="5"/>
      <c r="AZ623" s="5"/>
      <c r="BA623" s="5"/>
      <c r="BB623" s="5"/>
      <c r="BC623" s="5" t="str">
        <f>IFERROR(__xludf.DUMMYFUNCTION("""COMPUTED_VALUE"""),"Foxi")</f>
        <v>Foxi</v>
      </c>
      <c r="BD623" s="7" t="str">
        <f>IFERROR(__xludf.DUMMYFUNCTION("""COMPUTED_VALUE"""),"https://gameserver-store-client-area.orbionlimited.com/Home/IntegrationGameLaunch/client-area?moneyType=0&amp;gameName=StarHeat40&amp;platform=desktop&amp;languageCode=eng&amp;currency=EUR")</f>
        <v>https://gameserver-store-client-area.orbionlimited.com/Home/IntegrationGameLaunch/client-area?moneyType=0&amp;gameName=StarHeat40&amp;platform=desktop&amp;languageCode=eng&amp;currency=EUR</v>
      </c>
      <c r="BE623" s="5" t="b">
        <f>IFERROR(__xludf.DUMMYFUNCTION("""COMPUTED_VALUE"""),TRUE)</f>
        <v>1</v>
      </c>
    </row>
    <row r="624">
      <c r="A624" s="5">
        <f>IFERROR(__xludf.DUMMYFUNCTION("""COMPUTED_VALUE"""),659.0)</f>
        <v>659</v>
      </c>
      <c r="B624" s="5">
        <f>IFERROR(__xludf.DUMMYFUNCTION("""COMPUTED_VALUE"""),2017.0)</f>
        <v>2017</v>
      </c>
      <c r="C624" s="5" t="str">
        <f>IFERROR(__xludf.DUMMYFUNCTION("""COMPUTED_VALUE"""),"Fazi")</f>
        <v>Fazi</v>
      </c>
      <c r="D624" s="5" t="str">
        <f>IFERROR(__xludf.DUMMYFUNCTION("""COMPUTED_VALUE"""),"Retro 27")</f>
        <v>Retro 27</v>
      </c>
      <c r="E624" s="5" t="str">
        <f>IFERROR(__xludf.DUMMYFUNCTION("""COMPUTED_VALUE"""),"V4-2")</f>
        <v>V4-2</v>
      </c>
      <c r="F624" s="5" t="str">
        <f>IFERROR(__xludf.DUMMYFUNCTION("""COMPUTED_VALUE"""),"Retro27")</f>
        <v>Retro27</v>
      </c>
      <c r="G624" s="5" t="str">
        <f>IFERROR(__xludf.DUMMYFUNCTION("""COMPUTED_VALUE"""),"Live")</f>
        <v>Live</v>
      </c>
      <c r="H624" s="5"/>
      <c r="I624" s="5" t="str">
        <f>IFERROR(__xludf.DUMMYFUNCTION("""COMPUTED_VALUE"""),"V4")</f>
        <v>V4</v>
      </c>
      <c r="J624" s="5" t="str">
        <f>IFERROR(__xludf.DUMMYFUNCTION("""COMPUTED_VALUE"""),"JSON")</f>
        <v>JSON</v>
      </c>
      <c r="K624" s="5" t="str">
        <f>IFERROR(__xludf.DUMMYFUNCTION("""COMPUTED_VALUE"""),"Slot")</f>
        <v>Slot</v>
      </c>
      <c r="L624" s="5" t="str">
        <f>IFERROR(__xludf.DUMMYFUNCTION("""COMPUTED_VALUE""")," Reskin")</f>
        <v> Reskin</v>
      </c>
      <c r="M624" s="5" t="str">
        <f>IFERROR(__xludf.DUMMYFUNCTION("""COMPUTED_VALUE"""),"Wild 27")</f>
        <v>Wild 27</v>
      </c>
      <c r="N624" s="7" t="str">
        <f>IFERROR(__xludf.DUMMYFUNCTION("""COMPUTED_VALUE"""),"https://drive.google.com/drive/folders/1tMhNZrKJW7jv95Njoh8q7n6Ykhm_Zs5h?usp=drive_link")</f>
        <v>https://drive.google.com/drive/folders/1tMhNZrKJW7jv95Njoh8q7n6Ykhm_Zs5h?usp=drive_link</v>
      </c>
      <c r="O624" s="7" t="str">
        <f>IFERROR(__xludf.DUMMYFUNCTION("""COMPUTED_VALUE"""),"https://drive.google.com/drive/folders/1tMhNZrKJW7jv95Njoh8q7n6Ykhm_Zs5h?usp=drive_link")</f>
        <v>https://drive.google.com/drive/folders/1tMhNZrKJW7jv95Njoh8q7n6Ykhm_Zs5h?usp=drive_link</v>
      </c>
      <c r="P624" s="12">
        <f>IFERROR(__xludf.DUMMYFUNCTION("""COMPUTED_VALUE"""),16.1)</f>
        <v>16.1</v>
      </c>
      <c r="Q624" s="13">
        <f>IFERROR(__xludf.DUMMYFUNCTION("""COMPUTED_VALUE"""),46041.0)</f>
        <v>46041</v>
      </c>
      <c r="R624" s="13">
        <f>IFERROR(__xludf.DUMMYFUNCTION("""COMPUTED_VALUE"""),46065.0)</f>
        <v>46065</v>
      </c>
      <c r="S624" s="13">
        <f>IFERROR(__xludf.DUMMYFUNCTION("""COMPUTED_VALUE"""),46072.0)</f>
        <v>46072</v>
      </c>
      <c r="T624" s="5" t="b">
        <f>IFERROR(__xludf.DUMMYFUNCTION("""COMPUTED_VALUE"""),TRUE)</f>
        <v>1</v>
      </c>
      <c r="U624" s="5" t="str">
        <f>IFERROR(__xludf.DUMMYFUNCTION("""COMPUTED_VALUE"""),"3x3")</f>
        <v>3x3</v>
      </c>
      <c r="V624" s="5">
        <f>IFERROR(__xludf.DUMMYFUNCTION("""COMPUTED_VALUE"""),27.0)</f>
        <v>27</v>
      </c>
      <c r="W624" s="5">
        <f>IFERROR(__xludf.DUMMYFUNCTION("""COMPUTED_VALUE"""),27.0)</f>
        <v>27</v>
      </c>
      <c r="X624" s="5">
        <f>IFERROR(__xludf.DUMMYFUNCTION("""COMPUTED_VALUE"""),96.24)</f>
        <v>96.24</v>
      </c>
      <c r="Y624" s="5" t="str">
        <f>IFERROR(__xludf.DUMMYFUNCTION("""COMPUTED_VALUE"""),"Low")</f>
        <v>Low</v>
      </c>
      <c r="Z624" s="5">
        <f>IFERROR(__xludf.DUMMYFUNCTION("""COMPUTED_VALUE"""),6.58)</f>
        <v>6.58</v>
      </c>
      <c r="AA624" s="5">
        <f>IFERROR(__xludf.DUMMYFUNCTION("""COMPUTED_VALUE"""),108.0)</f>
        <v>108</v>
      </c>
      <c r="AB624" s="5"/>
      <c r="AC624" s="5" t="str">
        <f>IFERROR(__xludf.DUMMYFUNCTION("""COMPUTED_VALUE"""),"Win Multiplier")</f>
        <v>Win Multiplier</v>
      </c>
      <c r="AD624" s="5" t="str">
        <f>IFERROR(__xludf.DUMMYFUNCTION("""COMPUTED_VALUE"""),"0.1/40")</f>
        <v>0.1/40</v>
      </c>
      <c r="AE624" s="5"/>
      <c r="AF624" s="5"/>
      <c r="AG624" s="8">
        <f>IFERROR(__xludf.DUMMYFUNCTION("""COMPUTED_VALUE"""),46161.52143518518)</f>
        <v>46161.52144</v>
      </c>
      <c r="AH624" s="5" t="str">
        <f>IFERROR(__xludf.DUMMYFUNCTION("""COMPUTED_VALUE"""),"djordje.petrovic@fazi.rs")</f>
        <v>djordje.petrovic@fazi.rs</v>
      </c>
      <c r="AI624" s="13">
        <f>IFERROR(__xludf.DUMMYFUNCTION("""COMPUTED_VALUE"""),46055.0)</f>
        <v>46055</v>
      </c>
      <c r="AJ624" s="5" t="str">
        <f>IFERROR(__xludf.DUMMYFUNCTION("""COMPUTED_VALUE"""),"02.02 Soccer Bet (SRB, MNE, BA)
03.02 BtoBet (Premierbet, Guineebet, Mercurybet)")</f>
        <v>02.02 Soccer Bet (SRB, MNE, BA)
03.02 BtoBet (Premierbet, Guineebet, Mercurybet)</v>
      </c>
      <c r="AK624" s="5">
        <f>IFERROR(__xludf.DUMMYFUNCTION("""COMPUTED_VALUE"""),1.0)</f>
        <v>1</v>
      </c>
      <c r="AL624" s="5" t="str">
        <f>IFERROR(__xludf.DUMMYFUNCTION("""COMPUTED_VALUE"""),"Yes")</f>
        <v>Yes</v>
      </c>
      <c r="AM624" s="5"/>
      <c r="AN624" s="7" t="str">
        <f>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AO624" s="5" t="str">
        <f>IFERROR(__xludf.DUMMYFUNCTION("""COMPUTED_VALUE"""),"Yes")</f>
        <v>Yes</v>
      </c>
      <c r="AP624" s="5" t="str">
        <f>IFERROR(__xludf.DUMMYFUNCTION("""COMPUTED_VALUE"""),"Yes")</f>
        <v>Yes</v>
      </c>
      <c r="AQ624" s="5" t="b">
        <f>IFERROR(__xludf.DUMMYFUNCTION("""COMPUTED_VALUE"""),TRUE)</f>
        <v>1</v>
      </c>
      <c r="AR624" s="5"/>
      <c r="AS624" s="5" t="str">
        <f>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AT624" s="5" t="str">
        <f>IFERROR(__xludf.DUMMYFUNCTION("""COMPUTED_VALUE"""),"Yes")</f>
        <v>Yes</v>
      </c>
      <c r="AU624" s="5" t="str">
        <f>IFERROR(__xludf.DUMMYFUNCTION("""COMPUTED_VALUE"""),"Fazi")</f>
        <v>Fazi</v>
      </c>
      <c r="AV624" s="5">
        <f>IFERROR(__xludf.DUMMYFUNCTION("""COMPUTED_VALUE"""),1.0)</f>
        <v>1</v>
      </c>
      <c r="AW624" s="5"/>
      <c r="AX624" s="13">
        <f>IFERROR(__xludf.DUMMYFUNCTION("""COMPUTED_VALUE"""),46035.0)</f>
        <v>46035</v>
      </c>
      <c r="AY624" s="5"/>
      <c r="AZ624" s="5"/>
      <c r="BA624" s="5"/>
      <c r="BB624" s="5"/>
      <c r="BC624" s="5" t="str">
        <f>IFERROR(__xludf.DUMMYFUNCTION("""COMPUTED_VALUE"""),"Foxi")</f>
        <v>Foxi</v>
      </c>
      <c r="BD624" s="7" t="str">
        <f>IFERROR(__xludf.DUMMYFUNCTION("""COMPUTED_VALUE"""),"https://gameserver-store-client-area.orbionlimited.com/Home/IntegrationGameLaunch/client-area?moneyType=0&amp;gameName=Retro27&amp;platform=desktop&amp;languageCode=eng&amp;currency=EUR")</f>
        <v>https://gameserver-store-client-area.orbionlimited.com/Home/IntegrationGameLaunch/client-area?moneyType=0&amp;gameName=Retro27&amp;platform=desktop&amp;languageCode=eng&amp;currency=EUR</v>
      </c>
      <c r="BE624" s="5" t="b">
        <f>IFERROR(__xludf.DUMMYFUNCTION("""COMPUTED_VALUE"""),TRUE)</f>
        <v>1</v>
      </c>
    </row>
    <row r="625">
      <c r="A625" s="5">
        <f>IFERROR(__xludf.DUMMYFUNCTION("""COMPUTED_VALUE"""),660.0)</f>
        <v>660</v>
      </c>
      <c r="B625" s="5">
        <f>IFERROR(__xludf.DUMMYFUNCTION("""COMPUTED_VALUE"""),2010.0)</f>
        <v>2010</v>
      </c>
      <c r="C625" s="5" t="str">
        <f>IFERROR(__xludf.DUMMYFUNCTION("""COMPUTED_VALUE"""),"Fazi")</f>
        <v>Fazi</v>
      </c>
      <c r="D625" s="5" t="str">
        <f>IFERROR(__xludf.DUMMYFUNCTION("""COMPUTED_VALUE"""),"Wild 27 Dice")</f>
        <v>Wild 27 Dice</v>
      </c>
      <c r="E625" s="5" t="str">
        <f>IFERROR(__xludf.DUMMYFUNCTION("""COMPUTED_VALUE"""),"V4-2")</f>
        <v>V4-2</v>
      </c>
      <c r="F625" s="5" t="str">
        <f>IFERROR(__xludf.DUMMYFUNCTION("""COMPUTED_VALUE"""),"Wild27Dice")</f>
        <v>Wild27Dice</v>
      </c>
      <c r="G625" s="5" t="str">
        <f>IFERROR(__xludf.DUMMYFUNCTION("""COMPUTED_VALUE"""),"Live")</f>
        <v>Live</v>
      </c>
      <c r="H625" s="5"/>
      <c r="I625" s="5" t="str">
        <f>IFERROR(__xludf.DUMMYFUNCTION("""COMPUTED_VALUE"""),"V4")</f>
        <v>V4</v>
      </c>
      <c r="J625" s="5" t="str">
        <f>IFERROR(__xludf.DUMMYFUNCTION("""COMPUTED_VALUE"""),"JSON")</f>
        <v>JSON</v>
      </c>
      <c r="K625" s="5" t="str">
        <f>IFERROR(__xludf.DUMMYFUNCTION("""COMPUTED_VALUE"""),"Dice Slots")</f>
        <v>Dice Slots</v>
      </c>
      <c r="L625" s="5" t="str">
        <f>IFERROR(__xludf.DUMMYFUNCTION("""COMPUTED_VALUE""")," Reskin")</f>
        <v> Reskin</v>
      </c>
      <c r="M625" s="5" t="str">
        <f>IFERROR(__xludf.DUMMYFUNCTION("""COMPUTED_VALUE"""),"Wild 27")</f>
        <v>Wild 27</v>
      </c>
      <c r="N625" s="5"/>
      <c r="O625" s="5"/>
      <c r="P625" s="12">
        <f>IFERROR(__xludf.DUMMYFUNCTION("""COMPUTED_VALUE"""),17.0)</f>
        <v>17</v>
      </c>
      <c r="Q625" s="13">
        <f>IFERROR(__xludf.DUMMYFUNCTION("""COMPUTED_VALUE"""),45999.0)</f>
        <v>45999</v>
      </c>
      <c r="R625" s="13">
        <f>IFERROR(__xludf.DUMMYFUNCTION("""COMPUTED_VALUE"""),46135.0)</f>
        <v>46135</v>
      </c>
      <c r="S625" s="13">
        <f>IFERROR(__xludf.DUMMYFUNCTION("""COMPUTED_VALUE"""),46142.0)</f>
        <v>46142</v>
      </c>
      <c r="T625" s="5" t="b">
        <f>IFERROR(__xludf.DUMMYFUNCTION("""COMPUTED_VALUE"""),TRUE)</f>
        <v>1</v>
      </c>
      <c r="U625" s="5" t="str">
        <f>IFERROR(__xludf.DUMMYFUNCTION("""COMPUTED_VALUE"""),"3x3")</f>
        <v>3x3</v>
      </c>
      <c r="V625" s="5">
        <f>IFERROR(__xludf.DUMMYFUNCTION("""COMPUTED_VALUE"""),27.0)</f>
        <v>27</v>
      </c>
      <c r="W625" s="5">
        <f>IFERROR(__xludf.DUMMYFUNCTION("""COMPUTED_VALUE"""),27.0)</f>
        <v>27</v>
      </c>
      <c r="X625" s="5">
        <f>IFERROR(__xludf.DUMMYFUNCTION("""COMPUTED_VALUE"""),96.24)</f>
        <v>96.24</v>
      </c>
      <c r="Y625" s="5" t="str">
        <f>IFERROR(__xludf.DUMMYFUNCTION("""COMPUTED_VALUE"""),"Low")</f>
        <v>Low</v>
      </c>
      <c r="Z625" s="5">
        <f>IFERROR(__xludf.DUMMYFUNCTION("""COMPUTED_VALUE"""),6.58)</f>
        <v>6.58</v>
      </c>
      <c r="AA625" s="5">
        <f>IFERROR(__xludf.DUMMYFUNCTION("""COMPUTED_VALUE"""),108.0)</f>
        <v>108</v>
      </c>
      <c r="AB625" s="5"/>
      <c r="AC625" s="5" t="str">
        <f>IFERROR(__xludf.DUMMYFUNCTION("""COMPUTED_VALUE"""),"Win Multiplier")</f>
        <v>Win Multiplier</v>
      </c>
      <c r="AD625" s="5" t="str">
        <f>IFERROR(__xludf.DUMMYFUNCTION("""COMPUTED_VALUE"""),"0.1/40")</f>
        <v>0.1/40</v>
      </c>
      <c r="AE625" s="5"/>
      <c r="AF625" s="5"/>
      <c r="AG625" s="8">
        <f>IFERROR(__xludf.DUMMYFUNCTION("""COMPUTED_VALUE"""),46161.52202546296)</f>
        <v>46161.52203</v>
      </c>
      <c r="AH625" s="5" t="str">
        <f>IFERROR(__xludf.DUMMYFUNCTION("""COMPUTED_VALUE"""),"djordje.petrovic@fazi.rs")</f>
        <v>djordje.petrovic@fazi.rs</v>
      </c>
      <c r="AI625" s="13"/>
      <c r="AJ625" s="5"/>
      <c r="AK625" s="5">
        <f>IFERROR(__xludf.DUMMYFUNCTION("""COMPUTED_VALUE"""),1.0)</f>
        <v>1</v>
      </c>
      <c r="AL625" s="5" t="str">
        <f>IFERROR(__xludf.DUMMYFUNCTION("""COMPUTED_VALUE"""),"Yes")</f>
        <v>Yes</v>
      </c>
      <c r="AM625" s="5"/>
      <c r="AN625" s="7" t="str">
        <f>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AO625" s="5" t="str">
        <f>IFERROR(__xludf.DUMMYFUNCTION("""COMPUTED_VALUE"""),"Yes")</f>
        <v>Yes</v>
      </c>
      <c r="AP625" s="5" t="str">
        <f>IFERROR(__xludf.DUMMYFUNCTION("""COMPUTED_VALUE"""),"Yes")</f>
        <v>Yes</v>
      </c>
      <c r="AQ625" s="5" t="b">
        <f>IFERROR(__xludf.DUMMYFUNCTION("""COMPUTED_VALUE"""),TRUE)</f>
        <v>1</v>
      </c>
      <c r="AR625" s="5"/>
      <c r="AS625" s="5"/>
      <c r="AT625" s="5" t="str">
        <f>IFERROR(__xludf.DUMMYFUNCTION("""COMPUTED_VALUE"""),"Yes")</f>
        <v>Yes</v>
      </c>
      <c r="AU625" s="5" t="str">
        <f>IFERROR(__xludf.DUMMYFUNCTION("""COMPUTED_VALUE"""),"Fazi")</f>
        <v>Fazi</v>
      </c>
      <c r="AV625" s="5">
        <f>IFERROR(__xludf.DUMMYFUNCTION("""COMPUTED_VALUE"""),1.0)</f>
        <v>1</v>
      </c>
      <c r="AW625" s="5"/>
      <c r="AX625" s="13">
        <f>IFERROR(__xludf.DUMMYFUNCTION("""COMPUTED_VALUE"""),45993.0)</f>
        <v>45993</v>
      </c>
      <c r="AY625" s="5"/>
      <c r="AZ625" s="7" t="str">
        <f>IFERROR(__xludf.DUMMYFUNCTION("""COMPUTED_VALUE"""),"https://drive.google.com/drive/folders/1BSYsvknXDCekqp50LbxTSCM23ajx0cxl")</f>
        <v>https://drive.google.com/drive/folders/1BSYsvknXDCekqp50LbxTSCM23ajx0cxl</v>
      </c>
      <c r="BA625" s="5"/>
      <c r="BB625" s="5"/>
      <c r="BC625" s="5" t="str">
        <f>IFERROR(__xludf.DUMMYFUNCTION("""COMPUTED_VALUE"""),"Foxi")</f>
        <v>Foxi</v>
      </c>
      <c r="BD625" s="7" t="str">
        <f>IFERROR(__xludf.DUMMYFUNCTION("""COMPUTED_VALUE"""),"https://gameserver-store-client-area.orbionlimited.com/Home/IntegrationGameLaunch/client-area?moneyType=0&amp;gameName=Wild27Dice&amp;platform=desktop&amp;languageCode=eng&amp;currency=EUR")</f>
        <v>https://gameserver-store-client-area.orbionlimited.com/Home/IntegrationGameLaunch/client-area?moneyType=0&amp;gameName=Wild27Dice&amp;platform=desktop&amp;languageCode=eng&amp;currency=EUR</v>
      </c>
      <c r="BE625" s="5" t="b">
        <f>IFERROR(__xludf.DUMMYFUNCTION("""COMPUTED_VALUE"""),TRUE)</f>
        <v>1</v>
      </c>
    </row>
    <row r="626">
      <c r="A626" s="5">
        <f>IFERROR(__xludf.DUMMYFUNCTION("""COMPUTED_VALUE"""),661.0)</f>
        <v>661</v>
      </c>
      <c r="B626" s="5">
        <f>IFERROR(__xludf.DUMMYFUNCTION("""COMPUTED_VALUE"""),2011.0)</f>
        <v>2011</v>
      </c>
      <c r="C626" s="5" t="str">
        <f>IFERROR(__xludf.DUMMYFUNCTION("""COMPUTED_VALUE"""),"Fazi")</f>
        <v>Fazi</v>
      </c>
      <c r="D626" s="5" t="str">
        <f>IFERROR(__xludf.DUMMYFUNCTION("""COMPUTED_VALUE"""),"Coin Splash Dice")</f>
        <v>Coin Splash Dice</v>
      </c>
      <c r="E626" s="5" t="str">
        <f>IFERROR(__xludf.DUMMYFUNCTION("""COMPUTED_VALUE"""),"V4-2")</f>
        <v>V4-2</v>
      </c>
      <c r="F626" s="5" t="str">
        <f>IFERROR(__xludf.DUMMYFUNCTION("""COMPUTED_VALUE"""),"CoinSplashDice")</f>
        <v>CoinSplashDice</v>
      </c>
      <c r="G626" s="5" t="str">
        <f>IFERROR(__xludf.DUMMYFUNCTION("""COMPUTED_VALUE"""),"Live")</f>
        <v>Live</v>
      </c>
      <c r="H626" s="5"/>
      <c r="I626" s="5" t="str">
        <f>IFERROR(__xludf.DUMMYFUNCTION("""COMPUTED_VALUE"""),"V4")</f>
        <v>V4</v>
      </c>
      <c r="J626" s="5" t="str">
        <f>IFERROR(__xludf.DUMMYFUNCTION("""COMPUTED_VALUE"""),"JSON")</f>
        <v>JSON</v>
      </c>
      <c r="K626" s="5" t="str">
        <f>IFERROR(__xludf.DUMMYFUNCTION("""COMPUTED_VALUE"""),"Dice Slots")</f>
        <v>Dice Slots</v>
      </c>
      <c r="L626" s="5" t="str">
        <f>IFERROR(__xludf.DUMMYFUNCTION("""COMPUTED_VALUE""")," Clone")</f>
        <v> Clone</v>
      </c>
      <c r="M626" s="5" t="str">
        <f>IFERROR(__xludf.DUMMYFUNCTION("""COMPUTED_VALUE"""),"Coin Splash")</f>
        <v>Coin Splash</v>
      </c>
      <c r="N626" s="5"/>
      <c r="O626" s="5"/>
      <c r="P626" s="12">
        <f>IFERROR(__xludf.DUMMYFUNCTION("""COMPUTED_VALUE"""),14.8)</f>
        <v>14.8</v>
      </c>
      <c r="Q626" s="13">
        <f>IFERROR(__xludf.DUMMYFUNCTION("""COMPUTED_VALUE"""),45999.0)</f>
        <v>45999</v>
      </c>
      <c r="R626" s="13">
        <f>IFERROR(__xludf.DUMMYFUNCTION("""COMPUTED_VALUE"""),46049.0)</f>
        <v>46049</v>
      </c>
      <c r="S626" s="13">
        <f>IFERROR(__xludf.DUMMYFUNCTION("""COMPUTED_VALUE"""),46056.0)</f>
        <v>46056</v>
      </c>
      <c r="T626" s="5" t="b">
        <f>IFERROR(__xludf.DUMMYFUNCTION("""COMPUTED_VALUE"""),TRUE)</f>
        <v>1</v>
      </c>
      <c r="U626" s="5" t="str">
        <f>IFERROR(__xludf.DUMMYFUNCTION("""COMPUTED_VALUE"""),"5x4")</f>
        <v>5x4</v>
      </c>
      <c r="V626" s="5">
        <f>IFERROR(__xludf.DUMMYFUNCTION("""COMPUTED_VALUE"""),40.0)</f>
        <v>40</v>
      </c>
      <c r="W626" s="5">
        <f>IFERROR(__xludf.DUMMYFUNCTION("""COMPUTED_VALUE"""),40.0)</f>
        <v>40</v>
      </c>
      <c r="X626" s="5">
        <f>IFERROR(__xludf.DUMMYFUNCTION("""COMPUTED_VALUE"""),96.594)</f>
        <v>96.594</v>
      </c>
      <c r="Y626" s="5" t="str">
        <f>IFERROR(__xludf.DUMMYFUNCTION("""COMPUTED_VALUE"""),"Medium")</f>
        <v>Medium</v>
      </c>
      <c r="Z626" s="5">
        <f>IFERROR(__xludf.DUMMYFUNCTION("""COMPUTED_VALUE"""),12.056)</f>
        <v>12.056</v>
      </c>
      <c r="AA626" s="5">
        <f>IFERROR(__xludf.DUMMYFUNCTION("""COMPUTED_VALUE"""),750.0)</f>
        <v>750</v>
      </c>
      <c r="AB626" s="5"/>
      <c r="AC626" s="5" t="str">
        <f>IFERROR(__xludf.DUMMYFUNCTION("""COMPUTED_VALUE"""),"Exploding Wild")</f>
        <v>Exploding Wild</v>
      </c>
      <c r="AD626" s="5" t="str">
        <f>IFERROR(__xludf.DUMMYFUNCTION("""COMPUTED_VALUE"""),"0.04/60")</f>
        <v>0.04/60</v>
      </c>
      <c r="AE626" s="5"/>
      <c r="AF626" s="5"/>
      <c r="AG626" s="8">
        <f>IFERROR(__xludf.DUMMYFUNCTION("""COMPUTED_VALUE"""),46198.52207175926)</f>
        <v>46198.52207</v>
      </c>
      <c r="AH626" s="5" t="str">
        <f>IFERROR(__xludf.DUMMYFUNCTION("""COMPUTED_VALUE"""),"selena.mihajlovic@fazi.rs")</f>
        <v>selena.mihajlovic@fazi.rs</v>
      </c>
      <c r="AI626" s="13"/>
      <c r="AJ626" s="5"/>
      <c r="AK626" s="5">
        <f>IFERROR(__xludf.DUMMYFUNCTION("""COMPUTED_VALUE"""),4.0)</f>
        <v>4</v>
      </c>
      <c r="AL626" s="5" t="str">
        <f>IFERROR(__xludf.DUMMYFUNCTION("""COMPUTED_VALUE"""),"Yes")</f>
        <v>Yes</v>
      </c>
      <c r="AM626" s="5"/>
      <c r="AN626" s="7" t="str">
        <f>IFERROR(__xludf.DUMMYFUNCTION("""COMPUTED_VALUE"""),"https://gameserver-store.fazi.rs/Home/IntegrationGameLaunch/admiralmne?moneyType=0&amp;currency=EUR&amp;gameName=CoinSplashDice")</f>
        <v>https://gameserver-store.fazi.rs/Home/IntegrationGameLaunch/admiralmne?moneyType=0&amp;currency=EUR&amp;gameName=CoinSplashDice</v>
      </c>
      <c r="AO626" s="5" t="str">
        <f>IFERROR(__xludf.DUMMYFUNCTION("""COMPUTED_VALUE"""),"Yes")</f>
        <v>Yes</v>
      </c>
      <c r="AP626" s="5" t="str">
        <f>IFERROR(__xludf.DUMMYFUNCTION("""COMPUTED_VALUE"""),"Yes")</f>
        <v>Yes</v>
      </c>
      <c r="AQ626" s="5" t="b">
        <f>IFERROR(__xludf.DUMMYFUNCTION("""COMPUTED_VALUE"""),TRUE)</f>
        <v>1</v>
      </c>
      <c r="AR626" s="5"/>
      <c r="AS626" s="5" t="str">
        <f>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AT626" s="5" t="str">
        <f>IFERROR(__xludf.DUMMYFUNCTION("""COMPUTED_VALUE"""),"Yes")</f>
        <v>Yes</v>
      </c>
      <c r="AU626" s="5" t="str">
        <f>IFERROR(__xludf.DUMMYFUNCTION("""COMPUTED_VALUE"""),"Fazi")</f>
        <v>Fazi</v>
      </c>
      <c r="AV626" s="5">
        <f>IFERROR(__xludf.DUMMYFUNCTION("""COMPUTED_VALUE"""),1.0)</f>
        <v>1</v>
      </c>
      <c r="AW626" s="5"/>
      <c r="AX626" s="13">
        <f>IFERROR(__xludf.DUMMYFUNCTION("""COMPUTED_VALUE"""),45993.0)</f>
        <v>45993</v>
      </c>
      <c r="AY626" s="5"/>
      <c r="AZ626" s="5"/>
      <c r="BA626" s="5"/>
      <c r="BB626" s="5" t="b">
        <f>IFERROR(__xludf.DUMMYFUNCTION("""COMPUTED_VALUE"""),TRUE)</f>
        <v>1</v>
      </c>
      <c r="BC626" s="5" t="str">
        <f>IFERROR(__xludf.DUMMYFUNCTION("""COMPUTED_VALUE"""),"Foxi")</f>
        <v>Foxi</v>
      </c>
      <c r="BD626" s="7" t="str">
        <f>IFERROR(__xludf.DUMMYFUNCTION("""COMPUTED_VALUE"""),"https://gameserver-store-client-area.orbionlimited.com/Home/IntegrationGameLaunch/client-area?moneyType=0&amp;gameName=CoinSplashDice&amp;platform=desktop&amp;languageCode=eng&amp;currency=EUR")</f>
        <v>https://gameserver-store-client-area.orbionlimited.com/Home/IntegrationGameLaunch/client-area?moneyType=0&amp;gameName=CoinSplashDice&amp;platform=desktop&amp;languageCode=eng&amp;currency=EUR</v>
      </c>
      <c r="BE626" s="5" t="b">
        <f>IFERROR(__xludf.DUMMYFUNCTION("""COMPUTED_VALUE"""),TRUE)</f>
        <v>1</v>
      </c>
    </row>
    <row r="627">
      <c r="A627" s="5">
        <f>IFERROR(__xludf.DUMMYFUNCTION("""COMPUTED_VALUE"""),662.0)</f>
        <v>662</v>
      </c>
      <c r="B627" s="5">
        <f>IFERROR(__xludf.DUMMYFUNCTION("""COMPUTED_VALUE"""),4031.0)</f>
        <v>4031</v>
      </c>
      <c r="C627" s="5" t="str">
        <f>IFERROR(__xludf.DUMMYFUNCTION("""COMPUTED_VALUE"""),"Fazi")</f>
        <v>Fazi</v>
      </c>
      <c r="D627" s="5" t="str">
        <f>IFERROR(__xludf.DUMMYFUNCTION("""COMPUTED_VALUE"""),"FruitsAndStars1X")</f>
        <v>FruitsAndStars1X</v>
      </c>
      <c r="E627" s="5" t="str">
        <f>IFERROR(__xludf.DUMMYFUNCTION("""COMPUTED_VALUE"""),"Sertifikacioni")</f>
        <v>Sertifikacioni</v>
      </c>
      <c r="F627" s="5" t="str">
        <f>IFERROR(__xludf.DUMMYFUNCTION("""COMPUTED_VALUE"""),"FruitsAndStars1X")</f>
        <v>FruitsAndStars1X</v>
      </c>
      <c r="G627" s="5" t="str">
        <f>IFERROR(__xludf.DUMMYFUNCTION("""COMPUTED_VALUE"""),"Live")</f>
        <v>Live</v>
      </c>
      <c r="H627" s="5" t="str">
        <f>IFERROR(__xludf.DUMMYFUNCTION("""COMPUTED_VALUE"""),"1Xbet")</f>
        <v>1Xbet</v>
      </c>
      <c r="I627" s="5" t="str">
        <f>IFERROR(__xludf.DUMMYFUNCTION("""COMPUTED_VALUE"""),"V2")</f>
        <v>V2</v>
      </c>
      <c r="J627" s="5" t="str">
        <f>IFERROR(__xludf.DUMMYFUNCTION("""COMPUTED_VALUE"""),"JSON")</f>
        <v>JSON</v>
      </c>
      <c r="K627" s="5" t="str">
        <f>IFERROR(__xludf.DUMMYFUNCTION("""COMPUTED_VALUE"""),"Slot")</f>
        <v>Slot</v>
      </c>
      <c r="L627" s="5" t="str">
        <f>IFERROR(__xludf.DUMMYFUNCTION("""COMPUTED_VALUE""")," Clone")</f>
        <v> Clone</v>
      </c>
      <c r="M627" s="5" t="str">
        <f>IFERROR(__xludf.DUMMYFUNCTION("""COMPUTED_VALUE"""),"Fruits and Stars")</f>
        <v>Fruits and Stars</v>
      </c>
      <c r="N627" s="5"/>
      <c r="O627" s="5"/>
      <c r="P627" s="12"/>
      <c r="Q627" s="13">
        <f>IFERROR(__xludf.DUMMYFUNCTION("""COMPUTED_VALUE"""),46041.0)</f>
        <v>46041</v>
      </c>
      <c r="R627" s="13"/>
      <c r="S627" s="13">
        <f>IFERROR(__xludf.DUMMYFUNCTION("""COMPUTED_VALUE"""),46041.0)</f>
        <v>46041</v>
      </c>
      <c r="T627" s="5" t="b">
        <f>IFERROR(__xludf.DUMMYFUNCTION("""COMPUTED_VALUE"""),TRUE)</f>
        <v>1</v>
      </c>
      <c r="U627" s="5" t="str">
        <f>IFERROR(__xludf.DUMMYFUNCTION("""COMPUTED_VALUE"""),"5x3")</f>
        <v>5x3</v>
      </c>
      <c r="V627" s="5">
        <f>IFERROR(__xludf.DUMMYFUNCTION("""COMPUTED_VALUE"""),20.0)</f>
        <v>20</v>
      </c>
      <c r="W627" s="5"/>
      <c r="X627" s="5">
        <f>IFERROR(__xludf.DUMMYFUNCTION("""COMPUTED_VALUE"""),95.79)</f>
        <v>95.79</v>
      </c>
      <c r="Y627" s="5" t="str">
        <f>IFERROR(__xludf.DUMMYFUNCTION("""COMPUTED_VALUE"""),"Low")</f>
        <v>Low</v>
      </c>
      <c r="Z627" s="5">
        <f>IFERROR(__xludf.DUMMYFUNCTION("""COMPUTED_VALUE"""),4.856)</f>
        <v>4.856</v>
      </c>
      <c r="AA627" s="5">
        <f>IFERROR(__xludf.DUMMYFUNCTION("""COMPUTED_VALUE"""),1000.0)</f>
        <v>1000</v>
      </c>
      <c r="AB627" s="5"/>
      <c r="AC627" s="5"/>
      <c r="AD627" s="5" t="str">
        <f>IFERROR(__xludf.DUMMYFUNCTION("""COMPUTED_VALUE"""),"0.01/50")</f>
        <v>0.01/50</v>
      </c>
      <c r="AE627" s="5"/>
      <c r="AF627" s="5"/>
      <c r="AG627" s="8">
        <f>IFERROR(__xludf.DUMMYFUNCTION("""COMPUTED_VALUE"""),46177.40608796296)</f>
        <v>46177.40609</v>
      </c>
      <c r="AH627" s="5" t="str">
        <f>IFERROR(__xludf.DUMMYFUNCTION("""COMPUTED_VALUE"""),"petra.ilic@fazi.rs")</f>
        <v>petra.ilic@fazi.rs</v>
      </c>
      <c r="AI627" s="13"/>
      <c r="AJ627" s="5"/>
      <c r="AK627" s="5">
        <f>IFERROR(__xludf.DUMMYFUNCTION("""COMPUTED_VALUE"""),20.0)</f>
        <v>20</v>
      </c>
      <c r="AL627" s="5" t="str">
        <f>IFERROR(__xludf.DUMMYFUNCTION("""COMPUTED_VALUE"""),"Yes")</f>
        <v>Yes</v>
      </c>
      <c r="AM627" s="5"/>
      <c r="AN627" s="5"/>
      <c r="AO627" s="5"/>
      <c r="AP627" s="5" t="str">
        <f>IFERROR(__xludf.DUMMYFUNCTION("""COMPUTED_VALUE"""),"Yes")</f>
        <v>Yes</v>
      </c>
      <c r="AQ627" s="5"/>
      <c r="AR627" s="5" t="b">
        <f>IFERROR(__xludf.DUMMYFUNCTION("""COMPUTED_VALUE"""),TRUE)</f>
        <v>1</v>
      </c>
      <c r="AS627" s="5"/>
      <c r="AT627" s="5"/>
      <c r="AU627" s="5" t="str">
        <f>IFERROR(__xludf.DUMMYFUNCTION("""COMPUTED_VALUE"""),"Fazi")</f>
        <v>Fazi</v>
      </c>
      <c r="AV627" s="5"/>
      <c r="AW627" s="5"/>
      <c r="AX627" s="13">
        <f>IFERROR(__xludf.DUMMYFUNCTION("""COMPUTED_VALUE"""),46035.0)</f>
        <v>46035</v>
      </c>
      <c r="AY627" s="5"/>
      <c r="AZ627" s="5"/>
      <c r="BA627" s="5"/>
      <c r="BB627" s="5"/>
      <c r="BC627" s="5" t="str">
        <f>IFERROR(__xludf.DUMMYFUNCTION("""COMPUTED_VALUE"""),"Foxi")</f>
        <v>Foxi</v>
      </c>
      <c r="BD627" s="5" t="str">
        <f>IFERROR(__xludf.DUMMYFUNCTION("""COMPUTED_VALUE"""),"")</f>
        <v/>
      </c>
      <c r="BE627" s="5"/>
    </row>
    <row r="628">
      <c r="A628" s="5">
        <f>IFERROR(__xludf.DUMMYFUNCTION("""COMPUTED_VALUE"""),663.0)</f>
        <v>663</v>
      </c>
      <c r="B628" s="5">
        <f>IFERROR(__xludf.DUMMYFUNCTION("""COMPUTED_VALUE"""),4030.0)</f>
        <v>4030</v>
      </c>
      <c r="C628" s="5" t="str">
        <f>IFERROR(__xludf.DUMMYFUNCTION("""COMPUTED_VALUE"""),"Fazi")</f>
        <v>Fazi</v>
      </c>
      <c r="D628" s="5" t="str">
        <f>IFERROR(__xludf.DUMMYFUNCTION("""COMPUTED_VALUE"""),"KK Partizan Slot")</f>
        <v>KK Partizan Slot</v>
      </c>
      <c r="E628" s="5" t="str">
        <f>IFERROR(__xludf.DUMMYFUNCTION("""COMPUTED_VALUE"""),"Sertifikacioni")</f>
        <v>Sertifikacioni</v>
      </c>
      <c r="F628" s="5" t="str">
        <f>IFERROR(__xludf.DUMMYFUNCTION("""COMPUTED_VALUE"""),"KKPartizanSlot")</f>
        <v>KKPartizanSlot</v>
      </c>
      <c r="G628" s="5" t="str">
        <f>IFERROR(__xludf.DUMMYFUNCTION("""COMPUTED_VALUE"""),"In Development")</f>
        <v>In Development</v>
      </c>
      <c r="H628" s="5" t="str">
        <f>IFERROR(__xludf.DUMMYFUNCTION("""COMPUTED_VALUE"""),"AdmiralBet")</f>
        <v>AdmiralBet</v>
      </c>
      <c r="I628" s="5" t="str">
        <f>IFERROR(__xludf.DUMMYFUNCTION("""COMPUTED_VALUE"""),"V2")</f>
        <v>V2</v>
      </c>
      <c r="J628" s="5" t="str">
        <f>IFERROR(__xludf.DUMMYFUNCTION("""COMPUTED_VALUE"""),"JSON")</f>
        <v>JSON</v>
      </c>
      <c r="K628" s="5" t="str">
        <f>IFERROR(__xludf.DUMMYFUNCTION("""COMPUTED_VALUE"""),"Slot")</f>
        <v>Slot</v>
      </c>
      <c r="L628" s="5" t="str">
        <f>IFERROR(__xludf.DUMMYFUNCTION("""COMPUTED_VALUE""")," Clone")</f>
        <v> Clone</v>
      </c>
      <c r="M628" s="5" t="str">
        <f>IFERROR(__xludf.DUMMYFUNCTION("""COMPUTED_VALUE"""),"Lolla's World")</f>
        <v>Lolla's World</v>
      </c>
      <c r="N628" s="5"/>
      <c r="O628" s="5"/>
      <c r="P628" s="12"/>
      <c r="Q628" s="13">
        <f>IFERROR(__xludf.DUMMYFUNCTION("""COMPUTED_VALUE"""),46041.0)</f>
        <v>46041</v>
      </c>
      <c r="R628" s="13"/>
      <c r="S628" s="13"/>
      <c r="T628" s="5"/>
      <c r="U628" s="5" t="str">
        <f>IFERROR(__xludf.DUMMYFUNCTION("""COMPUTED_VALUE"""),"5x4")</f>
        <v>5x4</v>
      </c>
      <c r="V628" s="5">
        <f>IFERROR(__xludf.DUMMYFUNCTION("""COMPUTED_VALUE"""),40.0)</f>
        <v>40</v>
      </c>
      <c r="W628" s="5"/>
      <c r="X628" s="5">
        <f>IFERROR(__xludf.DUMMYFUNCTION("""COMPUTED_VALUE"""),95.479)</f>
        <v>95.479</v>
      </c>
      <c r="Y628" s="5" t="str">
        <f>IFERROR(__xludf.DUMMYFUNCTION("""COMPUTED_VALUE"""),"Medium")</f>
        <v>Medium</v>
      </c>
      <c r="Z628" s="5">
        <f>IFERROR(__xludf.DUMMYFUNCTION("""COMPUTED_VALUE"""),14.7999999999999)</f>
        <v>14.8</v>
      </c>
      <c r="AA628" s="5">
        <f>IFERROR(__xludf.DUMMYFUNCTION("""COMPUTED_VALUE"""),1000.0)</f>
        <v>1000</v>
      </c>
      <c r="AB628" s="5"/>
      <c r="AC628" s="5"/>
      <c r="AD628" s="5"/>
      <c r="AE628" s="5"/>
      <c r="AF628" s="5"/>
      <c r="AG628" s="8">
        <f>IFERROR(__xludf.DUMMYFUNCTION("""COMPUTED_VALUE"""),46252.4997337963)</f>
        <v>46252.49973</v>
      </c>
      <c r="AH628" s="5" t="str">
        <f>IFERROR(__xludf.DUMMYFUNCTION("""COMPUTED_VALUE"""),"petra.ilic@fazi.rs")</f>
        <v>petra.ilic@fazi.rs</v>
      </c>
      <c r="AI628" s="13"/>
      <c r="AJ628" s="5"/>
      <c r="AK628" s="5">
        <f>IFERROR(__xludf.DUMMYFUNCTION("""COMPUTED_VALUE"""),40.0)</f>
        <v>40</v>
      </c>
      <c r="AL628" s="5" t="str">
        <f>IFERROR(__xludf.DUMMYFUNCTION("""COMPUTED_VALUE"""),"Yes")</f>
        <v>Yes</v>
      </c>
      <c r="AM628" s="5"/>
      <c r="AN628" s="5"/>
      <c r="AO628" s="5"/>
      <c r="AP628" s="5"/>
      <c r="AQ628" s="5"/>
      <c r="AR628" s="5" t="b">
        <f>IFERROR(__xludf.DUMMYFUNCTION("""COMPUTED_VALUE"""),TRUE)</f>
        <v>1</v>
      </c>
      <c r="AS628" s="5"/>
      <c r="AT628" s="5"/>
      <c r="AU628" s="5" t="str">
        <f>IFERROR(__xludf.DUMMYFUNCTION("""COMPUTED_VALUE"""),"Fazi")</f>
        <v>Fazi</v>
      </c>
      <c r="AV628" s="5"/>
      <c r="AW628" s="5"/>
      <c r="AX628" s="13">
        <f>IFERROR(__xludf.DUMMYFUNCTION("""COMPUTED_VALUE"""),46035.0)</f>
        <v>46035</v>
      </c>
      <c r="AY628" s="5"/>
      <c r="AZ628" s="5"/>
      <c r="BA628" s="5"/>
      <c r="BB628" s="5"/>
      <c r="BC628" s="5" t="str">
        <f>IFERROR(__xludf.DUMMYFUNCTION("""COMPUTED_VALUE"""),"Foxi")</f>
        <v>Foxi</v>
      </c>
      <c r="BD628" s="5"/>
      <c r="BE628" s="5"/>
    </row>
    <row r="629">
      <c r="A629" s="5">
        <f>IFERROR(__xludf.DUMMYFUNCTION("""COMPUTED_VALUE"""),664.0)</f>
        <v>664</v>
      </c>
      <c r="B629" s="5">
        <f>IFERROR(__xludf.DUMMYFUNCTION("""COMPUTED_VALUE"""),4032.0)</f>
        <v>4032</v>
      </c>
      <c r="C629" s="5" t="str">
        <f>IFERROR(__xludf.DUMMYFUNCTION("""COMPUTED_VALUE"""),"Fazi")</f>
        <v>Fazi</v>
      </c>
      <c r="D629" s="5" t="str">
        <f>IFERROR(__xludf.DUMMYFUNCTION("""COMPUTED_VALUE"""),"SBbet Hot 5 Extreme")</f>
        <v>SBbet Hot 5 Extreme</v>
      </c>
      <c r="E629" s="5" t="str">
        <f>IFERROR(__xludf.DUMMYFUNCTION("""COMPUTED_VALUE"""),"Sertifikacioni")</f>
        <v>Sertifikacioni</v>
      </c>
      <c r="F629" s="5" t="str">
        <f>IFERROR(__xludf.DUMMYFUNCTION("""COMPUTED_VALUE"""),"SBbetHot5Extreme")</f>
        <v>SBbetHot5Extreme</v>
      </c>
      <c r="G629" s="5" t="str">
        <f>IFERROR(__xludf.DUMMYFUNCTION("""COMPUTED_VALUE"""),"Live")</f>
        <v>Live</v>
      </c>
      <c r="H629" s="5" t="str">
        <f>IFERROR(__xludf.DUMMYFUNCTION("""COMPUTED_VALUE"""),"SBbet")</f>
        <v>SBbet</v>
      </c>
      <c r="I629" s="5" t="str">
        <f>IFERROR(__xludf.DUMMYFUNCTION("""COMPUTED_VALUE"""),"V4")</f>
        <v>V4</v>
      </c>
      <c r="J629" s="5" t="str">
        <f>IFERROR(__xludf.DUMMYFUNCTION("""COMPUTED_VALUE"""),"JSON")</f>
        <v>JSON</v>
      </c>
      <c r="K629" s="5" t="str">
        <f>IFERROR(__xludf.DUMMYFUNCTION("""COMPUTED_VALUE"""),"Slot")</f>
        <v>Slot</v>
      </c>
      <c r="L629" s="5" t="str">
        <f>IFERROR(__xludf.DUMMYFUNCTION("""COMPUTED_VALUE""")," Clone")</f>
        <v> Clone</v>
      </c>
      <c r="M629" s="5" t="str">
        <f>IFERROR(__xludf.DUMMYFUNCTION("""COMPUTED_VALUE"""),"Very Hot 5 Extreme")</f>
        <v>Very Hot 5 Extreme</v>
      </c>
      <c r="N629" s="5"/>
      <c r="O629" s="5"/>
      <c r="P629" s="12"/>
      <c r="Q629" s="13">
        <f>IFERROR(__xludf.DUMMYFUNCTION("""COMPUTED_VALUE"""),46041.0)</f>
        <v>46041</v>
      </c>
      <c r="R629" s="13"/>
      <c r="S629" s="13">
        <f>IFERROR(__xludf.DUMMYFUNCTION("""COMPUTED_VALUE"""),46041.0)</f>
        <v>46041</v>
      </c>
      <c r="T629" s="5" t="b">
        <f>IFERROR(__xludf.DUMMYFUNCTION("""COMPUTED_VALUE"""),TRUE)</f>
        <v>1</v>
      </c>
      <c r="U629" s="5" t="str">
        <f>IFERROR(__xludf.DUMMYFUNCTION("""COMPUTED_VALUE"""),"5x3")</f>
        <v>5x3</v>
      </c>
      <c r="V629" s="5">
        <f>IFERROR(__xludf.DUMMYFUNCTION("""COMPUTED_VALUE"""),5.0)</f>
        <v>5</v>
      </c>
      <c r="W629" s="5">
        <f>IFERROR(__xludf.DUMMYFUNCTION("""COMPUTED_VALUE"""),5.0)</f>
        <v>5</v>
      </c>
      <c r="X629" s="5">
        <f>IFERROR(__xludf.DUMMYFUNCTION("""COMPUTED_VALUE"""),96.453)</f>
        <v>96.453</v>
      </c>
      <c r="Y629" s="5" t="str">
        <f>IFERROR(__xludf.DUMMYFUNCTION("""COMPUTED_VALUE"""),"Medium")</f>
        <v>Medium</v>
      </c>
      <c r="Z629" s="5"/>
      <c r="AA629" s="5">
        <f>IFERROR(__xludf.DUMMYFUNCTION("""COMPUTED_VALUE"""),2624.0)</f>
        <v>2624</v>
      </c>
      <c r="AB629" s="5">
        <f>IFERROR(__xludf.DUMMYFUNCTION("""COMPUTED_VALUE"""),14.23)</f>
        <v>14.23</v>
      </c>
      <c r="AC629" s="5"/>
      <c r="AD629" s="5"/>
      <c r="AE629" s="5"/>
      <c r="AF629" s="5"/>
      <c r="AG629" s="8">
        <f>IFERROR(__xludf.DUMMYFUNCTION("""COMPUTED_VALUE"""),46176.759733796294)</f>
        <v>46176.75973</v>
      </c>
      <c r="AH629" s="5" t="str">
        <f>IFERROR(__xludf.DUMMYFUNCTION("""COMPUTED_VALUE"""),"petra.ilic@fazi.rs")</f>
        <v>petra.ilic@fazi.rs</v>
      </c>
      <c r="AI629" s="13"/>
      <c r="AJ629" s="5"/>
      <c r="AK629" s="5">
        <f>IFERROR(__xludf.DUMMYFUNCTION("""COMPUTED_VALUE"""),5.0)</f>
        <v>5</v>
      </c>
      <c r="AL629" s="5" t="str">
        <f>IFERROR(__xludf.DUMMYFUNCTION("""COMPUTED_VALUE"""),"Yes")</f>
        <v>Yes</v>
      </c>
      <c r="AM629" s="5"/>
      <c r="AN629" s="5"/>
      <c r="AO629" s="5"/>
      <c r="AP629" s="5" t="str">
        <f>IFERROR(__xludf.DUMMYFUNCTION("""COMPUTED_VALUE"""),"Yes")</f>
        <v>Yes</v>
      </c>
      <c r="AQ629" s="5"/>
      <c r="AR629" s="5" t="b">
        <f>IFERROR(__xludf.DUMMYFUNCTION("""COMPUTED_VALUE"""),TRUE)</f>
        <v>1</v>
      </c>
      <c r="AS629" s="5"/>
      <c r="AT629" s="5"/>
      <c r="AU629" s="5" t="str">
        <f>IFERROR(__xludf.DUMMYFUNCTION("""COMPUTED_VALUE"""),"Fazi")</f>
        <v>Fazi</v>
      </c>
      <c r="AV629" s="5"/>
      <c r="AW629" s="5"/>
      <c r="AX629" s="13">
        <f>IFERROR(__xludf.DUMMYFUNCTION("""COMPUTED_VALUE"""),46035.0)</f>
        <v>46035</v>
      </c>
      <c r="AY629" s="5"/>
      <c r="AZ629" s="5"/>
      <c r="BA629" s="5"/>
      <c r="BB629" s="5"/>
      <c r="BC629" s="5" t="str">
        <f>IFERROR(__xludf.DUMMYFUNCTION("""COMPUTED_VALUE"""),"Foxi")</f>
        <v>Foxi</v>
      </c>
      <c r="BD629" s="5" t="str">
        <f>IFERROR(__xludf.DUMMYFUNCTION("""COMPUTED_VALUE"""),"")</f>
        <v/>
      </c>
      <c r="BE629" s="5"/>
    </row>
    <row r="630">
      <c r="A630" s="5">
        <f>IFERROR(__xludf.DUMMYFUNCTION("""COMPUTED_VALUE"""),665.0)</f>
        <v>665</v>
      </c>
      <c r="B630" s="5">
        <f>IFERROR(__xludf.DUMMYFUNCTION("""COMPUTED_VALUE"""),3032.0)</f>
        <v>3032</v>
      </c>
      <c r="C630" s="5" t="str">
        <f>IFERROR(__xludf.DUMMYFUNCTION("""COMPUTED_VALUE"""),"Fazi")</f>
        <v>Fazi</v>
      </c>
      <c r="D630" s="5" t="str">
        <f>IFERROR(__xludf.DUMMYFUNCTION("""COMPUTED_VALUE"""),"Wild Hot 40 Deluxe")</f>
        <v>Wild Hot 40 Deluxe</v>
      </c>
      <c r="E630" s="5" t="str">
        <f>IFERROR(__xludf.DUMMYFUNCTION("""COMPUTED_VALUE"""),"V2")</f>
        <v>V2</v>
      </c>
      <c r="F630" s="5" t="str">
        <f>IFERROR(__xludf.DUMMYFUNCTION("""COMPUTED_VALUE"""),"WildHot40Deluxe")</f>
        <v>WildHot40Deluxe</v>
      </c>
      <c r="G630" s="5" t="str">
        <f>IFERROR(__xludf.DUMMYFUNCTION("""COMPUTED_VALUE"""),"Live")</f>
        <v>Live</v>
      </c>
      <c r="H630" s="5"/>
      <c r="I630" s="5" t="str">
        <f>IFERROR(__xludf.DUMMYFUNCTION("""COMPUTED_VALUE"""),"V4")</f>
        <v>V4</v>
      </c>
      <c r="J630" s="5" t="str">
        <f>IFERROR(__xludf.DUMMYFUNCTION("""COMPUTED_VALUE"""),"JSON")</f>
        <v>JSON</v>
      </c>
      <c r="K630" s="5" t="str">
        <f>IFERROR(__xludf.DUMMYFUNCTION("""COMPUTED_VALUE"""),"Slot")</f>
        <v>Slot</v>
      </c>
      <c r="L630" s="5" t="str">
        <f>IFERROR(__xludf.DUMMYFUNCTION("""COMPUTED_VALUE""")," Clone")</f>
        <v> Clone</v>
      </c>
      <c r="M630" s="5" t="str">
        <f>IFERROR(__xludf.DUMMYFUNCTION("""COMPUTED_VALUE"""),"Wild Hot 40")</f>
        <v>Wild Hot 40</v>
      </c>
      <c r="N630" s="5"/>
      <c r="O630" s="5"/>
      <c r="P630" s="12">
        <f>IFERROR(__xludf.DUMMYFUNCTION("""COMPUTED_VALUE"""),16.0)</f>
        <v>16</v>
      </c>
      <c r="Q630" s="13">
        <f>IFERROR(__xludf.DUMMYFUNCTION("""COMPUTED_VALUE"""),46041.0)</f>
        <v>46041</v>
      </c>
      <c r="R630" s="13">
        <f>IFERROR(__xludf.DUMMYFUNCTION("""COMPUTED_VALUE"""),46154.0)</f>
        <v>46154</v>
      </c>
      <c r="S630" s="13">
        <f>IFERROR(__xludf.DUMMYFUNCTION("""COMPUTED_VALUE"""),46161.0)</f>
        <v>46161</v>
      </c>
      <c r="T630" s="5" t="b">
        <f>IFERROR(__xludf.DUMMYFUNCTION("""COMPUTED_VALUE"""),TRUE)</f>
        <v>1</v>
      </c>
      <c r="U630" s="5" t="str">
        <f>IFERROR(__xludf.DUMMYFUNCTION("""COMPUTED_VALUE"""),"5x4")</f>
        <v>5x4</v>
      </c>
      <c r="V630" s="5">
        <f>IFERROR(__xludf.DUMMYFUNCTION("""COMPUTED_VALUE"""),40.0)</f>
        <v>40</v>
      </c>
      <c r="W630" s="5">
        <f>IFERROR(__xludf.DUMMYFUNCTION("""COMPUTED_VALUE"""),40.0)</f>
        <v>40</v>
      </c>
      <c r="X630" s="5">
        <f>IFERROR(__xludf.DUMMYFUNCTION("""COMPUTED_VALUE"""),96.584)</f>
        <v>96.584</v>
      </c>
      <c r="Y630" s="5" t="str">
        <f>IFERROR(__xludf.DUMMYFUNCTION("""COMPUTED_VALUE"""),"Medium")</f>
        <v>Medium</v>
      </c>
      <c r="Z630" s="5">
        <f>IFERROR(__xludf.DUMMYFUNCTION("""COMPUTED_VALUE"""),16.725)</f>
        <v>16.725</v>
      </c>
      <c r="AA630" s="5">
        <f>IFERROR(__xludf.DUMMYFUNCTION("""COMPUTED_VALUE"""),1000.0)</f>
        <v>1000</v>
      </c>
      <c r="AB630" s="5"/>
      <c r="AC630" s="5" t="str">
        <f>IFERROR(__xludf.DUMMYFUNCTION("""COMPUTED_VALUE"""),"Wild Symbol, Scatter")</f>
        <v>Wild Symbol, Scatter</v>
      </c>
      <c r="AD630" s="5" t="str">
        <f>IFERROR(__xludf.DUMMYFUNCTION("""COMPUTED_VALUE"""),"0.40/60")</f>
        <v>0.40/60</v>
      </c>
      <c r="AE630" s="5"/>
      <c r="AF630" s="5"/>
      <c r="AG630" s="8">
        <f>IFERROR(__xludf.DUMMYFUNCTION("""COMPUTED_VALUE"""),46240.38964120371)</f>
        <v>46240.38964</v>
      </c>
      <c r="AH630" s="5" t="str">
        <f>IFERROR(__xludf.DUMMYFUNCTION("""COMPUTED_VALUE"""),"djordje.jankovic@fazi.rs")</f>
        <v>djordje.jankovic@fazi.rs</v>
      </c>
      <c r="AI630" s="13">
        <f>IFERROR(__xludf.DUMMYFUNCTION("""COMPUTED_VALUE"""),46115.0)</f>
        <v>46115</v>
      </c>
      <c r="AJ630" s="5" t="str">
        <f>IFERROR(__xludf.DUMMYFUNCTION("""COMPUTED_VALUE"""),"05.05 Tidal (CIS)
03.04. Mozzartbet SRB
03.04. Volcanobet MNE
20.04. Vbet AM
")</f>
        <v>05.05 Tidal (CIS)
03.04. Mozzartbet SRB
03.04. Volcanobet MNE
20.04. Vbet AM
</v>
      </c>
      <c r="AK630" s="5">
        <f>IFERROR(__xludf.DUMMYFUNCTION("""COMPUTED_VALUE"""),40.0)</f>
        <v>40</v>
      </c>
      <c r="AL630" s="5" t="str">
        <f>IFERROR(__xludf.DUMMYFUNCTION("""COMPUTED_VALUE"""),"Yes")</f>
        <v>Yes</v>
      </c>
      <c r="AM630" s="5"/>
      <c r="AN630" s="7" t="str">
        <f>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AO630" s="5" t="str">
        <f>IFERROR(__xludf.DUMMYFUNCTION("""COMPUTED_VALUE"""),"Yes")</f>
        <v>Yes</v>
      </c>
      <c r="AP630" s="5" t="str">
        <f>IFERROR(__xludf.DUMMYFUNCTION("""COMPUTED_VALUE"""),"Yes")</f>
        <v>Yes</v>
      </c>
      <c r="AQ630" s="5" t="b">
        <f>IFERROR(__xludf.DUMMYFUNCTION("""COMPUTED_VALUE"""),TRUE)</f>
        <v>1</v>
      </c>
      <c r="AR630" s="5"/>
      <c r="AS630" s="5" t="str">
        <f>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AT630" s="5"/>
      <c r="AU630" s="5" t="str">
        <f>IFERROR(__xludf.DUMMYFUNCTION("""COMPUTED_VALUE"""),"Fazi")</f>
        <v>Fazi</v>
      </c>
      <c r="AV630" s="5">
        <f>IFERROR(__xludf.DUMMYFUNCTION("""COMPUTED_VALUE"""),1.0)</f>
        <v>1</v>
      </c>
      <c r="AW630" s="5"/>
      <c r="AX630" s="13">
        <f>IFERROR(__xludf.DUMMYFUNCTION("""COMPUTED_VALUE"""),46035.0)</f>
        <v>46035</v>
      </c>
      <c r="AY630" s="5"/>
      <c r="AZ630" s="5"/>
      <c r="BA630" s="5"/>
      <c r="BB630" s="5"/>
      <c r="BC630" s="5" t="str">
        <f>IFERROR(__xludf.DUMMYFUNCTION("""COMPUTED_VALUE"""),"Foxi")</f>
        <v>Foxi</v>
      </c>
      <c r="BD630" s="7" t="str">
        <f>IFERROR(__xludf.DUMMYFUNCTION("""COMPUTED_VALUE"""),"https://gameserver-store-client-area.orbionlimited.com/Home/IntegrationGameLaunch/client-area?moneyType=0&amp;gameName=WildHot40Deluxe&amp;platform=desktop&amp;languageCode=eng&amp;currency=EUR")</f>
        <v>https://gameserver-store-client-area.orbionlimited.com/Home/IntegrationGameLaunch/client-area?moneyType=0&amp;gameName=WildHot40Deluxe&amp;platform=desktop&amp;languageCode=eng&amp;currency=EUR</v>
      </c>
      <c r="BE630" s="5" t="b">
        <f>IFERROR(__xludf.DUMMYFUNCTION("""COMPUTED_VALUE"""),TRUE)</f>
        <v>1</v>
      </c>
    </row>
    <row r="631">
      <c r="A631" s="5">
        <f>IFERROR(__xludf.DUMMYFUNCTION("""COMPUTED_VALUE"""),666.0)</f>
        <v>666</v>
      </c>
      <c r="B631" s="5">
        <f>IFERROR(__xludf.DUMMYFUNCTION("""COMPUTED_VALUE"""),2019.0)</f>
        <v>2019</v>
      </c>
      <c r="C631" s="5" t="str">
        <f>IFERROR(__xludf.DUMMYFUNCTION("""COMPUTED_VALUE"""),"Fazi")</f>
        <v>Fazi</v>
      </c>
      <c r="D631" s="5" t="str">
        <f>IFERROR(__xludf.DUMMYFUNCTION("""COMPUTED_VALUE"""),"Bonus Epic Crown Dice")</f>
        <v>Bonus Epic Crown Dice</v>
      </c>
      <c r="E631" s="5" t="str">
        <f>IFERROR(__xludf.DUMMYFUNCTION("""COMPUTED_VALUE"""),"V4-2")</f>
        <v>V4-2</v>
      </c>
      <c r="F631" s="5" t="str">
        <f>IFERROR(__xludf.DUMMYFUNCTION("""COMPUTED_VALUE"""),"BonusEpicCrownDice")</f>
        <v>BonusEpicCrownDice</v>
      </c>
      <c r="G631" s="5" t="str">
        <f>IFERROR(__xludf.DUMMYFUNCTION("""COMPUTED_VALUE"""),"Live")</f>
        <v>Live</v>
      </c>
      <c r="H631" s="5"/>
      <c r="I631" s="5" t="str">
        <f>IFERROR(__xludf.DUMMYFUNCTION("""COMPUTED_VALUE"""),"V4")</f>
        <v>V4</v>
      </c>
      <c r="J631" s="5" t="str">
        <f>IFERROR(__xludf.DUMMYFUNCTION("""COMPUTED_VALUE"""),"JSON")</f>
        <v>JSON</v>
      </c>
      <c r="K631" s="5" t="str">
        <f>IFERROR(__xludf.DUMMYFUNCTION("""COMPUTED_VALUE"""),"Dice Slots")</f>
        <v>Dice Slots</v>
      </c>
      <c r="L631" s="5" t="str">
        <f>IFERROR(__xludf.DUMMYFUNCTION("""COMPUTED_VALUE""")," Clone")</f>
        <v> Clone</v>
      </c>
      <c r="M631" s="5" t="str">
        <f>IFERROR(__xludf.DUMMYFUNCTION("""COMPUTED_VALUE"""),"Bonus Epic Crown")</f>
        <v>Bonus Epic Crown</v>
      </c>
      <c r="N631" s="5"/>
      <c r="O631" s="5"/>
      <c r="P631" s="12">
        <f>IFERROR(__xludf.DUMMYFUNCTION("""COMPUTED_VALUE"""),18.0)</f>
        <v>18</v>
      </c>
      <c r="Q631" s="13">
        <f>IFERROR(__xludf.DUMMYFUNCTION("""COMPUTED_VALUE"""),46041.0)</f>
        <v>46041</v>
      </c>
      <c r="R631" s="13">
        <f>IFERROR(__xludf.DUMMYFUNCTION("""COMPUTED_VALUE"""),46105.0)</f>
        <v>46105</v>
      </c>
      <c r="S631" s="13">
        <f>IFERROR(__xludf.DUMMYFUNCTION("""COMPUTED_VALUE"""),46112.0)</f>
        <v>46112</v>
      </c>
      <c r="T631" s="5" t="b">
        <f>IFERROR(__xludf.DUMMYFUNCTION("""COMPUTED_VALUE"""),TRUE)</f>
        <v>1</v>
      </c>
      <c r="U631" s="5" t="str">
        <f>IFERROR(__xludf.DUMMYFUNCTION("""COMPUTED_VALUE"""),"5x3")</f>
        <v>5x3</v>
      </c>
      <c r="V631" s="5">
        <f>IFERROR(__xludf.DUMMYFUNCTION("""COMPUTED_VALUE"""),10.0)</f>
        <v>10</v>
      </c>
      <c r="W631" s="5">
        <f>IFERROR(__xludf.DUMMYFUNCTION("""COMPUTED_VALUE"""),10.0)</f>
        <v>10</v>
      </c>
      <c r="X631" s="5">
        <f>IFERROR(__xludf.DUMMYFUNCTION("""COMPUTED_VALUE"""),96.533)</f>
        <v>96.533</v>
      </c>
      <c r="Y631" s="5" t="str">
        <f>IFERROR(__xludf.DUMMYFUNCTION("""COMPUTED_VALUE"""),"High")</f>
        <v>High</v>
      </c>
      <c r="Z631" s="5">
        <f>IFERROR(__xludf.DUMMYFUNCTION("""COMPUTED_VALUE"""),10.61)</f>
        <v>10.61</v>
      </c>
      <c r="AA631" s="5">
        <f>IFERROR(__xludf.DUMMYFUNCTION("""COMPUTED_VALUE"""),20108.0)</f>
        <v>20108</v>
      </c>
      <c r="AB631" s="5">
        <f>IFERROR(__xludf.DUMMYFUNCTION("""COMPUTED_VALUE"""),190.0)</f>
        <v>190</v>
      </c>
      <c r="AC631" s="5" t="str">
        <f>IFERROR(__xludf.DUMMYFUNCTION("""COMPUTED_VALUE"""),"Buy Bonus, Extralines, Bonus Game with Free Spins, Expanding Wild")</f>
        <v>Buy Bonus, Extralines, Bonus Game with Free Spins, Expanding Wild</v>
      </c>
      <c r="AD631" s="5" t="str">
        <f>IFERROR(__xludf.DUMMYFUNCTION("""COMPUTED_VALUE"""),"0.1/40")</f>
        <v>0.1/40</v>
      </c>
      <c r="AE631" s="5"/>
      <c r="AF631" s="5"/>
      <c r="AG631" s="8">
        <f>IFERROR(__xludf.DUMMYFUNCTION("""COMPUTED_VALUE"""),46176.47122685185)</f>
        <v>46176.47123</v>
      </c>
      <c r="AH631" s="5" t="str">
        <f>IFERROR(__xludf.DUMMYFUNCTION("""COMPUTED_VALUE"""),"aleksandar.trajkovic@fazi.rs")</f>
        <v>aleksandar.trajkovic@fazi.rs</v>
      </c>
      <c r="AI631" s="13">
        <f>IFERROR(__xludf.DUMMYFUNCTION("""COMPUTED_VALUE"""),46084.0)</f>
        <v>46084</v>
      </c>
      <c r="AJ631" s="5" t="str">
        <f>IFERROR(__xludf.DUMMYFUNCTION("""COMPUTED_VALUE"""),"04.03. Jojo Bet (CIS)
03.03. Flandria (BEL)")</f>
        <v>04.03. Jojo Bet (CIS)
03.03. Flandria (BEL)</v>
      </c>
      <c r="AK631" s="5">
        <f>IFERROR(__xludf.DUMMYFUNCTION("""COMPUTED_VALUE"""),10.0)</f>
        <v>10</v>
      </c>
      <c r="AL631" s="5" t="str">
        <f>IFERROR(__xludf.DUMMYFUNCTION("""COMPUTED_VALUE"""),"Yes")</f>
        <v>Yes</v>
      </c>
      <c r="AM631" s="5"/>
      <c r="AN631" s="7" t="str">
        <f>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AO631" s="5" t="str">
        <f>IFERROR(__xludf.DUMMYFUNCTION("""COMPUTED_VALUE"""),"Yes")</f>
        <v>Yes</v>
      </c>
      <c r="AP631" s="5" t="str">
        <f>IFERROR(__xludf.DUMMYFUNCTION("""COMPUTED_VALUE"""),"Yes")</f>
        <v>Yes</v>
      </c>
      <c r="AQ631" s="5" t="b">
        <f>IFERROR(__xludf.DUMMYFUNCTION("""COMPUTED_VALUE"""),TRUE)</f>
        <v>1</v>
      </c>
      <c r="AR631" s="5"/>
      <c r="AS631" s="5" t="str">
        <f>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AT631" s="5" t="str">
        <f>IFERROR(__xludf.DUMMYFUNCTION("""COMPUTED_VALUE"""),"Yes")</f>
        <v>Yes</v>
      </c>
      <c r="AU631" s="5" t="str">
        <f>IFERROR(__xludf.DUMMYFUNCTION("""COMPUTED_VALUE"""),"Fazi")</f>
        <v>Fazi</v>
      </c>
      <c r="AV631" s="5">
        <f>IFERROR(__xludf.DUMMYFUNCTION("""COMPUTED_VALUE"""),1.0)</f>
        <v>1</v>
      </c>
      <c r="AW631" s="5"/>
      <c r="AX631" s="13">
        <f>IFERROR(__xludf.DUMMYFUNCTION("""COMPUTED_VALUE"""),46035.0)</f>
        <v>46035</v>
      </c>
      <c r="AY631" s="5"/>
      <c r="AZ631" s="5"/>
      <c r="BA631" s="5" t="str">
        <f>IFERROR(__xludf.DUMMYFUNCTION("""COMPUTED_VALUE"""),"54, 81, 108")</f>
        <v>54, 81, 108</v>
      </c>
      <c r="BB631" s="5" t="b">
        <f>IFERROR(__xludf.DUMMYFUNCTION("""COMPUTED_VALUE"""),TRUE)</f>
        <v>1</v>
      </c>
      <c r="BC631" s="5" t="str">
        <f>IFERROR(__xludf.DUMMYFUNCTION("""COMPUTED_VALUE"""),"Foxi")</f>
        <v>Foxi</v>
      </c>
      <c r="BD631" s="7" t="str">
        <f>IFERROR(__xludf.DUMMYFUNCTION("""COMPUTED_VALUE"""),"https://gameserver-store-client-area.orbionlimited.com/Home/IntegrationGameLaunch/client-area?moneyType=0&amp;gameName=BonusEpicCrownDice&amp;platform=desktop&amp;languageCode=eng&amp;currency=EUR")</f>
        <v>https://gameserver-store-client-area.orbionlimited.com/Home/IntegrationGameLaunch/client-area?moneyType=0&amp;gameName=BonusEpicCrownDice&amp;platform=desktop&amp;languageCode=eng&amp;currency=EUR</v>
      </c>
      <c r="BE631" s="5" t="b">
        <f>IFERROR(__xludf.DUMMYFUNCTION("""COMPUTED_VALUE"""),TRUE)</f>
        <v>1</v>
      </c>
    </row>
    <row r="632">
      <c r="A632" s="5">
        <f>IFERROR(__xludf.DUMMYFUNCTION("""COMPUTED_VALUE"""),667.0)</f>
        <v>667</v>
      </c>
      <c r="B632" s="5">
        <f>IFERROR(__xludf.DUMMYFUNCTION("""COMPUTED_VALUE"""),2018.0)</f>
        <v>2018</v>
      </c>
      <c r="C632" s="5" t="str">
        <f>IFERROR(__xludf.DUMMYFUNCTION("""COMPUTED_VALUE"""),"Fazi")</f>
        <v>Fazi</v>
      </c>
      <c r="D632" s="5" t="str">
        <f>IFERROR(__xludf.DUMMYFUNCTION("""COMPUTED_VALUE"""),"Golden Crown Hold&amp;Win")</f>
        <v>Golden Crown Hold&amp;Win</v>
      </c>
      <c r="E632" s="5" t="str">
        <f>IFERROR(__xludf.DUMMYFUNCTION("""COMPUTED_VALUE"""),"V4-2")</f>
        <v>V4-2</v>
      </c>
      <c r="F632" s="5" t="str">
        <f>IFERROR(__xludf.DUMMYFUNCTION("""COMPUTED_VALUE"""),"GoldenCrownHoldAndWin")</f>
        <v>GoldenCrownHoldAndWin</v>
      </c>
      <c r="G632" s="5" t="str">
        <f>IFERROR(__xludf.DUMMYFUNCTION("""COMPUTED_VALUE"""),"Live")</f>
        <v>Live</v>
      </c>
      <c r="H632" s="5"/>
      <c r="I632" s="5" t="str">
        <f>IFERROR(__xludf.DUMMYFUNCTION("""COMPUTED_VALUE"""),"V4")</f>
        <v>V4</v>
      </c>
      <c r="J632" s="5" t="str">
        <f>IFERROR(__xludf.DUMMYFUNCTION("""COMPUTED_VALUE"""),"JSON")</f>
        <v>JSON</v>
      </c>
      <c r="K632" s="5" t="str">
        <f>IFERROR(__xludf.DUMMYFUNCTION("""COMPUTED_VALUE"""),"Slot")</f>
        <v>Slot</v>
      </c>
      <c r="L632" s="5" t="str">
        <f>IFERROR(__xludf.DUMMYFUNCTION("""COMPUTED_VALUE""")," Variant")</f>
        <v> Variant</v>
      </c>
      <c r="M632" s="5" t="str">
        <f>IFERROR(__xludf.DUMMYFUNCTION("""COMPUTED_VALUE"""),"Golden Crown")</f>
        <v>Golden Crown</v>
      </c>
      <c r="N632" s="5"/>
      <c r="O632" s="5"/>
      <c r="P632" s="12">
        <f>IFERROR(__xludf.DUMMYFUNCTION("""COMPUTED_VALUE"""),39.0)</f>
        <v>39</v>
      </c>
      <c r="Q632" s="13">
        <f>IFERROR(__xludf.DUMMYFUNCTION("""COMPUTED_VALUE"""),46083.0)</f>
        <v>46083</v>
      </c>
      <c r="R632" s="13">
        <f>IFERROR(__xludf.DUMMYFUNCTION("""COMPUTED_VALUE"""),46119.0)</f>
        <v>46119</v>
      </c>
      <c r="S632" s="13">
        <f>IFERROR(__xludf.DUMMYFUNCTION("""COMPUTED_VALUE"""),46126.0)</f>
        <v>46126</v>
      </c>
      <c r="T632" s="5" t="b">
        <f>IFERROR(__xludf.DUMMYFUNCTION("""COMPUTED_VALUE"""),TRUE)</f>
        <v>1</v>
      </c>
      <c r="U632" s="5" t="str">
        <f>IFERROR(__xludf.DUMMYFUNCTION("""COMPUTED_VALUE"""),"5x3")</f>
        <v>5x3</v>
      </c>
      <c r="V632" s="5">
        <f>IFERROR(__xludf.DUMMYFUNCTION("""COMPUTED_VALUE"""),10.0)</f>
        <v>10</v>
      </c>
      <c r="W632" s="5">
        <f>IFERROR(__xludf.DUMMYFUNCTION("""COMPUTED_VALUE"""),10.0)</f>
        <v>10</v>
      </c>
      <c r="X632" s="5">
        <f>IFERROR(__xludf.DUMMYFUNCTION("""COMPUTED_VALUE"""),95.962)</f>
        <v>95.962</v>
      </c>
      <c r="Y632" s="5" t="str">
        <f>IFERROR(__xludf.DUMMYFUNCTION("""COMPUTED_VALUE"""),"Medium")</f>
        <v>Medium</v>
      </c>
      <c r="Z632" s="5">
        <f>IFERROR(__xludf.DUMMYFUNCTION("""COMPUTED_VALUE"""),14.63)</f>
        <v>14.63</v>
      </c>
      <c r="AA632" s="5">
        <f>IFERROR(__xludf.DUMMYFUNCTION("""COMPUTED_VALUE"""),1538.0)</f>
        <v>1538</v>
      </c>
      <c r="AB632" s="5"/>
      <c r="AC632" s="5" t="str">
        <f>IFERROR(__xludf.DUMMYFUNCTION("""COMPUTED_VALUE"""),"Scatter, Expanding Wild, Hold and Win, Buy Bonus")</f>
        <v>Scatter, Expanding Wild, Hold and Win, Buy Bonus</v>
      </c>
      <c r="AD632" s="5" t="str">
        <f>IFERROR(__xludf.DUMMYFUNCTION("""COMPUTED_VALUE"""),"0.1/40")</f>
        <v>0.1/40</v>
      </c>
      <c r="AE632" s="5"/>
      <c r="AF632" s="5"/>
      <c r="AG632" s="8">
        <f>IFERROR(__xludf.DUMMYFUNCTION("""COMPUTED_VALUE"""),46150.62100694444)</f>
        <v>46150.62101</v>
      </c>
      <c r="AH632" s="5" t="str">
        <f>IFERROR(__xludf.DUMMYFUNCTION("""COMPUTED_VALUE"""),"ana.antic@fazi.rs")</f>
        <v>ana.antic@fazi.rs</v>
      </c>
      <c r="AI632" s="13">
        <f>IFERROR(__xludf.DUMMYFUNCTION("""COMPUTED_VALUE"""),46092.0)</f>
        <v>46092</v>
      </c>
      <c r="AJ632" s="5" t="str">
        <f>IFERROR(__xludf.DUMMYFUNCTION("""COMPUTED_VALUE"""),"11.03. Koralplay - Africa
11.03. VolcanoBet MNE
30.03. Maxbet SRB
01.04. SoftSwiss
01.04. Circus BE")</f>
        <v>11.03. Koralplay - Africa
11.03. VolcanoBet MNE
30.03. Maxbet SRB
01.04. SoftSwiss
01.04. Circus BE</v>
      </c>
      <c r="AK632" s="5">
        <f>IFERROR(__xludf.DUMMYFUNCTION("""COMPUTED_VALUE"""),5.0)</f>
        <v>5</v>
      </c>
      <c r="AL632" s="5" t="str">
        <f>IFERROR(__xludf.DUMMYFUNCTION("""COMPUTED_VALUE"""),"Yes")</f>
        <v>Yes</v>
      </c>
      <c r="AM632" s="5"/>
      <c r="AN632" s="7" t="str">
        <f>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AO632" s="5" t="str">
        <f>IFERROR(__xludf.DUMMYFUNCTION("""COMPUTED_VALUE"""),"Yes")</f>
        <v>Yes</v>
      </c>
      <c r="AP632" s="5" t="str">
        <f>IFERROR(__xludf.DUMMYFUNCTION("""COMPUTED_VALUE"""),"Yes")</f>
        <v>Yes</v>
      </c>
      <c r="AQ632" s="5" t="b">
        <f>IFERROR(__xludf.DUMMYFUNCTION("""COMPUTED_VALUE"""),TRUE)</f>
        <v>1</v>
      </c>
      <c r="AR632" s="5"/>
      <c r="AS632" s="5" t="str">
        <f>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AT632" s="5"/>
      <c r="AU632" s="5" t="str">
        <f>IFERROR(__xludf.DUMMYFUNCTION("""COMPUTED_VALUE"""),"Fazi")</f>
        <v>Fazi</v>
      </c>
      <c r="AV632" s="5">
        <f>IFERROR(__xludf.DUMMYFUNCTION("""COMPUTED_VALUE"""),1.0)</f>
        <v>1</v>
      </c>
      <c r="AW632" s="5"/>
      <c r="AX632" s="13">
        <f>IFERROR(__xludf.DUMMYFUNCTION("""COMPUTED_VALUE"""),46077.0)</f>
        <v>46077</v>
      </c>
      <c r="AY632" s="5"/>
      <c r="AZ632" s="5"/>
      <c r="BA632" s="5">
        <f>IFERROR(__xludf.DUMMYFUNCTION("""COMPUTED_VALUE"""),35.0)</f>
        <v>35</v>
      </c>
      <c r="BB632" s="5" t="b">
        <f>IFERROR(__xludf.DUMMYFUNCTION("""COMPUTED_VALUE"""),TRUE)</f>
        <v>1</v>
      </c>
      <c r="BC632" s="5" t="str">
        <f>IFERROR(__xludf.DUMMYFUNCTION("""COMPUTED_VALUE"""),"Foxi")</f>
        <v>Foxi</v>
      </c>
      <c r="BD632" s="7" t="str">
        <f>IFERROR(__xludf.DUMMYFUNCTION("""COMPUTED_VALUE"""),"https://gameserver-store-client-area.orbionlimited.com/Home/IntegrationGameLaunch/client-area?moneyType=0&amp;gameName=GoldenCrownHoldAndWin&amp;platform=desktop&amp;languageCode=eng&amp;currency=EUR")</f>
        <v>https://gameserver-store-client-area.orbionlimited.com/Home/IntegrationGameLaunch/client-area?moneyType=0&amp;gameName=GoldenCrownHoldAndWin&amp;platform=desktop&amp;languageCode=eng&amp;currency=EUR</v>
      </c>
      <c r="BE632" s="5" t="b">
        <f>IFERROR(__xludf.DUMMYFUNCTION("""COMPUTED_VALUE"""),TRUE)</f>
        <v>1</v>
      </c>
    </row>
    <row r="633">
      <c r="A633" s="5">
        <f>IFERROR(__xludf.DUMMYFUNCTION("""COMPUTED_VALUE"""),668.0)</f>
        <v>668</v>
      </c>
      <c r="B633" s="5">
        <f>IFERROR(__xludf.DUMMYFUNCTION("""COMPUTED_VALUE"""),180060.0)</f>
        <v>180060</v>
      </c>
      <c r="C633" s="5" t="str">
        <f>IFERROR(__xludf.DUMMYFUNCTION("""COMPUTED_VALUE"""),"Redstone")</f>
        <v>Redstone</v>
      </c>
      <c r="D633" s="5" t="str">
        <f>IFERROR(__xludf.DUMMYFUNCTION("""COMPUTED_VALUE"""),"Respin Fortune")</f>
        <v>Respin Fortune</v>
      </c>
      <c r="E633" s="5" t="str">
        <f>IFERROR(__xludf.DUMMYFUNCTION("""COMPUTED_VALUE"""),"Redstone")</f>
        <v>Redstone</v>
      </c>
      <c r="F633" s="5" t="str">
        <f>IFERROR(__xludf.DUMMYFUNCTION("""COMPUTED_VALUE"""),"RedstoneRespinFortune")</f>
        <v>RedstoneRespinFortune</v>
      </c>
      <c r="G633" s="5" t="str">
        <f>IFERROR(__xludf.DUMMYFUNCTION("""COMPUTED_VALUE"""),"Live")</f>
        <v>Live</v>
      </c>
      <c r="H633" s="5"/>
      <c r="I633" s="5" t="str">
        <f>IFERROR(__xludf.DUMMYFUNCTION("""COMPUTED_VALUE"""),"Redstone")</f>
        <v>Redstone</v>
      </c>
      <c r="J633" s="5" t="str">
        <f>IFERROR(__xludf.DUMMYFUNCTION("""COMPUTED_VALUE"""),"JSON")</f>
        <v>JSON</v>
      </c>
      <c r="K633" s="5" t="str">
        <f>IFERROR(__xludf.DUMMYFUNCTION("""COMPUTED_VALUE"""),"Slot")</f>
        <v>Slot</v>
      </c>
      <c r="L633" s="5" t="str">
        <f>IFERROR(__xludf.DUMMYFUNCTION("""COMPUTED_VALUE"""),"Master")</f>
        <v>Master</v>
      </c>
      <c r="M633" s="5"/>
      <c r="N633" s="7" t="str">
        <f>IFERROR(__xludf.DUMMYFUNCTION("""COMPUTED_VALUE"""),"https://docs.google.com/document/d/1dlazeHdTqsOJJ_1gZ2T5RwwEiDm_pWyU/edit?usp=drive_link&amp;ouid=107596163405648766688&amp;rtpof=true&amp;sd=true")</f>
        <v>https://docs.google.com/document/d/1dlazeHdTqsOJJ_1gZ2T5RwwEiDm_pWyU/edit?usp=drive_link&amp;ouid=107596163405648766688&amp;rtpof=true&amp;sd=true</v>
      </c>
      <c r="O633" s="7" t="str">
        <f>IFERROR(__xludf.DUMMYFUNCTION("""COMPUTED_VALUE"""),"https://docs.google.com/document/d/1vCl789hTRT35JFWgszyR3eEvAdvaWhBB/edit?usp=drive_link&amp;ouid=107596163405648766688&amp;rtpof=true&amp;sd=true")</f>
        <v>https://docs.google.com/document/d/1vCl789hTRT35JFWgszyR3eEvAdvaWhBB/edit?usp=drive_link&amp;ouid=107596163405648766688&amp;rtpof=true&amp;sd=true</v>
      </c>
      <c r="P633" s="12">
        <f>IFERROR(__xludf.DUMMYFUNCTION("""COMPUTED_VALUE"""),9.0)</f>
        <v>9</v>
      </c>
      <c r="Q633" s="13">
        <f>IFERROR(__xludf.DUMMYFUNCTION("""COMPUTED_VALUE"""),46055.0)</f>
        <v>46055</v>
      </c>
      <c r="R633" s="13">
        <f>IFERROR(__xludf.DUMMYFUNCTION("""COMPUTED_VALUE"""),46057.0)</f>
        <v>46057</v>
      </c>
      <c r="S633" s="13">
        <f>IFERROR(__xludf.DUMMYFUNCTION("""COMPUTED_VALUE"""),46064.0)</f>
        <v>46064</v>
      </c>
      <c r="T633" s="5" t="b">
        <f>IFERROR(__xludf.DUMMYFUNCTION("""COMPUTED_VALUE"""),TRUE)</f>
        <v>1</v>
      </c>
      <c r="U633" s="5" t="str">
        <f>IFERROR(__xludf.DUMMYFUNCTION("""COMPUTED_VALUE"""),"5x3")</f>
        <v>5x3</v>
      </c>
      <c r="V633" s="5">
        <f>IFERROR(__xludf.DUMMYFUNCTION("""COMPUTED_VALUE"""),5.0)</f>
        <v>5</v>
      </c>
      <c r="W633" s="5">
        <f>IFERROR(__xludf.DUMMYFUNCTION("""COMPUTED_VALUE"""),5.0)</f>
        <v>5</v>
      </c>
      <c r="X633" s="5">
        <f>IFERROR(__xludf.DUMMYFUNCTION("""COMPUTED_VALUE"""),96.51)</f>
        <v>96.51</v>
      </c>
      <c r="Y633" s="5" t="str">
        <f>IFERROR(__xludf.DUMMYFUNCTION("""COMPUTED_VALUE"""),"Medium")</f>
        <v>Medium</v>
      </c>
      <c r="Z633" s="5">
        <f>IFERROR(__xludf.DUMMYFUNCTION("""COMPUTED_VALUE"""),15.16)</f>
        <v>15.16</v>
      </c>
      <c r="AA633" s="5">
        <f>IFERROR(__xludf.DUMMYFUNCTION("""COMPUTED_VALUE"""),1312.0)</f>
        <v>1312</v>
      </c>
      <c r="AB633" s="5"/>
      <c r="AC633" s="5" t="str">
        <f>IFERROR(__xludf.DUMMYFUNCTION("""COMPUTED_VALUE"""),"Expanding Wild, Scatter")</f>
        <v>Expanding Wild, Scatter</v>
      </c>
      <c r="AD633" s="5" t="str">
        <f>IFERROR(__xludf.DUMMYFUNCTION("""COMPUTED_VALUE"""),"0.05/50")</f>
        <v>0.05/50</v>
      </c>
      <c r="AE633" s="5"/>
      <c r="AF633" s="5"/>
      <c r="AG633" s="8">
        <f>IFERROR(__xludf.DUMMYFUNCTION("""COMPUTED_VALUE"""),46212.56321759259)</f>
        <v>46212.56322</v>
      </c>
      <c r="AH633" s="5" t="str">
        <f>IFERROR(__xludf.DUMMYFUNCTION("""COMPUTED_VALUE"""),"selena.mihajlovic@fazi.rs")</f>
        <v>selena.mihajlovic@fazi.rs</v>
      </c>
      <c r="AI633" s="13"/>
      <c r="AJ633" s="5"/>
      <c r="AK633" s="5">
        <f>IFERROR(__xludf.DUMMYFUNCTION("""COMPUTED_VALUE"""),1.0)</f>
        <v>1</v>
      </c>
      <c r="AL633" s="5" t="str">
        <f>IFERROR(__xludf.DUMMYFUNCTION("""COMPUTED_VALUE"""),"No")</f>
        <v>No</v>
      </c>
      <c r="AM633" s="5" t="str">
        <f>IFERROR(__xludf.DUMMYFUNCTION("""COMPUTED_VALUE"""),"Yes")</f>
        <v>Yes</v>
      </c>
      <c r="AN633" s="7" t="str">
        <f>IFERROR(__xludf.DUMMYFUNCTION("""COMPUTED_VALUE"""),"https://static.redstone.rs/games/respin-fortune/")</f>
        <v>https://static.redstone.rs/games/respin-fortune/</v>
      </c>
      <c r="AO633" s="5" t="str">
        <f>IFERROR(__xludf.DUMMYFUNCTION("""COMPUTED_VALUE"""),"No")</f>
        <v>No</v>
      </c>
      <c r="AP633" s="5" t="str">
        <f>IFERROR(__xludf.DUMMYFUNCTION("""COMPUTED_VALUE"""),"No")</f>
        <v>No</v>
      </c>
      <c r="AQ633" s="5" t="b">
        <f>IFERROR(__xludf.DUMMYFUNCTION("""COMPUTED_VALUE"""),TRUE)</f>
        <v>1</v>
      </c>
      <c r="AR633" s="5"/>
      <c r="AS633" s="5" t="str">
        <f>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AT633" s="5"/>
      <c r="AU633" s="5" t="str">
        <f>IFERROR(__xludf.DUMMYFUNCTION("""COMPUTED_VALUE"""),"Redstone")</f>
        <v>Redstone</v>
      </c>
      <c r="AV633" s="5"/>
      <c r="AW633" s="5"/>
      <c r="AX633" s="13">
        <f>IFERROR(__xludf.DUMMYFUNCTION("""COMPUTED_VALUE"""),46049.0)</f>
        <v>46049</v>
      </c>
      <c r="AY633" s="5"/>
      <c r="AZ633" s="5"/>
      <c r="BA633" s="5"/>
      <c r="BB633" s="5" t="b">
        <f>IFERROR(__xludf.DUMMYFUNCTION("""COMPUTED_VALUE"""),TRUE)</f>
        <v>1</v>
      </c>
      <c r="BC633" s="5" t="str">
        <f>IFERROR(__xludf.DUMMYFUNCTION("""COMPUTED_VALUE"""),"Redstone")</f>
        <v>Redstone</v>
      </c>
      <c r="BD633" s="7" t="str">
        <f>IFERROR(__xludf.DUMMYFUNCTION("""COMPUTED_VALUE"""),"https://static.redstone.rs/games/respin-fortune/")</f>
        <v>https://static.redstone.rs/games/respin-fortune/</v>
      </c>
      <c r="BE633" s="5" t="b">
        <f>IFERROR(__xludf.DUMMYFUNCTION("""COMPUTED_VALUE"""),TRUE)</f>
        <v>1</v>
      </c>
    </row>
    <row r="634">
      <c r="A634" s="5">
        <f>IFERROR(__xludf.DUMMYFUNCTION("""COMPUTED_VALUE"""),669.0)</f>
        <v>669</v>
      </c>
      <c r="B634" s="5">
        <f>IFERROR(__xludf.DUMMYFUNCTION("""COMPUTED_VALUE"""),180059.0)</f>
        <v>180059</v>
      </c>
      <c r="C634" s="5" t="str">
        <f>IFERROR(__xludf.DUMMYFUNCTION("""COMPUTED_VALUE"""),"Redstone")</f>
        <v>Redstone</v>
      </c>
      <c r="D634" s="5" t="str">
        <f>IFERROR(__xludf.DUMMYFUNCTION("""COMPUTED_VALUE"""),"Multi Clover 5")</f>
        <v>Multi Clover 5</v>
      </c>
      <c r="E634" s="5" t="str">
        <f>IFERROR(__xludf.DUMMYFUNCTION("""COMPUTED_VALUE"""),"Redstone")</f>
        <v>Redstone</v>
      </c>
      <c r="F634" s="5" t="str">
        <f>IFERROR(__xludf.DUMMYFUNCTION("""COMPUTED_VALUE"""),"RedstoneMultiClover5")</f>
        <v>RedstoneMultiClover5</v>
      </c>
      <c r="G634" s="5" t="str">
        <f>IFERROR(__xludf.DUMMYFUNCTION("""COMPUTED_VALUE"""),"Live")</f>
        <v>Live</v>
      </c>
      <c r="H634" s="5"/>
      <c r="I634" s="5" t="str">
        <f>IFERROR(__xludf.DUMMYFUNCTION("""COMPUTED_VALUE"""),"Redstone")</f>
        <v>Redstone</v>
      </c>
      <c r="J634" s="5" t="str">
        <f>IFERROR(__xludf.DUMMYFUNCTION("""COMPUTED_VALUE"""),"JSON")</f>
        <v>JSON</v>
      </c>
      <c r="K634" s="5" t="str">
        <f>IFERROR(__xludf.DUMMYFUNCTION("""COMPUTED_VALUE"""),"Slot")</f>
        <v>Slot</v>
      </c>
      <c r="L634" s="5" t="str">
        <f>IFERROR(__xludf.DUMMYFUNCTION("""COMPUTED_VALUE""")," Reskin")</f>
        <v> Reskin</v>
      </c>
      <c r="M634" s="5" t="str">
        <f>IFERROR(__xludf.DUMMYFUNCTION("""COMPUTED_VALUE"""),"Multi Heart 5")</f>
        <v>Multi Heart 5</v>
      </c>
      <c r="N634" s="7" t="str">
        <f>IFERROR(__xludf.DUMMYFUNCTION("""COMPUTED_VALUE"""),"https://docs.google.com/document/d/1wzPBJWwXuvufljN6Kmgln2SP6MhSZMou/edit?usp=drive_link&amp;ouid=107596163405648766688&amp;rtpof=true&amp;sd=true")</f>
        <v>https://docs.google.com/document/d/1wzPBJWwXuvufljN6Kmgln2SP6MhSZMou/edit?usp=drive_link&amp;ouid=107596163405648766688&amp;rtpof=true&amp;sd=true</v>
      </c>
      <c r="O634" s="7" t="str">
        <f>IFERROR(__xludf.DUMMYFUNCTION("""COMPUTED_VALUE"""),"https://docs.google.com/document/d/1CA-DOGHXNfL6fj5zr4jY8e8HJzEtG5oz/edit?usp=drive_link&amp;ouid=107596163405648766688&amp;rtpof=true&amp;sd=true")</f>
        <v>https://docs.google.com/document/d/1CA-DOGHXNfL6fj5zr4jY8e8HJzEtG5oz/edit?usp=drive_link&amp;ouid=107596163405648766688&amp;rtpof=true&amp;sd=true</v>
      </c>
      <c r="P634" s="12">
        <f>IFERROR(__xludf.DUMMYFUNCTION("""COMPUTED_VALUE"""),9.0)</f>
        <v>9</v>
      </c>
      <c r="Q634" s="13">
        <f>IFERROR(__xludf.DUMMYFUNCTION("""COMPUTED_VALUE"""),46055.0)</f>
        <v>46055</v>
      </c>
      <c r="R634" s="13">
        <f>IFERROR(__xludf.DUMMYFUNCTION("""COMPUTED_VALUE"""),46059.0)</f>
        <v>46059</v>
      </c>
      <c r="S634" s="13">
        <f>IFERROR(__xludf.DUMMYFUNCTION("""COMPUTED_VALUE"""),46066.0)</f>
        <v>46066</v>
      </c>
      <c r="T634" s="5" t="b">
        <f>IFERROR(__xludf.DUMMYFUNCTION("""COMPUTED_VALUE"""),TRUE)</f>
        <v>1</v>
      </c>
      <c r="U634" s="5" t="str">
        <f>IFERROR(__xludf.DUMMYFUNCTION("""COMPUTED_VALUE"""),"5x3")</f>
        <v>5x3</v>
      </c>
      <c r="V634" s="5">
        <f>IFERROR(__xludf.DUMMYFUNCTION("""COMPUTED_VALUE"""),5.0)</f>
        <v>5</v>
      </c>
      <c r="W634" s="5">
        <f>IFERROR(__xludf.DUMMYFUNCTION("""COMPUTED_VALUE"""),5.0)</f>
        <v>5</v>
      </c>
      <c r="X634" s="5">
        <f>IFERROR(__xludf.DUMMYFUNCTION("""COMPUTED_VALUE"""),96.96)</f>
        <v>96.96</v>
      </c>
      <c r="Y634" s="5" t="str">
        <f>IFERROR(__xludf.DUMMYFUNCTION("""COMPUTED_VALUE"""),"Medium")</f>
        <v>Medium</v>
      </c>
      <c r="Z634" s="5">
        <f>IFERROR(__xludf.DUMMYFUNCTION("""COMPUTED_VALUE"""),10.7)</f>
        <v>10.7</v>
      </c>
      <c r="AA634" s="5">
        <f>IFERROR(__xludf.DUMMYFUNCTION("""COMPUTED_VALUE"""),2150.0)</f>
        <v>2150</v>
      </c>
      <c r="AB634" s="5"/>
      <c r="AC634" s="5" t="str">
        <f>IFERROR(__xludf.DUMMYFUNCTION("""COMPUTED_VALUE"""),"Expanding Wild, Wild Multiplier")</f>
        <v>Expanding Wild, Wild Multiplier</v>
      </c>
      <c r="AD634" s="5" t="str">
        <f>IFERROR(__xludf.DUMMYFUNCTION("""COMPUTED_VALUE"""),"0.05/30")</f>
        <v>0.05/30</v>
      </c>
      <c r="AE634" s="5"/>
      <c r="AF634" s="5"/>
      <c r="AG634" s="8">
        <f>IFERROR(__xludf.DUMMYFUNCTION("""COMPUTED_VALUE"""),46212.56366898148)</f>
        <v>46212.56367</v>
      </c>
      <c r="AH634" s="5" t="str">
        <f>IFERROR(__xludf.DUMMYFUNCTION("""COMPUTED_VALUE"""),"selena.mihajlovic@fazi.rs")</f>
        <v>selena.mihajlovic@fazi.rs</v>
      </c>
      <c r="AI634" s="13"/>
      <c r="AJ634" s="5"/>
      <c r="AK634" s="5">
        <f>IFERROR(__xludf.DUMMYFUNCTION("""COMPUTED_VALUE"""),1.0)</f>
        <v>1</v>
      </c>
      <c r="AL634" s="5" t="str">
        <f>IFERROR(__xludf.DUMMYFUNCTION("""COMPUTED_VALUE"""),"No")</f>
        <v>No</v>
      </c>
      <c r="AM634" s="5" t="str">
        <f>IFERROR(__xludf.DUMMYFUNCTION("""COMPUTED_VALUE"""),"No")</f>
        <v>No</v>
      </c>
      <c r="AN634" s="7" t="str">
        <f>IFERROR(__xludf.DUMMYFUNCTION("""COMPUTED_VALUE"""),"https://static.redstone.rs/games/multi-clover-5/")</f>
        <v>https://static.redstone.rs/games/multi-clover-5/</v>
      </c>
      <c r="AO634" s="5" t="str">
        <f>IFERROR(__xludf.DUMMYFUNCTION("""COMPUTED_VALUE"""),"No")</f>
        <v>No</v>
      </c>
      <c r="AP634" s="5" t="str">
        <f>IFERROR(__xludf.DUMMYFUNCTION("""COMPUTED_VALUE"""),"No")</f>
        <v>No</v>
      </c>
      <c r="AQ634" s="5" t="b">
        <f>IFERROR(__xludf.DUMMYFUNCTION("""COMPUTED_VALUE"""),TRUE)</f>
        <v>1</v>
      </c>
      <c r="AR634" s="5"/>
      <c r="AS634" s="5" t="str">
        <f>IFERROR(__xludf.DUMMYFUNCTION("""COMPUTED_VALUE"""),"Spin into a world of clovers and magic with Multi Clover 5. One clover can change everything - watch as expanding wilds boost your winnings with x2, x3 or x5 multipliers! ")</f>
        <v>Spin into a world of clovers and magic with Multi Clover 5. One clover can change everything - watch as expanding wilds boost your winnings with x2, x3 or x5 multipliers! </v>
      </c>
      <c r="AT634" s="5"/>
      <c r="AU634" s="5" t="str">
        <f>IFERROR(__xludf.DUMMYFUNCTION("""COMPUTED_VALUE"""),"Redstone")</f>
        <v>Redstone</v>
      </c>
      <c r="AV634" s="5"/>
      <c r="AW634" s="5"/>
      <c r="AX634" s="13">
        <f>IFERROR(__xludf.DUMMYFUNCTION("""COMPUTED_VALUE"""),46049.0)</f>
        <v>46049</v>
      </c>
      <c r="AY634" s="5"/>
      <c r="AZ634" s="5"/>
      <c r="BA634" s="5"/>
      <c r="BB634" s="5" t="b">
        <f>IFERROR(__xludf.DUMMYFUNCTION("""COMPUTED_VALUE"""),TRUE)</f>
        <v>1</v>
      </c>
      <c r="BC634" s="5" t="str">
        <f>IFERROR(__xludf.DUMMYFUNCTION("""COMPUTED_VALUE"""),"Redstone")</f>
        <v>Redstone</v>
      </c>
      <c r="BD634" s="7" t="str">
        <f>IFERROR(__xludf.DUMMYFUNCTION("""COMPUTED_VALUE"""),"https://static.redstone.rs/games/multi-clover-5/")</f>
        <v>https://static.redstone.rs/games/multi-clover-5/</v>
      </c>
      <c r="BE634" s="5" t="b">
        <f>IFERROR(__xludf.DUMMYFUNCTION("""COMPUTED_VALUE"""),TRUE)</f>
        <v>1</v>
      </c>
    </row>
    <row r="635">
      <c r="A635" s="5">
        <f>IFERROR(__xludf.DUMMYFUNCTION("""COMPUTED_VALUE"""),670.0)</f>
        <v>670</v>
      </c>
      <c r="B635" s="5">
        <f>IFERROR(__xludf.DUMMYFUNCTION("""COMPUTED_VALUE"""),180061.0)</f>
        <v>180061</v>
      </c>
      <c r="C635" s="5" t="str">
        <f>IFERROR(__xludf.DUMMYFUNCTION("""COMPUTED_VALUE"""),"Redstone")</f>
        <v>Redstone</v>
      </c>
      <c r="D635" s="5" t="str">
        <f>IFERROR(__xludf.DUMMYFUNCTION("""COMPUTED_VALUE"""),"Joker X5")</f>
        <v>Joker X5</v>
      </c>
      <c r="E635" s="5" t="str">
        <f>IFERROR(__xludf.DUMMYFUNCTION("""COMPUTED_VALUE"""),"Redstone")</f>
        <v>Redstone</v>
      </c>
      <c r="F635" s="5" t="str">
        <f>IFERROR(__xludf.DUMMYFUNCTION("""COMPUTED_VALUE"""),"RedstoneJokerX5")</f>
        <v>RedstoneJokerX5</v>
      </c>
      <c r="G635" s="5" t="str">
        <f>IFERROR(__xludf.DUMMYFUNCTION("""COMPUTED_VALUE"""),"Live")</f>
        <v>Live</v>
      </c>
      <c r="H635" s="5"/>
      <c r="I635" s="5" t="str">
        <f>IFERROR(__xludf.DUMMYFUNCTION("""COMPUTED_VALUE"""),"Redstone")</f>
        <v>Redstone</v>
      </c>
      <c r="J635" s="5" t="str">
        <f>IFERROR(__xludf.DUMMYFUNCTION("""COMPUTED_VALUE"""),"JSON")</f>
        <v>JSON</v>
      </c>
      <c r="K635" s="5" t="str">
        <f>IFERROR(__xludf.DUMMYFUNCTION("""COMPUTED_VALUE"""),"Slot")</f>
        <v>Slot</v>
      </c>
      <c r="L635" s="5" t="str">
        <f>IFERROR(__xludf.DUMMYFUNCTION("""COMPUTED_VALUE"""),"Master")</f>
        <v>Master</v>
      </c>
      <c r="M635" s="5"/>
      <c r="N635" s="7" t="str">
        <f>IFERROR(__xludf.DUMMYFUNCTION("""COMPUTED_VALUE"""),"https://docs.google.com/document/d/13VQCcA2uI4ImiSslyB6pgz9y_3Z85CL_/edit?usp=drive_link&amp;ouid=107596163405648766688&amp;rtpof=true&amp;sd=true")</f>
        <v>https://docs.google.com/document/d/13VQCcA2uI4ImiSslyB6pgz9y_3Z85CL_/edit?usp=drive_link&amp;ouid=107596163405648766688&amp;rtpof=true&amp;sd=true</v>
      </c>
      <c r="O635" s="7" t="str">
        <f>IFERROR(__xludf.DUMMYFUNCTION("""COMPUTED_VALUE"""),"https://docs.google.com/document/d/1tgJ-m4QeO4h1NF64p-_ADVba9SjKryZ4/edit?usp=drive_link&amp;ouid=107596163405648766688&amp;rtpof=true&amp;sd=true")</f>
        <v>https://docs.google.com/document/d/1tgJ-m4QeO4h1NF64p-_ADVba9SjKryZ4/edit?usp=drive_link&amp;ouid=107596163405648766688&amp;rtpof=true&amp;sd=true</v>
      </c>
      <c r="P635" s="12">
        <f>IFERROR(__xludf.DUMMYFUNCTION("""COMPUTED_VALUE"""),8.0)</f>
        <v>8</v>
      </c>
      <c r="Q635" s="13">
        <f>IFERROR(__xludf.DUMMYFUNCTION("""COMPUTED_VALUE"""),46071.0)</f>
        <v>46071</v>
      </c>
      <c r="R635" s="13">
        <f>IFERROR(__xludf.DUMMYFUNCTION("""COMPUTED_VALUE"""),46069.0)</f>
        <v>46069</v>
      </c>
      <c r="S635" s="13">
        <f>IFERROR(__xludf.DUMMYFUNCTION("""COMPUTED_VALUE"""),46076.0)</f>
        <v>46076</v>
      </c>
      <c r="T635" s="5" t="b">
        <f>IFERROR(__xludf.DUMMYFUNCTION("""COMPUTED_VALUE"""),TRUE)</f>
        <v>1</v>
      </c>
      <c r="U635" s="5" t="str">
        <f>IFERROR(__xludf.DUMMYFUNCTION("""COMPUTED_VALUE"""),"3x3")</f>
        <v>3x3</v>
      </c>
      <c r="V635" s="5">
        <f>IFERROR(__xludf.DUMMYFUNCTION("""COMPUTED_VALUE"""),5.0)</f>
        <v>5</v>
      </c>
      <c r="W635" s="5">
        <f>IFERROR(__xludf.DUMMYFUNCTION("""COMPUTED_VALUE"""),5.0)</f>
        <v>5</v>
      </c>
      <c r="X635" s="5">
        <f>IFERROR(__xludf.DUMMYFUNCTION("""COMPUTED_VALUE"""),96.53)</f>
        <v>96.53</v>
      </c>
      <c r="Y635" s="5" t="str">
        <f>IFERROR(__xludf.DUMMYFUNCTION("""COMPUTED_VALUE"""),"Medium")</f>
        <v>Medium</v>
      </c>
      <c r="Z635" s="5">
        <f>IFERROR(__xludf.DUMMYFUNCTION("""COMPUTED_VALUE"""),16.49)</f>
        <v>16.49</v>
      </c>
      <c r="AA635" s="5">
        <f>IFERROR(__xludf.DUMMYFUNCTION("""COMPUTED_VALUE"""),900.0)</f>
        <v>900</v>
      </c>
      <c r="AB635" s="5"/>
      <c r="AC635" s="5" t="str">
        <f>IFERROR(__xludf.DUMMYFUNCTION("""COMPUTED_VALUE"""),"Expanding Wild, Wild Multiplier")</f>
        <v>Expanding Wild, Wild Multiplier</v>
      </c>
      <c r="AD635" s="5" t="str">
        <f>IFERROR(__xludf.DUMMYFUNCTION("""COMPUTED_VALUE"""),"0.10/50")</f>
        <v>0.10/50</v>
      </c>
      <c r="AE635" s="5"/>
      <c r="AF635" s="5"/>
      <c r="AG635" s="8">
        <f>IFERROR(__xludf.DUMMYFUNCTION("""COMPUTED_VALUE"""),46212.56398148148)</f>
        <v>46212.56398</v>
      </c>
      <c r="AH635" s="5" t="str">
        <f>IFERROR(__xludf.DUMMYFUNCTION("""COMPUTED_VALUE"""),"selena.mihajlovic@fazi.rs")</f>
        <v>selena.mihajlovic@fazi.rs</v>
      </c>
      <c r="AI635" s="13"/>
      <c r="AJ635" s="5"/>
      <c r="AK635" s="5">
        <f>IFERROR(__xludf.DUMMYFUNCTION("""COMPUTED_VALUE"""),1.0)</f>
        <v>1</v>
      </c>
      <c r="AL635" s="5" t="str">
        <f>IFERROR(__xludf.DUMMYFUNCTION("""COMPUTED_VALUE"""),"No")</f>
        <v>No</v>
      </c>
      <c r="AM635" s="5" t="str">
        <f>IFERROR(__xludf.DUMMYFUNCTION("""COMPUTED_VALUE"""),"Yes")</f>
        <v>Yes</v>
      </c>
      <c r="AN635" s="7" t="str">
        <f>IFERROR(__xludf.DUMMYFUNCTION("""COMPUTED_VALUE"""),"https://static.redstone.rs/games/joker-x5/")</f>
        <v>https://static.redstone.rs/games/joker-x5/</v>
      </c>
      <c r="AO635" s="5" t="str">
        <f>IFERROR(__xludf.DUMMYFUNCTION("""COMPUTED_VALUE"""),"No")</f>
        <v>No</v>
      </c>
      <c r="AP635" s="5" t="str">
        <f>IFERROR(__xludf.DUMMYFUNCTION("""COMPUTED_VALUE"""),"No")</f>
        <v>No</v>
      </c>
      <c r="AQ635" s="5" t="b">
        <f>IFERROR(__xludf.DUMMYFUNCTION("""COMPUTED_VALUE"""),TRUE)</f>
        <v>1</v>
      </c>
      <c r="AR635" s="5"/>
      <c r="AS635" s="5" t="str">
        <f>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AT635" s="5"/>
      <c r="AU635" s="5" t="str">
        <f>IFERROR(__xludf.DUMMYFUNCTION("""COMPUTED_VALUE"""),"Redstone")</f>
        <v>Redstone</v>
      </c>
      <c r="AV635" s="5">
        <f>IFERROR(__xludf.DUMMYFUNCTION("""COMPUTED_VALUE"""),10.0)</f>
        <v>10</v>
      </c>
      <c r="AW635" s="5"/>
      <c r="AX635" s="13">
        <f>IFERROR(__xludf.DUMMYFUNCTION("""COMPUTED_VALUE"""),46063.0)</f>
        <v>46063</v>
      </c>
      <c r="AY635" s="5"/>
      <c r="AZ635" s="5"/>
      <c r="BA635" s="5"/>
      <c r="BB635" s="5" t="b">
        <f>IFERROR(__xludf.DUMMYFUNCTION("""COMPUTED_VALUE"""),TRUE)</f>
        <v>1</v>
      </c>
      <c r="BC635" s="5" t="str">
        <f>IFERROR(__xludf.DUMMYFUNCTION("""COMPUTED_VALUE"""),"Redstone")</f>
        <v>Redstone</v>
      </c>
      <c r="BD635" s="7" t="str">
        <f>IFERROR(__xludf.DUMMYFUNCTION("""COMPUTED_VALUE"""),"https://static.redstone.rs/games/joker-x5/")</f>
        <v>https://static.redstone.rs/games/joker-x5/</v>
      </c>
      <c r="BE635" s="5" t="b">
        <f>IFERROR(__xludf.DUMMYFUNCTION("""COMPUTED_VALUE"""),TRUE)</f>
        <v>1</v>
      </c>
    </row>
    <row r="636">
      <c r="A636" s="5">
        <f>IFERROR(__xludf.DUMMYFUNCTION("""COMPUTED_VALUE"""),671.0)</f>
        <v>671</v>
      </c>
      <c r="B636" s="5">
        <f>IFERROR(__xludf.DUMMYFUNCTION("""COMPUTED_VALUE"""),180062.0)</f>
        <v>180062</v>
      </c>
      <c r="C636" s="5" t="str">
        <f>IFERROR(__xludf.DUMMYFUNCTION("""COMPUTED_VALUE"""),"Redstone")</f>
        <v>Redstone</v>
      </c>
      <c r="D636" s="5" t="str">
        <f>IFERROR(__xludf.DUMMYFUNCTION("""COMPUTED_VALUE"""),"Clover Rush 5")</f>
        <v>Clover Rush 5</v>
      </c>
      <c r="E636" s="5" t="str">
        <f>IFERROR(__xludf.DUMMYFUNCTION("""COMPUTED_VALUE"""),"Redstone")</f>
        <v>Redstone</v>
      </c>
      <c r="F636" s="5" t="str">
        <f>IFERROR(__xludf.DUMMYFUNCTION("""COMPUTED_VALUE"""),"RedstoneCloverRush5")</f>
        <v>RedstoneCloverRush5</v>
      </c>
      <c r="G636" s="5" t="str">
        <f>IFERROR(__xludf.DUMMYFUNCTION("""COMPUTED_VALUE"""),"Live")</f>
        <v>Live</v>
      </c>
      <c r="H636" s="5"/>
      <c r="I636" s="5" t="str">
        <f>IFERROR(__xludf.DUMMYFUNCTION("""COMPUTED_VALUE"""),"Redstone")</f>
        <v>Redstone</v>
      </c>
      <c r="J636" s="5" t="str">
        <f>IFERROR(__xludf.DUMMYFUNCTION("""COMPUTED_VALUE"""),"JSON")</f>
        <v>JSON</v>
      </c>
      <c r="K636" s="5" t="str">
        <f>IFERROR(__xludf.DUMMYFUNCTION("""COMPUTED_VALUE"""),"Slot")</f>
        <v>Slot</v>
      </c>
      <c r="L636" s="5" t="str">
        <f>IFERROR(__xludf.DUMMYFUNCTION("""COMPUTED_VALUE"""),"Master")</f>
        <v>Master</v>
      </c>
      <c r="M636" s="5"/>
      <c r="N636" s="7" t="str">
        <f>IFERROR(__xludf.DUMMYFUNCTION("""COMPUTED_VALUE"""),"https://docs.google.com/document/d/1FMg9--0MWZeZFnRKqkBGifB1FHm8gU5l/edit?usp=drive_link&amp;ouid=107596163405648766688&amp;rtpof=true&amp;sd=true")</f>
        <v>https://docs.google.com/document/d/1FMg9--0MWZeZFnRKqkBGifB1FHm8gU5l/edit?usp=drive_link&amp;ouid=107596163405648766688&amp;rtpof=true&amp;sd=true</v>
      </c>
      <c r="O636" s="7" t="str">
        <f>IFERROR(__xludf.DUMMYFUNCTION("""COMPUTED_VALUE"""),"https://docs.google.com/document/d/10ybc6vdKmjHZzpC4LGSCTb-5Sb3kS4i1/edit?usp=drive_link&amp;ouid=107596163405648766688&amp;rtpof=true&amp;sd=true")</f>
        <v>https://docs.google.com/document/d/10ybc6vdKmjHZzpC4LGSCTb-5Sb3kS4i1/edit?usp=drive_link&amp;ouid=107596163405648766688&amp;rtpof=true&amp;sd=true</v>
      </c>
      <c r="P636" s="12">
        <f>IFERROR(__xludf.DUMMYFUNCTION("""COMPUTED_VALUE"""),10.0)</f>
        <v>10</v>
      </c>
      <c r="Q636" s="13">
        <f>IFERROR(__xludf.DUMMYFUNCTION("""COMPUTED_VALUE"""),46071.0)</f>
        <v>46071</v>
      </c>
      <c r="R636" s="13">
        <f>IFERROR(__xludf.DUMMYFUNCTION("""COMPUTED_VALUE"""),46079.0)</f>
        <v>46079</v>
      </c>
      <c r="S636" s="13">
        <f>IFERROR(__xludf.DUMMYFUNCTION("""COMPUTED_VALUE"""),46086.0)</f>
        <v>46086</v>
      </c>
      <c r="T636" s="5" t="b">
        <f>IFERROR(__xludf.DUMMYFUNCTION("""COMPUTED_VALUE"""),TRUE)</f>
        <v>1</v>
      </c>
      <c r="U636" s="5" t="str">
        <f>IFERROR(__xludf.DUMMYFUNCTION("""COMPUTED_VALUE"""),"5x3")</f>
        <v>5x3</v>
      </c>
      <c r="V636" s="5">
        <f>IFERROR(__xludf.DUMMYFUNCTION("""COMPUTED_VALUE"""),5.0)</f>
        <v>5</v>
      </c>
      <c r="W636" s="5">
        <f>IFERROR(__xludf.DUMMYFUNCTION("""COMPUTED_VALUE"""),5.0)</f>
        <v>5</v>
      </c>
      <c r="X636" s="5">
        <f>IFERROR(__xludf.DUMMYFUNCTION("""COMPUTED_VALUE"""),96.35)</f>
        <v>96.35</v>
      </c>
      <c r="Y636" s="5" t="str">
        <f>IFERROR(__xludf.DUMMYFUNCTION("""COMPUTED_VALUE"""),"Medium")</f>
        <v>Medium</v>
      </c>
      <c r="Z636" s="5">
        <f>IFERROR(__xludf.DUMMYFUNCTION("""COMPUTED_VALUE"""),11.36)</f>
        <v>11.36</v>
      </c>
      <c r="AA636" s="5">
        <f>IFERROR(__xludf.DUMMYFUNCTION("""COMPUTED_VALUE"""),2000.0)</f>
        <v>2000</v>
      </c>
      <c r="AB636" s="5"/>
      <c r="AC636" s="5" t="str">
        <f>IFERROR(__xludf.DUMMYFUNCTION("""COMPUTED_VALUE"""),"Win Multiplier, Expanding Wild")</f>
        <v>Win Multiplier, Expanding Wild</v>
      </c>
      <c r="AD636" s="5" t="str">
        <f>IFERROR(__xludf.DUMMYFUNCTION("""COMPUTED_VALUE"""),"0.10/50")</f>
        <v>0.10/50</v>
      </c>
      <c r="AE636" s="5"/>
      <c r="AF636" s="5"/>
      <c r="AG636" s="8">
        <f>IFERROR(__xludf.DUMMYFUNCTION("""COMPUTED_VALUE"""),46212.564375)</f>
        <v>46212.56438</v>
      </c>
      <c r="AH636" s="5" t="str">
        <f>IFERROR(__xludf.DUMMYFUNCTION("""COMPUTED_VALUE"""),"selena.mihajlovic@fazi.rs")</f>
        <v>selena.mihajlovic@fazi.rs</v>
      </c>
      <c r="AI636" s="13"/>
      <c r="AJ636" s="5"/>
      <c r="AK636" s="5">
        <f>IFERROR(__xludf.DUMMYFUNCTION("""COMPUTED_VALUE"""),1.0)</f>
        <v>1</v>
      </c>
      <c r="AL636" s="5" t="str">
        <f>IFERROR(__xludf.DUMMYFUNCTION("""COMPUTED_VALUE"""),"No")</f>
        <v>No</v>
      </c>
      <c r="AM636" s="5" t="str">
        <f>IFERROR(__xludf.DUMMYFUNCTION("""COMPUTED_VALUE"""),"No")</f>
        <v>No</v>
      </c>
      <c r="AN636" s="7" t="str">
        <f>IFERROR(__xludf.DUMMYFUNCTION("""COMPUTED_VALUE"""),"https://static.redstone.rs/games/clover-rush-5/")</f>
        <v>https://static.redstone.rs/games/clover-rush-5/</v>
      </c>
      <c r="AO636" s="5" t="str">
        <f>IFERROR(__xludf.DUMMYFUNCTION("""COMPUTED_VALUE"""),"No")</f>
        <v>No</v>
      </c>
      <c r="AP636" s="5" t="str">
        <f>IFERROR(__xludf.DUMMYFUNCTION("""COMPUTED_VALUE"""),"No")</f>
        <v>No</v>
      </c>
      <c r="AQ636" s="5" t="b">
        <f>IFERROR(__xludf.DUMMYFUNCTION("""COMPUTED_VALUE"""),TRUE)</f>
        <v>1</v>
      </c>
      <c r="AR636" s="5"/>
      <c r="AS636" s="5" t="str">
        <f>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AT636" s="5"/>
      <c r="AU636" s="5" t="str">
        <f>IFERROR(__xludf.DUMMYFUNCTION("""COMPUTED_VALUE"""),"Redstone")</f>
        <v>Redstone</v>
      </c>
      <c r="AV636" s="5">
        <f>IFERROR(__xludf.DUMMYFUNCTION("""COMPUTED_VALUE"""),10.0)</f>
        <v>10</v>
      </c>
      <c r="AW636" s="5"/>
      <c r="AX636" s="13">
        <f>IFERROR(__xludf.DUMMYFUNCTION("""COMPUTED_VALUE"""),46063.0)</f>
        <v>46063</v>
      </c>
      <c r="AY636" s="5"/>
      <c r="AZ636" s="5"/>
      <c r="BA636" s="5"/>
      <c r="BB636" s="5" t="b">
        <f>IFERROR(__xludf.DUMMYFUNCTION("""COMPUTED_VALUE"""),TRUE)</f>
        <v>1</v>
      </c>
      <c r="BC636" s="5" t="str">
        <f>IFERROR(__xludf.DUMMYFUNCTION("""COMPUTED_VALUE"""),"Redstone")</f>
        <v>Redstone</v>
      </c>
      <c r="BD636" s="7" t="str">
        <f>IFERROR(__xludf.DUMMYFUNCTION("""COMPUTED_VALUE"""),"https://static.redstone.rs/games/clover-rush-5/")</f>
        <v>https://static.redstone.rs/games/clover-rush-5/</v>
      </c>
      <c r="BE636" s="5" t="b">
        <f>IFERROR(__xludf.DUMMYFUNCTION("""COMPUTED_VALUE"""),TRUE)</f>
        <v>1</v>
      </c>
    </row>
    <row r="637">
      <c r="A637" s="5">
        <f>IFERROR(__xludf.DUMMYFUNCTION("""COMPUTED_VALUE"""),672.0)</f>
        <v>672</v>
      </c>
      <c r="B637" s="5">
        <f>IFERROR(__xludf.DUMMYFUNCTION("""COMPUTED_VALUE"""),180057.0)</f>
        <v>180057</v>
      </c>
      <c r="C637" s="5" t="str">
        <f>IFERROR(__xludf.DUMMYFUNCTION("""COMPUTED_VALUE"""),"Redstone")</f>
        <v>Redstone</v>
      </c>
      <c r="D637" s="5" t="str">
        <f>IFERROR(__xludf.DUMMYFUNCTION("""COMPUTED_VALUE"""),"5 Bell Fire")</f>
        <v>5 Bell Fire</v>
      </c>
      <c r="E637" s="5" t="str">
        <f>IFERROR(__xludf.DUMMYFUNCTION("""COMPUTED_VALUE"""),"Redstone")</f>
        <v>Redstone</v>
      </c>
      <c r="F637" s="5" t="str">
        <f>IFERROR(__xludf.DUMMYFUNCTION("""COMPUTED_VALUE"""),"Redstone5BellFire")</f>
        <v>Redstone5BellFire</v>
      </c>
      <c r="G637" s="5" t="str">
        <f>IFERROR(__xludf.DUMMYFUNCTION("""COMPUTED_VALUE"""),"Live")</f>
        <v>Live</v>
      </c>
      <c r="H637" s="5"/>
      <c r="I637" s="5" t="str">
        <f>IFERROR(__xludf.DUMMYFUNCTION("""COMPUTED_VALUE"""),"Redstone")</f>
        <v>Redstone</v>
      </c>
      <c r="J637" s="5" t="str">
        <f>IFERROR(__xludf.DUMMYFUNCTION("""COMPUTED_VALUE"""),"JSON")</f>
        <v>JSON</v>
      </c>
      <c r="K637" s="5" t="str">
        <f>IFERROR(__xludf.DUMMYFUNCTION("""COMPUTED_VALUE"""),"Slot")</f>
        <v>Slot</v>
      </c>
      <c r="L637" s="5" t="str">
        <f>IFERROR(__xludf.DUMMYFUNCTION("""COMPUTED_VALUE""")," Reskin")</f>
        <v> Reskin</v>
      </c>
      <c r="M637" s="5" t="str">
        <f>IFERROR(__xludf.DUMMYFUNCTION("""COMPUTED_VALUE"""),"5 Clover Fire")</f>
        <v>5 Clover Fire</v>
      </c>
      <c r="N637" s="7" t="str">
        <f>IFERROR(__xludf.DUMMYFUNCTION("""COMPUTED_VALUE"""),"https://docs.google.com/document/d/1o1jIoDbRbS_pavC8Wn4PLnvu4UPh4BR2/edit?usp=drive_link&amp;ouid=107596163405648766688&amp;rtpof=true&amp;sd=true")</f>
        <v>https://docs.google.com/document/d/1o1jIoDbRbS_pavC8Wn4PLnvu4UPh4BR2/edit?usp=drive_link&amp;ouid=107596163405648766688&amp;rtpof=true&amp;sd=true</v>
      </c>
      <c r="O637" s="7" t="str">
        <f>IFERROR(__xludf.DUMMYFUNCTION("""COMPUTED_VALUE"""),"https://docs.google.com/document/d/1d0syaxpX5IuTfLZ9M4igW7N80Ay2svZd/edit?usp=drive_link&amp;ouid=107596163405648766688&amp;rtpof=true&amp;sd=true")</f>
        <v>https://docs.google.com/document/d/1d0syaxpX5IuTfLZ9M4igW7N80Ay2svZd/edit?usp=drive_link&amp;ouid=107596163405648766688&amp;rtpof=true&amp;sd=true</v>
      </c>
      <c r="P637" s="12">
        <f>IFERROR(__xludf.DUMMYFUNCTION("""COMPUTED_VALUE"""),8.8)</f>
        <v>8.8</v>
      </c>
      <c r="Q637" s="13">
        <f>IFERROR(__xludf.DUMMYFUNCTION("""COMPUTED_VALUE"""),46055.0)</f>
        <v>46055</v>
      </c>
      <c r="R637" s="13">
        <f>IFERROR(__xludf.DUMMYFUNCTION("""COMPUTED_VALUE"""),46084.0)</f>
        <v>46084</v>
      </c>
      <c r="S637" s="13">
        <f>IFERROR(__xludf.DUMMYFUNCTION("""COMPUTED_VALUE"""),46091.0)</f>
        <v>46091</v>
      </c>
      <c r="T637" s="5" t="b">
        <f>IFERROR(__xludf.DUMMYFUNCTION("""COMPUTED_VALUE"""),TRUE)</f>
        <v>1</v>
      </c>
      <c r="U637" s="5" t="str">
        <f>IFERROR(__xludf.DUMMYFUNCTION("""COMPUTED_VALUE"""),"5x3")</f>
        <v>5x3</v>
      </c>
      <c r="V637" s="5">
        <f>IFERROR(__xludf.DUMMYFUNCTION("""COMPUTED_VALUE"""),5.0)</f>
        <v>5</v>
      </c>
      <c r="W637" s="5">
        <f>IFERROR(__xludf.DUMMYFUNCTION("""COMPUTED_VALUE"""),5.0)</f>
        <v>5</v>
      </c>
      <c r="X637" s="5">
        <f>IFERROR(__xludf.DUMMYFUNCTION("""COMPUTED_VALUE"""),96.45)</f>
        <v>96.45</v>
      </c>
      <c r="Y637" s="5" t="str">
        <f>IFERROR(__xludf.DUMMYFUNCTION("""COMPUTED_VALUE"""),"Medium")</f>
        <v>Medium</v>
      </c>
      <c r="Z637" s="5">
        <f>IFERROR(__xludf.DUMMYFUNCTION("""COMPUTED_VALUE"""),14.5)</f>
        <v>14.5</v>
      </c>
      <c r="AA637" s="5">
        <f>IFERROR(__xludf.DUMMYFUNCTION("""COMPUTED_VALUE"""),1222.0)</f>
        <v>1222</v>
      </c>
      <c r="AB637" s="5"/>
      <c r="AC637" s="5" t="str">
        <f>IFERROR(__xludf.DUMMYFUNCTION("""COMPUTED_VALUE"""),"Expanding Wild, Scatter")</f>
        <v>Expanding Wild, Scatter</v>
      </c>
      <c r="AD637" s="5" t="str">
        <f>IFERROR(__xludf.DUMMYFUNCTION("""COMPUTED_VALUE"""),"0.05/30")</f>
        <v>0.05/30</v>
      </c>
      <c r="AE637" s="5"/>
      <c r="AF637" s="5"/>
      <c r="AG637" s="8">
        <f>IFERROR(__xludf.DUMMYFUNCTION("""COMPUTED_VALUE"""),46191.532060185185)</f>
        <v>46191.53206</v>
      </c>
      <c r="AH637" s="5"/>
      <c r="AI637" s="13"/>
      <c r="AJ637" s="5"/>
      <c r="AK637" s="5">
        <f>IFERROR(__xludf.DUMMYFUNCTION("""COMPUTED_VALUE"""),1.0)</f>
        <v>1</v>
      </c>
      <c r="AL637" s="5" t="str">
        <f>IFERROR(__xludf.DUMMYFUNCTION("""COMPUTED_VALUE"""),"No")</f>
        <v>No</v>
      </c>
      <c r="AM637" s="5" t="str">
        <f>IFERROR(__xludf.DUMMYFUNCTION("""COMPUTED_VALUE"""),"No")</f>
        <v>No</v>
      </c>
      <c r="AN637" s="7" t="str">
        <f>IFERROR(__xludf.DUMMYFUNCTION("""COMPUTED_VALUE"""),"https://static.redstone.rs/games/5-bell-fire/")</f>
        <v>https://static.redstone.rs/games/5-bell-fire/</v>
      </c>
      <c r="AO637" s="5" t="str">
        <f>IFERROR(__xludf.DUMMYFUNCTION("""COMPUTED_VALUE"""),"No")</f>
        <v>No</v>
      </c>
      <c r="AP637" s="5" t="str">
        <f>IFERROR(__xludf.DUMMYFUNCTION("""COMPUTED_VALUE"""),"No")</f>
        <v>No</v>
      </c>
      <c r="AQ637" s="5" t="b">
        <f>IFERROR(__xludf.DUMMYFUNCTION("""COMPUTED_VALUE"""),TRUE)</f>
        <v>1</v>
      </c>
      <c r="AR637" s="5"/>
      <c r="AS637" s="5" t="str">
        <f>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AT637" s="5"/>
      <c r="AU637" s="5" t="str">
        <f>IFERROR(__xludf.DUMMYFUNCTION("""COMPUTED_VALUE"""),"Redstone")</f>
        <v>Redstone</v>
      </c>
      <c r="AV637" s="5"/>
      <c r="AW637" s="5"/>
      <c r="AX637" s="13">
        <f>IFERROR(__xludf.DUMMYFUNCTION("""COMPUTED_VALUE"""),46049.0)</f>
        <v>46049</v>
      </c>
      <c r="AY637" s="5"/>
      <c r="AZ637" s="5"/>
      <c r="BA637" s="5"/>
      <c r="BB637" s="5" t="b">
        <f>IFERROR(__xludf.DUMMYFUNCTION("""COMPUTED_VALUE"""),TRUE)</f>
        <v>1</v>
      </c>
      <c r="BC637" s="5" t="str">
        <f>IFERROR(__xludf.DUMMYFUNCTION("""COMPUTED_VALUE"""),"Redstone")</f>
        <v>Redstone</v>
      </c>
      <c r="BD637" s="7" t="str">
        <f>IFERROR(__xludf.DUMMYFUNCTION("""COMPUTED_VALUE"""),"https://static.redstone.rs/games/5-bell-fire/")</f>
        <v>https://static.redstone.rs/games/5-bell-fire/</v>
      </c>
      <c r="BE637" s="5" t="b">
        <f>IFERROR(__xludf.DUMMYFUNCTION("""COMPUTED_VALUE"""),TRUE)</f>
        <v>1</v>
      </c>
    </row>
    <row r="638">
      <c r="A638" s="5">
        <f>IFERROR(__xludf.DUMMYFUNCTION("""COMPUTED_VALUE"""),673.0)</f>
        <v>673</v>
      </c>
      <c r="B638" s="5">
        <f>IFERROR(__xludf.DUMMYFUNCTION("""COMPUTED_VALUE"""),180063.0)</f>
        <v>180063</v>
      </c>
      <c r="C638" s="5" t="str">
        <f>IFERROR(__xludf.DUMMYFUNCTION("""COMPUTED_VALUE"""),"Redstone")</f>
        <v>Redstone</v>
      </c>
      <c r="D638" s="5" t="str">
        <f>IFERROR(__xludf.DUMMYFUNCTION("""COMPUTED_VALUE"""),"Dice Drop 10")</f>
        <v>Dice Drop 10</v>
      </c>
      <c r="E638" s="5" t="str">
        <f>IFERROR(__xludf.DUMMYFUNCTION("""COMPUTED_VALUE"""),"Redstone")</f>
        <v>Redstone</v>
      </c>
      <c r="F638" s="5" t="str">
        <f>IFERROR(__xludf.DUMMYFUNCTION("""COMPUTED_VALUE"""),"RedstoneDiceDrop10")</f>
        <v>RedstoneDiceDrop10</v>
      </c>
      <c r="G638" s="5" t="str">
        <f>IFERROR(__xludf.DUMMYFUNCTION("""COMPUTED_VALUE"""),"Live")</f>
        <v>Live</v>
      </c>
      <c r="H638" s="5"/>
      <c r="I638" s="5" t="str">
        <f>IFERROR(__xludf.DUMMYFUNCTION("""COMPUTED_VALUE"""),"Redstone")</f>
        <v>Redstone</v>
      </c>
      <c r="J638" s="5" t="str">
        <f>IFERROR(__xludf.DUMMYFUNCTION("""COMPUTED_VALUE"""),"JSON")</f>
        <v>JSON</v>
      </c>
      <c r="K638" s="5" t="str">
        <f>IFERROR(__xludf.DUMMYFUNCTION("""COMPUTED_VALUE"""),"Slot")</f>
        <v>Slot</v>
      </c>
      <c r="L638" s="5" t="str">
        <f>IFERROR(__xludf.DUMMYFUNCTION("""COMPUTED_VALUE""")," Reskin")</f>
        <v> Reskin</v>
      </c>
      <c r="M638" s="5" t="str">
        <f>IFERROR(__xludf.DUMMYFUNCTION("""COMPUTED_VALUE"""),"Rolling Hearts 10")</f>
        <v>Rolling Hearts 10</v>
      </c>
      <c r="N638" s="7" t="str">
        <f>IFERROR(__xludf.DUMMYFUNCTION("""COMPUTED_VALUE"""),"https://docs.google.com/document/d/1Y7pRn33TMzJVBoyNmikLXLoa8IRcPXbB/edit")</f>
        <v>https://docs.google.com/document/d/1Y7pRn33TMzJVBoyNmikLXLoa8IRcPXbB/edit</v>
      </c>
      <c r="O638" s="7" t="str">
        <f>IFERROR(__xludf.DUMMYFUNCTION("""COMPUTED_VALUE"""),"https://docs.google.com/document/d/1KAGZ2Kte4juDs-45JJ1fMdGUWL0vXPpc/edit")</f>
        <v>https://docs.google.com/document/d/1KAGZ2Kte4juDs-45JJ1fMdGUWL0vXPpc/edit</v>
      </c>
      <c r="P638" s="12">
        <f>IFERROR(__xludf.DUMMYFUNCTION("""COMPUTED_VALUE"""),7.0)</f>
        <v>7</v>
      </c>
      <c r="Q638" s="13">
        <f>IFERROR(__xludf.DUMMYFUNCTION("""COMPUTED_VALUE"""),46071.0)</f>
        <v>46071</v>
      </c>
      <c r="R638" s="13">
        <f>IFERROR(__xludf.DUMMYFUNCTION("""COMPUTED_VALUE"""),46093.0)</f>
        <v>46093</v>
      </c>
      <c r="S638" s="13">
        <f>IFERROR(__xludf.DUMMYFUNCTION("""COMPUTED_VALUE"""),46100.0)</f>
        <v>46100</v>
      </c>
      <c r="T638" s="5" t="b">
        <f>IFERROR(__xludf.DUMMYFUNCTION("""COMPUTED_VALUE"""),TRUE)</f>
        <v>1</v>
      </c>
      <c r="U638" s="5" t="str">
        <f>IFERROR(__xludf.DUMMYFUNCTION("""COMPUTED_VALUE"""),"5x3")</f>
        <v>5x3</v>
      </c>
      <c r="V638" s="5">
        <f>IFERROR(__xludf.DUMMYFUNCTION("""COMPUTED_VALUE"""),10.0)</f>
        <v>10</v>
      </c>
      <c r="W638" s="5">
        <f>IFERROR(__xludf.DUMMYFUNCTION("""COMPUTED_VALUE"""),10.0)</f>
        <v>10</v>
      </c>
      <c r="X638" s="5">
        <f>IFERROR(__xludf.DUMMYFUNCTION("""COMPUTED_VALUE"""),96.33)</f>
        <v>96.33</v>
      </c>
      <c r="Y638" s="5" t="str">
        <f>IFERROR(__xludf.DUMMYFUNCTION("""COMPUTED_VALUE"""),"Medium")</f>
        <v>Medium</v>
      </c>
      <c r="Z638" s="5">
        <f>IFERROR(__xludf.DUMMYFUNCTION("""COMPUTED_VALUE"""),12.5)</f>
        <v>12.5</v>
      </c>
      <c r="AA638" s="5">
        <f>IFERROR(__xludf.DUMMYFUNCTION("""COMPUTED_VALUE"""),950.0)</f>
        <v>950</v>
      </c>
      <c r="AB638" s="5"/>
      <c r="AC638" s="5" t="str">
        <f>IFERROR(__xludf.DUMMYFUNCTION("""COMPUTED_VALUE"""),"Scatter, Exploding Wild")</f>
        <v>Scatter, Exploding Wild</v>
      </c>
      <c r="AD638" s="5" t="str">
        <f>IFERROR(__xludf.DUMMYFUNCTION("""COMPUTED_VALUE"""),"0.10/50")</f>
        <v>0.10/50</v>
      </c>
      <c r="AE638" s="5"/>
      <c r="AF638" s="5"/>
      <c r="AG638" s="8">
        <f>IFERROR(__xludf.DUMMYFUNCTION("""COMPUTED_VALUE"""),46191.53229166667)</f>
        <v>46191.53229</v>
      </c>
      <c r="AH638" s="5"/>
      <c r="AI638" s="13"/>
      <c r="AJ638" s="5"/>
      <c r="AK638" s="5">
        <f>IFERROR(__xludf.DUMMYFUNCTION("""COMPUTED_VALUE"""),10.0)</f>
        <v>10</v>
      </c>
      <c r="AL638" s="5" t="str">
        <f>IFERROR(__xludf.DUMMYFUNCTION("""COMPUTED_VALUE"""),"No")</f>
        <v>No</v>
      </c>
      <c r="AM638" s="5" t="str">
        <f>IFERROR(__xludf.DUMMYFUNCTION("""COMPUTED_VALUE"""),"No")</f>
        <v>No</v>
      </c>
      <c r="AN638" s="7" t="str">
        <f>IFERROR(__xludf.DUMMYFUNCTION("""COMPUTED_VALUE"""),"https://static.redstone.rs/games/dice-drop-10/")</f>
        <v>https://static.redstone.rs/games/dice-drop-10/</v>
      </c>
      <c r="AO638" s="5" t="str">
        <f>IFERROR(__xludf.DUMMYFUNCTION("""COMPUTED_VALUE"""),"No")</f>
        <v>No</v>
      </c>
      <c r="AP638" s="5" t="str">
        <f>IFERROR(__xludf.DUMMYFUNCTION("""COMPUTED_VALUE"""),"No")</f>
        <v>No</v>
      </c>
      <c r="AQ638" s="5" t="b">
        <f>IFERROR(__xludf.DUMMYFUNCTION("""COMPUTED_VALUE"""),TRUE)</f>
        <v>1</v>
      </c>
      <c r="AR638" s="5"/>
      <c r="AS638" s="5" t="str">
        <f>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AT638" s="5"/>
      <c r="AU638" s="5" t="str">
        <f>IFERROR(__xludf.DUMMYFUNCTION("""COMPUTED_VALUE"""),"Redstone")</f>
        <v>Redstone</v>
      </c>
      <c r="AV638" s="5">
        <f>IFERROR(__xludf.DUMMYFUNCTION("""COMPUTED_VALUE"""),10.0)</f>
        <v>10</v>
      </c>
      <c r="AW638" s="5"/>
      <c r="AX638" s="13">
        <f>IFERROR(__xludf.DUMMYFUNCTION("""COMPUTED_VALUE"""),46063.0)</f>
        <v>46063</v>
      </c>
      <c r="AY638" s="5"/>
      <c r="AZ638" s="5"/>
      <c r="BA638" s="5"/>
      <c r="BB638" s="5" t="b">
        <f>IFERROR(__xludf.DUMMYFUNCTION("""COMPUTED_VALUE"""),TRUE)</f>
        <v>1</v>
      </c>
      <c r="BC638" s="5" t="str">
        <f>IFERROR(__xludf.DUMMYFUNCTION("""COMPUTED_VALUE"""),"Redstone")</f>
        <v>Redstone</v>
      </c>
      <c r="BD638" s="7" t="str">
        <f>IFERROR(__xludf.DUMMYFUNCTION("""COMPUTED_VALUE"""),"https://static.redstone.rs/games/dice-drop-10/")</f>
        <v>https://static.redstone.rs/games/dice-drop-10/</v>
      </c>
      <c r="BE638" s="5" t="b">
        <f>IFERROR(__xludf.DUMMYFUNCTION("""COMPUTED_VALUE"""),TRUE)</f>
        <v>1</v>
      </c>
    </row>
    <row r="639">
      <c r="A639" s="5">
        <f>IFERROR(__xludf.DUMMYFUNCTION("""COMPUTED_VALUE"""),674.0)</f>
        <v>674</v>
      </c>
      <c r="B639" s="5">
        <f>IFERROR(__xludf.DUMMYFUNCTION("""COMPUTED_VALUE"""),180064.0)</f>
        <v>180064</v>
      </c>
      <c r="C639" s="5" t="str">
        <f>IFERROR(__xludf.DUMMYFUNCTION("""COMPUTED_VALUE"""),"Redstone")</f>
        <v>Redstone</v>
      </c>
      <c r="D639" s="5" t="str">
        <f>IFERROR(__xludf.DUMMYFUNCTION("""COMPUTED_VALUE"""),"Lunar Coins")</f>
        <v>Lunar Coins</v>
      </c>
      <c r="E639" s="5" t="str">
        <f>IFERROR(__xludf.DUMMYFUNCTION("""COMPUTED_VALUE"""),"Redstone")</f>
        <v>Redstone</v>
      </c>
      <c r="F639" s="5" t="str">
        <f>IFERROR(__xludf.DUMMYFUNCTION("""COMPUTED_VALUE"""),"RedstoneLunarCoins")</f>
        <v>RedstoneLunarCoins</v>
      </c>
      <c r="G639" s="5" t="str">
        <f>IFERROR(__xludf.DUMMYFUNCTION("""COMPUTED_VALUE"""),"Planned")</f>
        <v>Planned</v>
      </c>
      <c r="H639" s="5"/>
      <c r="I639" s="5"/>
      <c r="J639" s="5"/>
      <c r="K639" s="5" t="str">
        <f>IFERROR(__xludf.DUMMYFUNCTION("""COMPUTED_VALUE"""),"Slot")</f>
        <v>Slot</v>
      </c>
      <c r="L639" s="5"/>
      <c r="M639" s="5"/>
      <c r="N639" s="5"/>
      <c r="O639" s="5"/>
      <c r="P639" s="12"/>
      <c r="Q639" s="13">
        <f>IFERROR(__xludf.DUMMYFUNCTION("""COMPUTED_VALUE"""),46071.0)</f>
        <v>46071</v>
      </c>
      <c r="R639" s="13"/>
      <c r="S639" s="13"/>
      <c r="T639" s="5" t="b">
        <f>IFERROR(__xludf.DUMMYFUNCTION("""COMPUTED_VALUE"""),FALSE)</f>
        <v>0</v>
      </c>
      <c r="U639" s="5"/>
      <c r="V639" s="5"/>
      <c r="W639" s="5"/>
      <c r="X639" s="5"/>
      <c r="Y639" s="5"/>
      <c r="Z639" s="5"/>
      <c r="AA639" s="5"/>
      <c r="AB639" s="5"/>
      <c r="AC639" s="5"/>
      <c r="AD639" s="5"/>
      <c r="AE639" s="5"/>
      <c r="AF639" s="5"/>
      <c r="AG639" s="8">
        <f>IFERROR(__xludf.DUMMYFUNCTION("""COMPUTED_VALUE"""),46065.60570601852)</f>
        <v>46065.60571</v>
      </c>
      <c r="AH639" s="5" t="str">
        <f>IFERROR(__xludf.DUMMYFUNCTION("""COMPUTED_VALUE"""),"vanja.svetska@fazi.rs")</f>
        <v>vanja.svetska@fazi.rs</v>
      </c>
      <c r="AI639" s="13"/>
      <c r="AJ639" s="5"/>
      <c r="AK639" s="5"/>
      <c r="AL639" s="5"/>
      <c r="AM639" s="5"/>
      <c r="AN639" s="5"/>
      <c r="AO639" s="5"/>
      <c r="AP639" s="5"/>
      <c r="AQ639" s="5"/>
      <c r="AR639" s="5"/>
      <c r="AS639" s="5"/>
      <c r="AT639" s="5"/>
      <c r="AU639" s="5" t="str">
        <f>IFERROR(__xludf.DUMMYFUNCTION("""COMPUTED_VALUE"""),"Redstone")</f>
        <v>Redstone</v>
      </c>
      <c r="AV639" s="5"/>
      <c r="AW639" s="5"/>
      <c r="AX639" s="13">
        <f>IFERROR(__xludf.DUMMYFUNCTION("""COMPUTED_VALUE"""),46063.0)</f>
        <v>46063</v>
      </c>
      <c r="AY639" s="5"/>
      <c r="AZ639" s="5"/>
      <c r="BA639" s="5" t="str">
        <f>IFERROR(__xludf.DUMMYFUNCTION("""COMPUTED_VALUE"""),"")</f>
        <v/>
      </c>
      <c r="BB639" s="5"/>
      <c r="BC639" s="5" t="str">
        <f>IFERROR(__xludf.DUMMYFUNCTION("""COMPUTED_VALUE"""),"Redstone")</f>
        <v>Redstone</v>
      </c>
      <c r="BD639" s="5"/>
      <c r="BE639" s="5"/>
    </row>
    <row r="640">
      <c r="A640" s="5">
        <f>IFERROR(__xludf.DUMMYFUNCTION("""COMPUTED_VALUE"""),675.0)</f>
        <v>675</v>
      </c>
      <c r="B640" s="5">
        <f>IFERROR(__xludf.DUMMYFUNCTION("""COMPUTED_VALUE"""),180058.0)</f>
        <v>180058</v>
      </c>
      <c r="C640" s="5" t="str">
        <f>IFERROR(__xludf.DUMMYFUNCTION("""COMPUTED_VALUE"""),"Redstone")</f>
        <v>Redstone</v>
      </c>
      <c r="D640" s="5" t="str">
        <f>IFERROR(__xludf.DUMMYFUNCTION("""COMPUTED_VALUE"""),"5 Clover Fire Blast")</f>
        <v>5 Clover Fire Blast</v>
      </c>
      <c r="E640" s="5" t="str">
        <f>IFERROR(__xludf.DUMMYFUNCTION("""COMPUTED_VALUE"""),"Redstone")</f>
        <v>Redstone</v>
      </c>
      <c r="F640" s="5" t="str">
        <f>IFERROR(__xludf.DUMMYFUNCTION("""COMPUTED_VALUE"""),"Redstone5CloverFireBlast")</f>
        <v>Redstone5CloverFireBlast</v>
      </c>
      <c r="G640" s="5" t="str">
        <f>IFERROR(__xludf.DUMMYFUNCTION("""COMPUTED_VALUE"""),"Live")</f>
        <v>Live</v>
      </c>
      <c r="H640" s="5"/>
      <c r="I640" s="5" t="str">
        <f>IFERROR(__xludf.DUMMYFUNCTION("""COMPUTED_VALUE"""),"Redstone")</f>
        <v>Redstone</v>
      </c>
      <c r="J640" s="5" t="str">
        <f>IFERROR(__xludf.DUMMYFUNCTION("""COMPUTED_VALUE"""),"JSON")</f>
        <v>JSON</v>
      </c>
      <c r="K640" s="5" t="str">
        <f>IFERROR(__xludf.DUMMYFUNCTION("""COMPUTED_VALUE"""),"Slot")</f>
        <v>Slot</v>
      </c>
      <c r="L640" s="5"/>
      <c r="M640" s="5"/>
      <c r="N640" s="7" t="str">
        <f>IFERROR(__xludf.DUMMYFUNCTION("""COMPUTED_VALUE"""),"https://docs.google.com/document/d/15MPHkUleag_t9MkVTHodrHsxXS-NPPKX/edit?usp=drive_link&amp;ouid=107596163405648766688&amp;rtpof=true&amp;sd=true")</f>
        <v>https://docs.google.com/document/d/15MPHkUleag_t9MkVTHodrHsxXS-NPPKX/edit?usp=drive_link&amp;ouid=107596163405648766688&amp;rtpof=true&amp;sd=true</v>
      </c>
      <c r="O640" s="7" t="str">
        <f>IFERROR(__xludf.DUMMYFUNCTION("""COMPUTED_VALUE"""),"https://docs.google.com/document/d/1Y3nrs5qSX7m9lwvMLRGFOXAuc7bRaS3m/edit?usp=drive_link&amp;ouid=107596163405648766688&amp;rtpof=true&amp;sd=true")</f>
        <v>https://docs.google.com/document/d/1Y3nrs5qSX7m9lwvMLRGFOXAuc7bRaS3m/edit?usp=drive_link&amp;ouid=107596163405648766688&amp;rtpof=true&amp;sd=true</v>
      </c>
      <c r="P640" s="12">
        <f>IFERROR(__xludf.DUMMYFUNCTION("""COMPUTED_VALUE"""),8.3)</f>
        <v>8.3</v>
      </c>
      <c r="Q640" s="13">
        <f>IFERROR(__xludf.DUMMYFUNCTION("""COMPUTED_VALUE"""),46055.0)</f>
        <v>46055</v>
      </c>
      <c r="R640" s="13">
        <f>IFERROR(__xludf.DUMMYFUNCTION("""COMPUTED_VALUE"""),46104.0)</f>
        <v>46104</v>
      </c>
      <c r="S640" s="13">
        <f>IFERROR(__xludf.DUMMYFUNCTION("""COMPUTED_VALUE"""),46111.0)</f>
        <v>46111</v>
      </c>
      <c r="T640" s="5" t="b">
        <f>IFERROR(__xludf.DUMMYFUNCTION("""COMPUTED_VALUE"""),TRUE)</f>
        <v>1</v>
      </c>
      <c r="U640" s="5" t="str">
        <f>IFERROR(__xludf.DUMMYFUNCTION("""COMPUTED_VALUE"""),"5x3")</f>
        <v>5x3</v>
      </c>
      <c r="V640" s="5">
        <f>IFERROR(__xludf.DUMMYFUNCTION("""COMPUTED_VALUE"""),5.0)</f>
        <v>5</v>
      </c>
      <c r="W640" s="5">
        <f>IFERROR(__xludf.DUMMYFUNCTION("""COMPUTED_VALUE"""),5.0)</f>
        <v>5</v>
      </c>
      <c r="X640" s="5">
        <f>IFERROR(__xludf.DUMMYFUNCTION("""COMPUTED_VALUE"""),96.17)</f>
        <v>96.17</v>
      </c>
      <c r="Y640" s="5" t="str">
        <f>IFERROR(__xludf.DUMMYFUNCTION("""COMPUTED_VALUE"""),"Medium")</f>
        <v>Medium</v>
      </c>
      <c r="Z640" s="5">
        <f>IFERROR(__xludf.DUMMYFUNCTION("""COMPUTED_VALUE"""),9.8)</f>
        <v>9.8</v>
      </c>
      <c r="AA640" s="5">
        <f>IFERROR(__xludf.DUMMYFUNCTION("""COMPUTED_VALUE"""),950.0)</f>
        <v>950</v>
      </c>
      <c r="AB640" s="5"/>
      <c r="AC640" s="5" t="str">
        <f>IFERROR(__xludf.DUMMYFUNCTION("""COMPUTED_VALUE"""),"Expanding Wild, Scatter")</f>
        <v>Expanding Wild, Scatter</v>
      </c>
      <c r="AD640" s="5" t="str">
        <f>IFERROR(__xludf.DUMMYFUNCTION("""COMPUTED_VALUE"""),"0.10/50")</f>
        <v>0.10/50</v>
      </c>
      <c r="AE640" s="5"/>
      <c r="AF640" s="5"/>
      <c r="AG640" s="8">
        <f>IFERROR(__xludf.DUMMYFUNCTION("""COMPUTED_VALUE"""),46212.56523148148)</f>
        <v>46212.56523</v>
      </c>
      <c r="AH640" s="5" t="str">
        <f>IFERROR(__xludf.DUMMYFUNCTION("""COMPUTED_VALUE"""),"selena.mihajlovic@fazi.rs")</f>
        <v>selena.mihajlovic@fazi.rs</v>
      </c>
      <c r="AI640" s="13">
        <f>IFERROR(__xludf.DUMMYFUNCTION("""COMPUTED_VALUE"""),46082.0)</f>
        <v>46082</v>
      </c>
      <c r="AJ640" s="5" t="str">
        <f>IFERROR(__xludf.DUMMYFUNCTION("""COMPUTED_VALUE"""),"01.03. Koralplay (AFR)
01.03. Volcano (MNE)")</f>
        <v>01.03. Koralplay (AFR)
01.03. Volcano (MNE)</v>
      </c>
      <c r="AK640" s="5">
        <f>IFERROR(__xludf.DUMMYFUNCTION("""COMPUTED_VALUE"""),1.0)</f>
        <v>1</v>
      </c>
      <c r="AL640" s="5" t="str">
        <f>IFERROR(__xludf.DUMMYFUNCTION("""COMPUTED_VALUE"""),"No")</f>
        <v>No</v>
      </c>
      <c r="AM640" s="5" t="str">
        <f>IFERROR(__xludf.DUMMYFUNCTION("""COMPUTED_VALUE"""),"No")</f>
        <v>No</v>
      </c>
      <c r="AN640" s="7" t="str">
        <f>IFERROR(__xludf.DUMMYFUNCTION("""COMPUTED_VALUE"""),"https://static.redstone.rs/games/5-clover-fire-blast/")</f>
        <v>https://static.redstone.rs/games/5-clover-fire-blast/</v>
      </c>
      <c r="AO640" s="5" t="str">
        <f>IFERROR(__xludf.DUMMYFUNCTION("""COMPUTED_VALUE"""),"No")</f>
        <v>No</v>
      </c>
      <c r="AP640" s="5" t="str">
        <f>IFERROR(__xludf.DUMMYFUNCTION("""COMPUTED_VALUE"""),"No")</f>
        <v>No</v>
      </c>
      <c r="AQ640" s="5" t="b">
        <f>IFERROR(__xludf.DUMMYFUNCTION("""COMPUTED_VALUE"""),TRUE)</f>
        <v>1</v>
      </c>
      <c r="AR640" s="5"/>
      <c r="AS640" s="5" t="str">
        <f>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AT640" s="5"/>
      <c r="AU640" s="5" t="str">
        <f>IFERROR(__xludf.DUMMYFUNCTION("""COMPUTED_VALUE"""),"Redstone")</f>
        <v>Redstone</v>
      </c>
      <c r="AV640" s="5"/>
      <c r="AW640" s="5"/>
      <c r="AX640" s="13">
        <f>IFERROR(__xludf.DUMMYFUNCTION("""COMPUTED_VALUE"""),46049.0)</f>
        <v>46049</v>
      </c>
      <c r="AY640" s="5"/>
      <c r="AZ640" s="5"/>
      <c r="BA640" s="5"/>
      <c r="BB640" s="5" t="b">
        <f>IFERROR(__xludf.DUMMYFUNCTION("""COMPUTED_VALUE"""),TRUE)</f>
        <v>1</v>
      </c>
      <c r="BC640" s="5" t="str">
        <f>IFERROR(__xludf.DUMMYFUNCTION("""COMPUTED_VALUE"""),"Redstone")</f>
        <v>Redstone</v>
      </c>
      <c r="BD640" s="7" t="str">
        <f>IFERROR(__xludf.DUMMYFUNCTION("""COMPUTED_VALUE"""),"https://static.redstone.rs/games/5-clover-fire-blast/")</f>
        <v>https://static.redstone.rs/games/5-clover-fire-blast/</v>
      </c>
      <c r="BE640" s="5" t="b">
        <f>IFERROR(__xludf.DUMMYFUNCTION("""COMPUTED_VALUE"""),TRUE)</f>
        <v>1</v>
      </c>
    </row>
    <row r="641">
      <c r="A641" s="5">
        <f>IFERROR(__xludf.DUMMYFUNCTION("""COMPUTED_VALUE"""),676.0)</f>
        <v>676</v>
      </c>
      <c r="B641" s="5">
        <f>IFERROR(__xludf.DUMMYFUNCTION("""COMPUTED_VALUE"""),531.0)</f>
        <v>531</v>
      </c>
      <c r="C641" s="5" t="str">
        <f>IFERROR(__xludf.DUMMYFUNCTION("""COMPUTED_VALUE"""),"Playnet")</f>
        <v>Playnet</v>
      </c>
      <c r="D641" s="5" t="str">
        <f>IFERROR(__xludf.DUMMYFUNCTION("""COMPUTED_VALUE"""),"Majestic Crown Easter")</f>
        <v>Majestic Crown Easter</v>
      </c>
      <c r="E641" s="5" t="str">
        <f>IFERROR(__xludf.DUMMYFUNCTION("""COMPUTED_VALUE"""),"Sertifikacioni")</f>
        <v>Sertifikacioni</v>
      </c>
      <c r="F641" s="5" t="str">
        <f>IFERROR(__xludf.DUMMYFUNCTION("""COMPUTED_VALUE"""),"PlayNetMajesticCrownEaster")</f>
        <v>PlayNetMajesticCrownEaster</v>
      </c>
      <c r="G641" s="5" t="str">
        <f>IFERROR(__xludf.DUMMYFUNCTION("""COMPUTED_VALUE"""),"Live")</f>
        <v>Live</v>
      </c>
      <c r="H641" s="5"/>
      <c r="I641" s="5"/>
      <c r="J641" s="5" t="str">
        <f>IFERROR(__xludf.DUMMYFUNCTION("""COMPUTED_VALUE"""),"JSON")</f>
        <v>JSON</v>
      </c>
      <c r="K641" s="5" t="str">
        <f>IFERROR(__xludf.DUMMYFUNCTION("""COMPUTED_VALUE"""),"Slot")</f>
        <v>Slot</v>
      </c>
      <c r="L641" s="5" t="str">
        <f>IFERROR(__xludf.DUMMYFUNCTION("""COMPUTED_VALUE""")," Clone")</f>
        <v> Clone</v>
      </c>
      <c r="M641" s="5" t="str">
        <f>IFERROR(__xludf.DUMMYFUNCTION("""COMPUTED_VALUE"""),"Majestic Crown x2")</f>
        <v>Majestic Crown x2</v>
      </c>
      <c r="N641" s="5"/>
      <c r="O641" s="5"/>
      <c r="P641" s="12">
        <f>IFERROR(__xludf.DUMMYFUNCTION("""COMPUTED_VALUE"""),15.0)</f>
        <v>15</v>
      </c>
      <c r="Q641" s="13">
        <f>IFERROR(__xludf.DUMMYFUNCTION("""COMPUTED_VALUE"""),46083.0)</f>
        <v>46083</v>
      </c>
      <c r="R641" s="13">
        <f>IFERROR(__xludf.DUMMYFUNCTION("""COMPUTED_VALUE"""),46090.0)</f>
        <v>46090</v>
      </c>
      <c r="S641" s="13">
        <f>IFERROR(__xludf.DUMMYFUNCTION("""COMPUTED_VALUE"""),46097.0)</f>
        <v>46097</v>
      </c>
      <c r="T641" s="5" t="b">
        <f>IFERROR(__xludf.DUMMYFUNCTION("""COMPUTED_VALUE"""),TRUE)</f>
        <v>1</v>
      </c>
      <c r="U641" s="5" t="str">
        <f>IFERROR(__xludf.DUMMYFUNCTION("""COMPUTED_VALUE"""),"5x3")</f>
        <v>5x3</v>
      </c>
      <c r="V641" s="5">
        <f>IFERROR(__xludf.DUMMYFUNCTION("""COMPUTED_VALUE"""),5.0)</f>
        <v>5</v>
      </c>
      <c r="W641" s="5">
        <f>IFERROR(__xludf.DUMMYFUNCTION("""COMPUTED_VALUE"""),5.0)</f>
        <v>5</v>
      </c>
      <c r="X641" s="5">
        <f>IFERROR(__xludf.DUMMYFUNCTION("""COMPUTED_VALUE"""),96.453)</f>
        <v>96.453</v>
      </c>
      <c r="Y641" s="5" t="str">
        <f>IFERROR(__xludf.DUMMYFUNCTION("""COMPUTED_VALUE"""),"Medium")</f>
        <v>Medium</v>
      </c>
      <c r="Z641" s="5">
        <f>IFERROR(__xludf.DUMMYFUNCTION("""COMPUTED_VALUE"""),14.234)</f>
        <v>14.234</v>
      </c>
      <c r="AA641" s="5">
        <f>IFERROR(__xludf.DUMMYFUNCTION("""COMPUTED_VALUE"""),2624.0)</f>
        <v>2624</v>
      </c>
      <c r="AB641" s="5"/>
      <c r="AC641" s="5" t="str">
        <f>IFERROR(__xludf.DUMMYFUNCTION("""COMPUTED_VALUE"""),"Scatter, Expanding Wild, Wild Multiplier")</f>
        <v>Scatter, Expanding Wild, Wild Multiplier</v>
      </c>
      <c r="AD641" s="5" t="str">
        <f>IFERROR(__xludf.DUMMYFUNCTION("""COMPUTED_VALUE"""),"0.05/30")</f>
        <v>0.05/30</v>
      </c>
      <c r="AE641" s="5"/>
      <c r="AF641" s="5"/>
      <c r="AG641" s="8">
        <f>IFERROR(__xludf.DUMMYFUNCTION("""COMPUTED_VALUE"""),46220.50712962963)</f>
        <v>46220.50713</v>
      </c>
      <c r="AH641" s="5" t="str">
        <f>IFERROR(__xludf.DUMMYFUNCTION("""COMPUTED_VALUE"""),"selena.mihajlovic@fazi.rs")</f>
        <v>selena.mihajlovic@fazi.rs</v>
      </c>
      <c r="AI641" s="13"/>
      <c r="AJ641" s="5"/>
      <c r="AK641" s="5"/>
      <c r="AL641" s="5" t="str">
        <f>IFERROR(__xludf.DUMMYFUNCTION("""COMPUTED_VALUE"""),"No")</f>
        <v>No</v>
      </c>
      <c r="AM641" s="5" t="str">
        <f>IFERROR(__xludf.DUMMYFUNCTION("""COMPUTED_VALUE"""),"No")</f>
        <v>No</v>
      </c>
      <c r="AN641" s="7" t="str">
        <f>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AO641" s="5" t="str">
        <f>IFERROR(__xludf.DUMMYFUNCTION("""COMPUTED_VALUE"""),"No")</f>
        <v>No</v>
      </c>
      <c r="AP641" s="5" t="str">
        <f>IFERROR(__xludf.DUMMYFUNCTION("""COMPUTED_VALUE"""),"No")</f>
        <v>No</v>
      </c>
      <c r="AQ641" s="5" t="b">
        <f>IFERROR(__xludf.DUMMYFUNCTION("""COMPUTED_VALUE"""),TRUE)</f>
        <v>1</v>
      </c>
      <c r="AR641" s="5"/>
      <c r="AS641" s="5" t="str">
        <f>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AT641" s="5"/>
      <c r="AU641" s="5" t="str">
        <f>IFERROR(__xludf.DUMMYFUNCTION("""COMPUTED_VALUE"""),"Fazi")</f>
        <v>Fazi</v>
      </c>
      <c r="AV641" s="5"/>
      <c r="AW641" s="5"/>
      <c r="AX641" s="13">
        <f>IFERROR(__xludf.DUMMYFUNCTION("""COMPUTED_VALUE"""),46077.0)</f>
        <v>46077</v>
      </c>
      <c r="AY641" s="5"/>
      <c r="AZ641" s="5"/>
      <c r="BA641" s="5"/>
      <c r="BB641" s="5" t="b">
        <f>IFERROR(__xludf.DUMMYFUNCTION("""COMPUTED_VALUE"""),TRUE)</f>
        <v>1</v>
      </c>
      <c r="BC641" s="5" t="str">
        <f>IFERROR(__xludf.DUMMYFUNCTION("""COMPUTED_VALUE"""),"Playnet")</f>
        <v>Playnet</v>
      </c>
      <c r="BD641" s="7" t="str">
        <f>IFERROR(__xludf.DUMMYFUNCTION("""COMPUTED_VALUE"""),"https://gameserver-store-client-area.orbionlimited.com/Home/IntegrationGameLaunch/client-area?moneyType=0&amp;gameName=PlayNetMajesticCrownEaster&amp;platform=desktop&amp;languageCode=eng&amp;currency=EUR")</f>
        <v>https://gameserver-store-client-area.orbionlimited.com/Home/IntegrationGameLaunch/client-area?moneyType=0&amp;gameName=PlayNetMajesticCrownEaster&amp;platform=desktop&amp;languageCode=eng&amp;currency=EUR</v>
      </c>
      <c r="BE641" s="5" t="b">
        <f>IFERROR(__xludf.DUMMYFUNCTION("""COMPUTED_VALUE"""),TRUE)</f>
        <v>1</v>
      </c>
    </row>
    <row r="642">
      <c r="A642" s="5">
        <f>IFERROR(__xludf.DUMMYFUNCTION("""COMPUTED_VALUE"""),677.0)</f>
        <v>677</v>
      </c>
      <c r="B642" s="5">
        <f>IFERROR(__xludf.DUMMYFUNCTION("""COMPUTED_VALUE"""),532.0)</f>
        <v>532</v>
      </c>
      <c r="C642" s="5" t="str">
        <f>IFERROR(__xludf.DUMMYFUNCTION("""COMPUTED_VALUE"""),"Playnet")</f>
        <v>Playnet</v>
      </c>
      <c r="D642" s="5" t="str">
        <f>IFERROR(__xludf.DUMMYFUNCTION("""COMPUTED_VALUE"""),"Tropic Twist")</f>
        <v>Tropic Twist</v>
      </c>
      <c r="E642" s="5" t="str">
        <f>IFERROR(__xludf.DUMMYFUNCTION("""COMPUTED_VALUE"""),"Sertifikacioni")</f>
        <v>Sertifikacioni</v>
      </c>
      <c r="F642" s="5" t="str">
        <f>IFERROR(__xludf.DUMMYFUNCTION("""COMPUTED_VALUE"""),"PlayNetTropicTwist")</f>
        <v>PlayNetTropicTwist</v>
      </c>
      <c r="G642" s="5" t="str">
        <f>IFERROR(__xludf.DUMMYFUNCTION("""COMPUTED_VALUE"""),"Live")</f>
        <v>Live</v>
      </c>
      <c r="H642" s="5"/>
      <c r="I642" s="5"/>
      <c r="J642" s="5" t="str">
        <f>IFERROR(__xludf.DUMMYFUNCTION("""COMPUTED_VALUE"""),"JSON")</f>
        <v>JSON</v>
      </c>
      <c r="K642" s="5" t="str">
        <f>IFERROR(__xludf.DUMMYFUNCTION("""COMPUTED_VALUE"""),"Slot")</f>
        <v>Slot</v>
      </c>
      <c r="L642" s="5" t="str">
        <f>IFERROR(__xludf.DUMMYFUNCTION("""COMPUTED_VALUE""")," Clone")</f>
        <v> Clone</v>
      </c>
      <c r="M642" s="5" t="str">
        <f>IFERROR(__xludf.DUMMYFUNCTION("""COMPUTED_VALUE"""),"Wild 27")</f>
        <v>Wild 27</v>
      </c>
      <c r="N642" s="5"/>
      <c r="O642" s="5"/>
      <c r="P642" s="12">
        <f>IFERROR(__xludf.DUMMYFUNCTION("""COMPUTED_VALUE"""),7.2)</f>
        <v>7.2</v>
      </c>
      <c r="Q642" s="13">
        <f>IFERROR(__xludf.DUMMYFUNCTION("""COMPUTED_VALUE"""),46097.0)</f>
        <v>46097</v>
      </c>
      <c r="R642" s="13">
        <f>IFERROR(__xludf.DUMMYFUNCTION("""COMPUTED_VALUE"""),46098.0)</f>
        <v>46098</v>
      </c>
      <c r="S642" s="13">
        <f>IFERROR(__xludf.DUMMYFUNCTION("""COMPUTED_VALUE"""),46105.0)</f>
        <v>46105</v>
      </c>
      <c r="T642" s="5" t="b">
        <f>IFERROR(__xludf.DUMMYFUNCTION("""COMPUTED_VALUE"""),TRUE)</f>
        <v>1</v>
      </c>
      <c r="U642" s="5" t="str">
        <f>IFERROR(__xludf.DUMMYFUNCTION("""COMPUTED_VALUE"""),"3x3")</f>
        <v>3x3</v>
      </c>
      <c r="V642" s="5">
        <f>IFERROR(__xludf.DUMMYFUNCTION("""COMPUTED_VALUE"""),27.0)</f>
        <v>27</v>
      </c>
      <c r="W642" s="5">
        <f>IFERROR(__xludf.DUMMYFUNCTION("""COMPUTED_VALUE"""),27.0)</f>
        <v>27</v>
      </c>
      <c r="X642" s="5">
        <f>IFERROR(__xludf.DUMMYFUNCTION("""COMPUTED_VALUE"""),96.24)</f>
        <v>96.24</v>
      </c>
      <c r="Y642" s="5" t="str">
        <f>IFERROR(__xludf.DUMMYFUNCTION("""COMPUTED_VALUE"""),"Low")</f>
        <v>Low</v>
      </c>
      <c r="Z642" s="5">
        <f>IFERROR(__xludf.DUMMYFUNCTION("""COMPUTED_VALUE"""),6.58)</f>
        <v>6.58</v>
      </c>
      <c r="AA642" s="5">
        <f>IFERROR(__xludf.DUMMYFUNCTION("""COMPUTED_VALUE"""),108.0)</f>
        <v>108</v>
      </c>
      <c r="AB642" s="5"/>
      <c r="AC642" s="5" t="str">
        <f>IFERROR(__xludf.DUMMYFUNCTION("""COMPUTED_VALUE"""),"Win Multiplier")</f>
        <v>Win Multiplier</v>
      </c>
      <c r="AD642" s="5" t="str">
        <f>IFERROR(__xludf.DUMMYFUNCTION("""COMPUTED_VALUE"""),"0.01/50")</f>
        <v>0.01/50</v>
      </c>
      <c r="AE642" s="5"/>
      <c r="AF642" s="5"/>
      <c r="AG642" s="8">
        <f>IFERROR(__xludf.DUMMYFUNCTION("""COMPUTED_VALUE"""),46220.507268518515)</f>
        <v>46220.50727</v>
      </c>
      <c r="AH642" s="5" t="str">
        <f>IFERROR(__xludf.DUMMYFUNCTION("""COMPUTED_VALUE"""),"selena.mihajlovic@fazi.rs")</f>
        <v>selena.mihajlovic@fazi.rs</v>
      </c>
      <c r="AI642" s="13"/>
      <c r="AJ642" s="5"/>
      <c r="AK642" s="5">
        <f>IFERROR(__xludf.DUMMYFUNCTION("""COMPUTED_VALUE"""),1.0)</f>
        <v>1</v>
      </c>
      <c r="AL642" s="5" t="str">
        <f>IFERROR(__xludf.DUMMYFUNCTION("""COMPUTED_VALUE"""),"No")</f>
        <v>No</v>
      </c>
      <c r="AM642" s="5" t="str">
        <f>IFERROR(__xludf.DUMMYFUNCTION("""COMPUTED_VALUE"""),"No")</f>
        <v>No</v>
      </c>
      <c r="AN642" s="7" t="str">
        <f>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AO642" s="5" t="str">
        <f>IFERROR(__xludf.DUMMYFUNCTION("""COMPUTED_VALUE"""),"No")</f>
        <v>No</v>
      </c>
      <c r="AP642" s="5" t="str">
        <f>IFERROR(__xludf.DUMMYFUNCTION("""COMPUTED_VALUE"""),"No")</f>
        <v>No</v>
      </c>
      <c r="AQ642" s="5" t="b">
        <f>IFERROR(__xludf.DUMMYFUNCTION("""COMPUTED_VALUE"""),TRUE)</f>
        <v>1</v>
      </c>
      <c r="AR642" s="5"/>
      <c r="AS642" s="5" t="str">
        <f>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AT642" s="5" t="str">
        <f>IFERROR(__xludf.DUMMYFUNCTION("""COMPUTED_VALUE"""),"No")</f>
        <v>No</v>
      </c>
      <c r="AU642" s="5" t="str">
        <f>IFERROR(__xludf.DUMMYFUNCTION("""COMPUTED_VALUE"""),"Fazi")</f>
        <v>Fazi</v>
      </c>
      <c r="AV642" s="5">
        <f>IFERROR(__xludf.DUMMYFUNCTION("""COMPUTED_VALUE"""),1.0)</f>
        <v>1</v>
      </c>
      <c r="AW642" s="5"/>
      <c r="AX642" s="13">
        <f>IFERROR(__xludf.DUMMYFUNCTION("""COMPUTED_VALUE"""),46091.0)</f>
        <v>46091</v>
      </c>
      <c r="AY642" s="5"/>
      <c r="AZ642" s="5"/>
      <c r="BA642" s="5"/>
      <c r="BB642" s="5" t="b">
        <f>IFERROR(__xludf.DUMMYFUNCTION("""COMPUTED_VALUE"""),TRUE)</f>
        <v>1</v>
      </c>
      <c r="BC642" s="5" t="str">
        <f>IFERROR(__xludf.DUMMYFUNCTION("""COMPUTED_VALUE"""),"Playnet")</f>
        <v>Playnet</v>
      </c>
      <c r="BD642" s="7" t="str">
        <f>IFERROR(__xludf.DUMMYFUNCTION("""COMPUTED_VALUE"""),"https://gameserver-store-client-area.orbionlimited.com/Home/IntegrationGameLaunch/client-area?moneyType=0&amp;gameName=PlayNetTropicTwist&amp;platform=desktop&amp;languageCode=eng&amp;currency=EUR")</f>
        <v>https://gameserver-store-client-area.orbionlimited.com/Home/IntegrationGameLaunch/client-area?moneyType=0&amp;gameName=PlayNetTropicTwist&amp;platform=desktop&amp;languageCode=eng&amp;currency=EUR</v>
      </c>
      <c r="BE642" s="5" t="b">
        <f>IFERROR(__xludf.DUMMYFUNCTION("""COMPUTED_VALUE"""),TRUE)</f>
        <v>1</v>
      </c>
    </row>
    <row r="643">
      <c r="A643" s="5">
        <f>IFERROR(__xludf.DUMMYFUNCTION("""COMPUTED_VALUE"""),678.0)</f>
        <v>678</v>
      </c>
      <c r="B643" s="5">
        <f>IFERROR(__xludf.DUMMYFUNCTION("""COMPUTED_VALUE"""),4000002.0)</f>
        <v>4000002</v>
      </c>
      <c r="C643" s="5" t="str">
        <f>IFERROR(__xludf.DUMMYFUNCTION("""COMPUTED_VALUE"""),"Tiptop")</f>
        <v>Tiptop</v>
      </c>
      <c r="D643" s="5" t="str">
        <f>IFERROR(__xludf.DUMMYFUNCTION("""COMPUTED_VALUE"""),"Super Dice Runner")</f>
        <v>Super Dice Runner</v>
      </c>
      <c r="E643" s="5" t="str">
        <f>IFERROR(__xludf.DUMMYFUNCTION("""COMPUTED_VALUE"""),"TipTop")</f>
        <v>TipTop</v>
      </c>
      <c r="F643" s="5" t="str">
        <f>IFERROR(__xludf.DUMMYFUNCTION("""COMPUTED_VALUE"""),"UnicornSuperDiceRunner")</f>
        <v>UnicornSuperDiceRunner</v>
      </c>
      <c r="G643" s="5" t="str">
        <f>IFERROR(__xludf.DUMMYFUNCTION("""COMPUTED_VALUE"""),"Live")</f>
        <v>Live</v>
      </c>
      <c r="H643" s="5"/>
      <c r="I643" s="5"/>
      <c r="J643" s="5"/>
      <c r="K643" s="5" t="str">
        <f>IFERROR(__xludf.DUMMYFUNCTION("""COMPUTED_VALUE"""),"Dice Slots")</f>
        <v>Dice Slots</v>
      </c>
      <c r="L643" s="5" t="str">
        <f>IFERROR(__xludf.DUMMYFUNCTION("""COMPUTED_VALUE""")," Clone")</f>
        <v> Clone</v>
      </c>
      <c r="M643" s="5" t="str">
        <f>IFERROR(__xludf.DUMMYFUNCTION("""COMPUTED_VALUE"""),"Super High Runner")</f>
        <v>Super High Runner</v>
      </c>
      <c r="N643" s="5"/>
      <c r="O643" s="5"/>
      <c r="P643" s="12">
        <f>IFERROR(__xludf.DUMMYFUNCTION("""COMPUTED_VALUE"""),10.9)</f>
        <v>10.9</v>
      </c>
      <c r="Q643" s="13">
        <f>IFERROR(__xludf.DUMMYFUNCTION("""COMPUTED_VALUE"""),46041.0)</f>
        <v>46041</v>
      </c>
      <c r="R643" s="13">
        <f>IFERROR(__xludf.DUMMYFUNCTION("""COMPUTED_VALUE"""),46085.0)</f>
        <v>46085</v>
      </c>
      <c r="S643" s="13">
        <f>IFERROR(__xludf.DUMMYFUNCTION("""COMPUTED_VALUE"""),46092.0)</f>
        <v>46092</v>
      </c>
      <c r="T643" s="5" t="b">
        <f>IFERROR(__xludf.DUMMYFUNCTION("""COMPUTED_VALUE"""),TRUE)</f>
        <v>1</v>
      </c>
      <c r="U643" s="5" t="str">
        <f>IFERROR(__xludf.DUMMYFUNCTION("""COMPUTED_VALUE"""),"5X3")</f>
        <v>5X3</v>
      </c>
      <c r="V643" s="5">
        <f>IFERROR(__xludf.DUMMYFUNCTION("""COMPUTED_VALUE"""),5.0)</f>
        <v>5</v>
      </c>
      <c r="W643" s="5">
        <f>IFERROR(__xludf.DUMMYFUNCTION("""COMPUTED_VALUE"""),5.0)</f>
        <v>5</v>
      </c>
      <c r="X643" s="5">
        <f>IFERROR(__xludf.DUMMYFUNCTION("""COMPUTED_VALUE"""),96.0)</f>
        <v>96</v>
      </c>
      <c r="Y643" s="5" t="str">
        <f>IFERROR(__xludf.DUMMYFUNCTION("""COMPUTED_VALUE"""),"Low")</f>
        <v>Low</v>
      </c>
      <c r="Z643" s="5">
        <f>IFERROR(__xludf.DUMMYFUNCTION("""COMPUTED_VALUE"""),10.9)</f>
        <v>10.9</v>
      </c>
      <c r="AA643" s="5">
        <f>IFERROR(__xludf.DUMMYFUNCTION("""COMPUTED_VALUE"""),1030.0)</f>
        <v>1030</v>
      </c>
      <c r="AB643" s="5"/>
      <c r="AC643" s="5"/>
      <c r="AD643" s="5" t="str">
        <f>IFERROR(__xludf.DUMMYFUNCTION("""COMPUTED_VALUE"""),"0.05/100")</f>
        <v>0.05/100</v>
      </c>
      <c r="AE643" s="5"/>
      <c r="AF643" s="5"/>
      <c r="AG643" s="8">
        <f>IFERROR(__xludf.DUMMYFUNCTION("""COMPUTED_VALUE"""),46197.50449074074)</f>
        <v>46197.50449</v>
      </c>
      <c r="AH643" s="5" t="str">
        <f>IFERROR(__xludf.DUMMYFUNCTION("""COMPUTED_VALUE"""),"selena.mihajlovic@fazi.rs")</f>
        <v>selena.mihajlovic@fazi.rs</v>
      </c>
      <c r="AI643" s="13"/>
      <c r="AJ643" s="5"/>
      <c r="AK643" s="5">
        <f>IFERROR(__xludf.DUMMYFUNCTION("""COMPUTED_VALUE"""),5.0)</f>
        <v>5</v>
      </c>
      <c r="AL643" s="5" t="str">
        <f>IFERROR(__xludf.DUMMYFUNCTION("""COMPUTED_VALUE"""),"No")</f>
        <v>No</v>
      </c>
      <c r="AM643" s="5"/>
      <c r="AN643" s="7" t="str">
        <f>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AO643" s="5"/>
      <c r="AP643" s="5"/>
      <c r="AQ643" s="5" t="b">
        <f>IFERROR(__xludf.DUMMYFUNCTION("""COMPUTED_VALUE"""),TRUE)</f>
        <v>1</v>
      </c>
      <c r="AR643" s="5"/>
      <c r="AS643" s="5" t="str">
        <f>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AT643" s="5"/>
      <c r="AU643" s="5" t="str">
        <f>IFERROR(__xludf.DUMMYFUNCTION("""COMPUTED_VALUE"""),"Tiptop")</f>
        <v>Tiptop</v>
      </c>
      <c r="AV643" s="5"/>
      <c r="AW643" s="5"/>
      <c r="AX643" s="13">
        <f>IFERROR(__xludf.DUMMYFUNCTION("""COMPUTED_VALUE"""),46035.0)</f>
        <v>46035</v>
      </c>
      <c r="AY643" s="5"/>
      <c r="AZ643" s="5"/>
      <c r="BA643" s="5"/>
      <c r="BB643" s="5" t="b">
        <f>IFERROR(__xludf.DUMMYFUNCTION("""COMPUTED_VALUE"""),TRUE)</f>
        <v>1</v>
      </c>
      <c r="BC643" s="5" t="str">
        <f>IFERROR(__xludf.DUMMYFUNCTION("""COMPUTED_VALUE"""),"Tiptop")</f>
        <v>Tiptop</v>
      </c>
      <c r="BD643" s="7" t="str">
        <f>IFERROR(__xludf.DUMMYFUNCTION("""COMPUTED_VALUE"""),"https://gameserver-store-client-area.orbionlimited.com/Home/IntegrationGameLaunch/client-area?moneyType=0&amp;gameName=UnicornSuperDiceRunner&amp;platform=desktop&amp;languageCode=eng&amp;currency=EUR")</f>
        <v>https://gameserver-store-client-area.orbionlimited.com/Home/IntegrationGameLaunch/client-area?moneyType=0&amp;gameName=UnicornSuperDiceRunner&amp;platform=desktop&amp;languageCode=eng&amp;currency=EUR</v>
      </c>
      <c r="BE643" s="5" t="b">
        <f>IFERROR(__xludf.DUMMYFUNCTION("""COMPUTED_VALUE"""),TRUE)</f>
        <v>1</v>
      </c>
    </row>
    <row r="644">
      <c r="A644" s="5">
        <f>IFERROR(__xludf.DUMMYFUNCTION("""COMPUTED_VALUE"""),679.0)</f>
        <v>679</v>
      </c>
      <c r="B644" s="5">
        <f>IFERROR(__xludf.DUMMYFUNCTION("""COMPUTED_VALUE"""),4000003.0)</f>
        <v>4000003</v>
      </c>
      <c r="C644" s="5" t="str">
        <f>IFERROR(__xludf.DUMMYFUNCTION("""COMPUTED_VALUE"""),"Tiptop")</f>
        <v>Tiptop</v>
      </c>
      <c r="D644" s="5" t="str">
        <f>IFERROR(__xludf.DUMMYFUNCTION("""COMPUTED_VALUE"""),"Lucky Ginger")</f>
        <v>Lucky Ginger</v>
      </c>
      <c r="E644" s="5" t="str">
        <f>IFERROR(__xludf.DUMMYFUNCTION("""COMPUTED_VALUE"""),"TipTop")</f>
        <v>TipTop</v>
      </c>
      <c r="F644" s="5" t="str">
        <f>IFERROR(__xludf.DUMMYFUNCTION("""COMPUTED_VALUE"""),"UnicornLuckyGinger")</f>
        <v>UnicornLuckyGinger</v>
      </c>
      <c r="G644" s="5" t="str">
        <f>IFERROR(__xludf.DUMMYFUNCTION("""COMPUTED_VALUE"""),"Live")</f>
        <v>Live</v>
      </c>
      <c r="H644" s="5"/>
      <c r="I644" s="5"/>
      <c r="J644" s="5"/>
      <c r="K644" s="5" t="str">
        <f>IFERROR(__xludf.DUMMYFUNCTION("""COMPUTED_VALUE"""),"Slot")</f>
        <v>Slot</v>
      </c>
      <c r="L644" s="5" t="str">
        <f>IFERROR(__xludf.DUMMYFUNCTION("""COMPUTED_VALUE""")," Clone")</f>
        <v> Clone</v>
      </c>
      <c r="M644" s="5" t="str">
        <f>IFERROR(__xludf.DUMMYFUNCTION("""COMPUTED_VALUE"""),"The Kings Halloween")</f>
        <v>The Kings Halloween</v>
      </c>
      <c r="N644" s="5"/>
      <c r="O644" s="5"/>
      <c r="P644" s="12">
        <f>IFERROR(__xludf.DUMMYFUNCTION("""COMPUTED_VALUE"""),10.9)</f>
        <v>10.9</v>
      </c>
      <c r="Q644" s="13">
        <f>IFERROR(__xludf.DUMMYFUNCTION("""COMPUTED_VALUE"""),46041.0)</f>
        <v>46041</v>
      </c>
      <c r="R644" s="13">
        <f>IFERROR(__xludf.DUMMYFUNCTION("""COMPUTED_VALUE"""),46078.0)</f>
        <v>46078</v>
      </c>
      <c r="S644" s="13">
        <f>IFERROR(__xludf.DUMMYFUNCTION("""COMPUTED_VALUE"""),46085.0)</f>
        <v>46085</v>
      </c>
      <c r="T644" s="5" t="b">
        <f>IFERROR(__xludf.DUMMYFUNCTION("""COMPUTED_VALUE"""),TRUE)</f>
        <v>1</v>
      </c>
      <c r="U644" s="5" t="str">
        <f>IFERROR(__xludf.DUMMYFUNCTION("""COMPUTED_VALUE"""),"5X3")</f>
        <v>5X3</v>
      </c>
      <c r="V644" s="5">
        <f>IFERROR(__xludf.DUMMYFUNCTION("""COMPUTED_VALUE"""),5.0)</f>
        <v>5</v>
      </c>
      <c r="W644" s="5">
        <f>IFERROR(__xludf.DUMMYFUNCTION("""COMPUTED_VALUE"""),5.0)</f>
        <v>5</v>
      </c>
      <c r="X644" s="5">
        <f>IFERROR(__xludf.DUMMYFUNCTION("""COMPUTED_VALUE"""),96.0)</f>
        <v>96</v>
      </c>
      <c r="Y644" s="5" t="str">
        <f>IFERROR(__xludf.DUMMYFUNCTION("""COMPUTED_VALUE"""),"Low")</f>
        <v>Low</v>
      </c>
      <c r="Z644" s="5">
        <f>IFERROR(__xludf.DUMMYFUNCTION("""COMPUTED_VALUE"""),17.5)</f>
        <v>17.5</v>
      </c>
      <c r="AA644" s="5">
        <f>IFERROR(__xludf.DUMMYFUNCTION("""COMPUTED_VALUE"""),1100.0)</f>
        <v>1100</v>
      </c>
      <c r="AB644" s="5"/>
      <c r="AC644" s="5"/>
      <c r="AD644" s="5" t="str">
        <f>IFERROR(__xludf.DUMMYFUNCTION("""COMPUTED_VALUE"""),"0.05/100")</f>
        <v>0.05/100</v>
      </c>
      <c r="AE644" s="5"/>
      <c r="AF644" s="5"/>
      <c r="AG644" s="8">
        <f>IFERROR(__xludf.DUMMYFUNCTION("""COMPUTED_VALUE"""),46197.50471064815)</f>
        <v>46197.50471</v>
      </c>
      <c r="AH644" s="5" t="str">
        <f>IFERROR(__xludf.DUMMYFUNCTION("""COMPUTED_VALUE"""),"selena.mihajlovic@fazi.rs")</f>
        <v>selena.mihajlovic@fazi.rs</v>
      </c>
      <c r="AI644" s="13"/>
      <c r="AJ644" s="5"/>
      <c r="AK644" s="5">
        <f>IFERROR(__xludf.DUMMYFUNCTION("""COMPUTED_VALUE"""),5.0)</f>
        <v>5</v>
      </c>
      <c r="AL644" s="5" t="str">
        <f>IFERROR(__xludf.DUMMYFUNCTION("""COMPUTED_VALUE"""),"No")</f>
        <v>No</v>
      </c>
      <c r="AM644" s="5"/>
      <c r="AN644" s="7" t="str">
        <f>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AO644" s="5"/>
      <c r="AP644" s="5"/>
      <c r="AQ644" s="5" t="b">
        <f>IFERROR(__xludf.DUMMYFUNCTION("""COMPUTED_VALUE"""),TRUE)</f>
        <v>1</v>
      </c>
      <c r="AR644" s="5"/>
      <c r="AS644" s="5" t="str">
        <f>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AT644" s="5"/>
      <c r="AU644" s="5" t="str">
        <f>IFERROR(__xludf.DUMMYFUNCTION("""COMPUTED_VALUE"""),"Tiptop")</f>
        <v>Tiptop</v>
      </c>
      <c r="AV644" s="5"/>
      <c r="AW644" s="5"/>
      <c r="AX644" s="13">
        <f>IFERROR(__xludf.DUMMYFUNCTION("""COMPUTED_VALUE"""),46035.0)</f>
        <v>46035</v>
      </c>
      <c r="AY644" s="5"/>
      <c r="AZ644" s="5"/>
      <c r="BA644" s="5"/>
      <c r="BB644" s="5" t="b">
        <f>IFERROR(__xludf.DUMMYFUNCTION("""COMPUTED_VALUE"""),TRUE)</f>
        <v>1</v>
      </c>
      <c r="BC644" s="5" t="str">
        <f>IFERROR(__xludf.DUMMYFUNCTION("""COMPUTED_VALUE"""),"Tiptop")</f>
        <v>Tiptop</v>
      </c>
      <c r="BD644" s="7" t="str">
        <f>IFERROR(__xludf.DUMMYFUNCTION("""COMPUTED_VALUE"""),"https://gameserver-store-client-area.orbionlimited.com/Home/IntegrationGameLaunch/client-area?moneyType=0&amp;gameName=UnicornLuckyGinger&amp;platform=desktop&amp;languageCode=eng&amp;currency=EUR")</f>
        <v>https://gameserver-store-client-area.orbionlimited.com/Home/IntegrationGameLaunch/client-area?moneyType=0&amp;gameName=UnicornLuckyGinger&amp;platform=desktop&amp;languageCode=eng&amp;currency=EUR</v>
      </c>
      <c r="BE644" s="5" t="b">
        <f>IFERROR(__xludf.DUMMYFUNCTION("""COMPUTED_VALUE"""),TRUE)</f>
        <v>1</v>
      </c>
    </row>
    <row r="645">
      <c r="A645" s="5">
        <f>IFERROR(__xludf.DUMMYFUNCTION("""COMPUTED_VALUE"""),680.0)</f>
        <v>680</v>
      </c>
      <c r="B645" s="5">
        <f>IFERROR(__xludf.DUMMYFUNCTION("""COMPUTED_VALUE"""),4000004.0)</f>
        <v>4000004</v>
      </c>
      <c r="C645" s="5" t="str">
        <f>IFERROR(__xludf.DUMMYFUNCTION("""COMPUTED_VALUE"""),"Tiptop")</f>
        <v>Tiptop</v>
      </c>
      <c r="D645" s="5" t="str">
        <f>IFERROR(__xludf.DUMMYFUNCTION("""COMPUTED_VALUE"""),"Lions Sevens Extreme")</f>
        <v>Lions Sevens Extreme</v>
      </c>
      <c r="E645" s="5" t="str">
        <f>IFERROR(__xludf.DUMMYFUNCTION("""COMPUTED_VALUE"""),"TipTop")</f>
        <v>TipTop</v>
      </c>
      <c r="F645" s="5" t="str">
        <f>IFERROR(__xludf.DUMMYFUNCTION("""COMPUTED_VALUE"""),"UnicornLionsSevensExtreme")</f>
        <v>UnicornLionsSevensExtreme</v>
      </c>
      <c r="G645" s="5" t="str">
        <f>IFERROR(__xludf.DUMMYFUNCTION("""COMPUTED_VALUE"""),"Live")</f>
        <v>Live</v>
      </c>
      <c r="H645" s="5"/>
      <c r="I645" s="5"/>
      <c r="J645" s="5" t="str">
        <f>IFERROR(__xludf.DUMMYFUNCTION("""COMPUTED_VALUE"""),"JSON")</f>
        <v>JSON</v>
      </c>
      <c r="K645" s="5" t="str">
        <f>IFERROR(__xludf.DUMMYFUNCTION("""COMPUTED_VALUE"""),"Slot")</f>
        <v>Slot</v>
      </c>
      <c r="L645" s="5" t="str">
        <f>IFERROR(__xludf.DUMMYFUNCTION("""COMPUTED_VALUE"""),"Master")</f>
        <v>Master</v>
      </c>
      <c r="M645" s="5"/>
      <c r="N645" s="5"/>
      <c r="O645" s="5"/>
      <c r="P645" s="12">
        <f>IFERROR(__xludf.DUMMYFUNCTION("""COMPUTED_VALUE"""),11.8)</f>
        <v>11.8</v>
      </c>
      <c r="Q645" s="13">
        <f>IFERROR(__xludf.DUMMYFUNCTION("""COMPUTED_VALUE"""),46055.0)</f>
        <v>46055</v>
      </c>
      <c r="R645" s="13">
        <f>IFERROR(__xludf.DUMMYFUNCTION("""COMPUTED_VALUE"""),46056.0)</f>
        <v>46056</v>
      </c>
      <c r="S645" s="13">
        <f>IFERROR(__xludf.DUMMYFUNCTION("""COMPUTED_VALUE"""),46063.0)</f>
        <v>46063</v>
      </c>
      <c r="T645" s="5" t="b">
        <f>IFERROR(__xludf.DUMMYFUNCTION("""COMPUTED_VALUE"""),TRUE)</f>
        <v>1</v>
      </c>
      <c r="U645" s="5" t="str">
        <f>IFERROR(__xludf.DUMMYFUNCTION("""COMPUTED_VALUE"""),"5x3")</f>
        <v>5x3</v>
      </c>
      <c r="V645" s="5">
        <f>IFERROR(__xludf.DUMMYFUNCTION("""COMPUTED_VALUE"""),5.0)</f>
        <v>5</v>
      </c>
      <c r="W645" s="5">
        <f>IFERROR(__xludf.DUMMYFUNCTION("""COMPUTED_VALUE"""),5.0)</f>
        <v>5</v>
      </c>
      <c r="X645" s="5">
        <f>IFERROR(__xludf.DUMMYFUNCTION("""COMPUTED_VALUE"""),96.0)</f>
        <v>96</v>
      </c>
      <c r="Y645" s="5" t="str">
        <f>IFERROR(__xludf.DUMMYFUNCTION("""COMPUTED_VALUE"""),"Low")</f>
        <v>Low</v>
      </c>
      <c r="Z645" s="5">
        <f>IFERROR(__xludf.DUMMYFUNCTION("""COMPUTED_VALUE"""),10.5)</f>
        <v>10.5</v>
      </c>
      <c r="AA645" s="5">
        <f>IFERROR(__xludf.DUMMYFUNCTION("""COMPUTED_VALUE"""),10000.0)</f>
        <v>10000</v>
      </c>
      <c r="AB645" s="5"/>
      <c r="AC645" s="5"/>
      <c r="AD645" s="5" t="str">
        <f>IFERROR(__xludf.DUMMYFUNCTION("""COMPUTED_VALUE"""),"0.05/100")</f>
        <v>0.05/100</v>
      </c>
      <c r="AE645" s="5"/>
      <c r="AF645" s="5"/>
      <c r="AG645" s="8">
        <f>IFERROR(__xludf.DUMMYFUNCTION("""COMPUTED_VALUE"""),46197.50491898148)</f>
        <v>46197.50492</v>
      </c>
      <c r="AH645" s="5" t="str">
        <f>IFERROR(__xludf.DUMMYFUNCTION("""COMPUTED_VALUE"""),"selena.mihajlovic@fazi.rs")</f>
        <v>selena.mihajlovic@fazi.rs</v>
      </c>
      <c r="AI645" s="13">
        <f>IFERROR(__xludf.DUMMYFUNCTION("""COMPUTED_VALUE"""),46056.0)</f>
        <v>46056</v>
      </c>
      <c r="AJ645" s="5" t="str">
        <f>IFERROR(__xludf.DUMMYFUNCTION("""COMPUTED_VALUE"""),"03.02. BonMoja - Kenia, Uganda, Zmbia, Tanzania")</f>
        <v>03.02. BonMoja - Kenia, Uganda, Zmbia, Tanzania</v>
      </c>
      <c r="AK645" s="5">
        <f>IFERROR(__xludf.DUMMYFUNCTION("""COMPUTED_VALUE"""),5.0)</f>
        <v>5</v>
      </c>
      <c r="AL645" s="5" t="str">
        <f>IFERROR(__xludf.DUMMYFUNCTION("""COMPUTED_VALUE"""),"No")</f>
        <v>No</v>
      </c>
      <c r="AM645" s="5"/>
      <c r="AN645" s="7" t="str">
        <f>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AO645" s="5"/>
      <c r="AP645" s="5"/>
      <c r="AQ645" s="5" t="b">
        <f>IFERROR(__xludf.DUMMYFUNCTION("""COMPUTED_VALUE"""),TRUE)</f>
        <v>1</v>
      </c>
      <c r="AR645" s="5"/>
      <c r="AS645" s="5" t="str">
        <f>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AT645" s="5"/>
      <c r="AU645" s="5" t="str">
        <f>IFERROR(__xludf.DUMMYFUNCTION("""COMPUTED_VALUE"""),"Tiptop")</f>
        <v>Tiptop</v>
      </c>
      <c r="AV645" s="5"/>
      <c r="AW645" s="5"/>
      <c r="AX645" s="13">
        <f>IFERROR(__xludf.DUMMYFUNCTION("""COMPUTED_VALUE"""),46049.0)</f>
        <v>46049</v>
      </c>
      <c r="AY645" s="5"/>
      <c r="AZ645" s="5"/>
      <c r="BA645" s="5"/>
      <c r="BB645" s="5" t="b">
        <f>IFERROR(__xludf.DUMMYFUNCTION("""COMPUTED_VALUE"""),TRUE)</f>
        <v>1</v>
      </c>
      <c r="BC645" s="5" t="str">
        <f>IFERROR(__xludf.DUMMYFUNCTION("""COMPUTED_VALUE"""),"Tiptop")</f>
        <v>Tiptop</v>
      </c>
      <c r="BD645" s="7" t="str">
        <f>IFERROR(__xludf.DUMMYFUNCTION("""COMPUTED_VALUE"""),"https://gameserver-store-client-area.orbionlimited.com/Home/IntegrationGameLaunch/client-area?moneyType=0&amp;gameName=UnicornLionsSevensExtreme&amp;platform=desktop&amp;languageCode=eng&amp;currency=EUR")</f>
        <v>https://gameserver-store-client-area.orbionlimited.com/Home/IntegrationGameLaunch/client-area?moneyType=0&amp;gameName=UnicornLionsSevensExtreme&amp;platform=desktop&amp;languageCode=eng&amp;currency=EUR</v>
      </c>
      <c r="BE645" s="5" t="b">
        <f>IFERROR(__xludf.DUMMYFUNCTION("""COMPUTED_VALUE"""),TRUE)</f>
        <v>1</v>
      </c>
    </row>
    <row r="646">
      <c r="A646" s="5">
        <f>IFERROR(__xludf.DUMMYFUNCTION("""COMPUTED_VALUE"""),681.0)</f>
        <v>681</v>
      </c>
      <c r="B646" s="5">
        <f>IFERROR(__xludf.DUMMYFUNCTION("""COMPUTED_VALUE"""),4000006.0)</f>
        <v>4000006</v>
      </c>
      <c r="C646" s="5" t="str">
        <f>IFERROR(__xludf.DUMMYFUNCTION("""COMPUTED_VALUE"""),"Tiptop")</f>
        <v>Tiptop</v>
      </c>
      <c r="D646" s="5" t="str">
        <f>IFERROR(__xludf.DUMMYFUNCTION("""COMPUTED_VALUE"""),"Coyote Sevens Jackpot")</f>
        <v>Coyote Sevens Jackpot</v>
      </c>
      <c r="E646" s="5" t="str">
        <f>IFERROR(__xludf.DUMMYFUNCTION("""COMPUTED_VALUE"""),"TipTop")</f>
        <v>TipTop</v>
      </c>
      <c r="F646" s="5" t="str">
        <f>IFERROR(__xludf.DUMMYFUNCTION("""COMPUTED_VALUE"""),"UnicornCoyoteSevensJackpot")</f>
        <v>UnicornCoyoteSevensJackpot</v>
      </c>
      <c r="G646" s="5" t="str">
        <f>IFERROR(__xludf.DUMMYFUNCTION("""COMPUTED_VALUE"""),"Live")</f>
        <v>Live</v>
      </c>
      <c r="H646" s="5"/>
      <c r="I646" s="5"/>
      <c r="J646" s="5" t="str">
        <f>IFERROR(__xludf.DUMMYFUNCTION("""COMPUTED_VALUE"""),"JSON")</f>
        <v>JSON</v>
      </c>
      <c r="K646" s="5" t="str">
        <f>IFERROR(__xludf.DUMMYFUNCTION("""COMPUTED_VALUE"""),"Slot")</f>
        <v>Slot</v>
      </c>
      <c r="L646" s="5" t="str">
        <f>IFERROR(__xludf.DUMMYFUNCTION("""COMPUTED_VALUE"""),"Master")</f>
        <v>Master</v>
      </c>
      <c r="M646" s="5"/>
      <c r="N646" s="5"/>
      <c r="O646" s="5"/>
      <c r="P646" s="12">
        <f>IFERROR(__xludf.DUMMYFUNCTION("""COMPUTED_VALUE"""),11.3)</f>
        <v>11.3</v>
      </c>
      <c r="Q646" s="13">
        <f>IFERROR(__xludf.DUMMYFUNCTION("""COMPUTED_VALUE"""),46071.0)</f>
        <v>46071</v>
      </c>
      <c r="R646" s="13">
        <f>IFERROR(__xludf.DUMMYFUNCTION("""COMPUTED_VALUE"""),46070.0)</f>
        <v>46070</v>
      </c>
      <c r="S646" s="13">
        <f>IFERROR(__xludf.DUMMYFUNCTION("""COMPUTED_VALUE"""),46077.0)</f>
        <v>46077</v>
      </c>
      <c r="T646" s="5" t="b">
        <f>IFERROR(__xludf.DUMMYFUNCTION("""COMPUTED_VALUE"""),TRUE)</f>
        <v>1</v>
      </c>
      <c r="U646" s="5" t="str">
        <f>IFERROR(__xludf.DUMMYFUNCTION("""COMPUTED_VALUE"""),"5x3")</f>
        <v>5x3</v>
      </c>
      <c r="V646" s="5">
        <f>IFERROR(__xludf.DUMMYFUNCTION("""COMPUTED_VALUE"""),5.0)</f>
        <v>5</v>
      </c>
      <c r="W646" s="5">
        <f>IFERROR(__xludf.DUMMYFUNCTION("""COMPUTED_VALUE"""),5.0)</f>
        <v>5</v>
      </c>
      <c r="X646" s="5">
        <f>IFERROR(__xludf.DUMMYFUNCTION("""COMPUTED_VALUE"""),96.0)</f>
        <v>96</v>
      </c>
      <c r="Y646" s="5" t="str">
        <f>IFERROR(__xludf.DUMMYFUNCTION("""COMPUTED_VALUE"""),"Medium")</f>
        <v>Medium</v>
      </c>
      <c r="Z646" s="5">
        <f>IFERROR(__xludf.DUMMYFUNCTION("""COMPUTED_VALUE"""),10.11)</f>
        <v>10.11</v>
      </c>
      <c r="AA646" s="5">
        <f>IFERROR(__xludf.DUMMYFUNCTION("""COMPUTED_VALUE"""),10000.0)</f>
        <v>10000</v>
      </c>
      <c r="AB646" s="5"/>
      <c r="AC646" s="5"/>
      <c r="AD646" s="5" t="str">
        <f>IFERROR(__xludf.DUMMYFUNCTION("""COMPUTED_VALUE"""),"0.05/100")</f>
        <v>0.05/100</v>
      </c>
      <c r="AE646" s="5"/>
      <c r="AF646" s="5"/>
      <c r="AG646" s="8">
        <f>IFERROR(__xludf.DUMMYFUNCTION("""COMPUTED_VALUE"""),46197.50554398148)</f>
        <v>46197.50554</v>
      </c>
      <c r="AH646" s="5" t="str">
        <f>IFERROR(__xludf.DUMMYFUNCTION("""COMPUTED_VALUE"""),"selena.mihajlovic@fazi.rs")</f>
        <v>selena.mihajlovic@fazi.rs</v>
      </c>
      <c r="AI646" s="13"/>
      <c r="AJ646" s="5"/>
      <c r="AK646" s="5">
        <f>IFERROR(__xludf.DUMMYFUNCTION("""COMPUTED_VALUE"""),5.0)</f>
        <v>5</v>
      </c>
      <c r="AL646" s="5" t="str">
        <f>IFERROR(__xludf.DUMMYFUNCTION("""COMPUTED_VALUE"""),"No")</f>
        <v>No</v>
      </c>
      <c r="AM646" s="5"/>
      <c r="AN646" s="7" t="str">
        <f>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AO646" s="5"/>
      <c r="AP646" s="5"/>
      <c r="AQ646" s="5" t="b">
        <f>IFERROR(__xludf.DUMMYFUNCTION("""COMPUTED_VALUE"""),TRUE)</f>
        <v>1</v>
      </c>
      <c r="AR646" s="5"/>
      <c r="AS646" s="5" t="str">
        <f>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AT646" s="5"/>
      <c r="AU646" s="5" t="str">
        <f>IFERROR(__xludf.DUMMYFUNCTION("""COMPUTED_VALUE"""),"Tiptop")</f>
        <v>Tiptop</v>
      </c>
      <c r="AV646" s="5"/>
      <c r="AW646" s="5"/>
      <c r="AX646" s="13">
        <f>IFERROR(__xludf.DUMMYFUNCTION("""COMPUTED_VALUE"""),46063.0)</f>
        <v>46063</v>
      </c>
      <c r="AY646" s="5"/>
      <c r="AZ646" s="5"/>
      <c r="BA646" s="5"/>
      <c r="BB646" s="5" t="b">
        <f>IFERROR(__xludf.DUMMYFUNCTION("""COMPUTED_VALUE"""),TRUE)</f>
        <v>1</v>
      </c>
      <c r="BC646" s="5" t="str">
        <f>IFERROR(__xludf.DUMMYFUNCTION("""COMPUTED_VALUE"""),"Tiptop")</f>
        <v>Tiptop</v>
      </c>
      <c r="BD646" s="7" t="str">
        <f>IFERROR(__xludf.DUMMYFUNCTION("""COMPUTED_VALUE"""),"https://gameserver-store-client-area.orbionlimited.com/Home/IntegrationGameLaunch/client-area?moneyType=0&amp;gameName=UnicornCoyoteSevensJackpot&amp;platform=desktop&amp;languageCode=eng&amp;currency=EUR")</f>
        <v>https://gameserver-store-client-area.orbionlimited.com/Home/IntegrationGameLaunch/client-area?moneyType=0&amp;gameName=UnicornCoyoteSevensJackpot&amp;platform=desktop&amp;languageCode=eng&amp;currency=EUR</v>
      </c>
      <c r="BE646" s="5" t="b">
        <f>IFERROR(__xludf.DUMMYFUNCTION("""COMPUTED_VALUE"""),TRUE)</f>
        <v>1</v>
      </c>
    </row>
    <row r="647">
      <c r="A647" s="5">
        <f>IFERROR(__xludf.DUMMYFUNCTION("""COMPUTED_VALUE"""),682.0)</f>
        <v>682</v>
      </c>
      <c r="B647" s="5">
        <f>IFERROR(__xludf.DUMMYFUNCTION("""COMPUTED_VALUE"""),4000005.0)</f>
        <v>4000005</v>
      </c>
      <c r="C647" s="5" t="str">
        <f>IFERROR(__xludf.DUMMYFUNCTION("""COMPUTED_VALUE"""),"Tiptop")</f>
        <v>Tiptop</v>
      </c>
      <c r="D647" s="5" t="str">
        <f>IFERROR(__xludf.DUMMYFUNCTION("""COMPUTED_VALUE"""),"Dragon Gems")</f>
        <v>Dragon Gems</v>
      </c>
      <c r="E647" s="5" t="str">
        <f>IFERROR(__xludf.DUMMYFUNCTION("""COMPUTED_VALUE"""),"TipTop")</f>
        <v>TipTop</v>
      </c>
      <c r="F647" s="5" t="str">
        <f>IFERROR(__xludf.DUMMYFUNCTION("""COMPUTED_VALUE"""),"UnicornDragonGems")</f>
        <v>UnicornDragonGems</v>
      </c>
      <c r="G647" s="5" t="str">
        <f>IFERROR(__xludf.DUMMYFUNCTION("""COMPUTED_VALUE"""),"Live")</f>
        <v>Live</v>
      </c>
      <c r="H647" s="5"/>
      <c r="I647" s="5"/>
      <c r="J647" s="5" t="str">
        <f>IFERROR(__xludf.DUMMYFUNCTION("""COMPUTED_VALUE"""),"JSON")</f>
        <v>JSON</v>
      </c>
      <c r="K647" s="5" t="str">
        <f>IFERROR(__xludf.DUMMYFUNCTION("""COMPUTED_VALUE"""),"Slot")</f>
        <v>Slot</v>
      </c>
      <c r="L647" s="5" t="str">
        <f>IFERROR(__xludf.DUMMYFUNCTION("""COMPUTED_VALUE""")," Clone")</f>
        <v> Clone</v>
      </c>
      <c r="M647" s="5" t="str">
        <f>IFERROR(__xludf.DUMMYFUNCTION("""COMPUTED_VALUE"""),"Big Spin Dragons")</f>
        <v>Big Spin Dragons</v>
      </c>
      <c r="N647" s="5"/>
      <c r="O647" s="5"/>
      <c r="P647" s="12">
        <f>IFERROR(__xludf.DUMMYFUNCTION("""COMPUTED_VALUE"""),14.1)</f>
        <v>14.1</v>
      </c>
      <c r="Q647" s="13">
        <f>IFERROR(__xludf.DUMMYFUNCTION("""COMPUTED_VALUE"""),46071.0)</f>
        <v>46071</v>
      </c>
      <c r="R647" s="13">
        <f>IFERROR(__xludf.DUMMYFUNCTION("""COMPUTED_VALUE"""),46066.0)</f>
        <v>46066</v>
      </c>
      <c r="S647" s="13">
        <f>IFERROR(__xludf.DUMMYFUNCTION("""COMPUTED_VALUE"""),46073.0)</f>
        <v>46073</v>
      </c>
      <c r="T647" s="5" t="b">
        <f>IFERROR(__xludf.DUMMYFUNCTION("""COMPUTED_VALUE"""),TRUE)</f>
        <v>1</v>
      </c>
      <c r="U647" s="5" t="str">
        <f>IFERROR(__xludf.DUMMYFUNCTION("""COMPUTED_VALUE"""),"5x3")</f>
        <v>5x3</v>
      </c>
      <c r="V647" s="5">
        <f>IFERROR(__xludf.DUMMYFUNCTION("""COMPUTED_VALUE"""),5.0)</f>
        <v>5</v>
      </c>
      <c r="W647" s="5">
        <f>IFERROR(__xludf.DUMMYFUNCTION("""COMPUTED_VALUE"""),5.0)</f>
        <v>5</v>
      </c>
      <c r="X647" s="5">
        <f>IFERROR(__xludf.DUMMYFUNCTION("""COMPUTED_VALUE"""),96.0)</f>
        <v>96</v>
      </c>
      <c r="Y647" s="5" t="str">
        <f>IFERROR(__xludf.DUMMYFUNCTION("""COMPUTED_VALUE"""),"Low")</f>
        <v>Low</v>
      </c>
      <c r="Z647" s="5">
        <f>IFERROR(__xludf.DUMMYFUNCTION("""COMPUTED_VALUE"""),14.4)</f>
        <v>14.4</v>
      </c>
      <c r="AA647" s="5">
        <f>IFERROR(__xludf.DUMMYFUNCTION("""COMPUTED_VALUE"""),10000.0)</f>
        <v>10000</v>
      </c>
      <c r="AB647" s="5"/>
      <c r="AC647" s="5"/>
      <c r="AD647" s="5" t="str">
        <f>IFERROR(__xludf.DUMMYFUNCTION("""COMPUTED_VALUE"""),"0.05/100")</f>
        <v>0.05/100</v>
      </c>
      <c r="AE647" s="5"/>
      <c r="AF647" s="5"/>
      <c r="AG647" s="8">
        <f>IFERROR(__xludf.DUMMYFUNCTION("""COMPUTED_VALUE"""),46197.50850694445)</f>
        <v>46197.50851</v>
      </c>
      <c r="AH647" s="5" t="str">
        <f>IFERROR(__xludf.DUMMYFUNCTION("""COMPUTED_VALUE"""),"selena.mihajlovic@fazi.rs")</f>
        <v>selena.mihajlovic@fazi.rs</v>
      </c>
      <c r="AI647" s="13"/>
      <c r="AJ647" s="5"/>
      <c r="AK647" s="5">
        <f>IFERROR(__xludf.DUMMYFUNCTION("""COMPUTED_VALUE"""),5.0)</f>
        <v>5</v>
      </c>
      <c r="AL647" s="5" t="str">
        <f>IFERROR(__xludf.DUMMYFUNCTION("""COMPUTED_VALUE"""),"No")</f>
        <v>No</v>
      </c>
      <c r="AM647" s="5"/>
      <c r="AN647" s="7" t="str">
        <f>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AO647" s="5"/>
      <c r="AP647" s="5"/>
      <c r="AQ647" s="5" t="b">
        <f>IFERROR(__xludf.DUMMYFUNCTION("""COMPUTED_VALUE"""),TRUE)</f>
        <v>1</v>
      </c>
      <c r="AR647" s="5"/>
      <c r="AS647" s="5" t="str">
        <f>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AT647" s="5"/>
      <c r="AU647" s="5" t="str">
        <f>IFERROR(__xludf.DUMMYFUNCTION("""COMPUTED_VALUE"""),"Tiptop")</f>
        <v>Tiptop</v>
      </c>
      <c r="AV647" s="5"/>
      <c r="AW647" s="5"/>
      <c r="AX647" s="13">
        <f>IFERROR(__xludf.DUMMYFUNCTION("""COMPUTED_VALUE"""),46063.0)</f>
        <v>46063</v>
      </c>
      <c r="AY647" s="5"/>
      <c r="AZ647" s="5"/>
      <c r="BA647" s="5"/>
      <c r="BB647" s="5" t="b">
        <f>IFERROR(__xludf.DUMMYFUNCTION("""COMPUTED_VALUE"""),TRUE)</f>
        <v>1</v>
      </c>
      <c r="BC647" s="5" t="str">
        <f>IFERROR(__xludf.DUMMYFUNCTION("""COMPUTED_VALUE"""),"Tiptop")</f>
        <v>Tiptop</v>
      </c>
      <c r="BD647" s="7" t="str">
        <f>IFERROR(__xludf.DUMMYFUNCTION("""COMPUTED_VALUE"""),"https://gameserver-store-client-area.orbionlimited.com/Home/IntegrationGameLaunch/client-area?moneyType=0&amp;gameName=UnicornDragonGems&amp;platform=desktop&amp;languageCode=eng&amp;currency=EUR")</f>
        <v>https://gameserver-store-client-area.orbionlimited.com/Home/IntegrationGameLaunch/client-area?moneyType=0&amp;gameName=UnicornDragonGems&amp;platform=desktop&amp;languageCode=eng&amp;currency=EUR</v>
      </c>
      <c r="BE647" s="5" t="b">
        <f>IFERROR(__xludf.DUMMYFUNCTION("""COMPUTED_VALUE"""),TRUE)</f>
        <v>1</v>
      </c>
    </row>
    <row r="648">
      <c r="A648" s="5">
        <f>IFERROR(__xludf.DUMMYFUNCTION("""COMPUTED_VALUE"""),683.0)</f>
        <v>683</v>
      </c>
      <c r="B648" s="5">
        <f>IFERROR(__xludf.DUMMYFUNCTION("""COMPUTED_VALUE"""),4000009.0)</f>
        <v>4000009</v>
      </c>
      <c r="C648" s="5" t="str">
        <f>IFERROR(__xludf.DUMMYFUNCTION("""COMPUTED_VALUE"""),"Tiptop")</f>
        <v>Tiptop</v>
      </c>
      <c r="D648" s="5" t="str">
        <f>IFERROR(__xludf.DUMMYFUNCTION("""COMPUTED_VALUE"""),"Bye Bouse")</f>
        <v>Bye Bouse</v>
      </c>
      <c r="E648" s="5" t="str">
        <f>IFERROR(__xludf.DUMMYFUNCTION("""COMPUTED_VALUE"""),"TipTop")</f>
        <v>TipTop</v>
      </c>
      <c r="F648" s="5" t="str">
        <f>IFERROR(__xludf.DUMMYFUNCTION("""COMPUTED_VALUE"""),"UnicornByeBouse")</f>
        <v>UnicornByeBouse</v>
      </c>
      <c r="G648" s="5" t="str">
        <f>IFERROR(__xludf.DUMMYFUNCTION("""COMPUTED_VALUE"""),"Live")</f>
        <v>Live</v>
      </c>
      <c r="H648" s="5"/>
      <c r="I648" s="5" t="str">
        <f>IFERROR(__xludf.DUMMYFUNCTION("""COMPUTED_VALUE"""),"TipTop")</f>
        <v>TipTop</v>
      </c>
      <c r="J648" s="5" t="str">
        <f>IFERROR(__xludf.DUMMYFUNCTION("""COMPUTED_VALUE"""),"JSON")</f>
        <v>JSON</v>
      </c>
      <c r="K648" s="5" t="str">
        <f>IFERROR(__xludf.DUMMYFUNCTION("""COMPUTED_VALUE"""),"Slot")</f>
        <v>Slot</v>
      </c>
      <c r="L648" s="5" t="str">
        <f>IFERROR(__xludf.DUMMYFUNCTION("""COMPUTED_VALUE"""),"Master")</f>
        <v>Master</v>
      </c>
      <c r="M648" s="5"/>
      <c r="N648" s="5"/>
      <c r="O648" s="5"/>
      <c r="P648" s="12">
        <f>IFERROR(__xludf.DUMMYFUNCTION("""COMPUTED_VALUE"""),15.3)</f>
        <v>15.3</v>
      </c>
      <c r="Q648" s="13">
        <f>IFERROR(__xludf.DUMMYFUNCTION("""COMPUTED_VALUE"""),46111.0)</f>
        <v>46111</v>
      </c>
      <c r="R648" s="13">
        <f>IFERROR(__xludf.DUMMYFUNCTION("""COMPUTED_VALUE"""),46113.0)</f>
        <v>46113</v>
      </c>
      <c r="S648" s="13">
        <f>IFERROR(__xludf.DUMMYFUNCTION("""COMPUTED_VALUE"""),46120.0)</f>
        <v>46120</v>
      </c>
      <c r="T648" s="5" t="b">
        <f>IFERROR(__xludf.DUMMYFUNCTION("""COMPUTED_VALUE"""),TRUE)</f>
        <v>1</v>
      </c>
      <c r="U648" s="5" t="str">
        <f>IFERROR(__xludf.DUMMYFUNCTION("""COMPUTED_VALUE"""),"5x4")</f>
        <v>5x4</v>
      </c>
      <c r="V648" s="5">
        <f>IFERROR(__xludf.DUMMYFUNCTION("""COMPUTED_VALUE"""),40.0)</f>
        <v>40</v>
      </c>
      <c r="W648" s="5">
        <f>IFERROR(__xludf.DUMMYFUNCTION("""COMPUTED_VALUE"""),40.0)</f>
        <v>40</v>
      </c>
      <c r="X648" s="5">
        <f>IFERROR(__xludf.DUMMYFUNCTION("""COMPUTED_VALUE"""),96.0)</f>
        <v>96</v>
      </c>
      <c r="Y648" s="5" t="str">
        <f>IFERROR(__xludf.DUMMYFUNCTION("""COMPUTED_VALUE"""),"Low")</f>
        <v>Low</v>
      </c>
      <c r="Z648" s="5">
        <f>IFERROR(__xludf.DUMMYFUNCTION("""COMPUTED_VALUE"""),17.365)</f>
        <v>17.365</v>
      </c>
      <c r="AA648" s="5">
        <f>IFERROR(__xludf.DUMMYFUNCTION("""COMPUTED_VALUE"""),10000.0)</f>
        <v>10000</v>
      </c>
      <c r="AB648" s="5"/>
      <c r="AC648" s="5"/>
      <c r="AD648" s="5" t="str">
        <f>IFERROR(__xludf.DUMMYFUNCTION("""COMPUTED_VALUE"""),"0.05/100")</f>
        <v>0.05/100</v>
      </c>
      <c r="AE648" s="5"/>
      <c r="AF648" s="5"/>
      <c r="AG648" s="8">
        <f>IFERROR(__xludf.DUMMYFUNCTION("""COMPUTED_VALUE"""),46197.50895833333)</f>
        <v>46197.50896</v>
      </c>
      <c r="AH648" s="5" t="str">
        <f>IFERROR(__xludf.DUMMYFUNCTION("""COMPUTED_VALUE"""),"selena.mihajlovic@fazi.rs")</f>
        <v>selena.mihajlovic@fazi.rs</v>
      </c>
      <c r="AI648" s="13"/>
      <c r="AJ648" s="5"/>
      <c r="AK648" s="5">
        <f>IFERROR(__xludf.DUMMYFUNCTION("""COMPUTED_VALUE"""),40.0)</f>
        <v>40</v>
      </c>
      <c r="AL648" s="5" t="str">
        <f>IFERROR(__xludf.DUMMYFUNCTION("""COMPUTED_VALUE"""),"No")</f>
        <v>No</v>
      </c>
      <c r="AM648" s="5"/>
      <c r="AN648" s="7" t="str">
        <f>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AO648" s="5"/>
      <c r="AP648" s="5"/>
      <c r="AQ648" s="5" t="b">
        <f>IFERROR(__xludf.DUMMYFUNCTION("""COMPUTED_VALUE"""),TRUE)</f>
        <v>1</v>
      </c>
      <c r="AR648" s="5"/>
      <c r="AS648" s="5" t="str">
        <f>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AT648" s="5"/>
      <c r="AU648" s="5" t="str">
        <f>IFERROR(__xludf.DUMMYFUNCTION("""COMPUTED_VALUE"""),"Tiptop")</f>
        <v>Tiptop</v>
      </c>
      <c r="AV648" s="5"/>
      <c r="AW648" s="5"/>
      <c r="AX648" s="13">
        <f>IFERROR(__xludf.DUMMYFUNCTION("""COMPUTED_VALUE"""),46105.0)</f>
        <v>46105</v>
      </c>
      <c r="AY648" s="5"/>
      <c r="AZ648" s="5"/>
      <c r="BA648" s="5"/>
      <c r="BB648" s="5" t="b">
        <f>IFERROR(__xludf.DUMMYFUNCTION("""COMPUTED_VALUE"""),TRUE)</f>
        <v>1</v>
      </c>
      <c r="BC648" s="5" t="str">
        <f>IFERROR(__xludf.DUMMYFUNCTION("""COMPUTED_VALUE"""),"Tiptop")</f>
        <v>Tiptop</v>
      </c>
      <c r="BD648" s="7" t="str">
        <f>IFERROR(__xludf.DUMMYFUNCTION("""COMPUTED_VALUE"""),"https://gameserver-store-client-area.orbionlimited.com/Home/IntegrationGameLaunch/client-area?moneyType=0&amp;gameName=UnicornByeBouse&amp;platform=desktop&amp;languageCode=eng&amp;currency=EUR")</f>
        <v>https://gameserver-store-client-area.orbionlimited.com/Home/IntegrationGameLaunch/client-area?moneyType=0&amp;gameName=UnicornByeBouse&amp;platform=desktop&amp;languageCode=eng&amp;currency=EUR</v>
      </c>
      <c r="BE648" s="5" t="b">
        <f>IFERROR(__xludf.DUMMYFUNCTION("""COMPUTED_VALUE"""),TRUE)</f>
        <v>1</v>
      </c>
    </row>
    <row r="649">
      <c r="A649" s="5">
        <f>IFERROR(__xludf.DUMMYFUNCTION("""COMPUTED_VALUE"""),684.0)</f>
        <v>684</v>
      </c>
      <c r="B649" s="5">
        <f>IFERROR(__xludf.DUMMYFUNCTION("""COMPUTED_VALUE"""),4000007.0)</f>
        <v>4000007</v>
      </c>
      <c r="C649" s="5" t="str">
        <f>IFERROR(__xludf.DUMMYFUNCTION("""COMPUTED_VALUE"""),"Tiptop")</f>
        <v>Tiptop</v>
      </c>
      <c r="D649" s="5" t="str">
        <f>IFERROR(__xludf.DUMMYFUNCTION("""COMPUTED_VALUE"""),"Triple Royal Wilds")</f>
        <v>Triple Royal Wilds</v>
      </c>
      <c r="E649" s="5" t="str">
        <f>IFERROR(__xludf.DUMMYFUNCTION("""COMPUTED_VALUE"""),"TipTop")</f>
        <v>TipTop</v>
      </c>
      <c r="F649" s="5" t="str">
        <f>IFERROR(__xludf.DUMMYFUNCTION("""COMPUTED_VALUE"""),"UnicornTripleRoyalWilds")</f>
        <v>UnicornTripleRoyalWilds</v>
      </c>
      <c r="G649" s="5" t="str">
        <f>IFERROR(__xludf.DUMMYFUNCTION("""COMPUTED_VALUE"""),"Live")</f>
        <v>Live</v>
      </c>
      <c r="H649" s="5"/>
      <c r="I649" s="5"/>
      <c r="J649" s="5" t="str">
        <f>IFERROR(__xludf.DUMMYFUNCTION("""COMPUTED_VALUE"""),"JSON")</f>
        <v>JSON</v>
      </c>
      <c r="K649" s="5" t="str">
        <f>IFERROR(__xludf.DUMMYFUNCTION("""COMPUTED_VALUE"""),"Slot")</f>
        <v>Slot</v>
      </c>
      <c r="L649" s="5" t="str">
        <f>IFERROR(__xludf.DUMMYFUNCTION("""COMPUTED_VALUE"""),"Master")</f>
        <v>Master</v>
      </c>
      <c r="M649" s="5"/>
      <c r="N649" s="5"/>
      <c r="O649" s="5"/>
      <c r="P649" s="12">
        <f>IFERROR(__xludf.DUMMYFUNCTION("""COMPUTED_VALUE"""),12.05)</f>
        <v>12.05</v>
      </c>
      <c r="Q649" s="13">
        <f>IFERROR(__xludf.DUMMYFUNCTION("""COMPUTED_VALUE"""),46083.0)</f>
        <v>46083</v>
      </c>
      <c r="R649" s="13">
        <f>IFERROR(__xludf.DUMMYFUNCTION("""COMPUTED_VALUE"""),46099.0)</f>
        <v>46099</v>
      </c>
      <c r="S649" s="13">
        <f>IFERROR(__xludf.DUMMYFUNCTION("""COMPUTED_VALUE"""),46106.0)</f>
        <v>46106</v>
      </c>
      <c r="T649" s="5" t="b">
        <f>IFERROR(__xludf.DUMMYFUNCTION("""COMPUTED_VALUE"""),TRUE)</f>
        <v>1</v>
      </c>
      <c r="U649" s="5" t="str">
        <f>IFERROR(__xludf.DUMMYFUNCTION("""COMPUTED_VALUE"""),"5x3")</f>
        <v>5x3</v>
      </c>
      <c r="V649" s="5">
        <f>IFERROR(__xludf.DUMMYFUNCTION("""COMPUTED_VALUE"""),5.0)</f>
        <v>5</v>
      </c>
      <c r="W649" s="5">
        <f>IFERROR(__xludf.DUMMYFUNCTION("""COMPUTED_VALUE"""),5.0)</f>
        <v>5</v>
      </c>
      <c r="X649" s="5">
        <f>IFERROR(__xludf.DUMMYFUNCTION("""COMPUTED_VALUE"""),96.0)</f>
        <v>96</v>
      </c>
      <c r="Y649" s="5" t="str">
        <f>IFERROR(__xludf.DUMMYFUNCTION("""COMPUTED_VALUE"""),"Low")</f>
        <v>Low</v>
      </c>
      <c r="Z649" s="5">
        <f>IFERROR(__xludf.DUMMYFUNCTION("""COMPUTED_VALUE"""),18.4)</f>
        <v>18.4</v>
      </c>
      <c r="AA649" s="5">
        <f>IFERROR(__xludf.DUMMYFUNCTION("""COMPUTED_VALUE"""),1150.0)</f>
        <v>1150</v>
      </c>
      <c r="AB649" s="5"/>
      <c r="AC649" s="5"/>
      <c r="AD649" s="5" t="str">
        <f>IFERROR(__xludf.DUMMYFUNCTION("""COMPUTED_VALUE"""),"0.05 / 100")</f>
        <v>0.05 / 100</v>
      </c>
      <c r="AE649" s="5"/>
      <c r="AF649" s="5"/>
      <c r="AG649" s="8">
        <f>IFERROR(__xludf.DUMMYFUNCTION("""COMPUTED_VALUE"""),46197.50951388889)</f>
        <v>46197.50951</v>
      </c>
      <c r="AH649" s="5" t="str">
        <f>IFERROR(__xludf.DUMMYFUNCTION("""COMPUTED_VALUE"""),"selena.mihajlovic@fazi.rs")</f>
        <v>selena.mihajlovic@fazi.rs</v>
      </c>
      <c r="AI649" s="13"/>
      <c r="AJ649" s="5"/>
      <c r="AK649" s="5">
        <f>IFERROR(__xludf.DUMMYFUNCTION("""COMPUTED_VALUE"""),5.0)</f>
        <v>5</v>
      </c>
      <c r="AL649" s="5" t="str">
        <f>IFERROR(__xludf.DUMMYFUNCTION("""COMPUTED_VALUE"""),"No")</f>
        <v>No</v>
      </c>
      <c r="AM649" s="5"/>
      <c r="AN649" s="7" t="str">
        <f>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AO649" s="5"/>
      <c r="AP649" s="5"/>
      <c r="AQ649" s="5" t="b">
        <f>IFERROR(__xludf.DUMMYFUNCTION("""COMPUTED_VALUE"""),TRUE)</f>
        <v>1</v>
      </c>
      <c r="AR649" s="5"/>
      <c r="AS649" s="5" t="str">
        <f>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AT649" s="5"/>
      <c r="AU649" s="5" t="str">
        <f>IFERROR(__xludf.DUMMYFUNCTION("""COMPUTED_VALUE"""),"Tiptop")</f>
        <v>Tiptop</v>
      </c>
      <c r="AV649" s="5"/>
      <c r="AW649" s="5"/>
      <c r="AX649" s="13">
        <f>IFERROR(__xludf.DUMMYFUNCTION("""COMPUTED_VALUE"""),46077.0)</f>
        <v>46077</v>
      </c>
      <c r="AY649" s="5"/>
      <c r="AZ649" s="5"/>
      <c r="BA649" s="5"/>
      <c r="BB649" s="5" t="b">
        <f>IFERROR(__xludf.DUMMYFUNCTION("""COMPUTED_VALUE"""),TRUE)</f>
        <v>1</v>
      </c>
      <c r="BC649" s="5" t="str">
        <f>IFERROR(__xludf.DUMMYFUNCTION("""COMPUTED_VALUE"""),"Tiptop")</f>
        <v>Tiptop</v>
      </c>
      <c r="BD649" s="7" t="str">
        <f>IFERROR(__xludf.DUMMYFUNCTION("""COMPUTED_VALUE"""),"https://gameserver-store-client-area.orbionlimited.com/Home/IntegrationGameLaunch/client-area?moneyType=0&amp;gameName=UnicornTripleRoyalWilds&amp;platform=desktop&amp;languageCode=eng&amp;currency=EUR")</f>
        <v>https://gameserver-store-client-area.orbionlimited.com/Home/IntegrationGameLaunch/client-area?moneyType=0&amp;gameName=UnicornTripleRoyalWilds&amp;platform=desktop&amp;languageCode=eng&amp;currency=EUR</v>
      </c>
      <c r="BE649" s="5" t="b">
        <f>IFERROR(__xludf.DUMMYFUNCTION("""COMPUTED_VALUE"""),TRUE)</f>
        <v>1</v>
      </c>
    </row>
    <row r="650">
      <c r="A650" s="5">
        <f>IFERROR(__xludf.DUMMYFUNCTION("""COMPUTED_VALUE"""),685.0)</f>
        <v>685</v>
      </c>
      <c r="B650" s="5">
        <f>IFERROR(__xludf.DUMMYFUNCTION("""COMPUTED_VALUE"""),1011.0)</f>
        <v>1011</v>
      </c>
      <c r="C650" s="5" t="str">
        <f>IFERROR(__xludf.DUMMYFUNCTION("""COMPUTED_VALUE"""),"Fazi")</f>
        <v>Fazi</v>
      </c>
      <c r="D650" s="5" t="str">
        <f>IFERROR(__xludf.DUMMYFUNCTION("""COMPUTED_VALUE"""),"Golden Diamonds 5 Extreme")</f>
        <v>Golden Diamonds 5 Extreme</v>
      </c>
      <c r="E650" s="5" t="str">
        <f>IFERROR(__xludf.DUMMYFUNCTION("""COMPUTED_VALUE"""),"V4-1")</f>
        <v>V4-1</v>
      </c>
      <c r="F650" s="5" t="str">
        <f>IFERROR(__xludf.DUMMYFUNCTION("""COMPUTED_VALUE"""),"GoldenDiamonds5Extreme")</f>
        <v>GoldenDiamonds5Extreme</v>
      </c>
      <c r="G650" s="5" t="str">
        <f>IFERROR(__xludf.DUMMYFUNCTION("""COMPUTED_VALUE"""),"Live")</f>
        <v>Live</v>
      </c>
      <c r="H650" s="5"/>
      <c r="I650" s="5" t="str">
        <f>IFERROR(__xludf.DUMMYFUNCTION("""COMPUTED_VALUE"""),"V4")</f>
        <v>V4</v>
      </c>
      <c r="J650" s="5" t="str">
        <f>IFERROR(__xludf.DUMMYFUNCTION("""COMPUTED_VALUE"""),"JSON")</f>
        <v>JSON</v>
      </c>
      <c r="K650" s="5" t="str">
        <f>IFERROR(__xludf.DUMMYFUNCTION("""COMPUTED_VALUE"""),"Slot")</f>
        <v>Slot</v>
      </c>
      <c r="L650" s="5" t="str">
        <f>IFERROR(__xludf.DUMMYFUNCTION("""COMPUTED_VALUE""")," Clone")</f>
        <v> Clone</v>
      </c>
      <c r="M650" s="5" t="str">
        <f>IFERROR(__xludf.DUMMYFUNCTION("""COMPUTED_VALUE"""),"Very Hot 5 Extreme")</f>
        <v>Very Hot 5 Extreme</v>
      </c>
      <c r="N650" s="7" t="str">
        <f>IFERROR(__xludf.DUMMYFUNCTION("""COMPUTED_VALUE"""),"https://drive.google.com/file/d/1x44az3aQtpIw5MUPC7Tlxd0m5EFMs2bt/view?usp=sharing")</f>
        <v>https://drive.google.com/file/d/1x44az3aQtpIw5MUPC7Tlxd0m5EFMs2bt/view?usp=sharing</v>
      </c>
      <c r="O650" s="7" t="str">
        <f>IFERROR(__xludf.DUMMYFUNCTION("""COMPUTED_VALUE"""),"https://drive.google.com/file/d/1yREKQrMOjoXdfeIiLZapwVLAmDxEmnLN/view?usp=sharing")</f>
        <v>https://drive.google.com/file/d/1yREKQrMOjoXdfeIiLZapwVLAmDxEmnLN/view?usp=sharing</v>
      </c>
      <c r="P650" s="12">
        <f>IFERROR(__xludf.DUMMYFUNCTION("""COMPUTED_VALUE"""),22.36)</f>
        <v>22.36</v>
      </c>
      <c r="Q650" s="13">
        <f>IFERROR(__xludf.DUMMYFUNCTION("""COMPUTED_VALUE"""),46041.0)</f>
        <v>46041</v>
      </c>
      <c r="R650" s="13">
        <f>IFERROR(__xludf.DUMMYFUNCTION("""COMPUTED_VALUE"""),46091.0)</f>
        <v>46091</v>
      </c>
      <c r="S650" s="13">
        <f>IFERROR(__xludf.DUMMYFUNCTION("""COMPUTED_VALUE"""),46098.0)</f>
        <v>46098</v>
      </c>
      <c r="T650" s="5" t="b">
        <f>IFERROR(__xludf.DUMMYFUNCTION("""COMPUTED_VALUE"""),TRUE)</f>
        <v>1</v>
      </c>
      <c r="U650" s="5" t="str">
        <f>IFERROR(__xludf.DUMMYFUNCTION("""COMPUTED_VALUE"""),"5x3")</f>
        <v>5x3</v>
      </c>
      <c r="V650" s="5">
        <f>IFERROR(__xludf.DUMMYFUNCTION("""COMPUTED_VALUE"""),5.0)</f>
        <v>5</v>
      </c>
      <c r="W650" s="5">
        <f>IFERROR(__xludf.DUMMYFUNCTION("""COMPUTED_VALUE"""),5.0)</f>
        <v>5</v>
      </c>
      <c r="X650" s="5">
        <f>IFERROR(__xludf.DUMMYFUNCTION("""COMPUTED_VALUE"""),96.453)</f>
        <v>96.453</v>
      </c>
      <c r="Y650" s="5" t="str">
        <f>IFERROR(__xludf.DUMMYFUNCTION("""COMPUTED_VALUE"""),"Medium")</f>
        <v>Medium</v>
      </c>
      <c r="Z650" s="5">
        <f>IFERROR(__xludf.DUMMYFUNCTION("""COMPUTED_VALUE"""),14.234)</f>
        <v>14.234</v>
      </c>
      <c r="AA650" s="5">
        <f>IFERROR(__xludf.DUMMYFUNCTION("""COMPUTED_VALUE"""),2624.0)</f>
        <v>2624</v>
      </c>
      <c r="AB650" s="5"/>
      <c r="AC650" s="5" t="str">
        <f>IFERROR(__xludf.DUMMYFUNCTION("""COMPUTED_VALUE"""),"Wild Symbol, Wild Multiplier, Scatter")</f>
        <v>Wild Symbol, Wild Multiplier, Scatter</v>
      </c>
      <c r="AD650" s="5" t="str">
        <f>IFERROR(__xludf.DUMMYFUNCTION("""COMPUTED_VALUE"""),"0.1/50")</f>
        <v>0.1/50</v>
      </c>
      <c r="AE650" s="5"/>
      <c r="AF650" s="5"/>
      <c r="AG650" s="8">
        <f>IFERROR(__xludf.DUMMYFUNCTION("""COMPUTED_VALUE"""),46164.53760416667)</f>
        <v>46164.5376</v>
      </c>
      <c r="AH650" s="5" t="str">
        <f>IFERROR(__xludf.DUMMYFUNCTION("""COMPUTED_VALUE"""),"djordje.petrovic@fazi.rs")</f>
        <v>djordje.petrovic@fazi.rs</v>
      </c>
      <c r="AI650" s="13">
        <f>IFERROR(__xludf.DUMMYFUNCTION("""COMPUTED_VALUE"""),46082.0)</f>
        <v>46082</v>
      </c>
      <c r="AJ650" s="5" t="str">
        <f>IFERROR(__xludf.DUMMYFUNCTION("""COMPUTED_VALUE"""),"06.03. TotoGaming (ARM)
01.03. BongoBongo (AFR)
02.03. Betarabia (Lebanon)
03.03. Mozzart (SRB)
01.03. Lob (MNE)")</f>
        <v>06.03. TotoGaming (ARM)
01.03. BongoBongo (AFR)
02.03. Betarabia (Lebanon)
03.03. Mozzart (SRB)
01.03. Lob (MNE)</v>
      </c>
      <c r="AK650" s="5">
        <f>IFERROR(__xludf.DUMMYFUNCTION("""COMPUTED_VALUE"""),1.0)</f>
        <v>1</v>
      </c>
      <c r="AL650" s="5" t="str">
        <f>IFERROR(__xludf.DUMMYFUNCTION("""COMPUTED_VALUE"""),"Yes")</f>
        <v>Yes</v>
      </c>
      <c r="AM650" s="5"/>
      <c r="AN650" s="7" t="str">
        <f>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AO650" s="5" t="str">
        <f>IFERROR(__xludf.DUMMYFUNCTION("""COMPUTED_VALUE"""),"Yes")</f>
        <v>Yes</v>
      </c>
      <c r="AP650" s="5" t="str">
        <f>IFERROR(__xludf.DUMMYFUNCTION("""COMPUTED_VALUE"""),"Yes")</f>
        <v>Yes</v>
      </c>
      <c r="AQ650" s="5" t="b">
        <f>IFERROR(__xludf.DUMMYFUNCTION("""COMPUTED_VALUE"""),TRUE)</f>
        <v>1</v>
      </c>
      <c r="AR650" s="5"/>
      <c r="AS650" s="5" t="str">
        <f>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AT650" s="5"/>
      <c r="AU650" s="5" t="str">
        <f>IFERROR(__xludf.DUMMYFUNCTION("""COMPUTED_VALUE"""),"Fazi")</f>
        <v>Fazi</v>
      </c>
      <c r="AV650" s="5">
        <f>IFERROR(__xludf.DUMMYFUNCTION("""COMPUTED_VALUE"""),1.0)</f>
        <v>1</v>
      </c>
      <c r="AW650" s="5"/>
      <c r="AX650" s="13">
        <f>IFERROR(__xludf.DUMMYFUNCTION("""COMPUTED_VALUE"""),46035.0)</f>
        <v>46035</v>
      </c>
      <c r="AY650" s="5"/>
      <c r="AZ650" s="5"/>
      <c r="BA650" s="5"/>
      <c r="BB650" s="5" t="b">
        <f>IFERROR(__xludf.DUMMYFUNCTION("""COMPUTED_VALUE"""),TRUE)</f>
        <v>1</v>
      </c>
      <c r="BC650" s="5" t="str">
        <f>IFERROR(__xludf.DUMMYFUNCTION("""COMPUTED_VALUE"""),"Foxi")</f>
        <v>Foxi</v>
      </c>
      <c r="BD650" s="7" t="str">
        <f>IFERROR(__xludf.DUMMYFUNCTION("""COMPUTED_VALUE"""),"https://gameserver-store-client-area.orbionlimited.com/Home/IntegrationGameLaunch/client-area?moneyType=0&amp;gameName=GoldenDiamonds5Extreme&amp;platform=desktop&amp;languageCode=eng&amp;currency=EUR")</f>
        <v>https://gameserver-store-client-area.orbionlimited.com/Home/IntegrationGameLaunch/client-area?moneyType=0&amp;gameName=GoldenDiamonds5Extreme&amp;platform=desktop&amp;languageCode=eng&amp;currency=EUR</v>
      </c>
      <c r="BE650" s="5" t="b">
        <f>IFERROR(__xludf.DUMMYFUNCTION("""COMPUTED_VALUE"""),TRUE)</f>
        <v>1</v>
      </c>
    </row>
    <row r="651">
      <c r="A651" s="5">
        <f>IFERROR(__xludf.DUMMYFUNCTION("""COMPUTED_VALUE"""),686.0)</f>
        <v>686</v>
      </c>
      <c r="B651" s="5">
        <f>IFERROR(__xludf.DUMMYFUNCTION("""COMPUTED_VALUE"""),1012.0)</f>
        <v>1012</v>
      </c>
      <c r="C651" s="5" t="str">
        <f>IFERROR(__xludf.DUMMYFUNCTION("""COMPUTED_VALUE"""),"Fazi")</f>
        <v>Fazi</v>
      </c>
      <c r="D651" s="5" t="str">
        <f>IFERROR(__xludf.DUMMYFUNCTION("""COMPUTED_VALUE"""),"Golden Diamonds 10 Extreme")</f>
        <v>Golden Diamonds 10 Extreme</v>
      </c>
      <c r="E651" s="5" t="str">
        <f>IFERROR(__xludf.DUMMYFUNCTION("""COMPUTED_VALUE"""),"V4-1")</f>
        <v>V4-1</v>
      </c>
      <c r="F651" s="5" t="str">
        <f>IFERROR(__xludf.DUMMYFUNCTION("""COMPUTED_VALUE"""),"GoldenDiamonds10Extreme")</f>
        <v>GoldenDiamonds10Extreme</v>
      </c>
      <c r="G651" s="5" t="str">
        <f>IFERROR(__xludf.DUMMYFUNCTION("""COMPUTED_VALUE"""),"Live")</f>
        <v>Live</v>
      </c>
      <c r="H651" s="5"/>
      <c r="I651" s="5" t="str">
        <f>IFERROR(__xludf.DUMMYFUNCTION("""COMPUTED_VALUE"""),"V4")</f>
        <v>V4</v>
      </c>
      <c r="J651" s="5" t="str">
        <f>IFERROR(__xludf.DUMMYFUNCTION("""COMPUTED_VALUE"""),"JSON")</f>
        <v>JSON</v>
      </c>
      <c r="K651" s="5" t="str">
        <f>IFERROR(__xludf.DUMMYFUNCTION("""COMPUTED_VALUE"""),"Slot")</f>
        <v>Slot</v>
      </c>
      <c r="L651" s="5" t="str">
        <f>IFERROR(__xludf.DUMMYFUNCTION("""COMPUTED_VALUE""")," Variant")</f>
        <v> Variant</v>
      </c>
      <c r="M651" s="5"/>
      <c r="N651" s="7" t="str">
        <f>IFERROR(__xludf.DUMMYFUNCTION("""COMPUTED_VALUE"""),"https://drive.google.com/file/d/1ARsFO2So3R8sFL4rirWY9LvE_bLaWXcO/view?usp=sharing")</f>
        <v>https://drive.google.com/file/d/1ARsFO2So3R8sFL4rirWY9LvE_bLaWXcO/view?usp=sharing</v>
      </c>
      <c r="O651" s="7" t="str">
        <f>IFERROR(__xludf.DUMMYFUNCTION("""COMPUTED_VALUE"""),"https://drive.google.com/file/d/1KOfqXXdYTAFXEN82MumL9YiluW04u2nw/view?usp=sharing")</f>
        <v>https://drive.google.com/file/d/1KOfqXXdYTAFXEN82MumL9YiluW04u2nw/view?usp=sharing</v>
      </c>
      <c r="P651" s="12">
        <f>IFERROR(__xludf.DUMMYFUNCTION("""COMPUTED_VALUE"""),21.31)</f>
        <v>21.31</v>
      </c>
      <c r="Q651" s="13">
        <f>IFERROR(__xludf.DUMMYFUNCTION("""COMPUTED_VALUE"""),46041.0)</f>
        <v>46041</v>
      </c>
      <c r="R651" s="13">
        <f>IFERROR(__xludf.DUMMYFUNCTION("""COMPUTED_VALUE"""),46254.0)</f>
        <v>46254</v>
      </c>
      <c r="S651" s="13">
        <f>IFERROR(__xludf.DUMMYFUNCTION("""COMPUTED_VALUE"""),46261.0)</f>
        <v>46261</v>
      </c>
      <c r="T651" s="5" t="b">
        <f>IFERROR(__xludf.DUMMYFUNCTION("""COMPUTED_VALUE"""),TRUE)</f>
        <v>1</v>
      </c>
      <c r="U651" s="5" t="str">
        <f>IFERROR(__xludf.DUMMYFUNCTION("""COMPUTED_VALUE"""),"5x3")</f>
        <v>5x3</v>
      </c>
      <c r="V651" s="5">
        <f>IFERROR(__xludf.DUMMYFUNCTION("""COMPUTED_VALUE"""),10.0)</f>
        <v>10</v>
      </c>
      <c r="W651" s="5">
        <f>IFERROR(__xludf.DUMMYFUNCTION("""COMPUTED_VALUE"""),10.0)</f>
        <v>10</v>
      </c>
      <c r="X651" s="5">
        <f>IFERROR(__xludf.DUMMYFUNCTION("""COMPUTED_VALUE"""),96.453)</f>
        <v>96.453</v>
      </c>
      <c r="Y651" s="5" t="str">
        <f>IFERROR(__xludf.DUMMYFUNCTION("""COMPUTED_VALUE"""),"Medium")</f>
        <v>Medium</v>
      </c>
      <c r="Z651" s="5">
        <f>IFERROR(__xludf.DUMMYFUNCTION("""COMPUTED_VALUE"""),17.364)</f>
        <v>17.364</v>
      </c>
      <c r="AA651" s="5">
        <f>IFERROR(__xludf.DUMMYFUNCTION("""COMPUTED_VALUE"""),2210.0)</f>
        <v>2210</v>
      </c>
      <c r="AB651" s="5"/>
      <c r="AC651" s="5" t="str">
        <f>IFERROR(__xludf.DUMMYFUNCTION("""COMPUTED_VALUE"""),"Wild Symbol, Wild Multiplier")</f>
        <v>Wild Symbol, Wild Multiplier</v>
      </c>
      <c r="AD651" s="5" t="str">
        <f>IFERROR(__xludf.DUMMYFUNCTION("""COMPUTED_VALUE"""),"0.1/50")</f>
        <v>0.1/50</v>
      </c>
      <c r="AE651" s="5"/>
      <c r="AF651" s="5"/>
      <c r="AG651" s="8">
        <f>IFERROR(__xludf.DUMMYFUNCTION("""COMPUTED_VALUE"""),46261.59280092592)</f>
        <v>46261.5928</v>
      </c>
      <c r="AH651" s="5" t="str">
        <f>IFERROR(__xludf.DUMMYFUNCTION("""COMPUTED_VALUE"""),"djordje.petrovic@fazi.rs")</f>
        <v>djordje.petrovic@fazi.rs</v>
      </c>
      <c r="AI651" s="13">
        <f>IFERROR(__xludf.DUMMYFUNCTION("""COMPUTED_VALUE"""),46204.0)</f>
        <v>46204</v>
      </c>
      <c r="AJ651" s="5"/>
      <c r="AK651" s="5">
        <f>IFERROR(__xludf.DUMMYFUNCTION("""COMPUTED_VALUE"""),1.0)</f>
        <v>1</v>
      </c>
      <c r="AL651" s="5" t="str">
        <f>IFERROR(__xludf.DUMMYFUNCTION("""COMPUTED_VALUE"""),"Yes")</f>
        <v>Yes</v>
      </c>
      <c r="AM651" s="5" t="str">
        <f>IFERROR(__xludf.DUMMYFUNCTION("""COMPUTED_VALUE"""),"No")</f>
        <v>No</v>
      </c>
      <c r="AN651" s="7" t="str">
        <f>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AO651" s="5" t="str">
        <f>IFERROR(__xludf.DUMMYFUNCTION("""COMPUTED_VALUE"""),"Yes")</f>
        <v>Yes</v>
      </c>
      <c r="AP651" s="5" t="str">
        <f>IFERROR(__xludf.DUMMYFUNCTION("""COMPUTED_VALUE"""),"Yes")</f>
        <v>Yes</v>
      </c>
      <c r="AQ651" s="5" t="b">
        <f>IFERROR(__xludf.DUMMYFUNCTION("""COMPUTED_VALUE"""),TRUE)</f>
        <v>1</v>
      </c>
      <c r="AR651" s="5"/>
      <c r="AS651" s="5" t="str">
        <f>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AT651" s="5"/>
      <c r="AU651" s="5" t="str">
        <f>IFERROR(__xludf.DUMMYFUNCTION("""COMPUTED_VALUE"""),"Fazi")</f>
        <v>Fazi</v>
      </c>
      <c r="AV651" s="5">
        <f>IFERROR(__xludf.DUMMYFUNCTION("""COMPUTED_VALUE"""),1.0)</f>
        <v>1</v>
      </c>
      <c r="AW651" s="5"/>
      <c r="AX651" s="13">
        <f>IFERROR(__xludf.DUMMYFUNCTION("""COMPUTED_VALUE"""),46035.0)</f>
        <v>46035</v>
      </c>
      <c r="AY651" s="5"/>
      <c r="AZ651" s="5"/>
      <c r="BA651" s="5"/>
      <c r="BB651" s="5" t="b">
        <f>IFERROR(__xludf.DUMMYFUNCTION("""COMPUTED_VALUE"""),TRUE)</f>
        <v>1</v>
      </c>
      <c r="BC651" s="5" t="str">
        <f>IFERROR(__xludf.DUMMYFUNCTION("""COMPUTED_VALUE"""),"Foxi")</f>
        <v>Foxi</v>
      </c>
      <c r="BD651" s="7" t="str">
        <f>IFERROR(__xludf.DUMMYFUNCTION("""COMPUTED_VALUE"""),"https://gameserver-store-client-area.orbionlimited.com/Home/IntegrationGameLaunch/client-area?moneyType=0&amp;gameName=GoldenDiamonds10Extreme&amp;platform=desktop&amp;languageCode=eng&amp;currency=EUR")</f>
        <v>https://gameserver-store-client-area.orbionlimited.com/Home/IntegrationGameLaunch/client-area?moneyType=0&amp;gameName=GoldenDiamonds10Extreme&amp;platform=desktop&amp;languageCode=eng&amp;currency=EUR</v>
      </c>
      <c r="BE651" s="5" t="b">
        <f>IFERROR(__xludf.DUMMYFUNCTION("""COMPUTED_VALUE"""),TRUE)</f>
        <v>1</v>
      </c>
    </row>
    <row r="652">
      <c r="A652" s="5">
        <f>IFERROR(__xludf.DUMMYFUNCTION("""COMPUTED_VALUE"""),687.0)</f>
        <v>687</v>
      </c>
      <c r="B652" s="5">
        <f>IFERROR(__xludf.DUMMYFUNCTION("""COMPUTED_VALUE"""),1013.0)</f>
        <v>1013</v>
      </c>
      <c r="C652" s="5" t="str">
        <f>IFERROR(__xludf.DUMMYFUNCTION("""COMPUTED_VALUE"""),"Fazi")</f>
        <v>Fazi</v>
      </c>
      <c r="D652" s="5" t="str">
        <f>IFERROR(__xludf.DUMMYFUNCTION("""COMPUTED_VALUE"""),"Golden Diamonds 20 Extreme")</f>
        <v>Golden Diamonds 20 Extreme</v>
      </c>
      <c r="E652" s="5" t="str">
        <f>IFERROR(__xludf.DUMMYFUNCTION("""COMPUTED_VALUE"""),"V4-1")</f>
        <v>V4-1</v>
      </c>
      <c r="F652" s="5" t="str">
        <f>IFERROR(__xludf.DUMMYFUNCTION("""COMPUTED_VALUE"""),"GoldenDiamonds20Extreme")</f>
        <v>GoldenDiamonds20Extreme</v>
      </c>
      <c r="G652" s="5" t="str">
        <f>IFERROR(__xludf.DUMMYFUNCTION("""COMPUTED_VALUE"""),"Live")</f>
        <v>Live</v>
      </c>
      <c r="H652" s="5"/>
      <c r="I652" s="5" t="str">
        <f>IFERROR(__xludf.DUMMYFUNCTION("""COMPUTED_VALUE"""),"V4")</f>
        <v>V4</v>
      </c>
      <c r="J652" s="5" t="str">
        <f>IFERROR(__xludf.DUMMYFUNCTION("""COMPUTED_VALUE"""),"JSON")</f>
        <v>JSON</v>
      </c>
      <c r="K652" s="5" t="str">
        <f>IFERROR(__xludf.DUMMYFUNCTION("""COMPUTED_VALUE"""),"Slot")</f>
        <v>Slot</v>
      </c>
      <c r="L652" s="5" t="str">
        <f>IFERROR(__xludf.DUMMYFUNCTION("""COMPUTED_VALUE""")," Variant")</f>
        <v> Variant</v>
      </c>
      <c r="M652" s="5"/>
      <c r="N652" s="7" t="str">
        <f>IFERROR(__xludf.DUMMYFUNCTION("""COMPUTED_VALUE"""),"https://drive.google.com/drive/folders/1HnVHEi4PxXKbJ6EWbWx4tNUyr2IpnDyp")</f>
        <v>https://drive.google.com/drive/folders/1HnVHEi4PxXKbJ6EWbWx4tNUyr2IpnDyp</v>
      </c>
      <c r="O652" s="7" t="str">
        <f>IFERROR(__xludf.DUMMYFUNCTION("""COMPUTED_VALUE"""),"https://drive.google.com/drive/folders/1HnVHEi4PxXKbJ6EWbWx4tNUyr2IpnDyp")</f>
        <v>https://drive.google.com/drive/folders/1HnVHEi4PxXKbJ6EWbWx4tNUyr2IpnDyp</v>
      </c>
      <c r="P652" s="12">
        <f>IFERROR(__xludf.DUMMYFUNCTION("""COMPUTED_VALUE"""),21.3)</f>
        <v>21.3</v>
      </c>
      <c r="Q652" s="13">
        <f>IFERROR(__xludf.DUMMYFUNCTION("""COMPUTED_VALUE"""),46041.0)</f>
        <v>46041</v>
      </c>
      <c r="R652" s="13">
        <f>IFERROR(__xludf.DUMMYFUNCTION("""COMPUTED_VALUE"""),46112.0)</f>
        <v>46112</v>
      </c>
      <c r="S652" s="13">
        <f>IFERROR(__xludf.DUMMYFUNCTION("""COMPUTED_VALUE"""),46119.0)</f>
        <v>46119</v>
      </c>
      <c r="T652" s="5" t="b">
        <f>IFERROR(__xludf.DUMMYFUNCTION("""COMPUTED_VALUE"""),TRUE)</f>
        <v>1</v>
      </c>
      <c r="U652" s="5" t="str">
        <f>IFERROR(__xludf.DUMMYFUNCTION("""COMPUTED_VALUE"""),"5x3")</f>
        <v>5x3</v>
      </c>
      <c r="V652" s="5">
        <f>IFERROR(__xludf.DUMMYFUNCTION("""COMPUTED_VALUE"""),20.0)</f>
        <v>20</v>
      </c>
      <c r="W652" s="5">
        <f>IFERROR(__xludf.DUMMYFUNCTION("""COMPUTED_VALUE"""),20.0)</f>
        <v>20</v>
      </c>
      <c r="X652" s="5">
        <f>IFERROR(__xludf.DUMMYFUNCTION("""COMPUTED_VALUE"""),96.453)</f>
        <v>96.453</v>
      </c>
      <c r="Y652" s="5" t="str">
        <f>IFERROR(__xludf.DUMMYFUNCTION("""COMPUTED_VALUE"""),"Low")</f>
        <v>Low</v>
      </c>
      <c r="Z652" s="5">
        <f>IFERROR(__xludf.DUMMYFUNCTION("""COMPUTED_VALUE"""),21.192)</f>
        <v>21.192</v>
      </c>
      <c r="AA652" s="5">
        <f>IFERROR(__xludf.DUMMYFUNCTION("""COMPUTED_VALUE"""),2765.0)</f>
        <v>2765</v>
      </c>
      <c r="AB652" s="5"/>
      <c r="AC652" s="5" t="str">
        <f>IFERROR(__xludf.DUMMYFUNCTION("""COMPUTED_VALUE"""),"Wild Symbol, Wild Multiplier")</f>
        <v>Wild Symbol, Wild Multiplier</v>
      </c>
      <c r="AD652" s="5" t="str">
        <f>IFERROR(__xludf.DUMMYFUNCTION("""COMPUTED_VALUE"""),"0.2/50")</f>
        <v>0.2/50</v>
      </c>
      <c r="AE652" s="5"/>
      <c r="AF652" s="5"/>
      <c r="AG652" s="8">
        <f>IFERROR(__xludf.DUMMYFUNCTION("""COMPUTED_VALUE"""),46161.53545138889)</f>
        <v>46161.53545</v>
      </c>
      <c r="AH652" s="5" t="str">
        <f>IFERROR(__xludf.DUMMYFUNCTION("""COMPUTED_VALUE"""),"djordje.petrovic@fazi.rs")</f>
        <v>djordje.petrovic@fazi.rs</v>
      </c>
      <c r="AI652" s="13">
        <f>IFERROR(__xludf.DUMMYFUNCTION("""COMPUTED_VALUE"""),46108.0)</f>
        <v>46108</v>
      </c>
      <c r="AJ652" s="5" t="str">
        <f>IFERROR(__xludf.DUMMYFUNCTION("""COMPUTED_VALUE"""),"27.03 Pinup (CIS)
27.03 Premirebet (Africa)")</f>
        <v>27.03 Pinup (CIS)
27.03 Premirebet (Africa)</v>
      </c>
      <c r="AK652" s="5">
        <f>IFERROR(__xludf.DUMMYFUNCTION("""COMPUTED_VALUE"""),2.0)</f>
        <v>2</v>
      </c>
      <c r="AL652" s="5" t="str">
        <f>IFERROR(__xludf.DUMMYFUNCTION("""COMPUTED_VALUE"""),"Yes")</f>
        <v>Yes</v>
      </c>
      <c r="AM652" s="5"/>
      <c r="AN652" s="7" t="str">
        <f>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AO652" s="5" t="str">
        <f>IFERROR(__xludf.DUMMYFUNCTION("""COMPUTED_VALUE"""),"Yes")</f>
        <v>Yes</v>
      </c>
      <c r="AP652" s="5" t="str">
        <f>IFERROR(__xludf.DUMMYFUNCTION("""COMPUTED_VALUE"""),"Yes")</f>
        <v>Yes</v>
      </c>
      <c r="AQ652" s="5" t="b">
        <f>IFERROR(__xludf.DUMMYFUNCTION("""COMPUTED_VALUE"""),TRUE)</f>
        <v>1</v>
      </c>
      <c r="AR652" s="5"/>
      <c r="AS652" s="5" t="str">
        <f>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AT652" s="5"/>
      <c r="AU652" s="5" t="str">
        <f>IFERROR(__xludf.DUMMYFUNCTION("""COMPUTED_VALUE"""),"Fazi")</f>
        <v>Fazi</v>
      </c>
      <c r="AV652" s="5">
        <f>IFERROR(__xludf.DUMMYFUNCTION("""COMPUTED_VALUE"""),2.0)</f>
        <v>2</v>
      </c>
      <c r="AW652" s="5"/>
      <c r="AX652" s="13">
        <f>IFERROR(__xludf.DUMMYFUNCTION("""COMPUTED_VALUE"""),46035.0)</f>
        <v>46035</v>
      </c>
      <c r="AY652" s="5"/>
      <c r="AZ652" s="5"/>
      <c r="BA652" s="5"/>
      <c r="BB652" s="5" t="b">
        <f>IFERROR(__xludf.DUMMYFUNCTION("""COMPUTED_VALUE"""),TRUE)</f>
        <v>1</v>
      </c>
      <c r="BC652" s="5" t="str">
        <f>IFERROR(__xludf.DUMMYFUNCTION("""COMPUTED_VALUE"""),"Foxi")</f>
        <v>Foxi</v>
      </c>
      <c r="BD652" s="7" t="str">
        <f>IFERROR(__xludf.DUMMYFUNCTION("""COMPUTED_VALUE"""),"https://gameserver-store-client-area.orbionlimited.com/Home/IntegrationGameLaunch/client-area?moneyType=0&amp;gameName=GoldenDiamonds20Extreme&amp;platform=desktop&amp;languageCode=eng&amp;currency=EUR")</f>
        <v>https://gameserver-store-client-area.orbionlimited.com/Home/IntegrationGameLaunch/client-area?moneyType=0&amp;gameName=GoldenDiamonds20Extreme&amp;platform=desktop&amp;languageCode=eng&amp;currency=EUR</v>
      </c>
      <c r="BE652" s="5" t="b">
        <f>IFERROR(__xludf.DUMMYFUNCTION("""COMPUTED_VALUE"""),TRUE)</f>
        <v>1</v>
      </c>
    </row>
    <row r="653">
      <c r="A653" s="5">
        <f>IFERROR(__xludf.DUMMYFUNCTION("""COMPUTED_VALUE"""),688.0)</f>
        <v>688</v>
      </c>
      <c r="B653" s="5">
        <f>IFERROR(__xludf.DUMMYFUNCTION("""COMPUTED_VALUE"""),1014.0)</f>
        <v>1014</v>
      </c>
      <c r="C653" s="5" t="str">
        <f>IFERROR(__xludf.DUMMYFUNCTION("""COMPUTED_VALUE"""),"Fazi")</f>
        <v>Fazi</v>
      </c>
      <c r="D653" s="5" t="str">
        <f>IFERROR(__xludf.DUMMYFUNCTION("""COMPUTED_VALUE"""),"Golden Diamonds 40 Extreme")</f>
        <v>Golden Diamonds 40 Extreme</v>
      </c>
      <c r="E653" s="5" t="str">
        <f>IFERROR(__xludf.DUMMYFUNCTION("""COMPUTED_VALUE"""),"V4-1")</f>
        <v>V4-1</v>
      </c>
      <c r="F653" s="5" t="str">
        <f>IFERROR(__xludf.DUMMYFUNCTION("""COMPUTED_VALUE"""),"GoldenDiamonds40Extreme")</f>
        <v>GoldenDiamonds40Extreme</v>
      </c>
      <c r="G653" s="5" t="str">
        <f>IFERROR(__xludf.DUMMYFUNCTION("""COMPUTED_VALUE"""),"Live")</f>
        <v>Live</v>
      </c>
      <c r="H653" s="5"/>
      <c r="I653" s="5" t="str">
        <f>IFERROR(__xludf.DUMMYFUNCTION("""COMPUTED_VALUE"""),"V4")</f>
        <v>V4</v>
      </c>
      <c r="J653" s="5" t="str">
        <f>IFERROR(__xludf.DUMMYFUNCTION("""COMPUTED_VALUE"""),"JSON")</f>
        <v>JSON</v>
      </c>
      <c r="K653" s="5" t="str">
        <f>IFERROR(__xludf.DUMMYFUNCTION("""COMPUTED_VALUE"""),"Slot")</f>
        <v>Slot</v>
      </c>
      <c r="L653" s="5" t="str">
        <f>IFERROR(__xludf.DUMMYFUNCTION("""COMPUTED_VALUE""")," Variant")</f>
        <v> Variant</v>
      </c>
      <c r="M653" s="5"/>
      <c r="N653" s="7" t="str">
        <f>IFERROR(__xludf.DUMMYFUNCTION("""COMPUTED_VALUE"""),"https://drive.google.com/drive/folders/15W_JO143whU1jyoTzq8StwjWT4vJ7trZ")</f>
        <v>https://drive.google.com/drive/folders/15W_JO143whU1jyoTzq8StwjWT4vJ7trZ</v>
      </c>
      <c r="O653" s="7" t="str">
        <f>IFERROR(__xludf.DUMMYFUNCTION("""COMPUTED_VALUE"""),"https://drive.google.com/drive/folders/15W_JO143whU1jyoTzq8StwjWT4vJ7trZ")</f>
        <v>https://drive.google.com/drive/folders/15W_JO143whU1jyoTzq8StwjWT4vJ7trZ</v>
      </c>
      <c r="P653" s="12">
        <f>IFERROR(__xludf.DUMMYFUNCTION("""COMPUTED_VALUE"""),18.4)</f>
        <v>18.4</v>
      </c>
      <c r="Q653" s="13">
        <f>IFERROR(__xludf.DUMMYFUNCTION("""COMPUTED_VALUE"""),46041.0)</f>
        <v>46041</v>
      </c>
      <c r="R653" s="13">
        <f>IFERROR(__xludf.DUMMYFUNCTION("""COMPUTED_VALUE"""),46191.0)</f>
        <v>46191</v>
      </c>
      <c r="S653" s="13">
        <f>IFERROR(__xludf.DUMMYFUNCTION("""COMPUTED_VALUE"""),46198.0)</f>
        <v>46198</v>
      </c>
      <c r="T653" s="5" t="b">
        <f>IFERROR(__xludf.DUMMYFUNCTION("""COMPUTED_VALUE"""),TRUE)</f>
        <v>1</v>
      </c>
      <c r="U653" s="5" t="str">
        <f>IFERROR(__xludf.DUMMYFUNCTION("""COMPUTED_VALUE"""),"5x3")</f>
        <v>5x3</v>
      </c>
      <c r="V653" s="5">
        <f>IFERROR(__xludf.DUMMYFUNCTION("""COMPUTED_VALUE"""),40.0)</f>
        <v>40</v>
      </c>
      <c r="W653" s="5">
        <f>IFERROR(__xludf.DUMMYFUNCTION("""COMPUTED_VALUE"""),40.0)</f>
        <v>40</v>
      </c>
      <c r="X653" s="5">
        <f>IFERROR(__xludf.DUMMYFUNCTION("""COMPUTED_VALUE"""),96.453)</f>
        <v>96.453</v>
      </c>
      <c r="Y653" s="5" t="str">
        <f>IFERROR(__xludf.DUMMYFUNCTION("""COMPUTED_VALUE"""),"Low")</f>
        <v>Low</v>
      </c>
      <c r="Z653" s="5">
        <f>IFERROR(__xludf.DUMMYFUNCTION("""COMPUTED_VALUE"""),22.711)</f>
        <v>22.711</v>
      </c>
      <c r="AA653" s="5">
        <f>IFERROR(__xludf.DUMMYFUNCTION("""COMPUTED_VALUE"""),1993.0)</f>
        <v>1993</v>
      </c>
      <c r="AB653" s="5"/>
      <c r="AC653" s="5" t="str">
        <f>IFERROR(__xludf.DUMMYFUNCTION("""COMPUTED_VALUE"""),"Wild Symbol, Wild Multiplier")</f>
        <v>Wild Symbol, Wild Multiplier</v>
      </c>
      <c r="AD653" s="5" t="str">
        <f>IFERROR(__xludf.DUMMYFUNCTION("""COMPUTED_VALUE"""),"0.4/40")</f>
        <v>0.4/40</v>
      </c>
      <c r="AE653" s="5"/>
      <c r="AF653" s="5"/>
      <c r="AG653" s="8">
        <f>IFERROR(__xludf.DUMMYFUNCTION("""COMPUTED_VALUE"""),46198.57407407407)</f>
        <v>46198.57407</v>
      </c>
      <c r="AH653" s="5" t="str">
        <f>IFERROR(__xludf.DUMMYFUNCTION("""COMPUTED_VALUE"""),"djordje.petrovic@fazi.rs")</f>
        <v>djordje.petrovic@fazi.rs</v>
      </c>
      <c r="AI653" s="13"/>
      <c r="AJ653" s="5" t="str">
        <f>IFERROR(__xludf.DUMMYFUNCTION("""COMPUTED_VALUE"""),"03.04. 1xbet B2B Aggregator ")</f>
        <v>03.04. 1xbet B2B Aggregator </v>
      </c>
      <c r="AK653" s="5">
        <f>IFERROR(__xludf.DUMMYFUNCTION("""COMPUTED_VALUE"""),4.0)</f>
        <v>4</v>
      </c>
      <c r="AL653" s="5" t="str">
        <f>IFERROR(__xludf.DUMMYFUNCTION("""COMPUTED_VALUE"""),"Yes")</f>
        <v>Yes</v>
      </c>
      <c r="AM653" s="5"/>
      <c r="AN653" s="7" t="str">
        <f>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AO653" s="5" t="str">
        <f>IFERROR(__xludf.DUMMYFUNCTION("""COMPUTED_VALUE"""),"Yes")</f>
        <v>Yes</v>
      </c>
      <c r="AP653" s="5" t="str">
        <f>IFERROR(__xludf.DUMMYFUNCTION("""COMPUTED_VALUE"""),"Yes")</f>
        <v>Yes</v>
      </c>
      <c r="AQ653" s="5" t="b">
        <f>IFERROR(__xludf.DUMMYFUNCTION("""COMPUTED_VALUE"""),TRUE)</f>
        <v>1</v>
      </c>
      <c r="AR653" s="5"/>
      <c r="AS653" s="5" t="str">
        <f>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AT653" s="5"/>
      <c r="AU653" s="5" t="str">
        <f>IFERROR(__xludf.DUMMYFUNCTION("""COMPUTED_VALUE"""),"Fazi")</f>
        <v>Fazi</v>
      </c>
      <c r="AV653" s="5">
        <f>IFERROR(__xludf.DUMMYFUNCTION("""COMPUTED_VALUE"""),4.0)</f>
        <v>4</v>
      </c>
      <c r="AW653" s="5"/>
      <c r="AX653" s="13">
        <f>IFERROR(__xludf.DUMMYFUNCTION("""COMPUTED_VALUE"""),46035.0)</f>
        <v>46035</v>
      </c>
      <c r="AY653" s="5"/>
      <c r="AZ653" s="5"/>
      <c r="BA653" s="5"/>
      <c r="BB653" s="5" t="b">
        <f>IFERROR(__xludf.DUMMYFUNCTION("""COMPUTED_VALUE"""),TRUE)</f>
        <v>1</v>
      </c>
      <c r="BC653" s="5" t="str">
        <f>IFERROR(__xludf.DUMMYFUNCTION("""COMPUTED_VALUE"""),"Foxi")</f>
        <v>Foxi</v>
      </c>
      <c r="BD653" s="7" t="str">
        <f>IFERROR(__xludf.DUMMYFUNCTION("""COMPUTED_VALUE"""),"https://gameserver-store-client-area.orbionlimited.com/Home/IntegrationGameLaunch/client-area?moneyType=0&amp;gameName=GoldenDiamonds40Extreme&amp;platform=desktop&amp;languageCode=eng&amp;currency=EUR")</f>
        <v>https://gameserver-store-client-area.orbionlimited.com/Home/IntegrationGameLaunch/client-area?moneyType=0&amp;gameName=GoldenDiamonds40Extreme&amp;platform=desktop&amp;languageCode=eng&amp;currency=EUR</v>
      </c>
      <c r="BE653" s="5" t="b">
        <f>IFERROR(__xludf.DUMMYFUNCTION("""COMPUTED_VALUE"""),TRUE)</f>
        <v>1</v>
      </c>
    </row>
    <row r="654">
      <c r="A654" s="5">
        <f>IFERROR(__xludf.DUMMYFUNCTION("""COMPUTED_VALUE"""),689.0)</f>
        <v>689</v>
      </c>
      <c r="B654" s="5">
        <f>IFERROR(__xludf.DUMMYFUNCTION("""COMPUTED_VALUE"""),1016.0)</f>
        <v>1016</v>
      </c>
      <c r="C654" s="5" t="str">
        <f>IFERROR(__xludf.DUMMYFUNCTION("""COMPUTED_VALUE"""),"Fazi")</f>
        <v>Fazi</v>
      </c>
      <c r="D654" s="5" t="str">
        <f>IFERROR(__xludf.DUMMYFUNCTION("""COMPUTED_VALUE"""),"Very Hot 5 Extreme Booster")</f>
        <v>Very Hot 5 Extreme Booster</v>
      </c>
      <c r="E654" s="5" t="str">
        <f>IFERROR(__xludf.DUMMYFUNCTION("""COMPUTED_VALUE"""),"V4-1")</f>
        <v>V4-1</v>
      </c>
      <c r="F654" s="5" t="str">
        <f>IFERROR(__xludf.DUMMYFUNCTION("""COMPUTED_VALUE"""),"VeryHot5ExtremeBooster")</f>
        <v>VeryHot5ExtremeBooster</v>
      </c>
      <c r="G654" s="5" t="str">
        <f>IFERROR(__xludf.DUMMYFUNCTION("""COMPUTED_VALUE"""),"Live")</f>
        <v>Live</v>
      </c>
      <c r="H654" s="5"/>
      <c r="I654" s="5" t="str">
        <f>IFERROR(__xludf.DUMMYFUNCTION("""COMPUTED_VALUE"""),"V4")</f>
        <v>V4</v>
      </c>
      <c r="J654" s="5" t="str">
        <f>IFERROR(__xludf.DUMMYFUNCTION("""COMPUTED_VALUE"""),"JSON")</f>
        <v>JSON</v>
      </c>
      <c r="K654" s="5" t="str">
        <f>IFERROR(__xludf.DUMMYFUNCTION("""COMPUTED_VALUE"""),"Slot")</f>
        <v>Slot</v>
      </c>
      <c r="L654" s="5" t="str">
        <f>IFERROR(__xludf.DUMMYFUNCTION("""COMPUTED_VALUE""")," Variant")</f>
        <v> Variant</v>
      </c>
      <c r="M654" s="5" t="str">
        <f>IFERROR(__xludf.DUMMYFUNCTION("""COMPUTED_VALUE"""),"Very Hot 5 Extreme")</f>
        <v>Very Hot 5 Extreme</v>
      </c>
      <c r="N654" s="7" t="str">
        <f>IFERROR(__xludf.DUMMYFUNCTION("""COMPUTED_VALUE"""),"https://drive.google.com/file/d/1uKxsK28uuel4f8owE_hN_qMDkruf2IIT/view?usp=sharing")</f>
        <v>https://drive.google.com/file/d/1uKxsK28uuel4f8owE_hN_qMDkruf2IIT/view?usp=sharing</v>
      </c>
      <c r="O654" s="7" t="str">
        <f>IFERROR(__xludf.DUMMYFUNCTION("""COMPUTED_VALUE"""),"https://drive.google.com/file/d/1KJayTqepJFhYyOf6YZSno32J8lstTtX1/view?usp=sharing")</f>
        <v>https://drive.google.com/file/d/1KJayTqepJFhYyOf6YZSno32J8lstTtX1/view?usp=sharing</v>
      </c>
      <c r="P654" s="12">
        <f>IFERROR(__xludf.DUMMYFUNCTION("""COMPUTED_VALUE"""),17.25)</f>
        <v>17.25</v>
      </c>
      <c r="Q654" s="13">
        <f>IFERROR(__xludf.DUMMYFUNCTION("""COMPUTED_VALUE"""),46041.0)</f>
        <v>46041</v>
      </c>
      <c r="R654" s="13"/>
      <c r="S654" s="13">
        <f>IFERROR(__xludf.DUMMYFUNCTION("""COMPUTED_VALUE"""),46079.0)</f>
        <v>46079</v>
      </c>
      <c r="T654" s="5" t="b">
        <f>IFERROR(__xludf.DUMMYFUNCTION("""COMPUTED_VALUE"""),TRUE)</f>
        <v>1</v>
      </c>
      <c r="U654" s="5" t="str">
        <f>IFERROR(__xludf.DUMMYFUNCTION("""COMPUTED_VALUE"""),"5x3")</f>
        <v>5x3</v>
      </c>
      <c r="V654" s="5">
        <f>IFERROR(__xludf.DUMMYFUNCTION("""COMPUTED_VALUE"""),5.0)</f>
        <v>5</v>
      </c>
      <c r="W654" s="5">
        <f>IFERROR(__xludf.DUMMYFUNCTION("""COMPUTED_VALUE"""),5.0)</f>
        <v>5</v>
      </c>
      <c r="X654" s="5">
        <f>IFERROR(__xludf.DUMMYFUNCTION("""COMPUTED_VALUE"""),96.453)</f>
        <v>96.453</v>
      </c>
      <c r="Y654" s="5" t="str">
        <f>IFERROR(__xludf.DUMMYFUNCTION("""COMPUTED_VALUE"""),"Medium")</f>
        <v>Medium</v>
      </c>
      <c r="Z654" s="5">
        <f>IFERROR(__xludf.DUMMYFUNCTION("""COMPUTED_VALUE"""),14.234)</f>
        <v>14.234</v>
      </c>
      <c r="AA654" s="5">
        <f>IFERROR(__xludf.DUMMYFUNCTION("""COMPUTED_VALUE"""),2624.0)</f>
        <v>2624</v>
      </c>
      <c r="AB654" s="5">
        <f>IFERROR(__xludf.DUMMYFUNCTION("""COMPUTED_VALUE"""),6.0)</f>
        <v>6</v>
      </c>
      <c r="AC654" s="5" t="str">
        <f>IFERROR(__xludf.DUMMYFUNCTION("""COMPUTED_VALUE"""),"Wild Symbol, Wild Multiplier")</f>
        <v>Wild Symbol, Wild Multiplier</v>
      </c>
      <c r="AD654" s="5" t="str">
        <f>IFERROR(__xludf.DUMMYFUNCTION("""COMPUTED_VALUE"""),"0.1/50")</f>
        <v>0.1/50</v>
      </c>
      <c r="AE654" s="5"/>
      <c r="AF654" s="5"/>
      <c r="AG654" s="8">
        <f>IFERROR(__xludf.DUMMYFUNCTION("""COMPUTED_VALUE"""),46175.52378472222)</f>
        <v>46175.52378</v>
      </c>
      <c r="AH654" s="5" t="str">
        <f>IFERROR(__xludf.DUMMYFUNCTION("""COMPUTED_VALUE"""),"selena.mihajlovic@fazi.rs")</f>
        <v>selena.mihajlovic@fazi.rs</v>
      </c>
      <c r="AI654" s="13">
        <f>IFERROR(__xludf.DUMMYFUNCTION("""COMPUTED_VALUE"""),46049.0)</f>
        <v>46049</v>
      </c>
      <c r="AJ654" s="5" t="str">
        <f>IFERROR(__xludf.DUMMYFUNCTION("""COMPUTED_VALUE"""),"27.01. KoralPlay (BetConstruct)
27.01. Volcano MNE
02.02. Mostbet (Nirex)
12.02. 777.be")</f>
        <v>27.01. KoralPlay (BetConstruct)
27.01. Volcano MNE
02.02. Mostbet (Nirex)
12.02. 777.be</v>
      </c>
      <c r="AK654" s="5">
        <f>IFERROR(__xludf.DUMMYFUNCTION("""COMPUTED_VALUE"""),1.0)</f>
        <v>1</v>
      </c>
      <c r="AL654" s="5" t="str">
        <f>IFERROR(__xludf.DUMMYFUNCTION("""COMPUTED_VALUE"""),"Yes")</f>
        <v>Yes</v>
      </c>
      <c r="AM654" s="5"/>
      <c r="AN654" s="7" t="str">
        <f>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AO654" s="5" t="str">
        <f>IFERROR(__xludf.DUMMYFUNCTION("""COMPUTED_VALUE"""),"Yes")</f>
        <v>Yes</v>
      </c>
      <c r="AP654" s="5" t="str">
        <f>IFERROR(__xludf.DUMMYFUNCTION("""COMPUTED_VALUE"""),"Yes")</f>
        <v>Yes</v>
      </c>
      <c r="AQ654" s="5" t="b">
        <f>IFERROR(__xludf.DUMMYFUNCTION("""COMPUTED_VALUE"""),TRUE)</f>
        <v>1</v>
      </c>
      <c r="AR654" s="5"/>
      <c r="AS654" s="5" t="str">
        <f>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AT654" s="5"/>
      <c r="AU654" s="5" t="str">
        <f>IFERROR(__xludf.DUMMYFUNCTION("""COMPUTED_VALUE"""),"Fazi")</f>
        <v>Fazi</v>
      </c>
      <c r="AV654" s="5">
        <f>IFERROR(__xludf.DUMMYFUNCTION("""COMPUTED_VALUE"""),1.0)</f>
        <v>1</v>
      </c>
      <c r="AW654" s="5"/>
      <c r="AX654" s="13">
        <f>IFERROR(__xludf.DUMMYFUNCTION("""COMPUTED_VALUE"""),46035.0)</f>
        <v>46035</v>
      </c>
      <c r="AY654" s="5"/>
      <c r="AZ654" s="5"/>
      <c r="BA654" s="5">
        <f>IFERROR(__xludf.DUMMYFUNCTION("""COMPUTED_VALUE"""),5.0)</f>
        <v>5</v>
      </c>
      <c r="BB654" s="5" t="b">
        <f>IFERROR(__xludf.DUMMYFUNCTION("""COMPUTED_VALUE"""),TRUE)</f>
        <v>1</v>
      </c>
      <c r="BC654" s="5" t="str">
        <f>IFERROR(__xludf.DUMMYFUNCTION("""COMPUTED_VALUE"""),"Foxi")</f>
        <v>Foxi</v>
      </c>
      <c r="BD654" s="7" t="str">
        <f>IFERROR(__xludf.DUMMYFUNCTION("""COMPUTED_VALUE"""),"https://gameserver-store-client-area.orbionlimited.com/Home/IntegrationGameLaunch/client-area?moneyType=0&amp;gameName=VeryHot5ExtremeBooster&amp;platform=desktop&amp;languageCode=eng&amp;currency=EUR")</f>
        <v>https://gameserver-store-client-area.orbionlimited.com/Home/IntegrationGameLaunch/client-area?moneyType=0&amp;gameName=VeryHot5ExtremeBooster&amp;platform=desktop&amp;languageCode=eng&amp;currency=EUR</v>
      </c>
      <c r="BE654" s="5" t="b">
        <f>IFERROR(__xludf.DUMMYFUNCTION("""COMPUTED_VALUE"""),TRUE)</f>
        <v>1</v>
      </c>
    </row>
    <row r="655">
      <c r="A655" s="5">
        <f>IFERROR(__xludf.DUMMYFUNCTION("""COMPUTED_VALUE"""),690.0)</f>
        <v>690</v>
      </c>
      <c r="B655" s="5">
        <f>IFERROR(__xludf.DUMMYFUNCTION("""COMPUTED_VALUE"""),1018.0)</f>
        <v>1018</v>
      </c>
      <c r="C655" s="5" t="str">
        <f>IFERROR(__xludf.DUMMYFUNCTION("""COMPUTED_VALUE"""),"Fazi")</f>
        <v>Fazi</v>
      </c>
      <c r="D655" s="5" t="str">
        <f>IFERROR(__xludf.DUMMYFUNCTION("""COMPUTED_VALUE"""),"Locked Hearts 10")</f>
        <v>Locked Hearts 10</v>
      </c>
      <c r="E655" s="5" t="str">
        <f>IFERROR(__xludf.DUMMYFUNCTION("""COMPUTED_VALUE"""),"V4-1")</f>
        <v>V4-1</v>
      </c>
      <c r="F655" s="5" t="str">
        <f>IFERROR(__xludf.DUMMYFUNCTION("""COMPUTED_VALUE"""),"LockedHearts10")</f>
        <v>LockedHearts10</v>
      </c>
      <c r="G655" s="5" t="str">
        <f>IFERROR(__xludf.DUMMYFUNCTION("""COMPUTED_VALUE"""),"Live")</f>
        <v>Live</v>
      </c>
      <c r="H655" s="5"/>
      <c r="I655" s="5" t="str">
        <f>IFERROR(__xludf.DUMMYFUNCTION("""COMPUTED_VALUE"""),"V4")</f>
        <v>V4</v>
      </c>
      <c r="J655" s="5" t="str">
        <f>IFERROR(__xludf.DUMMYFUNCTION("""COMPUTED_VALUE"""),"JSON")</f>
        <v>JSON</v>
      </c>
      <c r="K655" s="5" t="str">
        <f>IFERROR(__xludf.DUMMYFUNCTION("""COMPUTED_VALUE"""),"Slot")</f>
        <v>Slot</v>
      </c>
      <c r="L655" s="5" t="str">
        <f>IFERROR(__xludf.DUMMYFUNCTION("""COMPUTED_VALUE"""),"Master")</f>
        <v>Master</v>
      </c>
      <c r="M655" s="5"/>
      <c r="N655" s="5"/>
      <c r="O655" s="5"/>
      <c r="P655" s="12">
        <f>IFERROR(__xludf.DUMMYFUNCTION("""COMPUTED_VALUE"""),18.4)</f>
        <v>18.4</v>
      </c>
      <c r="Q655" s="13">
        <f>IFERROR(__xludf.DUMMYFUNCTION("""COMPUTED_VALUE"""),46055.0)</f>
        <v>46055</v>
      </c>
      <c r="R655" s="13">
        <f>IFERROR(__xludf.DUMMYFUNCTION("""COMPUTED_VALUE"""),46058.0)</f>
        <v>46058</v>
      </c>
      <c r="S655" s="13">
        <f>IFERROR(__xludf.DUMMYFUNCTION("""COMPUTED_VALUE"""),46065.0)</f>
        <v>46065</v>
      </c>
      <c r="T655" s="5" t="b">
        <f>IFERROR(__xludf.DUMMYFUNCTION("""COMPUTED_VALUE"""),TRUE)</f>
        <v>1</v>
      </c>
      <c r="U655" s="5" t="str">
        <f>IFERROR(__xludf.DUMMYFUNCTION("""COMPUTED_VALUE"""),"5x3")</f>
        <v>5x3</v>
      </c>
      <c r="V655" s="5">
        <f>IFERROR(__xludf.DUMMYFUNCTION("""COMPUTED_VALUE"""),10.0)</f>
        <v>10</v>
      </c>
      <c r="W655" s="5">
        <f>IFERROR(__xludf.DUMMYFUNCTION("""COMPUTED_VALUE"""),10.0)</f>
        <v>10</v>
      </c>
      <c r="X655" s="5">
        <f>IFERROR(__xludf.DUMMYFUNCTION("""COMPUTED_VALUE"""),96.572)</f>
        <v>96.572</v>
      </c>
      <c r="Y655" s="5" t="str">
        <f>IFERROR(__xludf.DUMMYFUNCTION("""COMPUTED_VALUE"""),"High")</f>
        <v>High</v>
      </c>
      <c r="Z655" s="5">
        <f>IFERROR(__xludf.DUMMYFUNCTION("""COMPUTED_VALUE"""),11.072)</f>
        <v>11.072</v>
      </c>
      <c r="AA655" s="5">
        <f>IFERROR(__xludf.DUMMYFUNCTION("""COMPUTED_VALUE"""),4000.0)</f>
        <v>4000</v>
      </c>
      <c r="AB655" s="5">
        <f>IFERROR(__xludf.DUMMYFUNCTION("""COMPUTED_VALUE"""),188.0)</f>
        <v>188</v>
      </c>
      <c r="AC655" s="5" t="str">
        <f>IFERROR(__xludf.DUMMYFUNCTION("""COMPUTED_VALUE"""),"Expanding Wild, Buy Bonus, Bonus Game with Free Spins, Bonus Game with Sticky Wild, Sticky Wild")</f>
        <v>Expanding Wild, Buy Bonus, Bonus Game with Free Spins, Bonus Game with Sticky Wild, Sticky Wild</v>
      </c>
      <c r="AD655" s="5" t="str">
        <f>IFERROR(__xludf.DUMMYFUNCTION("""COMPUTED_VALUE"""),"0.1/50")</f>
        <v>0.1/50</v>
      </c>
      <c r="AE655" s="5"/>
      <c r="AF655" s="5"/>
      <c r="AG655" s="8">
        <f>IFERROR(__xludf.DUMMYFUNCTION("""COMPUTED_VALUE"""),46140.65814814815)</f>
        <v>46140.65815</v>
      </c>
      <c r="AH655" s="5" t="str">
        <f>IFERROR(__xludf.DUMMYFUNCTION("""COMPUTED_VALUE"""),"selena.mihajlovic@fazi.rs")</f>
        <v>selena.mihajlovic@fazi.rs</v>
      </c>
      <c r="AI655" s="13"/>
      <c r="AJ655" s="5"/>
      <c r="AK655" s="5">
        <f>IFERROR(__xludf.DUMMYFUNCTION("""COMPUTED_VALUE"""),1.0)</f>
        <v>1</v>
      </c>
      <c r="AL655" s="5" t="str">
        <f>IFERROR(__xludf.DUMMYFUNCTION("""COMPUTED_VALUE"""),"Yes")</f>
        <v>Yes</v>
      </c>
      <c r="AM655" s="5" t="str">
        <f>IFERROR(__xludf.DUMMYFUNCTION("""COMPUTED_VALUE"""),"Yes")</f>
        <v>Yes</v>
      </c>
      <c r="AN655" s="7" t="str">
        <f>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AO655" s="5" t="str">
        <f>IFERROR(__xludf.DUMMYFUNCTION("""COMPUTED_VALUE"""),"Yes")</f>
        <v>Yes</v>
      </c>
      <c r="AP655" s="5" t="str">
        <f>IFERROR(__xludf.DUMMYFUNCTION("""COMPUTED_VALUE"""),"Yes")</f>
        <v>Yes</v>
      </c>
      <c r="AQ655" s="5" t="b">
        <f>IFERROR(__xludf.DUMMYFUNCTION("""COMPUTED_VALUE"""),TRUE)</f>
        <v>1</v>
      </c>
      <c r="AR655" s="5"/>
      <c r="AS655" s="5" t="str">
        <f>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AT655" s="5" t="str">
        <f>IFERROR(__xludf.DUMMYFUNCTION("""COMPUTED_VALUE"""),"Yes")</f>
        <v>Yes</v>
      </c>
      <c r="AU655" s="5" t="str">
        <f>IFERROR(__xludf.DUMMYFUNCTION("""COMPUTED_VALUE"""),"Fazi")</f>
        <v>Fazi</v>
      </c>
      <c r="AV655" s="5">
        <f>IFERROR(__xludf.DUMMYFUNCTION("""COMPUTED_VALUE"""),1.0)</f>
        <v>1</v>
      </c>
      <c r="AW655" s="5"/>
      <c r="AX655" s="13">
        <f>IFERROR(__xludf.DUMMYFUNCTION("""COMPUTED_VALUE"""),46049.0)</f>
        <v>46049</v>
      </c>
      <c r="AY655" s="5"/>
      <c r="AZ655" s="5"/>
      <c r="BA655" s="5" t="str">
        <f>IFERROR(__xludf.DUMMYFUNCTION("""COMPUTED_VALUE"""),"70, 130, 250")</f>
        <v>70, 130, 250</v>
      </c>
      <c r="BB655" s="5" t="b">
        <f>IFERROR(__xludf.DUMMYFUNCTION("""COMPUTED_VALUE"""),TRUE)</f>
        <v>1</v>
      </c>
      <c r="BC655" s="5" t="str">
        <f>IFERROR(__xludf.DUMMYFUNCTION("""COMPUTED_VALUE"""),"Foxi")</f>
        <v>Foxi</v>
      </c>
      <c r="BD655" s="7" t="str">
        <f>IFERROR(__xludf.DUMMYFUNCTION("""COMPUTED_VALUE"""),"https://gameserver-store-client-area.orbionlimited.com/Home/IntegrationGameLaunch/client-area?moneyType=0&amp;gameName=LockedHearts10&amp;platform=desktop&amp;languageCode=eng&amp;currency=EUR")</f>
        <v>https://gameserver-store-client-area.orbionlimited.com/Home/IntegrationGameLaunch/client-area?moneyType=0&amp;gameName=LockedHearts10&amp;platform=desktop&amp;languageCode=eng&amp;currency=EUR</v>
      </c>
      <c r="BE655" s="5" t="b">
        <f>IFERROR(__xludf.DUMMYFUNCTION("""COMPUTED_VALUE"""),TRUE)</f>
        <v>1</v>
      </c>
    </row>
    <row r="656">
      <c r="A656" s="5">
        <f>IFERROR(__xludf.DUMMYFUNCTION("""COMPUTED_VALUE"""),691.0)</f>
        <v>691</v>
      </c>
      <c r="B656" s="5">
        <f>IFERROR(__xludf.DUMMYFUNCTION("""COMPUTED_VALUE"""),1017.0)</f>
        <v>1017</v>
      </c>
      <c r="C656" s="5" t="str">
        <f>IFERROR(__xludf.DUMMYFUNCTION("""COMPUTED_VALUE"""),"Fazi")</f>
        <v>Fazi</v>
      </c>
      <c r="D656" s="5" t="str">
        <f>IFERROR(__xludf.DUMMYFUNCTION("""COMPUTED_VALUE"""),"Locked Hearts 5")</f>
        <v>Locked Hearts 5</v>
      </c>
      <c r="E656" s="5" t="str">
        <f>IFERROR(__xludf.DUMMYFUNCTION("""COMPUTED_VALUE"""),"V4-1")</f>
        <v>V4-1</v>
      </c>
      <c r="F656" s="5" t="str">
        <f>IFERROR(__xludf.DUMMYFUNCTION("""COMPUTED_VALUE"""),"LockedHearts5")</f>
        <v>LockedHearts5</v>
      </c>
      <c r="G656" s="5" t="str">
        <f>IFERROR(__xludf.DUMMYFUNCTION("""COMPUTED_VALUE"""),"Live")</f>
        <v>Live</v>
      </c>
      <c r="H656" s="5"/>
      <c r="I656" s="5" t="str">
        <f>IFERROR(__xludf.DUMMYFUNCTION("""COMPUTED_VALUE"""),"V4")</f>
        <v>V4</v>
      </c>
      <c r="J656" s="5" t="str">
        <f>IFERROR(__xludf.DUMMYFUNCTION("""COMPUTED_VALUE"""),"JSON")</f>
        <v>JSON</v>
      </c>
      <c r="K656" s="5" t="str">
        <f>IFERROR(__xludf.DUMMYFUNCTION("""COMPUTED_VALUE"""),"Slot")</f>
        <v>Slot</v>
      </c>
      <c r="L656" s="5" t="str">
        <f>IFERROR(__xludf.DUMMYFUNCTION("""COMPUTED_VALUE""")," Variant")</f>
        <v> Variant</v>
      </c>
      <c r="M656" s="5"/>
      <c r="N656" s="7" t="str">
        <f>IFERROR(__xludf.DUMMYFUNCTION("""COMPUTED_VALUE"""),"https://drive.google.com/drive/folders/1bXlt7cMiEKnlMZtBB43dP0-Em2ggzBUA")</f>
        <v>https://drive.google.com/drive/folders/1bXlt7cMiEKnlMZtBB43dP0-Em2ggzBUA</v>
      </c>
      <c r="O656" s="7" t="str">
        <f>IFERROR(__xludf.DUMMYFUNCTION("""COMPUTED_VALUE"""),"https://drive.google.com/drive/folders/1bXlt7cMiEKnlMZtBB43dP0-Em2ggzBUA")</f>
        <v>https://drive.google.com/drive/folders/1bXlt7cMiEKnlMZtBB43dP0-Em2ggzBUA</v>
      </c>
      <c r="P656" s="12">
        <f>IFERROR(__xludf.DUMMYFUNCTION("""COMPUTED_VALUE"""),18.4)</f>
        <v>18.4</v>
      </c>
      <c r="Q656" s="13">
        <f>IFERROR(__xludf.DUMMYFUNCTION("""COMPUTED_VALUE"""),46097.0)</f>
        <v>46097</v>
      </c>
      <c r="R656" s="13">
        <f>IFERROR(__xludf.DUMMYFUNCTION("""COMPUTED_VALUE"""),46114.0)</f>
        <v>46114</v>
      </c>
      <c r="S656" s="13">
        <f>IFERROR(__xludf.DUMMYFUNCTION("""COMPUTED_VALUE"""),46121.0)</f>
        <v>46121</v>
      </c>
      <c r="T656" s="5" t="b">
        <f>IFERROR(__xludf.DUMMYFUNCTION("""COMPUTED_VALUE"""),TRUE)</f>
        <v>1</v>
      </c>
      <c r="U656" s="5" t="str">
        <f>IFERROR(__xludf.DUMMYFUNCTION("""COMPUTED_VALUE"""),"5x3")</f>
        <v>5x3</v>
      </c>
      <c r="V656" s="5">
        <f>IFERROR(__xludf.DUMMYFUNCTION("""COMPUTED_VALUE"""),5.0)</f>
        <v>5</v>
      </c>
      <c r="W656" s="5">
        <f>IFERROR(__xludf.DUMMYFUNCTION("""COMPUTED_VALUE"""),5.0)</f>
        <v>5</v>
      </c>
      <c r="X656" s="5">
        <f>IFERROR(__xludf.DUMMYFUNCTION("""COMPUTED_VALUE"""),96.572)</f>
        <v>96.572</v>
      </c>
      <c r="Y656" s="5" t="str">
        <f>IFERROR(__xludf.DUMMYFUNCTION("""COMPUTED_VALUE"""),"High")</f>
        <v>High</v>
      </c>
      <c r="Z656" s="5">
        <f>IFERROR(__xludf.DUMMYFUNCTION("""COMPUTED_VALUE"""),9.27)</f>
        <v>9.27</v>
      </c>
      <c r="AA656" s="5">
        <f>IFERROR(__xludf.DUMMYFUNCTION("""COMPUTED_VALUE"""),4000.0)</f>
        <v>4000</v>
      </c>
      <c r="AB656" s="5">
        <f>IFERROR(__xludf.DUMMYFUNCTION("""COMPUTED_VALUE"""),188.0)</f>
        <v>188</v>
      </c>
      <c r="AC656" s="5" t="str">
        <f>IFERROR(__xludf.DUMMYFUNCTION("""COMPUTED_VALUE"""),"Expanding Wild, Sticky Wild, Bonus Game with Sticky Wild, Bonus Game with Free Spins, Buy Bonus")</f>
        <v>Expanding Wild, Sticky Wild, Bonus Game with Sticky Wild, Bonus Game with Free Spins, Buy Bonus</v>
      </c>
      <c r="AD656" s="5" t="str">
        <f>IFERROR(__xludf.DUMMYFUNCTION("""COMPUTED_VALUE"""),"0.1/50")</f>
        <v>0.1/50</v>
      </c>
      <c r="AE656" s="5"/>
      <c r="AF656" s="5"/>
      <c r="AG656" s="8">
        <f>IFERROR(__xludf.DUMMYFUNCTION("""COMPUTED_VALUE"""),46140.659108796295)</f>
        <v>46140.65911</v>
      </c>
      <c r="AH656" s="5" t="str">
        <f>IFERROR(__xludf.DUMMYFUNCTION("""COMPUTED_VALUE"""),"selena.mihajlovic@fazi.rs")</f>
        <v>selena.mihajlovic@fazi.rs</v>
      </c>
      <c r="AI656" s="13"/>
      <c r="AJ656" s="5"/>
      <c r="AK656" s="5">
        <f>IFERROR(__xludf.DUMMYFUNCTION("""COMPUTED_VALUE"""),1.0)</f>
        <v>1</v>
      </c>
      <c r="AL656" s="5" t="str">
        <f>IFERROR(__xludf.DUMMYFUNCTION("""COMPUTED_VALUE"""),"Yes")</f>
        <v>Yes</v>
      </c>
      <c r="AM656" s="5" t="str">
        <f>IFERROR(__xludf.DUMMYFUNCTION("""COMPUTED_VALUE"""),"Yes")</f>
        <v>Yes</v>
      </c>
      <c r="AN656" s="7" t="str">
        <f>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AO656" s="5" t="str">
        <f>IFERROR(__xludf.DUMMYFUNCTION("""COMPUTED_VALUE"""),"Yes")</f>
        <v>Yes</v>
      </c>
      <c r="AP656" s="5" t="str">
        <f>IFERROR(__xludf.DUMMYFUNCTION("""COMPUTED_VALUE"""),"Yes")</f>
        <v>Yes</v>
      </c>
      <c r="AQ656" s="5" t="b">
        <f>IFERROR(__xludf.DUMMYFUNCTION("""COMPUTED_VALUE"""),TRUE)</f>
        <v>1</v>
      </c>
      <c r="AR656" s="5"/>
      <c r="AS656" s="5" t="str">
        <f>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AT656" s="5" t="str">
        <f>IFERROR(__xludf.DUMMYFUNCTION("""COMPUTED_VALUE"""),"Yes")</f>
        <v>Yes</v>
      </c>
      <c r="AU656" s="5" t="str">
        <f>IFERROR(__xludf.DUMMYFUNCTION("""COMPUTED_VALUE"""),"Fazi")</f>
        <v>Fazi</v>
      </c>
      <c r="AV656" s="5">
        <f>IFERROR(__xludf.DUMMYFUNCTION("""COMPUTED_VALUE"""),1.0)</f>
        <v>1</v>
      </c>
      <c r="AW656" s="5"/>
      <c r="AX656" s="13">
        <f>IFERROR(__xludf.DUMMYFUNCTION("""COMPUTED_VALUE"""),46091.0)</f>
        <v>46091</v>
      </c>
      <c r="AY656" s="5"/>
      <c r="AZ656" s="5"/>
      <c r="BA656" s="5" t="str">
        <f>IFERROR(__xludf.DUMMYFUNCTION("""COMPUTED_VALUE"""),"70, 130, 250")</f>
        <v>70, 130, 250</v>
      </c>
      <c r="BB656" s="5" t="b">
        <f>IFERROR(__xludf.DUMMYFUNCTION("""COMPUTED_VALUE"""),TRUE)</f>
        <v>1</v>
      </c>
      <c r="BC656" s="5" t="str">
        <f>IFERROR(__xludf.DUMMYFUNCTION("""COMPUTED_VALUE"""),"Foxi")</f>
        <v>Foxi</v>
      </c>
      <c r="BD656" s="7" t="str">
        <f>IFERROR(__xludf.DUMMYFUNCTION("""COMPUTED_VALUE"""),"https://gameserver-store-client-area.orbionlimited.com/Home/IntegrationGameLaunch/client-area?moneyType=0&amp;gameName=LockedHearts5&amp;platform=desktop&amp;languageCode=eng&amp;currency=EUR")</f>
        <v>https://gameserver-store-client-area.orbionlimited.com/Home/IntegrationGameLaunch/client-area?moneyType=0&amp;gameName=LockedHearts5&amp;platform=desktop&amp;languageCode=eng&amp;currency=EUR</v>
      </c>
      <c r="BE656" s="5" t="b">
        <f>IFERROR(__xludf.DUMMYFUNCTION("""COMPUTED_VALUE"""),TRUE)</f>
        <v>1</v>
      </c>
    </row>
    <row r="657">
      <c r="A657" s="5">
        <f>IFERROR(__xludf.DUMMYFUNCTION("""COMPUTED_VALUE"""),692.0)</f>
        <v>692</v>
      </c>
      <c r="B657" s="5">
        <f>IFERROR(__xludf.DUMMYFUNCTION("""COMPUTED_VALUE"""),1019.0)</f>
        <v>1019</v>
      </c>
      <c r="C657" s="5" t="str">
        <f>IFERROR(__xludf.DUMMYFUNCTION("""COMPUTED_VALUE"""),"Fazi")</f>
        <v>Fazi</v>
      </c>
      <c r="D657" s="5" t="str">
        <f>IFERROR(__xludf.DUMMYFUNCTION("""COMPUTED_VALUE"""),"Locked Hearts 20")</f>
        <v>Locked Hearts 20</v>
      </c>
      <c r="E657" s="5" t="str">
        <f>IFERROR(__xludf.DUMMYFUNCTION("""COMPUTED_VALUE"""),"V4-1")</f>
        <v>V4-1</v>
      </c>
      <c r="F657" s="5" t="str">
        <f>IFERROR(__xludf.DUMMYFUNCTION("""COMPUTED_VALUE"""),"LockedHearts20")</f>
        <v>LockedHearts20</v>
      </c>
      <c r="G657" s="5" t="str">
        <f>IFERROR(__xludf.DUMMYFUNCTION("""COMPUTED_VALUE"""),"Live")</f>
        <v>Live</v>
      </c>
      <c r="H657" s="5"/>
      <c r="I657" s="5" t="str">
        <f>IFERROR(__xludf.DUMMYFUNCTION("""COMPUTED_VALUE"""),"V4")</f>
        <v>V4</v>
      </c>
      <c r="J657" s="5" t="str">
        <f>IFERROR(__xludf.DUMMYFUNCTION("""COMPUTED_VALUE"""),"JSON")</f>
        <v>JSON</v>
      </c>
      <c r="K657" s="5" t="str">
        <f>IFERROR(__xludf.DUMMYFUNCTION("""COMPUTED_VALUE"""),"Slot")</f>
        <v>Slot</v>
      </c>
      <c r="L657" s="5" t="str">
        <f>IFERROR(__xludf.DUMMYFUNCTION("""COMPUTED_VALUE""")," Variant")</f>
        <v> Variant</v>
      </c>
      <c r="M657" s="5"/>
      <c r="N657" s="5"/>
      <c r="O657" s="5"/>
      <c r="P657" s="12">
        <f>IFERROR(__xludf.DUMMYFUNCTION("""COMPUTED_VALUE"""),18.4)</f>
        <v>18.4</v>
      </c>
      <c r="Q657" s="13">
        <f>IFERROR(__xludf.DUMMYFUNCTION("""COMPUTED_VALUE"""),46097.0)</f>
        <v>46097</v>
      </c>
      <c r="R657" s="13">
        <f>IFERROR(__xludf.DUMMYFUNCTION("""COMPUTED_VALUE"""),46100.0)</f>
        <v>46100</v>
      </c>
      <c r="S657" s="13">
        <f>IFERROR(__xludf.DUMMYFUNCTION("""COMPUTED_VALUE"""),46107.0)</f>
        <v>46107</v>
      </c>
      <c r="T657" s="5" t="b">
        <f>IFERROR(__xludf.DUMMYFUNCTION("""COMPUTED_VALUE"""),TRUE)</f>
        <v>1</v>
      </c>
      <c r="U657" s="5" t="str">
        <f>IFERROR(__xludf.DUMMYFUNCTION("""COMPUTED_VALUE"""),"5x3")</f>
        <v>5x3</v>
      </c>
      <c r="V657" s="5">
        <f>IFERROR(__xludf.DUMMYFUNCTION("""COMPUTED_VALUE"""),20.0)</f>
        <v>20</v>
      </c>
      <c r="W657" s="5">
        <f>IFERROR(__xludf.DUMMYFUNCTION("""COMPUTED_VALUE"""),20.0)</f>
        <v>20</v>
      </c>
      <c r="X657" s="5">
        <f>IFERROR(__xludf.DUMMYFUNCTION("""COMPUTED_VALUE"""),96.572)</f>
        <v>96.572</v>
      </c>
      <c r="Y657" s="5" t="str">
        <f>IFERROR(__xludf.DUMMYFUNCTION("""COMPUTED_VALUE"""),"High")</f>
        <v>High</v>
      </c>
      <c r="Z657" s="5">
        <f>IFERROR(__xludf.DUMMYFUNCTION("""COMPUTED_VALUE"""),13.371)</f>
        <v>13.371</v>
      </c>
      <c r="AA657" s="5">
        <f>IFERROR(__xludf.DUMMYFUNCTION("""COMPUTED_VALUE"""),4000.0)</f>
        <v>4000</v>
      </c>
      <c r="AB657" s="5">
        <f>IFERROR(__xludf.DUMMYFUNCTION("""COMPUTED_VALUE"""),188.0)</f>
        <v>188</v>
      </c>
      <c r="AC657" s="5" t="str">
        <f>IFERROR(__xludf.DUMMYFUNCTION("""COMPUTED_VALUE"""),"Expanding Wild, Sticky Wild, Bonus Game with Special Symbol, Buy Bonus, Bonus Game with Free Spins")</f>
        <v>Expanding Wild, Sticky Wild, Bonus Game with Special Symbol, Buy Bonus, Bonus Game with Free Spins</v>
      </c>
      <c r="AD657" s="5" t="str">
        <f>IFERROR(__xludf.DUMMYFUNCTION("""COMPUTED_VALUE"""),"0.2/50")</f>
        <v>0.2/50</v>
      </c>
      <c r="AE657" s="5"/>
      <c r="AF657" s="5"/>
      <c r="AG657" s="8">
        <f>IFERROR(__xludf.DUMMYFUNCTION("""COMPUTED_VALUE"""),46140.65920138889)</f>
        <v>46140.6592</v>
      </c>
      <c r="AH657" s="5" t="str">
        <f>IFERROR(__xludf.DUMMYFUNCTION("""COMPUTED_VALUE"""),"selena.mihajlovic@fazi.rs")</f>
        <v>selena.mihajlovic@fazi.rs</v>
      </c>
      <c r="AI657" s="13">
        <f>IFERROR(__xludf.DUMMYFUNCTION("""COMPUTED_VALUE"""),46098.0)</f>
        <v>46098</v>
      </c>
      <c r="AJ657" s="5" t="str">
        <f>IFERROR(__xludf.DUMMYFUNCTION("""COMPUTED_VALUE"""),"17.03. 1xBet (CIS)")</f>
        <v>17.03. 1xBet (CIS)</v>
      </c>
      <c r="AK657" s="5">
        <f>IFERROR(__xludf.DUMMYFUNCTION("""COMPUTED_VALUE"""),2.0)</f>
        <v>2</v>
      </c>
      <c r="AL657" s="5" t="str">
        <f>IFERROR(__xludf.DUMMYFUNCTION("""COMPUTED_VALUE"""),"Yes")</f>
        <v>Yes</v>
      </c>
      <c r="AM657" s="5" t="str">
        <f>IFERROR(__xludf.DUMMYFUNCTION("""COMPUTED_VALUE"""),"Yes")</f>
        <v>Yes</v>
      </c>
      <c r="AN657" s="7" t="str">
        <f>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AO657" s="5" t="str">
        <f>IFERROR(__xludf.DUMMYFUNCTION("""COMPUTED_VALUE"""),"Yes")</f>
        <v>Yes</v>
      </c>
      <c r="AP657" s="5" t="str">
        <f>IFERROR(__xludf.DUMMYFUNCTION("""COMPUTED_VALUE"""),"Yes")</f>
        <v>Yes</v>
      </c>
      <c r="AQ657" s="5" t="b">
        <f>IFERROR(__xludf.DUMMYFUNCTION("""COMPUTED_VALUE"""),TRUE)</f>
        <v>1</v>
      </c>
      <c r="AR657" s="5"/>
      <c r="AS657" s="5" t="str">
        <f>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AT657" s="5" t="str">
        <f>IFERROR(__xludf.DUMMYFUNCTION("""COMPUTED_VALUE"""),"Yes")</f>
        <v>Yes</v>
      </c>
      <c r="AU657" s="5" t="str">
        <f>IFERROR(__xludf.DUMMYFUNCTION("""COMPUTED_VALUE"""),"Fazi")</f>
        <v>Fazi</v>
      </c>
      <c r="AV657" s="5">
        <f>IFERROR(__xludf.DUMMYFUNCTION("""COMPUTED_VALUE"""),2.0)</f>
        <v>2</v>
      </c>
      <c r="AW657" s="5"/>
      <c r="AX657" s="13">
        <f>IFERROR(__xludf.DUMMYFUNCTION("""COMPUTED_VALUE"""),46091.0)</f>
        <v>46091</v>
      </c>
      <c r="AY657" s="5"/>
      <c r="AZ657" s="5"/>
      <c r="BA657" s="5" t="str">
        <f>IFERROR(__xludf.DUMMYFUNCTION("""COMPUTED_VALUE"""),"70, 130, 250")</f>
        <v>70, 130, 250</v>
      </c>
      <c r="BB657" s="5" t="b">
        <f>IFERROR(__xludf.DUMMYFUNCTION("""COMPUTED_VALUE"""),TRUE)</f>
        <v>1</v>
      </c>
      <c r="BC657" s="5" t="str">
        <f>IFERROR(__xludf.DUMMYFUNCTION("""COMPUTED_VALUE"""),"Foxi")</f>
        <v>Foxi</v>
      </c>
      <c r="BD657" s="7" t="str">
        <f>IFERROR(__xludf.DUMMYFUNCTION("""COMPUTED_VALUE"""),"https://gameserver-store-client-area.orbionlimited.com/Home/IntegrationGameLaunch/client-area?moneyType=0&amp;gameName=LockedHearts20&amp;platform=desktop&amp;languageCode=eng&amp;currency=EUR")</f>
        <v>https://gameserver-store-client-area.orbionlimited.com/Home/IntegrationGameLaunch/client-area?moneyType=0&amp;gameName=LockedHearts20&amp;platform=desktop&amp;languageCode=eng&amp;currency=EUR</v>
      </c>
      <c r="BE657" s="5" t="b">
        <f>IFERROR(__xludf.DUMMYFUNCTION("""COMPUTED_VALUE"""),TRUE)</f>
        <v>1</v>
      </c>
    </row>
    <row r="658">
      <c r="A658" s="5">
        <f>IFERROR(__xludf.DUMMYFUNCTION("""COMPUTED_VALUE"""),693.0)</f>
        <v>693</v>
      </c>
      <c r="B658" s="5">
        <f>IFERROR(__xludf.DUMMYFUNCTION("""COMPUTED_VALUE"""),1020.0)</f>
        <v>1020</v>
      </c>
      <c r="C658" s="5" t="str">
        <f>IFERROR(__xludf.DUMMYFUNCTION("""COMPUTED_VALUE"""),"Fazi")</f>
        <v>Fazi</v>
      </c>
      <c r="D658" s="5" t="str">
        <f>IFERROR(__xludf.DUMMYFUNCTION("""COMPUTED_VALUE"""),"Locked Hearts 40")</f>
        <v>Locked Hearts 40</v>
      </c>
      <c r="E658" s="5" t="str">
        <f>IFERROR(__xludf.DUMMYFUNCTION("""COMPUTED_VALUE"""),"V4-1")</f>
        <v>V4-1</v>
      </c>
      <c r="F658" s="5" t="str">
        <f>IFERROR(__xludf.DUMMYFUNCTION("""COMPUTED_VALUE"""),"LockedHearts40")</f>
        <v>LockedHearts40</v>
      </c>
      <c r="G658" s="5" t="str">
        <f>IFERROR(__xludf.DUMMYFUNCTION("""COMPUTED_VALUE"""),"Live")</f>
        <v>Live</v>
      </c>
      <c r="H658" s="5"/>
      <c r="I658" s="5" t="str">
        <f>IFERROR(__xludf.DUMMYFUNCTION("""COMPUTED_VALUE"""),"V4")</f>
        <v>V4</v>
      </c>
      <c r="J658" s="5" t="str">
        <f>IFERROR(__xludf.DUMMYFUNCTION("""COMPUTED_VALUE"""),"JSON")</f>
        <v>JSON</v>
      </c>
      <c r="K658" s="5" t="str">
        <f>IFERROR(__xludf.DUMMYFUNCTION("""COMPUTED_VALUE"""),"Slot")</f>
        <v>Slot</v>
      </c>
      <c r="L658" s="5" t="str">
        <f>IFERROR(__xludf.DUMMYFUNCTION("""COMPUTED_VALUE""")," Variant")</f>
        <v> Variant</v>
      </c>
      <c r="M658" s="5"/>
      <c r="N658" s="7" t="str">
        <f>IFERROR(__xludf.DUMMYFUNCTION("""COMPUTED_VALUE"""),"https://drive.google.com/drive/folders/15W_JO143whU1jyoTzq8StwjWT4vJ7trZ")</f>
        <v>https://drive.google.com/drive/folders/15W_JO143whU1jyoTzq8StwjWT4vJ7trZ</v>
      </c>
      <c r="O658" s="7" t="str">
        <f>IFERROR(__xludf.DUMMYFUNCTION("""COMPUTED_VALUE"""),"https://drive.google.com/drive/folders/15W_JO143whU1jyoTzq8StwjWT4vJ7trZ")</f>
        <v>https://drive.google.com/drive/folders/15W_JO143whU1jyoTzq8StwjWT4vJ7trZ</v>
      </c>
      <c r="P658" s="12">
        <f>IFERROR(__xludf.DUMMYFUNCTION("""COMPUTED_VALUE"""),18.4)</f>
        <v>18.4</v>
      </c>
      <c r="Q658" s="13">
        <f>IFERROR(__xludf.DUMMYFUNCTION("""COMPUTED_VALUE"""),46097.0)</f>
        <v>46097</v>
      </c>
      <c r="R658" s="13">
        <f>IFERROR(__xludf.DUMMYFUNCTION("""COMPUTED_VALUE"""),46156.0)</f>
        <v>46156</v>
      </c>
      <c r="S658" s="13">
        <f>IFERROR(__xludf.DUMMYFUNCTION("""COMPUTED_VALUE"""),46163.0)</f>
        <v>46163</v>
      </c>
      <c r="T658" s="5" t="b">
        <f>IFERROR(__xludf.DUMMYFUNCTION("""COMPUTED_VALUE"""),TRUE)</f>
        <v>1</v>
      </c>
      <c r="U658" s="5" t="str">
        <f>IFERROR(__xludf.DUMMYFUNCTION("""COMPUTED_VALUE"""),"5x3")</f>
        <v>5x3</v>
      </c>
      <c r="V658" s="5">
        <f>IFERROR(__xludf.DUMMYFUNCTION("""COMPUTED_VALUE"""),40.0)</f>
        <v>40</v>
      </c>
      <c r="W658" s="5">
        <f>IFERROR(__xludf.DUMMYFUNCTION("""COMPUTED_VALUE"""),40.0)</f>
        <v>40</v>
      </c>
      <c r="X658" s="5">
        <f>IFERROR(__xludf.DUMMYFUNCTION("""COMPUTED_VALUE"""),96.572)</f>
        <v>96.572</v>
      </c>
      <c r="Y658" s="5" t="str">
        <f>IFERROR(__xludf.DUMMYFUNCTION("""COMPUTED_VALUE"""),"High")</f>
        <v>High</v>
      </c>
      <c r="Z658" s="5">
        <f>IFERROR(__xludf.DUMMYFUNCTION("""COMPUTED_VALUE"""),14.394)</f>
        <v>14.394</v>
      </c>
      <c r="AA658" s="5">
        <f>IFERROR(__xludf.DUMMYFUNCTION("""COMPUTED_VALUE"""),4000.0)</f>
        <v>4000</v>
      </c>
      <c r="AB658" s="5">
        <f>IFERROR(__xludf.DUMMYFUNCTION("""COMPUTED_VALUE"""),188.0)</f>
        <v>188</v>
      </c>
      <c r="AC658" s="5" t="str">
        <f>IFERROR(__xludf.DUMMYFUNCTION("""COMPUTED_VALUE"""),"Expanding Wild, Sticky Wild, Bonus Game with Sticky Wild, Buy Bonus, Bonus Game with Free Spins")</f>
        <v>Expanding Wild, Sticky Wild, Bonus Game with Sticky Wild, Buy Bonus, Bonus Game with Free Spins</v>
      </c>
      <c r="AD658" s="5" t="str">
        <f>IFERROR(__xludf.DUMMYFUNCTION("""COMPUTED_VALUE"""),"0.4/40")</f>
        <v>0.4/40</v>
      </c>
      <c r="AE658" s="5"/>
      <c r="AF658" s="5"/>
      <c r="AG658" s="8">
        <f>IFERROR(__xludf.DUMMYFUNCTION("""COMPUTED_VALUE"""),46175.43040509259)</f>
        <v>46175.43041</v>
      </c>
      <c r="AH658" s="5" t="str">
        <f>IFERROR(__xludf.DUMMYFUNCTION("""COMPUTED_VALUE"""),"aleksandar.matejic@fazi.rs")</f>
        <v>aleksandar.matejic@fazi.rs</v>
      </c>
      <c r="AI658" s="13">
        <f>IFERROR(__xludf.DUMMYFUNCTION("""COMPUTED_VALUE"""),46128.0)</f>
        <v>46128</v>
      </c>
      <c r="AJ658" s="5" t="str">
        <f>IFERROR(__xludf.DUMMYFUNCTION("""COMPUTED_VALUE"""),"16.04. Admiralbet SRB
01.05. Kanggeten
21.04. Circus BE
20.04. Totogaming AM
01.05. Koralplay")</f>
        <v>16.04. Admiralbet SRB
01.05. Kanggeten
21.04. Circus BE
20.04. Totogaming AM
01.05. Koralplay</v>
      </c>
      <c r="AK658" s="5">
        <f>IFERROR(__xludf.DUMMYFUNCTION("""COMPUTED_VALUE"""),4.0)</f>
        <v>4</v>
      </c>
      <c r="AL658" s="5" t="str">
        <f>IFERROR(__xludf.DUMMYFUNCTION("""COMPUTED_VALUE"""),"Yes")</f>
        <v>Yes</v>
      </c>
      <c r="AM658" s="5" t="str">
        <f>IFERROR(__xludf.DUMMYFUNCTION("""COMPUTED_VALUE"""),"Yes")</f>
        <v>Yes</v>
      </c>
      <c r="AN658" s="7" t="str">
        <f>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AO658" s="5" t="str">
        <f>IFERROR(__xludf.DUMMYFUNCTION("""COMPUTED_VALUE"""),"Yes")</f>
        <v>Yes</v>
      </c>
      <c r="AP658" s="5" t="str">
        <f>IFERROR(__xludf.DUMMYFUNCTION("""COMPUTED_VALUE"""),"Yes")</f>
        <v>Yes</v>
      </c>
      <c r="AQ658" s="5" t="b">
        <f>IFERROR(__xludf.DUMMYFUNCTION("""COMPUTED_VALUE"""),TRUE)</f>
        <v>1</v>
      </c>
      <c r="AR658" s="5"/>
      <c r="AS658" s="5" t="str">
        <f>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AT658" s="5" t="str">
        <f>IFERROR(__xludf.DUMMYFUNCTION("""COMPUTED_VALUE"""),"Yes")</f>
        <v>Yes</v>
      </c>
      <c r="AU658" s="5" t="str">
        <f>IFERROR(__xludf.DUMMYFUNCTION("""COMPUTED_VALUE"""),"Fazi")</f>
        <v>Fazi</v>
      </c>
      <c r="AV658" s="5">
        <f>IFERROR(__xludf.DUMMYFUNCTION("""COMPUTED_VALUE"""),4.0)</f>
        <v>4</v>
      </c>
      <c r="AW658" s="5"/>
      <c r="AX658" s="13">
        <f>IFERROR(__xludf.DUMMYFUNCTION("""COMPUTED_VALUE"""),46091.0)</f>
        <v>46091</v>
      </c>
      <c r="AY658" s="5"/>
      <c r="AZ658" s="5"/>
      <c r="BA658" s="5" t="str">
        <f>IFERROR(__xludf.DUMMYFUNCTION("""COMPUTED_VALUE"""),"70, 130, 250")</f>
        <v>70, 130, 250</v>
      </c>
      <c r="BB658" s="5" t="b">
        <f>IFERROR(__xludf.DUMMYFUNCTION("""COMPUTED_VALUE"""),TRUE)</f>
        <v>1</v>
      </c>
      <c r="BC658" s="5" t="str">
        <f>IFERROR(__xludf.DUMMYFUNCTION("""COMPUTED_VALUE"""),"Foxi")</f>
        <v>Foxi</v>
      </c>
      <c r="BD658" s="7" t="str">
        <f>IFERROR(__xludf.DUMMYFUNCTION("""COMPUTED_VALUE"""),"https://gameserver-store-client-area.orbionlimited.com/Home/IntegrationGameLaunch/client-area?moneyType=0&amp;gameName=LockedHearts40&amp;platform=desktop&amp;languageCode=eng&amp;currency=EUR")</f>
        <v>https://gameserver-store-client-area.orbionlimited.com/Home/IntegrationGameLaunch/client-area?moneyType=0&amp;gameName=LockedHearts40&amp;platform=desktop&amp;languageCode=eng&amp;currency=EUR</v>
      </c>
      <c r="BE658" s="5" t="b">
        <f>IFERROR(__xludf.DUMMYFUNCTION("""COMPUTED_VALUE"""),TRUE)</f>
        <v>1</v>
      </c>
    </row>
    <row r="659">
      <c r="A659" s="5">
        <f>IFERROR(__xludf.DUMMYFUNCTION("""COMPUTED_VALUE"""),694.0)</f>
        <v>694</v>
      </c>
      <c r="B659" s="5">
        <f>IFERROR(__xludf.DUMMYFUNCTION("""COMPUTED_VALUE"""),1015.0)</f>
        <v>1015</v>
      </c>
      <c r="C659" s="5" t="str">
        <f>IFERROR(__xludf.DUMMYFUNCTION("""COMPUTED_VALUE"""),"Fazi")</f>
        <v>Fazi</v>
      </c>
      <c r="D659" s="5" t="str">
        <f>IFERROR(__xludf.DUMMYFUNCTION("""COMPUTED_VALUE"""),"Winning Clover 5 Hold and Win")</f>
        <v>Winning Clover 5 Hold and Win</v>
      </c>
      <c r="E659" s="5" t="str">
        <f>IFERROR(__xludf.DUMMYFUNCTION("""COMPUTED_VALUE"""),"V4-1")</f>
        <v>V4-1</v>
      </c>
      <c r="F659" s="5" t="str">
        <f>IFERROR(__xludf.DUMMYFUNCTION("""COMPUTED_VALUE"""),"WinningClover5HoldAndWin")</f>
        <v>WinningClover5HoldAndWin</v>
      </c>
      <c r="G659" s="5" t="str">
        <f>IFERROR(__xludf.DUMMYFUNCTION("""COMPUTED_VALUE"""),"Live")</f>
        <v>Live</v>
      </c>
      <c r="H659" s="5"/>
      <c r="I659" s="5" t="str">
        <f>IFERROR(__xludf.DUMMYFUNCTION("""COMPUTED_VALUE"""),"V4")</f>
        <v>V4</v>
      </c>
      <c r="J659" s="5" t="str">
        <f>IFERROR(__xludf.DUMMYFUNCTION("""COMPUTED_VALUE"""),"JSON")</f>
        <v>JSON</v>
      </c>
      <c r="K659" s="5" t="str">
        <f>IFERROR(__xludf.DUMMYFUNCTION("""COMPUTED_VALUE"""),"Slot")</f>
        <v>Slot</v>
      </c>
      <c r="L659" s="5" t="str">
        <f>IFERROR(__xludf.DUMMYFUNCTION("""COMPUTED_VALUE""")," Variant")</f>
        <v> Variant</v>
      </c>
      <c r="M659" s="5" t="str">
        <f>IFERROR(__xludf.DUMMYFUNCTION("""COMPUTED_VALUE"""),"Winning Clover 5")</f>
        <v>Winning Clover 5</v>
      </c>
      <c r="N659" s="7" t="str">
        <f>IFERROR(__xludf.DUMMYFUNCTION("""COMPUTED_VALUE"""),"https://drive.google.com/file/d/1Vn58CAYspcK7dlg8j5FsFnRlRnzB32Uo/view?usp=sharing")</f>
        <v>https://drive.google.com/file/d/1Vn58CAYspcK7dlg8j5FsFnRlRnzB32Uo/view?usp=sharing</v>
      </c>
      <c r="O659" s="7" t="str">
        <f>IFERROR(__xludf.DUMMYFUNCTION("""COMPUTED_VALUE"""),"https://drive.google.com/file/d/1Tri9k-wrdy2cNSdRo6z5eZtGUuS0qpyk/view?usp=sharing")</f>
        <v>https://drive.google.com/file/d/1Tri9k-wrdy2cNSdRo6z5eZtGUuS0qpyk/view?usp=sharing</v>
      </c>
      <c r="P659" s="12">
        <f>IFERROR(__xludf.DUMMYFUNCTION("""COMPUTED_VALUE"""),25.43)</f>
        <v>25.43</v>
      </c>
      <c r="Q659" s="13">
        <f>IFERROR(__xludf.DUMMYFUNCTION("""COMPUTED_VALUE"""),46055.0)</f>
        <v>46055</v>
      </c>
      <c r="R659" s="13">
        <f>IFERROR(__xludf.DUMMYFUNCTION("""COMPUTED_VALUE"""),46077.0)</f>
        <v>46077</v>
      </c>
      <c r="S659" s="13">
        <f>IFERROR(__xludf.DUMMYFUNCTION("""COMPUTED_VALUE"""),46084.0)</f>
        <v>46084</v>
      </c>
      <c r="T659" s="5" t="b">
        <f>IFERROR(__xludf.DUMMYFUNCTION("""COMPUTED_VALUE"""),TRUE)</f>
        <v>1</v>
      </c>
      <c r="U659" s="5" t="str">
        <f>IFERROR(__xludf.DUMMYFUNCTION("""COMPUTED_VALUE"""),"5x3")</f>
        <v>5x3</v>
      </c>
      <c r="V659" s="5">
        <f>IFERROR(__xludf.DUMMYFUNCTION("""COMPUTED_VALUE"""),5.0)</f>
        <v>5</v>
      </c>
      <c r="W659" s="5">
        <f>IFERROR(__xludf.DUMMYFUNCTION("""COMPUTED_VALUE"""),5.0)</f>
        <v>5</v>
      </c>
      <c r="X659" s="5">
        <f>IFERROR(__xludf.DUMMYFUNCTION("""COMPUTED_VALUE"""),96.447)</f>
        <v>96.447</v>
      </c>
      <c r="Y659" s="5" t="str">
        <f>IFERROR(__xludf.DUMMYFUNCTION("""COMPUTED_VALUE"""),"Medium")</f>
        <v>Medium</v>
      </c>
      <c r="Z659" s="5">
        <f>IFERROR(__xludf.DUMMYFUNCTION("""COMPUTED_VALUE"""),15.053)</f>
        <v>15.053</v>
      </c>
      <c r="AA659" s="5">
        <f>IFERROR(__xludf.DUMMYFUNCTION("""COMPUTED_VALUE"""),1662.0)</f>
        <v>1662</v>
      </c>
      <c r="AB659" s="5"/>
      <c r="AC659" s="5" t="str">
        <f>IFERROR(__xludf.DUMMYFUNCTION("""COMPUTED_VALUE"""),"Scatter, Expanding Wild")</f>
        <v>Scatter, Expanding Wild</v>
      </c>
      <c r="AD659" s="5" t="str">
        <f>IFERROR(__xludf.DUMMYFUNCTION("""COMPUTED_VALUE"""),"0.1/50")</f>
        <v>0.1/50</v>
      </c>
      <c r="AE659" s="5"/>
      <c r="AF659" s="5"/>
      <c r="AG659" s="8">
        <f>IFERROR(__xludf.DUMMYFUNCTION("""COMPUTED_VALUE"""),46175.52396990741)</f>
        <v>46175.52397</v>
      </c>
      <c r="AH659" s="5" t="str">
        <f>IFERROR(__xludf.DUMMYFUNCTION("""COMPUTED_VALUE"""),"selena.mihajlovic@fazi.rs")</f>
        <v>selena.mihajlovic@fazi.rs</v>
      </c>
      <c r="AI659" s="13">
        <f>IFERROR(__xludf.DUMMYFUNCTION("""COMPUTED_VALUE"""),46057.0)</f>
        <v>46057</v>
      </c>
      <c r="AJ659" s="5" t="str">
        <f>IFERROR(__xludf.DUMMYFUNCTION("""COMPUTED_VALUE"""),"04.02. Mozzartbet (SRB, KE)
04.02. Jugabet (Eva - Chile)
11.02. Casino 770 (Reevo - France)")</f>
        <v>04.02. Mozzartbet (SRB, KE)
04.02. Jugabet (Eva - Chile)
11.02. Casino 770 (Reevo - France)</v>
      </c>
      <c r="AK659" s="5">
        <f>IFERROR(__xludf.DUMMYFUNCTION("""COMPUTED_VALUE"""),4.0)</f>
        <v>4</v>
      </c>
      <c r="AL659" s="5" t="str">
        <f>IFERROR(__xludf.DUMMYFUNCTION("""COMPUTED_VALUE"""),"Yes")</f>
        <v>Yes</v>
      </c>
      <c r="AM659" s="5"/>
      <c r="AN659" s="7" t="str">
        <f>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AO659" s="5" t="str">
        <f>IFERROR(__xludf.DUMMYFUNCTION("""COMPUTED_VALUE"""),"Yes")</f>
        <v>Yes</v>
      </c>
      <c r="AP659" s="5" t="str">
        <f>IFERROR(__xludf.DUMMYFUNCTION("""COMPUTED_VALUE"""),"Yes")</f>
        <v>Yes</v>
      </c>
      <c r="AQ659" s="5" t="b">
        <f>IFERROR(__xludf.DUMMYFUNCTION("""COMPUTED_VALUE"""),TRUE)</f>
        <v>1</v>
      </c>
      <c r="AR659" s="5"/>
      <c r="AS659" s="5" t="str">
        <f>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AT659" s="5" t="str">
        <f>IFERROR(__xludf.DUMMYFUNCTION("""COMPUTED_VALUE"""),"Yes")</f>
        <v>Yes</v>
      </c>
      <c r="AU659" s="5" t="str">
        <f>IFERROR(__xludf.DUMMYFUNCTION("""COMPUTED_VALUE"""),"Fazi")</f>
        <v>Fazi</v>
      </c>
      <c r="AV659" s="5"/>
      <c r="AW659" s="5"/>
      <c r="AX659" s="13">
        <f>IFERROR(__xludf.DUMMYFUNCTION("""COMPUTED_VALUE"""),46049.0)</f>
        <v>46049</v>
      </c>
      <c r="AY659" s="5"/>
      <c r="AZ659" s="5"/>
      <c r="BA659" s="5">
        <f>IFERROR(__xludf.DUMMYFUNCTION("""COMPUTED_VALUE"""),40.0)</f>
        <v>40</v>
      </c>
      <c r="BB659" s="5" t="b">
        <f>IFERROR(__xludf.DUMMYFUNCTION("""COMPUTED_VALUE"""),TRUE)</f>
        <v>1</v>
      </c>
      <c r="BC659" s="5" t="str">
        <f>IFERROR(__xludf.DUMMYFUNCTION("""COMPUTED_VALUE"""),"Foxi")</f>
        <v>Foxi</v>
      </c>
      <c r="BD659" s="7" t="str">
        <f>IFERROR(__xludf.DUMMYFUNCTION("""COMPUTED_VALUE"""),"https://gameserver-store-client-area.orbionlimited.com/Home/IntegrationGameLaunch/client-area?moneyType=0&amp;gameName=WinningClover5HoldAndWin&amp;platform=desktop&amp;languageCode=eng&amp;currency=EUR")</f>
        <v>https://gameserver-store-client-area.orbionlimited.com/Home/IntegrationGameLaunch/client-area?moneyType=0&amp;gameName=WinningClover5HoldAndWin&amp;platform=desktop&amp;languageCode=eng&amp;currency=EUR</v>
      </c>
      <c r="BE659" s="5" t="b">
        <f>IFERROR(__xludf.DUMMYFUNCTION("""COMPUTED_VALUE"""),TRUE)</f>
        <v>1</v>
      </c>
    </row>
    <row r="660">
      <c r="A660" s="5">
        <f>IFERROR(__xludf.DUMMYFUNCTION("""COMPUTED_VALUE"""),695.0)</f>
        <v>695</v>
      </c>
      <c r="B660" s="5">
        <f>IFERROR(__xludf.DUMMYFUNCTION("""COMPUTED_VALUE"""),9.9999999E7)</f>
        <v>99999999</v>
      </c>
      <c r="C660" s="5" t="str">
        <f>IFERROR(__xludf.DUMMYFUNCTION("""COMPUTED_VALUE"""),"SOKO studio")</f>
        <v>SOKO studio</v>
      </c>
      <c r="D660" s="5" t="str">
        <f>IFERROR(__xludf.DUMMYFUNCTION("""COMPUTED_VALUE"""),"Royal Jewels Fortune")</f>
        <v>Royal Jewels Fortune</v>
      </c>
      <c r="E660" s="5" t="str">
        <f>IFERROR(__xludf.DUMMYFUNCTION("""COMPUTED_VALUE"""),"SOKO studio")</f>
        <v>SOKO studio</v>
      </c>
      <c r="F660" s="5" t="str">
        <f>IFERROR(__xludf.DUMMYFUNCTION("""COMPUTED_VALUE"""),"royal-jewels-fortune")</f>
        <v>royal-jewels-fortune</v>
      </c>
      <c r="G660" s="5" t="str">
        <f>IFERROR(__xludf.DUMMYFUNCTION("""COMPUTED_VALUE"""),"Live")</f>
        <v>Live</v>
      </c>
      <c r="H660" s="5"/>
      <c r="I660" s="5" t="str">
        <f>IFERROR(__xludf.DUMMYFUNCTION("""COMPUTED_VALUE"""),"SOKO studio")</f>
        <v>SOKO studio</v>
      </c>
      <c r="J660" s="5" t="str">
        <f>IFERROR(__xludf.DUMMYFUNCTION("""COMPUTED_VALUE"""),"Aggregation platform")</f>
        <v>Aggregation platform</v>
      </c>
      <c r="K660" s="5" t="str">
        <f>IFERROR(__xludf.DUMMYFUNCTION("""COMPUTED_VALUE"""),"Slot")</f>
        <v>Slot</v>
      </c>
      <c r="L660" s="5"/>
      <c r="M660" s="5"/>
      <c r="N660" s="5"/>
      <c r="O660" s="5"/>
      <c r="P660" s="12"/>
      <c r="Q660" s="13">
        <f>IFERROR(__xludf.DUMMYFUNCTION("""COMPUTED_VALUE"""),46055.0)</f>
        <v>46055</v>
      </c>
      <c r="R660" s="13">
        <f>IFERROR(__xludf.DUMMYFUNCTION("""COMPUTED_VALUE"""),46065.0)</f>
        <v>46065</v>
      </c>
      <c r="S660" s="13">
        <f>IFERROR(__xludf.DUMMYFUNCTION("""COMPUTED_VALUE"""),46072.0)</f>
        <v>46072</v>
      </c>
      <c r="T660" s="5" t="b">
        <f>IFERROR(__xludf.DUMMYFUNCTION("""COMPUTED_VALUE"""),TRUE)</f>
        <v>1</v>
      </c>
      <c r="U660" s="5"/>
      <c r="V660" s="5"/>
      <c r="W660" s="5"/>
      <c r="X660" s="5"/>
      <c r="Y660" s="5"/>
      <c r="Z660" s="5"/>
      <c r="AA660" s="5"/>
      <c r="AB660" s="5"/>
      <c r="AC660" s="5"/>
      <c r="AD660" s="5"/>
      <c r="AE660" s="5"/>
      <c r="AF660" s="5"/>
      <c r="AG660" s="8">
        <f>IFERROR(__xludf.DUMMYFUNCTION("""COMPUTED_VALUE"""),46098.62244212963)</f>
        <v>46098.62244</v>
      </c>
      <c r="AH660" s="5" t="str">
        <f>IFERROR(__xludf.DUMMYFUNCTION("""COMPUTED_VALUE"""),"vanja.svetska@fazi.rs")</f>
        <v>vanja.svetska@fazi.rs</v>
      </c>
      <c r="AI660" s="13"/>
      <c r="AJ660" s="5"/>
      <c r="AK660" s="5"/>
      <c r="AL660" s="5"/>
      <c r="AM660" s="5"/>
      <c r="AN660" s="5"/>
      <c r="AO660" s="5"/>
      <c r="AP660" s="5"/>
      <c r="AQ660" s="5"/>
      <c r="AR660" s="5"/>
      <c r="AS660" s="5"/>
      <c r="AT660" s="5"/>
      <c r="AU660" s="5" t="str">
        <f>IFERROR(__xludf.DUMMYFUNCTION("""COMPUTED_VALUE"""),"SOKO studio")</f>
        <v>SOKO studio</v>
      </c>
      <c r="AV660" s="5"/>
      <c r="AW660" s="5"/>
      <c r="AX660" s="13">
        <f>IFERROR(__xludf.DUMMYFUNCTION("""COMPUTED_VALUE"""),46049.0)</f>
        <v>46049</v>
      </c>
      <c r="AY660" s="5"/>
      <c r="AZ660" s="5"/>
      <c r="BA660" s="5" t="str">
        <f>IFERROR(__xludf.DUMMYFUNCTION("""COMPUTED_VALUE"""),"")</f>
        <v/>
      </c>
      <c r="BB660" s="5"/>
      <c r="BC660" s="5" t="str">
        <f>IFERROR(__xludf.DUMMYFUNCTION("""COMPUTED_VALUE"""),"SOKO studio")</f>
        <v>SOKO studio</v>
      </c>
      <c r="BD660" s="5"/>
      <c r="BE660" s="5"/>
    </row>
    <row r="661">
      <c r="A661" s="5">
        <f>IFERROR(__xludf.DUMMYFUNCTION("""COMPUTED_VALUE"""),696.0)</f>
        <v>696</v>
      </c>
      <c r="B661" s="5">
        <f>IFERROR(__xludf.DUMMYFUNCTION("""COMPUTED_VALUE"""),3028.0)</f>
        <v>3028</v>
      </c>
      <c r="C661" s="5" t="str">
        <f>IFERROR(__xludf.DUMMYFUNCTION("""COMPUTED_VALUE"""),"Fazi")</f>
        <v>Fazi</v>
      </c>
      <c r="D661" s="5" t="str">
        <f>IFERROR(__xludf.DUMMYFUNCTION("""COMPUTED_VALUE"""),"Clovers And Diamonds 5")</f>
        <v>Clovers And Diamonds 5</v>
      </c>
      <c r="E661" s="5" t="str">
        <f>IFERROR(__xludf.DUMMYFUNCTION("""COMPUTED_VALUE"""),"V2")</f>
        <v>V2</v>
      </c>
      <c r="F661" s="5" t="str">
        <f>IFERROR(__xludf.DUMMYFUNCTION("""COMPUTED_VALUE"""),"CloversAndDiamonds5")</f>
        <v>CloversAndDiamonds5</v>
      </c>
      <c r="G661" s="5" t="str">
        <f>IFERROR(__xludf.DUMMYFUNCTION("""COMPUTED_VALUE"""),"Live")</f>
        <v>Live</v>
      </c>
      <c r="H661" s="5"/>
      <c r="I661" s="5" t="str">
        <f>IFERROR(__xludf.DUMMYFUNCTION("""COMPUTED_VALUE"""),"V4")</f>
        <v>V4</v>
      </c>
      <c r="J661" s="5" t="str">
        <f>IFERROR(__xludf.DUMMYFUNCTION("""COMPUTED_VALUE"""),"JSON")</f>
        <v>JSON</v>
      </c>
      <c r="K661" s="5" t="str">
        <f>IFERROR(__xludf.DUMMYFUNCTION("""COMPUTED_VALUE"""),"Slot")</f>
        <v>Slot</v>
      </c>
      <c r="L661" s="5" t="str">
        <f>IFERROR(__xludf.DUMMYFUNCTION("""COMPUTED_VALUE"""),"Master")</f>
        <v>Master</v>
      </c>
      <c r="M661" s="5"/>
      <c r="N661" s="5"/>
      <c r="O661" s="5"/>
      <c r="P661" s="12">
        <f>IFERROR(__xludf.DUMMYFUNCTION("""COMPUTED_VALUE"""),42.4)</f>
        <v>42.4</v>
      </c>
      <c r="Q661" s="13">
        <f>IFERROR(__xludf.DUMMYFUNCTION("""COMPUTED_VALUE"""),46083.0)</f>
        <v>46083</v>
      </c>
      <c r="R661" s="13">
        <f>IFERROR(__xludf.DUMMYFUNCTION("""COMPUTED_VALUE"""),46086.0)</f>
        <v>46086</v>
      </c>
      <c r="S661" s="13">
        <f>IFERROR(__xludf.DUMMYFUNCTION("""COMPUTED_VALUE"""),46093.0)</f>
        <v>46093</v>
      </c>
      <c r="T661" s="5" t="b">
        <f>IFERROR(__xludf.DUMMYFUNCTION("""COMPUTED_VALUE"""),TRUE)</f>
        <v>1</v>
      </c>
      <c r="U661" s="5" t="str">
        <f>IFERROR(__xludf.DUMMYFUNCTION("""COMPUTED_VALUE"""),"5x3")</f>
        <v>5x3</v>
      </c>
      <c r="V661" s="5">
        <f>IFERROR(__xludf.DUMMYFUNCTION("""COMPUTED_VALUE"""),5.0)</f>
        <v>5</v>
      </c>
      <c r="W661" s="5">
        <f>IFERROR(__xludf.DUMMYFUNCTION("""COMPUTED_VALUE"""),5.0)</f>
        <v>5</v>
      </c>
      <c r="X661" s="5">
        <f>IFERROR(__xludf.DUMMYFUNCTION("""COMPUTED_VALUE"""),96.53)</f>
        <v>96.53</v>
      </c>
      <c r="Y661" s="5" t="str">
        <f>IFERROR(__xludf.DUMMYFUNCTION("""COMPUTED_VALUE"""),"High")</f>
        <v>High</v>
      </c>
      <c r="Z661" s="5">
        <f>IFERROR(__xludf.DUMMYFUNCTION("""COMPUTED_VALUE"""),13.146)</f>
        <v>13.146</v>
      </c>
      <c r="AA661" s="5">
        <f>IFERROR(__xludf.DUMMYFUNCTION("""COMPUTED_VALUE"""),5000.0)</f>
        <v>5000</v>
      </c>
      <c r="AB661" s="5"/>
      <c r="AC661" s="5" t="str">
        <f>IFERROR(__xludf.DUMMYFUNCTION("""COMPUTED_VALUE"""),"Scatter, Wild Multiplier, Expanding Wild")</f>
        <v>Scatter, Wild Multiplier, Expanding Wild</v>
      </c>
      <c r="AD661" s="5" t="str">
        <f>IFERROR(__xludf.DUMMYFUNCTION("""COMPUTED_VALUE"""),"0.05/30")</f>
        <v>0.05/30</v>
      </c>
      <c r="AE661" s="5"/>
      <c r="AF661" s="5"/>
      <c r="AG661" s="8">
        <f>IFERROR(__xludf.DUMMYFUNCTION("""COMPUTED_VALUE"""),46140.64716435185)</f>
        <v>46140.64716</v>
      </c>
      <c r="AH661" s="5" t="str">
        <f>IFERROR(__xludf.DUMMYFUNCTION("""COMPUTED_VALUE"""),"selena.mihajlovic@fazi.rs")</f>
        <v>selena.mihajlovic@fazi.rs</v>
      </c>
      <c r="AI661" s="13">
        <f>IFERROR(__xludf.DUMMYFUNCTION("""COMPUTED_VALUE"""),46083.0)</f>
        <v>46083</v>
      </c>
      <c r="AJ661" s="5" t="str">
        <f>IFERROR(__xludf.DUMMYFUNCTION("""COMPUTED_VALUE"""),"02.03 Admiral Bet (SRB)")</f>
        <v>02.03 Admiral Bet (SRB)</v>
      </c>
      <c r="AK661" s="5">
        <f>IFERROR(__xludf.DUMMYFUNCTION("""COMPUTED_VALUE"""),1.0)</f>
        <v>1</v>
      </c>
      <c r="AL661" s="5" t="str">
        <f>IFERROR(__xludf.DUMMYFUNCTION("""COMPUTED_VALUE"""),"Yes")</f>
        <v>Yes</v>
      </c>
      <c r="AM661" s="5"/>
      <c r="AN661" s="7" t="str">
        <f>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AO661" s="5" t="str">
        <f>IFERROR(__xludf.DUMMYFUNCTION("""COMPUTED_VALUE"""),"Yes")</f>
        <v>Yes</v>
      </c>
      <c r="AP661" s="5" t="str">
        <f>IFERROR(__xludf.DUMMYFUNCTION("""COMPUTED_VALUE"""),"Yes")</f>
        <v>Yes</v>
      </c>
      <c r="AQ661" s="5" t="b">
        <f>IFERROR(__xludf.DUMMYFUNCTION("""COMPUTED_VALUE"""),TRUE)</f>
        <v>1</v>
      </c>
      <c r="AR661" s="5"/>
      <c r="AS661" s="5" t="str">
        <f>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AT661" s="5"/>
      <c r="AU661" s="5" t="str">
        <f>IFERROR(__xludf.DUMMYFUNCTION("""COMPUTED_VALUE"""),"Fazi")</f>
        <v>Fazi</v>
      </c>
      <c r="AV661" s="5">
        <f>IFERROR(__xludf.DUMMYFUNCTION("""COMPUTED_VALUE"""),1.0)</f>
        <v>1</v>
      </c>
      <c r="AW661" s="5"/>
      <c r="AX661" s="13">
        <f>IFERROR(__xludf.DUMMYFUNCTION("""COMPUTED_VALUE"""),46077.0)</f>
        <v>46077</v>
      </c>
      <c r="AY661" s="5"/>
      <c r="AZ661" s="5"/>
      <c r="BA661" s="5"/>
      <c r="BB661" s="5" t="b">
        <f>IFERROR(__xludf.DUMMYFUNCTION("""COMPUTED_VALUE"""),TRUE)</f>
        <v>1</v>
      </c>
      <c r="BC661" s="5" t="str">
        <f>IFERROR(__xludf.DUMMYFUNCTION("""COMPUTED_VALUE"""),"Foxi")</f>
        <v>Foxi</v>
      </c>
      <c r="BD661" s="7" t="str">
        <f>IFERROR(__xludf.DUMMYFUNCTION("""COMPUTED_VALUE"""),"https://gameserver-store-client-area.orbionlimited.com/Home/IntegrationGameLaunch/client-area?moneyType=0&amp;gameName=CloversAndDiamonds5&amp;platform=desktop&amp;languageCode=eng&amp;currency=EUR")</f>
        <v>https://gameserver-store-client-area.orbionlimited.com/Home/IntegrationGameLaunch/client-area?moneyType=0&amp;gameName=CloversAndDiamonds5&amp;platform=desktop&amp;languageCode=eng&amp;currency=EUR</v>
      </c>
      <c r="BE661" s="5" t="b">
        <f>IFERROR(__xludf.DUMMYFUNCTION("""COMPUTED_VALUE"""),TRUE)</f>
        <v>1</v>
      </c>
    </row>
    <row r="662">
      <c r="A662" s="5">
        <f>IFERROR(__xludf.DUMMYFUNCTION("""COMPUTED_VALUE"""),697.0)</f>
        <v>697</v>
      </c>
      <c r="B662" s="5">
        <f>IFERROR(__xludf.DUMMYFUNCTION("""COMPUTED_VALUE"""),4000008.0)</f>
        <v>4000008</v>
      </c>
      <c r="C662" s="5" t="str">
        <f>IFERROR(__xludf.DUMMYFUNCTION("""COMPUTED_VALUE"""),"Tiptop")</f>
        <v>Tiptop</v>
      </c>
      <c r="D662" s="5" t="str">
        <f>IFERROR(__xludf.DUMMYFUNCTION("""COMPUTED_VALUE"""),"Three Reel Triple Fruit")</f>
        <v>Three Reel Triple Fruit</v>
      </c>
      <c r="E662" s="5" t="str">
        <f>IFERROR(__xludf.DUMMYFUNCTION("""COMPUTED_VALUE"""),"TipTop")</f>
        <v>TipTop</v>
      </c>
      <c r="F662" s="5" t="str">
        <f>IFERROR(__xludf.DUMMYFUNCTION("""COMPUTED_VALUE"""),"UnicornThreeReelTripleFruit")</f>
        <v>UnicornThreeReelTripleFruit</v>
      </c>
      <c r="G662" s="5" t="str">
        <f>IFERROR(__xludf.DUMMYFUNCTION("""COMPUTED_VALUE"""),"Live")</f>
        <v>Live</v>
      </c>
      <c r="H662" s="5"/>
      <c r="I662" s="5" t="str">
        <f>IFERROR(__xludf.DUMMYFUNCTION("""COMPUTED_VALUE"""),"TipTop")</f>
        <v>TipTop</v>
      </c>
      <c r="J662" s="5" t="str">
        <f>IFERROR(__xludf.DUMMYFUNCTION("""COMPUTED_VALUE"""),"JSON")</f>
        <v>JSON</v>
      </c>
      <c r="K662" s="5" t="str">
        <f>IFERROR(__xludf.DUMMYFUNCTION("""COMPUTED_VALUE"""),"Slot")</f>
        <v>Slot</v>
      </c>
      <c r="L662" s="5" t="str">
        <f>IFERROR(__xludf.DUMMYFUNCTION("""COMPUTED_VALUE"""),"Master")</f>
        <v>Master</v>
      </c>
      <c r="M662" s="5"/>
      <c r="N662" s="5"/>
      <c r="O662" s="5"/>
      <c r="P662" s="12">
        <f>IFERROR(__xludf.DUMMYFUNCTION("""COMPUTED_VALUE"""),11.54)</f>
        <v>11.54</v>
      </c>
      <c r="Q662" s="13">
        <f>IFERROR(__xludf.DUMMYFUNCTION("""COMPUTED_VALUE"""),46097.0)</f>
        <v>46097</v>
      </c>
      <c r="R662" s="13">
        <f>IFERROR(__xludf.DUMMYFUNCTION("""COMPUTED_VALUE"""),46092.0)</f>
        <v>46092</v>
      </c>
      <c r="S662" s="13">
        <f>IFERROR(__xludf.DUMMYFUNCTION("""COMPUTED_VALUE"""),46099.0)</f>
        <v>46099</v>
      </c>
      <c r="T662" s="5" t="b">
        <f>IFERROR(__xludf.DUMMYFUNCTION("""COMPUTED_VALUE"""),TRUE)</f>
        <v>1</v>
      </c>
      <c r="U662" s="5" t="str">
        <f>IFERROR(__xludf.DUMMYFUNCTION("""COMPUTED_VALUE"""),"3x3")</f>
        <v>3x3</v>
      </c>
      <c r="V662" s="5">
        <f>IFERROR(__xludf.DUMMYFUNCTION("""COMPUTED_VALUE"""),5.0)</f>
        <v>5</v>
      </c>
      <c r="W662" s="5">
        <f>IFERROR(__xludf.DUMMYFUNCTION("""COMPUTED_VALUE"""),5.0)</f>
        <v>5</v>
      </c>
      <c r="X662" s="5">
        <f>IFERROR(__xludf.DUMMYFUNCTION("""COMPUTED_VALUE"""),96.0)</f>
        <v>96</v>
      </c>
      <c r="Y662" s="5" t="str">
        <f>IFERROR(__xludf.DUMMYFUNCTION("""COMPUTED_VALUE"""),"Low")</f>
        <v>Low</v>
      </c>
      <c r="Z662" s="5">
        <f>IFERROR(__xludf.DUMMYFUNCTION("""COMPUTED_VALUE"""),18.4)</f>
        <v>18.4</v>
      </c>
      <c r="AA662" s="5">
        <f>IFERROR(__xludf.DUMMYFUNCTION("""COMPUTED_VALUE"""),350.0)</f>
        <v>350</v>
      </c>
      <c r="AB662" s="5"/>
      <c r="AC662" s="5"/>
      <c r="AD662" s="5" t="str">
        <f>IFERROR(__xludf.DUMMYFUNCTION("""COMPUTED_VALUE"""),"0.05/100")</f>
        <v>0.05/100</v>
      </c>
      <c r="AE662" s="5"/>
      <c r="AF662" s="5"/>
      <c r="AG662" s="8">
        <f>IFERROR(__xludf.DUMMYFUNCTION("""COMPUTED_VALUE"""),46218.475486111114)</f>
        <v>46218.47549</v>
      </c>
      <c r="AH662" s="5" t="str">
        <f>IFERROR(__xludf.DUMMYFUNCTION("""COMPUTED_VALUE"""),"danica.petrovic@fazi.rs")</f>
        <v>danica.petrovic@fazi.rs</v>
      </c>
      <c r="AI662" s="13"/>
      <c r="AJ662" s="5"/>
      <c r="AK662" s="5">
        <f>IFERROR(__xludf.DUMMYFUNCTION("""COMPUTED_VALUE"""),5.0)</f>
        <v>5</v>
      </c>
      <c r="AL662" s="5" t="str">
        <f>IFERROR(__xludf.DUMMYFUNCTION("""COMPUTED_VALUE"""),"No")</f>
        <v>No</v>
      </c>
      <c r="AM662" s="5"/>
      <c r="AN662" s="7" t="str">
        <f>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AO662" s="5"/>
      <c r="AP662" s="5"/>
      <c r="AQ662" s="5" t="b">
        <f>IFERROR(__xludf.DUMMYFUNCTION("""COMPUTED_VALUE"""),TRUE)</f>
        <v>1</v>
      </c>
      <c r="AR662" s="5"/>
      <c r="AS662" s="5" t="str">
        <f>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AT662" s="5"/>
      <c r="AU662" s="5" t="str">
        <f>IFERROR(__xludf.DUMMYFUNCTION("""COMPUTED_VALUE"""),"Tiptop")</f>
        <v>Tiptop</v>
      </c>
      <c r="AV662" s="5"/>
      <c r="AW662" s="5"/>
      <c r="AX662" s="13">
        <f>IFERROR(__xludf.DUMMYFUNCTION("""COMPUTED_VALUE"""),46091.0)</f>
        <v>46091</v>
      </c>
      <c r="AY662" s="5"/>
      <c r="AZ662" s="5"/>
      <c r="BA662" s="5"/>
      <c r="BB662" s="5" t="b">
        <f>IFERROR(__xludf.DUMMYFUNCTION("""COMPUTED_VALUE"""),TRUE)</f>
        <v>1</v>
      </c>
      <c r="BC662" s="5" t="str">
        <f>IFERROR(__xludf.DUMMYFUNCTION("""COMPUTED_VALUE"""),"Tiptop")</f>
        <v>Tiptop</v>
      </c>
      <c r="BD662" s="5" t="str">
        <f>IFERROR(__xludf.DUMMYFUNCTION("""COMPUTED_VALUE"""),"https://gameserver-store-client-area.orbionlimited.com/Home/IntegrationGameLaunch/client-area?moneyType=0&amp;gameName=Three Reel Triple Fruit&amp;platform=desktop&amp;languageCode=eng&amp;currency=EUR")</f>
        <v>https://gameserver-store-client-area.orbionlimited.com/Home/IntegrationGameLaunch/client-area?moneyType=0&amp;gameName=Three Reel Triple Fruit&amp;platform=desktop&amp;languageCode=eng&amp;currency=EUR</v>
      </c>
      <c r="BE662" s="5" t="b">
        <f>IFERROR(__xludf.DUMMYFUNCTION("""COMPUTED_VALUE"""),TRUE)</f>
        <v>1</v>
      </c>
    </row>
    <row r="663">
      <c r="A663" s="5">
        <f>IFERROR(__xludf.DUMMYFUNCTION("""COMPUTED_VALUE"""),698.0)</f>
        <v>698</v>
      </c>
      <c r="B663" s="5">
        <f>IFERROR(__xludf.DUMMYFUNCTION("""COMPUTED_VALUE"""),3034.0)</f>
        <v>3034</v>
      </c>
      <c r="C663" s="5" t="str">
        <f>IFERROR(__xludf.DUMMYFUNCTION("""COMPUTED_VALUE"""),"Fazi")</f>
        <v>Fazi</v>
      </c>
      <c r="D663" s="5" t="str">
        <f>IFERROR(__xludf.DUMMYFUNCTION("""COMPUTED_VALUE"""),"Epic Dice 100 Booster")</f>
        <v>Epic Dice 100 Booster</v>
      </c>
      <c r="E663" s="5" t="str">
        <f>IFERROR(__xludf.DUMMYFUNCTION("""COMPUTED_VALUE"""),"V2")</f>
        <v>V2</v>
      </c>
      <c r="F663" s="5" t="str">
        <f>IFERROR(__xludf.DUMMYFUNCTION("""COMPUTED_VALUE"""),"EpicDice100Booster")</f>
        <v>EpicDice100Booster</v>
      </c>
      <c r="G663" s="5" t="str">
        <f>IFERROR(__xludf.DUMMYFUNCTION("""COMPUTED_VALUE"""),"Live")</f>
        <v>Live</v>
      </c>
      <c r="H663" s="5"/>
      <c r="I663" s="5" t="str">
        <f>IFERROR(__xludf.DUMMYFUNCTION("""COMPUTED_VALUE"""),"V2")</f>
        <v>V2</v>
      </c>
      <c r="J663" s="5" t="str">
        <f>IFERROR(__xludf.DUMMYFUNCTION("""COMPUTED_VALUE"""),"JSON")</f>
        <v>JSON</v>
      </c>
      <c r="K663" s="5" t="str">
        <f>IFERROR(__xludf.DUMMYFUNCTION("""COMPUTED_VALUE"""),"Slot")</f>
        <v>Slot</v>
      </c>
      <c r="L663" s="5" t="str">
        <f>IFERROR(__xludf.DUMMYFUNCTION("""COMPUTED_VALUE""")," Clone")</f>
        <v> Clone</v>
      </c>
      <c r="M663" s="5" t="str">
        <f>IFERROR(__xludf.DUMMYFUNCTION("""COMPUTED_VALUE"""),"Epic Dice 100")</f>
        <v>Epic Dice 100</v>
      </c>
      <c r="N663" s="5"/>
      <c r="O663" s="5"/>
      <c r="P663" s="12">
        <f>IFERROR(__xludf.DUMMYFUNCTION("""COMPUTED_VALUE"""),26.6)</f>
        <v>26.6</v>
      </c>
      <c r="Q663" s="13">
        <f>IFERROR(__xludf.DUMMYFUNCTION("""COMPUTED_VALUE"""),46071.0)</f>
        <v>46071</v>
      </c>
      <c r="R663" s="13">
        <f>IFERROR(__xludf.DUMMYFUNCTION("""COMPUTED_VALUE"""),46198.0)</f>
        <v>46198</v>
      </c>
      <c r="S663" s="13">
        <f>IFERROR(__xludf.DUMMYFUNCTION("""COMPUTED_VALUE"""),46205.0)</f>
        <v>46205</v>
      </c>
      <c r="T663" s="5" t="b">
        <f>IFERROR(__xludf.DUMMYFUNCTION("""COMPUTED_VALUE"""),TRUE)</f>
        <v>1</v>
      </c>
      <c r="U663" s="5" t="str">
        <f>IFERROR(__xludf.DUMMYFUNCTION("""COMPUTED_VALUE"""),"5x4")</f>
        <v>5x4</v>
      </c>
      <c r="V663" s="5">
        <f>IFERROR(__xludf.DUMMYFUNCTION("""COMPUTED_VALUE"""),100.0)</f>
        <v>100</v>
      </c>
      <c r="W663" s="5">
        <f>IFERROR(__xludf.DUMMYFUNCTION("""COMPUTED_VALUE"""),100.0)</f>
        <v>100</v>
      </c>
      <c r="X663" s="5">
        <f>IFERROR(__xludf.DUMMYFUNCTION("""COMPUTED_VALUE"""),96.502)</f>
        <v>96.502</v>
      </c>
      <c r="Y663" s="5" t="str">
        <f>IFERROR(__xludf.DUMMYFUNCTION("""COMPUTED_VALUE"""),"Medium")</f>
        <v>Medium</v>
      </c>
      <c r="Z663" s="5">
        <f>IFERROR(__xludf.DUMMYFUNCTION("""COMPUTED_VALUE"""),13.309)</f>
        <v>13.309</v>
      </c>
      <c r="AA663" s="5">
        <f>IFERROR(__xludf.DUMMYFUNCTION("""COMPUTED_VALUE"""),3000.0)</f>
        <v>3000</v>
      </c>
      <c r="AB663" s="5">
        <f>IFERROR(__xludf.DUMMYFUNCTION("""COMPUTED_VALUE"""),4.0)</f>
        <v>4</v>
      </c>
      <c r="AC663" s="5" t="str">
        <f>IFERROR(__xludf.DUMMYFUNCTION("""COMPUTED_VALUE"""),"Scatter, Expanding Wild")</f>
        <v>Scatter, Expanding Wild</v>
      </c>
      <c r="AD663" s="5" t="str">
        <f>IFERROR(__xludf.DUMMYFUNCTION("""COMPUTED_VALUE"""),"1/100")</f>
        <v>1/100</v>
      </c>
      <c r="AE663" s="5"/>
      <c r="AF663" s="5"/>
      <c r="AG663" s="8">
        <f>IFERROR(__xludf.DUMMYFUNCTION("""COMPUTED_VALUE"""),46241.58484953704)</f>
        <v>46241.58485</v>
      </c>
      <c r="AH663" s="5" t="str">
        <f>IFERROR(__xludf.DUMMYFUNCTION("""COMPUTED_VALUE"""),"aleksandar.matejic@fazi.rs")</f>
        <v>aleksandar.matejic@fazi.rs</v>
      </c>
      <c r="AI663" s="13">
        <f>IFERROR(__xludf.DUMMYFUNCTION("""COMPUTED_VALUE"""),46204.0)</f>
        <v>46204</v>
      </c>
      <c r="AJ663" s="5"/>
      <c r="AK663" s="5"/>
      <c r="AL663" s="5" t="str">
        <f>IFERROR(__xludf.DUMMYFUNCTION("""COMPUTED_VALUE"""),"Yes")</f>
        <v>Yes</v>
      </c>
      <c r="AM663" s="5" t="str">
        <f>IFERROR(__xludf.DUMMYFUNCTION("""COMPUTED_VALUE"""),"No")</f>
        <v>No</v>
      </c>
      <c r="AN663" s="7" t="str">
        <f>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AO663" s="5" t="str">
        <f>IFERROR(__xludf.DUMMYFUNCTION("""COMPUTED_VALUE"""),"Yes")</f>
        <v>Yes</v>
      </c>
      <c r="AP663" s="5" t="str">
        <f>IFERROR(__xludf.DUMMYFUNCTION("""COMPUTED_VALUE"""),"No")</f>
        <v>No</v>
      </c>
      <c r="AQ663" s="5" t="b">
        <f>IFERROR(__xludf.DUMMYFUNCTION("""COMPUTED_VALUE"""),TRUE)</f>
        <v>1</v>
      </c>
      <c r="AR663" s="5"/>
      <c r="AS663" s="5" t="str">
        <f>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AT663" s="5"/>
      <c r="AU663" s="5" t="str">
        <f>IFERROR(__xludf.DUMMYFUNCTION("""COMPUTED_VALUE"""),"Fazi")</f>
        <v>Fazi</v>
      </c>
      <c r="AV663" s="5">
        <f>IFERROR(__xludf.DUMMYFUNCTION("""COMPUTED_VALUE"""),1.0)</f>
        <v>1</v>
      </c>
      <c r="AW663" s="5"/>
      <c r="AX663" s="13">
        <f>IFERROR(__xludf.DUMMYFUNCTION("""COMPUTED_VALUE"""),46063.0)</f>
        <v>46063</v>
      </c>
      <c r="AY663" s="5"/>
      <c r="AZ663" s="5"/>
      <c r="BA663" s="5">
        <f>IFERROR(__xludf.DUMMYFUNCTION("""COMPUTED_VALUE"""),7.0)</f>
        <v>7</v>
      </c>
      <c r="BB663" s="5" t="b">
        <f>IFERROR(__xludf.DUMMYFUNCTION("""COMPUTED_VALUE"""),TRUE)</f>
        <v>1</v>
      </c>
      <c r="BC663" s="5" t="str">
        <f>IFERROR(__xludf.DUMMYFUNCTION("""COMPUTED_VALUE"""),"Foxi")</f>
        <v>Foxi</v>
      </c>
      <c r="BD663" s="7" t="str">
        <f>IFERROR(__xludf.DUMMYFUNCTION("""COMPUTED_VALUE"""),"https://gameserver-store-client-area.orbionlimited.com/Home/IntegrationGameLaunch/client-area?moneyType=0&amp;gameName=EpicDice100Booster&amp;platform=desktop&amp;languageCode=eng&amp;currency=EUR")</f>
        <v>https://gameserver-store-client-area.orbionlimited.com/Home/IntegrationGameLaunch/client-area?moneyType=0&amp;gameName=EpicDice100Booster&amp;platform=desktop&amp;languageCode=eng&amp;currency=EUR</v>
      </c>
      <c r="BE663" s="5" t="b">
        <f>IFERROR(__xludf.DUMMYFUNCTION("""COMPUTED_VALUE"""),TRUE)</f>
        <v>1</v>
      </c>
    </row>
    <row r="664">
      <c r="A664" s="5">
        <f>IFERROR(__xludf.DUMMYFUNCTION("""COMPUTED_VALUE"""),699.0)</f>
        <v>699</v>
      </c>
      <c r="B664" s="5">
        <f>IFERROR(__xludf.DUMMYFUNCTION("""COMPUTED_VALUE"""),3033.0)</f>
        <v>3033</v>
      </c>
      <c r="C664" s="5" t="str">
        <f>IFERROR(__xludf.DUMMYFUNCTION("""COMPUTED_VALUE"""),"Fazi")</f>
        <v>Fazi</v>
      </c>
      <c r="D664" s="5" t="str">
        <f>IFERROR(__xludf.DUMMYFUNCTION("""COMPUTED_VALUE"""),"Very Hot 40 Dice Booster")</f>
        <v>Very Hot 40 Dice Booster</v>
      </c>
      <c r="E664" s="5" t="str">
        <f>IFERROR(__xludf.DUMMYFUNCTION("""COMPUTED_VALUE"""),"V2")</f>
        <v>V2</v>
      </c>
      <c r="F664" s="5" t="str">
        <f>IFERROR(__xludf.DUMMYFUNCTION("""COMPUTED_VALUE"""),"VeryHot40DiceBooster")</f>
        <v>VeryHot40DiceBooster</v>
      </c>
      <c r="G664" s="5" t="str">
        <f>IFERROR(__xludf.DUMMYFUNCTION("""COMPUTED_VALUE"""),"Deployed")</f>
        <v>Deployed</v>
      </c>
      <c r="H664" s="5"/>
      <c r="I664" s="5" t="str">
        <f>IFERROR(__xludf.DUMMYFUNCTION("""COMPUTED_VALUE"""),"V2")</f>
        <v>V2</v>
      </c>
      <c r="J664" s="5" t="str">
        <f>IFERROR(__xludf.DUMMYFUNCTION("""COMPUTED_VALUE"""),"JSON")</f>
        <v>JSON</v>
      </c>
      <c r="K664" s="5" t="str">
        <f>IFERROR(__xludf.DUMMYFUNCTION("""COMPUTED_VALUE"""),"Slot")</f>
        <v>Slot</v>
      </c>
      <c r="L664" s="5" t="str">
        <f>IFERROR(__xludf.DUMMYFUNCTION("""COMPUTED_VALUE""")," Clone")</f>
        <v> Clone</v>
      </c>
      <c r="M664" s="5" t="str">
        <f>IFERROR(__xludf.DUMMYFUNCTION("""COMPUTED_VALUE"""),"Very Hot 40 Dice")</f>
        <v>Very Hot 40 Dice</v>
      </c>
      <c r="N664" s="5"/>
      <c r="O664" s="5"/>
      <c r="P664" s="12">
        <f>IFERROR(__xludf.DUMMYFUNCTION("""COMPUTED_VALUE"""),16.5)</f>
        <v>16.5</v>
      </c>
      <c r="Q664" s="13">
        <f>IFERROR(__xludf.DUMMYFUNCTION("""COMPUTED_VALUE"""),46072.0)</f>
        <v>46072</v>
      </c>
      <c r="R664" s="13"/>
      <c r="S664" s="13"/>
      <c r="T664" s="5"/>
      <c r="U664" s="5" t="str">
        <f>IFERROR(__xludf.DUMMYFUNCTION("""COMPUTED_VALUE"""),"5x3")</f>
        <v>5x3</v>
      </c>
      <c r="V664" s="5">
        <f>IFERROR(__xludf.DUMMYFUNCTION("""COMPUTED_VALUE"""),40.0)</f>
        <v>40</v>
      </c>
      <c r="W664" s="5">
        <f>IFERROR(__xludf.DUMMYFUNCTION("""COMPUTED_VALUE"""),40.0)</f>
        <v>40</v>
      </c>
      <c r="X664" s="5">
        <f>IFERROR(__xludf.DUMMYFUNCTION("""COMPUTED_VALUE"""),96.53)</f>
        <v>96.53</v>
      </c>
      <c r="Y664" s="5" t="str">
        <f>IFERROR(__xludf.DUMMYFUNCTION("""COMPUTED_VALUE"""),"Low")</f>
        <v>Low</v>
      </c>
      <c r="Z664" s="5">
        <f>IFERROR(__xludf.DUMMYFUNCTION("""COMPUTED_VALUE"""),23.38)</f>
        <v>23.38</v>
      </c>
      <c r="AA664" s="5">
        <f>IFERROR(__xludf.DUMMYFUNCTION("""COMPUTED_VALUE"""),876.75)</f>
        <v>876.75</v>
      </c>
      <c r="AB664" s="5">
        <f>IFERROR(__xludf.DUMMYFUNCTION("""COMPUTED_VALUE"""),4.0)</f>
        <v>4</v>
      </c>
      <c r="AC664" s="5"/>
      <c r="AD664" s="5" t="str">
        <f>IFERROR(__xludf.DUMMYFUNCTION("""COMPUTED_VALUE"""),"0.4/60")</f>
        <v>0.4/60</v>
      </c>
      <c r="AE664" s="5"/>
      <c r="AF664" s="5"/>
      <c r="AG664" s="8">
        <f>IFERROR(__xludf.DUMMYFUNCTION("""COMPUTED_VALUE"""),46189.417766203704)</f>
        <v>46189.41777</v>
      </c>
      <c r="AH664" s="5" t="str">
        <f>IFERROR(__xludf.DUMMYFUNCTION("""COMPUTED_VALUE"""),"milutin.toskic@fazi.rs")</f>
        <v>milutin.toskic@fazi.rs</v>
      </c>
      <c r="AI664" s="13"/>
      <c r="AJ664" s="5"/>
      <c r="AK664" s="5">
        <f>IFERROR(__xludf.DUMMYFUNCTION("""COMPUTED_VALUE"""),40.0)</f>
        <v>40</v>
      </c>
      <c r="AL664" s="5" t="str">
        <f>IFERROR(__xludf.DUMMYFUNCTION("""COMPUTED_VALUE"""),"Yes")</f>
        <v>Yes</v>
      </c>
      <c r="AM664" s="5" t="str">
        <f>IFERROR(__xludf.DUMMYFUNCTION("""COMPUTED_VALUE"""),"No")</f>
        <v>No</v>
      </c>
      <c r="AN664" s="7" t="str">
        <f>IFERROR(__xludf.DUMMYFUNCTION("""COMPUTED_VALUE"""),"https://onlinegamespromo.fazi.rs/Home/IntegrationGameLaunch?moneyType=0&amp;gameName=VeryHot40DiceBooster&amp;platform=desktop&amp;languageCode=eng&amp;currency=EUR")</f>
        <v>https://onlinegamespromo.fazi.rs/Home/IntegrationGameLaunch?moneyType=0&amp;gameName=VeryHot40DiceBooster&amp;platform=desktop&amp;languageCode=eng&amp;currency=EUR</v>
      </c>
      <c r="AO664" s="5" t="str">
        <f>IFERROR(__xludf.DUMMYFUNCTION("""COMPUTED_VALUE"""),"Yes")</f>
        <v>Yes</v>
      </c>
      <c r="AP664" s="5" t="str">
        <f>IFERROR(__xludf.DUMMYFUNCTION("""COMPUTED_VALUE"""),"No")</f>
        <v>No</v>
      </c>
      <c r="AQ664" s="5"/>
      <c r="AR664" s="5"/>
      <c r="AS664" s="5"/>
      <c r="AT664" s="5"/>
      <c r="AU664" s="5" t="str">
        <f>IFERROR(__xludf.DUMMYFUNCTION("""COMPUTED_VALUE"""),"Fazi")</f>
        <v>Fazi</v>
      </c>
      <c r="AV664" s="5">
        <f>IFERROR(__xludf.DUMMYFUNCTION("""COMPUTED_VALUE"""),1.0)</f>
        <v>1</v>
      </c>
      <c r="AW664" s="5"/>
      <c r="AX664" s="13">
        <f>IFERROR(__xludf.DUMMYFUNCTION("""COMPUTED_VALUE"""),46063.0)</f>
        <v>46063</v>
      </c>
      <c r="AY664" s="5"/>
      <c r="AZ664" s="5"/>
      <c r="BA664" s="5">
        <f>IFERROR(__xludf.DUMMYFUNCTION("""COMPUTED_VALUE"""),5.0)</f>
        <v>5</v>
      </c>
      <c r="BB664" s="5"/>
      <c r="BC664" s="5" t="str">
        <f>IFERROR(__xludf.DUMMYFUNCTION("""COMPUTED_VALUE"""),"Foxi")</f>
        <v>Foxi</v>
      </c>
      <c r="BD664" s="7" t="str">
        <f>IFERROR(__xludf.DUMMYFUNCTION("""COMPUTED_VALUE"""),"https://gameserver-store-client-area.orbionlimited.com/Home/IntegrationGameLaunch/client-area?moneyType=0&amp;gameName=VeryHot40DiceBooster&amp;platform=desktop&amp;languageCode=eng&amp;currency=EUR")</f>
        <v>https://gameserver-store-client-area.orbionlimited.com/Home/IntegrationGameLaunch/client-area?moneyType=0&amp;gameName=VeryHot40DiceBooster&amp;platform=desktop&amp;languageCode=eng&amp;currency=EUR</v>
      </c>
      <c r="BE664" s="5"/>
    </row>
    <row r="665">
      <c r="A665" s="5">
        <f>IFERROR(__xludf.DUMMYFUNCTION("""COMPUTED_VALUE"""),700.0)</f>
        <v>700</v>
      </c>
      <c r="B665" s="5">
        <f>IFERROR(__xludf.DUMMYFUNCTION("""COMPUTED_VALUE"""),4017.0)</f>
        <v>4017</v>
      </c>
      <c r="C665" s="5" t="str">
        <f>IFERROR(__xludf.DUMMYFUNCTION("""COMPUTED_VALUE"""),"Fazi")</f>
        <v>Fazi</v>
      </c>
      <c r="D665" s="5" t="str">
        <f>IFERROR(__xludf.DUMMYFUNCTION("""COMPUTED_VALUE"""),"Pasino Crown")</f>
        <v>Pasino Crown</v>
      </c>
      <c r="E665" s="5" t="str">
        <f>IFERROR(__xludf.DUMMYFUNCTION("""COMPUTED_VALUE"""),"Sertifikacioni")</f>
        <v>Sertifikacioni</v>
      </c>
      <c r="F665" s="5" t="str">
        <f>IFERROR(__xludf.DUMMYFUNCTION("""COMPUTED_VALUE"""),"PasinoCrown")</f>
        <v>PasinoCrown</v>
      </c>
      <c r="G665" s="5" t="str">
        <f>IFERROR(__xludf.DUMMYFUNCTION("""COMPUTED_VALUE"""),"Deployed")</f>
        <v>Deployed</v>
      </c>
      <c r="H665" s="7" t="str">
        <f>IFERROR(__xludf.DUMMYFUNCTION("""COMPUTED_VALUE"""),"Pasino.ch")</f>
        <v>Pasino.ch</v>
      </c>
      <c r="I665" s="5" t="str">
        <f>IFERROR(__xludf.DUMMYFUNCTION("""COMPUTED_VALUE"""),"V2")</f>
        <v>V2</v>
      </c>
      <c r="J665" s="5" t="str">
        <f>IFERROR(__xludf.DUMMYFUNCTION("""COMPUTED_VALUE"""),"JSON")</f>
        <v>JSON</v>
      </c>
      <c r="K665" s="5" t="str">
        <f>IFERROR(__xludf.DUMMYFUNCTION("""COMPUTED_VALUE"""),"Slot")</f>
        <v>Slot</v>
      </c>
      <c r="L665" s="5" t="str">
        <f>IFERROR(__xludf.DUMMYFUNCTION("""COMPUTED_VALUE""")," Clone")</f>
        <v> Clone</v>
      </c>
      <c r="M665" s="5" t="str">
        <f>IFERROR(__xludf.DUMMYFUNCTION("""COMPUTED_VALUE"""),"Golden Crown")</f>
        <v>Golden Crown</v>
      </c>
      <c r="N665" s="5"/>
      <c r="O665" s="5"/>
      <c r="P665" s="12"/>
      <c r="Q665" s="13"/>
      <c r="R665" s="13"/>
      <c r="S665" s="13"/>
      <c r="T665" s="5"/>
      <c r="U665" s="5" t="str">
        <f>IFERROR(__xludf.DUMMYFUNCTION("""COMPUTED_VALUE"""),"5x3")</f>
        <v>5x3</v>
      </c>
      <c r="V665" s="5">
        <f>IFERROR(__xludf.DUMMYFUNCTION("""COMPUTED_VALUE"""),10.0)</f>
        <v>10</v>
      </c>
      <c r="W665" s="5">
        <f>IFERROR(__xludf.DUMMYFUNCTION("""COMPUTED_VALUE"""),10.0)</f>
        <v>10</v>
      </c>
      <c r="X665" s="5">
        <f>IFERROR(__xludf.DUMMYFUNCTION("""COMPUTED_VALUE"""),95.962)</f>
        <v>95.962</v>
      </c>
      <c r="Y665" s="5" t="str">
        <f>IFERROR(__xludf.DUMMYFUNCTION("""COMPUTED_VALUE"""),"Medium")</f>
        <v>Medium</v>
      </c>
      <c r="Z665" s="5">
        <f>IFERROR(__xludf.DUMMYFUNCTION("""COMPUTED_VALUE"""),14.634)</f>
        <v>14.634</v>
      </c>
      <c r="AA665" s="5">
        <f>IFERROR(__xludf.DUMMYFUNCTION("""COMPUTED_VALUE"""),1538.0)</f>
        <v>1538</v>
      </c>
      <c r="AB665" s="5"/>
      <c r="AC665" s="5"/>
      <c r="AD665" s="5"/>
      <c r="AE665" s="5"/>
      <c r="AF665" s="5"/>
      <c r="AG665" s="8">
        <f>IFERROR(__xludf.DUMMYFUNCTION("""COMPUTED_VALUE"""),46071.688888888886)</f>
        <v>46071.68889</v>
      </c>
      <c r="AH665" s="5" t="str">
        <f>IFERROR(__xludf.DUMMYFUNCTION("""COMPUTED_VALUE"""),"petra.ilic@fazi.rs")</f>
        <v>petra.ilic@fazi.rs</v>
      </c>
      <c r="AI665" s="13"/>
      <c r="AJ665" s="5"/>
      <c r="AK665" s="5">
        <f>IFERROR(__xludf.DUMMYFUNCTION("""COMPUTED_VALUE"""),10.0)</f>
        <v>10</v>
      </c>
      <c r="AL665" s="5" t="str">
        <f>IFERROR(__xludf.DUMMYFUNCTION("""COMPUTED_VALUE"""),"Yes")</f>
        <v>Yes</v>
      </c>
      <c r="AM665" s="5"/>
      <c r="AN665" s="5"/>
      <c r="AO665" s="5"/>
      <c r="AP665" s="5"/>
      <c r="AQ665" s="5"/>
      <c r="AR665" s="5" t="b">
        <f>IFERROR(__xludf.DUMMYFUNCTION("""COMPUTED_VALUE"""),TRUE)</f>
        <v>1</v>
      </c>
      <c r="AS665" s="5"/>
      <c r="AT665" s="5"/>
      <c r="AU665" s="5" t="str">
        <f>IFERROR(__xludf.DUMMYFUNCTION("""COMPUTED_VALUE"""),"Fazi")</f>
        <v>Fazi</v>
      </c>
      <c r="AV665" s="5">
        <f>IFERROR(__xludf.DUMMYFUNCTION("""COMPUTED_VALUE"""),1.0)</f>
        <v>1</v>
      </c>
      <c r="AW665" s="5"/>
      <c r="AX665" s="5"/>
      <c r="AY665" s="5"/>
      <c r="AZ665" s="5"/>
      <c r="BA665" s="5" t="str">
        <f>IFERROR(__xludf.DUMMYFUNCTION("""COMPUTED_VALUE"""),"")</f>
        <v/>
      </c>
      <c r="BB665" s="5"/>
      <c r="BC665" s="5" t="str">
        <f>IFERROR(__xludf.DUMMYFUNCTION("""COMPUTED_VALUE"""),"Foxi")</f>
        <v>Foxi</v>
      </c>
      <c r="BD665" s="5" t="str">
        <f>IFERROR(__xludf.DUMMYFUNCTION("""COMPUTED_VALUE"""),"")</f>
        <v/>
      </c>
      <c r="BE665" s="5"/>
    </row>
    <row r="666">
      <c r="A666" s="5">
        <f>IFERROR(__xludf.DUMMYFUNCTION("""COMPUTED_VALUE"""),701.0)</f>
        <v>701</v>
      </c>
      <c r="B666" s="5">
        <f>IFERROR(__xludf.DUMMYFUNCTION("""COMPUTED_VALUE"""),4033.0)</f>
        <v>4033</v>
      </c>
      <c r="C666" s="5" t="str">
        <f>IFERROR(__xludf.DUMMYFUNCTION("""COMPUTED_VALUE"""),"Fazi")</f>
        <v>Fazi</v>
      </c>
      <c r="D666" s="5" t="str">
        <f>IFERROR(__xludf.DUMMYFUNCTION("""COMPUTED_VALUE"""),"Golden Crown Extreme Dice")</f>
        <v>Golden Crown Extreme Dice</v>
      </c>
      <c r="E666" s="5" t="str">
        <f>IFERROR(__xludf.DUMMYFUNCTION("""COMPUTED_VALUE"""),"Sertifikacioni")</f>
        <v>Sertifikacioni</v>
      </c>
      <c r="F666" s="5" t="str">
        <f>IFERROR(__xludf.DUMMYFUNCTION("""COMPUTED_VALUE"""),"GoldenCrownExtremeDice")</f>
        <v>GoldenCrownExtremeDice</v>
      </c>
      <c r="G666" s="5" t="str">
        <f>IFERROR(__xludf.DUMMYFUNCTION("""COMPUTED_VALUE"""),"Live")</f>
        <v>Live</v>
      </c>
      <c r="H666" s="5"/>
      <c r="I666" s="5" t="str">
        <f>IFERROR(__xludf.DUMMYFUNCTION("""COMPUTED_VALUE"""),"V4")</f>
        <v>V4</v>
      </c>
      <c r="J666" s="5" t="str">
        <f>IFERROR(__xludf.DUMMYFUNCTION("""COMPUTED_VALUE"""),"JSON")</f>
        <v>JSON</v>
      </c>
      <c r="K666" s="5" t="str">
        <f>IFERROR(__xludf.DUMMYFUNCTION("""COMPUTED_VALUE"""),"Dice Slots")</f>
        <v>Dice Slots</v>
      </c>
      <c r="L666" s="5" t="str">
        <f>IFERROR(__xludf.DUMMYFUNCTION("""COMPUTED_VALUE""")," Clone")</f>
        <v> Clone</v>
      </c>
      <c r="M666" s="5" t="str">
        <f>IFERROR(__xludf.DUMMYFUNCTION("""COMPUTED_VALUE"""),"Golden Crown Extreme")</f>
        <v>Golden Crown Extreme</v>
      </c>
      <c r="N666" s="5"/>
      <c r="O666" s="5"/>
      <c r="P666" s="12">
        <f>IFERROR(__xludf.DUMMYFUNCTION("""COMPUTED_VALUE"""),136.8)</f>
        <v>136.8</v>
      </c>
      <c r="Q666" s="13">
        <f>IFERROR(__xludf.DUMMYFUNCTION("""COMPUTED_VALUE"""),46083.0)</f>
        <v>46083</v>
      </c>
      <c r="R666" s="13">
        <f>IFERROR(__xludf.DUMMYFUNCTION("""COMPUTED_VALUE"""),46163.0)</f>
        <v>46163</v>
      </c>
      <c r="S666" s="13">
        <f>IFERROR(__xludf.DUMMYFUNCTION("""COMPUTED_VALUE"""),46170.0)</f>
        <v>46170</v>
      </c>
      <c r="T666" s="5" t="b">
        <f>IFERROR(__xludf.DUMMYFUNCTION("""COMPUTED_VALUE"""),TRUE)</f>
        <v>1</v>
      </c>
      <c r="U666" s="5" t="str">
        <f>IFERROR(__xludf.DUMMYFUNCTION("""COMPUTED_VALUE"""),"5x3")</f>
        <v>5x3</v>
      </c>
      <c r="V666" s="5">
        <f>IFERROR(__xludf.DUMMYFUNCTION("""COMPUTED_VALUE"""),10.0)</f>
        <v>10</v>
      </c>
      <c r="W666" s="5">
        <f>IFERROR(__xludf.DUMMYFUNCTION("""COMPUTED_VALUE"""),10.0)</f>
        <v>10</v>
      </c>
      <c r="X666" s="5">
        <f>IFERROR(__xludf.DUMMYFUNCTION("""COMPUTED_VALUE"""),96.535)</f>
        <v>96.535</v>
      </c>
      <c r="Y666" s="5" t="str">
        <f>IFERROR(__xludf.DUMMYFUNCTION("""COMPUTED_VALUE"""),"Medium")</f>
        <v>Medium</v>
      </c>
      <c r="Z666" s="5">
        <f>IFERROR(__xludf.DUMMYFUNCTION("""COMPUTED_VALUE"""),14.28)</f>
        <v>14.28</v>
      </c>
      <c r="AA666" s="5">
        <f>IFERROR(__xludf.DUMMYFUNCTION("""COMPUTED_VALUE"""),3076.0)</f>
        <v>3076</v>
      </c>
      <c r="AB666" s="5"/>
      <c r="AC666" s="5"/>
      <c r="AD666" s="5"/>
      <c r="AE666" s="5"/>
      <c r="AF666" s="5"/>
      <c r="AG666" s="8">
        <f>IFERROR(__xludf.DUMMYFUNCTION("""COMPUTED_VALUE"""),46176.74128472222)</f>
        <v>46176.74128</v>
      </c>
      <c r="AH666" s="5" t="str">
        <f>IFERROR(__xludf.DUMMYFUNCTION("""COMPUTED_VALUE"""),"petra.ilic@fazi.rs")</f>
        <v>petra.ilic@fazi.rs</v>
      </c>
      <c r="AI666" s="13">
        <f>IFERROR(__xludf.DUMMYFUNCTION("""COMPUTED_VALUE"""),46146.0)</f>
        <v>46146</v>
      </c>
      <c r="AJ666" s="5" t="str">
        <f>IFERROR(__xludf.DUMMYFUNCTION("""COMPUTED_VALUE"""),"Premierbet - BtoBet	4.05")</f>
        <v>Premierbet - BtoBet	4.05</v>
      </c>
      <c r="AK666" s="5">
        <f>IFERROR(__xludf.DUMMYFUNCTION("""COMPUTED_VALUE"""),10.0)</f>
        <v>10</v>
      </c>
      <c r="AL666" s="5" t="str">
        <f>IFERROR(__xludf.DUMMYFUNCTION("""COMPUTED_VALUE"""),"Yes")</f>
        <v>Yes</v>
      </c>
      <c r="AM666" s="5"/>
      <c r="AN666" s="7" t="str">
        <f>IFERROR(__xludf.DUMMYFUNCTION("""COMPUTED_VALUE"""),"https://onlinegamespromo.fazi.rs/Home/IntegrationGameLaunch?moneyType=0&amp;gameName=GoldenCrownExtremeDice&amp;platform=desktop&amp;languageCode=eng&amp;currency=EUR")</f>
        <v>https://onlinegamespromo.fazi.rs/Home/IntegrationGameLaunch?moneyType=0&amp;gameName=GoldenCrownExtremeDice&amp;platform=desktop&amp;languageCode=eng&amp;currency=EUR</v>
      </c>
      <c r="AO666" s="5"/>
      <c r="AP666" s="5" t="str">
        <f>IFERROR(__xludf.DUMMYFUNCTION("""COMPUTED_VALUE"""),"Yes")</f>
        <v>Yes</v>
      </c>
      <c r="AQ666" s="5"/>
      <c r="AR666" s="5"/>
      <c r="AS666" s="5" t="str">
        <f>IFERROR(__xludf.DUMMYFUNCTION("""COMPUTED_VALUE"""),"The crown is here - with a dice twist! 
Golden Crown Extreme Dice combines the fruits, bells, and lucky 7s you love with thrilling dice rolls. The middle reel spins first, revealing expanding wild Crowns with x2 multipliers. Stars guide your way as every "&amp;"dice roll brings new chances for golden wins.
")</f>
        <v>The crown is here - with a dice twist! 
Golden Crown Extreme Dice combines the fruits, bells, and lucky 7s you love with thrilling dice rolls. The middle reel spins first, revealing expanding wild Crowns with x2 multipliers. Stars guide your way as every dice roll brings new chances for golden wins.
</v>
      </c>
      <c r="AT666" s="5"/>
      <c r="AU666" s="5" t="str">
        <f>IFERROR(__xludf.DUMMYFUNCTION("""COMPUTED_VALUE"""),"Fazi")</f>
        <v>Fazi</v>
      </c>
      <c r="AV666" s="5">
        <f>IFERROR(__xludf.DUMMYFUNCTION("""COMPUTED_VALUE"""),1.0)</f>
        <v>1</v>
      </c>
      <c r="AW666" s="5"/>
      <c r="AX666" s="13">
        <f>IFERROR(__xludf.DUMMYFUNCTION("""COMPUTED_VALUE"""),46077.0)</f>
        <v>46077</v>
      </c>
      <c r="AY666" s="5"/>
      <c r="AZ666" s="5"/>
      <c r="BA666" s="5"/>
      <c r="BB666" s="5"/>
      <c r="BC666" s="5" t="str">
        <f>IFERROR(__xludf.DUMMYFUNCTION("""COMPUTED_VALUE"""),"Foxi")</f>
        <v>Foxi</v>
      </c>
      <c r="BD666" s="7" t="str">
        <f>IFERROR(__xludf.DUMMYFUNCTION("""COMPUTED_VALUE"""),"https://gameserver-store-client-area.orbionlimited.com/Home/IntegrationGameLaunch/client-area?moneyType=0&amp;gameName=GoldenCrownExtremeDice&amp;platform=desktop&amp;languageCode=eng&amp;currency=EUR")</f>
        <v>https://gameserver-store-client-area.orbionlimited.com/Home/IntegrationGameLaunch/client-area?moneyType=0&amp;gameName=GoldenCrownExtremeDice&amp;platform=desktop&amp;languageCode=eng&amp;currency=EUR</v>
      </c>
      <c r="BE666" s="5"/>
    </row>
    <row r="667">
      <c r="A667" s="5">
        <f>IFERROR(__xludf.DUMMYFUNCTION("""COMPUTED_VALUE"""),702.0)</f>
        <v>702</v>
      </c>
      <c r="B667" s="5">
        <f>IFERROR(__xludf.DUMMYFUNCTION("""COMPUTED_VALUE"""),4034.0)</f>
        <v>4034</v>
      </c>
      <c r="C667" s="5" t="str">
        <f>IFERROR(__xludf.DUMMYFUNCTION("""COMPUTED_VALUE"""),"Fazi")</f>
        <v>Fazi</v>
      </c>
      <c r="D667" s="5" t="str">
        <f>IFERROR(__xludf.DUMMYFUNCTION("""COMPUTED_VALUE"""),"Winning Clover 5 Extreme Booster")</f>
        <v>Winning Clover 5 Extreme Booster</v>
      </c>
      <c r="E667" s="5" t="str">
        <f>IFERROR(__xludf.DUMMYFUNCTION("""COMPUTED_VALUE"""),"Sertifikacioni")</f>
        <v>Sertifikacioni</v>
      </c>
      <c r="F667" s="5" t="str">
        <f>IFERROR(__xludf.DUMMYFUNCTION("""COMPUTED_VALUE"""),"WinningClover5ExtremeBooster")</f>
        <v>WinningClover5ExtremeBooster</v>
      </c>
      <c r="G667" s="5" t="str">
        <f>IFERROR(__xludf.DUMMYFUNCTION("""COMPUTED_VALUE"""),"Live")</f>
        <v>Live</v>
      </c>
      <c r="H667" s="5"/>
      <c r="I667" s="5" t="str">
        <f>IFERROR(__xludf.DUMMYFUNCTION("""COMPUTED_VALUE"""),"V4")</f>
        <v>V4</v>
      </c>
      <c r="J667" s="5" t="str">
        <f>IFERROR(__xludf.DUMMYFUNCTION("""COMPUTED_VALUE"""),"JSON")</f>
        <v>JSON</v>
      </c>
      <c r="K667" s="5" t="str">
        <f>IFERROR(__xludf.DUMMYFUNCTION("""COMPUTED_VALUE"""),"Slot")</f>
        <v>Slot</v>
      </c>
      <c r="L667" s="5" t="str">
        <f>IFERROR(__xludf.DUMMYFUNCTION("""COMPUTED_VALUE""")," Clone")</f>
        <v> Clone</v>
      </c>
      <c r="M667" s="5" t="str">
        <f>IFERROR(__xludf.DUMMYFUNCTION("""COMPUTED_VALUE"""),"Winning Clover 5 Extreme")</f>
        <v>Winning Clover 5 Extreme</v>
      </c>
      <c r="N667" s="5"/>
      <c r="O667" s="5"/>
      <c r="P667" s="12">
        <f>IFERROR(__xludf.DUMMYFUNCTION("""COMPUTED_VALUE"""),43.5)</f>
        <v>43.5</v>
      </c>
      <c r="Q667" s="13">
        <f>IFERROR(__xludf.DUMMYFUNCTION("""COMPUTED_VALUE"""),46083.0)</f>
        <v>46083</v>
      </c>
      <c r="R667" s="13">
        <f>IFERROR(__xludf.DUMMYFUNCTION("""COMPUTED_VALUE"""),46231.0)</f>
        <v>46231</v>
      </c>
      <c r="S667" s="13">
        <f>IFERROR(__xludf.DUMMYFUNCTION("""COMPUTED_VALUE"""),46238.0)</f>
        <v>46238</v>
      </c>
      <c r="T667" s="5" t="b">
        <f>IFERROR(__xludf.DUMMYFUNCTION("""COMPUTED_VALUE"""),TRUE)</f>
        <v>1</v>
      </c>
      <c r="U667" s="5" t="str">
        <f>IFERROR(__xludf.DUMMYFUNCTION("""COMPUTED_VALUE"""),"5x3")</f>
        <v>5x3</v>
      </c>
      <c r="V667" s="5">
        <f>IFERROR(__xludf.DUMMYFUNCTION("""COMPUTED_VALUE"""),5.0)</f>
        <v>5</v>
      </c>
      <c r="W667" s="5">
        <f>IFERROR(__xludf.DUMMYFUNCTION("""COMPUTED_VALUE"""),5.0)</f>
        <v>5</v>
      </c>
      <c r="X667" s="5">
        <f>IFERROR(__xludf.DUMMYFUNCTION("""COMPUTED_VALUE"""),96.5)</f>
        <v>96.5</v>
      </c>
      <c r="Y667" s="5" t="str">
        <f>IFERROR(__xludf.DUMMYFUNCTION("""COMPUTED_VALUE"""),"High")</f>
        <v>High</v>
      </c>
      <c r="Z667" s="5">
        <f>IFERROR(__xludf.DUMMYFUNCTION("""COMPUTED_VALUE"""),12.8)</f>
        <v>12.8</v>
      </c>
      <c r="AA667" s="5">
        <f>IFERROR(__xludf.DUMMYFUNCTION("""COMPUTED_VALUE"""),5000.0)</f>
        <v>5000</v>
      </c>
      <c r="AB667" s="5"/>
      <c r="AC667" s="5"/>
      <c r="AD667" s="5" t="str">
        <f>IFERROR(__xludf.DUMMYFUNCTION("""COMPUTED_VALUE"""),"0.5/30")</f>
        <v>0.5/30</v>
      </c>
      <c r="AE667" s="5"/>
      <c r="AF667" s="5"/>
      <c r="AG667" s="8">
        <f>IFERROR(__xludf.DUMMYFUNCTION("""COMPUTED_VALUE"""),46241.589537037034)</f>
        <v>46241.58954</v>
      </c>
      <c r="AH667" s="5" t="str">
        <f>IFERROR(__xludf.DUMMYFUNCTION("""COMPUTED_VALUE"""),"aleksandar.matejic@fazi.rs")</f>
        <v>aleksandar.matejic@fazi.rs</v>
      </c>
      <c r="AI667" s="13">
        <f>IFERROR(__xludf.DUMMYFUNCTION("""COMPUTED_VALUE"""),46199.0)</f>
        <v>46199</v>
      </c>
      <c r="AJ667" s="5"/>
      <c r="AK667" s="5">
        <f>IFERROR(__xludf.DUMMYFUNCTION("""COMPUTED_VALUE"""),5.0)</f>
        <v>5</v>
      </c>
      <c r="AL667" s="5" t="str">
        <f>IFERROR(__xludf.DUMMYFUNCTION("""COMPUTED_VALUE"""),"Yes")</f>
        <v>Yes</v>
      </c>
      <c r="AM667" s="5"/>
      <c r="AN667" s="7" t="str">
        <f>IFERROR(__xludf.DUMMYFUNCTION("""COMPUTED_VALUE"""),"https://onlinegamespromo.fazi.rs/Home/IntegrationGameLaunch?moneyType=0&amp;gameName=WinningClover5ExtremeBooster&amp;platform=desktop&amp;languageCode=eng&amp;currency=EUR")</f>
        <v>https://onlinegamespromo.fazi.rs/Home/IntegrationGameLaunch?moneyType=0&amp;gameName=WinningClover5ExtremeBooster&amp;platform=desktop&amp;languageCode=eng&amp;currency=EUR</v>
      </c>
      <c r="AO667" s="5"/>
      <c r="AP667" s="5" t="str">
        <f>IFERROR(__xludf.DUMMYFUNCTION("""COMPUTED_VALUE"""),"Yes")</f>
        <v>Yes</v>
      </c>
      <c r="AQ667" s="5" t="b">
        <f>IFERROR(__xludf.DUMMYFUNCTION("""COMPUTED_VALUE"""),TRUE)</f>
        <v>1</v>
      </c>
      <c r="AR667" s="5"/>
      <c r="AS667" s="5" t="str">
        <f>IFERROR(__xludf.DUMMYFUNCTION("""COMPUTED_VALUE"""),"Luck is back and stronger than ever! Winning Clover 5 Extreme Booster takes the iconic clover adventure to the next level with expanding Wilds, thrilling high volatility, and even greater winning potential. Activate the Booster to guarantee a Wild on your"&amp;" next spin and get ready for even bigger rewards! 
")</f>
        <v>Luck is back and stronger than ever! Winning Clover 5 Extreme Booster takes the iconic clover adventure to the next level with expanding Wilds, thrilling high volatility, and even greater winning potential. Activate the Booster to guarantee a Wild on your next spin and get ready for even bigger rewards! 
</v>
      </c>
      <c r="AT667" s="5"/>
      <c r="AU667" s="5" t="str">
        <f>IFERROR(__xludf.DUMMYFUNCTION("""COMPUTED_VALUE"""),"Fazi")</f>
        <v>Fazi</v>
      </c>
      <c r="AV667" s="5">
        <f>IFERROR(__xludf.DUMMYFUNCTION("""COMPUTED_VALUE"""),1.0)</f>
        <v>1</v>
      </c>
      <c r="AW667" s="5"/>
      <c r="AX667" s="13">
        <f>IFERROR(__xludf.DUMMYFUNCTION("""COMPUTED_VALUE"""),46077.0)</f>
        <v>46077</v>
      </c>
      <c r="AY667" s="5"/>
      <c r="AZ667" s="5"/>
      <c r="BA667" s="5">
        <f>IFERROR(__xludf.DUMMYFUNCTION("""COMPUTED_VALUE"""),5.0)</f>
        <v>5</v>
      </c>
      <c r="BB667" s="5" t="b">
        <f>IFERROR(__xludf.DUMMYFUNCTION("""COMPUTED_VALUE"""),TRUE)</f>
        <v>1</v>
      </c>
      <c r="BC667" s="5" t="str">
        <f>IFERROR(__xludf.DUMMYFUNCTION("""COMPUTED_VALUE"""),"Foxi")</f>
        <v>Foxi</v>
      </c>
      <c r="BD667" s="7" t="str">
        <f>IFERROR(__xludf.DUMMYFUNCTION("""COMPUTED_VALUE"""),"https://gameserver-store-client-area.orbionlimited.com/Home/IntegrationGameLaunch/client-area?moneyType=0&amp;gameName=WinningClover5ExtremeBooster&amp;platform=desktop&amp;languageCode=eng&amp;currency=EUR")</f>
        <v>https://gameserver-store-client-area.orbionlimited.com/Home/IntegrationGameLaunch/client-area?moneyType=0&amp;gameName=WinningClover5ExtremeBooster&amp;platform=desktop&amp;languageCode=eng&amp;currency=EUR</v>
      </c>
      <c r="BE667" s="5" t="b">
        <f>IFERROR(__xludf.DUMMYFUNCTION("""COMPUTED_VALUE"""),TRUE)</f>
        <v>1</v>
      </c>
    </row>
    <row r="668">
      <c r="A668" s="5">
        <f>IFERROR(__xludf.DUMMYFUNCTION("""COMPUTED_VALUE"""),703.0)</f>
        <v>703</v>
      </c>
      <c r="B668" s="5">
        <f>IFERROR(__xludf.DUMMYFUNCTION("""COMPUTED_VALUE"""),4035.0)</f>
        <v>4035</v>
      </c>
      <c r="C668" s="5" t="str">
        <f>IFERROR(__xludf.DUMMYFUNCTION("""COMPUTED_VALUE"""),"Fazi")</f>
        <v>Fazi</v>
      </c>
      <c r="D668" s="5" t="str">
        <f>IFERROR(__xludf.DUMMYFUNCTION("""COMPUTED_VALUE"""),"Very Hot 40 Extreme Booster")</f>
        <v>Very Hot 40 Extreme Booster</v>
      </c>
      <c r="E668" s="5" t="str">
        <f>IFERROR(__xludf.DUMMYFUNCTION("""COMPUTED_VALUE"""),"Sertifikacioni")</f>
        <v>Sertifikacioni</v>
      </c>
      <c r="F668" s="5" t="str">
        <f>IFERROR(__xludf.DUMMYFUNCTION("""COMPUTED_VALUE"""),"VeryHot40ExtremeBooster")</f>
        <v>VeryHot40ExtremeBooster</v>
      </c>
      <c r="G668" s="5" t="str">
        <f>IFERROR(__xludf.DUMMYFUNCTION("""COMPUTED_VALUE"""),"Live")</f>
        <v>Live</v>
      </c>
      <c r="H668" s="5"/>
      <c r="I668" s="5" t="str">
        <f>IFERROR(__xludf.DUMMYFUNCTION("""COMPUTED_VALUE"""),"V4")</f>
        <v>V4</v>
      </c>
      <c r="J668" s="5" t="str">
        <f>IFERROR(__xludf.DUMMYFUNCTION("""COMPUTED_VALUE"""),"JSON")</f>
        <v>JSON</v>
      </c>
      <c r="K668" s="5" t="str">
        <f>IFERROR(__xludf.DUMMYFUNCTION("""COMPUTED_VALUE"""),"Slot")</f>
        <v>Slot</v>
      </c>
      <c r="L668" s="5" t="str">
        <f>IFERROR(__xludf.DUMMYFUNCTION("""COMPUTED_VALUE""")," Clone")</f>
        <v> Clone</v>
      </c>
      <c r="M668" s="5" t="str">
        <f>IFERROR(__xludf.DUMMYFUNCTION("""COMPUTED_VALUE"""),"Very Hot 40 Extreme")</f>
        <v>Very Hot 40 Extreme</v>
      </c>
      <c r="N668" s="5"/>
      <c r="O668" s="5"/>
      <c r="P668" s="12">
        <f>IFERROR(__xludf.DUMMYFUNCTION("""COMPUTED_VALUE"""),36.2)</f>
        <v>36.2</v>
      </c>
      <c r="Q668" s="13">
        <f>IFERROR(__xludf.DUMMYFUNCTION("""COMPUTED_VALUE"""),46083.0)</f>
        <v>46083</v>
      </c>
      <c r="R668" s="13">
        <f>IFERROR(__xludf.DUMMYFUNCTION("""COMPUTED_VALUE"""),46224.0)</f>
        <v>46224</v>
      </c>
      <c r="S668" s="13">
        <f>IFERROR(__xludf.DUMMYFUNCTION("""COMPUTED_VALUE"""),46231.0)</f>
        <v>46231</v>
      </c>
      <c r="T668" s="5" t="b">
        <f>IFERROR(__xludf.DUMMYFUNCTION("""COMPUTED_VALUE"""),TRUE)</f>
        <v>1</v>
      </c>
      <c r="U668" s="5" t="str">
        <f>IFERROR(__xludf.DUMMYFUNCTION("""COMPUTED_VALUE"""),"5x3")</f>
        <v>5x3</v>
      </c>
      <c r="V668" s="5">
        <f>IFERROR(__xludf.DUMMYFUNCTION("""COMPUTED_VALUE"""),40.0)</f>
        <v>40</v>
      </c>
      <c r="W668" s="5">
        <f>IFERROR(__xludf.DUMMYFUNCTION("""COMPUTED_VALUE"""),40.0)</f>
        <v>40</v>
      </c>
      <c r="X668" s="5">
        <f>IFERROR(__xludf.DUMMYFUNCTION("""COMPUTED_VALUE"""),96.453)</f>
        <v>96.453</v>
      </c>
      <c r="Y668" s="5" t="str">
        <f>IFERROR(__xludf.DUMMYFUNCTION("""COMPUTED_VALUE"""),"Low")</f>
        <v>Low</v>
      </c>
      <c r="Z668" s="5">
        <f>IFERROR(__xludf.DUMMYFUNCTION("""COMPUTED_VALUE"""),22.711)</f>
        <v>22.711</v>
      </c>
      <c r="AA668" s="5">
        <f>IFERROR(__xludf.DUMMYFUNCTION("""COMPUTED_VALUE"""),1993.0)</f>
        <v>1993</v>
      </c>
      <c r="AB668" s="5"/>
      <c r="AC668" s="5" t="str">
        <f>IFERROR(__xludf.DUMMYFUNCTION("""COMPUTED_VALUE"""),"Buy Feature, Win Multiplier, Wild Symbol")</f>
        <v>Buy Feature, Win Multiplier, Wild Symbol</v>
      </c>
      <c r="AD668" s="5" t="str">
        <f>IFERROR(__xludf.DUMMYFUNCTION("""COMPUTED_VALUE"""),"0.12/ 80")</f>
        <v>0.12/ 80</v>
      </c>
      <c r="AE668" s="5"/>
      <c r="AF668" s="5"/>
      <c r="AG668" s="8">
        <f>IFERROR(__xludf.DUMMYFUNCTION("""COMPUTED_VALUE"""),46241.58913194444)</f>
        <v>46241.58913</v>
      </c>
      <c r="AH668" s="5" t="str">
        <f>IFERROR(__xludf.DUMMYFUNCTION("""COMPUTED_VALUE"""),"aleksandar.matejic@fazi.rs")</f>
        <v>aleksandar.matejic@fazi.rs</v>
      </c>
      <c r="AI668" s="13">
        <f>IFERROR(__xludf.DUMMYFUNCTION("""COMPUTED_VALUE"""),46184.0)</f>
        <v>46184</v>
      </c>
      <c r="AJ668" s="5"/>
      <c r="AK668" s="5">
        <f>IFERROR(__xludf.DUMMYFUNCTION("""COMPUTED_VALUE"""),4.0)</f>
        <v>4</v>
      </c>
      <c r="AL668" s="5" t="str">
        <f>IFERROR(__xludf.DUMMYFUNCTION("""COMPUTED_VALUE"""),"Yes")</f>
        <v>Yes</v>
      </c>
      <c r="AM668" s="5" t="str">
        <f>IFERROR(__xludf.DUMMYFUNCTION("""COMPUTED_VALUE"""),"No")</f>
        <v>No</v>
      </c>
      <c r="AN668" s="7" t="str">
        <f>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AO668" s="5"/>
      <c r="AP668" s="5" t="str">
        <f>IFERROR(__xludf.DUMMYFUNCTION("""COMPUTED_VALUE"""),"Yes")</f>
        <v>Yes</v>
      </c>
      <c r="AQ668" s="5" t="b">
        <f>IFERROR(__xludf.DUMMYFUNCTION("""COMPUTED_VALUE"""),TRUE)</f>
        <v>1</v>
      </c>
      <c r="AR668" s="5"/>
      <c r="AS668" s="5" t="str">
        <f>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AT668" s="5"/>
      <c r="AU668" s="5" t="str">
        <f>IFERROR(__xludf.DUMMYFUNCTION("""COMPUTED_VALUE"""),"Fazi")</f>
        <v>Fazi</v>
      </c>
      <c r="AV668" s="5">
        <f>IFERROR(__xludf.DUMMYFUNCTION("""COMPUTED_VALUE"""),1.0)</f>
        <v>1</v>
      </c>
      <c r="AW668" s="5"/>
      <c r="AX668" s="13">
        <f>IFERROR(__xludf.DUMMYFUNCTION("""COMPUTED_VALUE"""),46077.0)</f>
        <v>46077</v>
      </c>
      <c r="AY668" s="5"/>
      <c r="AZ668" s="5"/>
      <c r="BA668" s="5">
        <f>IFERROR(__xludf.DUMMYFUNCTION("""COMPUTED_VALUE"""),5.0)</f>
        <v>5</v>
      </c>
      <c r="BB668" s="5" t="b">
        <f>IFERROR(__xludf.DUMMYFUNCTION("""COMPUTED_VALUE"""),TRUE)</f>
        <v>1</v>
      </c>
      <c r="BC668" s="5" t="str">
        <f>IFERROR(__xludf.DUMMYFUNCTION("""COMPUTED_VALUE"""),"Foxi")</f>
        <v>Foxi</v>
      </c>
      <c r="BD668" s="7" t="str">
        <f>IFERROR(__xludf.DUMMYFUNCTION("""COMPUTED_VALUE"""),"https://gameserver-store-client-area.orbionlimited.com/Home/IntegrationGameLaunch/client-area?moneyType=0&amp;gameName=VeryHot40ExtremeBooster&amp;platform=desktop&amp;languageCode=eng&amp;currency=EUR")</f>
        <v>https://gameserver-store-client-area.orbionlimited.com/Home/IntegrationGameLaunch/client-area?moneyType=0&amp;gameName=VeryHot40ExtremeBooster&amp;platform=desktop&amp;languageCode=eng&amp;currency=EUR</v>
      </c>
      <c r="BE668" s="5" t="b">
        <f>IFERROR(__xludf.DUMMYFUNCTION("""COMPUTED_VALUE"""),TRUE)</f>
        <v>1</v>
      </c>
    </row>
    <row r="669">
      <c r="A669" s="5">
        <f>IFERROR(__xludf.DUMMYFUNCTION("""COMPUTED_VALUE"""),704.0)</f>
        <v>704</v>
      </c>
      <c r="B669" s="5">
        <f>IFERROR(__xludf.DUMMYFUNCTION("""COMPUTED_VALUE"""),1022.0)</f>
        <v>1022</v>
      </c>
      <c r="C669" s="5" t="str">
        <f>IFERROR(__xludf.DUMMYFUNCTION("""COMPUTED_VALUE"""),"Fazi")</f>
        <v>Fazi</v>
      </c>
      <c r="D669" s="5" t="str">
        <f>IFERROR(__xludf.DUMMYFUNCTION("""COMPUTED_VALUE"""),"Winning Clover 5 Booster")</f>
        <v>Winning Clover 5 Booster</v>
      </c>
      <c r="E669" s="5" t="str">
        <f>IFERROR(__xludf.DUMMYFUNCTION("""COMPUTED_VALUE"""),"V4-1")</f>
        <v>V4-1</v>
      </c>
      <c r="F669" s="5" t="str">
        <f>IFERROR(__xludf.DUMMYFUNCTION("""COMPUTED_VALUE"""),"WinningClover5Booster")</f>
        <v>WinningClover5Booster</v>
      </c>
      <c r="G669" s="5" t="str">
        <f>IFERROR(__xludf.DUMMYFUNCTION("""COMPUTED_VALUE"""),"Deployed")</f>
        <v>Deployed</v>
      </c>
      <c r="H669" s="5"/>
      <c r="I669" s="5" t="str">
        <f>IFERROR(__xludf.DUMMYFUNCTION("""COMPUTED_VALUE"""),"V4")</f>
        <v>V4</v>
      </c>
      <c r="J669" s="5" t="str">
        <f>IFERROR(__xludf.DUMMYFUNCTION("""COMPUTED_VALUE"""),"JSON")</f>
        <v>JSON</v>
      </c>
      <c r="K669" s="5" t="str">
        <f>IFERROR(__xludf.DUMMYFUNCTION("""COMPUTED_VALUE"""),"Slot")</f>
        <v>Slot</v>
      </c>
      <c r="L669" s="5" t="str">
        <f>IFERROR(__xludf.DUMMYFUNCTION("""COMPUTED_VALUE""")," Variant")</f>
        <v> Variant</v>
      </c>
      <c r="M669" s="5" t="str">
        <f>IFERROR(__xludf.DUMMYFUNCTION("""COMPUTED_VALUE"""),"Winning Clover 5")</f>
        <v>Winning Clover 5</v>
      </c>
      <c r="N669" s="5"/>
      <c r="O669" s="5"/>
      <c r="P669" s="12">
        <f>IFERROR(__xludf.DUMMYFUNCTION("""COMPUTED_VALUE"""),17.9)</f>
        <v>17.9</v>
      </c>
      <c r="Q669" s="13">
        <f>IFERROR(__xludf.DUMMYFUNCTION("""COMPUTED_VALUE"""),46111.0)</f>
        <v>46111</v>
      </c>
      <c r="R669" s="13"/>
      <c r="S669" s="13">
        <f>IFERROR(__xludf.DUMMYFUNCTION("""COMPUTED_VALUE"""),46301.0)</f>
        <v>46301</v>
      </c>
      <c r="T669" s="5" t="b">
        <f>IFERROR(__xludf.DUMMYFUNCTION("""COMPUTED_VALUE"""),TRUE)</f>
        <v>1</v>
      </c>
      <c r="U669" s="5" t="str">
        <f>IFERROR(__xludf.DUMMYFUNCTION("""COMPUTED_VALUE"""),"5x3")</f>
        <v>5x3</v>
      </c>
      <c r="V669" s="5">
        <f>IFERROR(__xludf.DUMMYFUNCTION("""COMPUTED_VALUE"""),5.0)</f>
        <v>5</v>
      </c>
      <c r="W669" s="5">
        <f>IFERROR(__xludf.DUMMYFUNCTION("""COMPUTED_VALUE"""),5.0)</f>
        <v>5</v>
      </c>
      <c r="X669" s="5">
        <f>IFERROR(__xludf.DUMMYFUNCTION("""COMPUTED_VALUE"""),96.447)</f>
        <v>96.447</v>
      </c>
      <c r="Y669" s="5" t="str">
        <f>IFERROR(__xludf.DUMMYFUNCTION("""COMPUTED_VALUE"""),"Medium")</f>
        <v>Medium</v>
      </c>
      <c r="Z669" s="5">
        <f>IFERROR(__xludf.DUMMYFUNCTION("""COMPUTED_VALUE"""),14.505)</f>
        <v>14.505</v>
      </c>
      <c r="AA669" s="5">
        <f>IFERROR(__xludf.DUMMYFUNCTION("""COMPUTED_VALUE"""),1222.0)</f>
        <v>1222</v>
      </c>
      <c r="AB669" s="5"/>
      <c r="AC669" s="5" t="str">
        <f>IFERROR(__xludf.DUMMYFUNCTION("""COMPUTED_VALUE"""),"Scatter, Expanding Wild, Buy Feature")</f>
        <v>Scatter, Expanding Wild, Buy Feature</v>
      </c>
      <c r="AD669" s="5" t="str">
        <f>IFERROR(__xludf.DUMMYFUNCTION("""COMPUTED_VALUE"""),"0.1/50")</f>
        <v>0.1/50</v>
      </c>
      <c r="AE669" s="5"/>
      <c r="AF669" s="5"/>
      <c r="AG669" s="8">
        <f>IFERROR(__xludf.DUMMYFUNCTION("""COMPUTED_VALUE"""),46272.60501157407)</f>
        <v>46272.60501</v>
      </c>
      <c r="AH669" s="5" t="str">
        <f>IFERROR(__xludf.DUMMYFUNCTION("""COMPUTED_VALUE"""),"aleksandar.matejic@fazi.rs")</f>
        <v>aleksandar.matejic@fazi.rs</v>
      </c>
      <c r="AI669" s="13"/>
      <c r="AJ669" s="5"/>
      <c r="AK669" s="5">
        <f>IFERROR(__xludf.DUMMYFUNCTION("""COMPUTED_VALUE"""),5.0)</f>
        <v>5</v>
      </c>
      <c r="AL669" s="5" t="str">
        <f>IFERROR(__xludf.DUMMYFUNCTION("""COMPUTED_VALUE"""),"Yes")</f>
        <v>Yes</v>
      </c>
      <c r="AM669" s="5" t="str">
        <f>IFERROR(__xludf.DUMMYFUNCTION("""COMPUTED_VALUE"""),"No")</f>
        <v>No</v>
      </c>
      <c r="AN669" s="5"/>
      <c r="AO669" s="5" t="str">
        <f>IFERROR(__xludf.DUMMYFUNCTION("""COMPUTED_VALUE"""),"Yes")</f>
        <v>Yes</v>
      </c>
      <c r="AP669" s="5" t="str">
        <f>IFERROR(__xludf.DUMMYFUNCTION("""COMPUTED_VALUE"""),"Yes")</f>
        <v>Yes</v>
      </c>
      <c r="AQ669" s="5"/>
      <c r="AR669" s="5"/>
      <c r="AS669" s="5"/>
      <c r="AT669" s="5" t="str">
        <f>IFERROR(__xludf.DUMMYFUNCTION("""COMPUTED_VALUE"""),"Yes")</f>
        <v>Yes</v>
      </c>
      <c r="AU669" s="5" t="str">
        <f>IFERROR(__xludf.DUMMYFUNCTION("""COMPUTED_VALUE"""),"Fazi")</f>
        <v>Fazi</v>
      </c>
      <c r="AV669" s="5">
        <f>IFERROR(__xludf.DUMMYFUNCTION("""COMPUTED_VALUE"""),1.0)</f>
        <v>1</v>
      </c>
      <c r="AW669" s="5"/>
      <c r="AX669" s="13">
        <f>IFERROR(__xludf.DUMMYFUNCTION("""COMPUTED_VALUE"""),46105.0)</f>
        <v>46105</v>
      </c>
      <c r="AY669" s="5"/>
      <c r="AZ669" s="5"/>
      <c r="BA669" s="5">
        <f>IFERROR(__xludf.DUMMYFUNCTION("""COMPUTED_VALUE"""),5.0)</f>
        <v>5</v>
      </c>
      <c r="BB669" s="5"/>
      <c r="BC669" s="5" t="str">
        <f>IFERROR(__xludf.DUMMYFUNCTION("""COMPUTED_VALUE"""),"Foxi")</f>
        <v>Foxi</v>
      </c>
      <c r="BD669" s="5"/>
      <c r="BE669" s="5"/>
    </row>
    <row r="670">
      <c r="A670" s="5">
        <f>IFERROR(__xludf.DUMMYFUNCTION("""COMPUTED_VALUE"""),705.0)</f>
        <v>705</v>
      </c>
      <c r="B670" s="5">
        <f>IFERROR(__xludf.DUMMYFUNCTION("""COMPUTED_VALUE"""),1021.0)</f>
        <v>1021</v>
      </c>
      <c r="C670" s="5" t="str">
        <f>IFERROR(__xludf.DUMMYFUNCTION("""COMPUTED_VALUE"""),"Fazi")</f>
        <v>Fazi</v>
      </c>
      <c r="D670" s="5" t="str">
        <f>IFERROR(__xludf.DUMMYFUNCTION("""COMPUTED_VALUE"""),"Fortune of Wu Kong")</f>
        <v>Fortune of Wu Kong</v>
      </c>
      <c r="E670" s="5" t="str">
        <f>IFERROR(__xludf.DUMMYFUNCTION("""COMPUTED_VALUE"""),"V4-1")</f>
        <v>V4-1</v>
      </c>
      <c r="F670" s="5" t="str">
        <f>IFERROR(__xludf.DUMMYFUNCTION("""COMPUTED_VALUE"""),"FortuneOfWuKong")</f>
        <v>FortuneOfWuKong</v>
      </c>
      <c r="G670" s="5" t="str">
        <f>IFERROR(__xludf.DUMMYFUNCTION("""COMPUTED_VALUE"""),"Live")</f>
        <v>Live</v>
      </c>
      <c r="H670" s="5"/>
      <c r="I670" s="5" t="str">
        <f>IFERROR(__xludf.DUMMYFUNCTION("""COMPUTED_VALUE"""),"V4")</f>
        <v>V4</v>
      </c>
      <c r="J670" s="5" t="str">
        <f>IFERROR(__xludf.DUMMYFUNCTION("""COMPUTED_VALUE"""),"JSON")</f>
        <v>JSON</v>
      </c>
      <c r="K670" s="5" t="str">
        <f>IFERROR(__xludf.DUMMYFUNCTION("""COMPUTED_VALUE"""),"Slot")</f>
        <v>Slot</v>
      </c>
      <c r="L670" s="5" t="str">
        <f>IFERROR(__xludf.DUMMYFUNCTION("""COMPUTED_VALUE""")," Variant")</f>
        <v> Variant</v>
      </c>
      <c r="M670" s="5" t="str">
        <f>IFERROR(__xludf.DUMMYFUNCTION("""COMPUTED_VALUE"""),"Macaco Da Fortuna")</f>
        <v>Macaco Da Fortuna</v>
      </c>
      <c r="N670" s="7" t="str">
        <f>IFERROR(__xludf.DUMMYFUNCTION("""COMPUTED_VALUE"""),"https://drive.google.com/drive/folders/15rWQH-CBK5xGg6xMmpPR3P6hRE9IdqFf")</f>
        <v>https://drive.google.com/drive/folders/15rWQH-CBK5xGg6xMmpPR3P6hRE9IdqFf</v>
      </c>
      <c r="O670" s="7" t="str">
        <f>IFERROR(__xludf.DUMMYFUNCTION("""COMPUTED_VALUE"""),"https://drive.google.com/drive/folders/15rWQH-CBK5xGg6xMmpPR3P6hRE9IdqFf")</f>
        <v>https://drive.google.com/drive/folders/15rWQH-CBK5xGg6xMmpPR3P6hRE9IdqFf</v>
      </c>
      <c r="P670" s="12">
        <f>IFERROR(__xludf.DUMMYFUNCTION("""COMPUTED_VALUE"""),22.1)</f>
        <v>22.1</v>
      </c>
      <c r="Q670" s="13">
        <f>IFERROR(__xludf.DUMMYFUNCTION("""COMPUTED_VALUE"""),46126.0)</f>
        <v>46126</v>
      </c>
      <c r="R670" s="13">
        <f>IFERROR(__xludf.DUMMYFUNCTION("""COMPUTED_VALUE"""),46184.0)</f>
        <v>46184</v>
      </c>
      <c r="S670" s="13">
        <f>IFERROR(__xludf.DUMMYFUNCTION("""COMPUTED_VALUE"""),46191.0)</f>
        <v>46191</v>
      </c>
      <c r="T670" s="5" t="b">
        <f>IFERROR(__xludf.DUMMYFUNCTION("""COMPUTED_VALUE"""),TRUE)</f>
        <v>1</v>
      </c>
      <c r="U670" s="5" t="str">
        <f>IFERROR(__xludf.DUMMYFUNCTION("""COMPUTED_VALUE"""),"3x3")</f>
        <v>3x3</v>
      </c>
      <c r="V670" s="5">
        <f>IFERROR(__xludf.DUMMYFUNCTION("""COMPUTED_VALUE"""),5.0)</f>
        <v>5</v>
      </c>
      <c r="W670" s="5">
        <f>IFERROR(__xludf.DUMMYFUNCTION("""COMPUTED_VALUE"""),5.0)</f>
        <v>5</v>
      </c>
      <c r="X670" s="5">
        <f>IFERROR(__xludf.DUMMYFUNCTION("""COMPUTED_VALUE"""),96.53)</f>
        <v>96.53</v>
      </c>
      <c r="Y670" s="5" t="str">
        <f>IFERROR(__xludf.DUMMYFUNCTION("""COMPUTED_VALUE"""),"High")</f>
        <v>High</v>
      </c>
      <c r="Z670" s="5">
        <f>IFERROR(__xludf.DUMMYFUNCTION("""COMPUTED_VALUE"""),14.086)</f>
        <v>14.086</v>
      </c>
      <c r="AA670" s="5">
        <f>IFERROR(__xludf.DUMMYFUNCTION("""COMPUTED_VALUE"""),5000.0)</f>
        <v>5000</v>
      </c>
      <c r="AB670" s="5"/>
      <c r="AC670" s="5" t="str">
        <f>IFERROR(__xludf.DUMMYFUNCTION("""COMPUTED_VALUE"""),"Bonus Game with Special Symbol, Bonus Game with Multiplier, Wild Symbol, Buy Bonus")</f>
        <v>Bonus Game with Special Symbol, Bonus Game with Multiplier, Wild Symbol, Buy Bonus</v>
      </c>
      <c r="AD670" s="5" t="str">
        <f>IFERROR(__xludf.DUMMYFUNCTION("""COMPUTED_VALUE"""),"0.1/50")</f>
        <v>0.1/50</v>
      </c>
      <c r="AE670" s="5"/>
      <c r="AF670" s="5"/>
      <c r="AG670" s="8">
        <f>IFERROR(__xludf.DUMMYFUNCTION("""COMPUTED_VALUE"""),46198.57388888889)</f>
        <v>46198.57389</v>
      </c>
      <c r="AH670" s="5" t="str">
        <f>IFERROR(__xludf.DUMMYFUNCTION("""COMPUTED_VALUE"""),"djordje.petrovic@fazi.rs")</f>
        <v>djordje.petrovic@fazi.rs</v>
      </c>
      <c r="AI670" s="13">
        <f>IFERROR(__xludf.DUMMYFUNCTION("""COMPUTED_VALUE"""),46161.0)</f>
        <v>46161</v>
      </c>
      <c r="AJ670" s="5" t="str">
        <f>IFERROR(__xludf.DUMMYFUNCTION("""COMPUTED_VALUE"""),"Betsolutions - Apuesta Royal	13.05
Azar Latino	21.05
Btobet - Big Bola	28.05
4Play	19.05")</f>
        <v>Betsolutions - Apuesta Royal	13.05
Azar Latino	21.05
Btobet - Big Bola	28.05
4Play	19.05</v>
      </c>
      <c r="AK670" s="5">
        <f>IFERROR(__xludf.DUMMYFUNCTION("""COMPUTED_VALUE"""),1.0)</f>
        <v>1</v>
      </c>
      <c r="AL670" s="5" t="str">
        <f>IFERROR(__xludf.DUMMYFUNCTION("""COMPUTED_VALUE"""),"No")</f>
        <v>No</v>
      </c>
      <c r="AM670" s="5" t="str">
        <f>IFERROR(__xludf.DUMMYFUNCTION("""COMPUTED_VALUE"""),"Yes")</f>
        <v>Yes</v>
      </c>
      <c r="AN670" s="7" t="str">
        <f>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AO670" s="5" t="str">
        <f>IFERROR(__xludf.DUMMYFUNCTION("""COMPUTED_VALUE"""),"Yes")</f>
        <v>Yes</v>
      </c>
      <c r="AP670" s="5" t="str">
        <f>IFERROR(__xludf.DUMMYFUNCTION("""COMPUTED_VALUE"""),"Yes")</f>
        <v>Yes</v>
      </c>
      <c r="AQ670" s="5" t="b">
        <f>IFERROR(__xludf.DUMMYFUNCTION("""COMPUTED_VALUE"""),TRUE)</f>
        <v>1</v>
      </c>
      <c r="AR670" s="5"/>
      <c r="AS670" s="5" t="str">
        <f>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AT670" s="5" t="str">
        <f>IFERROR(__xludf.DUMMYFUNCTION("""COMPUTED_VALUE"""),"Yes")</f>
        <v>Yes</v>
      </c>
      <c r="AU670" s="5" t="str">
        <f>IFERROR(__xludf.DUMMYFUNCTION("""COMPUTED_VALUE"""),"Fazi")</f>
        <v>Fazi</v>
      </c>
      <c r="AV670" s="5">
        <f>IFERROR(__xludf.DUMMYFUNCTION("""COMPUTED_VALUE"""),1.0)</f>
        <v>1</v>
      </c>
      <c r="AW670" s="5"/>
      <c r="AX670" s="13">
        <f>IFERROR(__xludf.DUMMYFUNCTION("""COMPUTED_VALUE"""),46119.0)</f>
        <v>46119</v>
      </c>
      <c r="AY670" s="5" t="str">
        <f>IFERROR(__xludf.DUMMYFUNCTION("""COMPUTED_VALUE"""),"87.5%, 89.5%, 91.5%, 93.501%, 94.5%, 95.5%, ")</f>
        <v>87.5%, 89.5%, 91.5%, 93.501%, 94.5%, 95.5%, </v>
      </c>
      <c r="AZ670" s="5"/>
      <c r="BA670" s="5" t="str">
        <f>IFERROR(__xludf.DUMMYFUNCTION("""COMPUTED_VALUE"""),"40, 40, 40")</f>
        <v>40, 40, 40</v>
      </c>
      <c r="BB670" s="5" t="b">
        <f>IFERROR(__xludf.DUMMYFUNCTION("""COMPUTED_VALUE"""),TRUE)</f>
        <v>1</v>
      </c>
      <c r="BC670" s="5" t="str">
        <f>IFERROR(__xludf.DUMMYFUNCTION("""COMPUTED_VALUE"""),"Foxi")</f>
        <v>Foxi</v>
      </c>
      <c r="BD670" s="7" t="str">
        <f>IFERROR(__xludf.DUMMYFUNCTION("""COMPUTED_VALUE"""),"https://gameserver-store-client-area.orbionlimited.com/Home/IntegrationGameLaunch/client-area?moneyType=0&amp;gameName=FortuneOfWuKong&amp;platform=desktop&amp;languageCode=eng&amp;currency=EUR")</f>
        <v>https://gameserver-store-client-area.orbionlimited.com/Home/IntegrationGameLaunch/client-area?moneyType=0&amp;gameName=FortuneOfWuKong&amp;platform=desktop&amp;languageCode=eng&amp;currency=EUR</v>
      </c>
      <c r="BE670" s="5" t="b">
        <f>IFERROR(__xludf.DUMMYFUNCTION("""COMPUTED_VALUE"""),TRUE)</f>
        <v>1</v>
      </c>
    </row>
    <row r="671">
      <c r="A671" s="5">
        <f>IFERROR(__xludf.DUMMYFUNCTION("""COMPUTED_VALUE"""),706.0)</f>
        <v>706</v>
      </c>
      <c r="B671" s="5">
        <f>IFERROR(__xludf.DUMMYFUNCTION("""COMPUTED_VALUE"""),3029.0)</f>
        <v>3029</v>
      </c>
      <c r="C671" s="5" t="str">
        <f>IFERROR(__xludf.DUMMYFUNCTION("""COMPUTED_VALUE"""),"Fazi")</f>
        <v>Fazi</v>
      </c>
      <c r="D671" s="5" t="str">
        <f>IFERROR(__xludf.DUMMYFUNCTION("""COMPUTED_VALUE"""),"Clovers And Diamonds 10")</f>
        <v>Clovers And Diamonds 10</v>
      </c>
      <c r="E671" s="5" t="str">
        <f>IFERROR(__xludf.DUMMYFUNCTION("""COMPUTED_VALUE"""),"V2")</f>
        <v>V2</v>
      </c>
      <c r="F671" s="5" t="str">
        <f>IFERROR(__xludf.DUMMYFUNCTION("""COMPUTED_VALUE"""),"CloversAndDiamonds10")</f>
        <v>CloversAndDiamonds10</v>
      </c>
      <c r="G671" s="5" t="str">
        <f>IFERROR(__xludf.DUMMYFUNCTION("""COMPUTED_VALUE"""),"Live")</f>
        <v>Live</v>
      </c>
      <c r="H671" s="5"/>
      <c r="I671" s="5" t="str">
        <f>IFERROR(__xludf.DUMMYFUNCTION("""COMPUTED_VALUE"""),"V4")</f>
        <v>V4</v>
      </c>
      <c r="J671" s="5" t="str">
        <f>IFERROR(__xludf.DUMMYFUNCTION("""COMPUTED_VALUE"""),"JSON")</f>
        <v>JSON</v>
      </c>
      <c r="K671" s="5" t="str">
        <f>IFERROR(__xludf.DUMMYFUNCTION("""COMPUTED_VALUE"""),"Slot")</f>
        <v>Slot</v>
      </c>
      <c r="L671" s="5" t="str">
        <f>IFERROR(__xludf.DUMMYFUNCTION("""COMPUTED_VALUE"""),"Master")</f>
        <v>Master</v>
      </c>
      <c r="M671" s="5"/>
      <c r="N671" s="5"/>
      <c r="O671" s="5"/>
      <c r="P671" s="12">
        <f>IFERROR(__xludf.DUMMYFUNCTION("""COMPUTED_VALUE"""),42.4)</f>
        <v>42.4</v>
      </c>
      <c r="Q671" s="13">
        <f>IFERROR(__xludf.DUMMYFUNCTION("""COMPUTED_VALUE"""),46097.0)</f>
        <v>46097</v>
      </c>
      <c r="R671" s="13">
        <f>IFERROR(__xludf.DUMMYFUNCTION("""COMPUTED_VALUE"""),46140.0)</f>
        <v>46140</v>
      </c>
      <c r="S671" s="13">
        <f>IFERROR(__xludf.DUMMYFUNCTION("""COMPUTED_VALUE"""),46147.0)</f>
        <v>46147</v>
      </c>
      <c r="T671" s="5" t="b">
        <f>IFERROR(__xludf.DUMMYFUNCTION("""COMPUTED_VALUE"""),TRUE)</f>
        <v>1</v>
      </c>
      <c r="U671" s="5" t="str">
        <f>IFERROR(__xludf.DUMMYFUNCTION("""COMPUTED_VALUE"""),"5x3")</f>
        <v>5x3</v>
      </c>
      <c r="V671" s="5">
        <f>IFERROR(__xludf.DUMMYFUNCTION("""COMPUTED_VALUE"""),10.0)</f>
        <v>10</v>
      </c>
      <c r="W671" s="5">
        <f>IFERROR(__xludf.DUMMYFUNCTION("""COMPUTED_VALUE"""),10.0)</f>
        <v>10</v>
      </c>
      <c r="X671" s="5">
        <f>IFERROR(__xludf.DUMMYFUNCTION("""COMPUTED_VALUE"""),96.566)</f>
        <v>96.566</v>
      </c>
      <c r="Y671" s="5" t="str">
        <f>IFERROR(__xludf.DUMMYFUNCTION("""COMPUTED_VALUE"""),"Medium")</f>
        <v>Medium</v>
      </c>
      <c r="Z671" s="5">
        <f>IFERROR(__xludf.DUMMYFUNCTION("""COMPUTED_VALUE"""),16.732)</f>
        <v>16.732</v>
      </c>
      <c r="AA671" s="5">
        <f>IFERROR(__xludf.DUMMYFUNCTION("""COMPUTED_VALUE"""),5000.0)</f>
        <v>5000</v>
      </c>
      <c r="AB671" s="5"/>
      <c r="AC671" s="5" t="str">
        <f>IFERROR(__xludf.DUMMYFUNCTION("""COMPUTED_VALUE"""),"Wild Multiplier")</f>
        <v>Wild Multiplier</v>
      </c>
      <c r="AD671" s="5" t="str">
        <f>IFERROR(__xludf.DUMMYFUNCTION("""COMPUTED_VALUE"""),"0.1 / 50")</f>
        <v>0.1 / 50</v>
      </c>
      <c r="AE671" s="5"/>
      <c r="AF671" s="5"/>
      <c r="AG671" s="8">
        <f>IFERROR(__xludf.DUMMYFUNCTION("""COMPUTED_VALUE"""),46156.60733796296)</f>
        <v>46156.60734</v>
      </c>
      <c r="AH671" s="5" t="str">
        <f>IFERROR(__xludf.DUMMYFUNCTION("""COMPUTED_VALUE"""),"aleksandar.trajkovic@fazi.rs")</f>
        <v>aleksandar.trajkovic@fazi.rs</v>
      </c>
      <c r="AI671" s="13">
        <f>IFERROR(__xludf.DUMMYFUNCTION("""COMPUTED_VALUE"""),46118.0)</f>
        <v>46118</v>
      </c>
      <c r="AJ671" s="5" t="str">
        <f>IFERROR(__xludf.DUMMYFUNCTION("""COMPUTED_VALUE"""),"06.04. Maxbet SRB/MNE
20.04. BonMoja - UnaMoya Ltd")</f>
        <v>06.04. Maxbet SRB/MNE
20.04. BonMoja - UnaMoya Ltd</v>
      </c>
      <c r="AK671" s="5">
        <f>IFERROR(__xludf.DUMMYFUNCTION("""COMPUTED_VALUE"""),2.0)</f>
        <v>2</v>
      </c>
      <c r="AL671" s="5" t="str">
        <f>IFERROR(__xludf.DUMMYFUNCTION("""COMPUTED_VALUE"""),"Yes")</f>
        <v>Yes</v>
      </c>
      <c r="AM671" s="5"/>
      <c r="AN671" s="7" t="str">
        <f>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AO671" s="5" t="str">
        <f>IFERROR(__xludf.DUMMYFUNCTION("""COMPUTED_VALUE"""),"Yes")</f>
        <v>Yes</v>
      </c>
      <c r="AP671" s="5" t="str">
        <f>IFERROR(__xludf.DUMMYFUNCTION("""COMPUTED_VALUE"""),"Yes")</f>
        <v>Yes</v>
      </c>
      <c r="AQ671" s="5" t="b">
        <f>IFERROR(__xludf.DUMMYFUNCTION("""COMPUTED_VALUE"""),TRUE)</f>
        <v>1</v>
      </c>
      <c r="AR671" s="5"/>
      <c r="AS671" s="5" t="str">
        <f>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AT671" s="5"/>
      <c r="AU671" s="5" t="str">
        <f>IFERROR(__xludf.DUMMYFUNCTION("""COMPUTED_VALUE"""),"Fazi")</f>
        <v>Fazi</v>
      </c>
      <c r="AV671" s="5">
        <f>IFERROR(__xludf.DUMMYFUNCTION("""COMPUTED_VALUE"""),2.0)</f>
        <v>2</v>
      </c>
      <c r="AW671" s="5"/>
      <c r="AX671" s="13">
        <f>IFERROR(__xludf.DUMMYFUNCTION("""COMPUTED_VALUE"""),46091.0)</f>
        <v>46091</v>
      </c>
      <c r="AY671" s="5"/>
      <c r="AZ671" s="5"/>
      <c r="BA671" s="5"/>
      <c r="BB671" s="5" t="b">
        <f>IFERROR(__xludf.DUMMYFUNCTION("""COMPUTED_VALUE"""),TRUE)</f>
        <v>1</v>
      </c>
      <c r="BC671" s="5" t="str">
        <f>IFERROR(__xludf.DUMMYFUNCTION("""COMPUTED_VALUE"""),"Foxi")</f>
        <v>Foxi</v>
      </c>
      <c r="BD671" s="7" t="str">
        <f>IFERROR(__xludf.DUMMYFUNCTION("""COMPUTED_VALUE"""),"https://gameserver-store-client-area.orbionlimited.com/Home/IntegrationGameLaunch/client-area?moneyType=0&amp;gameName=CloversAndDiamonds10&amp;platform=desktop&amp;languageCode=eng&amp;currency=EUR")</f>
        <v>https://gameserver-store-client-area.orbionlimited.com/Home/IntegrationGameLaunch/client-area?moneyType=0&amp;gameName=CloversAndDiamonds10&amp;platform=desktop&amp;languageCode=eng&amp;currency=EUR</v>
      </c>
      <c r="BE671" s="5" t="b">
        <f>IFERROR(__xludf.DUMMYFUNCTION("""COMPUTED_VALUE"""),TRUE)</f>
        <v>1</v>
      </c>
    </row>
    <row r="672">
      <c r="A672" s="5">
        <f>IFERROR(__xludf.DUMMYFUNCTION("""COMPUTED_VALUE"""),707.0)</f>
        <v>707</v>
      </c>
      <c r="B672" s="5">
        <f>IFERROR(__xludf.DUMMYFUNCTION("""COMPUTED_VALUE"""),3030.0)</f>
        <v>3030</v>
      </c>
      <c r="C672" s="5" t="str">
        <f>IFERROR(__xludf.DUMMYFUNCTION("""COMPUTED_VALUE"""),"Fazi")</f>
        <v>Fazi</v>
      </c>
      <c r="D672" s="5" t="str">
        <f>IFERROR(__xludf.DUMMYFUNCTION("""COMPUTED_VALUE"""),"Clovers And Diamonds 20")</f>
        <v>Clovers And Diamonds 20</v>
      </c>
      <c r="E672" s="5" t="str">
        <f>IFERROR(__xludf.DUMMYFUNCTION("""COMPUTED_VALUE"""),"V2")</f>
        <v>V2</v>
      </c>
      <c r="F672" s="5" t="str">
        <f>IFERROR(__xludf.DUMMYFUNCTION("""COMPUTED_VALUE"""),"CloversAndDiamonds20")</f>
        <v>CloversAndDiamonds20</v>
      </c>
      <c r="G672" s="5" t="str">
        <f>IFERROR(__xludf.DUMMYFUNCTION("""COMPUTED_VALUE"""),"Live")</f>
        <v>Live</v>
      </c>
      <c r="H672" s="5"/>
      <c r="I672" s="5" t="str">
        <f>IFERROR(__xludf.DUMMYFUNCTION("""COMPUTED_VALUE"""),"V4")</f>
        <v>V4</v>
      </c>
      <c r="J672" s="5" t="str">
        <f>IFERROR(__xludf.DUMMYFUNCTION("""COMPUTED_VALUE"""),"JSON")</f>
        <v>JSON</v>
      </c>
      <c r="K672" s="5" t="str">
        <f>IFERROR(__xludf.DUMMYFUNCTION("""COMPUTED_VALUE"""),"Slot")</f>
        <v>Slot</v>
      </c>
      <c r="L672" s="5" t="str">
        <f>IFERROR(__xludf.DUMMYFUNCTION("""COMPUTED_VALUE"""),"Master")</f>
        <v>Master</v>
      </c>
      <c r="M672" s="5"/>
      <c r="N672" s="5"/>
      <c r="O672" s="5"/>
      <c r="P672" s="12">
        <f>IFERROR(__xludf.DUMMYFUNCTION("""COMPUTED_VALUE"""),42.4)</f>
        <v>42.4</v>
      </c>
      <c r="Q672" s="13">
        <f>IFERROR(__xludf.DUMMYFUNCTION("""COMPUTED_VALUE"""),46097.0)</f>
        <v>46097</v>
      </c>
      <c r="R672" s="13">
        <f>IFERROR(__xludf.DUMMYFUNCTION("""COMPUTED_VALUE"""),46212.0)</f>
        <v>46212</v>
      </c>
      <c r="S672" s="13">
        <f>IFERROR(__xludf.DUMMYFUNCTION("""COMPUTED_VALUE"""),46219.0)</f>
        <v>46219</v>
      </c>
      <c r="T672" s="5" t="b">
        <f>IFERROR(__xludf.DUMMYFUNCTION("""COMPUTED_VALUE"""),TRUE)</f>
        <v>1</v>
      </c>
      <c r="U672" s="5" t="str">
        <f>IFERROR(__xludf.DUMMYFUNCTION("""COMPUTED_VALUE"""),"5x3")</f>
        <v>5x3</v>
      </c>
      <c r="V672" s="5">
        <f>IFERROR(__xludf.DUMMYFUNCTION("""COMPUTED_VALUE"""),20.0)</f>
        <v>20</v>
      </c>
      <c r="W672" s="5">
        <f>IFERROR(__xludf.DUMMYFUNCTION("""COMPUTED_VALUE"""),20.0)</f>
        <v>20</v>
      </c>
      <c r="X672" s="5">
        <f>IFERROR(__xludf.DUMMYFUNCTION("""COMPUTED_VALUE"""),96.564)</f>
        <v>96.564</v>
      </c>
      <c r="Y672" s="5" t="str">
        <f>IFERROR(__xludf.DUMMYFUNCTION("""COMPUTED_VALUE"""),"Medium")</f>
        <v>Medium</v>
      </c>
      <c r="Z672" s="5">
        <f>IFERROR(__xludf.DUMMYFUNCTION("""COMPUTED_VALUE"""),20.941)</f>
        <v>20.941</v>
      </c>
      <c r="AA672" s="5">
        <f>IFERROR(__xludf.DUMMYFUNCTION("""COMPUTED_VALUE"""),5000.0)</f>
        <v>5000</v>
      </c>
      <c r="AB672" s="5"/>
      <c r="AC672" s="5" t="str">
        <f>IFERROR(__xludf.DUMMYFUNCTION("""COMPUTED_VALUE"""),"Wild Multiplier, Wild Symbol")</f>
        <v>Wild Multiplier, Wild Symbol</v>
      </c>
      <c r="AD672" s="5" t="str">
        <f>IFERROR(__xludf.DUMMYFUNCTION("""COMPUTED_VALUE"""),"0.2/50")</f>
        <v>0.2/50</v>
      </c>
      <c r="AE672" s="5"/>
      <c r="AF672" s="5"/>
      <c r="AG672" s="8">
        <f>IFERROR(__xludf.DUMMYFUNCTION("""COMPUTED_VALUE"""),46241.58321759259)</f>
        <v>46241.58322</v>
      </c>
      <c r="AH672" s="5" t="str">
        <f>IFERROR(__xludf.DUMMYFUNCTION("""COMPUTED_VALUE"""),"aleksandar.matejic@fazi.rs")</f>
        <v>aleksandar.matejic@fazi.rs</v>
      </c>
      <c r="AI672" s="13">
        <f>IFERROR(__xludf.DUMMYFUNCTION("""COMPUTED_VALUE"""),46188.0)</f>
        <v>46188</v>
      </c>
      <c r="AJ672" s="5"/>
      <c r="AK672" s="5">
        <f>IFERROR(__xludf.DUMMYFUNCTION("""COMPUTED_VALUE"""),4.0)</f>
        <v>4</v>
      </c>
      <c r="AL672" s="5" t="str">
        <f>IFERROR(__xludf.DUMMYFUNCTION("""COMPUTED_VALUE"""),"Yes")</f>
        <v>Yes</v>
      </c>
      <c r="AM672" s="5" t="str">
        <f>IFERROR(__xludf.DUMMYFUNCTION("""COMPUTED_VALUE"""),"No")</f>
        <v>No</v>
      </c>
      <c r="AN672" s="7" t="str">
        <f>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AO672" s="5" t="str">
        <f>IFERROR(__xludf.DUMMYFUNCTION("""COMPUTED_VALUE"""),"Yes")</f>
        <v>Yes</v>
      </c>
      <c r="AP672" s="5" t="str">
        <f>IFERROR(__xludf.DUMMYFUNCTION("""COMPUTED_VALUE"""),"Yes")</f>
        <v>Yes</v>
      </c>
      <c r="AQ672" s="5" t="b">
        <f>IFERROR(__xludf.DUMMYFUNCTION("""COMPUTED_VALUE"""),TRUE)</f>
        <v>1</v>
      </c>
      <c r="AR672" s="5"/>
      <c r="AS672" s="5" t="str">
        <f>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AT672" s="5"/>
      <c r="AU672" s="5" t="str">
        <f>IFERROR(__xludf.DUMMYFUNCTION("""COMPUTED_VALUE"""),"Fazi")</f>
        <v>Fazi</v>
      </c>
      <c r="AV672" s="5">
        <f>IFERROR(__xludf.DUMMYFUNCTION("""COMPUTED_VALUE"""),2.0)</f>
        <v>2</v>
      </c>
      <c r="AW672" s="5"/>
      <c r="AX672" s="13">
        <f>IFERROR(__xludf.DUMMYFUNCTION("""COMPUTED_VALUE"""),46091.0)</f>
        <v>46091</v>
      </c>
      <c r="AY672" s="5"/>
      <c r="AZ672" s="5"/>
      <c r="BA672" s="5"/>
      <c r="BB672" s="5" t="b">
        <f>IFERROR(__xludf.DUMMYFUNCTION("""COMPUTED_VALUE"""),TRUE)</f>
        <v>1</v>
      </c>
      <c r="BC672" s="5" t="str">
        <f>IFERROR(__xludf.DUMMYFUNCTION("""COMPUTED_VALUE"""),"Foxi")</f>
        <v>Foxi</v>
      </c>
      <c r="BD672" s="7" t="str">
        <f>IFERROR(__xludf.DUMMYFUNCTION("""COMPUTED_VALUE"""),"https://gameserver-store-client-area.orbionlimited.com/Home/IntegrationGameLaunch/client-area?moneyType=0&amp;gameName=CloversAndDiamonds20&amp;platform=desktop&amp;languageCode=eng&amp;currency=EUR")</f>
        <v>https://gameserver-store-client-area.orbionlimited.com/Home/IntegrationGameLaunch/client-area?moneyType=0&amp;gameName=CloversAndDiamonds20&amp;platform=desktop&amp;languageCode=eng&amp;currency=EUR</v>
      </c>
      <c r="BE672" s="5" t="b">
        <f>IFERROR(__xludf.DUMMYFUNCTION("""COMPUTED_VALUE"""),TRUE)</f>
        <v>1</v>
      </c>
    </row>
    <row r="673">
      <c r="A673" s="5">
        <f>IFERROR(__xludf.DUMMYFUNCTION("""COMPUTED_VALUE"""),708.0)</f>
        <v>708</v>
      </c>
      <c r="B673" s="5">
        <f>IFERROR(__xludf.DUMMYFUNCTION("""COMPUTED_VALUE"""),3031.0)</f>
        <v>3031</v>
      </c>
      <c r="C673" s="5" t="str">
        <f>IFERROR(__xludf.DUMMYFUNCTION("""COMPUTED_VALUE"""),"Fazi")</f>
        <v>Fazi</v>
      </c>
      <c r="D673" s="5" t="str">
        <f>IFERROR(__xludf.DUMMYFUNCTION("""COMPUTED_VALUE"""),"Clovers And Diamonds 40")</f>
        <v>Clovers And Diamonds 40</v>
      </c>
      <c r="E673" s="5" t="str">
        <f>IFERROR(__xludf.DUMMYFUNCTION("""COMPUTED_VALUE"""),"V2")</f>
        <v>V2</v>
      </c>
      <c r="F673" s="5" t="str">
        <f>IFERROR(__xludf.DUMMYFUNCTION("""COMPUTED_VALUE"""),"CloversAndDiamonds40")</f>
        <v>CloversAndDiamonds40</v>
      </c>
      <c r="G673" s="5" t="str">
        <f>IFERROR(__xludf.DUMMYFUNCTION("""COMPUTED_VALUE"""),"Deployed")</f>
        <v>Deployed</v>
      </c>
      <c r="H673" s="5"/>
      <c r="I673" s="5" t="str">
        <f>IFERROR(__xludf.DUMMYFUNCTION("""COMPUTED_VALUE"""),"V4")</f>
        <v>V4</v>
      </c>
      <c r="J673" s="5" t="str">
        <f>IFERROR(__xludf.DUMMYFUNCTION("""COMPUTED_VALUE"""),"JSON")</f>
        <v>JSON</v>
      </c>
      <c r="K673" s="5" t="str">
        <f>IFERROR(__xludf.DUMMYFUNCTION("""COMPUTED_VALUE"""),"Slot")</f>
        <v>Slot</v>
      </c>
      <c r="L673" s="5" t="str">
        <f>IFERROR(__xludf.DUMMYFUNCTION("""COMPUTED_VALUE"""),"Master")</f>
        <v>Master</v>
      </c>
      <c r="M673" s="5"/>
      <c r="N673" s="5"/>
      <c r="O673" s="5"/>
      <c r="P673" s="12">
        <f>IFERROR(__xludf.DUMMYFUNCTION("""COMPUTED_VALUE"""),22.3)</f>
        <v>22.3</v>
      </c>
      <c r="Q673" s="13">
        <f>IFERROR(__xludf.DUMMYFUNCTION("""COMPUTED_VALUE"""),46097.0)</f>
        <v>46097</v>
      </c>
      <c r="R673" s="13">
        <f>IFERROR(__xludf.DUMMYFUNCTION("""COMPUTED_VALUE"""),46273.0)</f>
        <v>46273</v>
      </c>
      <c r="S673" s="13">
        <f>IFERROR(__xludf.DUMMYFUNCTION("""COMPUTED_VALUE"""),46280.0)</f>
        <v>46280</v>
      </c>
      <c r="T673" s="5" t="b">
        <f>IFERROR(__xludf.DUMMYFUNCTION("""COMPUTED_VALUE"""),TRUE)</f>
        <v>1</v>
      </c>
      <c r="U673" s="5" t="str">
        <f>IFERROR(__xludf.DUMMYFUNCTION("""COMPUTED_VALUE"""),"5x3")</f>
        <v>5x3</v>
      </c>
      <c r="V673" s="5">
        <f>IFERROR(__xludf.DUMMYFUNCTION("""COMPUTED_VALUE"""),40.0)</f>
        <v>40</v>
      </c>
      <c r="W673" s="5">
        <f>IFERROR(__xludf.DUMMYFUNCTION("""COMPUTED_VALUE"""),40.0)</f>
        <v>40</v>
      </c>
      <c r="X673" s="5">
        <f>IFERROR(__xludf.DUMMYFUNCTION("""COMPUTED_VALUE"""),96.583)</f>
        <v>96.583</v>
      </c>
      <c r="Y673" s="5" t="str">
        <f>IFERROR(__xludf.DUMMYFUNCTION("""COMPUTED_VALUE"""),"Medium")</f>
        <v>Medium</v>
      </c>
      <c r="Z673" s="5">
        <f>IFERROR(__xludf.DUMMYFUNCTION("""COMPUTED_VALUE"""),22.748)</f>
        <v>22.748</v>
      </c>
      <c r="AA673" s="5">
        <f>IFERROR(__xludf.DUMMYFUNCTION("""COMPUTED_VALUE"""),5000.0)</f>
        <v>5000</v>
      </c>
      <c r="AB673" s="5"/>
      <c r="AC673" s="5" t="str">
        <f>IFERROR(__xludf.DUMMYFUNCTION("""COMPUTED_VALUE"""),"Free Rounds, Scatter, Expanding Wild, Wild Multiplier")</f>
        <v>Free Rounds, Scatter, Expanding Wild, Wild Multiplier</v>
      </c>
      <c r="AD673" s="5" t="str">
        <f>IFERROR(__xludf.DUMMYFUNCTION("""COMPUTED_VALUE"""),"0.4/60")</f>
        <v>0.4/60</v>
      </c>
      <c r="AE673" s="5"/>
      <c r="AF673" s="5"/>
      <c r="AG673" s="8">
        <f>IFERROR(__xludf.DUMMYFUNCTION("""COMPUTED_VALUE"""),46260.446967592594)</f>
        <v>46260.44697</v>
      </c>
      <c r="AH673" s="5" t="str">
        <f>IFERROR(__xludf.DUMMYFUNCTION("""COMPUTED_VALUE"""),"selena.mihajlovic@fazi.rs")</f>
        <v>selena.mihajlovic@fazi.rs</v>
      </c>
      <c r="AI673" s="13">
        <f>IFERROR(__xludf.DUMMYFUNCTION("""COMPUTED_VALUE"""),46265.0)</f>
        <v>46265</v>
      </c>
      <c r="AJ673" s="5"/>
      <c r="AK673" s="5">
        <f>IFERROR(__xludf.DUMMYFUNCTION("""COMPUTED_VALUE"""),8.0)</f>
        <v>8</v>
      </c>
      <c r="AL673" s="5" t="str">
        <f>IFERROR(__xludf.DUMMYFUNCTION("""COMPUTED_VALUE"""),"Yes")</f>
        <v>Yes</v>
      </c>
      <c r="AM673" s="5" t="str">
        <f>IFERROR(__xludf.DUMMYFUNCTION("""COMPUTED_VALUE"""),"No")</f>
        <v>No</v>
      </c>
      <c r="AN673" s="7" t="str">
        <f>IFERROR(__xludf.DUMMYFUNCTION("""COMPUTED_VALUE"""),"https://onlinegamespromo.fazi.rs/Home/IntegrationGameLaunch?moneyType=0&amp;gameName=CloversAndDiamonds40&amp;platform=desktop&amp;languageCode=eng&amp;currency=EUR")</f>
        <v>https://onlinegamespromo.fazi.rs/Home/IntegrationGameLaunch?moneyType=0&amp;gameName=CloversAndDiamonds40&amp;platform=desktop&amp;languageCode=eng&amp;currency=EUR</v>
      </c>
      <c r="AO673" s="5" t="str">
        <f>IFERROR(__xludf.DUMMYFUNCTION("""COMPUTED_VALUE"""),"Yes")</f>
        <v>Yes</v>
      </c>
      <c r="AP673" s="5" t="str">
        <f>IFERROR(__xludf.DUMMYFUNCTION("""COMPUTED_VALUE"""),"Yes")</f>
        <v>Yes</v>
      </c>
      <c r="AQ673" s="5" t="b">
        <f>IFERROR(__xludf.DUMMYFUNCTION("""COMPUTED_VALUE"""),TRUE)</f>
        <v>1</v>
      </c>
      <c r="AR673" s="5"/>
      <c r="AS673" s="5" t="str">
        <f>IFERROR(__xludf.DUMMYFUNCTION("""COMPUTED_VALUE"""),"Step into Clovers and Diamonds 40, where luck and sparkle collide on a bigger grid! Glowing clovers and radiant diamonds light up the reels across 40 paylines, packed with expanding symbols and multipliers up to x20 to elevate every winning moment. Dynami"&amp;"c, colorful, and loaded with potential – ready to turn your luck into sparkling rewards? ")</f>
        <v>Step into Clovers and Diamonds 40, where luck and sparkle collide on a bigger grid! Glowing clovers and radiant diamonds light up the reels across 40 paylines, packed with expanding symbols and multipliers up to x20 to elevate every winning moment. Dynamic, colorful, and loaded with potential – ready to turn your luck into sparkling rewards? </v>
      </c>
      <c r="AT673" s="5"/>
      <c r="AU673" s="5" t="str">
        <f>IFERROR(__xludf.DUMMYFUNCTION("""COMPUTED_VALUE"""),"Fazi")</f>
        <v>Fazi</v>
      </c>
      <c r="AV673" s="5"/>
      <c r="AW673" s="5"/>
      <c r="AX673" s="13">
        <f>IFERROR(__xludf.DUMMYFUNCTION("""COMPUTED_VALUE"""),46091.0)</f>
        <v>46091</v>
      </c>
      <c r="AY673" s="5" t="str">
        <f>IFERROR(__xludf.DUMMYFUNCTION("""COMPUTED_VALUE"""),"87.5%, 89.5%, 91.5%, 93.5%, 94.5%, 95.5%, 96.5%")</f>
        <v>87.5%, 89.5%, 91.5%, 93.5%, 94.5%, 95.5%, 96.5%</v>
      </c>
      <c r="AZ673" s="5"/>
      <c r="BA673" s="5"/>
      <c r="BB673" s="5" t="b">
        <f>IFERROR(__xludf.DUMMYFUNCTION("""COMPUTED_VALUE"""),TRUE)</f>
        <v>1</v>
      </c>
      <c r="BC673" s="5" t="str">
        <f>IFERROR(__xludf.DUMMYFUNCTION("""COMPUTED_VALUE"""),"Foxi")</f>
        <v>Foxi</v>
      </c>
      <c r="BD673" s="7" t="str">
        <f>IFERROR(__xludf.DUMMYFUNCTION("""COMPUTED_VALUE"""),"https://gameserver-store-client-area.orbionlimited.com/Home/IntegrationGameLaunch/client-area?moneyType=0&amp;gameName=CloversAndDiamonds40&amp;platform=desktop&amp;languageCode=eng&amp;currency=EUR")</f>
        <v>https://gameserver-store-client-area.orbionlimited.com/Home/IntegrationGameLaunch/client-area?moneyType=0&amp;gameName=CloversAndDiamonds40&amp;platform=desktop&amp;languageCode=eng&amp;currency=EUR</v>
      </c>
      <c r="BE673" s="5" t="b">
        <f>IFERROR(__xludf.DUMMYFUNCTION("""COMPUTED_VALUE"""),TRUE)</f>
        <v>1</v>
      </c>
    </row>
    <row r="674">
      <c r="A674" s="5">
        <f>IFERROR(__xludf.DUMMYFUNCTION("""COMPUTED_VALUE"""),709.0)</f>
        <v>709</v>
      </c>
      <c r="B674" s="5">
        <f>IFERROR(__xludf.DUMMYFUNCTION("""COMPUTED_VALUE"""),5002.0)</f>
        <v>5002</v>
      </c>
      <c r="C674" s="5" t="str">
        <f>IFERROR(__xludf.DUMMYFUNCTION("""COMPUTED_VALUE"""),"Fazi")</f>
        <v>Fazi</v>
      </c>
      <c r="D674" s="5" t="str">
        <f>IFERROR(__xludf.DUMMYFUNCTION("""COMPUTED_VALUE"""),"Royalgarden King")</f>
        <v>Royalgarden King</v>
      </c>
      <c r="E674" s="5" t="str">
        <f>IFERROR(__xludf.DUMMYFUNCTION("""COMPUTED_VALUE"""),"V4-3")</f>
        <v>V4-3</v>
      </c>
      <c r="F674" s="5" t="str">
        <f>IFERROR(__xludf.DUMMYFUNCTION("""COMPUTED_VALUE"""),"RoyalgardenKing")</f>
        <v>RoyalgardenKing</v>
      </c>
      <c r="G674" s="5" t="str">
        <f>IFERROR(__xludf.DUMMYFUNCTION("""COMPUTED_VALUE"""),"Live")</f>
        <v>Live</v>
      </c>
      <c r="H674" s="5"/>
      <c r="I674" s="5" t="str">
        <f>IFERROR(__xludf.DUMMYFUNCTION("""COMPUTED_VALUE"""),"V4")</f>
        <v>V4</v>
      </c>
      <c r="J674" s="5" t="str">
        <f>IFERROR(__xludf.DUMMYFUNCTION("""COMPUTED_VALUE"""),"JSON")</f>
        <v>JSON</v>
      </c>
      <c r="K674" s="5" t="str">
        <f>IFERROR(__xludf.DUMMYFUNCTION("""COMPUTED_VALUE"""),"Slot")</f>
        <v>Slot</v>
      </c>
      <c r="L674" s="5" t="str">
        <f>IFERROR(__xludf.DUMMYFUNCTION("""COMPUTED_VALUE""")," Reskin")</f>
        <v> Reskin</v>
      </c>
      <c r="M674" s="5" t="str">
        <f>IFERROR(__xludf.DUMMYFUNCTION("""COMPUTED_VALUE"""),"Wild Hot 40")</f>
        <v>Wild Hot 40</v>
      </c>
      <c r="N674" s="5"/>
      <c r="O674" s="5"/>
      <c r="P674" s="12"/>
      <c r="Q674" s="13">
        <f>IFERROR(__xludf.DUMMYFUNCTION("""COMPUTED_VALUE"""),46097.0)</f>
        <v>46097</v>
      </c>
      <c r="R674" s="13">
        <f>IFERROR(__xludf.DUMMYFUNCTION("""COMPUTED_VALUE"""),46149.0)</f>
        <v>46149</v>
      </c>
      <c r="S674" s="13">
        <f>IFERROR(__xludf.DUMMYFUNCTION("""COMPUTED_VALUE"""),46156.0)</f>
        <v>46156</v>
      </c>
      <c r="T674" s="5" t="b">
        <f>IFERROR(__xludf.DUMMYFUNCTION("""COMPUTED_VALUE"""),TRUE)</f>
        <v>1</v>
      </c>
      <c r="U674" s="5" t="str">
        <f>IFERROR(__xludf.DUMMYFUNCTION("""COMPUTED_VALUE"""),"5x4")</f>
        <v>5x4</v>
      </c>
      <c r="V674" s="5">
        <f>IFERROR(__xludf.DUMMYFUNCTION("""COMPUTED_VALUE"""),40.0)</f>
        <v>40</v>
      </c>
      <c r="W674" s="5">
        <f>IFERROR(__xludf.DUMMYFUNCTION("""COMPUTED_VALUE"""),40.0)</f>
        <v>40</v>
      </c>
      <c r="X674" s="5">
        <f>IFERROR(__xludf.DUMMYFUNCTION("""COMPUTED_VALUE"""),96.584)</f>
        <v>96.584</v>
      </c>
      <c r="Y674" s="5" t="str">
        <f>IFERROR(__xludf.DUMMYFUNCTION("""COMPUTED_VALUE"""),"Low")</f>
        <v>Low</v>
      </c>
      <c r="Z674" s="5">
        <f>IFERROR(__xludf.DUMMYFUNCTION("""COMPUTED_VALUE"""),16.725)</f>
        <v>16.725</v>
      </c>
      <c r="AA674" s="5">
        <f>IFERROR(__xludf.DUMMYFUNCTION("""COMPUTED_VALUE"""),1000.0)</f>
        <v>1000</v>
      </c>
      <c r="AB674" s="5"/>
      <c r="AC674" s="5" t="str">
        <f>IFERROR(__xludf.DUMMYFUNCTION("""COMPUTED_VALUE"""),"Scatter, Wild Symbol")</f>
        <v>Scatter, Wild Symbol</v>
      </c>
      <c r="AD674" s="5" t="str">
        <f>IFERROR(__xludf.DUMMYFUNCTION("""COMPUTED_VALUE"""),"04/40")</f>
        <v>04/40</v>
      </c>
      <c r="AE674" s="5"/>
      <c r="AF674" s="5"/>
      <c r="AG674" s="8">
        <f>IFERROR(__xludf.DUMMYFUNCTION("""COMPUTED_VALUE"""),46156.59575231482)</f>
        <v>46156.59575</v>
      </c>
      <c r="AH674" s="5" t="str">
        <f>IFERROR(__xludf.DUMMYFUNCTION("""COMPUTED_VALUE"""),"zdravkovic.predrag@fazi.rs")</f>
        <v>zdravkovic.predrag@fazi.rs</v>
      </c>
      <c r="AI674" s="13"/>
      <c r="AJ674" s="5"/>
      <c r="AK674" s="5">
        <f>IFERROR(__xludf.DUMMYFUNCTION("""COMPUTED_VALUE"""),40.0)</f>
        <v>40</v>
      </c>
      <c r="AL674" s="5" t="str">
        <f>IFERROR(__xludf.DUMMYFUNCTION("""COMPUTED_VALUE"""),"Yes")</f>
        <v>Yes</v>
      </c>
      <c r="AM674" s="5"/>
      <c r="AN674" s="7" t="str">
        <f>IFERROR(__xludf.DUMMYFUNCTION("""COMPUTED_VALUE"""),"https://onlinegamespromo.fazi.rs/Home/IntegrationGameLaunch?moneyType=0&amp;gameName=RoyalGardenKing&amp;platform=desktop&amp;languageCode=eng&amp;currency=EUR")</f>
        <v>https://onlinegamespromo.fazi.rs/Home/IntegrationGameLaunch?moneyType=0&amp;gameName=RoyalGardenKing&amp;platform=desktop&amp;languageCode=eng&amp;currency=EUR</v>
      </c>
      <c r="AO674" s="5" t="str">
        <f>IFERROR(__xludf.DUMMYFUNCTION("""COMPUTED_VALUE"""),"Yes")</f>
        <v>Yes</v>
      </c>
      <c r="AP674" s="5" t="str">
        <f>IFERROR(__xludf.DUMMYFUNCTION("""COMPUTED_VALUE"""),"Yes")</f>
        <v>Yes</v>
      </c>
      <c r="AQ674" s="5"/>
      <c r="AR674" s="5"/>
      <c r="AS674" s="5"/>
      <c r="AT674" s="5"/>
      <c r="AU674" s="5" t="str">
        <f>IFERROR(__xludf.DUMMYFUNCTION("""COMPUTED_VALUE"""),"Fazi")</f>
        <v>Fazi</v>
      </c>
      <c r="AV674" s="5"/>
      <c r="AW674" s="5"/>
      <c r="AX674" s="13">
        <f>IFERROR(__xludf.DUMMYFUNCTION("""COMPUTED_VALUE"""),46091.0)</f>
        <v>46091</v>
      </c>
      <c r="AY674" s="5"/>
      <c r="AZ674" s="5"/>
      <c r="BA674" s="5"/>
      <c r="BB674" s="5"/>
      <c r="BC674" s="5" t="str">
        <f>IFERROR(__xludf.DUMMYFUNCTION("""COMPUTED_VALUE"""),"Foxi")</f>
        <v>Foxi</v>
      </c>
      <c r="BD674" s="7" t="str">
        <f>IFERROR(__xludf.DUMMYFUNCTION("""COMPUTED_VALUE"""),"https://gameserver-store-client-area.orbionlimited.com/Home/IntegrationGameLaunch/client-area?moneyType=0&amp;gameName=RoyalgardenKing&amp;platform=desktop&amp;languageCode=eng&amp;currency=EUR")</f>
        <v>https://gameserver-store-client-area.orbionlimited.com/Home/IntegrationGameLaunch/client-area?moneyType=0&amp;gameName=RoyalgardenKing&amp;platform=desktop&amp;languageCode=eng&amp;currency=EUR</v>
      </c>
      <c r="BE674" s="5"/>
    </row>
    <row r="675">
      <c r="A675" s="5">
        <f>IFERROR(__xludf.DUMMYFUNCTION("""COMPUTED_VALUE"""),710.0)</f>
        <v>710</v>
      </c>
      <c r="B675" s="5">
        <f>IFERROR(__xludf.DUMMYFUNCTION("""COMPUTED_VALUE"""),5004.0)</f>
        <v>5004</v>
      </c>
      <c r="C675" s="5" t="str">
        <f>IFERROR(__xludf.DUMMYFUNCTION("""COMPUTED_VALUE"""),"Fazi")</f>
        <v>Fazi</v>
      </c>
      <c r="D675" s="5" t="str">
        <f>IFERROR(__xludf.DUMMYFUNCTION("""COMPUTED_VALUE"""),"Royalgarden Queen")</f>
        <v>Royalgarden Queen</v>
      </c>
      <c r="E675" s="5" t="str">
        <f>IFERROR(__xludf.DUMMYFUNCTION("""COMPUTED_VALUE"""),"V4-3")</f>
        <v>V4-3</v>
      </c>
      <c r="F675" s="5" t="str">
        <f>IFERROR(__xludf.DUMMYFUNCTION("""COMPUTED_VALUE"""),"RoyalgardenQueen")</f>
        <v>RoyalgardenQueen</v>
      </c>
      <c r="G675" s="5" t="str">
        <f>IFERROR(__xludf.DUMMYFUNCTION("""COMPUTED_VALUE"""),"Live")</f>
        <v>Live</v>
      </c>
      <c r="H675" s="5"/>
      <c r="I675" s="5" t="str">
        <f>IFERROR(__xludf.DUMMYFUNCTION("""COMPUTED_VALUE"""),"V4")</f>
        <v>V4</v>
      </c>
      <c r="J675" s="5" t="str">
        <f>IFERROR(__xludf.DUMMYFUNCTION("""COMPUTED_VALUE"""),"JSON")</f>
        <v>JSON</v>
      </c>
      <c r="K675" s="5" t="str">
        <f>IFERROR(__xludf.DUMMYFUNCTION("""COMPUTED_VALUE"""),"Slot")</f>
        <v>Slot</v>
      </c>
      <c r="L675" s="5" t="str">
        <f>IFERROR(__xludf.DUMMYFUNCTION("""COMPUTED_VALUE""")," Reskin")</f>
        <v> Reskin</v>
      </c>
      <c r="M675" s="5"/>
      <c r="N675" s="7" t="str">
        <f>IFERROR(__xludf.DUMMYFUNCTION("""COMPUTED_VALUE"""),"https://docs.google.com/document/d/1V2AsHCrmfW7_UwtgR_YnT2bqsuhjmNHC/edit")</f>
        <v>https://docs.google.com/document/d/1V2AsHCrmfW7_UwtgR_YnT2bqsuhjmNHC/edit</v>
      </c>
      <c r="O675" s="7" t="str">
        <f>IFERROR(__xludf.DUMMYFUNCTION("""COMPUTED_VALUE"""),"https://docs.google.com/document/d/1vyPdbTiGJiKkYnnELDaLeavVn6alUl8O/edit")</f>
        <v>https://docs.google.com/document/d/1vyPdbTiGJiKkYnnELDaLeavVn6alUl8O/edit</v>
      </c>
      <c r="P675" s="12">
        <f>IFERROR(__xludf.DUMMYFUNCTION("""COMPUTED_VALUE"""),25.0)</f>
        <v>25</v>
      </c>
      <c r="Q675" s="13">
        <f>IFERROR(__xludf.DUMMYFUNCTION("""COMPUTED_VALUE"""),46161.0)</f>
        <v>46161</v>
      </c>
      <c r="R675" s="13">
        <f>IFERROR(__xludf.DUMMYFUNCTION("""COMPUTED_VALUE"""),46177.0)</f>
        <v>46177</v>
      </c>
      <c r="S675" s="13">
        <f>IFERROR(__xludf.DUMMYFUNCTION("""COMPUTED_VALUE"""),46184.0)</f>
        <v>46184</v>
      </c>
      <c r="T675" s="5"/>
      <c r="U675" s="5" t="str">
        <f>IFERROR(__xludf.DUMMYFUNCTION("""COMPUTED_VALUE"""),"5x4")</f>
        <v>5x4</v>
      </c>
      <c r="V675" s="5">
        <f>IFERROR(__xludf.DUMMYFUNCTION("""COMPUTED_VALUE"""),40.0)</f>
        <v>40</v>
      </c>
      <c r="W675" s="5">
        <f>IFERROR(__xludf.DUMMYFUNCTION("""COMPUTED_VALUE"""),40.0)</f>
        <v>40</v>
      </c>
      <c r="X675" s="5">
        <f>IFERROR(__xludf.DUMMYFUNCTION("""COMPUTED_VALUE"""),96.382)</f>
        <v>96.382</v>
      </c>
      <c r="Y675" s="5" t="str">
        <f>IFERROR(__xludf.DUMMYFUNCTION("""COMPUTED_VALUE"""),"Medium")</f>
        <v>Medium</v>
      </c>
      <c r="Z675" s="5">
        <f>IFERROR(__xludf.DUMMYFUNCTION("""COMPUTED_VALUE"""),14.632)</f>
        <v>14.632</v>
      </c>
      <c r="AA675" s="5">
        <f>IFERROR(__xludf.DUMMYFUNCTION("""COMPUTED_VALUE"""),1000.0)</f>
        <v>1000</v>
      </c>
      <c r="AB675" s="5"/>
      <c r="AC675" s="5" t="str">
        <f>IFERROR(__xludf.DUMMYFUNCTION("""COMPUTED_VALUE"""),"Scatter, Wild Symbol")</f>
        <v>Scatter, Wild Symbol</v>
      </c>
      <c r="AD675" s="5" t="str">
        <f>IFERROR(__xludf.DUMMYFUNCTION("""COMPUTED_VALUE"""),"0.4/40")</f>
        <v>0.4/40</v>
      </c>
      <c r="AE675" s="5"/>
      <c r="AF675" s="5"/>
      <c r="AG675" s="8">
        <f>IFERROR(__xludf.DUMMYFUNCTION("""COMPUTED_VALUE"""),46226.44700231482)</f>
        <v>46226.447</v>
      </c>
      <c r="AH675" s="5" t="str">
        <f>IFERROR(__xludf.DUMMYFUNCTION("""COMPUTED_VALUE"""),"zdravkovic.predrag@fazi.rs")</f>
        <v>zdravkovic.predrag@fazi.rs</v>
      </c>
      <c r="AI675" s="13"/>
      <c r="AJ675" s="5"/>
      <c r="AK675" s="5">
        <f>IFERROR(__xludf.DUMMYFUNCTION("""COMPUTED_VALUE"""),40.0)</f>
        <v>40</v>
      </c>
      <c r="AL675" s="5" t="str">
        <f>IFERROR(__xludf.DUMMYFUNCTION("""COMPUTED_VALUE"""),"Yes")</f>
        <v>Yes</v>
      </c>
      <c r="AM675" s="5" t="str">
        <f>IFERROR(__xludf.DUMMYFUNCTION("""COMPUTED_VALUE"""),"No")</f>
        <v>No</v>
      </c>
      <c r="AN675" s="7" t="str">
        <f>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AO675" s="5" t="str">
        <f>IFERROR(__xludf.DUMMYFUNCTION("""COMPUTED_VALUE"""),"Yes")</f>
        <v>Yes</v>
      </c>
      <c r="AP675" s="5" t="str">
        <f>IFERROR(__xludf.DUMMYFUNCTION("""COMPUTED_VALUE"""),"Yes")</f>
        <v>Yes</v>
      </c>
      <c r="AQ675" s="5" t="b">
        <f>IFERROR(__xludf.DUMMYFUNCTION("""COMPUTED_VALUE"""),TRUE)</f>
        <v>1</v>
      </c>
      <c r="AR675" s="5"/>
      <c r="AS675" s="5" t="str">
        <f>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AT675" s="5"/>
      <c r="AU675" s="5" t="str">
        <f>IFERROR(__xludf.DUMMYFUNCTION("""COMPUTED_VALUE"""),"Fazi")</f>
        <v>Fazi</v>
      </c>
      <c r="AV675" s="5"/>
      <c r="AW675" s="5"/>
      <c r="AX675" s="13">
        <f>IFERROR(__xludf.DUMMYFUNCTION("""COMPUTED_VALUE"""),46161.0)</f>
        <v>46161</v>
      </c>
      <c r="AY675" s="5"/>
      <c r="AZ675" s="5"/>
      <c r="BA675" s="5"/>
      <c r="BB675" s="5" t="b">
        <f>IFERROR(__xludf.DUMMYFUNCTION("""COMPUTED_VALUE"""),TRUE)</f>
        <v>1</v>
      </c>
      <c r="BC675" s="5" t="str">
        <f>IFERROR(__xludf.DUMMYFUNCTION("""COMPUTED_VALUE"""),"Foxi")</f>
        <v>Foxi</v>
      </c>
      <c r="BD675" s="7" t="str">
        <f>IFERROR(__xludf.DUMMYFUNCTION("""COMPUTED_VALUE"""),"https://gameserver-store-client-area.orbionlimited.com/Home/IntegrationGameLaunch/client-area?moneyType=0&amp;gameName=RoyalgardenQueen&amp;platform=desktop&amp;languageCode=eng&amp;currency=EUR")</f>
        <v>https://gameserver-store-client-area.orbionlimited.com/Home/IntegrationGameLaunch/client-area?moneyType=0&amp;gameName=RoyalgardenQueen&amp;platform=desktop&amp;languageCode=eng&amp;currency=EUR</v>
      </c>
      <c r="BE675" s="5" t="b">
        <f>IFERROR(__xludf.DUMMYFUNCTION("""COMPUTED_VALUE"""),TRUE)</f>
        <v>1</v>
      </c>
    </row>
    <row r="676">
      <c r="A676" s="5">
        <f>IFERROR(__xludf.DUMMYFUNCTION("""COMPUTED_VALUE"""),711.0)</f>
        <v>711</v>
      </c>
      <c r="B676" s="5">
        <f>IFERROR(__xludf.DUMMYFUNCTION("""COMPUTED_VALUE"""),4036.0)</f>
        <v>4036</v>
      </c>
      <c r="C676" s="5" t="str">
        <f>IFERROR(__xludf.DUMMYFUNCTION("""COMPUTED_VALUE"""),"Fazi")</f>
        <v>Fazi</v>
      </c>
      <c r="D676" s="5" t="str">
        <f>IFERROR(__xludf.DUMMYFUNCTION("""COMPUTED_VALUE"""),"Wild Hot Jacks 40")</f>
        <v>Wild Hot Jacks 40</v>
      </c>
      <c r="E676" s="5" t="str">
        <f>IFERROR(__xludf.DUMMYFUNCTION("""COMPUTED_VALUE"""),"Sertifikacioni")</f>
        <v>Sertifikacioni</v>
      </c>
      <c r="F676" s="5" t="str">
        <f>IFERROR(__xludf.DUMMYFUNCTION("""COMPUTED_VALUE"""),"WildHotJacks40")</f>
        <v>WildHotJacks40</v>
      </c>
      <c r="G676" s="5" t="str">
        <f>IFERROR(__xludf.DUMMYFUNCTION("""COMPUTED_VALUE"""),"Deployed")</f>
        <v>Deployed</v>
      </c>
      <c r="H676" s="7" t="str">
        <f>IFERROR(__xludf.DUMMYFUNCTION("""COMPUTED_VALUE"""),"Jacks.nl")</f>
        <v>Jacks.nl</v>
      </c>
      <c r="I676" s="5" t="str">
        <f>IFERROR(__xludf.DUMMYFUNCTION("""COMPUTED_VALUE"""),"V2")</f>
        <v>V2</v>
      </c>
      <c r="J676" s="5" t="str">
        <f>IFERROR(__xludf.DUMMYFUNCTION("""COMPUTED_VALUE"""),"JSON")</f>
        <v>JSON</v>
      </c>
      <c r="K676" s="5" t="str">
        <f>IFERROR(__xludf.DUMMYFUNCTION("""COMPUTED_VALUE"""),"Slot")</f>
        <v>Slot</v>
      </c>
      <c r="L676" s="5" t="str">
        <f>IFERROR(__xludf.DUMMYFUNCTION("""COMPUTED_VALUE""")," Clone")</f>
        <v> Clone</v>
      </c>
      <c r="M676" s="5" t="str">
        <f>IFERROR(__xludf.DUMMYFUNCTION("""COMPUTED_VALUE"""),"Wild Hot 40")</f>
        <v>Wild Hot 40</v>
      </c>
      <c r="N676" s="5"/>
      <c r="O676" s="5"/>
      <c r="P676" s="12"/>
      <c r="Q676" s="13">
        <f>IFERROR(__xludf.DUMMYFUNCTION("""COMPUTED_VALUE"""),46097.0)</f>
        <v>46097</v>
      </c>
      <c r="R676" s="13"/>
      <c r="S676" s="13"/>
      <c r="T676" s="5"/>
      <c r="U676" s="5" t="str">
        <f>IFERROR(__xludf.DUMMYFUNCTION("""COMPUTED_VALUE"""),"5x4")</f>
        <v>5x4</v>
      </c>
      <c r="V676" s="5">
        <f>IFERROR(__xludf.DUMMYFUNCTION("""COMPUTED_VALUE"""),40.0)</f>
        <v>40</v>
      </c>
      <c r="W676" s="5">
        <f>IFERROR(__xludf.DUMMYFUNCTION("""COMPUTED_VALUE"""),40.0)</f>
        <v>40</v>
      </c>
      <c r="X676" s="5">
        <f>IFERROR(__xludf.DUMMYFUNCTION("""COMPUTED_VALUE"""),96.584)</f>
        <v>96.584</v>
      </c>
      <c r="Y676" s="5" t="str">
        <f>IFERROR(__xludf.DUMMYFUNCTION("""COMPUTED_VALUE"""),"Low")</f>
        <v>Low</v>
      </c>
      <c r="Z676" s="5">
        <f>IFERROR(__xludf.DUMMYFUNCTION("""COMPUTED_VALUE"""),16.725)</f>
        <v>16.725</v>
      </c>
      <c r="AA676" s="5">
        <f>IFERROR(__xludf.DUMMYFUNCTION("""COMPUTED_VALUE"""),1000.0)</f>
        <v>1000</v>
      </c>
      <c r="AB676" s="5"/>
      <c r="AC676" s="5"/>
      <c r="AD676" s="5"/>
      <c r="AE676" s="5"/>
      <c r="AF676" s="5"/>
      <c r="AG676" s="8">
        <f>IFERROR(__xludf.DUMMYFUNCTION("""COMPUTED_VALUE"""),46140.600023148145)</f>
        <v>46140.60002</v>
      </c>
      <c r="AH676" s="5" t="str">
        <f>IFERROR(__xludf.DUMMYFUNCTION("""COMPUTED_VALUE"""),"petra.ilic@fazi.rs")</f>
        <v>petra.ilic@fazi.rs</v>
      </c>
      <c r="AI676" s="13"/>
      <c r="AJ676" s="5"/>
      <c r="AK676" s="5">
        <f>IFERROR(__xludf.DUMMYFUNCTION("""COMPUTED_VALUE"""),40.0)</f>
        <v>40</v>
      </c>
      <c r="AL676" s="5" t="str">
        <f>IFERROR(__xludf.DUMMYFUNCTION("""COMPUTED_VALUE"""),"Yes")</f>
        <v>Yes</v>
      </c>
      <c r="AM676" s="5" t="str">
        <f>IFERROR(__xludf.DUMMYFUNCTION("""COMPUTED_VALUE"""),"No")</f>
        <v>No</v>
      </c>
      <c r="AN676" s="5"/>
      <c r="AO676" s="5"/>
      <c r="AP676" s="5" t="str">
        <f>IFERROR(__xludf.DUMMYFUNCTION("""COMPUTED_VALUE"""),"Yes")</f>
        <v>Yes</v>
      </c>
      <c r="AQ676" s="5"/>
      <c r="AR676" s="5" t="b">
        <f>IFERROR(__xludf.DUMMYFUNCTION("""COMPUTED_VALUE"""),TRUE)</f>
        <v>1</v>
      </c>
      <c r="AS676" s="5"/>
      <c r="AT676" s="5"/>
      <c r="AU676" s="5" t="str">
        <f>IFERROR(__xludf.DUMMYFUNCTION("""COMPUTED_VALUE"""),"Fazi")</f>
        <v>Fazi</v>
      </c>
      <c r="AV676" s="5">
        <f>IFERROR(__xludf.DUMMYFUNCTION("""COMPUTED_VALUE"""),1.0)</f>
        <v>1</v>
      </c>
      <c r="AW676" s="5"/>
      <c r="AX676" s="13">
        <f>IFERROR(__xludf.DUMMYFUNCTION("""COMPUTED_VALUE"""),46091.0)</f>
        <v>46091</v>
      </c>
      <c r="AY676" s="5"/>
      <c r="AZ676" s="5"/>
      <c r="BA676" s="5"/>
      <c r="BB676" s="5"/>
      <c r="BC676" s="5" t="str">
        <f>IFERROR(__xludf.DUMMYFUNCTION("""COMPUTED_VALUE"""),"Foxi")</f>
        <v>Foxi</v>
      </c>
      <c r="BD676" s="5" t="str">
        <f>IFERROR(__xludf.DUMMYFUNCTION("""COMPUTED_VALUE"""),"")</f>
        <v/>
      </c>
      <c r="BE676" s="5"/>
    </row>
    <row r="677">
      <c r="A677" s="5">
        <f>IFERROR(__xludf.DUMMYFUNCTION("""COMPUTED_VALUE"""),712.0)</f>
        <v>712</v>
      </c>
      <c r="B677" s="5">
        <f>IFERROR(__xludf.DUMMYFUNCTION("""COMPUTED_VALUE"""),4037.0)</f>
        <v>4037</v>
      </c>
      <c r="C677" s="5" t="str">
        <f>IFERROR(__xludf.DUMMYFUNCTION("""COMPUTED_VALUE"""),"Fazi")</f>
        <v>Fazi</v>
      </c>
      <c r="D677" s="5" t="str">
        <f>IFERROR(__xludf.DUMMYFUNCTION("""COMPUTED_VALUE"""),"Grandpashabet Clover 40")</f>
        <v>Grandpashabet Clover 40</v>
      </c>
      <c r="E677" s="5" t="str">
        <f>IFERROR(__xludf.DUMMYFUNCTION("""COMPUTED_VALUE"""),"Sertifikacioni")</f>
        <v>Sertifikacioni</v>
      </c>
      <c r="F677" s="5" t="str">
        <f>IFERROR(__xludf.DUMMYFUNCTION("""COMPUTED_VALUE"""),"GrandpashabetClover40")</f>
        <v>GrandpashabetClover40</v>
      </c>
      <c r="G677" s="5" t="str">
        <f>IFERROR(__xludf.DUMMYFUNCTION("""COMPUTED_VALUE"""),"Deployed")</f>
        <v>Deployed</v>
      </c>
      <c r="H677" s="5" t="str">
        <f>IFERROR(__xludf.DUMMYFUNCTION("""COMPUTED_VALUE"""),"Grandpashabet")</f>
        <v>Grandpashabet</v>
      </c>
      <c r="I677" s="5" t="str">
        <f>IFERROR(__xludf.DUMMYFUNCTION("""COMPUTED_VALUE"""),"V2")</f>
        <v>V2</v>
      </c>
      <c r="J677" s="5" t="str">
        <f>IFERROR(__xludf.DUMMYFUNCTION("""COMPUTED_VALUE"""),"JSON")</f>
        <v>JSON</v>
      </c>
      <c r="K677" s="5" t="str">
        <f>IFERROR(__xludf.DUMMYFUNCTION("""COMPUTED_VALUE"""),"Slot")</f>
        <v>Slot</v>
      </c>
      <c r="L677" s="5" t="str">
        <f>IFERROR(__xludf.DUMMYFUNCTION("""COMPUTED_VALUE""")," Clone")</f>
        <v> Clone</v>
      </c>
      <c r="M677" s="5" t="str">
        <f>IFERROR(__xludf.DUMMYFUNCTION("""COMPUTED_VALUE"""),"Epic Clover 40")</f>
        <v>Epic Clover 40</v>
      </c>
      <c r="N677" s="5"/>
      <c r="O677" s="5"/>
      <c r="P677" s="12"/>
      <c r="Q677" s="13">
        <f>IFERROR(__xludf.DUMMYFUNCTION("""COMPUTED_VALUE"""),46126.0)</f>
        <v>46126</v>
      </c>
      <c r="R677" s="13"/>
      <c r="S677" s="13"/>
      <c r="T677" s="5"/>
      <c r="U677" s="5" t="str">
        <f>IFERROR(__xludf.DUMMYFUNCTION("""COMPUTED_VALUE"""),"5x4")</f>
        <v>5x4</v>
      </c>
      <c r="V677" s="5">
        <f>IFERROR(__xludf.DUMMYFUNCTION("""COMPUTED_VALUE"""),40.0)</f>
        <v>40</v>
      </c>
      <c r="W677" s="5">
        <f>IFERROR(__xludf.DUMMYFUNCTION("""COMPUTED_VALUE"""),40.0)</f>
        <v>40</v>
      </c>
      <c r="X677" s="5">
        <f>IFERROR(__xludf.DUMMYFUNCTION("""COMPUTED_VALUE"""),96.502)</f>
        <v>96.502</v>
      </c>
      <c r="Y677" s="5"/>
      <c r="Z677" s="5">
        <f>IFERROR(__xludf.DUMMYFUNCTION("""COMPUTED_VALUE"""),11.601)</f>
        <v>11.601</v>
      </c>
      <c r="AA677" s="5">
        <f>IFERROR(__xludf.DUMMYFUNCTION("""COMPUTED_VALUE"""),3000.0)</f>
        <v>3000</v>
      </c>
      <c r="AB677" s="5"/>
      <c r="AC677" s="5"/>
      <c r="AD677" s="5"/>
      <c r="AE677" s="5"/>
      <c r="AF677" s="5"/>
      <c r="AG677" s="8">
        <f>IFERROR(__xludf.DUMMYFUNCTION("""COMPUTED_VALUE"""),46176.74438657407)</f>
        <v>46176.74439</v>
      </c>
      <c r="AH677" s="5" t="str">
        <f>IFERROR(__xludf.DUMMYFUNCTION("""COMPUTED_VALUE"""),"petra.ilic@fazi.rs")</f>
        <v>petra.ilic@fazi.rs</v>
      </c>
      <c r="AI677" s="13"/>
      <c r="AJ677" s="5"/>
      <c r="AK677" s="5">
        <f>IFERROR(__xludf.DUMMYFUNCTION("""COMPUTED_VALUE"""),40.0)</f>
        <v>40</v>
      </c>
      <c r="AL677" s="5" t="str">
        <f>IFERROR(__xludf.DUMMYFUNCTION("""COMPUTED_VALUE"""),"Yes")</f>
        <v>Yes</v>
      </c>
      <c r="AM677" s="5" t="str">
        <f>IFERROR(__xludf.DUMMYFUNCTION("""COMPUTED_VALUE"""),"No")</f>
        <v>No</v>
      </c>
      <c r="AN677" s="5"/>
      <c r="AO677" s="5"/>
      <c r="AP677" s="5" t="str">
        <f>IFERROR(__xludf.DUMMYFUNCTION("""COMPUTED_VALUE"""),"Yes")</f>
        <v>Yes</v>
      </c>
      <c r="AQ677" s="5"/>
      <c r="AR677" s="5" t="b">
        <f>IFERROR(__xludf.DUMMYFUNCTION("""COMPUTED_VALUE"""),TRUE)</f>
        <v>1</v>
      </c>
      <c r="AS677" s="5"/>
      <c r="AT677" s="5"/>
      <c r="AU677" s="5" t="str">
        <f>IFERROR(__xludf.DUMMYFUNCTION("""COMPUTED_VALUE"""),"Fazi")</f>
        <v>Fazi</v>
      </c>
      <c r="AV677" s="5">
        <f>IFERROR(__xludf.DUMMYFUNCTION("""COMPUTED_VALUE"""),4.0)</f>
        <v>4</v>
      </c>
      <c r="AW677" s="5"/>
      <c r="AX677" s="13">
        <f>IFERROR(__xludf.DUMMYFUNCTION("""COMPUTED_VALUE"""),46119.0)</f>
        <v>46119</v>
      </c>
      <c r="AY677" s="5"/>
      <c r="AZ677" s="5"/>
      <c r="BA677" s="5"/>
      <c r="BB677" s="5"/>
      <c r="BC677" s="5" t="str">
        <f>IFERROR(__xludf.DUMMYFUNCTION("""COMPUTED_VALUE"""),"Foxi")</f>
        <v>Foxi</v>
      </c>
      <c r="BD677" s="5" t="str">
        <f>IFERROR(__xludf.DUMMYFUNCTION("""COMPUTED_VALUE"""),"")</f>
        <v/>
      </c>
      <c r="BE677" s="5"/>
    </row>
    <row r="678">
      <c r="A678" s="5">
        <f>IFERROR(__xludf.DUMMYFUNCTION("""COMPUTED_VALUE"""),713.0)</f>
        <v>713</v>
      </c>
      <c r="B678" s="5">
        <f>IFERROR(__xludf.DUMMYFUNCTION("""COMPUTED_VALUE"""),4039.0)</f>
        <v>4039</v>
      </c>
      <c r="C678" s="5" t="str">
        <f>IFERROR(__xludf.DUMMYFUNCTION("""COMPUTED_VALUE"""),"Fazi")</f>
        <v>Fazi</v>
      </c>
      <c r="D678" s="5" t="str">
        <f>IFERROR(__xludf.DUMMYFUNCTION("""COMPUTED_VALUE"""),"Cro Casino Golden Crown")</f>
        <v>Cro Casino Golden Crown</v>
      </c>
      <c r="E678" s="5" t="str">
        <f>IFERROR(__xludf.DUMMYFUNCTION("""COMPUTED_VALUE"""),"Sertifikacioni")</f>
        <v>Sertifikacioni</v>
      </c>
      <c r="F678" s="5" t="str">
        <f>IFERROR(__xludf.DUMMYFUNCTION("""COMPUTED_VALUE"""),"CroCasinoGoldenCrown")</f>
        <v>CroCasinoGoldenCrown</v>
      </c>
      <c r="G678" s="5" t="str">
        <f>IFERROR(__xludf.DUMMYFUNCTION("""COMPUTED_VALUE"""),"Deployed")</f>
        <v>Deployed</v>
      </c>
      <c r="H678" s="5" t="str">
        <f>IFERROR(__xludf.DUMMYFUNCTION("""COMPUTED_VALUE"""),"Cro Casino")</f>
        <v>Cro Casino</v>
      </c>
      <c r="I678" s="5" t="str">
        <f>IFERROR(__xludf.DUMMYFUNCTION("""COMPUTED_VALUE"""),"V2")</f>
        <v>V2</v>
      </c>
      <c r="J678" s="5" t="str">
        <f>IFERROR(__xludf.DUMMYFUNCTION("""COMPUTED_VALUE"""),"JSON")</f>
        <v>JSON</v>
      </c>
      <c r="K678" s="5" t="str">
        <f>IFERROR(__xludf.DUMMYFUNCTION("""COMPUTED_VALUE"""),"Slot")</f>
        <v>Slot</v>
      </c>
      <c r="L678" s="5" t="str">
        <f>IFERROR(__xludf.DUMMYFUNCTION("""COMPUTED_VALUE""")," Clone")</f>
        <v> Clone</v>
      </c>
      <c r="M678" s="5" t="str">
        <f>IFERROR(__xludf.DUMMYFUNCTION("""COMPUTED_VALUE"""),"Golden Crown")</f>
        <v>Golden Crown</v>
      </c>
      <c r="N678" s="5"/>
      <c r="O678" s="5"/>
      <c r="P678" s="12"/>
      <c r="Q678" s="13">
        <f>IFERROR(__xludf.DUMMYFUNCTION("""COMPUTED_VALUE"""),46097.0)</f>
        <v>46097</v>
      </c>
      <c r="R678" s="13"/>
      <c r="S678" s="13"/>
      <c r="T678" s="5"/>
      <c r="U678" s="5" t="str">
        <f>IFERROR(__xludf.DUMMYFUNCTION("""COMPUTED_VALUE"""),"5x3")</f>
        <v>5x3</v>
      </c>
      <c r="V678" s="5">
        <f>IFERROR(__xludf.DUMMYFUNCTION("""COMPUTED_VALUE"""),10.0)</f>
        <v>10</v>
      </c>
      <c r="W678" s="5">
        <f>IFERROR(__xludf.DUMMYFUNCTION("""COMPUTED_VALUE"""),10.0)</f>
        <v>10</v>
      </c>
      <c r="X678" s="5">
        <f>IFERROR(__xludf.DUMMYFUNCTION("""COMPUTED_VALUE"""),95.962)</f>
        <v>95.962</v>
      </c>
      <c r="Y678" s="5" t="str">
        <f>IFERROR(__xludf.DUMMYFUNCTION("""COMPUTED_VALUE"""),"Medium")</f>
        <v>Medium</v>
      </c>
      <c r="Z678" s="5">
        <f>IFERROR(__xludf.DUMMYFUNCTION("""COMPUTED_VALUE"""),14.634)</f>
        <v>14.634</v>
      </c>
      <c r="AA678" s="5">
        <f>IFERROR(__xludf.DUMMYFUNCTION("""COMPUTED_VALUE"""),1538.0)</f>
        <v>1538</v>
      </c>
      <c r="AB678" s="5"/>
      <c r="AC678" s="5"/>
      <c r="AD678" s="5"/>
      <c r="AE678" s="5"/>
      <c r="AF678" s="5"/>
      <c r="AG678" s="8">
        <f>IFERROR(__xludf.DUMMYFUNCTION("""COMPUTED_VALUE"""),46140.60042824074)</f>
        <v>46140.60043</v>
      </c>
      <c r="AH678" s="5" t="str">
        <f>IFERROR(__xludf.DUMMYFUNCTION("""COMPUTED_VALUE"""),"petra.ilic@fazi.rs")</f>
        <v>petra.ilic@fazi.rs</v>
      </c>
      <c r="AI678" s="13"/>
      <c r="AJ678" s="5"/>
      <c r="AK678" s="5">
        <f>IFERROR(__xludf.DUMMYFUNCTION("""COMPUTED_VALUE"""),10.0)</f>
        <v>10</v>
      </c>
      <c r="AL678" s="5" t="str">
        <f>IFERROR(__xludf.DUMMYFUNCTION("""COMPUTED_VALUE"""),"Yes")</f>
        <v>Yes</v>
      </c>
      <c r="AM678" s="5" t="str">
        <f>IFERROR(__xludf.DUMMYFUNCTION("""COMPUTED_VALUE"""),"No")</f>
        <v>No</v>
      </c>
      <c r="AN678" s="5"/>
      <c r="AO678" s="5"/>
      <c r="AP678" s="5" t="str">
        <f>IFERROR(__xludf.DUMMYFUNCTION("""COMPUTED_VALUE"""),"Yes")</f>
        <v>Yes</v>
      </c>
      <c r="AQ678" s="5"/>
      <c r="AR678" s="5" t="b">
        <f>IFERROR(__xludf.DUMMYFUNCTION("""COMPUTED_VALUE"""),TRUE)</f>
        <v>1</v>
      </c>
      <c r="AS678" s="5"/>
      <c r="AT678" s="5"/>
      <c r="AU678" s="5" t="str">
        <f>IFERROR(__xludf.DUMMYFUNCTION("""COMPUTED_VALUE"""),"Fazi")</f>
        <v>Fazi</v>
      </c>
      <c r="AV678" s="5">
        <f>IFERROR(__xludf.DUMMYFUNCTION("""COMPUTED_VALUE"""),1.0)</f>
        <v>1</v>
      </c>
      <c r="AW678" s="5"/>
      <c r="AX678" s="13">
        <f>IFERROR(__xludf.DUMMYFUNCTION("""COMPUTED_VALUE"""),46091.0)</f>
        <v>46091</v>
      </c>
      <c r="AY678" s="5"/>
      <c r="AZ678" s="5"/>
      <c r="BA678" s="5"/>
      <c r="BB678" s="5"/>
      <c r="BC678" s="5" t="str">
        <f>IFERROR(__xludf.DUMMYFUNCTION("""COMPUTED_VALUE"""),"Foxi")</f>
        <v>Foxi</v>
      </c>
      <c r="BD678" s="5" t="str">
        <f>IFERROR(__xludf.DUMMYFUNCTION("""COMPUTED_VALUE"""),"")</f>
        <v/>
      </c>
      <c r="BE678" s="5"/>
    </row>
    <row r="679">
      <c r="A679" s="5">
        <f>IFERROR(__xludf.DUMMYFUNCTION("""COMPUTED_VALUE"""),714.0)</f>
        <v>714</v>
      </c>
      <c r="B679" s="5">
        <f>IFERROR(__xludf.DUMMYFUNCTION("""COMPUTED_VALUE"""),4040.0)</f>
        <v>4040</v>
      </c>
      <c r="C679" s="5" t="str">
        <f>IFERROR(__xludf.DUMMYFUNCTION("""COMPUTED_VALUE"""),"Fazi")</f>
        <v>Fazi</v>
      </c>
      <c r="D679" s="5" t="str">
        <f>IFERROR(__xludf.DUMMYFUNCTION("""COMPUTED_VALUE"""),"Wild Shine 40")</f>
        <v>Wild Shine 40</v>
      </c>
      <c r="E679" s="5" t="str">
        <f>IFERROR(__xludf.DUMMYFUNCTION("""COMPUTED_VALUE"""),"Sertifikacioni")</f>
        <v>Sertifikacioni</v>
      </c>
      <c r="F679" s="5" t="str">
        <f>IFERROR(__xludf.DUMMYFUNCTION("""COMPUTED_VALUE"""),"WildShine40")</f>
        <v>WildShine40</v>
      </c>
      <c r="G679" s="5" t="str">
        <f>IFERROR(__xludf.DUMMYFUNCTION("""COMPUTED_VALUE"""),"Deployed")</f>
        <v>Deployed</v>
      </c>
      <c r="H679" s="5"/>
      <c r="I679" s="5" t="str">
        <f>IFERROR(__xludf.DUMMYFUNCTION("""COMPUTED_VALUE"""),"V2")</f>
        <v>V2</v>
      </c>
      <c r="J679" s="5" t="str">
        <f>IFERROR(__xludf.DUMMYFUNCTION("""COMPUTED_VALUE"""),"JSON")</f>
        <v>JSON</v>
      </c>
      <c r="K679" s="5" t="str">
        <f>IFERROR(__xludf.DUMMYFUNCTION("""COMPUTED_VALUE"""),"Slot")</f>
        <v>Slot</v>
      </c>
      <c r="L679" s="5" t="str">
        <f>IFERROR(__xludf.DUMMYFUNCTION("""COMPUTED_VALUE""")," Clone")</f>
        <v> Clone</v>
      </c>
      <c r="M679" s="5" t="str">
        <f>IFERROR(__xludf.DUMMYFUNCTION("""COMPUTED_VALUE"""),"Wild Lucky Clover")</f>
        <v>Wild Lucky Clover</v>
      </c>
      <c r="N679" s="5"/>
      <c r="O679" s="5"/>
      <c r="P679" s="12"/>
      <c r="Q679" s="13">
        <f>IFERROR(__xludf.DUMMYFUNCTION("""COMPUTED_VALUE"""),46126.0)</f>
        <v>46126</v>
      </c>
      <c r="R679" s="13"/>
      <c r="S679" s="13"/>
      <c r="T679" s="5"/>
      <c r="U679" s="5" t="str">
        <f>IFERROR(__xludf.DUMMYFUNCTION("""COMPUTED_VALUE"""),"5x4")</f>
        <v>5x4</v>
      </c>
      <c r="V679" s="5">
        <f>IFERROR(__xludf.DUMMYFUNCTION("""COMPUTED_VALUE"""),40.0)</f>
        <v>40</v>
      </c>
      <c r="W679" s="5">
        <f>IFERROR(__xludf.DUMMYFUNCTION("""COMPUTED_VALUE"""),40.0)</f>
        <v>40</v>
      </c>
      <c r="X679" s="5">
        <f>IFERROR(__xludf.DUMMYFUNCTION("""COMPUTED_VALUE"""),96.291)</f>
        <v>96.291</v>
      </c>
      <c r="Y679" s="5" t="str">
        <f>IFERROR(__xludf.DUMMYFUNCTION("""COMPUTED_VALUE"""),"Medium")</f>
        <v>Medium</v>
      </c>
      <c r="Z679" s="5">
        <f>IFERROR(__xludf.DUMMYFUNCTION("""COMPUTED_VALUE"""),12.67)</f>
        <v>12.67</v>
      </c>
      <c r="AA679" s="5">
        <f>IFERROR(__xludf.DUMMYFUNCTION("""COMPUTED_VALUE"""),1043.0)</f>
        <v>1043</v>
      </c>
      <c r="AB679" s="5"/>
      <c r="AC679" s="5" t="str">
        <f>IFERROR(__xludf.DUMMYFUNCTION("""COMPUTED_VALUE"""),"Buy Bonus, Bonus Game with Free Spins, Converting Wild, Wild Symbol")</f>
        <v>Buy Bonus, Bonus Game with Free Spins, Converting Wild, Wild Symbol</v>
      </c>
      <c r="AD679" s="5"/>
      <c r="AE679" s="5"/>
      <c r="AF679" s="5"/>
      <c r="AG679" s="8">
        <f>IFERROR(__xludf.DUMMYFUNCTION("""COMPUTED_VALUE"""),46175.425729166665)</f>
        <v>46175.42573</v>
      </c>
      <c r="AH679" s="5" t="str">
        <f>IFERROR(__xludf.DUMMYFUNCTION("""COMPUTED_VALUE"""),"aleksandar.matejic@fazi.rs")</f>
        <v>aleksandar.matejic@fazi.rs</v>
      </c>
      <c r="AI679" s="13">
        <f>IFERROR(__xludf.DUMMYFUNCTION("""COMPUTED_VALUE"""),46142.0)</f>
        <v>46142</v>
      </c>
      <c r="AJ679" s="5" t="str">
        <f>IFERROR(__xludf.DUMMYFUNCTION("""COMPUTED_VALUE"""),"VolcanoBet MNE 01.05.
KoralPlay 01.05.")</f>
        <v>VolcanoBet MNE 01.05.
KoralPlay 01.05.</v>
      </c>
      <c r="AK679" s="5">
        <f>IFERROR(__xludf.DUMMYFUNCTION("""COMPUTED_VALUE"""),40.0)</f>
        <v>40</v>
      </c>
      <c r="AL679" s="5" t="str">
        <f>IFERROR(__xludf.DUMMYFUNCTION("""COMPUTED_VALUE"""),"Yes")</f>
        <v>Yes</v>
      </c>
      <c r="AM679" s="5" t="str">
        <f>IFERROR(__xludf.DUMMYFUNCTION("""COMPUTED_VALUE"""),"No")</f>
        <v>No</v>
      </c>
      <c r="AN679" s="5"/>
      <c r="AO679" s="5" t="str">
        <f>IFERROR(__xludf.DUMMYFUNCTION("""COMPUTED_VALUE"""),"Yes")</f>
        <v>Yes</v>
      </c>
      <c r="AP679" s="5" t="str">
        <f>IFERROR(__xludf.DUMMYFUNCTION("""COMPUTED_VALUE"""),"Yes")</f>
        <v>Yes</v>
      </c>
      <c r="AQ679" s="5"/>
      <c r="AR679" s="5"/>
      <c r="AS679" s="5"/>
      <c r="AT679" s="5"/>
      <c r="AU679" s="5" t="str">
        <f>IFERROR(__xludf.DUMMYFUNCTION("""COMPUTED_VALUE"""),"Fazi")</f>
        <v>Fazi</v>
      </c>
      <c r="AV679" s="5">
        <f>IFERROR(__xludf.DUMMYFUNCTION("""COMPUTED_VALUE"""),4.0)</f>
        <v>4</v>
      </c>
      <c r="AW679" s="5"/>
      <c r="AX679" s="13">
        <f>IFERROR(__xludf.DUMMYFUNCTION("""COMPUTED_VALUE"""),46119.0)</f>
        <v>46119</v>
      </c>
      <c r="AY679" s="5"/>
      <c r="AZ679" s="5"/>
      <c r="BA679" s="5" t="str">
        <f>IFERROR(__xludf.DUMMYFUNCTION("""COMPUTED_VALUE"""),"58, 83, 124")</f>
        <v>58, 83, 124</v>
      </c>
      <c r="BB679" s="5"/>
      <c r="BC679" s="5" t="str">
        <f>IFERROR(__xludf.DUMMYFUNCTION("""COMPUTED_VALUE"""),"Foxi")</f>
        <v>Foxi</v>
      </c>
      <c r="BD679" s="5" t="str">
        <f>IFERROR(__xludf.DUMMYFUNCTION("""COMPUTED_VALUE"""),"")</f>
        <v/>
      </c>
      <c r="BE679" s="5"/>
    </row>
    <row r="680">
      <c r="A680" s="5">
        <f>IFERROR(__xludf.DUMMYFUNCTION("""COMPUTED_VALUE"""),715.0)</f>
        <v>715</v>
      </c>
      <c r="B680" s="5">
        <f>IFERROR(__xludf.DUMMYFUNCTION("""COMPUTED_VALUE"""),4000010.0)</f>
        <v>4000010</v>
      </c>
      <c r="C680" s="5" t="str">
        <f>IFERROR(__xludf.DUMMYFUNCTION("""COMPUTED_VALUE"""),"Tiptop")</f>
        <v>Tiptop</v>
      </c>
      <c r="D680" s="5" t="str">
        <f>IFERROR(__xludf.DUMMYFUNCTION("""COMPUTED_VALUE"""),"Hot Fireballs")</f>
        <v>Hot Fireballs</v>
      </c>
      <c r="E680" s="5" t="str">
        <f>IFERROR(__xludf.DUMMYFUNCTION("""COMPUTED_VALUE"""),"TipTop")</f>
        <v>TipTop</v>
      </c>
      <c r="F680" s="5" t="str">
        <f>IFERROR(__xludf.DUMMYFUNCTION("""COMPUTED_VALUE"""),"UnicornHotFireballs")</f>
        <v>UnicornHotFireballs</v>
      </c>
      <c r="G680" s="5" t="str">
        <f>IFERROR(__xludf.DUMMYFUNCTION("""COMPUTED_VALUE"""),"Live")</f>
        <v>Live</v>
      </c>
      <c r="H680" s="5"/>
      <c r="I680" s="5" t="str">
        <f>IFERROR(__xludf.DUMMYFUNCTION("""COMPUTED_VALUE"""),"TipTop")</f>
        <v>TipTop</v>
      </c>
      <c r="J680" s="5" t="str">
        <f>IFERROR(__xludf.DUMMYFUNCTION("""COMPUTED_VALUE"""),"JSON")</f>
        <v>JSON</v>
      </c>
      <c r="K680" s="5" t="str">
        <f>IFERROR(__xludf.DUMMYFUNCTION("""COMPUTED_VALUE"""),"Slot")</f>
        <v>Slot</v>
      </c>
      <c r="L680" s="5" t="str">
        <f>IFERROR(__xludf.DUMMYFUNCTION("""COMPUTED_VALUE"""),"Master")</f>
        <v>Master</v>
      </c>
      <c r="M680" s="5"/>
      <c r="N680" s="5"/>
      <c r="O680" s="5"/>
      <c r="P680" s="12">
        <f>IFERROR(__xludf.DUMMYFUNCTION("""COMPUTED_VALUE"""),15.92)</f>
        <v>15.92</v>
      </c>
      <c r="Q680" s="13">
        <f>IFERROR(__xludf.DUMMYFUNCTION("""COMPUTED_VALUE"""),46111.0)</f>
        <v>46111</v>
      </c>
      <c r="R680" s="13">
        <f>IFERROR(__xludf.DUMMYFUNCTION("""COMPUTED_VALUE"""),46106.0)</f>
        <v>46106</v>
      </c>
      <c r="S680" s="13">
        <f>IFERROR(__xludf.DUMMYFUNCTION("""COMPUTED_VALUE"""),46113.0)</f>
        <v>46113</v>
      </c>
      <c r="T680" s="5" t="b">
        <f>IFERROR(__xludf.DUMMYFUNCTION("""COMPUTED_VALUE"""),TRUE)</f>
        <v>1</v>
      </c>
      <c r="U680" s="5" t="str">
        <f>IFERROR(__xludf.DUMMYFUNCTION("""COMPUTED_VALUE"""),"5x3")</f>
        <v>5x3</v>
      </c>
      <c r="V680" s="5">
        <f>IFERROR(__xludf.DUMMYFUNCTION("""COMPUTED_VALUE"""),5.0)</f>
        <v>5</v>
      </c>
      <c r="W680" s="5">
        <f>IFERROR(__xludf.DUMMYFUNCTION("""COMPUTED_VALUE"""),5.0)</f>
        <v>5</v>
      </c>
      <c r="X680" s="5">
        <f>IFERROR(__xludf.DUMMYFUNCTION("""COMPUTED_VALUE"""),96.0)</f>
        <v>96</v>
      </c>
      <c r="Y680" s="5" t="str">
        <f>IFERROR(__xludf.DUMMYFUNCTION("""COMPUTED_VALUE"""),"Low")</f>
        <v>Low</v>
      </c>
      <c r="Z680" s="5">
        <f>IFERROR(__xludf.DUMMYFUNCTION("""COMPUTED_VALUE"""),15.33)</f>
        <v>15.33</v>
      </c>
      <c r="AA680" s="5">
        <f>IFERROR(__xludf.DUMMYFUNCTION("""COMPUTED_VALUE"""),1260.0)</f>
        <v>1260</v>
      </c>
      <c r="AB680" s="5"/>
      <c r="AC680" s="5"/>
      <c r="AD680" s="5" t="str">
        <f>IFERROR(__xludf.DUMMYFUNCTION("""COMPUTED_VALUE"""),"0.1/100")</f>
        <v>0.1/100</v>
      </c>
      <c r="AE680" s="5"/>
      <c r="AF680" s="5"/>
      <c r="AG680" s="8">
        <f>IFERROR(__xludf.DUMMYFUNCTION("""COMPUTED_VALUE"""),46197.51267361111)</f>
        <v>46197.51267</v>
      </c>
      <c r="AH680" s="5" t="str">
        <f>IFERROR(__xludf.DUMMYFUNCTION("""COMPUTED_VALUE"""),"selena.mihajlovic@fazi.rs")</f>
        <v>selena.mihajlovic@fazi.rs</v>
      </c>
      <c r="AI680" s="13"/>
      <c r="AJ680" s="5"/>
      <c r="AK680" s="5">
        <f>IFERROR(__xludf.DUMMYFUNCTION("""COMPUTED_VALUE"""),5.0)</f>
        <v>5</v>
      </c>
      <c r="AL680" s="5" t="str">
        <f>IFERROR(__xludf.DUMMYFUNCTION("""COMPUTED_VALUE"""),"No")</f>
        <v>No</v>
      </c>
      <c r="AM680" s="5"/>
      <c r="AN680" s="7" t="str">
        <f>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AO680" s="5"/>
      <c r="AP680" s="5"/>
      <c r="AQ680" s="5" t="b">
        <f>IFERROR(__xludf.DUMMYFUNCTION("""COMPUTED_VALUE"""),TRUE)</f>
        <v>1</v>
      </c>
      <c r="AR680" s="5"/>
      <c r="AS680" s="5" t="str">
        <f>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AT680" s="5"/>
      <c r="AU680" s="5" t="str">
        <f>IFERROR(__xludf.DUMMYFUNCTION("""COMPUTED_VALUE"""),"Tiptop")</f>
        <v>Tiptop</v>
      </c>
      <c r="AV680" s="5">
        <f>IFERROR(__xludf.DUMMYFUNCTION("""COMPUTED_VALUE"""),1.0)</f>
        <v>1</v>
      </c>
      <c r="AW680" s="5"/>
      <c r="AX680" s="13">
        <f>IFERROR(__xludf.DUMMYFUNCTION("""COMPUTED_VALUE"""),46105.0)</f>
        <v>46105</v>
      </c>
      <c r="AY680" s="5"/>
      <c r="AZ680" s="5"/>
      <c r="BA680" s="5"/>
      <c r="BB680" s="5" t="b">
        <f>IFERROR(__xludf.DUMMYFUNCTION("""COMPUTED_VALUE"""),TRUE)</f>
        <v>1</v>
      </c>
      <c r="BC680" s="5" t="str">
        <f>IFERROR(__xludf.DUMMYFUNCTION("""COMPUTED_VALUE"""),"Tiptop")</f>
        <v>Tiptop</v>
      </c>
      <c r="BD680" s="7" t="str">
        <f>IFERROR(__xludf.DUMMYFUNCTION("""COMPUTED_VALUE"""),"https://gameserver-store-client-area.orbionlimited.com/Home/IntegrationGameLaunch/client-area?moneyType=0&amp;gameName=UnicornHotFireballs&amp;platform=desktop&amp;languageCode=eng&amp;currency=EUR")</f>
        <v>https://gameserver-store-client-area.orbionlimited.com/Home/IntegrationGameLaunch/client-area?moneyType=0&amp;gameName=UnicornHotFireballs&amp;platform=desktop&amp;languageCode=eng&amp;currency=EUR</v>
      </c>
      <c r="BE680" s="5" t="b">
        <f>IFERROR(__xludf.DUMMYFUNCTION("""COMPUTED_VALUE"""),TRUE)</f>
        <v>1</v>
      </c>
    </row>
    <row r="681">
      <c r="A681" s="5">
        <f>IFERROR(__xludf.DUMMYFUNCTION("""COMPUTED_VALUE"""),716.0)</f>
        <v>716</v>
      </c>
      <c r="B681" s="5">
        <f>IFERROR(__xludf.DUMMYFUNCTION("""COMPUTED_VALUE"""),4000011.0)</f>
        <v>4000011</v>
      </c>
      <c r="C681" s="5" t="str">
        <f>IFERROR(__xludf.DUMMYFUNCTION("""COMPUTED_VALUE"""),"Tiptop")</f>
        <v>Tiptop</v>
      </c>
      <c r="D681" s="5" t="str">
        <f>IFERROR(__xludf.DUMMYFUNCTION("""COMPUTED_VALUE"""),"Three Reel Dice")</f>
        <v>Three Reel Dice</v>
      </c>
      <c r="E681" s="5" t="str">
        <f>IFERROR(__xludf.DUMMYFUNCTION("""COMPUTED_VALUE"""),"TipTop")</f>
        <v>TipTop</v>
      </c>
      <c r="F681" s="5" t="str">
        <f>IFERROR(__xludf.DUMMYFUNCTION("""COMPUTED_VALUE"""),"UnicornThreeReelDice")</f>
        <v>UnicornThreeReelDice</v>
      </c>
      <c r="G681" s="5" t="str">
        <f>IFERROR(__xludf.DUMMYFUNCTION("""COMPUTED_VALUE"""),"Live")</f>
        <v>Live</v>
      </c>
      <c r="H681" s="5"/>
      <c r="I681" s="5" t="str">
        <f>IFERROR(__xludf.DUMMYFUNCTION("""COMPUTED_VALUE"""),"TipTop")</f>
        <v>TipTop</v>
      </c>
      <c r="J681" s="5" t="str">
        <f>IFERROR(__xludf.DUMMYFUNCTION("""COMPUTED_VALUE"""),"JSON")</f>
        <v>JSON</v>
      </c>
      <c r="K681" s="5" t="str">
        <f>IFERROR(__xludf.DUMMYFUNCTION("""COMPUTED_VALUE"""),"Dice Slots")</f>
        <v>Dice Slots</v>
      </c>
      <c r="L681" s="5" t="str">
        <f>IFERROR(__xludf.DUMMYFUNCTION("""COMPUTED_VALUE""")," Clone")</f>
        <v> Clone</v>
      </c>
      <c r="M681" s="5" t="str">
        <f>IFERROR(__xludf.DUMMYFUNCTION("""COMPUTED_VALUE"""),"Three Reel Sevens")</f>
        <v>Three Reel Sevens</v>
      </c>
      <c r="N681" s="5"/>
      <c r="O681" s="5"/>
      <c r="P681" s="12">
        <f>IFERROR(__xludf.DUMMYFUNCTION("""COMPUTED_VALUE"""),10.4)</f>
        <v>10.4</v>
      </c>
      <c r="Q681" s="13">
        <f>IFERROR(__xludf.DUMMYFUNCTION("""COMPUTED_VALUE"""),46126.0)</f>
        <v>46126</v>
      </c>
      <c r="R681" s="13">
        <f>IFERROR(__xludf.DUMMYFUNCTION("""COMPUTED_VALUE"""),46120.0)</f>
        <v>46120</v>
      </c>
      <c r="S681" s="13">
        <f>IFERROR(__xludf.DUMMYFUNCTION("""COMPUTED_VALUE"""),46127.0)</f>
        <v>46127</v>
      </c>
      <c r="T681" s="5" t="b">
        <f>IFERROR(__xludf.DUMMYFUNCTION("""COMPUTED_VALUE"""),TRUE)</f>
        <v>1</v>
      </c>
      <c r="U681" s="5" t="str">
        <f>IFERROR(__xludf.DUMMYFUNCTION("""COMPUTED_VALUE"""),"3x3")</f>
        <v>3x3</v>
      </c>
      <c r="V681" s="5">
        <f>IFERROR(__xludf.DUMMYFUNCTION("""COMPUTED_VALUE"""),5.0)</f>
        <v>5</v>
      </c>
      <c r="W681" s="5">
        <f>IFERROR(__xludf.DUMMYFUNCTION("""COMPUTED_VALUE"""),5.0)</f>
        <v>5</v>
      </c>
      <c r="X681" s="5">
        <f>IFERROR(__xludf.DUMMYFUNCTION("""COMPUTED_VALUE"""),96.0)</f>
        <v>96</v>
      </c>
      <c r="Y681" s="5" t="str">
        <f>IFERROR(__xludf.DUMMYFUNCTION("""COMPUTED_VALUE"""),"Low")</f>
        <v>Low</v>
      </c>
      <c r="Z681" s="5">
        <f>IFERROR(__xludf.DUMMYFUNCTION("""COMPUTED_VALUE"""),12.6)</f>
        <v>12.6</v>
      </c>
      <c r="AA681" s="5">
        <f>IFERROR(__xludf.DUMMYFUNCTION("""COMPUTED_VALUE"""),1000.0)</f>
        <v>1000</v>
      </c>
      <c r="AB681" s="5"/>
      <c r="AC681" s="5"/>
      <c r="AD681" s="5" t="str">
        <f>IFERROR(__xludf.DUMMYFUNCTION("""COMPUTED_VALUE"""),"0.05/100")</f>
        <v>0.05/100</v>
      </c>
      <c r="AE681" s="5"/>
      <c r="AF681" s="5"/>
      <c r="AG681" s="8">
        <f>IFERROR(__xludf.DUMMYFUNCTION("""COMPUTED_VALUE"""),46197.5128125)</f>
        <v>46197.51281</v>
      </c>
      <c r="AH681" s="5" t="str">
        <f>IFERROR(__xludf.DUMMYFUNCTION("""COMPUTED_VALUE"""),"selena.mihajlovic@fazi.rs")</f>
        <v>selena.mihajlovic@fazi.rs</v>
      </c>
      <c r="AI681" s="13"/>
      <c r="AJ681" s="5"/>
      <c r="AK681" s="5">
        <f>IFERROR(__xludf.DUMMYFUNCTION("""COMPUTED_VALUE"""),5.0)</f>
        <v>5</v>
      </c>
      <c r="AL681" s="5" t="str">
        <f>IFERROR(__xludf.DUMMYFUNCTION("""COMPUTED_VALUE"""),"No")</f>
        <v>No</v>
      </c>
      <c r="AM681" s="5"/>
      <c r="AN681" s="7" t="str">
        <f>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AO681" s="5"/>
      <c r="AP681" s="5"/>
      <c r="AQ681" s="5" t="b">
        <f>IFERROR(__xludf.DUMMYFUNCTION("""COMPUTED_VALUE"""),TRUE)</f>
        <v>1</v>
      </c>
      <c r="AR681" s="5"/>
      <c r="AS681" s="5" t="str">
        <f>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AT681" s="5"/>
      <c r="AU681" s="5" t="str">
        <f>IFERROR(__xludf.DUMMYFUNCTION("""COMPUTED_VALUE"""),"Tiptop")</f>
        <v>Tiptop</v>
      </c>
      <c r="AV681" s="5"/>
      <c r="AW681" s="5"/>
      <c r="AX681" s="13">
        <f>IFERROR(__xludf.DUMMYFUNCTION("""COMPUTED_VALUE"""),46119.0)</f>
        <v>46119</v>
      </c>
      <c r="AY681" s="5"/>
      <c r="AZ681" s="5"/>
      <c r="BA681" s="5"/>
      <c r="BB681" s="5" t="b">
        <f>IFERROR(__xludf.DUMMYFUNCTION("""COMPUTED_VALUE"""),TRUE)</f>
        <v>1</v>
      </c>
      <c r="BC681" s="5" t="str">
        <f>IFERROR(__xludf.DUMMYFUNCTION("""COMPUTED_VALUE"""),"Tiptop")</f>
        <v>Tiptop</v>
      </c>
      <c r="BD681" s="7" t="str">
        <f>IFERROR(__xludf.DUMMYFUNCTION("""COMPUTED_VALUE"""),"https://gameserver-store-client-area.orbionlimited.com/Home/IntegrationGameLaunch/client-area?moneyType=0&amp;gameName=UnicornThreeReelDice&amp;platform=desktop&amp;languageCode=eng&amp;currency=EUR")</f>
        <v>https://gameserver-store-client-area.orbionlimited.com/Home/IntegrationGameLaunch/client-area?moneyType=0&amp;gameName=UnicornThreeReelDice&amp;platform=desktop&amp;languageCode=eng&amp;currency=EUR</v>
      </c>
      <c r="BE681" s="5" t="b">
        <f>IFERROR(__xludf.DUMMYFUNCTION("""COMPUTED_VALUE"""),TRUE)</f>
        <v>1</v>
      </c>
    </row>
    <row r="682">
      <c r="A682" s="5">
        <f>IFERROR(__xludf.DUMMYFUNCTION("""COMPUTED_VALUE"""),717.0)</f>
        <v>717</v>
      </c>
      <c r="B682" s="5">
        <f>IFERROR(__xludf.DUMMYFUNCTION("""COMPUTED_VALUE"""),4000012.0)</f>
        <v>4000012</v>
      </c>
      <c r="C682" s="5" t="str">
        <f>IFERROR(__xludf.DUMMYFUNCTION("""COMPUTED_VALUE"""),"Tiptop")</f>
        <v>Tiptop</v>
      </c>
      <c r="D682" s="5" t="str">
        <f>IFERROR(__xludf.DUMMYFUNCTION("""COMPUTED_VALUE"""),"Tropical Treasure")</f>
        <v>Tropical Treasure</v>
      </c>
      <c r="E682" s="5" t="str">
        <f>IFERROR(__xludf.DUMMYFUNCTION("""COMPUTED_VALUE"""),"TipTop")</f>
        <v>TipTop</v>
      </c>
      <c r="F682" s="5" t="str">
        <f>IFERROR(__xludf.DUMMYFUNCTION("""COMPUTED_VALUE"""),"UnicornTropicalTreasure")</f>
        <v>UnicornTropicalTreasure</v>
      </c>
      <c r="G682" s="5" t="str">
        <f>IFERROR(__xludf.DUMMYFUNCTION("""COMPUTED_VALUE"""),"Live")</f>
        <v>Live</v>
      </c>
      <c r="H682" s="5"/>
      <c r="I682" s="5" t="str">
        <f>IFERROR(__xludf.DUMMYFUNCTION("""COMPUTED_VALUE"""),"TipTop")</f>
        <v>TipTop</v>
      </c>
      <c r="J682" s="5" t="str">
        <f>IFERROR(__xludf.DUMMYFUNCTION("""COMPUTED_VALUE"""),"JSON")</f>
        <v>JSON</v>
      </c>
      <c r="K682" s="5" t="str">
        <f>IFERROR(__xludf.DUMMYFUNCTION("""COMPUTED_VALUE"""),"Slot")</f>
        <v>Slot</v>
      </c>
      <c r="L682" s="5" t="str">
        <f>IFERROR(__xludf.DUMMYFUNCTION("""COMPUTED_VALUE"""),"Master")</f>
        <v>Master</v>
      </c>
      <c r="M682" s="5"/>
      <c r="N682" s="5"/>
      <c r="O682" s="5"/>
      <c r="P682" s="12">
        <f>IFERROR(__xludf.DUMMYFUNCTION("""COMPUTED_VALUE"""),10.91)</f>
        <v>10.91</v>
      </c>
      <c r="Q682" s="13">
        <f>IFERROR(__xludf.DUMMYFUNCTION("""COMPUTED_VALUE"""),46126.0)</f>
        <v>46126</v>
      </c>
      <c r="R682" s="13">
        <f>IFERROR(__xludf.DUMMYFUNCTION("""COMPUTED_VALUE"""),46127.0)</f>
        <v>46127</v>
      </c>
      <c r="S682" s="13">
        <f>IFERROR(__xludf.DUMMYFUNCTION("""COMPUTED_VALUE"""),46134.0)</f>
        <v>46134</v>
      </c>
      <c r="T682" s="5" t="b">
        <f>IFERROR(__xludf.DUMMYFUNCTION("""COMPUTED_VALUE"""),TRUE)</f>
        <v>1</v>
      </c>
      <c r="U682" s="5" t="str">
        <f>IFERROR(__xludf.DUMMYFUNCTION("""COMPUTED_VALUE"""),"5x3")</f>
        <v>5x3</v>
      </c>
      <c r="V682" s="5">
        <f>IFERROR(__xludf.DUMMYFUNCTION("""COMPUTED_VALUE"""),5.0)</f>
        <v>5</v>
      </c>
      <c r="W682" s="5">
        <f>IFERROR(__xludf.DUMMYFUNCTION("""COMPUTED_VALUE"""),5.0)</f>
        <v>5</v>
      </c>
      <c r="X682" s="5">
        <f>IFERROR(__xludf.DUMMYFUNCTION("""COMPUTED_VALUE"""),96.0)</f>
        <v>96</v>
      </c>
      <c r="Y682" s="5" t="str">
        <f>IFERROR(__xludf.DUMMYFUNCTION("""COMPUTED_VALUE"""),"Low")</f>
        <v>Low</v>
      </c>
      <c r="Z682" s="5">
        <f>IFERROR(__xludf.DUMMYFUNCTION("""COMPUTED_VALUE"""),11.15)</f>
        <v>11.15</v>
      </c>
      <c r="AA682" s="5">
        <f>IFERROR(__xludf.DUMMYFUNCTION("""COMPUTED_VALUE"""),1400.0)</f>
        <v>1400</v>
      </c>
      <c r="AB682" s="5"/>
      <c r="AC682" s="5"/>
      <c r="AD682" s="5" t="str">
        <f>IFERROR(__xludf.DUMMYFUNCTION("""COMPUTED_VALUE"""),"0.05/100")</f>
        <v>0.05/100</v>
      </c>
      <c r="AE682" s="5"/>
      <c r="AF682" s="5"/>
      <c r="AG682" s="8">
        <f>IFERROR(__xludf.DUMMYFUNCTION("""COMPUTED_VALUE"""),46197.513020833336)</f>
        <v>46197.51302</v>
      </c>
      <c r="AH682" s="5" t="str">
        <f>IFERROR(__xludf.DUMMYFUNCTION("""COMPUTED_VALUE"""),"selena.mihajlovic@fazi.rs")</f>
        <v>selena.mihajlovic@fazi.rs</v>
      </c>
      <c r="AI682" s="13"/>
      <c r="AJ682" s="5"/>
      <c r="AK682" s="5">
        <f>IFERROR(__xludf.DUMMYFUNCTION("""COMPUTED_VALUE"""),5.0)</f>
        <v>5</v>
      </c>
      <c r="AL682" s="5" t="str">
        <f>IFERROR(__xludf.DUMMYFUNCTION("""COMPUTED_VALUE"""),"No")</f>
        <v>No</v>
      </c>
      <c r="AM682" s="5"/>
      <c r="AN682" s="7" t="str">
        <f>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AO682" s="5"/>
      <c r="AP682" s="5"/>
      <c r="AQ682" s="5" t="b">
        <f>IFERROR(__xludf.DUMMYFUNCTION("""COMPUTED_VALUE"""),TRUE)</f>
        <v>1</v>
      </c>
      <c r="AR682" s="5"/>
      <c r="AS682" s="5" t="str">
        <f>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AT682" s="5"/>
      <c r="AU682" s="5" t="str">
        <f>IFERROR(__xludf.DUMMYFUNCTION("""COMPUTED_VALUE"""),"Tiptop")</f>
        <v>Tiptop</v>
      </c>
      <c r="AV682" s="5"/>
      <c r="AW682" s="5"/>
      <c r="AX682" s="13">
        <f>IFERROR(__xludf.DUMMYFUNCTION("""COMPUTED_VALUE"""),46119.0)</f>
        <v>46119</v>
      </c>
      <c r="AY682" s="5"/>
      <c r="AZ682" s="5"/>
      <c r="BA682" s="5"/>
      <c r="BB682" s="5" t="b">
        <f>IFERROR(__xludf.DUMMYFUNCTION("""COMPUTED_VALUE"""),TRUE)</f>
        <v>1</v>
      </c>
      <c r="BC682" s="5" t="str">
        <f>IFERROR(__xludf.DUMMYFUNCTION("""COMPUTED_VALUE"""),"Tiptop")</f>
        <v>Tiptop</v>
      </c>
      <c r="BD682" s="7" t="str">
        <f>IFERROR(__xludf.DUMMYFUNCTION("""COMPUTED_VALUE"""),"https://gameserver-store-client-area.orbionlimited.com/Home/IntegrationGameLaunch/client-area?moneyType=0&amp;gameName=UnicornTropicalTreasure&amp;platform=desktop&amp;languageCode=eng&amp;currency=EUR")</f>
        <v>https://gameserver-store-client-area.orbionlimited.com/Home/IntegrationGameLaunch/client-area?moneyType=0&amp;gameName=UnicornTropicalTreasure&amp;platform=desktop&amp;languageCode=eng&amp;currency=EUR</v>
      </c>
      <c r="BE682" s="5" t="b">
        <f>IFERROR(__xludf.DUMMYFUNCTION("""COMPUTED_VALUE"""),TRUE)</f>
        <v>1</v>
      </c>
    </row>
    <row r="683">
      <c r="A683" s="5">
        <f>IFERROR(__xludf.DUMMYFUNCTION("""COMPUTED_VALUE"""),718.0)</f>
        <v>718</v>
      </c>
      <c r="B683" s="5">
        <f>IFERROR(__xludf.DUMMYFUNCTION("""COMPUTED_VALUE"""),4000013.0)</f>
        <v>4000013</v>
      </c>
      <c r="C683" s="5" t="str">
        <f>IFERROR(__xludf.DUMMYFUNCTION("""COMPUTED_VALUE"""),"Tiptop")</f>
        <v>Tiptop</v>
      </c>
      <c r="D683" s="5" t="str">
        <f>IFERROR(__xludf.DUMMYFUNCTION("""COMPUTED_VALUE"""),"Golden Gate Fruit")</f>
        <v>Golden Gate Fruit</v>
      </c>
      <c r="E683" s="5" t="str">
        <f>IFERROR(__xludf.DUMMYFUNCTION("""COMPUTED_VALUE"""),"TipTop")</f>
        <v>TipTop</v>
      </c>
      <c r="F683" s="5" t="str">
        <f>IFERROR(__xludf.DUMMYFUNCTION("""COMPUTED_VALUE"""),"UnicornGoldenGateFruit")</f>
        <v>UnicornGoldenGateFruit</v>
      </c>
      <c r="G683" s="5" t="str">
        <f>IFERROR(__xludf.DUMMYFUNCTION("""COMPUTED_VALUE"""),"Live")</f>
        <v>Live</v>
      </c>
      <c r="H683" s="5"/>
      <c r="I683" s="5" t="str">
        <f>IFERROR(__xludf.DUMMYFUNCTION("""COMPUTED_VALUE"""),"TipTop")</f>
        <v>TipTop</v>
      </c>
      <c r="J683" s="5" t="str">
        <f>IFERROR(__xludf.DUMMYFUNCTION("""COMPUTED_VALUE"""),"JSON")</f>
        <v>JSON</v>
      </c>
      <c r="K683" s="5" t="str">
        <f>IFERROR(__xludf.DUMMYFUNCTION("""COMPUTED_VALUE"""),"Slot")</f>
        <v>Slot</v>
      </c>
      <c r="L683" s="5" t="str">
        <f>IFERROR(__xludf.DUMMYFUNCTION("""COMPUTED_VALUE"""),"Master")</f>
        <v>Master</v>
      </c>
      <c r="M683" s="5"/>
      <c r="N683" s="5"/>
      <c r="O683" s="5"/>
      <c r="P683" s="12">
        <f>IFERROR(__xludf.DUMMYFUNCTION("""COMPUTED_VALUE"""),12.24)</f>
        <v>12.24</v>
      </c>
      <c r="Q683" s="13">
        <f>IFERROR(__xludf.DUMMYFUNCTION("""COMPUTED_VALUE"""),46139.0)</f>
        <v>46139</v>
      </c>
      <c r="R683" s="13">
        <f>IFERROR(__xludf.DUMMYFUNCTION("""COMPUTED_VALUE"""),46134.0)</f>
        <v>46134</v>
      </c>
      <c r="S683" s="13">
        <f>IFERROR(__xludf.DUMMYFUNCTION("""COMPUTED_VALUE"""),46141.0)</f>
        <v>46141</v>
      </c>
      <c r="T683" s="5" t="b">
        <f>IFERROR(__xludf.DUMMYFUNCTION("""COMPUTED_VALUE"""),TRUE)</f>
        <v>1</v>
      </c>
      <c r="U683" s="5" t="str">
        <f>IFERROR(__xludf.DUMMYFUNCTION("""COMPUTED_VALUE"""),"5x3")</f>
        <v>5x3</v>
      </c>
      <c r="V683" s="5">
        <f>IFERROR(__xludf.DUMMYFUNCTION("""COMPUTED_VALUE"""),5.0)</f>
        <v>5</v>
      </c>
      <c r="W683" s="5">
        <f>IFERROR(__xludf.DUMMYFUNCTION("""COMPUTED_VALUE"""),5.0)</f>
        <v>5</v>
      </c>
      <c r="X683" s="5">
        <f>IFERROR(__xludf.DUMMYFUNCTION("""COMPUTED_VALUE"""),96.0)</f>
        <v>96</v>
      </c>
      <c r="Y683" s="5" t="str">
        <f>IFERROR(__xludf.DUMMYFUNCTION("""COMPUTED_VALUE"""),"Low")</f>
        <v>Low</v>
      </c>
      <c r="Z683" s="5">
        <f>IFERROR(__xludf.DUMMYFUNCTION("""COMPUTED_VALUE"""),16.38)</f>
        <v>16.38</v>
      </c>
      <c r="AA683" s="5">
        <f>IFERROR(__xludf.DUMMYFUNCTION("""COMPUTED_VALUE"""),10000.0)</f>
        <v>10000</v>
      </c>
      <c r="AB683" s="5"/>
      <c r="AC683" s="5"/>
      <c r="AD683" s="5" t="str">
        <f>IFERROR(__xludf.DUMMYFUNCTION("""COMPUTED_VALUE"""),"0.05/100")</f>
        <v>0.05/100</v>
      </c>
      <c r="AE683" s="5"/>
      <c r="AF683" s="5"/>
      <c r="AG683" s="8">
        <f>IFERROR(__xludf.DUMMYFUNCTION("""COMPUTED_VALUE"""),46197.5131712963)</f>
        <v>46197.51317</v>
      </c>
      <c r="AH683" s="5" t="str">
        <f>IFERROR(__xludf.DUMMYFUNCTION("""COMPUTED_VALUE"""),"selena.mihajlovic@fazi.rs")</f>
        <v>selena.mihajlovic@fazi.rs</v>
      </c>
      <c r="AI683" s="13"/>
      <c r="AJ683" s="5"/>
      <c r="AK683" s="5">
        <f>IFERROR(__xludf.DUMMYFUNCTION("""COMPUTED_VALUE"""),5.0)</f>
        <v>5</v>
      </c>
      <c r="AL683" s="5" t="str">
        <f>IFERROR(__xludf.DUMMYFUNCTION("""COMPUTED_VALUE"""),"No")</f>
        <v>No</v>
      </c>
      <c r="AM683" s="5"/>
      <c r="AN683" s="7" t="str">
        <f>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AO683" s="5"/>
      <c r="AP683" s="5"/>
      <c r="AQ683" s="5" t="b">
        <f>IFERROR(__xludf.DUMMYFUNCTION("""COMPUTED_VALUE"""),TRUE)</f>
        <v>1</v>
      </c>
      <c r="AR683" s="5"/>
      <c r="AS683" s="5" t="str">
        <f>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AT683" s="5"/>
      <c r="AU683" s="5" t="str">
        <f>IFERROR(__xludf.DUMMYFUNCTION("""COMPUTED_VALUE"""),"Tiptop")</f>
        <v>Tiptop</v>
      </c>
      <c r="AV683" s="5"/>
      <c r="AW683" s="5"/>
      <c r="AX683" s="13">
        <f>IFERROR(__xludf.DUMMYFUNCTION("""COMPUTED_VALUE"""),46133.0)</f>
        <v>46133</v>
      </c>
      <c r="AY683" s="5"/>
      <c r="AZ683" s="5"/>
      <c r="BA683" s="5"/>
      <c r="BB683" s="5" t="b">
        <f>IFERROR(__xludf.DUMMYFUNCTION("""COMPUTED_VALUE"""),TRUE)</f>
        <v>1</v>
      </c>
      <c r="BC683" s="5" t="str">
        <f>IFERROR(__xludf.DUMMYFUNCTION("""COMPUTED_VALUE"""),"Tiptop")</f>
        <v>Tiptop</v>
      </c>
      <c r="BD683" s="7" t="str">
        <f>IFERROR(__xludf.DUMMYFUNCTION("""COMPUTED_VALUE"""),"https://gameserver-store-client-area.orbionlimited.com/Home/IntegrationGameLaunch/client-area?moneyType=0&amp;gameName=UnicornGoldenGateFruit&amp;platform=desktop&amp;languageCode=eng&amp;currency=EUR")</f>
        <v>https://gameserver-store-client-area.orbionlimited.com/Home/IntegrationGameLaunch/client-area?moneyType=0&amp;gameName=UnicornGoldenGateFruit&amp;platform=desktop&amp;languageCode=eng&amp;currency=EUR</v>
      </c>
      <c r="BE683" s="5" t="b">
        <f>IFERROR(__xludf.DUMMYFUNCTION("""COMPUTED_VALUE"""),TRUE)</f>
        <v>1</v>
      </c>
    </row>
    <row r="684">
      <c r="A684" s="5">
        <f>IFERROR(__xludf.DUMMYFUNCTION("""COMPUTED_VALUE"""),719.0)</f>
        <v>719</v>
      </c>
      <c r="B684" s="5">
        <f>IFERROR(__xludf.DUMMYFUNCTION("""COMPUTED_VALUE"""),4000014.0)</f>
        <v>4000014</v>
      </c>
      <c r="C684" s="5" t="str">
        <f>IFERROR(__xludf.DUMMYFUNCTION("""COMPUTED_VALUE"""),"Tiptop")</f>
        <v>Tiptop</v>
      </c>
      <c r="D684" s="5" t="str">
        <f>IFERROR(__xludf.DUMMYFUNCTION("""COMPUTED_VALUE"""),"Money Standard Jackpot")</f>
        <v>Money Standard Jackpot</v>
      </c>
      <c r="E684" s="5" t="str">
        <f>IFERROR(__xludf.DUMMYFUNCTION("""COMPUTED_VALUE"""),"TipTop")</f>
        <v>TipTop</v>
      </c>
      <c r="F684" s="5" t="str">
        <f>IFERROR(__xludf.DUMMYFUNCTION("""COMPUTED_VALUE"""),"UnicornMoneyStandardJackpot")</f>
        <v>UnicornMoneyStandardJackpot</v>
      </c>
      <c r="G684" s="5" t="str">
        <f>IFERROR(__xludf.DUMMYFUNCTION("""COMPUTED_VALUE"""),"Live")</f>
        <v>Live</v>
      </c>
      <c r="H684" s="5"/>
      <c r="I684" s="5" t="str">
        <f>IFERROR(__xludf.DUMMYFUNCTION("""COMPUTED_VALUE"""),"TipTop")</f>
        <v>TipTop</v>
      </c>
      <c r="J684" s="5" t="str">
        <f>IFERROR(__xludf.DUMMYFUNCTION("""COMPUTED_VALUE"""),"JSON")</f>
        <v>JSON</v>
      </c>
      <c r="K684" s="5" t="str">
        <f>IFERROR(__xludf.DUMMYFUNCTION("""COMPUTED_VALUE"""),"Slot")</f>
        <v>Slot</v>
      </c>
      <c r="L684" s="5" t="str">
        <f>IFERROR(__xludf.DUMMYFUNCTION("""COMPUTED_VALUE"""),"Master")</f>
        <v>Master</v>
      </c>
      <c r="M684" s="5"/>
      <c r="N684" s="5"/>
      <c r="O684" s="5"/>
      <c r="P684" s="12">
        <f>IFERROR(__xludf.DUMMYFUNCTION("""COMPUTED_VALUE"""),11.3)</f>
        <v>11.3</v>
      </c>
      <c r="Q684" s="13">
        <f>IFERROR(__xludf.DUMMYFUNCTION("""COMPUTED_VALUE"""),46139.0)</f>
        <v>46139</v>
      </c>
      <c r="R684" s="13">
        <f>IFERROR(__xludf.DUMMYFUNCTION("""COMPUTED_VALUE"""),46141.0)</f>
        <v>46141</v>
      </c>
      <c r="S684" s="13">
        <f>IFERROR(__xludf.DUMMYFUNCTION("""COMPUTED_VALUE"""),46148.0)</f>
        <v>46148</v>
      </c>
      <c r="T684" s="5" t="b">
        <f>IFERROR(__xludf.DUMMYFUNCTION("""COMPUTED_VALUE"""),TRUE)</f>
        <v>1</v>
      </c>
      <c r="U684" s="5" t="str">
        <f>IFERROR(__xludf.DUMMYFUNCTION("""COMPUTED_VALUE"""),"5x4")</f>
        <v>5x4</v>
      </c>
      <c r="V684" s="5">
        <f>IFERROR(__xludf.DUMMYFUNCTION("""COMPUTED_VALUE"""),20.0)</f>
        <v>20</v>
      </c>
      <c r="W684" s="5">
        <f>IFERROR(__xludf.DUMMYFUNCTION("""COMPUTED_VALUE"""),20.0)</f>
        <v>20</v>
      </c>
      <c r="X684" s="5">
        <f>IFERROR(__xludf.DUMMYFUNCTION("""COMPUTED_VALUE"""),96.0)</f>
        <v>96</v>
      </c>
      <c r="Y684" s="5" t="str">
        <f>IFERROR(__xludf.DUMMYFUNCTION("""COMPUTED_VALUE"""),"Low")</f>
        <v>Low</v>
      </c>
      <c r="Z684" s="5">
        <f>IFERROR(__xludf.DUMMYFUNCTION("""COMPUTED_VALUE"""),11.93)</f>
        <v>11.93</v>
      </c>
      <c r="AA684" s="5">
        <f>IFERROR(__xludf.DUMMYFUNCTION("""COMPUTED_VALUE"""),10000.0)</f>
        <v>10000</v>
      </c>
      <c r="AB684" s="5"/>
      <c r="AC684" s="5"/>
      <c r="AD684" s="5" t="str">
        <f>IFERROR(__xludf.DUMMYFUNCTION("""COMPUTED_VALUE"""),"0.05/100")</f>
        <v>0.05/100</v>
      </c>
      <c r="AE684" s="5"/>
      <c r="AF684" s="5"/>
      <c r="AG684" s="8">
        <f>IFERROR(__xludf.DUMMYFUNCTION("""COMPUTED_VALUE"""),46197.51329861111)</f>
        <v>46197.5133</v>
      </c>
      <c r="AH684" s="5" t="str">
        <f>IFERROR(__xludf.DUMMYFUNCTION("""COMPUTED_VALUE"""),"selena.mihajlovic@fazi.rs")</f>
        <v>selena.mihajlovic@fazi.rs</v>
      </c>
      <c r="AI684" s="13"/>
      <c r="AJ684" s="5"/>
      <c r="AK684" s="5">
        <f>IFERROR(__xludf.DUMMYFUNCTION("""COMPUTED_VALUE"""),20.0)</f>
        <v>20</v>
      </c>
      <c r="AL684" s="5" t="str">
        <f>IFERROR(__xludf.DUMMYFUNCTION("""COMPUTED_VALUE"""),"No")</f>
        <v>No</v>
      </c>
      <c r="AM684" s="5"/>
      <c r="AN684" s="7" t="str">
        <f>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AO684" s="5"/>
      <c r="AP684" s="5"/>
      <c r="AQ684" s="5" t="b">
        <f>IFERROR(__xludf.DUMMYFUNCTION("""COMPUTED_VALUE"""),TRUE)</f>
        <v>1</v>
      </c>
      <c r="AR684" s="5"/>
      <c r="AS684" s="5" t="str">
        <f>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AT684" s="5"/>
      <c r="AU684" s="5" t="str">
        <f>IFERROR(__xludf.DUMMYFUNCTION("""COMPUTED_VALUE"""),"Tiptop")</f>
        <v>Tiptop</v>
      </c>
      <c r="AV684" s="5"/>
      <c r="AW684" s="5"/>
      <c r="AX684" s="13">
        <f>IFERROR(__xludf.DUMMYFUNCTION("""COMPUTED_VALUE"""),46133.0)</f>
        <v>46133</v>
      </c>
      <c r="AY684" s="5"/>
      <c r="AZ684" s="5"/>
      <c r="BA684" s="5"/>
      <c r="BB684" s="5" t="b">
        <f>IFERROR(__xludf.DUMMYFUNCTION("""COMPUTED_VALUE"""),TRUE)</f>
        <v>1</v>
      </c>
      <c r="BC684" s="5" t="str">
        <f>IFERROR(__xludf.DUMMYFUNCTION("""COMPUTED_VALUE"""),"Tiptop")</f>
        <v>Tiptop</v>
      </c>
      <c r="BD684" s="7" t="str">
        <f>IFERROR(__xludf.DUMMYFUNCTION("""COMPUTED_VALUE"""),"https://gameserver-store-client-area.orbionlimited.com/Home/IntegrationGameLaunch/client-area?moneyType=0&amp;gameName=UnicornMoneyStandardJackpot&amp;platform=desktop&amp;languageCode=eng&amp;currency=EUR")</f>
        <v>https://gameserver-store-client-area.orbionlimited.com/Home/IntegrationGameLaunch/client-area?moneyType=0&amp;gameName=UnicornMoneyStandardJackpot&amp;platform=desktop&amp;languageCode=eng&amp;currency=EUR</v>
      </c>
      <c r="BE684" s="5" t="b">
        <f>IFERROR(__xludf.DUMMYFUNCTION("""COMPUTED_VALUE"""),TRUE)</f>
        <v>1</v>
      </c>
    </row>
    <row r="685">
      <c r="A685" s="5">
        <f>IFERROR(__xludf.DUMMYFUNCTION("""COMPUTED_VALUE"""),720.0)</f>
        <v>720</v>
      </c>
      <c r="B685" s="5">
        <f>IFERROR(__xludf.DUMMYFUNCTION("""COMPUTED_VALUE"""),4000015.0)</f>
        <v>4000015</v>
      </c>
      <c r="C685" s="5" t="str">
        <f>IFERROR(__xludf.DUMMYFUNCTION("""COMPUTED_VALUE"""),"Tiptop")</f>
        <v>Tiptop</v>
      </c>
      <c r="D685" s="5" t="str">
        <f>IFERROR(__xludf.DUMMYFUNCTION("""COMPUTED_VALUE"""),"Shiny Fireballs")</f>
        <v>Shiny Fireballs</v>
      </c>
      <c r="E685" s="5" t="str">
        <f>IFERROR(__xludf.DUMMYFUNCTION("""COMPUTED_VALUE"""),"TipTop")</f>
        <v>TipTop</v>
      </c>
      <c r="F685" s="5" t="str">
        <f>IFERROR(__xludf.DUMMYFUNCTION("""COMPUTED_VALUE"""),"UnicornShinyFireballs")</f>
        <v>UnicornShinyFireballs</v>
      </c>
      <c r="G685" s="5" t="str">
        <f>IFERROR(__xludf.DUMMYFUNCTION("""COMPUTED_VALUE"""),"Live")</f>
        <v>Live</v>
      </c>
      <c r="H685" s="5"/>
      <c r="I685" s="5" t="str">
        <f>IFERROR(__xludf.DUMMYFUNCTION("""COMPUTED_VALUE"""),"TipTop")</f>
        <v>TipTop</v>
      </c>
      <c r="J685" s="5" t="str">
        <f>IFERROR(__xludf.DUMMYFUNCTION("""COMPUTED_VALUE"""),"JSON")</f>
        <v>JSON</v>
      </c>
      <c r="K685" s="5" t="str">
        <f>IFERROR(__xludf.DUMMYFUNCTION("""COMPUTED_VALUE"""),"Slot")</f>
        <v>Slot</v>
      </c>
      <c r="L685" s="5" t="str">
        <f>IFERROR(__xludf.DUMMYFUNCTION("""COMPUTED_VALUE"""),"Master")</f>
        <v>Master</v>
      </c>
      <c r="M685" s="5"/>
      <c r="N685" s="5"/>
      <c r="O685" s="5"/>
      <c r="P685" s="12">
        <f>IFERROR(__xludf.DUMMYFUNCTION("""COMPUTED_VALUE"""),16.19)</f>
        <v>16.19</v>
      </c>
      <c r="Q685" s="13">
        <f>IFERROR(__xludf.DUMMYFUNCTION("""COMPUTED_VALUE"""),46153.0)</f>
        <v>46153</v>
      </c>
      <c r="R685" s="13">
        <f>IFERROR(__xludf.DUMMYFUNCTION("""COMPUTED_VALUE"""),46148.0)</f>
        <v>46148</v>
      </c>
      <c r="S685" s="13">
        <f>IFERROR(__xludf.DUMMYFUNCTION("""COMPUTED_VALUE"""),46155.0)</f>
        <v>46155</v>
      </c>
      <c r="T685" s="5" t="b">
        <f>IFERROR(__xludf.DUMMYFUNCTION("""COMPUTED_VALUE"""),TRUE)</f>
        <v>1</v>
      </c>
      <c r="U685" s="5" t="str">
        <f>IFERROR(__xludf.DUMMYFUNCTION("""COMPUTED_VALUE"""),"5x3")</f>
        <v>5x3</v>
      </c>
      <c r="V685" s="5">
        <f>IFERROR(__xludf.DUMMYFUNCTION("""COMPUTED_VALUE"""),10.0)</f>
        <v>10</v>
      </c>
      <c r="W685" s="5">
        <f>IFERROR(__xludf.DUMMYFUNCTION("""COMPUTED_VALUE"""),10.0)</f>
        <v>10</v>
      </c>
      <c r="X685" s="5">
        <f>IFERROR(__xludf.DUMMYFUNCTION("""COMPUTED_VALUE"""),96.0)</f>
        <v>96</v>
      </c>
      <c r="Y685" s="5" t="str">
        <f>IFERROR(__xludf.DUMMYFUNCTION("""COMPUTED_VALUE"""),"Low")</f>
        <v>Low</v>
      </c>
      <c r="Z685" s="5">
        <f>IFERROR(__xludf.DUMMYFUNCTION("""COMPUTED_VALUE"""),15.0)</f>
        <v>15</v>
      </c>
      <c r="AA685" s="5">
        <f>IFERROR(__xludf.DUMMYFUNCTION("""COMPUTED_VALUE"""),1615.0)</f>
        <v>1615</v>
      </c>
      <c r="AB685" s="5"/>
      <c r="AC685" s="5"/>
      <c r="AD685" s="5" t="str">
        <f>IFERROR(__xludf.DUMMYFUNCTION("""COMPUTED_VALUE"""),"0.05/100")</f>
        <v>0.05/100</v>
      </c>
      <c r="AE685" s="5"/>
      <c r="AF685" s="5"/>
      <c r="AG685" s="8">
        <f>IFERROR(__xludf.DUMMYFUNCTION("""COMPUTED_VALUE"""),46197.51347222222)</f>
        <v>46197.51347</v>
      </c>
      <c r="AH685" s="5" t="str">
        <f>IFERROR(__xludf.DUMMYFUNCTION("""COMPUTED_VALUE"""),"selena.mihajlovic@fazi.rs")</f>
        <v>selena.mihajlovic@fazi.rs</v>
      </c>
      <c r="AI685" s="13"/>
      <c r="AJ685" s="5"/>
      <c r="AK685" s="5">
        <f>IFERROR(__xludf.DUMMYFUNCTION("""COMPUTED_VALUE"""),10.0)</f>
        <v>10</v>
      </c>
      <c r="AL685" s="5" t="str">
        <f>IFERROR(__xludf.DUMMYFUNCTION("""COMPUTED_VALUE"""),"No")</f>
        <v>No</v>
      </c>
      <c r="AM685" s="5"/>
      <c r="AN685" s="7" t="str">
        <f>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AO685" s="5"/>
      <c r="AP685" s="5"/>
      <c r="AQ685" s="5" t="b">
        <f>IFERROR(__xludf.DUMMYFUNCTION("""COMPUTED_VALUE"""),TRUE)</f>
        <v>1</v>
      </c>
      <c r="AR685" s="5"/>
      <c r="AS685" s="5" t="str">
        <f>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AT685" s="5"/>
      <c r="AU685" s="5" t="str">
        <f>IFERROR(__xludf.DUMMYFUNCTION("""COMPUTED_VALUE"""),"Tiptop")</f>
        <v>Tiptop</v>
      </c>
      <c r="AV685" s="5"/>
      <c r="AW685" s="5"/>
      <c r="AX685" s="13">
        <f>IFERROR(__xludf.DUMMYFUNCTION("""COMPUTED_VALUE"""),46147.0)</f>
        <v>46147</v>
      </c>
      <c r="AY685" s="5"/>
      <c r="AZ685" s="5"/>
      <c r="BA685" s="5"/>
      <c r="BB685" s="5" t="b">
        <f>IFERROR(__xludf.DUMMYFUNCTION("""COMPUTED_VALUE"""),TRUE)</f>
        <v>1</v>
      </c>
      <c r="BC685" s="5" t="str">
        <f>IFERROR(__xludf.DUMMYFUNCTION("""COMPUTED_VALUE"""),"Tiptop")</f>
        <v>Tiptop</v>
      </c>
      <c r="BD685" s="7" t="str">
        <f>IFERROR(__xludf.DUMMYFUNCTION("""COMPUTED_VALUE"""),"https://gameserver-store-client-area.orbionlimited.com/Home/IntegrationGameLaunch/client-area?moneyType=0&amp;gameName=UnicornShinyFireballs&amp;platform=desktop&amp;languageCode=eng&amp;currency=EUR")</f>
        <v>https://gameserver-store-client-area.orbionlimited.com/Home/IntegrationGameLaunch/client-area?moneyType=0&amp;gameName=UnicornShinyFireballs&amp;platform=desktop&amp;languageCode=eng&amp;currency=EUR</v>
      </c>
      <c r="BE685" s="5" t="b">
        <f>IFERROR(__xludf.DUMMYFUNCTION("""COMPUTED_VALUE"""),TRUE)</f>
        <v>1</v>
      </c>
    </row>
    <row r="686">
      <c r="A686" s="5">
        <f>IFERROR(__xludf.DUMMYFUNCTION("""COMPUTED_VALUE"""),721.0)</f>
        <v>721</v>
      </c>
      <c r="B686" s="5">
        <f>IFERROR(__xludf.DUMMYFUNCTION("""COMPUTED_VALUE"""),4000016.0)</f>
        <v>4000016</v>
      </c>
      <c r="C686" s="5" t="str">
        <f>IFERROR(__xludf.DUMMYFUNCTION("""COMPUTED_VALUE"""),"Tiptop")</f>
        <v>Tiptop</v>
      </c>
      <c r="D686" s="5" t="str">
        <f>IFERROR(__xludf.DUMMYFUNCTION("""COMPUTED_VALUE"""),"Hot Eighty One")</f>
        <v>Hot Eighty One</v>
      </c>
      <c r="E686" s="5" t="str">
        <f>IFERROR(__xludf.DUMMYFUNCTION("""COMPUTED_VALUE"""),"TipTop")</f>
        <v>TipTop</v>
      </c>
      <c r="F686" s="5" t="str">
        <f>IFERROR(__xludf.DUMMYFUNCTION("""COMPUTED_VALUE"""),"UnicornHotEightyOne")</f>
        <v>UnicornHotEightyOne</v>
      </c>
      <c r="G686" s="5" t="str">
        <f>IFERROR(__xludf.DUMMYFUNCTION("""COMPUTED_VALUE"""),"Live")</f>
        <v>Live</v>
      </c>
      <c r="H686" s="5"/>
      <c r="I686" s="5" t="str">
        <f>IFERROR(__xludf.DUMMYFUNCTION("""COMPUTED_VALUE"""),"TipTop")</f>
        <v>TipTop</v>
      </c>
      <c r="J686" s="5" t="str">
        <f>IFERROR(__xludf.DUMMYFUNCTION("""COMPUTED_VALUE"""),"JSON")</f>
        <v>JSON</v>
      </c>
      <c r="K686" s="5" t="str">
        <f>IFERROR(__xludf.DUMMYFUNCTION("""COMPUTED_VALUE"""),"Slot")</f>
        <v>Slot</v>
      </c>
      <c r="L686" s="5" t="str">
        <f>IFERROR(__xludf.DUMMYFUNCTION("""COMPUTED_VALUE"""),"Master")</f>
        <v>Master</v>
      </c>
      <c r="M686" s="5"/>
      <c r="N686" s="5"/>
      <c r="O686" s="5"/>
      <c r="P686" s="12">
        <f>IFERROR(__xludf.DUMMYFUNCTION("""COMPUTED_VALUE"""),11.8)</f>
        <v>11.8</v>
      </c>
      <c r="Q686" s="13">
        <f>IFERROR(__xludf.DUMMYFUNCTION("""COMPUTED_VALUE"""),46153.0)</f>
        <v>46153</v>
      </c>
      <c r="R686" s="13">
        <f>IFERROR(__xludf.DUMMYFUNCTION("""COMPUTED_VALUE"""),46155.0)</f>
        <v>46155</v>
      </c>
      <c r="S686" s="13">
        <f>IFERROR(__xludf.DUMMYFUNCTION("""COMPUTED_VALUE"""),46162.0)</f>
        <v>46162</v>
      </c>
      <c r="T686" s="5" t="b">
        <f>IFERROR(__xludf.DUMMYFUNCTION("""COMPUTED_VALUE"""),TRUE)</f>
        <v>1</v>
      </c>
      <c r="U686" s="5" t="str">
        <f>IFERROR(__xludf.DUMMYFUNCTION("""COMPUTED_VALUE"""),"4x3")</f>
        <v>4x3</v>
      </c>
      <c r="V686" s="5">
        <f>IFERROR(__xludf.DUMMYFUNCTION("""COMPUTED_VALUE"""),81.0)</f>
        <v>81</v>
      </c>
      <c r="W686" s="5">
        <f>IFERROR(__xludf.DUMMYFUNCTION("""COMPUTED_VALUE"""),81.0)</f>
        <v>81</v>
      </c>
      <c r="X686" s="5">
        <f>IFERROR(__xludf.DUMMYFUNCTION("""COMPUTED_VALUE"""),96.0)</f>
        <v>96</v>
      </c>
      <c r="Y686" s="5" t="str">
        <f>IFERROR(__xludf.DUMMYFUNCTION("""COMPUTED_VALUE"""),"Low")</f>
        <v>Low</v>
      </c>
      <c r="Z686" s="5">
        <f>IFERROR(__xludf.DUMMYFUNCTION("""COMPUTED_VALUE"""),10.5)</f>
        <v>10.5</v>
      </c>
      <c r="AA686" s="5">
        <f>IFERROR(__xludf.DUMMYFUNCTION("""COMPUTED_VALUE"""),8400.0)</f>
        <v>8400</v>
      </c>
      <c r="AB686" s="5"/>
      <c r="AC686" s="5"/>
      <c r="AD686" s="5" t="str">
        <f>IFERROR(__xludf.DUMMYFUNCTION("""COMPUTED_VALUE"""),"0.05/100")</f>
        <v>0.05/100</v>
      </c>
      <c r="AE686" s="5"/>
      <c r="AF686" s="5"/>
      <c r="AG686" s="8">
        <f>IFERROR(__xludf.DUMMYFUNCTION("""COMPUTED_VALUE"""),46197.51363425926)</f>
        <v>46197.51363</v>
      </c>
      <c r="AH686" s="5" t="str">
        <f>IFERROR(__xludf.DUMMYFUNCTION("""COMPUTED_VALUE"""),"selena.mihajlovic@fazi.rs")</f>
        <v>selena.mihajlovic@fazi.rs</v>
      </c>
      <c r="AI686" s="13"/>
      <c r="AJ686" s="5"/>
      <c r="AK686" s="5">
        <f>IFERROR(__xludf.DUMMYFUNCTION("""COMPUTED_VALUE"""),5.0)</f>
        <v>5</v>
      </c>
      <c r="AL686" s="5" t="str">
        <f>IFERROR(__xludf.DUMMYFUNCTION("""COMPUTED_VALUE"""),"No")</f>
        <v>No</v>
      </c>
      <c r="AM686" s="5"/>
      <c r="AN686" s="7" t="str">
        <f>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AO686" s="5"/>
      <c r="AP686" s="5"/>
      <c r="AQ686" s="5" t="b">
        <f>IFERROR(__xludf.DUMMYFUNCTION("""COMPUTED_VALUE"""),TRUE)</f>
        <v>1</v>
      </c>
      <c r="AR686" s="5"/>
      <c r="AS686" s="5" t="str">
        <f>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AT686" s="5"/>
      <c r="AU686" s="5" t="str">
        <f>IFERROR(__xludf.DUMMYFUNCTION("""COMPUTED_VALUE"""),"Tiptop")</f>
        <v>Tiptop</v>
      </c>
      <c r="AV686" s="5"/>
      <c r="AW686" s="5"/>
      <c r="AX686" s="13">
        <f>IFERROR(__xludf.DUMMYFUNCTION("""COMPUTED_VALUE"""),46147.0)</f>
        <v>46147</v>
      </c>
      <c r="AY686" s="5"/>
      <c r="AZ686" s="5"/>
      <c r="BA686" s="5"/>
      <c r="BB686" s="5" t="b">
        <f>IFERROR(__xludf.DUMMYFUNCTION("""COMPUTED_VALUE"""),TRUE)</f>
        <v>1</v>
      </c>
      <c r="BC686" s="5" t="str">
        <f>IFERROR(__xludf.DUMMYFUNCTION("""COMPUTED_VALUE"""),"Tiptop")</f>
        <v>Tiptop</v>
      </c>
      <c r="BD686" s="7" t="str">
        <f>IFERROR(__xludf.DUMMYFUNCTION("""COMPUTED_VALUE"""),"https://gameserver-store-client-area.orbionlimited.com/Home/IntegrationGameLaunch/client-area?moneyType=0&amp;gameName=UnicornHotEightyOne&amp;platform=desktop&amp;languageCode=eng&amp;currency=EUR")</f>
        <v>https://gameserver-store-client-area.orbionlimited.com/Home/IntegrationGameLaunch/client-area?moneyType=0&amp;gameName=UnicornHotEightyOne&amp;platform=desktop&amp;languageCode=eng&amp;currency=EUR</v>
      </c>
      <c r="BE686" s="5" t="b">
        <f>IFERROR(__xludf.DUMMYFUNCTION("""COMPUTED_VALUE"""),TRUE)</f>
        <v>1</v>
      </c>
    </row>
    <row r="687">
      <c r="A687" s="5">
        <f>IFERROR(__xludf.DUMMYFUNCTION("""COMPUTED_VALUE"""),722.0)</f>
        <v>722</v>
      </c>
      <c r="B687" s="5">
        <f>IFERROR(__xludf.DUMMYFUNCTION("""COMPUTED_VALUE"""),4000017.0)</f>
        <v>4000017</v>
      </c>
      <c r="C687" s="5" t="str">
        <f>IFERROR(__xludf.DUMMYFUNCTION("""COMPUTED_VALUE"""),"Tiptop")</f>
        <v>Tiptop</v>
      </c>
      <c r="D687" s="5" t="str">
        <f>IFERROR(__xludf.DUMMYFUNCTION("""COMPUTED_VALUE"""),"Hot Firedice")</f>
        <v>Hot Firedice</v>
      </c>
      <c r="E687" s="5" t="str">
        <f>IFERROR(__xludf.DUMMYFUNCTION("""COMPUTED_VALUE"""),"TipTop")</f>
        <v>TipTop</v>
      </c>
      <c r="F687" s="5" t="str">
        <f>IFERROR(__xludf.DUMMYFUNCTION("""COMPUTED_VALUE"""),"UnicornHotFiredice")</f>
        <v>UnicornHotFiredice</v>
      </c>
      <c r="G687" s="5" t="str">
        <f>IFERROR(__xludf.DUMMYFUNCTION("""COMPUTED_VALUE"""),"Live")</f>
        <v>Live</v>
      </c>
      <c r="H687" s="5"/>
      <c r="I687" s="5" t="str">
        <f>IFERROR(__xludf.DUMMYFUNCTION("""COMPUTED_VALUE"""),"TipTop")</f>
        <v>TipTop</v>
      </c>
      <c r="J687" s="5" t="str">
        <f>IFERROR(__xludf.DUMMYFUNCTION("""COMPUTED_VALUE"""),"JSON")</f>
        <v>JSON</v>
      </c>
      <c r="K687" s="5" t="str">
        <f>IFERROR(__xludf.DUMMYFUNCTION("""COMPUTED_VALUE"""),"Dice Slots")</f>
        <v>Dice Slots</v>
      </c>
      <c r="L687" s="5" t="str">
        <f>IFERROR(__xludf.DUMMYFUNCTION("""COMPUTED_VALUE""")," Clone")</f>
        <v> Clone</v>
      </c>
      <c r="M687" s="5" t="str">
        <f>IFERROR(__xludf.DUMMYFUNCTION("""COMPUTED_VALUE"""),"Hot Fireballs")</f>
        <v>Hot Fireballs</v>
      </c>
      <c r="N687" s="5"/>
      <c r="O687" s="5"/>
      <c r="P687" s="12">
        <f>IFERROR(__xludf.DUMMYFUNCTION("""COMPUTED_VALUE"""),15.44)</f>
        <v>15.44</v>
      </c>
      <c r="Q687" s="13">
        <f>IFERROR(__xludf.DUMMYFUNCTION("""COMPUTED_VALUE"""),46167.0)</f>
        <v>46167</v>
      </c>
      <c r="R687" s="13">
        <f>IFERROR(__xludf.DUMMYFUNCTION("""COMPUTED_VALUE"""),46162.0)</f>
        <v>46162</v>
      </c>
      <c r="S687" s="13">
        <f>IFERROR(__xludf.DUMMYFUNCTION("""COMPUTED_VALUE"""),46169.0)</f>
        <v>46169</v>
      </c>
      <c r="T687" s="5" t="b">
        <f>IFERROR(__xludf.DUMMYFUNCTION("""COMPUTED_VALUE"""),TRUE)</f>
        <v>1</v>
      </c>
      <c r="U687" s="5" t="str">
        <f>IFERROR(__xludf.DUMMYFUNCTION("""COMPUTED_VALUE"""),"5x3")</f>
        <v>5x3</v>
      </c>
      <c r="V687" s="5">
        <f>IFERROR(__xludf.DUMMYFUNCTION("""COMPUTED_VALUE"""),5.0)</f>
        <v>5</v>
      </c>
      <c r="W687" s="5">
        <f>IFERROR(__xludf.DUMMYFUNCTION("""COMPUTED_VALUE"""),5.0)</f>
        <v>5</v>
      </c>
      <c r="X687" s="5">
        <f>IFERROR(__xludf.DUMMYFUNCTION("""COMPUTED_VALUE"""),96.0)</f>
        <v>96</v>
      </c>
      <c r="Y687" s="5" t="str">
        <f>IFERROR(__xludf.DUMMYFUNCTION("""COMPUTED_VALUE"""),"Low")</f>
        <v>Low</v>
      </c>
      <c r="Z687" s="5">
        <f>IFERROR(__xludf.DUMMYFUNCTION("""COMPUTED_VALUE"""),15.33)</f>
        <v>15.33</v>
      </c>
      <c r="AA687" s="5">
        <f>IFERROR(__xludf.DUMMYFUNCTION("""COMPUTED_VALUE"""),1260.0)</f>
        <v>1260</v>
      </c>
      <c r="AB687" s="5"/>
      <c r="AC687" s="5"/>
      <c r="AD687" s="5" t="str">
        <f>IFERROR(__xludf.DUMMYFUNCTION("""COMPUTED_VALUE"""),"0.01/100")</f>
        <v>0.01/100</v>
      </c>
      <c r="AE687" s="5"/>
      <c r="AF687" s="5"/>
      <c r="AG687" s="8">
        <f>IFERROR(__xludf.DUMMYFUNCTION("""COMPUTED_VALUE"""),46197.513773148145)</f>
        <v>46197.51377</v>
      </c>
      <c r="AH687" s="5" t="str">
        <f>IFERROR(__xludf.DUMMYFUNCTION("""COMPUTED_VALUE"""),"selena.mihajlovic@fazi.rs")</f>
        <v>selena.mihajlovic@fazi.rs</v>
      </c>
      <c r="AI687" s="13"/>
      <c r="AJ687" s="5"/>
      <c r="AK687" s="5">
        <f>IFERROR(__xludf.DUMMYFUNCTION("""COMPUTED_VALUE"""),5.0)</f>
        <v>5</v>
      </c>
      <c r="AL687" s="5" t="str">
        <f>IFERROR(__xludf.DUMMYFUNCTION("""COMPUTED_VALUE"""),"No")</f>
        <v>No</v>
      </c>
      <c r="AM687" s="5"/>
      <c r="AN687" s="7" t="str">
        <f>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AO687" s="5"/>
      <c r="AP687" s="5"/>
      <c r="AQ687" s="5" t="b">
        <f>IFERROR(__xludf.DUMMYFUNCTION("""COMPUTED_VALUE"""),TRUE)</f>
        <v>1</v>
      </c>
      <c r="AR687" s="5"/>
      <c r="AS687" s="5" t="str">
        <f>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AT687" s="5"/>
      <c r="AU687" s="5" t="str">
        <f>IFERROR(__xludf.DUMMYFUNCTION("""COMPUTED_VALUE"""),"Tiptop")</f>
        <v>Tiptop</v>
      </c>
      <c r="AV687" s="5">
        <f>IFERROR(__xludf.DUMMYFUNCTION("""COMPUTED_VALUE"""),1.0)</f>
        <v>1</v>
      </c>
      <c r="AW687" s="5"/>
      <c r="AX687" s="13">
        <f>IFERROR(__xludf.DUMMYFUNCTION("""COMPUTED_VALUE"""),46161.0)</f>
        <v>46161</v>
      </c>
      <c r="AY687" s="5"/>
      <c r="AZ687" s="5"/>
      <c r="BA687" s="5"/>
      <c r="BB687" s="5" t="b">
        <f>IFERROR(__xludf.DUMMYFUNCTION("""COMPUTED_VALUE"""),TRUE)</f>
        <v>1</v>
      </c>
      <c r="BC687" s="5" t="str">
        <f>IFERROR(__xludf.DUMMYFUNCTION("""COMPUTED_VALUE"""),"Tiptop")</f>
        <v>Tiptop</v>
      </c>
      <c r="BD687" s="7" t="str">
        <f>IFERROR(__xludf.DUMMYFUNCTION("""COMPUTED_VALUE"""),"https://gameserver-store-client-area.orbionlimited.com/Home/IntegrationGameLaunch/client-area?moneyType=0&amp;gameName=UnicornHotFiredice&amp;platform=desktop&amp;languageCode=eng&amp;currency=EUR")</f>
        <v>https://gameserver-store-client-area.orbionlimited.com/Home/IntegrationGameLaunch/client-area?moneyType=0&amp;gameName=UnicornHotFiredice&amp;platform=desktop&amp;languageCode=eng&amp;currency=EUR</v>
      </c>
      <c r="BE687" s="5" t="b">
        <f>IFERROR(__xludf.DUMMYFUNCTION("""COMPUTED_VALUE"""),TRUE)</f>
        <v>1</v>
      </c>
    </row>
    <row r="688">
      <c r="A688" s="5">
        <f>IFERROR(__xludf.DUMMYFUNCTION("""COMPUTED_VALUE"""),723.0)</f>
        <v>723</v>
      </c>
      <c r="B688" s="5">
        <f>IFERROR(__xludf.DUMMYFUNCTION("""COMPUTED_VALUE"""),4000018.0)</f>
        <v>4000018</v>
      </c>
      <c r="C688" s="5" t="str">
        <f>IFERROR(__xludf.DUMMYFUNCTION("""COMPUTED_VALUE"""),"Tiptop")</f>
        <v>Tiptop</v>
      </c>
      <c r="D688" s="5" t="str">
        <f>IFERROR(__xludf.DUMMYFUNCTION("""COMPUTED_VALUE"""),"Mystic Treasure")</f>
        <v>Mystic Treasure</v>
      </c>
      <c r="E688" s="5" t="str">
        <f>IFERROR(__xludf.DUMMYFUNCTION("""COMPUTED_VALUE"""),"TipTop")</f>
        <v>TipTop</v>
      </c>
      <c r="F688" s="5" t="str">
        <f>IFERROR(__xludf.DUMMYFUNCTION("""COMPUTED_VALUE"""),"UnicornMysticTreasure")</f>
        <v>UnicornMysticTreasure</v>
      </c>
      <c r="G688" s="5" t="str">
        <f>IFERROR(__xludf.DUMMYFUNCTION("""COMPUTED_VALUE"""),"Live")</f>
        <v>Live</v>
      </c>
      <c r="H688" s="5"/>
      <c r="I688" s="5" t="str">
        <f>IFERROR(__xludf.DUMMYFUNCTION("""COMPUTED_VALUE"""),"TipTop")</f>
        <v>TipTop</v>
      </c>
      <c r="J688" s="5" t="str">
        <f>IFERROR(__xludf.DUMMYFUNCTION("""COMPUTED_VALUE"""),"JSON")</f>
        <v>JSON</v>
      </c>
      <c r="K688" s="5" t="str">
        <f>IFERROR(__xludf.DUMMYFUNCTION("""COMPUTED_VALUE"""),"Slot")</f>
        <v>Slot</v>
      </c>
      <c r="L688" s="5" t="str">
        <f>IFERROR(__xludf.DUMMYFUNCTION("""COMPUTED_VALUE"""),"Master")</f>
        <v>Master</v>
      </c>
      <c r="M688" s="5"/>
      <c r="N688" s="5"/>
      <c r="O688" s="5"/>
      <c r="P688" s="12">
        <f>IFERROR(__xludf.DUMMYFUNCTION("""COMPUTED_VALUE"""),12.62)</f>
        <v>12.62</v>
      </c>
      <c r="Q688" s="13">
        <f>IFERROR(__xludf.DUMMYFUNCTION("""COMPUTED_VALUE"""),46181.0)</f>
        <v>46181</v>
      </c>
      <c r="R688" s="13">
        <f>IFERROR(__xludf.DUMMYFUNCTION("""COMPUTED_VALUE"""),46176.0)</f>
        <v>46176</v>
      </c>
      <c r="S688" s="13">
        <f>IFERROR(__xludf.DUMMYFUNCTION("""COMPUTED_VALUE"""),46183.0)</f>
        <v>46183</v>
      </c>
      <c r="T688" s="5" t="b">
        <f>IFERROR(__xludf.DUMMYFUNCTION("""COMPUTED_VALUE"""),TRUE)</f>
        <v>1</v>
      </c>
      <c r="U688" s="5" t="str">
        <f>IFERROR(__xludf.DUMMYFUNCTION("""COMPUTED_VALUE"""),"5x3")</f>
        <v>5x3</v>
      </c>
      <c r="V688" s="5">
        <f>IFERROR(__xludf.DUMMYFUNCTION("""COMPUTED_VALUE"""),5.0)</f>
        <v>5</v>
      </c>
      <c r="W688" s="5">
        <f>IFERROR(__xludf.DUMMYFUNCTION("""COMPUTED_VALUE"""),5.0)</f>
        <v>5</v>
      </c>
      <c r="X688" s="5">
        <f>IFERROR(__xludf.DUMMYFUNCTION("""COMPUTED_VALUE"""),96.0)</f>
        <v>96</v>
      </c>
      <c r="Y688" s="5" t="str">
        <f>IFERROR(__xludf.DUMMYFUNCTION("""COMPUTED_VALUE"""),"Low")</f>
        <v>Low</v>
      </c>
      <c r="Z688" s="5">
        <f>IFERROR(__xludf.DUMMYFUNCTION("""COMPUTED_VALUE"""),17.6)</f>
        <v>17.6</v>
      </c>
      <c r="AA688" s="5">
        <f>IFERROR(__xludf.DUMMYFUNCTION("""COMPUTED_VALUE"""),1400.0)</f>
        <v>1400</v>
      </c>
      <c r="AB688" s="5"/>
      <c r="AC688" s="5"/>
      <c r="AD688" s="5" t="str">
        <f>IFERROR(__xludf.DUMMYFUNCTION("""COMPUTED_VALUE"""),"0.01/100")</f>
        <v>0.01/100</v>
      </c>
      <c r="AE688" s="5"/>
      <c r="AF688" s="5"/>
      <c r="AG688" s="8">
        <f>IFERROR(__xludf.DUMMYFUNCTION("""COMPUTED_VALUE"""),46197.51398148148)</f>
        <v>46197.51398</v>
      </c>
      <c r="AH688" s="5" t="str">
        <f>IFERROR(__xludf.DUMMYFUNCTION("""COMPUTED_VALUE"""),"selena.mihajlovic@fazi.rs")</f>
        <v>selena.mihajlovic@fazi.rs</v>
      </c>
      <c r="AI688" s="13"/>
      <c r="AJ688" s="5"/>
      <c r="AK688" s="5">
        <f>IFERROR(__xludf.DUMMYFUNCTION("""COMPUTED_VALUE"""),5.0)</f>
        <v>5</v>
      </c>
      <c r="AL688" s="5" t="str">
        <f>IFERROR(__xludf.DUMMYFUNCTION("""COMPUTED_VALUE"""),"No")</f>
        <v>No</v>
      </c>
      <c r="AM688" s="5"/>
      <c r="AN688" s="7" t="str">
        <f>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AO688" s="5"/>
      <c r="AP688" s="5"/>
      <c r="AQ688" s="5" t="b">
        <f>IFERROR(__xludf.DUMMYFUNCTION("""COMPUTED_VALUE"""),TRUE)</f>
        <v>1</v>
      </c>
      <c r="AR688" s="5"/>
      <c r="AS688" s="5" t="str">
        <f>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AT688" s="5"/>
      <c r="AU688" s="5" t="str">
        <f>IFERROR(__xludf.DUMMYFUNCTION("""COMPUTED_VALUE"""),"Tiptop")</f>
        <v>Tiptop</v>
      </c>
      <c r="AV688" s="5">
        <f>IFERROR(__xludf.DUMMYFUNCTION("""COMPUTED_VALUE"""),1.0)</f>
        <v>1</v>
      </c>
      <c r="AW688" s="5"/>
      <c r="AX688" s="13">
        <f>IFERROR(__xludf.DUMMYFUNCTION("""COMPUTED_VALUE"""),46175.0)</f>
        <v>46175</v>
      </c>
      <c r="AY688" s="5"/>
      <c r="AZ688" s="5"/>
      <c r="BA688" s="5"/>
      <c r="BB688" s="5" t="b">
        <f>IFERROR(__xludf.DUMMYFUNCTION("""COMPUTED_VALUE"""),TRUE)</f>
        <v>1</v>
      </c>
      <c r="BC688" s="5" t="str">
        <f>IFERROR(__xludf.DUMMYFUNCTION("""COMPUTED_VALUE"""),"Tiptop")</f>
        <v>Tiptop</v>
      </c>
      <c r="BD688" s="7" t="str">
        <f>IFERROR(__xludf.DUMMYFUNCTION("""COMPUTED_VALUE"""),"https://gameserver-store-client-area.orbionlimited.com/Home/IntegrationGameLaunch/client-area?moneyType=0&amp;gameName=UnicornMysticTreasure&amp;platform=desktop&amp;languageCode=eng&amp;currency=EUR")</f>
        <v>https://gameserver-store-client-area.orbionlimited.com/Home/IntegrationGameLaunch/client-area?moneyType=0&amp;gameName=UnicornMysticTreasure&amp;platform=desktop&amp;languageCode=eng&amp;currency=EUR</v>
      </c>
      <c r="BE688" s="5" t="b">
        <f>IFERROR(__xludf.DUMMYFUNCTION("""COMPUTED_VALUE"""),TRUE)</f>
        <v>1</v>
      </c>
    </row>
    <row r="689">
      <c r="A689" s="5">
        <f>IFERROR(__xludf.DUMMYFUNCTION("""COMPUTED_VALUE"""),724.0)</f>
        <v>724</v>
      </c>
      <c r="B689" s="5">
        <f>IFERROR(__xludf.DUMMYFUNCTION("""COMPUTED_VALUE"""),4000019.0)</f>
        <v>4000019</v>
      </c>
      <c r="C689" s="5" t="str">
        <f>IFERROR(__xludf.DUMMYFUNCTION("""COMPUTED_VALUE"""),"Tiptop")</f>
        <v>Tiptop</v>
      </c>
      <c r="D689" s="5" t="str">
        <f>IFERROR(__xludf.DUMMYFUNCTION("""COMPUTED_VALUE"""),"Golden Gate Dice")</f>
        <v>Golden Gate Dice</v>
      </c>
      <c r="E689" s="5" t="str">
        <f>IFERROR(__xludf.DUMMYFUNCTION("""COMPUTED_VALUE"""),"TipTop")</f>
        <v>TipTop</v>
      </c>
      <c r="F689" s="5" t="str">
        <f>IFERROR(__xludf.DUMMYFUNCTION("""COMPUTED_VALUE"""),"UnicornGoldenGateDice")</f>
        <v>UnicornGoldenGateDice</v>
      </c>
      <c r="G689" s="5" t="str">
        <f>IFERROR(__xludf.DUMMYFUNCTION("""COMPUTED_VALUE"""),"Live")</f>
        <v>Live</v>
      </c>
      <c r="H689" s="5"/>
      <c r="I689" s="5" t="str">
        <f>IFERROR(__xludf.DUMMYFUNCTION("""COMPUTED_VALUE"""),"TipTop")</f>
        <v>TipTop</v>
      </c>
      <c r="J689" s="5" t="str">
        <f>IFERROR(__xludf.DUMMYFUNCTION("""COMPUTED_VALUE"""),"JSON")</f>
        <v>JSON</v>
      </c>
      <c r="K689" s="5" t="str">
        <f>IFERROR(__xludf.DUMMYFUNCTION("""COMPUTED_VALUE"""),"Dice Slots")</f>
        <v>Dice Slots</v>
      </c>
      <c r="L689" s="5" t="str">
        <f>IFERROR(__xludf.DUMMYFUNCTION("""COMPUTED_VALUE""")," Clone")</f>
        <v> Clone</v>
      </c>
      <c r="M689" s="5" t="str">
        <f>IFERROR(__xludf.DUMMYFUNCTION("""COMPUTED_VALUE"""),"Golden Gate Fruit")</f>
        <v>Golden Gate Fruit</v>
      </c>
      <c r="N689" s="5"/>
      <c r="O689" s="5"/>
      <c r="P689" s="12">
        <f>IFERROR(__xludf.DUMMYFUNCTION("""COMPUTED_VALUE"""),12.27)</f>
        <v>12.27</v>
      </c>
      <c r="Q689" s="13">
        <f>IFERROR(__xludf.DUMMYFUNCTION("""COMPUTED_VALUE"""),46181.0)</f>
        <v>46181</v>
      </c>
      <c r="R689" s="13">
        <f>IFERROR(__xludf.DUMMYFUNCTION("""COMPUTED_VALUE"""),46183.0)</f>
        <v>46183</v>
      </c>
      <c r="S689" s="13">
        <f>IFERROR(__xludf.DUMMYFUNCTION("""COMPUTED_VALUE"""),46190.0)</f>
        <v>46190</v>
      </c>
      <c r="T689" s="5" t="b">
        <f>IFERROR(__xludf.DUMMYFUNCTION("""COMPUTED_VALUE"""),TRUE)</f>
        <v>1</v>
      </c>
      <c r="U689" s="5" t="str">
        <f>IFERROR(__xludf.DUMMYFUNCTION("""COMPUTED_VALUE"""),"5x3")</f>
        <v>5x3</v>
      </c>
      <c r="V689" s="5">
        <f>IFERROR(__xludf.DUMMYFUNCTION("""COMPUTED_VALUE"""),5.0)</f>
        <v>5</v>
      </c>
      <c r="W689" s="5">
        <f>IFERROR(__xludf.DUMMYFUNCTION("""COMPUTED_VALUE"""),5.0)</f>
        <v>5</v>
      </c>
      <c r="X689" s="5">
        <f>IFERROR(__xludf.DUMMYFUNCTION("""COMPUTED_VALUE"""),96.0)</f>
        <v>96</v>
      </c>
      <c r="Y689" s="5" t="str">
        <f>IFERROR(__xludf.DUMMYFUNCTION("""COMPUTED_VALUE"""),"Low")</f>
        <v>Low</v>
      </c>
      <c r="Z689" s="5">
        <f>IFERROR(__xludf.DUMMYFUNCTION("""COMPUTED_VALUE"""),16.38)</f>
        <v>16.38</v>
      </c>
      <c r="AA689" s="5">
        <f>IFERROR(__xludf.DUMMYFUNCTION("""COMPUTED_VALUE"""),10000.0)</f>
        <v>10000</v>
      </c>
      <c r="AB689" s="5"/>
      <c r="AC689" s="5"/>
      <c r="AD689" s="5" t="str">
        <f>IFERROR(__xludf.DUMMYFUNCTION("""COMPUTED_VALUE"""),"0.05/100")</f>
        <v>0.05/100</v>
      </c>
      <c r="AE689" s="5"/>
      <c r="AF689" s="5"/>
      <c r="AG689" s="8">
        <f>IFERROR(__xludf.DUMMYFUNCTION("""COMPUTED_VALUE"""),46197.514131944445)</f>
        <v>46197.51413</v>
      </c>
      <c r="AH689" s="5" t="str">
        <f>IFERROR(__xludf.DUMMYFUNCTION("""COMPUTED_VALUE"""),"selena.mihajlovic@fazi.rs")</f>
        <v>selena.mihajlovic@fazi.rs</v>
      </c>
      <c r="AI689" s="13"/>
      <c r="AJ689" s="5"/>
      <c r="AK689" s="5">
        <f>IFERROR(__xludf.DUMMYFUNCTION("""COMPUTED_VALUE"""),5.0)</f>
        <v>5</v>
      </c>
      <c r="AL689" s="5" t="str">
        <f>IFERROR(__xludf.DUMMYFUNCTION("""COMPUTED_VALUE"""),"No")</f>
        <v>No</v>
      </c>
      <c r="AM689" s="5"/>
      <c r="AN689" s="7" t="str">
        <f>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AO689" s="5"/>
      <c r="AP689" s="5"/>
      <c r="AQ689" s="5" t="b">
        <f>IFERROR(__xludf.DUMMYFUNCTION("""COMPUTED_VALUE"""),TRUE)</f>
        <v>1</v>
      </c>
      <c r="AR689" s="5"/>
      <c r="AS689" s="5" t="str">
        <f>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AT689" s="5"/>
      <c r="AU689" s="5" t="str">
        <f>IFERROR(__xludf.DUMMYFUNCTION("""COMPUTED_VALUE"""),"Tiptop")</f>
        <v>Tiptop</v>
      </c>
      <c r="AV689" s="5"/>
      <c r="AW689" s="5"/>
      <c r="AX689" s="13">
        <f>IFERROR(__xludf.DUMMYFUNCTION("""COMPUTED_VALUE"""),46175.0)</f>
        <v>46175</v>
      </c>
      <c r="AY689" s="5"/>
      <c r="AZ689" s="5"/>
      <c r="BA689" s="5"/>
      <c r="BB689" s="5" t="b">
        <f>IFERROR(__xludf.DUMMYFUNCTION("""COMPUTED_VALUE"""),TRUE)</f>
        <v>1</v>
      </c>
      <c r="BC689" s="5" t="str">
        <f>IFERROR(__xludf.DUMMYFUNCTION("""COMPUTED_VALUE"""),"Tiptop")</f>
        <v>Tiptop</v>
      </c>
      <c r="BD689" s="7" t="str">
        <f>IFERROR(__xludf.DUMMYFUNCTION("""COMPUTED_VALUE"""),"https://gameserver-store-client-area.orbionlimited.com/Home/IntegrationGameLaunch/client-area?moneyType=0&amp;gameName=UnicornGoldenGateDice&amp;platform=desktop&amp;languageCode=eng&amp;currency=EUR")</f>
        <v>https://gameserver-store-client-area.orbionlimited.com/Home/IntegrationGameLaunch/client-area?moneyType=0&amp;gameName=UnicornGoldenGateDice&amp;platform=desktop&amp;languageCode=eng&amp;currency=EUR</v>
      </c>
      <c r="BE689" s="5" t="b">
        <f>IFERROR(__xludf.DUMMYFUNCTION("""COMPUTED_VALUE"""),TRUE)</f>
        <v>1</v>
      </c>
    </row>
    <row r="690">
      <c r="A690" s="5">
        <f>IFERROR(__xludf.DUMMYFUNCTION("""COMPUTED_VALUE"""),725.0)</f>
        <v>725</v>
      </c>
      <c r="B690" s="5">
        <f>IFERROR(__xludf.DUMMYFUNCTION("""COMPUTED_VALUE"""),4000020.0)</f>
        <v>4000020</v>
      </c>
      <c r="C690" s="5" t="str">
        <f>IFERROR(__xludf.DUMMYFUNCTION("""COMPUTED_VALUE"""),"Tiptop")</f>
        <v>Tiptop</v>
      </c>
      <c r="D690" s="5" t="str">
        <f>IFERROR(__xludf.DUMMYFUNCTION("""COMPUTED_VALUE"""),"Barrels Of Riches")</f>
        <v>Barrels Of Riches</v>
      </c>
      <c r="E690" s="5" t="str">
        <f>IFERROR(__xludf.DUMMYFUNCTION("""COMPUTED_VALUE"""),"TipTop")</f>
        <v>TipTop</v>
      </c>
      <c r="F690" s="5" t="str">
        <f>IFERROR(__xludf.DUMMYFUNCTION("""COMPUTED_VALUE"""),"UnicornBarrelsOfRiches")</f>
        <v>UnicornBarrelsOfRiches</v>
      </c>
      <c r="G690" s="5" t="str">
        <f>IFERROR(__xludf.DUMMYFUNCTION("""COMPUTED_VALUE"""),"Live")</f>
        <v>Live</v>
      </c>
      <c r="H690" s="5"/>
      <c r="I690" s="5" t="str">
        <f>IFERROR(__xludf.DUMMYFUNCTION("""COMPUTED_VALUE"""),"TipTop")</f>
        <v>TipTop</v>
      </c>
      <c r="J690" s="5" t="str">
        <f>IFERROR(__xludf.DUMMYFUNCTION("""COMPUTED_VALUE"""),"JSON")</f>
        <v>JSON</v>
      </c>
      <c r="K690" s="5" t="str">
        <f>IFERROR(__xludf.DUMMYFUNCTION("""COMPUTED_VALUE"""),"Slot")</f>
        <v>Slot</v>
      </c>
      <c r="L690" s="5" t="str">
        <f>IFERROR(__xludf.DUMMYFUNCTION("""COMPUTED_VALUE"""),"Master")</f>
        <v>Master</v>
      </c>
      <c r="M690" s="5"/>
      <c r="N690" s="5"/>
      <c r="O690" s="5"/>
      <c r="P690" s="12">
        <f>IFERROR(__xludf.DUMMYFUNCTION("""COMPUTED_VALUE"""),12.93)</f>
        <v>12.93</v>
      </c>
      <c r="Q690" s="13">
        <f>IFERROR(__xludf.DUMMYFUNCTION("""COMPUTED_VALUE"""),46195.0)</f>
        <v>46195</v>
      </c>
      <c r="R690" s="13">
        <f>IFERROR(__xludf.DUMMYFUNCTION("""COMPUTED_VALUE"""),46190.0)</f>
        <v>46190</v>
      </c>
      <c r="S690" s="13">
        <f>IFERROR(__xludf.DUMMYFUNCTION("""COMPUTED_VALUE"""),46197.0)</f>
        <v>46197</v>
      </c>
      <c r="T690" s="5" t="b">
        <f>IFERROR(__xludf.DUMMYFUNCTION("""COMPUTED_VALUE"""),TRUE)</f>
        <v>1</v>
      </c>
      <c r="U690" s="5" t="str">
        <f>IFERROR(__xludf.DUMMYFUNCTION("""COMPUTED_VALUE"""),"5x3")</f>
        <v>5x3</v>
      </c>
      <c r="V690" s="5">
        <f>IFERROR(__xludf.DUMMYFUNCTION("""COMPUTED_VALUE"""),10.0)</f>
        <v>10</v>
      </c>
      <c r="W690" s="5">
        <f>IFERROR(__xludf.DUMMYFUNCTION("""COMPUTED_VALUE"""),10.0)</f>
        <v>10</v>
      </c>
      <c r="X690" s="5">
        <f>IFERROR(__xludf.DUMMYFUNCTION("""COMPUTED_VALUE"""),96.0)</f>
        <v>96</v>
      </c>
      <c r="Y690" s="5" t="str">
        <f>IFERROR(__xludf.DUMMYFUNCTION("""COMPUTED_VALUE"""),"Low")</f>
        <v>Low</v>
      </c>
      <c r="Z690" s="5">
        <f>IFERROR(__xludf.DUMMYFUNCTION("""COMPUTED_VALUE"""),49.0)</f>
        <v>49</v>
      </c>
      <c r="AA690" s="5">
        <f>IFERROR(__xludf.DUMMYFUNCTION("""COMPUTED_VALUE"""),5010.0)</f>
        <v>5010</v>
      </c>
      <c r="AB690" s="5"/>
      <c r="AC690" s="5"/>
      <c r="AD690" s="5" t="str">
        <f>IFERROR(__xludf.DUMMYFUNCTION("""COMPUTED_VALUE"""),"0.05/100")</f>
        <v>0.05/100</v>
      </c>
      <c r="AE690" s="5"/>
      <c r="AF690" s="5"/>
      <c r="AG690" s="8">
        <f>IFERROR(__xludf.DUMMYFUNCTION("""COMPUTED_VALUE"""),46197.514328703706)</f>
        <v>46197.51433</v>
      </c>
      <c r="AH690" s="5" t="str">
        <f>IFERROR(__xludf.DUMMYFUNCTION("""COMPUTED_VALUE"""),"selena.mihajlovic@fazi.rs")</f>
        <v>selena.mihajlovic@fazi.rs</v>
      </c>
      <c r="AI690" s="13"/>
      <c r="AJ690" s="5"/>
      <c r="AK690" s="5">
        <f>IFERROR(__xludf.DUMMYFUNCTION("""COMPUTED_VALUE"""),10.0)</f>
        <v>10</v>
      </c>
      <c r="AL690" s="5" t="str">
        <f>IFERROR(__xludf.DUMMYFUNCTION("""COMPUTED_VALUE"""),"No")</f>
        <v>No</v>
      </c>
      <c r="AM690" s="5"/>
      <c r="AN690" s="7" t="str">
        <f>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AO690" s="5"/>
      <c r="AP690" s="5"/>
      <c r="AQ690" s="5" t="b">
        <f>IFERROR(__xludf.DUMMYFUNCTION("""COMPUTED_VALUE"""),TRUE)</f>
        <v>1</v>
      </c>
      <c r="AR690" s="5"/>
      <c r="AS690" s="5" t="str">
        <f>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AT690" s="5"/>
      <c r="AU690" s="5" t="str">
        <f>IFERROR(__xludf.DUMMYFUNCTION("""COMPUTED_VALUE"""),"Tiptop")</f>
        <v>Tiptop</v>
      </c>
      <c r="AV690" s="5"/>
      <c r="AW690" s="5"/>
      <c r="AX690" s="13">
        <f>IFERROR(__xludf.DUMMYFUNCTION("""COMPUTED_VALUE"""),46189.0)</f>
        <v>46189</v>
      </c>
      <c r="AY690" s="5"/>
      <c r="AZ690" s="5"/>
      <c r="BA690" s="5"/>
      <c r="BB690" s="5" t="b">
        <f>IFERROR(__xludf.DUMMYFUNCTION("""COMPUTED_VALUE"""),TRUE)</f>
        <v>1</v>
      </c>
      <c r="BC690" s="5" t="str">
        <f>IFERROR(__xludf.DUMMYFUNCTION("""COMPUTED_VALUE"""),"Tiptop")</f>
        <v>Tiptop</v>
      </c>
      <c r="BD690" s="7" t="str">
        <f>IFERROR(__xludf.DUMMYFUNCTION("""COMPUTED_VALUE"""),"https://gameserver-store-client-area.orbionlimited.com/Home/IntegrationGameLaunch/client-area?moneyType=0&amp;gameName=UnicornBarrelsOfRiches&amp;platform=desktop&amp;languageCode=eng&amp;currency=EUR")</f>
        <v>https://gameserver-store-client-area.orbionlimited.com/Home/IntegrationGameLaunch/client-area?moneyType=0&amp;gameName=UnicornBarrelsOfRiches&amp;platform=desktop&amp;languageCode=eng&amp;currency=EUR</v>
      </c>
      <c r="BE690" s="5" t="b">
        <f>IFERROR(__xludf.DUMMYFUNCTION("""COMPUTED_VALUE"""),TRUE)</f>
        <v>1</v>
      </c>
    </row>
    <row r="691">
      <c r="A691" s="5">
        <f>IFERROR(__xludf.DUMMYFUNCTION("""COMPUTED_VALUE"""),726.0)</f>
        <v>726</v>
      </c>
      <c r="B691" s="5">
        <f>IFERROR(__xludf.DUMMYFUNCTION("""COMPUTED_VALUE"""),180066.0)</f>
        <v>180066</v>
      </c>
      <c r="C691" s="5" t="str">
        <f>IFERROR(__xludf.DUMMYFUNCTION("""COMPUTED_VALUE"""),"Redstone")</f>
        <v>Redstone</v>
      </c>
      <c r="D691" s="5" t="str">
        <f>IFERROR(__xludf.DUMMYFUNCTION("""COMPUTED_VALUE"""),"Fruit Fire")</f>
        <v>Fruit Fire</v>
      </c>
      <c r="E691" s="5" t="str">
        <f>IFERROR(__xludf.DUMMYFUNCTION("""COMPUTED_VALUE"""),"Redstone")</f>
        <v>Redstone</v>
      </c>
      <c r="F691" s="5" t="str">
        <f>IFERROR(__xludf.DUMMYFUNCTION("""COMPUTED_VALUE"""),"RedstoneFruitFire")</f>
        <v>RedstoneFruitFire</v>
      </c>
      <c r="G691" s="5" t="str">
        <f>IFERROR(__xludf.DUMMYFUNCTION("""COMPUTED_VALUE"""),"Live")</f>
        <v>Live</v>
      </c>
      <c r="H691" s="5"/>
      <c r="I691" s="5" t="str">
        <f>IFERROR(__xludf.DUMMYFUNCTION("""COMPUTED_VALUE"""),"Redstone")</f>
        <v>Redstone</v>
      </c>
      <c r="J691" s="5" t="str">
        <f>IFERROR(__xludf.DUMMYFUNCTION("""COMPUTED_VALUE"""),"JSON")</f>
        <v>JSON</v>
      </c>
      <c r="K691" s="5" t="str">
        <f>IFERROR(__xludf.DUMMYFUNCTION("""COMPUTED_VALUE"""),"Slot")</f>
        <v>Slot</v>
      </c>
      <c r="L691" s="5" t="str">
        <f>IFERROR(__xludf.DUMMYFUNCTION("""COMPUTED_VALUE"""),"Master")</f>
        <v>Master</v>
      </c>
      <c r="M691" s="5"/>
      <c r="N691" s="7" t="str">
        <f>IFERROR(__xludf.DUMMYFUNCTION("""COMPUTED_VALUE"""),"https://docs.google.com/document/d/1YSsz_jLJlreA3qN9Lt9RMXC863ydho0G/edit?usp=drive_link&amp;ouid=107596163405648766688&amp;rtpof=true&amp;sd=true")</f>
        <v>https://docs.google.com/document/d/1YSsz_jLJlreA3qN9Lt9RMXC863ydho0G/edit?usp=drive_link&amp;ouid=107596163405648766688&amp;rtpof=true&amp;sd=true</v>
      </c>
      <c r="O691" s="7" t="str">
        <f>IFERROR(__xludf.DUMMYFUNCTION("""COMPUTED_VALUE"""),"https://docs.google.com/document/d/1zdUMedTsqXfN0F48MzFbai0UoUjBCsgb/edit?usp=drive_link&amp;ouid=107596163405648766688&amp;rtpof=true&amp;sd=true")</f>
        <v>https://docs.google.com/document/d/1zdUMedTsqXfN0F48MzFbai0UoUjBCsgb/edit?usp=drive_link&amp;ouid=107596163405648766688&amp;rtpof=true&amp;sd=true</v>
      </c>
      <c r="P691" s="12">
        <f>IFERROR(__xludf.DUMMYFUNCTION("""COMPUTED_VALUE"""),8.7)</f>
        <v>8.7</v>
      </c>
      <c r="Q691" s="13">
        <f>IFERROR(__xludf.DUMMYFUNCTION("""COMPUTED_VALUE"""),46111.0)</f>
        <v>46111</v>
      </c>
      <c r="R691" s="13">
        <f>IFERROR(__xludf.DUMMYFUNCTION("""COMPUTED_VALUE"""),46121.0)</f>
        <v>46121</v>
      </c>
      <c r="S691" s="13">
        <f>IFERROR(__xludf.DUMMYFUNCTION("""COMPUTED_VALUE"""),46128.0)</f>
        <v>46128</v>
      </c>
      <c r="T691" s="5" t="b">
        <f>IFERROR(__xludf.DUMMYFUNCTION("""COMPUTED_VALUE"""),TRUE)</f>
        <v>1</v>
      </c>
      <c r="U691" s="5" t="str">
        <f>IFERROR(__xludf.DUMMYFUNCTION("""COMPUTED_VALUE"""),"5x3")</f>
        <v>5x3</v>
      </c>
      <c r="V691" s="5">
        <f>IFERROR(__xludf.DUMMYFUNCTION("""COMPUTED_VALUE"""),5.0)</f>
        <v>5</v>
      </c>
      <c r="W691" s="5">
        <f>IFERROR(__xludf.DUMMYFUNCTION("""COMPUTED_VALUE"""),5.0)</f>
        <v>5</v>
      </c>
      <c r="X691" s="5">
        <f>IFERROR(__xludf.DUMMYFUNCTION("""COMPUTED_VALUE"""),96.5)</f>
        <v>96.5</v>
      </c>
      <c r="Y691" s="5" t="str">
        <f>IFERROR(__xludf.DUMMYFUNCTION("""COMPUTED_VALUE"""),"Low")</f>
        <v>Low</v>
      </c>
      <c r="Z691" s="5">
        <f>IFERROR(__xludf.DUMMYFUNCTION("""COMPUTED_VALUE"""),10.45)</f>
        <v>10.45</v>
      </c>
      <c r="AA691" s="5">
        <f>IFERROR(__xludf.DUMMYFUNCTION("""COMPUTED_VALUE"""),1040.0)</f>
        <v>1040</v>
      </c>
      <c r="AB691" s="5"/>
      <c r="AC691" s="5"/>
      <c r="AD691" s="5" t="str">
        <f>IFERROR(__xludf.DUMMYFUNCTION("""COMPUTED_VALUE"""),"0.10/50")</f>
        <v>0.10/50</v>
      </c>
      <c r="AE691" s="5"/>
      <c r="AF691" s="5"/>
      <c r="AG691" s="8">
        <f>IFERROR(__xludf.DUMMYFUNCTION("""COMPUTED_VALUE"""),46212.565474537034)</f>
        <v>46212.56547</v>
      </c>
      <c r="AH691" s="5" t="str">
        <f>IFERROR(__xludf.DUMMYFUNCTION("""COMPUTED_VALUE"""),"selena.mihajlovic@fazi.rs")</f>
        <v>selena.mihajlovic@fazi.rs</v>
      </c>
      <c r="AI691" s="13"/>
      <c r="AJ691" s="5"/>
      <c r="AK691" s="5">
        <f>IFERROR(__xludf.DUMMYFUNCTION("""COMPUTED_VALUE"""),1.0)</f>
        <v>1</v>
      </c>
      <c r="AL691" s="5" t="str">
        <f>IFERROR(__xludf.DUMMYFUNCTION("""COMPUTED_VALUE"""),"No")</f>
        <v>No</v>
      </c>
      <c r="AM691" s="5" t="str">
        <f>IFERROR(__xludf.DUMMYFUNCTION("""COMPUTED_VALUE"""),"No")</f>
        <v>No</v>
      </c>
      <c r="AN691" s="7" t="str">
        <f>IFERROR(__xludf.DUMMYFUNCTION("""COMPUTED_VALUE"""),"https://static.redstone.rs/games/fruit-fire/")</f>
        <v>https://static.redstone.rs/games/fruit-fire/</v>
      </c>
      <c r="AO691" s="5" t="str">
        <f>IFERROR(__xludf.DUMMYFUNCTION("""COMPUTED_VALUE"""),"No")</f>
        <v>No</v>
      </c>
      <c r="AP691" s="5" t="str">
        <f>IFERROR(__xludf.DUMMYFUNCTION("""COMPUTED_VALUE"""),"No")</f>
        <v>No</v>
      </c>
      <c r="AQ691" s="5" t="b">
        <f>IFERROR(__xludf.DUMMYFUNCTION("""COMPUTED_VALUE"""),TRUE)</f>
        <v>1</v>
      </c>
      <c r="AR691" s="5"/>
      <c r="AS691" s="5" t="str">
        <f>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AT691" s="5"/>
      <c r="AU691" s="5" t="str">
        <f>IFERROR(__xludf.DUMMYFUNCTION("""COMPUTED_VALUE"""),"Redstone")</f>
        <v>Redstone</v>
      </c>
      <c r="AV691" s="5">
        <f>IFERROR(__xludf.DUMMYFUNCTION("""COMPUTED_VALUE"""),10.0)</f>
        <v>10</v>
      </c>
      <c r="AW691" s="5"/>
      <c r="AX691" s="13">
        <f>IFERROR(__xludf.DUMMYFUNCTION("""COMPUTED_VALUE"""),46105.0)</f>
        <v>46105</v>
      </c>
      <c r="AY691" s="5"/>
      <c r="AZ691" s="5"/>
      <c r="BA691" s="5"/>
      <c r="BB691" s="5" t="b">
        <f>IFERROR(__xludf.DUMMYFUNCTION("""COMPUTED_VALUE"""),TRUE)</f>
        <v>1</v>
      </c>
      <c r="BC691" s="5" t="str">
        <f>IFERROR(__xludf.DUMMYFUNCTION("""COMPUTED_VALUE"""),"Redstone")</f>
        <v>Redstone</v>
      </c>
      <c r="BD691" s="7" t="str">
        <f>IFERROR(__xludf.DUMMYFUNCTION("""COMPUTED_VALUE"""),"https://static.redstone.rs/games/fruit-fire/")</f>
        <v>https://static.redstone.rs/games/fruit-fire/</v>
      </c>
      <c r="BE691" s="5" t="b">
        <f>IFERROR(__xludf.DUMMYFUNCTION("""COMPUTED_VALUE"""),TRUE)</f>
        <v>1</v>
      </c>
    </row>
    <row r="692">
      <c r="A692" s="5">
        <f>IFERROR(__xludf.DUMMYFUNCTION("""COMPUTED_VALUE"""),727.0)</f>
        <v>727</v>
      </c>
      <c r="B692" s="5">
        <f>IFERROR(__xludf.DUMMYFUNCTION("""COMPUTED_VALUE"""),180065.0)</f>
        <v>180065</v>
      </c>
      <c r="C692" s="5" t="str">
        <f>IFERROR(__xludf.DUMMYFUNCTION("""COMPUTED_VALUE"""),"Redstone")</f>
        <v>Redstone</v>
      </c>
      <c r="D692" s="5" t="str">
        <f>IFERROR(__xludf.DUMMYFUNCTION("""COMPUTED_VALUE"""),"X Clover Fire")</f>
        <v>X Clover Fire</v>
      </c>
      <c r="E692" s="5" t="str">
        <f>IFERROR(__xludf.DUMMYFUNCTION("""COMPUTED_VALUE"""),"Redstone")</f>
        <v>Redstone</v>
      </c>
      <c r="F692" s="5" t="str">
        <f>IFERROR(__xludf.DUMMYFUNCTION("""COMPUTED_VALUE"""),"RedstoneXCloverFire")</f>
        <v>RedstoneXCloverFire</v>
      </c>
      <c r="G692" s="5" t="str">
        <f>IFERROR(__xludf.DUMMYFUNCTION("""COMPUTED_VALUE"""),"Live")</f>
        <v>Live</v>
      </c>
      <c r="H692" s="5"/>
      <c r="I692" s="5" t="str">
        <f>IFERROR(__xludf.DUMMYFUNCTION("""COMPUTED_VALUE"""),"Redstone")</f>
        <v>Redstone</v>
      </c>
      <c r="J692" s="5" t="str">
        <f>IFERROR(__xludf.DUMMYFUNCTION("""COMPUTED_VALUE"""),"JSON")</f>
        <v>JSON</v>
      </c>
      <c r="K692" s="5" t="str">
        <f>IFERROR(__xludf.DUMMYFUNCTION("""COMPUTED_VALUE"""),"Slot")</f>
        <v>Slot</v>
      </c>
      <c r="L692" s="5" t="str">
        <f>IFERROR(__xludf.DUMMYFUNCTION("""COMPUTED_VALUE""")," Reskin")</f>
        <v> Reskin</v>
      </c>
      <c r="M692" s="5" t="str">
        <f>IFERROR(__xludf.DUMMYFUNCTION("""COMPUTED_VALUE"""),"Multi Heart 5")</f>
        <v>Multi Heart 5</v>
      </c>
      <c r="N692" s="7" t="str">
        <f>IFERROR(__xludf.DUMMYFUNCTION("""COMPUTED_VALUE"""),"https://docs.google.com/document/d/1wjAA9dVrysXRFWD6hDLMhXgTp1vFJXxU/edit")</f>
        <v>https://docs.google.com/document/d/1wjAA9dVrysXRFWD6hDLMhXgTp1vFJXxU/edit</v>
      </c>
      <c r="O692" s="7" t="str">
        <f>IFERROR(__xludf.DUMMYFUNCTION("""COMPUTED_VALUE"""),"https://docs.google.com/document/d/1wjAA9dVrysXRFWD6hDLMhXgTp1vFJXxU/edit")</f>
        <v>https://docs.google.com/document/d/1wjAA9dVrysXRFWD6hDLMhXgTp1vFJXxU/edit</v>
      </c>
      <c r="P692" s="12">
        <f>IFERROR(__xludf.DUMMYFUNCTION("""COMPUTED_VALUE"""),7.0)</f>
        <v>7</v>
      </c>
      <c r="Q692" s="13">
        <f>IFERROR(__xludf.DUMMYFUNCTION("""COMPUTED_VALUE"""),46111.0)</f>
        <v>46111</v>
      </c>
      <c r="R692" s="13">
        <f>IFERROR(__xludf.DUMMYFUNCTION("""COMPUTED_VALUE"""),46111.0)</f>
        <v>46111</v>
      </c>
      <c r="S692" s="13">
        <f>IFERROR(__xludf.DUMMYFUNCTION("""COMPUTED_VALUE"""),46118.0)</f>
        <v>46118</v>
      </c>
      <c r="T692" s="5" t="b">
        <f>IFERROR(__xludf.DUMMYFUNCTION("""COMPUTED_VALUE"""),TRUE)</f>
        <v>1</v>
      </c>
      <c r="U692" s="5" t="str">
        <f>IFERROR(__xludf.DUMMYFUNCTION("""COMPUTED_VALUE"""),"5x3")</f>
        <v>5x3</v>
      </c>
      <c r="V692" s="5">
        <f>IFERROR(__xludf.DUMMYFUNCTION("""COMPUTED_VALUE"""),5.0)</f>
        <v>5</v>
      </c>
      <c r="W692" s="5">
        <f>IFERROR(__xludf.DUMMYFUNCTION("""COMPUTED_VALUE"""),5.0)</f>
        <v>5</v>
      </c>
      <c r="X692" s="5">
        <f>IFERROR(__xludf.DUMMYFUNCTION("""COMPUTED_VALUE"""),95.96)</f>
        <v>95.96</v>
      </c>
      <c r="Y692" s="5" t="str">
        <f>IFERROR(__xludf.DUMMYFUNCTION("""COMPUTED_VALUE"""),"Low")</f>
        <v>Low</v>
      </c>
      <c r="Z692" s="5">
        <f>IFERROR(__xludf.DUMMYFUNCTION("""COMPUTED_VALUE"""),10.7)</f>
        <v>10.7</v>
      </c>
      <c r="AA692" s="5">
        <f>IFERROR(__xludf.DUMMYFUNCTION("""COMPUTED_VALUE"""),2150.0)</f>
        <v>2150</v>
      </c>
      <c r="AB692" s="5"/>
      <c r="AC692" s="5" t="str">
        <f>IFERROR(__xludf.DUMMYFUNCTION("""COMPUTED_VALUE"""),"Expanding Wild, Wild Multiplier")</f>
        <v>Expanding Wild, Wild Multiplier</v>
      </c>
      <c r="AD692" s="5" t="str">
        <f>IFERROR(__xludf.DUMMYFUNCTION("""COMPUTED_VALUE"""),"0.10/50")</f>
        <v>0.10/50</v>
      </c>
      <c r="AE692" s="5"/>
      <c r="AF692" s="5"/>
      <c r="AG692" s="8">
        <f>IFERROR(__xludf.DUMMYFUNCTION("""COMPUTED_VALUE"""),46212.565775462965)</f>
        <v>46212.56578</v>
      </c>
      <c r="AH692" s="5" t="str">
        <f>IFERROR(__xludf.DUMMYFUNCTION("""COMPUTED_VALUE"""),"selena.mihajlovic@fazi.rs")</f>
        <v>selena.mihajlovic@fazi.rs</v>
      </c>
      <c r="AI692" s="13"/>
      <c r="AJ692" s="5"/>
      <c r="AK692" s="5">
        <f>IFERROR(__xludf.DUMMYFUNCTION("""COMPUTED_VALUE"""),1.0)</f>
        <v>1</v>
      </c>
      <c r="AL692" s="5" t="str">
        <f>IFERROR(__xludf.DUMMYFUNCTION("""COMPUTED_VALUE"""),"No")</f>
        <v>No</v>
      </c>
      <c r="AM692" s="5" t="str">
        <f>IFERROR(__xludf.DUMMYFUNCTION("""COMPUTED_VALUE"""),"No")</f>
        <v>No</v>
      </c>
      <c r="AN692" s="7" t="str">
        <f>IFERROR(__xludf.DUMMYFUNCTION("""COMPUTED_VALUE"""),"https://static.redstone.rs/games/x-clover-fire/")</f>
        <v>https://static.redstone.rs/games/x-clover-fire/</v>
      </c>
      <c r="AO692" s="5" t="str">
        <f>IFERROR(__xludf.DUMMYFUNCTION("""COMPUTED_VALUE"""),"No")</f>
        <v>No</v>
      </c>
      <c r="AP692" s="5" t="str">
        <f>IFERROR(__xludf.DUMMYFUNCTION("""COMPUTED_VALUE"""),"No")</f>
        <v>No</v>
      </c>
      <c r="AQ692" s="5" t="b">
        <f>IFERROR(__xludf.DUMMYFUNCTION("""COMPUTED_VALUE"""),TRUE)</f>
        <v>1</v>
      </c>
      <c r="AR692" s="5"/>
      <c r="AS692" s="5" t="str">
        <f>IFERROR(__xludf.DUMMYFUNCTION("""COMPUTED_VALUE"""),"In X Clover Fire, everything revolves around the Clover. Land it and your win multiplies instantly, hit more across the reels and the payout keeps climbing.
")</f>
        <v>In X Clover Fire, everything revolves around the Clover. Land it and your win multiplies instantly, hit more across the reels and the payout keeps climbing.
</v>
      </c>
      <c r="AT692" s="5"/>
      <c r="AU692" s="5" t="str">
        <f>IFERROR(__xludf.DUMMYFUNCTION("""COMPUTED_VALUE"""),"Redstone")</f>
        <v>Redstone</v>
      </c>
      <c r="AV692" s="5">
        <f>IFERROR(__xludf.DUMMYFUNCTION("""COMPUTED_VALUE"""),10.0)</f>
        <v>10</v>
      </c>
      <c r="AW692" s="5"/>
      <c r="AX692" s="13">
        <f>IFERROR(__xludf.DUMMYFUNCTION("""COMPUTED_VALUE"""),46105.0)</f>
        <v>46105</v>
      </c>
      <c r="AY692" s="5"/>
      <c r="AZ692" s="5"/>
      <c r="BA692" s="5"/>
      <c r="BB692" s="5" t="b">
        <f>IFERROR(__xludf.DUMMYFUNCTION("""COMPUTED_VALUE"""),TRUE)</f>
        <v>1</v>
      </c>
      <c r="BC692" s="5" t="str">
        <f>IFERROR(__xludf.DUMMYFUNCTION("""COMPUTED_VALUE"""),"Redstone")</f>
        <v>Redstone</v>
      </c>
      <c r="BD692" s="7" t="str">
        <f>IFERROR(__xludf.DUMMYFUNCTION("""COMPUTED_VALUE"""),"https://static.redstone.rs/games/x-clover-fire/")</f>
        <v>https://static.redstone.rs/games/x-clover-fire/</v>
      </c>
      <c r="BE692" s="5" t="b">
        <f>IFERROR(__xludf.DUMMYFUNCTION("""COMPUTED_VALUE"""),TRUE)</f>
        <v>1</v>
      </c>
    </row>
    <row r="693">
      <c r="A693" s="5">
        <f>IFERROR(__xludf.DUMMYFUNCTION("""COMPUTED_VALUE"""),728.0)</f>
        <v>728</v>
      </c>
      <c r="B693" s="5">
        <f>IFERROR(__xludf.DUMMYFUNCTION("""COMPUTED_VALUE"""),180067.0)</f>
        <v>180067</v>
      </c>
      <c r="C693" s="5" t="str">
        <f>IFERROR(__xludf.DUMMYFUNCTION("""COMPUTED_VALUE"""),"Redstone")</f>
        <v>Redstone</v>
      </c>
      <c r="D693" s="5" t="str">
        <f>IFERROR(__xludf.DUMMYFUNCTION("""COMPUTED_VALUE"""),"5 Heart Deluxe")</f>
        <v>5 Heart Deluxe</v>
      </c>
      <c r="E693" s="5" t="str">
        <f>IFERROR(__xludf.DUMMYFUNCTION("""COMPUTED_VALUE"""),"Redstone")</f>
        <v>Redstone</v>
      </c>
      <c r="F693" s="5" t="str">
        <f>IFERROR(__xludf.DUMMYFUNCTION("""COMPUTED_VALUE"""),"Redstone5HeartDeluxe")</f>
        <v>Redstone5HeartDeluxe</v>
      </c>
      <c r="G693" s="5" t="str">
        <f>IFERROR(__xludf.DUMMYFUNCTION("""COMPUTED_VALUE"""),"Live")</f>
        <v>Live</v>
      </c>
      <c r="H693" s="5"/>
      <c r="I693" s="5" t="str">
        <f>IFERROR(__xludf.DUMMYFUNCTION("""COMPUTED_VALUE"""),"Redstone")</f>
        <v>Redstone</v>
      </c>
      <c r="J693" s="5" t="str">
        <f>IFERROR(__xludf.DUMMYFUNCTION("""COMPUTED_VALUE"""),"JSON")</f>
        <v>JSON</v>
      </c>
      <c r="K693" s="5" t="str">
        <f>IFERROR(__xludf.DUMMYFUNCTION("""COMPUTED_VALUE"""),"Slot")</f>
        <v>Slot</v>
      </c>
      <c r="L693" s="5" t="str">
        <f>IFERROR(__xludf.DUMMYFUNCTION("""COMPUTED_VALUE""")," Reskin")</f>
        <v> Reskin</v>
      </c>
      <c r="M693" s="5" t="str">
        <f>IFERROR(__xludf.DUMMYFUNCTION("""COMPUTED_VALUE"""),"5 Wild Heart")</f>
        <v>5 Wild Heart</v>
      </c>
      <c r="N693" s="7" t="str">
        <f>IFERROR(__xludf.DUMMYFUNCTION("""COMPUTED_VALUE"""),"https://docs.google.com/document/d/1FpkbA-AdLoL-JLYpZ6MRGHBx-ZEaymBO/edit?usp=drive_link&amp;ouid=107596163405648766688&amp;rtpof=true&amp;sd=true")</f>
        <v>https://docs.google.com/document/d/1FpkbA-AdLoL-JLYpZ6MRGHBx-ZEaymBO/edit?usp=drive_link&amp;ouid=107596163405648766688&amp;rtpof=true&amp;sd=true</v>
      </c>
      <c r="O693" s="7" t="str">
        <f>IFERROR(__xludf.DUMMYFUNCTION("""COMPUTED_VALUE"""),"https://docs.google.com/document/d/12Am11-4mtpE7Vt3O5Za5EBDo3bJWky8h/edit?usp=drive_link&amp;ouid=107596163405648766688&amp;rtpof=true&amp;sd=true")</f>
        <v>https://docs.google.com/document/d/12Am11-4mtpE7Vt3O5Za5EBDo3bJWky8h/edit?usp=drive_link&amp;ouid=107596163405648766688&amp;rtpof=true&amp;sd=true</v>
      </c>
      <c r="P693" s="12">
        <f>IFERROR(__xludf.DUMMYFUNCTION("""COMPUTED_VALUE"""),8.6)</f>
        <v>8.6</v>
      </c>
      <c r="Q693" s="13">
        <f>IFERROR(__xludf.DUMMYFUNCTION("""COMPUTED_VALUE"""),46111.0)</f>
        <v>46111</v>
      </c>
      <c r="R693" s="13">
        <f>IFERROR(__xludf.DUMMYFUNCTION("""COMPUTED_VALUE"""),46126.0)</f>
        <v>46126</v>
      </c>
      <c r="S693" s="13">
        <f>IFERROR(__xludf.DUMMYFUNCTION("""COMPUTED_VALUE"""),46133.0)</f>
        <v>46133</v>
      </c>
      <c r="T693" s="5" t="b">
        <f>IFERROR(__xludf.DUMMYFUNCTION("""COMPUTED_VALUE"""),TRUE)</f>
        <v>1</v>
      </c>
      <c r="U693" s="5" t="str">
        <f>IFERROR(__xludf.DUMMYFUNCTION("""COMPUTED_VALUE"""),"5x3")</f>
        <v>5x3</v>
      </c>
      <c r="V693" s="5">
        <f>IFERROR(__xludf.DUMMYFUNCTION("""COMPUTED_VALUE"""),5.0)</f>
        <v>5</v>
      </c>
      <c r="W693" s="5">
        <f>IFERROR(__xludf.DUMMYFUNCTION("""COMPUTED_VALUE"""),5.0)</f>
        <v>5</v>
      </c>
      <c r="X693" s="5">
        <f>IFERROR(__xludf.DUMMYFUNCTION("""COMPUTED_VALUE"""),96.45)</f>
        <v>96.45</v>
      </c>
      <c r="Y693" s="5" t="str">
        <f>IFERROR(__xludf.DUMMYFUNCTION("""COMPUTED_VALUE"""),"Low")</f>
        <v>Low</v>
      </c>
      <c r="Z693" s="5">
        <f>IFERROR(__xludf.DUMMYFUNCTION("""COMPUTED_VALUE"""),14.5)</f>
        <v>14.5</v>
      </c>
      <c r="AA693" s="5">
        <f>IFERROR(__xludf.DUMMYFUNCTION("""COMPUTED_VALUE"""),1222.0)</f>
        <v>1222</v>
      </c>
      <c r="AB693" s="5"/>
      <c r="AC693" s="5" t="str">
        <f>IFERROR(__xludf.DUMMYFUNCTION("""COMPUTED_VALUE"""),"Expanding Wild, Scatter")</f>
        <v>Expanding Wild, Scatter</v>
      </c>
      <c r="AD693" s="5" t="str">
        <f>IFERROR(__xludf.DUMMYFUNCTION("""COMPUTED_VALUE"""),"0.05/30")</f>
        <v>0.05/30</v>
      </c>
      <c r="AE693" s="5"/>
      <c r="AF693" s="5"/>
      <c r="AG693" s="8">
        <f>IFERROR(__xludf.DUMMYFUNCTION("""COMPUTED_VALUE"""),46212.56605324074)</f>
        <v>46212.56605</v>
      </c>
      <c r="AH693" s="5" t="str">
        <f>IFERROR(__xludf.DUMMYFUNCTION("""COMPUTED_VALUE"""),"selena.mihajlovic@fazi.rs")</f>
        <v>selena.mihajlovic@fazi.rs</v>
      </c>
      <c r="AI693" s="13"/>
      <c r="AJ693" s="5"/>
      <c r="AK693" s="5">
        <f>IFERROR(__xludf.DUMMYFUNCTION("""COMPUTED_VALUE"""),1.0)</f>
        <v>1</v>
      </c>
      <c r="AL693" s="5" t="str">
        <f>IFERROR(__xludf.DUMMYFUNCTION("""COMPUTED_VALUE"""),"No")</f>
        <v>No</v>
      </c>
      <c r="AM693" s="5" t="str">
        <f>IFERROR(__xludf.DUMMYFUNCTION("""COMPUTED_VALUE"""),"No")</f>
        <v>No</v>
      </c>
      <c r="AN693" s="7" t="str">
        <f>IFERROR(__xludf.DUMMYFUNCTION("""COMPUTED_VALUE"""),"https://static.redstone.rs/games/5-heart-deluxe/")</f>
        <v>https://static.redstone.rs/games/5-heart-deluxe/</v>
      </c>
      <c r="AO693" s="5" t="str">
        <f>IFERROR(__xludf.DUMMYFUNCTION("""COMPUTED_VALUE"""),"No")</f>
        <v>No</v>
      </c>
      <c r="AP693" s="5" t="str">
        <f>IFERROR(__xludf.DUMMYFUNCTION("""COMPUTED_VALUE"""),"No")</f>
        <v>No</v>
      </c>
      <c r="AQ693" s="5" t="b">
        <f>IFERROR(__xludf.DUMMYFUNCTION("""COMPUTED_VALUE"""),TRUE)</f>
        <v>1</v>
      </c>
      <c r="AR693" s="5"/>
      <c r="AS693" s="5" t="str">
        <f>IFERROR(__xludf.DUMMYFUNCTION("""COMPUTED_VALUE"""),"Take your spin in 5 Heart Deluxe and play it your way! Fast spins, clear hits, and a classic feel that never gets old.")</f>
        <v>Take your spin in 5 Heart Deluxe and play it your way! Fast spins, clear hits, and a classic feel that never gets old.</v>
      </c>
      <c r="AT693" s="5"/>
      <c r="AU693" s="5" t="str">
        <f>IFERROR(__xludf.DUMMYFUNCTION("""COMPUTED_VALUE"""),"Redstone")</f>
        <v>Redstone</v>
      </c>
      <c r="AV693" s="5">
        <f>IFERROR(__xludf.DUMMYFUNCTION("""COMPUTED_VALUE"""),10.0)</f>
        <v>10</v>
      </c>
      <c r="AW693" s="5"/>
      <c r="AX693" s="13">
        <f>IFERROR(__xludf.DUMMYFUNCTION("""COMPUTED_VALUE"""),46105.0)</f>
        <v>46105</v>
      </c>
      <c r="AY693" s="5"/>
      <c r="AZ693" s="5"/>
      <c r="BA693" s="5"/>
      <c r="BB693" s="5" t="b">
        <f>IFERROR(__xludf.DUMMYFUNCTION("""COMPUTED_VALUE"""),TRUE)</f>
        <v>1</v>
      </c>
      <c r="BC693" s="5" t="str">
        <f>IFERROR(__xludf.DUMMYFUNCTION("""COMPUTED_VALUE"""),"Redstone")</f>
        <v>Redstone</v>
      </c>
      <c r="BD693" s="7" t="str">
        <f>IFERROR(__xludf.DUMMYFUNCTION("""COMPUTED_VALUE"""),"https://static.redstone.rs/games/5-heart-deluxe/")</f>
        <v>https://static.redstone.rs/games/5-heart-deluxe/</v>
      </c>
      <c r="BE693" s="5" t="b">
        <f>IFERROR(__xludf.DUMMYFUNCTION("""COMPUTED_VALUE"""),TRUE)</f>
        <v>1</v>
      </c>
    </row>
    <row r="694">
      <c r="A694" s="5">
        <f>IFERROR(__xludf.DUMMYFUNCTION("""COMPUTED_VALUE"""),729.0)</f>
        <v>729</v>
      </c>
      <c r="B694" s="5">
        <f>IFERROR(__xludf.DUMMYFUNCTION("""COMPUTED_VALUE"""),180068.0)</f>
        <v>180068</v>
      </c>
      <c r="C694" s="5" t="str">
        <f>IFERROR(__xludf.DUMMYFUNCTION("""COMPUTED_VALUE"""),"Redstone")</f>
        <v>Redstone</v>
      </c>
      <c r="D694" s="5" t="str">
        <f>IFERROR(__xludf.DUMMYFUNCTION("""COMPUTED_VALUE"""),"Clover Deluxe 2X")</f>
        <v>Clover Deluxe 2X</v>
      </c>
      <c r="E694" s="5" t="str">
        <f>IFERROR(__xludf.DUMMYFUNCTION("""COMPUTED_VALUE"""),"Redstone")</f>
        <v>Redstone</v>
      </c>
      <c r="F694" s="5" t="str">
        <f>IFERROR(__xludf.DUMMYFUNCTION("""COMPUTED_VALUE"""),"RedstoneCloverDeluxe2X")</f>
        <v>RedstoneCloverDeluxe2X</v>
      </c>
      <c r="G694" s="5" t="str">
        <f>IFERROR(__xludf.DUMMYFUNCTION("""COMPUTED_VALUE"""),"Live")</f>
        <v>Live</v>
      </c>
      <c r="H694" s="5"/>
      <c r="I694" s="5" t="str">
        <f>IFERROR(__xludf.DUMMYFUNCTION("""COMPUTED_VALUE"""),"Redstone")</f>
        <v>Redstone</v>
      </c>
      <c r="J694" s="5" t="str">
        <f>IFERROR(__xludf.DUMMYFUNCTION("""COMPUTED_VALUE"""),"JSON")</f>
        <v>JSON</v>
      </c>
      <c r="K694" s="5" t="str">
        <f>IFERROR(__xludf.DUMMYFUNCTION("""COMPUTED_VALUE"""),"Slot")</f>
        <v>Slot</v>
      </c>
      <c r="L694" s="5" t="str">
        <f>IFERROR(__xludf.DUMMYFUNCTION("""COMPUTED_VALUE""")," Clone")</f>
        <v> Clone</v>
      </c>
      <c r="M694" s="5" t="str">
        <f>IFERROR(__xludf.DUMMYFUNCTION("""COMPUTED_VALUE"""),"Chilli Double")</f>
        <v>Chilli Double</v>
      </c>
      <c r="N694" s="7" t="str">
        <f>IFERROR(__xludf.DUMMYFUNCTION("""COMPUTED_VALUE"""),"https://docs.google.com/document/d/1-6PcnJ06SjYueBh39-ZuoVgt9p51TmOA/edit?usp=drive_link&amp;ouid=107596163405648766688&amp;rtpof=true&amp;sd=true")</f>
        <v>https://docs.google.com/document/d/1-6PcnJ06SjYueBh39-ZuoVgt9p51TmOA/edit?usp=drive_link&amp;ouid=107596163405648766688&amp;rtpof=true&amp;sd=true</v>
      </c>
      <c r="O694" s="7" t="str">
        <f>IFERROR(__xludf.DUMMYFUNCTION("""COMPUTED_VALUE"""),"https://docs.google.com/document/d/1KHwmVd0v96F5rocHLZGBtfkluMqsRMvs/edit?usp=drive_link&amp;ouid=107596163405648766688&amp;rtpof=true&amp;sd=true")</f>
        <v>https://docs.google.com/document/d/1KHwmVd0v96F5rocHLZGBtfkluMqsRMvs/edit?usp=drive_link&amp;ouid=107596163405648766688&amp;rtpof=true&amp;sd=true</v>
      </c>
      <c r="P694" s="12">
        <f>IFERROR(__xludf.DUMMYFUNCTION("""COMPUTED_VALUE"""),8.5)</f>
        <v>8.5</v>
      </c>
      <c r="Q694" s="13">
        <f>IFERROR(__xludf.DUMMYFUNCTION("""COMPUTED_VALUE"""),46111.0)</f>
        <v>46111</v>
      </c>
      <c r="R694" s="13">
        <f>IFERROR(__xludf.DUMMYFUNCTION("""COMPUTED_VALUE"""),46132.0)</f>
        <v>46132</v>
      </c>
      <c r="S694" s="13">
        <f>IFERROR(__xludf.DUMMYFUNCTION("""COMPUTED_VALUE"""),46139.0)</f>
        <v>46139</v>
      </c>
      <c r="T694" s="5" t="b">
        <f>IFERROR(__xludf.DUMMYFUNCTION("""COMPUTED_VALUE"""),TRUE)</f>
        <v>1</v>
      </c>
      <c r="U694" s="5" t="str">
        <f>IFERROR(__xludf.DUMMYFUNCTION("""COMPUTED_VALUE"""),"5x3")</f>
        <v>5x3</v>
      </c>
      <c r="V694" s="5">
        <f>IFERROR(__xludf.DUMMYFUNCTION("""COMPUTED_VALUE"""),5.0)</f>
        <v>5</v>
      </c>
      <c r="W694" s="5">
        <f>IFERROR(__xludf.DUMMYFUNCTION("""COMPUTED_VALUE"""),5.0)</f>
        <v>5</v>
      </c>
      <c r="X694" s="5">
        <f>IFERROR(__xludf.DUMMYFUNCTION("""COMPUTED_VALUE"""),96.45)</f>
        <v>96.45</v>
      </c>
      <c r="Y694" s="5" t="str">
        <f>IFERROR(__xludf.DUMMYFUNCTION("""COMPUTED_VALUE"""),"Low")</f>
        <v>Low</v>
      </c>
      <c r="Z694" s="5">
        <f>IFERROR(__xludf.DUMMYFUNCTION("""COMPUTED_VALUE"""),14.23)</f>
        <v>14.23</v>
      </c>
      <c r="AA694" s="5">
        <f>IFERROR(__xludf.DUMMYFUNCTION("""COMPUTED_VALUE"""),2624.0)</f>
        <v>2624</v>
      </c>
      <c r="AB694" s="5"/>
      <c r="AC694" s="5" t="str">
        <f>IFERROR(__xludf.DUMMYFUNCTION("""COMPUTED_VALUE"""),"Expanding Wild, Scatter")</f>
        <v>Expanding Wild, Scatter</v>
      </c>
      <c r="AD694" s="5" t="str">
        <f>IFERROR(__xludf.DUMMYFUNCTION("""COMPUTED_VALUE"""),"0.10/50")</f>
        <v>0.10/50</v>
      </c>
      <c r="AE694" s="5"/>
      <c r="AF694" s="5"/>
      <c r="AG694" s="8">
        <f>IFERROR(__xludf.DUMMYFUNCTION("""COMPUTED_VALUE"""),46212.56644675926)</f>
        <v>46212.56645</v>
      </c>
      <c r="AH694" s="5" t="str">
        <f>IFERROR(__xludf.DUMMYFUNCTION("""COMPUTED_VALUE"""),"selena.mihajlovic@fazi.rs")</f>
        <v>selena.mihajlovic@fazi.rs</v>
      </c>
      <c r="AI694" s="13"/>
      <c r="AJ694" s="5"/>
      <c r="AK694" s="5">
        <f>IFERROR(__xludf.DUMMYFUNCTION("""COMPUTED_VALUE"""),1.0)</f>
        <v>1</v>
      </c>
      <c r="AL694" s="5" t="str">
        <f>IFERROR(__xludf.DUMMYFUNCTION("""COMPUTED_VALUE"""),"No")</f>
        <v>No</v>
      </c>
      <c r="AM694" s="5" t="str">
        <f>IFERROR(__xludf.DUMMYFUNCTION("""COMPUTED_VALUE"""),"No")</f>
        <v>No</v>
      </c>
      <c r="AN694" s="7" t="str">
        <f>IFERROR(__xludf.DUMMYFUNCTION("""COMPUTED_VALUE"""),"https://static.redstone.rs/games/heart-deluxe-2x/")</f>
        <v>https://static.redstone.rs/games/heart-deluxe-2x/</v>
      </c>
      <c r="AO694" s="5" t="str">
        <f>IFERROR(__xludf.DUMMYFUNCTION("""COMPUTED_VALUE"""),"No")</f>
        <v>No</v>
      </c>
      <c r="AP694" s="5" t="str">
        <f>IFERROR(__xludf.DUMMYFUNCTION("""COMPUTED_VALUE"""),"No")</f>
        <v>No</v>
      </c>
      <c r="AQ694" s="5" t="b">
        <f>IFERROR(__xludf.DUMMYFUNCTION("""COMPUTED_VALUE"""),TRUE)</f>
        <v>1</v>
      </c>
      <c r="AR694" s="5"/>
      <c r="AS694"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4" s="5"/>
      <c r="AU694" s="5" t="str">
        <f>IFERROR(__xludf.DUMMYFUNCTION("""COMPUTED_VALUE"""),"Redstone")</f>
        <v>Redstone</v>
      </c>
      <c r="AV694" s="5"/>
      <c r="AW694" s="5"/>
      <c r="AX694" s="13">
        <f>IFERROR(__xludf.DUMMYFUNCTION("""COMPUTED_VALUE"""),46105.0)</f>
        <v>46105</v>
      </c>
      <c r="AY694" s="5"/>
      <c r="AZ694" s="5"/>
      <c r="BA694" s="5"/>
      <c r="BB694" s="5" t="b">
        <f>IFERROR(__xludf.DUMMYFUNCTION("""COMPUTED_VALUE"""),TRUE)</f>
        <v>1</v>
      </c>
      <c r="BC694" s="5" t="str">
        <f>IFERROR(__xludf.DUMMYFUNCTION("""COMPUTED_VALUE"""),"Redstone")</f>
        <v>Redstone</v>
      </c>
      <c r="BD694" s="7" t="str">
        <f>IFERROR(__xludf.DUMMYFUNCTION("""COMPUTED_VALUE"""),"https://static.redstone.rs/games/heart-deluxe-2x/")</f>
        <v>https://static.redstone.rs/games/heart-deluxe-2x/</v>
      </c>
      <c r="BE694" s="5" t="b">
        <f>IFERROR(__xludf.DUMMYFUNCTION("""COMPUTED_VALUE"""),TRUE)</f>
        <v>1</v>
      </c>
    </row>
    <row r="695">
      <c r="A695" s="5">
        <f>IFERROR(__xludf.DUMMYFUNCTION("""COMPUTED_VALUE"""),730.0)</f>
        <v>730</v>
      </c>
      <c r="B695" s="5">
        <f>IFERROR(__xludf.DUMMYFUNCTION("""COMPUTED_VALUE"""),180069.0)</f>
        <v>180069</v>
      </c>
      <c r="C695" s="5" t="str">
        <f>IFERROR(__xludf.DUMMYFUNCTION("""COMPUTED_VALUE"""),"Redstone")</f>
        <v>Redstone</v>
      </c>
      <c r="D695" s="5" t="str">
        <f>IFERROR(__xludf.DUMMYFUNCTION("""COMPUTED_VALUE"""),"Pure Hot 5")</f>
        <v>Pure Hot 5</v>
      </c>
      <c r="E695" s="5" t="str">
        <f>IFERROR(__xludf.DUMMYFUNCTION("""COMPUTED_VALUE"""),"Redstone")</f>
        <v>Redstone</v>
      </c>
      <c r="F695" s="5" t="str">
        <f>IFERROR(__xludf.DUMMYFUNCTION("""COMPUTED_VALUE"""),"RedstonePureHot5")</f>
        <v>RedstonePureHot5</v>
      </c>
      <c r="G695" s="5" t="str">
        <f>IFERROR(__xludf.DUMMYFUNCTION("""COMPUTED_VALUE"""),"Live")</f>
        <v>Live</v>
      </c>
      <c r="H695" s="5"/>
      <c r="I695" s="5" t="str">
        <f>IFERROR(__xludf.DUMMYFUNCTION("""COMPUTED_VALUE"""),"Redstone")</f>
        <v>Redstone</v>
      </c>
      <c r="J695" s="5" t="str">
        <f>IFERROR(__xludf.DUMMYFUNCTION("""COMPUTED_VALUE"""),"JSON")</f>
        <v>JSON</v>
      </c>
      <c r="K695" s="5" t="str">
        <f>IFERROR(__xludf.DUMMYFUNCTION("""COMPUTED_VALUE"""),"Slot")</f>
        <v>Slot</v>
      </c>
      <c r="L695" s="5" t="str">
        <f>IFERROR(__xludf.DUMMYFUNCTION("""COMPUTED_VALUE""")," Reskin")</f>
        <v> Reskin</v>
      </c>
      <c r="M695" s="5" t="str">
        <f>IFERROR(__xludf.DUMMYFUNCTION("""COMPUTED_VALUE"""),"Fruit Fire")</f>
        <v>Fruit Fire</v>
      </c>
      <c r="N695" s="7" t="str">
        <f>IFERROR(__xludf.DUMMYFUNCTION("""COMPUTED_VALUE"""),"https://docs.google.com/document/d/1OM9irwnSHXhkrqcPxaDoezRuDMEm--4_/edit?usp=drive_link&amp;ouid=107596163405648766688&amp;rtpof=true&amp;sd=true")</f>
        <v>https://docs.google.com/document/d/1OM9irwnSHXhkrqcPxaDoezRuDMEm--4_/edit?usp=drive_link&amp;ouid=107596163405648766688&amp;rtpof=true&amp;sd=true</v>
      </c>
      <c r="O695" s="7" t="str">
        <f>IFERROR(__xludf.DUMMYFUNCTION("""COMPUTED_VALUE"""),"https://docs.google.com/document/d/1SxO--5av61GOCZydyJnliOy8uqCPfzd9/edit?usp=drive_link&amp;ouid=107596163405648766688&amp;rtpof=true&amp;sd=true")</f>
        <v>https://docs.google.com/document/d/1SxO--5av61GOCZydyJnliOy8uqCPfzd9/edit?usp=drive_link&amp;ouid=107596163405648766688&amp;rtpof=true&amp;sd=true</v>
      </c>
      <c r="P695" s="12">
        <f>IFERROR(__xludf.DUMMYFUNCTION("""COMPUTED_VALUE"""),8.1)</f>
        <v>8.1</v>
      </c>
      <c r="Q695" s="13">
        <f>IFERROR(__xludf.DUMMYFUNCTION("""COMPUTED_VALUE"""),46139.0)</f>
        <v>46139</v>
      </c>
      <c r="R695" s="13">
        <f>IFERROR(__xludf.DUMMYFUNCTION("""COMPUTED_VALUE"""),46142.0)</f>
        <v>46142</v>
      </c>
      <c r="S695" s="13">
        <f>IFERROR(__xludf.DUMMYFUNCTION("""COMPUTED_VALUE"""),46149.0)</f>
        <v>46149</v>
      </c>
      <c r="T695" s="5" t="b">
        <f>IFERROR(__xludf.DUMMYFUNCTION("""COMPUTED_VALUE"""),TRUE)</f>
        <v>1</v>
      </c>
      <c r="U695" s="5" t="str">
        <f>IFERROR(__xludf.DUMMYFUNCTION("""COMPUTED_VALUE"""),"5x3")</f>
        <v>5x3</v>
      </c>
      <c r="V695" s="5">
        <f>IFERROR(__xludf.DUMMYFUNCTION("""COMPUTED_VALUE"""),5.0)</f>
        <v>5</v>
      </c>
      <c r="W695" s="5">
        <f>IFERROR(__xludf.DUMMYFUNCTION("""COMPUTED_VALUE"""),5.0)</f>
        <v>5</v>
      </c>
      <c r="X695" s="5">
        <f>IFERROR(__xludf.DUMMYFUNCTION("""COMPUTED_VALUE"""),96.5)</f>
        <v>96.5</v>
      </c>
      <c r="Y695" s="5" t="str">
        <f>IFERROR(__xludf.DUMMYFUNCTION("""COMPUTED_VALUE"""),"Low")</f>
        <v>Low</v>
      </c>
      <c r="Z695" s="5">
        <f>IFERROR(__xludf.DUMMYFUNCTION("""COMPUTED_VALUE"""),10.45)</f>
        <v>10.45</v>
      </c>
      <c r="AA695" s="5">
        <f>IFERROR(__xludf.DUMMYFUNCTION("""COMPUTED_VALUE"""),1040.0)</f>
        <v>1040</v>
      </c>
      <c r="AB695" s="5"/>
      <c r="AC695" s="5"/>
      <c r="AD695" s="5" t="str">
        <f>IFERROR(__xludf.DUMMYFUNCTION("""COMPUTED_VALUE"""),"0.10/50")</f>
        <v>0.10/50</v>
      </c>
      <c r="AE695" s="5"/>
      <c r="AF695" s="5"/>
      <c r="AG695" s="8">
        <f>IFERROR(__xludf.DUMMYFUNCTION("""COMPUTED_VALUE"""),46212.567453703705)</f>
        <v>46212.56745</v>
      </c>
      <c r="AH695" s="5" t="str">
        <f>IFERROR(__xludf.DUMMYFUNCTION("""COMPUTED_VALUE"""),"selena.mihajlovic@fazi.rs")</f>
        <v>selena.mihajlovic@fazi.rs</v>
      </c>
      <c r="AI695" s="13"/>
      <c r="AJ695" s="5"/>
      <c r="AK695" s="5">
        <f>IFERROR(__xludf.DUMMYFUNCTION("""COMPUTED_VALUE"""),1.0)</f>
        <v>1</v>
      </c>
      <c r="AL695" s="5" t="str">
        <f>IFERROR(__xludf.DUMMYFUNCTION("""COMPUTED_VALUE"""),"No")</f>
        <v>No</v>
      </c>
      <c r="AM695" s="5" t="str">
        <f>IFERROR(__xludf.DUMMYFUNCTION("""COMPUTED_VALUE"""),"No")</f>
        <v>No</v>
      </c>
      <c r="AN695" s="7" t="str">
        <f>IFERROR(__xludf.DUMMYFUNCTION("""COMPUTED_VALUE"""),"https://static.redstone.rs/games/pure-hot-5/")</f>
        <v>https://static.redstone.rs/games/pure-hot-5/</v>
      </c>
      <c r="AO695" s="5" t="str">
        <f>IFERROR(__xludf.DUMMYFUNCTION("""COMPUTED_VALUE"""),"No")</f>
        <v>No</v>
      </c>
      <c r="AP695" s="5" t="str">
        <f>IFERROR(__xludf.DUMMYFUNCTION("""COMPUTED_VALUE"""),"No")</f>
        <v>No</v>
      </c>
      <c r="AQ695" s="5" t="b">
        <f>IFERROR(__xludf.DUMMYFUNCTION("""COMPUTED_VALUE"""),TRUE)</f>
        <v>1</v>
      </c>
      <c r="AR695" s="5"/>
      <c r="AS695" s="5" t="str">
        <f>IFERROR(__xludf.DUMMYFUNCTION("""COMPUTED_VALUE"""),"Heat up the reels in Pure Hot 5 and stay in the run. Fast action, clear hits, and a flow that keeps you chasing more.")</f>
        <v>Heat up the reels in Pure Hot 5 and stay in the run. Fast action, clear hits, and a flow that keeps you chasing more.</v>
      </c>
      <c r="AT695" s="5"/>
      <c r="AU695" s="5" t="str">
        <f>IFERROR(__xludf.DUMMYFUNCTION("""COMPUTED_VALUE"""),"Redstone")</f>
        <v>Redstone</v>
      </c>
      <c r="AV695" s="5">
        <f>IFERROR(__xludf.DUMMYFUNCTION("""COMPUTED_VALUE"""),10.0)</f>
        <v>10</v>
      </c>
      <c r="AW695" s="5"/>
      <c r="AX695" s="13">
        <f>IFERROR(__xludf.DUMMYFUNCTION("""COMPUTED_VALUE"""),46133.0)</f>
        <v>46133</v>
      </c>
      <c r="AY695" s="5"/>
      <c r="AZ695" s="5"/>
      <c r="BA695" s="5"/>
      <c r="BB695" s="5" t="b">
        <f>IFERROR(__xludf.DUMMYFUNCTION("""COMPUTED_VALUE"""),TRUE)</f>
        <v>1</v>
      </c>
      <c r="BC695" s="5" t="str">
        <f>IFERROR(__xludf.DUMMYFUNCTION("""COMPUTED_VALUE"""),"Redstone")</f>
        <v>Redstone</v>
      </c>
      <c r="BD695" s="7" t="str">
        <f>IFERROR(__xludf.DUMMYFUNCTION("""COMPUTED_VALUE"""),"https://static.redstone.rs/games/pure-hot-5/")</f>
        <v>https://static.redstone.rs/games/pure-hot-5/</v>
      </c>
      <c r="BE695" s="5" t="b">
        <f>IFERROR(__xludf.DUMMYFUNCTION("""COMPUTED_VALUE"""),TRUE)</f>
        <v>1</v>
      </c>
    </row>
    <row r="696">
      <c r="A696" s="5">
        <f>IFERROR(__xludf.DUMMYFUNCTION("""COMPUTED_VALUE"""),731.0)</f>
        <v>731</v>
      </c>
      <c r="B696" s="5">
        <f>IFERROR(__xludf.DUMMYFUNCTION("""COMPUTED_VALUE"""),3035.0)</f>
        <v>3035</v>
      </c>
      <c r="C696" s="5" t="str">
        <f>IFERROR(__xludf.DUMMYFUNCTION("""COMPUTED_VALUE"""),"Fazi")</f>
        <v>Fazi</v>
      </c>
      <c r="D696" s="5" t="str">
        <f>IFERROR(__xludf.DUMMYFUNCTION("""COMPUTED_VALUE"""),"Golden Crown Extreme Booster")</f>
        <v>Golden Crown Extreme Booster</v>
      </c>
      <c r="E696" s="5" t="str">
        <f>IFERROR(__xludf.DUMMYFUNCTION("""COMPUTED_VALUE"""),"V2")</f>
        <v>V2</v>
      </c>
      <c r="F696" s="5" t="str">
        <f>IFERROR(__xludf.DUMMYFUNCTION("""COMPUTED_VALUE"""),"GoldenCrownExtremeBooster")</f>
        <v>GoldenCrownExtremeBooster</v>
      </c>
      <c r="G696" s="5" t="str">
        <f>IFERROR(__xludf.DUMMYFUNCTION("""COMPUTED_VALUE"""),"Deployed")</f>
        <v>Deployed</v>
      </c>
      <c r="H696" s="5"/>
      <c r="I696" s="5" t="str">
        <f>IFERROR(__xludf.DUMMYFUNCTION("""COMPUTED_VALUE"""),"V4")</f>
        <v>V4</v>
      </c>
      <c r="J696" s="5" t="str">
        <f>IFERROR(__xludf.DUMMYFUNCTION("""COMPUTED_VALUE"""),"JSON")</f>
        <v>JSON</v>
      </c>
      <c r="K696" s="5" t="str">
        <f>IFERROR(__xludf.DUMMYFUNCTION("""COMPUTED_VALUE"""),"Slot")</f>
        <v>Slot</v>
      </c>
      <c r="L696" s="5" t="str">
        <f>IFERROR(__xludf.DUMMYFUNCTION("""COMPUTED_VALUE""")," Variant")</f>
        <v> Variant</v>
      </c>
      <c r="M696" s="5" t="str">
        <f>IFERROR(__xludf.DUMMYFUNCTION("""COMPUTED_VALUE"""),"Golden Crown Extreme")</f>
        <v>Golden Crown Extreme</v>
      </c>
      <c r="N696" s="5"/>
      <c r="O696" s="5"/>
      <c r="P696" s="12">
        <f>IFERROR(__xludf.DUMMYFUNCTION("""COMPUTED_VALUE"""),19.0)</f>
        <v>19</v>
      </c>
      <c r="Q696" s="13">
        <f>IFERROR(__xludf.DUMMYFUNCTION("""COMPUTED_VALUE"""),46083.0)</f>
        <v>46083</v>
      </c>
      <c r="R696" s="13">
        <f>IFERROR(__xludf.DUMMYFUNCTION("""COMPUTED_VALUE"""),46268.0)</f>
        <v>46268</v>
      </c>
      <c r="S696" s="13">
        <f>IFERROR(__xludf.DUMMYFUNCTION("""COMPUTED_VALUE"""),46275.0)</f>
        <v>46275</v>
      </c>
      <c r="T696" s="5" t="b">
        <f>IFERROR(__xludf.DUMMYFUNCTION("""COMPUTED_VALUE"""),TRUE)</f>
        <v>1</v>
      </c>
      <c r="U696" s="5" t="str">
        <f>IFERROR(__xludf.DUMMYFUNCTION("""COMPUTED_VALUE"""),"5x3")</f>
        <v>5x3</v>
      </c>
      <c r="V696" s="5">
        <f>IFERROR(__xludf.DUMMYFUNCTION("""COMPUTED_VALUE"""),10.0)</f>
        <v>10</v>
      </c>
      <c r="W696" s="5">
        <f>IFERROR(__xludf.DUMMYFUNCTION("""COMPUTED_VALUE"""),10.0)</f>
        <v>10</v>
      </c>
      <c r="X696" s="5">
        <f>IFERROR(__xludf.DUMMYFUNCTION("""COMPUTED_VALUE"""),96.535)</f>
        <v>96.535</v>
      </c>
      <c r="Y696" s="5" t="str">
        <f>IFERROR(__xludf.DUMMYFUNCTION("""COMPUTED_VALUE"""),"Medium")</f>
        <v>Medium</v>
      </c>
      <c r="Z696" s="5">
        <f>IFERROR(__xludf.DUMMYFUNCTION("""COMPUTED_VALUE"""),14.28)</f>
        <v>14.28</v>
      </c>
      <c r="AA696" s="5">
        <f>IFERROR(__xludf.DUMMYFUNCTION("""COMPUTED_VALUE"""),3076.0)</f>
        <v>3076</v>
      </c>
      <c r="AB696" s="5"/>
      <c r="AC696" s="5" t="str">
        <f>IFERROR(__xludf.DUMMYFUNCTION("""COMPUTED_VALUE"""),"Free Rounds, Scatter, Expanding Wild, Wild Multiplier")</f>
        <v>Free Rounds, Scatter, Expanding Wild, Wild Multiplier</v>
      </c>
      <c r="AD696" s="5" t="str">
        <f>IFERROR(__xludf.DUMMYFUNCTION("""COMPUTED_VALUE"""),"0.1/50")</f>
        <v>0.1/50</v>
      </c>
      <c r="AE696" s="5"/>
      <c r="AF696" s="5"/>
      <c r="AG696" s="8">
        <f>IFERROR(__xludf.DUMMYFUNCTION("""COMPUTED_VALUE"""),46260.652592592596)</f>
        <v>46260.65259</v>
      </c>
      <c r="AH696" s="5" t="str">
        <f>IFERROR(__xludf.DUMMYFUNCTION("""COMPUTED_VALUE"""),"selena.mihajlovic@fazi.rs")</f>
        <v>selena.mihajlovic@fazi.rs</v>
      </c>
      <c r="AI696" s="13">
        <f>IFERROR(__xludf.DUMMYFUNCTION("""COMPUTED_VALUE"""),46204.0)</f>
        <v>46204</v>
      </c>
      <c r="AJ696" s="5"/>
      <c r="AK696" s="5">
        <f>IFERROR(__xludf.DUMMYFUNCTION("""COMPUTED_VALUE"""),10.0)</f>
        <v>10</v>
      </c>
      <c r="AL696" s="5" t="str">
        <f>IFERROR(__xludf.DUMMYFUNCTION("""COMPUTED_VALUE"""),"Yes")</f>
        <v>Yes</v>
      </c>
      <c r="AM696" s="5" t="str">
        <f>IFERROR(__xludf.DUMMYFUNCTION("""COMPUTED_VALUE"""),"No")</f>
        <v>No</v>
      </c>
      <c r="AN696" s="7" t="str">
        <f>IFERROR(__xludf.DUMMYFUNCTION("""COMPUTED_VALUE"""),"https://onlinegamespromo.fazi.rs/Home/IntegrationGameLaunch?moneyType=0&amp;gameName=GoldenCrownExtremeBooster&amp;platform=desktop&amp;languageCode=eng&amp;currency=EUR")</f>
        <v>https://onlinegamespromo.fazi.rs/Home/IntegrationGameLaunch?moneyType=0&amp;gameName=GoldenCrownExtremeBooster&amp;platform=desktop&amp;languageCode=eng&amp;currency=EUR</v>
      </c>
      <c r="AO696" s="5" t="str">
        <f>IFERROR(__xludf.DUMMYFUNCTION("""COMPUTED_VALUE"""),"Yes")</f>
        <v>Yes</v>
      </c>
      <c r="AP696" s="5" t="str">
        <f>IFERROR(__xludf.DUMMYFUNCTION("""COMPUTED_VALUE"""),"Yes")</f>
        <v>Yes</v>
      </c>
      <c r="AQ696" s="5" t="b">
        <f>IFERROR(__xludf.DUMMYFUNCTION("""COMPUTED_VALUE"""),TRUE)</f>
        <v>1</v>
      </c>
      <c r="AR696" s="5"/>
      <c r="AS696" s="5" t="str">
        <f>IFERROR(__xludf.DUMMYFUNCTION("""COMPUTED_VALUE"""),"The crown returns - bolder than ever! Golden Crown Extreme Booster combines classic fruits, bells, and lucky 7s with two high-powered features in one game. The middle reel spins first to reveal an Expanding Wild with a x2 multiplier, while the Wild Booste"&amp;"r option lets you guarantee Expanding Wilds for your next spin. Are you ready to take the throne? ")</f>
        <v>The crown returns - bolder than ever! Golden Crown Extreme Booster combines classic fruits, bells, and lucky 7s with two high-powered features in one game. The middle reel spins first to reveal an Expanding Wild with a x2 multiplier, while the Wild Booster option lets you guarantee Expanding Wilds for your next spin. Are you ready to take the throne? </v>
      </c>
      <c r="AT696" s="5"/>
      <c r="AU696" s="5" t="str">
        <f>IFERROR(__xludf.DUMMYFUNCTION("""COMPUTED_VALUE"""),"Fazi")</f>
        <v>Fazi</v>
      </c>
      <c r="AV696" s="5">
        <f>IFERROR(__xludf.DUMMYFUNCTION("""COMPUTED_VALUE"""),1.0)</f>
        <v>1</v>
      </c>
      <c r="AW696" s="5"/>
      <c r="AX696" s="13">
        <f>IFERROR(__xludf.DUMMYFUNCTION("""COMPUTED_VALUE"""),46077.0)</f>
        <v>46077</v>
      </c>
      <c r="AY696" s="5"/>
      <c r="AZ696" s="5"/>
      <c r="BA696" s="5">
        <f>IFERROR(__xludf.DUMMYFUNCTION("""COMPUTED_VALUE"""),5.0)</f>
        <v>5</v>
      </c>
      <c r="BB696" s="5" t="b">
        <f>IFERROR(__xludf.DUMMYFUNCTION("""COMPUTED_VALUE"""),TRUE)</f>
        <v>1</v>
      </c>
      <c r="BC696" s="5" t="str">
        <f>IFERROR(__xludf.DUMMYFUNCTION("""COMPUTED_VALUE"""),"Foxi")</f>
        <v>Foxi</v>
      </c>
      <c r="BD696" s="7" t="str">
        <f>IFERROR(__xludf.DUMMYFUNCTION("""COMPUTED_VALUE"""),"https://gameserver-store-client-area.orbionlimited.com/Home/IntegrationGameLaunch/client-area?moneyType=0&amp;gameName=GoldenCrownExtremeBooster&amp;platform=desktop&amp;languageCode=eng&amp;currency=EUR")</f>
        <v>https://gameserver-store-client-area.orbionlimited.com/Home/IntegrationGameLaunch/client-area?moneyType=0&amp;gameName=GoldenCrownExtremeBooster&amp;platform=desktop&amp;languageCode=eng&amp;currency=EUR</v>
      </c>
      <c r="BE696" s="5" t="b">
        <f>IFERROR(__xludf.DUMMYFUNCTION("""COMPUTED_VALUE"""),TRUE)</f>
        <v>1</v>
      </c>
    </row>
    <row r="697">
      <c r="A697" s="5">
        <f>IFERROR(__xludf.DUMMYFUNCTION("""COMPUTED_VALUE"""),732.0)</f>
        <v>732</v>
      </c>
      <c r="B697" s="5">
        <f>IFERROR(__xludf.DUMMYFUNCTION("""COMPUTED_VALUE"""),180070.0)</f>
        <v>180070</v>
      </c>
      <c r="C697" s="5" t="str">
        <f>IFERROR(__xludf.DUMMYFUNCTION("""COMPUTED_VALUE"""),"Redstone")</f>
        <v>Redstone</v>
      </c>
      <c r="D697" s="5" t="str">
        <f>IFERROR(__xludf.DUMMYFUNCTION("""COMPUTED_VALUE"""),"X Wild Crown")</f>
        <v>X Wild Crown</v>
      </c>
      <c r="E697" s="5" t="str">
        <f>IFERROR(__xludf.DUMMYFUNCTION("""COMPUTED_VALUE"""),"Redstone")</f>
        <v>Redstone</v>
      </c>
      <c r="F697" s="5" t="str">
        <f>IFERROR(__xludf.DUMMYFUNCTION("""COMPUTED_VALUE"""),"RedstoneXWildCrown")</f>
        <v>RedstoneXWildCrown</v>
      </c>
      <c r="G697" s="5" t="str">
        <f>IFERROR(__xludf.DUMMYFUNCTION("""COMPUTED_VALUE"""),"Live")</f>
        <v>Live</v>
      </c>
      <c r="H697" s="5"/>
      <c r="I697" s="5" t="str">
        <f>IFERROR(__xludf.DUMMYFUNCTION("""COMPUTED_VALUE"""),"Redstone")</f>
        <v>Redstone</v>
      </c>
      <c r="J697" s="5" t="str">
        <f>IFERROR(__xludf.DUMMYFUNCTION("""COMPUTED_VALUE"""),"JSON")</f>
        <v>JSON</v>
      </c>
      <c r="K697" s="5" t="str">
        <f>IFERROR(__xludf.DUMMYFUNCTION("""COMPUTED_VALUE"""),"Slot")</f>
        <v>Slot</v>
      </c>
      <c r="L697" s="5" t="str">
        <f>IFERROR(__xludf.DUMMYFUNCTION("""COMPUTED_VALUE""")," Reskin")</f>
        <v> Reskin</v>
      </c>
      <c r="M697" s="5" t="str">
        <f>IFERROR(__xludf.DUMMYFUNCTION("""COMPUTED_VALUE"""),"Multi Heart 5")</f>
        <v>Multi Heart 5</v>
      </c>
      <c r="N697" s="7" t="str">
        <f>IFERROR(__xludf.DUMMYFUNCTION("""COMPUTED_VALUE"""),"https://docs.google.com/document/d/1WrluwbWAmyc0wWS3PAGQlrTo2xpZ5lYg/edit?usp=drive_link&amp;ouid=107596163405648766688&amp;rtpof=true&amp;sd=true")</f>
        <v>https://docs.google.com/document/d/1WrluwbWAmyc0wWS3PAGQlrTo2xpZ5lYg/edit?usp=drive_link&amp;ouid=107596163405648766688&amp;rtpof=true&amp;sd=true</v>
      </c>
      <c r="O697" s="7" t="str">
        <f>IFERROR(__xludf.DUMMYFUNCTION("""COMPUTED_VALUE"""),"https://docs.google.com/document/d/1HUV4QGpaaDjKmgNJLGFq3pRMRKgFUtm2/edit?usp=drive_link&amp;ouid=107596163405648766688&amp;rtpof=true&amp;sd=true")</f>
        <v>https://docs.google.com/document/d/1HUV4QGpaaDjKmgNJLGFq3pRMRKgFUtm2/edit?usp=drive_link&amp;ouid=107596163405648766688&amp;rtpof=true&amp;sd=true</v>
      </c>
      <c r="P697" s="12">
        <f>IFERROR(__xludf.DUMMYFUNCTION("""COMPUTED_VALUE"""),6.9)</f>
        <v>6.9</v>
      </c>
      <c r="Q697" s="13">
        <f>IFERROR(__xludf.DUMMYFUNCTION("""COMPUTED_VALUE"""),46111.0)</f>
        <v>46111</v>
      </c>
      <c r="R697" s="13">
        <f>IFERROR(__xludf.DUMMYFUNCTION("""COMPUTED_VALUE"""),46146.0)</f>
        <v>46146</v>
      </c>
      <c r="S697" s="13">
        <f>IFERROR(__xludf.DUMMYFUNCTION("""COMPUTED_VALUE"""),46153.0)</f>
        <v>46153</v>
      </c>
      <c r="T697" s="5" t="b">
        <f>IFERROR(__xludf.DUMMYFUNCTION("""COMPUTED_VALUE"""),TRUE)</f>
        <v>1</v>
      </c>
      <c r="U697" s="5" t="str">
        <f>IFERROR(__xludf.DUMMYFUNCTION("""COMPUTED_VALUE"""),"5x3")</f>
        <v>5x3</v>
      </c>
      <c r="V697" s="5">
        <f>IFERROR(__xludf.DUMMYFUNCTION("""COMPUTED_VALUE"""),5.0)</f>
        <v>5</v>
      </c>
      <c r="W697" s="5">
        <f>IFERROR(__xludf.DUMMYFUNCTION("""COMPUTED_VALUE"""),5.0)</f>
        <v>5</v>
      </c>
      <c r="X697" s="5">
        <f>IFERROR(__xludf.DUMMYFUNCTION("""COMPUTED_VALUE"""),95.96)</f>
        <v>95.96</v>
      </c>
      <c r="Y697" s="5" t="str">
        <f>IFERROR(__xludf.DUMMYFUNCTION("""COMPUTED_VALUE"""),"Low")</f>
        <v>Low</v>
      </c>
      <c r="Z697" s="5">
        <f>IFERROR(__xludf.DUMMYFUNCTION("""COMPUTED_VALUE"""),10.7)</f>
        <v>10.7</v>
      </c>
      <c r="AA697" s="5">
        <f>IFERROR(__xludf.DUMMYFUNCTION("""COMPUTED_VALUE"""),2150.0)</f>
        <v>2150</v>
      </c>
      <c r="AB697" s="5"/>
      <c r="AC697" s="5" t="str">
        <f>IFERROR(__xludf.DUMMYFUNCTION("""COMPUTED_VALUE"""),"Expanding Wild, Wild Multiplier")</f>
        <v>Expanding Wild, Wild Multiplier</v>
      </c>
      <c r="AD697" s="5" t="str">
        <f>IFERROR(__xludf.DUMMYFUNCTION("""COMPUTED_VALUE"""),"0.10/50")</f>
        <v>0.10/50</v>
      </c>
      <c r="AE697" s="5"/>
      <c r="AF697" s="5"/>
      <c r="AG697" s="8">
        <f>IFERROR(__xludf.DUMMYFUNCTION("""COMPUTED_VALUE"""),46212.5678125)</f>
        <v>46212.56781</v>
      </c>
      <c r="AH697" s="5" t="str">
        <f>IFERROR(__xludf.DUMMYFUNCTION("""COMPUTED_VALUE"""),"selena.mihajlovic@fazi.rs")</f>
        <v>selena.mihajlovic@fazi.rs</v>
      </c>
      <c r="AI697" s="13"/>
      <c r="AJ697" s="5"/>
      <c r="AK697" s="5">
        <f>IFERROR(__xludf.DUMMYFUNCTION("""COMPUTED_VALUE"""),1.0)</f>
        <v>1</v>
      </c>
      <c r="AL697" s="5" t="str">
        <f>IFERROR(__xludf.DUMMYFUNCTION("""COMPUTED_VALUE"""),"No")</f>
        <v>No</v>
      </c>
      <c r="AM697" s="5" t="str">
        <f>IFERROR(__xludf.DUMMYFUNCTION("""COMPUTED_VALUE"""),"No")</f>
        <v>No</v>
      </c>
      <c r="AN697" s="7" t="str">
        <f>IFERROR(__xludf.DUMMYFUNCTION("""COMPUTED_VALUE"""),"https://static.redstone.rs/games/x-wild-crown/")</f>
        <v>https://static.redstone.rs/games/x-wild-crown/</v>
      </c>
      <c r="AO697" s="5" t="str">
        <f>IFERROR(__xludf.DUMMYFUNCTION("""COMPUTED_VALUE"""),"No")</f>
        <v>No</v>
      </c>
      <c r="AP697" s="5" t="str">
        <f>IFERROR(__xludf.DUMMYFUNCTION("""COMPUTED_VALUE"""),"No")</f>
        <v>No</v>
      </c>
      <c r="AQ697" s="5" t="b">
        <f>IFERROR(__xludf.DUMMYFUNCTION("""COMPUTED_VALUE"""),TRUE)</f>
        <v>1</v>
      </c>
      <c r="AR697" s="5"/>
      <c r="AS697" s="5" t="str">
        <f>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AT697" s="5"/>
      <c r="AU697" s="5" t="str">
        <f>IFERROR(__xludf.DUMMYFUNCTION("""COMPUTED_VALUE"""),"Redstone")</f>
        <v>Redstone</v>
      </c>
      <c r="AV697" s="5">
        <f>IFERROR(__xludf.DUMMYFUNCTION("""COMPUTED_VALUE"""),10.0)</f>
        <v>10</v>
      </c>
      <c r="AW697" s="5"/>
      <c r="AX697" s="13">
        <f>IFERROR(__xludf.DUMMYFUNCTION("""COMPUTED_VALUE"""),46105.0)</f>
        <v>46105</v>
      </c>
      <c r="AY697" s="5"/>
      <c r="AZ697" s="5"/>
      <c r="BA697" s="5"/>
      <c r="BB697" s="5" t="b">
        <f>IFERROR(__xludf.DUMMYFUNCTION("""COMPUTED_VALUE"""),TRUE)</f>
        <v>1</v>
      </c>
      <c r="BC697" s="5" t="str">
        <f>IFERROR(__xludf.DUMMYFUNCTION("""COMPUTED_VALUE"""),"Redstone")</f>
        <v>Redstone</v>
      </c>
      <c r="BD697" s="7" t="str">
        <f>IFERROR(__xludf.DUMMYFUNCTION("""COMPUTED_VALUE"""),"https://static.redstone.rs/games/x-wild-crown/")</f>
        <v>https://static.redstone.rs/games/x-wild-crown/</v>
      </c>
      <c r="BE697" s="5" t="b">
        <f>IFERROR(__xludf.DUMMYFUNCTION("""COMPUTED_VALUE"""),TRUE)</f>
        <v>1</v>
      </c>
    </row>
    <row r="698">
      <c r="A698" s="5">
        <f>IFERROR(__xludf.DUMMYFUNCTION("""COMPUTED_VALUE"""),733.0)</f>
        <v>733</v>
      </c>
      <c r="B698" s="5">
        <f>IFERROR(__xludf.DUMMYFUNCTION("""COMPUTED_VALUE"""),180071.0)</f>
        <v>180071</v>
      </c>
      <c r="C698" s="5" t="str">
        <f>IFERROR(__xludf.DUMMYFUNCTION("""COMPUTED_VALUE"""),"Redstone")</f>
        <v>Redstone</v>
      </c>
      <c r="D698" s="5" t="str">
        <f>IFERROR(__xludf.DUMMYFUNCTION("""COMPUTED_VALUE"""),"5 Clover Deluxe")</f>
        <v>5 Clover Deluxe</v>
      </c>
      <c r="E698" s="5" t="str">
        <f>IFERROR(__xludf.DUMMYFUNCTION("""COMPUTED_VALUE"""),"Redstone")</f>
        <v>Redstone</v>
      </c>
      <c r="F698" s="5" t="str">
        <f>IFERROR(__xludf.DUMMYFUNCTION("""COMPUTED_VALUE"""),"Redstone5CloverDeluxe")</f>
        <v>Redstone5CloverDeluxe</v>
      </c>
      <c r="G698" s="5" t="str">
        <f>IFERROR(__xludf.DUMMYFUNCTION("""COMPUTED_VALUE"""),"Live")</f>
        <v>Live</v>
      </c>
      <c r="H698" s="5"/>
      <c r="I698" s="5" t="str">
        <f>IFERROR(__xludf.DUMMYFUNCTION("""COMPUTED_VALUE"""),"Redstone")</f>
        <v>Redstone</v>
      </c>
      <c r="J698" s="5" t="str">
        <f>IFERROR(__xludf.DUMMYFUNCTION("""COMPUTED_VALUE"""),"JSON")</f>
        <v>JSON</v>
      </c>
      <c r="K698" s="5" t="str">
        <f>IFERROR(__xludf.DUMMYFUNCTION("""COMPUTED_VALUE"""),"Slot")</f>
        <v>Slot</v>
      </c>
      <c r="L698" s="5" t="str">
        <f>IFERROR(__xludf.DUMMYFUNCTION("""COMPUTED_VALUE""")," Reskin")</f>
        <v> Reskin</v>
      </c>
      <c r="M698" s="5" t="str">
        <f>IFERROR(__xludf.DUMMYFUNCTION("""COMPUTED_VALUE"""),"5 Clover Fire")</f>
        <v>5 Clover Fire</v>
      </c>
      <c r="N698" s="7" t="str">
        <f>IFERROR(__xludf.DUMMYFUNCTION("""COMPUTED_VALUE"""),"https://docs.google.com/document/d/12UFllm5BMu7NxIzOKCh4kg98vFkZkLkR/edit?usp=drive_link&amp;ouid=107596163405648766688&amp;rtpof=true&amp;sd=true")</f>
        <v>https://docs.google.com/document/d/12UFllm5BMu7NxIzOKCh4kg98vFkZkLkR/edit?usp=drive_link&amp;ouid=107596163405648766688&amp;rtpof=true&amp;sd=true</v>
      </c>
      <c r="O698" s="7" t="str">
        <f>IFERROR(__xludf.DUMMYFUNCTION("""COMPUTED_VALUE"""),"https://docs.google.com/document/d/1ZLIW__zySyCWziF_dXa9g43UImM4EpOH/edit?usp=drive_link&amp;ouid=107596163405648766688&amp;rtpof=true&amp;sd=true")</f>
        <v>https://docs.google.com/document/d/1ZLIW__zySyCWziF_dXa9g43UImM4EpOH/edit?usp=drive_link&amp;ouid=107596163405648766688&amp;rtpof=true&amp;sd=true</v>
      </c>
      <c r="P698" s="12">
        <f>IFERROR(__xludf.DUMMYFUNCTION("""COMPUTED_VALUE"""),8.3)</f>
        <v>8.3</v>
      </c>
      <c r="Q698" s="13">
        <f>IFERROR(__xludf.DUMMYFUNCTION("""COMPUTED_VALUE"""),46111.0)</f>
        <v>46111</v>
      </c>
      <c r="R698" s="13">
        <f>IFERROR(__xludf.DUMMYFUNCTION("""COMPUTED_VALUE"""),46153.0)</f>
        <v>46153</v>
      </c>
      <c r="S698" s="13">
        <f>IFERROR(__xludf.DUMMYFUNCTION("""COMPUTED_VALUE"""),46160.0)</f>
        <v>46160</v>
      </c>
      <c r="T698" s="5" t="b">
        <f>IFERROR(__xludf.DUMMYFUNCTION("""COMPUTED_VALUE"""),TRUE)</f>
        <v>1</v>
      </c>
      <c r="U698" s="5" t="str">
        <f>IFERROR(__xludf.DUMMYFUNCTION("""COMPUTED_VALUE"""),"5x3")</f>
        <v>5x3</v>
      </c>
      <c r="V698" s="5">
        <f>IFERROR(__xludf.DUMMYFUNCTION("""COMPUTED_VALUE"""),5.0)</f>
        <v>5</v>
      </c>
      <c r="W698" s="5">
        <f>IFERROR(__xludf.DUMMYFUNCTION("""COMPUTED_VALUE"""),5.0)</f>
        <v>5</v>
      </c>
      <c r="X698" s="5">
        <f>IFERROR(__xludf.DUMMYFUNCTION("""COMPUTED_VALUE"""),96.45)</f>
        <v>96.45</v>
      </c>
      <c r="Y698" s="5" t="str">
        <f>IFERROR(__xludf.DUMMYFUNCTION("""COMPUTED_VALUE"""),"Low")</f>
        <v>Low</v>
      </c>
      <c r="Z698" s="5">
        <f>IFERROR(__xludf.DUMMYFUNCTION("""COMPUTED_VALUE"""),14.5)</f>
        <v>14.5</v>
      </c>
      <c r="AA698" s="5">
        <f>IFERROR(__xludf.DUMMYFUNCTION("""COMPUTED_VALUE"""),1222.0)</f>
        <v>1222</v>
      </c>
      <c r="AB698" s="5"/>
      <c r="AC698" s="5" t="str">
        <f>IFERROR(__xludf.DUMMYFUNCTION("""COMPUTED_VALUE"""),"Expanding Wild, Scatter")</f>
        <v>Expanding Wild, Scatter</v>
      </c>
      <c r="AD698" s="5" t="str">
        <f>IFERROR(__xludf.DUMMYFUNCTION("""COMPUTED_VALUE"""),"0.10/50")</f>
        <v>0.10/50</v>
      </c>
      <c r="AE698" s="5"/>
      <c r="AF698" s="5"/>
      <c r="AG698" s="8">
        <f>IFERROR(__xludf.DUMMYFUNCTION("""COMPUTED_VALUE"""),46212.56815972222)</f>
        <v>46212.56816</v>
      </c>
      <c r="AH698" s="5" t="str">
        <f>IFERROR(__xludf.DUMMYFUNCTION("""COMPUTED_VALUE"""),"selena.mihajlovic@fazi.rs")</f>
        <v>selena.mihajlovic@fazi.rs</v>
      </c>
      <c r="AI698" s="13"/>
      <c r="AJ698" s="5"/>
      <c r="AK698" s="5">
        <f>IFERROR(__xludf.DUMMYFUNCTION("""COMPUTED_VALUE"""),1.0)</f>
        <v>1</v>
      </c>
      <c r="AL698" s="5" t="str">
        <f>IFERROR(__xludf.DUMMYFUNCTION("""COMPUTED_VALUE"""),"No")</f>
        <v>No</v>
      </c>
      <c r="AM698" s="5" t="str">
        <f>IFERROR(__xludf.DUMMYFUNCTION("""COMPUTED_VALUE"""),"No")</f>
        <v>No</v>
      </c>
      <c r="AN698" s="7" t="str">
        <f>IFERROR(__xludf.DUMMYFUNCTION("""COMPUTED_VALUE"""),"https://static.redstone.rs/games/5-clover-deluxe/")</f>
        <v>https://static.redstone.rs/games/5-clover-deluxe/</v>
      </c>
      <c r="AO698" s="5" t="str">
        <f>IFERROR(__xludf.DUMMYFUNCTION("""COMPUTED_VALUE"""),"No")</f>
        <v>No</v>
      </c>
      <c r="AP698" s="5" t="str">
        <f>IFERROR(__xludf.DUMMYFUNCTION("""COMPUTED_VALUE"""),"No")</f>
        <v>No</v>
      </c>
      <c r="AQ698" s="5" t="b">
        <f>IFERROR(__xludf.DUMMYFUNCTION("""COMPUTED_VALUE"""),TRUE)</f>
        <v>1</v>
      </c>
      <c r="AR698" s="5"/>
      <c r="AS698" s="5" t="str">
        <f>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AT698" s="5"/>
      <c r="AU698" s="5" t="str">
        <f>IFERROR(__xludf.DUMMYFUNCTION("""COMPUTED_VALUE"""),"Redstone")</f>
        <v>Redstone</v>
      </c>
      <c r="AV698" s="5">
        <f>IFERROR(__xludf.DUMMYFUNCTION("""COMPUTED_VALUE"""),10.0)</f>
        <v>10</v>
      </c>
      <c r="AW698" s="5"/>
      <c r="AX698" s="13">
        <f>IFERROR(__xludf.DUMMYFUNCTION("""COMPUTED_VALUE"""),46105.0)</f>
        <v>46105</v>
      </c>
      <c r="AY698" s="5"/>
      <c r="AZ698" s="5"/>
      <c r="BA698" s="5"/>
      <c r="BB698" s="5" t="b">
        <f>IFERROR(__xludf.DUMMYFUNCTION("""COMPUTED_VALUE"""),TRUE)</f>
        <v>1</v>
      </c>
      <c r="BC698" s="5" t="str">
        <f>IFERROR(__xludf.DUMMYFUNCTION("""COMPUTED_VALUE"""),"Redstone")</f>
        <v>Redstone</v>
      </c>
      <c r="BD698" s="7" t="str">
        <f>IFERROR(__xludf.DUMMYFUNCTION("""COMPUTED_VALUE"""),"https://static.redstone.rs/games/5-clover-deluxe/")</f>
        <v>https://static.redstone.rs/games/5-clover-deluxe/</v>
      </c>
      <c r="BE698" s="5" t="b">
        <f>IFERROR(__xludf.DUMMYFUNCTION("""COMPUTED_VALUE"""),TRUE)</f>
        <v>1</v>
      </c>
    </row>
    <row r="699">
      <c r="A699" s="5">
        <f>IFERROR(__xludf.DUMMYFUNCTION("""COMPUTED_VALUE"""),734.0)</f>
        <v>734</v>
      </c>
      <c r="B699" s="5">
        <f>IFERROR(__xludf.DUMMYFUNCTION("""COMPUTED_VALUE"""),180072.0)</f>
        <v>180072</v>
      </c>
      <c r="C699" s="5" t="str">
        <f>IFERROR(__xludf.DUMMYFUNCTION("""COMPUTED_VALUE"""),"Redstone")</f>
        <v>Redstone</v>
      </c>
      <c r="D699" s="5" t="str">
        <f>IFERROR(__xludf.DUMMYFUNCTION("""COMPUTED_VALUE"""),"Heart Deluxe 2X")</f>
        <v>Heart Deluxe 2X</v>
      </c>
      <c r="E699" s="5" t="str">
        <f>IFERROR(__xludf.DUMMYFUNCTION("""COMPUTED_VALUE"""),"Redstone")</f>
        <v>Redstone</v>
      </c>
      <c r="F699" s="5" t="str">
        <f>IFERROR(__xludf.DUMMYFUNCTION("""COMPUTED_VALUE"""),"RedstoneHeartDeluxe2X")</f>
        <v>RedstoneHeartDeluxe2X</v>
      </c>
      <c r="G699" s="5" t="str">
        <f>IFERROR(__xludf.DUMMYFUNCTION("""COMPUTED_VALUE"""),"Live")</f>
        <v>Live</v>
      </c>
      <c r="H699" s="5"/>
      <c r="I699" s="5" t="str">
        <f>IFERROR(__xludf.DUMMYFUNCTION("""COMPUTED_VALUE"""),"Redstone")</f>
        <v>Redstone</v>
      </c>
      <c r="J699" s="5" t="str">
        <f>IFERROR(__xludf.DUMMYFUNCTION("""COMPUTED_VALUE"""),"JSON")</f>
        <v>JSON</v>
      </c>
      <c r="K699" s="5" t="str">
        <f>IFERROR(__xludf.DUMMYFUNCTION("""COMPUTED_VALUE"""),"Slot")</f>
        <v>Slot</v>
      </c>
      <c r="L699" s="5" t="str">
        <f>IFERROR(__xludf.DUMMYFUNCTION("""COMPUTED_VALUE""")," Reskin")</f>
        <v> Reskin</v>
      </c>
      <c r="M699" s="5" t="str">
        <f>IFERROR(__xludf.DUMMYFUNCTION("""COMPUTED_VALUE"""),"Chilli Double")</f>
        <v>Chilli Double</v>
      </c>
      <c r="N699" s="7" t="str">
        <f>IFERROR(__xludf.DUMMYFUNCTION("""COMPUTED_VALUE"""),"https://docs.google.com/document/d/1fpidL62Ny3kJUn37vG10XhM9AHGg2FDt/edit?usp=drive_link&amp;ouid=107596163405648766688&amp;rtpof=true&amp;sd=true")</f>
        <v>https://docs.google.com/document/d/1fpidL62Ny3kJUn37vG10XhM9AHGg2FDt/edit?usp=drive_link&amp;ouid=107596163405648766688&amp;rtpof=true&amp;sd=true</v>
      </c>
      <c r="O699" s="7" t="str">
        <f>IFERROR(__xludf.DUMMYFUNCTION("""COMPUTED_VALUE"""),"https://docs.google.com/document/d/13hptVNdjfkN_JG3U1UHmaHQEMcK2oWHD/edit?usp=drive_link&amp;ouid=107596163405648766688&amp;rtpof=true&amp;sd=true")</f>
        <v>https://docs.google.com/document/d/13hptVNdjfkN_JG3U1UHmaHQEMcK2oWHD/edit?usp=drive_link&amp;ouid=107596163405648766688&amp;rtpof=true&amp;sd=true</v>
      </c>
      <c r="P699" s="12">
        <f>IFERROR(__xludf.DUMMYFUNCTION("""COMPUTED_VALUE"""),8.5)</f>
        <v>8.5</v>
      </c>
      <c r="Q699" s="13">
        <f>IFERROR(__xludf.DUMMYFUNCTION("""COMPUTED_VALUE"""),46111.0)</f>
        <v>46111</v>
      </c>
      <c r="R699" s="13">
        <f>IFERROR(__xludf.DUMMYFUNCTION("""COMPUTED_VALUE"""),46161.0)</f>
        <v>46161</v>
      </c>
      <c r="S699" s="13">
        <f>IFERROR(__xludf.DUMMYFUNCTION("""COMPUTED_VALUE"""),46168.0)</f>
        <v>46168</v>
      </c>
      <c r="T699" s="5" t="b">
        <f>IFERROR(__xludf.DUMMYFUNCTION("""COMPUTED_VALUE"""),TRUE)</f>
        <v>1</v>
      </c>
      <c r="U699" s="5" t="str">
        <f>IFERROR(__xludf.DUMMYFUNCTION("""COMPUTED_VALUE"""),"5x3")</f>
        <v>5x3</v>
      </c>
      <c r="V699" s="5">
        <f>IFERROR(__xludf.DUMMYFUNCTION("""COMPUTED_VALUE"""),5.0)</f>
        <v>5</v>
      </c>
      <c r="W699" s="5">
        <f>IFERROR(__xludf.DUMMYFUNCTION("""COMPUTED_VALUE"""),5.0)</f>
        <v>5</v>
      </c>
      <c r="X699" s="5">
        <f>IFERROR(__xludf.DUMMYFUNCTION("""COMPUTED_VALUE"""),96.45)</f>
        <v>96.45</v>
      </c>
      <c r="Y699" s="5" t="str">
        <f>IFERROR(__xludf.DUMMYFUNCTION("""COMPUTED_VALUE"""),"Low")</f>
        <v>Low</v>
      </c>
      <c r="Z699" s="5">
        <f>IFERROR(__xludf.DUMMYFUNCTION("""COMPUTED_VALUE"""),14.23)</f>
        <v>14.23</v>
      </c>
      <c r="AA699" s="5">
        <f>IFERROR(__xludf.DUMMYFUNCTION("""COMPUTED_VALUE"""),2624.0)</f>
        <v>2624</v>
      </c>
      <c r="AB699" s="5"/>
      <c r="AC699" s="5" t="str">
        <f>IFERROR(__xludf.DUMMYFUNCTION("""COMPUTED_VALUE"""),"Scatter, Expanding Wild")</f>
        <v>Scatter, Expanding Wild</v>
      </c>
      <c r="AD699" s="5" t="str">
        <f>IFERROR(__xludf.DUMMYFUNCTION("""COMPUTED_VALUE"""),"0.10/50")</f>
        <v>0.10/50</v>
      </c>
      <c r="AE699" s="5"/>
      <c r="AF699" s="5"/>
      <c r="AG699" s="8">
        <f>IFERROR(__xludf.DUMMYFUNCTION("""COMPUTED_VALUE"""),46212.56861111111)</f>
        <v>46212.56861</v>
      </c>
      <c r="AH699" s="5" t="str">
        <f>IFERROR(__xludf.DUMMYFUNCTION("""COMPUTED_VALUE"""),"selena.mihajlovic@fazi.rs")</f>
        <v>selena.mihajlovic@fazi.rs</v>
      </c>
      <c r="AI699" s="13"/>
      <c r="AJ699" s="5"/>
      <c r="AK699" s="5">
        <f>IFERROR(__xludf.DUMMYFUNCTION("""COMPUTED_VALUE"""),1.0)</f>
        <v>1</v>
      </c>
      <c r="AL699" s="5" t="str">
        <f>IFERROR(__xludf.DUMMYFUNCTION("""COMPUTED_VALUE"""),"No")</f>
        <v>No</v>
      </c>
      <c r="AM699" s="5" t="str">
        <f>IFERROR(__xludf.DUMMYFUNCTION("""COMPUTED_VALUE"""),"No")</f>
        <v>No</v>
      </c>
      <c r="AN699" s="7" t="str">
        <f>IFERROR(__xludf.DUMMYFUNCTION("""COMPUTED_VALUE"""),"https://static.redstone.rs/games/heart-deluxe-2x/")</f>
        <v>https://static.redstone.rs/games/heart-deluxe-2x/</v>
      </c>
      <c r="AO699" s="5" t="str">
        <f>IFERROR(__xludf.DUMMYFUNCTION("""COMPUTED_VALUE"""),"No")</f>
        <v>No</v>
      </c>
      <c r="AP699" s="5" t="str">
        <f>IFERROR(__xludf.DUMMYFUNCTION("""COMPUTED_VALUE"""),"No")</f>
        <v>No</v>
      </c>
      <c r="AQ699" s="5" t="b">
        <f>IFERROR(__xludf.DUMMYFUNCTION("""COMPUTED_VALUE"""),TRUE)</f>
        <v>1</v>
      </c>
      <c r="AR699" s="5"/>
      <c r="AS699"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9" s="5"/>
      <c r="AU699" s="5" t="str">
        <f>IFERROR(__xludf.DUMMYFUNCTION("""COMPUTED_VALUE"""),"Redstone")</f>
        <v>Redstone</v>
      </c>
      <c r="AV699" s="5">
        <f>IFERROR(__xludf.DUMMYFUNCTION("""COMPUTED_VALUE"""),10.0)</f>
        <v>10</v>
      </c>
      <c r="AW699" s="5"/>
      <c r="AX699" s="13">
        <f>IFERROR(__xludf.DUMMYFUNCTION("""COMPUTED_VALUE"""),46105.0)</f>
        <v>46105</v>
      </c>
      <c r="AY699" s="5"/>
      <c r="AZ699" s="5"/>
      <c r="BA699" s="5"/>
      <c r="BB699" s="5" t="b">
        <f>IFERROR(__xludf.DUMMYFUNCTION("""COMPUTED_VALUE"""),TRUE)</f>
        <v>1</v>
      </c>
      <c r="BC699" s="5" t="str">
        <f>IFERROR(__xludf.DUMMYFUNCTION("""COMPUTED_VALUE"""),"Redstone")</f>
        <v>Redstone</v>
      </c>
      <c r="BD699" s="7" t="str">
        <f>IFERROR(__xludf.DUMMYFUNCTION("""COMPUTED_VALUE"""),"https://static.redstone.rs/games/heart-deluxe-2x/")</f>
        <v>https://static.redstone.rs/games/heart-deluxe-2x/</v>
      </c>
      <c r="BE699" s="5" t="b">
        <f>IFERROR(__xludf.DUMMYFUNCTION("""COMPUTED_VALUE"""),TRUE)</f>
        <v>1</v>
      </c>
    </row>
    <row r="700">
      <c r="A700" s="5">
        <f>IFERROR(__xludf.DUMMYFUNCTION("""COMPUTED_VALUE"""),735.0)</f>
        <v>735</v>
      </c>
      <c r="B700" s="5">
        <f>IFERROR(__xludf.DUMMYFUNCTION("""COMPUTED_VALUE"""),180073.0)</f>
        <v>180073</v>
      </c>
      <c r="C700" s="5" t="str">
        <f>IFERROR(__xludf.DUMMYFUNCTION("""COMPUTED_VALUE"""),"Redstone")</f>
        <v>Redstone</v>
      </c>
      <c r="D700" s="5" t="str">
        <f>IFERROR(__xludf.DUMMYFUNCTION("""COMPUTED_VALUE"""),"Cosmic Fruits")</f>
        <v>Cosmic Fruits</v>
      </c>
      <c r="E700" s="5" t="str">
        <f>IFERROR(__xludf.DUMMYFUNCTION("""COMPUTED_VALUE"""),"Redstone")</f>
        <v>Redstone</v>
      </c>
      <c r="F700" s="5" t="str">
        <f>IFERROR(__xludf.DUMMYFUNCTION("""COMPUTED_VALUE"""),"RedstoneCosmicFruits")</f>
        <v>RedstoneCosmicFruits</v>
      </c>
      <c r="G700" s="5" t="str">
        <f>IFERROR(__xludf.DUMMYFUNCTION("""COMPUTED_VALUE"""),"Live")</f>
        <v>Live</v>
      </c>
      <c r="H700" s="5"/>
      <c r="I700" s="5" t="str">
        <f>IFERROR(__xludf.DUMMYFUNCTION("""COMPUTED_VALUE"""),"Redstone")</f>
        <v>Redstone</v>
      </c>
      <c r="J700" s="5" t="str">
        <f>IFERROR(__xludf.DUMMYFUNCTION("""COMPUTED_VALUE"""),"JSON")</f>
        <v>JSON</v>
      </c>
      <c r="K700" s="5" t="str">
        <f>IFERROR(__xludf.DUMMYFUNCTION("""COMPUTED_VALUE"""),"Slot")</f>
        <v>Slot</v>
      </c>
      <c r="L700" s="5" t="str">
        <f>IFERROR(__xludf.DUMMYFUNCTION("""COMPUTED_VALUE""")," Reskin")</f>
        <v> Reskin</v>
      </c>
      <c r="M700" s="5" t="str">
        <f>IFERROR(__xludf.DUMMYFUNCTION("""COMPUTED_VALUE"""),"Fruit Fire")</f>
        <v>Fruit Fire</v>
      </c>
      <c r="N700" s="7" t="str">
        <f>IFERROR(__xludf.DUMMYFUNCTION("""COMPUTED_VALUE"""),"https://drive.google.com/file/d/1S0-fHVRS6bsEy3Ks1h5GDkyMb0QVP33n/view?usp=drive_link")</f>
        <v>https://drive.google.com/file/d/1S0-fHVRS6bsEy3Ks1h5GDkyMb0QVP33n/view?usp=drive_link</v>
      </c>
      <c r="O700" s="7" t="str">
        <f>IFERROR(__xludf.DUMMYFUNCTION("""COMPUTED_VALUE"""),"https://drive.google.com/file/d/1WYJFt9Qh_YOO8s37ig8lDz5BW3MROTcj/view?usp=drive_link")</f>
        <v>https://drive.google.com/file/d/1WYJFt9Qh_YOO8s37ig8lDz5BW3MROTcj/view?usp=drive_link</v>
      </c>
      <c r="P700" s="12">
        <f>IFERROR(__xludf.DUMMYFUNCTION("""COMPUTED_VALUE"""),7.8)</f>
        <v>7.8</v>
      </c>
      <c r="Q700" s="13">
        <f>IFERROR(__xludf.DUMMYFUNCTION("""COMPUTED_VALUE"""),46167.0)</f>
        <v>46167</v>
      </c>
      <c r="R700" s="13">
        <f>IFERROR(__xludf.DUMMYFUNCTION("""COMPUTED_VALUE"""),46170.0)</f>
        <v>46170</v>
      </c>
      <c r="S700" s="13">
        <f>IFERROR(__xludf.DUMMYFUNCTION("""COMPUTED_VALUE"""),46177.0)</f>
        <v>46177</v>
      </c>
      <c r="T700" s="5" t="b">
        <f>IFERROR(__xludf.DUMMYFUNCTION("""COMPUTED_VALUE"""),TRUE)</f>
        <v>1</v>
      </c>
      <c r="U700" s="5" t="str">
        <f>IFERROR(__xludf.DUMMYFUNCTION("""COMPUTED_VALUE"""),"5x3")</f>
        <v>5x3</v>
      </c>
      <c r="V700" s="5">
        <f>IFERROR(__xludf.DUMMYFUNCTION("""COMPUTED_VALUE"""),5.0)</f>
        <v>5</v>
      </c>
      <c r="W700" s="5">
        <f>IFERROR(__xludf.DUMMYFUNCTION("""COMPUTED_VALUE"""),5.0)</f>
        <v>5</v>
      </c>
      <c r="X700" s="5">
        <f>IFERROR(__xludf.DUMMYFUNCTION("""COMPUTED_VALUE"""),96.5)</f>
        <v>96.5</v>
      </c>
      <c r="Y700" s="5" t="str">
        <f>IFERROR(__xludf.DUMMYFUNCTION("""COMPUTED_VALUE"""),"Low")</f>
        <v>Low</v>
      </c>
      <c r="Z700" s="5">
        <f>IFERROR(__xludf.DUMMYFUNCTION("""COMPUTED_VALUE"""),10.45)</f>
        <v>10.45</v>
      </c>
      <c r="AA700" s="5">
        <f>IFERROR(__xludf.DUMMYFUNCTION("""COMPUTED_VALUE"""),1040.0)</f>
        <v>1040</v>
      </c>
      <c r="AB700" s="5"/>
      <c r="AC700" s="5"/>
      <c r="AD700" s="5" t="str">
        <f>IFERROR(__xludf.DUMMYFUNCTION("""COMPUTED_VALUE"""),"0.10/50")</f>
        <v>0.10/50</v>
      </c>
      <c r="AE700" s="5"/>
      <c r="AF700" s="5"/>
      <c r="AG700" s="8">
        <f>IFERROR(__xludf.DUMMYFUNCTION("""COMPUTED_VALUE"""),46212.569027777776)</f>
        <v>46212.56903</v>
      </c>
      <c r="AH700" s="5" t="str">
        <f>IFERROR(__xludf.DUMMYFUNCTION("""COMPUTED_VALUE"""),"selena.mihajlovic@fazi.rs")</f>
        <v>selena.mihajlovic@fazi.rs</v>
      </c>
      <c r="AI700" s="13"/>
      <c r="AJ700" s="5"/>
      <c r="AK700" s="5">
        <f>IFERROR(__xludf.DUMMYFUNCTION("""COMPUTED_VALUE"""),1.0)</f>
        <v>1</v>
      </c>
      <c r="AL700" s="5" t="str">
        <f>IFERROR(__xludf.DUMMYFUNCTION("""COMPUTED_VALUE"""),"No")</f>
        <v>No</v>
      </c>
      <c r="AM700" s="5" t="str">
        <f>IFERROR(__xludf.DUMMYFUNCTION("""COMPUTED_VALUE"""),"No")</f>
        <v>No</v>
      </c>
      <c r="AN700" s="7" t="str">
        <f>IFERROR(__xludf.DUMMYFUNCTION("""COMPUTED_VALUE"""),"https://static.redstone.rs/games/cosmic-fruits/")</f>
        <v>https://static.redstone.rs/games/cosmic-fruits/</v>
      </c>
      <c r="AO700" s="5" t="str">
        <f>IFERROR(__xludf.DUMMYFUNCTION("""COMPUTED_VALUE"""),"No")</f>
        <v>No</v>
      </c>
      <c r="AP700" s="5" t="str">
        <f>IFERROR(__xludf.DUMMYFUNCTION("""COMPUTED_VALUE"""),"No")</f>
        <v>No</v>
      </c>
      <c r="AQ700" s="5" t="b">
        <f>IFERROR(__xludf.DUMMYFUNCTION("""COMPUTED_VALUE"""),TRUE)</f>
        <v>1</v>
      </c>
      <c r="AR700" s="5"/>
      <c r="AS700" s="5" t="str">
        <f>IFERROR(__xludf.DUMMYFUNCTION("""COMPUTED_VALUE"""),"Get into Cosmic Fruits and keep it moving. Quick spins, colorful hits, and a flow that doesn’t let go.")</f>
        <v>Get into Cosmic Fruits and keep it moving. Quick spins, colorful hits, and a flow that doesn’t let go.</v>
      </c>
      <c r="AT700" s="5"/>
      <c r="AU700" s="5" t="str">
        <f>IFERROR(__xludf.DUMMYFUNCTION("""COMPUTED_VALUE"""),"Redstone")</f>
        <v>Redstone</v>
      </c>
      <c r="AV700" s="5">
        <f>IFERROR(__xludf.DUMMYFUNCTION("""COMPUTED_VALUE"""),10.0)</f>
        <v>10</v>
      </c>
      <c r="AW700" s="5"/>
      <c r="AX700" s="13">
        <f>IFERROR(__xludf.DUMMYFUNCTION("""COMPUTED_VALUE"""),46161.0)</f>
        <v>46161</v>
      </c>
      <c r="AY700" s="5"/>
      <c r="AZ700" s="5"/>
      <c r="BA700" s="5"/>
      <c r="BB700" s="5" t="b">
        <f>IFERROR(__xludf.DUMMYFUNCTION("""COMPUTED_VALUE"""),TRUE)</f>
        <v>1</v>
      </c>
      <c r="BC700" s="5" t="str">
        <f>IFERROR(__xludf.DUMMYFUNCTION("""COMPUTED_VALUE"""),"Redstone")</f>
        <v>Redstone</v>
      </c>
      <c r="BD700" s="7" t="str">
        <f>IFERROR(__xludf.DUMMYFUNCTION("""COMPUTED_VALUE"""),"https://static.redstone.rs/games/cosmic-fruits/")</f>
        <v>https://static.redstone.rs/games/cosmic-fruits/</v>
      </c>
      <c r="BE700" s="5" t="b">
        <f>IFERROR(__xludf.DUMMYFUNCTION("""COMPUTED_VALUE"""),TRUE)</f>
        <v>1</v>
      </c>
    </row>
    <row r="701">
      <c r="A701" s="5">
        <f>IFERROR(__xludf.DUMMYFUNCTION("""COMPUTED_VALUE"""),736.0)</f>
        <v>736</v>
      </c>
      <c r="B701" s="5">
        <f>IFERROR(__xludf.DUMMYFUNCTION("""COMPUTED_VALUE"""),180074.0)</f>
        <v>180074</v>
      </c>
      <c r="C701" s="5" t="str">
        <f>IFERROR(__xludf.DUMMYFUNCTION("""COMPUTED_VALUE"""),"Redstone")</f>
        <v>Redstone</v>
      </c>
      <c r="D701" s="5" t="str">
        <f>IFERROR(__xludf.DUMMYFUNCTION("""COMPUTED_VALUE"""),"X Wild Heart")</f>
        <v>X Wild Heart</v>
      </c>
      <c r="E701" s="5" t="str">
        <f>IFERROR(__xludf.DUMMYFUNCTION("""COMPUTED_VALUE"""),"Redstone")</f>
        <v>Redstone</v>
      </c>
      <c r="F701" s="5" t="str">
        <f>IFERROR(__xludf.DUMMYFUNCTION("""COMPUTED_VALUE"""),"RedstoneXWildHeart")</f>
        <v>RedstoneXWildHeart</v>
      </c>
      <c r="G701" s="5" t="str">
        <f>IFERROR(__xludf.DUMMYFUNCTION("""COMPUTED_VALUE"""),"Live")</f>
        <v>Live</v>
      </c>
      <c r="H701" s="5"/>
      <c r="I701" s="5" t="str">
        <f>IFERROR(__xludf.DUMMYFUNCTION("""COMPUTED_VALUE"""),"Redstone")</f>
        <v>Redstone</v>
      </c>
      <c r="J701" s="5" t="str">
        <f>IFERROR(__xludf.DUMMYFUNCTION("""COMPUTED_VALUE"""),"JSON")</f>
        <v>JSON</v>
      </c>
      <c r="K701" s="5" t="str">
        <f>IFERROR(__xludf.DUMMYFUNCTION("""COMPUTED_VALUE"""),"Slot")</f>
        <v>Slot</v>
      </c>
      <c r="L701" s="5" t="str">
        <f>IFERROR(__xludf.DUMMYFUNCTION("""COMPUTED_VALUE""")," Reskin")</f>
        <v> Reskin</v>
      </c>
      <c r="M701" s="5" t="str">
        <f>IFERROR(__xludf.DUMMYFUNCTION("""COMPUTED_VALUE"""),"Multi Heart 5")</f>
        <v>Multi Heart 5</v>
      </c>
      <c r="N701" s="7" t="str">
        <f>IFERROR(__xludf.DUMMYFUNCTION("""COMPUTED_VALUE"""),"https://docs.google.com/document/d/1ixR3rP6c5RAoL7tETZ5aWdSCyz5h6p8X/edit?usp=drive_link&amp;ouid=107596163405648766688&amp;rtpof=true&amp;sd=true")</f>
        <v>https://docs.google.com/document/d/1ixR3rP6c5RAoL7tETZ5aWdSCyz5h6p8X/edit?usp=drive_link&amp;ouid=107596163405648766688&amp;rtpof=true&amp;sd=true</v>
      </c>
      <c r="O701" s="7" t="str">
        <f>IFERROR(__xludf.DUMMYFUNCTION("""COMPUTED_VALUE"""),"https://docs.google.com/document/d/1tNB9UAntH_Ow2expZVnP_6rc5b7mJggd/edit?usp=drive_link&amp;ouid=107596163405648766688&amp;rtpof=true&amp;sd=true")</f>
        <v>https://docs.google.com/document/d/1tNB9UAntH_Ow2expZVnP_6rc5b7mJggd/edit?usp=drive_link&amp;ouid=107596163405648766688&amp;rtpof=true&amp;sd=true</v>
      </c>
      <c r="P701" s="12">
        <f>IFERROR(__xludf.DUMMYFUNCTION("""COMPUTED_VALUE"""),7.1)</f>
        <v>7.1</v>
      </c>
      <c r="Q701" s="13">
        <f>IFERROR(__xludf.DUMMYFUNCTION("""COMPUTED_VALUE"""),46111.0)</f>
        <v>46111</v>
      </c>
      <c r="R701" s="13">
        <f>IFERROR(__xludf.DUMMYFUNCTION("""COMPUTED_VALUE"""),46182.0)</f>
        <v>46182</v>
      </c>
      <c r="S701" s="13">
        <f>IFERROR(__xludf.DUMMYFUNCTION("""COMPUTED_VALUE"""),46189.0)</f>
        <v>46189</v>
      </c>
      <c r="T701" s="5" t="b">
        <f>IFERROR(__xludf.DUMMYFUNCTION("""COMPUTED_VALUE"""),TRUE)</f>
        <v>1</v>
      </c>
      <c r="U701" s="5" t="str">
        <f>IFERROR(__xludf.DUMMYFUNCTION("""COMPUTED_VALUE"""),"5x3")</f>
        <v>5x3</v>
      </c>
      <c r="V701" s="5">
        <f>IFERROR(__xludf.DUMMYFUNCTION("""COMPUTED_VALUE"""),5.0)</f>
        <v>5</v>
      </c>
      <c r="W701" s="5">
        <f>IFERROR(__xludf.DUMMYFUNCTION("""COMPUTED_VALUE"""),5.0)</f>
        <v>5</v>
      </c>
      <c r="X701" s="5">
        <f>IFERROR(__xludf.DUMMYFUNCTION("""COMPUTED_VALUE"""),95.96)</f>
        <v>95.96</v>
      </c>
      <c r="Y701" s="5" t="str">
        <f>IFERROR(__xludf.DUMMYFUNCTION("""COMPUTED_VALUE"""),"Low")</f>
        <v>Low</v>
      </c>
      <c r="Z701" s="5">
        <f>IFERROR(__xludf.DUMMYFUNCTION("""COMPUTED_VALUE"""),10.7)</f>
        <v>10.7</v>
      </c>
      <c r="AA701" s="5">
        <f>IFERROR(__xludf.DUMMYFUNCTION("""COMPUTED_VALUE"""),2150.0)</f>
        <v>2150</v>
      </c>
      <c r="AB701" s="5"/>
      <c r="AC701" s="5" t="str">
        <f>IFERROR(__xludf.DUMMYFUNCTION("""COMPUTED_VALUE"""),"Expanding Wild, Wild Multiplier")</f>
        <v>Expanding Wild, Wild Multiplier</v>
      </c>
      <c r="AD701" s="5" t="str">
        <f>IFERROR(__xludf.DUMMYFUNCTION("""COMPUTED_VALUE"""),"0.10/50")</f>
        <v>0.10/50</v>
      </c>
      <c r="AE701" s="5"/>
      <c r="AF701" s="5"/>
      <c r="AG701" s="8">
        <f>IFERROR(__xludf.DUMMYFUNCTION("""COMPUTED_VALUE"""),46212.56935185185)</f>
        <v>46212.56935</v>
      </c>
      <c r="AH701" s="5" t="str">
        <f>IFERROR(__xludf.DUMMYFUNCTION("""COMPUTED_VALUE"""),"selena.mihajlovic@fazi.rs")</f>
        <v>selena.mihajlovic@fazi.rs</v>
      </c>
      <c r="AI701" s="13"/>
      <c r="AJ701" s="5"/>
      <c r="AK701" s="5">
        <f>IFERROR(__xludf.DUMMYFUNCTION("""COMPUTED_VALUE"""),1.0)</f>
        <v>1</v>
      </c>
      <c r="AL701" s="5" t="str">
        <f>IFERROR(__xludf.DUMMYFUNCTION("""COMPUTED_VALUE"""),"No")</f>
        <v>No</v>
      </c>
      <c r="AM701" s="5" t="str">
        <f>IFERROR(__xludf.DUMMYFUNCTION("""COMPUTED_VALUE"""),"No")</f>
        <v>No</v>
      </c>
      <c r="AN701" s="7" t="str">
        <f>IFERROR(__xludf.DUMMYFUNCTION("""COMPUTED_VALUE"""),"https://static.redstone.rs/games/x-wild-heart/")</f>
        <v>https://static.redstone.rs/games/x-wild-heart/</v>
      </c>
      <c r="AO701" s="5" t="str">
        <f>IFERROR(__xludf.DUMMYFUNCTION("""COMPUTED_VALUE"""),"No")</f>
        <v>No</v>
      </c>
      <c r="AP701" s="5" t="str">
        <f>IFERROR(__xludf.DUMMYFUNCTION("""COMPUTED_VALUE"""),"No")</f>
        <v>No</v>
      </c>
      <c r="AQ701" s="5" t="b">
        <f>IFERROR(__xludf.DUMMYFUNCTION("""COMPUTED_VALUE"""),TRUE)</f>
        <v>1</v>
      </c>
      <c r="AR701" s="5"/>
      <c r="AS701" s="5" t="str">
        <f>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AT701" s="5"/>
      <c r="AU701" s="5" t="str">
        <f>IFERROR(__xludf.DUMMYFUNCTION("""COMPUTED_VALUE"""),"Redstone")</f>
        <v>Redstone</v>
      </c>
      <c r="AV701" s="5">
        <f>IFERROR(__xludf.DUMMYFUNCTION("""COMPUTED_VALUE"""),10.0)</f>
        <v>10</v>
      </c>
      <c r="AW701" s="5"/>
      <c r="AX701" s="13">
        <f>IFERROR(__xludf.DUMMYFUNCTION("""COMPUTED_VALUE"""),46105.0)</f>
        <v>46105</v>
      </c>
      <c r="AY701" s="5"/>
      <c r="AZ701" s="5"/>
      <c r="BA701" s="5"/>
      <c r="BB701" s="5" t="b">
        <f>IFERROR(__xludf.DUMMYFUNCTION("""COMPUTED_VALUE"""),TRUE)</f>
        <v>1</v>
      </c>
      <c r="BC701" s="5" t="str">
        <f>IFERROR(__xludf.DUMMYFUNCTION("""COMPUTED_VALUE"""),"Redstone")</f>
        <v>Redstone</v>
      </c>
      <c r="BD701" s="7" t="str">
        <f>IFERROR(__xludf.DUMMYFUNCTION("""COMPUTED_VALUE"""),"https://static.redstone.rs/games/x-wild-heart/")</f>
        <v>https://static.redstone.rs/games/x-wild-heart/</v>
      </c>
      <c r="BE701" s="5" t="b">
        <f>IFERROR(__xludf.DUMMYFUNCTION("""COMPUTED_VALUE"""),TRUE)</f>
        <v>1</v>
      </c>
    </row>
    <row r="702">
      <c r="A702" s="5">
        <f>IFERROR(__xludf.DUMMYFUNCTION("""COMPUTED_VALUE"""),737.0)</f>
        <v>737</v>
      </c>
      <c r="B702" s="5">
        <f>IFERROR(__xludf.DUMMYFUNCTION("""COMPUTED_VALUE"""),180075.0)</f>
        <v>180075</v>
      </c>
      <c r="C702" s="5" t="str">
        <f>IFERROR(__xludf.DUMMYFUNCTION("""COMPUTED_VALUE"""),"Redstone")</f>
        <v>Redstone</v>
      </c>
      <c r="D702" s="5" t="str">
        <f>IFERROR(__xludf.DUMMYFUNCTION("""COMPUTED_VALUE"""),"5 Crown Deluxe")</f>
        <v>5 Crown Deluxe</v>
      </c>
      <c r="E702" s="5" t="str">
        <f>IFERROR(__xludf.DUMMYFUNCTION("""COMPUTED_VALUE"""),"Redstone")</f>
        <v>Redstone</v>
      </c>
      <c r="F702" s="5" t="str">
        <f>IFERROR(__xludf.DUMMYFUNCTION("""COMPUTED_VALUE"""),"Redstone5CrownDeluxe")</f>
        <v>Redstone5CrownDeluxe</v>
      </c>
      <c r="G702" s="5" t="str">
        <f>IFERROR(__xludf.DUMMYFUNCTION("""COMPUTED_VALUE"""),"Live")</f>
        <v>Live</v>
      </c>
      <c r="H702" s="5"/>
      <c r="I702" s="5" t="str">
        <f>IFERROR(__xludf.DUMMYFUNCTION("""COMPUTED_VALUE"""),"Redstone")</f>
        <v>Redstone</v>
      </c>
      <c r="J702" s="5" t="str">
        <f>IFERROR(__xludf.DUMMYFUNCTION("""COMPUTED_VALUE"""),"JSON")</f>
        <v>JSON</v>
      </c>
      <c r="K702" s="5" t="str">
        <f>IFERROR(__xludf.DUMMYFUNCTION("""COMPUTED_VALUE"""),"Slot")</f>
        <v>Slot</v>
      </c>
      <c r="L702" s="5" t="str">
        <f>IFERROR(__xludf.DUMMYFUNCTION("""COMPUTED_VALUE""")," Reskin")</f>
        <v> Reskin</v>
      </c>
      <c r="M702" s="5" t="str">
        <f>IFERROR(__xludf.DUMMYFUNCTION("""COMPUTED_VALUE"""),"5 Clover Fire")</f>
        <v>5 Clover Fire</v>
      </c>
      <c r="N702" s="7" t="str">
        <f>IFERROR(__xludf.DUMMYFUNCTION("""COMPUTED_VALUE"""),"https://docs.google.com/document/d/1OjZOchQ0XNxKdCKZBU_goFxCAC9yjUgM/edit?usp=drive_link&amp;ouid=107596163405648766688&amp;rtpof=true&amp;sd=true")</f>
        <v>https://docs.google.com/document/d/1OjZOchQ0XNxKdCKZBU_goFxCAC9yjUgM/edit?usp=drive_link&amp;ouid=107596163405648766688&amp;rtpof=true&amp;sd=true</v>
      </c>
      <c r="O702" s="7" t="str">
        <f>IFERROR(__xludf.DUMMYFUNCTION("""COMPUTED_VALUE"""),"https://docs.google.com/document/d/1vRhIkDYysLL_zxj3-EOsRRAyKL69H-Ul/edit?usp=drive_link&amp;ouid=107596163405648766688&amp;rtpof=true&amp;sd=true")</f>
        <v>https://docs.google.com/document/d/1vRhIkDYysLL_zxj3-EOsRRAyKL69H-Ul/edit?usp=drive_link&amp;ouid=107596163405648766688&amp;rtpof=true&amp;sd=true</v>
      </c>
      <c r="P702" s="12">
        <f>IFERROR(__xludf.DUMMYFUNCTION("""COMPUTED_VALUE"""),8.3)</f>
        <v>8.3</v>
      </c>
      <c r="Q702" s="13">
        <f>IFERROR(__xludf.DUMMYFUNCTION("""COMPUTED_VALUE"""),46111.0)</f>
        <v>46111</v>
      </c>
      <c r="R702" s="13">
        <f>IFERROR(__xludf.DUMMYFUNCTION("""COMPUTED_VALUE"""),46188.0)</f>
        <v>46188</v>
      </c>
      <c r="S702" s="13">
        <f>IFERROR(__xludf.DUMMYFUNCTION("""COMPUTED_VALUE"""),46195.0)</f>
        <v>46195</v>
      </c>
      <c r="T702" s="5" t="b">
        <f>IFERROR(__xludf.DUMMYFUNCTION("""COMPUTED_VALUE"""),TRUE)</f>
        <v>1</v>
      </c>
      <c r="U702" s="5" t="str">
        <f>IFERROR(__xludf.DUMMYFUNCTION("""COMPUTED_VALUE"""),"5x3")</f>
        <v>5x3</v>
      </c>
      <c r="V702" s="5">
        <f>IFERROR(__xludf.DUMMYFUNCTION("""COMPUTED_VALUE"""),5.0)</f>
        <v>5</v>
      </c>
      <c r="W702" s="5">
        <f>IFERROR(__xludf.DUMMYFUNCTION("""COMPUTED_VALUE"""),5.0)</f>
        <v>5</v>
      </c>
      <c r="X702" s="5">
        <f>IFERROR(__xludf.DUMMYFUNCTION("""COMPUTED_VALUE"""),96.45)</f>
        <v>96.45</v>
      </c>
      <c r="Y702" s="5" t="str">
        <f>IFERROR(__xludf.DUMMYFUNCTION("""COMPUTED_VALUE"""),"Low")</f>
        <v>Low</v>
      </c>
      <c r="Z702" s="5">
        <f>IFERROR(__xludf.DUMMYFUNCTION("""COMPUTED_VALUE"""),14.5)</f>
        <v>14.5</v>
      </c>
      <c r="AA702" s="5">
        <f>IFERROR(__xludf.DUMMYFUNCTION("""COMPUTED_VALUE"""),1222.0)</f>
        <v>1222</v>
      </c>
      <c r="AB702" s="5"/>
      <c r="AC702" s="5" t="str">
        <f>IFERROR(__xludf.DUMMYFUNCTION("""COMPUTED_VALUE"""),"Expanding Wild, Scatter")</f>
        <v>Expanding Wild, Scatter</v>
      </c>
      <c r="AD702" s="5" t="str">
        <f>IFERROR(__xludf.DUMMYFUNCTION("""COMPUTED_VALUE"""),"0.10/50")</f>
        <v>0.10/50</v>
      </c>
      <c r="AE702" s="5"/>
      <c r="AF702" s="5"/>
      <c r="AG702" s="8">
        <f>IFERROR(__xludf.DUMMYFUNCTION("""COMPUTED_VALUE"""),46212.56966435185)</f>
        <v>46212.56966</v>
      </c>
      <c r="AH702" s="5" t="str">
        <f>IFERROR(__xludf.DUMMYFUNCTION("""COMPUTED_VALUE"""),"selena.mihajlovic@fazi.rs")</f>
        <v>selena.mihajlovic@fazi.rs</v>
      </c>
      <c r="AI702" s="13"/>
      <c r="AJ702" s="5"/>
      <c r="AK702" s="5">
        <f>IFERROR(__xludf.DUMMYFUNCTION("""COMPUTED_VALUE"""),1.0)</f>
        <v>1</v>
      </c>
      <c r="AL702" s="5" t="str">
        <f>IFERROR(__xludf.DUMMYFUNCTION("""COMPUTED_VALUE"""),"No")</f>
        <v>No</v>
      </c>
      <c r="AM702" s="5" t="str">
        <f>IFERROR(__xludf.DUMMYFUNCTION("""COMPUTED_VALUE"""),"No")</f>
        <v>No</v>
      </c>
      <c r="AN702" s="7" t="str">
        <f>IFERROR(__xludf.DUMMYFUNCTION("""COMPUTED_VALUE"""),"https://static.redstone.rs/games/5-crown-deluxe/")</f>
        <v>https://static.redstone.rs/games/5-crown-deluxe/</v>
      </c>
      <c r="AO702" s="5" t="str">
        <f>IFERROR(__xludf.DUMMYFUNCTION("""COMPUTED_VALUE"""),"No")</f>
        <v>No</v>
      </c>
      <c r="AP702" s="5" t="str">
        <f>IFERROR(__xludf.DUMMYFUNCTION("""COMPUTED_VALUE"""),"No")</f>
        <v>No</v>
      </c>
      <c r="AQ702" s="5" t="b">
        <f>IFERROR(__xludf.DUMMYFUNCTION("""COMPUTED_VALUE"""),TRUE)</f>
        <v>1</v>
      </c>
      <c r="AR702" s="5"/>
      <c r="AS702" s="5" t="str">
        <f>IFERROR(__xludf.DUMMYFUNCTION("""COMPUTED_VALUE"""),"Take your spin in 5 Crown Deluxe and play it your way! Fast spins, clear hits, and a classic feel that never gets old.")</f>
        <v>Take your spin in 5 Crown Deluxe and play it your way! Fast spins, clear hits, and a classic feel that never gets old.</v>
      </c>
      <c r="AT702" s="5"/>
      <c r="AU702" s="5" t="str">
        <f>IFERROR(__xludf.DUMMYFUNCTION("""COMPUTED_VALUE"""),"Redstone")</f>
        <v>Redstone</v>
      </c>
      <c r="AV702" s="5">
        <f>IFERROR(__xludf.DUMMYFUNCTION("""COMPUTED_VALUE"""),10.0)</f>
        <v>10</v>
      </c>
      <c r="AW702" s="5"/>
      <c r="AX702" s="13">
        <f>IFERROR(__xludf.DUMMYFUNCTION("""COMPUTED_VALUE"""),46105.0)</f>
        <v>46105</v>
      </c>
      <c r="AY702" s="5"/>
      <c r="AZ702" s="5"/>
      <c r="BA702" s="5"/>
      <c r="BB702" s="5" t="b">
        <f>IFERROR(__xludf.DUMMYFUNCTION("""COMPUTED_VALUE"""),TRUE)</f>
        <v>1</v>
      </c>
      <c r="BC702" s="5" t="str">
        <f>IFERROR(__xludf.DUMMYFUNCTION("""COMPUTED_VALUE"""),"Redstone")</f>
        <v>Redstone</v>
      </c>
      <c r="BD702" s="7" t="str">
        <f>IFERROR(__xludf.DUMMYFUNCTION("""COMPUTED_VALUE"""),"https://static.redstone.rs/games/5-crown-deluxe/")</f>
        <v>https://static.redstone.rs/games/5-crown-deluxe/</v>
      </c>
      <c r="BE702" s="5" t="b">
        <f>IFERROR(__xludf.DUMMYFUNCTION("""COMPUTED_VALUE"""),TRUE)</f>
        <v>1</v>
      </c>
    </row>
    <row r="703">
      <c r="A703" s="5">
        <f>IFERROR(__xludf.DUMMYFUNCTION("""COMPUTED_VALUE"""),738.0)</f>
        <v>738</v>
      </c>
      <c r="B703" s="5">
        <f>IFERROR(__xludf.DUMMYFUNCTION("""COMPUTED_VALUE"""),180076.0)</f>
        <v>180076</v>
      </c>
      <c r="C703" s="5" t="str">
        <f>IFERROR(__xludf.DUMMYFUNCTION("""COMPUTED_VALUE"""),"Redstone")</f>
        <v>Redstone</v>
      </c>
      <c r="D703" s="5" t="str">
        <f>IFERROR(__xludf.DUMMYFUNCTION("""COMPUTED_VALUE"""),"Crown Deluxe 2X")</f>
        <v>Crown Deluxe 2X</v>
      </c>
      <c r="E703" s="5" t="str">
        <f>IFERROR(__xludf.DUMMYFUNCTION("""COMPUTED_VALUE"""),"Redstone")</f>
        <v>Redstone</v>
      </c>
      <c r="F703" s="5" t="str">
        <f>IFERROR(__xludf.DUMMYFUNCTION("""COMPUTED_VALUE"""),"RedstoneCrownDeluxe2X")</f>
        <v>RedstoneCrownDeluxe2X</v>
      </c>
      <c r="G703" s="5" t="str">
        <f>IFERROR(__xludf.DUMMYFUNCTION("""COMPUTED_VALUE"""),"Live")</f>
        <v>Live</v>
      </c>
      <c r="H703" s="5"/>
      <c r="I703" s="5" t="str">
        <f>IFERROR(__xludf.DUMMYFUNCTION("""COMPUTED_VALUE"""),"Redstone")</f>
        <v>Redstone</v>
      </c>
      <c r="J703" s="5" t="str">
        <f>IFERROR(__xludf.DUMMYFUNCTION("""COMPUTED_VALUE"""),"JSON")</f>
        <v>JSON</v>
      </c>
      <c r="K703" s="5" t="str">
        <f>IFERROR(__xludf.DUMMYFUNCTION("""COMPUTED_VALUE"""),"Slot")</f>
        <v>Slot</v>
      </c>
      <c r="L703" s="5" t="str">
        <f>IFERROR(__xludf.DUMMYFUNCTION("""COMPUTED_VALUE""")," Reskin")</f>
        <v> Reskin</v>
      </c>
      <c r="M703" s="5" t="str">
        <f>IFERROR(__xludf.DUMMYFUNCTION("""COMPUTED_VALUE"""),"Chilli Double")</f>
        <v>Chilli Double</v>
      </c>
      <c r="N703" s="7" t="str">
        <f>IFERROR(__xludf.DUMMYFUNCTION("""COMPUTED_VALUE"""),"https://docs.google.com/document/d/1NOemN7WwBlOyX71LJKPeTfmPYKuw9CGx/edit?usp=drive_link&amp;ouid=107596163405648766688&amp;rtpof=true&amp;sd=true")</f>
        <v>https://docs.google.com/document/d/1NOemN7WwBlOyX71LJKPeTfmPYKuw9CGx/edit?usp=drive_link&amp;ouid=107596163405648766688&amp;rtpof=true&amp;sd=true</v>
      </c>
      <c r="O703" s="7" t="str">
        <f>IFERROR(__xludf.DUMMYFUNCTION("""COMPUTED_VALUE"""),"https://docs.google.com/document/d/1Zv7vX6pvIoLzVRjNAVRElBLfN7d3625I/edit?usp=drive_link&amp;ouid=107596163405648766688&amp;rtpof=true&amp;sd=true")</f>
        <v>https://docs.google.com/document/d/1Zv7vX6pvIoLzVRjNAVRElBLfN7d3625I/edit?usp=drive_link&amp;ouid=107596163405648766688&amp;rtpof=true&amp;sd=true</v>
      </c>
      <c r="P703" s="12">
        <f>IFERROR(__xludf.DUMMYFUNCTION("""COMPUTED_VALUE"""),8.7)</f>
        <v>8.7</v>
      </c>
      <c r="Q703" s="13">
        <f>IFERROR(__xludf.DUMMYFUNCTION("""COMPUTED_VALUE"""),46111.0)</f>
        <v>46111</v>
      </c>
      <c r="R703" s="13">
        <f>IFERROR(__xludf.DUMMYFUNCTION("""COMPUTED_VALUE"""),46196.0)</f>
        <v>46196</v>
      </c>
      <c r="S703" s="13">
        <f>IFERROR(__xludf.DUMMYFUNCTION("""COMPUTED_VALUE"""),46203.0)</f>
        <v>46203</v>
      </c>
      <c r="T703" s="5" t="b">
        <f>IFERROR(__xludf.DUMMYFUNCTION("""COMPUTED_VALUE"""),TRUE)</f>
        <v>1</v>
      </c>
      <c r="U703" s="5" t="str">
        <f>IFERROR(__xludf.DUMMYFUNCTION("""COMPUTED_VALUE"""),"5x3")</f>
        <v>5x3</v>
      </c>
      <c r="V703" s="5">
        <f>IFERROR(__xludf.DUMMYFUNCTION("""COMPUTED_VALUE"""),5.0)</f>
        <v>5</v>
      </c>
      <c r="W703" s="5">
        <f>IFERROR(__xludf.DUMMYFUNCTION("""COMPUTED_VALUE"""),5.0)</f>
        <v>5</v>
      </c>
      <c r="X703" s="5">
        <f>IFERROR(__xludf.DUMMYFUNCTION("""COMPUTED_VALUE"""),96.45)</f>
        <v>96.45</v>
      </c>
      <c r="Y703" s="5" t="str">
        <f>IFERROR(__xludf.DUMMYFUNCTION("""COMPUTED_VALUE"""),"Low")</f>
        <v>Low</v>
      </c>
      <c r="Z703" s="5">
        <f>IFERROR(__xludf.DUMMYFUNCTION("""COMPUTED_VALUE"""),14.23)</f>
        <v>14.23</v>
      </c>
      <c r="AA703" s="5">
        <f>IFERROR(__xludf.DUMMYFUNCTION("""COMPUTED_VALUE"""),2624.0)</f>
        <v>2624</v>
      </c>
      <c r="AB703" s="5"/>
      <c r="AC703" s="5" t="str">
        <f>IFERROR(__xludf.DUMMYFUNCTION("""COMPUTED_VALUE"""),"Expanding Wild, Scatter")</f>
        <v>Expanding Wild, Scatter</v>
      </c>
      <c r="AD703" s="5" t="str">
        <f>IFERROR(__xludf.DUMMYFUNCTION("""COMPUTED_VALUE"""),"0.10/50")</f>
        <v>0.10/50</v>
      </c>
      <c r="AE703" s="5"/>
      <c r="AF703" s="5"/>
      <c r="AG703" s="8">
        <f>IFERROR(__xludf.DUMMYFUNCTION("""COMPUTED_VALUE"""),46212.56995370371)</f>
        <v>46212.56995</v>
      </c>
      <c r="AH703" s="5" t="str">
        <f>IFERROR(__xludf.DUMMYFUNCTION("""COMPUTED_VALUE"""),"selena.mihajlovic@fazi.rs")</f>
        <v>selena.mihajlovic@fazi.rs</v>
      </c>
      <c r="AI703" s="13">
        <f>IFERROR(__xludf.DUMMYFUNCTION("""COMPUTED_VALUE"""),46175.0)</f>
        <v>46175</v>
      </c>
      <c r="AJ703" s="5" t="str">
        <f>IFERROR(__xludf.DUMMYFUNCTION("""COMPUTED_VALUE"""),"KoralPlay	2.06")</f>
        <v>KoralPlay	2.06</v>
      </c>
      <c r="AK703" s="5">
        <f>IFERROR(__xludf.DUMMYFUNCTION("""COMPUTED_VALUE"""),1.0)</f>
        <v>1</v>
      </c>
      <c r="AL703" s="5" t="str">
        <f>IFERROR(__xludf.DUMMYFUNCTION("""COMPUTED_VALUE"""),"No")</f>
        <v>No</v>
      </c>
      <c r="AM703" s="5" t="str">
        <f>IFERROR(__xludf.DUMMYFUNCTION("""COMPUTED_VALUE"""),"No")</f>
        <v>No</v>
      </c>
      <c r="AN703" s="7" t="str">
        <f>IFERROR(__xludf.DUMMYFUNCTION("""COMPUTED_VALUE"""),"https://static.redstone.rs/games/crown-deluxe-2x/")</f>
        <v>https://static.redstone.rs/games/crown-deluxe-2x/</v>
      </c>
      <c r="AO703" s="5" t="str">
        <f>IFERROR(__xludf.DUMMYFUNCTION("""COMPUTED_VALUE"""),"No")</f>
        <v>No</v>
      </c>
      <c r="AP703" s="5" t="str">
        <f>IFERROR(__xludf.DUMMYFUNCTION("""COMPUTED_VALUE"""),"No")</f>
        <v>No</v>
      </c>
      <c r="AQ703" s="5" t="b">
        <f>IFERROR(__xludf.DUMMYFUNCTION("""COMPUTED_VALUE"""),TRUE)</f>
        <v>1</v>
      </c>
      <c r="AR703" s="5"/>
      <c r="AS703" s="5" t="str">
        <f>IFERROR(__xludf.DUMMYFUNCTION("""COMPUTED_VALUE"""),"Keep spinning and wait for the crown to land. In Crown Deluxe 2X, one moment is enough to double your win instantly.")</f>
        <v>Keep spinning and wait for the crown to land. In Crown Deluxe 2X, one moment is enough to double your win instantly.</v>
      </c>
      <c r="AT703" s="5"/>
      <c r="AU703" s="5" t="str">
        <f>IFERROR(__xludf.DUMMYFUNCTION("""COMPUTED_VALUE"""),"Redstone")</f>
        <v>Redstone</v>
      </c>
      <c r="AV703" s="5">
        <f>IFERROR(__xludf.DUMMYFUNCTION("""COMPUTED_VALUE"""),10.0)</f>
        <v>10</v>
      </c>
      <c r="AW703" s="5"/>
      <c r="AX703" s="13">
        <f>IFERROR(__xludf.DUMMYFUNCTION("""COMPUTED_VALUE"""),46105.0)</f>
        <v>46105</v>
      </c>
      <c r="AY703" s="5"/>
      <c r="AZ703" s="5"/>
      <c r="BA703" s="5"/>
      <c r="BB703" s="5" t="b">
        <f>IFERROR(__xludf.DUMMYFUNCTION("""COMPUTED_VALUE"""),TRUE)</f>
        <v>1</v>
      </c>
      <c r="BC703" s="5" t="str">
        <f>IFERROR(__xludf.DUMMYFUNCTION("""COMPUTED_VALUE"""),"Redstone")</f>
        <v>Redstone</v>
      </c>
      <c r="BD703" s="7" t="str">
        <f>IFERROR(__xludf.DUMMYFUNCTION("""COMPUTED_VALUE"""),"https://static.redstone.rs/games/crown-deluxe-2x/")</f>
        <v>https://static.redstone.rs/games/crown-deluxe-2x/</v>
      </c>
      <c r="BE703" s="5" t="b">
        <f>IFERROR(__xludf.DUMMYFUNCTION("""COMPUTED_VALUE"""),TRUE)</f>
        <v>1</v>
      </c>
    </row>
    <row r="704">
      <c r="A704" s="5">
        <f>IFERROR(__xludf.DUMMYFUNCTION("""COMPUTED_VALUE"""),739.0)</f>
        <v>739</v>
      </c>
      <c r="B704" s="5">
        <f>IFERROR(__xludf.DUMMYFUNCTION("""COMPUTED_VALUE"""),533.0)</f>
        <v>533</v>
      </c>
      <c r="C704" s="5" t="str">
        <f>IFERROR(__xludf.DUMMYFUNCTION("""COMPUTED_VALUE"""),"Playnet")</f>
        <v>Playnet</v>
      </c>
      <c r="D704" s="5" t="str">
        <f>IFERROR(__xludf.DUMMYFUNCTION("""COMPUTED_VALUE"""),"Royal Flame 40")</f>
        <v>Royal Flame 40</v>
      </c>
      <c r="E704" s="5" t="str">
        <f>IFERROR(__xludf.DUMMYFUNCTION("""COMPUTED_VALUE"""),"Sertifikacioni")</f>
        <v>Sertifikacioni</v>
      </c>
      <c r="F704" s="5" t="str">
        <f>IFERROR(__xludf.DUMMYFUNCTION("""COMPUTED_VALUE"""),"PlayNetRoyalFlame40")</f>
        <v>PlayNetRoyalFlame40</v>
      </c>
      <c r="G704" s="5" t="str">
        <f>IFERROR(__xludf.DUMMYFUNCTION("""COMPUTED_VALUE"""),"Live")</f>
        <v>Live</v>
      </c>
      <c r="H704" s="5"/>
      <c r="I704" s="5"/>
      <c r="J704" s="5" t="str">
        <f>IFERROR(__xludf.DUMMYFUNCTION("""COMPUTED_VALUE"""),"JSON")</f>
        <v>JSON</v>
      </c>
      <c r="K704" s="5" t="str">
        <f>IFERROR(__xludf.DUMMYFUNCTION("""COMPUTED_VALUE"""),"Slot")</f>
        <v>Slot</v>
      </c>
      <c r="L704" s="5" t="str">
        <f>IFERROR(__xludf.DUMMYFUNCTION("""COMPUTED_VALUE""")," Clone")</f>
        <v> Clone</v>
      </c>
      <c r="M704" s="5" t="str">
        <f>IFERROR(__xludf.DUMMYFUNCTION("""COMPUTED_VALUE"""),"Golden Crown 40")</f>
        <v>Golden Crown 40</v>
      </c>
      <c r="N704" s="5"/>
      <c r="O704" s="5"/>
      <c r="P704" s="12">
        <f>IFERROR(__xludf.DUMMYFUNCTION("""COMPUTED_VALUE"""),15.0)</f>
        <v>15</v>
      </c>
      <c r="Q704" s="13">
        <f>IFERROR(__xludf.DUMMYFUNCTION("""COMPUTED_VALUE"""),46111.0)</f>
        <v>46111</v>
      </c>
      <c r="R704" s="13">
        <f>IFERROR(__xludf.DUMMYFUNCTION("""COMPUTED_VALUE"""),46107.0)</f>
        <v>46107</v>
      </c>
      <c r="S704" s="13">
        <f>IFERROR(__xludf.DUMMYFUNCTION("""COMPUTED_VALUE"""),46114.0)</f>
        <v>46114</v>
      </c>
      <c r="T704" s="5" t="b">
        <f>IFERROR(__xludf.DUMMYFUNCTION("""COMPUTED_VALUE"""),TRUE)</f>
        <v>1</v>
      </c>
      <c r="U704" s="5" t="str">
        <f>IFERROR(__xludf.DUMMYFUNCTION("""COMPUTED_VALUE"""),"5x3")</f>
        <v>5x3</v>
      </c>
      <c r="V704" s="5">
        <f>IFERROR(__xludf.DUMMYFUNCTION("""COMPUTED_VALUE"""),40.0)</f>
        <v>40</v>
      </c>
      <c r="W704" s="5">
        <f>IFERROR(__xludf.DUMMYFUNCTION("""COMPUTED_VALUE"""),40.0)</f>
        <v>40</v>
      </c>
      <c r="X704" s="5">
        <f>IFERROR(__xludf.DUMMYFUNCTION("""COMPUTED_VALUE"""),95.962)</f>
        <v>95.962</v>
      </c>
      <c r="Y704" s="5" t="str">
        <f>IFERROR(__xludf.DUMMYFUNCTION("""COMPUTED_VALUE"""),"Medium")</f>
        <v>Medium</v>
      </c>
      <c r="Z704" s="5">
        <f>IFERROR(__xludf.DUMMYFUNCTION("""COMPUTED_VALUE"""),18.351)</f>
        <v>18.351</v>
      </c>
      <c r="AA704" s="5">
        <f>IFERROR(__xludf.DUMMYFUNCTION("""COMPUTED_VALUE"""),1421.0)</f>
        <v>1421</v>
      </c>
      <c r="AB704" s="5"/>
      <c r="AC704" s="5" t="str">
        <f>IFERROR(__xludf.DUMMYFUNCTION("""COMPUTED_VALUE"""),"Scatter, Expanding Wild")</f>
        <v>Scatter, Expanding Wild</v>
      </c>
      <c r="AD704" s="5" t="str">
        <f>IFERROR(__xludf.DUMMYFUNCTION("""COMPUTED_VALUE"""),"0.2/50")</f>
        <v>0.2/50</v>
      </c>
      <c r="AE704" s="5"/>
      <c r="AF704" s="5"/>
      <c r="AG704" s="8">
        <f>IFERROR(__xludf.DUMMYFUNCTION("""COMPUTED_VALUE"""),46220.507418981484)</f>
        <v>46220.50742</v>
      </c>
      <c r="AH704" s="5" t="str">
        <f>IFERROR(__xludf.DUMMYFUNCTION("""COMPUTED_VALUE"""),"selena.mihajlovic@fazi.rs")</f>
        <v>selena.mihajlovic@fazi.rs</v>
      </c>
      <c r="AI704" s="13"/>
      <c r="AJ704" s="5"/>
      <c r="AK704" s="5">
        <f>IFERROR(__xludf.DUMMYFUNCTION("""COMPUTED_VALUE"""),40.0)</f>
        <v>40</v>
      </c>
      <c r="AL704" s="5" t="str">
        <f>IFERROR(__xludf.DUMMYFUNCTION("""COMPUTED_VALUE"""),"No")</f>
        <v>No</v>
      </c>
      <c r="AM704" s="5" t="str">
        <f>IFERROR(__xludf.DUMMYFUNCTION("""COMPUTED_VALUE"""),"No")</f>
        <v>No</v>
      </c>
      <c r="AN704" s="7" t="str">
        <f>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AO704" s="5" t="str">
        <f>IFERROR(__xludf.DUMMYFUNCTION("""COMPUTED_VALUE"""),"No")</f>
        <v>No</v>
      </c>
      <c r="AP704" s="5" t="str">
        <f>IFERROR(__xludf.DUMMYFUNCTION("""COMPUTED_VALUE"""),"No")</f>
        <v>No</v>
      </c>
      <c r="AQ704" s="5" t="b">
        <f>IFERROR(__xludf.DUMMYFUNCTION("""COMPUTED_VALUE"""),TRUE)</f>
        <v>1</v>
      </c>
      <c r="AR704" s="5"/>
      <c r="AS704" s="5" t="str">
        <f>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AT704" s="5"/>
      <c r="AU704" s="5" t="str">
        <f>IFERROR(__xludf.DUMMYFUNCTION("""COMPUTED_VALUE"""),"Fazi")</f>
        <v>Fazi</v>
      </c>
      <c r="AV704" s="5">
        <f>IFERROR(__xludf.DUMMYFUNCTION("""COMPUTED_VALUE"""),4.0)</f>
        <v>4</v>
      </c>
      <c r="AW704" s="5"/>
      <c r="AX704" s="13">
        <f>IFERROR(__xludf.DUMMYFUNCTION("""COMPUTED_VALUE"""),46105.0)</f>
        <v>46105</v>
      </c>
      <c r="AY704" s="5"/>
      <c r="AZ704" s="5"/>
      <c r="BA704" s="5"/>
      <c r="BB704" s="5" t="b">
        <f>IFERROR(__xludf.DUMMYFUNCTION("""COMPUTED_VALUE"""),TRUE)</f>
        <v>1</v>
      </c>
      <c r="BC704" s="5" t="str">
        <f>IFERROR(__xludf.DUMMYFUNCTION("""COMPUTED_VALUE"""),"Playnet")</f>
        <v>Playnet</v>
      </c>
      <c r="BD704" s="7" t="str">
        <f>IFERROR(__xludf.DUMMYFUNCTION("""COMPUTED_VALUE"""),"https://gameserver-store-client-area.orbionlimited.com/Home/IntegrationGameLaunch/client-area?moneyType=0&amp;gameName=PlayNetRoyalFlame40&amp;platform=desktop&amp;languageCode=eng&amp;currency=EUR")</f>
        <v>https://gameserver-store-client-area.orbionlimited.com/Home/IntegrationGameLaunch/client-area?moneyType=0&amp;gameName=PlayNetRoyalFlame40&amp;platform=desktop&amp;languageCode=eng&amp;currency=EUR</v>
      </c>
      <c r="BE704" s="5" t="b">
        <f>IFERROR(__xludf.DUMMYFUNCTION("""COMPUTED_VALUE"""),TRUE)</f>
        <v>1</v>
      </c>
    </row>
    <row r="705">
      <c r="A705" s="5">
        <f>IFERROR(__xludf.DUMMYFUNCTION("""COMPUTED_VALUE"""),740.0)</f>
        <v>740</v>
      </c>
      <c r="B705" s="5">
        <f>IFERROR(__xludf.DUMMYFUNCTION("""COMPUTED_VALUE"""),534.0)</f>
        <v>534</v>
      </c>
      <c r="C705" s="5" t="str">
        <f>IFERROR(__xludf.DUMMYFUNCTION("""COMPUTED_VALUE"""),"Playnet")</f>
        <v>Playnet</v>
      </c>
      <c r="D705" s="5" t="str">
        <f>IFERROR(__xludf.DUMMYFUNCTION("""COMPUTED_VALUE"""),"Fruit JackPot x10.000")</f>
        <v>Fruit JackPot x10.000</v>
      </c>
      <c r="E705" s="5" t="str">
        <f>IFERROR(__xludf.DUMMYFUNCTION("""COMPUTED_VALUE"""),"Sertifikacioni")</f>
        <v>Sertifikacioni</v>
      </c>
      <c r="F705" s="5" t="str">
        <f>IFERROR(__xludf.DUMMYFUNCTION("""COMPUTED_VALUE"""),"PlayNetFruitJackPotx10000")</f>
        <v>PlayNetFruitJackPotx10000</v>
      </c>
      <c r="G705" s="5" t="str">
        <f>IFERROR(__xludf.DUMMYFUNCTION("""COMPUTED_VALUE"""),"Live")</f>
        <v>Live</v>
      </c>
      <c r="H705" s="5"/>
      <c r="I705" s="5"/>
      <c r="J705" s="5" t="str">
        <f>IFERROR(__xludf.DUMMYFUNCTION("""COMPUTED_VALUE"""),"JSON")</f>
        <v>JSON</v>
      </c>
      <c r="K705" s="5" t="str">
        <f>IFERROR(__xludf.DUMMYFUNCTION("""COMPUTED_VALUE"""),"Slot")</f>
        <v>Slot</v>
      </c>
      <c r="L705" s="5" t="str">
        <f>IFERROR(__xludf.DUMMYFUNCTION("""COMPUTED_VALUE""")," Clone")</f>
        <v> Clone</v>
      </c>
      <c r="M705" s="5" t="str">
        <f>IFERROR(__xludf.DUMMYFUNCTION("""COMPUTED_VALUE"""),"Clovers And Stars")</f>
        <v>Clovers And Stars</v>
      </c>
      <c r="N705" s="5"/>
      <c r="O705" s="5"/>
      <c r="P705" s="12">
        <f>IFERROR(__xludf.DUMMYFUNCTION("""COMPUTED_VALUE"""),10.0)</f>
        <v>10</v>
      </c>
      <c r="Q705" s="13">
        <f>IFERROR(__xludf.DUMMYFUNCTION("""COMPUTED_VALUE"""),46126.0)</f>
        <v>46126</v>
      </c>
      <c r="R705" s="13">
        <f>IFERROR(__xludf.DUMMYFUNCTION("""COMPUTED_VALUE"""),46125.0)</f>
        <v>46125</v>
      </c>
      <c r="S705" s="13">
        <f>IFERROR(__xludf.DUMMYFUNCTION("""COMPUTED_VALUE"""),46132.0)</f>
        <v>46132</v>
      </c>
      <c r="T705" s="5" t="b">
        <f>IFERROR(__xludf.DUMMYFUNCTION("""COMPUTED_VALUE"""),TRUE)</f>
        <v>1</v>
      </c>
      <c r="U705" s="5" t="str">
        <f>IFERROR(__xludf.DUMMYFUNCTION("""COMPUTED_VALUE"""),"5x4")</f>
        <v>5x4</v>
      </c>
      <c r="V705" s="5">
        <f>IFERROR(__xludf.DUMMYFUNCTION("""COMPUTED_VALUE"""),40.0)</f>
        <v>40</v>
      </c>
      <c r="W705" s="5">
        <f>IFERROR(__xludf.DUMMYFUNCTION("""COMPUTED_VALUE"""),40.0)</f>
        <v>40</v>
      </c>
      <c r="X705" s="5">
        <f>IFERROR(__xludf.DUMMYFUNCTION("""COMPUTED_VALUE"""),96.474)</f>
        <v>96.474</v>
      </c>
      <c r="Y705" s="5" t="str">
        <f>IFERROR(__xludf.DUMMYFUNCTION("""COMPUTED_VALUE"""),"High")</f>
        <v>High</v>
      </c>
      <c r="Z705" s="5">
        <f>IFERROR(__xludf.DUMMYFUNCTION("""COMPUTED_VALUE"""),10.421)</f>
        <v>10.421</v>
      </c>
      <c r="AA705" s="5">
        <f>IFERROR(__xludf.DUMMYFUNCTION("""COMPUTED_VALUE"""),10145.5)</f>
        <v>10145.5</v>
      </c>
      <c r="AB705" s="5"/>
      <c r="AC705" s="5" t="str">
        <f>IFERROR(__xludf.DUMMYFUNCTION("""COMPUTED_VALUE"""),"Scatter, Wild Symbol")</f>
        <v>Scatter, Wild Symbol</v>
      </c>
      <c r="AD705" s="5" t="str">
        <f>IFERROR(__xludf.DUMMYFUNCTION("""COMPUTED_VALUE"""),"0.04/40")</f>
        <v>0.04/40</v>
      </c>
      <c r="AE705" s="5"/>
      <c r="AF705" s="5"/>
      <c r="AG705" s="8">
        <f>IFERROR(__xludf.DUMMYFUNCTION("""COMPUTED_VALUE"""),46220.50759259259)</f>
        <v>46220.50759</v>
      </c>
      <c r="AH705" s="5" t="str">
        <f>IFERROR(__xludf.DUMMYFUNCTION("""COMPUTED_VALUE"""),"selena.mihajlovic@fazi.rs")</f>
        <v>selena.mihajlovic@fazi.rs</v>
      </c>
      <c r="AI705" s="13">
        <f>IFERROR(__xludf.DUMMYFUNCTION("""COMPUTED_VALUE"""),46127.0)</f>
        <v>46127</v>
      </c>
      <c r="AJ705" s="5" t="str">
        <f>IFERROR(__xludf.DUMMYFUNCTION("""COMPUTED_VALUE"""),"15.04. Mozzartbet SRB
15.04. Betarabia
15.04. Premierbet")</f>
        <v>15.04. Mozzartbet SRB
15.04. Betarabia
15.04. Premierbet</v>
      </c>
      <c r="AK705" s="5">
        <f>IFERROR(__xludf.DUMMYFUNCTION("""COMPUTED_VALUE"""),40.0)</f>
        <v>40</v>
      </c>
      <c r="AL705" s="5" t="str">
        <f>IFERROR(__xludf.DUMMYFUNCTION("""COMPUTED_VALUE"""),"No")</f>
        <v>No</v>
      </c>
      <c r="AM705" s="5" t="str">
        <f>IFERROR(__xludf.DUMMYFUNCTION("""COMPUTED_VALUE"""),"No")</f>
        <v>No</v>
      </c>
      <c r="AN705" s="7" t="str">
        <f>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AO705" s="5" t="str">
        <f>IFERROR(__xludf.DUMMYFUNCTION("""COMPUTED_VALUE"""),"No")</f>
        <v>No</v>
      </c>
      <c r="AP705" s="5" t="str">
        <f>IFERROR(__xludf.DUMMYFUNCTION("""COMPUTED_VALUE"""),"No")</f>
        <v>No</v>
      </c>
      <c r="AQ705" s="5" t="b">
        <f>IFERROR(__xludf.DUMMYFUNCTION("""COMPUTED_VALUE"""),TRUE)</f>
        <v>1</v>
      </c>
      <c r="AR705" s="5"/>
      <c r="AS705" s="5" t="str">
        <f>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AT705" s="5"/>
      <c r="AU705" s="5" t="str">
        <f>IFERROR(__xludf.DUMMYFUNCTION("""COMPUTED_VALUE"""),"Fazi")</f>
        <v>Fazi</v>
      </c>
      <c r="AV705" s="5">
        <f>IFERROR(__xludf.DUMMYFUNCTION("""COMPUTED_VALUE"""),4.0)</f>
        <v>4</v>
      </c>
      <c r="AW705" s="5"/>
      <c r="AX705" s="13">
        <f>IFERROR(__xludf.DUMMYFUNCTION("""COMPUTED_VALUE"""),46119.0)</f>
        <v>46119</v>
      </c>
      <c r="AY705" s="5"/>
      <c r="AZ705" s="5"/>
      <c r="BA705" s="5"/>
      <c r="BB705" s="5" t="b">
        <f>IFERROR(__xludf.DUMMYFUNCTION("""COMPUTED_VALUE"""),TRUE)</f>
        <v>1</v>
      </c>
      <c r="BC705" s="5" t="str">
        <f>IFERROR(__xludf.DUMMYFUNCTION("""COMPUTED_VALUE"""),"Playnet")</f>
        <v>Playnet</v>
      </c>
      <c r="BD705" s="7" t="str">
        <f>IFERROR(__xludf.DUMMYFUNCTION("""COMPUTED_VALUE"""),"https://gameserver-store-client-area.orbionlimited.com/Home/IntegrationGameLaunch/client-area?moneyType=0&amp;gameName=PlayNetFruitJackPotx10000&amp;platform=desktop&amp;languageCode=eng&amp;currency=EUR")</f>
        <v>https://gameserver-store-client-area.orbionlimited.com/Home/IntegrationGameLaunch/client-area?moneyType=0&amp;gameName=PlayNetFruitJackPotx10000&amp;platform=desktop&amp;languageCode=eng&amp;currency=EUR</v>
      </c>
      <c r="BE705" s="5" t="b">
        <f>IFERROR(__xludf.DUMMYFUNCTION("""COMPUTED_VALUE"""),TRUE)</f>
        <v>1</v>
      </c>
    </row>
    <row r="706">
      <c r="A706" s="5">
        <f>IFERROR(__xludf.DUMMYFUNCTION("""COMPUTED_VALUE"""),741.0)</f>
        <v>741</v>
      </c>
      <c r="B706" s="5">
        <f>IFERROR(__xludf.DUMMYFUNCTION("""COMPUTED_VALUE"""),535.0)</f>
        <v>535</v>
      </c>
      <c r="C706" s="5" t="str">
        <f>IFERROR(__xludf.DUMMYFUNCTION("""COMPUTED_VALUE"""),"Playnet")</f>
        <v>Playnet</v>
      </c>
      <c r="D706" s="5" t="str">
        <f>IFERROR(__xludf.DUMMYFUNCTION("""COMPUTED_VALUE"""),"27 Lucky Fruits")</f>
        <v>27 Lucky Fruits</v>
      </c>
      <c r="E706" s="5" t="str">
        <f>IFERROR(__xludf.DUMMYFUNCTION("""COMPUTED_VALUE"""),"Sertifikacioni")</f>
        <v>Sertifikacioni</v>
      </c>
      <c r="F706" s="5" t="str">
        <f>IFERROR(__xludf.DUMMYFUNCTION("""COMPUTED_VALUE"""),"PlayNet27LuckyFruits")</f>
        <v>PlayNet27LuckyFruits</v>
      </c>
      <c r="G706" s="5" t="str">
        <f>IFERROR(__xludf.DUMMYFUNCTION("""COMPUTED_VALUE"""),"Live")</f>
        <v>Live</v>
      </c>
      <c r="H706" s="5"/>
      <c r="I706" s="5"/>
      <c r="J706" s="5" t="str">
        <f>IFERROR(__xludf.DUMMYFUNCTION("""COMPUTED_VALUE"""),"JSON")</f>
        <v>JSON</v>
      </c>
      <c r="K706" s="5" t="str">
        <f>IFERROR(__xludf.DUMMYFUNCTION("""COMPUTED_VALUE"""),"Slot")</f>
        <v>Slot</v>
      </c>
      <c r="L706" s="5" t="str">
        <f>IFERROR(__xludf.DUMMYFUNCTION("""COMPUTED_VALUE""")," Clone")</f>
        <v> Clone</v>
      </c>
      <c r="M706" s="5" t="str">
        <f>IFERROR(__xludf.DUMMYFUNCTION("""COMPUTED_VALUE"""),"Wild 27")</f>
        <v>Wild 27</v>
      </c>
      <c r="N706" s="5"/>
      <c r="O706" s="5"/>
      <c r="P706" s="12">
        <f>IFERROR(__xludf.DUMMYFUNCTION("""COMPUTED_VALUE"""),15.0)</f>
        <v>15</v>
      </c>
      <c r="Q706" s="13">
        <f>IFERROR(__xludf.DUMMYFUNCTION("""COMPUTED_VALUE"""),46126.0)</f>
        <v>46126</v>
      </c>
      <c r="R706" s="13">
        <f>IFERROR(__xludf.DUMMYFUNCTION("""COMPUTED_VALUE"""),46133.0)</f>
        <v>46133</v>
      </c>
      <c r="S706" s="13">
        <f>IFERROR(__xludf.DUMMYFUNCTION("""COMPUTED_VALUE"""),46140.0)</f>
        <v>46140</v>
      </c>
      <c r="T706" s="5" t="b">
        <f>IFERROR(__xludf.DUMMYFUNCTION("""COMPUTED_VALUE"""),TRUE)</f>
        <v>1</v>
      </c>
      <c r="U706" s="5" t="str">
        <f>IFERROR(__xludf.DUMMYFUNCTION("""COMPUTED_VALUE"""),"3x3")</f>
        <v>3x3</v>
      </c>
      <c r="V706" s="5">
        <f>IFERROR(__xludf.DUMMYFUNCTION("""COMPUTED_VALUE"""),27.0)</f>
        <v>27</v>
      </c>
      <c r="W706" s="5">
        <f>IFERROR(__xludf.DUMMYFUNCTION("""COMPUTED_VALUE"""),27.0)</f>
        <v>27</v>
      </c>
      <c r="X706" s="5">
        <f>IFERROR(__xludf.DUMMYFUNCTION("""COMPUTED_VALUE"""),96.24)</f>
        <v>96.24</v>
      </c>
      <c r="Y706" s="5" t="str">
        <f>IFERROR(__xludf.DUMMYFUNCTION("""COMPUTED_VALUE"""),"Low")</f>
        <v>Low</v>
      </c>
      <c r="Z706" s="5">
        <f>IFERROR(__xludf.DUMMYFUNCTION("""COMPUTED_VALUE"""),6.58)</f>
        <v>6.58</v>
      </c>
      <c r="AA706" s="5">
        <f>IFERROR(__xludf.DUMMYFUNCTION("""COMPUTED_VALUE"""),108.0)</f>
        <v>108</v>
      </c>
      <c r="AB706" s="5"/>
      <c r="AC706" s="5" t="str">
        <f>IFERROR(__xludf.DUMMYFUNCTION("""COMPUTED_VALUE"""),"Win Multiplier")</f>
        <v>Win Multiplier</v>
      </c>
      <c r="AD706" s="5" t="str">
        <f>IFERROR(__xludf.DUMMYFUNCTION("""COMPUTED_VALUE"""),"0.01/50")</f>
        <v>0.01/50</v>
      </c>
      <c r="AE706" s="5"/>
      <c r="AF706" s="5"/>
      <c r="AG706" s="8">
        <f>IFERROR(__xludf.DUMMYFUNCTION("""COMPUTED_VALUE"""),46220.50784722222)</f>
        <v>46220.50785</v>
      </c>
      <c r="AH706" s="5" t="str">
        <f>IFERROR(__xludf.DUMMYFUNCTION("""COMPUTED_VALUE"""),"selena.mihajlovic@fazi.rs")</f>
        <v>selena.mihajlovic@fazi.rs</v>
      </c>
      <c r="AI706" s="13"/>
      <c r="AJ706" s="5"/>
      <c r="AK706" s="5">
        <f>IFERROR(__xludf.DUMMYFUNCTION("""COMPUTED_VALUE"""),1.0)</f>
        <v>1</v>
      </c>
      <c r="AL706" s="5" t="str">
        <f>IFERROR(__xludf.DUMMYFUNCTION("""COMPUTED_VALUE"""),"No")</f>
        <v>No</v>
      </c>
      <c r="AM706" s="5" t="str">
        <f>IFERROR(__xludf.DUMMYFUNCTION("""COMPUTED_VALUE"""),"No")</f>
        <v>No</v>
      </c>
      <c r="AN706" s="7" t="str">
        <f>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AO706" s="5" t="str">
        <f>IFERROR(__xludf.DUMMYFUNCTION("""COMPUTED_VALUE"""),"No")</f>
        <v>No</v>
      </c>
      <c r="AP706" s="5" t="str">
        <f>IFERROR(__xludf.DUMMYFUNCTION("""COMPUTED_VALUE"""),"No")</f>
        <v>No</v>
      </c>
      <c r="AQ706" s="5" t="b">
        <f>IFERROR(__xludf.DUMMYFUNCTION("""COMPUTED_VALUE"""),TRUE)</f>
        <v>1</v>
      </c>
      <c r="AR706" s="5"/>
      <c r="AS706" s="5" t="str">
        <f>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AT706" s="5"/>
      <c r="AU706" s="5" t="str">
        <f>IFERROR(__xludf.DUMMYFUNCTION("""COMPUTED_VALUE"""),"Fazi")</f>
        <v>Fazi</v>
      </c>
      <c r="AV706" s="5">
        <f>IFERROR(__xludf.DUMMYFUNCTION("""COMPUTED_VALUE"""),1.0)</f>
        <v>1</v>
      </c>
      <c r="AW706" s="5"/>
      <c r="AX706" s="13">
        <f>IFERROR(__xludf.DUMMYFUNCTION("""COMPUTED_VALUE"""),46119.0)</f>
        <v>46119</v>
      </c>
      <c r="AY706" s="5"/>
      <c r="AZ706" s="5"/>
      <c r="BA706" s="5"/>
      <c r="BB706" s="5" t="b">
        <f>IFERROR(__xludf.DUMMYFUNCTION("""COMPUTED_VALUE"""),TRUE)</f>
        <v>1</v>
      </c>
      <c r="BC706" s="5" t="str">
        <f>IFERROR(__xludf.DUMMYFUNCTION("""COMPUTED_VALUE"""),"Playnet")</f>
        <v>Playnet</v>
      </c>
      <c r="BD706" s="7" t="str">
        <f>IFERROR(__xludf.DUMMYFUNCTION("""COMPUTED_VALUE"""),"https://gameserver-store-client-area.orbionlimited.com/Home/IntegrationGameLaunch/client-area?moneyType=0&amp;gameName=PlayNet27LuckyFruits&amp;platform=desktop&amp;languageCode=eng&amp;currency=EUR")</f>
        <v>https://gameserver-store-client-area.orbionlimited.com/Home/IntegrationGameLaunch/client-area?moneyType=0&amp;gameName=PlayNet27LuckyFruits&amp;platform=desktop&amp;languageCode=eng&amp;currency=EUR</v>
      </c>
      <c r="BE706" s="5" t="b">
        <f>IFERROR(__xludf.DUMMYFUNCTION("""COMPUTED_VALUE"""),TRUE)</f>
        <v>1</v>
      </c>
    </row>
    <row r="707">
      <c r="A707" s="5">
        <f>IFERROR(__xludf.DUMMYFUNCTION("""COMPUTED_VALUE"""),742.0)</f>
        <v>742</v>
      </c>
      <c r="B707" s="5">
        <f>IFERROR(__xludf.DUMMYFUNCTION("""COMPUTED_VALUE"""),536.0)</f>
        <v>536</v>
      </c>
      <c r="C707" s="5" t="str">
        <f>IFERROR(__xludf.DUMMYFUNCTION("""COMPUTED_VALUE"""),"Playnet")</f>
        <v>Playnet</v>
      </c>
      <c r="D707" s="5" t="str">
        <f>IFERROR(__xludf.DUMMYFUNCTION("""COMPUTED_VALUE"""),"Shadow Hunt 10")</f>
        <v>Shadow Hunt 10</v>
      </c>
      <c r="E707" s="5" t="str">
        <f>IFERROR(__xludf.DUMMYFUNCTION("""COMPUTED_VALUE"""),"Sertifikacioni")</f>
        <v>Sertifikacioni</v>
      </c>
      <c r="F707" s="5" t="str">
        <f>IFERROR(__xludf.DUMMYFUNCTION("""COMPUTED_VALUE"""),"PlayNetShadowHunt10")</f>
        <v>PlayNetShadowHunt10</v>
      </c>
      <c r="G707" s="5" t="str">
        <f>IFERROR(__xludf.DUMMYFUNCTION("""COMPUTED_VALUE"""),"Live")</f>
        <v>Live</v>
      </c>
      <c r="H707" s="5"/>
      <c r="I707" s="5"/>
      <c r="J707" s="5" t="str">
        <f>IFERROR(__xludf.DUMMYFUNCTION("""COMPUTED_VALUE"""),"JSON")</f>
        <v>JSON</v>
      </c>
      <c r="K707" s="5" t="str">
        <f>IFERROR(__xludf.DUMMYFUNCTION("""COMPUTED_VALUE"""),"Slot")</f>
        <v>Slot</v>
      </c>
      <c r="L707" s="5" t="str">
        <f>IFERROR(__xludf.DUMMYFUNCTION("""COMPUTED_VALUE""")," Clone")</f>
        <v> Clone</v>
      </c>
      <c r="M707" s="5" t="str">
        <f>IFERROR(__xludf.DUMMYFUNCTION("""COMPUTED_VALUE"""),"Mega Hot 10")</f>
        <v>Mega Hot 10</v>
      </c>
      <c r="N707" s="5"/>
      <c r="O707" s="5"/>
      <c r="P707" s="12">
        <f>IFERROR(__xludf.DUMMYFUNCTION("""COMPUTED_VALUE"""),15.0)</f>
        <v>15</v>
      </c>
      <c r="Q707" s="13">
        <f>IFERROR(__xludf.DUMMYFUNCTION("""COMPUTED_VALUE"""),46139.0)</f>
        <v>46139</v>
      </c>
      <c r="R707" s="13">
        <f>IFERROR(__xludf.DUMMYFUNCTION("""COMPUTED_VALUE"""),46139.0)</f>
        <v>46139</v>
      </c>
      <c r="S707" s="13">
        <f>IFERROR(__xludf.DUMMYFUNCTION("""COMPUTED_VALUE"""),46146.0)</f>
        <v>46146</v>
      </c>
      <c r="T707" s="5" t="b">
        <f>IFERROR(__xludf.DUMMYFUNCTION("""COMPUTED_VALUE"""),TRUE)</f>
        <v>1</v>
      </c>
      <c r="U707" s="5" t="str">
        <f>IFERROR(__xludf.DUMMYFUNCTION("""COMPUTED_VALUE"""),"5x3")</f>
        <v>5x3</v>
      </c>
      <c r="V707" s="5">
        <f>IFERROR(__xludf.DUMMYFUNCTION("""COMPUTED_VALUE"""),10.0)</f>
        <v>10</v>
      </c>
      <c r="W707" s="5">
        <f>IFERROR(__xludf.DUMMYFUNCTION("""COMPUTED_VALUE"""),10.0)</f>
        <v>10</v>
      </c>
      <c r="X707" s="5">
        <f>IFERROR(__xludf.DUMMYFUNCTION("""COMPUTED_VALUE"""),96.475)</f>
        <v>96.475</v>
      </c>
      <c r="Y707" s="5" t="str">
        <f>IFERROR(__xludf.DUMMYFUNCTION("""COMPUTED_VALUE"""),"High")</f>
        <v>High</v>
      </c>
      <c r="Z707" s="5">
        <f>IFERROR(__xludf.DUMMYFUNCTION("""COMPUTED_VALUE"""),5.934)</f>
        <v>5.934</v>
      </c>
      <c r="AA707" s="5">
        <f>IFERROR(__xludf.DUMMYFUNCTION("""COMPUTED_VALUE"""),1500.0)</f>
        <v>1500</v>
      </c>
      <c r="AB707" s="5"/>
      <c r="AC707" s="5" t="str">
        <f>IFERROR(__xludf.DUMMYFUNCTION("""COMPUTED_VALUE"""),"Win Multiplier")</f>
        <v>Win Multiplier</v>
      </c>
      <c r="AD707" s="5" t="str">
        <f>IFERROR(__xludf.DUMMYFUNCTION("""COMPUTED_VALUE"""),"0.1/40")</f>
        <v>0.1/40</v>
      </c>
      <c r="AE707" s="5"/>
      <c r="AF707" s="5"/>
      <c r="AG707" s="8">
        <f>IFERROR(__xludf.DUMMYFUNCTION("""COMPUTED_VALUE"""),46220.50833333333)</f>
        <v>46220.50833</v>
      </c>
      <c r="AH707" s="5" t="str">
        <f>IFERROR(__xludf.DUMMYFUNCTION("""COMPUTED_VALUE"""),"selena.mihajlovic@fazi.rs")</f>
        <v>selena.mihajlovic@fazi.rs</v>
      </c>
      <c r="AI707" s="13"/>
      <c r="AJ707" s="5"/>
      <c r="AK707" s="5">
        <f>IFERROR(__xludf.DUMMYFUNCTION("""COMPUTED_VALUE"""),10.0)</f>
        <v>10</v>
      </c>
      <c r="AL707" s="5" t="str">
        <f>IFERROR(__xludf.DUMMYFUNCTION("""COMPUTED_VALUE"""),"No")</f>
        <v>No</v>
      </c>
      <c r="AM707" s="5" t="str">
        <f>IFERROR(__xludf.DUMMYFUNCTION("""COMPUTED_VALUE"""),"No")</f>
        <v>No</v>
      </c>
      <c r="AN707" s="7" t="str">
        <f>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AO707" s="5" t="str">
        <f>IFERROR(__xludf.DUMMYFUNCTION("""COMPUTED_VALUE"""),"No")</f>
        <v>No</v>
      </c>
      <c r="AP707" s="5" t="str">
        <f>IFERROR(__xludf.DUMMYFUNCTION("""COMPUTED_VALUE"""),"No")</f>
        <v>No</v>
      </c>
      <c r="AQ707" s="5" t="b">
        <f>IFERROR(__xludf.DUMMYFUNCTION("""COMPUTED_VALUE"""),TRUE)</f>
        <v>1</v>
      </c>
      <c r="AR707" s="5"/>
      <c r="AS707" s="5" t="str">
        <f>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AT707" s="5"/>
      <c r="AU707" s="5" t="str">
        <f>IFERROR(__xludf.DUMMYFUNCTION("""COMPUTED_VALUE"""),"Fazi")</f>
        <v>Fazi</v>
      </c>
      <c r="AV707" s="5">
        <f>IFERROR(__xludf.DUMMYFUNCTION("""COMPUTED_VALUE"""),1.0)</f>
        <v>1</v>
      </c>
      <c r="AW707" s="5"/>
      <c r="AX707" s="13">
        <f>IFERROR(__xludf.DUMMYFUNCTION("""COMPUTED_VALUE"""),46133.0)</f>
        <v>46133</v>
      </c>
      <c r="AY707" s="5"/>
      <c r="AZ707" s="5"/>
      <c r="BA707" s="5"/>
      <c r="BB707" s="5" t="b">
        <f>IFERROR(__xludf.DUMMYFUNCTION("""COMPUTED_VALUE"""),TRUE)</f>
        <v>1</v>
      </c>
      <c r="BC707" s="5" t="str">
        <f>IFERROR(__xludf.DUMMYFUNCTION("""COMPUTED_VALUE"""),"Playnet")</f>
        <v>Playnet</v>
      </c>
      <c r="BD707" s="7" t="str">
        <f>IFERROR(__xludf.DUMMYFUNCTION("""COMPUTED_VALUE"""),"https://gameserver-store-client-area.orbionlimited.com/Home/IntegrationGameLaunch/client-area?moneyType=0&amp;gameName=PlayNetShadowHunt10&amp;platform=desktop&amp;languageCode=eng&amp;currency=EUR")</f>
        <v>https://gameserver-store-client-area.orbionlimited.com/Home/IntegrationGameLaunch/client-area?moneyType=0&amp;gameName=PlayNetShadowHunt10&amp;platform=desktop&amp;languageCode=eng&amp;currency=EUR</v>
      </c>
      <c r="BE707" s="5" t="b">
        <f>IFERROR(__xludf.DUMMYFUNCTION("""COMPUTED_VALUE"""),TRUE)</f>
        <v>1</v>
      </c>
    </row>
    <row r="708">
      <c r="A708" s="5">
        <f>IFERROR(__xludf.DUMMYFUNCTION("""COMPUTED_VALUE"""),743.0)</f>
        <v>743</v>
      </c>
      <c r="B708" s="5">
        <f>IFERROR(__xludf.DUMMYFUNCTION("""COMPUTED_VALUE"""),537.0)</f>
        <v>537</v>
      </c>
      <c r="C708" s="5" t="str">
        <f>IFERROR(__xludf.DUMMYFUNCTION("""COMPUTED_VALUE"""),"Playnet")</f>
        <v>Playnet</v>
      </c>
      <c r="D708" s="5" t="str">
        <f>IFERROR(__xludf.DUMMYFUNCTION("""COMPUTED_VALUE"""),"Diamond Heart 20")</f>
        <v>Diamond Heart 20</v>
      </c>
      <c r="E708" s="5" t="str">
        <f>IFERROR(__xludf.DUMMYFUNCTION("""COMPUTED_VALUE"""),"Sertifikacioni")</f>
        <v>Sertifikacioni</v>
      </c>
      <c r="F708" s="5" t="str">
        <f>IFERROR(__xludf.DUMMYFUNCTION("""COMPUTED_VALUE"""),"PlayNetDiamondHeart20")</f>
        <v>PlayNetDiamondHeart20</v>
      </c>
      <c r="G708" s="5" t="str">
        <f>IFERROR(__xludf.DUMMYFUNCTION("""COMPUTED_VALUE"""),"Live")</f>
        <v>Live</v>
      </c>
      <c r="H708" s="5"/>
      <c r="I708" s="5"/>
      <c r="J708" s="5" t="str">
        <f>IFERROR(__xludf.DUMMYFUNCTION("""COMPUTED_VALUE"""),"JSON")</f>
        <v>JSON</v>
      </c>
      <c r="K708" s="5" t="str">
        <f>IFERROR(__xludf.DUMMYFUNCTION("""COMPUTED_VALUE"""),"Slot")</f>
        <v>Slot</v>
      </c>
      <c r="L708" s="5" t="str">
        <f>IFERROR(__xludf.DUMMYFUNCTION("""COMPUTED_VALUE""")," Clone")</f>
        <v> Clone</v>
      </c>
      <c r="M708" s="5" t="str">
        <f>IFERROR(__xludf.DUMMYFUNCTION("""COMPUTED_VALUE"""),"Very Hot 20")</f>
        <v>Very Hot 20</v>
      </c>
      <c r="N708" s="5"/>
      <c r="O708" s="5"/>
      <c r="P708" s="12">
        <f>IFERROR(__xludf.DUMMYFUNCTION("""COMPUTED_VALUE"""),13.0)</f>
        <v>13</v>
      </c>
      <c r="Q708" s="13">
        <f>IFERROR(__xludf.DUMMYFUNCTION("""COMPUTED_VALUE"""),46153.0)</f>
        <v>46153</v>
      </c>
      <c r="R708" s="13">
        <f>IFERROR(__xludf.DUMMYFUNCTION("""COMPUTED_VALUE"""),46147.0)</f>
        <v>46147</v>
      </c>
      <c r="S708" s="13">
        <f>IFERROR(__xludf.DUMMYFUNCTION("""COMPUTED_VALUE"""),46154.0)</f>
        <v>46154</v>
      </c>
      <c r="T708" s="5" t="b">
        <f>IFERROR(__xludf.DUMMYFUNCTION("""COMPUTED_VALUE"""),TRUE)</f>
        <v>1</v>
      </c>
      <c r="U708" s="5" t="str">
        <f>IFERROR(__xludf.DUMMYFUNCTION("""COMPUTED_VALUE"""),"5x3")</f>
        <v>5x3</v>
      </c>
      <c r="V708" s="5">
        <f>IFERROR(__xludf.DUMMYFUNCTION("""COMPUTED_VALUE"""),20.0)</f>
        <v>20</v>
      </c>
      <c r="W708" s="5">
        <f>IFERROR(__xludf.DUMMYFUNCTION("""COMPUTED_VALUE"""),20.0)</f>
        <v>20</v>
      </c>
      <c r="X708" s="5">
        <f>IFERROR(__xludf.DUMMYFUNCTION("""COMPUTED_VALUE"""),96.504)</f>
        <v>96.504</v>
      </c>
      <c r="Y708" s="5" t="str">
        <f>IFERROR(__xludf.DUMMYFUNCTION("""COMPUTED_VALUE"""),"Medium")</f>
        <v>Medium</v>
      </c>
      <c r="Z708" s="5">
        <f>IFERROR(__xludf.DUMMYFUNCTION("""COMPUTED_VALUE"""),21.751)</f>
        <v>21.751</v>
      </c>
      <c r="AA708" s="5">
        <f>IFERROR(__xludf.DUMMYFUNCTION("""COMPUTED_VALUE"""),1231.5)</f>
        <v>1231.5</v>
      </c>
      <c r="AB708" s="5"/>
      <c r="AC708" s="5" t="str">
        <f>IFERROR(__xludf.DUMMYFUNCTION("""COMPUTED_VALUE"""),"Expanding Wild, Scatter")</f>
        <v>Expanding Wild, Scatter</v>
      </c>
      <c r="AD708" s="5" t="str">
        <f>IFERROR(__xludf.DUMMYFUNCTION("""COMPUTED_VALUE"""),"0.2/50")</f>
        <v>0.2/50</v>
      </c>
      <c r="AE708" s="5"/>
      <c r="AF708" s="5"/>
      <c r="AG708" s="8">
        <f>IFERROR(__xludf.DUMMYFUNCTION("""COMPUTED_VALUE"""),46220.50848379629)</f>
        <v>46220.50848</v>
      </c>
      <c r="AH708" s="5" t="str">
        <f>IFERROR(__xludf.DUMMYFUNCTION("""COMPUTED_VALUE"""),"selena.mihajlovic@fazi.rs")</f>
        <v>selena.mihajlovic@fazi.rs</v>
      </c>
      <c r="AI708" s="13"/>
      <c r="AJ708" s="5"/>
      <c r="AK708" s="5">
        <f>IFERROR(__xludf.DUMMYFUNCTION("""COMPUTED_VALUE"""),20.0)</f>
        <v>20</v>
      </c>
      <c r="AL708" s="5" t="str">
        <f>IFERROR(__xludf.DUMMYFUNCTION("""COMPUTED_VALUE"""),"No")</f>
        <v>No</v>
      </c>
      <c r="AM708" s="5" t="str">
        <f>IFERROR(__xludf.DUMMYFUNCTION("""COMPUTED_VALUE"""),"No")</f>
        <v>No</v>
      </c>
      <c r="AN708" s="7" t="str">
        <f>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AO708" s="5" t="str">
        <f>IFERROR(__xludf.DUMMYFUNCTION("""COMPUTED_VALUE"""),"No")</f>
        <v>No</v>
      </c>
      <c r="AP708" s="5" t="str">
        <f>IFERROR(__xludf.DUMMYFUNCTION("""COMPUTED_VALUE"""),"No")</f>
        <v>No</v>
      </c>
      <c r="AQ708" s="5" t="b">
        <f>IFERROR(__xludf.DUMMYFUNCTION("""COMPUTED_VALUE"""),TRUE)</f>
        <v>1</v>
      </c>
      <c r="AR708" s="5"/>
      <c r="AS708" s="5" t="str">
        <f>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708" s="5"/>
      <c r="AU708" s="5" t="str">
        <f>IFERROR(__xludf.DUMMYFUNCTION("""COMPUTED_VALUE"""),"Fazi")</f>
        <v>Fazi</v>
      </c>
      <c r="AV708" s="5">
        <f>IFERROR(__xludf.DUMMYFUNCTION("""COMPUTED_VALUE"""),2.0)</f>
        <v>2</v>
      </c>
      <c r="AW708" s="5"/>
      <c r="AX708" s="13">
        <f>IFERROR(__xludf.DUMMYFUNCTION("""COMPUTED_VALUE"""),46147.0)</f>
        <v>46147</v>
      </c>
      <c r="AY708" s="5"/>
      <c r="AZ708" s="5"/>
      <c r="BA708" s="5"/>
      <c r="BB708" s="5" t="b">
        <f>IFERROR(__xludf.DUMMYFUNCTION("""COMPUTED_VALUE"""),TRUE)</f>
        <v>1</v>
      </c>
      <c r="BC708" s="5" t="str">
        <f>IFERROR(__xludf.DUMMYFUNCTION("""COMPUTED_VALUE"""),"Playnet")</f>
        <v>Playnet</v>
      </c>
      <c r="BD708" s="7" t="str">
        <f>IFERROR(__xludf.DUMMYFUNCTION("""COMPUTED_VALUE"""),"https://gameserver-store-client-area.orbionlimited.com/Home/IntegrationGameLaunch/client-area?moneyType=0&amp;gameName=PlayNetDiamondHeart20&amp;platform=desktop&amp;languageCode=eng&amp;currency=EUR")</f>
        <v>https://gameserver-store-client-area.orbionlimited.com/Home/IntegrationGameLaunch/client-area?moneyType=0&amp;gameName=PlayNetDiamondHeart20&amp;platform=desktop&amp;languageCode=eng&amp;currency=EUR</v>
      </c>
      <c r="BE708" s="5" t="b">
        <f>IFERROR(__xludf.DUMMYFUNCTION("""COMPUTED_VALUE"""),TRUE)</f>
        <v>1</v>
      </c>
    </row>
    <row r="709">
      <c r="A709" s="5">
        <f>IFERROR(__xludf.DUMMYFUNCTION("""COMPUTED_VALUE"""),744.0)</f>
        <v>744</v>
      </c>
      <c r="B709" s="5">
        <f>IFERROR(__xludf.DUMMYFUNCTION("""COMPUTED_VALUE"""),538.0)</f>
        <v>538</v>
      </c>
      <c r="C709" s="5" t="str">
        <f>IFERROR(__xludf.DUMMYFUNCTION("""COMPUTED_VALUE"""),"Playnet")</f>
        <v>Playnet</v>
      </c>
      <c r="D709" s="5" t="str">
        <f>IFERROR(__xludf.DUMMYFUNCTION("""COMPUTED_VALUE"""),"Bit Queen")</f>
        <v>Bit Queen</v>
      </c>
      <c r="E709" s="5" t="str">
        <f>IFERROR(__xludf.DUMMYFUNCTION("""COMPUTED_VALUE"""),"Sertifikacioni")</f>
        <v>Sertifikacioni</v>
      </c>
      <c r="F709" s="5" t="str">
        <f>IFERROR(__xludf.DUMMYFUNCTION("""COMPUTED_VALUE"""),"PlayNetBitQueen")</f>
        <v>PlayNetBitQueen</v>
      </c>
      <c r="G709" s="5" t="str">
        <f>IFERROR(__xludf.DUMMYFUNCTION("""COMPUTED_VALUE"""),"Live")</f>
        <v>Live</v>
      </c>
      <c r="H709" s="5"/>
      <c r="I709" s="5"/>
      <c r="J709" s="5" t="str">
        <f>IFERROR(__xludf.DUMMYFUNCTION("""COMPUTED_VALUE"""),"JSON")</f>
        <v>JSON</v>
      </c>
      <c r="K709" s="5" t="str">
        <f>IFERROR(__xludf.DUMMYFUNCTION("""COMPUTED_VALUE"""),"Slot")</f>
        <v>Slot</v>
      </c>
      <c r="L709" s="5" t="str">
        <f>IFERROR(__xludf.DUMMYFUNCTION("""COMPUTED_VALUE""")," Clone")</f>
        <v> Clone</v>
      </c>
      <c r="M709" s="5" t="str">
        <f>IFERROR(__xludf.DUMMYFUNCTION("""COMPUTED_VALUE"""),"Wild Lucky Clover")</f>
        <v>Wild Lucky Clover</v>
      </c>
      <c r="N709" s="5"/>
      <c r="O709" s="5"/>
      <c r="P709" s="12">
        <f>IFERROR(__xludf.DUMMYFUNCTION("""COMPUTED_VALUE"""),15.0)</f>
        <v>15</v>
      </c>
      <c r="Q709" s="13">
        <f>IFERROR(__xludf.DUMMYFUNCTION("""COMPUTED_VALUE"""),46153.0)</f>
        <v>46153</v>
      </c>
      <c r="R709" s="13">
        <f>IFERROR(__xludf.DUMMYFUNCTION("""COMPUTED_VALUE"""),46160.0)</f>
        <v>46160</v>
      </c>
      <c r="S709" s="13">
        <f>IFERROR(__xludf.DUMMYFUNCTION("""COMPUTED_VALUE"""),46167.0)</f>
        <v>46167</v>
      </c>
      <c r="T709" s="5" t="b">
        <f>IFERROR(__xludf.DUMMYFUNCTION("""COMPUTED_VALUE"""),TRUE)</f>
        <v>1</v>
      </c>
      <c r="U709" s="5" t="str">
        <f>IFERROR(__xludf.DUMMYFUNCTION("""COMPUTED_VALUE"""),"5x4")</f>
        <v>5x4</v>
      </c>
      <c r="V709" s="5">
        <f>IFERROR(__xludf.DUMMYFUNCTION("""COMPUTED_VALUE"""),40.0)</f>
        <v>40</v>
      </c>
      <c r="W709" s="5">
        <f>IFERROR(__xludf.DUMMYFUNCTION("""COMPUTED_VALUE"""),40.0)</f>
        <v>40</v>
      </c>
      <c r="X709" s="5">
        <f>IFERROR(__xludf.DUMMYFUNCTION("""COMPUTED_VALUE"""),96.291)</f>
        <v>96.291</v>
      </c>
      <c r="Y709" s="5" t="str">
        <f>IFERROR(__xludf.DUMMYFUNCTION("""COMPUTED_VALUE"""),"Medium")</f>
        <v>Medium</v>
      </c>
      <c r="Z709" s="5">
        <f>IFERROR(__xludf.DUMMYFUNCTION("""COMPUTED_VALUE"""),12.67)</f>
        <v>12.67</v>
      </c>
      <c r="AA709" s="5">
        <f>IFERROR(__xludf.DUMMYFUNCTION("""COMPUTED_VALUE"""),1043.0)</f>
        <v>1043</v>
      </c>
      <c r="AB709" s="5"/>
      <c r="AC709" s="5" t="str">
        <f>IFERROR(__xludf.DUMMYFUNCTION("""COMPUTED_VALUE"""),"Bonus Game with Free Spins, Scatter, Special Wild")</f>
        <v>Bonus Game with Free Spins, Scatter, Special Wild</v>
      </c>
      <c r="AD709" s="5" t="str">
        <f>IFERROR(__xludf.DUMMYFUNCTION("""COMPUTED_VALUE"""),"0.1/60")</f>
        <v>0.1/60</v>
      </c>
      <c r="AE709" s="5"/>
      <c r="AF709" s="5"/>
      <c r="AG709" s="8">
        <f>IFERROR(__xludf.DUMMYFUNCTION("""COMPUTED_VALUE"""),46220.508622685185)</f>
        <v>46220.50862</v>
      </c>
      <c r="AH709" s="5" t="str">
        <f>IFERROR(__xludf.DUMMYFUNCTION("""COMPUTED_VALUE"""),"selena.mihajlovic@fazi.rs")</f>
        <v>selena.mihajlovic@fazi.rs</v>
      </c>
      <c r="AI709" s="13"/>
      <c r="AJ709" s="5"/>
      <c r="AK709" s="5">
        <f>IFERROR(__xludf.DUMMYFUNCTION("""COMPUTED_VALUE"""),40.0)</f>
        <v>40</v>
      </c>
      <c r="AL709" s="5" t="str">
        <f>IFERROR(__xludf.DUMMYFUNCTION("""COMPUTED_VALUE"""),"No")</f>
        <v>No</v>
      </c>
      <c r="AM709" s="5" t="str">
        <f>IFERROR(__xludf.DUMMYFUNCTION("""COMPUTED_VALUE"""),"No")</f>
        <v>No</v>
      </c>
      <c r="AN709" s="7" t="str">
        <f>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AO709" s="5" t="str">
        <f>IFERROR(__xludf.DUMMYFUNCTION("""COMPUTED_VALUE"""),"No")</f>
        <v>No</v>
      </c>
      <c r="AP709" s="5" t="str">
        <f>IFERROR(__xludf.DUMMYFUNCTION("""COMPUTED_VALUE"""),"No")</f>
        <v>No</v>
      </c>
      <c r="AQ709" s="5" t="b">
        <f>IFERROR(__xludf.DUMMYFUNCTION("""COMPUTED_VALUE"""),TRUE)</f>
        <v>1</v>
      </c>
      <c r="AR709" s="5"/>
      <c r="AS709" s="5" t="str">
        <f>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AT709" s="5"/>
      <c r="AU709" s="5" t="str">
        <f>IFERROR(__xludf.DUMMYFUNCTION("""COMPUTED_VALUE"""),"Fazi")</f>
        <v>Fazi</v>
      </c>
      <c r="AV709" s="5">
        <f>IFERROR(__xludf.DUMMYFUNCTION("""COMPUTED_VALUE"""),4.0)</f>
        <v>4</v>
      </c>
      <c r="AW709" s="5"/>
      <c r="AX709" s="13">
        <f>IFERROR(__xludf.DUMMYFUNCTION("""COMPUTED_VALUE"""),46147.0)</f>
        <v>46147</v>
      </c>
      <c r="AY709" s="5"/>
      <c r="AZ709" s="5"/>
      <c r="BA709" s="5"/>
      <c r="BB709" s="5" t="b">
        <f>IFERROR(__xludf.DUMMYFUNCTION("""COMPUTED_VALUE"""),TRUE)</f>
        <v>1</v>
      </c>
      <c r="BC709" s="5" t="str">
        <f>IFERROR(__xludf.DUMMYFUNCTION("""COMPUTED_VALUE"""),"Playnet")</f>
        <v>Playnet</v>
      </c>
      <c r="BD709" s="7" t="str">
        <f>IFERROR(__xludf.DUMMYFUNCTION("""COMPUTED_VALUE"""),"https://gameserver-store-client-area.orbionlimited.com/Home/IntegrationGameLaunch/client-area?moneyType=0&amp;gameName=PlayNetBitQueen&amp;platform=desktop&amp;languageCode=eng&amp;currency=EUR")</f>
        <v>https://gameserver-store-client-area.orbionlimited.com/Home/IntegrationGameLaunch/client-area?moneyType=0&amp;gameName=PlayNetBitQueen&amp;platform=desktop&amp;languageCode=eng&amp;currency=EUR</v>
      </c>
      <c r="BE709" s="5" t="b">
        <f>IFERROR(__xludf.DUMMYFUNCTION("""COMPUTED_VALUE"""),TRUE)</f>
        <v>1</v>
      </c>
    </row>
    <row r="710">
      <c r="A710" s="5">
        <f>IFERROR(__xludf.DUMMYFUNCTION("""COMPUTED_VALUE"""),745.0)</f>
        <v>745</v>
      </c>
      <c r="B710" s="5">
        <f>IFERROR(__xludf.DUMMYFUNCTION("""COMPUTED_VALUE"""),539.0)</f>
        <v>539</v>
      </c>
      <c r="C710" s="5" t="str">
        <f>IFERROR(__xludf.DUMMYFUNCTION("""COMPUTED_VALUE"""),"Playnet")</f>
        <v>Playnet</v>
      </c>
      <c r="D710" s="5" t="str">
        <f>IFERROR(__xludf.DUMMYFUNCTION("""COMPUTED_VALUE"""),"Dashing Hot 40")</f>
        <v>Dashing Hot 40</v>
      </c>
      <c r="E710" s="5" t="str">
        <f>IFERROR(__xludf.DUMMYFUNCTION("""COMPUTED_VALUE"""),"Sertifikacioni")</f>
        <v>Sertifikacioni</v>
      </c>
      <c r="F710" s="5" t="str">
        <f>IFERROR(__xludf.DUMMYFUNCTION("""COMPUTED_VALUE"""),"PlayNetDashingHot40")</f>
        <v>PlayNetDashingHot40</v>
      </c>
      <c r="G710" s="5" t="str">
        <f>IFERROR(__xludf.DUMMYFUNCTION("""COMPUTED_VALUE"""),"Live")</f>
        <v>Live</v>
      </c>
      <c r="H710" s="5"/>
      <c r="I710" s="5"/>
      <c r="J710" s="5" t="str">
        <f>IFERROR(__xludf.DUMMYFUNCTION("""COMPUTED_VALUE"""),"JSON")</f>
        <v>JSON</v>
      </c>
      <c r="K710" s="5" t="str">
        <f>IFERROR(__xludf.DUMMYFUNCTION("""COMPUTED_VALUE"""),"Slot")</f>
        <v>Slot</v>
      </c>
      <c r="L710" s="5" t="str">
        <f>IFERROR(__xludf.DUMMYFUNCTION("""COMPUTED_VALUE""")," Clone")</f>
        <v> Clone</v>
      </c>
      <c r="M710" s="5" t="str">
        <f>IFERROR(__xludf.DUMMYFUNCTION("""COMPUTED_VALUE"""),"Wild Hot 40")</f>
        <v>Wild Hot 40</v>
      </c>
      <c r="N710" s="5"/>
      <c r="O710" s="5"/>
      <c r="P710" s="12">
        <f>IFERROR(__xludf.DUMMYFUNCTION("""COMPUTED_VALUE"""),13.0)</f>
        <v>13</v>
      </c>
      <c r="Q710" s="13">
        <f>IFERROR(__xludf.DUMMYFUNCTION("""COMPUTED_VALUE"""),46167.0)</f>
        <v>46167</v>
      </c>
      <c r="R710" s="13">
        <f>IFERROR(__xludf.DUMMYFUNCTION("""COMPUTED_VALUE"""),46175.0)</f>
        <v>46175</v>
      </c>
      <c r="S710" s="13">
        <f>IFERROR(__xludf.DUMMYFUNCTION("""COMPUTED_VALUE"""),46182.0)</f>
        <v>46182</v>
      </c>
      <c r="T710" s="5" t="b">
        <f>IFERROR(__xludf.DUMMYFUNCTION("""COMPUTED_VALUE"""),TRUE)</f>
        <v>1</v>
      </c>
      <c r="U710" s="5" t="str">
        <f>IFERROR(__xludf.DUMMYFUNCTION("""COMPUTED_VALUE"""),"5x4")</f>
        <v>5x4</v>
      </c>
      <c r="V710" s="5">
        <f>IFERROR(__xludf.DUMMYFUNCTION("""COMPUTED_VALUE"""),40.0)</f>
        <v>40</v>
      </c>
      <c r="W710" s="5">
        <f>IFERROR(__xludf.DUMMYFUNCTION("""COMPUTED_VALUE"""),40.0)</f>
        <v>40</v>
      </c>
      <c r="X710" s="5">
        <f>IFERROR(__xludf.DUMMYFUNCTION("""COMPUTED_VALUE"""),96.584)</f>
        <v>96.584</v>
      </c>
      <c r="Y710" s="5" t="str">
        <f>IFERROR(__xludf.DUMMYFUNCTION("""COMPUTED_VALUE"""),"Low")</f>
        <v>Low</v>
      </c>
      <c r="Z710" s="5">
        <f>IFERROR(__xludf.DUMMYFUNCTION("""COMPUTED_VALUE"""),16.725)</f>
        <v>16.725</v>
      </c>
      <c r="AA710" s="5">
        <f>IFERROR(__xludf.DUMMYFUNCTION("""COMPUTED_VALUE"""),1000.0)</f>
        <v>1000</v>
      </c>
      <c r="AB710" s="5"/>
      <c r="AC710" s="5" t="str">
        <f>IFERROR(__xludf.DUMMYFUNCTION("""COMPUTED_VALUE"""),"Scatter, Wild Symbol")</f>
        <v>Scatter, Wild Symbol</v>
      </c>
      <c r="AD710" s="5" t="str">
        <f>IFERROR(__xludf.DUMMYFUNCTION("""COMPUTED_VALUE"""),"0.40/60")</f>
        <v>0.40/60</v>
      </c>
      <c r="AE710" s="5"/>
      <c r="AF710" s="5"/>
      <c r="AG710" s="8">
        <f>IFERROR(__xludf.DUMMYFUNCTION("""COMPUTED_VALUE"""),46220.50884259259)</f>
        <v>46220.50884</v>
      </c>
      <c r="AH710" s="5" t="str">
        <f>IFERROR(__xludf.DUMMYFUNCTION("""COMPUTED_VALUE"""),"selena.mihajlovic@fazi.rs")</f>
        <v>selena.mihajlovic@fazi.rs</v>
      </c>
      <c r="AI710" s="13">
        <f>IFERROR(__xludf.DUMMYFUNCTION("""COMPUTED_VALUE"""),46169.0)</f>
        <v>46169</v>
      </c>
      <c r="AJ710" s="5" t="str">
        <f>IFERROR(__xludf.DUMMYFUNCTION("""COMPUTED_VALUE"""),"Sansabet	27.5")</f>
        <v>Sansabet	27.5</v>
      </c>
      <c r="AK710" s="5">
        <f>IFERROR(__xludf.DUMMYFUNCTION("""COMPUTED_VALUE"""),40.0)</f>
        <v>40</v>
      </c>
      <c r="AL710" s="5" t="str">
        <f>IFERROR(__xludf.DUMMYFUNCTION("""COMPUTED_VALUE"""),"No")</f>
        <v>No</v>
      </c>
      <c r="AM710" s="5" t="str">
        <f>IFERROR(__xludf.DUMMYFUNCTION("""COMPUTED_VALUE"""),"No")</f>
        <v>No</v>
      </c>
      <c r="AN710" s="7" t="str">
        <f>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AO710" s="5" t="str">
        <f>IFERROR(__xludf.DUMMYFUNCTION("""COMPUTED_VALUE"""),"No")</f>
        <v>No</v>
      </c>
      <c r="AP710" s="5" t="str">
        <f>IFERROR(__xludf.DUMMYFUNCTION("""COMPUTED_VALUE"""),"No")</f>
        <v>No</v>
      </c>
      <c r="AQ710" s="5" t="b">
        <f>IFERROR(__xludf.DUMMYFUNCTION("""COMPUTED_VALUE"""),TRUE)</f>
        <v>1</v>
      </c>
      <c r="AR710" s="5"/>
      <c r="AS710" s="5" t="str">
        <f>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AT710" s="5"/>
      <c r="AU710" s="5" t="str">
        <f>IFERROR(__xludf.DUMMYFUNCTION("""COMPUTED_VALUE"""),"Fazi")</f>
        <v>Fazi</v>
      </c>
      <c r="AV710" s="5">
        <f>IFERROR(__xludf.DUMMYFUNCTION("""COMPUTED_VALUE"""),4.0)</f>
        <v>4</v>
      </c>
      <c r="AW710" s="5"/>
      <c r="AX710" s="13">
        <f>IFERROR(__xludf.DUMMYFUNCTION("""COMPUTED_VALUE"""),46161.0)</f>
        <v>46161</v>
      </c>
      <c r="AY710" s="5"/>
      <c r="AZ710" s="5"/>
      <c r="BA710" s="5"/>
      <c r="BB710" s="5" t="b">
        <f>IFERROR(__xludf.DUMMYFUNCTION("""COMPUTED_VALUE"""),TRUE)</f>
        <v>1</v>
      </c>
      <c r="BC710" s="5" t="str">
        <f>IFERROR(__xludf.DUMMYFUNCTION("""COMPUTED_VALUE"""),"Playnet")</f>
        <v>Playnet</v>
      </c>
      <c r="BD710" s="7" t="str">
        <f>IFERROR(__xludf.DUMMYFUNCTION("""COMPUTED_VALUE"""),"https://gameserver-store-client-area.orbionlimited.com/Home/IntegrationGameLaunch/client-area?moneyType=0&amp;gameName=PlayNetDashingHot40&amp;platform=desktop&amp;languageCode=eng&amp;currency=EUR")</f>
        <v>https://gameserver-store-client-area.orbionlimited.com/Home/IntegrationGameLaunch/client-area?moneyType=0&amp;gameName=PlayNetDashingHot40&amp;platform=desktop&amp;languageCode=eng&amp;currency=EUR</v>
      </c>
      <c r="BE710" s="5" t="b">
        <f>IFERROR(__xludf.DUMMYFUNCTION("""COMPUTED_VALUE"""),TRUE)</f>
        <v>1</v>
      </c>
    </row>
    <row r="711">
      <c r="A711" s="5">
        <f>IFERROR(__xludf.DUMMYFUNCTION("""COMPUTED_VALUE"""),746.0)</f>
        <v>746</v>
      </c>
      <c r="B711" s="5">
        <f>IFERROR(__xludf.DUMMYFUNCTION("""COMPUTED_VALUE"""),540.0)</f>
        <v>540</v>
      </c>
      <c r="C711" s="5" t="str">
        <f>IFERROR(__xludf.DUMMYFUNCTION("""COMPUTED_VALUE"""),"Playnet")</f>
        <v>Playnet</v>
      </c>
      <c r="D711" s="5" t="str">
        <f>IFERROR(__xludf.DUMMYFUNCTION("""COMPUTED_VALUE"""),"Dark Temptress 100")</f>
        <v>Dark Temptress 100</v>
      </c>
      <c r="E711" s="5" t="str">
        <f>IFERROR(__xludf.DUMMYFUNCTION("""COMPUTED_VALUE"""),"Sertifikacioni")</f>
        <v>Sertifikacioni</v>
      </c>
      <c r="F711" s="5" t="str">
        <f>IFERROR(__xludf.DUMMYFUNCTION("""COMPUTED_VALUE"""),"PlayNetDarkTemptress100")</f>
        <v>PlayNetDarkTemptress100</v>
      </c>
      <c r="G711" s="5" t="str">
        <f>IFERROR(__xludf.DUMMYFUNCTION("""COMPUTED_VALUE"""),"Live")</f>
        <v>Live</v>
      </c>
      <c r="H711" s="5"/>
      <c r="I711" s="5"/>
      <c r="J711" s="5" t="str">
        <f>IFERROR(__xludf.DUMMYFUNCTION("""COMPUTED_VALUE"""),"JSON")</f>
        <v>JSON</v>
      </c>
      <c r="K711" s="5" t="str">
        <f>IFERROR(__xludf.DUMMYFUNCTION("""COMPUTED_VALUE"""),"Slot")</f>
        <v>Slot</v>
      </c>
      <c r="L711" s="5" t="str">
        <f>IFERROR(__xludf.DUMMYFUNCTION("""COMPUTED_VALUE""")," Clone")</f>
        <v> Clone</v>
      </c>
      <c r="M711" s="5" t="str">
        <f>IFERROR(__xludf.DUMMYFUNCTION("""COMPUTED_VALUE"""),"Epic Clover 100")</f>
        <v>Epic Clover 100</v>
      </c>
      <c r="N711" s="5"/>
      <c r="O711" s="5"/>
      <c r="P711" s="12">
        <f>IFERROR(__xludf.DUMMYFUNCTION("""COMPUTED_VALUE"""),15.0)</f>
        <v>15</v>
      </c>
      <c r="Q711" s="13">
        <f>IFERROR(__xludf.DUMMYFUNCTION("""COMPUTED_VALUE"""),46181.0)</f>
        <v>46181</v>
      </c>
      <c r="R711" s="13">
        <f>IFERROR(__xludf.DUMMYFUNCTION("""COMPUTED_VALUE"""),46189.0)</f>
        <v>46189</v>
      </c>
      <c r="S711" s="13">
        <f>IFERROR(__xludf.DUMMYFUNCTION("""COMPUTED_VALUE"""),46196.0)</f>
        <v>46196</v>
      </c>
      <c r="T711" s="5" t="b">
        <f>IFERROR(__xludf.DUMMYFUNCTION("""COMPUTED_VALUE"""),TRUE)</f>
        <v>1</v>
      </c>
      <c r="U711" s="5" t="str">
        <f>IFERROR(__xludf.DUMMYFUNCTION("""COMPUTED_VALUE"""),"5x4")</f>
        <v>5x4</v>
      </c>
      <c r="V711" s="5">
        <f>IFERROR(__xludf.DUMMYFUNCTION("""COMPUTED_VALUE"""),100.0)</f>
        <v>100</v>
      </c>
      <c r="W711" s="5">
        <f>IFERROR(__xludf.DUMMYFUNCTION("""COMPUTED_VALUE"""),100.0)</f>
        <v>100</v>
      </c>
      <c r="X711" s="5">
        <f>IFERROR(__xludf.DUMMYFUNCTION("""COMPUTED_VALUE"""),96.502)</f>
        <v>96.502</v>
      </c>
      <c r="Y711" s="5" t="str">
        <f>IFERROR(__xludf.DUMMYFUNCTION("""COMPUTED_VALUE"""),"Medium")</f>
        <v>Medium</v>
      </c>
      <c r="Z711" s="5">
        <f>IFERROR(__xludf.DUMMYFUNCTION("""COMPUTED_VALUE"""),13.309)</f>
        <v>13.309</v>
      </c>
      <c r="AA711" s="5">
        <f>IFERROR(__xludf.DUMMYFUNCTION("""COMPUTED_VALUE"""),3000.0)</f>
        <v>3000</v>
      </c>
      <c r="AB711" s="5"/>
      <c r="AC711" s="5" t="str">
        <f>IFERROR(__xludf.DUMMYFUNCTION("""COMPUTED_VALUE"""),"Scatter, Expanding Wild")</f>
        <v>Scatter, Expanding Wild</v>
      </c>
      <c r="AD711" s="5" t="str">
        <f>IFERROR(__xludf.DUMMYFUNCTION("""COMPUTED_VALUE"""),"1/100")</f>
        <v>1/100</v>
      </c>
      <c r="AE711" s="5"/>
      <c r="AF711" s="5"/>
      <c r="AG711" s="8">
        <f>IFERROR(__xludf.DUMMYFUNCTION("""COMPUTED_VALUE"""),46220.50896990741)</f>
        <v>46220.50897</v>
      </c>
      <c r="AH711" s="5" t="str">
        <f>IFERROR(__xludf.DUMMYFUNCTION("""COMPUTED_VALUE"""),"selena.mihajlovic@fazi.rs")</f>
        <v>selena.mihajlovic@fazi.rs</v>
      </c>
      <c r="AI711" s="13"/>
      <c r="AJ711" s="5"/>
      <c r="AK711" s="5">
        <f>IFERROR(__xludf.DUMMYFUNCTION("""COMPUTED_VALUE"""),100.0)</f>
        <v>100</v>
      </c>
      <c r="AL711" s="5" t="str">
        <f>IFERROR(__xludf.DUMMYFUNCTION("""COMPUTED_VALUE"""),"No")</f>
        <v>No</v>
      </c>
      <c r="AM711" s="5" t="str">
        <f>IFERROR(__xludf.DUMMYFUNCTION("""COMPUTED_VALUE"""),"No")</f>
        <v>No</v>
      </c>
      <c r="AN711" s="7" t="str">
        <f>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AO711" s="5" t="str">
        <f>IFERROR(__xludf.DUMMYFUNCTION("""COMPUTED_VALUE"""),"No")</f>
        <v>No</v>
      </c>
      <c r="AP711" s="5" t="str">
        <f>IFERROR(__xludf.DUMMYFUNCTION("""COMPUTED_VALUE"""),"No")</f>
        <v>No</v>
      </c>
      <c r="AQ711" s="5" t="b">
        <f>IFERROR(__xludf.DUMMYFUNCTION("""COMPUTED_VALUE"""),TRUE)</f>
        <v>1</v>
      </c>
      <c r="AR711" s="5"/>
      <c r="AS711" s="5" t="str">
        <f>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AT711" s="5"/>
      <c r="AU711" s="5" t="str">
        <f>IFERROR(__xludf.DUMMYFUNCTION("""COMPUTED_VALUE"""),"Fazi")</f>
        <v>Fazi</v>
      </c>
      <c r="AV711" s="5">
        <f>IFERROR(__xludf.DUMMYFUNCTION("""COMPUTED_VALUE"""),10.0)</f>
        <v>10</v>
      </c>
      <c r="AW711" s="5"/>
      <c r="AX711" s="13">
        <f>IFERROR(__xludf.DUMMYFUNCTION("""COMPUTED_VALUE"""),46175.0)</f>
        <v>46175</v>
      </c>
      <c r="AY711" s="5"/>
      <c r="AZ711" s="5"/>
      <c r="BA711" s="5"/>
      <c r="BB711" s="5" t="b">
        <f>IFERROR(__xludf.DUMMYFUNCTION("""COMPUTED_VALUE"""),TRUE)</f>
        <v>1</v>
      </c>
      <c r="BC711" s="5" t="str">
        <f>IFERROR(__xludf.DUMMYFUNCTION("""COMPUTED_VALUE"""),"Playnet")</f>
        <v>Playnet</v>
      </c>
      <c r="BD711" s="7" t="str">
        <f>IFERROR(__xludf.DUMMYFUNCTION("""COMPUTED_VALUE"""),"https://gameserver-store-client-area.orbionlimited.com/Home/IntegrationGameLaunch/client-area?moneyType=0&amp;gameName=PlayNetDarkTemptress100&amp;platform=desktop&amp;languageCode=eng&amp;currency=EUR")</f>
        <v>https://gameserver-store-client-area.orbionlimited.com/Home/IntegrationGameLaunch/client-area?moneyType=0&amp;gameName=PlayNetDarkTemptress100&amp;platform=desktop&amp;languageCode=eng&amp;currency=EUR</v>
      </c>
      <c r="BE711" s="5" t="b">
        <f>IFERROR(__xludf.DUMMYFUNCTION("""COMPUTED_VALUE"""),TRUE)</f>
        <v>1</v>
      </c>
    </row>
    <row r="712">
      <c r="A712" s="5">
        <f>IFERROR(__xludf.DUMMYFUNCTION("""COMPUTED_VALUE"""),747.0)</f>
        <v>747</v>
      </c>
      <c r="B712" s="5">
        <f>IFERROR(__xludf.DUMMYFUNCTION("""COMPUTED_VALUE"""),541.0)</f>
        <v>541</v>
      </c>
      <c r="C712" s="5" t="str">
        <f>IFERROR(__xludf.DUMMYFUNCTION("""COMPUTED_VALUE"""),"Playnet")</f>
        <v>Playnet</v>
      </c>
      <c r="D712" s="5" t="str">
        <f>IFERROR(__xludf.DUMMYFUNCTION("""COMPUTED_VALUE"""),"Barkin' Riches")</f>
        <v>Barkin' Riches</v>
      </c>
      <c r="E712" s="5" t="str">
        <f>IFERROR(__xludf.DUMMYFUNCTION("""COMPUTED_VALUE"""),"Sertifikacioni")</f>
        <v>Sertifikacioni</v>
      </c>
      <c r="F712" s="5" t="str">
        <f>IFERROR(__xludf.DUMMYFUNCTION("""COMPUTED_VALUE"""),"PlayNetBarkinRiches")</f>
        <v>PlayNetBarkinRiches</v>
      </c>
      <c r="G712" s="5" t="str">
        <f>IFERROR(__xludf.DUMMYFUNCTION("""COMPUTED_VALUE"""),"Live")</f>
        <v>Live</v>
      </c>
      <c r="H712" s="5"/>
      <c r="I712" s="5"/>
      <c r="J712" s="5" t="str">
        <f>IFERROR(__xludf.DUMMYFUNCTION("""COMPUTED_VALUE"""),"JSON")</f>
        <v>JSON</v>
      </c>
      <c r="K712" s="5" t="str">
        <f>IFERROR(__xludf.DUMMYFUNCTION("""COMPUTED_VALUE"""),"Slot")</f>
        <v>Slot</v>
      </c>
      <c r="L712" s="5" t="str">
        <f>IFERROR(__xludf.DUMMYFUNCTION("""COMPUTED_VALUE""")," Clone")</f>
        <v> Clone</v>
      </c>
      <c r="M712" s="5" t="str">
        <f>IFERROR(__xludf.DUMMYFUNCTION("""COMPUTED_VALUE"""),"Fruity Win 40")</f>
        <v>Fruity Win 40</v>
      </c>
      <c r="N712" s="7" t="str">
        <f>IFERROR(__xludf.DUMMYFUNCTION("""COMPUTED_VALUE"""),"https://drive.google.com/drive/u/1/folders/1zeR0z-jJdHjt59KLlD0fbWBs3G_ZmNJ5")</f>
        <v>https://drive.google.com/drive/u/1/folders/1zeR0z-jJdHjt59KLlD0fbWBs3G_ZmNJ5</v>
      </c>
      <c r="O712" s="7" t="str">
        <f>IFERROR(__xludf.DUMMYFUNCTION("""COMPUTED_VALUE"""),"https://drive.google.com/drive/u/1/folders/1zeR0z-jJdHjt59KLlD0fbWBs3G_ZmNJ5")</f>
        <v>https://drive.google.com/drive/u/1/folders/1zeR0z-jJdHjt59KLlD0fbWBs3G_ZmNJ5</v>
      </c>
      <c r="P712" s="12">
        <f>IFERROR(__xludf.DUMMYFUNCTION("""COMPUTED_VALUE"""),13.0)</f>
        <v>13</v>
      </c>
      <c r="Q712" s="13">
        <f>IFERROR(__xludf.DUMMYFUNCTION("""COMPUTED_VALUE"""),46195.0)</f>
        <v>46195</v>
      </c>
      <c r="R712" s="13">
        <f>IFERROR(__xludf.DUMMYFUNCTION("""COMPUTED_VALUE"""),46195.0)</f>
        <v>46195</v>
      </c>
      <c r="S712" s="13">
        <f>IFERROR(__xludf.DUMMYFUNCTION("""COMPUTED_VALUE"""),46202.0)</f>
        <v>46202</v>
      </c>
      <c r="T712" s="5" t="b">
        <f>IFERROR(__xludf.DUMMYFUNCTION("""COMPUTED_VALUE"""),TRUE)</f>
        <v>1</v>
      </c>
      <c r="U712" s="5" t="str">
        <f>IFERROR(__xludf.DUMMYFUNCTION("""COMPUTED_VALUE"""),"5x4")</f>
        <v>5x4</v>
      </c>
      <c r="V712" s="5">
        <f>IFERROR(__xludf.DUMMYFUNCTION("""COMPUTED_VALUE"""),40.0)</f>
        <v>40</v>
      </c>
      <c r="W712" s="5">
        <f>IFERROR(__xludf.DUMMYFUNCTION("""COMPUTED_VALUE"""),40.0)</f>
        <v>40</v>
      </c>
      <c r="X712" s="5">
        <f>IFERROR(__xludf.DUMMYFUNCTION("""COMPUTED_VALUE"""),96.584)</f>
        <v>96.584</v>
      </c>
      <c r="Y712" s="5" t="str">
        <f>IFERROR(__xludf.DUMMYFUNCTION("""COMPUTED_VALUE"""),"Low")</f>
        <v>Low</v>
      </c>
      <c r="Z712" s="5">
        <f>IFERROR(__xludf.DUMMYFUNCTION("""COMPUTED_VALUE"""),16.725)</f>
        <v>16.725</v>
      </c>
      <c r="AA712" s="5">
        <f>IFERROR(__xludf.DUMMYFUNCTION("""COMPUTED_VALUE"""),1000.0)</f>
        <v>1000</v>
      </c>
      <c r="AB712" s="5"/>
      <c r="AC712" s="5" t="str">
        <f>IFERROR(__xludf.DUMMYFUNCTION("""COMPUTED_VALUE"""),"Scatter, Wild Symbol")</f>
        <v>Scatter, Wild Symbol</v>
      </c>
      <c r="AD712" s="5" t="str">
        <f>IFERROR(__xludf.DUMMYFUNCTION("""COMPUTED_VALUE"""),"0.4/60")</f>
        <v>0.4/60</v>
      </c>
      <c r="AE712" s="5"/>
      <c r="AF712" s="5"/>
      <c r="AG712" s="8">
        <f>IFERROR(__xludf.DUMMYFUNCTION("""COMPUTED_VALUE"""),46220.50931712963)</f>
        <v>46220.50932</v>
      </c>
      <c r="AH712" s="5" t="str">
        <f>IFERROR(__xludf.DUMMYFUNCTION("""COMPUTED_VALUE"""),"selena.mihajlovic@fazi.rs")</f>
        <v>selena.mihajlovic@fazi.rs</v>
      </c>
      <c r="AI712" s="13"/>
      <c r="AJ712" s="5"/>
      <c r="AK712" s="5">
        <f>IFERROR(__xludf.DUMMYFUNCTION("""COMPUTED_VALUE"""),40.0)</f>
        <v>40</v>
      </c>
      <c r="AL712" s="5" t="str">
        <f>IFERROR(__xludf.DUMMYFUNCTION("""COMPUTED_VALUE"""),"No")</f>
        <v>No</v>
      </c>
      <c r="AM712" s="5" t="str">
        <f>IFERROR(__xludf.DUMMYFUNCTION("""COMPUTED_VALUE"""),"No")</f>
        <v>No</v>
      </c>
      <c r="AN712" s="7" t="str">
        <f>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AO712" s="5" t="str">
        <f>IFERROR(__xludf.DUMMYFUNCTION("""COMPUTED_VALUE"""),"No")</f>
        <v>No</v>
      </c>
      <c r="AP712" s="5" t="str">
        <f>IFERROR(__xludf.DUMMYFUNCTION("""COMPUTED_VALUE"""),"No")</f>
        <v>No</v>
      </c>
      <c r="AQ712" s="5" t="b">
        <f>IFERROR(__xludf.DUMMYFUNCTION("""COMPUTED_VALUE"""),TRUE)</f>
        <v>1</v>
      </c>
      <c r="AR712" s="5"/>
      <c r="AS712" s="5" t="str">
        <f>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AT712" s="5"/>
      <c r="AU712" s="5" t="str">
        <f>IFERROR(__xludf.DUMMYFUNCTION("""COMPUTED_VALUE"""),"Fazi")</f>
        <v>Fazi</v>
      </c>
      <c r="AV712" s="5">
        <f>IFERROR(__xludf.DUMMYFUNCTION("""COMPUTED_VALUE"""),4.0)</f>
        <v>4</v>
      </c>
      <c r="AW712" s="5"/>
      <c r="AX712" s="13">
        <f>IFERROR(__xludf.DUMMYFUNCTION("""COMPUTED_VALUE"""),46189.0)</f>
        <v>46189</v>
      </c>
      <c r="AY712" s="5"/>
      <c r="AZ712" s="5"/>
      <c r="BA712" s="5"/>
      <c r="BB712" s="5" t="b">
        <f>IFERROR(__xludf.DUMMYFUNCTION("""COMPUTED_VALUE"""),TRUE)</f>
        <v>1</v>
      </c>
      <c r="BC712" s="5" t="str">
        <f>IFERROR(__xludf.DUMMYFUNCTION("""COMPUTED_VALUE"""),"Playnet")</f>
        <v>Playnet</v>
      </c>
      <c r="BD712" s="7" t="str">
        <f>IFERROR(__xludf.DUMMYFUNCTION("""COMPUTED_VALUE"""),"https://gameserver-store-client-area.orbionlimited.com/Home/IntegrationGameLaunch/client-area?moneyType=0&amp;gameName=PlayNetBarkinRiches&amp;platform=desktop&amp;languageCode=eng&amp;currency=EUR")</f>
        <v>https://gameserver-store-client-area.orbionlimited.com/Home/IntegrationGameLaunch/client-area?moneyType=0&amp;gameName=PlayNetBarkinRiches&amp;platform=desktop&amp;languageCode=eng&amp;currency=EUR</v>
      </c>
      <c r="BE712" s="5" t="b">
        <f>IFERROR(__xludf.DUMMYFUNCTION("""COMPUTED_VALUE"""),TRUE)</f>
        <v>1</v>
      </c>
    </row>
    <row r="713">
      <c r="A713" s="5">
        <f>IFERROR(__xludf.DUMMYFUNCTION("""COMPUTED_VALUE"""),750.0)</f>
        <v>750</v>
      </c>
      <c r="B713" s="5">
        <f>IFERROR(__xludf.DUMMYFUNCTION("""COMPUTED_VALUE"""),4041.0)</f>
        <v>4041</v>
      </c>
      <c r="C713" s="5" t="str">
        <f>IFERROR(__xludf.DUMMYFUNCTION("""COMPUTED_VALUE"""),"Fazi")</f>
        <v>Fazi</v>
      </c>
      <c r="D713" s="5" t="str">
        <f>IFERROR(__xludf.DUMMYFUNCTION("""COMPUTED_VALUE"""),"Special4RabetFruits")</f>
        <v>Special4RabetFruits</v>
      </c>
      <c r="E713" s="5" t="str">
        <f>IFERROR(__xludf.DUMMYFUNCTION("""COMPUTED_VALUE"""),"Sertifikacioni")</f>
        <v>Sertifikacioni</v>
      </c>
      <c r="F713" s="5" t="str">
        <f>IFERROR(__xludf.DUMMYFUNCTION("""COMPUTED_VALUE"""),"Special4RabetFruits")</f>
        <v>Special4RabetFruits</v>
      </c>
      <c r="G713" s="5" t="str">
        <f>IFERROR(__xludf.DUMMYFUNCTION("""COMPUTED_VALUE"""),"Deployed")</f>
        <v>Deployed</v>
      </c>
      <c r="H713" s="5" t="str">
        <f>IFERROR(__xludf.DUMMYFUNCTION("""COMPUTED_VALUE"""),"4Rabet")</f>
        <v>4Rabet</v>
      </c>
      <c r="I713" s="5" t="str">
        <f>IFERROR(__xludf.DUMMYFUNCTION("""COMPUTED_VALUE"""),"V4")</f>
        <v>V4</v>
      </c>
      <c r="J713" s="5" t="str">
        <f>IFERROR(__xludf.DUMMYFUNCTION("""COMPUTED_VALUE"""),"JSON")</f>
        <v>JSON</v>
      </c>
      <c r="K713" s="5" t="str">
        <f>IFERROR(__xludf.DUMMYFUNCTION("""COMPUTED_VALUE"""),"Slot")</f>
        <v>Slot</v>
      </c>
      <c r="L713" s="5" t="str">
        <f>IFERROR(__xludf.DUMMYFUNCTION("""COMPUTED_VALUE""")," Clone")</f>
        <v> Clone</v>
      </c>
      <c r="M713" s="5" t="str">
        <f>IFERROR(__xludf.DUMMYFUNCTION("""COMPUTED_VALUE"""),"Special Fruits")</f>
        <v>Special Fruits</v>
      </c>
      <c r="N713" s="5"/>
      <c r="O713" s="5"/>
      <c r="P713" s="12"/>
      <c r="Q713" s="13">
        <f>IFERROR(__xludf.DUMMYFUNCTION("""COMPUTED_VALUE"""),46126.0)</f>
        <v>46126</v>
      </c>
      <c r="R713" s="13"/>
      <c r="S713" s="13"/>
      <c r="T713" s="5"/>
      <c r="U713" s="5" t="str">
        <f>IFERROR(__xludf.DUMMYFUNCTION("""COMPUTED_VALUE"""),"5x3")</f>
        <v>5x3</v>
      </c>
      <c r="V713" s="5">
        <f>IFERROR(__xludf.DUMMYFUNCTION("""COMPUTED_VALUE"""),20.0)</f>
        <v>20</v>
      </c>
      <c r="W713" s="5" t="str">
        <f>IFERROR(__xludf.DUMMYFUNCTION("""COMPUTED_VALUE"""),"5, 10, 15, 20, 30, 40")</f>
        <v>5, 10, 15, 20, 30, 40</v>
      </c>
      <c r="X713" s="5">
        <f>IFERROR(__xludf.DUMMYFUNCTION("""COMPUTED_VALUE"""),96.501)</f>
        <v>96.501</v>
      </c>
      <c r="Y713" s="5" t="str">
        <f>IFERROR(__xludf.DUMMYFUNCTION("""COMPUTED_VALUE"""),"Low")</f>
        <v>Low</v>
      </c>
      <c r="Z713" s="5">
        <f>IFERROR(__xludf.DUMMYFUNCTION("""COMPUTED_VALUE"""),16.882)</f>
        <v>16.882</v>
      </c>
      <c r="AA713" s="5">
        <f>IFERROR(__xludf.DUMMYFUNCTION("""COMPUTED_VALUE"""),2000.0)</f>
        <v>2000</v>
      </c>
      <c r="AB713" s="5"/>
      <c r="AC713" s="5"/>
      <c r="AD713" s="5"/>
      <c r="AE713" s="5"/>
      <c r="AF713" s="5"/>
      <c r="AG713" s="8">
        <f>IFERROR(__xludf.DUMMYFUNCTION("""COMPUTED_VALUE"""),46127.48462962963)</f>
        <v>46127.48463</v>
      </c>
      <c r="AH713" s="5" t="str">
        <f>IFERROR(__xludf.DUMMYFUNCTION("""COMPUTED_VALUE"""),"petra.ilic@fazi.rs")</f>
        <v>petra.ilic@fazi.rs</v>
      </c>
      <c r="AI713" s="13"/>
      <c r="AJ713" s="5"/>
      <c r="AK713" s="5">
        <f>IFERROR(__xludf.DUMMYFUNCTION("""COMPUTED_VALUE"""),20.0)</f>
        <v>20</v>
      </c>
      <c r="AL713" s="5" t="str">
        <f>IFERROR(__xludf.DUMMYFUNCTION("""COMPUTED_VALUE"""),"Yes")</f>
        <v>Yes</v>
      </c>
      <c r="AM713" s="5" t="str">
        <f>IFERROR(__xludf.DUMMYFUNCTION("""COMPUTED_VALUE"""),"No")</f>
        <v>No</v>
      </c>
      <c r="AN713" s="5"/>
      <c r="AO713" s="5"/>
      <c r="AP713" s="5" t="str">
        <f>IFERROR(__xludf.DUMMYFUNCTION("""COMPUTED_VALUE"""),"Yes")</f>
        <v>Yes</v>
      </c>
      <c r="AQ713" s="5"/>
      <c r="AR713" s="5" t="b">
        <f>IFERROR(__xludf.DUMMYFUNCTION("""COMPUTED_VALUE"""),TRUE)</f>
        <v>1</v>
      </c>
      <c r="AS713" s="5"/>
      <c r="AT713" s="5"/>
      <c r="AU713" s="5" t="str">
        <f>IFERROR(__xludf.DUMMYFUNCTION("""COMPUTED_VALUE"""),"Fazi")</f>
        <v>Fazi</v>
      </c>
      <c r="AV713" s="5">
        <f>IFERROR(__xludf.DUMMYFUNCTION("""COMPUTED_VALUE"""),2.0)</f>
        <v>2</v>
      </c>
      <c r="AW713" s="5"/>
      <c r="AX713" s="13">
        <f>IFERROR(__xludf.DUMMYFUNCTION("""COMPUTED_VALUE"""),46119.0)</f>
        <v>46119</v>
      </c>
      <c r="AY713" s="5"/>
      <c r="AZ713" s="5"/>
      <c r="BA713" s="5"/>
      <c r="BB713" s="5"/>
      <c r="BC713" s="5" t="str">
        <f>IFERROR(__xludf.DUMMYFUNCTION("""COMPUTED_VALUE"""),"Foxi")</f>
        <v>Foxi</v>
      </c>
      <c r="BD713" s="5" t="str">
        <f>IFERROR(__xludf.DUMMYFUNCTION("""COMPUTED_VALUE"""),"")</f>
        <v/>
      </c>
      <c r="BE713" s="5"/>
    </row>
    <row r="714">
      <c r="A714" s="5">
        <f>IFERROR(__xludf.DUMMYFUNCTION("""COMPUTED_VALUE"""),751.0)</f>
        <v>751</v>
      </c>
      <c r="B714" s="5">
        <f>IFERROR(__xludf.DUMMYFUNCTION("""COMPUTED_VALUE"""),2020.0)</f>
        <v>2020</v>
      </c>
      <c r="C714" s="5" t="str">
        <f>IFERROR(__xludf.DUMMYFUNCTION("""COMPUTED_VALUE"""),"Fazi")</f>
        <v>Fazi</v>
      </c>
      <c r="D714" s="5" t="str">
        <f>IFERROR(__xludf.DUMMYFUNCTION("""COMPUTED_VALUE"""),"Multihot Pot")</f>
        <v>Multihot Pot</v>
      </c>
      <c r="E714" s="5" t="str">
        <f>IFERROR(__xludf.DUMMYFUNCTION("""COMPUTED_VALUE"""),"V4-2")</f>
        <v>V4-2</v>
      </c>
      <c r="F714" s="5" t="str">
        <f>IFERROR(__xludf.DUMMYFUNCTION("""COMPUTED_VALUE"""),"MultihotPot")</f>
        <v>MultihotPot</v>
      </c>
      <c r="G714" s="5" t="str">
        <f>IFERROR(__xludf.DUMMYFUNCTION("""COMPUTED_VALUE"""),"Live")</f>
        <v>Live</v>
      </c>
      <c r="H714" s="5"/>
      <c r="I714" s="5" t="str">
        <f>IFERROR(__xludf.DUMMYFUNCTION("""COMPUTED_VALUE"""),"V4")</f>
        <v>V4</v>
      </c>
      <c r="J714" s="5" t="str">
        <f>IFERROR(__xludf.DUMMYFUNCTION("""COMPUTED_VALUE"""),"JSON")</f>
        <v>JSON</v>
      </c>
      <c r="K714" s="5" t="str">
        <f>IFERROR(__xludf.DUMMYFUNCTION("""COMPUTED_VALUE"""),"Slot")</f>
        <v>Slot</v>
      </c>
      <c r="L714" s="5" t="str">
        <f>IFERROR(__xludf.DUMMYFUNCTION("""COMPUTED_VALUE"""),"Master")</f>
        <v>Master</v>
      </c>
      <c r="M714" s="5"/>
      <c r="N714" s="5"/>
      <c r="O714" s="5"/>
      <c r="P714" s="12">
        <f>IFERROR(__xludf.DUMMYFUNCTION("""COMPUTED_VALUE"""),15.9)</f>
        <v>15.9</v>
      </c>
      <c r="Q714" s="13">
        <f>IFERROR(__xludf.DUMMYFUNCTION("""COMPUTED_VALUE"""),46125.0)</f>
        <v>46125</v>
      </c>
      <c r="R714" s="13">
        <f>IFERROR(__xludf.DUMMYFUNCTION("""COMPUTED_VALUE"""),46219.0)</f>
        <v>46219</v>
      </c>
      <c r="S714" s="13">
        <f>IFERROR(__xludf.DUMMYFUNCTION("""COMPUTED_VALUE"""),46226.0)</f>
        <v>46226</v>
      </c>
      <c r="T714" s="5" t="b">
        <f>IFERROR(__xludf.DUMMYFUNCTION("""COMPUTED_VALUE"""),TRUE)</f>
        <v>1</v>
      </c>
      <c r="U714" s="5" t="str">
        <f>IFERROR(__xludf.DUMMYFUNCTION("""COMPUTED_VALUE"""),"5x3")</f>
        <v>5x3</v>
      </c>
      <c r="V714" s="5">
        <f>IFERROR(__xludf.DUMMYFUNCTION("""COMPUTED_VALUE"""),10.0)</f>
        <v>10</v>
      </c>
      <c r="W714" s="5">
        <f>IFERROR(__xludf.DUMMYFUNCTION("""COMPUTED_VALUE"""),10.0)</f>
        <v>10</v>
      </c>
      <c r="X714" s="5">
        <f>IFERROR(__xludf.DUMMYFUNCTION("""COMPUTED_VALUE"""),96.5)</f>
        <v>96.5</v>
      </c>
      <c r="Y714" s="5" t="str">
        <f>IFERROR(__xludf.DUMMYFUNCTION("""COMPUTED_VALUE"""),"High")</f>
        <v>High</v>
      </c>
      <c r="Z714" s="5">
        <f>IFERROR(__xludf.DUMMYFUNCTION("""COMPUTED_VALUE"""),11.268)</f>
        <v>11.268</v>
      </c>
      <c r="AA714" s="5">
        <f>IFERROR(__xludf.DUMMYFUNCTION("""COMPUTED_VALUE"""),3000.0)</f>
        <v>3000</v>
      </c>
      <c r="AB714" s="5"/>
      <c r="AC714" s="5" t="str">
        <f>IFERROR(__xludf.DUMMYFUNCTION("""COMPUTED_VALUE"""),"Variable RTP, Wild Multiplier, Expanding Wild")</f>
        <v>Variable RTP, Wild Multiplier, Expanding Wild</v>
      </c>
      <c r="AD714" s="5" t="str">
        <f>IFERROR(__xludf.DUMMYFUNCTION("""COMPUTED_VALUE"""),"0.1/50")</f>
        <v>0.1/50</v>
      </c>
      <c r="AE714" s="5"/>
      <c r="AF714" s="5"/>
      <c r="AG714" s="8">
        <f>IFERROR(__xludf.DUMMYFUNCTION("""COMPUTED_VALUE"""),46241.58715277778)</f>
        <v>46241.58715</v>
      </c>
      <c r="AH714" s="5" t="str">
        <f>IFERROR(__xludf.DUMMYFUNCTION("""COMPUTED_VALUE"""),"aleksandar.matejic@fazi.rs")</f>
        <v>aleksandar.matejic@fazi.rs</v>
      </c>
      <c r="AI714" s="13">
        <f>IFERROR(__xludf.DUMMYFUNCTION("""COMPUTED_VALUE"""),46181.0)</f>
        <v>46181</v>
      </c>
      <c r="AJ714" s="5"/>
      <c r="AK714" s="5">
        <f>IFERROR(__xludf.DUMMYFUNCTION("""COMPUTED_VALUE"""),1.0)</f>
        <v>1</v>
      </c>
      <c r="AL714" s="5" t="str">
        <f>IFERROR(__xludf.DUMMYFUNCTION("""COMPUTED_VALUE"""),"Yes")</f>
        <v>Yes</v>
      </c>
      <c r="AM714" s="5" t="str">
        <f>IFERROR(__xludf.DUMMYFUNCTION("""COMPUTED_VALUE"""),"No")</f>
        <v>No</v>
      </c>
      <c r="AN714" s="7" t="str">
        <f>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AO714" s="5" t="str">
        <f>IFERROR(__xludf.DUMMYFUNCTION("""COMPUTED_VALUE"""),"Yes")</f>
        <v>Yes</v>
      </c>
      <c r="AP714" s="5" t="str">
        <f>IFERROR(__xludf.DUMMYFUNCTION("""COMPUTED_VALUE"""),"Yes")</f>
        <v>Yes</v>
      </c>
      <c r="AQ714" s="5" t="b">
        <f>IFERROR(__xludf.DUMMYFUNCTION("""COMPUTED_VALUE"""),TRUE)</f>
        <v>1</v>
      </c>
      <c r="AR714" s="5"/>
      <c r="AS714" s="5" t="str">
        <f>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AT714" s="5"/>
      <c r="AU714" s="5" t="str">
        <f>IFERROR(__xludf.DUMMYFUNCTION("""COMPUTED_VALUE"""),"Fazi")</f>
        <v>Fazi</v>
      </c>
      <c r="AV714" s="5">
        <f>IFERROR(__xludf.DUMMYFUNCTION("""COMPUTED_VALUE"""),1.0)</f>
        <v>1</v>
      </c>
      <c r="AW714" s="5"/>
      <c r="AX714" s="13">
        <f>IFERROR(__xludf.DUMMYFUNCTION("""COMPUTED_VALUE"""),46119.0)</f>
        <v>46119</v>
      </c>
      <c r="AY714" s="5" t="str">
        <f>IFERROR(__xludf.DUMMYFUNCTION("""COMPUTED_VALUE"""),"87.5%, 89.5%, 91.5%, 93.5%, 94.5%, 95.5%, 96.5%")</f>
        <v>87.5%, 89.5%, 91.5%, 93.5%, 94.5%, 95.5%, 96.5%</v>
      </c>
      <c r="AZ714" s="5"/>
      <c r="BA714" s="5"/>
      <c r="BB714" s="5" t="b">
        <f>IFERROR(__xludf.DUMMYFUNCTION("""COMPUTED_VALUE"""),TRUE)</f>
        <v>1</v>
      </c>
      <c r="BC714" s="5" t="str">
        <f>IFERROR(__xludf.DUMMYFUNCTION("""COMPUTED_VALUE"""),"Foxi")</f>
        <v>Foxi</v>
      </c>
      <c r="BD714" s="7" t="str">
        <f>IFERROR(__xludf.DUMMYFUNCTION("""COMPUTED_VALUE"""),"https://gameserver-store-client-area.orbionlimited.com/Home/IntegrationGameLaunch/client-area?moneyType=0&amp;gameName=MultihotPot&amp;platform=desktop&amp;languageCode=eng&amp;currency=EUR")</f>
        <v>https://gameserver-store-client-area.orbionlimited.com/Home/IntegrationGameLaunch/client-area?moneyType=0&amp;gameName=MultihotPot&amp;platform=desktop&amp;languageCode=eng&amp;currency=EUR</v>
      </c>
      <c r="BE714" s="5" t="b">
        <f>IFERROR(__xludf.DUMMYFUNCTION("""COMPUTED_VALUE"""),TRUE)</f>
        <v>1</v>
      </c>
    </row>
    <row r="715">
      <c r="A715" s="5">
        <f>IFERROR(__xludf.DUMMYFUNCTION("""COMPUTED_VALUE"""),752.0)</f>
        <v>752</v>
      </c>
      <c r="B715" s="5">
        <f>IFERROR(__xludf.DUMMYFUNCTION("""COMPUTED_VALUE"""),3036.0)</f>
        <v>3036</v>
      </c>
      <c r="C715" s="5" t="str">
        <f>IFERROR(__xludf.DUMMYFUNCTION("""COMPUTED_VALUE"""),"Fazi")</f>
        <v>Fazi</v>
      </c>
      <c r="D715" s="5" t="str">
        <f>IFERROR(__xludf.DUMMYFUNCTION("""COMPUTED_VALUE"""),"Triple Wild Crown")</f>
        <v>Triple Wild Crown</v>
      </c>
      <c r="E715" s="5" t="str">
        <f>IFERROR(__xludf.DUMMYFUNCTION("""COMPUTED_VALUE"""),"V2")</f>
        <v>V2</v>
      </c>
      <c r="F715" s="5" t="str">
        <f>IFERROR(__xludf.DUMMYFUNCTION("""COMPUTED_VALUE"""),"TripleWildCrown")</f>
        <v>TripleWildCrown</v>
      </c>
      <c r="G715" s="5" t="str">
        <f>IFERROR(__xludf.DUMMYFUNCTION("""COMPUTED_VALUE"""),"Live")</f>
        <v>Live</v>
      </c>
      <c r="H715" s="5"/>
      <c r="I715" s="5" t="str">
        <f>IFERROR(__xludf.DUMMYFUNCTION("""COMPUTED_VALUE"""),"V4")</f>
        <v>V4</v>
      </c>
      <c r="J715" s="5" t="str">
        <f>IFERROR(__xludf.DUMMYFUNCTION("""COMPUTED_VALUE"""),"JSON")</f>
        <v>JSON</v>
      </c>
      <c r="K715" s="5" t="str">
        <f>IFERROR(__xludf.DUMMYFUNCTION("""COMPUTED_VALUE"""),"Slot")</f>
        <v>Slot</v>
      </c>
      <c r="L715" s="5" t="str">
        <f>IFERROR(__xludf.DUMMYFUNCTION("""COMPUTED_VALUE"""),"Master")</f>
        <v>Master</v>
      </c>
      <c r="M715" s="5"/>
      <c r="N715" s="5"/>
      <c r="O715" s="5"/>
      <c r="P715" s="12">
        <f>IFERROR(__xludf.DUMMYFUNCTION("""COMPUTED_VALUE"""),19.5)</f>
        <v>19.5</v>
      </c>
      <c r="Q715" s="13">
        <f>IFERROR(__xludf.DUMMYFUNCTION("""COMPUTED_VALUE"""),46126.0)</f>
        <v>46126</v>
      </c>
      <c r="R715" s="13">
        <f>IFERROR(__xludf.DUMMYFUNCTION("""COMPUTED_VALUE"""),46245.0)</f>
        <v>46245</v>
      </c>
      <c r="S715" s="13">
        <f>IFERROR(__xludf.DUMMYFUNCTION("""COMPUTED_VALUE"""),46252.0)</f>
        <v>46252</v>
      </c>
      <c r="T715" s="5" t="b">
        <f>IFERROR(__xludf.DUMMYFUNCTION("""COMPUTED_VALUE"""),TRUE)</f>
        <v>1</v>
      </c>
      <c r="U715" s="5" t="str">
        <f>IFERROR(__xludf.DUMMYFUNCTION("""COMPUTED_VALUE"""),"3x3")</f>
        <v>3x3</v>
      </c>
      <c r="V715" s="5">
        <f>IFERROR(__xludf.DUMMYFUNCTION("""COMPUTED_VALUE"""),5.0)</f>
        <v>5</v>
      </c>
      <c r="W715" s="5">
        <f>IFERROR(__xludf.DUMMYFUNCTION("""COMPUTED_VALUE"""),5.0)</f>
        <v>5</v>
      </c>
      <c r="X715" s="5">
        <f>IFERROR(__xludf.DUMMYFUNCTION("""COMPUTED_VALUE"""),96.502)</f>
        <v>96.502</v>
      </c>
      <c r="Y715" s="5" t="str">
        <f>IFERROR(__xludf.DUMMYFUNCTION("""COMPUTED_VALUE"""),"Low")</f>
        <v>Low</v>
      </c>
      <c r="Z715" s="5">
        <f>IFERROR(__xludf.DUMMYFUNCTION("""COMPUTED_VALUE"""),10.959)</f>
        <v>10.959</v>
      </c>
      <c r="AA715" s="5">
        <f>IFERROR(__xludf.DUMMYFUNCTION("""COMPUTED_VALUE"""),500.0)</f>
        <v>500</v>
      </c>
      <c r="AB715" s="5"/>
      <c r="AC715" s="5" t="str">
        <f>IFERROR(__xludf.DUMMYFUNCTION("""COMPUTED_VALUE"""),"Expanding Wild")</f>
        <v>Expanding Wild</v>
      </c>
      <c r="AD715" s="5" t="str">
        <f>IFERROR(__xludf.DUMMYFUNCTION("""COMPUTED_VALUE"""),"0.5/50")</f>
        <v>0.5/50</v>
      </c>
      <c r="AE715" s="5"/>
      <c r="AF715" s="5"/>
      <c r="AG715" s="8">
        <f>IFERROR(__xludf.DUMMYFUNCTION("""COMPUTED_VALUE"""),46252.39758101852)</f>
        <v>46252.39758</v>
      </c>
      <c r="AH715" s="5" t="str">
        <f>IFERROR(__xludf.DUMMYFUNCTION("""COMPUTED_VALUE"""),"milena.kocic@fazi.rs")</f>
        <v>milena.kocic@fazi.rs</v>
      </c>
      <c r="AI715" s="13">
        <f>IFERROR(__xludf.DUMMYFUNCTION("""COMPUTED_VALUE"""),46223.0)</f>
        <v>46223</v>
      </c>
      <c r="AJ715" s="5"/>
      <c r="AK715" s="5">
        <f>IFERROR(__xludf.DUMMYFUNCTION("""COMPUTED_VALUE"""),1.0)</f>
        <v>1</v>
      </c>
      <c r="AL715" s="5" t="str">
        <f>IFERROR(__xludf.DUMMYFUNCTION("""COMPUTED_VALUE"""),"Yes")</f>
        <v>Yes</v>
      </c>
      <c r="AM715" s="5" t="str">
        <f>IFERROR(__xludf.DUMMYFUNCTION("""COMPUTED_VALUE"""),"No")</f>
        <v>No</v>
      </c>
      <c r="AN715" s="7" t="str">
        <f>IFERROR(__xludf.DUMMYFUNCTION("""COMPUTED_VALUE"""),"https://onlinegamespromo.fazi.rs/Home/IntegrationGameLaunch?moneyType=0&amp;gameName=TripleWildCrown&amp;platform=desktop&amp;languageCode=eng&amp;currency=EUR")</f>
        <v>https://onlinegamespromo.fazi.rs/Home/IntegrationGameLaunch?moneyType=0&amp;gameName=TripleWildCrown&amp;platform=desktop&amp;languageCode=eng&amp;currency=EUR</v>
      </c>
      <c r="AO715" s="5" t="str">
        <f>IFERROR(__xludf.DUMMYFUNCTION("""COMPUTED_VALUE"""),"Yes")</f>
        <v>Yes</v>
      </c>
      <c r="AP715" s="5" t="str">
        <f>IFERROR(__xludf.DUMMYFUNCTION("""COMPUTED_VALUE"""),"Yes")</f>
        <v>Yes</v>
      </c>
      <c r="AQ715" s="5" t="b">
        <f>IFERROR(__xludf.DUMMYFUNCTION("""COMPUTED_VALUE"""),TRUE)</f>
        <v>1</v>
      </c>
      <c r="AR715" s="5"/>
      <c r="AS715" s="5" t="str">
        <f>IFERROR(__xludf.DUMMYFUNCTION("""COMPUTED_VALUE"""),"Step into a world of royal rewards with Triple Wild Crown! The powerful Expanding Wild feature takes center stage as the Wild lands on the 2nd reel and expands across the entire reel, unlocking exciting winning opportunities. Watch the reels come alive an"&amp;"d discover the thrill of bigger wins with every spin! 
")</f>
        <v>Step into a world of royal rewards with Triple Wild Crown! The powerful Expanding Wild feature takes center stage as the Wild lands on the 2nd reel and expands across the entire reel, unlocking exciting winning opportunities. Watch the reels come alive and discover the thrill of bigger wins with every spin! 
</v>
      </c>
      <c r="AT715" s="5"/>
      <c r="AU715" s="5" t="str">
        <f>IFERROR(__xludf.DUMMYFUNCTION("""COMPUTED_VALUE"""),"Fazi")</f>
        <v>Fazi</v>
      </c>
      <c r="AV715" s="5"/>
      <c r="AW715" s="5"/>
      <c r="AX715" s="13">
        <f>IFERROR(__xludf.DUMMYFUNCTION("""COMPUTED_VALUE"""),46119.0)</f>
        <v>46119</v>
      </c>
      <c r="AY715" s="5"/>
      <c r="AZ715" s="5"/>
      <c r="BA715" s="5"/>
      <c r="BB715" s="5" t="b">
        <f>IFERROR(__xludf.DUMMYFUNCTION("""COMPUTED_VALUE"""),TRUE)</f>
        <v>1</v>
      </c>
      <c r="BC715" s="5" t="str">
        <f>IFERROR(__xludf.DUMMYFUNCTION("""COMPUTED_VALUE"""),"Foxi")</f>
        <v>Foxi</v>
      </c>
      <c r="BD715" s="7" t="str">
        <f>IFERROR(__xludf.DUMMYFUNCTION("""COMPUTED_VALUE"""),"https://gameserver-store-client-area.orbionlimited.com/Home/IntegrationGameLaunch/client-area?moneyType=0&amp;gameName=TripleWildCrown&amp;platform=desktop&amp;languageCode=eng&amp;currency=EUR")</f>
        <v>https://gameserver-store-client-area.orbionlimited.com/Home/IntegrationGameLaunch/client-area?moneyType=0&amp;gameName=TripleWildCrown&amp;platform=desktop&amp;languageCode=eng&amp;currency=EUR</v>
      </c>
      <c r="BE715" s="5" t="b">
        <f>IFERROR(__xludf.DUMMYFUNCTION("""COMPUTED_VALUE"""),TRUE)</f>
        <v>1</v>
      </c>
    </row>
    <row r="716">
      <c r="A716" s="5">
        <f>IFERROR(__xludf.DUMMYFUNCTION("""COMPUTED_VALUE"""),753.0)</f>
        <v>753</v>
      </c>
      <c r="B716" s="5">
        <f>IFERROR(__xludf.DUMMYFUNCTION("""COMPUTED_VALUE"""),4038.0)</f>
        <v>4038</v>
      </c>
      <c r="C716" s="5" t="str">
        <f>IFERROR(__xludf.DUMMYFUNCTION("""COMPUTED_VALUE"""),"Fazi")</f>
        <v>Fazi</v>
      </c>
      <c r="D716" s="5" t="str">
        <f>IFERROR(__xludf.DUMMYFUNCTION("""COMPUTED_VALUE"""),"Bonus Royal Crown Extralines")</f>
        <v>Bonus Royal Crown Extralines</v>
      </c>
      <c r="E716" s="5" t="str">
        <f>IFERROR(__xludf.DUMMYFUNCTION("""COMPUTED_VALUE"""),"Sertifikacioni")</f>
        <v>Sertifikacioni</v>
      </c>
      <c r="F716" s="5" t="str">
        <f>IFERROR(__xludf.DUMMYFUNCTION("""COMPUTED_VALUE"""),"BonusRoyalCrownExtralines")</f>
        <v>BonusRoyalCrownExtralines</v>
      </c>
      <c r="G716" s="5" t="str">
        <f>IFERROR(__xludf.DUMMYFUNCTION("""COMPUTED_VALUE"""),"Deployed")</f>
        <v>Deployed</v>
      </c>
      <c r="H716" s="5"/>
      <c r="I716" s="5" t="str">
        <f>IFERROR(__xludf.DUMMYFUNCTION("""COMPUTED_VALUE"""),"V4")</f>
        <v>V4</v>
      </c>
      <c r="J716" s="5" t="str">
        <f>IFERROR(__xludf.DUMMYFUNCTION("""COMPUTED_VALUE"""),"JSON")</f>
        <v>JSON</v>
      </c>
      <c r="K716" s="5" t="str">
        <f>IFERROR(__xludf.DUMMYFUNCTION("""COMPUTED_VALUE"""),"Slot")</f>
        <v>Slot</v>
      </c>
      <c r="L716" s="5" t="str">
        <f>IFERROR(__xludf.DUMMYFUNCTION("""COMPUTED_VALUE""")," Variant")</f>
        <v> Variant</v>
      </c>
      <c r="M716" s="5" t="str">
        <f>IFERROR(__xludf.DUMMYFUNCTION("""COMPUTED_VALUE"""),"Bonus Epic Crown")</f>
        <v>Bonus Epic Crown</v>
      </c>
      <c r="N716" s="5"/>
      <c r="O716" s="5"/>
      <c r="P716" s="12">
        <f>IFERROR(__xludf.DUMMYFUNCTION("""COMPUTED_VALUE"""),160.2)</f>
        <v>160.2</v>
      </c>
      <c r="Q716" s="13">
        <f>IFERROR(__xludf.DUMMYFUNCTION("""COMPUTED_VALUE"""),46209.0)</f>
        <v>46209</v>
      </c>
      <c r="R716" s="13"/>
      <c r="S716" s="13">
        <f>IFERROR(__xludf.DUMMYFUNCTION("""COMPUTED_VALUE"""),46324.0)</f>
        <v>46324</v>
      </c>
      <c r="T716" s="5" t="b">
        <f>IFERROR(__xludf.DUMMYFUNCTION("""COMPUTED_VALUE"""),TRUE)</f>
        <v>1</v>
      </c>
      <c r="U716" s="5" t="str">
        <f>IFERROR(__xludf.DUMMYFUNCTION("""COMPUTED_VALUE"""),"5x3")</f>
        <v>5x3</v>
      </c>
      <c r="V716" s="5">
        <f>IFERROR(__xludf.DUMMYFUNCTION("""COMPUTED_VALUE"""),10.0)</f>
        <v>10</v>
      </c>
      <c r="W716" s="5">
        <f>IFERROR(__xludf.DUMMYFUNCTION("""COMPUTED_VALUE"""),10.0)</f>
        <v>10</v>
      </c>
      <c r="X716" s="5">
        <f>IFERROR(__xludf.DUMMYFUNCTION("""COMPUTED_VALUE"""),96.364)</f>
        <v>96.364</v>
      </c>
      <c r="Y716" s="5" t="str">
        <f>IFERROR(__xludf.DUMMYFUNCTION("""COMPUTED_VALUE"""),"High")</f>
        <v>High</v>
      </c>
      <c r="Z716" s="5">
        <f>IFERROR(__xludf.DUMMYFUNCTION("""COMPUTED_VALUE"""),10.607)</f>
        <v>10.607</v>
      </c>
      <c r="AA716" s="5">
        <f>IFERROR(__xludf.DUMMYFUNCTION("""COMPUTED_VALUE"""),3000.0)</f>
        <v>3000</v>
      </c>
      <c r="AB716" s="5"/>
      <c r="AC716" s="5" t="str">
        <f>IFERROR(__xludf.DUMMYFUNCTION("""COMPUTED_VALUE"""),"Free Rounds, Variable RTP, Buy Bonus, Extralines, In Game Jackpot")</f>
        <v>Free Rounds, Variable RTP, Buy Bonus, Extralines, In Game Jackpot</v>
      </c>
      <c r="AD716" s="5"/>
      <c r="AE716" s="5"/>
      <c r="AF716" s="5"/>
      <c r="AG716" s="8">
        <f>IFERROR(__xludf.DUMMYFUNCTION("""COMPUTED_VALUE"""),46272.610763888886)</f>
        <v>46272.61076</v>
      </c>
      <c r="AH716" s="5" t="str">
        <f>IFERROR(__xludf.DUMMYFUNCTION("""COMPUTED_VALUE"""),"aleksandar.matejic@fazi.rs")</f>
        <v>aleksandar.matejic@fazi.rs</v>
      </c>
      <c r="AI716" s="13"/>
      <c r="AJ716" s="5"/>
      <c r="AK716" s="5">
        <f>IFERROR(__xludf.DUMMYFUNCTION("""COMPUTED_VALUE"""),10.0)</f>
        <v>10</v>
      </c>
      <c r="AL716" s="5" t="str">
        <f>IFERROR(__xludf.DUMMYFUNCTION("""COMPUTED_VALUE"""),"Yes")</f>
        <v>Yes</v>
      </c>
      <c r="AM716" s="5"/>
      <c r="AN716" s="7" t="str">
        <f>IFERROR(__xludf.DUMMYFUNCTION("""COMPUTED_VALUE"""),"https://onlinegamespromo.fazi.rs/Home/IntegrationGameLaunch?moneyType=0&amp;gameName=BonusRoyalCrownExtralines&amp;platform=desktop&amp;languageCode=eng&amp;currency=EUR")</f>
        <v>https://onlinegamespromo.fazi.rs/Home/IntegrationGameLaunch?moneyType=0&amp;gameName=BonusRoyalCrownExtralines&amp;platform=desktop&amp;languageCode=eng&amp;currency=EUR</v>
      </c>
      <c r="AO716" s="5" t="str">
        <f>IFERROR(__xludf.DUMMYFUNCTION("""COMPUTED_VALUE"""),"Yes")</f>
        <v>Yes</v>
      </c>
      <c r="AP716" s="5" t="str">
        <f>IFERROR(__xludf.DUMMYFUNCTION("""COMPUTED_VALUE"""),"Yes")</f>
        <v>Yes</v>
      </c>
      <c r="AQ716" s="5"/>
      <c r="AR716" s="5"/>
      <c r="AS716" s="5"/>
      <c r="AT716" s="5"/>
      <c r="AU716" s="5" t="str">
        <f>IFERROR(__xludf.DUMMYFUNCTION("""COMPUTED_VALUE"""),"Fazi")</f>
        <v>Fazi</v>
      </c>
      <c r="AV716" s="5">
        <f>IFERROR(__xludf.DUMMYFUNCTION("""COMPUTED_VALUE"""),1.0)</f>
        <v>1</v>
      </c>
      <c r="AW716" s="5"/>
      <c r="AX716" s="13">
        <f>IFERROR(__xludf.DUMMYFUNCTION("""COMPUTED_VALUE"""),46203.0)</f>
        <v>46203</v>
      </c>
      <c r="AY716" s="5" t="str">
        <f>IFERROR(__xludf.DUMMYFUNCTION("""COMPUTED_VALUE"""),"87.5%, 89.5%, 91.5%, 93.5%, 94.5%, 95.5%")</f>
        <v>87.5%, 89.5%, 91.5%, 93.5%, 94.5%, 95.5%</v>
      </c>
      <c r="AZ716" s="5"/>
      <c r="BA716" s="5"/>
      <c r="BB716" s="5"/>
      <c r="BC716" s="5" t="str">
        <f>IFERROR(__xludf.DUMMYFUNCTION("""COMPUTED_VALUE"""),"Foxi")</f>
        <v>Foxi</v>
      </c>
      <c r="BD716" s="7" t="str">
        <f>IFERROR(__xludf.DUMMYFUNCTION("""COMPUTED_VALUE"""),"https://gameserver-store-client-area.orbionlimited.com/Home/IntegrationGameLaunch/client-area?moneyType=0&amp;gameName=BonusRoyalCrownExtralines&amp;platform=desktop&amp;languageCode=eng&amp;currency=EUR")</f>
        <v>https://gameserver-store-client-area.orbionlimited.com/Home/IntegrationGameLaunch/client-area?moneyType=0&amp;gameName=BonusRoyalCrownExtralines&amp;platform=desktop&amp;languageCode=eng&amp;currency=EUR</v>
      </c>
      <c r="BE716" s="5"/>
    </row>
    <row r="717">
      <c r="A717" s="5">
        <f>IFERROR(__xludf.DUMMYFUNCTION("""COMPUTED_VALUE"""),754.0)</f>
        <v>754</v>
      </c>
      <c r="B717" s="5">
        <f>IFERROR(__xludf.DUMMYFUNCTION("""COMPUTED_VALUE"""),3037.0)</f>
        <v>3037</v>
      </c>
      <c r="C717" s="5" t="str">
        <f>IFERROR(__xludf.DUMMYFUNCTION("""COMPUTED_VALUE"""),"Fazi")</f>
        <v>Fazi</v>
      </c>
      <c r="D717" s="5" t="str">
        <f>IFERROR(__xludf.DUMMYFUNCTION("""COMPUTED_VALUE"""),"Bonus Epic Wild Extralines")</f>
        <v>Bonus Epic Wild Extralines</v>
      </c>
      <c r="E717" s="5" t="str">
        <f>IFERROR(__xludf.DUMMYFUNCTION("""COMPUTED_VALUE"""),"V2")</f>
        <v>V2</v>
      </c>
      <c r="F717" s="5" t="str">
        <f>IFERROR(__xludf.DUMMYFUNCTION("""COMPUTED_VALUE"""),"BonusEpicWildExtralines")</f>
        <v>BonusEpicWildExtralines</v>
      </c>
      <c r="G717" s="5" t="str">
        <f>IFERROR(__xludf.DUMMYFUNCTION("""COMPUTED_VALUE"""),"Live")</f>
        <v>Live</v>
      </c>
      <c r="H717" s="5"/>
      <c r="I717" s="5" t="str">
        <f>IFERROR(__xludf.DUMMYFUNCTION("""COMPUTED_VALUE"""),"V4")</f>
        <v>V4</v>
      </c>
      <c r="J717" s="5" t="str">
        <f>IFERROR(__xludf.DUMMYFUNCTION("""COMPUTED_VALUE"""),"JSON")</f>
        <v>JSON</v>
      </c>
      <c r="K717" s="5" t="str">
        <f>IFERROR(__xludf.DUMMYFUNCTION("""COMPUTED_VALUE"""),"Slot")</f>
        <v>Slot</v>
      </c>
      <c r="L717" s="5" t="str">
        <f>IFERROR(__xludf.DUMMYFUNCTION("""COMPUTED_VALUE"""),"Master")</f>
        <v>Master</v>
      </c>
      <c r="M717" s="5"/>
      <c r="N717" s="5"/>
      <c r="O717" s="5"/>
      <c r="P717" s="12">
        <f>IFERROR(__xludf.DUMMYFUNCTION("""COMPUTED_VALUE"""),26.7)</f>
        <v>26.7</v>
      </c>
      <c r="Q717" s="13">
        <f>IFERROR(__xludf.DUMMYFUNCTION("""COMPUTED_VALUE"""),46153.0)</f>
        <v>46153</v>
      </c>
      <c r="R717" s="13">
        <f>IFERROR(__xludf.DUMMYFUNCTION("""COMPUTED_VALUE"""),46204.0)</f>
        <v>46204</v>
      </c>
      <c r="S717" s="13">
        <f>IFERROR(__xludf.DUMMYFUNCTION("""COMPUTED_VALUE"""),46211.0)</f>
        <v>46211</v>
      </c>
      <c r="T717" s="5" t="b">
        <f>IFERROR(__xludf.DUMMYFUNCTION("""COMPUTED_VALUE"""),TRUE)</f>
        <v>1</v>
      </c>
      <c r="U717" s="5" t="str">
        <f>IFERROR(__xludf.DUMMYFUNCTION("""COMPUTED_VALUE"""),"3x3")</f>
        <v>3x3</v>
      </c>
      <c r="V717" s="5">
        <f>IFERROR(__xludf.DUMMYFUNCTION("""COMPUTED_VALUE"""),5.0)</f>
        <v>5</v>
      </c>
      <c r="W717" s="5">
        <f>IFERROR(__xludf.DUMMYFUNCTION("""COMPUTED_VALUE"""),5.0)</f>
        <v>5</v>
      </c>
      <c r="X717" s="5">
        <f>IFERROR(__xludf.DUMMYFUNCTION("""COMPUTED_VALUE"""),96.474)</f>
        <v>96.474</v>
      </c>
      <c r="Y717" s="5" t="str">
        <f>IFERROR(__xludf.DUMMYFUNCTION("""COMPUTED_VALUE"""),"Medium")</f>
        <v>Medium</v>
      </c>
      <c r="Z717" s="5">
        <f>IFERROR(__xludf.DUMMYFUNCTION("""COMPUTED_VALUE"""),5.11)</f>
        <v>5.11</v>
      </c>
      <c r="AA717" s="5">
        <f>IFERROR(__xludf.DUMMYFUNCTION("""COMPUTED_VALUE"""),2940.0)</f>
        <v>2940</v>
      </c>
      <c r="AB717" s="5"/>
      <c r="AC717" s="5" t="str">
        <f>IFERROR(__xludf.DUMMYFUNCTION("""COMPUTED_VALUE"""),"Extralines, Wild Symbol, Bonus Game with Free Spins, Buy Bonus")</f>
        <v>Extralines, Wild Symbol, Bonus Game with Free Spins, Buy Bonus</v>
      </c>
      <c r="AD717" s="5" t="str">
        <f>IFERROR(__xludf.DUMMYFUNCTION("""COMPUTED_VALUE"""),"0.1/50")</f>
        <v>0.1/50</v>
      </c>
      <c r="AE717" s="5"/>
      <c r="AF717" s="5"/>
      <c r="AG717" s="8">
        <f>IFERROR(__xludf.DUMMYFUNCTION("""COMPUTED_VALUE"""),46241.5815162037)</f>
        <v>46241.58152</v>
      </c>
      <c r="AH717" s="5" t="str">
        <f>IFERROR(__xludf.DUMMYFUNCTION("""COMPUTED_VALUE"""),"aleksandar.matejic@fazi.rs")</f>
        <v>aleksandar.matejic@fazi.rs</v>
      </c>
      <c r="AI717" s="13">
        <f>IFERROR(__xludf.DUMMYFUNCTION("""COMPUTED_VALUE"""),46188.0)</f>
        <v>46188</v>
      </c>
      <c r="AJ717" s="5"/>
      <c r="AK717" s="5">
        <f>IFERROR(__xludf.DUMMYFUNCTION("""COMPUTED_VALUE"""),5.0)</f>
        <v>5</v>
      </c>
      <c r="AL717" s="5" t="str">
        <f>IFERROR(__xludf.DUMMYFUNCTION("""COMPUTED_VALUE"""),"Yes")</f>
        <v>Yes</v>
      </c>
      <c r="AM717" s="5" t="str">
        <f>IFERROR(__xludf.DUMMYFUNCTION("""COMPUTED_VALUE"""),"No")</f>
        <v>No</v>
      </c>
      <c r="AN717" s="7" t="str">
        <f>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AO717" s="5" t="str">
        <f>IFERROR(__xludf.DUMMYFUNCTION("""COMPUTED_VALUE"""),"Yes")</f>
        <v>Yes</v>
      </c>
      <c r="AP717" s="5" t="str">
        <f>IFERROR(__xludf.DUMMYFUNCTION("""COMPUTED_VALUE"""),"Yes")</f>
        <v>Yes</v>
      </c>
      <c r="AQ717" s="5" t="b">
        <f>IFERROR(__xludf.DUMMYFUNCTION("""COMPUTED_VALUE"""),TRUE)</f>
        <v>1</v>
      </c>
      <c r="AR717" s="5"/>
      <c r="AS717" s="5" t="str">
        <f>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AT717" s="5"/>
      <c r="AU717" s="5" t="str">
        <f>IFERROR(__xludf.DUMMYFUNCTION("""COMPUTED_VALUE"""),"Fazi")</f>
        <v>Fazi</v>
      </c>
      <c r="AV717" s="5">
        <f>IFERROR(__xludf.DUMMYFUNCTION("""COMPUTED_VALUE"""),1.0)</f>
        <v>1</v>
      </c>
      <c r="AW717" s="5"/>
      <c r="AX717" s="13">
        <f>IFERROR(__xludf.DUMMYFUNCTION("""COMPUTED_VALUE"""),46147.0)</f>
        <v>46147</v>
      </c>
      <c r="AY717" s="5" t="str">
        <f>IFERROR(__xludf.DUMMYFUNCTION("""COMPUTED_VALUE"""),"87.5%, 89.5%, 91.5%, 93.5%, 94.5%, 95.5%, 96.5%")</f>
        <v>87.5%, 89.5%, 91.5%, 93.5%, 94.5%, 95.5%, 96.5%</v>
      </c>
      <c r="AZ717" s="5"/>
      <c r="BA717" s="5"/>
      <c r="BB717" s="5" t="b">
        <f>IFERROR(__xludf.DUMMYFUNCTION("""COMPUTED_VALUE"""),TRUE)</f>
        <v>1</v>
      </c>
      <c r="BC717" s="5" t="str">
        <f>IFERROR(__xludf.DUMMYFUNCTION("""COMPUTED_VALUE"""),"Foxi")</f>
        <v>Foxi</v>
      </c>
      <c r="BD717" s="7" t="str">
        <f>IFERROR(__xludf.DUMMYFUNCTION("""COMPUTED_VALUE"""),"https://gameserver-store-client-area.orbionlimited.com/Home/IntegrationGameLaunch/client-area?moneyType=0&amp;gameName=BonusEpicWildExtralines&amp;platform=desktop&amp;languageCode=eng&amp;currency=EUR")</f>
        <v>https://gameserver-store-client-area.orbionlimited.com/Home/IntegrationGameLaunch/client-area?moneyType=0&amp;gameName=BonusEpicWildExtralines&amp;platform=desktop&amp;languageCode=eng&amp;currency=EUR</v>
      </c>
      <c r="BE717" s="5" t="b">
        <f>IFERROR(__xludf.DUMMYFUNCTION("""COMPUTED_VALUE"""),TRUE)</f>
        <v>1</v>
      </c>
    </row>
    <row r="718">
      <c r="A718" s="5">
        <f>IFERROR(__xludf.DUMMYFUNCTION("""COMPUTED_VALUE"""),755.0)</f>
        <v>755</v>
      </c>
      <c r="B718" s="5">
        <f>IFERROR(__xludf.DUMMYFUNCTION("""COMPUTED_VALUE"""),3039.0)</f>
        <v>3039</v>
      </c>
      <c r="C718" s="5" t="str">
        <f>IFERROR(__xludf.DUMMYFUNCTION("""COMPUTED_VALUE"""),"Fazi")</f>
        <v>Fazi</v>
      </c>
      <c r="D718" s="5" t="str">
        <f>IFERROR(__xludf.DUMMYFUNCTION("""COMPUTED_VALUE"""),"Very Hot 10 Extreme")</f>
        <v>Very Hot 10 Extreme</v>
      </c>
      <c r="E718" s="5" t="str">
        <f>IFERROR(__xludf.DUMMYFUNCTION("""COMPUTED_VALUE"""),"V2")</f>
        <v>V2</v>
      </c>
      <c r="F718" s="5" t="str">
        <f>IFERROR(__xludf.DUMMYFUNCTION("""COMPUTED_VALUE"""),"VeryHot10Extreme")</f>
        <v>VeryHot10Extreme</v>
      </c>
      <c r="G718" s="5" t="str">
        <f>IFERROR(__xludf.DUMMYFUNCTION("""COMPUTED_VALUE"""),"Deployed")</f>
        <v>Deployed</v>
      </c>
      <c r="H718" s="5"/>
      <c r="I718" s="5" t="str">
        <f>IFERROR(__xludf.DUMMYFUNCTION("""COMPUTED_VALUE"""),"V4")</f>
        <v>V4</v>
      </c>
      <c r="J718" s="5" t="str">
        <f>IFERROR(__xludf.DUMMYFUNCTION("""COMPUTED_VALUE"""),"JSON")</f>
        <v>JSON</v>
      </c>
      <c r="K718" s="5" t="str">
        <f>IFERROR(__xludf.DUMMYFUNCTION("""COMPUTED_VALUE"""),"Slot")</f>
        <v>Slot</v>
      </c>
      <c r="L718" s="5"/>
      <c r="M718" s="5"/>
      <c r="N718" s="5"/>
      <c r="O718" s="5"/>
      <c r="P718" s="12">
        <f>IFERROR(__xludf.DUMMYFUNCTION("""COMPUTED_VALUE"""),19.7)</f>
        <v>19.7</v>
      </c>
      <c r="Q718" s="13">
        <f>IFERROR(__xludf.DUMMYFUNCTION("""COMPUTED_VALUE"""),46153.0)</f>
        <v>46153</v>
      </c>
      <c r="R718" s="13"/>
      <c r="S718" s="13">
        <f>IFERROR(__xludf.DUMMYFUNCTION("""COMPUTED_VALUE"""),46310.0)</f>
        <v>46310</v>
      </c>
      <c r="T718" s="5" t="b">
        <f>IFERROR(__xludf.DUMMYFUNCTION("""COMPUTED_VALUE"""),TRUE)</f>
        <v>1</v>
      </c>
      <c r="U718" s="5" t="str">
        <f>IFERROR(__xludf.DUMMYFUNCTION("""COMPUTED_VALUE"""),"5x3")</f>
        <v>5x3</v>
      </c>
      <c r="V718" s="5">
        <f>IFERROR(__xludf.DUMMYFUNCTION("""COMPUTED_VALUE"""),10.0)</f>
        <v>10</v>
      </c>
      <c r="W718" s="5">
        <f>IFERROR(__xludf.DUMMYFUNCTION("""COMPUTED_VALUE"""),10.0)</f>
        <v>10</v>
      </c>
      <c r="X718" s="5">
        <f>IFERROR(__xludf.DUMMYFUNCTION("""COMPUTED_VALUE"""),96.453)</f>
        <v>96.453</v>
      </c>
      <c r="Y718" s="5" t="str">
        <f>IFERROR(__xludf.DUMMYFUNCTION("""COMPUTED_VALUE"""),"Low")</f>
        <v>Low</v>
      </c>
      <c r="Z718" s="5">
        <f>IFERROR(__xludf.DUMMYFUNCTION("""COMPUTED_VALUE"""),17.364)</f>
        <v>17.364</v>
      </c>
      <c r="AA718" s="5">
        <f>IFERROR(__xludf.DUMMYFUNCTION("""COMPUTED_VALUE"""),2210.0)</f>
        <v>2210</v>
      </c>
      <c r="AB718" s="5"/>
      <c r="AC718" s="5" t="str">
        <f>IFERROR(__xludf.DUMMYFUNCTION("""COMPUTED_VALUE"""),"Expanding Wild, Scatter")</f>
        <v>Expanding Wild, Scatter</v>
      </c>
      <c r="AD718" s="5" t="str">
        <f>IFERROR(__xludf.DUMMYFUNCTION("""COMPUTED_VALUE"""),"0.1/50")</f>
        <v>0.1/50</v>
      </c>
      <c r="AE718" s="5"/>
      <c r="AF718" s="5"/>
      <c r="AG718" s="8">
        <f>IFERROR(__xludf.DUMMYFUNCTION("""COMPUTED_VALUE"""),46272.60606481481)</f>
        <v>46272.60606</v>
      </c>
      <c r="AH718" s="5" t="str">
        <f>IFERROR(__xludf.DUMMYFUNCTION("""COMPUTED_VALUE"""),"aleksandar.matejic@fazi.rs")</f>
        <v>aleksandar.matejic@fazi.rs</v>
      </c>
      <c r="AI718" s="13"/>
      <c r="AJ718" s="5"/>
      <c r="AK718" s="5">
        <f>IFERROR(__xludf.DUMMYFUNCTION("""COMPUTED_VALUE"""),1.0)</f>
        <v>1</v>
      </c>
      <c r="AL718" s="5" t="str">
        <f>IFERROR(__xludf.DUMMYFUNCTION("""COMPUTED_VALUE"""),"Yes")</f>
        <v>Yes</v>
      </c>
      <c r="AM718" s="5" t="str">
        <f>IFERROR(__xludf.DUMMYFUNCTION("""COMPUTED_VALUE"""),"No")</f>
        <v>No</v>
      </c>
      <c r="AN718" s="7" t="str">
        <f>IFERROR(__xludf.DUMMYFUNCTION("""COMPUTED_VALUE"""),"https://onlinegamespromo.fazi.rs/Home/IntegrationGameLaunch?moneyType=0&amp;gameName=VeryHot10Extreme&amp;platform=desktop&amp;languageCode=eng&amp;currency=EUR")</f>
        <v>https://onlinegamespromo.fazi.rs/Home/IntegrationGameLaunch?moneyType=0&amp;gameName=VeryHot10Extreme&amp;platform=desktop&amp;languageCode=eng&amp;currency=EUR</v>
      </c>
      <c r="AO718" s="5" t="str">
        <f>IFERROR(__xludf.DUMMYFUNCTION("""COMPUTED_VALUE"""),"Yes")</f>
        <v>Yes</v>
      </c>
      <c r="AP718" s="5" t="str">
        <f>IFERROR(__xludf.DUMMYFUNCTION("""COMPUTED_VALUE"""),"Yes")</f>
        <v>Yes</v>
      </c>
      <c r="AQ718" s="5"/>
      <c r="AR718" s="5"/>
      <c r="AS718" s="5"/>
      <c r="AT718" s="5"/>
      <c r="AU718" s="5" t="str">
        <f>IFERROR(__xludf.DUMMYFUNCTION("""COMPUTED_VALUE"""),"Fazi")</f>
        <v>Fazi</v>
      </c>
      <c r="AV718" s="5">
        <f>IFERROR(__xludf.DUMMYFUNCTION("""COMPUTED_VALUE"""),1.0)</f>
        <v>1</v>
      </c>
      <c r="AW718" s="5"/>
      <c r="AX718" s="13">
        <f>IFERROR(__xludf.DUMMYFUNCTION("""COMPUTED_VALUE"""),46147.0)</f>
        <v>46147</v>
      </c>
      <c r="AY718" s="5" t="str">
        <f>IFERROR(__xludf.DUMMYFUNCTION("""COMPUTED_VALUE"""),"87.5%, 89.5%, 91.5%, 93.5%, 94.5%, 95.5%, 96.5%")</f>
        <v>87.5%, 89.5%, 91.5%, 93.5%, 94.5%, 95.5%, 96.5%</v>
      </c>
      <c r="AZ718" s="5"/>
      <c r="BA718" s="5"/>
      <c r="BB718" s="5"/>
      <c r="BC718" s="5" t="str">
        <f>IFERROR(__xludf.DUMMYFUNCTION("""COMPUTED_VALUE"""),"Foxi")</f>
        <v>Foxi</v>
      </c>
      <c r="BD718" s="5"/>
      <c r="BE718" s="5"/>
    </row>
    <row r="719">
      <c r="A719" s="5">
        <f>IFERROR(__xludf.DUMMYFUNCTION("""COMPUTED_VALUE"""),756.0)</f>
        <v>756</v>
      </c>
      <c r="B719" s="5">
        <f>IFERROR(__xludf.DUMMYFUNCTION("""COMPUTED_VALUE"""),3040.0)</f>
        <v>3040</v>
      </c>
      <c r="C719" s="5" t="str">
        <f>IFERROR(__xludf.DUMMYFUNCTION("""COMPUTED_VALUE"""),"Fazi")</f>
        <v>Fazi</v>
      </c>
      <c r="D719" s="5" t="str">
        <f>IFERROR(__xludf.DUMMYFUNCTION("""COMPUTED_VALUE"""),"Very Hot 20 Extreme")</f>
        <v>Very Hot 20 Extreme</v>
      </c>
      <c r="E719" s="5" t="str">
        <f>IFERROR(__xludf.DUMMYFUNCTION("""COMPUTED_VALUE"""),"V2")</f>
        <v>V2</v>
      </c>
      <c r="F719" s="5" t="str">
        <f>IFERROR(__xludf.DUMMYFUNCTION("""COMPUTED_VALUE"""),"VeryHot20Extreme")</f>
        <v>VeryHot20Extreme</v>
      </c>
      <c r="G719" s="5" t="str">
        <f>IFERROR(__xludf.DUMMYFUNCTION("""COMPUTED_VALUE"""),"Deployed")</f>
        <v>Deployed</v>
      </c>
      <c r="H719" s="5"/>
      <c r="I719" s="5" t="str">
        <f>IFERROR(__xludf.DUMMYFUNCTION("""COMPUTED_VALUE"""),"V4")</f>
        <v>V4</v>
      </c>
      <c r="J719" s="5" t="str">
        <f>IFERROR(__xludf.DUMMYFUNCTION("""COMPUTED_VALUE"""),"JSON")</f>
        <v>JSON</v>
      </c>
      <c r="K719" s="5" t="str">
        <f>IFERROR(__xludf.DUMMYFUNCTION("""COMPUTED_VALUE"""),"Slot")</f>
        <v>Slot</v>
      </c>
      <c r="L719" s="5"/>
      <c r="M719" s="5"/>
      <c r="N719" s="5"/>
      <c r="O719" s="5"/>
      <c r="P719" s="12">
        <f>IFERROR(__xludf.DUMMYFUNCTION("""COMPUTED_VALUE"""),19.8)</f>
        <v>19.8</v>
      </c>
      <c r="Q719" s="13">
        <f>IFERROR(__xludf.DUMMYFUNCTION("""COMPUTED_VALUE"""),46153.0)</f>
        <v>46153</v>
      </c>
      <c r="R719" s="13"/>
      <c r="S719" s="13"/>
      <c r="T719" s="5"/>
      <c r="U719" s="5" t="str">
        <f>IFERROR(__xludf.DUMMYFUNCTION("""COMPUTED_VALUE"""),"5x3")</f>
        <v>5x3</v>
      </c>
      <c r="V719" s="5">
        <f>IFERROR(__xludf.DUMMYFUNCTION("""COMPUTED_VALUE"""),20.0)</f>
        <v>20</v>
      </c>
      <c r="W719" s="5">
        <f>IFERROR(__xludf.DUMMYFUNCTION("""COMPUTED_VALUE"""),20.0)</f>
        <v>20</v>
      </c>
      <c r="X719" s="5">
        <f>IFERROR(__xludf.DUMMYFUNCTION("""COMPUTED_VALUE"""),96.453)</f>
        <v>96.453</v>
      </c>
      <c r="Y719" s="5" t="str">
        <f>IFERROR(__xludf.DUMMYFUNCTION("""COMPUTED_VALUE"""),"Low")</f>
        <v>Low</v>
      </c>
      <c r="Z719" s="5">
        <f>IFERROR(__xludf.DUMMYFUNCTION("""COMPUTED_VALUE"""),21.192)</f>
        <v>21.192</v>
      </c>
      <c r="AA719" s="5">
        <f>IFERROR(__xludf.DUMMYFUNCTION("""COMPUTED_VALUE"""),2765.0)</f>
        <v>2765</v>
      </c>
      <c r="AB719" s="5"/>
      <c r="AC719" s="5" t="str">
        <f>IFERROR(__xludf.DUMMYFUNCTION("""COMPUTED_VALUE"""),"Expanding Wild, Scatter")</f>
        <v>Expanding Wild, Scatter</v>
      </c>
      <c r="AD719" s="5" t="str">
        <f>IFERROR(__xludf.DUMMYFUNCTION("""COMPUTED_VALUE"""),"0.2/50")</f>
        <v>0.2/50</v>
      </c>
      <c r="AE719" s="5"/>
      <c r="AF719" s="5"/>
      <c r="AG719" s="8">
        <f>IFERROR(__xludf.DUMMYFUNCTION("""COMPUTED_VALUE"""),46153.60834490741)</f>
        <v>46153.60834</v>
      </c>
      <c r="AH719" s="5" t="str">
        <f>IFERROR(__xludf.DUMMYFUNCTION("""COMPUTED_VALUE"""),"milena.kocic@fazi.rs")</f>
        <v>milena.kocic@fazi.rs</v>
      </c>
      <c r="AI719" s="13"/>
      <c r="AJ719" s="5"/>
      <c r="AK719" s="5">
        <f>IFERROR(__xludf.DUMMYFUNCTION("""COMPUTED_VALUE"""),2.0)</f>
        <v>2</v>
      </c>
      <c r="AL719" s="5" t="str">
        <f>IFERROR(__xludf.DUMMYFUNCTION("""COMPUTED_VALUE"""),"Yes")</f>
        <v>Yes</v>
      </c>
      <c r="AM719" s="5" t="str">
        <f>IFERROR(__xludf.DUMMYFUNCTION("""COMPUTED_VALUE"""),"No")</f>
        <v>No</v>
      </c>
      <c r="AN719" s="5"/>
      <c r="AO719" s="5" t="str">
        <f>IFERROR(__xludf.DUMMYFUNCTION("""COMPUTED_VALUE"""),"Yes")</f>
        <v>Yes</v>
      </c>
      <c r="AP719" s="5" t="str">
        <f>IFERROR(__xludf.DUMMYFUNCTION("""COMPUTED_VALUE"""),"Yes")</f>
        <v>Yes</v>
      </c>
      <c r="AQ719" s="5"/>
      <c r="AR719" s="5"/>
      <c r="AS719" s="5"/>
      <c r="AT719" s="5"/>
      <c r="AU719" s="5" t="str">
        <f>IFERROR(__xludf.DUMMYFUNCTION("""COMPUTED_VALUE"""),"Fazi")</f>
        <v>Fazi</v>
      </c>
      <c r="AV719" s="5">
        <f>IFERROR(__xludf.DUMMYFUNCTION("""COMPUTED_VALUE"""),2.0)</f>
        <v>2</v>
      </c>
      <c r="AW719" s="5"/>
      <c r="AX719" s="13">
        <f>IFERROR(__xludf.DUMMYFUNCTION("""COMPUTED_VALUE"""),46147.0)</f>
        <v>46147</v>
      </c>
      <c r="AY719" s="5" t="str">
        <f>IFERROR(__xludf.DUMMYFUNCTION("""COMPUTED_VALUE"""),"87.5%, 89.5%, 91.5%, 93.5%, 94.5%, 95.5%, 96.5%")</f>
        <v>87.5%, 89.5%, 91.5%, 93.5%, 94.5%, 95.5%, 96.5%</v>
      </c>
      <c r="AZ719" s="5"/>
      <c r="BA719" s="5"/>
      <c r="BB719" s="5"/>
      <c r="BC719" s="5" t="str">
        <f>IFERROR(__xludf.DUMMYFUNCTION("""COMPUTED_VALUE"""),"Foxi")</f>
        <v>Foxi</v>
      </c>
      <c r="BD719" s="5" t="str">
        <f>IFERROR(__xludf.DUMMYFUNCTION("""COMPUTED_VALUE"""),"")</f>
        <v/>
      </c>
      <c r="BE719" s="5"/>
    </row>
    <row r="720">
      <c r="A720" s="5">
        <f>IFERROR(__xludf.DUMMYFUNCTION("""COMPUTED_VALUE"""),757.0)</f>
        <v>757</v>
      </c>
      <c r="B720" s="5">
        <f>IFERROR(__xludf.DUMMYFUNCTION("""COMPUTED_VALUE"""),3042.0)</f>
        <v>3042</v>
      </c>
      <c r="C720" s="5" t="str">
        <f>IFERROR(__xludf.DUMMYFUNCTION("""COMPUTED_VALUE"""),"Fazi")</f>
        <v>Fazi</v>
      </c>
      <c r="D720" s="5" t="str">
        <f>IFERROR(__xludf.DUMMYFUNCTION("""COMPUTED_VALUE"""),"Very Hot 20 Extreme Booster")</f>
        <v>Very Hot 20 Extreme Booster</v>
      </c>
      <c r="E720" s="5" t="str">
        <f>IFERROR(__xludf.DUMMYFUNCTION("""COMPUTED_VALUE"""),"V2")</f>
        <v>V2</v>
      </c>
      <c r="F720" s="5" t="str">
        <f>IFERROR(__xludf.DUMMYFUNCTION("""COMPUTED_VALUE"""),"VeryHot20ExtremeBooster")</f>
        <v>VeryHot20ExtremeBooster</v>
      </c>
      <c r="G720" s="5" t="str">
        <f>IFERROR(__xludf.DUMMYFUNCTION("""COMPUTED_VALUE"""),"Deployed")</f>
        <v>Deployed</v>
      </c>
      <c r="H720" s="5"/>
      <c r="I720" s="5" t="str">
        <f>IFERROR(__xludf.DUMMYFUNCTION("""COMPUTED_VALUE"""),"V4")</f>
        <v>V4</v>
      </c>
      <c r="J720" s="5" t="str">
        <f>IFERROR(__xludf.DUMMYFUNCTION("""COMPUTED_VALUE"""),"JSON")</f>
        <v>JSON</v>
      </c>
      <c r="K720" s="5" t="str">
        <f>IFERROR(__xludf.DUMMYFUNCTION("""COMPUTED_VALUE"""),"Slot")</f>
        <v>Slot</v>
      </c>
      <c r="L720" s="5"/>
      <c r="M720" s="5"/>
      <c r="N720" s="5"/>
      <c r="O720" s="5"/>
      <c r="P720" s="12">
        <f>IFERROR(__xludf.DUMMYFUNCTION("""COMPUTED_VALUE"""),19.0)</f>
        <v>19</v>
      </c>
      <c r="Q720" s="13">
        <f>IFERROR(__xludf.DUMMYFUNCTION("""COMPUTED_VALUE"""),46167.0)</f>
        <v>46167</v>
      </c>
      <c r="R720" s="13"/>
      <c r="S720" s="13"/>
      <c r="T720" s="5"/>
      <c r="U720" s="5" t="str">
        <f>IFERROR(__xludf.DUMMYFUNCTION("""COMPUTED_VALUE"""),"5x3")</f>
        <v>5x3</v>
      </c>
      <c r="V720" s="5">
        <f>IFERROR(__xludf.DUMMYFUNCTION("""COMPUTED_VALUE"""),20.0)</f>
        <v>20</v>
      </c>
      <c r="W720" s="5">
        <f>IFERROR(__xludf.DUMMYFUNCTION("""COMPUTED_VALUE"""),20.0)</f>
        <v>20</v>
      </c>
      <c r="X720" s="5">
        <f>IFERROR(__xludf.DUMMYFUNCTION("""COMPUTED_VALUE"""),96.453)</f>
        <v>96.453</v>
      </c>
      <c r="Y720" s="5" t="str">
        <f>IFERROR(__xludf.DUMMYFUNCTION("""COMPUTED_VALUE"""),"Low")</f>
        <v>Low</v>
      </c>
      <c r="Z720" s="5">
        <f>IFERROR(__xludf.DUMMYFUNCTION("""COMPUTED_VALUE"""),21.192)</f>
        <v>21.192</v>
      </c>
      <c r="AA720" s="5">
        <f>IFERROR(__xludf.DUMMYFUNCTION("""COMPUTED_VALUE"""),2765.0)</f>
        <v>2765</v>
      </c>
      <c r="AB720" s="5"/>
      <c r="AC720" s="5" t="str">
        <f>IFERROR(__xludf.DUMMYFUNCTION("""COMPUTED_VALUE"""),"Expanding Wild, Scatter")</f>
        <v>Expanding Wild, Scatter</v>
      </c>
      <c r="AD720" s="5" t="str">
        <f>IFERROR(__xludf.DUMMYFUNCTION("""COMPUTED_VALUE"""),"0.2/50")</f>
        <v>0.2/50</v>
      </c>
      <c r="AE720" s="5"/>
      <c r="AF720" s="5"/>
      <c r="AG720" s="8">
        <f>IFERROR(__xludf.DUMMYFUNCTION("""COMPUTED_VALUE"""),46170.41538194445)</f>
        <v>46170.41538</v>
      </c>
      <c r="AH720" s="5" t="str">
        <f>IFERROR(__xludf.DUMMYFUNCTION("""COMPUTED_VALUE"""),"milutin.toskic@fazi.rs")</f>
        <v>milutin.toskic@fazi.rs</v>
      </c>
      <c r="AI720" s="13"/>
      <c r="AJ720" s="5"/>
      <c r="AK720" s="5">
        <f>IFERROR(__xludf.DUMMYFUNCTION("""COMPUTED_VALUE"""),2.0)</f>
        <v>2</v>
      </c>
      <c r="AL720" s="5" t="str">
        <f>IFERROR(__xludf.DUMMYFUNCTION("""COMPUTED_VALUE"""),"Yes")</f>
        <v>Yes</v>
      </c>
      <c r="AM720" s="5" t="str">
        <f>IFERROR(__xludf.DUMMYFUNCTION("""COMPUTED_VALUE"""),"No")</f>
        <v>No</v>
      </c>
      <c r="AN720" s="5"/>
      <c r="AO720" s="5" t="str">
        <f>IFERROR(__xludf.DUMMYFUNCTION("""COMPUTED_VALUE"""),"Yes")</f>
        <v>Yes</v>
      </c>
      <c r="AP720" s="5" t="str">
        <f>IFERROR(__xludf.DUMMYFUNCTION("""COMPUTED_VALUE"""),"Yes")</f>
        <v>Yes</v>
      </c>
      <c r="AQ720" s="5"/>
      <c r="AR720" s="5"/>
      <c r="AS720" s="5"/>
      <c r="AT720" s="5"/>
      <c r="AU720" s="5" t="str">
        <f>IFERROR(__xludf.DUMMYFUNCTION("""COMPUTED_VALUE"""),"Fazi")</f>
        <v>Fazi</v>
      </c>
      <c r="AV720" s="5">
        <f>IFERROR(__xludf.DUMMYFUNCTION("""COMPUTED_VALUE"""),2.0)</f>
        <v>2</v>
      </c>
      <c r="AW720" s="5"/>
      <c r="AX720" s="13">
        <f>IFERROR(__xludf.DUMMYFUNCTION("""COMPUTED_VALUE"""),46161.0)</f>
        <v>46161</v>
      </c>
      <c r="AY720" s="5" t="str">
        <f>IFERROR(__xludf.DUMMYFUNCTION("""COMPUTED_VALUE"""),"87.5%, 89.5%, 91.5%, 93.5%, 94.5%, 95.5%, 96.5%")</f>
        <v>87.5%, 89.5%, 91.5%, 93.5%, 94.5%, 95.5%, 96.5%</v>
      </c>
      <c r="AZ720" s="5"/>
      <c r="BA720" s="5"/>
      <c r="BB720" s="5"/>
      <c r="BC720" s="5" t="str">
        <f>IFERROR(__xludf.DUMMYFUNCTION("""COMPUTED_VALUE"""),"Foxi")</f>
        <v>Foxi</v>
      </c>
      <c r="BD720" s="5" t="str">
        <f>IFERROR(__xludf.DUMMYFUNCTION("""COMPUTED_VALUE"""),"")</f>
        <v/>
      </c>
      <c r="BE720" s="5"/>
    </row>
    <row r="721">
      <c r="A721" s="5">
        <f>IFERROR(__xludf.DUMMYFUNCTION("""COMPUTED_VALUE"""),758.0)</f>
        <v>758</v>
      </c>
      <c r="B721" s="5">
        <f>IFERROR(__xludf.DUMMYFUNCTION("""COMPUTED_VALUE"""),3041.0)</f>
        <v>3041</v>
      </c>
      <c r="C721" s="5" t="str">
        <f>IFERROR(__xludf.DUMMYFUNCTION("""COMPUTED_VALUE"""),"Fazi")</f>
        <v>Fazi</v>
      </c>
      <c r="D721" s="5" t="str">
        <f>IFERROR(__xludf.DUMMYFUNCTION("""COMPUTED_VALUE"""),"Very Hot 10 Extreme Booster")</f>
        <v>Very Hot 10 Extreme Booster</v>
      </c>
      <c r="E721" s="5" t="str">
        <f>IFERROR(__xludf.DUMMYFUNCTION("""COMPUTED_VALUE"""),"V2")</f>
        <v>V2</v>
      </c>
      <c r="F721" s="5" t="str">
        <f>IFERROR(__xludf.DUMMYFUNCTION("""COMPUTED_VALUE"""),"VeryHot10ExtremeBooster")</f>
        <v>VeryHot10ExtremeBooster</v>
      </c>
      <c r="G721" s="5" t="str">
        <f>IFERROR(__xludf.DUMMYFUNCTION("""COMPUTED_VALUE"""),"Deployed")</f>
        <v>Deployed</v>
      </c>
      <c r="H721" s="5"/>
      <c r="I721" s="5" t="str">
        <f>IFERROR(__xludf.DUMMYFUNCTION("""COMPUTED_VALUE"""),"V4")</f>
        <v>V4</v>
      </c>
      <c r="J721" s="5" t="str">
        <f>IFERROR(__xludf.DUMMYFUNCTION("""COMPUTED_VALUE"""),"JSON")</f>
        <v>JSON</v>
      </c>
      <c r="K721" s="5" t="str">
        <f>IFERROR(__xludf.DUMMYFUNCTION("""COMPUTED_VALUE"""),"Slot")</f>
        <v>Slot</v>
      </c>
      <c r="L721" s="5"/>
      <c r="M721" s="5"/>
      <c r="N721" s="5"/>
      <c r="O721" s="5"/>
      <c r="P721" s="12"/>
      <c r="Q721" s="13">
        <f>IFERROR(__xludf.DUMMYFUNCTION("""COMPUTED_VALUE"""),46167.0)</f>
        <v>46167</v>
      </c>
      <c r="R721" s="13"/>
      <c r="S721" s="13"/>
      <c r="T721" s="5"/>
      <c r="U721" s="5" t="str">
        <f>IFERROR(__xludf.DUMMYFUNCTION("""COMPUTED_VALUE"""),"5x3")</f>
        <v>5x3</v>
      </c>
      <c r="V721" s="5">
        <f>IFERROR(__xludf.DUMMYFUNCTION("""COMPUTED_VALUE"""),10.0)</f>
        <v>10</v>
      </c>
      <c r="W721" s="5">
        <f>IFERROR(__xludf.DUMMYFUNCTION("""COMPUTED_VALUE"""),10.0)</f>
        <v>10</v>
      </c>
      <c r="X721" s="5">
        <f>IFERROR(__xludf.DUMMYFUNCTION("""COMPUTED_VALUE"""),96.453)</f>
        <v>96.453</v>
      </c>
      <c r="Y721" s="5" t="str">
        <f>IFERROR(__xludf.DUMMYFUNCTION("""COMPUTED_VALUE"""),"Medium")</f>
        <v>Medium</v>
      </c>
      <c r="Z721" s="5">
        <f>IFERROR(__xludf.DUMMYFUNCTION("""COMPUTED_VALUE"""),16.364)</f>
        <v>16.364</v>
      </c>
      <c r="AA721" s="5">
        <f>IFERROR(__xludf.DUMMYFUNCTION("""COMPUTED_VALUE"""),2210.0)</f>
        <v>2210</v>
      </c>
      <c r="AB721" s="5">
        <f>IFERROR(__xludf.DUMMYFUNCTION("""COMPUTED_VALUE"""),-1.0)</f>
        <v>-1</v>
      </c>
      <c r="AC721" s="5" t="str">
        <f>IFERROR(__xludf.DUMMYFUNCTION("""COMPUTED_VALUE"""),"Expanding Wild, Scatter")</f>
        <v>Expanding Wild, Scatter</v>
      </c>
      <c r="AD721" s="5" t="str">
        <f>IFERROR(__xludf.DUMMYFUNCTION("""COMPUTED_VALUE"""),"0.1/50")</f>
        <v>0.1/50</v>
      </c>
      <c r="AE721" s="5"/>
      <c r="AF721" s="5"/>
      <c r="AG721" s="8">
        <f>IFERROR(__xludf.DUMMYFUNCTION("""COMPUTED_VALUE"""),46170.41490740741)</f>
        <v>46170.41491</v>
      </c>
      <c r="AH721" s="5" t="str">
        <f>IFERROR(__xludf.DUMMYFUNCTION("""COMPUTED_VALUE"""),"milutin.toskic@fazi.rs")</f>
        <v>milutin.toskic@fazi.rs</v>
      </c>
      <c r="AI721" s="13"/>
      <c r="AJ721" s="5"/>
      <c r="AK721" s="5">
        <f>IFERROR(__xludf.DUMMYFUNCTION("""COMPUTED_VALUE"""),1.0)</f>
        <v>1</v>
      </c>
      <c r="AL721" s="5" t="str">
        <f>IFERROR(__xludf.DUMMYFUNCTION("""COMPUTED_VALUE"""),"Yes")</f>
        <v>Yes</v>
      </c>
      <c r="AM721" s="5" t="str">
        <f>IFERROR(__xludf.DUMMYFUNCTION("""COMPUTED_VALUE"""),"No")</f>
        <v>No</v>
      </c>
      <c r="AN721" s="5"/>
      <c r="AO721" s="5" t="str">
        <f>IFERROR(__xludf.DUMMYFUNCTION("""COMPUTED_VALUE"""),"Yes")</f>
        <v>Yes</v>
      </c>
      <c r="AP721" s="5" t="str">
        <f>IFERROR(__xludf.DUMMYFUNCTION("""COMPUTED_VALUE"""),"Yes")</f>
        <v>Yes</v>
      </c>
      <c r="AQ721" s="5"/>
      <c r="AR721" s="5"/>
      <c r="AS721" s="5"/>
      <c r="AT721" s="5"/>
      <c r="AU721" s="5" t="str">
        <f>IFERROR(__xludf.DUMMYFUNCTION("""COMPUTED_VALUE"""),"Fazi")</f>
        <v>Fazi</v>
      </c>
      <c r="AV721" s="5">
        <f>IFERROR(__xludf.DUMMYFUNCTION("""COMPUTED_VALUE"""),1.0)</f>
        <v>1</v>
      </c>
      <c r="AW721" s="5"/>
      <c r="AX721" s="13">
        <f>IFERROR(__xludf.DUMMYFUNCTION("""COMPUTED_VALUE"""),46161.0)</f>
        <v>46161</v>
      </c>
      <c r="AY721" s="5" t="str">
        <f>IFERROR(__xludf.DUMMYFUNCTION("""COMPUTED_VALUE"""),"87.5%, 89.5%, 91.5%, 93.5%, 94.5%, 95.5%, 96.5%")</f>
        <v>87.5%, 89.5%, 91.5%, 93.5%, 94.5%, 95.5%, 96.5%</v>
      </c>
      <c r="AZ721" s="5"/>
      <c r="BA721" s="5"/>
      <c r="BB721" s="5"/>
      <c r="BC721" s="5" t="str">
        <f>IFERROR(__xludf.DUMMYFUNCTION("""COMPUTED_VALUE"""),"Foxi")</f>
        <v>Foxi</v>
      </c>
      <c r="BD721" s="5" t="str">
        <f>IFERROR(__xludf.DUMMYFUNCTION("""COMPUTED_VALUE"""),"")</f>
        <v/>
      </c>
      <c r="BE721" s="5"/>
    </row>
    <row r="722">
      <c r="A722" s="5">
        <f>IFERROR(__xludf.DUMMYFUNCTION("""COMPUTED_VALUE"""),759.0)</f>
        <v>759</v>
      </c>
      <c r="B722" s="5">
        <f>IFERROR(__xludf.DUMMYFUNCTION("""COMPUTED_VALUE"""),3043.0)</f>
        <v>3043</v>
      </c>
      <c r="C722" s="5" t="str">
        <f>IFERROR(__xludf.DUMMYFUNCTION("""COMPUTED_VALUE"""),"Fazi")</f>
        <v>Fazi</v>
      </c>
      <c r="D722" s="5" t="str">
        <f>IFERROR(__xludf.DUMMYFUNCTION("""COMPUTED_VALUE"""),"Very Hot 100 Extreme")</f>
        <v>Very Hot 100 Extreme</v>
      </c>
      <c r="E722" s="5" t="str">
        <f>IFERROR(__xludf.DUMMYFUNCTION("""COMPUTED_VALUE"""),"V2")</f>
        <v>V2</v>
      </c>
      <c r="F722" s="5" t="str">
        <f>IFERROR(__xludf.DUMMYFUNCTION("""COMPUTED_VALUE"""),"VeryHot100Extreme")</f>
        <v>VeryHot100Extreme</v>
      </c>
      <c r="G722" s="5" t="str">
        <f>IFERROR(__xludf.DUMMYFUNCTION("""COMPUTED_VALUE"""),"Deployed")</f>
        <v>Deployed</v>
      </c>
      <c r="H722" s="5"/>
      <c r="I722" s="5" t="str">
        <f>IFERROR(__xludf.DUMMYFUNCTION("""COMPUTED_VALUE"""),"V4")</f>
        <v>V4</v>
      </c>
      <c r="J722" s="5" t="str">
        <f>IFERROR(__xludf.DUMMYFUNCTION("""COMPUTED_VALUE"""),"JSON")</f>
        <v>JSON</v>
      </c>
      <c r="K722" s="5" t="str">
        <f>IFERROR(__xludf.DUMMYFUNCTION("""COMPUTED_VALUE"""),"Slot")</f>
        <v>Slot</v>
      </c>
      <c r="L722" s="5"/>
      <c r="M722" s="5"/>
      <c r="N722" s="5"/>
      <c r="O722" s="5"/>
      <c r="P722" s="12"/>
      <c r="Q722" s="13">
        <f>IFERROR(__xludf.DUMMYFUNCTION("""COMPUTED_VALUE"""),46167.0)</f>
        <v>46167</v>
      </c>
      <c r="R722" s="13"/>
      <c r="S722" s="13"/>
      <c r="T722" s="5"/>
      <c r="U722" s="5" t="str">
        <f>IFERROR(__xludf.DUMMYFUNCTION("""COMPUTED_VALUE"""),"5x3")</f>
        <v>5x3</v>
      </c>
      <c r="V722" s="5">
        <f>IFERROR(__xludf.DUMMYFUNCTION("""COMPUTED_VALUE"""),100.0)</f>
        <v>100</v>
      </c>
      <c r="W722" s="5">
        <f>IFERROR(__xludf.DUMMYFUNCTION("""COMPUTED_VALUE"""),100.0)</f>
        <v>100</v>
      </c>
      <c r="X722" s="5">
        <f>IFERROR(__xludf.DUMMYFUNCTION("""COMPUTED_VALUE"""),96.453)</f>
        <v>96.453</v>
      </c>
      <c r="Y722" s="5" t="str">
        <f>IFERROR(__xludf.DUMMYFUNCTION("""COMPUTED_VALUE"""),"Low")</f>
        <v>Low</v>
      </c>
      <c r="Z722" s="5">
        <f>IFERROR(__xludf.DUMMYFUNCTION("""COMPUTED_VALUE"""),22.711)</f>
        <v>22.711</v>
      </c>
      <c r="AA722" s="5">
        <f>IFERROR(__xludf.DUMMYFUNCTION("""COMPUTED_VALUE"""),1213.0)</f>
        <v>1213</v>
      </c>
      <c r="AB722" s="5"/>
      <c r="AC722" s="5"/>
      <c r="AD722" s="5" t="str">
        <f>IFERROR(__xludf.DUMMYFUNCTION("""COMPUTED_VALUE"""),"1/50")</f>
        <v>1/50</v>
      </c>
      <c r="AE722" s="5"/>
      <c r="AF722" s="5"/>
      <c r="AG722" s="8">
        <f>IFERROR(__xludf.DUMMYFUNCTION("""COMPUTED_VALUE"""),46170.41576388889)</f>
        <v>46170.41576</v>
      </c>
      <c r="AH722" s="5" t="str">
        <f>IFERROR(__xludf.DUMMYFUNCTION("""COMPUTED_VALUE"""),"milutin.toskic@fazi.rs")</f>
        <v>milutin.toskic@fazi.rs</v>
      </c>
      <c r="AI722" s="13"/>
      <c r="AJ722" s="5"/>
      <c r="AK722" s="5">
        <f>IFERROR(__xludf.DUMMYFUNCTION("""COMPUTED_VALUE"""),10.0)</f>
        <v>10</v>
      </c>
      <c r="AL722" s="5" t="str">
        <f>IFERROR(__xludf.DUMMYFUNCTION("""COMPUTED_VALUE"""),"Yes")</f>
        <v>Yes</v>
      </c>
      <c r="AM722" s="5" t="str">
        <f>IFERROR(__xludf.DUMMYFUNCTION("""COMPUTED_VALUE"""),"No")</f>
        <v>No</v>
      </c>
      <c r="AN722" s="5"/>
      <c r="AO722" s="5" t="str">
        <f>IFERROR(__xludf.DUMMYFUNCTION("""COMPUTED_VALUE"""),"Yes")</f>
        <v>Yes</v>
      </c>
      <c r="AP722" s="5" t="str">
        <f>IFERROR(__xludf.DUMMYFUNCTION("""COMPUTED_VALUE"""),"Yes")</f>
        <v>Yes</v>
      </c>
      <c r="AQ722" s="5"/>
      <c r="AR722" s="5"/>
      <c r="AS722" s="5"/>
      <c r="AT722" s="5"/>
      <c r="AU722" s="5" t="str">
        <f>IFERROR(__xludf.DUMMYFUNCTION("""COMPUTED_VALUE"""),"Fazi")</f>
        <v>Fazi</v>
      </c>
      <c r="AV722" s="5">
        <f>IFERROR(__xludf.DUMMYFUNCTION("""COMPUTED_VALUE"""),10.0)</f>
        <v>10</v>
      </c>
      <c r="AW722" s="5"/>
      <c r="AX722" s="13">
        <f>IFERROR(__xludf.DUMMYFUNCTION("""COMPUTED_VALUE"""),46161.0)</f>
        <v>46161</v>
      </c>
      <c r="AY722" s="5" t="str">
        <f>IFERROR(__xludf.DUMMYFUNCTION("""COMPUTED_VALUE"""),"87.5%, 89.5%, 91.5%, 93.5%, 94.5%, 95.5%, 96.5%")</f>
        <v>87.5%, 89.5%, 91.5%, 93.5%, 94.5%, 95.5%, 96.5%</v>
      </c>
      <c r="AZ722" s="5"/>
      <c r="BA722" s="5"/>
      <c r="BB722" s="5"/>
      <c r="BC722" s="5" t="str">
        <f>IFERROR(__xludf.DUMMYFUNCTION("""COMPUTED_VALUE"""),"Foxi")</f>
        <v>Foxi</v>
      </c>
      <c r="BD722" s="5" t="str">
        <f>IFERROR(__xludf.DUMMYFUNCTION("""COMPUTED_VALUE"""),"")</f>
        <v/>
      </c>
      <c r="BE722" s="5"/>
    </row>
    <row r="723">
      <c r="A723" s="5">
        <f>IFERROR(__xludf.DUMMYFUNCTION("""COMPUTED_VALUE"""),760.0)</f>
        <v>760</v>
      </c>
      <c r="B723" s="5">
        <f>IFERROR(__xludf.DUMMYFUNCTION("""COMPUTED_VALUE"""),3044.0)</f>
        <v>3044</v>
      </c>
      <c r="C723" s="5" t="str">
        <f>IFERROR(__xludf.DUMMYFUNCTION("""COMPUTED_VALUE"""),"Fazi")</f>
        <v>Fazi</v>
      </c>
      <c r="D723" s="5" t="str">
        <f>IFERROR(__xludf.DUMMYFUNCTION("""COMPUTED_VALUE"""),"Very Hot 100 Extreme Booster")</f>
        <v>Very Hot 100 Extreme Booster</v>
      </c>
      <c r="E723" s="5" t="str">
        <f>IFERROR(__xludf.DUMMYFUNCTION("""COMPUTED_VALUE"""),"V2")</f>
        <v>V2</v>
      </c>
      <c r="F723" s="5" t="str">
        <f>IFERROR(__xludf.DUMMYFUNCTION("""COMPUTED_VALUE"""),"VeryHot100ExtremeBooster")</f>
        <v>VeryHot100ExtremeBooster</v>
      </c>
      <c r="G723" s="5" t="str">
        <f>IFERROR(__xludf.DUMMYFUNCTION("""COMPUTED_VALUE"""),"Deployed")</f>
        <v>Deployed</v>
      </c>
      <c r="H723" s="5"/>
      <c r="I723" s="5" t="str">
        <f>IFERROR(__xludf.DUMMYFUNCTION("""COMPUTED_VALUE"""),"V4")</f>
        <v>V4</v>
      </c>
      <c r="J723" s="5" t="str">
        <f>IFERROR(__xludf.DUMMYFUNCTION("""COMPUTED_VALUE"""),"JSON")</f>
        <v>JSON</v>
      </c>
      <c r="K723" s="5" t="str">
        <f>IFERROR(__xludf.DUMMYFUNCTION("""COMPUTED_VALUE"""),"Slot")</f>
        <v>Slot</v>
      </c>
      <c r="L723" s="5"/>
      <c r="M723" s="5"/>
      <c r="N723" s="5"/>
      <c r="O723" s="5"/>
      <c r="P723" s="5">
        <f>IFERROR(__xludf.DUMMYFUNCTION("""COMPUTED_VALUE"""),19.8)</f>
        <v>19.8</v>
      </c>
      <c r="Q723" s="13">
        <f>IFERROR(__xludf.DUMMYFUNCTION("""COMPUTED_VALUE"""),46167.0)</f>
        <v>46167</v>
      </c>
      <c r="R723" s="13"/>
      <c r="S723" s="13">
        <f>IFERROR(__xludf.DUMMYFUNCTION("""COMPUTED_VALUE"""),46359.0)</f>
        <v>46359</v>
      </c>
      <c r="T723" s="5" t="b">
        <f>IFERROR(__xludf.DUMMYFUNCTION("""COMPUTED_VALUE"""),TRUE)</f>
        <v>1</v>
      </c>
      <c r="U723" s="5" t="str">
        <f>IFERROR(__xludf.DUMMYFUNCTION("""COMPUTED_VALUE"""),"5x3")</f>
        <v>5x3</v>
      </c>
      <c r="V723" s="5">
        <f>IFERROR(__xludf.DUMMYFUNCTION("""COMPUTED_VALUE"""),100.0)</f>
        <v>100</v>
      </c>
      <c r="W723" s="5">
        <f>IFERROR(__xludf.DUMMYFUNCTION("""COMPUTED_VALUE"""),100.0)</f>
        <v>100</v>
      </c>
      <c r="X723" s="5">
        <f>IFERROR(__xludf.DUMMYFUNCTION("""COMPUTED_VALUE"""),96.453)</f>
        <v>96.453</v>
      </c>
      <c r="Y723" s="5" t="str">
        <f>IFERROR(__xludf.DUMMYFUNCTION("""COMPUTED_VALUE"""),"Low")</f>
        <v>Low</v>
      </c>
      <c r="Z723" s="5">
        <f>IFERROR(__xludf.DUMMYFUNCTION("""COMPUTED_VALUE"""),21.711)</f>
        <v>21.711</v>
      </c>
      <c r="AA723" s="5">
        <f>IFERROR(__xludf.DUMMYFUNCTION("""COMPUTED_VALUE"""),1213.0)</f>
        <v>1213</v>
      </c>
      <c r="AB723" s="5"/>
      <c r="AC723" s="5"/>
      <c r="AD723" s="5" t="str">
        <f>IFERROR(__xludf.DUMMYFUNCTION("""COMPUTED_VALUE"""),"1/50")</f>
        <v>1/50</v>
      </c>
      <c r="AE723" s="5"/>
      <c r="AF723" s="5"/>
      <c r="AG723" s="8">
        <f>IFERROR(__xludf.DUMMYFUNCTION("""COMPUTED_VALUE"""),46272.61210648148)</f>
        <v>46272.61211</v>
      </c>
      <c r="AH723" s="5" t="str">
        <f>IFERROR(__xludf.DUMMYFUNCTION("""COMPUTED_VALUE"""),"aleksandar.matejic@fazi.rs")</f>
        <v>aleksandar.matejic@fazi.rs</v>
      </c>
      <c r="AI723" s="13"/>
      <c r="AJ723" s="5"/>
      <c r="AK723" s="5">
        <f>IFERROR(__xludf.DUMMYFUNCTION("""COMPUTED_VALUE"""),10.0)</f>
        <v>10</v>
      </c>
      <c r="AL723" s="5" t="str">
        <f>IFERROR(__xludf.DUMMYFUNCTION("""COMPUTED_VALUE"""),"Yes")</f>
        <v>Yes</v>
      </c>
      <c r="AM723" s="5" t="str">
        <f>IFERROR(__xludf.DUMMYFUNCTION("""COMPUTED_VALUE"""),"No")</f>
        <v>No</v>
      </c>
      <c r="AN723" s="5"/>
      <c r="AO723" s="5" t="str">
        <f>IFERROR(__xludf.DUMMYFUNCTION("""COMPUTED_VALUE"""),"Yes")</f>
        <v>Yes</v>
      </c>
      <c r="AP723" s="5" t="str">
        <f>IFERROR(__xludf.DUMMYFUNCTION("""COMPUTED_VALUE"""),"Yes")</f>
        <v>Yes</v>
      </c>
      <c r="AQ723" s="5"/>
      <c r="AR723" s="5"/>
      <c r="AS723" s="5"/>
      <c r="AT723" s="5"/>
      <c r="AU723" s="5" t="str">
        <f>IFERROR(__xludf.DUMMYFUNCTION("""COMPUTED_VALUE"""),"Fazi")</f>
        <v>Fazi</v>
      </c>
      <c r="AV723" s="5">
        <f>IFERROR(__xludf.DUMMYFUNCTION("""COMPUTED_VALUE"""),10.0)</f>
        <v>10</v>
      </c>
      <c r="AW723" s="5"/>
      <c r="AX723" s="13">
        <f>IFERROR(__xludf.DUMMYFUNCTION("""COMPUTED_VALUE"""),46161.0)</f>
        <v>46161</v>
      </c>
      <c r="AY723" s="5" t="str">
        <f>IFERROR(__xludf.DUMMYFUNCTION("""COMPUTED_VALUE"""),"87.5%, 89.5%, 91.5%, 93.5%, 94.5%, 95.5%, 96.5%")</f>
        <v>87.5%, 89.5%, 91.5%, 93.5%, 94.5%, 95.5%, 96.5%</v>
      </c>
      <c r="AZ723" s="5"/>
      <c r="BA723" s="5"/>
      <c r="BB723" s="5"/>
      <c r="BC723" s="5" t="str">
        <f>IFERROR(__xludf.DUMMYFUNCTION("""COMPUTED_VALUE"""),"Foxi")</f>
        <v>Foxi</v>
      </c>
      <c r="BD723" s="5"/>
      <c r="BE723" s="5"/>
    </row>
    <row r="724">
      <c r="A724" s="5">
        <f>IFERROR(__xludf.DUMMYFUNCTION("""COMPUTED_VALUE"""),761.0)</f>
        <v>761</v>
      </c>
      <c r="B724" s="5">
        <f>IFERROR(__xludf.DUMMYFUNCTION("""COMPUTED_VALUE"""),100000.0)</f>
        <v>100000</v>
      </c>
      <c r="C724" s="5" t="str">
        <f>IFERROR(__xludf.DUMMYFUNCTION("""COMPUTED_VALUE"""),"Fazi")</f>
        <v>Fazi</v>
      </c>
      <c r="D724" s="5" t="str">
        <f>IFERROR(__xludf.DUMMYFUNCTION("""COMPUTED_VALUE"""),"On Demand Roulette")</f>
        <v>On Demand Roulette</v>
      </c>
      <c r="E724" s="5" t="str">
        <f>IFERROR(__xludf.DUMMYFUNCTION("""COMPUTED_VALUE"""),"V4-1")</f>
        <v>V4-1</v>
      </c>
      <c r="F724" s="5" t="str">
        <f>IFERROR(__xludf.DUMMYFUNCTION("""COMPUTED_VALUE"""),"OnDemandRoulette")</f>
        <v>OnDemandRoulette</v>
      </c>
      <c r="G724" s="5" t="str">
        <f>IFERROR(__xludf.DUMMYFUNCTION("""COMPUTED_VALUE"""),"Live")</f>
        <v>Live</v>
      </c>
      <c r="H724" s="5"/>
      <c r="I724" s="5" t="str">
        <f>IFERROR(__xludf.DUMMYFUNCTION("""COMPUTED_VALUE"""),"V4")</f>
        <v>V4</v>
      </c>
      <c r="J724" s="5" t="str">
        <f>IFERROR(__xludf.DUMMYFUNCTION("""COMPUTED_VALUE"""),"JSON")</f>
        <v>JSON</v>
      </c>
      <c r="K724" s="5" t="str">
        <f>IFERROR(__xludf.DUMMYFUNCTION("""COMPUTED_VALUE"""),"Roulette")</f>
        <v>Roulette</v>
      </c>
      <c r="L724" s="5" t="str">
        <f>IFERROR(__xludf.DUMMYFUNCTION("""COMPUTED_VALUE"""),"Master")</f>
        <v>Master</v>
      </c>
      <c r="M724" s="5"/>
      <c r="N724" s="7" t="str">
        <f>IFERROR(__xludf.DUMMYFUNCTION("""COMPUTED_VALUE"""),"https://drive.google.com/file/d/1zsZIwGPM1j_DIfjRqA_qm4_z0mT9YQRn/view?usp=sharing")</f>
        <v>https://drive.google.com/file/d/1zsZIwGPM1j_DIfjRqA_qm4_z0mT9YQRn/view?usp=sharing</v>
      </c>
      <c r="O724" s="7" t="str">
        <f>IFERROR(__xludf.DUMMYFUNCTION("""COMPUTED_VALUE"""),"https://drive.google.com/file/d/1zsZIwGPM1j_DIfjRqA_qm4_z0mT9YQRn/view?usp=sharing")</f>
        <v>https://drive.google.com/file/d/1zsZIwGPM1j_DIfjRqA_qm4_z0mT9YQRn/view?usp=sharing</v>
      </c>
      <c r="P724" s="12">
        <f>IFERROR(__xludf.DUMMYFUNCTION("""COMPUTED_VALUE"""),11.0)</f>
        <v>11</v>
      </c>
      <c r="Q724" s="13">
        <f>IFERROR(__xludf.DUMMYFUNCTION("""COMPUTED_VALUE"""),46209.0)</f>
        <v>46209</v>
      </c>
      <c r="R724" s="13">
        <f>IFERROR(__xludf.DUMMYFUNCTION("""COMPUTED_VALUE"""),46238.0)</f>
        <v>46238</v>
      </c>
      <c r="S724" s="13">
        <f>IFERROR(__xludf.DUMMYFUNCTION("""COMPUTED_VALUE"""),46245.0)</f>
        <v>46245</v>
      </c>
      <c r="T724" s="5" t="b">
        <f>IFERROR(__xludf.DUMMYFUNCTION("""COMPUTED_VALUE"""),TRUE)</f>
        <v>1</v>
      </c>
      <c r="U724" s="5" t="str">
        <f>IFERROR(__xludf.DUMMYFUNCTION("""COMPUTED_VALUE"""),"/")</f>
        <v>/</v>
      </c>
      <c r="V724" s="5" t="str">
        <f>IFERROR(__xludf.DUMMYFUNCTION("""COMPUTED_VALUE"""),"/")</f>
        <v>/</v>
      </c>
      <c r="W724" s="5" t="str">
        <f>IFERROR(__xludf.DUMMYFUNCTION("""COMPUTED_VALUE"""),"/")</f>
        <v>/</v>
      </c>
      <c r="X724" s="5">
        <f>IFERROR(__xludf.DUMMYFUNCTION("""COMPUTED_VALUE"""),97.3)</f>
        <v>97.3</v>
      </c>
      <c r="Y724" s="5" t="str">
        <f>IFERROR(__xludf.DUMMYFUNCTION("""COMPUTED_VALUE"""),"Medium")</f>
        <v>Medium</v>
      </c>
      <c r="Z724" s="5" t="str">
        <f>IFERROR(__xludf.DUMMYFUNCTION("""COMPUTED_VALUE"""),"/")</f>
        <v>/</v>
      </c>
      <c r="AA724" s="5">
        <f>IFERROR(__xludf.DUMMYFUNCTION("""COMPUTED_VALUE"""),36.0)</f>
        <v>36</v>
      </c>
      <c r="AB724" s="5"/>
      <c r="AC724" s="5"/>
      <c r="AD724" s="5">
        <f>IFERROR(__xludf.DUMMYFUNCTION("""COMPUTED_VALUE"""),0.1)</f>
        <v>0.1</v>
      </c>
      <c r="AE724" s="5"/>
      <c r="AF724" s="5"/>
      <c r="AG724" s="8">
        <f>IFERROR(__xludf.DUMMYFUNCTION("""COMPUTED_VALUE"""),46267.702002314814)</f>
        <v>46267.702</v>
      </c>
      <c r="AH724" s="5" t="str">
        <f>IFERROR(__xludf.DUMMYFUNCTION("""COMPUTED_VALUE"""),"djordje.petrovic@fazi.rs")</f>
        <v>djordje.petrovic@fazi.rs</v>
      </c>
      <c r="AI724" s="13"/>
      <c r="AJ724" s="5"/>
      <c r="AK724" s="5" t="str">
        <f>IFERROR(__xludf.DUMMYFUNCTION("""COMPUTED_VALUE"""),"/")</f>
        <v>/</v>
      </c>
      <c r="AL724" s="5" t="str">
        <f>IFERROR(__xludf.DUMMYFUNCTION("""COMPUTED_VALUE"""),"No")</f>
        <v>No</v>
      </c>
      <c r="AM724" s="5" t="str">
        <f>IFERROR(__xludf.DUMMYFUNCTION("""COMPUTED_VALUE"""),"No")</f>
        <v>No</v>
      </c>
      <c r="AN724" s="7" t="str">
        <f>IFERROR(__xludf.DUMMYFUNCTION("""COMPUTED_VALUE"""),"https://onlinegamespromo.fazi.rs/Home/IntegrationGameLaunch?moneyType=0&amp;gameName=OnDemandRoulette&amp;platform=desktop&amp;languageCode=eng&amp;currency=EUR")</f>
        <v>https://onlinegamespromo.fazi.rs/Home/IntegrationGameLaunch?moneyType=0&amp;gameName=OnDemandRoulette&amp;platform=desktop&amp;languageCode=eng&amp;currency=EUR</v>
      </c>
      <c r="AO724" s="5" t="str">
        <f>IFERROR(__xludf.DUMMYFUNCTION("""COMPUTED_VALUE"""),"Yes")</f>
        <v>Yes</v>
      </c>
      <c r="AP724" s="5" t="str">
        <f>IFERROR(__xludf.DUMMYFUNCTION("""COMPUTED_VALUE"""),"No")</f>
        <v>No</v>
      </c>
      <c r="AQ724" s="5" t="b">
        <f>IFERROR(__xludf.DUMMYFUNCTION("""COMPUTED_VALUE"""),TRUE)</f>
        <v>1</v>
      </c>
      <c r="AR724" s="5"/>
      <c r="AS724" s="5" t="str">
        <f>IFERROR(__xludf.DUMMYFUNCTION("""COMPUTED_VALUE"""),"Place your bets and experience the thrill of the roulette wheel in a fast-paced single-player game!
Choose your chip value, explore a variety of betting options, and spin whenever you're ready. Stay in control of every round as the action unfolds.
With Au"&amp;"to Play and winning statistics always at your fingertips, combine strategy with intuition and enjoy every spin.
")</f>
        <v>Place your bets and experience the thrill of the roulette wheel in a fast-paced single-player game!
Choose your chip value, explore a variety of betting options, and spin whenever you're ready. Stay in control of every round as the action unfolds.
With Auto Play and winning statistics always at your fingertips, combine strategy with intuition and enjoy every spin.
</v>
      </c>
      <c r="AT724" s="5"/>
      <c r="AU724" s="5" t="str">
        <f>IFERROR(__xludf.DUMMYFUNCTION("""COMPUTED_VALUE"""),"Fazi")</f>
        <v>Fazi</v>
      </c>
      <c r="AV724" s="5">
        <f>IFERROR(__xludf.DUMMYFUNCTION("""COMPUTED_VALUE"""),1.0)</f>
        <v>1</v>
      </c>
      <c r="AW724" s="5"/>
      <c r="AX724" s="13">
        <f>IFERROR(__xludf.DUMMYFUNCTION("""COMPUTED_VALUE"""),46203.0)</f>
        <v>46203</v>
      </c>
      <c r="AY724" s="5" t="str">
        <f>IFERROR(__xludf.DUMMYFUNCTION("""COMPUTED_VALUE"""),"/")</f>
        <v>/</v>
      </c>
      <c r="AZ724" s="5"/>
      <c r="BA724" s="5"/>
      <c r="BB724" s="5" t="b">
        <f>IFERROR(__xludf.DUMMYFUNCTION("""COMPUTED_VALUE"""),TRUE)</f>
        <v>1</v>
      </c>
      <c r="BC724" s="5" t="str">
        <f>IFERROR(__xludf.DUMMYFUNCTION("""COMPUTED_VALUE"""),"Foxi")</f>
        <v>Foxi</v>
      </c>
      <c r="BD724" s="7" t="str">
        <f>IFERROR(__xludf.DUMMYFUNCTION("""COMPUTED_VALUE"""),"https://gameserver-store-client-area.orbionlimited.com/Home/IntegrationGameLaunch/client-area?moneyType=0&amp;gameName=OnDemandRoulette&amp;platform=desktop&amp;languageCode=eng&amp;currency=EUR")</f>
        <v>https://gameserver-store-client-area.orbionlimited.com/Home/IntegrationGameLaunch/client-area?moneyType=0&amp;gameName=OnDemandRoulette&amp;platform=desktop&amp;languageCode=eng&amp;currency=EUR</v>
      </c>
      <c r="BE724" s="5" t="b">
        <f>IFERROR(__xludf.DUMMYFUNCTION("""COMPUTED_VALUE"""),TRUE)</f>
        <v>1</v>
      </c>
    </row>
    <row r="725">
      <c r="A725" s="5">
        <f>IFERROR(__xludf.DUMMYFUNCTION("""COMPUTED_VALUE"""),762.0)</f>
        <v>762</v>
      </c>
      <c r="B725" s="5">
        <f>IFERROR(__xludf.DUMMYFUNCTION("""COMPUTED_VALUE"""),-1.0)</f>
        <v>-1</v>
      </c>
      <c r="C725" s="5" t="str">
        <f>IFERROR(__xludf.DUMMYFUNCTION("""COMPUTED_VALUE"""),"Fazi")</f>
        <v>Fazi</v>
      </c>
      <c r="D725" s="5" t="str">
        <f>IFERROR(__xludf.DUMMYFUNCTION("""COMPUTED_VALUE"""),"Sugar Land (Radni naziv)")</f>
        <v>Sugar Land (Radni naziv)</v>
      </c>
      <c r="E725" s="5" t="str">
        <f>IFERROR(__xludf.DUMMYFUNCTION("""COMPUTED_VALUE"""),"V4-1")</f>
        <v>V4-1</v>
      </c>
      <c r="F725" s="5" t="str">
        <f>IFERROR(__xludf.DUMMYFUNCTION("""COMPUTED_VALUE"""),"TBD")</f>
        <v>TBD</v>
      </c>
      <c r="G725" s="5" t="str">
        <f>IFERROR(__xludf.DUMMYFUNCTION("""COMPUTED_VALUE"""),"In Development")</f>
        <v>In Development</v>
      </c>
      <c r="H725" s="5"/>
      <c r="I725" s="5" t="str">
        <f>IFERROR(__xludf.DUMMYFUNCTION("""COMPUTED_VALUE"""),"V4")</f>
        <v>V4</v>
      </c>
      <c r="J725" s="5" t="str">
        <f>IFERROR(__xludf.DUMMYFUNCTION("""COMPUTED_VALUE"""),"JSON")</f>
        <v>JSON</v>
      </c>
      <c r="K725" s="5" t="str">
        <f>IFERROR(__xludf.DUMMYFUNCTION("""COMPUTED_VALUE"""),"Slot")</f>
        <v>Slot</v>
      </c>
      <c r="L725" s="5" t="str">
        <f>IFERROR(__xludf.DUMMYFUNCTION("""COMPUTED_VALUE"""),"Master")</f>
        <v>Master</v>
      </c>
      <c r="M725" s="5"/>
      <c r="N725" s="5"/>
      <c r="O725" s="5"/>
      <c r="P725" s="12"/>
      <c r="Q725" s="13"/>
      <c r="R725" s="13"/>
      <c r="S725" s="13"/>
      <c r="T725" s="5"/>
      <c r="U725" s="5" t="str">
        <f>IFERROR(__xludf.DUMMYFUNCTION("""COMPUTED_VALUE"""),"6x5")</f>
        <v>6x5</v>
      </c>
      <c r="V725" s="5"/>
      <c r="W725" s="5">
        <f>IFERROR(__xludf.DUMMYFUNCTION("""COMPUTED_VALUE"""),81.0)</f>
        <v>81</v>
      </c>
      <c r="X725" s="5"/>
      <c r="Y725" s="5"/>
      <c r="Z725" s="5"/>
      <c r="AA725" s="5"/>
      <c r="AB725" s="5"/>
      <c r="AC725" s="5" t="str">
        <f>IFERROR(__xludf.DUMMYFUNCTION("""COMPUTED_VALUE"""),"Expanding Wild")</f>
        <v>Expanding Wild</v>
      </c>
      <c r="AD725" s="5"/>
      <c r="AE725" s="5"/>
      <c r="AF725" s="5"/>
      <c r="AG725" s="8">
        <f>IFERROR(__xludf.DUMMYFUNCTION("""COMPUTED_VALUE"""),46199.44726851852)</f>
        <v>46199.44727</v>
      </c>
      <c r="AH725" s="5" t="str">
        <f>IFERROR(__xludf.DUMMYFUNCTION("""COMPUTED_VALUE"""),"djordje.petrovic@fazi.rs")</f>
        <v>djordje.petrovic@fazi.rs</v>
      </c>
      <c r="AI725" s="13"/>
      <c r="AJ725" s="5"/>
      <c r="AK725" s="5"/>
      <c r="AL725" s="5" t="str">
        <f>IFERROR(__xludf.DUMMYFUNCTION("""COMPUTED_VALUE"""),"Yes")</f>
        <v>Yes</v>
      </c>
      <c r="AM725" s="5" t="str">
        <f>IFERROR(__xludf.DUMMYFUNCTION("""COMPUTED_VALUE"""),"Yes")</f>
        <v>Yes</v>
      </c>
      <c r="AN725" s="5"/>
      <c r="AO725" s="5" t="str">
        <f>IFERROR(__xludf.DUMMYFUNCTION("""COMPUTED_VALUE"""),"Yes")</f>
        <v>Yes</v>
      </c>
      <c r="AP725" s="5" t="str">
        <f>IFERROR(__xludf.DUMMYFUNCTION("""COMPUTED_VALUE"""),"Yes")</f>
        <v>Yes</v>
      </c>
      <c r="AQ725" s="5"/>
      <c r="AR725" s="5"/>
      <c r="AS725" s="5"/>
      <c r="AT725" s="5"/>
      <c r="AU725" s="5" t="str">
        <f>IFERROR(__xludf.DUMMYFUNCTION("""COMPUTED_VALUE"""),"Fazi")</f>
        <v>Fazi</v>
      </c>
      <c r="AV725" s="5"/>
      <c r="AW725" s="5"/>
      <c r="AX725" s="13"/>
      <c r="AY725" s="5"/>
      <c r="AZ725" s="5"/>
      <c r="BA725" s="5"/>
      <c r="BB725" s="5"/>
      <c r="BC725" s="5" t="str">
        <f>IFERROR(__xludf.DUMMYFUNCTION("""COMPUTED_VALUE"""),"Foxi")</f>
        <v>Foxi</v>
      </c>
      <c r="BD725" s="5"/>
      <c r="BE725" s="5"/>
    </row>
    <row r="726">
      <c r="A726" s="5">
        <f>IFERROR(__xludf.DUMMYFUNCTION("""COMPUTED_VALUE"""),763.0)</f>
        <v>763</v>
      </c>
      <c r="B726" s="5">
        <f>IFERROR(__xludf.DUMMYFUNCTION("""COMPUTED_VALUE"""),1023.0)</f>
        <v>1023</v>
      </c>
      <c r="C726" s="5" t="str">
        <f>IFERROR(__xludf.DUMMYFUNCTION("""COMPUTED_VALUE"""),"Fazi")</f>
        <v>Fazi</v>
      </c>
      <c r="D726" s="5" t="str">
        <f>IFERROR(__xludf.DUMMYFUNCTION("""COMPUTED_VALUE"""),"Clover 27")</f>
        <v>Clover 27</v>
      </c>
      <c r="E726" s="5" t="str">
        <f>IFERROR(__xludf.DUMMYFUNCTION("""COMPUTED_VALUE"""),"V4-1")</f>
        <v>V4-1</v>
      </c>
      <c r="F726" s="5" t="str">
        <f>IFERROR(__xludf.DUMMYFUNCTION("""COMPUTED_VALUE"""),"Clover27")</f>
        <v>Clover27</v>
      </c>
      <c r="G726" s="5" t="str">
        <f>IFERROR(__xludf.DUMMYFUNCTION("""COMPUTED_VALUE"""),"Deployed")</f>
        <v>Deployed</v>
      </c>
      <c r="H726" s="5"/>
      <c r="I726" s="5" t="str">
        <f>IFERROR(__xludf.DUMMYFUNCTION("""COMPUTED_VALUE"""),"V4")</f>
        <v>V4</v>
      </c>
      <c r="J726" s="5" t="str">
        <f>IFERROR(__xludf.DUMMYFUNCTION("""COMPUTED_VALUE"""),"JSON")</f>
        <v>JSON</v>
      </c>
      <c r="K726" s="5" t="str">
        <f>IFERROR(__xludf.DUMMYFUNCTION("""COMPUTED_VALUE"""),"Slot")</f>
        <v>Slot</v>
      </c>
      <c r="L726" s="5" t="str">
        <f>IFERROR(__xludf.DUMMYFUNCTION("""COMPUTED_VALUE"""),"Master")</f>
        <v>Master</v>
      </c>
      <c r="M726" s="5"/>
      <c r="N726" s="7" t="str">
        <f>IFERROR(__xludf.DUMMYFUNCTION("""COMPUTED_VALUE"""),"https://drive.google.com/file/d/18qDnUKyv_UImdRCp6hTgKQ8M7BZ5BAJy/view?usp=sharing")</f>
        <v>https://drive.google.com/file/d/18qDnUKyv_UImdRCp6hTgKQ8M7BZ5BAJy/view?usp=sharing</v>
      </c>
      <c r="O726" s="7" t="str">
        <f>IFERROR(__xludf.DUMMYFUNCTION("""COMPUTED_VALUE"""),"https://drive.google.com/file/d/1WSC-LohW4kAheT1a7JWsSNhmhOlrh1v-/view?usp=sharing")</f>
        <v>https://drive.google.com/file/d/1WSC-LohW4kAheT1a7JWsSNhmhOlrh1v-/view?usp=sharing</v>
      </c>
      <c r="P726" s="12">
        <f>IFERROR(__xludf.DUMMYFUNCTION("""COMPUTED_VALUE"""),15.6)</f>
        <v>15.6</v>
      </c>
      <c r="Q726" s="13">
        <f>IFERROR(__xludf.DUMMYFUNCTION("""COMPUTED_VALUE"""),46279.0)</f>
        <v>46279</v>
      </c>
      <c r="R726" s="13">
        <f>IFERROR(__xludf.DUMMYFUNCTION("""COMPUTED_VALUE"""),46287.0)</f>
        <v>46287</v>
      </c>
      <c r="S726" s="13">
        <f>IFERROR(__xludf.DUMMYFUNCTION("""COMPUTED_VALUE"""),46294.0)</f>
        <v>46294</v>
      </c>
      <c r="T726" s="5" t="b">
        <f>IFERROR(__xludf.DUMMYFUNCTION("""COMPUTED_VALUE"""),TRUE)</f>
        <v>1</v>
      </c>
      <c r="U726" s="5" t="str">
        <f>IFERROR(__xludf.DUMMYFUNCTION("""COMPUTED_VALUE"""),"3x3")</f>
        <v>3x3</v>
      </c>
      <c r="V726" s="5">
        <f>IFERROR(__xludf.DUMMYFUNCTION("""COMPUTED_VALUE"""),27.0)</f>
        <v>27</v>
      </c>
      <c r="W726" s="5">
        <f>IFERROR(__xludf.DUMMYFUNCTION("""COMPUTED_VALUE"""),27.0)</f>
        <v>27</v>
      </c>
      <c r="X726" s="5">
        <f>IFERROR(__xludf.DUMMYFUNCTION("""COMPUTED_VALUE"""),96.5)</f>
        <v>96.5</v>
      </c>
      <c r="Y726" s="5" t="str">
        <f>IFERROR(__xludf.DUMMYFUNCTION("""COMPUTED_VALUE"""),"Medium")</f>
        <v>Medium</v>
      </c>
      <c r="Z726" s="5">
        <f>IFERROR(__xludf.DUMMYFUNCTION("""COMPUTED_VALUE"""),8.507)</f>
        <v>8.507</v>
      </c>
      <c r="AA726" s="5">
        <f>IFERROR(__xludf.DUMMYFUNCTION("""COMPUTED_VALUE"""),180.0)</f>
        <v>180</v>
      </c>
      <c r="AB726" s="5"/>
      <c r="AC726" s="5" t="str">
        <f>IFERROR(__xludf.DUMMYFUNCTION("""COMPUTED_VALUE"""),"Expanding Wild")</f>
        <v>Expanding Wild</v>
      </c>
      <c r="AD726" s="5" t="str">
        <f>IFERROR(__xludf.DUMMYFUNCTION("""COMPUTED_VALUE"""),"0.1 / 50")</f>
        <v>0.1 / 50</v>
      </c>
      <c r="AE726" s="5"/>
      <c r="AF726" s="5"/>
      <c r="AG726" s="8">
        <f>IFERROR(__xludf.DUMMYFUNCTION("""COMPUTED_VALUE"""),46266.68314814815)</f>
        <v>46266.68315</v>
      </c>
      <c r="AH726" s="5" t="str">
        <f>IFERROR(__xludf.DUMMYFUNCTION("""COMPUTED_VALUE"""),"selena.mihajlovic@fazi.rs")</f>
        <v>selena.mihajlovic@fazi.rs</v>
      </c>
      <c r="AI726" s="13">
        <f>IFERROR(__xludf.DUMMYFUNCTION("""COMPUTED_VALUE"""),46239.0)</f>
        <v>46239</v>
      </c>
      <c r="AJ726" s="5"/>
      <c r="AK726" s="5">
        <f>IFERROR(__xludf.DUMMYFUNCTION("""COMPUTED_VALUE"""),1.0)</f>
        <v>1</v>
      </c>
      <c r="AL726" s="5" t="str">
        <f>IFERROR(__xludf.DUMMYFUNCTION("""COMPUTED_VALUE"""),"Yes")</f>
        <v>Yes</v>
      </c>
      <c r="AM726" s="5" t="str">
        <f>IFERROR(__xludf.DUMMYFUNCTION("""COMPUTED_VALUE"""),"No")</f>
        <v>No</v>
      </c>
      <c r="AN726" s="7" t="str">
        <f>IFERROR(__xludf.DUMMYFUNCTION("""COMPUTED_VALUE"""),"https://onlinegamespromo.fazi.rs/Home/IntegrationGameLaunch?moneyType=0&amp;gameName=Clover27&amp;platform=desktop&amp;languageCode=eng&amp;currency=EUR")</f>
        <v>https://onlinegamespromo.fazi.rs/Home/IntegrationGameLaunch?moneyType=0&amp;gameName=Clover27&amp;platform=desktop&amp;languageCode=eng&amp;currency=EUR</v>
      </c>
      <c r="AO726" s="5" t="str">
        <f>IFERROR(__xludf.DUMMYFUNCTION("""COMPUTED_VALUE"""),"Yes")</f>
        <v>Yes</v>
      </c>
      <c r="AP726" s="5" t="str">
        <f>IFERROR(__xludf.DUMMYFUNCTION("""COMPUTED_VALUE"""),"Yes")</f>
        <v>Yes</v>
      </c>
      <c r="AQ726" s="5" t="b">
        <f>IFERROR(__xludf.DUMMYFUNCTION("""COMPUTED_VALUE"""),TRUE)</f>
        <v>1</v>
      </c>
      <c r="AR726" s="5"/>
      <c r="AS726" s="5" t="str">
        <f>IFERROR(__xludf.DUMMYFUNCTION("""COMPUTED_VALUE"""),"From the classic slot lineup comes a fresh boost of luck - Clover 27! 
Built on a fast-paced 3x3 grid, this vibrant game packs 27 ways to win and a game-changing Expanding Wild locked onto the middle reel to supercharge every winning combination. 
Pure si"&amp;"mplicity. Maximum luck. Are you ready to catch the clover? ")</f>
        <v>From the classic slot lineup comes a fresh boost of luck - Clover 27! 
Built on a fast-paced 3x3 grid, this vibrant game packs 27 ways to win and a game-changing Expanding Wild locked onto the middle reel to supercharge every winning combination. 
Pure simplicity. Maximum luck. Are you ready to catch the clover? </v>
      </c>
      <c r="AT726" s="5"/>
      <c r="AU726" s="5" t="str">
        <f>IFERROR(__xludf.DUMMYFUNCTION("""COMPUTED_VALUE"""),"Fazi")</f>
        <v>Fazi</v>
      </c>
      <c r="AV726" s="5">
        <f>IFERROR(__xludf.DUMMYFUNCTION("""COMPUTED_VALUE"""),1.0)</f>
        <v>1</v>
      </c>
      <c r="AW726" s="5"/>
      <c r="AX726" s="13">
        <f>IFERROR(__xludf.DUMMYFUNCTION("""COMPUTED_VALUE"""),46273.0)</f>
        <v>46273</v>
      </c>
      <c r="AY726" s="5" t="str">
        <f>IFERROR(__xludf.DUMMYFUNCTION("""COMPUTED_VALUE"""),"95.5, 94.5, 93.5, 91.5, 89.5, 87.5")</f>
        <v>95.5, 94.5, 93.5, 91.5, 89.5, 87.5</v>
      </c>
      <c r="AZ726" s="5"/>
      <c r="BA726" s="5"/>
      <c r="BB726" s="5" t="b">
        <f>IFERROR(__xludf.DUMMYFUNCTION("""COMPUTED_VALUE"""),TRUE)</f>
        <v>1</v>
      </c>
      <c r="BC726" s="5" t="str">
        <f>IFERROR(__xludf.DUMMYFUNCTION("""COMPUTED_VALUE"""),"Foxi")</f>
        <v>Foxi</v>
      </c>
      <c r="BD726" s="7" t="str">
        <f>IFERROR(__xludf.DUMMYFUNCTION("""COMPUTED_VALUE"""),"https://gameserver-store-client-area.orbionlimited.com/Home/IntegrationGameLaunch/client-area?moneyType=0&amp;gameName=Clover27&amp;platform=desktop&amp;languageCode=eng&amp;currency=EUR")</f>
        <v>https://gameserver-store-client-area.orbionlimited.com/Home/IntegrationGameLaunch/client-area?moneyType=0&amp;gameName=Clover27&amp;platform=desktop&amp;languageCode=eng&amp;currency=EUR</v>
      </c>
      <c r="BE726" s="5" t="b">
        <f>IFERROR(__xludf.DUMMYFUNCTION("""COMPUTED_VALUE"""),TRUE)</f>
        <v>1</v>
      </c>
    </row>
    <row r="727">
      <c r="A727" s="5">
        <f>IFERROR(__xludf.DUMMYFUNCTION("""COMPUTED_VALUE"""),764.0)</f>
        <v>764</v>
      </c>
      <c r="B727" s="5">
        <f>IFERROR(__xludf.DUMMYFUNCTION("""COMPUTED_VALUE"""),-1.0)</f>
        <v>-1</v>
      </c>
      <c r="C727" s="5" t="str">
        <f>IFERROR(__xludf.DUMMYFUNCTION("""COMPUTED_VALUE"""),"Fazi")</f>
        <v>Fazi</v>
      </c>
      <c r="D727" s="5" t="str">
        <f>IFERROR(__xludf.DUMMYFUNCTION("""COMPUTED_VALUE"""),"Book of Monk")</f>
        <v>Book of Monk</v>
      </c>
      <c r="E727" s="5" t="str">
        <f>IFERROR(__xludf.DUMMYFUNCTION("""COMPUTED_VALUE"""),"V4-1")</f>
        <v>V4-1</v>
      </c>
      <c r="F727" s="5" t="str">
        <f>IFERROR(__xludf.DUMMYFUNCTION("""COMPUTED_VALUE"""),"TBD")</f>
        <v>TBD</v>
      </c>
      <c r="G727" s="5" t="str">
        <f>IFERROR(__xludf.DUMMYFUNCTION("""COMPUTED_VALUE"""),"In Development")</f>
        <v>In Development</v>
      </c>
      <c r="H727" s="5"/>
      <c r="I727" s="5" t="str">
        <f>IFERROR(__xludf.DUMMYFUNCTION("""COMPUTED_VALUE"""),"V4")</f>
        <v>V4</v>
      </c>
      <c r="J727" s="5" t="str">
        <f>IFERROR(__xludf.DUMMYFUNCTION("""COMPUTED_VALUE"""),"JSON")</f>
        <v>JSON</v>
      </c>
      <c r="K727" s="5" t="str">
        <f>IFERROR(__xludf.DUMMYFUNCTION("""COMPUTED_VALUE"""),"Slot")</f>
        <v>Slot</v>
      </c>
      <c r="L727" s="5" t="str">
        <f>IFERROR(__xludf.DUMMYFUNCTION("""COMPUTED_VALUE"""),"Master")</f>
        <v>Master</v>
      </c>
      <c r="M727" s="5"/>
      <c r="N727" s="5"/>
      <c r="O727" s="5"/>
      <c r="P727" s="12"/>
      <c r="Q727" s="13"/>
      <c r="R727" s="13"/>
      <c r="S727" s="13"/>
      <c r="T727" s="5"/>
      <c r="U727" s="5" t="str">
        <f>IFERROR(__xludf.DUMMYFUNCTION("""COMPUTED_VALUE"""),"5x4")</f>
        <v>5x4</v>
      </c>
      <c r="V727" s="5">
        <f>IFERROR(__xludf.DUMMYFUNCTION("""COMPUTED_VALUE"""),10.0)</f>
        <v>10</v>
      </c>
      <c r="W727" s="5">
        <f>IFERROR(__xludf.DUMMYFUNCTION("""COMPUTED_VALUE"""),10.0)</f>
        <v>10</v>
      </c>
      <c r="X727" s="5"/>
      <c r="Y727" s="5"/>
      <c r="Z727" s="5"/>
      <c r="AA727" s="5"/>
      <c r="AB727" s="5"/>
      <c r="AC727" s="5" t="str">
        <f>IFERROR(__xludf.DUMMYFUNCTION("""COMPUTED_VALUE"""),"Book Of Game, Buy Bonus, Bonus Game with Special Symbol")</f>
        <v>Book Of Game, Buy Bonus, Bonus Game with Special Symbol</v>
      </c>
      <c r="AD727" s="5"/>
      <c r="AE727" s="5"/>
      <c r="AF727" s="5"/>
      <c r="AG727" s="8">
        <f>IFERROR(__xludf.DUMMYFUNCTION("""COMPUTED_VALUE"""),46161.42465277778)</f>
        <v>46161.42465</v>
      </c>
      <c r="AH727" s="5" t="str">
        <f>IFERROR(__xludf.DUMMYFUNCTION("""COMPUTED_VALUE"""),"djordje.petrovic@fazi.rs")</f>
        <v>djordje.petrovic@fazi.rs</v>
      </c>
      <c r="AI727" s="13"/>
      <c r="AJ727" s="5"/>
      <c r="AK727" s="5">
        <f>IFERROR(__xludf.DUMMYFUNCTION("""COMPUTED_VALUE"""),1.0)</f>
        <v>1</v>
      </c>
      <c r="AL727" s="5" t="str">
        <f>IFERROR(__xludf.DUMMYFUNCTION("""COMPUTED_VALUE"""),"Yes")</f>
        <v>Yes</v>
      </c>
      <c r="AM727" s="5" t="str">
        <f>IFERROR(__xludf.DUMMYFUNCTION("""COMPUTED_VALUE"""),"No")</f>
        <v>No</v>
      </c>
      <c r="AN727" s="5"/>
      <c r="AO727" s="5" t="str">
        <f>IFERROR(__xludf.DUMMYFUNCTION("""COMPUTED_VALUE"""),"Yes")</f>
        <v>Yes</v>
      </c>
      <c r="AP727" s="5" t="str">
        <f>IFERROR(__xludf.DUMMYFUNCTION("""COMPUTED_VALUE"""),"Yes")</f>
        <v>Yes</v>
      </c>
      <c r="AQ727" s="5"/>
      <c r="AR727" s="5"/>
      <c r="AS727" s="5"/>
      <c r="AT727" s="5"/>
      <c r="AU727" s="5" t="str">
        <f>IFERROR(__xludf.DUMMYFUNCTION("""COMPUTED_VALUE"""),"Fazi")</f>
        <v>Fazi</v>
      </c>
      <c r="AV727" s="5"/>
      <c r="AW727" s="5"/>
      <c r="AX727" s="5"/>
      <c r="AY727" s="5"/>
      <c r="AZ727" s="5"/>
      <c r="BA727" s="5"/>
      <c r="BB727" s="5"/>
      <c r="BC727" s="5" t="str">
        <f>IFERROR(__xludf.DUMMYFUNCTION("""COMPUTED_VALUE"""),"Foxi")</f>
        <v>Foxi</v>
      </c>
      <c r="BD727" s="5" t="str">
        <f>IFERROR(__xludf.DUMMYFUNCTION("""COMPUTED_VALUE"""),"")</f>
        <v/>
      </c>
      <c r="BE727" s="5"/>
    </row>
    <row r="728">
      <c r="A728" s="5">
        <f>IFERROR(__xludf.DUMMYFUNCTION("""COMPUTED_VALUE"""),765.0)</f>
        <v>765</v>
      </c>
      <c r="B728" s="5">
        <f>IFERROR(__xludf.DUMMYFUNCTION("""COMPUTED_VALUE"""),-1.0)</f>
        <v>-1</v>
      </c>
      <c r="C728" s="5" t="str">
        <f>IFERROR(__xludf.DUMMYFUNCTION("""COMPUTED_VALUE"""),"Fazi")</f>
        <v>Fazi</v>
      </c>
      <c r="D728" s="5" t="str">
        <f>IFERROR(__xludf.DUMMYFUNCTION("""COMPUTED_VALUE"""),"Bonus Wu Kong 10")</f>
        <v>Bonus Wu Kong 10</v>
      </c>
      <c r="E728" s="5" t="str">
        <f>IFERROR(__xludf.DUMMYFUNCTION("""COMPUTED_VALUE"""),"V4-1")</f>
        <v>V4-1</v>
      </c>
      <c r="F728" s="5" t="str">
        <f>IFERROR(__xludf.DUMMYFUNCTION("""COMPUTED_VALUE"""),"TBD")</f>
        <v>TBD</v>
      </c>
      <c r="G728" s="5" t="str">
        <f>IFERROR(__xludf.DUMMYFUNCTION("""COMPUTED_VALUE"""),"In Development")</f>
        <v>In Development</v>
      </c>
      <c r="H728" s="5"/>
      <c r="I728" s="5" t="str">
        <f>IFERROR(__xludf.DUMMYFUNCTION("""COMPUTED_VALUE"""),"V4")</f>
        <v>V4</v>
      </c>
      <c r="J728" s="5" t="str">
        <f>IFERROR(__xludf.DUMMYFUNCTION("""COMPUTED_VALUE"""),"JSON")</f>
        <v>JSON</v>
      </c>
      <c r="K728" s="5" t="str">
        <f>IFERROR(__xludf.DUMMYFUNCTION("""COMPUTED_VALUE"""),"Slot")</f>
        <v>Slot</v>
      </c>
      <c r="L728" s="5" t="str">
        <f>IFERROR(__xludf.DUMMYFUNCTION("""COMPUTED_VALUE"""),"Master")</f>
        <v>Master</v>
      </c>
      <c r="M728" s="5"/>
      <c r="N728" s="5"/>
      <c r="O728" s="5"/>
      <c r="P728" s="12"/>
      <c r="Q728" s="13"/>
      <c r="R728" s="13"/>
      <c r="S728" s="13"/>
      <c r="T728" s="5"/>
      <c r="U728" s="5" t="str">
        <f>IFERROR(__xludf.DUMMYFUNCTION("""COMPUTED_VALUE"""),"5x3")</f>
        <v>5x3</v>
      </c>
      <c r="V728" s="5">
        <f>IFERROR(__xludf.DUMMYFUNCTION("""COMPUTED_VALUE"""),10.0)</f>
        <v>10</v>
      </c>
      <c r="W728" s="5">
        <f>IFERROR(__xludf.DUMMYFUNCTION("""COMPUTED_VALUE"""),10.0)</f>
        <v>10</v>
      </c>
      <c r="X728" s="5"/>
      <c r="Y728" s="5"/>
      <c r="Z728" s="5"/>
      <c r="AA728" s="5"/>
      <c r="AB728" s="5"/>
      <c r="AC728" s="5" t="str">
        <f>IFERROR(__xludf.DUMMYFUNCTION("""COMPUTED_VALUE"""),"Bonus Game with Free Spins, Buy Feature, Bonus Game with Sticky Wild, Bonus Game with Multiplier")</f>
        <v>Bonus Game with Free Spins, Buy Feature, Bonus Game with Sticky Wild, Bonus Game with Multiplier</v>
      </c>
      <c r="AD728" s="5"/>
      <c r="AE728" s="5"/>
      <c r="AF728" s="5"/>
      <c r="AG728" s="8">
        <f>IFERROR(__xludf.DUMMYFUNCTION("""COMPUTED_VALUE"""),46167.40146990741)</f>
        <v>46167.40147</v>
      </c>
      <c r="AH728" s="5" t="str">
        <f>IFERROR(__xludf.DUMMYFUNCTION("""COMPUTED_VALUE"""),"djordje.petrovic@fazi.rs")</f>
        <v>djordje.petrovic@fazi.rs</v>
      </c>
      <c r="AI728" s="13"/>
      <c r="AJ728" s="5"/>
      <c r="AK728" s="5">
        <f>IFERROR(__xludf.DUMMYFUNCTION("""COMPUTED_VALUE"""),1.0)</f>
        <v>1</v>
      </c>
      <c r="AL728" s="5" t="str">
        <f>IFERROR(__xludf.DUMMYFUNCTION("""COMPUTED_VALUE"""),"No")</f>
        <v>No</v>
      </c>
      <c r="AM728" s="5" t="str">
        <f>IFERROR(__xludf.DUMMYFUNCTION("""COMPUTED_VALUE"""),"No")</f>
        <v>No</v>
      </c>
      <c r="AN728" s="5"/>
      <c r="AO728" s="5" t="str">
        <f>IFERROR(__xludf.DUMMYFUNCTION("""COMPUTED_VALUE"""),"Yes")</f>
        <v>Yes</v>
      </c>
      <c r="AP728" s="5" t="str">
        <f>IFERROR(__xludf.DUMMYFUNCTION("""COMPUTED_VALUE"""),"Yes")</f>
        <v>Yes</v>
      </c>
      <c r="AQ728" s="5"/>
      <c r="AR728" s="5"/>
      <c r="AS728" s="5"/>
      <c r="AT728" s="5"/>
      <c r="AU728" s="5" t="str">
        <f>IFERROR(__xludf.DUMMYFUNCTION("""COMPUTED_VALUE"""),"Fazi")</f>
        <v>Fazi</v>
      </c>
      <c r="AV728" s="5"/>
      <c r="AW728" s="5"/>
      <c r="AX728" s="5"/>
      <c r="AY728" s="5"/>
      <c r="AZ728" s="5"/>
      <c r="BA728" s="5"/>
      <c r="BB728" s="5"/>
      <c r="BC728" s="5" t="str">
        <f>IFERROR(__xludf.DUMMYFUNCTION("""COMPUTED_VALUE"""),"Foxi")</f>
        <v>Foxi</v>
      </c>
      <c r="BD728" s="5" t="str">
        <f>IFERROR(__xludf.DUMMYFUNCTION("""COMPUTED_VALUE"""),"")</f>
        <v/>
      </c>
      <c r="BE728" s="5"/>
    </row>
    <row r="729">
      <c r="A729" s="5">
        <f>IFERROR(__xludf.DUMMYFUNCTION("""COMPUTED_VALUE"""),766.0)</f>
        <v>766</v>
      </c>
      <c r="B729" s="5">
        <f>IFERROR(__xludf.DUMMYFUNCTION("""COMPUTED_VALUE"""),180077.0)</f>
        <v>180077</v>
      </c>
      <c r="C729" s="5" t="str">
        <f>IFERROR(__xludf.DUMMYFUNCTION("""COMPUTED_VALUE"""),"Redstone")</f>
        <v>Redstone</v>
      </c>
      <c r="D729" s="5" t="str">
        <f>IFERROR(__xludf.DUMMYFUNCTION("""COMPUTED_VALUE"""),"X Chilli Hot")</f>
        <v>X Chilli Hot</v>
      </c>
      <c r="E729" s="5" t="str">
        <f>IFERROR(__xludf.DUMMYFUNCTION("""COMPUTED_VALUE"""),"Redstone")</f>
        <v>Redstone</v>
      </c>
      <c r="F729" s="5" t="str">
        <f>IFERROR(__xludf.DUMMYFUNCTION("""COMPUTED_VALUE"""),"RedstoneXChilliHot")</f>
        <v>RedstoneXChilliHot</v>
      </c>
      <c r="G729" s="5" t="str">
        <f>IFERROR(__xludf.DUMMYFUNCTION("""COMPUTED_VALUE"""),"Live")</f>
        <v>Live</v>
      </c>
      <c r="H729" s="5"/>
      <c r="I729" s="5"/>
      <c r="J729" s="5" t="str">
        <f>IFERROR(__xludf.DUMMYFUNCTION("""COMPUTED_VALUE"""),"JSON")</f>
        <v>JSON</v>
      </c>
      <c r="K729" s="5" t="str">
        <f>IFERROR(__xludf.DUMMYFUNCTION("""COMPUTED_VALUE"""),"Slot")</f>
        <v>Slot</v>
      </c>
      <c r="L729" s="5"/>
      <c r="M729" s="5"/>
      <c r="N729" s="7" t="str">
        <f>IFERROR(__xludf.DUMMYFUNCTION("""COMPUTED_VALUE"""),"https://drive.google.com/file/d/17tr6SmcEn9_MyDE_b5WH0MDvojMLQHRS/view?usp=drive_link")</f>
        <v>https://drive.google.com/file/d/17tr6SmcEn9_MyDE_b5WH0MDvojMLQHRS/view?usp=drive_link</v>
      </c>
      <c r="O729" s="7" t="str">
        <f>IFERROR(__xludf.DUMMYFUNCTION("""COMPUTED_VALUE"""),"https://drive.google.com/file/d/1TW2wwLq99f2bqF9Zy4cnGc4aR9pY3kjS/view?usp=drive_link")</f>
        <v>https://drive.google.com/file/d/1TW2wwLq99f2bqF9Zy4cnGc4aR9pY3kjS/view?usp=drive_link</v>
      </c>
      <c r="P729" s="12">
        <f>IFERROR(__xludf.DUMMYFUNCTION("""COMPUTED_VALUE"""),7.3)</f>
        <v>7.3</v>
      </c>
      <c r="Q729" s="13">
        <f>IFERROR(__xludf.DUMMYFUNCTION("""COMPUTED_VALUE"""),46195.0)</f>
        <v>46195</v>
      </c>
      <c r="R729" s="13">
        <f>IFERROR(__xludf.DUMMYFUNCTION("""COMPUTED_VALUE"""),46217.0)</f>
        <v>46217</v>
      </c>
      <c r="S729" s="13">
        <f>IFERROR(__xludf.DUMMYFUNCTION("""COMPUTED_VALUE"""),46224.0)</f>
        <v>46224</v>
      </c>
      <c r="T729" s="5" t="b">
        <f>IFERROR(__xludf.DUMMYFUNCTION("""COMPUTED_VALUE"""),TRUE)</f>
        <v>1</v>
      </c>
      <c r="U729" s="5" t="str">
        <f>IFERROR(__xludf.DUMMYFUNCTION("""COMPUTED_VALUE"""),"5x3")</f>
        <v>5x3</v>
      </c>
      <c r="V729" s="5">
        <f>IFERROR(__xludf.DUMMYFUNCTION("""COMPUTED_VALUE"""),5.0)</f>
        <v>5</v>
      </c>
      <c r="W729" s="5">
        <f>IFERROR(__xludf.DUMMYFUNCTION("""COMPUTED_VALUE"""),5.0)</f>
        <v>5</v>
      </c>
      <c r="X729" s="5">
        <f>IFERROR(__xludf.DUMMYFUNCTION("""COMPUTED_VALUE"""),95.96)</f>
        <v>95.96</v>
      </c>
      <c r="Y729" s="5" t="str">
        <f>IFERROR(__xludf.DUMMYFUNCTION("""COMPUTED_VALUE"""),"Low")</f>
        <v>Low</v>
      </c>
      <c r="Z729" s="5">
        <f>IFERROR(__xludf.DUMMYFUNCTION("""COMPUTED_VALUE"""),10.7)</f>
        <v>10.7</v>
      </c>
      <c r="AA729" s="5">
        <f>IFERROR(__xludf.DUMMYFUNCTION("""COMPUTED_VALUE"""),2150.0)</f>
        <v>2150</v>
      </c>
      <c r="AB729" s="5"/>
      <c r="AC729" s="5" t="str">
        <f>IFERROR(__xludf.DUMMYFUNCTION("""COMPUTED_VALUE"""),"Expanding Wild, Scatter")</f>
        <v>Expanding Wild, Scatter</v>
      </c>
      <c r="AD729" s="5" t="str">
        <f>IFERROR(__xludf.DUMMYFUNCTION("""COMPUTED_VALUE"""),"0.10/50")</f>
        <v>0.10/50</v>
      </c>
      <c r="AE729" s="5"/>
      <c r="AF729" s="5"/>
      <c r="AG729" s="8">
        <f>IFERROR(__xludf.DUMMYFUNCTION("""COMPUTED_VALUE"""),46225.45649305556)</f>
        <v>46225.45649</v>
      </c>
      <c r="AH729" s="5"/>
      <c r="AI729" s="13"/>
      <c r="AJ729" s="5"/>
      <c r="AK729" s="5">
        <f>IFERROR(__xludf.DUMMYFUNCTION("""COMPUTED_VALUE"""),1.0)</f>
        <v>1</v>
      </c>
      <c r="AL729" s="5" t="str">
        <f>IFERROR(__xludf.DUMMYFUNCTION("""COMPUTED_VALUE"""),"No")</f>
        <v>No</v>
      </c>
      <c r="AM729" s="5" t="str">
        <f>IFERROR(__xludf.DUMMYFUNCTION("""COMPUTED_VALUE"""),"No")</f>
        <v>No</v>
      </c>
      <c r="AN729" s="7" t="str">
        <f>IFERROR(__xludf.DUMMYFUNCTION("""COMPUTED_VALUE"""),"https://static.redstone.rs/games/x-chilli-hot/")</f>
        <v>https://static.redstone.rs/games/x-chilli-hot/</v>
      </c>
      <c r="AO729" s="5" t="str">
        <f>IFERROR(__xludf.DUMMYFUNCTION("""COMPUTED_VALUE"""),"No")</f>
        <v>No</v>
      </c>
      <c r="AP729" s="5" t="str">
        <f>IFERROR(__xludf.DUMMYFUNCTION("""COMPUTED_VALUE"""),"No")</f>
        <v>No</v>
      </c>
      <c r="AQ729" s="5" t="b">
        <f>IFERROR(__xludf.DUMMYFUNCTION("""COMPUTED_VALUE"""),TRUE)</f>
        <v>1</v>
      </c>
      <c r="AR729" s="5"/>
      <c r="AS729" s="5" t="str">
        <f>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AT729" s="5"/>
      <c r="AU729" s="5" t="str">
        <f>IFERROR(__xludf.DUMMYFUNCTION("""COMPUTED_VALUE"""),"Redstone")</f>
        <v>Redstone</v>
      </c>
      <c r="AV729" s="5">
        <f>IFERROR(__xludf.DUMMYFUNCTION("""COMPUTED_VALUE"""),10.0)</f>
        <v>10</v>
      </c>
      <c r="AW729" s="5"/>
      <c r="AX729" s="13">
        <f>IFERROR(__xludf.DUMMYFUNCTION("""COMPUTED_VALUE"""),46189.0)</f>
        <v>46189</v>
      </c>
      <c r="AY729" s="5"/>
      <c r="AZ729" s="5"/>
      <c r="BA729" s="5"/>
      <c r="BB729" s="5" t="b">
        <f>IFERROR(__xludf.DUMMYFUNCTION("""COMPUTED_VALUE"""),TRUE)</f>
        <v>1</v>
      </c>
      <c r="BC729" s="5" t="str">
        <f>IFERROR(__xludf.DUMMYFUNCTION("""COMPUTED_VALUE"""),"Redstone")</f>
        <v>Redstone</v>
      </c>
      <c r="BD729" s="5"/>
      <c r="BE729" s="5"/>
    </row>
    <row r="730">
      <c r="A730" s="5">
        <f>IFERROR(__xludf.DUMMYFUNCTION("""COMPUTED_VALUE"""),767.0)</f>
        <v>767</v>
      </c>
      <c r="B730" s="5">
        <f>IFERROR(__xludf.DUMMYFUNCTION("""COMPUTED_VALUE"""),180078.0)</f>
        <v>180078</v>
      </c>
      <c r="C730" s="5" t="str">
        <f>IFERROR(__xludf.DUMMYFUNCTION("""COMPUTED_VALUE"""),"Redstone")</f>
        <v>Redstone</v>
      </c>
      <c r="D730" s="5" t="str">
        <f>IFERROR(__xludf.DUMMYFUNCTION("""COMPUTED_VALUE"""),"X Crown Fire")</f>
        <v>X Crown Fire</v>
      </c>
      <c r="E730" s="5" t="str">
        <f>IFERROR(__xludf.DUMMYFUNCTION("""COMPUTED_VALUE"""),"Redstone")</f>
        <v>Redstone</v>
      </c>
      <c r="F730" s="5" t="str">
        <f>IFERROR(__xludf.DUMMYFUNCTION("""COMPUTED_VALUE"""),"RedstoneXCrownFire")</f>
        <v>RedstoneXCrownFire</v>
      </c>
      <c r="G730" s="5" t="str">
        <f>IFERROR(__xludf.DUMMYFUNCTION("""COMPUTED_VALUE"""),"Live")</f>
        <v>Live</v>
      </c>
      <c r="H730" s="5"/>
      <c r="I730" s="5" t="str">
        <f>IFERROR(__xludf.DUMMYFUNCTION("""COMPUTED_VALUE"""),"Redstone")</f>
        <v>Redstone</v>
      </c>
      <c r="J730" s="5" t="str">
        <f>IFERROR(__xludf.DUMMYFUNCTION("""COMPUTED_VALUE"""),"JSON")</f>
        <v>JSON</v>
      </c>
      <c r="K730" s="5" t="str">
        <f>IFERROR(__xludf.DUMMYFUNCTION("""COMPUTED_VALUE"""),"Slot")</f>
        <v>Slot</v>
      </c>
      <c r="L730" s="5"/>
      <c r="M730" s="5"/>
      <c r="N730" s="7" t="str">
        <f>IFERROR(__xludf.DUMMYFUNCTION("""COMPUTED_VALUE"""),"https://drive.google.com/file/d/145sR3350PwACoVVVWMY_-dBjMT607I5s/view?usp=drive_link")</f>
        <v>https://drive.google.com/file/d/145sR3350PwACoVVVWMY_-dBjMT607I5s/view?usp=drive_link</v>
      </c>
      <c r="O730" s="7" t="str">
        <f>IFERROR(__xludf.DUMMYFUNCTION("""COMPUTED_VALUE"""),"https://drive.google.com/file/d/13--XJoIX1ZInVjZapgdVvvDbmo2ewyUq/view?usp=drive_link")</f>
        <v>https://drive.google.com/file/d/13--XJoIX1ZInVjZapgdVvvDbmo2ewyUq/view?usp=drive_link</v>
      </c>
      <c r="P730" s="12">
        <f>IFERROR(__xludf.DUMMYFUNCTION("""COMPUTED_VALUE"""),7.1)</f>
        <v>7.1</v>
      </c>
      <c r="Q730" s="13">
        <f>IFERROR(__xludf.DUMMYFUNCTION("""COMPUTED_VALUE"""),46195.0)</f>
        <v>46195</v>
      </c>
      <c r="R730" s="13">
        <f>IFERROR(__xludf.DUMMYFUNCTION("""COMPUTED_VALUE"""),46233.0)</f>
        <v>46233</v>
      </c>
      <c r="S730" s="13">
        <f>IFERROR(__xludf.DUMMYFUNCTION("""COMPUTED_VALUE"""),46240.0)</f>
        <v>46240</v>
      </c>
      <c r="T730" s="5" t="b">
        <f>IFERROR(__xludf.DUMMYFUNCTION("""COMPUTED_VALUE"""),TRUE)</f>
        <v>1</v>
      </c>
      <c r="U730" s="5" t="str">
        <f>IFERROR(__xludf.DUMMYFUNCTION("""COMPUTED_VALUE"""),"5x3")</f>
        <v>5x3</v>
      </c>
      <c r="V730" s="5">
        <f>IFERROR(__xludf.DUMMYFUNCTION("""COMPUTED_VALUE"""),5.0)</f>
        <v>5</v>
      </c>
      <c r="W730" s="5">
        <f>IFERROR(__xludf.DUMMYFUNCTION("""COMPUTED_VALUE"""),5.0)</f>
        <v>5</v>
      </c>
      <c r="X730" s="5">
        <f>IFERROR(__xludf.DUMMYFUNCTION("""COMPUTED_VALUE"""),95.96)</f>
        <v>95.96</v>
      </c>
      <c r="Y730" s="5" t="str">
        <f>IFERROR(__xludf.DUMMYFUNCTION("""COMPUTED_VALUE"""),"Low")</f>
        <v>Low</v>
      </c>
      <c r="Z730" s="5">
        <f>IFERROR(__xludf.DUMMYFUNCTION("""COMPUTED_VALUE"""),10.7)</f>
        <v>10.7</v>
      </c>
      <c r="AA730" s="5">
        <f>IFERROR(__xludf.DUMMYFUNCTION("""COMPUTED_VALUE"""),2150.0)</f>
        <v>2150</v>
      </c>
      <c r="AB730" s="5"/>
      <c r="AC730" s="5" t="str">
        <f>IFERROR(__xludf.DUMMYFUNCTION("""COMPUTED_VALUE"""),"Expanding Wild, Scatter")</f>
        <v>Expanding Wild, Scatter</v>
      </c>
      <c r="AD730" s="5" t="str">
        <f>IFERROR(__xludf.DUMMYFUNCTION("""COMPUTED_VALUE"""),"0.10/50")</f>
        <v>0.10/50</v>
      </c>
      <c r="AE730" s="5"/>
      <c r="AF730" s="5"/>
      <c r="AG730" s="8">
        <f>IFERROR(__xludf.DUMMYFUNCTION("""COMPUTED_VALUE"""),46252.44384259259)</f>
        <v>46252.44384</v>
      </c>
      <c r="AH730" s="5" t="str">
        <f>IFERROR(__xludf.DUMMYFUNCTION("""COMPUTED_VALUE"""),"vanja.svetska@fazi.rs")</f>
        <v>vanja.svetska@fazi.rs</v>
      </c>
      <c r="AI730" s="13"/>
      <c r="AJ730" s="5"/>
      <c r="AK730" s="5">
        <f>IFERROR(__xludf.DUMMYFUNCTION("""COMPUTED_VALUE"""),1.0)</f>
        <v>1</v>
      </c>
      <c r="AL730" s="5" t="str">
        <f>IFERROR(__xludf.DUMMYFUNCTION("""COMPUTED_VALUE"""),"No")</f>
        <v>No</v>
      </c>
      <c r="AM730" s="5" t="str">
        <f>IFERROR(__xludf.DUMMYFUNCTION("""COMPUTED_VALUE"""),"No")</f>
        <v>No</v>
      </c>
      <c r="AN730" s="7" t="str">
        <f>IFERROR(__xludf.DUMMYFUNCTION("""COMPUTED_VALUE"""),"https://static.redstone.rs/games/x-crown-fire/")</f>
        <v>https://static.redstone.rs/games/x-crown-fire/</v>
      </c>
      <c r="AO730" s="5" t="str">
        <f>IFERROR(__xludf.DUMMYFUNCTION("""COMPUTED_VALUE"""),"No")</f>
        <v>No</v>
      </c>
      <c r="AP730" s="5" t="str">
        <f>IFERROR(__xludf.DUMMYFUNCTION("""COMPUTED_VALUE"""),"No")</f>
        <v>No</v>
      </c>
      <c r="AQ730" s="5" t="b">
        <f>IFERROR(__xludf.DUMMYFUNCTION("""COMPUTED_VALUE"""),TRUE)</f>
        <v>1</v>
      </c>
      <c r="AR730" s="5"/>
      <c r="AS730" s="5" t="str">
        <f>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AT730" s="5"/>
      <c r="AU730" s="5" t="str">
        <f>IFERROR(__xludf.DUMMYFUNCTION("""COMPUTED_VALUE"""),"Redstone")</f>
        <v>Redstone</v>
      </c>
      <c r="AV730" s="5">
        <f>IFERROR(__xludf.DUMMYFUNCTION("""COMPUTED_VALUE"""),10.0)</f>
        <v>10</v>
      </c>
      <c r="AW730" s="5"/>
      <c r="AX730" s="13">
        <f>IFERROR(__xludf.DUMMYFUNCTION("""COMPUTED_VALUE"""),46189.0)</f>
        <v>46189</v>
      </c>
      <c r="AY730" s="5"/>
      <c r="AZ730" s="5"/>
      <c r="BA730" s="5"/>
      <c r="BB730" s="5" t="b">
        <f>IFERROR(__xludf.DUMMYFUNCTION("""COMPUTED_VALUE"""),TRUE)</f>
        <v>1</v>
      </c>
      <c r="BC730" s="5" t="str">
        <f>IFERROR(__xludf.DUMMYFUNCTION("""COMPUTED_VALUE"""),"Redstone")</f>
        <v>Redstone</v>
      </c>
      <c r="BD730" s="7" t="str">
        <f>IFERROR(__xludf.DUMMYFUNCTION("""COMPUTED_VALUE"""),"https://gameserver-store-client-area.orbionlimited.com/Home/IntegrationGameLaunch/client-area?moneyType=0&amp;gameName=RedstoneXCrownFire&amp;platform=desktop&amp;languageCode=eng&amp;currency=EUR")</f>
        <v>https://gameserver-store-client-area.orbionlimited.com/Home/IntegrationGameLaunch/client-area?moneyType=0&amp;gameName=RedstoneXCrownFire&amp;platform=desktop&amp;languageCode=eng&amp;currency=EUR</v>
      </c>
      <c r="BE730" s="5" t="b">
        <f>IFERROR(__xludf.DUMMYFUNCTION("""COMPUTED_VALUE"""),TRUE)</f>
        <v>1</v>
      </c>
    </row>
    <row r="731">
      <c r="A731" s="5">
        <f>IFERROR(__xludf.DUMMYFUNCTION("""COMPUTED_VALUE"""),768.0)</f>
        <v>768</v>
      </c>
      <c r="B731" s="5">
        <f>IFERROR(__xludf.DUMMYFUNCTION("""COMPUTED_VALUE"""),180079.0)</f>
        <v>180079</v>
      </c>
      <c r="C731" s="5" t="str">
        <f>IFERROR(__xludf.DUMMYFUNCTION("""COMPUTED_VALUE"""),"Redstone")</f>
        <v>Redstone</v>
      </c>
      <c r="D731" s="5" t="str">
        <f>IFERROR(__xludf.DUMMYFUNCTION("""COMPUTED_VALUE"""),"10 Clover Deluxe")</f>
        <v>10 Clover Deluxe</v>
      </c>
      <c r="E731" s="5" t="str">
        <f>IFERROR(__xludf.DUMMYFUNCTION("""COMPUTED_VALUE"""),"Redstone")</f>
        <v>Redstone</v>
      </c>
      <c r="F731" s="5" t="str">
        <f>IFERROR(__xludf.DUMMYFUNCTION("""COMPUTED_VALUE"""),"Redstone10CloverDeluxe")</f>
        <v>Redstone10CloverDeluxe</v>
      </c>
      <c r="G731" s="5" t="str">
        <f>IFERROR(__xludf.DUMMYFUNCTION("""COMPUTED_VALUE"""),"Live")</f>
        <v>Live</v>
      </c>
      <c r="H731" s="5"/>
      <c r="I731" s="5"/>
      <c r="J731" s="5" t="str">
        <f>IFERROR(__xludf.DUMMYFUNCTION("""COMPUTED_VALUE"""),"JSON")</f>
        <v>JSON</v>
      </c>
      <c r="K731" s="5" t="str">
        <f>IFERROR(__xludf.DUMMYFUNCTION("""COMPUTED_VALUE"""),"Slot")</f>
        <v>Slot</v>
      </c>
      <c r="L731" s="5"/>
      <c r="M731" s="5"/>
      <c r="N731" s="7" t="str">
        <f>IFERROR(__xludf.DUMMYFUNCTION("""COMPUTED_VALUE"""),"https://drive.google.com/file/d/1ZFEOse_feOc6LN0IsqPUiwQ_4lTogSPc/view?usp=drive_link")</f>
        <v>https://drive.google.com/file/d/1ZFEOse_feOc6LN0IsqPUiwQ_4lTogSPc/view?usp=drive_link</v>
      </c>
      <c r="O731" s="7" t="str">
        <f>IFERROR(__xludf.DUMMYFUNCTION("""COMPUTED_VALUE"""),"https://drive.google.com/file/d/1CmGESi6rC-uXvuNncsMqXffnwfUVyPTW/view?usp=drive_link")</f>
        <v>https://drive.google.com/file/d/1CmGESi6rC-uXvuNncsMqXffnwfUVyPTW/view?usp=drive_link</v>
      </c>
      <c r="P731" s="12">
        <f>IFERROR(__xludf.DUMMYFUNCTION("""COMPUTED_VALUE"""),7.9)</f>
        <v>7.9</v>
      </c>
      <c r="Q731" s="13">
        <f>IFERROR(__xludf.DUMMYFUNCTION("""COMPUTED_VALUE"""),46195.0)</f>
        <v>46195</v>
      </c>
      <c r="R731" s="13">
        <f>IFERROR(__xludf.DUMMYFUNCTION("""COMPUTED_VALUE"""),46205.0)</f>
        <v>46205</v>
      </c>
      <c r="S731" s="13">
        <f>IFERROR(__xludf.DUMMYFUNCTION("""COMPUTED_VALUE"""),46212.0)</f>
        <v>46212</v>
      </c>
      <c r="T731" s="5" t="b">
        <f>IFERROR(__xludf.DUMMYFUNCTION("""COMPUTED_VALUE"""),TRUE)</f>
        <v>1</v>
      </c>
      <c r="U731" s="5" t="str">
        <f>IFERROR(__xludf.DUMMYFUNCTION("""COMPUTED_VALUE"""),"5x3")</f>
        <v>5x3</v>
      </c>
      <c r="V731" s="5">
        <f>IFERROR(__xludf.DUMMYFUNCTION("""COMPUTED_VALUE"""),10.0)</f>
        <v>10</v>
      </c>
      <c r="W731" s="5">
        <f>IFERROR(__xludf.DUMMYFUNCTION("""COMPUTED_VALUE"""),10.0)</f>
        <v>10</v>
      </c>
      <c r="X731" s="5">
        <f>IFERROR(__xludf.DUMMYFUNCTION("""COMPUTED_VALUE"""),95.96)</f>
        <v>95.96</v>
      </c>
      <c r="Y731" s="5" t="str">
        <f>IFERROR(__xludf.DUMMYFUNCTION("""COMPUTED_VALUE"""),"Medium")</f>
        <v>Medium</v>
      </c>
      <c r="Z731" s="5">
        <f>IFERROR(__xludf.DUMMYFUNCTION("""COMPUTED_VALUE"""),14.63)</f>
        <v>14.63</v>
      </c>
      <c r="AA731" s="5">
        <f>IFERROR(__xludf.DUMMYFUNCTION("""COMPUTED_VALUE"""),1538.0)</f>
        <v>1538</v>
      </c>
      <c r="AB731" s="5"/>
      <c r="AC731" s="5" t="str">
        <f>IFERROR(__xludf.DUMMYFUNCTION("""COMPUTED_VALUE"""),"Expanding Wild, Scatter")</f>
        <v>Expanding Wild, Scatter</v>
      </c>
      <c r="AD731" s="5" t="str">
        <f>IFERROR(__xludf.DUMMYFUNCTION("""COMPUTED_VALUE"""),"0.10/50")</f>
        <v>0.10/50</v>
      </c>
      <c r="AE731" s="5"/>
      <c r="AF731" s="5"/>
      <c r="AG731" s="8">
        <f>IFERROR(__xludf.DUMMYFUNCTION("""COMPUTED_VALUE"""),46219.60765046296)</f>
        <v>46219.60765</v>
      </c>
      <c r="AH731" s="5" t="str">
        <f>IFERROR(__xludf.DUMMYFUNCTION("""COMPUTED_VALUE"""),"selena.mihajlovic@fazi.rs")</f>
        <v>selena.mihajlovic@fazi.rs</v>
      </c>
      <c r="AI731" s="13"/>
      <c r="AJ731" s="5"/>
      <c r="AK731" s="5">
        <f>IFERROR(__xludf.DUMMYFUNCTION("""COMPUTED_VALUE"""),1.0)</f>
        <v>1</v>
      </c>
      <c r="AL731" s="5" t="str">
        <f>IFERROR(__xludf.DUMMYFUNCTION("""COMPUTED_VALUE"""),"No")</f>
        <v>No</v>
      </c>
      <c r="AM731" s="5" t="str">
        <f>IFERROR(__xludf.DUMMYFUNCTION("""COMPUTED_VALUE"""),"No")</f>
        <v>No</v>
      </c>
      <c r="AN731" s="7" t="str">
        <f>IFERROR(__xludf.DUMMYFUNCTION("""COMPUTED_VALUE"""),"https://static.redstone.rs/games/10-clover-deluxe/")</f>
        <v>https://static.redstone.rs/games/10-clover-deluxe/</v>
      </c>
      <c r="AO731" s="5" t="str">
        <f>IFERROR(__xludf.DUMMYFUNCTION("""COMPUTED_VALUE"""),"No")</f>
        <v>No</v>
      </c>
      <c r="AP731" s="5" t="str">
        <f>IFERROR(__xludf.DUMMYFUNCTION("""COMPUTED_VALUE"""),"No")</f>
        <v>No</v>
      </c>
      <c r="AQ731" s="5" t="b">
        <f>IFERROR(__xludf.DUMMYFUNCTION("""COMPUTED_VALUE"""),TRUE)</f>
        <v>1</v>
      </c>
      <c r="AR731" s="5"/>
      <c r="AS731" s="5" t="str">
        <f>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AT731" s="5"/>
      <c r="AU731" s="5" t="str">
        <f>IFERROR(__xludf.DUMMYFUNCTION("""COMPUTED_VALUE"""),"Redstone")</f>
        <v>Redstone</v>
      </c>
      <c r="AV731" s="5">
        <f>IFERROR(__xludf.DUMMYFUNCTION("""COMPUTED_VALUE"""),10.0)</f>
        <v>10</v>
      </c>
      <c r="AW731" s="5"/>
      <c r="AX731" s="13">
        <f>IFERROR(__xludf.DUMMYFUNCTION("""COMPUTED_VALUE"""),46189.0)</f>
        <v>46189</v>
      </c>
      <c r="AY731" s="5"/>
      <c r="AZ731" s="5"/>
      <c r="BA731" s="5"/>
      <c r="BB731" s="5" t="b">
        <f>IFERROR(__xludf.DUMMYFUNCTION("""COMPUTED_VALUE"""),TRUE)</f>
        <v>1</v>
      </c>
      <c r="BC731" s="5" t="str">
        <f>IFERROR(__xludf.DUMMYFUNCTION("""COMPUTED_VALUE"""),"Redstone")</f>
        <v>Redstone</v>
      </c>
      <c r="BD731" s="7" t="str">
        <f>IFERROR(__xludf.DUMMYFUNCTION("""COMPUTED_VALUE"""),"https://gameserver-store-client-area.orbionlimited.com/Home/IntegrationGameLaunch/client-area?moneyType=0&amp;gameName=Redstone10CloverDeluxe&amp;platform=desktop&amp;languageCode=eng&amp;currency=EUR")</f>
        <v>https://gameserver-store-client-area.orbionlimited.com/Home/IntegrationGameLaunch/client-area?moneyType=0&amp;gameName=Redstone10CloverDeluxe&amp;platform=desktop&amp;languageCode=eng&amp;currency=EUR</v>
      </c>
      <c r="BE731" s="5" t="b">
        <f>IFERROR(__xludf.DUMMYFUNCTION("""COMPUTED_VALUE"""),TRUE)</f>
        <v>1</v>
      </c>
    </row>
    <row r="732">
      <c r="A732" s="5">
        <f>IFERROR(__xludf.DUMMYFUNCTION("""COMPUTED_VALUE"""),769.0)</f>
        <v>769</v>
      </c>
      <c r="B732" s="5">
        <f>IFERROR(__xludf.DUMMYFUNCTION("""COMPUTED_VALUE"""),180080.0)</f>
        <v>180080</v>
      </c>
      <c r="C732" s="5" t="str">
        <f>IFERROR(__xludf.DUMMYFUNCTION("""COMPUTED_VALUE"""),"Redstone")</f>
        <v>Redstone</v>
      </c>
      <c r="D732" s="5" t="str">
        <f>IFERROR(__xludf.DUMMYFUNCTION("""COMPUTED_VALUE"""),"10 Crown Deluxe")</f>
        <v>10 Crown Deluxe</v>
      </c>
      <c r="E732" s="5" t="str">
        <f>IFERROR(__xludf.DUMMYFUNCTION("""COMPUTED_VALUE"""),"Redstone")</f>
        <v>Redstone</v>
      </c>
      <c r="F732" s="5" t="str">
        <f>IFERROR(__xludf.DUMMYFUNCTION("""COMPUTED_VALUE"""),"Redstone10CrownDeluxe")</f>
        <v>Redstone10CrownDeluxe</v>
      </c>
      <c r="G732" s="5" t="str">
        <f>IFERROR(__xludf.DUMMYFUNCTION("""COMPUTED_VALUE"""),"Live")</f>
        <v>Live</v>
      </c>
      <c r="H732" s="5"/>
      <c r="I732" s="5" t="str">
        <f>IFERROR(__xludf.DUMMYFUNCTION("""COMPUTED_VALUE"""),"Redstone")</f>
        <v>Redstone</v>
      </c>
      <c r="J732" s="5" t="str">
        <f>IFERROR(__xludf.DUMMYFUNCTION("""COMPUTED_VALUE"""),"JSON")</f>
        <v>JSON</v>
      </c>
      <c r="K732" s="5" t="str">
        <f>IFERROR(__xludf.DUMMYFUNCTION("""COMPUTED_VALUE"""),"Slot")</f>
        <v>Slot</v>
      </c>
      <c r="L732" s="5"/>
      <c r="M732" s="5"/>
      <c r="N732" s="7" t="str">
        <f>IFERROR(__xludf.DUMMYFUNCTION("""COMPUTED_VALUE"""),"https://drive.google.com/file/d/1Lr8L5PDJ4ArhtIrekH4b7W6OQ40pW5z3/view?usp=drive_link")</f>
        <v>https://drive.google.com/file/d/1Lr8L5PDJ4ArhtIrekH4b7W6OQ40pW5z3/view?usp=drive_link</v>
      </c>
      <c r="O732" s="7" t="str">
        <f>IFERROR(__xludf.DUMMYFUNCTION("""COMPUTED_VALUE"""),"https://drive.google.com/file/d/19M1g4OSbBoQNUuEpDv6qHF5EGlD_YWfL/view?usp=drive_link")</f>
        <v>https://drive.google.com/file/d/19M1g4OSbBoQNUuEpDv6qHF5EGlD_YWfL/view?usp=drive_link</v>
      </c>
      <c r="P732" s="12">
        <f>IFERROR(__xludf.DUMMYFUNCTION("""COMPUTED_VALUE"""),7.8)</f>
        <v>7.8</v>
      </c>
      <c r="Q732" s="13">
        <f>IFERROR(__xludf.DUMMYFUNCTION("""COMPUTED_VALUE"""),46195.0)</f>
        <v>46195</v>
      </c>
      <c r="R732" s="13">
        <f>IFERROR(__xludf.DUMMYFUNCTION("""COMPUTED_VALUE"""),46259.0)</f>
        <v>46259</v>
      </c>
      <c r="S732" s="13">
        <f>IFERROR(__xludf.DUMMYFUNCTION("""COMPUTED_VALUE"""),46266.0)</f>
        <v>46266</v>
      </c>
      <c r="T732" s="5" t="b">
        <f>IFERROR(__xludf.DUMMYFUNCTION("""COMPUTED_VALUE"""),TRUE)</f>
        <v>1</v>
      </c>
      <c r="U732" s="5" t="str">
        <f>IFERROR(__xludf.DUMMYFUNCTION("""COMPUTED_VALUE"""),"5x3")</f>
        <v>5x3</v>
      </c>
      <c r="V732" s="5">
        <f>IFERROR(__xludf.DUMMYFUNCTION("""COMPUTED_VALUE"""),10.0)</f>
        <v>10</v>
      </c>
      <c r="W732" s="5">
        <f>IFERROR(__xludf.DUMMYFUNCTION("""COMPUTED_VALUE"""),10.0)</f>
        <v>10</v>
      </c>
      <c r="X732" s="5">
        <f>IFERROR(__xludf.DUMMYFUNCTION("""COMPUTED_VALUE"""),95.96)</f>
        <v>95.96</v>
      </c>
      <c r="Y732" s="5" t="str">
        <f>IFERROR(__xludf.DUMMYFUNCTION("""COMPUTED_VALUE"""),"Medium")</f>
        <v>Medium</v>
      </c>
      <c r="Z732" s="5">
        <f>IFERROR(__xludf.DUMMYFUNCTION("""COMPUTED_VALUE"""),14.63)</f>
        <v>14.63</v>
      </c>
      <c r="AA732" s="5">
        <f>IFERROR(__xludf.DUMMYFUNCTION("""COMPUTED_VALUE"""),1538.0)</f>
        <v>1538</v>
      </c>
      <c r="AB732" s="5"/>
      <c r="AC732" s="5" t="str">
        <f>IFERROR(__xludf.DUMMYFUNCTION("""COMPUTED_VALUE"""),"Expanding Wild, Scatter")</f>
        <v>Expanding Wild, Scatter</v>
      </c>
      <c r="AD732" s="5" t="str">
        <f>IFERROR(__xludf.DUMMYFUNCTION("""COMPUTED_VALUE"""),"0.10/50")</f>
        <v>0.10/50</v>
      </c>
      <c r="AE732" s="5"/>
      <c r="AF732" s="5"/>
      <c r="AG732" s="8">
        <f>IFERROR(__xludf.DUMMYFUNCTION("""COMPUTED_VALUE"""),46267.42325231482)</f>
        <v>46267.42325</v>
      </c>
      <c r="AH732" s="5" t="str">
        <f>IFERROR(__xludf.DUMMYFUNCTION("""COMPUTED_VALUE"""),"vanja.svetska@fazi.rs")</f>
        <v>vanja.svetska@fazi.rs</v>
      </c>
      <c r="AI732" s="13"/>
      <c r="AJ732" s="5"/>
      <c r="AK732" s="5">
        <f>IFERROR(__xludf.DUMMYFUNCTION("""COMPUTED_VALUE"""),1.0)</f>
        <v>1</v>
      </c>
      <c r="AL732" s="5" t="str">
        <f>IFERROR(__xludf.DUMMYFUNCTION("""COMPUTED_VALUE"""),"No")</f>
        <v>No</v>
      </c>
      <c r="AM732" s="5" t="str">
        <f>IFERROR(__xludf.DUMMYFUNCTION("""COMPUTED_VALUE"""),"No")</f>
        <v>No</v>
      </c>
      <c r="AN732" s="7" t="str">
        <f>IFERROR(__xludf.DUMMYFUNCTION("""COMPUTED_VALUE"""),"https://static.redstone.rs/games/10-crown-deluxe/")</f>
        <v>https://static.redstone.rs/games/10-crown-deluxe/</v>
      </c>
      <c r="AO732" s="5" t="str">
        <f>IFERROR(__xludf.DUMMYFUNCTION("""COMPUTED_VALUE"""),"No")</f>
        <v>No</v>
      </c>
      <c r="AP732" s="5" t="str">
        <f>IFERROR(__xludf.DUMMYFUNCTION("""COMPUTED_VALUE"""),"No")</f>
        <v>No</v>
      </c>
      <c r="AQ732" s="5" t="b">
        <f>IFERROR(__xludf.DUMMYFUNCTION("""COMPUTED_VALUE"""),TRUE)</f>
        <v>1</v>
      </c>
      <c r="AR732" s="5"/>
      <c r="AS732" s="5" t="str">
        <f>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AT732" s="5"/>
      <c r="AU732" s="5" t="str">
        <f>IFERROR(__xludf.DUMMYFUNCTION("""COMPUTED_VALUE"""),"Redstone")</f>
        <v>Redstone</v>
      </c>
      <c r="AV732" s="5">
        <f>IFERROR(__xludf.DUMMYFUNCTION("""COMPUTED_VALUE"""),10.0)</f>
        <v>10</v>
      </c>
      <c r="AW732" s="5"/>
      <c r="AX732" s="13">
        <f>IFERROR(__xludf.DUMMYFUNCTION("""COMPUTED_VALUE"""),46189.0)</f>
        <v>46189</v>
      </c>
      <c r="AY732" s="5"/>
      <c r="AZ732" s="5"/>
      <c r="BA732" s="5"/>
      <c r="BB732" s="5" t="b">
        <f>IFERROR(__xludf.DUMMYFUNCTION("""COMPUTED_VALUE"""),TRUE)</f>
        <v>1</v>
      </c>
      <c r="BC732" s="5" t="str">
        <f>IFERROR(__xludf.DUMMYFUNCTION("""COMPUTED_VALUE"""),"Redstone")</f>
        <v>Redstone</v>
      </c>
      <c r="BD732" s="7" t="str">
        <f>IFERROR(__xludf.DUMMYFUNCTION("""COMPUTED_VALUE"""),"https://gameserver-store-client-area.orbionlimited.com/Home/IntegrationGameLaunch/client-area?moneyType=0&amp;gameName=Redstone10CrownDeluxe&amp;platform=desktop&amp;languageCode=eng&amp;currency=EUR")</f>
        <v>https://gameserver-store-client-area.orbionlimited.com/Home/IntegrationGameLaunch/client-area?moneyType=0&amp;gameName=Redstone10CrownDeluxe&amp;platform=desktop&amp;languageCode=eng&amp;currency=EUR</v>
      </c>
      <c r="BE732" s="5" t="b">
        <f>IFERROR(__xludf.DUMMYFUNCTION("""COMPUTED_VALUE"""),TRUE)</f>
        <v>1</v>
      </c>
    </row>
    <row r="733">
      <c r="A733" s="5">
        <f>IFERROR(__xludf.DUMMYFUNCTION("""COMPUTED_VALUE"""),770.0)</f>
        <v>770</v>
      </c>
      <c r="B733" s="5">
        <f>IFERROR(__xludf.DUMMYFUNCTION("""COMPUTED_VALUE"""),180081.0)</f>
        <v>180081</v>
      </c>
      <c r="C733" s="5" t="str">
        <f>IFERROR(__xludf.DUMMYFUNCTION("""COMPUTED_VALUE"""),"Redstone")</f>
        <v>Redstone</v>
      </c>
      <c r="D733" s="5" t="str">
        <f>IFERROR(__xludf.DUMMYFUNCTION("""COMPUTED_VALUE"""),"10 Heart Deluxe")</f>
        <v>10 Heart Deluxe</v>
      </c>
      <c r="E733" s="5" t="str">
        <f>IFERROR(__xludf.DUMMYFUNCTION("""COMPUTED_VALUE"""),"Redstone")</f>
        <v>Redstone</v>
      </c>
      <c r="F733" s="5" t="str">
        <f>IFERROR(__xludf.DUMMYFUNCTION("""COMPUTED_VALUE"""),"Redstone10HeartDeluxe")</f>
        <v>Redstone10HeartDeluxe</v>
      </c>
      <c r="G733" s="5" t="str">
        <f>IFERROR(__xludf.DUMMYFUNCTION("""COMPUTED_VALUE"""),"Live")</f>
        <v>Live</v>
      </c>
      <c r="H733" s="5"/>
      <c r="I733" s="5" t="str">
        <f>IFERROR(__xludf.DUMMYFUNCTION("""COMPUTED_VALUE"""),"Redstone")</f>
        <v>Redstone</v>
      </c>
      <c r="J733" s="5" t="str">
        <f>IFERROR(__xludf.DUMMYFUNCTION("""COMPUTED_VALUE"""),"JSON")</f>
        <v>JSON</v>
      </c>
      <c r="K733" s="5" t="str">
        <f>IFERROR(__xludf.DUMMYFUNCTION("""COMPUTED_VALUE"""),"Slot")</f>
        <v>Slot</v>
      </c>
      <c r="L733" s="5"/>
      <c r="M733" s="5"/>
      <c r="N733" s="7" t="str">
        <f>IFERROR(__xludf.DUMMYFUNCTION("""COMPUTED_VALUE"""),"https://drive.google.com/file/d/1UXlO04i5CFextE2cQm_x6W4x1ksPCMwv/view?usp=drive_link")</f>
        <v>https://drive.google.com/file/d/1UXlO04i5CFextE2cQm_x6W4x1ksPCMwv/view?usp=drive_link</v>
      </c>
      <c r="O733" s="7" t="str">
        <f>IFERROR(__xludf.DUMMYFUNCTION("""COMPUTED_VALUE"""),"https://drive.google.com/file/d/1fG4olvFV2Azv3PAxhyn-hOZT8IQD-3sZ/view?usp=drive_link")</f>
        <v>https://drive.google.com/file/d/1fG4olvFV2Azv3PAxhyn-hOZT8IQD-3sZ/view?usp=drive_link</v>
      </c>
      <c r="P733" s="12">
        <f>IFERROR(__xludf.DUMMYFUNCTION("""COMPUTED_VALUE"""),8.2)</f>
        <v>8.2</v>
      </c>
      <c r="Q733" s="13">
        <f>IFERROR(__xludf.DUMMYFUNCTION("""COMPUTED_VALUE"""),46195.0)</f>
        <v>46195</v>
      </c>
      <c r="R733" s="13">
        <f>IFERROR(__xludf.DUMMYFUNCTION("""COMPUTED_VALUE"""),46247.0)</f>
        <v>46247</v>
      </c>
      <c r="S733" s="13">
        <f>IFERROR(__xludf.DUMMYFUNCTION("""COMPUTED_VALUE"""),46254.0)</f>
        <v>46254</v>
      </c>
      <c r="T733" s="5" t="b">
        <f>IFERROR(__xludf.DUMMYFUNCTION("""COMPUTED_VALUE"""),TRUE)</f>
        <v>1</v>
      </c>
      <c r="U733" s="5" t="str">
        <f>IFERROR(__xludf.DUMMYFUNCTION("""COMPUTED_VALUE"""),"5x3")</f>
        <v>5x3</v>
      </c>
      <c r="V733" s="5">
        <f>IFERROR(__xludf.DUMMYFUNCTION("""COMPUTED_VALUE"""),10.0)</f>
        <v>10</v>
      </c>
      <c r="W733" s="5">
        <f>IFERROR(__xludf.DUMMYFUNCTION("""COMPUTED_VALUE"""),10.0)</f>
        <v>10</v>
      </c>
      <c r="X733" s="5">
        <f>IFERROR(__xludf.DUMMYFUNCTION("""COMPUTED_VALUE"""),95.96)</f>
        <v>95.96</v>
      </c>
      <c r="Y733" s="5" t="str">
        <f>IFERROR(__xludf.DUMMYFUNCTION("""COMPUTED_VALUE"""),"Medium")</f>
        <v>Medium</v>
      </c>
      <c r="Z733" s="5">
        <f>IFERROR(__xludf.DUMMYFUNCTION("""COMPUTED_VALUE"""),14.63)</f>
        <v>14.63</v>
      </c>
      <c r="AA733" s="5">
        <f>IFERROR(__xludf.DUMMYFUNCTION("""COMPUTED_VALUE"""),1538.0)</f>
        <v>1538</v>
      </c>
      <c r="AB733" s="5"/>
      <c r="AC733" s="5" t="str">
        <f>IFERROR(__xludf.DUMMYFUNCTION("""COMPUTED_VALUE"""),"Expanding Wild, Scatter")</f>
        <v>Expanding Wild, Scatter</v>
      </c>
      <c r="AD733" s="5" t="str">
        <f>IFERROR(__xludf.DUMMYFUNCTION("""COMPUTED_VALUE"""),"0.10/50")</f>
        <v>0.10/50</v>
      </c>
      <c r="AE733" s="5"/>
      <c r="AF733" s="5"/>
      <c r="AG733" s="8">
        <f>IFERROR(__xludf.DUMMYFUNCTION("""COMPUTED_VALUE"""),46261.588854166665)</f>
        <v>46261.58885</v>
      </c>
      <c r="AH733" s="5" t="str">
        <f>IFERROR(__xludf.DUMMYFUNCTION("""COMPUTED_VALUE"""),"vanja.svetska@fazi.rs")</f>
        <v>vanja.svetska@fazi.rs</v>
      </c>
      <c r="AI733" s="13"/>
      <c r="AJ733" s="5"/>
      <c r="AK733" s="5">
        <f>IFERROR(__xludf.DUMMYFUNCTION("""COMPUTED_VALUE"""),1.0)</f>
        <v>1</v>
      </c>
      <c r="AL733" s="5" t="str">
        <f>IFERROR(__xludf.DUMMYFUNCTION("""COMPUTED_VALUE"""),"No")</f>
        <v>No</v>
      </c>
      <c r="AM733" s="5" t="str">
        <f>IFERROR(__xludf.DUMMYFUNCTION("""COMPUTED_VALUE"""),"No")</f>
        <v>No</v>
      </c>
      <c r="AN733" s="7" t="str">
        <f>IFERROR(__xludf.DUMMYFUNCTION("""COMPUTED_VALUE"""),"https://static.redstone.rs/games/10-heart-deluxe/")</f>
        <v>https://static.redstone.rs/games/10-heart-deluxe/</v>
      </c>
      <c r="AO733" s="5" t="str">
        <f>IFERROR(__xludf.DUMMYFUNCTION("""COMPUTED_VALUE"""),"No")</f>
        <v>No</v>
      </c>
      <c r="AP733" s="5" t="str">
        <f>IFERROR(__xludf.DUMMYFUNCTION("""COMPUTED_VALUE"""),"No")</f>
        <v>No</v>
      </c>
      <c r="AQ733" s="5" t="b">
        <f>IFERROR(__xludf.DUMMYFUNCTION("""COMPUTED_VALUE"""),TRUE)</f>
        <v>1</v>
      </c>
      <c r="AR733" s="5"/>
      <c r="AS733" s="5" t="str">
        <f>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AT733" s="5"/>
      <c r="AU733" s="5" t="str">
        <f>IFERROR(__xludf.DUMMYFUNCTION("""COMPUTED_VALUE"""),"Redstone")</f>
        <v>Redstone</v>
      </c>
      <c r="AV733" s="5">
        <f>IFERROR(__xludf.DUMMYFUNCTION("""COMPUTED_VALUE"""),10.0)</f>
        <v>10</v>
      </c>
      <c r="AW733" s="5"/>
      <c r="AX733" s="13">
        <f>IFERROR(__xludf.DUMMYFUNCTION("""COMPUTED_VALUE"""),46189.0)</f>
        <v>46189</v>
      </c>
      <c r="AY733" s="5"/>
      <c r="AZ733" s="5"/>
      <c r="BA733" s="5"/>
      <c r="BB733" s="5" t="b">
        <f>IFERROR(__xludf.DUMMYFUNCTION("""COMPUTED_VALUE"""),TRUE)</f>
        <v>1</v>
      </c>
      <c r="BC733" s="5" t="str">
        <f>IFERROR(__xludf.DUMMYFUNCTION("""COMPUTED_VALUE"""),"Redstone")</f>
        <v>Redstone</v>
      </c>
      <c r="BD733" s="7" t="str">
        <f>IFERROR(__xludf.DUMMYFUNCTION("""COMPUTED_VALUE"""),"https://gameserver-store-client-area.orbionlimited.com/Home/IntegrationGameLaunch/client-area?moneyType=0&amp;gameName=Redstone10HeartDeluxe&amp;platform=desktop&amp;languageCode=eng&amp;currency=EUR")</f>
        <v>https://gameserver-store-client-area.orbionlimited.com/Home/IntegrationGameLaunch/client-area?moneyType=0&amp;gameName=Redstone10HeartDeluxe&amp;platform=desktop&amp;languageCode=eng&amp;currency=EUR</v>
      </c>
      <c r="BE733" s="5" t="b">
        <f>IFERROR(__xludf.DUMMYFUNCTION("""COMPUTED_VALUE"""),TRUE)</f>
        <v>1</v>
      </c>
    </row>
    <row r="734">
      <c r="A734" s="5">
        <f>IFERROR(__xludf.DUMMYFUNCTION("""COMPUTED_VALUE"""),771.0)</f>
        <v>771</v>
      </c>
      <c r="B734" s="5">
        <f>IFERROR(__xludf.DUMMYFUNCTION("""COMPUTED_VALUE"""),180082.0)</f>
        <v>180082</v>
      </c>
      <c r="C734" s="5" t="str">
        <f>IFERROR(__xludf.DUMMYFUNCTION("""COMPUTED_VALUE"""),"Redstone")</f>
        <v>Redstone</v>
      </c>
      <c r="D734" s="5" t="str">
        <f>IFERROR(__xludf.DUMMYFUNCTION("""COMPUTED_VALUE"""),"Multi Crown 5")</f>
        <v>Multi Crown 5</v>
      </c>
      <c r="E734" s="5" t="str">
        <f>IFERROR(__xludf.DUMMYFUNCTION("""COMPUTED_VALUE"""),"Redstone")</f>
        <v>Redstone</v>
      </c>
      <c r="F734" s="5" t="str">
        <f>IFERROR(__xludf.DUMMYFUNCTION("""COMPUTED_VALUE"""),"RedstoneMultiCrown5")</f>
        <v>RedstoneMultiCrown5</v>
      </c>
      <c r="G734" s="5" t="str">
        <f>IFERROR(__xludf.DUMMYFUNCTION("""COMPUTED_VALUE"""),"Live")</f>
        <v>Live</v>
      </c>
      <c r="H734" s="5"/>
      <c r="I734" s="5"/>
      <c r="J734" s="5" t="str">
        <f>IFERROR(__xludf.DUMMYFUNCTION("""COMPUTED_VALUE"""),"JSON")</f>
        <v>JSON</v>
      </c>
      <c r="K734" s="5" t="str">
        <f>IFERROR(__xludf.DUMMYFUNCTION("""COMPUTED_VALUE"""),"Slot")</f>
        <v>Slot</v>
      </c>
      <c r="L734" s="5"/>
      <c r="M734" s="5"/>
      <c r="N734" s="5"/>
      <c r="O734" s="5"/>
      <c r="P734" s="12"/>
      <c r="Q734" s="13">
        <f>IFERROR(__xludf.DUMMYFUNCTION("""COMPUTED_VALUE"""),46195.0)</f>
        <v>46195</v>
      </c>
      <c r="R734" s="13">
        <f>IFERROR(__xludf.DUMMYFUNCTION("""COMPUTED_VALUE"""),46210.0)</f>
        <v>46210</v>
      </c>
      <c r="S734" s="13">
        <f>IFERROR(__xludf.DUMMYFUNCTION("""COMPUTED_VALUE"""),46217.0)</f>
        <v>46217</v>
      </c>
      <c r="T734" s="5" t="b">
        <f>IFERROR(__xludf.DUMMYFUNCTION("""COMPUTED_VALUE"""),TRUE)</f>
        <v>1</v>
      </c>
      <c r="U734" s="5" t="str">
        <f>IFERROR(__xludf.DUMMYFUNCTION("""COMPUTED_VALUE"""),"5x3")</f>
        <v>5x3</v>
      </c>
      <c r="V734" s="5">
        <f>IFERROR(__xludf.DUMMYFUNCTION("""COMPUTED_VALUE"""),5.0)</f>
        <v>5</v>
      </c>
      <c r="W734" s="5">
        <f>IFERROR(__xludf.DUMMYFUNCTION("""COMPUTED_VALUE"""),5.0)</f>
        <v>5</v>
      </c>
      <c r="X734" s="5">
        <f>IFERROR(__xludf.DUMMYFUNCTION("""COMPUTED_VALUE"""),95.96)</f>
        <v>95.96</v>
      </c>
      <c r="Y734" s="5"/>
      <c r="Z734" s="5">
        <f>IFERROR(__xludf.DUMMYFUNCTION("""COMPUTED_VALUE"""),10.7)</f>
        <v>10.7</v>
      </c>
      <c r="AA734" s="5">
        <f>IFERROR(__xludf.DUMMYFUNCTION("""COMPUTED_VALUE"""),2150.0)</f>
        <v>2150</v>
      </c>
      <c r="AB734" s="5"/>
      <c r="AC734" s="5" t="str">
        <f>IFERROR(__xludf.DUMMYFUNCTION("""COMPUTED_VALUE"""),"Expanding Wild, Win Multiplier")</f>
        <v>Expanding Wild, Win Multiplier</v>
      </c>
      <c r="AD734" s="5" t="str">
        <f>IFERROR(__xludf.DUMMYFUNCTION("""COMPUTED_VALUE"""),"0.10/50")</f>
        <v>0.10/50</v>
      </c>
      <c r="AE734" s="5"/>
      <c r="AF734" s="5"/>
      <c r="AG734" s="8">
        <f>IFERROR(__xludf.DUMMYFUNCTION("""COMPUTED_VALUE"""),46218.5874537037)</f>
        <v>46218.58745</v>
      </c>
      <c r="AH734" s="5" t="str">
        <f>IFERROR(__xludf.DUMMYFUNCTION("""COMPUTED_VALUE"""),"vanja.svetska@fazi.rs")</f>
        <v>vanja.svetska@fazi.rs</v>
      </c>
      <c r="AI734" s="13"/>
      <c r="AJ734" s="5"/>
      <c r="AK734" s="5">
        <f>IFERROR(__xludf.DUMMYFUNCTION("""COMPUTED_VALUE"""),1.0)</f>
        <v>1</v>
      </c>
      <c r="AL734" s="5" t="str">
        <f>IFERROR(__xludf.DUMMYFUNCTION("""COMPUTED_VALUE"""),"No")</f>
        <v>No</v>
      </c>
      <c r="AM734" s="5" t="str">
        <f>IFERROR(__xludf.DUMMYFUNCTION("""COMPUTED_VALUE"""),"No")</f>
        <v>No</v>
      </c>
      <c r="AN734" s="5"/>
      <c r="AO734" s="5" t="str">
        <f>IFERROR(__xludf.DUMMYFUNCTION("""COMPUTED_VALUE"""),"No")</f>
        <v>No</v>
      </c>
      <c r="AP734" s="5" t="str">
        <f>IFERROR(__xludf.DUMMYFUNCTION("""COMPUTED_VALUE"""),"No")</f>
        <v>No</v>
      </c>
      <c r="AQ734" s="5"/>
      <c r="AR734" s="5"/>
      <c r="AS734" s="5"/>
      <c r="AT734" s="5"/>
      <c r="AU734" s="5" t="str">
        <f>IFERROR(__xludf.DUMMYFUNCTION("""COMPUTED_VALUE"""),"Redstone")</f>
        <v>Redstone</v>
      </c>
      <c r="AV734" s="5">
        <f>IFERROR(__xludf.DUMMYFUNCTION("""COMPUTED_VALUE"""),10.0)</f>
        <v>10</v>
      </c>
      <c r="AW734" s="5"/>
      <c r="AX734" s="13">
        <f>IFERROR(__xludf.DUMMYFUNCTION("""COMPUTED_VALUE"""),46189.0)</f>
        <v>46189</v>
      </c>
      <c r="AY734" s="5"/>
      <c r="AZ734" s="5"/>
      <c r="BA734" s="5"/>
      <c r="BB734" s="5"/>
      <c r="BC734" s="5" t="str">
        <f>IFERROR(__xludf.DUMMYFUNCTION("""COMPUTED_VALUE"""),"Redstone")</f>
        <v>Redstone</v>
      </c>
      <c r="BD734" s="5"/>
      <c r="BE734" s="5"/>
    </row>
    <row r="735">
      <c r="A735" s="5">
        <f>IFERROR(__xludf.DUMMYFUNCTION("""COMPUTED_VALUE"""),772.0)</f>
        <v>772</v>
      </c>
      <c r="B735" s="5">
        <f>IFERROR(__xludf.DUMMYFUNCTION("""COMPUTED_VALUE"""),180083.0)</f>
        <v>180083</v>
      </c>
      <c r="C735" s="5" t="str">
        <f>IFERROR(__xludf.DUMMYFUNCTION("""COMPUTED_VALUE"""),"Redstone")</f>
        <v>Redstone</v>
      </c>
      <c r="D735" s="5" t="str">
        <f>IFERROR(__xludf.DUMMYFUNCTION("""COMPUTED_VALUE"""),"Multi Heart 10")</f>
        <v>Multi Heart 10</v>
      </c>
      <c r="E735" s="5" t="str">
        <f>IFERROR(__xludf.DUMMYFUNCTION("""COMPUTED_VALUE"""),"Redstone")</f>
        <v>Redstone</v>
      </c>
      <c r="F735" s="5" t="str">
        <f>IFERROR(__xludf.DUMMYFUNCTION("""COMPUTED_VALUE"""),"RedstoneMultiHeart10")</f>
        <v>RedstoneMultiHeart10</v>
      </c>
      <c r="G735" s="5" t="str">
        <f>IFERROR(__xludf.DUMMYFUNCTION("""COMPUTED_VALUE"""),"Deployed")</f>
        <v>Deployed</v>
      </c>
      <c r="H735" s="5"/>
      <c r="I735" s="5" t="str">
        <f>IFERROR(__xludf.DUMMYFUNCTION("""COMPUTED_VALUE"""),"Redstone")</f>
        <v>Redstone</v>
      </c>
      <c r="J735" s="5" t="str">
        <f>IFERROR(__xludf.DUMMYFUNCTION("""COMPUTED_VALUE"""),"JSON")</f>
        <v>JSON</v>
      </c>
      <c r="K735" s="5" t="str">
        <f>IFERROR(__xludf.DUMMYFUNCTION("""COMPUTED_VALUE"""),"Slot")</f>
        <v>Slot</v>
      </c>
      <c r="L735" s="5"/>
      <c r="M735" s="5"/>
      <c r="N735" s="7" t="str">
        <f>IFERROR(__xludf.DUMMYFUNCTION("""COMPUTED_VALUE"""),"https://drive.google.com/file/d/16FDmdUMiyHsJPqF1umynLQitn8iTXGyF/view?usp=drive_link")</f>
        <v>https://drive.google.com/file/d/16FDmdUMiyHsJPqF1umynLQitn8iTXGyF/view?usp=drive_link</v>
      </c>
      <c r="O735" s="7" t="str">
        <f>IFERROR(__xludf.DUMMYFUNCTION("""COMPUTED_VALUE"""),"https://drive.google.com/file/d/1CClaLQ3IDpQCDIhVduwyLDasvl7TxyYD/view?usp=drive_link")</f>
        <v>https://drive.google.com/file/d/1CClaLQ3IDpQCDIhVduwyLDasvl7TxyYD/view?usp=drive_link</v>
      </c>
      <c r="P735" s="12">
        <f>IFERROR(__xludf.DUMMYFUNCTION("""COMPUTED_VALUE"""),8.3)</f>
        <v>8.3</v>
      </c>
      <c r="Q735" s="13">
        <f>IFERROR(__xludf.DUMMYFUNCTION("""COMPUTED_VALUE"""),46195.0)</f>
        <v>46195</v>
      </c>
      <c r="R735" s="13">
        <f>IFERROR(__xludf.DUMMYFUNCTION("""COMPUTED_VALUE"""),46275.0)</f>
        <v>46275</v>
      </c>
      <c r="S735" s="13">
        <f>IFERROR(__xludf.DUMMYFUNCTION("""COMPUTED_VALUE"""),46282.0)</f>
        <v>46282</v>
      </c>
      <c r="T735" s="5" t="b">
        <f>IFERROR(__xludf.DUMMYFUNCTION("""COMPUTED_VALUE"""),TRUE)</f>
        <v>1</v>
      </c>
      <c r="U735" s="5" t="str">
        <f>IFERROR(__xludf.DUMMYFUNCTION("""COMPUTED_VALUE"""),"5x3")</f>
        <v>5x3</v>
      </c>
      <c r="V735" s="5">
        <f>IFERROR(__xludf.DUMMYFUNCTION("""COMPUTED_VALUE"""),10.0)</f>
        <v>10</v>
      </c>
      <c r="W735" s="5">
        <f>IFERROR(__xludf.DUMMYFUNCTION("""COMPUTED_VALUE"""),10.0)</f>
        <v>10</v>
      </c>
      <c r="X735" s="5">
        <f>IFERROR(__xludf.DUMMYFUNCTION("""COMPUTED_VALUE"""),96.01)</f>
        <v>96.01</v>
      </c>
      <c r="Y735" s="5" t="str">
        <f>IFERROR(__xludf.DUMMYFUNCTION("""COMPUTED_VALUE"""),"Medium")</f>
        <v>Medium</v>
      </c>
      <c r="Z735" s="5">
        <f>IFERROR(__xludf.DUMMYFUNCTION("""COMPUTED_VALUE"""),12.61)</f>
        <v>12.61</v>
      </c>
      <c r="AA735" s="5">
        <f>IFERROR(__xludf.DUMMYFUNCTION("""COMPUTED_VALUE"""),1615.0)</f>
        <v>1615</v>
      </c>
      <c r="AB735" s="5"/>
      <c r="AC735" s="5" t="str">
        <f>IFERROR(__xludf.DUMMYFUNCTION("""COMPUTED_VALUE"""),"Expanding Wild, Win Multiplier")</f>
        <v>Expanding Wild, Win Multiplier</v>
      </c>
      <c r="AD735" s="5" t="str">
        <f>IFERROR(__xludf.DUMMYFUNCTION("""COMPUTED_VALUE"""),"0.10/50")</f>
        <v>0.10/50</v>
      </c>
      <c r="AE735" s="5"/>
      <c r="AF735" s="5"/>
      <c r="AG735" s="8">
        <f>IFERROR(__xludf.DUMMYFUNCTION("""COMPUTED_VALUE"""),46260.44804398148)</f>
        <v>46260.44804</v>
      </c>
      <c r="AH735" s="5" t="str">
        <f>IFERROR(__xludf.DUMMYFUNCTION("""COMPUTED_VALUE"""),"selena.mihajlovic@fazi.rs")</f>
        <v>selena.mihajlovic@fazi.rs</v>
      </c>
      <c r="AI735" s="13"/>
      <c r="AJ735" s="5"/>
      <c r="AK735" s="5">
        <f>IFERROR(__xludf.DUMMYFUNCTION("""COMPUTED_VALUE"""),1.0)</f>
        <v>1</v>
      </c>
      <c r="AL735" s="5" t="str">
        <f>IFERROR(__xludf.DUMMYFUNCTION("""COMPUTED_VALUE"""),"No")</f>
        <v>No</v>
      </c>
      <c r="AM735" s="5" t="str">
        <f>IFERROR(__xludf.DUMMYFUNCTION("""COMPUTED_VALUE"""),"No")</f>
        <v>No</v>
      </c>
      <c r="AN735" s="7" t="str">
        <f>IFERROR(__xludf.DUMMYFUNCTION("""COMPUTED_VALUE"""),"https://static.redstone.rs/games/multi-heart-10/")</f>
        <v>https://static.redstone.rs/games/multi-heart-10/</v>
      </c>
      <c r="AO735" s="5" t="str">
        <f>IFERROR(__xludf.DUMMYFUNCTION("""COMPUTED_VALUE"""),"No")</f>
        <v>No</v>
      </c>
      <c r="AP735" s="5" t="str">
        <f>IFERROR(__xludf.DUMMYFUNCTION("""COMPUTED_VALUE"""),"No")</f>
        <v>No</v>
      </c>
      <c r="AQ735" s="5" t="b">
        <f>IFERROR(__xludf.DUMMYFUNCTION("""COMPUTED_VALUE"""),TRUE)</f>
        <v>1</v>
      </c>
      <c r="AR735" s="5"/>
      <c r="AS735" s="5" t="str">
        <f>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AT735" s="5"/>
      <c r="AU735" s="5" t="str">
        <f>IFERROR(__xludf.DUMMYFUNCTION("""COMPUTED_VALUE"""),"Redstone")</f>
        <v>Redstone</v>
      </c>
      <c r="AV735" s="5">
        <f>IFERROR(__xludf.DUMMYFUNCTION("""COMPUTED_VALUE"""),10.0)</f>
        <v>10</v>
      </c>
      <c r="AW735" s="5"/>
      <c r="AX735" s="13">
        <f>IFERROR(__xludf.DUMMYFUNCTION("""COMPUTED_VALUE"""),46189.0)</f>
        <v>46189</v>
      </c>
      <c r="AY735" s="5"/>
      <c r="AZ735" s="5"/>
      <c r="BA735" s="5"/>
      <c r="BB735" s="5" t="b">
        <f>IFERROR(__xludf.DUMMYFUNCTION("""COMPUTED_VALUE"""),TRUE)</f>
        <v>1</v>
      </c>
      <c r="BC735" s="5" t="str">
        <f>IFERROR(__xludf.DUMMYFUNCTION("""COMPUTED_VALUE"""),"Redstone")</f>
        <v>Redstone</v>
      </c>
      <c r="BD735" s="7" t="str">
        <f>IFERROR(__xludf.DUMMYFUNCTION("""COMPUTED_VALUE"""),"https://gameserver-store-client-area.orbionlimited.com/Home/IntegrationGameLaunch/client-area?moneyType=0&amp;gameName=RedstoneMultiHeart10&amp;platform=desktop&amp;languageCode=eng&amp;currency=EUR")</f>
        <v>https://gameserver-store-client-area.orbionlimited.com/Home/IntegrationGameLaunch/client-area?moneyType=0&amp;gameName=RedstoneMultiHeart10&amp;platform=desktop&amp;languageCode=eng&amp;currency=EUR</v>
      </c>
      <c r="BE735" s="5" t="b">
        <f>IFERROR(__xludf.DUMMYFUNCTION("""COMPUTED_VALUE"""),TRUE)</f>
        <v>1</v>
      </c>
    </row>
    <row r="736">
      <c r="A736" s="5">
        <f>IFERROR(__xludf.DUMMYFUNCTION("""COMPUTED_VALUE"""),773.0)</f>
        <v>773</v>
      </c>
      <c r="B736" s="5">
        <f>IFERROR(__xludf.DUMMYFUNCTION("""COMPUTED_VALUE"""),180084.0)</f>
        <v>180084</v>
      </c>
      <c r="C736" s="5" t="str">
        <f>IFERROR(__xludf.DUMMYFUNCTION("""COMPUTED_VALUE"""),"Redstone")</f>
        <v>Redstone</v>
      </c>
      <c r="D736" s="5" t="str">
        <f>IFERROR(__xludf.DUMMYFUNCTION("""COMPUTED_VALUE"""),"Chilli Double Christmas")</f>
        <v>Chilli Double Christmas</v>
      </c>
      <c r="E736" s="5" t="str">
        <f>IFERROR(__xludf.DUMMYFUNCTION("""COMPUTED_VALUE"""),"Redstone")</f>
        <v>Redstone</v>
      </c>
      <c r="F736" s="5" t="str">
        <f>IFERROR(__xludf.DUMMYFUNCTION("""COMPUTED_VALUE"""),"RedstoneChilliDoubleChristmas")</f>
        <v>RedstoneChilliDoubleChristmas</v>
      </c>
      <c r="G736" s="5" t="str">
        <f>IFERROR(__xludf.DUMMYFUNCTION("""COMPUTED_VALUE"""),"Deployed")</f>
        <v>Deployed</v>
      </c>
      <c r="H736" s="5"/>
      <c r="I736" s="5"/>
      <c r="J736" s="5" t="str">
        <f>IFERROR(__xludf.DUMMYFUNCTION("""COMPUTED_VALUE"""),"JSON")</f>
        <v>JSON</v>
      </c>
      <c r="K736" s="5" t="str">
        <f>IFERROR(__xludf.DUMMYFUNCTION("""COMPUTED_VALUE"""),"Slot")</f>
        <v>Slot</v>
      </c>
      <c r="L736" s="5"/>
      <c r="M736" s="5"/>
      <c r="N736" s="5"/>
      <c r="O736" s="5"/>
      <c r="P736" s="12"/>
      <c r="Q736" s="13">
        <f>IFERROR(__xludf.DUMMYFUNCTION("""COMPUTED_VALUE"""),46195.0)</f>
        <v>46195</v>
      </c>
      <c r="R736" s="13"/>
      <c r="S736" s="13"/>
      <c r="T736" s="5"/>
      <c r="U736" s="5" t="str">
        <f>IFERROR(__xludf.DUMMYFUNCTION("""COMPUTED_VALUE"""),"5x3")</f>
        <v>5x3</v>
      </c>
      <c r="V736" s="5">
        <f>IFERROR(__xludf.DUMMYFUNCTION("""COMPUTED_VALUE"""),5.0)</f>
        <v>5</v>
      </c>
      <c r="W736" s="5">
        <f>IFERROR(__xludf.DUMMYFUNCTION("""COMPUTED_VALUE"""),5.0)</f>
        <v>5</v>
      </c>
      <c r="X736" s="5">
        <f>IFERROR(__xludf.DUMMYFUNCTION("""COMPUTED_VALUE"""),96.45)</f>
        <v>96.45</v>
      </c>
      <c r="Y736" s="5"/>
      <c r="Z736" s="5">
        <f>IFERROR(__xludf.DUMMYFUNCTION("""COMPUTED_VALUE"""),14.23)</f>
        <v>14.23</v>
      </c>
      <c r="AA736" s="5">
        <f>IFERROR(__xludf.DUMMYFUNCTION("""COMPUTED_VALUE"""),2624.0)</f>
        <v>2624</v>
      </c>
      <c r="AB736" s="5"/>
      <c r="AC736" s="5" t="str">
        <f>IFERROR(__xludf.DUMMYFUNCTION("""COMPUTED_VALUE"""),"Expanding Wild, Scatter")</f>
        <v>Expanding Wild, Scatter</v>
      </c>
      <c r="AD736" s="5" t="str">
        <f>IFERROR(__xludf.DUMMYFUNCTION("""COMPUTED_VALUE"""),"0.10/50")</f>
        <v>0.10/50</v>
      </c>
      <c r="AE736" s="5"/>
      <c r="AF736" s="5"/>
      <c r="AG736" s="8">
        <f>IFERROR(__xludf.DUMMYFUNCTION("""COMPUTED_VALUE"""),46199.4721412037)</f>
        <v>46199.47214</v>
      </c>
      <c r="AH736" s="5" t="str">
        <f>IFERROR(__xludf.DUMMYFUNCTION("""COMPUTED_VALUE"""),"danica.petrovic@fazi.rs")</f>
        <v>danica.petrovic@fazi.rs</v>
      </c>
      <c r="AI736" s="13"/>
      <c r="AJ736" s="5"/>
      <c r="AK736" s="5">
        <f>IFERROR(__xludf.DUMMYFUNCTION("""COMPUTED_VALUE"""),1.0)</f>
        <v>1</v>
      </c>
      <c r="AL736" s="5" t="str">
        <f>IFERROR(__xludf.DUMMYFUNCTION("""COMPUTED_VALUE"""),"No")</f>
        <v>No</v>
      </c>
      <c r="AM736" s="5" t="str">
        <f>IFERROR(__xludf.DUMMYFUNCTION("""COMPUTED_VALUE"""),"No")</f>
        <v>No</v>
      </c>
      <c r="AN736" s="5"/>
      <c r="AO736" s="5" t="str">
        <f>IFERROR(__xludf.DUMMYFUNCTION("""COMPUTED_VALUE"""),"No")</f>
        <v>No</v>
      </c>
      <c r="AP736" s="5" t="str">
        <f>IFERROR(__xludf.DUMMYFUNCTION("""COMPUTED_VALUE"""),"No")</f>
        <v>No</v>
      </c>
      <c r="AQ736" s="5"/>
      <c r="AR736" s="5"/>
      <c r="AS736" s="5"/>
      <c r="AT736" s="5"/>
      <c r="AU736" s="5" t="str">
        <f>IFERROR(__xludf.DUMMYFUNCTION("""COMPUTED_VALUE"""),"Redstone")</f>
        <v>Redstone</v>
      </c>
      <c r="AV736" s="5">
        <f>IFERROR(__xludf.DUMMYFUNCTION("""COMPUTED_VALUE"""),10.0)</f>
        <v>10</v>
      </c>
      <c r="AW736" s="5"/>
      <c r="AX736" s="13">
        <f>IFERROR(__xludf.DUMMYFUNCTION("""COMPUTED_VALUE"""),46189.0)</f>
        <v>46189</v>
      </c>
      <c r="AY736" s="5"/>
      <c r="AZ736" s="5"/>
      <c r="BA736" s="5"/>
      <c r="BB736" s="5"/>
      <c r="BC736" s="5" t="str">
        <f>IFERROR(__xludf.DUMMYFUNCTION("""COMPUTED_VALUE"""),"Redstone")</f>
        <v>Redstone</v>
      </c>
      <c r="BD736" s="5"/>
      <c r="BE736" s="5"/>
    </row>
    <row r="737">
      <c r="A737" s="5">
        <f>IFERROR(__xludf.DUMMYFUNCTION("""COMPUTED_VALUE"""),774.0)</f>
        <v>774</v>
      </c>
      <c r="B737" s="5">
        <f>IFERROR(__xludf.DUMMYFUNCTION("""COMPUTED_VALUE"""),180085.0)</f>
        <v>180085</v>
      </c>
      <c r="C737" s="5" t="str">
        <f>IFERROR(__xludf.DUMMYFUNCTION("""COMPUTED_VALUE"""),"Redstone")</f>
        <v>Redstone</v>
      </c>
      <c r="D737" s="5" t="str">
        <f>IFERROR(__xludf.DUMMYFUNCTION("""COMPUTED_VALUE"""),"Multi Heart 5 Christmas")</f>
        <v>Multi Heart 5 Christmas</v>
      </c>
      <c r="E737" s="5" t="str">
        <f>IFERROR(__xludf.DUMMYFUNCTION("""COMPUTED_VALUE"""),"Redstone")</f>
        <v>Redstone</v>
      </c>
      <c r="F737" s="5" t="str">
        <f>IFERROR(__xludf.DUMMYFUNCTION("""COMPUTED_VALUE"""),"RedstoneMultiHeart5Christmas")</f>
        <v>RedstoneMultiHeart5Christmas</v>
      </c>
      <c r="G737" s="5" t="str">
        <f>IFERROR(__xludf.DUMMYFUNCTION("""COMPUTED_VALUE"""),"Deployed")</f>
        <v>Deployed</v>
      </c>
      <c r="H737" s="5"/>
      <c r="I737" s="5"/>
      <c r="J737" s="5" t="str">
        <f>IFERROR(__xludf.DUMMYFUNCTION("""COMPUTED_VALUE"""),"JSON")</f>
        <v>JSON</v>
      </c>
      <c r="K737" s="5" t="str">
        <f>IFERROR(__xludf.DUMMYFUNCTION("""COMPUTED_VALUE"""),"Slot")</f>
        <v>Slot</v>
      </c>
      <c r="L737" s="5"/>
      <c r="M737" s="5"/>
      <c r="N737" s="5"/>
      <c r="O737" s="5"/>
      <c r="P737" s="12"/>
      <c r="Q737" s="13">
        <f>IFERROR(__xludf.DUMMYFUNCTION("""COMPUTED_VALUE"""),46195.0)</f>
        <v>46195</v>
      </c>
      <c r="R737" s="13"/>
      <c r="S737" s="13"/>
      <c r="T737" s="5"/>
      <c r="U737" s="5" t="str">
        <f>IFERROR(__xludf.DUMMYFUNCTION("""COMPUTED_VALUE"""),"5x3")</f>
        <v>5x3</v>
      </c>
      <c r="V737" s="5">
        <f>IFERROR(__xludf.DUMMYFUNCTION("""COMPUTED_VALUE"""),5.0)</f>
        <v>5</v>
      </c>
      <c r="W737" s="5">
        <f>IFERROR(__xludf.DUMMYFUNCTION("""COMPUTED_VALUE"""),5.0)</f>
        <v>5</v>
      </c>
      <c r="X737" s="5">
        <f>IFERROR(__xludf.DUMMYFUNCTION("""COMPUTED_VALUE"""),95.96)</f>
        <v>95.96</v>
      </c>
      <c r="Y737" s="5"/>
      <c r="Z737" s="5">
        <f>IFERROR(__xludf.DUMMYFUNCTION("""COMPUTED_VALUE"""),10.7)</f>
        <v>10.7</v>
      </c>
      <c r="AA737" s="5">
        <f>IFERROR(__xludf.DUMMYFUNCTION("""COMPUTED_VALUE"""),2150.0)</f>
        <v>2150</v>
      </c>
      <c r="AB737" s="5"/>
      <c r="AC737" s="5" t="str">
        <f>IFERROR(__xludf.DUMMYFUNCTION("""COMPUTED_VALUE"""),"Expanding Wild, Win Multiplier")</f>
        <v>Expanding Wild, Win Multiplier</v>
      </c>
      <c r="AD737" s="5" t="str">
        <f>IFERROR(__xludf.DUMMYFUNCTION("""COMPUTED_VALUE"""),"0.10/50")</f>
        <v>0.10/50</v>
      </c>
      <c r="AE737" s="5"/>
      <c r="AF737" s="5"/>
      <c r="AG737" s="8">
        <f>IFERROR(__xludf.DUMMYFUNCTION("""COMPUTED_VALUE"""),46199.472280092596)</f>
        <v>46199.47228</v>
      </c>
      <c r="AH737" s="5" t="str">
        <f>IFERROR(__xludf.DUMMYFUNCTION("""COMPUTED_VALUE"""),"danica.petrovic@fazi.rs")</f>
        <v>danica.petrovic@fazi.rs</v>
      </c>
      <c r="AI737" s="13"/>
      <c r="AJ737" s="5"/>
      <c r="AK737" s="5">
        <f>IFERROR(__xludf.DUMMYFUNCTION("""COMPUTED_VALUE"""),1.0)</f>
        <v>1</v>
      </c>
      <c r="AL737" s="5" t="str">
        <f>IFERROR(__xludf.DUMMYFUNCTION("""COMPUTED_VALUE"""),"No")</f>
        <v>No</v>
      </c>
      <c r="AM737" s="5" t="str">
        <f>IFERROR(__xludf.DUMMYFUNCTION("""COMPUTED_VALUE"""),"No")</f>
        <v>No</v>
      </c>
      <c r="AN737" s="5"/>
      <c r="AO737" s="5" t="str">
        <f>IFERROR(__xludf.DUMMYFUNCTION("""COMPUTED_VALUE"""),"No")</f>
        <v>No</v>
      </c>
      <c r="AP737" s="5" t="str">
        <f>IFERROR(__xludf.DUMMYFUNCTION("""COMPUTED_VALUE"""),"No")</f>
        <v>No</v>
      </c>
      <c r="AQ737" s="5"/>
      <c r="AR737" s="5"/>
      <c r="AS737" s="5"/>
      <c r="AT737" s="5"/>
      <c r="AU737" s="5" t="str">
        <f>IFERROR(__xludf.DUMMYFUNCTION("""COMPUTED_VALUE"""),"Redstone")</f>
        <v>Redstone</v>
      </c>
      <c r="AV737" s="5">
        <f>IFERROR(__xludf.DUMMYFUNCTION("""COMPUTED_VALUE"""),10.0)</f>
        <v>10</v>
      </c>
      <c r="AW737" s="5"/>
      <c r="AX737" s="13">
        <f>IFERROR(__xludf.DUMMYFUNCTION("""COMPUTED_VALUE"""),46189.0)</f>
        <v>46189</v>
      </c>
      <c r="AY737" s="5"/>
      <c r="AZ737" s="5"/>
      <c r="BA737" s="5"/>
      <c r="BB737" s="5"/>
      <c r="BC737" s="5" t="str">
        <f>IFERROR(__xludf.DUMMYFUNCTION("""COMPUTED_VALUE"""),"Redstone")</f>
        <v>Redstone</v>
      </c>
      <c r="BD737" s="5"/>
      <c r="BE737" s="5"/>
    </row>
    <row r="738">
      <c r="A738" s="5">
        <f>IFERROR(__xludf.DUMMYFUNCTION("""COMPUTED_VALUE"""),775.0)</f>
        <v>775</v>
      </c>
      <c r="B738" s="5">
        <f>IFERROR(__xludf.DUMMYFUNCTION("""COMPUTED_VALUE"""),180086.0)</f>
        <v>180086</v>
      </c>
      <c r="C738" s="5" t="str">
        <f>IFERROR(__xludf.DUMMYFUNCTION("""COMPUTED_VALUE"""),"Redstone")</f>
        <v>Redstone</v>
      </c>
      <c r="D738" s="5" t="str">
        <f>IFERROR(__xludf.DUMMYFUNCTION("""COMPUTED_VALUE"""),"Double Wild Heart Halloween")</f>
        <v>Double Wild Heart Halloween</v>
      </c>
      <c r="E738" s="5" t="str">
        <f>IFERROR(__xludf.DUMMYFUNCTION("""COMPUTED_VALUE"""),"Redstone")</f>
        <v>Redstone</v>
      </c>
      <c r="F738" s="5" t="str">
        <f>IFERROR(__xludf.DUMMYFUNCTION("""COMPUTED_VALUE"""),"RedstoneDoubleWildHeartHalloween")</f>
        <v>RedstoneDoubleWildHeartHalloween</v>
      </c>
      <c r="G738" s="5" t="str">
        <f>IFERROR(__xludf.DUMMYFUNCTION("""COMPUTED_VALUE"""),"Deployed")</f>
        <v>Deployed</v>
      </c>
      <c r="H738" s="5"/>
      <c r="I738" s="5"/>
      <c r="J738" s="5" t="str">
        <f>IFERROR(__xludf.DUMMYFUNCTION("""COMPUTED_VALUE"""),"JSON")</f>
        <v>JSON</v>
      </c>
      <c r="K738" s="5" t="str">
        <f>IFERROR(__xludf.DUMMYFUNCTION("""COMPUTED_VALUE"""),"Slot")</f>
        <v>Slot</v>
      </c>
      <c r="L738" s="5"/>
      <c r="M738" s="5"/>
      <c r="N738" s="5"/>
      <c r="O738" s="5"/>
      <c r="P738" s="12"/>
      <c r="Q738" s="13">
        <f>IFERROR(__xludf.DUMMYFUNCTION("""COMPUTED_VALUE"""),46195.0)</f>
        <v>46195</v>
      </c>
      <c r="R738" s="13">
        <f>IFERROR(__xludf.DUMMYFUNCTION("""COMPUTED_VALUE"""),46286.0)</f>
        <v>46286</v>
      </c>
      <c r="S738" s="13">
        <f>IFERROR(__xludf.DUMMYFUNCTION("""COMPUTED_VALUE"""),46293.0)</f>
        <v>46293</v>
      </c>
      <c r="T738" s="5" t="b">
        <f>IFERROR(__xludf.DUMMYFUNCTION("""COMPUTED_VALUE"""),TRUE)</f>
        <v>1</v>
      </c>
      <c r="U738" s="5" t="str">
        <f>IFERROR(__xludf.DUMMYFUNCTION("""COMPUTED_VALUE"""),"5x3")</f>
        <v>5x3</v>
      </c>
      <c r="V738" s="5">
        <f>IFERROR(__xludf.DUMMYFUNCTION("""COMPUTED_VALUE"""),5.0)</f>
        <v>5</v>
      </c>
      <c r="W738" s="5">
        <f>IFERROR(__xludf.DUMMYFUNCTION("""COMPUTED_VALUE"""),5.0)</f>
        <v>5</v>
      </c>
      <c r="X738" s="5">
        <f>IFERROR(__xludf.DUMMYFUNCTION("""COMPUTED_VALUE"""),96.45)</f>
        <v>96.45</v>
      </c>
      <c r="Y738" s="5"/>
      <c r="Z738" s="5">
        <f>IFERROR(__xludf.DUMMYFUNCTION("""COMPUTED_VALUE"""),14.23)</f>
        <v>14.23</v>
      </c>
      <c r="AA738" s="5">
        <f>IFERROR(__xludf.DUMMYFUNCTION("""COMPUTED_VALUE"""),2624.0)</f>
        <v>2624</v>
      </c>
      <c r="AB738" s="5"/>
      <c r="AC738" s="5" t="str">
        <f>IFERROR(__xludf.DUMMYFUNCTION("""COMPUTED_VALUE"""),"Expanding Wild, Scatter")</f>
        <v>Expanding Wild, Scatter</v>
      </c>
      <c r="AD738" s="5" t="str">
        <f>IFERROR(__xludf.DUMMYFUNCTION("""COMPUTED_VALUE"""),"0.10/50")</f>
        <v>0.10/50</v>
      </c>
      <c r="AE738" s="5"/>
      <c r="AF738" s="5"/>
      <c r="AG738" s="8">
        <f>IFERROR(__xludf.DUMMYFUNCTION("""COMPUTED_VALUE"""),46260.45106481481)</f>
        <v>46260.45106</v>
      </c>
      <c r="AH738" s="5" t="str">
        <f>IFERROR(__xludf.DUMMYFUNCTION("""COMPUTED_VALUE"""),"selena.mihajlovic@fazi.rs")</f>
        <v>selena.mihajlovic@fazi.rs</v>
      </c>
      <c r="AI738" s="13"/>
      <c r="AJ738" s="5"/>
      <c r="AK738" s="5">
        <f>IFERROR(__xludf.DUMMYFUNCTION("""COMPUTED_VALUE"""),1.0)</f>
        <v>1</v>
      </c>
      <c r="AL738" s="5" t="str">
        <f>IFERROR(__xludf.DUMMYFUNCTION("""COMPUTED_VALUE"""),"No")</f>
        <v>No</v>
      </c>
      <c r="AM738" s="5" t="str">
        <f>IFERROR(__xludf.DUMMYFUNCTION("""COMPUTED_VALUE"""),"No")</f>
        <v>No</v>
      </c>
      <c r="AN738" s="5"/>
      <c r="AO738" s="5" t="str">
        <f>IFERROR(__xludf.DUMMYFUNCTION("""COMPUTED_VALUE"""),"No")</f>
        <v>No</v>
      </c>
      <c r="AP738" s="5" t="str">
        <f>IFERROR(__xludf.DUMMYFUNCTION("""COMPUTED_VALUE"""),"No")</f>
        <v>No</v>
      </c>
      <c r="AQ738" s="5"/>
      <c r="AR738" s="5"/>
      <c r="AS738" s="5"/>
      <c r="AT738" s="5"/>
      <c r="AU738" s="5" t="str">
        <f>IFERROR(__xludf.DUMMYFUNCTION("""COMPUTED_VALUE"""),"Redstone")</f>
        <v>Redstone</v>
      </c>
      <c r="AV738" s="5">
        <f>IFERROR(__xludf.DUMMYFUNCTION("""COMPUTED_VALUE"""),10.0)</f>
        <v>10</v>
      </c>
      <c r="AW738" s="5"/>
      <c r="AX738" s="13">
        <f>IFERROR(__xludf.DUMMYFUNCTION("""COMPUTED_VALUE"""),46189.0)</f>
        <v>46189</v>
      </c>
      <c r="AY738" s="5"/>
      <c r="AZ738" s="5"/>
      <c r="BA738" s="5"/>
      <c r="BB738" s="5"/>
      <c r="BC738" s="5" t="str">
        <f>IFERROR(__xludf.DUMMYFUNCTION("""COMPUTED_VALUE"""),"Redstone")</f>
        <v>Redstone</v>
      </c>
      <c r="BD738" s="5"/>
      <c r="BE738" s="5"/>
    </row>
    <row r="739">
      <c r="A739" s="5">
        <f>IFERROR(__xludf.DUMMYFUNCTION("""COMPUTED_VALUE"""),776.0)</f>
        <v>776</v>
      </c>
      <c r="B739" s="5">
        <f>IFERROR(__xludf.DUMMYFUNCTION("""COMPUTED_VALUE"""),-1.0)</f>
        <v>-1</v>
      </c>
      <c r="C739" s="5" t="str">
        <f>IFERROR(__xludf.DUMMYFUNCTION("""COMPUTED_VALUE"""),"Fazi")</f>
        <v>Fazi</v>
      </c>
      <c r="D739" s="5" t="str">
        <f>IFERROR(__xludf.DUMMYFUNCTION("""COMPUTED_VALUE"""),"Lady Wild 81 Respin")</f>
        <v>Lady Wild 81 Respin</v>
      </c>
      <c r="E739" s="5" t="str">
        <f>IFERROR(__xludf.DUMMYFUNCTION("""COMPUTED_VALUE"""),"V4-1")</f>
        <v>V4-1</v>
      </c>
      <c r="F739" s="5" t="str">
        <f>IFERROR(__xludf.DUMMYFUNCTION("""COMPUTED_VALUE"""),"TBD")</f>
        <v>TBD</v>
      </c>
      <c r="G739" s="5" t="str">
        <f>IFERROR(__xludf.DUMMYFUNCTION("""COMPUTED_VALUE"""),"In Development")</f>
        <v>In Development</v>
      </c>
      <c r="H739" s="5"/>
      <c r="I739" s="5" t="str">
        <f>IFERROR(__xludf.DUMMYFUNCTION("""COMPUTED_VALUE"""),"V4")</f>
        <v>V4</v>
      </c>
      <c r="J739" s="5" t="str">
        <f>IFERROR(__xludf.DUMMYFUNCTION("""COMPUTED_VALUE"""),"JSON")</f>
        <v>JSON</v>
      </c>
      <c r="K739" s="5" t="str">
        <f>IFERROR(__xludf.DUMMYFUNCTION("""COMPUTED_VALUE"""),"Slot")</f>
        <v>Slot</v>
      </c>
      <c r="L739" s="5" t="str">
        <f>IFERROR(__xludf.DUMMYFUNCTION("""COMPUTED_VALUE"""),"Master")</f>
        <v>Master</v>
      </c>
      <c r="M739" s="5"/>
      <c r="N739" s="5"/>
      <c r="O739" s="5"/>
      <c r="P739" s="12"/>
      <c r="Q739" s="13"/>
      <c r="R739" s="13"/>
      <c r="S739" s="13"/>
      <c r="T739" s="5"/>
      <c r="U739" s="5" t="str">
        <f>IFERROR(__xludf.DUMMYFUNCTION("""COMPUTED_VALUE"""),"4x3")</f>
        <v>4x3</v>
      </c>
      <c r="V739" s="5">
        <f>IFERROR(__xludf.DUMMYFUNCTION("""COMPUTED_VALUE"""),81.0)</f>
        <v>81</v>
      </c>
      <c r="W739" s="5">
        <f>IFERROR(__xludf.DUMMYFUNCTION("""COMPUTED_VALUE"""),81.0)</f>
        <v>81</v>
      </c>
      <c r="X739" s="5"/>
      <c r="Y739" s="5"/>
      <c r="Z739" s="5"/>
      <c r="AA739" s="5"/>
      <c r="AB739" s="5"/>
      <c r="AC739" s="5" t="str">
        <f>IFERROR(__xludf.DUMMYFUNCTION("""COMPUTED_VALUE"""),"Respin, Sticky Wild")</f>
        <v>Respin, Sticky Wild</v>
      </c>
      <c r="AD739" s="5"/>
      <c r="AE739" s="5"/>
      <c r="AF739" s="5"/>
      <c r="AG739" s="8">
        <f>IFERROR(__xludf.DUMMYFUNCTION("""COMPUTED_VALUE"""),46267.69730324074)</f>
        <v>46267.6973</v>
      </c>
      <c r="AH739" s="5" t="str">
        <f>IFERROR(__xludf.DUMMYFUNCTION("""COMPUTED_VALUE"""),"djordje.petrovic@fazi.rs")</f>
        <v>djordje.petrovic@fazi.rs</v>
      </c>
      <c r="AI739" s="13"/>
      <c r="AJ739" s="5"/>
      <c r="AK739" s="5"/>
      <c r="AL739" s="5" t="str">
        <f>IFERROR(__xludf.DUMMYFUNCTION("""COMPUTED_VALUE"""),"Yes")</f>
        <v>Yes</v>
      </c>
      <c r="AM739" s="5" t="str">
        <f>IFERROR(__xludf.DUMMYFUNCTION("""COMPUTED_VALUE"""),"Yes")</f>
        <v>Yes</v>
      </c>
      <c r="AN739" s="5"/>
      <c r="AO739" s="5" t="str">
        <f>IFERROR(__xludf.DUMMYFUNCTION("""COMPUTED_VALUE"""),"Yes")</f>
        <v>Yes</v>
      </c>
      <c r="AP739" s="5" t="str">
        <f>IFERROR(__xludf.DUMMYFUNCTION("""COMPUTED_VALUE"""),"Yes")</f>
        <v>Yes</v>
      </c>
      <c r="AQ739" s="5"/>
      <c r="AR739" s="5"/>
      <c r="AS739" s="5"/>
      <c r="AT739" s="5"/>
      <c r="AU739" s="5" t="str">
        <f>IFERROR(__xludf.DUMMYFUNCTION("""COMPUTED_VALUE"""),"Fazi")</f>
        <v>Fazi</v>
      </c>
      <c r="AV739" s="5"/>
      <c r="AW739" s="5"/>
      <c r="AX739" s="5"/>
      <c r="AY739" s="5"/>
      <c r="AZ739" s="5"/>
      <c r="BA739" s="5"/>
      <c r="BB739" s="5"/>
      <c r="BC739" s="5" t="str">
        <f>IFERROR(__xludf.DUMMYFUNCTION("""COMPUTED_VALUE"""),"Foxi")</f>
        <v>Foxi</v>
      </c>
      <c r="BD739" s="5"/>
      <c r="BE739" s="5"/>
    </row>
    <row r="740">
      <c r="A740" s="5">
        <f>IFERROR(__xludf.DUMMYFUNCTION("""COMPUTED_VALUE"""),777.0)</f>
        <v>777</v>
      </c>
      <c r="B740" s="5">
        <f>IFERROR(__xludf.DUMMYFUNCTION("""COMPUTED_VALUE"""),-1.0)</f>
        <v>-1</v>
      </c>
      <c r="C740" s="5" t="str">
        <f>IFERROR(__xludf.DUMMYFUNCTION("""COMPUTED_VALUE"""),"Fazi")</f>
        <v>Fazi</v>
      </c>
      <c r="D740" s="5" t="str">
        <f>IFERROR(__xludf.DUMMYFUNCTION("""COMPUTED_VALUE"""),"Lady Wild 243 Respin")</f>
        <v>Lady Wild 243 Respin</v>
      </c>
      <c r="E740" s="5" t="str">
        <f>IFERROR(__xludf.DUMMYFUNCTION("""COMPUTED_VALUE"""),"V4-1")</f>
        <v>V4-1</v>
      </c>
      <c r="F740" s="5" t="str">
        <f>IFERROR(__xludf.DUMMYFUNCTION("""COMPUTED_VALUE"""),"TBD")</f>
        <v>TBD</v>
      </c>
      <c r="G740" s="5" t="str">
        <f>IFERROR(__xludf.DUMMYFUNCTION("""COMPUTED_VALUE"""),"In Development")</f>
        <v>In Development</v>
      </c>
      <c r="H740" s="5"/>
      <c r="I740" s="5" t="str">
        <f>IFERROR(__xludf.DUMMYFUNCTION("""COMPUTED_VALUE"""),"V4")</f>
        <v>V4</v>
      </c>
      <c r="J740" s="5" t="str">
        <f>IFERROR(__xludf.DUMMYFUNCTION("""COMPUTED_VALUE"""),"JSON")</f>
        <v>JSON</v>
      </c>
      <c r="K740" s="5" t="str">
        <f>IFERROR(__xludf.DUMMYFUNCTION("""COMPUTED_VALUE"""),"Slot")</f>
        <v>Slot</v>
      </c>
      <c r="L740" s="5" t="str">
        <f>IFERROR(__xludf.DUMMYFUNCTION("""COMPUTED_VALUE"""),"Master")</f>
        <v>Master</v>
      </c>
      <c r="M740" s="5"/>
      <c r="N740" s="5"/>
      <c r="O740" s="5"/>
      <c r="P740" s="12"/>
      <c r="Q740" s="13"/>
      <c r="R740" s="13"/>
      <c r="S740" s="13"/>
      <c r="T740" s="5"/>
      <c r="U740" s="5" t="str">
        <f>IFERROR(__xludf.DUMMYFUNCTION("""COMPUTED_VALUE"""),"5x3")</f>
        <v>5x3</v>
      </c>
      <c r="V740" s="5">
        <f>IFERROR(__xludf.DUMMYFUNCTION("""COMPUTED_VALUE"""),243.0)</f>
        <v>243</v>
      </c>
      <c r="W740" s="5">
        <f>IFERROR(__xludf.DUMMYFUNCTION("""COMPUTED_VALUE"""),243.0)</f>
        <v>243</v>
      </c>
      <c r="X740" s="5"/>
      <c r="Y740" s="5"/>
      <c r="Z740" s="5"/>
      <c r="AA740" s="5"/>
      <c r="AB740" s="5"/>
      <c r="AC740" s="5" t="str">
        <f>IFERROR(__xludf.DUMMYFUNCTION("""COMPUTED_VALUE"""),"Respin, Sticky Wild")</f>
        <v>Respin, Sticky Wild</v>
      </c>
      <c r="AD740" s="5"/>
      <c r="AE740" s="5"/>
      <c r="AF740" s="5"/>
      <c r="AG740" s="8">
        <f>IFERROR(__xludf.DUMMYFUNCTION("""COMPUTED_VALUE"""),46267.697962962964)</f>
        <v>46267.69796</v>
      </c>
      <c r="AH740" s="5" t="str">
        <f>IFERROR(__xludf.DUMMYFUNCTION("""COMPUTED_VALUE"""),"djordje.petrovic@fazi.rs")</f>
        <v>djordje.petrovic@fazi.rs</v>
      </c>
      <c r="AI740" s="13"/>
      <c r="AJ740" s="5"/>
      <c r="AK740" s="5"/>
      <c r="AL740" s="5" t="str">
        <f>IFERROR(__xludf.DUMMYFUNCTION("""COMPUTED_VALUE"""),"Yes")</f>
        <v>Yes</v>
      </c>
      <c r="AM740" s="5" t="str">
        <f>IFERROR(__xludf.DUMMYFUNCTION("""COMPUTED_VALUE"""),"Yes")</f>
        <v>Yes</v>
      </c>
      <c r="AN740" s="5"/>
      <c r="AO740" s="5" t="str">
        <f>IFERROR(__xludf.DUMMYFUNCTION("""COMPUTED_VALUE"""),"Yes")</f>
        <v>Yes</v>
      </c>
      <c r="AP740" s="5" t="str">
        <f>IFERROR(__xludf.DUMMYFUNCTION("""COMPUTED_VALUE"""),"Yes")</f>
        <v>Yes</v>
      </c>
      <c r="AQ740" s="5"/>
      <c r="AR740" s="5"/>
      <c r="AS740" s="5"/>
      <c r="AT740" s="5"/>
      <c r="AU740" s="5" t="str">
        <f>IFERROR(__xludf.DUMMYFUNCTION("""COMPUTED_VALUE"""),"Fazi")</f>
        <v>Fazi</v>
      </c>
      <c r="AV740" s="5"/>
      <c r="AW740" s="5"/>
      <c r="AX740" s="5"/>
      <c r="AY740" s="5"/>
      <c r="AZ740" s="5"/>
      <c r="BA740" s="5"/>
      <c r="BB740" s="5"/>
      <c r="BC740" s="5" t="str">
        <f>IFERROR(__xludf.DUMMYFUNCTION("""COMPUTED_VALUE"""),"Foxi")</f>
        <v>Foxi</v>
      </c>
      <c r="BD740" s="5"/>
      <c r="BE740" s="5"/>
    </row>
    <row r="741">
      <c r="A741" s="5">
        <f>IFERROR(__xludf.DUMMYFUNCTION("""COMPUTED_VALUE"""),778.0)</f>
        <v>778</v>
      </c>
      <c r="B741" s="5">
        <f>IFERROR(__xludf.DUMMYFUNCTION("""COMPUTED_VALUE"""),-1.0)</f>
        <v>-1</v>
      </c>
      <c r="C741" s="5" t="str">
        <f>IFERROR(__xludf.DUMMYFUNCTION("""COMPUTED_VALUE"""),"Fazi")</f>
        <v>Fazi</v>
      </c>
      <c r="D741" s="5" t="str">
        <f>IFERROR(__xludf.DUMMYFUNCTION("""COMPUTED_VALUE"""),"Bonus Wu Kong 20")</f>
        <v>Bonus Wu Kong 20</v>
      </c>
      <c r="E741" s="5" t="str">
        <f>IFERROR(__xludf.DUMMYFUNCTION("""COMPUTED_VALUE"""),"V4-1")</f>
        <v>V4-1</v>
      </c>
      <c r="F741" s="5" t="str">
        <f>IFERROR(__xludf.DUMMYFUNCTION("""COMPUTED_VALUE"""),"TBD")</f>
        <v>TBD</v>
      </c>
      <c r="G741" s="5" t="str">
        <f>IFERROR(__xludf.DUMMYFUNCTION("""COMPUTED_VALUE"""),"In Development")</f>
        <v>In Development</v>
      </c>
      <c r="H741" s="5"/>
      <c r="I741" s="5" t="str">
        <f>IFERROR(__xludf.DUMMYFUNCTION("""COMPUTED_VALUE"""),"V4")</f>
        <v>V4</v>
      </c>
      <c r="J741" s="5" t="str">
        <f>IFERROR(__xludf.DUMMYFUNCTION("""COMPUTED_VALUE"""),"JSON")</f>
        <v>JSON</v>
      </c>
      <c r="K741" s="5" t="str">
        <f>IFERROR(__xludf.DUMMYFUNCTION("""COMPUTED_VALUE"""),"Slot")</f>
        <v>Slot</v>
      </c>
      <c r="L741" s="5" t="str">
        <f>IFERROR(__xludf.DUMMYFUNCTION("""COMPUTED_VALUE""")," Variant")</f>
        <v> Variant</v>
      </c>
      <c r="M741" s="5"/>
      <c r="N741" s="5"/>
      <c r="O741" s="5"/>
      <c r="P741" s="12"/>
      <c r="Q741" s="13"/>
      <c r="R741" s="13"/>
      <c r="S741" s="13"/>
      <c r="T741" s="5"/>
      <c r="U741" s="5" t="str">
        <f>IFERROR(__xludf.DUMMYFUNCTION("""COMPUTED_VALUE"""),"5x3")</f>
        <v>5x3</v>
      </c>
      <c r="V741" s="5">
        <f>IFERROR(__xludf.DUMMYFUNCTION("""COMPUTED_VALUE"""),20.0)</f>
        <v>20</v>
      </c>
      <c r="W741" s="5">
        <f>IFERROR(__xludf.DUMMYFUNCTION("""COMPUTED_VALUE"""),20.0)</f>
        <v>20</v>
      </c>
      <c r="X741" s="5"/>
      <c r="Y741" s="5"/>
      <c r="Z741" s="5"/>
      <c r="AA741" s="5"/>
      <c r="AB741" s="5"/>
      <c r="AC741" s="5" t="str">
        <f>IFERROR(__xludf.DUMMYFUNCTION("""COMPUTED_VALUE"""),"Bonus Game with Free Spins, Buy Feature, Bonus Game with Sticky Wild, Bonus Game with Multiplier")</f>
        <v>Bonus Game with Free Spins, Buy Feature, Bonus Game with Sticky Wild, Bonus Game with Multiplier</v>
      </c>
      <c r="AD741" s="5"/>
      <c r="AE741" s="5"/>
      <c r="AF741" s="5"/>
      <c r="AG741" s="8">
        <f>IFERROR(__xludf.DUMMYFUNCTION("""COMPUTED_VALUE"""),46162.62672453704)</f>
        <v>46162.62672</v>
      </c>
      <c r="AH741" s="5" t="str">
        <f>IFERROR(__xludf.DUMMYFUNCTION("""COMPUTED_VALUE"""),"djordje.petrovic@fazi.rs")</f>
        <v>djordje.petrovic@fazi.rs</v>
      </c>
      <c r="AI741" s="13"/>
      <c r="AJ741" s="5"/>
      <c r="AK741" s="5">
        <f>IFERROR(__xludf.DUMMYFUNCTION("""COMPUTED_VALUE"""),2.0)</f>
        <v>2</v>
      </c>
      <c r="AL741" s="5" t="str">
        <f>IFERROR(__xludf.DUMMYFUNCTION("""COMPUTED_VALUE"""),"No")</f>
        <v>No</v>
      </c>
      <c r="AM741" s="5" t="str">
        <f>IFERROR(__xludf.DUMMYFUNCTION("""COMPUTED_VALUE"""),"Yes")</f>
        <v>Yes</v>
      </c>
      <c r="AN741" s="5"/>
      <c r="AO741" s="5" t="str">
        <f>IFERROR(__xludf.DUMMYFUNCTION("""COMPUTED_VALUE"""),"Yes")</f>
        <v>Yes</v>
      </c>
      <c r="AP741" s="5" t="str">
        <f>IFERROR(__xludf.DUMMYFUNCTION("""COMPUTED_VALUE"""),"Yes")</f>
        <v>Yes</v>
      </c>
      <c r="AQ741" s="5"/>
      <c r="AR741" s="5"/>
      <c r="AS741" s="5"/>
      <c r="AT741" s="5"/>
      <c r="AU741" s="5" t="str">
        <f>IFERROR(__xludf.DUMMYFUNCTION("""COMPUTED_VALUE"""),"Fazi")</f>
        <v>Fazi</v>
      </c>
      <c r="AV741" s="5"/>
      <c r="AW741" s="5"/>
      <c r="AX741" s="5"/>
      <c r="AY741" s="5"/>
      <c r="AZ741" s="5"/>
      <c r="BA741" s="5"/>
      <c r="BB741" s="5"/>
      <c r="BC741" s="5" t="str">
        <f>IFERROR(__xludf.DUMMYFUNCTION("""COMPUTED_VALUE"""),"Foxi")</f>
        <v>Foxi</v>
      </c>
      <c r="BD741" s="5" t="str">
        <f>IFERROR(__xludf.DUMMYFUNCTION("""COMPUTED_VALUE"""),"")</f>
        <v/>
      </c>
      <c r="BE741" s="5"/>
    </row>
    <row r="742">
      <c r="A742" s="5">
        <f>IFERROR(__xludf.DUMMYFUNCTION("""COMPUTED_VALUE"""),779.0)</f>
        <v>779</v>
      </c>
      <c r="B742" s="5">
        <f>IFERROR(__xludf.DUMMYFUNCTION("""COMPUTED_VALUE"""),-1.0)</f>
        <v>-1</v>
      </c>
      <c r="C742" s="5" t="str">
        <f>IFERROR(__xludf.DUMMYFUNCTION("""COMPUTED_VALUE"""),"Fazi")</f>
        <v>Fazi</v>
      </c>
      <c r="D742" s="5" t="str">
        <f>IFERROR(__xludf.DUMMYFUNCTION("""COMPUTED_VALUE"""),"Bonus Wu Kong 40")</f>
        <v>Bonus Wu Kong 40</v>
      </c>
      <c r="E742" s="5" t="str">
        <f>IFERROR(__xludf.DUMMYFUNCTION("""COMPUTED_VALUE"""),"V4-1")</f>
        <v>V4-1</v>
      </c>
      <c r="F742" s="5" t="str">
        <f>IFERROR(__xludf.DUMMYFUNCTION("""COMPUTED_VALUE"""),"TBD")</f>
        <v>TBD</v>
      </c>
      <c r="G742" s="5" t="str">
        <f>IFERROR(__xludf.DUMMYFUNCTION("""COMPUTED_VALUE"""),"In Development")</f>
        <v>In Development</v>
      </c>
      <c r="H742" s="5"/>
      <c r="I742" s="5" t="str">
        <f>IFERROR(__xludf.DUMMYFUNCTION("""COMPUTED_VALUE"""),"V4")</f>
        <v>V4</v>
      </c>
      <c r="J742" s="5" t="str">
        <f>IFERROR(__xludf.DUMMYFUNCTION("""COMPUTED_VALUE"""),"JSON")</f>
        <v>JSON</v>
      </c>
      <c r="K742" s="5" t="str">
        <f>IFERROR(__xludf.DUMMYFUNCTION("""COMPUTED_VALUE"""),"Slot")</f>
        <v>Slot</v>
      </c>
      <c r="L742" s="5" t="str">
        <f>IFERROR(__xludf.DUMMYFUNCTION("""COMPUTED_VALUE""")," Variant")</f>
        <v> Variant</v>
      </c>
      <c r="M742" s="5"/>
      <c r="N742" s="5"/>
      <c r="O742" s="5"/>
      <c r="P742" s="12"/>
      <c r="Q742" s="13"/>
      <c r="R742" s="13"/>
      <c r="S742" s="13"/>
      <c r="T742" s="5"/>
      <c r="U742" s="5" t="str">
        <f>IFERROR(__xludf.DUMMYFUNCTION("""COMPUTED_VALUE"""),"5x3")</f>
        <v>5x3</v>
      </c>
      <c r="V742" s="5">
        <f>IFERROR(__xludf.DUMMYFUNCTION("""COMPUTED_VALUE"""),40.0)</f>
        <v>40</v>
      </c>
      <c r="W742" s="5">
        <f>IFERROR(__xludf.DUMMYFUNCTION("""COMPUTED_VALUE"""),40.0)</f>
        <v>40</v>
      </c>
      <c r="X742" s="5"/>
      <c r="Y742" s="5"/>
      <c r="Z742" s="5"/>
      <c r="AA742" s="5"/>
      <c r="AB742" s="5"/>
      <c r="AC742" s="5" t="str">
        <f>IFERROR(__xludf.DUMMYFUNCTION("""COMPUTED_VALUE"""),"Bonus Game with Free Spins, Buy Feature, Bonus Game with Sticky Wild, Bonus Game with Multiplier")</f>
        <v>Bonus Game with Free Spins, Buy Feature, Bonus Game with Sticky Wild, Bonus Game with Multiplier</v>
      </c>
      <c r="AD742" s="5"/>
      <c r="AE742" s="5"/>
      <c r="AF742" s="5"/>
      <c r="AG742" s="8">
        <f>IFERROR(__xludf.DUMMYFUNCTION("""COMPUTED_VALUE"""),46162.62851851852)</f>
        <v>46162.62852</v>
      </c>
      <c r="AH742" s="5" t="str">
        <f>IFERROR(__xludf.DUMMYFUNCTION("""COMPUTED_VALUE"""),"djordje.petrovic@fazi.rs")</f>
        <v>djordje.petrovic@fazi.rs</v>
      </c>
      <c r="AI742" s="13"/>
      <c r="AJ742" s="5"/>
      <c r="AK742" s="5">
        <f>IFERROR(__xludf.DUMMYFUNCTION("""COMPUTED_VALUE"""),4.0)</f>
        <v>4</v>
      </c>
      <c r="AL742" s="5" t="str">
        <f>IFERROR(__xludf.DUMMYFUNCTION("""COMPUTED_VALUE"""),"No")</f>
        <v>No</v>
      </c>
      <c r="AM742" s="5" t="str">
        <f>IFERROR(__xludf.DUMMYFUNCTION("""COMPUTED_VALUE"""),"Yes")</f>
        <v>Yes</v>
      </c>
      <c r="AN742" s="5"/>
      <c r="AO742" s="5" t="str">
        <f>IFERROR(__xludf.DUMMYFUNCTION("""COMPUTED_VALUE"""),"Yes")</f>
        <v>Yes</v>
      </c>
      <c r="AP742" s="5" t="str">
        <f>IFERROR(__xludf.DUMMYFUNCTION("""COMPUTED_VALUE"""),"Yes")</f>
        <v>Yes</v>
      </c>
      <c r="AQ742" s="5"/>
      <c r="AR742" s="5"/>
      <c r="AS742" s="5"/>
      <c r="AT742" s="5"/>
      <c r="AU742" s="5" t="str">
        <f>IFERROR(__xludf.DUMMYFUNCTION("""COMPUTED_VALUE"""),"Fazi")</f>
        <v>Fazi</v>
      </c>
      <c r="AV742" s="5"/>
      <c r="AW742" s="5"/>
      <c r="AX742" s="5"/>
      <c r="AY742" s="5"/>
      <c r="AZ742" s="5"/>
      <c r="BA742" s="5"/>
      <c r="BB742" s="5"/>
      <c r="BC742" s="5" t="str">
        <f>IFERROR(__xludf.DUMMYFUNCTION("""COMPUTED_VALUE"""),"Foxi")</f>
        <v>Foxi</v>
      </c>
      <c r="BD742" s="5" t="str">
        <f>IFERROR(__xludf.DUMMYFUNCTION("""COMPUTED_VALUE"""),"")</f>
        <v/>
      </c>
      <c r="BE742" s="5"/>
    </row>
    <row r="743">
      <c r="A743" s="5">
        <f>IFERROR(__xludf.DUMMYFUNCTION("""COMPUTED_VALUE"""),780.0)</f>
        <v>780</v>
      </c>
      <c r="B743" s="5">
        <f>IFERROR(__xludf.DUMMYFUNCTION("""COMPUTED_VALUE"""),-1.0)</f>
        <v>-1</v>
      </c>
      <c r="C743" s="5" t="str">
        <f>IFERROR(__xludf.DUMMYFUNCTION("""COMPUTED_VALUE"""),"Fazi")</f>
        <v>Fazi</v>
      </c>
      <c r="D743" s="5" t="str">
        <f>IFERROR(__xludf.DUMMYFUNCTION("""COMPUTED_VALUE"""),"Bonus Wu Kong 5")</f>
        <v>Bonus Wu Kong 5</v>
      </c>
      <c r="E743" s="5" t="str">
        <f>IFERROR(__xludf.DUMMYFUNCTION("""COMPUTED_VALUE"""),"V4-1")</f>
        <v>V4-1</v>
      </c>
      <c r="F743" s="5" t="str">
        <f>IFERROR(__xludf.DUMMYFUNCTION("""COMPUTED_VALUE"""),"TBD")</f>
        <v>TBD</v>
      </c>
      <c r="G743" s="5" t="str">
        <f>IFERROR(__xludf.DUMMYFUNCTION("""COMPUTED_VALUE"""),"In Development")</f>
        <v>In Development</v>
      </c>
      <c r="H743" s="5"/>
      <c r="I743" s="5" t="str">
        <f>IFERROR(__xludf.DUMMYFUNCTION("""COMPUTED_VALUE"""),"V4")</f>
        <v>V4</v>
      </c>
      <c r="J743" s="5" t="str">
        <f>IFERROR(__xludf.DUMMYFUNCTION("""COMPUTED_VALUE"""),"JSON")</f>
        <v>JSON</v>
      </c>
      <c r="K743" s="5" t="str">
        <f>IFERROR(__xludf.DUMMYFUNCTION("""COMPUTED_VALUE"""),"Slot")</f>
        <v>Slot</v>
      </c>
      <c r="L743" s="5" t="str">
        <f>IFERROR(__xludf.DUMMYFUNCTION("""COMPUTED_VALUE""")," Variant")</f>
        <v> Variant</v>
      </c>
      <c r="M743" s="5"/>
      <c r="N743" s="5"/>
      <c r="O743" s="5"/>
      <c r="P743" s="12"/>
      <c r="Q743" s="13"/>
      <c r="R743" s="13"/>
      <c r="S743" s="13"/>
      <c r="T743" s="5"/>
      <c r="U743" s="5" t="str">
        <f>IFERROR(__xludf.DUMMYFUNCTION("""COMPUTED_VALUE"""),"5x3")</f>
        <v>5x3</v>
      </c>
      <c r="V743" s="5">
        <f>IFERROR(__xludf.DUMMYFUNCTION("""COMPUTED_VALUE"""),5.0)</f>
        <v>5</v>
      </c>
      <c r="W743" s="5">
        <f>IFERROR(__xludf.DUMMYFUNCTION("""COMPUTED_VALUE"""),5.0)</f>
        <v>5</v>
      </c>
      <c r="X743" s="5"/>
      <c r="Y743" s="5"/>
      <c r="Z743" s="5"/>
      <c r="AA743" s="5"/>
      <c r="AB743" s="5"/>
      <c r="AC743" s="5" t="str">
        <f>IFERROR(__xludf.DUMMYFUNCTION("""COMPUTED_VALUE"""),"Bonus Game with Free Spins, Buy Feature, Bonus Game with Sticky Wild, Bonus Game with Multiplier")</f>
        <v>Bonus Game with Free Spins, Buy Feature, Bonus Game with Sticky Wild, Bonus Game with Multiplier</v>
      </c>
      <c r="AD743" s="5"/>
      <c r="AE743" s="5"/>
      <c r="AF743" s="5"/>
      <c r="AG743" s="8">
        <f>IFERROR(__xludf.DUMMYFUNCTION("""COMPUTED_VALUE"""),46162.62946759259)</f>
        <v>46162.62947</v>
      </c>
      <c r="AH743" s="5" t="str">
        <f>IFERROR(__xludf.DUMMYFUNCTION("""COMPUTED_VALUE"""),"djordje.petrovic@fazi.rs")</f>
        <v>djordje.petrovic@fazi.rs</v>
      </c>
      <c r="AI743" s="13"/>
      <c r="AJ743" s="5"/>
      <c r="AK743" s="5">
        <f>IFERROR(__xludf.DUMMYFUNCTION("""COMPUTED_VALUE"""),1.0)</f>
        <v>1</v>
      </c>
      <c r="AL743" s="5" t="str">
        <f>IFERROR(__xludf.DUMMYFUNCTION("""COMPUTED_VALUE"""),"No")</f>
        <v>No</v>
      </c>
      <c r="AM743" s="5" t="str">
        <f>IFERROR(__xludf.DUMMYFUNCTION("""COMPUTED_VALUE"""),"Yes")</f>
        <v>Yes</v>
      </c>
      <c r="AN743" s="5"/>
      <c r="AO743" s="5" t="str">
        <f>IFERROR(__xludf.DUMMYFUNCTION("""COMPUTED_VALUE"""),"Yes")</f>
        <v>Yes</v>
      </c>
      <c r="AP743" s="5" t="str">
        <f>IFERROR(__xludf.DUMMYFUNCTION("""COMPUTED_VALUE"""),"Yes")</f>
        <v>Yes</v>
      </c>
      <c r="AQ743" s="5"/>
      <c r="AR743" s="5"/>
      <c r="AS743" s="5"/>
      <c r="AT743" s="5"/>
      <c r="AU743" s="5" t="str">
        <f>IFERROR(__xludf.DUMMYFUNCTION("""COMPUTED_VALUE"""),"Fazi")</f>
        <v>Fazi</v>
      </c>
      <c r="AV743" s="5"/>
      <c r="AW743" s="5"/>
      <c r="AX743" s="5"/>
      <c r="AY743" s="5"/>
      <c r="AZ743" s="5"/>
      <c r="BA743" s="5"/>
      <c r="BB743" s="5"/>
      <c r="BC743" s="5" t="str">
        <f>IFERROR(__xludf.DUMMYFUNCTION("""COMPUTED_VALUE"""),"Foxi")</f>
        <v>Foxi</v>
      </c>
      <c r="BD743" s="5" t="str">
        <f>IFERROR(__xludf.DUMMYFUNCTION("""COMPUTED_VALUE"""),"")</f>
        <v/>
      </c>
      <c r="BE743" s="5"/>
    </row>
    <row r="744">
      <c r="A744" s="5">
        <f>IFERROR(__xludf.DUMMYFUNCTION("""COMPUTED_VALUE"""),781.0)</f>
        <v>781</v>
      </c>
      <c r="B744" s="5">
        <f>IFERROR(__xludf.DUMMYFUNCTION("""COMPUTED_VALUE"""),-1.0)</f>
        <v>-1</v>
      </c>
      <c r="C744" s="5" t="str">
        <f>IFERROR(__xludf.DUMMYFUNCTION("""COMPUTED_VALUE"""),"Fazi")</f>
        <v>Fazi</v>
      </c>
      <c r="D744" s="5" t="str">
        <f>IFERROR(__xludf.DUMMYFUNCTION("""COMPUTED_VALUE"""),"Kruna 4x3")</f>
        <v>Kruna 4x3</v>
      </c>
      <c r="E744" s="5" t="str">
        <f>IFERROR(__xludf.DUMMYFUNCTION("""COMPUTED_VALUE"""),"Sertifikacioni")</f>
        <v>Sertifikacioni</v>
      </c>
      <c r="F744" s="5" t="str">
        <f>IFERROR(__xludf.DUMMYFUNCTION("""COMPUTED_VALUE"""),"TBD")</f>
        <v>TBD</v>
      </c>
      <c r="G744" s="5" t="str">
        <f>IFERROR(__xludf.DUMMYFUNCTION("""COMPUTED_VALUE"""),"In Development")</f>
        <v>In Development</v>
      </c>
      <c r="H744" s="5"/>
      <c r="I744" s="5"/>
      <c r="J744" s="5"/>
      <c r="K744" s="5" t="str">
        <f>IFERROR(__xludf.DUMMYFUNCTION("""COMPUTED_VALUE"""),"Slot")</f>
        <v>Slot</v>
      </c>
      <c r="L744" s="5"/>
      <c r="M744" s="5"/>
      <c r="N744" s="5"/>
      <c r="O744" s="5"/>
      <c r="P744" s="12"/>
      <c r="Q744" s="13"/>
      <c r="R744" s="13"/>
      <c r="S744" s="13"/>
      <c r="T744" s="5"/>
      <c r="U744" s="5"/>
      <c r="V744" s="5"/>
      <c r="W744" s="5"/>
      <c r="X744" s="5"/>
      <c r="Y744" s="5"/>
      <c r="Z744" s="5"/>
      <c r="AA744" s="5"/>
      <c r="AB744" s="5"/>
      <c r="AC744" s="5" t="str">
        <f>IFERROR(__xludf.DUMMYFUNCTION("""COMPUTED_VALUE"""),"Poker machine")</f>
        <v>Poker machine</v>
      </c>
      <c r="AD744" s="5"/>
      <c r="AE744" s="5"/>
      <c r="AF744" s="5"/>
      <c r="AG744" s="8">
        <f>IFERROR(__xludf.DUMMYFUNCTION("""COMPUTED_VALUE"""),46162.63486111111)</f>
        <v>46162.63486</v>
      </c>
      <c r="AH744" s="5" t="str">
        <f>IFERROR(__xludf.DUMMYFUNCTION("""COMPUTED_VALUE"""),"petra.ilic@fazi.rs")</f>
        <v>petra.ilic@fazi.rs</v>
      </c>
      <c r="AI744" s="13"/>
      <c r="AJ744" s="5"/>
      <c r="AK744" s="5"/>
      <c r="AL744" s="5"/>
      <c r="AM744" s="5"/>
      <c r="AN744" s="5"/>
      <c r="AO744" s="5"/>
      <c r="AP744" s="5"/>
      <c r="AQ744" s="5"/>
      <c r="AR744" s="5"/>
      <c r="AS744" s="5"/>
      <c r="AT744" s="5"/>
      <c r="AU744" s="5"/>
      <c r="AV744" s="5"/>
      <c r="AW744" s="5"/>
      <c r="AX744" s="5"/>
      <c r="AY744" s="5"/>
      <c r="AZ744" s="5"/>
      <c r="BA744" s="5"/>
      <c r="BB744" s="5"/>
      <c r="BC744" s="5" t="str">
        <f>IFERROR(__xludf.DUMMYFUNCTION("""COMPUTED_VALUE"""),"Foxi")</f>
        <v>Foxi</v>
      </c>
      <c r="BD744" s="5" t="str">
        <f>IFERROR(__xludf.DUMMYFUNCTION("""COMPUTED_VALUE"""),"")</f>
        <v/>
      </c>
      <c r="BE744" s="5"/>
    </row>
    <row r="745">
      <c r="A745" s="5">
        <f>IFERROR(__xludf.DUMMYFUNCTION("""COMPUTED_VALUE"""),782.0)</f>
        <v>782</v>
      </c>
      <c r="B745" s="5">
        <f>IFERROR(__xludf.DUMMYFUNCTION("""COMPUTED_VALUE"""),-1.0)</f>
        <v>-1</v>
      </c>
      <c r="C745" s="5" t="str">
        <f>IFERROR(__xludf.DUMMYFUNCTION("""COMPUTED_VALUE"""),"Fazi")</f>
        <v>Fazi</v>
      </c>
      <c r="D745" s="5" t="str">
        <f>IFERROR(__xludf.DUMMYFUNCTION("""COMPUTED_VALUE"""),"Book Of Lob")</f>
        <v>Book Of Lob</v>
      </c>
      <c r="E745" s="5" t="str">
        <f>IFERROR(__xludf.DUMMYFUNCTION("""COMPUTED_VALUE"""),"Sertifikacioni")</f>
        <v>Sertifikacioni</v>
      </c>
      <c r="F745" s="5" t="str">
        <f>IFERROR(__xludf.DUMMYFUNCTION("""COMPUTED_VALUE"""),"TBD")</f>
        <v>TBD</v>
      </c>
      <c r="G745" s="5" t="str">
        <f>IFERROR(__xludf.DUMMYFUNCTION("""COMPUTED_VALUE"""),"In Development")</f>
        <v>In Development</v>
      </c>
      <c r="H745" s="5"/>
      <c r="I745" s="5"/>
      <c r="J745" s="5"/>
      <c r="K745" s="5" t="str">
        <f>IFERROR(__xludf.DUMMYFUNCTION("""COMPUTED_VALUE"""),"Slot")</f>
        <v>Slot</v>
      </c>
      <c r="L745" s="5"/>
      <c r="M745" s="5"/>
      <c r="N745" s="5"/>
      <c r="O745" s="5"/>
      <c r="P745" s="12"/>
      <c r="Q745" s="13"/>
      <c r="R745" s="13"/>
      <c r="S745" s="13"/>
      <c r="T745" s="5"/>
      <c r="U745" s="5"/>
      <c r="V745" s="5"/>
      <c r="W745" s="5"/>
      <c r="X745" s="5"/>
      <c r="Y745" s="5"/>
      <c r="Z745" s="5"/>
      <c r="AA745" s="5"/>
      <c r="AB745" s="5"/>
      <c r="AC745" s="5" t="str">
        <f>IFERROR(__xludf.DUMMYFUNCTION("""COMPUTED_VALUE"""),"Poker machine")</f>
        <v>Poker machine</v>
      </c>
      <c r="AD745" s="5"/>
      <c r="AE745" s="5"/>
      <c r="AF745" s="5"/>
      <c r="AG745" s="8">
        <f>IFERROR(__xludf.DUMMYFUNCTION("""COMPUTED_VALUE"""),46162.63547453703)</f>
        <v>46162.63547</v>
      </c>
      <c r="AH745" s="5" t="str">
        <f>IFERROR(__xludf.DUMMYFUNCTION("""COMPUTED_VALUE"""),"petra.ilic@fazi.rs")</f>
        <v>petra.ilic@fazi.rs</v>
      </c>
      <c r="AI745" s="13"/>
      <c r="AJ745" s="5"/>
      <c r="AK745" s="5"/>
      <c r="AL745" s="5"/>
      <c r="AM745" s="5"/>
      <c r="AN745" s="5"/>
      <c r="AO745" s="5"/>
      <c r="AP745" s="5"/>
      <c r="AQ745" s="5"/>
      <c r="AR745" s="5" t="b">
        <f>IFERROR(__xludf.DUMMYFUNCTION("""COMPUTED_VALUE"""),TRUE)</f>
        <v>1</v>
      </c>
      <c r="AS745" s="5"/>
      <c r="AT745" s="5"/>
      <c r="AU745" s="5"/>
      <c r="AV745" s="5"/>
      <c r="AW745" s="5"/>
      <c r="AX745" s="5"/>
      <c r="AY745" s="5"/>
      <c r="AZ745" s="5"/>
      <c r="BA745" s="5"/>
      <c r="BB745" s="5"/>
      <c r="BC745" s="5" t="str">
        <f>IFERROR(__xludf.DUMMYFUNCTION("""COMPUTED_VALUE"""),"Foxi")</f>
        <v>Foxi</v>
      </c>
      <c r="BD745" s="5" t="str">
        <f>IFERROR(__xludf.DUMMYFUNCTION("""COMPUTED_VALUE"""),"")</f>
        <v/>
      </c>
      <c r="BE745" s="5"/>
    </row>
    <row r="746">
      <c r="A746" s="5">
        <f>IFERROR(__xludf.DUMMYFUNCTION("""COMPUTED_VALUE"""),783.0)</f>
        <v>783</v>
      </c>
      <c r="B746" s="5">
        <f>IFERROR(__xludf.DUMMYFUNCTION("""COMPUTED_VALUE"""),4043.0)</f>
        <v>4043</v>
      </c>
      <c r="C746" s="5" t="str">
        <f>IFERROR(__xludf.DUMMYFUNCTION("""COMPUTED_VALUE"""),"Fazi")</f>
        <v>Fazi</v>
      </c>
      <c r="D746" s="5" t="str">
        <f>IFERROR(__xludf.DUMMYFUNCTION("""COMPUTED_VALUE"""),"Ivan's Bonus Crown")</f>
        <v>Ivan's Bonus Crown</v>
      </c>
      <c r="E746" s="5" t="str">
        <f>IFERROR(__xludf.DUMMYFUNCTION("""COMPUTED_VALUE"""),"Sertifikacioni")</f>
        <v>Sertifikacioni</v>
      </c>
      <c r="F746" s="5" t="str">
        <f>IFERROR(__xludf.DUMMYFUNCTION("""COMPUTED_VALUE"""),"IvansBonusCrown")</f>
        <v>IvansBonusCrown</v>
      </c>
      <c r="G746" s="5" t="str">
        <f>IFERROR(__xludf.DUMMYFUNCTION("""COMPUTED_VALUE"""),"Deployed")</f>
        <v>Deployed</v>
      </c>
      <c r="H746" s="5" t="str">
        <f>IFERROR(__xludf.DUMMYFUNCTION("""COMPUTED_VALUE"""),"MaxBet")</f>
        <v>MaxBet</v>
      </c>
      <c r="I746" s="5" t="str">
        <f>IFERROR(__xludf.DUMMYFUNCTION("""COMPUTED_VALUE"""),"V4")</f>
        <v>V4</v>
      </c>
      <c r="J746" s="5" t="str">
        <f>IFERROR(__xludf.DUMMYFUNCTION("""COMPUTED_VALUE"""),"JSON")</f>
        <v>JSON</v>
      </c>
      <c r="K746" s="5" t="str">
        <f>IFERROR(__xludf.DUMMYFUNCTION("""COMPUTED_VALUE"""),"Slot")</f>
        <v>Slot</v>
      </c>
      <c r="L746" s="5" t="str">
        <f>IFERROR(__xludf.DUMMYFUNCTION("""COMPUTED_VALUE""")," Clone")</f>
        <v> Clone</v>
      </c>
      <c r="M746" s="5" t="str">
        <f>IFERROR(__xludf.DUMMYFUNCTION("""COMPUTED_VALUE"""),"Bonus Epic Crown")</f>
        <v>Bonus Epic Crown</v>
      </c>
      <c r="N746" s="5"/>
      <c r="O746" s="5"/>
      <c r="P746" s="12"/>
      <c r="Q746" s="13">
        <f>IFERROR(__xludf.DUMMYFUNCTION("""COMPUTED_VALUE"""),46209.0)</f>
        <v>46209</v>
      </c>
      <c r="R746" s="13"/>
      <c r="S746" s="13"/>
      <c r="T746" s="5"/>
      <c r="U746" s="5" t="str">
        <f>IFERROR(__xludf.DUMMYFUNCTION("""COMPUTED_VALUE"""),"5x3")</f>
        <v>5x3</v>
      </c>
      <c r="V746" s="5">
        <f>IFERROR(__xludf.DUMMYFUNCTION("""COMPUTED_VALUE"""),10.0)</f>
        <v>10</v>
      </c>
      <c r="W746" s="5">
        <f>IFERROR(__xludf.DUMMYFUNCTION("""COMPUTED_VALUE"""),10.0)</f>
        <v>10</v>
      </c>
      <c r="X746" s="5">
        <f>IFERROR(__xludf.DUMMYFUNCTION("""COMPUTED_VALUE"""),96.533)</f>
        <v>96.533</v>
      </c>
      <c r="Y746" s="5" t="str">
        <f>IFERROR(__xludf.DUMMYFUNCTION("""COMPUTED_VALUE"""),"High")</f>
        <v>High</v>
      </c>
      <c r="Z746" s="5">
        <f>IFERROR(__xludf.DUMMYFUNCTION("""COMPUTED_VALUE"""),10.61)</f>
        <v>10.61</v>
      </c>
      <c r="AA746" s="5">
        <f>IFERROR(__xludf.DUMMYFUNCTION("""COMPUTED_VALUE"""),20108.0)</f>
        <v>20108</v>
      </c>
      <c r="AB746" s="5"/>
      <c r="AC746" s="5" t="str">
        <f>IFERROR(__xludf.DUMMYFUNCTION("""COMPUTED_VALUE"""),"Buy Bonus, Variable RTP, Free Rounds")</f>
        <v>Buy Bonus, Variable RTP, Free Rounds</v>
      </c>
      <c r="AD746" s="5"/>
      <c r="AE746" s="5"/>
      <c r="AF746" s="5"/>
      <c r="AG746" s="8">
        <f>IFERROR(__xludf.DUMMYFUNCTION("""COMPUTED_VALUE"""),46210.44241898148)</f>
        <v>46210.44242</v>
      </c>
      <c r="AH746" s="5" t="str">
        <f>IFERROR(__xludf.DUMMYFUNCTION("""COMPUTED_VALUE"""),"petra.ilic@fazi.rs")</f>
        <v>petra.ilic@fazi.rs</v>
      </c>
      <c r="AI746" s="13"/>
      <c r="AJ746" s="5"/>
      <c r="AK746" s="5">
        <f>IFERROR(__xludf.DUMMYFUNCTION("""COMPUTED_VALUE"""),10.0)</f>
        <v>10</v>
      </c>
      <c r="AL746" s="5" t="str">
        <f>IFERROR(__xludf.DUMMYFUNCTION("""COMPUTED_VALUE"""),"Yes")</f>
        <v>Yes</v>
      </c>
      <c r="AM746" s="5"/>
      <c r="AN746" s="5"/>
      <c r="AO746" s="5" t="str">
        <f>IFERROR(__xludf.DUMMYFUNCTION("""COMPUTED_VALUE"""),"Yes")</f>
        <v>Yes</v>
      </c>
      <c r="AP746" s="5" t="str">
        <f>IFERROR(__xludf.DUMMYFUNCTION("""COMPUTED_VALUE"""),"Yes")</f>
        <v>Yes</v>
      </c>
      <c r="AQ746" s="5"/>
      <c r="AR746" s="5" t="b">
        <f>IFERROR(__xludf.DUMMYFUNCTION("""COMPUTED_VALUE"""),TRUE)</f>
        <v>1</v>
      </c>
      <c r="AS746" s="5"/>
      <c r="AT746" s="5"/>
      <c r="AU746" s="5" t="str">
        <f>IFERROR(__xludf.DUMMYFUNCTION("""COMPUTED_VALUE"""),"Fazi")</f>
        <v>Fazi</v>
      </c>
      <c r="AV746" s="5"/>
      <c r="AW746" s="5"/>
      <c r="AX746" s="13">
        <f>IFERROR(__xludf.DUMMYFUNCTION("""COMPUTED_VALUE"""),46203.0)</f>
        <v>46203</v>
      </c>
      <c r="AY746" s="5" t="str">
        <f>IFERROR(__xludf.DUMMYFUNCTION("""COMPUTED_VALUE"""),"87.5%, 89.5%, 91.5%, 93.5%, 94.5%, 95.5%, 96.5%")</f>
        <v>87.5%, 89.5%, 91.5%, 93.5%, 94.5%, 95.5%, 96.5%</v>
      </c>
      <c r="AZ746" s="5"/>
      <c r="BA746" s="5"/>
      <c r="BB746" s="5"/>
      <c r="BC746" s="5" t="str">
        <f>IFERROR(__xludf.DUMMYFUNCTION("""COMPUTED_VALUE"""),"Foxi")</f>
        <v>Foxi</v>
      </c>
      <c r="BD746" s="5"/>
      <c r="BE746" s="5"/>
    </row>
    <row r="747">
      <c r="A747" s="5">
        <f>IFERROR(__xludf.DUMMYFUNCTION("""COMPUTED_VALUE"""),784.0)</f>
        <v>784</v>
      </c>
      <c r="B747" s="5">
        <f>IFERROR(__xludf.DUMMYFUNCTION("""COMPUTED_VALUE"""),4047.0)</f>
        <v>4047</v>
      </c>
      <c r="C747" s="5" t="str">
        <f>IFERROR(__xludf.DUMMYFUNCTION("""COMPUTED_VALUE"""),"Fazi")</f>
        <v>Fazi</v>
      </c>
      <c r="D747" s="5" t="str">
        <f>IFERROR(__xludf.DUMMYFUNCTION("""COMPUTED_VALUE"""),"Wild Hot 40 Triunfo")</f>
        <v>Wild Hot 40 Triunfo</v>
      </c>
      <c r="E747" s="5" t="str">
        <f>IFERROR(__xludf.DUMMYFUNCTION("""COMPUTED_VALUE"""),"Sertifikacioni")</f>
        <v>Sertifikacioni</v>
      </c>
      <c r="F747" s="5" t="str">
        <f>IFERROR(__xludf.DUMMYFUNCTION("""COMPUTED_VALUE"""),"WildHot40Triunfo")</f>
        <v>WildHot40Triunfo</v>
      </c>
      <c r="G747" s="5" t="str">
        <f>IFERROR(__xludf.DUMMYFUNCTION("""COMPUTED_VALUE"""),"Deployed")</f>
        <v>Deployed</v>
      </c>
      <c r="H747" s="5" t="str">
        <f>IFERROR(__xludf.DUMMYFUNCTION("""COMPUTED_VALUE"""),"Triunfobet")</f>
        <v>Triunfobet</v>
      </c>
      <c r="I747" s="5" t="str">
        <f>IFERROR(__xludf.DUMMYFUNCTION("""COMPUTED_VALUE"""),"V2")</f>
        <v>V2</v>
      </c>
      <c r="J747" s="5" t="str">
        <f>IFERROR(__xludf.DUMMYFUNCTION("""COMPUTED_VALUE"""),"JSON")</f>
        <v>JSON</v>
      </c>
      <c r="K747" s="5" t="str">
        <f>IFERROR(__xludf.DUMMYFUNCTION("""COMPUTED_VALUE"""),"Slot")</f>
        <v>Slot</v>
      </c>
      <c r="L747" s="5" t="str">
        <f>IFERROR(__xludf.DUMMYFUNCTION("""COMPUTED_VALUE""")," Clone")</f>
        <v> Clone</v>
      </c>
      <c r="M747" s="5" t="str">
        <f>IFERROR(__xludf.DUMMYFUNCTION("""COMPUTED_VALUE"""),"Wild Hot 40")</f>
        <v>Wild Hot 40</v>
      </c>
      <c r="N747" s="5"/>
      <c r="O747" s="5"/>
      <c r="P747" s="12"/>
      <c r="Q747" s="13">
        <f>IFERROR(__xludf.DUMMYFUNCTION("""COMPUTED_VALUE"""),46209.0)</f>
        <v>46209</v>
      </c>
      <c r="R747" s="13"/>
      <c r="S747" s="13"/>
      <c r="T747" s="5"/>
      <c r="U747" s="5" t="str">
        <f>IFERROR(__xludf.DUMMYFUNCTION("""COMPUTED_VALUE"""),"5x4")</f>
        <v>5x4</v>
      </c>
      <c r="V747" s="5">
        <f>IFERROR(__xludf.DUMMYFUNCTION("""COMPUTED_VALUE"""),40.0)</f>
        <v>40</v>
      </c>
      <c r="W747" s="5">
        <f>IFERROR(__xludf.DUMMYFUNCTION("""COMPUTED_VALUE"""),40.0)</f>
        <v>40</v>
      </c>
      <c r="X747" s="5">
        <f>IFERROR(__xludf.DUMMYFUNCTION("""COMPUTED_VALUE"""),96.584)</f>
        <v>96.584</v>
      </c>
      <c r="Y747" s="5" t="str">
        <f>IFERROR(__xludf.DUMMYFUNCTION("""COMPUTED_VALUE"""),"Low")</f>
        <v>Low</v>
      </c>
      <c r="Z747" s="5">
        <f>IFERROR(__xludf.DUMMYFUNCTION("""COMPUTED_VALUE"""),16.73)</f>
        <v>16.73</v>
      </c>
      <c r="AA747" s="5">
        <f>IFERROR(__xludf.DUMMYFUNCTION("""COMPUTED_VALUE"""),1000.0)</f>
        <v>1000</v>
      </c>
      <c r="AB747" s="5"/>
      <c r="AC747" s="5" t="str">
        <f>IFERROR(__xludf.DUMMYFUNCTION("""COMPUTED_VALUE"""),"Free Rounds, Variable RTP, Scatter, Wild Symbol")</f>
        <v>Free Rounds, Variable RTP, Scatter, Wild Symbol</v>
      </c>
      <c r="AD747" s="5"/>
      <c r="AE747" s="5"/>
      <c r="AF747" s="5"/>
      <c r="AG747" s="8">
        <f>IFERROR(__xludf.DUMMYFUNCTION("""COMPUTED_VALUE"""),46210.44212962963)</f>
        <v>46210.44213</v>
      </c>
      <c r="AH747" s="5" t="str">
        <f>IFERROR(__xludf.DUMMYFUNCTION("""COMPUTED_VALUE"""),"petra.ilic@fazi.rs")</f>
        <v>petra.ilic@fazi.rs</v>
      </c>
      <c r="AI747" s="13"/>
      <c r="AJ747" s="5"/>
      <c r="AK747" s="5">
        <f>IFERROR(__xludf.DUMMYFUNCTION("""COMPUTED_VALUE"""),40.0)</f>
        <v>40</v>
      </c>
      <c r="AL747" s="5" t="str">
        <f>IFERROR(__xludf.DUMMYFUNCTION("""COMPUTED_VALUE"""),"Yes")</f>
        <v>Yes</v>
      </c>
      <c r="AM747" s="5"/>
      <c r="AN747" s="5"/>
      <c r="AO747" s="5" t="str">
        <f>IFERROR(__xludf.DUMMYFUNCTION("""COMPUTED_VALUE"""),"Yes")</f>
        <v>Yes</v>
      </c>
      <c r="AP747" s="5" t="str">
        <f>IFERROR(__xludf.DUMMYFUNCTION("""COMPUTED_VALUE"""),"Yes")</f>
        <v>Yes</v>
      </c>
      <c r="AQ747" s="5"/>
      <c r="AR747" s="5" t="b">
        <f>IFERROR(__xludf.DUMMYFUNCTION("""COMPUTED_VALUE"""),TRUE)</f>
        <v>1</v>
      </c>
      <c r="AS747" s="5"/>
      <c r="AT747" s="5"/>
      <c r="AU747" s="5" t="str">
        <f>IFERROR(__xludf.DUMMYFUNCTION("""COMPUTED_VALUE"""),"Fazi")</f>
        <v>Fazi</v>
      </c>
      <c r="AV747" s="5">
        <f>IFERROR(__xludf.DUMMYFUNCTION("""COMPUTED_VALUE"""),1.0)</f>
        <v>1</v>
      </c>
      <c r="AW747" s="5"/>
      <c r="AX747" s="13">
        <f>IFERROR(__xludf.DUMMYFUNCTION("""COMPUTED_VALUE"""),46203.0)</f>
        <v>46203</v>
      </c>
      <c r="AY747" s="5" t="str">
        <f>IFERROR(__xludf.DUMMYFUNCTION("""COMPUTED_VALUE"""),"87.5%, 89.5%, 91.5%, 93.5%, 94.5%, 95.5%, 96.5%")</f>
        <v>87.5%, 89.5%, 91.5%, 93.5%, 94.5%, 95.5%, 96.5%</v>
      </c>
      <c r="AZ747" s="5"/>
      <c r="BA747" s="5"/>
      <c r="BB747" s="5"/>
      <c r="BC747" s="5" t="str">
        <f>IFERROR(__xludf.DUMMYFUNCTION("""COMPUTED_VALUE"""),"Foxi")</f>
        <v>Foxi</v>
      </c>
      <c r="BD747" s="5"/>
      <c r="BE747" s="5"/>
    </row>
    <row r="748">
      <c r="A748" s="5">
        <f>IFERROR(__xludf.DUMMYFUNCTION("""COMPUTED_VALUE"""),785.0)</f>
        <v>785</v>
      </c>
      <c r="B748" s="5">
        <f>IFERROR(__xludf.DUMMYFUNCTION("""COMPUTED_VALUE"""),4042.0)</f>
        <v>4042</v>
      </c>
      <c r="C748" s="5" t="str">
        <f>IFERROR(__xludf.DUMMYFUNCTION("""COMPUTED_VALUE"""),"Fazi")</f>
        <v>Fazi</v>
      </c>
      <c r="D748" s="5" t="str">
        <f>IFERROR(__xludf.DUMMYFUNCTION("""COMPUTED_VALUE"""),"Wild Hot Gorilla")</f>
        <v>Wild Hot Gorilla</v>
      </c>
      <c r="E748" s="5" t="str">
        <f>IFERROR(__xludf.DUMMYFUNCTION("""COMPUTED_VALUE"""),"Sertifikacioni")</f>
        <v>Sertifikacioni</v>
      </c>
      <c r="F748" s="5" t="str">
        <f>IFERROR(__xludf.DUMMYFUNCTION("""COMPUTED_VALUE"""),"WildHotGorilla")</f>
        <v>WildHotGorilla</v>
      </c>
      <c r="G748" s="5" t="str">
        <f>IFERROR(__xludf.DUMMYFUNCTION("""COMPUTED_VALUE"""),"In Development")</f>
        <v>In Development</v>
      </c>
      <c r="H748" s="5" t="str">
        <f>IFERROR(__xludf.DUMMYFUNCTION("""COMPUTED_VALUE"""),"Gorilla")</f>
        <v>Gorilla</v>
      </c>
      <c r="I748" s="5" t="str">
        <f>IFERROR(__xludf.DUMMYFUNCTION("""COMPUTED_VALUE"""),"V2")</f>
        <v>V2</v>
      </c>
      <c r="J748" s="5" t="str">
        <f>IFERROR(__xludf.DUMMYFUNCTION("""COMPUTED_VALUE"""),"JSON")</f>
        <v>JSON</v>
      </c>
      <c r="K748" s="5" t="str">
        <f>IFERROR(__xludf.DUMMYFUNCTION("""COMPUTED_VALUE"""),"Slot")</f>
        <v>Slot</v>
      </c>
      <c r="L748" s="5" t="str">
        <f>IFERROR(__xludf.DUMMYFUNCTION("""COMPUTED_VALUE""")," Clone")</f>
        <v> Clone</v>
      </c>
      <c r="M748" s="5" t="str">
        <f>IFERROR(__xludf.DUMMYFUNCTION("""COMPUTED_VALUE"""),"Wild Hot 40")</f>
        <v>Wild Hot 40</v>
      </c>
      <c r="N748" s="5"/>
      <c r="O748" s="5"/>
      <c r="P748" s="12"/>
      <c r="Q748" s="13">
        <f>IFERROR(__xludf.DUMMYFUNCTION("""COMPUTED_VALUE"""),46195.0)</f>
        <v>46195</v>
      </c>
      <c r="R748" s="13"/>
      <c r="S748" s="13"/>
      <c r="T748" s="5"/>
      <c r="U748" s="5">
        <f>IFERROR(__xludf.DUMMYFUNCTION("""COMPUTED_VALUE"""),40.0)</f>
        <v>40</v>
      </c>
      <c r="V748" s="5">
        <f>IFERROR(__xludf.DUMMYFUNCTION("""COMPUTED_VALUE"""),40.0)</f>
        <v>40</v>
      </c>
      <c r="W748" s="5"/>
      <c r="X748" s="5">
        <f>IFERROR(__xludf.DUMMYFUNCTION("""COMPUTED_VALUE"""),96.584)</f>
        <v>96.584</v>
      </c>
      <c r="Y748" s="5" t="str">
        <f>IFERROR(__xludf.DUMMYFUNCTION("""COMPUTED_VALUE"""),"Low")</f>
        <v>Low</v>
      </c>
      <c r="Z748" s="5">
        <f>IFERROR(__xludf.DUMMYFUNCTION("""COMPUTED_VALUE"""),16.73)</f>
        <v>16.73</v>
      </c>
      <c r="AA748" s="5">
        <f>IFERROR(__xludf.DUMMYFUNCTION("""COMPUTED_VALUE"""),1000.0)</f>
        <v>1000</v>
      </c>
      <c r="AB748" s="5"/>
      <c r="AC748" s="5" t="str">
        <f>IFERROR(__xludf.DUMMYFUNCTION("""COMPUTED_VALUE"""),"Buy Bonus, Scatter, Wild Symbol")</f>
        <v>Buy Bonus, Scatter, Wild Symbol</v>
      </c>
      <c r="AD748" s="5"/>
      <c r="AE748" s="5"/>
      <c r="AF748" s="5"/>
      <c r="AG748" s="8">
        <f>IFERROR(__xludf.DUMMYFUNCTION("""COMPUTED_VALUE"""),46185.67543981481)</f>
        <v>46185.67544</v>
      </c>
      <c r="AH748" s="5" t="str">
        <f>IFERROR(__xludf.DUMMYFUNCTION("""COMPUTED_VALUE"""),"petra.ilic@fazi.rs")</f>
        <v>petra.ilic@fazi.rs</v>
      </c>
      <c r="AI748" s="13"/>
      <c r="AJ748" s="5"/>
      <c r="AK748" s="5">
        <f>IFERROR(__xludf.DUMMYFUNCTION("""COMPUTED_VALUE"""),40.0)</f>
        <v>40</v>
      </c>
      <c r="AL748" s="5" t="str">
        <f>IFERROR(__xludf.DUMMYFUNCTION("""COMPUTED_VALUE"""),"Yes")</f>
        <v>Yes</v>
      </c>
      <c r="AM748" s="5"/>
      <c r="AN748" s="5"/>
      <c r="AO748" s="5" t="str">
        <f>IFERROR(__xludf.DUMMYFUNCTION("""COMPUTED_VALUE"""),"Yes")</f>
        <v>Yes</v>
      </c>
      <c r="AP748" s="5" t="str">
        <f>IFERROR(__xludf.DUMMYFUNCTION("""COMPUTED_VALUE"""),"Yes")</f>
        <v>Yes</v>
      </c>
      <c r="AQ748" s="5"/>
      <c r="AR748" s="5" t="b">
        <f>IFERROR(__xludf.DUMMYFUNCTION("""COMPUTED_VALUE"""),TRUE)</f>
        <v>1</v>
      </c>
      <c r="AS748" s="5"/>
      <c r="AT748" s="5"/>
      <c r="AU748" s="5" t="str">
        <f>IFERROR(__xludf.DUMMYFUNCTION("""COMPUTED_VALUE"""),"Fazi")</f>
        <v>Fazi</v>
      </c>
      <c r="AV748" s="5"/>
      <c r="AW748" s="5"/>
      <c r="AX748" s="13">
        <f>IFERROR(__xludf.DUMMYFUNCTION("""COMPUTED_VALUE"""),46189.0)</f>
        <v>46189</v>
      </c>
      <c r="AY748" s="5" t="str">
        <f>IFERROR(__xludf.DUMMYFUNCTION("""COMPUTED_VALUE"""),"87.5%, 89.5%, 91.5%, 93.5%, 94.5%, 95.5%, 96.5%")</f>
        <v>87.5%, 89.5%, 91.5%, 93.5%, 94.5%, 95.5%, 96.5%</v>
      </c>
      <c r="AZ748" s="5"/>
      <c r="BA748" s="5"/>
      <c r="BB748" s="5"/>
      <c r="BC748" s="5" t="str">
        <f>IFERROR(__xludf.DUMMYFUNCTION("""COMPUTED_VALUE"""),"Foxi")</f>
        <v>Foxi</v>
      </c>
      <c r="BD748" s="5" t="str">
        <f>IFERROR(__xludf.DUMMYFUNCTION("""COMPUTED_VALUE"""),"")</f>
        <v/>
      </c>
      <c r="BE748" s="5"/>
    </row>
    <row r="749">
      <c r="A749" s="5">
        <f>IFERROR(__xludf.DUMMYFUNCTION("""COMPUTED_VALUE"""),786.0)</f>
        <v>786</v>
      </c>
      <c r="B749" s="5">
        <f>IFERROR(__xludf.DUMMYFUNCTION("""COMPUTED_VALUE"""),4044.0)</f>
        <v>4044</v>
      </c>
      <c r="C749" s="5" t="str">
        <f>IFERROR(__xludf.DUMMYFUNCTION("""COMPUTED_VALUE"""),"Fazi")</f>
        <v>Fazi</v>
      </c>
      <c r="D749" s="5" t="str">
        <f>IFERROR(__xludf.DUMMYFUNCTION("""COMPUTED_VALUE"""),"Betking Wild 27")</f>
        <v>Betking Wild 27</v>
      </c>
      <c r="E749" s="5" t="str">
        <f>IFERROR(__xludf.DUMMYFUNCTION("""COMPUTED_VALUE"""),"Sertifikacioni")</f>
        <v>Sertifikacioni</v>
      </c>
      <c r="F749" s="5" t="str">
        <f>IFERROR(__xludf.DUMMYFUNCTION("""COMPUTED_VALUE"""),"BetkingWild27")</f>
        <v>BetkingWild27</v>
      </c>
      <c r="G749" s="5" t="str">
        <f>IFERROR(__xludf.DUMMYFUNCTION("""COMPUTED_VALUE"""),"Deployed")</f>
        <v>Deployed</v>
      </c>
      <c r="H749" s="5" t="str">
        <f>IFERROR(__xludf.DUMMYFUNCTION("""COMPUTED_VALUE"""),"Betking")</f>
        <v>Betking</v>
      </c>
      <c r="I749" s="5" t="str">
        <f>IFERROR(__xludf.DUMMYFUNCTION("""COMPUTED_VALUE"""),"V4")</f>
        <v>V4</v>
      </c>
      <c r="J749" s="5" t="str">
        <f>IFERROR(__xludf.DUMMYFUNCTION("""COMPUTED_VALUE"""),"JSON")</f>
        <v>JSON</v>
      </c>
      <c r="K749" s="5" t="str">
        <f>IFERROR(__xludf.DUMMYFUNCTION("""COMPUTED_VALUE"""),"Slot")</f>
        <v>Slot</v>
      </c>
      <c r="L749" s="5" t="str">
        <f>IFERROR(__xludf.DUMMYFUNCTION("""COMPUTED_VALUE""")," Clone")</f>
        <v> Clone</v>
      </c>
      <c r="M749" s="5" t="str">
        <f>IFERROR(__xludf.DUMMYFUNCTION("""COMPUTED_VALUE"""),"Wild 27")</f>
        <v>Wild 27</v>
      </c>
      <c r="N749" s="5"/>
      <c r="O749" s="5"/>
      <c r="P749" s="12"/>
      <c r="Q749" s="13">
        <f>IFERROR(__xludf.DUMMYFUNCTION("""COMPUTED_VALUE"""),46209.0)</f>
        <v>46209</v>
      </c>
      <c r="R749" s="13"/>
      <c r="S749" s="13"/>
      <c r="T749" s="5"/>
      <c r="U749" s="5" t="str">
        <f>IFERROR(__xludf.DUMMYFUNCTION("""COMPUTED_VALUE"""),"3x3")</f>
        <v>3x3</v>
      </c>
      <c r="V749" s="5">
        <f>IFERROR(__xludf.DUMMYFUNCTION("""COMPUTED_VALUE"""),27.0)</f>
        <v>27</v>
      </c>
      <c r="W749" s="5">
        <f>IFERROR(__xludf.DUMMYFUNCTION("""COMPUTED_VALUE"""),27.0)</f>
        <v>27</v>
      </c>
      <c r="X749" s="5">
        <f>IFERROR(__xludf.DUMMYFUNCTION("""COMPUTED_VALUE"""),96.24)</f>
        <v>96.24</v>
      </c>
      <c r="Y749" s="5" t="str">
        <f>IFERROR(__xludf.DUMMYFUNCTION("""COMPUTED_VALUE"""),"Low")</f>
        <v>Low</v>
      </c>
      <c r="Z749" s="5">
        <f>IFERROR(__xludf.DUMMYFUNCTION("""COMPUTED_VALUE"""),6.58)</f>
        <v>6.58</v>
      </c>
      <c r="AA749" s="5">
        <f>IFERROR(__xludf.DUMMYFUNCTION("""COMPUTED_VALUE"""),108.0)</f>
        <v>108</v>
      </c>
      <c r="AB749" s="5"/>
      <c r="AC749" s="5" t="str">
        <f>IFERROR(__xludf.DUMMYFUNCTION("""COMPUTED_VALUE"""),"Free Rounds, Variable RTP")</f>
        <v>Free Rounds, Variable RTP</v>
      </c>
      <c r="AD749" s="5"/>
      <c r="AE749" s="5"/>
      <c r="AF749" s="5"/>
      <c r="AG749" s="8">
        <f>IFERROR(__xludf.DUMMYFUNCTION("""COMPUTED_VALUE"""),46210.44226851852)</f>
        <v>46210.44227</v>
      </c>
      <c r="AH749" s="5" t="str">
        <f>IFERROR(__xludf.DUMMYFUNCTION("""COMPUTED_VALUE"""),"petra.ilic@fazi.rs")</f>
        <v>petra.ilic@fazi.rs</v>
      </c>
      <c r="AI749" s="13"/>
      <c r="AJ749" s="5"/>
      <c r="AK749" s="5">
        <f>IFERROR(__xludf.DUMMYFUNCTION("""COMPUTED_VALUE"""),1.0)</f>
        <v>1</v>
      </c>
      <c r="AL749" s="5" t="str">
        <f>IFERROR(__xludf.DUMMYFUNCTION("""COMPUTED_VALUE"""),"Yes")</f>
        <v>Yes</v>
      </c>
      <c r="AM749" s="5"/>
      <c r="AN749" s="5"/>
      <c r="AO749" s="5" t="str">
        <f>IFERROR(__xludf.DUMMYFUNCTION("""COMPUTED_VALUE"""),"Yes")</f>
        <v>Yes</v>
      </c>
      <c r="AP749" s="5" t="str">
        <f>IFERROR(__xludf.DUMMYFUNCTION("""COMPUTED_VALUE"""),"Yes")</f>
        <v>Yes</v>
      </c>
      <c r="AQ749" s="5"/>
      <c r="AR749" s="5" t="b">
        <f>IFERROR(__xludf.DUMMYFUNCTION("""COMPUTED_VALUE"""),TRUE)</f>
        <v>1</v>
      </c>
      <c r="AS749" s="5"/>
      <c r="AT749" s="5"/>
      <c r="AU749" s="5" t="str">
        <f>IFERROR(__xludf.DUMMYFUNCTION("""COMPUTED_VALUE"""),"Fazi")</f>
        <v>Fazi</v>
      </c>
      <c r="AV749" s="5"/>
      <c r="AW749" s="5"/>
      <c r="AX749" s="13">
        <f>IFERROR(__xludf.DUMMYFUNCTION("""COMPUTED_VALUE"""),46203.0)</f>
        <v>46203</v>
      </c>
      <c r="AY749" s="5" t="str">
        <f>IFERROR(__xludf.DUMMYFUNCTION("""COMPUTED_VALUE"""),"87.5%, 89.5%, 91.5%, 93.5%, 94.5%, 95.5%, 96.5%")</f>
        <v>87.5%, 89.5%, 91.5%, 93.5%, 94.5%, 95.5%, 96.5%</v>
      </c>
      <c r="AZ749" s="5"/>
      <c r="BA749" s="5"/>
      <c r="BB749" s="5"/>
      <c r="BC749" s="5" t="str">
        <f>IFERROR(__xludf.DUMMYFUNCTION("""COMPUTED_VALUE"""),"Foxi")</f>
        <v>Foxi</v>
      </c>
      <c r="BD749" s="5"/>
      <c r="BE749" s="5"/>
    </row>
    <row r="750">
      <c r="A750" s="5">
        <f>IFERROR(__xludf.DUMMYFUNCTION("""COMPUTED_VALUE"""),787.0)</f>
        <v>787</v>
      </c>
      <c r="B750" s="5">
        <f>IFERROR(__xludf.DUMMYFUNCTION("""COMPUTED_VALUE"""),5000001.0)</f>
        <v>5000001</v>
      </c>
      <c r="C750" s="5" t="str">
        <f>IFERROR(__xludf.DUMMYFUNCTION("""COMPUTED_VALUE"""),"SOKO studio")</f>
        <v>SOKO studio</v>
      </c>
      <c r="D750" s="5" t="str">
        <f>IFERROR(__xludf.DUMMYFUNCTION("""COMPUTED_VALUE"""),"Lucky Crown 10")</f>
        <v>Lucky Crown 10</v>
      </c>
      <c r="E750" s="5" t="str">
        <f>IFERROR(__xludf.DUMMYFUNCTION("""COMPUTED_VALUE"""),"SOKO studio")</f>
        <v>SOKO studio</v>
      </c>
      <c r="F750" s="5" t="str">
        <f>IFERROR(__xludf.DUMMYFUNCTION("""COMPUTED_VALUE"""),"SokoLuckyCrown10")</f>
        <v>SokoLuckyCrown10</v>
      </c>
      <c r="G750" s="5" t="str">
        <f>IFERROR(__xludf.DUMMYFUNCTION("""COMPUTED_VALUE"""),"Live")</f>
        <v>Live</v>
      </c>
      <c r="H750" s="5"/>
      <c r="I750" s="5" t="str">
        <f>IFERROR(__xludf.DUMMYFUNCTION("""COMPUTED_VALUE"""),"SOKO studio")</f>
        <v>SOKO studio</v>
      </c>
      <c r="J750" s="5" t="str">
        <f>IFERROR(__xludf.DUMMYFUNCTION("""COMPUTED_VALUE"""),"JSON")</f>
        <v>JSON</v>
      </c>
      <c r="K750" s="5" t="str">
        <f>IFERROR(__xludf.DUMMYFUNCTION("""COMPUTED_VALUE"""),"Slot")</f>
        <v>Slot</v>
      </c>
      <c r="L750" s="5" t="str">
        <f>IFERROR(__xludf.DUMMYFUNCTION("""COMPUTED_VALUE"""),"Master")</f>
        <v>Master</v>
      </c>
      <c r="M750" s="5"/>
      <c r="N750" s="7" t="str">
        <f>IFERROR(__xludf.DUMMYFUNCTION("""COMPUTED_VALUE"""),"https://dicebyte.sharepoint.com/:w:/g/IQBMvZcM-ZEMSIz3gv35CviIAT5NyCws_wmwUJJ_l1POEws?e=rosiY8")</f>
        <v>https://dicebyte.sharepoint.com/:w:/g/IQBMvZcM-ZEMSIz3gv35CviIAT5NyCws_wmwUJJ_l1POEws?e=rosiY8</v>
      </c>
      <c r="O750" s="7" t="str">
        <f>IFERROR(__xludf.DUMMYFUNCTION("""COMPUTED_VALUE"""),"https://dicebyte.sharepoint.com/:w:/g/IQBkSwp3xWGoS6JWHr34lPnLAUTBake1SLvmEpk02u-x400?e=mDOD51")</f>
        <v>https://dicebyte.sharepoint.com/:w:/g/IQBkSwp3xWGoS6JWHr34lPnLAUTBake1SLvmEpk02u-x400?e=mDOD51</v>
      </c>
      <c r="P750" s="12">
        <f>IFERROR(__xludf.DUMMYFUNCTION("""COMPUTED_VALUE"""),20.8)</f>
        <v>20.8</v>
      </c>
      <c r="Q750" s="13">
        <f>IFERROR(__xludf.DUMMYFUNCTION("""COMPUTED_VALUE"""),46181.0)</f>
        <v>46181</v>
      </c>
      <c r="R750" s="13">
        <f>IFERROR(__xludf.DUMMYFUNCTION("""COMPUTED_VALUE"""),46197.0)</f>
        <v>46197</v>
      </c>
      <c r="S750" s="13">
        <f>IFERROR(__xludf.DUMMYFUNCTION("""COMPUTED_VALUE"""),46204.0)</f>
        <v>46204</v>
      </c>
      <c r="T750" s="5" t="b">
        <f>IFERROR(__xludf.DUMMYFUNCTION("""COMPUTED_VALUE"""),TRUE)</f>
        <v>1</v>
      </c>
      <c r="U750" s="5" t="str">
        <f>IFERROR(__xludf.DUMMYFUNCTION("""COMPUTED_VALUE"""),"5x3")</f>
        <v>5x3</v>
      </c>
      <c r="V750" s="5">
        <f>IFERROR(__xludf.DUMMYFUNCTION("""COMPUTED_VALUE"""),10.0)</f>
        <v>10</v>
      </c>
      <c r="W750" s="5">
        <f>IFERROR(__xludf.DUMMYFUNCTION("""COMPUTED_VALUE"""),10.0)</f>
        <v>10</v>
      </c>
      <c r="X750" s="5">
        <f>IFERROR(__xludf.DUMMYFUNCTION("""COMPUTED_VALUE"""),94.91)</f>
        <v>94.91</v>
      </c>
      <c r="Y750" s="5" t="str">
        <f>IFERROR(__xludf.DUMMYFUNCTION("""COMPUTED_VALUE"""),"High")</f>
        <v>High</v>
      </c>
      <c r="Z750" s="5">
        <f>IFERROR(__xludf.DUMMYFUNCTION("""COMPUTED_VALUE"""),9.5)</f>
        <v>9.5</v>
      </c>
      <c r="AA750" s="5">
        <f>IFERROR(__xludf.DUMMYFUNCTION("""COMPUTED_VALUE"""),2666.0)</f>
        <v>2666</v>
      </c>
      <c r="AB750" s="5"/>
      <c r="AC750" s="5" t="str">
        <f>IFERROR(__xludf.DUMMYFUNCTION("""COMPUTED_VALUE"""),"Expanding Wild, Scatter, Wild Symbol")</f>
        <v>Expanding Wild, Scatter, Wild Symbol</v>
      </c>
      <c r="AD750" s="5" t="str">
        <f>IFERROR(__xludf.DUMMYFUNCTION("""COMPUTED_VALUE"""),"0.10/100")</f>
        <v>0.10/100</v>
      </c>
      <c r="AE750" s="5"/>
      <c r="AF750" s="5"/>
      <c r="AG750" s="8">
        <f>IFERROR(__xludf.DUMMYFUNCTION("""COMPUTED_VALUE"""),46212.66836805556)</f>
        <v>46212.66837</v>
      </c>
      <c r="AH750" s="5"/>
      <c r="AI750" s="13">
        <f>IFERROR(__xludf.DUMMYFUNCTION("""COMPUTED_VALUE"""),46188.0)</f>
        <v>46188</v>
      </c>
      <c r="AJ750" s="5" t="str">
        <f>IFERROR(__xludf.DUMMYFUNCTION("""COMPUTED_VALUE"""),"AdmiralMne	15.06.")</f>
        <v>AdmiralMne	15.06.</v>
      </c>
      <c r="AK750" s="5">
        <f>IFERROR(__xludf.DUMMYFUNCTION("""COMPUTED_VALUE"""),10.0)</f>
        <v>10</v>
      </c>
      <c r="AL750" s="5" t="str">
        <f>IFERROR(__xludf.DUMMYFUNCTION("""COMPUTED_VALUE"""),"No")</f>
        <v>No</v>
      </c>
      <c r="AM750" s="5" t="str">
        <f>IFERROR(__xludf.DUMMYFUNCTION("""COMPUTED_VALUE"""),"No")</f>
        <v>No</v>
      </c>
      <c r="AN750" s="7" t="str">
        <f>IFERROR(__xludf.DUMMYFUNCTION("""COMPUTED_VALUE"""),"https://rgs-lucky-crown-10.soko.games/?demo=True&amp;locale=eng")</f>
        <v>https://rgs-lucky-crown-10.soko.games/?demo=True&amp;locale=eng</v>
      </c>
      <c r="AO750" s="5"/>
      <c r="AP750" s="5"/>
      <c r="AQ750" s="5" t="b">
        <f>IFERROR(__xludf.DUMMYFUNCTION("""COMPUTED_VALUE"""),TRUE)</f>
        <v>1</v>
      </c>
      <c r="AR750" s="5"/>
      <c r="AS750" s="5" t="str">
        <f>IFERROR(__xludf.DUMMYFUNCTION("""COMPUTED_VALUE"""),"Lucky Crown 10 is a vibrant fruit slot with a classic casino feel, built around 10 paylines, high volatility, and an expanding wild feature for bigger win potential. ")</f>
        <v>Lucky Crown 10 is a vibrant fruit slot with a classic casino feel, built around 10 paylines, high volatility, and an expanding wild feature for bigger win potential. </v>
      </c>
      <c r="AT750" s="5"/>
      <c r="AU750" s="5" t="str">
        <f>IFERROR(__xludf.DUMMYFUNCTION("""COMPUTED_VALUE"""),"SOKO studio")</f>
        <v>SOKO studio</v>
      </c>
      <c r="AV750" s="5">
        <f>IFERROR(__xludf.DUMMYFUNCTION("""COMPUTED_VALUE"""),1.0)</f>
        <v>1</v>
      </c>
      <c r="AW750" s="5"/>
      <c r="AX750" s="13">
        <f>IFERROR(__xludf.DUMMYFUNCTION("""COMPUTED_VALUE"""),46175.0)</f>
        <v>46175</v>
      </c>
      <c r="AY750" s="5"/>
      <c r="AZ750" s="5"/>
      <c r="BA750" s="5"/>
      <c r="BB750" s="5" t="b">
        <f>IFERROR(__xludf.DUMMYFUNCTION("""COMPUTED_VALUE"""),TRUE)</f>
        <v>1</v>
      </c>
      <c r="BC750" s="5" t="str">
        <f>IFERROR(__xludf.DUMMYFUNCTION("""COMPUTED_VALUE"""),"SOKO studio")</f>
        <v>SOKO studio</v>
      </c>
      <c r="BD750" s="7" t="str">
        <f>IFERROR(__xludf.DUMMYFUNCTION("""COMPUTED_VALUE"""),"https://rgs-lucky-crown-10.soko.games/")</f>
        <v>https://rgs-lucky-crown-10.soko.games/</v>
      </c>
      <c r="BE750" s="5" t="b">
        <f>IFERROR(__xludf.DUMMYFUNCTION("""COMPUTED_VALUE"""),TRUE)</f>
        <v>1</v>
      </c>
    </row>
    <row r="751">
      <c r="A751" s="5">
        <f>IFERROR(__xludf.DUMMYFUNCTION("""COMPUTED_VALUE"""),788.0)</f>
        <v>788</v>
      </c>
      <c r="B751" s="5">
        <f>IFERROR(__xludf.DUMMYFUNCTION("""COMPUTED_VALUE"""),2021.0)</f>
        <v>2021</v>
      </c>
      <c r="C751" s="5" t="str">
        <f>IFERROR(__xludf.DUMMYFUNCTION("""COMPUTED_VALUE"""),"Fazi")</f>
        <v>Fazi</v>
      </c>
      <c r="D751" s="5" t="str">
        <f>IFERROR(__xludf.DUMMYFUNCTION("""COMPUTED_VALUE"""),"Hot Clock Extreme")</f>
        <v>Hot Clock Extreme</v>
      </c>
      <c r="E751" s="5" t="str">
        <f>IFERROR(__xludf.DUMMYFUNCTION("""COMPUTED_VALUE"""),"V4-2")</f>
        <v>V4-2</v>
      </c>
      <c r="F751" s="5" t="str">
        <f>IFERROR(__xludf.DUMMYFUNCTION("""COMPUTED_VALUE"""),"HotClockExtreme")</f>
        <v>HotClockExtreme</v>
      </c>
      <c r="G751" s="5" t="str">
        <f>IFERROR(__xludf.DUMMYFUNCTION("""COMPUTED_VALUE"""),"Deployed")</f>
        <v>Deployed</v>
      </c>
      <c r="H751" s="5"/>
      <c r="I751" s="5" t="str">
        <f>IFERROR(__xludf.DUMMYFUNCTION("""COMPUTED_VALUE"""),"V4")</f>
        <v>V4</v>
      </c>
      <c r="J751" s="5" t="str">
        <f>IFERROR(__xludf.DUMMYFUNCTION("""COMPUTED_VALUE"""),"JSON")</f>
        <v>JSON</v>
      </c>
      <c r="K751" s="5" t="str">
        <f>IFERROR(__xludf.DUMMYFUNCTION("""COMPUTED_VALUE"""),"Slot")</f>
        <v>Slot</v>
      </c>
      <c r="L751" s="5" t="str">
        <f>IFERROR(__xludf.DUMMYFUNCTION("""COMPUTED_VALUE""")," Variant")</f>
        <v> Variant</v>
      </c>
      <c r="M751" s="5" t="str">
        <f>IFERROR(__xludf.DUMMYFUNCTION("""COMPUTED_VALUE"""),"Hot Clock")</f>
        <v>Hot Clock</v>
      </c>
      <c r="N751" s="5"/>
      <c r="O751" s="5"/>
      <c r="P751" s="5">
        <f>IFERROR(__xludf.DUMMYFUNCTION("""COMPUTED_VALUE"""),18.4)</f>
        <v>18.4</v>
      </c>
      <c r="Q751" s="13">
        <f>IFERROR(__xludf.DUMMYFUNCTION("""COMPUTED_VALUE"""),46209.0)</f>
        <v>46209</v>
      </c>
      <c r="R751" s="13"/>
      <c r="S751" s="13">
        <f>IFERROR(__xludf.DUMMYFUNCTION("""COMPUTED_VALUE"""),46366.0)</f>
        <v>46366</v>
      </c>
      <c r="T751" s="5" t="b">
        <f>IFERROR(__xludf.DUMMYFUNCTION("""COMPUTED_VALUE"""),TRUE)</f>
        <v>1</v>
      </c>
      <c r="U751" s="5" t="str">
        <f>IFERROR(__xludf.DUMMYFUNCTION("""COMPUTED_VALUE"""),"5x3")</f>
        <v>5x3</v>
      </c>
      <c r="V751" s="5">
        <f>IFERROR(__xludf.DUMMYFUNCTION("""COMPUTED_VALUE"""),10.0)</f>
        <v>10</v>
      </c>
      <c r="W751" s="5">
        <f>IFERROR(__xludf.DUMMYFUNCTION("""COMPUTED_VALUE"""),10.0)</f>
        <v>10</v>
      </c>
      <c r="X751" s="5">
        <f>IFERROR(__xludf.DUMMYFUNCTION("""COMPUTED_VALUE"""),96.5)</f>
        <v>96.5</v>
      </c>
      <c r="Y751" s="5" t="str">
        <f>IFERROR(__xludf.DUMMYFUNCTION("""COMPUTED_VALUE"""),"Medium")</f>
        <v>Medium</v>
      </c>
      <c r="Z751" s="5">
        <f>IFERROR(__xludf.DUMMYFUNCTION("""COMPUTED_VALUE"""),14.085)</f>
        <v>14.085</v>
      </c>
      <c r="AA751" s="5">
        <f>IFERROR(__xludf.DUMMYFUNCTION("""COMPUTED_VALUE"""),2500.0)</f>
        <v>2500</v>
      </c>
      <c r="AB751" s="5"/>
      <c r="AC751" s="5" t="str">
        <f>IFERROR(__xludf.DUMMYFUNCTION("""COMPUTED_VALUE"""),"Buy Feature, Wild Symbol, Jumping Wild")</f>
        <v>Buy Feature, Wild Symbol, Jumping Wild</v>
      </c>
      <c r="AD751" s="5" t="str">
        <f>IFERROR(__xludf.DUMMYFUNCTION("""COMPUTED_VALUE"""),"0.1/50")</f>
        <v>0.1/50</v>
      </c>
      <c r="AE751" s="5"/>
      <c r="AF751" s="5"/>
      <c r="AG751" s="8">
        <f>IFERROR(__xludf.DUMMYFUNCTION("""COMPUTED_VALUE"""),46272.61278935185)</f>
        <v>46272.61279</v>
      </c>
      <c r="AH751" s="5" t="str">
        <f>IFERROR(__xludf.DUMMYFUNCTION("""COMPUTED_VALUE"""),"aleksandar.matejic@fazi.rs")</f>
        <v>aleksandar.matejic@fazi.rs</v>
      </c>
      <c r="AI751" s="13"/>
      <c r="AJ751" s="5"/>
      <c r="AK751" s="5">
        <f>IFERROR(__xludf.DUMMYFUNCTION("""COMPUTED_VALUE"""),1.0)</f>
        <v>1</v>
      </c>
      <c r="AL751" s="5" t="str">
        <f>IFERROR(__xludf.DUMMYFUNCTION("""COMPUTED_VALUE"""),"Yes")</f>
        <v>Yes</v>
      </c>
      <c r="AM751" s="5" t="str">
        <f>IFERROR(__xludf.DUMMYFUNCTION("""COMPUTED_VALUE"""),"No")</f>
        <v>No</v>
      </c>
      <c r="AN751" s="7" t="str">
        <f>IFERROR(__xludf.DUMMYFUNCTION("""COMPUTED_VALUE"""),"https://onlinegamespromo.fazi.rs/Home/IntegrationGameLaunch?moneyType=0&amp;gameName=HotClockExtreme&amp;platform=desktop&amp;languageCode=eng&amp;currency=EUR")</f>
        <v>https://onlinegamespromo.fazi.rs/Home/IntegrationGameLaunch?moneyType=0&amp;gameName=HotClockExtreme&amp;platform=desktop&amp;languageCode=eng&amp;currency=EUR</v>
      </c>
      <c r="AO751" s="5" t="str">
        <f>IFERROR(__xludf.DUMMYFUNCTION("""COMPUTED_VALUE"""),"Yes")</f>
        <v>Yes</v>
      </c>
      <c r="AP751" s="5" t="str">
        <f>IFERROR(__xludf.DUMMYFUNCTION("""COMPUTED_VALUE"""),"Yes")</f>
        <v>Yes</v>
      </c>
      <c r="AQ751" s="5"/>
      <c r="AR751" s="5"/>
      <c r="AS751" s="5"/>
      <c r="AT751" s="5"/>
      <c r="AU751" s="5" t="str">
        <f>IFERROR(__xludf.DUMMYFUNCTION("""COMPUTED_VALUE"""),"Fazi")</f>
        <v>Fazi</v>
      </c>
      <c r="AV751" s="5">
        <f>IFERROR(__xludf.DUMMYFUNCTION("""COMPUTED_VALUE"""),1.0)</f>
        <v>1</v>
      </c>
      <c r="AW751" s="5"/>
      <c r="AX751" s="13">
        <f>IFERROR(__xludf.DUMMYFUNCTION("""COMPUTED_VALUE"""),46203.0)</f>
        <v>46203</v>
      </c>
      <c r="AY751" s="5"/>
      <c r="AZ751" s="5"/>
      <c r="BA751" s="5" t="str">
        <f>IFERROR(__xludf.DUMMYFUNCTION("""COMPUTED_VALUE"""),"x60")</f>
        <v>x60</v>
      </c>
      <c r="BB751" s="5"/>
      <c r="BC751" s="5" t="str">
        <f>IFERROR(__xludf.DUMMYFUNCTION("""COMPUTED_VALUE"""),"Foxi")</f>
        <v>Foxi</v>
      </c>
      <c r="BD751" s="7" t="str">
        <f>IFERROR(__xludf.DUMMYFUNCTION("""COMPUTED_VALUE"""),"https://gameserver-store-client-area.orbionlimited.com/Home/IntegrationGameLaunch/client-area?moneyType=0&amp;gameName=HotClockExtreme&amp;platform=desktop&amp;languageCode=eng&amp;currency=EUR")</f>
        <v>https://gameserver-store-client-area.orbionlimited.com/Home/IntegrationGameLaunch/client-area?moneyType=0&amp;gameName=HotClockExtreme&amp;platform=desktop&amp;languageCode=eng&amp;currency=EUR</v>
      </c>
      <c r="BE751" s="5"/>
    </row>
    <row r="752">
      <c r="A752" s="5">
        <f>IFERROR(__xludf.DUMMYFUNCTION("""COMPUTED_VALUE"""),789.0)</f>
        <v>789</v>
      </c>
      <c r="B752" s="5">
        <f>IFERROR(__xludf.DUMMYFUNCTION("""COMPUTED_VALUE"""),5000000.0)</f>
        <v>5000000</v>
      </c>
      <c r="C752" s="5" t="str">
        <f>IFERROR(__xludf.DUMMYFUNCTION("""COMPUTED_VALUE"""),"SOKO studio")</f>
        <v>SOKO studio</v>
      </c>
      <c r="D752" s="5" t="str">
        <f>IFERROR(__xludf.DUMMYFUNCTION("""COMPUTED_VALUE"""),"Hot Chili Fiesta")</f>
        <v>Hot Chili Fiesta</v>
      </c>
      <c r="E752" s="5" t="str">
        <f>IFERROR(__xludf.DUMMYFUNCTION("""COMPUTED_VALUE"""),"SOKO studio")</f>
        <v>SOKO studio</v>
      </c>
      <c r="F752" s="5" t="str">
        <f>IFERROR(__xludf.DUMMYFUNCTION("""COMPUTED_VALUE"""),"SokoHotChiliFiesta")</f>
        <v>SokoHotChiliFiesta</v>
      </c>
      <c r="G752" s="5" t="str">
        <f>IFERROR(__xludf.DUMMYFUNCTION("""COMPUTED_VALUE"""),"Live")</f>
        <v>Live</v>
      </c>
      <c r="H752" s="5"/>
      <c r="I752" s="5" t="str">
        <f>IFERROR(__xludf.DUMMYFUNCTION("""COMPUTED_VALUE"""),"SOKO studio")</f>
        <v>SOKO studio</v>
      </c>
      <c r="J752" s="5" t="str">
        <f>IFERROR(__xludf.DUMMYFUNCTION("""COMPUTED_VALUE"""),"JSON")</f>
        <v>JSON</v>
      </c>
      <c r="K752" s="5" t="str">
        <f>IFERROR(__xludf.DUMMYFUNCTION("""COMPUTED_VALUE"""),"Slot")</f>
        <v>Slot</v>
      </c>
      <c r="L752" s="5" t="str">
        <f>IFERROR(__xludf.DUMMYFUNCTION("""COMPUTED_VALUE"""),"Master")</f>
        <v>Master</v>
      </c>
      <c r="M752" s="5"/>
      <c r="N752" s="7" t="str">
        <f>IFERROR(__xludf.DUMMYFUNCTION("""COMPUTED_VALUE"""),"https://dicebyte.sharepoint.com/:w:/g/IQCmalLbiZrmQIgI2LtUxvBeAZOOO2FkUmehqQc_ao6RBk4?e=ldgg7g")</f>
        <v>https://dicebyte.sharepoint.com/:w:/g/IQCmalLbiZrmQIgI2LtUxvBeAZOOO2FkUmehqQc_ao6RBk4?e=ldgg7g</v>
      </c>
      <c r="O752" s="7" t="str">
        <f>IFERROR(__xludf.DUMMYFUNCTION("""COMPUTED_VALUE"""),"https://dicebyte.sharepoint.com/:w:/g/IQCdF4DCdHzrQIM4kGL3LM3tARwUDDmvdNwA98IbBO-rHXU?e=yR1hzV")</f>
        <v>https://dicebyte.sharepoint.com/:w:/g/IQCdF4DCdHzrQIM4kGL3LM3tARwUDDmvdNwA98IbBO-rHXU?e=yR1hzV</v>
      </c>
      <c r="P752" s="12">
        <f>IFERROR(__xludf.DUMMYFUNCTION("""COMPUTED_VALUE"""),29.0)</f>
        <v>29</v>
      </c>
      <c r="Q752" s="13">
        <f>IFERROR(__xludf.DUMMYFUNCTION("""COMPUTED_VALUE"""),46181.0)</f>
        <v>46181</v>
      </c>
      <c r="R752" s="13">
        <f>IFERROR(__xludf.DUMMYFUNCTION("""COMPUTED_VALUE"""),46205.0)</f>
        <v>46205</v>
      </c>
      <c r="S752" s="13">
        <f>IFERROR(__xludf.DUMMYFUNCTION("""COMPUTED_VALUE"""),46212.0)</f>
        <v>46212</v>
      </c>
      <c r="T752" s="5" t="b">
        <f>IFERROR(__xludf.DUMMYFUNCTION("""COMPUTED_VALUE"""),TRUE)</f>
        <v>1</v>
      </c>
      <c r="U752" s="5" t="str">
        <f>IFERROR(__xludf.DUMMYFUNCTION("""COMPUTED_VALUE"""),"5x3")</f>
        <v>5x3</v>
      </c>
      <c r="V752" s="5">
        <f>IFERROR(__xludf.DUMMYFUNCTION("""COMPUTED_VALUE"""),5.0)</f>
        <v>5</v>
      </c>
      <c r="W752" s="5">
        <f>IFERROR(__xludf.DUMMYFUNCTION("""COMPUTED_VALUE"""),5.0)</f>
        <v>5</v>
      </c>
      <c r="X752" s="5">
        <f>IFERROR(__xludf.DUMMYFUNCTION("""COMPUTED_VALUE"""),95.05)</f>
        <v>95.05</v>
      </c>
      <c r="Y752" s="5" t="str">
        <f>IFERROR(__xludf.DUMMYFUNCTION("""COMPUTED_VALUE"""),"High")</f>
        <v>High</v>
      </c>
      <c r="Z752" s="5">
        <f>IFERROR(__xludf.DUMMYFUNCTION("""COMPUTED_VALUE"""),10.78)</f>
        <v>10.78</v>
      </c>
      <c r="AA752" s="5">
        <f>IFERROR(__xludf.DUMMYFUNCTION("""COMPUTED_VALUE"""),2525.0)</f>
        <v>2525</v>
      </c>
      <c r="AB752" s="5"/>
      <c r="AC752" s="5" t="str">
        <f>IFERROR(__xludf.DUMMYFUNCTION("""COMPUTED_VALUE"""),"Hold and Win, Expanding Wild, Wild Multiplier, Wild Symbol, Scatter")</f>
        <v>Hold and Win, Expanding Wild, Wild Multiplier, Wild Symbol, Scatter</v>
      </c>
      <c r="AD752" s="5" t="str">
        <f>IFERROR(__xludf.DUMMYFUNCTION("""COMPUTED_VALUE"""),"0.10/100")</f>
        <v>0.10/100</v>
      </c>
      <c r="AE752" s="5"/>
      <c r="AF752" s="5"/>
      <c r="AG752" s="8">
        <f>IFERROR(__xludf.DUMMYFUNCTION("""COMPUTED_VALUE"""),46217.48105324074)</f>
        <v>46217.48105</v>
      </c>
      <c r="AH752" s="5" t="str">
        <f>IFERROR(__xludf.DUMMYFUNCTION("""COMPUTED_VALUE"""),"vanja.svetska@fazi.rs")</f>
        <v>vanja.svetska@fazi.rs</v>
      </c>
      <c r="AI752" s="13">
        <f>IFERROR(__xludf.DUMMYFUNCTION("""COMPUTED_VALUE"""),46204.0)</f>
        <v>46204</v>
      </c>
      <c r="AJ752" s="5" t="str">
        <f>IFERROR(__xludf.DUMMYFUNCTION("""COMPUTED_VALUE"""),"Millennium Bet - Zbet.rs ( Admiralbet SRB)	01.07.")</f>
        <v>Millennium Bet - Zbet.rs ( Admiralbet SRB)	01.07.</v>
      </c>
      <c r="AK752" s="5">
        <f>IFERROR(__xludf.DUMMYFUNCTION("""COMPUTED_VALUE"""),5.0)</f>
        <v>5</v>
      </c>
      <c r="AL752" s="5" t="str">
        <f>IFERROR(__xludf.DUMMYFUNCTION("""COMPUTED_VALUE"""),"No")</f>
        <v>No</v>
      </c>
      <c r="AM752" s="5" t="str">
        <f>IFERROR(__xludf.DUMMYFUNCTION("""COMPUTED_VALUE"""),"No")</f>
        <v>No</v>
      </c>
      <c r="AN752" s="7" t="str">
        <f>IFERROR(__xludf.DUMMYFUNCTION("""COMPUTED_VALUE"""),"https://rgs-hot-chili-fiesta.soko.games/?demo=True&amp;locale=eng")</f>
        <v>https://rgs-hot-chili-fiesta.soko.games/?demo=True&amp;locale=eng</v>
      </c>
      <c r="AO752" s="5"/>
      <c r="AP752" s="5"/>
      <c r="AQ752" s="5" t="b">
        <f>IFERROR(__xludf.DUMMYFUNCTION("""COMPUTED_VALUE"""),TRUE)</f>
        <v>1</v>
      </c>
      <c r="AR752" s="5"/>
      <c r="AS752" s="5" t="str">
        <f>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AT752" s="5"/>
      <c r="AU752" s="5" t="str">
        <f>IFERROR(__xludf.DUMMYFUNCTION("""COMPUTED_VALUE"""),"SOKO studio")</f>
        <v>SOKO studio</v>
      </c>
      <c r="AV752" s="5">
        <f>IFERROR(__xludf.DUMMYFUNCTION("""COMPUTED_VALUE"""),1.0)</f>
        <v>1</v>
      </c>
      <c r="AW752" s="5"/>
      <c r="AX752" s="13">
        <f>IFERROR(__xludf.DUMMYFUNCTION("""COMPUTED_VALUE"""),46175.0)</f>
        <v>46175</v>
      </c>
      <c r="AY752" s="5"/>
      <c r="AZ752" s="5"/>
      <c r="BA752" s="5"/>
      <c r="BB752" s="5" t="b">
        <f>IFERROR(__xludf.DUMMYFUNCTION("""COMPUTED_VALUE"""),TRUE)</f>
        <v>1</v>
      </c>
      <c r="BC752" s="5" t="str">
        <f>IFERROR(__xludf.DUMMYFUNCTION("""COMPUTED_VALUE"""),"SOKO studio")</f>
        <v>SOKO studio</v>
      </c>
      <c r="BD752" s="5" t="str">
        <f>IFERROR(__xludf.DUMMYFUNCTION("""COMPUTED_VALUE"""),"rgs-hot-chili-fiesta.soko.games")</f>
        <v>rgs-hot-chili-fiesta.soko.games</v>
      </c>
      <c r="BE752" s="5" t="b">
        <f>IFERROR(__xludf.DUMMYFUNCTION("""COMPUTED_VALUE"""),TRUE)</f>
        <v>1</v>
      </c>
    </row>
    <row r="753">
      <c r="A753" s="5">
        <f>IFERROR(__xludf.DUMMYFUNCTION("""COMPUTED_VALUE"""),790.0)</f>
        <v>790</v>
      </c>
      <c r="B753" s="5">
        <f>IFERROR(__xludf.DUMMYFUNCTION("""COMPUTED_VALUE"""),2024.0)</f>
        <v>2024</v>
      </c>
      <c r="C753" s="5" t="str">
        <f>IFERROR(__xludf.DUMMYFUNCTION("""COMPUTED_VALUE"""),"Fazi")</f>
        <v>Fazi</v>
      </c>
      <c r="D753" s="5" t="str">
        <f>IFERROR(__xludf.DUMMYFUNCTION("""COMPUTED_VALUE"""),"Coink Bank")</f>
        <v>Coink Bank</v>
      </c>
      <c r="E753" s="5" t="str">
        <f>IFERROR(__xludf.DUMMYFUNCTION("""COMPUTED_VALUE"""),"V4-2")</f>
        <v>V4-2</v>
      </c>
      <c r="F753" s="5" t="str">
        <f>IFERROR(__xludf.DUMMYFUNCTION("""COMPUTED_VALUE"""),"CoinkBank")</f>
        <v>CoinkBank</v>
      </c>
      <c r="G753" s="5" t="str">
        <f>IFERROR(__xludf.DUMMYFUNCTION("""COMPUTED_VALUE"""),"In Development")</f>
        <v>In Development</v>
      </c>
      <c r="H753" s="5"/>
      <c r="I753" s="5" t="str">
        <f>IFERROR(__xludf.DUMMYFUNCTION("""COMPUTED_VALUE"""),"V4")</f>
        <v>V4</v>
      </c>
      <c r="J753" s="5" t="str">
        <f>IFERROR(__xludf.DUMMYFUNCTION("""COMPUTED_VALUE"""),"JSON")</f>
        <v>JSON</v>
      </c>
      <c r="K753" s="5" t="str">
        <f>IFERROR(__xludf.DUMMYFUNCTION("""COMPUTED_VALUE"""),"Slot")</f>
        <v>Slot</v>
      </c>
      <c r="L753" s="5" t="str">
        <f>IFERROR(__xludf.DUMMYFUNCTION("""COMPUTED_VALUE"""),"Master")</f>
        <v>Master</v>
      </c>
      <c r="M753" s="5"/>
      <c r="N753" s="5"/>
      <c r="O753" s="5"/>
      <c r="P753" s="5">
        <f>IFERROR(__xludf.DUMMYFUNCTION("""COMPUTED_VALUE"""),38.4)</f>
        <v>38.4</v>
      </c>
      <c r="Q753" s="13">
        <f>IFERROR(__xludf.DUMMYFUNCTION("""COMPUTED_VALUE"""),46265.0)</f>
        <v>46265</v>
      </c>
      <c r="R753" s="13">
        <f>IFERROR(__xludf.DUMMYFUNCTION("""COMPUTED_VALUE"""),46266.0)</f>
        <v>46266</v>
      </c>
      <c r="S753" s="13">
        <f>IFERROR(__xludf.DUMMYFUNCTION("""COMPUTED_VALUE"""),46273.0)</f>
        <v>46273</v>
      </c>
      <c r="T753" s="5" t="b">
        <f>IFERROR(__xludf.DUMMYFUNCTION("""COMPUTED_VALUE"""),TRUE)</f>
        <v>1</v>
      </c>
      <c r="U753" s="5" t="str">
        <f>IFERROR(__xludf.DUMMYFUNCTION("""COMPUTED_VALUE"""),"3x3")</f>
        <v>3x3</v>
      </c>
      <c r="V753" s="5">
        <f>IFERROR(__xludf.DUMMYFUNCTION("""COMPUTED_VALUE"""),5.0)</f>
        <v>5</v>
      </c>
      <c r="W753" s="5">
        <f>IFERROR(__xludf.DUMMYFUNCTION("""COMPUTED_VALUE"""),5.0)</f>
        <v>5</v>
      </c>
      <c r="X753" s="5">
        <f>IFERROR(__xludf.DUMMYFUNCTION("""COMPUTED_VALUE"""),96.518)</f>
        <v>96.518</v>
      </c>
      <c r="Y753" s="5" t="str">
        <f>IFERROR(__xludf.DUMMYFUNCTION("""COMPUTED_VALUE"""),"Medium")</f>
        <v>Medium</v>
      </c>
      <c r="Z753" s="5">
        <f>IFERROR(__xludf.DUMMYFUNCTION("""COMPUTED_VALUE"""),10.922)</f>
        <v>10.922</v>
      </c>
      <c r="AA753" s="5">
        <f>IFERROR(__xludf.DUMMYFUNCTION("""COMPUTED_VALUE"""),3250.0)</f>
        <v>3250</v>
      </c>
      <c r="AB753" s="5"/>
      <c r="AC753" s="5" t="str">
        <f>IFERROR(__xludf.DUMMYFUNCTION("""COMPUTED_VALUE"""),"Buy Bonus, Bonus Game with Collect, Wild Symbol, In Game Jackpot, Variable RTP")</f>
        <v>Buy Bonus, Bonus Game with Collect, Wild Symbol, In Game Jackpot, Variable RTP</v>
      </c>
      <c r="AD753" s="5" t="str">
        <f>IFERROR(__xludf.DUMMYFUNCTION("""COMPUTED_VALUE"""),"0.1/50")</f>
        <v>0.1/50</v>
      </c>
      <c r="AE753" s="5"/>
      <c r="AF753" s="5"/>
      <c r="AG753" s="8">
        <f>IFERROR(__xludf.DUMMYFUNCTION("""COMPUTED_VALUE"""),46260.44427083333)</f>
        <v>46260.44427</v>
      </c>
      <c r="AH753" s="5" t="str">
        <f>IFERROR(__xludf.DUMMYFUNCTION("""COMPUTED_VALUE"""),"selena.mihajlovic@fazi.rs")</f>
        <v>selena.mihajlovic@fazi.rs</v>
      </c>
      <c r="AI753" s="13"/>
      <c r="AJ753" s="5"/>
      <c r="AK753" s="5">
        <f>IFERROR(__xludf.DUMMYFUNCTION("""COMPUTED_VALUE"""),1.0)</f>
        <v>1</v>
      </c>
      <c r="AL753" s="5" t="str">
        <f>IFERROR(__xludf.DUMMYFUNCTION("""COMPUTED_VALUE"""),"No")</f>
        <v>No</v>
      </c>
      <c r="AM753" s="5" t="str">
        <f>IFERROR(__xludf.DUMMYFUNCTION("""COMPUTED_VALUE"""),"No")</f>
        <v>No</v>
      </c>
      <c r="AN753" s="7" t="str">
        <f>IFERROR(__xludf.DUMMYFUNCTION("""COMPUTED_VALUE"""),"https://onlinegamespromo.fazi.rs/Home/IntegrationGameLaunch?moneyType=0&amp;gameName=CoinkBank&amp;platform=desktop&amp;languageCode=eng&amp;currency=EUR")</f>
        <v>https://onlinegamespromo.fazi.rs/Home/IntegrationGameLaunch?moneyType=0&amp;gameName=CoinkBank&amp;platform=desktop&amp;languageCode=eng&amp;currency=EUR</v>
      </c>
      <c r="AO753" s="5" t="str">
        <f>IFERROR(__xludf.DUMMYFUNCTION("""COMPUTED_VALUE"""),"Yes")</f>
        <v>Yes</v>
      </c>
      <c r="AP753" s="5" t="str">
        <f>IFERROR(__xludf.DUMMYFUNCTION("""COMPUTED_VALUE"""),"No")</f>
        <v>No</v>
      </c>
      <c r="AQ753" s="5" t="b">
        <f>IFERROR(__xludf.DUMMYFUNCTION("""COMPUTED_VALUE"""),TRUE)</f>
        <v>1</v>
      </c>
      <c r="AR753" s="5"/>
      <c r="AS753" s="5" t="str">
        <f>IFERROR(__xludf.DUMMYFUNCTION("""COMPUTED_VALUE"""),"The piggy bank is full – and it’s time to break the bank! 
Packed with golden Coins, instant Collect action on any reel, and a rewarding Bonus feature, this thrilling slot brings big Jackpot potential with every drop. Endless excitement. Are you ready to "&amp;"crack the Coink Bank? 
")</f>
        <v>The piggy bank is full – and it’s time to break the bank! 
Packed with golden Coins, instant Collect action on any reel, and a rewarding Bonus feature, this thrilling slot brings big Jackpot potential with every drop. Endless excitement. Are you ready to crack the Coink Bank? 
</v>
      </c>
      <c r="AT753" s="5"/>
      <c r="AU753" s="5" t="str">
        <f>IFERROR(__xludf.DUMMYFUNCTION("""COMPUTED_VALUE"""),"Fazi")</f>
        <v>Fazi</v>
      </c>
      <c r="AV753" s="5">
        <f>IFERROR(__xludf.DUMMYFUNCTION("""COMPUTED_VALUE"""),1.0)</f>
        <v>1</v>
      </c>
      <c r="AW753" s="5"/>
      <c r="AX753" s="13">
        <f>IFERROR(__xludf.DUMMYFUNCTION("""COMPUTED_VALUE"""),46259.0)</f>
        <v>46259</v>
      </c>
      <c r="AY753" s="5" t="str">
        <f>IFERROR(__xludf.DUMMYFUNCTION("""COMPUTED_VALUE"""),"87.5%, 89.5%, 91.5%, 93.5%, 94.5%, 95.5%, 96.5%")</f>
        <v>87.5%, 89.5%, 91.5%, 93.5%, 94.5%, 95.5%, 96.5%</v>
      </c>
      <c r="AZ753" s="5"/>
      <c r="BA753" s="5"/>
      <c r="BB753" s="5" t="b">
        <f>IFERROR(__xludf.DUMMYFUNCTION("""COMPUTED_VALUE"""),TRUE)</f>
        <v>1</v>
      </c>
      <c r="BC753" s="5" t="str">
        <f>IFERROR(__xludf.DUMMYFUNCTION("""COMPUTED_VALUE"""),"Foxi")</f>
        <v>Foxi</v>
      </c>
      <c r="BD753" s="7" t="str">
        <f>IFERROR(__xludf.DUMMYFUNCTION("""COMPUTED_VALUE"""),"https://gameserver-store-client-area.orbionlimited.com/Home/IntegrationGameLaunch/client-area?moneyType=0&amp;gameName=CoinkBank&amp;platform=desktop&amp;languageCode=eng&amp;currency=EUR")</f>
        <v>https://gameserver-store-client-area.orbionlimited.com/Home/IntegrationGameLaunch/client-area?moneyType=0&amp;gameName=CoinkBank&amp;platform=desktop&amp;languageCode=eng&amp;currency=EUR</v>
      </c>
      <c r="BE753" s="5" t="b">
        <f>IFERROR(__xludf.DUMMYFUNCTION("""COMPUTED_VALUE"""),TRUE)</f>
        <v>1</v>
      </c>
    </row>
    <row r="754">
      <c r="A754" s="5">
        <f>IFERROR(__xludf.DUMMYFUNCTION("""COMPUTED_VALUE"""),791.0)</f>
        <v>791</v>
      </c>
      <c r="B754" s="5">
        <f>IFERROR(__xludf.DUMMYFUNCTION("""COMPUTED_VALUE"""),5003.0)</f>
        <v>5003</v>
      </c>
      <c r="C754" s="5" t="str">
        <f>IFERROR(__xludf.DUMMYFUNCTION("""COMPUTED_VALUE"""),"Fazi")</f>
        <v>Fazi</v>
      </c>
      <c r="D754" s="5" t="str">
        <f>IFERROR(__xludf.DUMMYFUNCTION("""COMPUTED_VALUE"""),"Retro Flame 5")</f>
        <v>Retro Flame 5</v>
      </c>
      <c r="E754" s="5" t="str">
        <f>IFERROR(__xludf.DUMMYFUNCTION("""COMPUTED_VALUE"""),"V4-3")</f>
        <v>V4-3</v>
      </c>
      <c r="F754" s="5" t="str">
        <f>IFERROR(__xludf.DUMMYFUNCTION("""COMPUTED_VALUE"""),"RetroFlame5")</f>
        <v>RetroFlame5</v>
      </c>
      <c r="G754" s="5" t="str">
        <f>IFERROR(__xludf.DUMMYFUNCTION("""COMPUTED_VALUE"""),"Deployed")</f>
        <v>Deployed</v>
      </c>
      <c r="H754" s="5"/>
      <c r="I754" s="5" t="str">
        <f>IFERROR(__xludf.DUMMYFUNCTION("""COMPUTED_VALUE"""),"V4")</f>
        <v>V4</v>
      </c>
      <c r="J754" s="5" t="str">
        <f>IFERROR(__xludf.DUMMYFUNCTION("""COMPUTED_VALUE"""),"JSON")</f>
        <v>JSON</v>
      </c>
      <c r="K754" s="5" t="str">
        <f>IFERROR(__xludf.DUMMYFUNCTION("""COMPUTED_VALUE"""),"Slot")</f>
        <v>Slot</v>
      </c>
      <c r="L754" s="5" t="str">
        <f>IFERROR(__xludf.DUMMYFUNCTION("""COMPUTED_VALUE""")," Reskin")</f>
        <v> Reskin</v>
      </c>
      <c r="M754" s="5"/>
      <c r="N754" s="5"/>
      <c r="O754" s="5"/>
      <c r="P754" s="12">
        <f>IFERROR(__xludf.DUMMYFUNCTION("""COMPUTED_VALUE"""),15.4)</f>
        <v>15.4</v>
      </c>
      <c r="Q754" s="13">
        <f>IFERROR(__xludf.DUMMYFUNCTION("""COMPUTED_VALUE"""),46223.0)</f>
        <v>46223</v>
      </c>
      <c r="R754" s="13"/>
      <c r="S754" s="13">
        <f>IFERROR(__xludf.DUMMYFUNCTION("""COMPUTED_VALUE"""),46317.0)</f>
        <v>46317</v>
      </c>
      <c r="T754" s="5"/>
      <c r="U754" s="5" t="str">
        <f>IFERROR(__xludf.DUMMYFUNCTION("""COMPUTED_VALUE"""),"5x3")</f>
        <v>5x3</v>
      </c>
      <c r="V754" s="5">
        <f>IFERROR(__xludf.DUMMYFUNCTION("""COMPUTED_VALUE"""),5.0)</f>
        <v>5</v>
      </c>
      <c r="W754" s="5">
        <f>IFERROR(__xludf.DUMMYFUNCTION("""COMPUTED_VALUE"""),5.0)</f>
        <v>5</v>
      </c>
      <c r="X754" s="5">
        <f>IFERROR(__xludf.DUMMYFUNCTION("""COMPUTED_VALUE"""),96.15)</f>
        <v>96.15</v>
      </c>
      <c r="Y754" s="5" t="str">
        <f>IFERROR(__xludf.DUMMYFUNCTION("""COMPUTED_VALUE"""),"Medium")</f>
        <v>Medium</v>
      </c>
      <c r="Z754" s="5">
        <f>IFERROR(__xludf.DUMMYFUNCTION("""COMPUTED_VALUE"""),12.581)</f>
        <v>12.581</v>
      </c>
      <c r="AA754" s="5">
        <f>IFERROR(__xludf.DUMMYFUNCTION("""COMPUTED_VALUE"""),1000.0)</f>
        <v>1000</v>
      </c>
      <c r="AB754" s="5"/>
      <c r="AC754" s="5" t="str">
        <f>IFERROR(__xludf.DUMMYFUNCTION("""COMPUTED_VALUE"""),"Scatter")</f>
        <v>Scatter</v>
      </c>
      <c r="AD754" s="5" t="str">
        <f>IFERROR(__xludf.DUMMYFUNCTION("""COMPUTED_VALUE"""),"0.1/50")</f>
        <v>0.1/50</v>
      </c>
      <c r="AE754" s="5"/>
      <c r="AF754" s="5"/>
      <c r="AG754" s="8">
        <f>IFERROR(__xludf.DUMMYFUNCTION("""COMPUTED_VALUE"""),46272.60681712963)</f>
        <v>46272.60682</v>
      </c>
      <c r="AH754" s="5" t="str">
        <f>IFERROR(__xludf.DUMMYFUNCTION("""COMPUTED_VALUE"""),"aleksandar.matejic@fazi.rs")</f>
        <v>aleksandar.matejic@fazi.rs</v>
      </c>
      <c r="AI754" s="13"/>
      <c r="AJ754" s="5"/>
      <c r="AK754" s="5">
        <f>IFERROR(__xludf.DUMMYFUNCTION("""COMPUTED_VALUE"""),5.0)</f>
        <v>5</v>
      </c>
      <c r="AL754" s="5" t="str">
        <f>IFERROR(__xludf.DUMMYFUNCTION("""COMPUTED_VALUE"""),"Yes")</f>
        <v>Yes</v>
      </c>
      <c r="AM754" s="5" t="str">
        <f>IFERROR(__xludf.DUMMYFUNCTION("""COMPUTED_VALUE"""),"No")</f>
        <v>No</v>
      </c>
      <c r="AN754" s="5"/>
      <c r="AO754" s="5" t="str">
        <f>IFERROR(__xludf.DUMMYFUNCTION("""COMPUTED_VALUE"""),"Yes")</f>
        <v>Yes</v>
      </c>
      <c r="AP754" s="5" t="str">
        <f>IFERROR(__xludf.DUMMYFUNCTION("""COMPUTED_VALUE"""),"Yes")</f>
        <v>Yes</v>
      </c>
      <c r="AQ754" s="5"/>
      <c r="AR754" s="5"/>
      <c r="AS754" s="5"/>
      <c r="AT754" s="5"/>
      <c r="AU754" s="5" t="str">
        <f>IFERROR(__xludf.DUMMYFUNCTION("""COMPUTED_VALUE"""),"Fazi")</f>
        <v>Fazi</v>
      </c>
      <c r="AV754" s="5">
        <f>IFERROR(__xludf.DUMMYFUNCTION("""COMPUTED_VALUE"""),5.0)</f>
        <v>5</v>
      </c>
      <c r="AW754" s="5"/>
      <c r="AX754" s="13">
        <f>IFERROR(__xludf.DUMMYFUNCTION("""COMPUTED_VALUE"""),46217.0)</f>
        <v>46217</v>
      </c>
      <c r="AY754" s="5"/>
      <c r="AZ754" s="5"/>
      <c r="BA754" s="5"/>
      <c r="BB754" s="5"/>
      <c r="BC754" s="5" t="str">
        <f>IFERROR(__xludf.DUMMYFUNCTION("""COMPUTED_VALUE"""),"Foxi")</f>
        <v>Foxi</v>
      </c>
      <c r="BD754" s="7" t="str">
        <f>IFERROR(__xludf.DUMMYFUNCTION("""COMPUTED_VALUE"""),"https://gameserver-store-client-area.orbionlimited.com/Home/IntegrationGameLaunch/client-area?moneyType=0&amp;gameName=RetroFlame5&amp;platform=desktop&amp;languageCode=eng&amp;currency=EUR")</f>
        <v>https://gameserver-store-client-area.orbionlimited.com/Home/IntegrationGameLaunch/client-area?moneyType=0&amp;gameName=RetroFlame5&amp;platform=desktop&amp;languageCode=eng&amp;currency=EUR</v>
      </c>
      <c r="BE754" s="5"/>
    </row>
    <row r="755">
      <c r="A755" s="5">
        <f>IFERROR(__xludf.DUMMYFUNCTION("""COMPUTED_VALUE"""),792.0)</f>
        <v>792</v>
      </c>
      <c r="B755" s="5">
        <f>IFERROR(__xludf.DUMMYFUNCTION("""COMPUTED_VALUE"""),5005.0)</f>
        <v>5005</v>
      </c>
      <c r="C755" s="5" t="str">
        <f>IFERROR(__xludf.DUMMYFUNCTION("""COMPUTED_VALUE"""),"Fazi")</f>
        <v>Fazi</v>
      </c>
      <c r="D755" s="5" t="str">
        <f>IFERROR(__xludf.DUMMYFUNCTION("""COMPUTED_VALUE"""),"Winning Fruits 20")</f>
        <v>Winning Fruits 20</v>
      </c>
      <c r="E755" s="5" t="str">
        <f>IFERROR(__xludf.DUMMYFUNCTION("""COMPUTED_VALUE"""),"V4-3")</f>
        <v>V4-3</v>
      </c>
      <c r="F755" s="5" t="str">
        <f>IFERROR(__xludf.DUMMYFUNCTION("""COMPUTED_VALUE"""),"WinningFruits20")</f>
        <v>WinningFruits20</v>
      </c>
      <c r="G755" s="5" t="str">
        <f>IFERROR(__xludf.DUMMYFUNCTION("""COMPUTED_VALUE"""),"Deployed")</f>
        <v>Deployed</v>
      </c>
      <c r="H755" s="5"/>
      <c r="I755" s="5" t="str">
        <f>IFERROR(__xludf.DUMMYFUNCTION("""COMPUTED_VALUE"""),"V4")</f>
        <v>V4</v>
      </c>
      <c r="J755" s="5" t="str">
        <f>IFERROR(__xludf.DUMMYFUNCTION("""COMPUTED_VALUE"""),"JSON")</f>
        <v>JSON</v>
      </c>
      <c r="K755" s="5" t="str">
        <f>IFERROR(__xludf.DUMMYFUNCTION("""COMPUTED_VALUE"""),"Slot")</f>
        <v>Slot</v>
      </c>
      <c r="L755" s="5" t="str">
        <f>IFERROR(__xludf.DUMMYFUNCTION("""COMPUTED_VALUE""")," Reskin")</f>
        <v> Reskin</v>
      </c>
      <c r="M755" s="5"/>
      <c r="N755" s="5"/>
      <c r="O755" s="5"/>
      <c r="P755" s="12">
        <f>IFERROR(__xludf.DUMMYFUNCTION("""COMPUTED_VALUE"""),16.0)</f>
        <v>16</v>
      </c>
      <c r="Q755" s="13">
        <f>IFERROR(__xludf.DUMMYFUNCTION("""COMPUTED_VALUE"""),46223.0)</f>
        <v>46223</v>
      </c>
      <c r="R755" s="13"/>
      <c r="S755" s="13"/>
      <c r="T755" s="5"/>
      <c r="U755" s="5" t="str">
        <f>IFERROR(__xludf.DUMMYFUNCTION("""COMPUTED_VALUE"""),"5x3")</f>
        <v>5x3</v>
      </c>
      <c r="V755" s="5">
        <f>IFERROR(__xludf.DUMMYFUNCTION("""COMPUTED_VALUE"""),20.0)</f>
        <v>20</v>
      </c>
      <c r="W755" s="5"/>
      <c r="X755" s="5">
        <f>IFERROR(__xludf.DUMMYFUNCTION("""COMPUTED_VALUE"""),96.194)</f>
        <v>96.194</v>
      </c>
      <c r="Y755" s="5" t="str">
        <f>IFERROR(__xludf.DUMMYFUNCTION("""COMPUTED_VALUE"""),"Low")</f>
        <v>Low</v>
      </c>
      <c r="Z755" s="5">
        <f>IFERROR(__xludf.DUMMYFUNCTION("""COMPUTED_VALUE"""),16.962)</f>
        <v>16.962</v>
      </c>
      <c r="AA755" s="5">
        <f>IFERROR(__xludf.DUMMYFUNCTION("""COMPUTED_VALUE"""),1000.0)</f>
        <v>1000</v>
      </c>
      <c r="AB755" s="5"/>
      <c r="AC755" s="5" t="str">
        <f>IFERROR(__xludf.DUMMYFUNCTION("""COMPUTED_VALUE"""),"Scatter, Wild Symbol")</f>
        <v>Scatter, Wild Symbol</v>
      </c>
      <c r="AD755" s="5" t="str">
        <f>IFERROR(__xludf.DUMMYFUNCTION("""COMPUTED_VALUE"""),"0.2 &amp; 50")</f>
        <v>0.2 &amp; 50</v>
      </c>
      <c r="AE755" s="5"/>
      <c r="AF755" s="5"/>
      <c r="AG755" s="8">
        <f>IFERROR(__xludf.DUMMYFUNCTION("""COMPUTED_VALUE"""),46240.39732638889)</f>
        <v>46240.39733</v>
      </c>
      <c r="AH755" s="5" t="str">
        <f>IFERROR(__xludf.DUMMYFUNCTION("""COMPUTED_VALUE"""),"djordje.jankovic@fazi.rs")</f>
        <v>djordje.jankovic@fazi.rs</v>
      </c>
      <c r="AI755" s="13"/>
      <c r="AJ755" s="5"/>
      <c r="AK755" s="5">
        <f>IFERROR(__xludf.DUMMYFUNCTION("""COMPUTED_VALUE"""),20.0)</f>
        <v>20</v>
      </c>
      <c r="AL755" s="5" t="str">
        <f>IFERROR(__xludf.DUMMYFUNCTION("""COMPUTED_VALUE"""),"Yes")</f>
        <v>Yes</v>
      </c>
      <c r="AM755" s="5" t="str">
        <f>IFERROR(__xludf.DUMMYFUNCTION("""COMPUTED_VALUE"""),"No")</f>
        <v>No</v>
      </c>
      <c r="AN755" s="5"/>
      <c r="AO755" s="5" t="str">
        <f>IFERROR(__xludf.DUMMYFUNCTION("""COMPUTED_VALUE"""),"Yes")</f>
        <v>Yes</v>
      </c>
      <c r="AP755" s="5" t="str">
        <f>IFERROR(__xludf.DUMMYFUNCTION("""COMPUTED_VALUE"""),"Yes")</f>
        <v>Yes</v>
      </c>
      <c r="AQ755" s="5"/>
      <c r="AR755" s="5"/>
      <c r="AS755" s="5"/>
      <c r="AT755" s="5"/>
      <c r="AU755" s="5" t="str">
        <f>IFERROR(__xludf.DUMMYFUNCTION("""COMPUTED_VALUE"""),"Fazi")</f>
        <v>Fazi</v>
      </c>
      <c r="AV755" s="5">
        <f>IFERROR(__xludf.DUMMYFUNCTION("""COMPUTED_VALUE"""),10.0)</f>
        <v>10</v>
      </c>
      <c r="AW755" s="5"/>
      <c r="AX755" s="13">
        <f>IFERROR(__xludf.DUMMYFUNCTION("""COMPUTED_VALUE"""),46217.0)</f>
        <v>46217</v>
      </c>
      <c r="AY755" s="5"/>
      <c r="AZ755" s="5"/>
      <c r="BA755" s="5"/>
      <c r="BB755" s="5"/>
      <c r="BC755" s="5" t="str">
        <f>IFERROR(__xludf.DUMMYFUNCTION("""COMPUTED_VALUE"""),"Foxi")</f>
        <v>Foxi</v>
      </c>
      <c r="BD755" s="5"/>
      <c r="BE755" s="5"/>
    </row>
    <row r="756">
      <c r="A756" s="5">
        <f>IFERROR(__xludf.DUMMYFUNCTION("""COMPUTED_VALUE"""),793.0)</f>
        <v>793</v>
      </c>
      <c r="B756" s="5">
        <f>IFERROR(__xludf.DUMMYFUNCTION("""COMPUTED_VALUE"""),5006.0)</f>
        <v>5006</v>
      </c>
      <c r="C756" s="5" t="str">
        <f>IFERROR(__xludf.DUMMYFUNCTION("""COMPUTED_VALUE"""),"Fazi")</f>
        <v>Fazi</v>
      </c>
      <c r="D756" s="5" t="str">
        <f>IFERROR(__xludf.DUMMYFUNCTION("""COMPUTED_VALUE"""),"Magic Multi Win")</f>
        <v>Magic Multi Win</v>
      </c>
      <c r="E756" s="5" t="str">
        <f>IFERROR(__xludf.DUMMYFUNCTION("""COMPUTED_VALUE"""),"V4-3")</f>
        <v>V4-3</v>
      </c>
      <c r="F756" s="5" t="str">
        <f>IFERROR(__xludf.DUMMYFUNCTION("""COMPUTED_VALUE"""),"MagicMultiWin")</f>
        <v>MagicMultiWin</v>
      </c>
      <c r="G756" s="5" t="str">
        <f>IFERROR(__xludf.DUMMYFUNCTION("""COMPUTED_VALUE"""),"In Development")</f>
        <v>In Development</v>
      </c>
      <c r="H756" s="5"/>
      <c r="I756" s="5" t="str">
        <f>IFERROR(__xludf.DUMMYFUNCTION("""COMPUTED_VALUE"""),"V4")</f>
        <v>V4</v>
      </c>
      <c r="J756" s="5" t="str">
        <f>IFERROR(__xludf.DUMMYFUNCTION("""COMPUTED_VALUE"""),"JSON")</f>
        <v>JSON</v>
      </c>
      <c r="K756" s="5" t="str">
        <f>IFERROR(__xludf.DUMMYFUNCTION("""COMPUTED_VALUE"""),"Slot")</f>
        <v>Slot</v>
      </c>
      <c r="L756" s="5" t="str">
        <f>IFERROR(__xludf.DUMMYFUNCTION("""COMPUTED_VALUE""")," Reskin")</f>
        <v> Reskin</v>
      </c>
      <c r="M756" s="5"/>
      <c r="N756" s="5"/>
      <c r="O756" s="5"/>
      <c r="P756" s="12"/>
      <c r="Q756" s="13"/>
      <c r="R756" s="13"/>
      <c r="S756" s="13"/>
      <c r="T756" s="5"/>
      <c r="U756" s="5"/>
      <c r="V756" s="5"/>
      <c r="W756" s="5"/>
      <c r="X756" s="5"/>
      <c r="Y756" s="5"/>
      <c r="Z756" s="5"/>
      <c r="AA756" s="5"/>
      <c r="AB756" s="5"/>
      <c r="AC756" s="5"/>
      <c r="AD756" s="5"/>
      <c r="AE756" s="5"/>
      <c r="AF756" s="5"/>
      <c r="AG756" s="8">
        <f>IFERROR(__xludf.DUMMYFUNCTION("""COMPUTED_VALUE"""),46163.513344907406)</f>
        <v>46163.51334</v>
      </c>
      <c r="AH756" s="5" t="str">
        <f>IFERROR(__xludf.DUMMYFUNCTION("""COMPUTED_VALUE"""),"zdravkovic.predrag@fazi.rs")</f>
        <v>zdravkovic.predrag@fazi.rs</v>
      </c>
      <c r="AI756" s="13"/>
      <c r="AJ756" s="5"/>
      <c r="AK756" s="5"/>
      <c r="AL756" s="5"/>
      <c r="AM756" s="5"/>
      <c r="AN756" s="5"/>
      <c r="AO756" s="5"/>
      <c r="AP756" s="5"/>
      <c r="AQ756" s="5"/>
      <c r="AR756" s="5"/>
      <c r="AS756" s="5"/>
      <c r="AT756" s="5"/>
      <c r="AU756" s="5"/>
      <c r="AV756" s="5"/>
      <c r="AW756" s="5"/>
      <c r="AX756" s="5"/>
      <c r="AY756" s="5"/>
      <c r="AZ756" s="5"/>
      <c r="BA756" s="5"/>
      <c r="BB756" s="5"/>
      <c r="BC756" s="5" t="str">
        <f>IFERROR(__xludf.DUMMYFUNCTION("""COMPUTED_VALUE"""),"Foxi")</f>
        <v>Foxi</v>
      </c>
      <c r="BD756" s="5" t="str">
        <f>IFERROR(__xludf.DUMMYFUNCTION("""COMPUTED_VALUE"""),"")</f>
        <v/>
      </c>
      <c r="BE756" s="5"/>
    </row>
    <row r="757">
      <c r="A757" s="5">
        <f>IFERROR(__xludf.DUMMYFUNCTION("""COMPUTED_VALUE"""),794.0)</f>
        <v>794</v>
      </c>
      <c r="B757" s="5">
        <f>IFERROR(__xludf.DUMMYFUNCTION("""COMPUTED_VALUE"""),2022.0)</f>
        <v>2022</v>
      </c>
      <c r="C757" s="5" t="str">
        <f>IFERROR(__xludf.DUMMYFUNCTION("""COMPUTED_VALUE"""),"Fazi")</f>
        <v>Fazi</v>
      </c>
      <c r="D757" s="5" t="str">
        <f>IFERROR(__xludf.DUMMYFUNCTION("""COMPUTED_VALUE"""),"Chilli Burst")</f>
        <v>Chilli Burst</v>
      </c>
      <c r="E757" s="5" t="str">
        <f>IFERROR(__xludf.DUMMYFUNCTION("""COMPUTED_VALUE"""),"V4-2")</f>
        <v>V4-2</v>
      </c>
      <c r="F757" s="5" t="str">
        <f>IFERROR(__xludf.DUMMYFUNCTION("""COMPUTED_VALUE"""),"ChilliBurst")</f>
        <v>ChilliBurst</v>
      </c>
      <c r="G757" s="5" t="str">
        <f>IFERROR(__xludf.DUMMYFUNCTION("""COMPUTED_VALUE"""),"In Development")</f>
        <v>In Development</v>
      </c>
      <c r="H757" s="5"/>
      <c r="I757" s="5" t="str">
        <f>IFERROR(__xludf.DUMMYFUNCTION("""COMPUTED_VALUE"""),"V4")</f>
        <v>V4</v>
      </c>
      <c r="J757" s="5" t="str">
        <f>IFERROR(__xludf.DUMMYFUNCTION("""COMPUTED_VALUE"""),"JSON")</f>
        <v>JSON</v>
      </c>
      <c r="K757" s="5" t="str">
        <f>IFERROR(__xludf.DUMMYFUNCTION("""COMPUTED_VALUE"""),"Slot")</f>
        <v>Slot</v>
      </c>
      <c r="L757" s="5" t="str">
        <f>IFERROR(__xludf.DUMMYFUNCTION("""COMPUTED_VALUE"""),"Master")</f>
        <v>Master</v>
      </c>
      <c r="M757" s="5"/>
      <c r="N757" s="5"/>
      <c r="O757" s="5"/>
      <c r="P757" s="5">
        <f>IFERROR(__xludf.DUMMYFUNCTION("""COMPUTED_VALUE"""),-2.0)</f>
        <v>-2</v>
      </c>
      <c r="Q757" s="13">
        <f>IFERROR(__xludf.DUMMYFUNCTION("""COMPUTED_VALUE"""),46349.0)</f>
        <v>46349</v>
      </c>
      <c r="R757" s="13"/>
      <c r="S757" s="13">
        <f>IFERROR(__xludf.DUMMYFUNCTION("""COMPUTED_VALUE"""),46371.0)</f>
        <v>46371</v>
      </c>
      <c r="T757" s="5" t="b">
        <f>IFERROR(__xludf.DUMMYFUNCTION("""COMPUTED_VALUE"""),TRUE)</f>
        <v>1</v>
      </c>
      <c r="U757" s="5" t="str">
        <f>IFERROR(__xludf.DUMMYFUNCTION("""COMPUTED_VALUE"""),"5x3")</f>
        <v>5x3</v>
      </c>
      <c r="V757" s="5">
        <f>IFERROR(__xludf.DUMMYFUNCTION("""COMPUTED_VALUE"""),10.0)</f>
        <v>10</v>
      </c>
      <c r="W757" s="5">
        <f>IFERROR(__xludf.DUMMYFUNCTION("""COMPUTED_VALUE"""),10.0)</f>
        <v>10</v>
      </c>
      <c r="X757" s="5">
        <f>IFERROR(__xludf.DUMMYFUNCTION("""COMPUTED_VALUE"""),96.5)</f>
        <v>96.5</v>
      </c>
      <c r="Y757" s="5" t="str">
        <f>IFERROR(__xludf.DUMMYFUNCTION("""COMPUTED_VALUE"""),"High")</f>
        <v>High</v>
      </c>
      <c r="Z757" s="5">
        <f>IFERROR(__xludf.DUMMYFUNCTION("""COMPUTED_VALUE"""),10.803)</f>
        <v>10.803</v>
      </c>
      <c r="AA757" s="5">
        <f>IFERROR(__xludf.DUMMYFUNCTION("""COMPUTED_VALUE"""),3000.0)</f>
        <v>3000</v>
      </c>
      <c r="AB757" s="5"/>
      <c r="AC757" s="5"/>
      <c r="AD757" s="5" t="str">
        <f>IFERROR(__xludf.DUMMYFUNCTION("""COMPUTED_VALUE"""),"0.1/50")</f>
        <v>0.1/50</v>
      </c>
      <c r="AE757" s="5"/>
      <c r="AF757" s="5"/>
      <c r="AG757" s="8">
        <f>IFERROR(__xludf.DUMMYFUNCTION("""COMPUTED_VALUE"""),46275.37453703704)</f>
        <v>46275.37454</v>
      </c>
      <c r="AH757" s="5" t="str">
        <f>IFERROR(__xludf.DUMMYFUNCTION("""COMPUTED_VALUE"""),"aleksandar.trajkovic@fazi.rs")</f>
        <v>aleksandar.trajkovic@fazi.rs</v>
      </c>
      <c r="AI757" s="13"/>
      <c r="AJ757" s="5"/>
      <c r="AK757" s="5">
        <f>IFERROR(__xludf.DUMMYFUNCTION("""COMPUTED_VALUE"""),10.0)</f>
        <v>10</v>
      </c>
      <c r="AL757" s="5" t="str">
        <f>IFERROR(__xludf.DUMMYFUNCTION("""COMPUTED_VALUE"""),"Yes")</f>
        <v>Yes</v>
      </c>
      <c r="AM757" s="5" t="str">
        <f>IFERROR(__xludf.DUMMYFUNCTION("""COMPUTED_VALUE"""),"No")</f>
        <v>No</v>
      </c>
      <c r="AN757" s="5">
        <f>IFERROR(__xludf.DUMMYFUNCTION("""COMPUTED_VALUE"""),-1.0)</f>
        <v>-1</v>
      </c>
      <c r="AO757" s="5" t="str">
        <f>IFERROR(__xludf.DUMMYFUNCTION("""COMPUTED_VALUE"""),"Yes")</f>
        <v>Yes</v>
      </c>
      <c r="AP757" s="5" t="str">
        <f>IFERROR(__xludf.DUMMYFUNCTION("""COMPUTED_VALUE"""),"Yes")</f>
        <v>Yes</v>
      </c>
      <c r="AQ757" s="5"/>
      <c r="AR757" s="5"/>
      <c r="AS757" s="5"/>
      <c r="AT757" s="5"/>
      <c r="AU757" s="5" t="str">
        <f>IFERROR(__xludf.DUMMYFUNCTION("""COMPUTED_VALUE"""),"Fazi")</f>
        <v>Fazi</v>
      </c>
      <c r="AV757" s="5"/>
      <c r="AW757" s="5"/>
      <c r="AX757" s="13">
        <f>IFERROR(__xludf.DUMMYFUNCTION("""COMPUTED_VALUE"""),46343.0)</f>
        <v>46343</v>
      </c>
      <c r="AY757" s="5" t="str">
        <f>IFERROR(__xludf.DUMMYFUNCTION("""COMPUTED_VALUE"""),"87.5%, 89.5%, 91.5%, 93.5%, 94.5%, 95.5%, 96.5%")</f>
        <v>87.5%, 89.5%, 91.5%, 93.5%, 94.5%, 95.5%, 96.5%</v>
      </c>
      <c r="AZ757" s="5"/>
      <c r="BA757" s="5"/>
      <c r="BB757" s="5"/>
      <c r="BC757" s="5" t="str">
        <f>IFERROR(__xludf.DUMMYFUNCTION("""COMPUTED_VALUE"""),"Foxi")</f>
        <v>Foxi</v>
      </c>
      <c r="BD757" s="5"/>
      <c r="BE757" s="5"/>
    </row>
    <row r="758">
      <c r="A758" s="5">
        <f>IFERROR(__xludf.DUMMYFUNCTION("""COMPUTED_VALUE"""),795.0)</f>
        <v>795</v>
      </c>
      <c r="B758" s="5">
        <f>IFERROR(__xludf.DUMMYFUNCTION("""COMPUTED_VALUE"""),2023.0)</f>
        <v>2023</v>
      </c>
      <c r="C758" s="5" t="str">
        <f>IFERROR(__xludf.DUMMYFUNCTION("""COMPUTED_VALUE"""),"Fazi")</f>
        <v>Fazi</v>
      </c>
      <c r="D758" s="5" t="str">
        <f>IFERROR(__xludf.DUMMYFUNCTION("""COMPUTED_VALUE"""),"Extreme Sticky Clover")</f>
        <v>Extreme Sticky Clover</v>
      </c>
      <c r="E758" s="5" t="str">
        <f>IFERROR(__xludf.DUMMYFUNCTION("""COMPUTED_VALUE"""),"V4-2")</f>
        <v>V4-2</v>
      </c>
      <c r="F758" s="5" t="str">
        <f>IFERROR(__xludf.DUMMYFUNCTION("""COMPUTED_VALUE"""),"ExtremeStickyClover")</f>
        <v>ExtremeStickyClover</v>
      </c>
      <c r="G758" s="5" t="str">
        <f>IFERROR(__xludf.DUMMYFUNCTION("""COMPUTED_VALUE"""),"Deployed")</f>
        <v>Deployed</v>
      </c>
      <c r="H758" s="5"/>
      <c r="I758" s="5" t="str">
        <f>IFERROR(__xludf.DUMMYFUNCTION("""COMPUTED_VALUE"""),"V4")</f>
        <v>V4</v>
      </c>
      <c r="J758" s="5" t="str">
        <f>IFERROR(__xludf.DUMMYFUNCTION("""COMPUTED_VALUE"""),"JSON")</f>
        <v>JSON</v>
      </c>
      <c r="K758" s="5" t="str">
        <f>IFERROR(__xludf.DUMMYFUNCTION("""COMPUTED_VALUE"""),"Slot")</f>
        <v>Slot</v>
      </c>
      <c r="L758" s="5" t="str">
        <f>IFERROR(__xludf.DUMMYFUNCTION("""COMPUTED_VALUE""")," Variant")</f>
        <v> Variant</v>
      </c>
      <c r="M758" s="5" t="str">
        <f>IFERROR(__xludf.DUMMYFUNCTION("""COMPUTED_VALUE"""),"Wild Sticky Clover")</f>
        <v>Wild Sticky Clover</v>
      </c>
      <c r="N758" s="5"/>
      <c r="O758" s="5"/>
      <c r="P758" s="5">
        <f>IFERROR(__xludf.DUMMYFUNCTION("""COMPUTED_VALUE"""),19.6)</f>
        <v>19.6</v>
      </c>
      <c r="Q758" s="13">
        <f>IFERROR(__xludf.DUMMYFUNCTION("""COMPUTED_VALUE"""),46210.0)</f>
        <v>46210</v>
      </c>
      <c r="R758" s="13"/>
      <c r="S758" s="13">
        <f>IFERROR(__xludf.DUMMYFUNCTION("""COMPUTED_VALUE"""),46331.0)</f>
        <v>46331</v>
      </c>
      <c r="T758" s="5" t="b">
        <f>IFERROR(__xludf.DUMMYFUNCTION("""COMPUTED_VALUE"""),TRUE)</f>
        <v>1</v>
      </c>
      <c r="U758" s="5" t="str">
        <f>IFERROR(__xludf.DUMMYFUNCTION("""COMPUTED_VALUE"""),"5x4")</f>
        <v>5x4</v>
      </c>
      <c r="V758" s="5">
        <f>IFERROR(__xludf.DUMMYFUNCTION("""COMPUTED_VALUE"""),40.0)</f>
        <v>40</v>
      </c>
      <c r="W758" s="5">
        <f>IFERROR(__xludf.DUMMYFUNCTION("""COMPUTED_VALUE"""),40.0)</f>
        <v>40</v>
      </c>
      <c r="X758" s="5">
        <f>IFERROR(__xludf.DUMMYFUNCTION("""COMPUTED_VALUE"""),96.5)</f>
        <v>96.5</v>
      </c>
      <c r="Y758" s="5" t="str">
        <f>IFERROR(__xludf.DUMMYFUNCTION("""COMPUTED_VALUE"""),"High")</f>
        <v>High</v>
      </c>
      <c r="Z758" s="5">
        <f>IFERROR(__xludf.DUMMYFUNCTION("""COMPUTED_VALUE"""),11.381)</f>
        <v>11.381</v>
      </c>
      <c r="AA758" s="5">
        <f>IFERROR(__xludf.DUMMYFUNCTION("""COMPUTED_VALUE"""),3000.0)</f>
        <v>3000</v>
      </c>
      <c r="AB758" s="5"/>
      <c r="AC758" s="5"/>
      <c r="AD758" s="5" t="str">
        <f>IFERROR(__xludf.DUMMYFUNCTION("""COMPUTED_VALUE"""),"0.4/40")</f>
        <v>0.4/40</v>
      </c>
      <c r="AE758" s="5"/>
      <c r="AF758" s="5"/>
      <c r="AG758" s="8">
        <f>IFERROR(__xludf.DUMMYFUNCTION("""COMPUTED_VALUE"""),46272.61126157407)</f>
        <v>46272.61126</v>
      </c>
      <c r="AH758" s="5" t="str">
        <f>IFERROR(__xludf.DUMMYFUNCTION("""COMPUTED_VALUE"""),"aleksandar.matejic@fazi.rs")</f>
        <v>aleksandar.matejic@fazi.rs</v>
      </c>
      <c r="AI758" s="13"/>
      <c r="AJ758" s="5"/>
      <c r="AK758" s="5">
        <f>IFERROR(__xludf.DUMMYFUNCTION("""COMPUTED_VALUE"""),4.0)</f>
        <v>4</v>
      </c>
      <c r="AL758" s="5" t="str">
        <f>IFERROR(__xludf.DUMMYFUNCTION("""COMPUTED_VALUE"""),"Yes")</f>
        <v>Yes</v>
      </c>
      <c r="AM758" s="5" t="str">
        <f>IFERROR(__xludf.DUMMYFUNCTION("""COMPUTED_VALUE"""),"No")</f>
        <v>No</v>
      </c>
      <c r="AN758" s="7" t="str">
        <f>IFERROR(__xludf.DUMMYFUNCTION("""COMPUTED_VALUE"""),"https://onlinegamespromo.fazi.rs/Home/IntegrationGameLaunch?moneyType=0&amp;gameName=ExtremeStickyClover&amp;platform=desktop&amp;languageCode=eng&amp;currency=EUR")</f>
        <v>https://onlinegamespromo.fazi.rs/Home/IntegrationGameLaunch?moneyType=0&amp;gameName=ExtremeStickyClover&amp;platform=desktop&amp;languageCode=eng&amp;currency=EUR</v>
      </c>
      <c r="AO758" s="5" t="str">
        <f>IFERROR(__xludf.DUMMYFUNCTION("""COMPUTED_VALUE"""),"Yes")</f>
        <v>Yes</v>
      </c>
      <c r="AP758" s="5" t="str">
        <f>IFERROR(__xludf.DUMMYFUNCTION("""COMPUTED_VALUE"""),"Yes")</f>
        <v>Yes</v>
      </c>
      <c r="AQ758" s="5"/>
      <c r="AR758" s="5"/>
      <c r="AS758" s="5"/>
      <c r="AT758" s="5"/>
      <c r="AU758" s="5" t="str">
        <f>IFERROR(__xludf.DUMMYFUNCTION("""COMPUTED_VALUE"""),"Fazi")</f>
        <v>Fazi</v>
      </c>
      <c r="AV758" s="5">
        <f>IFERROR(__xludf.DUMMYFUNCTION("""COMPUTED_VALUE"""),4.0)</f>
        <v>4</v>
      </c>
      <c r="AW758" s="5"/>
      <c r="AX758" s="13">
        <f>IFERROR(__xludf.DUMMYFUNCTION("""COMPUTED_VALUE"""),46202.0)</f>
        <v>46202</v>
      </c>
      <c r="AY758" s="5"/>
      <c r="AZ758" s="5"/>
      <c r="BA758" s="5"/>
      <c r="BB758" s="5"/>
      <c r="BC758" s="5" t="str">
        <f>IFERROR(__xludf.DUMMYFUNCTION("""COMPUTED_VALUE"""),"Foxi")</f>
        <v>Foxi</v>
      </c>
      <c r="BD758" s="5"/>
      <c r="BE758" s="5"/>
    </row>
    <row r="759">
      <c r="A759" s="5">
        <f>IFERROR(__xludf.DUMMYFUNCTION("""COMPUTED_VALUE"""),796.0)</f>
        <v>796</v>
      </c>
      <c r="B759" s="5">
        <f>IFERROR(__xludf.DUMMYFUNCTION("""COMPUTED_VALUE"""),3045.0)</f>
        <v>3045</v>
      </c>
      <c r="C759" s="5" t="str">
        <f>IFERROR(__xludf.DUMMYFUNCTION("""COMPUTED_VALUE"""),"Fazi")</f>
        <v>Fazi</v>
      </c>
      <c r="D759" s="5" t="str">
        <f>IFERROR(__xludf.DUMMYFUNCTION("""COMPUTED_VALUE"""),"Extreme Heat 7s")</f>
        <v>Extreme Heat 7s</v>
      </c>
      <c r="E759" s="5" t="str">
        <f>IFERROR(__xludf.DUMMYFUNCTION("""COMPUTED_VALUE"""),"V2")</f>
        <v>V2</v>
      </c>
      <c r="F759" s="5" t="str">
        <f>IFERROR(__xludf.DUMMYFUNCTION("""COMPUTED_VALUE"""),"ExtremeHeat7s")</f>
        <v>ExtremeHeat7s</v>
      </c>
      <c r="G759" s="5" t="str">
        <f>IFERROR(__xludf.DUMMYFUNCTION("""COMPUTED_VALUE"""),"In Development")</f>
        <v>In Development</v>
      </c>
      <c r="H759" s="5"/>
      <c r="I759" s="5" t="str">
        <f>IFERROR(__xludf.DUMMYFUNCTION("""COMPUTED_VALUE"""),"V4")</f>
        <v>V4</v>
      </c>
      <c r="J759" s="5" t="str">
        <f>IFERROR(__xludf.DUMMYFUNCTION("""COMPUTED_VALUE"""),"JSON")</f>
        <v>JSON</v>
      </c>
      <c r="K759" s="5" t="str">
        <f>IFERROR(__xludf.DUMMYFUNCTION("""COMPUTED_VALUE"""),"Slot")</f>
        <v>Slot</v>
      </c>
      <c r="L759" s="5" t="str">
        <f>IFERROR(__xludf.DUMMYFUNCTION("""COMPUTED_VALUE"""),"Master")</f>
        <v>Master</v>
      </c>
      <c r="M759" s="5"/>
      <c r="N759" s="5"/>
      <c r="O759" s="5"/>
      <c r="P759" s="12">
        <f>IFERROR(__xludf.DUMMYFUNCTION("""COMPUTED_VALUE"""),18.8)</f>
        <v>18.8</v>
      </c>
      <c r="Q759" s="13">
        <f>IFERROR(__xludf.DUMMYFUNCTION("""COMPUTED_VALUE"""),46251.0)</f>
        <v>46251</v>
      </c>
      <c r="R759" s="13">
        <f>IFERROR(__xludf.DUMMYFUNCTION("""COMPUTED_VALUE"""),46261.0)</f>
        <v>46261</v>
      </c>
      <c r="S759" s="13">
        <f>IFERROR(__xludf.DUMMYFUNCTION("""COMPUTED_VALUE"""),46268.0)</f>
        <v>46268</v>
      </c>
      <c r="T759" s="5" t="b">
        <f>IFERROR(__xludf.DUMMYFUNCTION("""COMPUTED_VALUE"""),TRUE)</f>
        <v>1</v>
      </c>
      <c r="U759" s="5" t="str">
        <f>IFERROR(__xludf.DUMMYFUNCTION("""COMPUTED_VALUE"""),"5x4")</f>
        <v>5x4</v>
      </c>
      <c r="V759" s="5">
        <f>IFERROR(__xludf.DUMMYFUNCTION("""COMPUTED_VALUE"""),40.0)</f>
        <v>40</v>
      </c>
      <c r="W759" s="5">
        <f>IFERROR(__xludf.DUMMYFUNCTION("""COMPUTED_VALUE"""),40.0)</f>
        <v>40</v>
      </c>
      <c r="X759" s="5">
        <f>IFERROR(__xludf.DUMMYFUNCTION("""COMPUTED_VALUE"""),96.468)</f>
        <v>96.468</v>
      </c>
      <c r="Y759" s="5" t="str">
        <f>IFERROR(__xludf.DUMMYFUNCTION("""COMPUTED_VALUE"""),"Medium")</f>
        <v>Medium</v>
      </c>
      <c r="Z759" s="5">
        <f>IFERROR(__xludf.DUMMYFUNCTION("""COMPUTED_VALUE"""),14.004)</f>
        <v>14.004</v>
      </c>
      <c r="AA759" s="5">
        <f>IFERROR(__xludf.DUMMYFUNCTION("""COMPUTED_VALUE"""),1616.0)</f>
        <v>1616</v>
      </c>
      <c r="AB759" s="5">
        <f>IFERROR(__xludf.DUMMYFUNCTION("""COMPUTED_VALUE"""),156.0)</f>
        <v>156</v>
      </c>
      <c r="AC759" s="5" t="str">
        <f>IFERROR(__xludf.DUMMYFUNCTION("""COMPUTED_VALUE"""),"Respin, Free Rounds, Variable RTP, Buy Bonus, Bonus Game with Free Spins, Wild Symbol, Scatter")</f>
        <v>Respin, Free Rounds, Variable RTP, Buy Bonus, Bonus Game with Free Spins, Wild Symbol, Scatter</v>
      </c>
      <c r="AD759" s="5" t="str">
        <f>IFERROR(__xludf.DUMMYFUNCTION("""COMPUTED_VALUE"""),"0.4/60")</f>
        <v>0.4/60</v>
      </c>
      <c r="AE759" s="5"/>
      <c r="AF759" s="5"/>
      <c r="AG759" s="8">
        <f>IFERROR(__xludf.DUMMYFUNCTION("""COMPUTED_VALUE"""),46260.442777777775)</f>
        <v>46260.44278</v>
      </c>
      <c r="AH759" s="5" t="str">
        <f>IFERROR(__xludf.DUMMYFUNCTION("""COMPUTED_VALUE"""),"selena.mihajlovic@fazi.rs")</f>
        <v>selena.mihajlovic@fazi.rs</v>
      </c>
      <c r="AI759" s="13"/>
      <c r="AJ759" s="5"/>
      <c r="AK759" s="5">
        <f>IFERROR(__xludf.DUMMYFUNCTION("""COMPUTED_VALUE"""),8.0)</f>
        <v>8</v>
      </c>
      <c r="AL759" s="5" t="str">
        <f>IFERROR(__xludf.DUMMYFUNCTION("""COMPUTED_VALUE"""),"Yes")</f>
        <v>Yes</v>
      </c>
      <c r="AM759" s="5" t="str">
        <f>IFERROR(__xludf.DUMMYFUNCTION("""COMPUTED_VALUE"""),"No")</f>
        <v>No</v>
      </c>
      <c r="AN759" s="7" t="str">
        <f>IFERROR(__xludf.DUMMYFUNCTION("""COMPUTED_VALUE"""),"https://onlinegamespromo.fazi.rs/Home/IntegrationGameLaunch?moneyType=0&amp;gameName=ExtremeHeat7s&amp;platform=desktop&amp;languageCode=eng&amp;currency=EUR")</f>
        <v>https://onlinegamespromo.fazi.rs/Home/IntegrationGameLaunch?moneyType=0&amp;gameName=ExtremeHeat7s&amp;platform=desktop&amp;languageCode=eng&amp;currency=EUR</v>
      </c>
      <c r="AO759" s="5" t="str">
        <f>IFERROR(__xludf.DUMMYFUNCTION("""COMPUTED_VALUE"""),"Yes")</f>
        <v>Yes</v>
      </c>
      <c r="AP759" s="5" t="str">
        <f>IFERROR(__xludf.DUMMYFUNCTION("""COMPUTED_VALUE"""),"No")</f>
        <v>No</v>
      </c>
      <c r="AQ759" s="5" t="b">
        <f>IFERROR(__xludf.DUMMYFUNCTION("""COMPUTED_VALUE"""),TRUE)</f>
        <v>1</v>
      </c>
      <c r="AR759" s="5"/>
      <c r="AS759" s="5" t="str">
        <f>IFERROR(__xludf.DUMMYFUNCTION("""COMPUTED_VALUE"""),"The heat is on – and it’s taken to the absolute extreme. Packed with sizzling 7s, continuous Scatter respins, and powerful Wild action across reels 2, 3, and 4, this high-octane experience unleashes up to 30 Free Spins and hotter wins with every spin. Max"&amp;"imum thrill. Pure adrenaline. Are you ready to feel the extreme heat? ")</f>
        <v>The heat is on – and it’s taken to the absolute extreme. Packed with sizzling 7s, continuous Scatter respins, and powerful Wild action across reels 2, 3, and 4, this high-octane experience unleashes up to 30 Free Spins and hotter wins with every spin. Maximum thrill. Pure adrenaline. Are you ready to feel the extreme heat? </v>
      </c>
      <c r="AT759" s="5"/>
      <c r="AU759" s="5" t="str">
        <f>IFERROR(__xludf.DUMMYFUNCTION("""COMPUTED_VALUE"""),"Fazi")</f>
        <v>Fazi</v>
      </c>
      <c r="AV759" s="5">
        <f>IFERROR(__xludf.DUMMYFUNCTION("""COMPUTED_VALUE"""),8.0)</f>
        <v>8</v>
      </c>
      <c r="AW759" s="5"/>
      <c r="AX759" s="13">
        <f>IFERROR(__xludf.DUMMYFUNCTION("""COMPUTED_VALUE"""),46245.0)</f>
        <v>46245</v>
      </c>
      <c r="AY759" s="5" t="str">
        <f>IFERROR(__xludf.DUMMYFUNCTION("""COMPUTED_VALUE"""),"87.5%, 89.5%, 91.5%, 93.5%, 94.5%, 95.5%, 96.5%")</f>
        <v>87.5%, 89.5%, 91.5%, 93.5%, 94.5%, 95.5%, 96.5%</v>
      </c>
      <c r="AZ759" s="5"/>
      <c r="BA759" s="5"/>
      <c r="BB759" s="5" t="b">
        <f>IFERROR(__xludf.DUMMYFUNCTION("""COMPUTED_VALUE"""),TRUE)</f>
        <v>1</v>
      </c>
      <c r="BC759" s="5" t="str">
        <f>IFERROR(__xludf.DUMMYFUNCTION("""COMPUTED_VALUE"""),"Foxi")</f>
        <v>Foxi</v>
      </c>
      <c r="BD759" s="7" t="str">
        <f>IFERROR(__xludf.DUMMYFUNCTION("""COMPUTED_VALUE"""),"https://gameserver-store-client-area.orbionlimited.com/Home/IntegrationGameLaunch/client-area?moneyType=0&amp;gameName=ExtremeHeat7s&amp;platform=desktop&amp;languageCode=eng&amp;currency=EUR")</f>
        <v>https://gameserver-store-client-area.orbionlimited.com/Home/IntegrationGameLaunch/client-area?moneyType=0&amp;gameName=ExtremeHeat7s&amp;platform=desktop&amp;languageCode=eng&amp;currency=EUR</v>
      </c>
      <c r="BE759" s="5" t="b">
        <f>IFERROR(__xludf.DUMMYFUNCTION("""COMPUTED_VALUE"""),TRUE)</f>
        <v>1</v>
      </c>
    </row>
    <row r="760">
      <c r="A760" s="5">
        <f>IFERROR(__xludf.DUMMYFUNCTION("""COMPUTED_VALUE"""),797.0)</f>
        <v>797</v>
      </c>
      <c r="B760" s="5">
        <f>IFERROR(__xludf.DUMMYFUNCTION("""COMPUTED_VALUE"""),3038.0)</f>
        <v>3038</v>
      </c>
      <c r="C760" s="5" t="str">
        <f>IFERROR(__xludf.DUMMYFUNCTION("""COMPUTED_VALUE"""),"Fazi")</f>
        <v>Fazi</v>
      </c>
      <c r="D760" s="5" t="str">
        <f>IFERROR(__xludf.DUMMYFUNCTION("""COMPUTED_VALUE"""),"Bonus Wild 81 Extralines")</f>
        <v>Bonus Wild 81 Extralines</v>
      </c>
      <c r="E760" s="5" t="str">
        <f>IFERROR(__xludf.DUMMYFUNCTION("""COMPUTED_VALUE"""),"V2")</f>
        <v>V2</v>
      </c>
      <c r="F760" s="5" t="str">
        <f>IFERROR(__xludf.DUMMYFUNCTION("""COMPUTED_VALUE"""),"BonusWild81Extralines")</f>
        <v>BonusWild81Extralines</v>
      </c>
      <c r="G760" s="5" t="str">
        <f>IFERROR(__xludf.DUMMYFUNCTION("""COMPUTED_VALUE"""),"Deployed")</f>
        <v>Deployed</v>
      </c>
      <c r="H760" s="5"/>
      <c r="I760" s="5" t="str">
        <f>IFERROR(__xludf.DUMMYFUNCTION("""COMPUTED_VALUE"""),"V4")</f>
        <v>V4</v>
      </c>
      <c r="J760" s="5" t="str">
        <f>IFERROR(__xludf.DUMMYFUNCTION("""COMPUTED_VALUE"""),"JSON")</f>
        <v>JSON</v>
      </c>
      <c r="K760" s="5" t="str">
        <f>IFERROR(__xludf.DUMMYFUNCTION("""COMPUTED_VALUE"""),"Slot")</f>
        <v>Slot</v>
      </c>
      <c r="L760" s="5" t="str">
        <f>IFERROR(__xludf.DUMMYFUNCTION("""COMPUTED_VALUE"""),"Master")</f>
        <v>Master</v>
      </c>
      <c r="M760" s="5"/>
      <c r="N760" s="5"/>
      <c r="O760" s="5"/>
      <c r="P760" s="12">
        <f>IFERROR(__xludf.DUMMYFUNCTION("""COMPUTED_VALUE"""),25.5)</f>
        <v>25.5</v>
      </c>
      <c r="Q760" s="13">
        <f>IFERROR(__xludf.DUMMYFUNCTION("""COMPUTED_VALUE"""),46195.0)</f>
        <v>46195</v>
      </c>
      <c r="R760" s="13">
        <f>IFERROR(__xludf.DUMMYFUNCTION("""COMPUTED_VALUE"""),46282.0)</f>
        <v>46282</v>
      </c>
      <c r="S760" s="13">
        <f>IFERROR(__xludf.DUMMYFUNCTION("""COMPUTED_VALUE"""),46289.0)</f>
        <v>46289</v>
      </c>
      <c r="T760" s="5" t="b">
        <f>IFERROR(__xludf.DUMMYFUNCTION("""COMPUTED_VALUE"""),TRUE)</f>
        <v>1</v>
      </c>
      <c r="U760" s="5" t="str">
        <f>IFERROR(__xludf.DUMMYFUNCTION("""COMPUTED_VALUE"""),"4x3")</f>
        <v>4x3</v>
      </c>
      <c r="V760" s="5">
        <f>IFERROR(__xludf.DUMMYFUNCTION("""COMPUTED_VALUE"""),20.0)</f>
        <v>20</v>
      </c>
      <c r="W760" s="5">
        <f>IFERROR(__xludf.DUMMYFUNCTION("""COMPUTED_VALUE"""),20.0)</f>
        <v>20</v>
      </c>
      <c r="X760" s="5">
        <f>IFERROR(__xludf.DUMMYFUNCTION("""COMPUTED_VALUE"""),96.521)</f>
        <v>96.521</v>
      </c>
      <c r="Y760" s="5" t="str">
        <f>IFERROR(__xludf.DUMMYFUNCTION("""COMPUTED_VALUE"""),"Medium")</f>
        <v>Medium</v>
      </c>
      <c r="Z760" s="5">
        <f>IFERROR(__xludf.DUMMYFUNCTION("""COMPUTED_VALUE"""),7.441)</f>
        <v>7.441</v>
      </c>
      <c r="AA760" s="5">
        <f>IFERROR(__xludf.DUMMYFUNCTION("""COMPUTED_VALUE"""),2440.0)</f>
        <v>2440</v>
      </c>
      <c r="AB760" s="5"/>
      <c r="AC760" s="5" t="str">
        <f>IFERROR(__xludf.DUMMYFUNCTION("""COMPUTED_VALUE"""),"Free Rounds, Buy Bonus, Extralines, Wild Symbol, Bonus Game with Free Spins, Variable RTP")</f>
        <v>Free Rounds, Buy Bonus, Extralines, Wild Symbol, Bonus Game with Free Spins, Variable RTP</v>
      </c>
      <c r="AD760" s="5" t="str">
        <f>IFERROR(__xludf.DUMMYFUNCTION("""COMPUTED_VALUE"""),"0.2/50")</f>
        <v>0.2/50</v>
      </c>
      <c r="AE760" s="5"/>
      <c r="AF760" s="5"/>
      <c r="AG760" s="8">
        <f>IFERROR(__xludf.DUMMYFUNCTION("""COMPUTED_VALUE"""),46260.45056712963)</f>
        <v>46260.45057</v>
      </c>
      <c r="AH760" s="5" t="str">
        <f>IFERROR(__xludf.DUMMYFUNCTION("""COMPUTED_VALUE"""),"selena.mihajlovic@fazi.rs")</f>
        <v>selena.mihajlovic@fazi.rs</v>
      </c>
      <c r="AI760" s="13">
        <f>IFERROR(__xludf.DUMMYFUNCTION("""COMPUTED_VALUE"""),46210.0)</f>
        <v>46210</v>
      </c>
      <c r="AJ760" s="5"/>
      <c r="AK760" s="5">
        <f>IFERROR(__xludf.DUMMYFUNCTION("""COMPUTED_VALUE"""),2.0)</f>
        <v>2</v>
      </c>
      <c r="AL760" s="5" t="str">
        <f>IFERROR(__xludf.DUMMYFUNCTION("""COMPUTED_VALUE"""),"Yes")</f>
        <v>Yes</v>
      </c>
      <c r="AM760" s="5" t="str">
        <f>IFERROR(__xludf.DUMMYFUNCTION("""COMPUTED_VALUE"""),"No")</f>
        <v>No</v>
      </c>
      <c r="AN760" s="7" t="str">
        <f>IFERROR(__xludf.DUMMYFUNCTION("""COMPUTED_VALUE"""),"https://onlinegamespromo.fazi.rs/Home/IntegrationGameLaunch?moneyType=0&amp;gameName=BonusWild81Extralines&amp;platform=desktop&amp;languageCode=eng&amp;currency=EUR")</f>
        <v>https://onlinegamespromo.fazi.rs/Home/IntegrationGameLaunch?moneyType=0&amp;gameName=BonusWild81Extralines&amp;platform=desktop&amp;languageCode=eng&amp;currency=EUR</v>
      </c>
      <c r="AO760" s="5" t="str">
        <f>IFERROR(__xludf.DUMMYFUNCTION("""COMPUTED_VALUE"""),"Yes")</f>
        <v>Yes</v>
      </c>
      <c r="AP760" s="5" t="str">
        <f>IFERROR(__xludf.DUMMYFUNCTION("""COMPUTED_VALUE"""),"Yes")</f>
        <v>Yes</v>
      </c>
      <c r="AQ760" s="5" t="b">
        <f>IFERROR(__xludf.DUMMYFUNCTION("""COMPUTED_VALUE"""),TRUE)</f>
        <v>1</v>
      </c>
      <c r="AR760" s="5"/>
      <c r="AS760" s="5" t="str">
        <f>IFERROR(__xludf.DUMMYFUNCTION("""COMPUTED_VALUE"""),"From the popular Extralines series comes another exciting release — Bonus Wild 81 Extralines! Packed with classic fruits, dynamic Wild action, and expanding lines that unlock up to 81 lines to win, every spin delivers next-level excitement and bigger payo"&amp;"ut potential. More lines. More Wilds. Massive wins. Are you ready to expand your rewards?")</f>
        <v>From the popular Extralines series comes another exciting release — Bonus Wild 81 Extralines! Packed with classic fruits, dynamic Wild action, and expanding lines that unlock up to 81 lines to win, every spin delivers next-level excitement and bigger payout potential. More lines. More Wilds. Massive wins. Are you ready to expand your rewards?</v>
      </c>
      <c r="AT760" s="5"/>
      <c r="AU760" s="5" t="str">
        <f>IFERROR(__xludf.DUMMYFUNCTION("""COMPUTED_VALUE"""),"Fazi")</f>
        <v>Fazi</v>
      </c>
      <c r="AV760" s="5">
        <f>IFERROR(__xludf.DUMMYFUNCTION("""COMPUTED_VALUE"""),2.0)</f>
        <v>2</v>
      </c>
      <c r="AW760" s="5"/>
      <c r="AX760" s="13">
        <f>IFERROR(__xludf.DUMMYFUNCTION("""COMPUTED_VALUE"""),46189.0)</f>
        <v>46189</v>
      </c>
      <c r="AY760" s="5" t="str">
        <f>IFERROR(__xludf.DUMMYFUNCTION("""COMPUTED_VALUE"""),"87.5%, 89.5%, 91.5%, 93.5%, 94.5%, 95.5%, 96.5%")</f>
        <v>87.5%, 89.5%, 91.5%, 93.5%, 94.5%, 95.5%, 96.5%</v>
      </c>
      <c r="AZ760" s="5"/>
      <c r="BA760" s="5"/>
      <c r="BB760" s="5" t="b">
        <f>IFERROR(__xludf.DUMMYFUNCTION("""COMPUTED_VALUE"""),TRUE)</f>
        <v>1</v>
      </c>
      <c r="BC760" s="5" t="str">
        <f>IFERROR(__xludf.DUMMYFUNCTION("""COMPUTED_VALUE"""),"Foxi")</f>
        <v>Foxi</v>
      </c>
      <c r="BD760" s="7" t="str">
        <f>IFERROR(__xludf.DUMMYFUNCTION("""COMPUTED_VALUE"""),"https://gameserver-store-client-area.orbionlimited.com/Home/IntegrationGameLaunch/client-area?moneyType=0&amp;gameName=BonusWild81Extralines&amp;platform=desktop&amp;languageCode=eng&amp;currency=EUR")</f>
        <v>https://gameserver-store-client-area.orbionlimited.com/Home/IntegrationGameLaunch/client-area?moneyType=0&amp;gameName=BonusWild81Extralines&amp;platform=desktop&amp;languageCode=eng&amp;currency=EUR</v>
      </c>
      <c r="BE760" s="5" t="b">
        <f>IFERROR(__xludf.DUMMYFUNCTION("""COMPUTED_VALUE"""),TRUE)</f>
        <v>1</v>
      </c>
    </row>
    <row r="761">
      <c r="A761" s="5">
        <f>IFERROR(__xludf.DUMMYFUNCTION("""COMPUTED_VALUE"""),798.0)</f>
        <v>798</v>
      </c>
      <c r="B761" s="5">
        <f>IFERROR(__xludf.DUMMYFUNCTION("""COMPUTED_VALUE"""),4000021.0)</f>
        <v>4000021</v>
      </c>
      <c r="C761" s="5" t="str">
        <f>IFERROR(__xludf.DUMMYFUNCTION("""COMPUTED_VALUE"""),"Tiptop")</f>
        <v>Tiptop</v>
      </c>
      <c r="D761" s="5" t="str">
        <f>IFERROR(__xludf.DUMMYFUNCTION("""COMPUTED_VALUE"""),"Flamy Fireballs")</f>
        <v>Flamy Fireballs</v>
      </c>
      <c r="E761" s="5" t="str">
        <f>IFERROR(__xludf.DUMMYFUNCTION("""COMPUTED_VALUE"""),"TipTop")</f>
        <v>TipTop</v>
      </c>
      <c r="F761" s="5" t="str">
        <f>IFERROR(__xludf.DUMMYFUNCTION("""COMPUTED_VALUE"""),"UnicornFlamyFireballs")</f>
        <v>UnicornFlamyFireballs</v>
      </c>
      <c r="G761" s="5" t="str">
        <f>IFERROR(__xludf.DUMMYFUNCTION("""COMPUTED_VALUE"""),"Live")</f>
        <v>Live</v>
      </c>
      <c r="H761" s="5"/>
      <c r="I761" s="5" t="str">
        <f>IFERROR(__xludf.DUMMYFUNCTION("""COMPUTED_VALUE"""),"TipTop")</f>
        <v>TipTop</v>
      </c>
      <c r="J761" s="5" t="str">
        <f>IFERROR(__xludf.DUMMYFUNCTION("""COMPUTED_VALUE"""),"JSON")</f>
        <v>JSON</v>
      </c>
      <c r="K761" s="5" t="str">
        <f>IFERROR(__xludf.DUMMYFUNCTION("""COMPUTED_VALUE"""),"Slot")</f>
        <v>Slot</v>
      </c>
      <c r="L761" s="5" t="str">
        <f>IFERROR(__xludf.DUMMYFUNCTION("""COMPUTED_VALUE"""),"Master")</f>
        <v>Master</v>
      </c>
      <c r="M761" s="5"/>
      <c r="N761" s="5"/>
      <c r="O761" s="5"/>
      <c r="P761" s="12">
        <f>IFERROR(__xludf.DUMMYFUNCTION("""COMPUTED_VALUE"""),14.08)</f>
        <v>14.08</v>
      </c>
      <c r="Q761" s="13">
        <f>IFERROR(__xludf.DUMMYFUNCTION("""COMPUTED_VALUE"""),46195.0)</f>
        <v>46195</v>
      </c>
      <c r="R761" s="13">
        <f>IFERROR(__xludf.DUMMYFUNCTION("""COMPUTED_VALUE"""),46197.0)</f>
        <v>46197</v>
      </c>
      <c r="S761" s="13">
        <f>IFERROR(__xludf.DUMMYFUNCTION("""COMPUTED_VALUE"""),46204.0)</f>
        <v>46204</v>
      </c>
      <c r="T761" s="5" t="b">
        <f>IFERROR(__xludf.DUMMYFUNCTION("""COMPUTED_VALUE"""),TRUE)</f>
        <v>1</v>
      </c>
      <c r="U761" s="5" t="str">
        <f>IFERROR(__xludf.DUMMYFUNCTION("""COMPUTED_VALUE"""),"5x4")</f>
        <v>5x4</v>
      </c>
      <c r="V761" s="5">
        <f>IFERROR(__xludf.DUMMYFUNCTION("""COMPUTED_VALUE"""),40.0)</f>
        <v>40</v>
      </c>
      <c r="W761" s="5">
        <f>IFERROR(__xludf.DUMMYFUNCTION("""COMPUTED_VALUE"""),40.0)</f>
        <v>40</v>
      </c>
      <c r="X761" s="5">
        <f>IFERROR(__xludf.DUMMYFUNCTION("""COMPUTED_VALUE"""),96.0)</f>
        <v>96</v>
      </c>
      <c r="Y761" s="5" t="str">
        <f>IFERROR(__xludf.DUMMYFUNCTION("""COMPUTED_VALUE"""),"Low")</f>
        <v>Low</v>
      </c>
      <c r="Z761" s="5">
        <f>IFERROR(__xludf.DUMMYFUNCTION("""COMPUTED_VALUE"""),14.45)</f>
        <v>14.45</v>
      </c>
      <c r="AA761" s="5">
        <f>IFERROR(__xludf.DUMMYFUNCTION("""COMPUTED_VALUE"""),1000.0)</f>
        <v>1000</v>
      </c>
      <c r="AB761" s="5"/>
      <c r="AC761" s="5"/>
      <c r="AD761" s="5" t="str">
        <f>IFERROR(__xludf.DUMMYFUNCTION("""COMPUTED_VALUE"""),"0.05/100")</f>
        <v>0.05/100</v>
      </c>
      <c r="AE761" s="5"/>
      <c r="AF761" s="5"/>
      <c r="AG761" s="8">
        <f>IFERROR(__xludf.DUMMYFUNCTION("""COMPUTED_VALUE"""),46212.47640046296)</f>
        <v>46212.4764</v>
      </c>
      <c r="AH761" s="5" t="str">
        <f>IFERROR(__xludf.DUMMYFUNCTION("""COMPUTED_VALUE"""),"selena.mihajlovic@fazi.rs")</f>
        <v>selena.mihajlovic@fazi.rs</v>
      </c>
      <c r="AI761" s="13"/>
      <c r="AJ761" s="5"/>
      <c r="AK761" s="5">
        <f>IFERROR(__xludf.DUMMYFUNCTION("""COMPUTED_VALUE"""),40.0)</f>
        <v>40</v>
      </c>
      <c r="AL761" s="5" t="str">
        <f>IFERROR(__xludf.DUMMYFUNCTION("""COMPUTED_VALUE"""),"No")</f>
        <v>No</v>
      </c>
      <c r="AM761" s="5"/>
      <c r="AN761" s="7" t="str">
        <f>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AO761" s="5"/>
      <c r="AP761" s="5"/>
      <c r="AQ761" s="5" t="b">
        <f>IFERROR(__xludf.DUMMYFUNCTION("""COMPUTED_VALUE"""),TRUE)</f>
        <v>1</v>
      </c>
      <c r="AR761" s="5"/>
      <c r="AS761" s="5" t="str">
        <f>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AT761" s="5"/>
      <c r="AU761" s="5" t="str">
        <f>IFERROR(__xludf.DUMMYFUNCTION("""COMPUTED_VALUE"""),"Tiptop")</f>
        <v>Tiptop</v>
      </c>
      <c r="AV761" s="5"/>
      <c r="AW761" s="5"/>
      <c r="AX761" s="13">
        <f>IFERROR(__xludf.DUMMYFUNCTION("""COMPUTED_VALUE"""),46189.0)</f>
        <v>46189</v>
      </c>
      <c r="AY761" s="5"/>
      <c r="AZ761" s="5"/>
      <c r="BA761" s="5"/>
      <c r="BB761" s="5" t="b">
        <f>IFERROR(__xludf.DUMMYFUNCTION("""COMPUTED_VALUE"""),TRUE)</f>
        <v>1</v>
      </c>
      <c r="BC761" s="5" t="str">
        <f>IFERROR(__xludf.DUMMYFUNCTION("""COMPUTED_VALUE"""),"Tiptop")</f>
        <v>Tiptop</v>
      </c>
      <c r="BD761" s="7" t="str">
        <f>IFERROR(__xludf.DUMMYFUNCTION("""COMPUTED_VALUE"""),"https://gameserver-store-client-area.orbionlimited.com/Home/IntegrationGameLaunch/client-area?moneyType=0&amp;gameName=UnicornFlamyFireballs&amp;platform=desktop&amp;languageCode=eng&amp;currency=EUR")</f>
        <v>https://gameserver-store-client-area.orbionlimited.com/Home/IntegrationGameLaunch/client-area?moneyType=0&amp;gameName=UnicornFlamyFireballs&amp;platform=desktop&amp;languageCode=eng&amp;currency=EUR</v>
      </c>
      <c r="BE761" s="5" t="b">
        <f>IFERROR(__xludf.DUMMYFUNCTION("""COMPUTED_VALUE"""),TRUE)</f>
        <v>1</v>
      </c>
    </row>
    <row r="762">
      <c r="A762" s="5">
        <f>IFERROR(__xludf.DUMMYFUNCTION("""COMPUTED_VALUE"""),799.0)</f>
        <v>799</v>
      </c>
      <c r="B762" s="5">
        <f>IFERROR(__xludf.DUMMYFUNCTION("""COMPUTED_VALUE"""),4000022.0)</f>
        <v>4000022</v>
      </c>
      <c r="C762" s="5" t="str">
        <f>IFERROR(__xludf.DUMMYFUNCTION("""COMPUTED_VALUE"""),"Tiptop")</f>
        <v>Tiptop</v>
      </c>
      <c r="D762" s="5" t="str">
        <f>IFERROR(__xludf.DUMMYFUNCTION("""COMPUTED_VALUE"""),"Fruit Play Dice")</f>
        <v>Fruit Play Dice</v>
      </c>
      <c r="E762" s="5" t="str">
        <f>IFERROR(__xludf.DUMMYFUNCTION("""COMPUTED_VALUE"""),"TipTop")</f>
        <v>TipTop</v>
      </c>
      <c r="F762" s="5" t="str">
        <f>IFERROR(__xludf.DUMMYFUNCTION("""COMPUTED_VALUE"""),"UnicornFruitPlayDice")</f>
        <v>UnicornFruitPlayDice</v>
      </c>
      <c r="G762" s="5" t="str">
        <f>IFERROR(__xludf.DUMMYFUNCTION("""COMPUTED_VALUE"""),"Live")</f>
        <v>Live</v>
      </c>
      <c r="H762" s="5"/>
      <c r="I762" s="5" t="str">
        <f>IFERROR(__xludf.DUMMYFUNCTION("""COMPUTED_VALUE"""),"TipTop")</f>
        <v>TipTop</v>
      </c>
      <c r="J762" s="5" t="str">
        <f>IFERROR(__xludf.DUMMYFUNCTION("""COMPUTED_VALUE"""),"JSON")</f>
        <v>JSON</v>
      </c>
      <c r="K762" s="5" t="str">
        <f>IFERROR(__xludf.DUMMYFUNCTION("""COMPUTED_VALUE"""),"Dice Slots")</f>
        <v>Dice Slots</v>
      </c>
      <c r="L762" s="5" t="str">
        <f>IFERROR(__xludf.DUMMYFUNCTION("""COMPUTED_VALUE""")," Clone")</f>
        <v> Clone</v>
      </c>
      <c r="M762" s="5" t="str">
        <f>IFERROR(__xludf.DUMMYFUNCTION("""COMPUTED_VALUE"""),"Fruit Play")</f>
        <v>Fruit Play</v>
      </c>
      <c r="N762" s="5"/>
      <c r="O762" s="5"/>
      <c r="P762" s="12">
        <f>IFERROR(__xludf.DUMMYFUNCTION("""COMPUTED_VALUE"""),12.8)</f>
        <v>12.8</v>
      </c>
      <c r="Q762" s="13">
        <f>IFERROR(__xludf.DUMMYFUNCTION("""COMPUTED_VALUE"""),46195.0)</f>
        <v>46195</v>
      </c>
      <c r="R762" s="13">
        <f>IFERROR(__xludf.DUMMYFUNCTION("""COMPUTED_VALUE"""),46202.0)</f>
        <v>46202</v>
      </c>
      <c r="S762" s="13">
        <f>IFERROR(__xludf.DUMMYFUNCTION("""COMPUTED_VALUE"""),46209.0)</f>
        <v>46209</v>
      </c>
      <c r="T762" s="5" t="b">
        <f>IFERROR(__xludf.DUMMYFUNCTION("""COMPUTED_VALUE"""),TRUE)</f>
        <v>1</v>
      </c>
      <c r="U762" s="5" t="str">
        <f>IFERROR(__xludf.DUMMYFUNCTION("""COMPUTED_VALUE"""),"5x3")</f>
        <v>5x3</v>
      </c>
      <c r="V762" s="5">
        <f>IFERROR(__xludf.DUMMYFUNCTION("""COMPUTED_VALUE"""),10.0)</f>
        <v>10</v>
      </c>
      <c r="W762" s="5">
        <f>IFERROR(__xludf.DUMMYFUNCTION("""COMPUTED_VALUE"""),10.0)</f>
        <v>10</v>
      </c>
      <c r="X762" s="5">
        <f>IFERROR(__xludf.DUMMYFUNCTION("""COMPUTED_VALUE"""),96.0)</f>
        <v>96</v>
      </c>
      <c r="Y762" s="5" t="str">
        <f>IFERROR(__xludf.DUMMYFUNCTION("""COMPUTED_VALUE"""),"Low")</f>
        <v>Low</v>
      </c>
      <c r="Z762" s="5">
        <f>IFERROR(__xludf.DUMMYFUNCTION("""COMPUTED_VALUE"""),15.07)</f>
        <v>15.07</v>
      </c>
      <c r="AA762" s="5">
        <f>IFERROR(__xludf.DUMMYFUNCTION("""COMPUTED_VALUE"""),10000.0)</f>
        <v>10000</v>
      </c>
      <c r="AB762" s="5"/>
      <c r="AC762" s="5"/>
      <c r="AD762" s="5" t="str">
        <f>IFERROR(__xludf.DUMMYFUNCTION("""COMPUTED_VALUE"""),"0.01/100")</f>
        <v>0.01/100</v>
      </c>
      <c r="AE762" s="5"/>
      <c r="AF762" s="5"/>
      <c r="AG762" s="8">
        <f>IFERROR(__xludf.DUMMYFUNCTION("""COMPUTED_VALUE"""),46211.60822916667)</f>
        <v>46211.60823</v>
      </c>
      <c r="AH762" s="5" t="str">
        <f>IFERROR(__xludf.DUMMYFUNCTION("""COMPUTED_VALUE"""),"vanja.svetska@fazi.rs")</f>
        <v>vanja.svetska@fazi.rs</v>
      </c>
      <c r="AI762" s="13"/>
      <c r="AJ762" s="5"/>
      <c r="AK762" s="5">
        <f>IFERROR(__xludf.DUMMYFUNCTION("""COMPUTED_VALUE"""),10.0)</f>
        <v>10</v>
      </c>
      <c r="AL762" s="5" t="str">
        <f>IFERROR(__xludf.DUMMYFUNCTION("""COMPUTED_VALUE"""),"No")</f>
        <v>No</v>
      </c>
      <c r="AM762" s="5"/>
      <c r="AN762" s="7" t="str">
        <f>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AO762" s="5"/>
      <c r="AP762" s="5"/>
      <c r="AQ762" s="5" t="b">
        <f>IFERROR(__xludf.DUMMYFUNCTION("""COMPUTED_VALUE"""),TRUE)</f>
        <v>1</v>
      </c>
      <c r="AR762" s="5"/>
      <c r="AS762" s="5" t="str">
        <f>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AT762" s="5"/>
      <c r="AU762" s="5" t="str">
        <f>IFERROR(__xludf.DUMMYFUNCTION("""COMPUTED_VALUE"""),"Tiptop")</f>
        <v>Tiptop</v>
      </c>
      <c r="AV762" s="5"/>
      <c r="AW762" s="5"/>
      <c r="AX762" s="13">
        <f>IFERROR(__xludf.DUMMYFUNCTION("""COMPUTED_VALUE"""),46189.0)</f>
        <v>46189</v>
      </c>
      <c r="AY762" s="5"/>
      <c r="AZ762" s="5"/>
      <c r="BA762" s="5"/>
      <c r="BB762" s="5" t="b">
        <f>IFERROR(__xludf.DUMMYFUNCTION("""COMPUTED_VALUE"""),TRUE)</f>
        <v>1</v>
      </c>
      <c r="BC762" s="5" t="str">
        <f>IFERROR(__xludf.DUMMYFUNCTION("""COMPUTED_VALUE"""),"Tiptop")</f>
        <v>Tiptop</v>
      </c>
      <c r="BD762" s="7" t="str">
        <f>IFERROR(__xludf.DUMMYFUNCTION("""COMPUTED_VALUE"""),"https://gameserver-store-client-area.orbionlimited.com/Home/IntegrationGameLaunch/client-area?moneyType=0&amp;gameName=UnicornFruitPlayDice&amp;platform=desktop&amp;languageCode=eng&amp;currency=EUR")</f>
        <v>https://gameserver-store-client-area.orbionlimited.com/Home/IntegrationGameLaunch/client-area?moneyType=0&amp;gameName=UnicornFruitPlayDice&amp;platform=desktop&amp;languageCode=eng&amp;currency=EUR</v>
      </c>
      <c r="BE762" s="5" t="b">
        <f>IFERROR(__xludf.DUMMYFUNCTION("""COMPUTED_VALUE"""),TRUE)</f>
        <v>1</v>
      </c>
    </row>
    <row r="763">
      <c r="A763" s="5">
        <f>IFERROR(__xludf.DUMMYFUNCTION("""COMPUTED_VALUE"""),800.0)</f>
        <v>800</v>
      </c>
      <c r="B763" s="5">
        <f>IFERROR(__xludf.DUMMYFUNCTION("""COMPUTED_VALUE"""),4000024.0)</f>
        <v>4000024</v>
      </c>
      <c r="C763" s="5" t="str">
        <f>IFERROR(__xludf.DUMMYFUNCTION("""COMPUTED_VALUE"""),"Tiptop")</f>
        <v>Tiptop</v>
      </c>
      <c r="D763" s="5" t="str">
        <f>IFERROR(__xludf.DUMMYFUNCTION("""COMPUTED_VALUE"""),"Spin The Sevens")</f>
        <v>Spin The Sevens</v>
      </c>
      <c r="E763" s="5" t="str">
        <f>IFERROR(__xludf.DUMMYFUNCTION("""COMPUTED_VALUE"""),"TipTop")</f>
        <v>TipTop</v>
      </c>
      <c r="F763" s="5" t="str">
        <f>IFERROR(__xludf.DUMMYFUNCTION("""COMPUTED_VALUE"""),"UnicornSpinTheSevens")</f>
        <v>UnicornSpinTheSevens</v>
      </c>
      <c r="G763" s="5" t="str">
        <f>IFERROR(__xludf.DUMMYFUNCTION("""COMPUTED_VALUE"""),"Live")</f>
        <v>Live</v>
      </c>
      <c r="H763" s="5"/>
      <c r="I763" s="5" t="str">
        <f>IFERROR(__xludf.DUMMYFUNCTION("""COMPUTED_VALUE"""),"TipTop")</f>
        <v>TipTop</v>
      </c>
      <c r="J763" s="5" t="str">
        <f>IFERROR(__xludf.DUMMYFUNCTION("""COMPUTED_VALUE"""),"JSON")</f>
        <v>JSON</v>
      </c>
      <c r="K763" s="5" t="str">
        <f>IFERROR(__xludf.DUMMYFUNCTION("""COMPUTED_VALUE"""),"Slot")</f>
        <v>Slot</v>
      </c>
      <c r="L763" s="5" t="str">
        <f>IFERROR(__xludf.DUMMYFUNCTION("""COMPUTED_VALUE""")," Clone")</f>
        <v> Clone</v>
      </c>
      <c r="M763" s="5" t="str">
        <f>IFERROR(__xludf.DUMMYFUNCTION("""COMPUTED_VALUE"""),"Big Hit Sevens")</f>
        <v>Big Hit Sevens</v>
      </c>
      <c r="N763" s="5"/>
      <c r="O763" s="5"/>
      <c r="P763" s="12">
        <f>IFERROR(__xludf.DUMMYFUNCTION("""COMPUTED_VALUE"""),10.7)</f>
        <v>10.7</v>
      </c>
      <c r="Q763" s="13">
        <f>IFERROR(__xludf.DUMMYFUNCTION("""COMPUTED_VALUE"""),46209.0)</f>
        <v>46209</v>
      </c>
      <c r="R763" s="13">
        <f>IFERROR(__xludf.DUMMYFUNCTION("""COMPUTED_VALUE"""),46211.0)</f>
        <v>46211</v>
      </c>
      <c r="S763" s="13">
        <f>IFERROR(__xludf.DUMMYFUNCTION("""COMPUTED_VALUE"""),46218.0)</f>
        <v>46218</v>
      </c>
      <c r="T763" s="5" t="b">
        <f>IFERROR(__xludf.DUMMYFUNCTION("""COMPUTED_VALUE"""),TRUE)</f>
        <v>1</v>
      </c>
      <c r="U763" s="5" t="str">
        <f>IFERROR(__xludf.DUMMYFUNCTION("""COMPUTED_VALUE"""),"5x3")</f>
        <v>5x3</v>
      </c>
      <c r="V763" s="5">
        <f>IFERROR(__xludf.DUMMYFUNCTION("""COMPUTED_VALUE"""),10.0)</f>
        <v>10</v>
      </c>
      <c r="W763" s="5">
        <f>IFERROR(__xludf.DUMMYFUNCTION("""COMPUTED_VALUE"""),10.0)</f>
        <v>10</v>
      </c>
      <c r="X763" s="5">
        <f>IFERROR(__xludf.DUMMYFUNCTION("""COMPUTED_VALUE"""),96.0)</f>
        <v>96</v>
      </c>
      <c r="Y763" s="5" t="str">
        <f>IFERROR(__xludf.DUMMYFUNCTION("""COMPUTED_VALUE"""),"Low")</f>
        <v>Low</v>
      </c>
      <c r="Z763" s="5">
        <f>IFERROR(__xludf.DUMMYFUNCTION("""COMPUTED_VALUE"""),10.84)</f>
        <v>10.84</v>
      </c>
      <c r="AA763" s="5">
        <f>IFERROR(__xludf.DUMMYFUNCTION("""COMPUTED_VALUE"""),1200.0)</f>
        <v>1200</v>
      </c>
      <c r="AB763" s="5"/>
      <c r="AC763" s="5"/>
      <c r="AD763" s="5" t="str">
        <f>IFERROR(__xludf.DUMMYFUNCTION("""COMPUTED_VALUE"""),"0.05/100")</f>
        <v>0.05/100</v>
      </c>
      <c r="AE763" s="5"/>
      <c r="AF763" s="5"/>
      <c r="AG763" s="8">
        <f>IFERROR(__xludf.DUMMYFUNCTION("""COMPUTED_VALUE"""),46223.48440972222)</f>
        <v>46223.48441</v>
      </c>
      <c r="AH763" s="5" t="str">
        <f>IFERROR(__xludf.DUMMYFUNCTION("""COMPUTED_VALUE"""),"selena.mihajlovic@fazi.rs")</f>
        <v>selena.mihajlovic@fazi.rs</v>
      </c>
      <c r="AI763" s="13">
        <f>IFERROR(__xludf.DUMMYFUNCTION("""COMPUTED_VALUE"""),46210.0)</f>
        <v>46210</v>
      </c>
      <c r="AJ763" s="5" t="str">
        <f>IFERROR(__xludf.DUMMYFUNCTION("""COMPUTED_VALUE"""),"Mojabet Africa	7.7.2026.")</f>
        <v>Mojabet Africa	7.7.2026.</v>
      </c>
      <c r="AK763" s="5">
        <f>IFERROR(__xludf.DUMMYFUNCTION("""COMPUTED_VALUE"""),10.0)</f>
        <v>10</v>
      </c>
      <c r="AL763" s="5" t="str">
        <f>IFERROR(__xludf.DUMMYFUNCTION("""COMPUTED_VALUE"""),"No")</f>
        <v>No</v>
      </c>
      <c r="AM763" s="5"/>
      <c r="AN763" s="7" t="str">
        <f>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AO763" s="5"/>
      <c r="AP763" s="5"/>
      <c r="AQ763" s="5" t="b">
        <f>IFERROR(__xludf.DUMMYFUNCTION("""COMPUTED_VALUE"""),TRUE)</f>
        <v>1</v>
      </c>
      <c r="AR763" s="5"/>
      <c r="AS763" s="5" t="str">
        <f>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AT763" s="5"/>
      <c r="AU763" s="5" t="str">
        <f>IFERROR(__xludf.DUMMYFUNCTION("""COMPUTED_VALUE"""),"Tiptop")</f>
        <v>Tiptop</v>
      </c>
      <c r="AV763" s="5"/>
      <c r="AW763" s="5"/>
      <c r="AX763" s="13">
        <f>IFERROR(__xludf.DUMMYFUNCTION("""COMPUTED_VALUE"""),46203.0)</f>
        <v>46203</v>
      </c>
      <c r="AY763" s="5"/>
      <c r="AZ763" s="5"/>
      <c r="BA763" s="5"/>
      <c r="BB763" s="5" t="b">
        <f>IFERROR(__xludf.DUMMYFUNCTION("""COMPUTED_VALUE"""),TRUE)</f>
        <v>1</v>
      </c>
      <c r="BC763" s="5" t="str">
        <f>IFERROR(__xludf.DUMMYFUNCTION("""COMPUTED_VALUE"""),"Tiptop")</f>
        <v>Tiptop</v>
      </c>
      <c r="BD763" s="7" t="str">
        <f>IFERROR(__xludf.DUMMYFUNCTION("""COMPUTED_VALUE"""),"https://gameserver-store-client-area.orbionlimited.com/Home/IntegrationGameLaunch/client-area?moneyType=0&amp;gameName=UnicornSpinTheSevens&amp;platform=desktop&amp;languageCode=eng&amp;currency=EUR")</f>
        <v>https://gameserver-store-client-area.orbionlimited.com/Home/IntegrationGameLaunch/client-area?moneyType=0&amp;gameName=UnicornSpinTheSevens&amp;platform=desktop&amp;languageCode=eng&amp;currency=EUR</v>
      </c>
      <c r="BE763" s="5" t="b">
        <f>IFERROR(__xludf.DUMMYFUNCTION("""COMPUTED_VALUE"""),TRUE)</f>
        <v>1</v>
      </c>
    </row>
    <row r="764">
      <c r="A764" s="5">
        <f>IFERROR(__xludf.DUMMYFUNCTION("""COMPUTED_VALUE"""),801.0)</f>
        <v>801</v>
      </c>
      <c r="B764" s="5">
        <f>IFERROR(__xludf.DUMMYFUNCTION("""COMPUTED_VALUE"""),4000025.0)</f>
        <v>4000025</v>
      </c>
      <c r="C764" s="5" t="str">
        <f>IFERROR(__xludf.DUMMYFUNCTION("""COMPUTED_VALUE"""),"Tiptop")</f>
        <v>Tiptop</v>
      </c>
      <c r="D764" s="5" t="str">
        <f>IFERROR(__xludf.DUMMYFUNCTION("""COMPUTED_VALUE"""),"Crazy Wild Sevens")</f>
        <v>Crazy Wild Sevens</v>
      </c>
      <c r="E764" s="5" t="str">
        <f>IFERROR(__xludf.DUMMYFUNCTION("""COMPUTED_VALUE"""),"TipTop")</f>
        <v>TipTop</v>
      </c>
      <c r="F764" s="5" t="str">
        <f>IFERROR(__xludf.DUMMYFUNCTION("""COMPUTED_VALUE"""),"UnicornCrazyWildSevens")</f>
        <v>UnicornCrazyWildSevens</v>
      </c>
      <c r="G764" s="5" t="str">
        <f>IFERROR(__xludf.DUMMYFUNCTION("""COMPUTED_VALUE"""),"Live")</f>
        <v>Live</v>
      </c>
      <c r="H764" s="5"/>
      <c r="I764" s="5" t="str">
        <f>IFERROR(__xludf.DUMMYFUNCTION("""COMPUTED_VALUE"""),"TipTop")</f>
        <v>TipTop</v>
      </c>
      <c r="J764" s="5" t="str">
        <f>IFERROR(__xludf.DUMMYFUNCTION("""COMPUTED_VALUE"""),"JSON")</f>
        <v>JSON</v>
      </c>
      <c r="K764" s="5" t="str">
        <f>IFERROR(__xludf.DUMMYFUNCTION("""COMPUTED_VALUE"""),"Slot")</f>
        <v>Slot</v>
      </c>
      <c r="L764" s="5" t="str">
        <f>IFERROR(__xludf.DUMMYFUNCTION("""COMPUTED_VALUE"""),"Master")</f>
        <v>Master</v>
      </c>
      <c r="M764" s="5"/>
      <c r="N764" s="5"/>
      <c r="O764" s="5"/>
      <c r="P764" s="12">
        <f>IFERROR(__xludf.DUMMYFUNCTION("""COMPUTED_VALUE"""),11.08)</f>
        <v>11.08</v>
      </c>
      <c r="Q764" s="13">
        <f>IFERROR(__xludf.DUMMYFUNCTION("""COMPUTED_VALUE"""),46223.0)</f>
        <v>46223</v>
      </c>
      <c r="R764" s="13">
        <f>IFERROR(__xludf.DUMMYFUNCTION("""COMPUTED_VALUE"""),46218.0)</f>
        <v>46218</v>
      </c>
      <c r="S764" s="13">
        <f>IFERROR(__xludf.DUMMYFUNCTION("""COMPUTED_VALUE"""),46225.0)</f>
        <v>46225</v>
      </c>
      <c r="T764" s="5" t="b">
        <f>IFERROR(__xludf.DUMMYFUNCTION("""COMPUTED_VALUE"""),TRUE)</f>
        <v>1</v>
      </c>
      <c r="U764" s="5" t="str">
        <f>IFERROR(__xludf.DUMMYFUNCTION("""COMPUTED_VALUE"""),"5x3")</f>
        <v>5x3</v>
      </c>
      <c r="V764" s="5">
        <f>IFERROR(__xludf.DUMMYFUNCTION("""COMPUTED_VALUE"""),5.0)</f>
        <v>5</v>
      </c>
      <c r="W764" s="5">
        <f>IFERROR(__xludf.DUMMYFUNCTION("""COMPUTED_VALUE"""),5.0)</f>
        <v>5</v>
      </c>
      <c r="X764" s="5">
        <f>IFERROR(__xludf.DUMMYFUNCTION("""COMPUTED_VALUE"""),96.0)</f>
        <v>96</v>
      </c>
      <c r="Y764" s="5" t="str">
        <f>IFERROR(__xludf.DUMMYFUNCTION("""COMPUTED_VALUE"""),"Low")</f>
        <v>Low</v>
      </c>
      <c r="Z764" s="5">
        <f>IFERROR(__xludf.DUMMYFUNCTION("""COMPUTED_VALUE"""),15.32)</f>
        <v>15.32</v>
      </c>
      <c r="AA764" s="5">
        <f>IFERROR(__xludf.DUMMYFUNCTION("""COMPUTED_VALUE"""),1150.0)</f>
        <v>1150</v>
      </c>
      <c r="AB764" s="5"/>
      <c r="AC764" s="5"/>
      <c r="AD764" s="5" t="str">
        <f>IFERROR(__xludf.DUMMYFUNCTION("""COMPUTED_VALUE"""),"0.05/100")</f>
        <v>0.05/100</v>
      </c>
      <c r="AE764" s="5"/>
      <c r="AF764" s="5"/>
      <c r="AG764" s="8">
        <f>IFERROR(__xludf.DUMMYFUNCTION("""COMPUTED_VALUE"""),46226.50759259259)</f>
        <v>46226.50759</v>
      </c>
      <c r="AH764" s="5" t="str">
        <f>IFERROR(__xludf.DUMMYFUNCTION("""COMPUTED_VALUE"""),"vanja.svetska@fazi.rs")</f>
        <v>vanja.svetska@fazi.rs</v>
      </c>
      <c r="AI764" s="13"/>
      <c r="AJ764" s="5"/>
      <c r="AK764" s="5">
        <f>IFERROR(__xludf.DUMMYFUNCTION("""COMPUTED_VALUE"""),5.0)</f>
        <v>5</v>
      </c>
      <c r="AL764" s="5" t="str">
        <f>IFERROR(__xludf.DUMMYFUNCTION("""COMPUTED_VALUE"""),"No")</f>
        <v>No</v>
      </c>
      <c r="AM764" s="5"/>
      <c r="AN764" s="7" t="str">
        <f>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AO764" s="5"/>
      <c r="AP764" s="5" t="str">
        <f>IFERROR(__xludf.DUMMYFUNCTION("""COMPUTED_VALUE"""),"Yes")</f>
        <v>Yes</v>
      </c>
      <c r="AQ764" s="5" t="b">
        <f>IFERROR(__xludf.DUMMYFUNCTION("""COMPUTED_VALUE"""),TRUE)</f>
        <v>1</v>
      </c>
      <c r="AR764" s="5"/>
      <c r="AS764" s="5" t="str">
        <f>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AT764" s="5"/>
      <c r="AU764" s="5" t="str">
        <f>IFERROR(__xludf.DUMMYFUNCTION("""COMPUTED_VALUE"""),"Tiptop")</f>
        <v>Tiptop</v>
      </c>
      <c r="AV764" s="5"/>
      <c r="AW764" s="5"/>
      <c r="AX764" s="13">
        <f>IFERROR(__xludf.DUMMYFUNCTION("""COMPUTED_VALUE"""),46217.0)</f>
        <v>46217</v>
      </c>
      <c r="AY764" s="5"/>
      <c r="AZ764" s="5"/>
      <c r="BA764" s="5"/>
      <c r="BB764" s="5" t="b">
        <f>IFERROR(__xludf.DUMMYFUNCTION("""COMPUTED_VALUE"""),TRUE)</f>
        <v>1</v>
      </c>
      <c r="BC764" s="5" t="str">
        <f>IFERROR(__xludf.DUMMYFUNCTION("""COMPUTED_VALUE"""),"Tiptop")</f>
        <v>Tiptop</v>
      </c>
      <c r="BD764" s="7" t="str">
        <f>IFERROR(__xludf.DUMMYFUNCTION("""COMPUTED_VALUE"""),"https://gameserver-store-client-area.orbionlimited.com/Home/IntegrationGameLaunch/client-area?moneyType=0&amp;gameName=UnicornCrazyWildSevens&amp;platform=desktop&amp;languageCode=eng&amp;currency=EUR")</f>
        <v>https://gameserver-store-client-area.orbionlimited.com/Home/IntegrationGameLaunch/client-area?moneyType=0&amp;gameName=UnicornCrazyWildSevens&amp;platform=desktop&amp;languageCode=eng&amp;currency=EUR</v>
      </c>
      <c r="BE764" s="5" t="b">
        <f>IFERROR(__xludf.DUMMYFUNCTION("""COMPUTED_VALUE"""),TRUE)</f>
        <v>1</v>
      </c>
    </row>
    <row r="765">
      <c r="A765" s="5">
        <f>IFERROR(__xludf.DUMMYFUNCTION("""COMPUTED_VALUE"""),802.0)</f>
        <v>802</v>
      </c>
      <c r="B765" s="5">
        <f>IFERROR(__xludf.DUMMYFUNCTION("""COMPUTED_VALUE"""),4000026.0)</f>
        <v>4000026</v>
      </c>
      <c r="C765" s="5" t="str">
        <f>IFERROR(__xludf.DUMMYFUNCTION("""COMPUTED_VALUE"""),"Tiptop")</f>
        <v>Tiptop</v>
      </c>
      <c r="D765" s="5" t="str">
        <f>IFERROR(__xludf.DUMMYFUNCTION("""COMPUTED_VALUE"""),"Sun Of The Nile")</f>
        <v>Sun Of The Nile</v>
      </c>
      <c r="E765" s="5" t="str">
        <f>IFERROR(__xludf.DUMMYFUNCTION("""COMPUTED_VALUE"""),"TipTop")</f>
        <v>TipTop</v>
      </c>
      <c r="F765" s="5" t="str">
        <f>IFERROR(__xludf.DUMMYFUNCTION("""COMPUTED_VALUE"""),"UnicornSunOfTheNile")</f>
        <v>UnicornSunOfTheNile</v>
      </c>
      <c r="G765" s="5" t="str">
        <f>IFERROR(__xludf.DUMMYFUNCTION("""COMPUTED_VALUE"""),"Live")</f>
        <v>Live</v>
      </c>
      <c r="H765" s="5"/>
      <c r="I765" s="5" t="str">
        <f>IFERROR(__xludf.DUMMYFUNCTION("""COMPUTED_VALUE"""),"TipTop")</f>
        <v>TipTop</v>
      </c>
      <c r="J765" s="5" t="str">
        <f>IFERROR(__xludf.DUMMYFUNCTION("""COMPUTED_VALUE"""),"JSON")</f>
        <v>JSON</v>
      </c>
      <c r="K765" s="5" t="str">
        <f>IFERROR(__xludf.DUMMYFUNCTION("""COMPUTED_VALUE"""),"Slot")</f>
        <v>Slot</v>
      </c>
      <c r="L765" s="5" t="str">
        <f>IFERROR(__xludf.DUMMYFUNCTION("""COMPUTED_VALUE""")," Clone")</f>
        <v> Clone</v>
      </c>
      <c r="M765" s="5" t="str">
        <f>IFERROR(__xludf.DUMMYFUNCTION("""COMPUTED_VALUE"""),"Buffalo Sevens")</f>
        <v>Buffalo Sevens</v>
      </c>
      <c r="N765" s="5"/>
      <c r="O765" s="5"/>
      <c r="P765" s="12">
        <f>IFERROR(__xludf.DUMMYFUNCTION("""COMPUTED_VALUE"""),11.84)</f>
        <v>11.84</v>
      </c>
      <c r="Q765" s="13">
        <f>IFERROR(__xludf.DUMMYFUNCTION("""COMPUTED_VALUE"""),46223.0)</f>
        <v>46223</v>
      </c>
      <c r="R765" s="13">
        <f>IFERROR(__xludf.DUMMYFUNCTION("""COMPUTED_VALUE"""),46225.0)</f>
        <v>46225</v>
      </c>
      <c r="S765" s="13">
        <f>IFERROR(__xludf.DUMMYFUNCTION("""COMPUTED_VALUE"""),46232.0)</f>
        <v>46232</v>
      </c>
      <c r="T765" s="5" t="b">
        <f>IFERROR(__xludf.DUMMYFUNCTION("""COMPUTED_VALUE"""),TRUE)</f>
        <v>1</v>
      </c>
      <c r="U765" s="5" t="str">
        <f>IFERROR(__xludf.DUMMYFUNCTION("""COMPUTED_VALUE"""),"5x3")</f>
        <v>5x3</v>
      </c>
      <c r="V765" s="5">
        <f>IFERROR(__xludf.DUMMYFUNCTION("""COMPUTED_VALUE"""),10.0)</f>
        <v>10</v>
      </c>
      <c r="W765" s="5">
        <f>IFERROR(__xludf.DUMMYFUNCTION("""COMPUTED_VALUE"""),10.0)</f>
        <v>10</v>
      </c>
      <c r="X765" s="5">
        <f>IFERROR(__xludf.DUMMYFUNCTION("""COMPUTED_VALUE"""),96.0)</f>
        <v>96</v>
      </c>
      <c r="Y765" s="5" t="str">
        <f>IFERROR(__xludf.DUMMYFUNCTION("""COMPUTED_VALUE"""),"Low")</f>
        <v>Low</v>
      </c>
      <c r="Z765" s="5">
        <f>IFERROR(__xludf.DUMMYFUNCTION("""COMPUTED_VALUE"""),9.08)</f>
        <v>9.08</v>
      </c>
      <c r="AA765" s="5">
        <f>IFERROR(__xludf.DUMMYFUNCTION("""COMPUTED_VALUE"""),5000.0)</f>
        <v>5000</v>
      </c>
      <c r="AB765" s="5"/>
      <c r="AC765" s="5"/>
      <c r="AD765" s="5" t="str">
        <f>IFERROR(__xludf.DUMMYFUNCTION("""COMPUTED_VALUE"""),"0.05/100")</f>
        <v>0.05/100</v>
      </c>
      <c r="AE765" s="5"/>
      <c r="AF765" s="5"/>
      <c r="AG765" s="8">
        <f>IFERROR(__xludf.DUMMYFUNCTION("""COMPUTED_VALUE"""),46237.54221064815)</f>
        <v>46237.54221</v>
      </c>
      <c r="AH765" s="5" t="str">
        <f>IFERROR(__xludf.DUMMYFUNCTION("""COMPUTED_VALUE"""),"vanja.svetska@fazi.rs")</f>
        <v>vanja.svetska@fazi.rs</v>
      </c>
      <c r="AI765" s="13"/>
      <c r="AJ765" s="5"/>
      <c r="AK765" s="5">
        <f>IFERROR(__xludf.DUMMYFUNCTION("""COMPUTED_VALUE"""),10.0)</f>
        <v>10</v>
      </c>
      <c r="AL765" s="5" t="str">
        <f>IFERROR(__xludf.DUMMYFUNCTION("""COMPUTED_VALUE"""),"No")</f>
        <v>No</v>
      </c>
      <c r="AM765" s="5"/>
      <c r="AN765" s="7" t="str">
        <f>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AO765" s="5"/>
      <c r="AP765" s="5" t="str">
        <f>IFERROR(__xludf.DUMMYFUNCTION("""COMPUTED_VALUE"""),"Yes")</f>
        <v>Yes</v>
      </c>
      <c r="AQ765" s="5" t="b">
        <f>IFERROR(__xludf.DUMMYFUNCTION("""COMPUTED_VALUE"""),TRUE)</f>
        <v>1</v>
      </c>
      <c r="AR765" s="5"/>
      <c r="AS765" s="5" t="str">
        <f>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AT765" s="5"/>
      <c r="AU765" s="5" t="str">
        <f>IFERROR(__xludf.DUMMYFUNCTION("""COMPUTED_VALUE"""),"Tiptop")</f>
        <v>Tiptop</v>
      </c>
      <c r="AV765" s="5"/>
      <c r="AW765" s="5"/>
      <c r="AX765" s="13">
        <f>IFERROR(__xludf.DUMMYFUNCTION("""COMPUTED_VALUE"""),46217.0)</f>
        <v>46217</v>
      </c>
      <c r="AY765" s="5"/>
      <c r="AZ765" s="5"/>
      <c r="BA765" s="5"/>
      <c r="BB765" s="5" t="b">
        <f>IFERROR(__xludf.DUMMYFUNCTION("""COMPUTED_VALUE"""),TRUE)</f>
        <v>1</v>
      </c>
      <c r="BC765" s="5" t="str">
        <f>IFERROR(__xludf.DUMMYFUNCTION("""COMPUTED_VALUE"""),"Tiptop")</f>
        <v>Tiptop</v>
      </c>
      <c r="BD765" s="7" t="str">
        <f>IFERROR(__xludf.DUMMYFUNCTION("""COMPUTED_VALUE"""),"https://gameserver-store-client-area.orbionlimited.com/Home/IntegrationGameLaunch/client-area?moneyType=0&amp;gameName=UnicornSunOfTheNile&amp;platform=desktop&amp;languageCode=eng&amp;currency=EUR")</f>
        <v>https://gameserver-store-client-area.orbionlimited.com/Home/IntegrationGameLaunch/client-area?moneyType=0&amp;gameName=UnicornSunOfTheNile&amp;platform=desktop&amp;languageCode=eng&amp;currency=EUR</v>
      </c>
      <c r="BE765" s="5" t="b">
        <f>IFERROR(__xludf.DUMMYFUNCTION("""COMPUTED_VALUE"""),TRUE)</f>
        <v>1</v>
      </c>
    </row>
    <row r="766">
      <c r="A766" s="5">
        <f>IFERROR(__xludf.DUMMYFUNCTION("""COMPUTED_VALUE"""),803.0)</f>
        <v>803</v>
      </c>
      <c r="B766" s="5">
        <f>IFERROR(__xludf.DUMMYFUNCTION("""COMPUTED_VALUE"""),4000027.0)</f>
        <v>4000027</v>
      </c>
      <c r="C766" s="5" t="str">
        <f>IFERROR(__xludf.DUMMYFUNCTION("""COMPUTED_VALUE"""),"Tiptop")</f>
        <v>Tiptop</v>
      </c>
      <c r="D766" s="5" t="str">
        <f>IFERROR(__xludf.DUMMYFUNCTION("""COMPUTED_VALUE"""),"Dazzle Fireballs")</f>
        <v>Dazzle Fireballs</v>
      </c>
      <c r="E766" s="5" t="str">
        <f>IFERROR(__xludf.DUMMYFUNCTION("""COMPUTED_VALUE"""),"TipTop")</f>
        <v>TipTop</v>
      </c>
      <c r="F766" s="5" t="str">
        <f>IFERROR(__xludf.DUMMYFUNCTION("""COMPUTED_VALUE"""),"UnicornDazzleFireballs")</f>
        <v>UnicornDazzleFireballs</v>
      </c>
      <c r="G766" s="5" t="str">
        <f>IFERROR(__xludf.DUMMYFUNCTION("""COMPUTED_VALUE"""),"Live")</f>
        <v>Live</v>
      </c>
      <c r="H766" s="5"/>
      <c r="I766" s="5" t="str">
        <f>IFERROR(__xludf.DUMMYFUNCTION("""COMPUTED_VALUE"""),"TipTop")</f>
        <v>TipTop</v>
      </c>
      <c r="J766" s="5" t="str">
        <f>IFERROR(__xludf.DUMMYFUNCTION("""COMPUTED_VALUE"""),"JSON")</f>
        <v>JSON</v>
      </c>
      <c r="K766" s="5" t="str">
        <f>IFERROR(__xludf.DUMMYFUNCTION("""COMPUTED_VALUE"""),"Slot")</f>
        <v>Slot</v>
      </c>
      <c r="L766" s="5" t="str">
        <f>IFERROR(__xludf.DUMMYFUNCTION("""COMPUTED_VALUE"""),"Master")</f>
        <v>Master</v>
      </c>
      <c r="M766" s="5"/>
      <c r="N766" s="5"/>
      <c r="O766" s="5"/>
      <c r="P766" s="12">
        <f>IFERROR(__xludf.DUMMYFUNCTION("""COMPUTED_VALUE"""),12.96)</f>
        <v>12.96</v>
      </c>
      <c r="Q766" s="13">
        <f>IFERROR(__xludf.DUMMYFUNCTION("""COMPUTED_VALUE"""),46237.0)</f>
        <v>46237</v>
      </c>
      <c r="R766" s="13">
        <f>IFERROR(__xludf.DUMMYFUNCTION("""COMPUTED_VALUE"""),46232.0)</f>
        <v>46232</v>
      </c>
      <c r="S766" s="13">
        <f>IFERROR(__xludf.DUMMYFUNCTION("""COMPUTED_VALUE"""),46239.0)</f>
        <v>46239</v>
      </c>
      <c r="T766" s="5" t="b">
        <f>IFERROR(__xludf.DUMMYFUNCTION("""COMPUTED_VALUE"""),TRUE)</f>
        <v>1</v>
      </c>
      <c r="U766" s="5" t="str">
        <f>IFERROR(__xludf.DUMMYFUNCTION("""COMPUTED_VALUE"""),"5x3")</f>
        <v>5x3</v>
      </c>
      <c r="V766" s="5">
        <f>IFERROR(__xludf.DUMMYFUNCTION("""COMPUTED_VALUE"""),5.0)</f>
        <v>5</v>
      </c>
      <c r="W766" s="5">
        <f>IFERROR(__xludf.DUMMYFUNCTION("""COMPUTED_VALUE"""),5.0)</f>
        <v>5</v>
      </c>
      <c r="X766" s="5">
        <f>IFERROR(__xludf.DUMMYFUNCTION("""COMPUTED_VALUE"""),96.0)</f>
        <v>96</v>
      </c>
      <c r="Y766" s="5" t="str">
        <f>IFERROR(__xludf.DUMMYFUNCTION("""COMPUTED_VALUE"""),"Low")</f>
        <v>Low</v>
      </c>
      <c r="Z766" s="5">
        <f>IFERROR(__xludf.DUMMYFUNCTION("""COMPUTED_VALUE"""),11.53)</f>
        <v>11.53</v>
      </c>
      <c r="AA766" s="5">
        <f>IFERROR(__xludf.DUMMYFUNCTION("""COMPUTED_VALUE"""),1004.0)</f>
        <v>1004</v>
      </c>
      <c r="AB766" s="5"/>
      <c r="AC766" s="5"/>
      <c r="AD766" s="5" t="str">
        <f>IFERROR(__xludf.DUMMYFUNCTION("""COMPUTED_VALUE"""),"0.05/100")</f>
        <v>0.05/100</v>
      </c>
      <c r="AE766" s="5"/>
      <c r="AF766" s="5"/>
      <c r="AG766" s="8">
        <f>IFERROR(__xludf.DUMMYFUNCTION("""COMPUTED_VALUE"""),46252.44293981481)</f>
        <v>46252.44294</v>
      </c>
      <c r="AH766" s="5" t="str">
        <f>IFERROR(__xludf.DUMMYFUNCTION("""COMPUTED_VALUE"""),"vanja.svetska@fazi.rs")</f>
        <v>vanja.svetska@fazi.rs</v>
      </c>
      <c r="AI766" s="13"/>
      <c r="AJ766" s="5"/>
      <c r="AK766" s="5">
        <f>IFERROR(__xludf.DUMMYFUNCTION("""COMPUTED_VALUE"""),5.0)</f>
        <v>5</v>
      </c>
      <c r="AL766" s="5" t="str">
        <f>IFERROR(__xludf.DUMMYFUNCTION("""COMPUTED_VALUE"""),"No")</f>
        <v>No</v>
      </c>
      <c r="AM766" s="5"/>
      <c r="AN766" s="7" t="str">
        <f>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AO766" s="5"/>
      <c r="AP766" s="5" t="str">
        <f>IFERROR(__xludf.DUMMYFUNCTION("""COMPUTED_VALUE"""),"Yes")</f>
        <v>Yes</v>
      </c>
      <c r="AQ766" s="5" t="b">
        <f>IFERROR(__xludf.DUMMYFUNCTION("""COMPUTED_VALUE"""),TRUE)</f>
        <v>1</v>
      </c>
      <c r="AR766" s="5"/>
      <c r="AS766" s="5" t="str">
        <f>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AT766" s="5"/>
      <c r="AU766" s="5" t="str">
        <f>IFERROR(__xludf.DUMMYFUNCTION("""COMPUTED_VALUE"""),"Tiptop")</f>
        <v>Tiptop</v>
      </c>
      <c r="AV766" s="5"/>
      <c r="AW766" s="5"/>
      <c r="AX766" s="13">
        <f>IFERROR(__xludf.DUMMYFUNCTION("""COMPUTED_VALUE"""),46231.0)</f>
        <v>46231</v>
      </c>
      <c r="AY766" s="5"/>
      <c r="AZ766" s="5"/>
      <c r="BA766" s="5"/>
      <c r="BB766" s="5" t="b">
        <f>IFERROR(__xludf.DUMMYFUNCTION("""COMPUTED_VALUE"""),TRUE)</f>
        <v>1</v>
      </c>
      <c r="BC766" s="5" t="str">
        <f>IFERROR(__xludf.DUMMYFUNCTION("""COMPUTED_VALUE"""),"Tiptop")</f>
        <v>Tiptop</v>
      </c>
      <c r="BD766" s="7" t="str">
        <f>IFERROR(__xludf.DUMMYFUNCTION("""COMPUTED_VALUE"""),"https://gameserver-store-client-area.orbionlimited.com/Home/IntegrationGameLaunch/client-area?moneyType=0&amp;gameName=UnicornDazzleFireballs&amp;platform=desktop&amp;languageCode=eng&amp;currency=EUR")</f>
        <v>https://gameserver-store-client-area.orbionlimited.com/Home/IntegrationGameLaunch/client-area?moneyType=0&amp;gameName=UnicornDazzleFireballs&amp;platform=desktop&amp;languageCode=eng&amp;currency=EUR</v>
      </c>
      <c r="BE766" s="5" t="b">
        <f>IFERROR(__xludf.DUMMYFUNCTION("""COMPUTED_VALUE"""),TRUE)</f>
        <v>1</v>
      </c>
    </row>
    <row r="767">
      <c r="A767" s="5">
        <f>IFERROR(__xludf.DUMMYFUNCTION("""COMPUTED_VALUE"""),804.0)</f>
        <v>804</v>
      </c>
      <c r="B767" s="5">
        <f>IFERROR(__xludf.DUMMYFUNCTION("""COMPUTED_VALUE"""),4000028.0)</f>
        <v>4000028</v>
      </c>
      <c r="C767" s="5" t="str">
        <f>IFERROR(__xludf.DUMMYFUNCTION("""COMPUTED_VALUE"""),"Tiptop")</f>
        <v>Tiptop</v>
      </c>
      <c r="D767" s="5" t="str">
        <f>IFERROR(__xludf.DUMMYFUNCTION("""COMPUTED_VALUE"""),"Sevens Pay Dice")</f>
        <v>Sevens Pay Dice</v>
      </c>
      <c r="E767" s="5" t="str">
        <f>IFERROR(__xludf.DUMMYFUNCTION("""COMPUTED_VALUE"""),"TipTop")</f>
        <v>TipTop</v>
      </c>
      <c r="F767" s="5" t="str">
        <f>IFERROR(__xludf.DUMMYFUNCTION("""COMPUTED_VALUE"""),"UnicornSevensPayDice")</f>
        <v>UnicornSevensPayDice</v>
      </c>
      <c r="G767" s="5" t="str">
        <f>IFERROR(__xludf.DUMMYFUNCTION("""COMPUTED_VALUE"""),"Live")</f>
        <v>Live</v>
      </c>
      <c r="H767" s="5"/>
      <c r="I767" s="5" t="str">
        <f>IFERROR(__xludf.DUMMYFUNCTION("""COMPUTED_VALUE"""),"TipTop")</f>
        <v>TipTop</v>
      </c>
      <c r="J767" s="5" t="str">
        <f>IFERROR(__xludf.DUMMYFUNCTION("""COMPUTED_VALUE"""),"JSON")</f>
        <v>JSON</v>
      </c>
      <c r="K767" s="5" t="str">
        <f>IFERROR(__xludf.DUMMYFUNCTION("""COMPUTED_VALUE"""),"Dice Slots")</f>
        <v>Dice Slots</v>
      </c>
      <c r="L767" s="5" t="str">
        <f>IFERROR(__xludf.DUMMYFUNCTION("""COMPUTED_VALUE""")," Clone")</f>
        <v> Clone</v>
      </c>
      <c r="M767" s="5" t="str">
        <f>IFERROR(__xludf.DUMMYFUNCTION("""COMPUTED_VALUE"""),"Sevens Pay")</f>
        <v>Sevens Pay</v>
      </c>
      <c r="N767" s="5"/>
      <c r="O767" s="5"/>
      <c r="P767" s="12">
        <f>IFERROR(__xludf.DUMMYFUNCTION("""COMPUTED_VALUE"""),10.24)</f>
        <v>10.24</v>
      </c>
      <c r="Q767" s="13">
        <f>IFERROR(__xludf.DUMMYFUNCTION("""COMPUTED_VALUE"""),46237.0)</f>
        <v>46237</v>
      </c>
      <c r="R767" s="13">
        <f>IFERROR(__xludf.DUMMYFUNCTION("""COMPUTED_VALUE"""),46239.0)</f>
        <v>46239</v>
      </c>
      <c r="S767" s="13">
        <f>IFERROR(__xludf.DUMMYFUNCTION("""COMPUTED_VALUE"""),46246.0)</f>
        <v>46246</v>
      </c>
      <c r="T767" s="5" t="b">
        <f>IFERROR(__xludf.DUMMYFUNCTION("""COMPUTED_VALUE"""),TRUE)</f>
        <v>1</v>
      </c>
      <c r="U767" s="5" t="str">
        <f>IFERROR(__xludf.DUMMYFUNCTION("""COMPUTED_VALUE"""),"5x3")</f>
        <v>5x3</v>
      </c>
      <c r="V767" s="5">
        <f>IFERROR(__xludf.DUMMYFUNCTION("""COMPUTED_VALUE"""),10.0)</f>
        <v>10</v>
      </c>
      <c r="W767" s="5">
        <f>IFERROR(__xludf.DUMMYFUNCTION("""COMPUTED_VALUE"""),10.0)</f>
        <v>10</v>
      </c>
      <c r="X767" s="5">
        <f>IFERROR(__xludf.DUMMYFUNCTION("""COMPUTED_VALUE"""),96.0)</f>
        <v>96</v>
      </c>
      <c r="Y767" s="5" t="str">
        <f>IFERROR(__xludf.DUMMYFUNCTION("""COMPUTED_VALUE"""),"Low")</f>
        <v>Low</v>
      </c>
      <c r="Z767" s="5">
        <f>IFERROR(__xludf.DUMMYFUNCTION("""COMPUTED_VALUE"""),9.85)</f>
        <v>9.85</v>
      </c>
      <c r="AA767" s="5">
        <f>IFERROR(__xludf.DUMMYFUNCTION("""COMPUTED_VALUE"""),1000.0)</f>
        <v>1000</v>
      </c>
      <c r="AB767" s="5"/>
      <c r="AC767" s="5"/>
      <c r="AD767" s="5" t="str">
        <f>IFERROR(__xludf.DUMMYFUNCTION("""COMPUTED_VALUE"""),"0.05/100")</f>
        <v>0.05/100</v>
      </c>
      <c r="AE767" s="5"/>
      <c r="AF767" s="5"/>
      <c r="AG767" s="8">
        <f>IFERROR(__xludf.DUMMYFUNCTION("""COMPUTED_VALUE"""),46252.44490740741)</f>
        <v>46252.44491</v>
      </c>
      <c r="AH767" s="5" t="str">
        <f>IFERROR(__xludf.DUMMYFUNCTION("""COMPUTED_VALUE"""),"vanja.svetska@fazi.rs")</f>
        <v>vanja.svetska@fazi.rs</v>
      </c>
      <c r="AI767" s="13"/>
      <c r="AJ767" s="5"/>
      <c r="AK767" s="5">
        <f>IFERROR(__xludf.DUMMYFUNCTION("""COMPUTED_VALUE"""),10.0)</f>
        <v>10</v>
      </c>
      <c r="AL767" s="5" t="str">
        <f>IFERROR(__xludf.DUMMYFUNCTION("""COMPUTED_VALUE"""),"No")</f>
        <v>No</v>
      </c>
      <c r="AM767" s="5"/>
      <c r="AN767" s="7" t="str">
        <f>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AO767" s="5"/>
      <c r="AP767" s="5" t="str">
        <f>IFERROR(__xludf.DUMMYFUNCTION("""COMPUTED_VALUE"""),"Yes")</f>
        <v>Yes</v>
      </c>
      <c r="AQ767" s="5" t="b">
        <f>IFERROR(__xludf.DUMMYFUNCTION("""COMPUTED_VALUE"""),TRUE)</f>
        <v>1</v>
      </c>
      <c r="AR767" s="5"/>
      <c r="AS767" s="5" t="str">
        <f>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AT767" s="5"/>
      <c r="AU767" s="5" t="str">
        <f>IFERROR(__xludf.DUMMYFUNCTION("""COMPUTED_VALUE"""),"Tiptop")</f>
        <v>Tiptop</v>
      </c>
      <c r="AV767" s="5"/>
      <c r="AW767" s="5"/>
      <c r="AX767" s="13">
        <f>IFERROR(__xludf.DUMMYFUNCTION("""COMPUTED_VALUE"""),46231.0)</f>
        <v>46231</v>
      </c>
      <c r="AY767" s="5"/>
      <c r="AZ767" s="5"/>
      <c r="BA767" s="5"/>
      <c r="BB767" s="5" t="b">
        <f>IFERROR(__xludf.DUMMYFUNCTION("""COMPUTED_VALUE"""),TRUE)</f>
        <v>1</v>
      </c>
      <c r="BC767" s="5" t="str">
        <f>IFERROR(__xludf.DUMMYFUNCTION("""COMPUTED_VALUE"""),"Tiptop")</f>
        <v>Tiptop</v>
      </c>
      <c r="BD767" s="7" t="str">
        <f>IFERROR(__xludf.DUMMYFUNCTION("""COMPUTED_VALUE"""),"https://gameserver-store-client-area.orbionlimited.com/Home/IntegrationGameLaunch/client-area?moneyType=0&amp;gameName=UnicornSevensPayDice&amp;platform=desktop&amp;languageCode=eng&amp;currency=EUR")</f>
        <v>https://gameserver-store-client-area.orbionlimited.com/Home/IntegrationGameLaunch/client-area?moneyType=0&amp;gameName=UnicornSevensPayDice&amp;platform=desktop&amp;languageCode=eng&amp;currency=EUR</v>
      </c>
      <c r="BE767" s="5" t="b">
        <f>IFERROR(__xludf.DUMMYFUNCTION("""COMPUTED_VALUE"""),TRUE)</f>
        <v>1</v>
      </c>
    </row>
    <row r="768">
      <c r="A768" s="5">
        <f>IFERROR(__xludf.DUMMYFUNCTION("""COMPUTED_VALUE"""),805.0)</f>
        <v>805</v>
      </c>
      <c r="B768" s="5">
        <f>IFERROR(__xludf.DUMMYFUNCTION("""COMPUTED_VALUE"""),4000023.0)</f>
        <v>4000023</v>
      </c>
      <c r="C768" s="5" t="str">
        <f>IFERROR(__xludf.DUMMYFUNCTION("""COMPUTED_VALUE"""),"Tiptop")</f>
        <v>Tiptop</v>
      </c>
      <c r="D768" s="5" t="str">
        <f>IFERROR(__xludf.DUMMYFUNCTION("""COMPUTED_VALUE"""),"Fruituristic Sevens")</f>
        <v>Fruituristic Sevens</v>
      </c>
      <c r="E768" s="5" t="str">
        <f>IFERROR(__xludf.DUMMYFUNCTION("""COMPUTED_VALUE"""),"TipTop")</f>
        <v>TipTop</v>
      </c>
      <c r="F768" s="5" t="str">
        <f>IFERROR(__xludf.DUMMYFUNCTION("""COMPUTED_VALUE"""),"UnicornFruituristicSevens")</f>
        <v>UnicornFruituristicSevens</v>
      </c>
      <c r="G768" s="5" t="str">
        <f>IFERROR(__xludf.DUMMYFUNCTION("""COMPUTED_VALUE"""),"Live")</f>
        <v>Live</v>
      </c>
      <c r="H768" s="5"/>
      <c r="I768" s="5" t="str">
        <f>IFERROR(__xludf.DUMMYFUNCTION("""COMPUTED_VALUE"""),"TipTop")</f>
        <v>TipTop</v>
      </c>
      <c r="J768" s="5" t="str">
        <f>IFERROR(__xludf.DUMMYFUNCTION("""COMPUTED_VALUE"""),"JSON")</f>
        <v>JSON</v>
      </c>
      <c r="K768" s="5" t="str">
        <f>IFERROR(__xludf.DUMMYFUNCTION("""COMPUTED_VALUE"""),"Slot")</f>
        <v>Slot</v>
      </c>
      <c r="L768" s="5" t="str">
        <f>IFERROR(__xludf.DUMMYFUNCTION("""COMPUTED_VALUE"""),"Master")</f>
        <v>Master</v>
      </c>
      <c r="M768" s="5"/>
      <c r="N768" s="5"/>
      <c r="O768" s="5"/>
      <c r="P768" s="12">
        <f>IFERROR(__xludf.DUMMYFUNCTION("""COMPUTED_VALUE"""),12.7)</f>
        <v>12.7</v>
      </c>
      <c r="Q768" s="13">
        <f>IFERROR(__xludf.DUMMYFUNCTION("""COMPUTED_VALUE"""),46251.0)</f>
        <v>46251</v>
      </c>
      <c r="R768" s="13">
        <f>IFERROR(__xludf.DUMMYFUNCTION("""COMPUTED_VALUE"""),46246.0)</f>
        <v>46246</v>
      </c>
      <c r="S768" s="13">
        <f>IFERROR(__xludf.DUMMYFUNCTION("""COMPUTED_VALUE"""),46253.0)</f>
        <v>46253</v>
      </c>
      <c r="T768" s="5" t="b">
        <f>IFERROR(__xludf.DUMMYFUNCTION("""COMPUTED_VALUE"""),TRUE)</f>
        <v>1</v>
      </c>
      <c r="U768" s="5" t="str">
        <f>IFERROR(__xludf.DUMMYFUNCTION("""COMPUTED_VALUE"""),"5x3")</f>
        <v>5x3</v>
      </c>
      <c r="V768" s="5">
        <f>IFERROR(__xludf.DUMMYFUNCTION("""COMPUTED_VALUE"""),10.0)</f>
        <v>10</v>
      </c>
      <c r="W768" s="5">
        <f>IFERROR(__xludf.DUMMYFUNCTION("""COMPUTED_VALUE"""),10.0)</f>
        <v>10</v>
      </c>
      <c r="X768" s="5">
        <f>IFERROR(__xludf.DUMMYFUNCTION("""COMPUTED_VALUE"""),96.0)</f>
        <v>96</v>
      </c>
      <c r="Y768" s="5" t="str">
        <f>IFERROR(__xludf.DUMMYFUNCTION("""COMPUTED_VALUE"""),"Low")</f>
        <v>Low</v>
      </c>
      <c r="Z768" s="5">
        <f>IFERROR(__xludf.DUMMYFUNCTION("""COMPUTED_VALUE"""),21.32)</f>
        <v>21.32</v>
      </c>
      <c r="AA768" s="5">
        <f>IFERROR(__xludf.DUMMYFUNCTION("""COMPUTED_VALUE"""),1000.0)</f>
        <v>1000</v>
      </c>
      <c r="AB768" s="5"/>
      <c r="AC768" s="5"/>
      <c r="AD768" s="5" t="str">
        <f>IFERROR(__xludf.DUMMYFUNCTION("""COMPUTED_VALUE"""),"0.05/100")</f>
        <v>0.05/100</v>
      </c>
      <c r="AE768" s="5"/>
      <c r="AF768" s="5"/>
      <c r="AG768" s="8">
        <f>IFERROR(__xludf.DUMMYFUNCTION("""COMPUTED_VALUE"""),46261.588541666664)</f>
        <v>46261.58854</v>
      </c>
      <c r="AH768" s="5" t="str">
        <f>IFERROR(__xludf.DUMMYFUNCTION("""COMPUTED_VALUE"""),"vanja.svetska@fazi.rs")</f>
        <v>vanja.svetska@fazi.rs</v>
      </c>
      <c r="AI768" s="13"/>
      <c r="AJ768" s="5"/>
      <c r="AK768" s="5">
        <f>IFERROR(__xludf.DUMMYFUNCTION("""COMPUTED_VALUE"""),10.0)</f>
        <v>10</v>
      </c>
      <c r="AL768" s="5" t="str">
        <f>IFERROR(__xludf.DUMMYFUNCTION("""COMPUTED_VALUE"""),"No")</f>
        <v>No</v>
      </c>
      <c r="AM768" s="5"/>
      <c r="AN768" s="7" t="str">
        <f>IFERROR(__xludf.DUMMYFUNCTION("""COMPUTED_VALUE"""),"https://onlinegamespromo.fazi.rs/Home/IntegrationGameLaunch?moneyType=0&amp;gameName=UnicornFruituristicSevens&amp;platform=desktop&amp;languageCode=eng&amp;currency=EUR")</f>
        <v>https://onlinegamespromo.fazi.rs/Home/IntegrationGameLaunch?moneyType=0&amp;gameName=UnicornFruituristicSevens&amp;platform=desktop&amp;languageCode=eng&amp;currency=EUR</v>
      </c>
      <c r="AO768" s="5"/>
      <c r="AP768" s="5" t="str">
        <f>IFERROR(__xludf.DUMMYFUNCTION("""COMPUTED_VALUE"""),"Yes")</f>
        <v>Yes</v>
      </c>
      <c r="AQ768" s="5" t="b">
        <f>IFERROR(__xludf.DUMMYFUNCTION("""COMPUTED_VALUE"""),TRUE)</f>
        <v>1</v>
      </c>
      <c r="AR768" s="5"/>
      <c r="AS768" s="5" t="str">
        <f>IFERROR(__xludf.DUMMYFUNCTION("""COMPUTED_VALUE"""),"Fruituristic Sevens launches classic fruit action into a neon future. This 5x3 slot with 10 fixed paylines lights up the reels with futuristic symbols, glowing Sevens, and a fast-paced game flow. Power up the grid with high-voltage wins and chase up to 1,"&amp;"000x your bet!")</f>
        <v>Fruituristic Sevens launches classic fruit action into a neon future. This 5x3 slot with 10 fixed paylines lights up the reels with futuristic symbols, glowing Sevens, and a fast-paced game flow. Power up the grid with high-voltage wins and chase up to 1,000x your bet!</v>
      </c>
      <c r="AT768" s="5"/>
      <c r="AU768" s="5" t="str">
        <f>IFERROR(__xludf.DUMMYFUNCTION("""COMPUTED_VALUE"""),"Tiptop")</f>
        <v>Tiptop</v>
      </c>
      <c r="AV768" s="5"/>
      <c r="AW768" s="5"/>
      <c r="AX768" s="13">
        <f>IFERROR(__xludf.DUMMYFUNCTION("""COMPUTED_VALUE"""),46245.0)</f>
        <v>46245</v>
      </c>
      <c r="AY768" s="5"/>
      <c r="AZ768" s="5"/>
      <c r="BA768" s="5"/>
      <c r="BB768" s="5" t="b">
        <f>IFERROR(__xludf.DUMMYFUNCTION("""COMPUTED_VALUE"""),TRUE)</f>
        <v>1</v>
      </c>
      <c r="BC768" s="5" t="str">
        <f>IFERROR(__xludf.DUMMYFUNCTION("""COMPUTED_VALUE"""),"Tiptop")</f>
        <v>Tiptop</v>
      </c>
      <c r="BD768" s="7" t="str">
        <f>IFERROR(__xludf.DUMMYFUNCTION("""COMPUTED_VALUE"""),"https://gameserver-store-client-area.orbionlimited.com/Home/IntegrationGameLaunch/client-area?moneyType=0&amp;gameName=UnicornFruituristicSevens&amp;platform=desktop&amp;languageCode=eng&amp;currency=EUR")</f>
        <v>https://gameserver-store-client-area.orbionlimited.com/Home/IntegrationGameLaunch/client-area?moneyType=0&amp;gameName=UnicornFruituristicSevens&amp;platform=desktop&amp;languageCode=eng&amp;currency=EUR</v>
      </c>
      <c r="BE768" s="5" t="b">
        <f>IFERROR(__xludf.DUMMYFUNCTION("""COMPUTED_VALUE"""),TRUE)</f>
        <v>1</v>
      </c>
    </row>
    <row r="769">
      <c r="A769" s="5">
        <f>IFERROR(__xludf.DUMMYFUNCTION("""COMPUTED_VALUE"""),806.0)</f>
        <v>806</v>
      </c>
      <c r="B769" s="5">
        <f>IFERROR(__xludf.DUMMYFUNCTION("""COMPUTED_VALUE"""),4000029.0)</f>
        <v>4000029</v>
      </c>
      <c r="C769" s="5" t="str">
        <f>IFERROR(__xludf.DUMMYFUNCTION("""COMPUTED_VALUE"""),"Tiptop")</f>
        <v>Tiptop</v>
      </c>
      <c r="D769" s="5" t="str">
        <f>IFERROR(__xludf.DUMMYFUNCTION("""COMPUTED_VALUE"""),"Three Reel Fortune Wilds")</f>
        <v>Three Reel Fortune Wilds</v>
      </c>
      <c r="E769" s="5" t="str">
        <f>IFERROR(__xludf.DUMMYFUNCTION("""COMPUTED_VALUE"""),"TipTop")</f>
        <v>TipTop</v>
      </c>
      <c r="F769" s="5" t="str">
        <f>IFERROR(__xludf.DUMMYFUNCTION("""COMPUTED_VALUE"""),"UnicornThreeReelFortuneWilds")</f>
        <v>UnicornThreeReelFortuneWilds</v>
      </c>
      <c r="G769" s="5" t="str">
        <f>IFERROR(__xludf.DUMMYFUNCTION("""COMPUTED_VALUE"""),"Live")</f>
        <v>Live</v>
      </c>
      <c r="H769" s="5"/>
      <c r="I769" s="5" t="str">
        <f>IFERROR(__xludf.DUMMYFUNCTION("""COMPUTED_VALUE"""),"TipTop")</f>
        <v>TipTop</v>
      </c>
      <c r="J769" s="5" t="str">
        <f>IFERROR(__xludf.DUMMYFUNCTION("""COMPUTED_VALUE"""),"JSON")</f>
        <v>JSON</v>
      </c>
      <c r="K769" s="5" t="str">
        <f>IFERROR(__xludf.DUMMYFUNCTION("""COMPUTED_VALUE"""),"Slot")</f>
        <v>Slot</v>
      </c>
      <c r="L769" s="5" t="str">
        <f>IFERROR(__xludf.DUMMYFUNCTION("""COMPUTED_VALUE"""),"Master")</f>
        <v>Master</v>
      </c>
      <c r="M769" s="5"/>
      <c r="N769" s="5"/>
      <c r="O769" s="5"/>
      <c r="P769" s="12">
        <f>IFERROR(__xludf.DUMMYFUNCTION("""COMPUTED_VALUE"""),12.03)</f>
        <v>12.03</v>
      </c>
      <c r="Q769" s="13">
        <f>IFERROR(__xludf.DUMMYFUNCTION("""COMPUTED_VALUE"""),46251.0)</f>
        <v>46251</v>
      </c>
      <c r="R769" s="13">
        <f>IFERROR(__xludf.DUMMYFUNCTION("""COMPUTED_VALUE"""),46253.0)</f>
        <v>46253</v>
      </c>
      <c r="S769" s="13">
        <f>IFERROR(__xludf.DUMMYFUNCTION("""COMPUTED_VALUE"""),46260.0)</f>
        <v>46260</v>
      </c>
      <c r="T769" s="5" t="b">
        <f>IFERROR(__xludf.DUMMYFUNCTION("""COMPUTED_VALUE"""),TRUE)</f>
        <v>1</v>
      </c>
      <c r="U769" s="5" t="str">
        <f>IFERROR(__xludf.DUMMYFUNCTION("""COMPUTED_VALUE"""),"3x3")</f>
        <v>3x3</v>
      </c>
      <c r="V769" s="5">
        <f>IFERROR(__xludf.DUMMYFUNCTION("""COMPUTED_VALUE"""),5.0)</f>
        <v>5</v>
      </c>
      <c r="W769" s="5">
        <f>IFERROR(__xludf.DUMMYFUNCTION("""COMPUTED_VALUE"""),5.0)</f>
        <v>5</v>
      </c>
      <c r="X769" s="5">
        <f>IFERROR(__xludf.DUMMYFUNCTION("""COMPUTED_VALUE"""),96.0)</f>
        <v>96</v>
      </c>
      <c r="Y769" s="5" t="str">
        <f>IFERROR(__xludf.DUMMYFUNCTION("""COMPUTED_VALUE"""),"Low")</f>
        <v>Low</v>
      </c>
      <c r="Z769" s="5">
        <f>IFERROR(__xludf.DUMMYFUNCTION("""COMPUTED_VALUE"""),22.86)</f>
        <v>22.86</v>
      </c>
      <c r="AA769" s="5">
        <f>IFERROR(__xludf.DUMMYFUNCTION("""COMPUTED_VALUE"""),2500.0)</f>
        <v>2500</v>
      </c>
      <c r="AB769" s="5"/>
      <c r="AC769" s="5" t="str">
        <f>IFERROR(__xludf.DUMMYFUNCTION("""COMPUTED_VALUE"""),"Win Multiplier, Wild Symbol")</f>
        <v>Win Multiplier, Wild Symbol</v>
      </c>
      <c r="AD769" s="5" t="str">
        <f>IFERROR(__xludf.DUMMYFUNCTION("""COMPUTED_VALUE"""),"0.05/100")</f>
        <v>0.05/100</v>
      </c>
      <c r="AE769" s="5"/>
      <c r="AF769" s="5"/>
      <c r="AG769" s="8">
        <f>IFERROR(__xludf.DUMMYFUNCTION("""COMPUTED_VALUE"""),46261.59008101852)</f>
        <v>46261.59008</v>
      </c>
      <c r="AH769" s="5" t="str">
        <f>IFERROR(__xludf.DUMMYFUNCTION("""COMPUTED_VALUE"""),"vanja.svetska@fazi.rs")</f>
        <v>vanja.svetska@fazi.rs</v>
      </c>
      <c r="AI769" s="13"/>
      <c r="AJ769" s="5"/>
      <c r="AK769" s="5">
        <f>IFERROR(__xludf.DUMMYFUNCTION("""COMPUTED_VALUE"""),5.0)</f>
        <v>5</v>
      </c>
      <c r="AL769" s="5" t="str">
        <f>IFERROR(__xludf.DUMMYFUNCTION("""COMPUTED_VALUE"""),"No")</f>
        <v>No</v>
      </c>
      <c r="AM769" s="5"/>
      <c r="AN769" s="7" t="str">
        <f>IFERROR(__xludf.DUMMYFUNCTION("""COMPUTED_VALUE"""),"https://onlinegamespromo.fazi.rs/Home/IntegrationGameLaunch?moneyType=0&amp;gameName=UnicornThreeReelFortuneWilds&amp;platform=desktop&amp;languageCode=eng&amp;currency=EUR")</f>
        <v>https://onlinegamespromo.fazi.rs/Home/IntegrationGameLaunch?moneyType=0&amp;gameName=UnicornThreeReelFortuneWilds&amp;platform=desktop&amp;languageCode=eng&amp;currency=EUR</v>
      </c>
      <c r="AO769" s="5"/>
      <c r="AP769" s="5" t="str">
        <f>IFERROR(__xludf.DUMMYFUNCTION("""COMPUTED_VALUE"""),"Yes")</f>
        <v>Yes</v>
      </c>
      <c r="AQ769" s="5" t="b">
        <f>IFERROR(__xludf.DUMMYFUNCTION("""COMPUTED_VALUE"""),TRUE)</f>
        <v>1</v>
      </c>
      <c r="AR769" s="5"/>
      <c r="AS769" s="5" t="str">
        <f>IFERROR(__xludf.DUMMYFUNCTION("""COMPUTED_VALUE"""),"Three Reel Fortune Wilds is a compact 3x3 retro slot where Panda and Tiger guard 5 lucky paylines. Wild symbols add extra fortune to the reels, turning simple three-reel action into fast, playful winning moments. Spin into the charm of classic fortune and"&amp;" let the Wilds lead the way!")</f>
        <v>Three Reel Fortune Wilds is a compact 3x3 retro slot where Panda and Tiger guard 5 lucky paylines. Wild symbols add extra fortune to the reels, turning simple three-reel action into fast, playful winning moments. Spin into the charm of classic fortune and let the Wilds lead the way!</v>
      </c>
      <c r="AT769" s="5"/>
      <c r="AU769" s="5" t="str">
        <f>IFERROR(__xludf.DUMMYFUNCTION("""COMPUTED_VALUE"""),"Tiptop")</f>
        <v>Tiptop</v>
      </c>
      <c r="AV769" s="5"/>
      <c r="AW769" s="5"/>
      <c r="AX769" s="13">
        <f>IFERROR(__xludf.DUMMYFUNCTION("""COMPUTED_VALUE"""),46245.0)</f>
        <v>46245</v>
      </c>
      <c r="AY769" s="5"/>
      <c r="AZ769" s="5"/>
      <c r="BA769" s="5"/>
      <c r="BB769" s="5" t="b">
        <f>IFERROR(__xludf.DUMMYFUNCTION("""COMPUTED_VALUE"""),TRUE)</f>
        <v>1</v>
      </c>
      <c r="BC769" s="5" t="str">
        <f>IFERROR(__xludf.DUMMYFUNCTION("""COMPUTED_VALUE"""),"Tiptop")</f>
        <v>Tiptop</v>
      </c>
      <c r="BD769" s="7" t="str">
        <f>IFERROR(__xludf.DUMMYFUNCTION("""COMPUTED_VALUE"""),"https://gameserver-store-client-area.orbionlimited.com/Home/IntegrationGameLaunch/client-area?moneyType=0&amp;gameName=UnicornThreeReelFortuneWilds&amp;platform=desktop&amp;languageCode=eng&amp;currency=EUR")</f>
        <v>https://gameserver-store-client-area.orbionlimited.com/Home/IntegrationGameLaunch/client-area?moneyType=0&amp;gameName=UnicornThreeReelFortuneWilds&amp;platform=desktop&amp;languageCode=eng&amp;currency=EUR</v>
      </c>
      <c r="BE769" s="5" t="b">
        <f>IFERROR(__xludf.DUMMYFUNCTION("""COMPUTED_VALUE"""),TRUE)</f>
        <v>1</v>
      </c>
    </row>
    <row r="770">
      <c r="A770" s="5">
        <f>IFERROR(__xludf.DUMMYFUNCTION("""COMPUTED_VALUE"""),807.0)</f>
        <v>807</v>
      </c>
      <c r="B770" s="5">
        <f>IFERROR(__xludf.DUMMYFUNCTION("""COMPUTED_VALUE"""),4000030.0)</f>
        <v>4000030</v>
      </c>
      <c r="C770" s="5" t="str">
        <f>IFERROR(__xludf.DUMMYFUNCTION("""COMPUTED_VALUE"""),"Tiptop")</f>
        <v>Tiptop</v>
      </c>
      <c r="D770" s="5" t="str">
        <f>IFERROR(__xludf.DUMMYFUNCTION("""COMPUTED_VALUE"""),"Super Fireballs")</f>
        <v>Super Fireballs</v>
      </c>
      <c r="E770" s="5" t="str">
        <f>IFERROR(__xludf.DUMMYFUNCTION("""COMPUTED_VALUE"""),"TipTop")</f>
        <v>TipTop</v>
      </c>
      <c r="F770" s="5" t="str">
        <f>IFERROR(__xludf.DUMMYFUNCTION("""COMPUTED_VALUE"""),"UnicornSuperFireballs")</f>
        <v>UnicornSuperFireballs</v>
      </c>
      <c r="G770" s="5" t="str">
        <f>IFERROR(__xludf.DUMMYFUNCTION("""COMPUTED_VALUE"""),"Live")</f>
        <v>Live</v>
      </c>
      <c r="H770" s="5"/>
      <c r="I770" s="5" t="str">
        <f>IFERROR(__xludf.DUMMYFUNCTION("""COMPUTED_VALUE"""),"TipTop")</f>
        <v>TipTop</v>
      </c>
      <c r="J770" s="5" t="str">
        <f>IFERROR(__xludf.DUMMYFUNCTION("""COMPUTED_VALUE"""),"JSON")</f>
        <v>JSON</v>
      </c>
      <c r="K770" s="5" t="str">
        <f>IFERROR(__xludf.DUMMYFUNCTION("""COMPUTED_VALUE"""),"Slot")</f>
        <v>Slot</v>
      </c>
      <c r="L770" s="5" t="str">
        <f>IFERROR(__xludf.DUMMYFUNCTION("""COMPUTED_VALUE"""),"Master")</f>
        <v>Master</v>
      </c>
      <c r="M770" s="5"/>
      <c r="N770" s="5"/>
      <c r="O770" s="5"/>
      <c r="P770" s="12">
        <f>IFERROR(__xludf.DUMMYFUNCTION("""COMPUTED_VALUE"""),14.09)</f>
        <v>14.09</v>
      </c>
      <c r="Q770" s="13">
        <f>IFERROR(__xludf.DUMMYFUNCTION("""COMPUTED_VALUE"""),46265.0)</f>
        <v>46265</v>
      </c>
      <c r="R770" s="13">
        <f>IFERROR(__xludf.DUMMYFUNCTION("""COMPUTED_VALUE"""),46260.0)</f>
        <v>46260</v>
      </c>
      <c r="S770" s="13">
        <f>IFERROR(__xludf.DUMMYFUNCTION("""COMPUTED_VALUE"""),46267.0)</f>
        <v>46267</v>
      </c>
      <c r="T770" s="5" t="b">
        <f>IFERROR(__xludf.DUMMYFUNCTION("""COMPUTED_VALUE"""),TRUE)</f>
        <v>1</v>
      </c>
      <c r="U770" s="5" t="str">
        <f>IFERROR(__xludf.DUMMYFUNCTION("""COMPUTED_VALUE"""),"5x4")</f>
        <v>5x4</v>
      </c>
      <c r="V770" s="5">
        <f>IFERROR(__xludf.DUMMYFUNCTION("""COMPUTED_VALUE"""),40.0)</f>
        <v>40</v>
      </c>
      <c r="W770" s="5">
        <f>IFERROR(__xludf.DUMMYFUNCTION("""COMPUTED_VALUE"""),40.0)</f>
        <v>40</v>
      </c>
      <c r="X770" s="5">
        <f>IFERROR(__xludf.DUMMYFUNCTION("""COMPUTED_VALUE"""),96.0)</f>
        <v>96</v>
      </c>
      <c r="Y770" s="5" t="str">
        <f>IFERROR(__xludf.DUMMYFUNCTION("""COMPUTED_VALUE"""),"Low")</f>
        <v>Low</v>
      </c>
      <c r="Z770" s="5">
        <f>IFERROR(__xludf.DUMMYFUNCTION("""COMPUTED_VALUE"""),13.68)</f>
        <v>13.68</v>
      </c>
      <c r="AA770" s="5">
        <f>IFERROR(__xludf.DUMMYFUNCTION("""COMPUTED_VALUE"""),1000.0)</f>
        <v>1000</v>
      </c>
      <c r="AB770" s="5"/>
      <c r="AC770" s="5"/>
      <c r="AD770" s="5" t="str">
        <f>IFERROR(__xludf.DUMMYFUNCTION("""COMPUTED_VALUE"""),"0.05/100")</f>
        <v>0.05/100</v>
      </c>
      <c r="AE770" s="5"/>
      <c r="AF770" s="5"/>
      <c r="AG770" s="8">
        <f>IFERROR(__xludf.DUMMYFUNCTION("""COMPUTED_VALUE"""),46268.454884259256)</f>
        <v>46268.45488</v>
      </c>
      <c r="AH770" s="5" t="str">
        <f>IFERROR(__xludf.DUMMYFUNCTION("""COMPUTED_VALUE"""),"vanja.svetska@fazi.rs")</f>
        <v>vanja.svetska@fazi.rs</v>
      </c>
      <c r="AI770" s="13"/>
      <c r="AJ770" s="5"/>
      <c r="AK770" s="5">
        <f>IFERROR(__xludf.DUMMYFUNCTION("""COMPUTED_VALUE"""),40.0)</f>
        <v>40</v>
      </c>
      <c r="AL770" s="5" t="str">
        <f>IFERROR(__xludf.DUMMYFUNCTION("""COMPUTED_VALUE"""),"No")</f>
        <v>No</v>
      </c>
      <c r="AM770" s="5"/>
      <c r="AN770"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770" s="5"/>
      <c r="AP770" s="5" t="str">
        <f>IFERROR(__xludf.DUMMYFUNCTION("""COMPUTED_VALUE"""),"Yes")</f>
        <v>Yes</v>
      </c>
      <c r="AQ770" s="5" t="b">
        <f>IFERROR(__xludf.DUMMYFUNCTION("""COMPUTED_VALUE"""),TRUE)</f>
        <v>1</v>
      </c>
      <c r="AR770" s="5"/>
      <c r="AS770" s="5" t="str">
        <f>IFERROR(__xludf.DUMMYFUNCTION("""COMPUTED_VALUE"""),"Super Fireballs is a high-octane classic slot where flames roar across 40 paylines and bold symbols catch fire on the reels. Wilds help connect winning combinations, while Scatters explode with blazing potential on every spin. Fire up the action and exper"&amp;"ience super-hot slot excitement!")</f>
        <v>Super Fireballs is a high-octane classic slot where flames roar across 40 paylines and bold symbols catch fire on the reels. Wilds help connect winning combinations, while Scatters explode with blazing potential on every spin. Fire up the action and experience super-hot slot excitement!</v>
      </c>
      <c r="AT770" s="5"/>
      <c r="AU770" s="5" t="str">
        <f>IFERROR(__xludf.DUMMYFUNCTION("""COMPUTED_VALUE"""),"Tiptop")</f>
        <v>Tiptop</v>
      </c>
      <c r="AV770" s="5"/>
      <c r="AW770" s="5"/>
      <c r="AX770" s="13">
        <f>IFERROR(__xludf.DUMMYFUNCTION("""COMPUTED_VALUE"""),46259.0)</f>
        <v>46259</v>
      </c>
      <c r="AY770" s="5"/>
      <c r="AZ770" s="5"/>
      <c r="BA770" s="5"/>
      <c r="BB770" s="5" t="b">
        <f>IFERROR(__xludf.DUMMYFUNCTION("""COMPUTED_VALUE"""),TRUE)</f>
        <v>1</v>
      </c>
      <c r="BC770" s="5" t="str">
        <f>IFERROR(__xludf.DUMMYFUNCTION("""COMPUTED_VALUE"""),"Tiptop")</f>
        <v>Tiptop</v>
      </c>
      <c r="BD770" s="7" t="str">
        <f>IFERROR(__xludf.DUMMYFUNCTION("""COMPUTED_VALUE"""),"https://gameserver-store-client-area.orbionlimited.com/Home/IntegrationGameLaunch/client-area?moneyType=0&amp;gameName=UnicornSuperFireballs&amp;platform=desktop&amp;languageCode=eng&amp;currency=EUR")</f>
        <v>https://gameserver-store-client-area.orbionlimited.com/Home/IntegrationGameLaunch/client-area?moneyType=0&amp;gameName=UnicornSuperFireballs&amp;platform=desktop&amp;languageCode=eng&amp;currency=EUR</v>
      </c>
      <c r="BE770" s="5" t="b">
        <f>IFERROR(__xludf.DUMMYFUNCTION("""COMPUTED_VALUE"""),TRUE)</f>
        <v>1</v>
      </c>
    </row>
    <row r="771">
      <c r="A771" s="5">
        <f>IFERROR(__xludf.DUMMYFUNCTION("""COMPUTED_VALUE"""),808.0)</f>
        <v>808</v>
      </c>
      <c r="B771" s="5">
        <f>IFERROR(__xludf.DUMMYFUNCTION("""COMPUTED_VALUE"""),4000031.0)</f>
        <v>4000031</v>
      </c>
      <c r="C771" s="5" t="str">
        <f>IFERROR(__xludf.DUMMYFUNCTION("""COMPUTED_VALUE"""),"Tiptop")</f>
        <v>Tiptop</v>
      </c>
      <c r="D771" s="5" t="str">
        <f>IFERROR(__xludf.DUMMYFUNCTION("""COMPUTED_VALUE"""),"Lions Dice Extreme")</f>
        <v>Lions Dice Extreme</v>
      </c>
      <c r="E771" s="5" t="str">
        <f>IFERROR(__xludf.DUMMYFUNCTION("""COMPUTED_VALUE"""),"TipTop")</f>
        <v>TipTop</v>
      </c>
      <c r="F771" s="5" t="str">
        <f>IFERROR(__xludf.DUMMYFUNCTION("""COMPUTED_VALUE"""),"UnicornLionsDiceExtreme")</f>
        <v>UnicornLionsDiceExtreme</v>
      </c>
      <c r="G771" s="5" t="str">
        <f>IFERROR(__xludf.DUMMYFUNCTION("""COMPUTED_VALUE"""),"Deployed")</f>
        <v>Deployed</v>
      </c>
      <c r="H771" s="5"/>
      <c r="I771" s="5" t="str">
        <f>IFERROR(__xludf.DUMMYFUNCTION("""COMPUTED_VALUE"""),"TipTop")</f>
        <v>TipTop</v>
      </c>
      <c r="J771" s="5" t="str">
        <f>IFERROR(__xludf.DUMMYFUNCTION("""COMPUTED_VALUE"""),"JSON")</f>
        <v>JSON</v>
      </c>
      <c r="K771" s="5" t="str">
        <f>IFERROR(__xludf.DUMMYFUNCTION("""COMPUTED_VALUE"""),"Dice Slots")</f>
        <v>Dice Slots</v>
      </c>
      <c r="L771" s="5" t="str">
        <f>IFERROR(__xludf.DUMMYFUNCTION("""COMPUTED_VALUE""")," Clone")</f>
        <v> Clone</v>
      </c>
      <c r="M771" s="5" t="str">
        <f>IFERROR(__xludf.DUMMYFUNCTION("""COMPUTED_VALUE"""),"Lions Sevens Extreme")</f>
        <v>Lions Sevens Extreme</v>
      </c>
      <c r="N771" s="5"/>
      <c r="O771" s="5"/>
      <c r="P771" s="12">
        <f>IFERROR(__xludf.DUMMYFUNCTION("""COMPUTED_VALUE"""),12.69)</f>
        <v>12.69</v>
      </c>
      <c r="Q771" s="13">
        <f>IFERROR(__xludf.DUMMYFUNCTION("""COMPUTED_VALUE"""),46265.0)</f>
        <v>46265</v>
      </c>
      <c r="R771" s="13">
        <f>IFERROR(__xludf.DUMMYFUNCTION("""COMPUTED_VALUE"""),46267.0)</f>
        <v>46267</v>
      </c>
      <c r="S771" s="13">
        <f>IFERROR(__xludf.DUMMYFUNCTION("""COMPUTED_VALUE"""),46274.0)</f>
        <v>46274</v>
      </c>
      <c r="T771" s="5" t="b">
        <f>IFERROR(__xludf.DUMMYFUNCTION("""COMPUTED_VALUE"""),TRUE)</f>
        <v>1</v>
      </c>
      <c r="U771" s="5" t="str">
        <f>IFERROR(__xludf.DUMMYFUNCTION("""COMPUTED_VALUE"""),"5x3")</f>
        <v>5x3</v>
      </c>
      <c r="V771" s="5">
        <f>IFERROR(__xludf.DUMMYFUNCTION("""COMPUTED_VALUE"""),5.0)</f>
        <v>5</v>
      </c>
      <c r="W771" s="5">
        <f>IFERROR(__xludf.DUMMYFUNCTION("""COMPUTED_VALUE"""),5.0)</f>
        <v>5</v>
      </c>
      <c r="X771" s="5">
        <f>IFERROR(__xludf.DUMMYFUNCTION("""COMPUTED_VALUE"""),96.0)</f>
        <v>96</v>
      </c>
      <c r="Y771" s="5" t="str">
        <f>IFERROR(__xludf.DUMMYFUNCTION("""COMPUTED_VALUE"""),"Low")</f>
        <v>Low</v>
      </c>
      <c r="Z771" s="5">
        <f>IFERROR(__xludf.DUMMYFUNCTION("""COMPUTED_VALUE"""),10.5)</f>
        <v>10.5</v>
      </c>
      <c r="AA771" s="5">
        <f>IFERROR(__xludf.DUMMYFUNCTION("""COMPUTED_VALUE"""),10000.0)</f>
        <v>10000</v>
      </c>
      <c r="AB771" s="5"/>
      <c r="AC771" s="5"/>
      <c r="AD771" s="5" t="str">
        <f>IFERROR(__xludf.DUMMYFUNCTION("""COMPUTED_VALUE"""),"0.05/100")</f>
        <v>0.05/100</v>
      </c>
      <c r="AE771" s="5"/>
      <c r="AF771" s="5"/>
      <c r="AG771" s="8">
        <f>IFERROR(__xludf.DUMMYFUNCTION("""COMPUTED_VALUE"""),46266.40959490741)</f>
        <v>46266.40959</v>
      </c>
      <c r="AH771" s="5" t="str">
        <f>IFERROR(__xludf.DUMMYFUNCTION("""COMPUTED_VALUE"""),"danica.petrovic@fazi.rs")</f>
        <v>danica.petrovic@fazi.rs</v>
      </c>
      <c r="AI771" s="13"/>
      <c r="AJ771" s="5"/>
      <c r="AK771" s="5">
        <f>IFERROR(__xludf.DUMMYFUNCTION("""COMPUTED_VALUE"""),5.0)</f>
        <v>5</v>
      </c>
      <c r="AL771" s="5" t="str">
        <f>IFERROR(__xludf.DUMMYFUNCTION("""COMPUTED_VALUE"""),"No")</f>
        <v>No</v>
      </c>
      <c r="AM771" s="5"/>
      <c r="AN771" s="7" t="str">
        <f>IFERROR(__xludf.DUMMYFUNCTION("""COMPUTED_VALUE"""),"https://onlinegamespromo.fazi.rs/Home/IntegrationGameLaunch?moneyType=0&amp;gameName=UnicornLionsDiceExtreme&amp;platform=desktop&amp;languageCode=eng&amp;currency=EUR")</f>
        <v>https://onlinegamespromo.fazi.rs/Home/IntegrationGameLaunch?moneyType=0&amp;gameName=UnicornLionsDiceExtreme&amp;platform=desktop&amp;languageCode=eng&amp;currency=EUR</v>
      </c>
      <c r="AO771" s="5"/>
      <c r="AP771" s="5" t="str">
        <f>IFERROR(__xludf.DUMMYFUNCTION("""COMPUTED_VALUE"""),"Yes")</f>
        <v>Yes</v>
      </c>
      <c r="AQ771" s="5" t="b">
        <f>IFERROR(__xludf.DUMMYFUNCTION("""COMPUTED_VALUE"""),TRUE)</f>
        <v>1</v>
      </c>
      <c r="AR771" s="5"/>
      <c r="AS771" s="5" t="str">
        <f>IFERROR(__xludf.DUMMYFUNCTION("""COMPUTED_VALUE"""),"Lions Dice Extreme is a bold 5x3 dice slot with 5 fixed paylines, mighty lion symbols, and extreme jackpot action. Wilds prowl the reels while jackpot symbols roar in with massive winning potential. Land the golden Lion jackpot combination and unlock up t"&amp;"o 10,000x your bet!")</f>
        <v>Lions Dice Extreme is a bold 5x3 dice slot with 5 fixed paylines, mighty lion symbols, and extreme jackpot action. Wilds prowl the reels while jackpot symbols roar in with massive winning potential. Land the golden Lion jackpot combination and unlock up to 10,000x your bet!</v>
      </c>
      <c r="AT771" s="5"/>
      <c r="AU771" s="5" t="str">
        <f>IFERROR(__xludf.DUMMYFUNCTION("""COMPUTED_VALUE"""),"Tiptop")</f>
        <v>Tiptop</v>
      </c>
      <c r="AV771" s="5"/>
      <c r="AW771" s="5"/>
      <c r="AX771" s="13">
        <f>IFERROR(__xludf.DUMMYFUNCTION("""COMPUTED_VALUE"""),46259.0)</f>
        <v>46259</v>
      </c>
      <c r="AY771" s="5"/>
      <c r="AZ771" s="5"/>
      <c r="BA771" s="5"/>
      <c r="BB771" s="5" t="b">
        <f>IFERROR(__xludf.DUMMYFUNCTION("""COMPUTED_VALUE"""),TRUE)</f>
        <v>1</v>
      </c>
      <c r="BC771" s="5" t="str">
        <f>IFERROR(__xludf.DUMMYFUNCTION("""COMPUTED_VALUE"""),"Tiptop")</f>
        <v>Tiptop</v>
      </c>
      <c r="BD771" s="7" t="str">
        <f>IFERROR(__xludf.DUMMYFUNCTION("""COMPUTED_VALUE"""),"https://gameserver-store-client-area.orbionlimited.com/Home/IntegrationGameLaunch/client-area?moneyType=0&amp;gameName=UnicornLionsDiceExtreme&amp;platform=desktop&amp;languageCode=eng&amp;currency=EUR")</f>
        <v>https://gameserver-store-client-area.orbionlimited.com/Home/IntegrationGameLaunch/client-area?moneyType=0&amp;gameName=UnicornLionsDiceExtreme&amp;platform=desktop&amp;languageCode=eng&amp;currency=EUR</v>
      </c>
      <c r="BE771" s="5" t="b">
        <f>IFERROR(__xludf.DUMMYFUNCTION("""COMPUTED_VALUE"""),TRUE)</f>
        <v>1</v>
      </c>
    </row>
    <row r="772">
      <c r="A772" s="5">
        <f>IFERROR(__xludf.DUMMYFUNCTION("""COMPUTED_VALUE"""),809.0)</f>
        <v>809</v>
      </c>
      <c r="B772" s="5">
        <f>IFERROR(__xludf.DUMMYFUNCTION("""COMPUTED_VALUE"""),4000032.0)</f>
        <v>4000032</v>
      </c>
      <c r="C772" s="5" t="str">
        <f>IFERROR(__xludf.DUMMYFUNCTION("""COMPUTED_VALUE"""),"Tiptop")</f>
        <v>Tiptop</v>
      </c>
      <c r="D772" s="5" t="str">
        <f>IFERROR(__xludf.DUMMYFUNCTION("""COMPUTED_VALUE"""),"Lucky Pay Reels")</f>
        <v>Lucky Pay Reels</v>
      </c>
      <c r="E772" s="5" t="str">
        <f>IFERROR(__xludf.DUMMYFUNCTION("""COMPUTED_VALUE"""),"TipTop")</f>
        <v>TipTop</v>
      </c>
      <c r="F772" s="5" t="str">
        <f>IFERROR(__xludf.DUMMYFUNCTION("""COMPUTED_VALUE"""),"UnicornLuckyPayReels")</f>
        <v>UnicornLuckyPayReels</v>
      </c>
      <c r="G772" s="5" t="str">
        <f>IFERROR(__xludf.DUMMYFUNCTION("""COMPUTED_VALUE"""),"Planned")</f>
        <v>Planned</v>
      </c>
      <c r="H772" s="5"/>
      <c r="I772" s="5" t="str">
        <f>IFERROR(__xludf.DUMMYFUNCTION("""COMPUTED_VALUE"""),"TipTop")</f>
        <v>TipTop</v>
      </c>
      <c r="J772" s="5" t="str">
        <f>IFERROR(__xludf.DUMMYFUNCTION("""COMPUTED_VALUE"""),"JSON")</f>
        <v>JSON</v>
      </c>
      <c r="K772" s="5" t="str">
        <f>IFERROR(__xludf.DUMMYFUNCTION("""COMPUTED_VALUE"""),"Slot")</f>
        <v>Slot</v>
      </c>
      <c r="L772" s="5" t="str">
        <f>IFERROR(__xludf.DUMMYFUNCTION("""COMPUTED_VALUE""")," Clone")</f>
        <v> Clone</v>
      </c>
      <c r="M772" s="5" t="str">
        <f>IFERROR(__xludf.DUMMYFUNCTION("""COMPUTED_VALUE"""),"Sevens Pay")</f>
        <v>Sevens Pay</v>
      </c>
      <c r="N772" s="5"/>
      <c r="O772" s="5"/>
      <c r="P772" s="12">
        <f>IFERROR(__xludf.DUMMYFUNCTION("""COMPUTED_VALUE"""),11.65)</f>
        <v>11.65</v>
      </c>
      <c r="Q772" s="13">
        <f>IFERROR(__xludf.DUMMYFUNCTION("""COMPUTED_VALUE"""),46279.0)</f>
        <v>46279</v>
      </c>
      <c r="R772" s="13">
        <f>IFERROR(__xludf.DUMMYFUNCTION("""COMPUTED_VALUE"""),46274.0)</f>
        <v>46274</v>
      </c>
      <c r="S772" s="13">
        <f>IFERROR(__xludf.DUMMYFUNCTION("""COMPUTED_VALUE"""),46281.0)</f>
        <v>46281</v>
      </c>
      <c r="T772" s="5" t="b">
        <f>IFERROR(__xludf.DUMMYFUNCTION("""COMPUTED_VALUE"""),TRUE)</f>
        <v>1</v>
      </c>
      <c r="U772" s="5" t="str">
        <f>IFERROR(__xludf.DUMMYFUNCTION("""COMPUTED_VALUE"""),"5x3")</f>
        <v>5x3</v>
      </c>
      <c r="V772" s="5">
        <f>IFERROR(__xludf.DUMMYFUNCTION("""COMPUTED_VALUE"""),10.0)</f>
        <v>10</v>
      </c>
      <c r="W772" s="5">
        <f>IFERROR(__xludf.DUMMYFUNCTION("""COMPUTED_VALUE"""),10.0)</f>
        <v>10</v>
      </c>
      <c r="X772" s="5">
        <f>IFERROR(__xludf.DUMMYFUNCTION("""COMPUTED_VALUE"""),96.0)</f>
        <v>96</v>
      </c>
      <c r="Y772" s="5" t="str">
        <f>IFERROR(__xludf.DUMMYFUNCTION("""COMPUTED_VALUE"""),"Low")</f>
        <v>Low</v>
      </c>
      <c r="Z772" s="5">
        <f>IFERROR(__xludf.DUMMYFUNCTION("""COMPUTED_VALUE"""),9.85)</f>
        <v>9.85</v>
      </c>
      <c r="AA772" s="5">
        <f>IFERROR(__xludf.DUMMYFUNCTION("""COMPUTED_VALUE"""),7000.0)</f>
        <v>7000</v>
      </c>
      <c r="AB772" s="5"/>
      <c r="AC772" s="5"/>
      <c r="AD772" s="5" t="str">
        <f>IFERROR(__xludf.DUMMYFUNCTION("""COMPUTED_VALUE"""),"0.05/100")</f>
        <v>0.05/100</v>
      </c>
      <c r="AE772" s="5"/>
      <c r="AF772" s="5"/>
      <c r="AG772" s="8">
        <f>IFERROR(__xludf.DUMMYFUNCTION("""COMPUTED_VALUE"""),46274.38039351852)</f>
        <v>46274.38039</v>
      </c>
      <c r="AH772" s="5"/>
      <c r="AI772" s="13"/>
      <c r="AJ772" s="5"/>
      <c r="AK772" s="5">
        <f>IFERROR(__xludf.DUMMYFUNCTION("""COMPUTED_VALUE"""),10.0)</f>
        <v>10</v>
      </c>
      <c r="AL772" s="5" t="str">
        <f>IFERROR(__xludf.DUMMYFUNCTION("""COMPUTED_VALUE"""),"No")</f>
        <v>No</v>
      </c>
      <c r="AM772" s="5"/>
      <c r="AN772" s="7" t="str">
        <f>IFERROR(__xludf.DUMMYFUNCTION("""COMPUTED_VALUE"""),"https://onlinegamespromo.fazi.rs/Home/IntegrationGameLaunch?moneyType=0&amp;gameName=UnicornLuckyPayReels&amp;platform=desktop&amp;languageCode=eng&amp;currency=EUR")</f>
        <v>https://onlinegamespromo.fazi.rs/Home/IntegrationGameLaunch?moneyType=0&amp;gameName=UnicornLuckyPayReels&amp;platform=desktop&amp;languageCode=eng&amp;currency=EUR</v>
      </c>
      <c r="AO772" s="5"/>
      <c r="AP772" s="5" t="str">
        <f>IFERROR(__xludf.DUMMYFUNCTION("""COMPUTED_VALUE"""),"Yes")</f>
        <v>Yes</v>
      </c>
      <c r="AQ772" s="5" t="b">
        <f>IFERROR(__xludf.DUMMYFUNCTION("""COMPUTED_VALUE"""),TRUE)</f>
        <v>1</v>
      </c>
      <c r="AR772" s="5"/>
      <c r="AS772" s="5" t="str">
        <f>IFERROR(__xludf.DUMMYFUNCTION("""COMPUTED_VALUE"""),"Lucky Pay Reels is a bright 5x3 fruit slot with 10 fixed paylines and a smooth classic game flow. Cherries, lemons, golden symbols, and lucky Sevens keep the reels rolling with simple, rewarding charm. Every spin feels like a little stroke of luck, with w"&amp;"ins of up to 7,000x your bet!")</f>
        <v>Lucky Pay Reels is a bright 5x3 fruit slot with 10 fixed paylines and a smooth classic game flow. Cherries, lemons, golden symbols, and lucky Sevens keep the reels rolling with simple, rewarding charm. Every spin feels like a little stroke of luck, with wins of up to 7,000x your bet!</v>
      </c>
      <c r="AT772" s="5"/>
      <c r="AU772" s="5" t="str">
        <f>IFERROR(__xludf.DUMMYFUNCTION("""COMPUTED_VALUE"""),"Tiptop")</f>
        <v>Tiptop</v>
      </c>
      <c r="AV772" s="5"/>
      <c r="AW772" s="5"/>
      <c r="AX772" s="13">
        <f>IFERROR(__xludf.DUMMYFUNCTION("""COMPUTED_VALUE"""),46273.0)</f>
        <v>46273</v>
      </c>
      <c r="AY772" s="5"/>
      <c r="AZ772" s="5"/>
      <c r="BA772" s="5"/>
      <c r="BB772" s="5" t="b">
        <f>IFERROR(__xludf.DUMMYFUNCTION("""COMPUTED_VALUE"""),TRUE)</f>
        <v>1</v>
      </c>
      <c r="BC772" s="5" t="str">
        <f>IFERROR(__xludf.DUMMYFUNCTION("""COMPUTED_VALUE"""),"Tiptop")</f>
        <v>Tiptop</v>
      </c>
      <c r="BD772" s="7" t="str">
        <f>IFERROR(__xludf.DUMMYFUNCTION("""COMPUTED_VALUE"""),"https://gameserver-store-client-area.orbionlimited.com/Home/IntegrationGameLaunch/client-area?moneyType=0&amp;gameName=UnicornLuckyPayReels&amp;platform=desktop&amp;languageCode=eng&amp;currency=EUR")</f>
        <v>https://gameserver-store-client-area.orbionlimited.com/Home/IntegrationGameLaunch/client-area?moneyType=0&amp;gameName=UnicornLuckyPayReels&amp;platform=desktop&amp;languageCode=eng&amp;currency=EUR</v>
      </c>
      <c r="BE772" s="5" t="b">
        <f>IFERROR(__xludf.DUMMYFUNCTION("""COMPUTED_VALUE"""),TRUE)</f>
        <v>1</v>
      </c>
    </row>
    <row r="773">
      <c r="A773" s="5">
        <f>IFERROR(__xludf.DUMMYFUNCTION("""COMPUTED_VALUE"""),810.0)</f>
        <v>810</v>
      </c>
      <c r="B773" s="5">
        <f>IFERROR(__xludf.DUMMYFUNCTION("""COMPUTED_VALUE"""),4000033.0)</f>
        <v>4000033</v>
      </c>
      <c r="C773" s="5" t="str">
        <f>IFERROR(__xludf.DUMMYFUNCTION("""COMPUTED_VALUE"""),"Tiptop")</f>
        <v>Tiptop</v>
      </c>
      <c r="D773" s="5" t="str">
        <f>IFERROR(__xludf.DUMMYFUNCTION("""COMPUTED_VALUE"""),"Stack Wild Attack")</f>
        <v>Stack Wild Attack</v>
      </c>
      <c r="E773" s="5" t="str">
        <f>IFERROR(__xludf.DUMMYFUNCTION("""COMPUTED_VALUE"""),"TipTop")</f>
        <v>TipTop</v>
      </c>
      <c r="F773" s="5" t="str">
        <f>IFERROR(__xludf.DUMMYFUNCTION("""COMPUTED_VALUE"""),"UnicornStackWildAttack")</f>
        <v>UnicornStackWildAttack</v>
      </c>
      <c r="G773" s="5" t="str">
        <f>IFERROR(__xludf.DUMMYFUNCTION("""COMPUTED_VALUE"""),"Planned")</f>
        <v>Planned</v>
      </c>
      <c r="H773" s="5"/>
      <c r="I773" s="5" t="str">
        <f>IFERROR(__xludf.DUMMYFUNCTION("""COMPUTED_VALUE"""),"TipTop")</f>
        <v>TipTop</v>
      </c>
      <c r="J773" s="5" t="str">
        <f>IFERROR(__xludf.DUMMYFUNCTION("""COMPUTED_VALUE"""),"JSON")</f>
        <v>JSON</v>
      </c>
      <c r="K773" s="5" t="str">
        <f>IFERROR(__xludf.DUMMYFUNCTION("""COMPUTED_VALUE"""),"Slot")</f>
        <v>Slot</v>
      </c>
      <c r="L773" s="5" t="str">
        <f>IFERROR(__xludf.DUMMYFUNCTION("""COMPUTED_VALUE"""),"Master")</f>
        <v>Master</v>
      </c>
      <c r="M773" s="5"/>
      <c r="N773" s="5"/>
      <c r="O773" s="5"/>
      <c r="P773" s="12">
        <f>IFERROR(__xludf.DUMMYFUNCTION("""COMPUTED_VALUE"""),12.18)</f>
        <v>12.18</v>
      </c>
      <c r="Q773" s="13">
        <f>IFERROR(__xludf.DUMMYFUNCTION("""COMPUTED_VALUE"""),46279.0)</f>
        <v>46279</v>
      </c>
      <c r="R773" s="13">
        <f>IFERROR(__xludf.DUMMYFUNCTION("""COMPUTED_VALUE"""),46281.0)</f>
        <v>46281</v>
      </c>
      <c r="S773" s="13">
        <f>IFERROR(__xludf.DUMMYFUNCTION("""COMPUTED_VALUE"""),46288.0)</f>
        <v>46288</v>
      </c>
      <c r="T773" s="5" t="b">
        <f>IFERROR(__xludf.DUMMYFUNCTION("""COMPUTED_VALUE"""),TRUE)</f>
        <v>1</v>
      </c>
      <c r="U773" s="5" t="str">
        <f>IFERROR(__xludf.DUMMYFUNCTION("""COMPUTED_VALUE"""),"5x3")</f>
        <v>5x3</v>
      </c>
      <c r="V773" s="5">
        <f>IFERROR(__xludf.DUMMYFUNCTION("""COMPUTED_VALUE"""),20.0)</f>
        <v>20</v>
      </c>
      <c r="W773" s="5">
        <f>IFERROR(__xludf.DUMMYFUNCTION("""COMPUTED_VALUE"""),20.0)</f>
        <v>20</v>
      </c>
      <c r="X773" s="5">
        <f>IFERROR(__xludf.DUMMYFUNCTION("""COMPUTED_VALUE"""),96.0)</f>
        <v>96</v>
      </c>
      <c r="Y773" s="5" t="str">
        <f>IFERROR(__xludf.DUMMYFUNCTION("""COMPUTED_VALUE"""),"Low")</f>
        <v>Low</v>
      </c>
      <c r="Z773" s="5">
        <f>IFERROR(__xludf.DUMMYFUNCTION("""COMPUTED_VALUE"""),10.5)</f>
        <v>10.5</v>
      </c>
      <c r="AA773" s="5">
        <f>IFERROR(__xludf.DUMMYFUNCTION("""COMPUTED_VALUE"""),2200.0)</f>
        <v>2200</v>
      </c>
      <c r="AB773" s="5"/>
      <c r="AC773" s="5" t="str">
        <f>IFERROR(__xludf.DUMMYFUNCTION("""COMPUTED_VALUE"""),"Bonus Game with Free Spins")</f>
        <v>Bonus Game with Free Spins</v>
      </c>
      <c r="AD773" s="5" t="str">
        <f>IFERROR(__xludf.DUMMYFUNCTION("""COMPUTED_VALUE"""),"0.05/100")</f>
        <v>0.05/100</v>
      </c>
      <c r="AE773" s="5"/>
      <c r="AF773" s="5"/>
      <c r="AG773" s="8">
        <f>IFERROR(__xludf.DUMMYFUNCTION("""COMPUTED_VALUE"""),46274.38)</f>
        <v>46274.38</v>
      </c>
      <c r="AH773" s="5"/>
      <c r="AI773" s="13"/>
      <c r="AJ773" s="5"/>
      <c r="AK773" s="5">
        <f>IFERROR(__xludf.DUMMYFUNCTION("""COMPUTED_VALUE"""),20.0)</f>
        <v>20</v>
      </c>
      <c r="AL773" s="5" t="str">
        <f>IFERROR(__xludf.DUMMYFUNCTION("""COMPUTED_VALUE"""),"No")</f>
        <v>No</v>
      </c>
      <c r="AM773" s="5"/>
      <c r="AN773" s="7" t="str">
        <f>IFERROR(__xludf.DUMMYFUNCTION("""COMPUTED_VALUE"""),"https://onlinegamespromo.fazi.rs/Home/IntegrationGameLaunch?moneyType=0&amp;gameName=UnicornStackWildAttack&amp;platform=desktop&amp;languageCode=eng&amp;currency=EUR")</f>
        <v>https://onlinegamespromo.fazi.rs/Home/IntegrationGameLaunch?moneyType=0&amp;gameName=UnicornStackWildAttack&amp;platform=desktop&amp;languageCode=eng&amp;currency=EUR</v>
      </c>
      <c r="AO773" s="5"/>
      <c r="AP773" s="5" t="str">
        <f>IFERROR(__xludf.DUMMYFUNCTION("""COMPUTED_VALUE"""),"No")</f>
        <v>No</v>
      </c>
      <c r="AQ773" s="5" t="b">
        <f>IFERROR(__xludf.DUMMYFUNCTION("""COMPUTED_VALUE"""),TRUE)</f>
        <v>1</v>
      </c>
      <c r="AR773" s="5"/>
      <c r="AS773" s="5" t="str">
        <f>IFERROR(__xludf.DUMMYFUNCTION("""COMPUTED_VALUE"""),"Stack Wild Attack is a burning 5x3 classic slot with 5 fixed paylines and stacked Wild symbols storming the reels. Bold fruit symbols, rising heat, and full-force Wild action create explosive winning moments on every spin. Launch the attack and chase wins"&amp;" of up to 2,200x your bet!")</f>
        <v>Stack Wild Attack is a burning 5x3 classic slot with 5 fixed paylines and stacked Wild symbols storming the reels. Bold fruit symbols, rising heat, and full-force Wild action create explosive winning moments on every spin. Launch the attack and chase wins of up to 2,200x your bet!</v>
      </c>
      <c r="AT773" s="5"/>
      <c r="AU773" s="5" t="str">
        <f>IFERROR(__xludf.DUMMYFUNCTION("""COMPUTED_VALUE"""),"Tiptop")</f>
        <v>Tiptop</v>
      </c>
      <c r="AV773" s="5"/>
      <c r="AW773" s="5"/>
      <c r="AX773" s="13">
        <f>IFERROR(__xludf.DUMMYFUNCTION("""COMPUTED_VALUE"""),46273.0)</f>
        <v>46273</v>
      </c>
      <c r="AY773" s="5"/>
      <c r="AZ773" s="5"/>
      <c r="BA773" s="5"/>
      <c r="BB773" s="5" t="b">
        <f>IFERROR(__xludf.DUMMYFUNCTION("""COMPUTED_VALUE"""),TRUE)</f>
        <v>1</v>
      </c>
      <c r="BC773" s="5" t="str">
        <f>IFERROR(__xludf.DUMMYFUNCTION("""COMPUTED_VALUE"""),"Tiptop")</f>
        <v>Tiptop</v>
      </c>
      <c r="BD773" s="7" t="str">
        <f>IFERROR(__xludf.DUMMYFUNCTION("""COMPUTED_VALUE"""),"https://gameserver-store-client-area.orbionlimited.com/Home/IntegrationGameLaunch/client-area?moneyType=0&amp;gameName=UnicornStackWildAttack&amp;platform=desktop&amp;languageCode=eng&amp;currency=EUR")</f>
        <v>https://gameserver-store-client-area.orbionlimited.com/Home/IntegrationGameLaunch/client-area?moneyType=0&amp;gameName=UnicornStackWildAttack&amp;platform=desktop&amp;languageCode=eng&amp;currency=EUR</v>
      </c>
      <c r="BE773" s="5" t="b">
        <f>IFERROR(__xludf.DUMMYFUNCTION("""COMPUTED_VALUE"""),TRUE)</f>
        <v>1</v>
      </c>
    </row>
    <row r="774">
      <c r="A774" s="5">
        <f>IFERROR(__xludf.DUMMYFUNCTION("""COMPUTED_VALUE"""),811.0)</f>
        <v>811</v>
      </c>
      <c r="B774" s="5">
        <f>IFERROR(__xludf.DUMMYFUNCTION("""COMPUTED_VALUE"""),4000034.0)</f>
        <v>4000034</v>
      </c>
      <c r="C774" s="5" t="str">
        <f>IFERROR(__xludf.DUMMYFUNCTION("""COMPUTED_VALUE"""),"Tiptop")</f>
        <v>Tiptop</v>
      </c>
      <c r="D774" s="5" t="str">
        <f>IFERROR(__xludf.DUMMYFUNCTION("""COMPUTED_VALUE"""),"Forever Fruit")</f>
        <v>Forever Fruit</v>
      </c>
      <c r="E774" s="5" t="str">
        <f>IFERROR(__xludf.DUMMYFUNCTION("""COMPUTED_VALUE"""),"TipTop")</f>
        <v>TipTop</v>
      </c>
      <c r="F774" s="5" t="str">
        <f>IFERROR(__xludf.DUMMYFUNCTION("""COMPUTED_VALUE"""),"UnicornForeverFruit")</f>
        <v>UnicornForeverFruit</v>
      </c>
      <c r="G774" s="5" t="str">
        <f>IFERROR(__xludf.DUMMYFUNCTION("""COMPUTED_VALUE"""),"Planned")</f>
        <v>Planned</v>
      </c>
      <c r="H774" s="5"/>
      <c r="I774" s="5" t="str">
        <f>IFERROR(__xludf.DUMMYFUNCTION("""COMPUTED_VALUE"""),"TipTop")</f>
        <v>TipTop</v>
      </c>
      <c r="J774" s="5" t="str">
        <f>IFERROR(__xludf.DUMMYFUNCTION("""COMPUTED_VALUE"""),"JSON")</f>
        <v>JSON</v>
      </c>
      <c r="K774" s="5" t="str">
        <f>IFERROR(__xludf.DUMMYFUNCTION("""COMPUTED_VALUE"""),"Slot")</f>
        <v>Slot</v>
      </c>
      <c r="L774" s="5" t="str">
        <f>IFERROR(__xludf.DUMMYFUNCTION("""COMPUTED_VALUE""")," Clone")</f>
        <v> Clone</v>
      </c>
      <c r="M774" s="5" t="str">
        <f>IFERROR(__xludf.DUMMYFUNCTION("""COMPUTED_VALUE"""),"Fruit Island")</f>
        <v>Fruit Island</v>
      </c>
      <c r="N774" s="5"/>
      <c r="O774" s="5"/>
      <c r="P774" s="12">
        <f>IFERROR(__xludf.DUMMYFUNCTION("""COMPUTED_VALUE"""),10.75)</f>
        <v>10.75</v>
      </c>
      <c r="Q774" s="13">
        <f>IFERROR(__xludf.DUMMYFUNCTION("""COMPUTED_VALUE"""),46293.0)</f>
        <v>46293</v>
      </c>
      <c r="R774" s="13">
        <f>IFERROR(__xludf.DUMMYFUNCTION("""COMPUTED_VALUE"""),46288.0)</f>
        <v>46288</v>
      </c>
      <c r="S774" s="13">
        <f>IFERROR(__xludf.DUMMYFUNCTION("""COMPUTED_VALUE"""),46295.0)</f>
        <v>46295</v>
      </c>
      <c r="T774" s="5" t="b">
        <f>IFERROR(__xludf.DUMMYFUNCTION("""COMPUTED_VALUE"""),TRUE)</f>
        <v>1</v>
      </c>
      <c r="U774" s="5" t="str">
        <f>IFERROR(__xludf.DUMMYFUNCTION("""COMPUTED_VALUE"""),"5x3")</f>
        <v>5x3</v>
      </c>
      <c r="V774" s="5">
        <f>IFERROR(__xludf.DUMMYFUNCTION("""COMPUTED_VALUE"""),5.0)</f>
        <v>5</v>
      </c>
      <c r="W774" s="5">
        <f>IFERROR(__xludf.DUMMYFUNCTION("""COMPUTED_VALUE"""),5.0)</f>
        <v>5</v>
      </c>
      <c r="X774" s="5">
        <f>IFERROR(__xludf.DUMMYFUNCTION("""COMPUTED_VALUE"""),96.0)</f>
        <v>96</v>
      </c>
      <c r="Y774" s="5" t="str">
        <f>IFERROR(__xludf.DUMMYFUNCTION("""COMPUTED_VALUE"""),"Low")</f>
        <v>Low</v>
      </c>
      <c r="Z774" s="5">
        <f>IFERROR(__xludf.DUMMYFUNCTION("""COMPUTED_VALUE"""),11.6)</f>
        <v>11.6</v>
      </c>
      <c r="AA774" s="5">
        <f>IFERROR(__xludf.DUMMYFUNCTION("""COMPUTED_VALUE"""),1000.0)</f>
        <v>1000</v>
      </c>
      <c r="AB774" s="5"/>
      <c r="AC774" s="5"/>
      <c r="AD774" s="5" t="str">
        <f>IFERROR(__xludf.DUMMYFUNCTION("""COMPUTED_VALUE"""),"0.05/100")</f>
        <v>0.05/100</v>
      </c>
      <c r="AE774" s="5"/>
      <c r="AF774" s="5"/>
      <c r="AG774" s="8">
        <f>IFERROR(__xludf.DUMMYFUNCTION("""COMPUTED_VALUE"""),46266.64476851852)</f>
        <v>46266.64477</v>
      </c>
      <c r="AH774" s="5" t="str">
        <f>IFERROR(__xludf.DUMMYFUNCTION("""COMPUTED_VALUE"""),"selena.mihajlovic@fazi.rs")</f>
        <v>selena.mihajlovic@fazi.rs</v>
      </c>
      <c r="AI774" s="13"/>
      <c r="AJ774" s="5"/>
      <c r="AK774" s="5">
        <f>IFERROR(__xludf.DUMMYFUNCTION("""COMPUTED_VALUE"""),5.0)</f>
        <v>5</v>
      </c>
      <c r="AL774" s="5" t="str">
        <f>IFERROR(__xludf.DUMMYFUNCTION("""COMPUTED_VALUE"""),"No")</f>
        <v>No</v>
      </c>
      <c r="AM774" s="5"/>
      <c r="AN774" s="7" t="str">
        <f>IFERROR(__xludf.DUMMYFUNCTION("""COMPUTED_VALUE"""),"https://onlinegamespromo.fazi.rs/Home/IntegrationGameLaunch?moneyType=0&amp;gameName=UnicornForeverFruit&amp;platform=desktop&amp;languageCode=eng&amp;currency=EUR")</f>
        <v>https://onlinegamespromo.fazi.rs/Home/IntegrationGameLaunch?moneyType=0&amp;gameName=UnicornForeverFruit&amp;platform=desktop&amp;languageCode=eng&amp;currency=EUR</v>
      </c>
      <c r="AO774" s="5"/>
      <c r="AP774" s="5" t="str">
        <f>IFERROR(__xludf.DUMMYFUNCTION("""COMPUTED_VALUE"""),"Yes")</f>
        <v>Yes</v>
      </c>
      <c r="AQ774" s="5" t="b">
        <f>IFERROR(__xludf.DUMMYFUNCTION("""COMPUTED_VALUE"""),TRUE)</f>
        <v>1</v>
      </c>
      <c r="AR774" s="5"/>
      <c r="AS774" s="5" t="str">
        <f>IFERROR(__xludf.DUMMYFUNCTION("""COMPUTED_VALUE"""),"Forever Fruit is a timeless 5x3 classic fruit slot with 5 fixed paylines and symbols that never go out of style. Cherries, plums, bells, and lucky Sevens keep the reels glowing with familiar charm and smooth gameplay. Spin the orchard forever and chase wi"&amp;"ns of up to 1,000x your bet!")</f>
        <v>Forever Fruit is a timeless 5x3 classic fruit slot with 5 fixed paylines and symbols that never go out of style. Cherries, plums, bells, and lucky Sevens keep the reels glowing with familiar charm and smooth gameplay. Spin the orchard forever and chase wins of up to 1,000x your bet!</v>
      </c>
      <c r="AT774" s="5"/>
      <c r="AU774" s="5" t="str">
        <f>IFERROR(__xludf.DUMMYFUNCTION("""COMPUTED_VALUE"""),"Tiptop")</f>
        <v>Tiptop</v>
      </c>
      <c r="AV774" s="5"/>
      <c r="AW774" s="5"/>
      <c r="AX774" s="13">
        <f>IFERROR(__xludf.DUMMYFUNCTION("""COMPUTED_VALUE"""),46287.0)</f>
        <v>46287</v>
      </c>
      <c r="AY774" s="5"/>
      <c r="AZ774" s="5"/>
      <c r="BA774" s="5"/>
      <c r="BB774" s="5" t="b">
        <f>IFERROR(__xludf.DUMMYFUNCTION("""COMPUTED_VALUE"""),TRUE)</f>
        <v>1</v>
      </c>
      <c r="BC774" s="5" t="str">
        <f>IFERROR(__xludf.DUMMYFUNCTION("""COMPUTED_VALUE"""),"Tiptop")</f>
        <v>Tiptop</v>
      </c>
      <c r="BD774" s="7" t="str">
        <f>IFERROR(__xludf.DUMMYFUNCTION("""COMPUTED_VALUE"""),"https://gameserver-store-client-area.orbionlimited.com/Home/IntegrationGameLaunch/client-area?moneyType=0&amp;gameName=UnicornForeverFruit&amp;platform=desktop&amp;languageCode=eng&amp;currency=EUR")</f>
        <v>https://gameserver-store-client-area.orbionlimited.com/Home/IntegrationGameLaunch/client-area?moneyType=0&amp;gameName=UnicornForeverFruit&amp;platform=desktop&amp;languageCode=eng&amp;currency=EUR</v>
      </c>
      <c r="BE774" s="5" t="b">
        <f>IFERROR(__xludf.DUMMYFUNCTION("""COMPUTED_VALUE"""),TRUE)</f>
        <v>1</v>
      </c>
    </row>
    <row r="775">
      <c r="A775" s="5">
        <f>IFERROR(__xludf.DUMMYFUNCTION("""COMPUTED_VALUE"""),812.0)</f>
        <v>812</v>
      </c>
      <c r="B775" s="5">
        <f>IFERROR(__xludf.DUMMYFUNCTION("""COMPUTED_VALUE"""),5000002.0)</f>
        <v>5000002</v>
      </c>
      <c r="C775" s="5" t="str">
        <f>IFERROR(__xludf.DUMMYFUNCTION("""COMPUTED_VALUE"""),"SOKO studio")</f>
        <v>SOKO studio</v>
      </c>
      <c r="D775" s="5" t="str">
        <f>IFERROR(__xludf.DUMMYFUNCTION("""COMPUTED_VALUE"""),"Double Hot Chili")</f>
        <v>Double Hot Chili</v>
      </c>
      <c r="E775" s="5" t="str">
        <f>IFERROR(__xludf.DUMMYFUNCTION("""COMPUTED_VALUE"""),"SOKO studio")</f>
        <v>SOKO studio</v>
      </c>
      <c r="F775" s="5" t="str">
        <f>IFERROR(__xludf.DUMMYFUNCTION("""COMPUTED_VALUE"""),"SokoDoubleHotChili")</f>
        <v>SokoDoubleHotChili</v>
      </c>
      <c r="G775" s="5" t="str">
        <f>IFERROR(__xludf.DUMMYFUNCTION("""COMPUTED_VALUE"""),"Live")</f>
        <v>Live</v>
      </c>
      <c r="H775" s="5"/>
      <c r="I775" s="5" t="str">
        <f>IFERROR(__xludf.DUMMYFUNCTION("""COMPUTED_VALUE"""),"SOKO studio")</f>
        <v>SOKO studio</v>
      </c>
      <c r="J775" s="5" t="str">
        <f>IFERROR(__xludf.DUMMYFUNCTION("""COMPUTED_VALUE"""),"JSON")</f>
        <v>JSON</v>
      </c>
      <c r="K775" s="5" t="str">
        <f>IFERROR(__xludf.DUMMYFUNCTION("""COMPUTED_VALUE"""),"Slot")</f>
        <v>Slot</v>
      </c>
      <c r="L775" s="5" t="str">
        <f>IFERROR(__xludf.DUMMYFUNCTION("""COMPUTED_VALUE""")," Clone")</f>
        <v> Clone</v>
      </c>
      <c r="M775" s="5"/>
      <c r="N775" s="7" t="str">
        <f>IFERROR(__xludf.DUMMYFUNCTION("""COMPUTED_VALUE"""),"https://dicebyte.sharepoint.com/:b:/g/IQDyDKwN3M1gR4amzH0TthN7AcNPbN6DwC2M6XiCCfylpy4?e=esZJ4K")</f>
        <v>https://dicebyte.sharepoint.com/:b:/g/IQDyDKwN3M1gR4amzH0TthN7AcNPbN6DwC2M6XiCCfylpy4?e=esZJ4K</v>
      </c>
      <c r="O775" s="7" t="str">
        <f>IFERROR(__xludf.DUMMYFUNCTION("""COMPUTED_VALUE"""),"https://dicebyte.sharepoint.com/:b:/g/IQBqtyhY_ZLRQ6faRGOE-Es_AfS0vDfGoIZBB1phUqxZx48?e=bKLICK")</f>
        <v>https://dicebyte.sharepoint.com/:b:/g/IQBqtyhY_ZLRQ6faRGOE-Es_AfS0vDfGoIZBB1phUqxZx48?e=bKLICK</v>
      </c>
      <c r="P775" s="12">
        <f>IFERROR(__xludf.DUMMYFUNCTION("""COMPUTED_VALUE"""),20.0)</f>
        <v>20</v>
      </c>
      <c r="Q775" s="13">
        <f>IFERROR(__xludf.DUMMYFUNCTION("""COMPUTED_VALUE"""),46209.0)</f>
        <v>46209</v>
      </c>
      <c r="R775" s="13">
        <f>IFERROR(__xludf.DUMMYFUNCTION("""COMPUTED_VALUE"""),46211.0)</f>
        <v>46211</v>
      </c>
      <c r="S775" s="13">
        <f>IFERROR(__xludf.DUMMYFUNCTION("""COMPUTED_VALUE"""),46218.0)</f>
        <v>46218</v>
      </c>
      <c r="T775" s="5" t="b">
        <f>IFERROR(__xludf.DUMMYFUNCTION("""COMPUTED_VALUE"""),TRUE)</f>
        <v>1</v>
      </c>
      <c r="U775" s="5" t="str">
        <f>IFERROR(__xludf.DUMMYFUNCTION("""COMPUTED_VALUE"""),"5x3")</f>
        <v>5x3</v>
      </c>
      <c r="V775" s="5">
        <f>IFERROR(__xludf.DUMMYFUNCTION("""COMPUTED_VALUE"""),10.0)</f>
        <v>10</v>
      </c>
      <c r="W775" s="5">
        <f>IFERROR(__xludf.DUMMYFUNCTION("""COMPUTED_VALUE"""),10.0)</f>
        <v>10</v>
      </c>
      <c r="X775" s="5">
        <f>IFERROR(__xludf.DUMMYFUNCTION("""COMPUTED_VALUE"""),94.91)</f>
        <v>94.91</v>
      </c>
      <c r="Y775" s="5" t="str">
        <f>IFERROR(__xludf.DUMMYFUNCTION("""COMPUTED_VALUE"""),"High")</f>
        <v>High</v>
      </c>
      <c r="Z775" s="5">
        <f>IFERROR(__xludf.DUMMYFUNCTION("""COMPUTED_VALUE"""),9.5)</f>
        <v>9.5</v>
      </c>
      <c r="AA775" s="5">
        <f>IFERROR(__xludf.DUMMYFUNCTION("""COMPUTED_VALUE"""),2666.0)</f>
        <v>2666</v>
      </c>
      <c r="AB775" s="5"/>
      <c r="AC775" s="5" t="str">
        <f>IFERROR(__xludf.DUMMYFUNCTION("""COMPUTED_VALUE"""),"Wild Symbol, Expanding Wild, Scatter")</f>
        <v>Wild Symbol, Expanding Wild, Scatter</v>
      </c>
      <c r="AD775" s="5" t="str">
        <f>IFERROR(__xludf.DUMMYFUNCTION("""COMPUTED_VALUE"""),"0.10/100")</f>
        <v>0.10/100</v>
      </c>
      <c r="AE775" s="5"/>
      <c r="AF775" s="5"/>
      <c r="AG775" s="8">
        <f>IFERROR(__xludf.DUMMYFUNCTION("""COMPUTED_VALUE"""),46220.511770833335)</f>
        <v>46220.51177</v>
      </c>
      <c r="AH775" s="5" t="str">
        <f>IFERROR(__xludf.DUMMYFUNCTION("""COMPUTED_VALUE"""),"vanja.svetska@fazi.rs")</f>
        <v>vanja.svetska@fazi.rs</v>
      </c>
      <c r="AI775" s="13"/>
      <c r="AJ775" s="5"/>
      <c r="AK775" s="5">
        <f>IFERROR(__xludf.DUMMYFUNCTION("""COMPUTED_VALUE"""),10.0)</f>
        <v>10</v>
      </c>
      <c r="AL775" s="5" t="str">
        <f>IFERROR(__xludf.DUMMYFUNCTION("""COMPUTED_VALUE"""),"No")</f>
        <v>No</v>
      </c>
      <c r="AM775" s="5" t="str">
        <f>IFERROR(__xludf.DUMMYFUNCTION("""COMPUTED_VALUE"""),"No")</f>
        <v>No</v>
      </c>
      <c r="AN775" s="7" t="str">
        <f>IFERROR(__xludf.DUMMYFUNCTION("""COMPUTED_VALUE"""),"https://rgs-double-hot-chili.soko.games/?demo=True&amp;locale=eng")</f>
        <v>https://rgs-double-hot-chili.soko.games/?demo=True&amp;locale=eng</v>
      </c>
      <c r="AO775" s="5" t="str">
        <f>IFERROR(__xludf.DUMMYFUNCTION("""COMPUTED_VALUE"""),"No")</f>
        <v>No</v>
      </c>
      <c r="AP775" s="5" t="str">
        <f>IFERROR(__xludf.DUMMYFUNCTION("""COMPUTED_VALUE"""),"No")</f>
        <v>No</v>
      </c>
      <c r="AQ775" s="5" t="b">
        <f>IFERROR(__xludf.DUMMYFUNCTION("""COMPUTED_VALUE"""),TRUE)</f>
        <v>1</v>
      </c>
      <c r="AR775" s="5"/>
      <c r="AS775" s="5" t="str">
        <f>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AT775" s="5"/>
      <c r="AU775" s="5" t="str">
        <f>IFERROR(__xludf.DUMMYFUNCTION("""COMPUTED_VALUE"""),"SOKO studio")</f>
        <v>SOKO studio</v>
      </c>
      <c r="AV775" s="5">
        <f>IFERROR(__xludf.DUMMYFUNCTION("""COMPUTED_VALUE"""),1.0)</f>
        <v>1</v>
      </c>
      <c r="AW775" s="5"/>
      <c r="AX775" s="13">
        <f>IFERROR(__xludf.DUMMYFUNCTION("""COMPUTED_VALUE"""),46203.0)</f>
        <v>46203</v>
      </c>
      <c r="AY775" s="5"/>
      <c r="AZ775" s="5"/>
      <c r="BA775" s="5"/>
      <c r="BB775" s="5" t="b">
        <f>IFERROR(__xludf.DUMMYFUNCTION("""COMPUTED_VALUE"""),TRUE)</f>
        <v>1</v>
      </c>
      <c r="BC775" s="5" t="str">
        <f>IFERROR(__xludf.DUMMYFUNCTION("""COMPUTED_VALUE"""),"SOKO studio")</f>
        <v>SOKO studio</v>
      </c>
      <c r="BD775" s="7" t="str">
        <f>IFERROR(__xludf.DUMMYFUNCTION("""COMPUTED_VALUE"""),"https://rgs-double-hot-chili.soko.games/?demo=True&amp;locale=eng")</f>
        <v>https://rgs-double-hot-chili.soko.games/?demo=True&amp;locale=eng</v>
      </c>
      <c r="BE775" s="5" t="b">
        <f>IFERROR(__xludf.DUMMYFUNCTION("""COMPUTED_VALUE"""),TRUE)</f>
        <v>1</v>
      </c>
    </row>
    <row r="776">
      <c r="A776" s="5">
        <f>IFERROR(__xludf.DUMMYFUNCTION("""COMPUTED_VALUE"""),813.0)</f>
        <v>813</v>
      </c>
      <c r="B776" s="5">
        <f>IFERROR(__xludf.DUMMYFUNCTION("""COMPUTED_VALUE"""),5000003.0)</f>
        <v>5000003</v>
      </c>
      <c r="C776" s="5" t="str">
        <f>IFERROR(__xludf.DUMMYFUNCTION("""COMPUTED_VALUE"""),"SOKO studio")</f>
        <v>SOKO studio</v>
      </c>
      <c r="D776" s="5" t="str">
        <f>IFERROR(__xludf.DUMMYFUNCTION("""COMPUTED_VALUE"""),"Golden Sheriff Wilds")</f>
        <v>Golden Sheriff Wilds</v>
      </c>
      <c r="E776" s="5" t="str">
        <f>IFERROR(__xludf.DUMMYFUNCTION("""COMPUTED_VALUE"""),"SOKO studio")</f>
        <v>SOKO studio</v>
      </c>
      <c r="F776" s="5" t="str">
        <f>IFERROR(__xludf.DUMMYFUNCTION("""COMPUTED_VALUE"""),"SokoGoldenSheriffWilds")</f>
        <v>SokoGoldenSheriffWilds</v>
      </c>
      <c r="G776" s="5" t="str">
        <f>IFERROR(__xludf.DUMMYFUNCTION("""COMPUTED_VALUE"""),"Live")</f>
        <v>Live</v>
      </c>
      <c r="H776" s="5"/>
      <c r="I776" s="5"/>
      <c r="J776" s="5" t="str">
        <f>IFERROR(__xludf.DUMMYFUNCTION("""COMPUTED_VALUE"""),"JSON")</f>
        <v>JSON</v>
      </c>
      <c r="K776" s="5" t="str">
        <f>IFERROR(__xludf.DUMMYFUNCTION("""COMPUTED_VALUE"""),"Slot")</f>
        <v>Slot</v>
      </c>
      <c r="L776" s="5"/>
      <c r="M776" s="5"/>
      <c r="N776" s="5"/>
      <c r="O776" s="5"/>
      <c r="P776" s="12"/>
      <c r="Q776" s="13">
        <f>IFERROR(__xludf.DUMMYFUNCTION("""COMPUTED_VALUE"""),46223.0)</f>
        <v>46223</v>
      </c>
      <c r="R776" s="13">
        <f>IFERROR(__xludf.DUMMYFUNCTION("""COMPUTED_VALUE"""),46217.0)</f>
        <v>46217</v>
      </c>
      <c r="S776" s="13">
        <f>IFERROR(__xludf.DUMMYFUNCTION("""COMPUTED_VALUE"""),46224.0)</f>
        <v>46224</v>
      </c>
      <c r="T776" s="5" t="b">
        <f>IFERROR(__xludf.DUMMYFUNCTION("""COMPUTED_VALUE"""),TRUE)</f>
        <v>1</v>
      </c>
      <c r="U776" s="5"/>
      <c r="V776" s="5"/>
      <c r="W776" s="5"/>
      <c r="X776" s="5"/>
      <c r="Y776" s="5"/>
      <c r="Z776" s="5"/>
      <c r="AA776" s="5"/>
      <c r="AB776" s="5"/>
      <c r="AC776" s="5"/>
      <c r="AD776" s="5"/>
      <c r="AE776" s="5"/>
      <c r="AF776" s="5"/>
      <c r="AG776" s="8">
        <f>IFERROR(__xludf.DUMMYFUNCTION("""COMPUTED_VALUE"""),46226.50729166667)</f>
        <v>46226.50729</v>
      </c>
      <c r="AH776" s="5" t="str">
        <f>IFERROR(__xludf.DUMMYFUNCTION("""COMPUTED_VALUE"""),"vanja.svetska@fazi.rs")</f>
        <v>vanja.svetska@fazi.rs</v>
      </c>
      <c r="AI776" s="13"/>
      <c r="AJ776" s="5"/>
      <c r="AK776" s="5"/>
      <c r="AL776" s="5"/>
      <c r="AM776" s="5"/>
      <c r="AN776" s="5"/>
      <c r="AO776" s="5"/>
      <c r="AP776" s="5"/>
      <c r="AQ776" s="5"/>
      <c r="AR776" s="5"/>
      <c r="AS776" s="5"/>
      <c r="AT776" s="5"/>
      <c r="AU776" s="5" t="str">
        <f>IFERROR(__xludf.DUMMYFUNCTION("""COMPUTED_VALUE"""),"SOKO studio")</f>
        <v>SOKO studio</v>
      </c>
      <c r="AV776" s="5"/>
      <c r="AW776" s="5"/>
      <c r="AX776" s="13">
        <f>IFERROR(__xludf.DUMMYFUNCTION("""COMPUTED_VALUE"""),46217.0)</f>
        <v>46217</v>
      </c>
      <c r="AY776" s="5"/>
      <c r="AZ776" s="5"/>
      <c r="BA776" s="5"/>
      <c r="BB776" s="5"/>
      <c r="BC776" s="5" t="str">
        <f>IFERROR(__xludf.DUMMYFUNCTION("""COMPUTED_VALUE"""),"SOKO studio")</f>
        <v>SOKO studio</v>
      </c>
      <c r="BD776" s="5"/>
      <c r="BE776" s="5"/>
    </row>
    <row r="777">
      <c r="A777" s="5">
        <f>IFERROR(__xludf.DUMMYFUNCTION("""COMPUTED_VALUE"""),814.0)</f>
        <v>814</v>
      </c>
      <c r="B777" s="5">
        <f>IFERROR(__xludf.DUMMYFUNCTION("""COMPUTED_VALUE"""),5000004.0)</f>
        <v>5000004</v>
      </c>
      <c r="C777" s="5" t="str">
        <f>IFERROR(__xludf.DUMMYFUNCTION("""COMPUTED_VALUE"""),"SOKO studio")</f>
        <v>SOKO studio</v>
      </c>
      <c r="D777" s="5" t="str">
        <f>IFERROR(__xludf.DUMMYFUNCTION("""COMPUTED_VALUE"""),"Lucky Crown 5")</f>
        <v>Lucky Crown 5</v>
      </c>
      <c r="E777" s="5" t="str">
        <f>IFERROR(__xludf.DUMMYFUNCTION("""COMPUTED_VALUE"""),"SOKO studio")</f>
        <v>SOKO studio</v>
      </c>
      <c r="F777" s="5" t="str">
        <f>IFERROR(__xludf.DUMMYFUNCTION("""COMPUTED_VALUE"""),"SokoLuckyCrown5")</f>
        <v>SokoLuckyCrown5</v>
      </c>
      <c r="G777" s="5" t="str">
        <f>IFERROR(__xludf.DUMMYFUNCTION("""COMPUTED_VALUE"""),"Live")</f>
        <v>Live</v>
      </c>
      <c r="H777" s="5"/>
      <c r="I777" s="5"/>
      <c r="J777" s="5" t="str">
        <f>IFERROR(__xludf.DUMMYFUNCTION("""COMPUTED_VALUE"""),"JSON")</f>
        <v>JSON</v>
      </c>
      <c r="K777" s="5" t="str">
        <f>IFERROR(__xludf.DUMMYFUNCTION("""COMPUTED_VALUE"""),"Slot")</f>
        <v>Slot</v>
      </c>
      <c r="L777" s="5"/>
      <c r="M777" s="5"/>
      <c r="N777" s="5"/>
      <c r="O777" s="5"/>
      <c r="P777" s="12"/>
      <c r="Q777" s="13">
        <f>IFERROR(__xludf.DUMMYFUNCTION("""COMPUTED_VALUE"""),46223.0)</f>
        <v>46223</v>
      </c>
      <c r="R777" s="13">
        <f>IFERROR(__xludf.DUMMYFUNCTION("""COMPUTED_VALUE"""),46225.0)</f>
        <v>46225</v>
      </c>
      <c r="S777" s="13">
        <f>IFERROR(__xludf.DUMMYFUNCTION("""COMPUTED_VALUE"""),46232.0)</f>
        <v>46232</v>
      </c>
      <c r="T777" s="5" t="b">
        <f>IFERROR(__xludf.DUMMYFUNCTION("""COMPUTED_VALUE"""),TRUE)</f>
        <v>1</v>
      </c>
      <c r="U777" s="5"/>
      <c r="V777" s="5"/>
      <c r="W777" s="5"/>
      <c r="X777" s="5"/>
      <c r="Y777" s="5"/>
      <c r="Z777" s="5"/>
      <c r="AA777" s="5"/>
      <c r="AB777" s="5"/>
      <c r="AC777" s="5"/>
      <c r="AD777" s="5"/>
      <c r="AE777" s="5"/>
      <c r="AF777" s="5"/>
      <c r="AG777" s="8">
        <f>IFERROR(__xludf.DUMMYFUNCTION("""COMPUTED_VALUE"""),46237.541909722226)</f>
        <v>46237.54191</v>
      </c>
      <c r="AH777" s="5" t="str">
        <f>IFERROR(__xludf.DUMMYFUNCTION("""COMPUTED_VALUE"""),"vanja.svetska@fazi.rs")</f>
        <v>vanja.svetska@fazi.rs</v>
      </c>
      <c r="AI777" s="13"/>
      <c r="AJ777" s="5"/>
      <c r="AK777" s="5"/>
      <c r="AL777" s="5"/>
      <c r="AM777" s="5"/>
      <c r="AN777" s="5"/>
      <c r="AO777" s="5"/>
      <c r="AP777" s="5"/>
      <c r="AQ777" s="5"/>
      <c r="AR777" s="5"/>
      <c r="AS777" s="5"/>
      <c r="AT777" s="5"/>
      <c r="AU777" s="5" t="str">
        <f>IFERROR(__xludf.DUMMYFUNCTION("""COMPUTED_VALUE"""),"SOKO studio")</f>
        <v>SOKO studio</v>
      </c>
      <c r="AV777" s="5"/>
      <c r="AW777" s="5"/>
      <c r="AX777" s="13">
        <f>IFERROR(__xludf.DUMMYFUNCTION("""COMPUTED_VALUE"""),46217.0)</f>
        <v>46217</v>
      </c>
      <c r="AY777" s="5"/>
      <c r="AZ777" s="5"/>
      <c r="BA777" s="5"/>
      <c r="BB777" s="5"/>
      <c r="BC777" s="5" t="str">
        <f>IFERROR(__xludf.DUMMYFUNCTION("""COMPUTED_VALUE"""),"SOKO studio")</f>
        <v>SOKO studio</v>
      </c>
      <c r="BD777" s="5"/>
      <c r="BE777" s="5"/>
    </row>
    <row r="778">
      <c r="A778" s="5">
        <f>IFERROR(__xludf.DUMMYFUNCTION("""COMPUTED_VALUE"""),815.0)</f>
        <v>815</v>
      </c>
      <c r="B778" s="5">
        <f>IFERROR(__xludf.DUMMYFUNCTION("""COMPUTED_VALUE"""),5000005.0)</f>
        <v>5000005</v>
      </c>
      <c r="C778" s="5" t="str">
        <f>IFERROR(__xludf.DUMMYFUNCTION("""COMPUTED_VALUE"""),"SOKO studio")</f>
        <v>SOKO studio</v>
      </c>
      <c r="D778" s="5" t="str">
        <f>IFERROR(__xludf.DUMMYFUNCTION("""COMPUTED_VALUE"""),"Royal Jewels Fortune Deluxe")</f>
        <v>Royal Jewels Fortune Deluxe</v>
      </c>
      <c r="E778" s="5" t="str">
        <f>IFERROR(__xludf.DUMMYFUNCTION("""COMPUTED_VALUE"""),"SOKO studio")</f>
        <v>SOKO studio</v>
      </c>
      <c r="F778" s="5" t="str">
        <f>IFERROR(__xludf.DUMMYFUNCTION("""COMPUTED_VALUE"""),"SokoRoyalJewelsFortuneDeluxe")</f>
        <v>SokoRoyalJewelsFortuneDeluxe</v>
      </c>
      <c r="G778" s="5" t="str">
        <f>IFERROR(__xludf.DUMMYFUNCTION("""COMPUTED_VALUE"""),"Live")</f>
        <v>Live</v>
      </c>
      <c r="H778" s="5"/>
      <c r="I778" s="5" t="str">
        <f>IFERROR(__xludf.DUMMYFUNCTION("""COMPUTED_VALUE"""),"SOKO studio")</f>
        <v>SOKO studio</v>
      </c>
      <c r="J778" s="5" t="str">
        <f>IFERROR(__xludf.DUMMYFUNCTION("""COMPUTED_VALUE"""),"JSON")</f>
        <v>JSON</v>
      </c>
      <c r="K778" s="5" t="str">
        <f>IFERROR(__xludf.DUMMYFUNCTION("""COMPUTED_VALUE"""),"Slot")</f>
        <v>Slot</v>
      </c>
      <c r="L778" s="5" t="str">
        <f>IFERROR(__xludf.DUMMYFUNCTION("""COMPUTED_VALUE"""),"Master")</f>
        <v>Master</v>
      </c>
      <c r="M778" s="5"/>
      <c r="N778" s="7" t="str">
        <f>IFERROR(__xludf.DUMMYFUNCTION("""COMPUTED_VALUE"""),"https://dicebyte.sharepoint.com/:b:/g/IQBvJ2CS3yR_QoURHTzPMA3aAQRvpUy2WDetN09DdU0VOac?e=doH5cg")</f>
        <v>https://dicebyte.sharepoint.com/:b:/g/IQBvJ2CS3yR_QoURHTzPMA3aAQRvpUy2WDetN09DdU0VOac?e=doH5cg</v>
      </c>
      <c r="O778" s="7" t="str">
        <f>IFERROR(__xludf.DUMMYFUNCTION("""COMPUTED_VALUE"""),"https://dicebyte.sharepoint.com/:b:/g/IQBk427fhJxFRqJu3RDzN5j7AWRQQ5sgDQ-UUgTcLVfZu9I?e=kSsSNb")</f>
        <v>https://dicebyte.sharepoint.com/:b:/g/IQBk427fhJxFRqJu3RDzN5j7AWRQQ5sgDQ-UUgTcLVfZu9I?e=kSsSNb</v>
      </c>
      <c r="P778" s="12">
        <f>IFERROR(__xludf.DUMMYFUNCTION("""COMPUTED_VALUE"""),21.06)</f>
        <v>21.06</v>
      </c>
      <c r="Q778" s="13">
        <f>IFERROR(__xludf.DUMMYFUNCTION("""COMPUTED_VALUE"""),46237.0)</f>
        <v>46237</v>
      </c>
      <c r="R778" s="13">
        <f>IFERROR(__xludf.DUMMYFUNCTION("""COMPUTED_VALUE"""),46233.0)</f>
        <v>46233</v>
      </c>
      <c r="S778" s="13">
        <f>IFERROR(__xludf.DUMMYFUNCTION("""COMPUTED_VALUE"""),46240.0)</f>
        <v>46240</v>
      </c>
      <c r="T778" s="5" t="b">
        <f>IFERROR(__xludf.DUMMYFUNCTION("""COMPUTED_VALUE"""),TRUE)</f>
        <v>1</v>
      </c>
      <c r="U778" s="5" t="str">
        <f>IFERROR(__xludf.DUMMYFUNCTION("""COMPUTED_VALUE"""),"5x3")</f>
        <v>5x3</v>
      </c>
      <c r="V778" s="5">
        <f>IFERROR(__xludf.DUMMYFUNCTION("""COMPUTED_VALUE"""),10.0)</f>
        <v>10</v>
      </c>
      <c r="W778" s="5">
        <f>IFERROR(__xludf.DUMMYFUNCTION("""COMPUTED_VALUE"""),10.0)</f>
        <v>10</v>
      </c>
      <c r="X778" s="5">
        <f>IFERROR(__xludf.DUMMYFUNCTION("""COMPUTED_VALUE"""),94.91)</f>
        <v>94.91</v>
      </c>
      <c r="Y778" s="5" t="str">
        <f>IFERROR(__xludf.DUMMYFUNCTION("""COMPUTED_VALUE"""),"High")</f>
        <v>High</v>
      </c>
      <c r="Z778" s="5">
        <f>IFERROR(__xludf.DUMMYFUNCTION("""COMPUTED_VALUE"""),9.5)</f>
        <v>9.5</v>
      </c>
      <c r="AA778" s="5">
        <f>IFERROR(__xludf.DUMMYFUNCTION("""COMPUTED_VALUE"""),2666.0)</f>
        <v>2666</v>
      </c>
      <c r="AB778" s="5"/>
      <c r="AC778" s="5" t="str">
        <f>IFERROR(__xludf.DUMMYFUNCTION("""COMPUTED_VALUE"""),"Expanding Wild, Wild Symbol")</f>
        <v>Expanding Wild, Wild Symbol</v>
      </c>
      <c r="AD778" s="5" t="str">
        <f>IFERROR(__xludf.DUMMYFUNCTION("""COMPUTED_VALUE"""),"0.05€/50€")</f>
        <v>0.05€/50€</v>
      </c>
      <c r="AE778" s="5"/>
      <c r="AF778" s="5"/>
      <c r="AG778" s="8">
        <f>IFERROR(__xludf.DUMMYFUNCTION("""COMPUTED_VALUE"""),46252.44329861111)</f>
        <v>46252.4433</v>
      </c>
      <c r="AH778" s="5" t="str">
        <f>IFERROR(__xludf.DUMMYFUNCTION("""COMPUTED_VALUE"""),"vanja.svetska@fazi.rs")</f>
        <v>vanja.svetska@fazi.rs</v>
      </c>
      <c r="AI778" s="13"/>
      <c r="AJ778" s="5"/>
      <c r="AK778" s="5">
        <f>IFERROR(__xludf.DUMMYFUNCTION("""COMPUTED_VALUE"""),10.0)</f>
        <v>10</v>
      </c>
      <c r="AL778" s="5" t="str">
        <f>IFERROR(__xludf.DUMMYFUNCTION("""COMPUTED_VALUE"""),"No")</f>
        <v>No</v>
      </c>
      <c r="AM778" s="5" t="str">
        <f>IFERROR(__xludf.DUMMYFUNCTION("""COMPUTED_VALUE"""),"No")</f>
        <v>No</v>
      </c>
      <c r="AN778" s="7" t="str">
        <f>IFERROR(__xludf.DUMMYFUNCTION("""COMPUTED_VALUE"""),"https://rgs-royal-jewels-fortune-deluxe.soko.games/?demo=True&amp;locale=eng")</f>
        <v>https://rgs-royal-jewels-fortune-deluxe.soko.games/?demo=True&amp;locale=eng</v>
      </c>
      <c r="AO778" s="5" t="str">
        <f>IFERROR(__xludf.DUMMYFUNCTION("""COMPUTED_VALUE"""),"No")</f>
        <v>No</v>
      </c>
      <c r="AP778" s="5" t="str">
        <f>IFERROR(__xludf.DUMMYFUNCTION("""COMPUTED_VALUE"""),"No")</f>
        <v>No</v>
      </c>
      <c r="AQ778" s="5" t="b">
        <f>IFERROR(__xludf.DUMMYFUNCTION("""COMPUTED_VALUE"""),TRUE)</f>
        <v>1</v>
      </c>
      <c r="AR778" s="5"/>
      <c r="AS778" s="5" t="str">
        <f>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AT778" s="5"/>
      <c r="AU778" s="5" t="str">
        <f>IFERROR(__xludf.DUMMYFUNCTION("""COMPUTED_VALUE"""),"SOKO studio")</f>
        <v>SOKO studio</v>
      </c>
      <c r="AV778" s="5">
        <f>IFERROR(__xludf.DUMMYFUNCTION("""COMPUTED_VALUE"""),1.0)</f>
        <v>1</v>
      </c>
      <c r="AW778" s="5"/>
      <c r="AX778" s="13">
        <f>IFERROR(__xludf.DUMMYFUNCTION("""COMPUTED_VALUE"""),46231.0)</f>
        <v>46231</v>
      </c>
      <c r="AY778" s="5"/>
      <c r="AZ778" s="5"/>
      <c r="BA778" s="5"/>
      <c r="BB778" s="5" t="b">
        <f>IFERROR(__xludf.DUMMYFUNCTION("""COMPUTED_VALUE"""),TRUE)</f>
        <v>1</v>
      </c>
      <c r="BC778" s="5" t="str">
        <f>IFERROR(__xludf.DUMMYFUNCTION("""COMPUTED_VALUE"""),"SOKO studio")</f>
        <v>SOKO studio</v>
      </c>
      <c r="BD778" s="7" t="str">
        <f>IFERROR(__xludf.DUMMYFUNCTION("""COMPUTED_VALUE"""),"https://rgs-royal-jewels-fortune-deluxe.soko.games/?demo=True&amp;locale=eng")</f>
        <v>https://rgs-royal-jewels-fortune-deluxe.soko.games/?demo=True&amp;locale=eng</v>
      </c>
      <c r="BE778" s="5" t="b">
        <f>IFERROR(__xludf.DUMMYFUNCTION("""COMPUTED_VALUE"""),TRUE)</f>
        <v>1</v>
      </c>
    </row>
    <row r="779">
      <c r="A779" s="5">
        <f>IFERROR(__xludf.DUMMYFUNCTION("""COMPUTED_VALUE"""),816.0)</f>
        <v>816</v>
      </c>
      <c r="B779" s="5">
        <f>IFERROR(__xludf.DUMMYFUNCTION("""COMPUTED_VALUE"""),5000007.0)</f>
        <v>5000007</v>
      </c>
      <c r="C779" s="5" t="str">
        <f>IFERROR(__xludf.DUMMYFUNCTION("""COMPUTED_VALUE"""),"SOKO studio")</f>
        <v>SOKO studio</v>
      </c>
      <c r="D779" s="5" t="str">
        <f>IFERROR(__xludf.DUMMYFUNCTION("""COMPUTED_VALUE"""),"Triple Hot Chili")</f>
        <v>Triple Hot Chili</v>
      </c>
      <c r="E779" s="5" t="str">
        <f>IFERROR(__xludf.DUMMYFUNCTION("""COMPUTED_VALUE"""),"SOKO studio")</f>
        <v>SOKO studio</v>
      </c>
      <c r="F779" s="5" t="str">
        <f>IFERROR(__xludf.DUMMYFUNCTION("""COMPUTED_VALUE"""),"SokoTripleHotChili")</f>
        <v>SokoTripleHotChili</v>
      </c>
      <c r="G779" s="5" t="str">
        <f>IFERROR(__xludf.DUMMYFUNCTION("""COMPUTED_VALUE"""),"Live")</f>
        <v>Live</v>
      </c>
      <c r="H779" s="5"/>
      <c r="I779" s="5" t="str">
        <f>IFERROR(__xludf.DUMMYFUNCTION("""COMPUTED_VALUE"""),"SOKO studio")</f>
        <v>SOKO studio</v>
      </c>
      <c r="J779" s="5" t="str">
        <f>IFERROR(__xludf.DUMMYFUNCTION("""COMPUTED_VALUE"""),"JSON")</f>
        <v>JSON</v>
      </c>
      <c r="K779" s="5" t="str">
        <f>IFERROR(__xludf.DUMMYFUNCTION("""COMPUTED_VALUE"""),"Slot")</f>
        <v>Slot</v>
      </c>
      <c r="L779" s="5" t="str">
        <f>IFERROR(__xludf.DUMMYFUNCTION("""COMPUTED_VALUE""")," Variant")</f>
        <v> Variant</v>
      </c>
      <c r="M779" s="5"/>
      <c r="N779" s="7" t="str">
        <f>IFERROR(__xludf.DUMMYFUNCTION("""COMPUTED_VALUE"""),"https://dicebyte.sharepoint.com/:b:/g/IQCHrBaDtNW6SY9meOuB0QHAAeYCUHnbl1VakZBTKIbsM_I?e=9KynKr")</f>
        <v>https://dicebyte.sharepoint.com/:b:/g/IQCHrBaDtNW6SY9meOuB0QHAAeYCUHnbl1VakZBTKIbsM_I?e=9KynKr</v>
      </c>
      <c r="O779" s="7" t="str">
        <f>IFERROR(__xludf.DUMMYFUNCTION("""COMPUTED_VALUE"""),"https://dicebyte.sharepoint.com/:b:/g/IQCC8uYJtZDvRJaEqpWpkn58Aayt4F9R93WnyT7KZlmtEAc?e=IlxvAv")</f>
        <v>https://dicebyte.sharepoint.com/:b:/g/IQCC8uYJtZDvRJaEqpWpkn58Aayt4F9R93WnyT7KZlmtEAc?e=IlxvAv</v>
      </c>
      <c r="P779" s="12">
        <f>IFERROR(__xludf.DUMMYFUNCTION("""COMPUTED_VALUE"""),29.0)</f>
        <v>29</v>
      </c>
      <c r="Q779" s="13">
        <f>IFERROR(__xludf.DUMMYFUNCTION("""COMPUTED_VALUE"""),46251.0)</f>
        <v>46251</v>
      </c>
      <c r="R779" s="13">
        <f>IFERROR(__xludf.DUMMYFUNCTION("""COMPUTED_VALUE"""),46247.0)</f>
        <v>46247</v>
      </c>
      <c r="S779" s="13">
        <f>IFERROR(__xludf.DUMMYFUNCTION("""COMPUTED_VALUE"""),46254.0)</f>
        <v>46254</v>
      </c>
      <c r="T779" s="5" t="b">
        <f>IFERROR(__xludf.DUMMYFUNCTION("""COMPUTED_VALUE"""),TRUE)</f>
        <v>1</v>
      </c>
      <c r="U779" s="5" t="str">
        <f>IFERROR(__xludf.DUMMYFUNCTION("""COMPUTED_VALUE"""),"5x3")</f>
        <v>5x3</v>
      </c>
      <c r="V779" s="5">
        <f>IFERROR(__xludf.DUMMYFUNCTION("""COMPUTED_VALUE"""),5.0)</f>
        <v>5</v>
      </c>
      <c r="W779" s="5">
        <f>IFERROR(__xludf.DUMMYFUNCTION("""COMPUTED_VALUE"""),5.0)</f>
        <v>5</v>
      </c>
      <c r="X779" s="5">
        <f>IFERROR(__xludf.DUMMYFUNCTION("""COMPUTED_VALUE"""),95.05)</f>
        <v>95.05</v>
      </c>
      <c r="Y779" s="5" t="str">
        <f>IFERROR(__xludf.DUMMYFUNCTION("""COMPUTED_VALUE"""),"High")</f>
        <v>High</v>
      </c>
      <c r="Z779" s="5">
        <f>IFERROR(__xludf.DUMMYFUNCTION("""COMPUTED_VALUE"""),10.78)</f>
        <v>10.78</v>
      </c>
      <c r="AA779" s="5">
        <f>IFERROR(__xludf.DUMMYFUNCTION("""COMPUTED_VALUE"""),2525.0)</f>
        <v>2525</v>
      </c>
      <c r="AB779" s="5"/>
      <c r="AC779" s="5" t="str">
        <f>IFERROR(__xludf.DUMMYFUNCTION("""COMPUTED_VALUE"""),"Scatter, Expanding Wild, Wild Multiplier, Wild Symbol")</f>
        <v>Scatter, Expanding Wild, Wild Multiplier, Wild Symbol</v>
      </c>
      <c r="AD779" s="5" t="str">
        <f>IFERROR(__xludf.DUMMYFUNCTION("""COMPUTED_VALUE"""),"0.10/100")</f>
        <v>0.10/100</v>
      </c>
      <c r="AE779" s="5"/>
      <c r="AF779" s="5"/>
      <c r="AG779" s="8">
        <f>IFERROR(__xludf.DUMMYFUNCTION("""COMPUTED_VALUE"""),46261.589108796295)</f>
        <v>46261.58911</v>
      </c>
      <c r="AH779" s="5" t="str">
        <f>IFERROR(__xludf.DUMMYFUNCTION("""COMPUTED_VALUE"""),"vanja.svetska@fazi.rs")</f>
        <v>vanja.svetska@fazi.rs</v>
      </c>
      <c r="AI779" s="13"/>
      <c r="AJ779" s="5"/>
      <c r="AK779" s="5">
        <f>IFERROR(__xludf.DUMMYFUNCTION("""COMPUTED_VALUE"""),5.0)</f>
        <v>5</v>
      </c>
      <c r="AL779" s="5" t="str">
        <f>IFERROR(__xludf.DUMMYFUNCTION("""COMPUTED_VALUE"""),"No")</f>
        <v>No</v>
      </c>
      <c r="AM779" s="5" t="str">
        <f>IFERROR(__xludf.DUMMYFUNCTION("""COMPUTED_VALUE"""),"No")</f>
        <v>No</v>
      </c>
      <c r="AN779" s="5" t="str">
        <f>IFERROR(__xludf.DUMMYFUNCTION("""COMPUTED_VALUE"""),"rgs-triple-hot-chili.soko.games/?demo=True&amp;locale=eng")</f>
        <v>rgs-triple-hot-chili.soko.games/?demo=True&amp;locale=eng</v>
      </c>
      <c r="AO779" s="5" t="str">
        <f>IFERROR(__xludf.DUMMYFUNCTION("""COMPUTED_VALUE"""),"No")</f>
        <v>No</v>
      </c>
      <c r="AP779" s="5" t="str">
        <f>IFERROR(__xludf.DUMMYFUNCTION("""COMPUTED_VALUE"""),"No")</f>
        <v>No</v>
      </c>
      <c r="AQ779" s="5" t="b">
        <f>IFERROR(__xludf.DUMMYFUNCTION("""COMPUTED_VALUE"""),TRUE)</f>
        <v>1</v>
      </c>
      <c r="AR779" s="5"/>
      <c r="AS779" s="5" t="str">
        <f>IFERROR(__xludf.DUMMYFUNCTION("""COMPUTED_VALUE"""),"Triple Hot Chili is a red-hot fruit slot where classic reels meet three-alarm heat. Set on a 5x3 grid with 5 paylines, the game features three multiplying expanding wilds on the 3rd reel, each carrying a x2, x3 or x5 multiplier. With juicy fruits, lucky s"&amp;"evens and sizzling chili sauce wilds, every spin turns up the temperature.")</f>
        <v>Triple Hot Chili is a red-hot fruit slot where classic reels meet three-alarm heat. Set on a 5x3 grid with 5 paylines, the game features three multiplying expanding wilds on the 3rd reel, each carrying a x2, x3 or x5 multiplier. With juicy fruits, lucky sevens and sizzling chili sauce wilds, every spin turns up the temperature.</v>
      </c>
      <c r="AT779" s="5"/>
      <c r="AU779" s="5" t="str">
        <f>IFERROR(__xludf.DUMMYFUNCTION("""COMPUTED_VALUE"""),"SOKO studio")</f>
        <v>SOKO studio</v>
      </c>
      <c r="AV779" s="5">
        <f>IFERROR(__xludf.DUMMYFUNCTION("""COMPUTED_VALUE"""),1.0)</f>
        <v>1</v>
      </c>
      <c r="AW779" s="5"/>
      <c r="AX779" s="13">
        <f>IFERROR(__xludf.DUMMYFUNCTION("""COMPUTED_VALUE"""),46245.0)</f>
        <v>46245</v>
      </c>
      <c r="AY779" s="5"/>
      <c r="AZ779" s="5"/>
      <c r="BA779" s="5"/>
      <c r="BB779" s="5" t="b">
        <f>IFERROR(__xludf.DUMMYFUNCTION("""COMPUTED_VALUE"""),TRUE)</f>
        <v>1</v>
      </c>
      <c r="BC779" s="5" t="str">
        <f>IFERROR(__xludf.DUMMYFUNCTION("""COMPUTED_VALUE"""),"SOKO studio")</f>
        <v>SOKO studio</v>
      </c>
      <c r="BD779" s="5" t="str">
        <f>IFERROR(__xludf.DUMMYFUNCTION("""COMPUTED_VALUE"""),"rgs-triple-hot-chili.soko.games/?demo=True&amp;locale=eng")</f>
        <v>rgs-triple-hot-chili.soko.games/?demo=True&amp;locale=eng</v>
      </c>
      <c r="BE779" s="5" t="b">
        <f>IFERROR(__xludf.DUMMYFUNCTION("""COMPUTED_VALUE"""),TRUE)</f>
        <v>1</v>
      </c>
    </row>
    <row r="780">
      <c r="A780" s="5">
        <f>IFERROR(__xludf.DUMMYFUNCTION("""COMPUTED_VALUE"""),817.0)</f>
        <v>817</v>
      </c>
      <c r="B780" s="5">
        <f>IFERROR(__xludf.DUMMYFUNCTION("""COMPUTED_VALUE"""),5000008.0)</f>
        <v>5000008</v>
      </c>
      <c r="C780" s="5" t="str">
        <f>IFERROR(__xludf.DUMMYFUNCTION("""COMPUTED_VALUE"""),"SOKO studio")</f>
        <v>SOKO studio</v>
      </c>
      <c r="D780" s="5" t="str">
        <f>IFERROR(__xludf.DUMMYFUNCTION("""COMPUTED_VALUE"""),"Wild Chili Fiesta")</f>
        <v>Wild Chili Fiesta</v>
      </c>
      <c r="E780" s="5" t="str">
        <f>IFERROR(__xludf.DUMMYFUNCTION("""COMPUTED_VALUE"""),"SOKO studio")</f>
        <v>SOKO studio</v>
      </c>
      <c r="F780" s="5" t="str">
        <f>IFERROR(__xludf.DUMMYFUNCTION("""COMPUTED_VALUE"""),"SokoWildChiliFiesta")</f>
        <v>SokoWildChiliFiesta</v>
      </c>
      <c r="G780" s="5" t="str">
        <f>IFERROR(__xludf.DUMMYFUNCTION("""COMPUTED_VALUE"""),"Live")</f>
        <v>Live</v>
      </c>
      <c r="H780" s="5"/>
      <c r="I780" s="5" t="str">
        <f>IFERROR(__xludf.DUMMYFUNCTION("""COMPUTED_VALUE"""),"SOKO studio")</f>
        <v>SOKO studio</v>
      </c>
      <c r="J780" s="5" t="str">
        <f>IFERROR(__xludf.DUMMYFUNCTION("""COMPUTED_VALUE"""),"JSON")</f>
        <v>JSON</v>
      </c>
      <c r="K780" s="5" t="str">
        <f>IFERROR(__xludf.DUMMYFUNCTION("""COMPUTED_VALUE"""),"Slot")</f>
        <v>Slot</v>
      </c>
      <c r="L780" s="5" t="str">
        <f>IFERROR(__xludf.DUMMYFUNCTION("""COMPUTED_VALUE""")," Clone")</f>
        <v> Clone</v>
      </c>
      <c r="M780" s="5"/>
      <c r="N780" s="7" t="str">
        <f>IFERROR(__xludf.DUMMYFUNCTION("""COMPUTED_VALUE"""),"https://dicebyte.sharepoint.com/:b:/g/IQDjJjhqyRF5Rag0O36lqnqTActMnHozyMAZFdSrXLEz60g?e=5NHHei")</f>
        <v>https://dicebyte.sharepoint.com/:b:/g/IQDjJjhqyRF5Rag0O36lqnqTActMnHozyMAZFdSrXLEz60g?e=5NHHei</v>
      </c>
      <c r="O780" s="7" t="str">
        <f>IFERROR(__xludf.DUMMYFUNCTION("""COMPUTED_VALUE"""),"https://dicebyte.sharepoint.com/:b:/g/IQBk__GmaJ-lQqSvTo9UtE-oAXN4Ma91_WfsIOjU7n2F5aU?e=rgI0U0")</f>
        <v>https://dicebyte.sharepoint.com/:b:/g/IQBk__GmaJ-lQqSvTo9UtE-oAXN4Ma91_WfsIOjU7n2F5aU?e=rgI0U0</v>
      </c>
      <c r="P780" s="12">
        <f>IFERROR(__xludf.DUMMYFUNCTION("""COMPUTED_VALUE"""),28.3)</f>
        <v>28.3</v>
      </c>
      <c r="Q780" s="13">
        <f>IFERROR(__xludf.DUMMYFUNCTION("""COMPUTED_VALUE"""),46251.0)</f>
        <v>46251</v>
      </c>
      <c r="R780" s="13">
        <f>IFERROR(__xludf.DUMMYFUNCTION("""COMPUTED_VALUE"""),46253.0)</f>
        <v>46253</v>
      </c>
      <c r="S780" s="13">
        <f>IFERROR(__xludf.DUMMYFUNCTION("""COMPUTED_VALUE"""),46260.0)</f>
        <v>46260</v>
      </c>
      <c r="T780" s="5" t="b">
        <f>IFERROR(__xludf.DUMMYFUNCTION("""COMPUTED_VALUE"""),TRUE)</f>
        <v>1</v>
      </c>
      <c r="U780" s="5" t="str">
        <f>IFERROR(__xludf.DUMMYFUNCTION("""COMPUTED_VALUE"""),"5x3")</f>
        <v>5x3</v>
      </c>
      <c r="V780" s="5">
        <f>IFERROR(__xludf.DUMMYFUNCTION("""COMPUTED_VALUE"""),10.0)</f>
        <v>10</v>
      </c>
      <c r="W780" s="5">
        <f>IFERROR(__xludf.DUMMYFUNCTION("""COMPUTED_VALUE"""),10.0)</f>
        <v>10</v>
      </c>
      <c r="X780" s="5">
        <f>IFERROR(__xludf.DUMMYFUNCTION("""COMPUTED_VALUE"""),94.91)</f>
        <v>94.91</v>
      </c>
      <c r="Y780" s="5" t="str">
        <f>IFERROR(__xludf.DUMMYFUNCTION("""COMPUTED_VALUE"""),"High")</f>
        <v>High</v>
      </c>
      <c r="Z780" s="5">
        <f>IFERROR(__xludf.DUMMYFUNCTION("""COMPUTED_VALUE"""),10.5)</f>
        <v>10.5</v>
      </c>
      <c r="AA780" s="5">
        <f>IFERROR(__xludf.DUMMYFUNCTION("""COMPUTED_VALUE"""),2666.0)</f>
        <v>2666</v>
      </c>
      <c r="AB780" s="5"/>
      <c r="AC780" s="5" t="str">
        <f>IFERROR(__xludf.DUMMYFUNCTION("""COMPUTED_VALUE"""),"Wild Symbol, Expanding Wild, Scatter")</f>
        <v>Wild Symbol, Expanding Wild, Scatter</v>
      </c>
      <c r="AD780" s="5" t="str">
        <f>IFERROR(__xludf.DUMMYFUNCTION("""COMPUTED_VALUE"""),"0.10/100")</f>
        <v>0.10/100</v>
      </c>
      <c r="AE780" s="5"/>
      <c r="AF780" s="5"/>
      <c r="AG780" s="8">
        <f>IFERROR(__xludf.DUMMYFUNCTION("""COMPUTED_VALUE"""),46261.59056712963)</f>
        <v>46261.59057</v>
      </c>
      <c r="AH780" s="5" t="str">
        <f>IFERROR(__xludf.DUMMYFUNCTION("""COMPUTED_VALUE"""),"vanja.svetska@fazi.rs")</f>
        <v>vanja.svetska@fazi.rs</v>
      </c>
      <c r="AI780" s="13"/>
      <c r="AJ780" s="5"/>
      <c r="AK780" s="5">
        <f>IFERROR(__xludf.DUMMYFUNCTION("""COMPUTED_VALUE"""),10.0)</f>
        <v>10</v>
      </c>
      <c r="AL780" s="5" t="str">
        <f>IFERROR(__xludf.DUMMYFUNCTION("""COMPUTED_VALUE"""),"No")</f>
        <v>No</v>
      </c>
      <c r="AM780" s="5" t="str">
        <f>IFERROR(__xludf.DUMMYFUNCTION("""COMPUTED_VALUE"""),"No")</f>
        <v>No</v>
      </c>
      <c r="AN780" s="7" t="str">
        <f>IFERROR(__xludf.DUMMYFUNCTION("""COMPUTED_VALUE"""),"https://rgs-wild-chili-fiesta.soko.games/?demo=True&amp;locale=eng")</f>
        <v>https://rgs-wild-chili-fiesta.soko.games/?demo=True&amp;locale=eng</v>
      </c>
      <c r="AO780" s="5" t="str">
        <f>IFERROR(__xludf.DUMMYFUNCTION("""COMPUTED_VALUE"""),"No")</f>
        <v>No</v>
      </c>
      <c r="AP780" s="5" t="str">
        <f>IFERROR(__xludf.DUMMYFUNCTION("""COMPUTED_VALUE"""),"No")</f>
        <v>No</v>
      </c>
      <c r="AQ780" s="5" t="b">
        <f>IFERROR(__xludf.DUMMYFUNCTION("""COMPUTED_VALUE"""),TRUE)</f>
        <v>1</v>
      </c>
      <c r="AR780" s="5"/>
      <c r="AS780" s="5" t="str">
        <f>IFERROR(__xludf.DUMMYFUNCTION("""COMPUTED_VALUE"""),"Wild Chili Fiesta is a festive Mexican-themed slot built around 10 paylines, high volatility, and an expanding wild feature for bigger win potential.
Spin through tacos, limes, tequila and mariachi guitars as the reels build toward highrisk, high-reward "&amp;"payouts. Every time the chili wild expands across a reel, an ordinary  spin can turn into a blazing fiesta win")</f>
        <v>Wild Chili Fiesta is a festive Mexican-themed slot built around 10 paylines, high volatility, and an expanding wild feature for bigger win potential.
Spin through tacos, limes, tequila and mariachi guitars as the reels build toward high_x0002_risk, high-reward payouts. Every time the chili wild expands across a reel, an ordinary  spin can turn into a blazing fiesta win</v>
      </c>
      <c r="AT780" s="5"/>
      <c r="AU780" s="5" t="str">
        <f>IFERROR(__xludf.DUMMYFUNCTION("""COMPUTED_VALUE"""),"SOKO studio")</f>
        <v>SOKO studio</v>
      </c>
      <c r="AV780" s="5">
        <f>IFERROR(__xludf.DUMMYFUNCTION("""COMPUTED_VALUE"""),1.0)</f>
        <v>1</v>
      </c>
      <c r="AW780" s="5"/>
      <c r="AX780" s="13">
        <f>IFERROR(__xludf.DUMMYFUNCTION("""COMPUTED_VALUE"""),46245.0)</f>
        <v>46245</v>
      </c>
      <c r="AY780" s="5"/>
      <c r="AZ780" s="5"/>
      <c r="BA780" s="5"/>
      <c r="BB780" s="5" t="b">
        <f>IFERROR(__xludf.DUMMYFUNCTION("""COMPUTED_VALUE"""),TRUE)</f>
        <v>1</v>
      </c>
      <c r="BC780" s="5" t="str">
        <f>IFERROR(__xludf.DUMMYFUNCTION("""COMPUTED_VALUE"""),"SOKO studio")</f>
        <v>SOKO studio</v>
      </c>
      <c r="BD780" s="7" t="str">
        <f>IFERROR(__xludf.DUMMYFUNCTION("""COMPUTED_VALUE"""),"https://gameserver-store-client-area.orbionlimited.com/Home/IntegrationGameLaunch/client-area?moneyType=0&amp;gameName=SokoWildChiliFiesta&amp;platform=desktop&amp;languageCode=eng&amp;currency=EUR")</f>
        <v>https://gameserver-store-client-area.orbionlimited.com/Home/IntegrationGameLaunch/client-area?moneyType=0&amp;gameName=SokoWildChiliFiesta&amp;platform=desktop&amp;languageCode=eng&amp;currency=EUR</v>
      </c>
      <c r="BE780" s="5" t="b">
        <f>IFERROR(__xludf.DUMMYFUNCTION("""COMPUTED_VALUE"""),TRUE)</f>
        <v>1</v>
      </c>
    </row>
    <row r="781">
      <c r="A781" s="5">
        <f>IFERROR(__xludf.DUMMYFUNCTION("""COMPUTED_VALUE"""),818.0)</f>
        <v>818</v>
      </c>
      <c r="B781" s="5">
        <f>IFERROR(__xludf.DUMMYFUNCTION("""COMPUTED_VALUE"""),5000006.0)</f>
        <v>5000006</v>
      </c>
      <c r="C781" s="5" t="str">
        <f>IFERROR(__xludf.DUMMYFUNCTION("""COMPUTED_VALUE"""),"SOKO studio")</f>
        <v>SOKO studio</v>
      </c>
      <c r="D781" s="5" t="str">
        <f>IFERROR(__xludf.DUMMYFUNCTION("""COMPUTED_VALUE"""),"Royal Crown Delight Deluxe")</f>
        <v>Royal Crown Delight Deluxe</v>
      </c>
      <c r="E781" s="5" t="str">
        <f>IFERROR(__xludf.DUMMYFUNCTION("""COMPUTED_VALUE"""),"SOKO studio")</f>
        <v>SOKO studio</v>
      </c>
      <c r="F781" s="5" t="str">
        <f>IFERROR(__xludf.DUMMYFUNCTION("""COMPUTED_VALUE"""),"SokoRoyalCrownDelightDeluxe")</f>
        <v>SokoRoyalCrownDelightDeluxe</v>
      </c>
      <c r="G781" s="5" t="str">
        <f>IFERROR(__xludf.DUMMYFUNCTION("""COMPUTED_VALUE"""),"Live")</f>
        <v>Live</v>
      </c>
      <c r="H781" s="5"/>
      <c r="I781" s="5" t="str">
        <f>IFERROR(__xludf.DUMMYFUNCTION("""COMPUTED_VALUE"""),"SOKO studio")</f>
        <v>SOKO studio</v>
      </c>
      <c r="J781" s="5" t="str">
        <f>IFERROR(__xludf.DUMMYFUNCTION("""COMPUTED_VALUE"""),"JSON")</f>
        <v>JSON</v>
      </c>
      <c r="K781" s="5" t="str">
        <f>IFERROR(__xludf.DUMMYFUNCTION("""COMPUTED_VALUE"""),"Slot")</f>
        <v>Slot</v>
      </c>
      <c r="L781" s="5" t="str">
        <f>IFERROR(__xludf.DUMMYFUNCTION("""COMPUTED_VALUE"""),"Master")</f>
        <v>Master</v>
      </c>
      <c r="M781" s="5"/>
      <c r="N781" s="7" t="str">
        <f>IFERROR(__xludf.DUMMYFUNCTION("""COMPUTED_VALUE"""),"https://dicebyte.sharepoint.com/:b:/g/IQCj9mj7Y3GfQ5tXjcWXnck3AYO2YmBM14UsIodZ8zaTNZc?e=LJRWkK")</f>
        <v>https://dicebyte.sharepoint.com/:b:/g/IQCj9mj7Y3GfQ5tXjcWXnck3AYO2YmBM14UsIodZ8zaTNZc?e=LJRWkK</v>
      </c>
      <c r="O781" s="7" t="str">
        <f>IFERROR(__xludf.DUMMYFUNCTION("""COMPUTED_VALUE"""),"https://dicebyte.sharepoint.com/:b:/g/IQCiyboszEg3TZVpBPMB0OBtARHST5yo7KI-AmCa0pmyibc?e=GihBYO")</f>
        <v>https://dicebyte.sharepoint.com/:b:/g/IQCiyboszEg3TZVpBPMB0OBtARHST5yo7KI-AmCa0pmyibc?e=GihBYO</v>
      </c>
      <c r="P781" s="12">
        <f>IFERROR(__xludf.DUMMYFUNCTION("""COMPUTED_VALUE"""),21.06)</f>
        <v>21.06</v>
      </c>
      <c r="Q781" s="13">
        <f>IFERROR(__xludf.DUMMYFUNCTION("""COMPUTED_VALUE"""),46237.0)</f>
        <v>46237</v>
      </c>
      <c r="R781" s="13">
        <f>IFERROR(__xludf.DUMMYFUNCTION("""COMPUTED_VALUE"""),46239.0)</f>
        <v>46239</v>
      </c>
      <c r="S781" s="13">
        <f>IFERROR(__xludf.DUMMYFUNCTION("""COMPUTED_VALUE"""),46246.0)</f>
        <v>46246</v>
      </c>
      <c r="T781" s="5" t="b">
        <f>IFERROR(__xludf.DUMMYFUNCTION("""COMPUTED_VALUE"""),TRUE)</f>
        <v>1</v>
      </c>
      <c r="U781" s="5" t="str">
        <f>IFERROR(__xludf.DUMMYFUNCTION("""COMPUTED_VALUE"""),"5x3")</f>
        <v>5x3</v>
      </c>
      <c r="V781" s="5">
        <f>IFERROR(__xludf.DUMMYFUNCTION("""COMPUTED_VALUE"""),10.0)</f>
        <v>10</v>
      </c>
      <c r="W781" s="5">
        <f>IFERROR(__xludf.DUMMYFUNCTION("""COMPUTED_VALUE"""),10.0)</f>
        <v>10</v>
      </c>
      <c r="X781" s="5">
        <f>IFERROR(__xludf.DUMMYFUNCTION("""COMPUTED_VALUE"""),94.91)</f>
        <v>94.91</v>
      </c>
      <c r="Y781" s="5" t="str">
        <f>IFERROR(__xludf.DUMMYFUNCTION("""COMPUTED_VALUE"""),"High")</f>
        <v>High</v>
      </c>
      <c r="Z781" s="5">
        <f>IFERROR(__xludf.DUMMYFUNCTION("""COMPUTED_VALUE"""),10.5)</f>
        <v>10.5</v>
      </c>
      <c r="AA781" s="5">
        <f>IFERROR(__xludf.DUMMYFUNCTION("""COMPUTED_VALUE"""),2666.0)</f>
        <v>2666</v>
      </c>
      <c r="AB781" s="5"/>
      <c r="AC781" s="5" t="str">
        <f>IFERROR(__xludf.DUMMYFUNCTION("""COMPUTED_VALUE"""),"Wild Symbol, Expanding Wild")</f>
        <v>Wild Symbol, Expanding Wild</v>
      </c>
      <c r="AD781" s="5" t="str">
        <f>IFERROR(__xludf.DUMMYFUNCTION("""COMPUTED_VALUE"""),"0.05€/50€")</f>
        <v>0.05€/50€</v>
      </c>
      <c r="AE781" s="5"/>
      <c r="AF781" s="5"/>
      <c r="AG781" s="8">
        <f>IFERROR(__xludf.DUMMYFUNCTION("""COMPUTED_VALUE"""),46252.44462962963)</f>
        <v>46252.44463</v>
      </c>
      <c r="AH781" s="5" t="str">
        <f>IFERROR(__xludf.DUMMYFUNCTION("""COMPUTED_VALUE"""),"vanja.svetska@fazi.rs")</f>
        <v>vanja.svetska@fazi.rs</v>
      </c>
      <c r="AI781" s="13"/>
      <c r="AJ781" s="5"/>
      <c r="AK781" s="5">
        <f>IFERROR(__xludf.DUMMYFUNCTION("""COMPUTED_VALUE"""),10.0)</f>
        <v>10</v>
      </c>
      <c r="AL781" s="5" t="str">
        <f>IFERROR(__xludf.DUMMYFUNCTION("""COMPUTED_VALUE"""),"No")</f>
        <v>No</v>
      </c>
      <c r="AM781" s="5" t="str">
        <f>IFERROR(__xludf.DUMMYFUNCTION("""COMPUTED_VALUE"""),"No")</f>
        <v>No</v>
      </c>
      <c r="AN781" s="7" t="str">
        <f>IFERROR(__xludf.DUMMYFUNCTION("""COMPUTED_VALUE"""),"https://rgs-royal-crown-delight.soko.games/?demo=True&amp;locale=eng")</f>
        <v>https://rgs-royal-crown-delight.soko.games/?demo=True&amp;locale=eng</v>
      </c>
      <c r="AO781" s="5" t="str">
        <f>IFERROR(__xludf.DUMMYFUNCTION("""COMPUTED_VALUE"""),"No")</f>
        <v>No</v>
      </c>
      <c r="AP781" s="5" t="str">
        <f>IFERROR(__xludf.DUMMYFUNCTION("""COMPUTED_VALUE"""),"No")</f>
        <v>No</v>
      </c>
      <c r="AQ781" s="5" t="b">
        <f>IFERROR(__xludf.DUMMYFUNCTION("""COMPUTED_VALUE"""),TRUE)</f>
        <v>1</v>
      </c>
      <c r="AR781" s="5"/>
      <c r="AS781" s="5" t="str">
        <f>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AT781" s="5"/>
      <c r="AU781" s="5" t="str">
        <f>IFERROR(__xludf.DUMMYFUNCTION("""COMPUTED_VALUE"""),"SOKO studio")</f>
        <v>SOKO studio</v>
      </c>
      <c r="AV781" s="5">
        <f>IFERROR(__xludf.DUMMYFUNCTION("""COMPUTED_VALUE"""),1.0)</f>
        <v>1</v>
      </c>
      <c r="AW781" s="5"/>
      <c r="AX781" s="13">
        <f>IFERROR(__xludf.DUMMYFUNCTION("""COMPUTED_VALUE"""),46231.0)</f>
        <v>46231</v>
      </c>
      <c r="AY781" s="5"/>
      <c r="AZ781" s="5"/>
      <c r="BA781" s="5"/>
      <c r="BB781" s="5" t="b">
        <f>IFERROR(__xludf.DUMMYFUNCTION("""COMPUTED_VALUE"""),TRUE)</f>
        <v>1</v>
      </c>
      <c r="BC781" s="5" t="str">
        <f>IFERROR(__xludf.DUMMYFUNCTION("""COMPUTED_VALUE"""),"SOKO studio")</f>
        <v>SOKO studio</v>
      </c>
      <c r="BD781" s="7" t="str">
        <f>IFERROR(__xludf.DUMMYFUNCTION("""COMPUTED_VALUE"""),"https://rgs-royal-crown-delight.soko.games/?demo=True&amp;locale=eng")</f>
        <v>https://rgs-royal-crown-delight.soko.games/?demo=True&amp;locale=eng</v>
      </c>
      <c r="BE781" s="5" t="b">
        <f>IFERROR(__xludf.DUMMYFUNCTION("""COMPUTED_VALUE"""),TRUE)</f>
        <v>1</v>
      </c>
    </row>
    <row r="782">
      <c r="A782" s="5">
        <f>IFERROR(__xludf.DUMMYFUNCTION("""COMPUTED_VALUE"""),819.0)</f>
        <v>819</v>
      </c>
      <c r="B782" s="5">
        <f>IFERROR(__xludf.DUMMYFUNCTION("""COMPUTED_VALUE"""),5000009.0)</f>
        <v>5000009</v>
      </c>
      <c r="C782" s="5" t="str">
        <f>IFERROR(__xludf.DUMMYFUNCTION("""COMPUTED_VALUE"""),"SOKO studio")</f>
        <v>SOKO studio</v>
      </c>
      <c r="D782" s="5" t="str">
        <f>IFERROR(__xludf.DUMMYFUNCTION("""COMPUTED_VALUE"""),"Wild Sheriff Fortune")</f>
        <v>Wild Sheriff Fortune</v>
      </c>
      <c r="E782" s="5" t="str">
        <f>IFERROR(__xludf.DUMMYFUNCTION("""COMPUTED_VALUE"""),"SOKO studio")</f>
        <v>SOKO studio</v>
      </c>
      <c r="F782" s="5" t="str">
        <f>IFERROR(__xludf.DUMMYFUNCTION("""COMPUTED_VALUE"""),"SokoWildSheriffFortune")</f>
        <v>SokoWildSheriffFortune</v>
      </c>
      <c r="G782" s="5" t="str">
        <f>IFERROR(__xludf.DUMMYFUNCTION("""COMPUTED_VALUE"""),"Live")</f>
        <v>Live</v>
      </c>
      <c r="H782" s="5"/>
      <c r="I782" s="5" t="str">
        <f>IFERROR(__xludf.DUMMYFUNCTION("""COMPUTED_VALUE"""),"SOKO studio")</f>
        <v>SOKO studio</v>
      </c>
      <c r="J782" s="5" t="str">
        <f>IFERROR(__xludf.DUMMYFUNCTION("""COMPUTED_VALUE"""),"JSON")</f>
        <v>JSON</v>
      </c>
      <c r="K782" s="5" t="str">
        <f>IFERROR(__xludf.DUMMYFUNCTION("""COMPUTED_VALUE"""),"Slot")</f>
        <v>Slot</v>
      </c>
      <c r="L782" s="5"/>
      <c r="M782" s="5"/>
      <c r="N782" s="7" t="str">
        <f>IFERROR(__xludf.DUMMYFUNCTION("""COMPUTED_VALUE"""),"https://dicebyte.sharepoint.com/:b:/g/IQC9oLG3J4L3Qo1f-jJTRb_KAdF38exAP-O-GAZ7GJg4VDg?e=ph27yX")</f>
        <v>https://dicebyte.sharepoint.com/:b:/g/IQC9oLG3J4L3Qo1f-jJTRb_KAdF38exAP-O-GAZ7GJg4VDg?e=ph27yX</v>
      </c>
      <c r="O782" s="7" t="str">
        <f>IFERROR(__xludf.DUMMYFUNCTION("""COMPUTED_VALUE"""),"https://dicebyte.sharepoint.com/:b:/g/IQBF-9zDMfXkS47ahnRzACf4AaJrZNsE_NySFu7mFqdYvPc?e=Nh5BXI")</f>
        <v>https://dicebyte.sharepoint.com/:b:/g/IQBF-9zDMfXkS47ahnRzACf4AaJrZNsE_NySFu7mFqdYvPc?e=Nh5BXI</v>
      </c>
      <c r="P782" s="12">
        <f>IFERROR(__xludf.DUMMYFUNCTION("""COMPUTED_VALUE"""),28.3)</f>
        <v>28.3</v>
      </c>
      <c r="Q782" s="13">
        <f>IFERROR(__xludf.DUMMYFUNCTION("""COMPUTED_VALUE"""),46265.0)</f>
        <v>46265</v>
      </c>
      <c r="R782" s="13">
        <f>IFERROR(__xludf.DUMMYFUNCTION("""COMPUTED_VALUE"""),46259.0)</f>
        <v>46259</v>
      </c>
      <c r="S782" s="13">
        <f>IFERROR(__xludf.DUMMYFUNCTION("""COMPUTED_VALUE"""),46266.0)</f>
        <v>46266</v>
      </c>
      <c r="T782" s="5" t="b">
        <f>IFERROR(__xludf.DUMMYFUNCTION("""COMPUTED_VALUE"""),TRUE)</f>
        <v>1</v>
      </c>
      <c r="U782" s="5" t="str">
        <f>IFERROR(__xludf.DUMMYFUNCTION("""COMPUTED_VALUE"""),"5x3")</f>
        <v>5x3</v>
      </c>
      <c r="V782" s="5">
        <f>IFERROR(__xludf.DUMMYFUNCTION("""COMPUTED_VALUE"""),10.0)</f>
        <v>10</v>
      </c>
      <c r="W782" s="5">
        <f>IFERROR(__xludf.DUMMYFUNCTION("""COMPUTED_VALUE"""),10.0)</f>
        <v>10</v>
      </c>
      <c r="X782" s="5">
        <f>IFERROR(__xludf.DUMMYFUNCTION("""COMPUTED_VALUE"""),94.91)</f>
        <v>94.91</v>
      </c>
      <c r="Y782" s="5" t="str">
        <f>IFERROR(__xludf.DUMMYFUNCTION("""COMPUTED_VALUE"""),"High")</f>
        <v>High</v>
      </c>
      <c r="Z782" s="5">
        <f>IFERROR(__xludf.DUMMYFUNCTION("""COMPUTED_VALUE"""),10.5)</f>
        <v>10.5</v>
      </c>
      <c r="AA782" s="5">
        <f>IFERROR(__xludf.DUMMYFUNCTION("""COMPUTED_VALUE"""),2666.0)</f>
        <v>2666</v>
      </c>
      <c r="AB782" s="5"/>
      <c r="AC782" s="5" t="str">
        <f>IFERROR(__xludf.DUMMYFUNCTION("""COMPUTED_VALUE"""),"Scatter, Expanding Wild, Wild Symbol")</f>
        <v>Scatter, Expanding Wild, Wild Symbol</v>
      </c>
      <c r="AD782" s="5" t="str">
        <f>IFERROR(__xludf.DUMMYFUNCTION("""COMPUTED_VALUE"""),"0.10/100")</f>
        <v>0.10/100</v>
      </c>
      <c r="AE782" s="5"/>
      <c r="AF782" s="5"/>
      <c r="AG782" s="8">
        <f>IFERROR(__xludf.DUMMYFUNCTION("""COMPUTED_VALUE"""),46267.42357638889)</f>
        <v>46267.42358</v>
      </c>
      <c r="AH782" s="5" t="str">
        <f>IFERROR(__xludf.DUMMYFUNCTION("""COMPUTED_VALUE"""),"vanja.svetska@fazi.rs")</f>
        <v>vanja.svetska@fazi.rs</v>
      </c>
      <c r="AI782" s="13"/>
      <c r="AJ782" s="5"/>
      <c r="AK782" s="5">
        <f>IFERROR(__xludf.DUMMYFUNCTION("""COMPUTED_VALUE"""),10.0)</f>
        <v>10</v>
      </c>
      <c r="AL782" s="5" t="str">
        <f>IFERROR(__xludf.DUMMYFUNCTION("""COMPUTED_VALUE"""),"No")</f>
        <v>No</v>
      </c>
      <c r="AM782" s="5" t="str">
        <f>IFERROR(__xludf.DUMMYFUNCTION("""COMPUTED_VALUE"""),"No")</f>
        <v>No</v>
      </c>
      <c r="AN782" s="7" t="str">
        <f>IFERROR(__xludf.DUMMYFUNCTION("""COMPUTED_VALUE"""),"https://rgs-wild-sheriff-fortune.soko.games/?demo=True&amp;locale=eng")</f>
        <v>https://rgs-wild-sheriff-fortune.soko.games/?demo=True&amp;locale=eng</v>
      </c>
      <c r="AO782" s="5" t="str">
        <f>IFERROR(__xludf.DUMMYFUNCTION("""COMPUTED_VALUE"""),"No")</f>
        <v>No</v>
      </c>
      <c r="AP782" s="5" t="str">
        <f>IFERROR(__xludf.DUMMYFUNCTION("""COMPUTED_VALUE"""),"No")</f>
        <v>No</v>
      </c>
      <c r="AQ782" s="5" t="b">
        <f>IFERROR(__xludf.DUMMYFUNCTION("""COMPUTED_VALUE"""),TRUE)</f>
        <v>1</v>
      </c>
      <c r="AR782" s="5"/>
      <c r="AS782" s="5" t="str">
        <f>IFERROR(__xludf.DUMMYFUNCTION("""COMPUTED_VALUE"""),"Wild Sheriff Fortune is a Wild West slot packed with outlaws, revolvers and hidden treasures, built around 10 paylines, high volatility, and an expanding wild feature for bigger win potential.
Ride into the untamed frontier as the reels build toward high-"&amp;"risk, high-reward payouts. Every time the wild expands across a reel, an ordinary spin can turn into a gold-strike win.")</f>
        <v>Wild Sheriff Fortune is a Wild West slot packed with outlaws, revolvers and hidden treasures, built around 10 paylines, high volatility, and an expanding wild feature for bigger win potential.
Ride into the untamed frontier as the reels build toward high-risk, high-reward payouts. Every time the wild expands across a reel, an ordinary spin can turn into a gold-strike win.</v>
      </c>
      <c r="AT782" s="5"/>
      <c r="AU782" s="5" t="str">
        <f>IFERROR(__xludf.DUMMYFUNCTION("""COMPUTED_VALUE"""),"SOKO studio")</f>
        <v>SOKO studio</v>
      </c>
      <c r="AV782" s="5">
        <f>IFERROR(__xludf.DUMMYFUNCTION("""COMPUTED_VALUE"""),1.0)</f>
        <v>1</v>
      </c>
      <c r="AW782" s="5"/>
      <c r="AX782" s="13">
        <f>IFERROR(__xludf.DUMMYFUNCTION("""COMPUTED_VALUE"""),46259.0)</f>
        <v>46259</v>
      </c>
      <c r="AY782" s="5"/>
      <c r="AZ782" s="5"/>
      <c r="BA782" s="5"/>
      <c r="BB782" s="5" t="b">
        <f>IFERROR(__xludf.DUMMYFUNCTION("""COMPUTED_VALUE"""),TRUE)</f>
        <v>1</v>
      </c>
      <c r="BC782" s="5" t="str">
        <f>IFERROR(__xludf.DUMMYFUNCTION("""COMPUTED_VALUE"""),"SOKO studio")</f>
        <v>SOKO studio</v>
      </c>
      <c r="BD782" s="7" t="str">
        <f>IFERROR(__xludf.DUMMYFUNCTION("""COMPUTED_VALUE"""),"https://rgs-wild-sheriff-fortune.soko.games/?demo=True&amp;locale=eng")</f>
        <v>https://rgs-wild-sheriff-fortune.soko.games/?demo=True&amp;locale=eng</v>
      </c>
      <c r="BE782" s="5" t="b">
        <f>IFERROR(__xludf.DUMMYFUNCTION("""COMPUTED_VALUE"""),TRUE)</f>
        <v>1</v>
      </c>
    </row>
    <row r="783">
      <c r="A783" s="5">
        <f>IFERROR(__xludf.DUMMYFUNCTION("""COMPUTED_VALUE"""),820.0)</f>
        <v>820</v>
      </c>
      <c r="B783" s="5">
        <f>IFERROR(__xludf.DUMMYFUNCTION("""COMPUTED_VALUE"""),5.000001E7)</f>
        <v>50000010</v>
      </c>
      <c r="C783" s="5" t="str">
        <f>IFERROR(__xludf.DUMMYFUNCTION("""COMPUTED_VALUE"""),"SOKO studio")</f>
        <v>SOKO studio</v>
      </c>
      <c r="D783" s="5" t="str">
        <f>IFERROR(__xludf.DUMMYFUNCTION("""COMPUTED_VALUE"""),"Nile Queen Temple Legacy")</f>
        <v>Nile Queen Temple Legacy</v>
      </c>
      <c r="E783" s="5" t="str">
        <f>IFERROR(__xludf.DUMMYFUNCTION("""COMPUTED_VALUE"""),"SOKO studio")</f>
        <v>SOKO studio</v>
      </c>
      <c r="F783" s="5" t="str">
        <f>IFERROR(__xludf.DUMMYFUNCTION("""COMPUTED_VALUE"""),"SokoNileQueenTempleLegacy")</f>
        <v>SokoNileQueenTempleLegacy</v>
      </c>
      <c r="G783" s="5" t="str">
        <f>IFERROR(__xludf.DUMMYFUNCTION("""COMPUTED_VALUE"""),"Deployed")</f>
        <v>Deployed</v>
      </c>
      <c r="H783" s="5"/>
      <c r="I783" s="5" t="str">
        <f>IFERROR(__xludf.DUMMYFUNCTION("""COMPUTED_VALUE"""),"SOKO studio")</f>
        <v>SOKO studio</v>
      </c>
      <c r="J783" s="5" t="str">
        <f>IFERROR(__xludf.DUMMYFUNCTION("""COMPUTED_VALUE"""),"JSON")</f>
        <v>JSON</v>
      </c>
      <c r="K783" s="5" t="str">
        <f>IFERROR(__xludf.DUMMYFUNCTION("""COMPUTED_VALUE"""),"Slot")</f>
        <v>Slot</v>
      </c>
      <c r="L783" s="5"/>
      <c r="M783" s="5"/>
      <c r="N783" s="7" t="str">
        <f>IFERROR(__xludf.DUMMYFUNCTION("""COMPUTED_VALUE"""),"https://dicebyte.sharepoint.com/:b:/g/IQD0xuWgN98hS464hHCDyu2mAaycRlIYYSlplVe5s-DUwFk?e=zUt4Xb")</f>
        <v>https://dicebyte.sharepoint.com/:b:/g/IQD0xuWgN98hS464hHCDyu2mAaycRlIYYSlplVe5s-DUwFk?e=zUt4Xb</v>
      </c>
      <c r="O783" s="7" t="str">
        <f>IFERROR(__xludf.DUMMYFUNCTION("""COMPUTED_VALUE"""),"https://dicebyte.sharepoint.com/:b:/g/IQC2ko_kXDPMQpRJSRY3svq5AQ7-k8r7eZ3C7OqZfBmcwZk?e=1zWipk")</f>
        <v>https://dicebyte.sharepoint.com/:b:/g/IQC2ko_kXDPMQpRJSRY3svq5AQ7-k8r7eZ3C7OqZfBmcwZk?e=1zWipk</v>
      </c>
      <c r="P783" s="12">
        <f>IFERROR(__xludf.DUMMYFUNCTION("""COMPUTED_VALUE"""),28.3)</f>
        <v>28.3</v>
      </c>
      <c r="Q783" s="13">
        <f>IFERROR(__xludf.DUMMYFUNCTION("""COMPUTED_VALUE"""),46265.0)</f>
        <v>46265</v>
      </c>
      <c r="R783" s="13">
        <f>IFERROR(__xludf.DUMMYFUNCTION("""COMPUTED_VALUE"""),46267.0)</f>
        <v>46267</v>
      </c>
      <c r="S783" s="13">
        <f>IFERROR(__xludf.DUMMYFUNCTION("""COMPUTED_VALUE"""),46274.0)</f>
        <v>46274</v>
      </c>
      <c r="T783" s="5" t="b">
        <f>IFERROR(__xludf.DUMMYFUNCTION("""COMPUTED_VALUE"""),TRUE)</f>
        <v>1</v>
      </c>
      <c r="U783" s="5" t="str">
        <f>IFERROR(__xludf.DUMMYFUNCTION("""COMPUTED_VALUE"""),"5x3")</f>
        <v>5x3</v>
      </c>
      <c r="V783" s="5">
        <f>IFERROR(__xludf.DUMMYFUNCTION("""COMPUTED_VALUE"""),10.0)</f>
        <v>10</v>
      </c>
      <c r="W783" s="5">
        <f>IFERROR(__xludf.DUMMYFUNCTION("""COMPUTED_VALUE"""),10.0)</f>
        <v>10</v>
      </c>
      <c r="X783" s="5">
        <f>IFERROR(__xludf.DUMMYFUNCTION("""COMPUTED_VALUE"""),94.91)</f>
        <v>94.91</v>
      </c>
      <c r="Y783" s="5" t="str">
        <f>IFERROR(__xludf.DUMMYFUNCTION("""COMPUTED_VALUE"""),"High")</f>
        <v>High</v>
      </c>
      <c r="Z783" s="5">
        <f>IFERROR(__xludf.DUMMYFUNCTION("""COMPUTED_VALUE"""),10.5)</f>
        <v>10.5</v>
      </c>
      <c r="AA783" s="5">
        <f>IFERROR(__xludf.DUMMYFUNCTION("""COMPUTED_VALUE"""),2666.0)</f>
        <v>2666</v>
      </c>
      <c r="AB783" s="5"/>
      <c r="AC783" s="5" t="str">
        <f>IFERROR(__xludf.DUMMYFUNCTION("""COMPUTED_VALUE"""),"Wild Symbol, Expanding Wild, Scatter")</f>
        <v>Wild Symbol, Expanding Wild, Scatter</v>
      </c>
      <c r="AD783" s="5" t="str">
        <f>IFERROR(__xludf.DUMMYFUNCTION("""COMPUTED_VALUE"""),"0.10/100")</f>
        <v>0.10/100</v>
      </c>
      <c r="AE783" s="5"/>
      <c r="AF783" s="5"/>
      <c r="AG783" s="8">
        <f>IFERROR(__xludf.DUMMYFUNCTION("""COMPUTED_VALUE"""),46266.40998842593)</f>
        <v>46266.40999</v>
      </c>
      <c r="AH783" s="5" t="str">
        <f>IFERROR(__xludf.DUMMYFUNCTION("""COMPUTED_VALUE"""),"danica.petrovic@fazi.rs")</f>
        <v>danica.petrovic@fazi.rs</v>
      </c>
      <c r="AI783" s="13"/>
      <c r="AJ783" s="5"/>
      <c r="AK783" s="5">
        <f>IFERROR(__xludf.DUMMYFUNCTION("""COMPUTED_VALUE"""),10.0)</f>
        <v>10</v>
      </c>
      <c r="AL783" s="5" t="str">
        <f>IFERROR(__xludf.DUMMYFUNCTION("""COMPUTED_VALUE"""),"No")</f>
        <v>No</v>
      </c>
      <c r="AM783" s="5" t="str">
        <f>IFERROR(__xludf.DUMMYFUNCTION("""COMPUTED_VALUE"""),"No")</f>
        <v>No</v>
      </c>
      <c r="AN783" s="7" t="str">
        <f>IFERROR(__xludf.DUMMYFUNCTION("""COMPUTED_VALUE"""),"https://rgs-nile-queen-temple-legacy.soko.games/?demo=True&amp;locale=eng")</f>
        <v>https://rgs-nile-queen-temple-legacy.soko.games/?demo=True&amp;locale=eng</v>
      </c>
      <c r="AO783" s="5" t="str">
        <f>IFERROR(__xludf.DUMMYFUNCTION("""COMPUTED_VALUE"""),"No")</f>
        <v>No</v>
      </c>
      <c r="AP783" s="5" t="str">
        <f>IFERROR(__xludf.DUMMYFUNCTION("""COMPUTED_VALUE"""),"No")</f>
        <v>No</v>
      </c>
      <c r="AQ783" s="5" t="b">
        <f>IFERROR(__xludf.DUMMYFUNCTION("""COMPUTED_VALUE"""),TRUE)</f>
        <v>1</v>
      </c>
      <c r="AR783" s="5"/>
      <c r="AS783" s="5" t="str">
        <f>IFERROR(__xludf.DUMMYFUNCTION("""COMPUTED_VALUE"""),"Nile Queen Temple Legacy is an Ancient Egypt slot set deep inside the pharaohs' temple, built around 10 paylines, high volatility, and an expanding wild feature for bigger win potential.")</f>
        <v>Nile Queen Temple Legacy is an Ancient Egypt slot set deep inside the pharaohs' temple, built around 10 paylines, high volatility, and an expanding wild feature for bigger win potential.</v>
      </c>
      <c r="AT783" s="5"/>
      <c r="AU783" s="5" t="str">
        <f>IFERROR(__xludf.DUMMYFUNCTION("""COMPUTED_VALUE"""),"SOKO studio")</f>
        <v>SOKO studio</v>
      </c>
      <c r="AV783" s="5">
        <f>IFERROR(__xludf.DUMMYFUNCTION("""COMPUTED_VALUE"""),1.0)</f>
        <v>1</v>
      </c>
      <c r="AW783" s="5"/>
      <c r="AX783" s="13">
        <f>IFERROR(__xludf.DUMMYFUNCTION("""COMPUTED_VALUE"""),46259.0)</f>
        <v>46259</v>
      </c>
      <c r="AY783" s="5"/>
      <c r="AZ783" s="5"/>
      <c r="BA783" s="5"/>
      <c r="BB783" s="5" t="b">
        <f>IFERROR(__xludf.DUMMYFUNCTION("""COMPUTED_VALUE"""),TRUE)</f>
        <v>1</v>
      </c>
      <c r="BC783" s="5" t="str">
        <f>IFERROR(__xludf.DUMMYFUNCTION("""COMPUTED_VALUE"""),"SOKO studio")</f>
        <v>SOKO studio</v>
      </c>
      <c r="BD783" s="7" t="str">
        <f>IFERROR(__xludf.DUMMYFUNCTION("""COMPUTED_VALUE"""),"https://rgs-nile-queen-temple-legacy.soko.games/?demo=True&amp;locale=eng")</f>
        <v>https://rgs-nile-queen-temple-legacy.soko.games/?demo=True&amp;locale=eng</v>
      </c>
      <c r="BE783" s="5" t="b">
        <f>IFERROR(__xludf.DUMMYFUNCTION("""COMPUTED_VALUE"""),TRUE)</f>
        <v>1</v>
      </c>
    </row>
    <row r="784">
      <c r="A784" s="5">
        <f>IFERROR(__xludf.DUMMYFUNCTION("""COMPUTED_VALUE"""),821.0)</f>
        <v>821</v>
      </c>
      <c r="B784" s="5">
        <f>IFERROR(__xludf.DUMMYFUNCTION("""COMPUTED_VALUE"""),5.0000011E7)</f>
        <v>50000011</v>
      </c>
      <c r="C784" s="5" t="str">
        <f>IFERROR(__xludf.DUMMYFUNCTION("""COMPUTED_VALUE"""),"SOKO studio")</f>
        <v>SOKO studio</v>
      </c>
      <c r="D784" s="5" t="str">
        <f>IFERROR(__xludf.DUMMYFUNCTION("""COMPUTED_VALUE"""),"Triple Crown Jewels")</f>
        <v>Triple Crown Jewels</v>
      </c>
      <c r="E784" s="5" t="str">
        <f>IFERROR(__xludf.DUMMYFUNCTION("""COMPUTED_VALUE"""),"SOKO studio")</f>
        <v>SOKO studio</v>
      </c>
      <c r="F784" s="5" t="str">
        <f>IFERROR(__xludf.DUMMYFUNCTION("""COMPUTED_VALUE"""),"SokoTripleCrownJewels")</f>
        <v>SokoTripleCrownJewels</v>
      </c>
      <c r="G784" s="5" t="str">
        <f>IFERROR(__xludf.DUMMYFUNCTION("""COMPUTED_VALUE"""),"Planned")</f>
        <v>Planned</v>
      </c>
      <c r="H784" s="5"/>
      <c r="I784" s="5" t="str">
        <f>IFERROR(__xludf.DUMMYFUNCTION("""COMPUTED_VALUE"""),"SOKO studio")</f>
        <v>SOKO studio</v>
      </c>
      <c r="J784" s="5" t="str">
        <f>IFERROR(__xludf.DUMMYFUNCTION("""COMPUTED_VALUE"""),"JSON")</f>
        <v>JSON</v>
      </c>
      <c r="K784" s="5" t="str">
        <f>IFERROR(__xludf.DUMMYFUNCTION("""COMPUTED_VALUE"""),"Slot")</f>
        <v>Slot</v>
      </c>
      <c r="L784" s="5" t="str">
        <f>IFERROR(__xludf.DUMMYFUNCTION("""COMPUTED_VALUE""")," Variant")</f>
        <v> Variant</v>
      </c>
      <c r="M784" s="5" t="str">
        <f>IFERROR(__xludf.DUMMYFUNCTION("""COMPUTED_VALUE"""),"Triple Crown Jewels")</f>
        <v>Triple Crown Jewels</v>
      </c>
      <c r="N784" s="7" t="str">
        <f>IFERROR(__xludf.DUMMYFUNCTION("""COMPUTED_VALUE"""),"https://dicebyte.sharepoint.com/:b:/g/IQCVDVBvXXT6Qp3h4FAYixN7AdKjOFdgo6sX88V78aTnMC8?e=d0uIIn")</f>
        <v>https://dicebyte.sharepoint.com/:b:/g/IQCVDVBvXXT6Qp3h4FAYixN7AdKjOFdgo6sX88V78aTnMC8?e=d0uIIn</v>
      </c>
      <c r="O784" s="7" t="str">
        <f>IFERROR(__xludf.DUMMYFUNCTION("""COMPUTED_VALUE"""),"https://dicebyte.sharepoint.com/:b:/g/IQANWHwpRGupRKZS9yyXt3C-AY4J7GcZgPGQz5ZDhFn7j5Y?e=RhoZ5k")</f>
        <v>https://dicebyte.sharepoint.com/:b:/g/IQANWHwpRGupRKZS9yyXt3C-AY4J7GcZgPGQz5ZDhFn7j5Y?e=RhoZ5k</v>
      </c>
      <c r="P784" s="12">
        <f>IFERROR(__xludf.DUMMYFUNCTION("""COMPUTED_VALUE"""),29.0)</f>
        <v>29</v>
      </c>
      <c r="Q784" s="13">
        <f>IFERROR(__xludf.DUMMYFUNCTION("""COMPUTED_VALUE"""),46279.0)</f>
        <v>46279</v>
      </c>
      <c r="R784" s="13">
        <f>IFERROR(__xludf.DUMMYFUNCTION("""COMPUTED_VALUE"""),46275.0)</f>
        <v>46275</v>
      </c>
      <c r="S784" s="13">
        <f>IFERROR(__xludf.DUMMYFUNCTION("""COMPUTED_VALUE"""),46282.0)</f>
        <v>46282</v>
      </c>
      <c r="T784" s="5" t="b">
        <f>IFERROR(__xludf.DUMMYFUNCTION("""COMPUTED_VALUE"""),TRUE)</f>
        <v>1</v>
      </c>
      <c r="U784" s="5" t="str">
        <f>IFERROR(__xludf.DUMMYFUNCTION("""COMPUTED_VALUE"""),"5x3")</f>
        <v>5x3</v>
      </c>
      <c r="V784" s="5">
        <f>IFERROR(__xludf.DUMMYFUNCTION("""COMPUTED_VALUE"""),5.0)</f>
        <v>5</v>
      </c>
      <c r="W784" s="5">
        <f>IFERROR(__xludf.DUMMYFUNCTION("""COMPUTED_VALUE"""),5.0)</f>
        <v>5</v>
      </c>
      <c r="X784" s="5">
        <f>IFERROR(__xludf.DUMMYFUNCTION("""COMPUTED_VALUE"""),95.05)</f>
        <v>95.05</v>
      </c>
      <c r="Y784" s="5" t="str">
        <f>IFERROR(__xludf.DUMMYFUNCTION("""COMPUTED_VALUE"""),"High")</f>
        <v>High</v>
      </c>
      <c r="Z784" s="5">
        <f>IFERROR(__xludf.DUMMYFUNCTION("""COMPUTED_VALUE"""),10.78)</f>
        <v>10.78</v>
      </c>
      <c r="AA784" s="5">
        <f>IFERROR(__xludf.DUMMYFUNCTION("""COMPUTED_VALUE"""),2525.0)</f>
        <v>2525</v>
      </c>
      <c r="AB784" s="5"/>
      <c r="AC784" s="5" t="str">
        <f>IFERROR(__xludf.DUMMYFUNCTION("""COMPUTED_VALUE"""),"Expanding Wild, Wild Multiplier, Wild Symbol, Scatter")</f>
        <v>Expanding Wild, Wild Multiplier, Wild Symbol, Scatter</v>
      </c>
      <c r="AD784" s="5" t="str">
        <f>IFERROR(__xludf.DUMMYFUNCTION("""COMPUTED_VALUE"""),"0.1/100")</f>
        <v>0.1/100</v>
      </c>
      <c r="AE784" s="5"/>
      <c r="AF784" s="5"/>
      <c r="AG784" s="8">
        <f>IFERROR(__xludf.DUMMYFUNCTION("""COMPUTED_VALUE"""),46262.521828703706)</f>
        <v>46262.52183</v>
      </c>
      <c r="AH784" s="5" t="str">
        <f>IFERROR(__xludf.DUMMYFUNCTION("""COMPUTED_VALUE"""),"selena.mihajlovic@fazi.rs")</f>
        <v>selena.mihajlovic@fazi.rs</v>
      </c>
      <c r="AI784" s="13"/>
      <c r="AJ784" s="5"/>
      <c r="AK784" s="5">
        <f>IFERROR(__xludf.DUMMYFUNCTION("""COMPUTED_VALUE"""),5.0)</f>
        <v>5</v>
      </c>
      <c r="AL784" s="5" t="str">
        <f>IFERROR(__xludf.DUMMYFUNCTION("""COMPUTED_VALUE"""),"No")</f>
        <v>No</v>
      </c>
      <c r="AM784" s="5" t="str">
        <f>IFERROR(__xludf.DUMMYFUNCTION("""COMPUTED_VALUE"""),"No")</f>
        <v>No</v>
      </c>
      <c r="AN784" s="7" t="str">
        <f>IFERROR(__xludf.DUMMYFUNCTION("""COMPUTED_VALUE"""),"https://rgs-triple-crown-jewels.soko.games/?demo=True&amp;locale=eng")</f>
        <v>https://rgs-triple-crown-jewels.soko.games/?demo=True&amp;locale=eng</v>
      </c>
      <c r="AO784" s="5" t="str">
        <f>IFERROR(__xludf.DUMMYFUNCTION("""COMPUTED_VALUE"""),"No")</f>
        <v>No</v>
      </c>
      <c r="AP784" s="5" t="str">
        <f>IFERROR(__xludf.DUMMYFUNCTION("""COMPUTED_VALUE"""),"No")</f>
        <v>No</v>
      </c>
      <c r="AQ784" s="5" t="b">
        <f>IFERROR(__xludf.DUMMYFUNCTION("""COMPUTED_VALUE"""),TRUE)</f>
        <v>1</v>
      </c>
      <c r="AR784" s="5"/>
      <c r="AS784" s="5" t="str">
        <f>IFERROR(__xludf.DUMMYFUNCTION("""COMPUTED_VALUE"""),"Triple Crown Jewels is a royal treasury slot where the crown jewels come to life. Set on a 5x3 grid with 5 paylines, the game features three multiplying expanding wilds on the 3rd reel, each carrying a x2, x3 or x5 multiplier. With glittering gemstones, g"&amp;"olden chalices and lucky sevens, every spin is a claim on the royal fortune. ")</f>
        <v>Triple Crown Jewels is a royal treasury slot where the crown jewels come to life. Set on a 5x3 grid with 5 paylines, the game features three multiplying expanding wilds on the 3rd reel, each carrying a x2, x3 or x5 multiplier. With glittering gemstones, golden chalices and lucky sevens, every spin is a claim on the royal fortune. </v>
      </c>
      <c r="AT784" s="5"/>
      <c r="AU784" s="5" t="str">
        <f>IFERROR(__xludf.DUMMYFUNCTION("""COMPUTED_VALUE"""),"SOKO studio")</f>
        <v>SOKO studio</v>
      </c>
      <c r="AV784" s="5">
        <f>IFERROR(__xludf.DUMMYFUNCTION("""COMPUTED_VALUE"""),1.0)</f>
        <v>1</v>
      </c>
      <c r="AW784" s="5"/>
      <c r="AX784" s="13">
        <f>IFERROR(__xludf.DUMMYFUNCTION("""COMPUTED_VALUE"""),46273.0)</f>
        <v>46273</v>
      </c>
      <c r="AY784" s="5"/>
      <c r="AZ784" s="5"/>
      <c r="BA784" s="5"/>
      <c r="BB784" s="5" t="b">
        <f>IFERROR(__xludf.DUMMYFUNCTION("""COMPUTED_VALUE"""),TRUE)</f>
        <v>1</v>
      </c>
      <c r="BC784" s="5" t="str">
        <f>IFERROR(__xludf.DUMMYFUNCTION("""COMPUTED_VALUE"""),"SOKO studio")</f>
        <v>SOKO studio</v>
      </c>
      <c r="BD784" s="7" t="str">
        <f>IFERROR(__xludf.DUMMYFUNCTION("""COMPUTED_VALUE"""),"https://rgs-triple-crown-jewels.soko.games/?demo=True&amp;locale=eng")</f>
        <v>https://rgs-triple-crown-jewels.soko.games/?demo=True&amp;locale=eng</v>
      </c>
      <c r="BE784" s="5" t="b">
        <f>IFERROR(__xludf.DUMMYFUNCTION("""COMPUTED_VALUE"""),TRUE)</f>
        <v>1</v>
      </c>
    </row>
    <row r="785">
      <c r="A785" s="5">
        <f>IFERROR(__xludf.DUMMYFUNCTION("""COMPUTED_VALUE"""),822.0)</f>
        <v>822</v>
      </c>
      <c r="B785" s="5">
        <f>IFERROR(__xludf.DUMMYFUNCTION("""COMPUTED_VALUE"""),5.0000012E7)</f>
        <v>50000012</v>
      </c>
      <c r="C785" s="5" t="str">
        <f>IFERROR(__xludf.DUMMYFUNCTION("""COMPUTED_VALUE"""),"SOKO studio")</f>
        <v>SOKO studio</v>
      </c>
      <c r="D785" s="5" t="str">
        <f>IFERROR(__xludf.DUMMYFUNCTION("""COMPUTED_VALUE"""),"Laurels of Olympus")</f>
        <v>Laurels of Olympus</v>
      </c>
      <c r="E785" s="5" t="str">
        <f>IFERROR(__xludf.DUMMYFUNCTION("""COMPUTED_VALUE"""),"SOKO studio")</f>
        <v>SOKO studio</v>
      </c>
      <c r="F785" s="5" t="str">
        <f>IFERROR(__xludf.DUMMYFUNCTION("""COMPUTED_VALUE"""),"SokoLaurelsOfOlympus")</f>
        <v>SokoLaurelsOfOlympus</v>
      </c>
      <c r="G785" s="5" t="str">
        <f>IFERROR(__xludf.DUMMYFUNCTION("""COMPUTED_VALUE"""),"Planned")</f>
        <v>Planned</v>
      </c>
      <c r="H785" s="5"/>
      <c r="I785" s="5" t="str">
        <f>IFERROR(__xludf.DUMMYFUNCTION("""COMPUTED_VALUE"""),"SOKO studio")</f>
        <v>SOKO studio</v>
      </c>
      <c r="J785" s="5" t="str">
        <f>IFERROR(__xludf.DUMMYFUNCTION("""COMPUTED_VALUE"""),"JSON")</f>
        <v>JSON</v>
      </c>
      <c r="K785" s="5" t="str">
        <f>IFERROR(__xludf.DUMMYFUNCTION("""COMPUTED_VALUE"""),"Slot")</f>
        <v>Slot</v>
      </c>
      <c r="L785" s="5" t="str">
        <f>IFERROR(__xludf.DUMMYFUNCTION("""COMPUTED_VALUE"""),"Master")</f>
        <v>Master</v>
      </c>
      <c r="M785" s="5"/>
      <c r="N785" s="7" t="str">
        <f>IFERROR(__xludf.DUMMYFUNCTION("""COMPUTED_VALUE"""),"https://dicebyte.sharepoint.com/:b:/g/IQBwl2WQe_zHRKB0eVdtUNBtAY9ZHTy-ssZGfbMtTZ2b6ds?e=vlNDup")</f>
        <v>https://dicebyte.sharepoint.com/:b:/g/IQBwl2WQe_zHRKB0eVdtUNBtAY9ZHTy-ssZGfbMtTZ2b6ds?e=vlNDup</v>
      </c>
      <c r="O785" s="7" t="str">
        <f>IFERROR(__xludf.DUMMYFUNCTION("""COMPUTED_VALUE"""),"https://dicebyte.sharepoint.com/:b:/g/IQAV790Cq4YeSo08hoJbszZ9AeANnKl12hfrnKjfdaAdDBA?e=J71WW0")</f>
        <v>https://dicebyte.sharepoint.com/:b:/g/IQAV790Cq4YeSo08hoJbszZ9AeANnKl12hfrnKjfdaAdDBA?e=J71WW0</v>
      </c>
      <c r="P785" s="12">
        <f>IFERROR(__xludf.DUMMYFUNCTION("""COMPUTED_VALUE"""),28.3)</f>
        <v>28.3</v>
      </c>
      <c r="Q785" s="13">
        <f>IFERROR(__xludf.DUMMYFUNCTION("""COMPUTED_VALUE"""),46279.0)</f>
        <v>46279</v>
      </c>
      <c r="R785" s="13">
        <f>IFERROR(__xludf.DUMMYFUNCTION("""COMPUTED_VALUE"""),46281.0)</f>
        <v>46281</v>
      </c>
      <c r="S785" s="13">
        <f>IFERROR(__xludf.DUMMYFUNCTION("""COMPUTED_VALUE"""),46288.0)</f>
        <v>46288</v>
      </c>
      <c r="T785" s="5" t="b">
        <f>IFERROR(__xludf.DUMMYFUNCTION("""COMPUTED_VALUE"""),TRUE)</f>
        <v>1</v>
      </c>
      <c r="U785" s="5" t="str">
        <f>IFERROR(__xludf.DUMMYFUNCTION("""COMPUTED_VALUE"""),"5x3")</f>
        <v>5x3</v>
      </c>
      <c r="V785" s="5">
        <f>IFERROR(__xludf.DUMMYFUNCTION("""COMPUTED_VALUE"""),10.0)</f>
        <v>10</v>
      </c>
      <c r="W785" s="5">
        <f>IFERROR(__xludf.DUMMYFUNCTION("""COMPUTED_VALUE"""),10.0)</f>
        <v>10</v>
      </c>
      <c r="X785" s="5">
        <f>IFERROR(__xludf.DUMMYFUNCTION("""COMPUTED_VALUE"""),94.91)</f>
        <v>94.91</v>
      </c>
      <c r="Y785" s="5" t="str">
        <f>IFERROR(__xludf.DUMMYFUNCTION("""COMPUTED_VALUE"""),"High")</f>
        <v>High</v>
      </c>
      <c r="Z785" s="5">
        <f>IFERROR(__xludf.DUMMYFUNCTION("""COMPUTED_VALUE"""),10.5)</f>
        <v>10.5</v>
      </c>
      <c r="AA785" s="5">
        <f>IFERROR(__xludf.DUMMYFUNCTION("""COMPUTED_VALUE"""),2666.0)</f>
        <v>2666</v>
      </c>
      <c r="AB785" s="5"/>
      <c r="AC785" s="5" t="str">
        <f>IFERROR(__xludf.DUMMYFUNCTION("""COMPUTED_VALUE"""),"Wild Symbol, Expanding Wild, Scatter")</f>
        <v>Wild Symbol, Expanding Wild, Scatter</v>
      </c>
      <c r="AD785" s="5" t="str">
        <f>IFERROR(__xludf.DUMMYFUNCTION("""COMPUTED_VALUE"""),"0.10/100")</f>
        <v>0.10/100</v>
      </c>
      <c r="AE785" s="5"/>
      <c r="AF785" s="5"/>
      <c r="AG785" s="8">
        <f>IFERROR(__xludf.DUMMYFUNCTION("""COMPUTED_VALUE"""),46262.52234953704)</f>
        <v>46262.52235</v>
      </c>
      <c r="AH785" s="5"/>
      <c r="AI785" s="13"/>
      <c r="AJ785" s="5"/>
      <c r="AK785" s="5">
        <f>IFERROR(__xludf.DUMMYFUNCTION("""COMPUTED_VALUE"""),10.0)</f>
        <v>10</v>
      </c>
      <c r="AL785" s="5" t="str">
        <f>IFERROR(__xludf.DUMMYFUNCTION("""COMPUTED_VALUE"""),"No")</f>
        <v>No</v>
      </c>
      <c r="AM785" s="5" t="str">
        <f>IFERROR(__xludf.DUMMYFUNCTION("""COMPUTED_VALUE"""),"No")</f>
        <v>No</v>
      </c>
      <c r="AN785" s="7" t="str">
        <f>IFERROR(__xludf.DUMMYFUNCTION("""COMPUTED_VALUE"""),"https://rgs-laurels-of-olympus.soko.games/?demo=True&amp;locale=eng")</f>
        <v>https://rgs-laurels-of-olympus.soko.games/?demo=True&amp;locale=eng</v>
      </c>
      <c r="AO785" s="5" t="str">
        <f>IFERROR(__xludf.DUMMYFUNCTION("""COMPUTED_VALUE"""),"No")</f>
        <v>No</v>
      </c>
      <c r="AP785" s="5" t="str">
        <f>IFERROR(__xludf.DUMMYFUNCTION("""COMPUTED_VALUE"""),"No")</f>
        <v>No</v>
      </c>
      <c r="AQ785" s="5"/>
      <c r="AR785" s="5"/>
      <c r="AS785" s="5" t="str">
        <f>IFERROR(__xludf.DUMMYFUNCTION("""COMPUTED_VALUE"""),"Laurels of Olympus is a Greek-myth slot set on the marble steps of the gods, built around 10 paylines, high volatility, and an expanding wild feature for bigger win potential.
Climb toward the summit as Zeus, Hera and Aphrodite line the reels. Every time "&amp;"the wild expands across a reel, an ordinary spin can turn into a reward worthy of Olympus.
")</f>
        <v>Laurels of Olympus is a Greek-myth slot set on the marble steps of the gods, built around 10 paylines, high volatility, and an expanding wild feature for bigger win potential.
Climb toward the summit as Zeus, Hera and Aphrodite line the reels. Every time the wild expands across a reel, an ordinary spin can turn into a reward worthy of Olympus.
</v>
      </c>
      <c r="AT785" s="5"/>
      <c r="AU785" s="5" t="str">
        <f>IFERROR(__xludf.DUMMYFUNCTION("""COMPUTED_VALUE"""),"SOKO studio")</f>
        <v>SOKO studio</v>
      </c>
      <c r="AV785" s="5">
        <f>IFERROR(__xludf.DUMMYFUNCTION("""COMPUTED_VALUE"""),1.0)</f>
        <v>1</v>
      </c>
      <c r="AW785" s="5"/>
      <c r="AX785" s="13">
        <f>IFERROR(__xludf.DUMMYFUNCTION("""COMPUTED_VALUE"""),46273.0)</f>
        <v>46273</v>
      </c>
      <c r="AY785" s="5"/>
      <c r="AZ785" s="5"/>
      <c r="BA785" s="5"/>
      <c r="BB785" s="5"/>
      <c r="BC785" s="5" t="str">
        <f>IFERROR(__xludf.DUMMYFUNCTION("""COMPUTED_VALUE"""),"SOKO studio")</f>
        <v>SOKO studio</v>
      </c>
      <c r="BD785" s="5"/>
      <c r="BE785" s="5"/>
    </row>
    <row r="786">
      <c r="A786" s="5">
        <f>IFERROR(__xludf.DUMMYFUNCTION("""COMPUTED_VALUE"""),823.0)</f>
        <v>823</v>
      </c>
      <c r="B786" s="5">
        <f>IFERROR(__xludf.DUMMYFUNCTION("""COMPUTED_VALUE"""),-1.0)</f>
        <v>-1</v>
      </c>
      <c r="C786" s="5" t="str">
        <f>IFERROR(__xludf.DUMMYFUNCTION("""COMPUTED_VALUE"""),"Redstone")</f>
        <v>Redstone</v>
      </c>
      <c r="D786" s="5" t="str">
        <f>IFERROR(__xludf.DUMMYFUNCTION("""COMPUTED_VALUE"""),"Cash Bell Ringers")</f>
        <v>Cash Bell Ringers</v>
      </c>
      <c r="E786" s="5" t="str">
        <f>IFERROR(__xludf.DUMMYFUNCTION("""COMPUTED_VALUE"""),"Redstone")</f>
        <v>Redstone</v>
      </c>
      <c r="F786" s="5" t="str">
        <f>IFERROR(__xludf.DUMMYFUNCTION("""COMPUTED_VALUE"""),"TBD")</f>
        <v>TBD</v>
      </c>
      <c r="G786" s="5" t="str">
        <f>IFERROR(__xludf.DUMMYFUNCTION("""COMPUTED_VALUE"""),"Planned")</f>
        <v>Planned</v>
      </c>
      <c r="H786" s="5"/>
      <c r="I786" s="5"/>
      <c r="J786" s="5" t="str">
        <f>IFERROR(__xludf.DUMMYFUNCTION("""COMPUTED_VALUE"""),"JSON")</f>
        <v>JSON</v>
      </c>
      <c r="K786" s="5" t="str">
        <f>IFERROR(__xludf.DUMMYFUNCTION("""COMPUTED_VALUE"""),"Slot")</f>
        <v>Slot</v>
      </c>
      <c r="L786" s="5"/>
      <c r="M786" s="5"/>
      <c r="N786" s="5"/>
      <c r="O786" s="5"/>
      <c r="P786" s="12"/>
      <c r="Q786" s="13"/>
      <c r="R786" s="13"/>
      <c r="S786" s="13"/>
      <c r="T786" s="5"/>
      <c r="U786" s="5"/>
      <c r="V786" s="5"/>
      <c r="W786" s="5"/>
      <c r="X786" s="5"/>
      <c r="Y786" s="5"/>
      <c r="Z786" s="5"/>
      <c r="AA786" s="5"/>
      <c r="AB786" s="5"/>
      <c r="AC786" s="5"/>
      <c r="AD786" s="5"/>
      <c r="AE786" s="5"/>
      <c r="AF786" s="5"/>
      <c r="AG786" s="8">
        <f>IFERROR(__xludf.DUMMYFUNCTION("""COMPUTED_VALUE"""),46184.55315972222)</f>
        <v>46184.55316</v>
      </c>
      <c r="AH786" s="5" t="str">
        <f>IFERROR(__xludf.DUMMYFUNCTION("""COMPUTED_VALUE"""),"selena.mihajlovic@fazi.rs")</f>
        <v>selena.mihajlovic@fazi.rs</v>
      </c>
      <c r="AI786" s="13"/>
      <c r="AJ786" s="5"/>
      <c r="AK786" s="5"/>
      <c r="AL786" s="5"/>
      <c r="AM786" s="5"/>
      <c r="AN786" s="5"/>
      <c r="AO786" s="5"/>
      <c r="AP786" s="5"/>
      <c r="AQ786" s="5"/>
      <c r="AR786" s="5"/>
      <c r="AS786" s="5"/>
      <c r="AT786" s="5"/>
      <c r="AU786" s="5" t="str">
        <f>IFERROR(__xludf.DUMMYFUNCTION("""COMPUTED_VALUE"""),"Redstone")</f>
        <v>Redstone</v>
      </c>
      <c r="AV786" s="5"/>
      <c r="AW786" s="5"/>
      <c r="AX786" s="13"/>
      <c r="AY786" s="5"/>
      <c r="AZ786" s="5"/>
      <c r="BA786" s="5"/>
      <c r="BB786" s="5"/>
      <c r="BC786" s="5" t="str">
        <f>IFERROR(__xludf.DUMMYFUNCTION("""COMPUTED_VALUE"""),"Redstone")</f>
        <v>Redstone</v>
      </c>
      <c r="BD786" s="5"/>
      <c r="BE786" s="5"/>
    </row>
    <row r="787">
      <c r="A787" s="5">
        <f>IFERROR(__xludf.DUMMYFUNCTION("""COMPUTED_VALUE"""),825.0)</f>
        <v>825</v>
      </c>
      <c r="B787" s="5">
        <f>IFERROR(__xludf.DUMMYFUNCTION("""COMPUTED_VALUE"""),-1.0)</f>
        <v>-1</v>
      </c>
      <c r="C787" s="5" t="str">
        <f>IFERROR(__xludf.DUMMYFUNCTION("""COMPUTED_VALUE"""),"Redstone")</f>
        <v>Redstone</v>
      </c>
      <c r="D787" s="5" t="str">
        <f>IFERROR(__xludf.DUMMYFUNCTION("""COMPUTED_VALUE"""),"Gold Eruption")</f>
        <v>Gold Eruption</v>
      </c>
      <c r="E787" s="5" t="str">
        <f>IFERROR(__xludf.DUMMYFUNCTION("""COMPUTED_VALUE"""),"Redstone")</f>
        <v>Redstone</v>
      </c>
      <c r="F787" s="5" t="str">
        <f>IFERROR(__xludf.DUMMYFUNCTION("""COMPUTED_VALUE"""),"TBD")</f>
        <v>TBD</v>
      </c>
      <c r="G787" s="5" t="str">
        <f>IFERROR(__xludf.DUMMYFUNCTION("""COMPUTED_VALUE"""),"Planned")</f>
        <v>Planned</v>
      </c>
      <c r="H787" s="5"/>
      <c r="I787" s="5"/>
      <c r="J787" s="5" t="str">
        <f>IFERROR(__xludf.DUMMYFUNCTION("""COMPUTED_VALUE"""),"JSON")</f>
        <v>JSON</v>
      </c>
      <c r="K787" s="5" t="str">
        <f>IFERROR(__xludf.DUMMYFUNCTION("""COMPUTED_VALUE"""),"Slot")</f>
        <v>Slot</v>
      </c>
      <c r="L787" s="5"/>
      <c r="M787" s="5"/>
      <c r="N787" s="5"/>
      <c r="O787" s="5"/>
      <c r="P787" s="12"/>
      <c r="Q787" s="13">
        <f>IFERROR(__xludf.DUMMYFUNCTION("""COMPUTED_VALUE"""),46237.0)</f>
        <v>46237</v>
      </c>
      <c r="R787" s="13"/>
      <c r="S787" s="13"/>
      <c r="T787" s="5"/>
      <c r="U787" s="5"/>
      <c r="V787" s="5"/>
      <c r="W787" s="5"/>
      <c r="X787" s="5"/>
      <c r="Y787" s="5"/>
      <c r="Z787" s="5"/>
      <c r="AA787" s="5"/>
      <c r="AB787" s="5"/>
      <c r="AC787" s="5"/>
      <c r="AD787" s="5"/>
      <c r="AE787" s="5"/>
      <c r="AF787" s="5"/>
      <c r="AG787" s="8">
        <f>IFERROR(__xludf.DUMMYFUNCTION("""COMPUTED_VALUE"""),46175.51561342592)</f>
        <v>46175.51561</v>
      </c>
      <c r="AH787" s="5" t="str">
        <f>IFERROR(__xludf.DUMMYFUNCTION("""COMPUTED_VALUE"""),"vanja.svetska@fazi.rs")</f>
        <v>vanja.svetska@fazi.rs</v>
      </c>
      <c r="AI787" s="13"/>
      <c r="AJ787" s="5"/>
      <c r="AK787" s="5"/>
      <c r="AL787" s="5"/>
      <c r="AM787" s="5"/>
      <c r="AN787" s="5"/>
      <c r="AO787" s="5"/>
      <c r="AP787" s="5"/>
      <c r="AQ787" s="5"/>
      <c r="AR787" s="5"/>
      <c r="AS787" s="5"/>
      <c r="AT787" s="5"/>
      <c r="AU787" s="5" t="str">
        <f>IFERROR(__xludf.DUMMYFUNCTION("""COMPUTED_VALUE"""),"Redstone")</f>
        <v>Redstone</v>
      </c>
      <c r="AV787" s="5"/>
      <c r="AW787" s="5"/>
      <c r="AX787" s="13">
        <f>IFERROR(__xludf.DUMMYFUNCTION("""COMPUTED_VALUE"""),46231.0)</f>
        <v>46231</v>
      </c>
      <c r="AY787" s="5"/>
      <c r="AZ787" s="5"/>
      <c r="BA787" s="5"/>
      <c r="BB787" s="5"/>
      <c r="BC787" s="5" t="str">
        <f>IFERROR(__xludf.DUMMYFUNCTION("""COMPUTED_VALUE"""),"Redstone")</f>
        <v>Redstone</v>
      </c>
      <c r="BD787" s="5"/>
      <c r="BE787" s="5"/>
    </row>
    <row r="788">
      <c r="A788" s="5">
        <f>IFERROR(__xludf.DUMMYFUNCTION("""COMPUTED_VALUE"""),826.0)</f>
        <v>826</v>
      </c>
      <c r="B788" s="5">
        <f>IFERROR(__xludf.DUMMYFUNCTION("""COMPUTED_VALUE"""),-1.0)</f>
        <v>-1</v>
      </c>
      <c r="C788" s="5" t="str">
        <f>IFERROR(__xludf.DUMMYFUNCTION("""COMPUTED_VALUE"""),"Redstone")</f>
        <v>Redstone</v>
      </c>
      <c r="D788" s="5" t="str">
        <f>IFERROR(__xludf.DUMMYFUNCTION("""COMPUTED_VALUE"""),"3 Chilli Pots")</f>
        <v>3 Chilli Pots</v>
      </c>
      <c r="E788" s="5" t="str">
        <f>IFERROR(__xludf.DUMMYFUNCTION("""COMPUTED_VALUE"""),"Redstone")</f>
        <v>Redstone</v>
      </c>
      <c r="F788" s="5" t="str">
        <f>IFERROR(__xludf.DUMMYFUNCTION("""COMPUTED_VALUE"""),"TBD")</f>
        <v>TBD</v>
      </c>
      <c r="G788" s="5" t="str">
        <f>IFERROR(__xludf.DUMMYFUNCTION("""COMPUTED_VALUE"""),"Planned")</f>
        <v>Planned</v>
      </c>
      <c r="H788" s="5"/>
      <c r="I788" s="5"/>
      <c r="J788" s="5" t="str">
        <f>IFERROR(__xludf.DUMMYFUNCTION("""COMPUTED_VALUE"""),"JSON")</f>
        <v>JSON</v>
      </c>
      <c r="K788" s="5" t="str">
        <f>IFERROR(__xludf.DUMMYFUNCTION("""COMPUTED_VALUE"""),"Slot")</f>
        <v>Slot</v>
      </c>
      <c r="L788" s="5"/>
      <c r="M788" s="5"/>
      <c r="N788" s="5"/>
      <c r="O788" s="5"/>
      <c r="P788" s="12"/>
      <c r="Q788" s="13"/>
      <c r="R788" s="13"/>
      <c r="S788" s="13"/>
      <c r="T788" s="5"/>
      <c r="U788" s="5"/>
      <c r="V788" s="5"/>
      <c r="W788" s="5"/>
      <c r="X788" s="5"/>
      <c r="Y788" s="5"/>
      <c r="Z788" s="5"/>
      <c r="AA788" s="5"/>
      <c r="AB788" s="5"/>
      <c r="AC788" s="5"/>
      <c r="AD788" s="5"/>
      <c r="AE788" s="5"/>
      <c r="AF788" s="5"/>
      <c r="AG788" s="8">
        <f>IFERROR(__xludf.DUMMYFUNCTION("""COMPUTED_VALUE"""),46181.57896990741)</f>
        <v>46181.57897</v>
      </c>
      <c r="AH788" s="5" t="str">
        <f>IFERROR(__xludf.DUMMYFUNCTION("""COMPUTED_VALUE"""),"danica.stojanovic@fazi.rs")</f>
        <v>danica.stojanovic@fazi.rs</v>
      </c>
      <c r="AI788" s="13"/>
      <c r="AJ788" s="5"/>
      <c r="AK788" s="5"/>
      <c r="AL788" s="5"/>
      <c r="AM788" s="5"/>
      <c r="AN788" s="5"/>
      <c r="AO788" s="5"/>
      <c r="AP788" s="5"/>
      <c r="AQ788" s="5"/>
      <c r="AR788" s="5"/>
      <c r="AS788" s="5"/>
      <c r="AT788" s="5"/>
      <c r="AU788" s="5" t="str">
        <f>IFERROR(__xludf.DUMMYFUNCTION("""COMPUTED_VALUE"""),"Redstone")</f>
        <v>Redstone</v>
      </c>
      <c r="AV788" s="5"/>
      <c r="AW788" s="5"/>
      <c r="AX788" s="13"/>
      <c r="AY788" s="5"/>
      <c r="AZ788" s="5"/>
      <c r="BA788" s="5"/>
      <c r="BB788" s="5"/>
      <c r="BC788" s="5" t="str">
        <f>IFERROR(__xludf.DUMMYFUNCTION("""COMPUTED_VALUE"""),"Redstone")</f>
        <v>Redstone</v>
      </c>
      <c r="BD788" s="5"/>
      <c r="BE788" s="5"/>
    </row>
    <row r="789">
      <c r="A789" s="5">
        <f>IFERROR(__xludf.DUMMYFUNCTION("""COMPUTED_VALUE"""),827.0)</f>
        <v>827</v>
      </c>
      <c r="B789" s="5">
        <f>IFERROR(__xludf.DUMMYFUNCTION("""COMPUTED_VALUE"""),-1.0)</f>
        <v>-1</v>
      </c>
      <c r="C789" s="5" t="str">
        <f>IFERROR(__xludf.DUMMYFUNCTION("""COMPUTED_VALUE"""),"Redstone")</f>
        <v>Redstone</v>
      </c>
      <c r="D789" s="5" t="str">
        <f>IFERROR(__xludf.DUMMYFUNCTION("""COMPUTED_VALUE"""),"Shell Fortune")</f>
        <v>Shell Fortune</v>
      </c>
      <c r="E789" s="5" t="str">
        <f>IFERROR(__xludf.DUMMYFUNCTION("""COMPUTED_VALUE"""),"Redstone")</f>
        <v>Redstone</v>
      </c>
      <c r="F789" s="5" t="str">
        <f>IFERROR(__xludf.DUMMYFUNCTION("""COMPUTED_VALUE"""),"TBD")</f>
        <v>TBD</v>
      </c>
      <c r="G789" s="5" t="str">
        <f>IFERROR(__xludf.DUMMYFUNCTION("""COMPUTED_VALUE"""),"Planned")</f>
        <v>Planned</v>
      </c>
      <c r="H789" s="5"/>
      <c r="I789" s="5"/>
      <c r="J789" s="5" t="str">
        <f>IFERROR(__xludf.DUMMYFUNCTION("""COMPUTED_VALUE"""),"JSON")</f>
        <v>JSON</v>
      </c>
      <c r="K789" s="5" t="str">
        <f>IFERROR(__xludf.DUMMYFUNCTION("""COMPUTED_VALUE"""),"Slot")</f>
        <v>Slot</v>
      </c>
      <c r="L789" s="5"/>
      <c r="M789" s="5"/>
      <c r="N789" s="5"/>
      <c r="O789" s="5"/>
      <c r="P789" s="12"/>
      <c r="Q789" s="13"/>
      <c r="R789" s="13"/>
      <c r="S789" s="13"/>
      <c r="T789" s="5"/>
      <c r="U789" s="5"/>
      <c r="V789" s="5"/>
      <c r="W789" s="5"/>
      <c r="X789" s="5"/>
      <c r="Y789" s="5"/>
      <c r="Z789" s="5"/>
      <c r="AA789" s="5"/>
      <c r="AB789" s="5"/>
      <c r="AC789" s="5"/>
      <c r="AD789" s="5"/>
      <c r="AE789" s="5"/>
      <c r="AF789" s="5"/>
      <c r="AG789" s="8">
        <f>IFERROR(__xludf.DUMMYFUNCTION("""COMPUTED_VALUE"""),46181.5796412037)</f>
        <v>46181.57964</v>
      </c>
      <c r="AH789" s="5" t="str">
        <f>IFERROR(__xludf.DUMMYFUNCTION("""COMPUTED_VALUE"""),"danica.stojanovic@fazi.rs")</f>
        <v>danica.stojanovic@fazi.rs</v>
      </c>
      <c r="AI789" s="13"/>
      <c r="AJ789" s="5"/>
      <c r="AK789" s="5"/>
      <c r="AL789" s="5"/>
      <c r="AM789" s="5"/>
      <c r="AN789" s="5"/>
      <c r="AO789" s="5"/>
      <c r="AP789" s="5"/>
      <c r="AQ789" s="5"/>
      <c r="AR789" s="5"/>
      <c r="AS789" s="5"/>
      <c r="AT789" s="5"/>
      <c r="AU789" s="5" t="str">
        <f>IFERROR(__xludf.DUMMYFUNCTION("""COMPUTED_VALUE"""),"Redstone")</f>
        <v>Redstone</v>
      </c>
      <c r="AV789" s="5"/>
      <c r="AW789" s="5"/>
      <c r="AX789" s="13"/>
      <c r="AY789" s="5"/>
      <c r="AZ789" s="5"/>
      <c r="BA789" s="5"/>
      <c r="BB789" s="5"/>
      <c r="BC789" s="5" t="str">
        <f>IFERROR(__xludf.DUMMYFUNCTION("""COMPUTED_VALUE"""),"Redstone")</f>
        <v>Redstone</v>
      </c>
      <c r="BD789" s="5"/>
      <c r="BE789" s="5"/>
    </row>
    <row r="790">
      <c r="A790" s="5">
        <f>IFERROR(__xludf.DUMMYFUNCTION("""COMPUTED_VALUE"""),828.0)</f>
        <v>828</v>
      </c>
      <c r="B790" s="5">
        <f>IFERROR(__xludf.DUMMYFUNCTION("""COMPUTED_VALUE"""),-1.0)</f>
        <v>-1</v>
      </c>
      <c r="C790" s="5" t="str">
        <f>IFERROR(__xludf.DUMMYFUNCTION("""COMPUTED_VALUE"""),"Redstone")</f>
        <v>Redstone</v>
      </c>
      <c r="D790" s="5" t="str">
        <f>IFERROR(__xludf.DUMMYFUNCTION("""COMPUTED_VALUE"""),"20 Bass Collect")</f>
        <v>20 Bass Collect</v>
      </c>
      <c r="E790" s="5" t="str">
        <f>IFERROR(__xludf.DUMMYFUNCTION("""COMPUTED_VALUE"""),"Redstone")</f>
        <v>Redstone</v>
      </c>
      <c r="F790" s="5" t="str">
        <f>IFERROR(__xludf.DUMMYFUNCTION("""COMPUTED_VALUE"""),"TBD")</f>
        <v>TBD</v>
      </c>
      <c r="G790" s="5" t="str">
        <f>IFERROR(__xludf.DUMMYFUNCTION("""COMPUTED_VALUE"""),"Planned")</f>
        <v>Planned</v>
      </c>
      <c r="H790" s="5"/>
      <c r="I790" s="5"/>
      <c r="J790" s="5" t="str">
        <f>IFERROR(__xludf.DUMMYFUNCTION("""COMPUTED_VALUE"""),"JSON")</f>
        <v>JSON</v>
      </c>
      <c r="K790" s="5" t="str">
        <f>IFERROR(__xludf.DUMMYFUNCTION("""COMPUTED_VALUE"""),"Slot")</f>
        <v>Slot</v>
      </c>
      <c r="L790" s="5"/>
      <c r="M790" s="5"/>
      <c r="N790" s="5"/>
      <c r="O790" s="5"/>
      <c r="P790" s="12"/>
      <c r="Q790" s="13"/>
      <c r="R790" s="13"/>
      <c r="S790" s="13"/>
      <c r="T790" s="5"/>
      <c r="U790" s="5"/>
      <c r="V790" s="5"/>
      <c r="W790" s="5"/>
      <c r="X790" s="5"/>
      <c r="Y790" s="5"/>
      <c r="Z790" s="5"/>
      <c r="AA790" s="5"/>
      <c r="AB790" s="5"/>
      <c r="AC790" s="5"/>
      <c r="AD790" s="5"/>
      <c r="AE790" s="5"/>
      <c r="AF790" s="5"/>
      <c r="AG790" s="8">
        <f>IFERROR(__xludf.DUMMYFUNCTION("""COMPUTED_VALUE"""),46181.58256944444)</f>
        <v>46181.58257</v>
      </c>
      <c r="AH790" s="5" t="str">
        <f>IFERROR(__xludf.DUMMYFUNCTION("""COMPUTED_VALUE"""),"danica.stojanovic@fazi.rs")</f>
        <v>danica.stojanovic@fazi.rs</v>
      </c>
      <c r="AI790" s="13"/>
      <c r="AJ790" s="5"/>
      <c r="AK790" s="5"/>
      <c r="AL790" s="5"/>
      <c r="AM790" s="5"/>
      <c r="AN790" s="5"/>
      <c r="AO790" s="5"/>
      <c r="AP790" s="5"/>
      <c r="AQ790" s="5"/>
      <c r="AR790" s="5"/>
      <c r="AS790" s="5"/>
      <c r="AT790" s="5"/>
      <c r="AU790" s="5" t="str">
        <f>IFERROR(__xludf.DUMMYFUNCTION("""COMPUTED_VALUE"""),"Redstone")</f>
        <v>Redstone</v>
      </c>
      <c r="AV790" s="5"/>
      <c r="AW790" s="5"/>
      <c r="AX790" s="13"/>
      <c r="AY790" s="5"/>
      <c r="AZ790" s="5"/>
      <c r="BA790" s="5"/>
      <c r="BB790" s="5"/>
      <c r="BC790" s="5" t="str">
        <f>IFERROR(__xludf.DUMMYFUNCTION("""COMPUTED_VALUE"""),"Redstone")</f>
        <v>Redstone</v>
      </c>
      <c r="BD790" s="5"/>
      <c r="BE790" s="5"/>
    </row>
    <row r="791">
      <c r="A791" s="5">
        <f>IFERROR(__xludf.DUMMYFUNCTION("""COMPUTED_VALUE"""),829.0)</f>
        <v>829</v>
      </c>
      <c r="B791" s="5">
        <f>IFERROR(__xludf.DUMMYFUNCTION("""COMPUTED_VALUE"""),-1.0)</f>
        <v>-1</v>
      </c>
      <c r="C791" s="5" t="str">
        <f>IFERROR(__xludf.DUMMYFUNCTION("""COMPUTED_VALUE"""),"Redstone")</f>
        <v>Redstone</v>
      </c>
      <c r="D791" s="5" t="str">
        <f>IFERROR(__xludf.DUMMYFUNCTION("""COMPUTED_VALUE"""),"3 Energy Clovers")</f>
        <v>3 Energy Clovers</v>
      </c>
      <c r="E791" s="5" t="str">
        <f>IFERROR(__xludf.DUMMYFUNCTION("""COMPUTED_VALUE"""),"Redstone")</f>
        <v>Redstone</v>
      </c>
      <c r="F791" s="5" t="str">
        <f>IFERROR(__xludf.DUMMYFUNCTION("""COMPUTED_VALUE"""),"TBD")</f>
        <v>TBD</v>
      </c>
      <c r="G791" s="5" t="str">
        <f>IFERROR(__xludf.DUMMYFUNCTION("""COMPUTED_VALUE"""),"Planned")</f>
        <v>Planned</v>
      </c>
      <c r="H791" s="5"/>
      <c r="I791" s="5"/>
      <c r="J791" s="5" t="str">
        <f>IFERROR(__xludf.DUMMYFUNCTION("""COMPUTED_VALUE"""),"JSON")</f>
        <v>JSON</v>
      </c>
      <c r="K791" s="5" t="str">
        <f>IFERROR(__xludf.DUMMYFUNCTION("""COMPUTED_VALUE"""),"Slot")</f>
        <v>Slot</v>
      </c>
      <c r="L791" s="5"/>
      <c r="M791" s="5"/>
      <c r="N791" s="5"/>
      <c r="O791" s="5"/>
      <c r="P791" s="12"/>
      <c r="Q791" s="13"/>
      <c r="R791" s="13"/>
      <c r="S791" s="13"/>
      <c r="T791" s="5"/>
      <c r="U791" s="5"/>
      <c r="V791" s="5"/>
      <c r="W791" s="5"/>
      <c r="X791" s="5"/>
      <c r="Y791" s="5"/>
      <c r="Z791" s="5"/>
      <c r="AA791" s="5"/>
      <c r="AB791" s="5"/>
      <c r="AC791" s="5"/>
      <c r="AD791" s="5"/>
      <c r="AE791" s="5"/>
      <c r="AF791" s="5"/>
      <c r="AG791" s="8">
        <f>IFERROR(__xludf.DUMMYFUNCTION("""COMPUTED_VALUE"""),46181.58944444444)</f>
        <v>46181.58944</v>
      </c>
      <c r="AH791" s="5" t="str">
        <f>IFERROR(__xludf.DUMMYFUNCTION("""COMPUTED_VALUE"""),"danica.stojanovic@fazi.rs")</f>
        <v>danica.stojanovic@fazi.rs</v>
      </c>
      <c r="AI791" s="13"/>
      <c r="AJ791" s="5"/>
      <c r="AK791" s="5"/>
      <c r="AL791" s="5"/>
      <c r="AM791" s="5"/>
      <c r="AN791" s="5"/>
      <c r="AO791" s="5"/>
      <c r="AP791" s="5"/>
      <c r="AQ791" s="5"/>
      <c r="AR791" s="5"/>
      <c r="AS791" s="5"/>
      <c r="AT791" s="5"/>
      <c r="AU791" s="5" t="str">
        <f>IFERROR(__xludf.DUMMYFUNCTION("""COMPUTED_VALUE"""),"Redstone")</f>
        <v>Redstone</v>
      </c>
      <c r="AV791" s="5"/>
      <c r="AW791" s="5"/>
      <c r="AX791" s="13"/>
      <c r="AY791" s="5"/>
      <c r="AZ791" s="5"/>
      <c r="BA791" s="5"/>
      <c r="BB791" s="5"/>
      <c r="BC791" s="5" t="str">
        <f>IFERROR(__xludf.DUMMYFUNCTION("""COMPUTED_VALUE"""),"Redstone")</f>
        <v>Redstone</v>
      </c>
      <c r="BD791" s="5"/>
      <c r="BE791" s="5"/>
    </row>
    <row r="792">
      <c r="A792" s="5">
        <f>IFERROR(__xludf.DUMMYFUNCTION("""COMPUTED_VALUE"""),830.0)</f>
        <v>830</v>
      </c>
      <c r="B792" s="5">
        <f>IFERROR(__xludf.DUMMYFUNCTION("""COMPUTED_VALUE"""),2025.0)</f>
        <v>2025</v>
      </c>
      <c r="C792" s="5" t="str">
        <f>IFERROR(__xludf.DUMMYFUNCTION("""COMPUTED_VALUE"""),"Fazi")</f>
        <v>Fazi</v>
      </c>
      <c r="D792" s="5" t="str">
        <f>IFERROR(__xludf.DUMMYFUNCTION("""COMPUTED_VALUE"""),"Wu Kong 5 ")</f>
        <v>Wu Kong 5 </v>
      </c>
      <c r="E792" s="5" t="str">
        <f>IFERROR(__xludf.DUMMYFUNCTION("""COMPUTED_VALUE"""),"V4-2")</f>
        <v>V4-2</v>
      </c>
      <c r="F792" s="5" t="str">
        <f>IFERROR(__xludf.DUMMYFUNCTION("""COMPUTED_VALUE"""),"WuKong5")</f>
        <v>WuKong5</v>
      </c>
      <c r="G792" s="5" t="str">
        <f>IFERROR(__xludf.DUMMYFUNCTION("""COMPUTED_VALUE"""),"In Development")</f>
        <v>In Development</v>
      </c>
      <c r="H792" s="5"/>
      <c r="I792" s="5" t="str">
        <f>IFERROR(__xludf.DUMMYFUNCTION("""COMPUTED_VALUE"""),"V4")</f>
        <v>V4</v>
      </c>
      <c r="J792" s="5" t="str">
        <f>IFERROR(__xludf.DUMMYFUNCTION("""COMPUTED_VALUE"""),"JSON")</f>
        <v>JSON</v>
      </c>
      <c r="K792" s="5" t="str">
        <f>IFERROR(__xludf.DUMMYFUNCTION("""COMPUTED_VALUE"""),"Slot")</f>
        <v>Slot</v>
      </c>
      <c r="L792" s="5" t="str">
        <f>IFERROR(__xludf.DUMMYFUNCTION("""COMPUTED_VALUE""")," Reskin")</f>
        <v> Reskin</v>
      </c>
      <c r="M792" s="5" t="str">
        <f>IFERROR(__xludf.DUMMYFUNCTION("""COMPUTED_VALUE"""),"Wild 5")</f>
        <v>Wild 5</v>
      </c>
      <c r="N792" s="5"/>
      <c r="O792" s="5"/>
      <c r="P792" s="5">
        <f>IFERROR(__xludf.DUMMYFUNCTION("""COMPUTED_VALUE"""),11.5)</f>
        <v>11.5</v>
      </c>
      <c r="Q792" s="13">
        <f>IFERROR(__xludf.DUMMYFUNCTION("""COMPUTED_VALUE"""),46279.0)</f>
        <v>46279</v>
      </c>
      <c r="R792" s="13"/>
      <c r="S792" s="13">
        <f>IFERROR(__xludf.DUMMYFUNCTION("""COMPUTED_VALUE"""),46345.0)</f>
        <v>46345</v>
      </c>
      <c r="T792" s="5" t="b">
        <f>IFERROR(__xludf.DUMMYFUNCTION("""COMPUTED_VALUE"""),TRUE)</f>
        <v>1</v>
      </c>
      <c r="U792" s="5" t="str">
        <f>IFERROR(__xludf.DUMMYFUNCTION("""COMPUTED_VALUE"""),"3x3")</f>
        <v>3x3</v>
      </c>
      <c r="V792" s="5">
        <f>IFERROR(__xludf.DUMMYFUNCTION("""COMPUTED_VALUE"""),5.0)</f>
        <v>5</v>
      </c>
      <c r="W792" s="5">
        <f>IFERROR(__xludf.DUMMYFUNCTION("""COMPUTED_VALUE"""),5.0)</f>
        <v>5</v>
      </c>
      <c r="X792" s="5">
        <f>IFERROR(__xludf.DUMMYFUNCTION("""COMPUTED_VALUE"""),96.327)</f>
        <v>96.327</v>
      </c>
      <c r="Y792" s="5" t="str">
        <f>IFERROR(__xludf.DUMMYFUNCTION("""COMPUTED_VALUE"""),"High")</f>
        <v>High</v>
      </c>
      <c r="Z792" s="5">
        <f>IFERROR(__xludf.DUMMYFUNCTION("""COMPUTED_VALUE"""),5.553)</f>
        <v>5.553</v>
      </c>
      <c r="AA792" s="5">
        <f>IFERROR(__xludf.DUMMYFUNCTION("""COMPUTED_VALUE"""),100.0)</f>
        <v>100</v>
      </c>
      <c r="AB792" s="5"/>
      <c r="AC792" s="5" t="str">
        <f>IFERROR(__xludf.DUMMYFUNCTION("""COMPUTED_VALUE"""),"Win Multiplier")</f>
        <v>Win Multiplier</v>
      </c>
      <c r="AD792" s="5" t="str">
        <f>IFERROR(__xludf.DUMMYFUNCTION("""COMPUTED_VALUE"""),"0.1/50")</f>
        <v>0.1/50</v>
      </c>
      <c r="AE792" s="5"/>
      <c r="AF792" s="5"/>
      <c r="AG792" s="8">
        <f>IFERROR(__xludf.DUMMYFUNCTION("""COMPUTED_VALUE"""),46273.592835648145)</f>
        <v>46273.59284</v>
      </c>
      <c r="AH792" s="5" t="str">
        <f>IFERROR(__xludf.DUMMYFUNCTION("""COMPUTED_VALUE"""),"aleksandar.matejic@fazi.rs")</f>
        <v>aleksandar.matejic@fazi.rs</v>
      </c>
      <c r="AI792" s="13"/>
      <c r="AJ792" s="5"/>
      <c r="AK792" s="5">
        <f>IFERROR(__xludf.DUMMYFUNCTION("""COMPUTED_VALUE"""),1.0)</f>
        <v>1</v>
      </c>
      <c r="AL792" s="5" t="str">
        <f>IFERROR(__xludf.DUMMYFUNCTION("""COMPUTED_VALUE"""),"No")</f>
        <v>No</v>
      </c>
      <c r="AM792" s="5" t="str">
        <f>IFERROR(__xludf.DUMMYFUNCTION("""COMPUTED_VALUE"""),"No")</f>
        <v>No</v>
      </c>
      <c r="AN792" s="5">
        <f>IFERROR(__xludf.DUMMYFUNCTION("""COMPUTED_VALUE"""),-1.0)</f>
        <v>-1</v>
      </c>
      <c r="AO792" s="5" t="str">
        <f>IFERROR(__xludf.DUMMYFUNCTION("""COMPUTED_VALUE"""),"Yes")</f>
        <v>Yes</v>
      </c>
      <c r="AP792" s="5" t="str">
        <f>IFERROR(__xludf.DUMMYFUNCTION("""COMPUTED_VALUE"""),"Yes")</f>
        <v>Yes</v>
      </c>
      <c r="AQ792" s="5"/>
      <c r="AR792" s="5"/>
      <c r="AS792" s="5">
        <f>IFERROR(__xludf.DUMMYFUNCTION("""COMPUTED_VALUE"""),-1.0)</f>
        <v>-1</v>
      </c>
      <c r="AT792" s="5"/>
      <c r="AU792" s="5" t="str">
        <f>IFERROR(__xludf.DUMMYFUNCTION("""COMPUTED_VALUE"""),"Fazi")</f>
        <v>Fazi</v>
      </c>
      <c r="AV792" s="5">
        <f>IFERROR(__xludf.DUMMYFUNCTION("""COMPUTED_VALUE"""),1.0)</f>
        <v>1</v>
      </c>
      <c r="AW792" s="5"/>
      <c r="AX792" s="13">
        <f>IFERROR(__xludf.DUMMYFUNCTION("""COMPUTED_VALUE"""),46273.0)</f>
        <v>46273</v>
      </c>
      <c r="AY792" s="5" t="str">
        <f>IFERROR(__xludf.DUMMYFUNCTION("""COMPUTED_VALUE"""),"87.5%, 89.5%, 91.5%, 93.5%, 94.5%, 95.5%, 96.5%")</f>
        <v>87.5%, 89.5%, 91.5%, 93.5%, 94.5%, 95.5%, 96.5%</v>
      </c>
      <c r="AZ792" s="5"/>
      <c r="BA792" s="5"/>
      <c r="BB792" s="5"/>
      <c r="BC792" s="5" t="str">
        <f>IFERROR(__xludf.DUMMYFUNCTION("""COMPUTED_VALUE"""),"Foxi")</f>
        <v>Foxi</v>
      </c>
      <c r="BD792" s="5"/>
      <c r="BE792" s="5"/>
    </row>
    <row r="793">
      <c r="A793" s="5">
        <f>IFERROR(__xludf.DUMMYFUNCTION("""COMPUTED_VALUE"""),831.0)</f>
        <v>831</v>
      </c>
      <c r="B793" s="5">
        <f>IFERROR(__xludf.DUMMYFUNCTION("""COMPUTED_VALUE"""),542.0)</f>
        <v>542</v>
      </c>
      <c r="C793" s="5" t="str">
        <f>IFERROR(__xludf.DUMMYFUNCTION("""COMPUTED_VALUE"""),"Playnet")</f>
        <v>Playnet</v>
      </c>
      <c r="D793" s="5" t="str">
        <f>IFERROR(__xludf.DUMMYFUNCTION("""COMPUTED_VALUE"""),"Joker's Crown x2")</f>
        <v>Joker's Crown x2</v>
      </c>
      <c r="E793" s="5" t="str">
        <f>IFERROR(__xludf.DUMMYFUNCTION("""COMPUTED_VALUE"""),"Sertifikacioni")</f>
        <v>Sertifikacioni</v>
      </c>
      <c r="F793" s="5" t="str">
        <f>IFERROR(__xludf.DUMMYFUNCTION("""COMPUTED_VALUE"""),"PlayNetJokersCrownX2")</f>
        <v>PlayNetJokersCrownX2</v>
      </c>
      <c r="G793" s="5" t="str">
        <f>IFERROR(__xludf.DUMMYFUNCTION("""COMPUTED_VALUE"""),"Live")</f>
        <v>Live</v>
      </c>
      <c r="H793" s="5"/>
      <c r="I793" s="5"/>
      <c r="J793" s="5" t="str">
        <f>IFERROR(__xludf.DUMMYFUNCTION("""COMPUTED_VALUE"""),"JSON")</f>
        <v>JSON</v>
      </c>
      <c r="K793" s="5" t="str">
        <f>IFERROR(__xludf.DUMMYFUNCTION("""COMPUTED_VALUE"""),"Slot")</f>
        <v>Slot</v>
      </c>
      <c r="L793" s="5" t="str">
        <f>IFERROR(__xludf.DUMMYFUNCTION("""COMPUTED_VALUE""")," Clone")</f>
        <v> Clone</v>
      </c>
      <c r="M793" s="5" t="str">
        <f>IFERROR(__xludf.DUMMYFUNCTION("""COMPUTED_VALUE"""),"Very Hot 5 Extreme")</f>
        <v>Very Hot 5 Extreme</v>
      </c>
      <c r="N793" s="7" t="str">
        <f>IFERROR(__xludf.DUMMYFUNCTION("""COMPUTED_VALUE"""),"https://drive.google.com/drive/u/1/folders/1ynyT9fcb2h_07JXG8_TQpj3twv80L7TQ")</f>
        <v>https://drive.google.com/drive/u/1/folders/1ynyT9fcb2h_07JXG8_TQpj3twv80L7TQ</v>
      </c>
      <c r="O793" s="7" t="str">
        <f>IFERROR(__xludf.DUMMYFUNCTION("""COMPUTED_VALUE"""),"https://drive.google.com/drive/u/1/folders/1ynyT9fcb2h_07JXG8_TQpj3twv80L7TQ")</f>
        <v>https://drive.google.com/drive/u/1/folders/1ynyT9fcb2h_07JXG8_TQpj3twv80L7TQ</v>
      </c>
      <c r="P793" s="12">
        <f>IFERROR(__xludf.DUMMYFUNCTION("""COMPUTED_VALUE"""),15.0)</f>
        <v>15</v>
      </c>
      <c r="Q793" s="13">
        <f>IFERROR(__xludf.DUMMYFUNCTION("""COMPUTED_VALUE"""),46209.0)</f>
        <v>46209</v>
      </c>
      <c r="R793" s="13">
        <f>IFERROR(__xludf.DUMMYFUNCTION("""COMPUTED_VALUE"""),46203.0)</f>
        <v>46203</v>
      </c>
      <c r="S793" s="13">
        <f>IFERROR(__xludf.DUMMYFUNCTION("""COMPUTED_VALUE"""),46210.0)</f>
        <v>46210</v>
      </c>
      <c r="T793" s="5" t="b">
        <f>IFERROR(__xludf.DUMMYFUNCTION("""COMPUTED_VALUE"""),TRUE)</f>
        <v>1</v>
      </c>
      <c r="U793" s="5" t="str">
        <f>IFERROR(__xludf.DUMMYFUNCTION("""COMPUTED_VALUE"""),"5x3")</f>
        <v>5x3</v>
      </c>
      <c r="V793" s="5">
        <f>IFERROR(__xludf.DUMMYFUNCTION("""COMPUTED_VALUE"""),5.0)</f>
        <v>5</v>
      </c>
      <c r="W793" s="5">
        <f>IFERROR(__xludf.DUMMYFUNCTION("""COMPUTED_VALUE"""),5.0)</f>
        <v>5</v>
      </c>
      <c r="X793" s="5">
        <f>IFERROR(__xludf.DUMMYFUNCTION("""COMPUTED_VALUE"""),96.453)</f>
        <v>96.453</v>
      </c>
      <c r="Y793" s="5" t="str">
        <f>IFERROR(__xludf.DUMMYFUNCTION("""COMPUTED_VALUE"""),"Medium")</f>
        <v>Medium</v>
      </c>
      <c r="Z793" s="5">
        <f>IFERROR(__xludf.DUMMYFUNCTION("""COMPUTED_VALUE"""),14.234)</f>
        <v>14.234</v>
      </c>
      <c r="AA793" s="5">
        <f>IFERROR(__xludf.DUMMYFUNCTION("""COMPUTED_VALUE"""),2642.0)</f>
        <v>2642</v>
      </c>
      <c r="AB793" s="5"/>
      <c r="AC793" s="5" t="str">
        <f>IFERROR(__xludf.DUMMYFUNCTION("""COMPUTED_VALUE"""),"Scatter, Expanding Wild, Wild Multiplier")</f>
        <v>Scatter, Expanding Wild, Wild Multiplier</v>
      </c>
      <c r="AD793" s="5" t="str">
        <f>IFERROR(__xludf.DUMMYFUNCTION("""COMPUTED_VALUE"""),"0.05/30")</f>
        <v>0.05/30</v>
      </c>
      <c r="AE793" s="5"/>
      <c r="AF793" s="5"/>
      <c r="AG793" s="8">
        <f>IFERROR(__xludf.DUMMYFUNCTION("""COMPUTED_VALUE"""),46220.5096875)</f>
        <v>46220.50969</v>
      </c>
      <c r="AH793" s="5" t="str">
        <f>IFERROR(__xludf.DUMMYFUNCTION("""COMPUTED_VALUE"""),"selena.mihajlovic@fazi.rs")</f>
        <v>selena.mihajlovic@fazi.rs</v>
      </c>
      <c r="AI793" s="13"/>
      <c r="AJ793" s="5"/>
      <c r="AK793" s="5"/>
      <c r="AL793" s="5" t="str">
        <f>IFERROR(__xludf.DUMMYFUNCTION("""COMPUTED_VALUE"""),"No")</f>
        <v>No</v>
      </c>
      <c r="AM793" s="5" t="str">
        <f>IFERROR(__xludf.DUMMYFUNCTION("""COMPUTED_VALUE"""),"No")</f>
        <v>No</v>
      </c>
      <c r="AN793" s="7" t="str">
        <f>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AO793" s="5" t="str">
        <f>IFERROR(__xludf.DUMMYFUNCTION("""COMPUTED_VALUE"""),"No")</f>
        <v>No</v>
      </c>
      <c r="AP793" s="5" t="str">
        <f>IFERROR(__xludf.DUMMYFUNCTION("""COMPUTED_VALUE"""),"No")</f>
        <v>No</v>
      </c>
      <c r="AQ793" s="5" t="b">
        <f>IFERROR(__xludf.DUMMYFUNCTION("""COMPUTED_VALUE"""),TRUE)</f>
        <v>1</v>
      </c>
      <c r="AR793" s="5"/>
      <c r="AS793" s="5" t="str">
        <f>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AT793" s="5"/>
      <c r="AU793" s="5" t="str">
        <f>IFERROR(__xludf.DUMMYFUNCTION("""COMPUTED_VALUE"""),"Fazi")</f>
        <v>Fazi</v>
      </c>
      <c r="AV793" s="5"/>
      <c r="AW793" s="5"/>
      <c r="AX793" s="13">
        <f>IFERROR(__xludf.DUMMYFUNCTION("""COMPUTED_VALUE"""),46203.0)</f>
        <v>46203</v>
      </c>
      <c r="AY793" s="5"/>
      <c r="AZ793" s="5"/>
      <c r="BA793" s="5"/>
      <c r="BB793" s="5" t="b">
        <f>IFERROR(__xludf.DUMMYFUNCTION("""COMPUTED_VALUE"""),TRUE)</f>
        <v>1</v>
      </c>
      <c r="BC793" s="5" t="str">
        <f>IFERROR(__xludf.DUMMYFUNCTION("""COMPUTED_VALUE"""),"Playnet")</f>
        <v>Playnet</v>
      </c>
      <c r="BD793" s="7" t="str">
        <f>IFERROR(__xludf.DUMMYFUNCTION("""COMPUTED_VALUE"""),"https://gameserver-store-client-area.orbionlimited.com/Home/IntegrationGameLaunch/client-area?moneyType=0&amp;gameName=PlayNetJokersCrownX2&amp;platform=desktop&amp;languageCode=eng&amp;currency=EUR")</f>
        <v>https://gameserver-store-client-area.orbionlimited.com/Home/IntegrationGameLaunch/client-area?moneyType=0&amp;gameName=PlayNetJokersCrownX2&amp;platform=desktop&amp;languageCode=eng&amp;currency=EUR</v>
      </c>
      <c r="BE793" s="5" t="b">
        <f>IFERROR(__xludf.DUMMYFUNCTION("""COMPUTED_VALUE"""),TRUE)</f>
        <v>1</v>
      </c>
    </row>
    <row r="794">
      <c r="A794" s="5">
        <f>IFERROR(__xludf.DUMMYFUNCTION("""COMPUTED_VALUE"""),832.0)</f>
        <v>832</v>
      </c>
      <c r="B794" s="5">
        <f>IFERROR(__xludf.DUMMYFUNCTION("""COMPUTED_VALUE"""),543.0)</f>
        <v>543</v>
      </c>
      <c r="C794" s="5" t="str">
        <f>IFERROR(__xludf.DUMMYFUNCTION("""COMPUTED_VALUE"""),"Playnet")</f>
        <v>Playnet</v>
      </c>
      <c r="D794" s="5" t="str">
        <f>IFERROR(__xludf.DUMMYFUNCTION("""COMPUTED_VALUE"""),"Roxy: Undercover")</f>
        <v>Roxy: Undercover</v>
      </c>
      <c r="E794" s="5" t="str">
        <f>IFERROR(__xludf.DUMMYFUNCTION("""COMPUTED_VALUE"""),"Sertifikacioni")</f>
        <v>Sertifikacioni</v>
      </c>
      <c r="F794" s="5" t="str">
        <f>IFERROR(__xludf.DUMMYFUNCTION("""COMPUTED_VALUE"""),"PlayNetRoxyUndercover")</f>
        <v>PlayNetRoxyUndercover</v>
      </c>
      <c r="G794" s="5" t="str">
        <f>IFERROR(__xludf.DUMMYFUNCTION("""COMPUTED_VALUE"""),"Live")</f>
        <v>Live</v>
      </c>
      <c r="H794" s="5"/>
      <c r="I794" s="5"/>
      <c r="J794" s="5" t="str">
        <f>IFERROR(__xludf.DUMMYFUNCTION("""COMPUTED_VALUE"""),"JSON")</f>
        <v>JSON</v>
      </c>
      <c r="K794" s="5" t="str">
        <f>IFERROR(__xludf.DUMMYFUNCTION("""COMPUTED_VALUE"""),"Slot")</f>
        <v>Slot</v>
      </c>
      <c r="L794" s="5" t="str">
        <f>IFERROR(__xludf.DUMMYFUNCTION("""COMPUTED_VALUE""")," Clone")</f>
        <v> Clone</v>
      </c>
      <c r="M794" s="5" t="str">
        <f>IFERROR(__xludf.DUMMYFUNCTION("""COMPUTED_VALUE"""),"Lolla's World")</f>
        <v>Lolla's World</v>
      </c>
      <c r="N794" s="7" t="str">
        <f>IFERROR(__xludf.DUMMYFUNCTION("""COMPUTED_VALUE"""),"https://drive.google.com/drive/u/1/folders/1VUsqF4POYyLYFTpmPADn7kSJ-Mhd9zC-")</f>
        <v>https://drive.google.com/drive/u/1/folders/1VUsqF4POYyLYFTpmPADn7kSJ-Mhd9zC-</v>
      </c>
      <c r="O794" s="7" t="str">
        <f>IFERROR(__xludf.DUMMYFUNCTION("""COMPUTED_VALUE"""),"https://drive.google.com/drive/u/1/folders/1VUsqF4POYyLYFTpmPADn7kSJ-Mhd9zC-")</f>
        <v>https://drive.google.com/drive/u/1/folders/1VUsqF4POYyLYFTpmPADn7kSJ-Mhd9zC-</v>
      </c>
      <c r="P794" s="12">
        <f>IFERROR(__xludf.DUMMYFUNCTION("""COMPUTED_VALUE"""),15.0)</f>
        <v>15</v>
      </c>
      <c r="Q794" s="13">
        <f>IFERROR(__xludf.DUMMYFUNCTION("""COMPUTED_VALUE"""),46209.0)</f>
        <v>46209</v>
      </c>
      <c r="R794" s="13">
        <f>IFERROR(__xludf.DUMMYFUNCTION("""COMPUTED_VALUE"""),46209.0)</f>
        <v>46209</v>
      </c>
      <c r="S794" s="13">
        <f>IFERROR(__xludf.DUMMYFUNCTION("""COMPUTED_VALUE"""),46216.0)</f>
        <v>46216</v>
      </c>
      <c r="T794" s="5" t="b">
        <f>IFERROR(__xludf.DUMMYFUNCTION("""COMPUTED_VALUE"""),TRUE)</f>
        <v>1</v>
      </c>
      <c r="U794" s="5" t="str">
        <f>IFERROR(__xludf.DUMMYFUNCTION("""COMPUTED_VALUE"""),"5x4")</f>
        <v>5x4</v>
      </c>
      <c r="V794" s="5">
        <f>IFERROR(__xludf.DUMMYFUNCTION("""COMPUTED_VALUE"""),40.0)</f>
        <v>40</v>
      </c>
      <c r="W794" s="5">
        <f>IFERROR(__xludf.DUMMYFUNCTION("""COMPUTED_VALUE"""),40.0)</f>
        <v>40</v>
      </c>
      <c r="X794" s="5">
        <f>IFERROR(__xludf.DUMMYFUNCTION("""COMPUTED_VALUE"""),95.479)</f>
        <v>95.479</v>
      </c>
      <c r="Y794" s="5" t="str">
        <f>IFERROR(__xludf.DUMMYFUNCTION("""COMPUTED_VALUE"""),"Medium")</f>
        <v>Medium</v>
      </c>
      <c r="Z794" s="5">
        <f>IFERROR(__xludf.DUMMYFUNCTION("""COMPUTED_VALUE"""),14.804)</f>
        <v>14.804</v>
      </c>
      <c r="AA794" s="5">
        <f>IFERROR(__xludf.DUMMYFUNCTION("""COMPUTED_VALUE"""),1000.0)</f>
        <v>1000</v>
      </c>
      <c r="AB794" s="5"/>
      <c r="AC794" s="5" t="str">
        <f>IFERROR(__xludf.DUMMYFUNCTION("""COMPUTED_VALUE"""),"Scatter, Wild Symbol")</f>
        <v>Scatter, Wild Symbol</v>
      </c>
      <c r="AD794" s="5" t="str">
        <f>IFERROR(__xludf.DUMMYFUNCTION("""COMPUTED_VALUE"""),"0.4/60")</f>
        <v>0.4/60</v>
      </c>
      <c r="AE794" s="5"/>
      <c r="AF794" s="5"/>
      <c r="AG794" s="8">
        <f>IFERROR(__xludf.DUMMYFUNCTION("""COMPUTED_VALUE"""),46220.50986111111)</f>
        <v>46220.50986</v>
      </c>
      <c r="AH794" s="5" t="str">
        <f>IFERROR(__xludf.DUMMYFUNCTION("""COMPUTED_VALUE"""),"selena.mihajlovic@fazi.rs")</f>
        <v>selena.mihajlovic@fazi.rs</v>
      </c>
      <c r="AI794" s="13"/>
      <c r="AJ794" s="5"/>
      <c r="AK794" s="5"/>
      <c r="AL794" s="5" t="str">
        <f>IFERROR(__xludf.DUMMYFUNCTION("""COMPUTED_VALUE"""),"No")</f>
        <v>No</v>
      </c>
      <c r="AM794" s="5" t="str">
        <f>IFERROR(__xludf.DUMMYFUNCTION("""COMPUTED_VALUE"""),"No")</f>
        <v>No</v>
      </c>
      <c r="AN794" s="7" t="str">
        <f>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AO794" s="5" t="str">
        <f>IFERROR(__xludf.DUMMYFUNCTION("""COMPUTED_VALUE"""),"No")</f>
        <v>No</v>
      </c>
      <c r="AP794" s="5" t="str">
        <f>IFERROR(__xludf.DUMMYFUNCTION("""COMPUTED_VALUE"""),"No")</f>
        <v>No</v>
      </c>
      <c r="AQ794" s="5" t="b">
        <f>IFERROR(__xludf.DUMMYFUNCTION("""COMPUTED_VALUE"""),TRUE)</f>
        <v>1</v>
      </c>
      <c r="AR794" s="5"/>
      <c r="AS794" s="5" t="str">
        <f>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AT794" s="5"/>
      <c r="AU794" s="5" t="str">
        <f>IFERROR(__xludf.DUMMYFUNCTION("""COMPUTED_VALUE"""),"Fazi")</f>
        <v>Fazi</v>
      </c>
      <c r="AV794" s="5"/>
      <c r="AW794" s="5"/>
      <c r="AX794" s="13">
        <f>IFERROR(__xludf.DUMMYFUNCTION("""COMPUTED_VALUE"""),46203.0)</f>
        <v>46203</v>
      </c>
      <c r="AY794" s="5"/>
      <c r="AZ794" s="5"/>
      <c r="BA794" s="5"/>
      <c r="BB794" s="5" t="b">
        <f>IFERROR(__xludf.DUMMYFUNCTION("""COMPUTED_VALUE"""),TRUE)</f>
        <v>1</v>
      </c>
      <c r="BC794" s="5" t="str">
        <f>IFERROR(__xludf.DUMMYFUNCTION("""COMPUTED_VALUE"""),"Playnet")</f>
        <v>Playnet</v>
      </c>
      <c r="BD794" s="7" t="str">
        <f>IFERROR(__xludf.DUMMYFUNCTION("""COMPUTED_VALUE"""),"https://gameserver-store-client-area.orbionlimited.com/Home/IntegrationGameLaunch/client-area?moneyType=0&amp;gameName=PlayNetRoxyUndercover&amp;platform=desktop&amp;languageCode=eng&amp;currency=EUR")</f>
        <v>https://gameserver-store-client-area.orbionlimited.com/Home/IntegrationGameLaunch/client-area?moneyType=0&amp;gameName=PlayNetRoxyUndercover&amp;platform=desktop&amp;languageCode=eng&amp;currency=EUR</v>
      </c>
      <c r="BE794" s="5" t="b">
        <f>IFERROR(__xludf.DUMMYFUNCTION("""COMPUTED_VALUE"""),TRUE)</f>
        <v>1</v>
      </c>
    </row>
    <row r="795">
      <c r="A795" s="5">
        <f>IFERROR(__xludf.DUMMYFUNCTION("""COMPUTED_VALUE"""),833.0)</f>
        <v>833</v>
      </c>
      <c r="B795" s="5">
        <f>IFERROR(__xludf.DUMMYFUNCTION("""COMPUTED_VALUE"""),544.0)</f>
        <v>544</v>
      </c>
      <c r="C795" s="5" t="str">
        <f>IFERROR(__xludf.DUMMYFUNCTION("""COMPUTED_VALUE"""),"Playnet")</f>
        <v>Playnet</v>
      </c>
      <c r="D795" s="5" t="str">
        <f>IFERROR(__xludf.DUMMYFUNCTION("""COMPUTED_VALUE"""),"Heart Gem 100")</f>
        <v>Heart Gem 100</v>
      </c>
      <c r="E795" s="5" t="str">
        <f>IFERROR(__xludf.DUMMYFUNCTION("""COMPUTED_VALUE"""),"Sertifikacioni")</f>
        <v>Sertifikacioni</v>
      </c>
      <c r="F795" s="5" t="str">
        <f>IFERROR(__xludf.DUMMYFUNCTION("""COMPUTED_VALUE"""),"PlayNetHeartGem100")</f>
        <v>PlayNetHeartGem100</v>
      </c>
      <c r="G795" s="5" t="str">
        <f>IFERROR(__xludf.DUMMYFUNCTION("""COMPUTED_VALUE"""),"Live")</f>
        <v>Live</v>
      </c>
      <c r="H795" s="5"/>
      <c r="I795" s="5"/>
      <c r="J795" s="5" t="str">
        <f>IFERROR(__xludf.DUMMYFUNCTION("""COMPUTED_VALUE"""),"JSON")</f>
        <v>JSON</v>
      </c>
      <c r="K795" s="5" t="str">
        <f>IFERROR(__xludf.DUMMYFUNCTION("""COMPUTED_VALUE"""),"Slot")</f>
        <v>Slot</v>
      </c>
      <c r="L795" s="5" t="str">
        <f>IFERROR(__xludf.DUMMYFUNCTION("""COMPUTED_VALUE""")," Clone")</f>
        <v> Clone</v>
      </c>
      <c r="M795" s="5" t="str">
        <f>IFERROR(__xludf.DUMMYFUNCTION("""COMPUTED_VALUE"""),"Epic Clover 100")</f>
        <v>Epic Clover 100</v>
      </c>
      <c r="N795" s="5"/>
      <c r="O795" s="5"/>
      <c r="P795" s="12">
        <f>IFERROR(__xludf.DUMMYFUNCTION("""COMPUTED_VALUE"""),15.0)</f>
        <v>15</v>
      </c>
      <c r="Q795" s="13">
        <f>IFERROR(__xludf.DUMMYFUNCTION("""COMPUTED_VALUE"""),46209.0)</f>
        <v>46209</v>
      </c>
      <c r="R795" s="13">
        <f>IFERROR(__xludf.DUMMYFUNCTION("""COMPUTED_VALUE"""),46216.0)</f>
        <v>46216</v>
      </c>
      <c r="S795" s="13">
        <f>IFERROR(__xludf.DUMMYFUNCTION("""COMPUTED_VALUE"""),46223.0)</f>
        <v>46223</v>
      </c>
      <c r="T795" s="5" t="b">
        <f>IFERROR(__xludf.DUMMYFUNCTION("""COMPUTED_VALUE"""),TRUE)</f>
        <v>1</v>
      </c>
      <c r="U795" s="5" t="str">
        <f>IFERROR(__xludf.DUMMYFUNCTION("""COMPUTED_VALUE"""),"5x4")</f>
        <v>5x4</v>
      </c>
      <c r="V795" s="5">
        <f>IFERROR(__xludf.DUMMYFUNCTION("""COMPUTED_VALUE"""),100.0)</f>
        <v>100</v>
      </c>
      <c r="W795" s="5">
        <f>IFERROR(__xludf.DUMMYFUNCTION("""COMPUTED_VALUE"""),100.0)</f>
        <v>100</v>
      </c>
      <c r="X795" s="5">
        <f>IFERROR(__xludf.DUMMYFUNCTION("""COMPUTED_VALUE"""),96.502)</f>
        <v>96.502</v>
      </c>
      <c r="Y795" s="5" t="str">
        <f>IFERROR(__xludf.DUMMYFUNCTION("""COMPUTED_VALUE"""),"Medium")</f>
        <v>Medium</v>
      </c>
      <c r="Z795" s="5">
        <f>IFERROR(__xludf.DUMMYFUNCTION("""COMPUTED_VALUE"""),13.309)</f>
        <v>13.309</v>
      </c>
      <c r="AA795" s="5">
        <f>IFERROR(__xludf.DUMMYFUNCTION("""COMPUTED_VALUE"""),3000.0)</f>
        <v>3000</v>
      </c>
      <c r="AB795" s="5"/>
      <c r="AC795" s="5" t="str">
        <f>IFERROR(__xludf.DUMMYFUNCTION("""COMPUTED_VALUE"""),"Scatter, Expanding Wild")</f>
        <v>Scatter, Expanding Wild</v>
      </c>
      <c r="AD795" s="5" t="str">
        <f>IFERROR(__xludf.DUMMYFUNCTION("""COMPUTED_VALUE"""),"1/100")</f>
        <v>1/100</v>
      </c>
      <c r="AE795" s="5"/>
      <c r="AF795" s="5"/>
      <c r="AG795" s="8">
        <f>IFERROR(__xludf.DUMMYFUNCTION("""COMPUTED_VALUE"""),46226.506689814814)</f>
        <v>46226.50669</v>
      </c>
      <c r="AH795" s="5" t="str">
        <f>IFERROR(__xludf.DUMMYFUNCTION("""COMPUTED_VALUE"""),"vanja.svetska@fazi.rs")</f>
        <v>vanja.svetska@fazi.rs</v>
      </c>
      <c r="AI795" s="13"/>
      <c r="AJ795" s="5"/>
      <c r="AK795" s="5"/>
      <c r="AL795" s="5" t="str">
        <f>IFERROR(__xludf.DUMMYFUNCTION("""COMPUTED_VALUE"""),"No")</f>
        <v>No</v>
      </c>
      <c r="AM795" s="5" t="str">
        <f>IFERROR(__xludf.DUMMYFUNCTION("""COMPUTED_VALUE"""),"No")</f>
        <v>No</v>
      </c>
      <c r="AN795" s="7" t="str">
        <f>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AO795" s="5" t="str">
        <f>IFERROR(__xludf.DUMMYFUNCTION("""COMPUTED_VALUE"""),"No")</f>
        <v>No</v>
      </c>
      <c r="AP795" s="5" t="str">
        <f>IFERROR(__xludf.DUMMYFUNCTION("""COMPUTED_VALUE"""),"No")</f>
        <v>No</v>
      </c>
      <c r="AQ795" s="5" t="b">
        <f>IFERROR(__xludf.DUMMYFUNCTION("""COMPUTED_VALUE"""),TRUE)</f>
        <v>1</v>
      </c>
      <c r="AR795" s="5"/>
      <c r="AS795" s="5" t="str">
        <f>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AT795" s="5"/>
      <c r="AU795" s="5" t="str">
        <f>IFERROR(__xludf.DUMMYFUNCTION("""COMPUTED_VALUE"""),"Fazi")</f>
        <v>Fazi</v>
      </c>
      <c r="AV795" s="5"/>
      <c r="AW795" s="5"/>
      <c r="AX795" s="13">
        <f>IFERROR(__xludf.DUMMYFUNCTION("""COMPUTED_VALUE"""),46203.0)</f>
        <v>46203</v>
      </c>
      <c r="AY795" s="5"/>
      <c r="AZ795" s="5"/>
      <c r="BA795" s="5"/>
      <c r="BB795" s="5" t="b">
        <f>IFERROR(__xludf.DUMMYFUNCTION("""COMPUTED_VALUE"""),TRUE)</f>
        <v>1</v>
      </c>
      <c r="BC795" s="5" t="str">
        <f>IFERROR(__xludf.DUMMYFUNCTION("""COMPUTED_VALUE"""),"Playnet")</f>
        <v>Playnet</v>
      </c>
      <c r="BD795" s="7" t="str">
        <f>IFERROR(__xludf.DUMMYFUNCTION("""COMPUTED_VALUE"""),"https://gameserver-store-client-area.orbionlimited.com/Home/IntegrationGameLaunch/client-area?moneyType=0&amp;gameName=PlayNetHeartGem100&amp;platform=desktop&amp;languageCode=eng&amp;currency=EUR")</f>
        <v>https://gameserver-store-client-area.orbionlimited.com/Home/IntegrationGameLaunch/client-area?moneyType=0&amp;gameName=PlayNetHeartGem100&amp;platform=desktop&amp;languageCode=eng&amp;currency=EUR</v>
      </c>
      <c r="BE795" s="5" t="b">
        <f>IFERROR(__xludf.DUMMYFUNCTION("""COMPUTED_VALUE"""),TRUE)</f>
        <v>1</v>
      </c>
    </row>
    <row r="796">
      <c r="A796" s="5">
        <f>IFERROR(__xludf.DUMMYFUNCTION("""COMPUTED_VALUE"""),834.0)</f>
        <v>834</v>
      </c>
      <c r="B796" s="5">
        <f>IFERROR(__xludf.DUMMYFUNCTION("""COMPUTED_VALUE"""),545.0)</f>
        <v>545</v>
      </c>
      <c r="C796" s="5" t="str">
        <f>IFERROR(__xludf.DUMMYFUNCTION("""COMPUTED_VALUE"""),"Playnet")</f>
        <v>Playnet</v>
      </c>
      <c r="D796" s="5" t="str">
        <f>IFERROR(__xludf.DUMMYFUNCTION("""COMPUTED_VALUE"""),"Crown Treasure 10")</f>
        <v>Crown Treasure 10</v>
      </c>
      <c r="E796" s="5" t="str">
        <f>IFERROR(__xludf.DUMMYFUNCTION("""COMPUTED_VALUE"""),"Sertifikacioni")</f>
        <v>Sertifikacioni</v>
      </c>
      <c r="F796" s="5" t="str">
        <f>IFERROR(__xludf.DUMMYFUNCTION("""COMPUTED_VALUE"""),"PlayNetCrownTreasure10")</f>
        <v>PlayNetCrownTreasure10</v>
      </c>
      <c r="G796" s="5" t="str">
        <f>IFERROR(__xludf.DUMMYFUNCTION("""COMPUTED_VALUE"""),"Live")</f>
        <v>Live</v>
      </c>
      <c r="H796" s="5"/>
      <c r="I796" s="5"/>
      <c r="J796" s="5" t="str">
        <f>IFERROR(__xludf.DUMMYFUNCTION("""COMPUTED_VALUE"""),"JSON")</f>
        <v>JSON</v>
      </c>
      <c r="K796" s="5" t="str">
        <f>IFERROR(__xludf.DUMMYFUNCTION("""COMPUTED_VALUE"""),"Slot")</f>
        <v>Slot</v>
      </c>
      <c r="L796" s="5" t="str">
        <f>IFERROR(__xludf.DUMMYFUNCTION("""COMPUTED_VALUE""")," Clone")</f>
        <v> Clone</v>
      </c>
      <c r="M796" s="5" t="str">
        <f>IFERROR(__xludf.DUMMYFUNCTION("""COMPUTED_VALUE"""),"Golden Crown")</f>
        <v>Golden Crown</v>
      </c>
      <c r="N796" s="7" t="str">
        <f>IFERROR(__xludf.DUMMYFUNCTION("""COMPUTED_VALUE"""),"https://drive.google.com/drive/u/1/folders/1BLuE2WJvCB2-CMTqcQovdwwyoTEQF3gl")</f>
        <v>https://drive.google.com/drive/u/1/folders/1BLuE2WJvCB2-CMTqcQovdwwyoTEQF3gl</v>
      </c>
      <c r="O796" s="7" t="str">
        <f>IFERROR(__xludf.DUMMYFUNCTION("""COMPUTED_VALUE"""),"https://drive.google.com/drive/u/1/folders/1BLuE2WJvCB2-CMTqcQovdwwyoTEQF3gl")</f>
        <v>https://drive.google.com/drive/u/1/folders/1BLuE2WJvCB2-CMTqcQovdwwyoTEQF3gl</v>
      </c>
      <c r="P796" s="12">
        <f>IFERROR(__xludf.DUMMYFUNCTION("""COMPUTED_VALUE"""),15.0)</f>
        <v>15</v>
      </c>
      <c r="Q796" s="13">
        <f>IFERROR(__xludf.DUMMYFUNCTION("""COMPUTED_VALUE"""),46223.0)</f>
        <v>46223</v>
      </c>
      <c r="R796" s="13">
        <f>IFERROR(__xludf.DUMMYFUNCTION("""COMPUTED_VALUE"""),46223.0)</f>
        <v>46223</v>
      </c>
      <c r="S796" s="13">
        <f>IFERROR(__xludf.DUMMYFUNCTION("""COMPUTED_VALUE"""),46230.0)</f>
        <v>46230</v>
      </c>
      <c r="T796" s="5" t="b">
        <f>IFERROR(__xludf.DUMMYFUNCTION("""COMPUTED_VALUE"""),TRUE)</f>
        <v>1</v>
      </c>
      <c r="U796" s="5" t="str">
        <f>IFERROR(__xludf.DUMMYFUNCTION("""COMPUTED_VALUE"""),"5x3")</f>
        <v>5x3</v>
      </c>
      <c r="V796" s="5">
        <f>IFERROR(__xludf.DUMMYFUNCTION("""COMPUTED_VALUE"""),10.0)</f>
        <v>10</v>
      </c>
      <c r="W796" s="5">
        <f>IFERROR(__xludf.DUMMYFUNCTION("""COMPUTED_VALUE"""),10.0)</f>
        <v>10</v>
      </c>
      <c r="X796" s="5">
        <f>IFERROR(__xludf.DUMMYFUNCTION("""COMPUTED_VALUE"""),95.962)</f>
        <v>95.962</v>
      </c>
      <c r="Y796" s="5" t="str">
        <f>IFERROR(__xludf.DUMMYFUNCTION("""COMPUTED_VALUE"""),"Medium")</f>
        <v>Medium</v>
      </c>
      <c r="Z796" s="5">
        <f>IFERROR(__xludf.DUMMYFUNCTION("""COMPUTED_VALUE"""),14.634)</f>
        <v>14.634</v>
      </c>
      <c r="AA796" s="5">
        <f>IFERROR(__xludf.DUMMYFUNCTION("""COMPUTED_VALUE"""),1538.0)</f>
        <v>1538</v>
      </c>
      <c r="AB796" s="5"/>
      <c r="AC796" s="5" t="str">
        <f>IFERROR(__xludf.DUMMYFUNCTION("""COMPUTED_VALUE"""),"Scatter, Expanding Wild")</f>
        <v>Scatter, Expanding Wild</v>
      </c>
      <c r="AD796" s="5" t="str">
        <f>IFERROR(__xludf.DUMMYFUNCTION("""COMPUTED_VALUE"""),"0.1/40")</f>
        <v>0.1/40</v>
      </c>
      <c r="AE796" s="5"/>
      <c r="AF796" s="5"/>
      <c r="AG796" s="8">
        <f>IFERROR(__xludf.DUMMYFUNCTION("""COMPUTED_VALUE"""),46231.489965277775)</f>
        <v>46231.48997</v>
      </c>
      <c r="AH796" s="5" t="str">
        <f>IFERROR(__xludf.DUMMYFUNCTION("""COMPUTED_VALUE"""),"vanja.svetska@fazi.rs")</f>
        <v>vanja.svetska@fazi.rs</v>
      </c>
      <c r="AI796" s="13"/>
      <c r="AJ796" s="5"/>
      <c r="AK796" s="5"/>
      <c r="AL796" s="5" t="str">
        <f>IFERROR(__xludf.DUMMYFUNCTION("""COMPUTED_VALUE"""),"No")</f>
        <v>No</v>
      </c>
      <c r="AM796" s="5" t="str">
        <f>IFERROR(__xludf.DUMMYFUNCTION("""COMPUTED_VALUE"""),"No")</f>
        <v>No</v>
      </c>
      <c r="AN796" s="7" t="str">
        <f>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AO796" s="5" t="str">
        <f>IFERROR(__xludf.DUMMYFUNCTION("""COMPUTED_VALUE"""),"No")</f>
        <v>No</v>
      </c>
      <c r="AP796" s="5" t="str">
        <f>IFERROR(__xludf.DUMMYFUNCTION("""COMPUTED_VALUE"""),"No")</f>
        <v>No</v>
      </c>
      <c r="AQ796" s="5" t="b">
        <f>IFERROR(__xludf.DUMMYFUNCTION("""COMPUTED_VALUE"""),TRUE)</f>
        <v>1</v>
      </c>
      <c r="AR796" s="5"/>
      <c r="AS796" s="5" t="str">
        <f>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AT796" s="5"/>
      <c r="AU796" s="5" t="str">
        <f>IFERROR(__xludf.DUMMYFUNCTION("""COMPUTED_VALUE"""),"Fazi")</f>
        <v>Fazi</v>
      </c>
      <c r="AV796" s="5"/>
      <c r="AW796" s="5"/>
      <c r="AX796" s="13">
        <f>IFERROR(__xludf.DUMMYFUNCTION("""COMPUTED_VALUE"""),46217.0)</f>
        <v>46217</v>
      </c>
      <c r="AY796" s="5"/>
      <c r="AZ796" s="5"/>
      <c r="BA796" s="5"/>
      <c r="BB796" s="5" t="b">
        <f>IFERROR(__xludf.DUMMYFUNCTION("""COMPUTED_VALUE"""),TRUE)</f>
        <v>1</v>
      </c>
      <c r="BC796" s="5" t="str">
        <f>IFERROR(__xludf.DUMMYFUNCTION("""COMPUTED_VALUE"""),"Playnet")</f>
        <v>Playnet</v>
      </c>
      <c r="BD796" s="7" t="str">
        <f>IFERROR(__xludf.DUMMYFUNCTION("""COMPUTED_VALUE"""),"https://gameserver-store-client-area.orbionlimited.com/Home/IntegrationGameLaunch/client-area?moneyType=0&amp;gameName=PlayNetCrownTreasure10&amp;platform=desktop&amp;languageCode=eng&amp;currency=EUR")</f>
        <v>https://gameserver-store-client-area.orbionlimited.com/Home/IntegrationGameLaunch/client-area?moneyType=0&amp;gameName=PlayNetCrownTreasure10&amp;platform=desktop&amp;languageCode=eng&amp;currency=EUR</v>
      </c>
      <c r="BE796" s="5" t="b">
        <f>IFERROR(__xludf.DUMMYFUNCTION("""COMPUTED_VALUE"""),TRUE)</f>
        <v>1</v>
      </c>
    </row>
    <row r="797">
      <c r="A797" s="5">
        <f>IFERROR(__xludf.DUMMYFUNCTION("""COMPUTED_VALUE"""),835.0)</f>
        <v>835</v>
      </c>
      <c r="B797" s="5">
        <f>IFERROR(__xludf.DUMMYFUNCTION("""COMPUTED_VALUE"""),546.0)</f>
        <v>546</v>
      </c>
      <c r="C797" s="5" t="str">
        <f>IFERROR(__xludf.DUMMYFUNCTION("""COMPUTED_VALUE"""),"Playnet")</f>
        <v>Playnet</v>
      </c>
      <c r="D797" s="5" t="str">
        <f>IFERROR(__xludf.DUMMYFUNCTION("""COMPUTED_VALUE"""),"Tropic Twist Extreme")</f>
        <v>Tropic Twist Extreme</v>
      </c>
      <c r="E797" s="5" t="str">
        <f>IFERROR(__xludf.DUMMYFUNCTION("""COMPUTED_VALUE"""),"Sertifikacioni")</f>
        <v>Sertifikacioni</v>
      </c>
      <c r="F797" s="5" t="str">
        <f>IFERROR(__xludf.DUMMYFUNCTION("""COMPUTED_VALUE"""),"PlayNetTropicTwistExtreme")</f>
        <v>PlayNetTropicTwistExtreme</v>
      </c>
      <c r="G797" s="5" t="str">
        <f>IFERROR(__xludf.DUMMYFUNCTION("""COMPUTED_VALUE"""),"Live")</f>
        <v>Live</v>
      </c>
      <c r="H797" s="5"/>
      <c r="I797" s="5"/>
      <c r="J797" s="5" t="str">
        <f>IFERROR(__xludf.DUMMYFUNCTION("""COMPUTED_VALUE"""),"JSON")</f>
        <v>JSON</v>
      </c>
      <c r="K797" s="5" t="str">
        <f>IFERROR(__xludf.DUMMYFUNCTION("""COMPUTED_VALUE"""),"Slot")</f>
        <v>Slot</v>
      </c>
      <c r="L797" s="5" t="str">
        <f>IFERROR(__xludf.DUMMYFUNCTION("""COMPUTED_VALUE""")," Clone")</f>
        <v> Clone</v>
      </c>
      <c r="M797" s="5" t="str">
        <f>IFERROR(__xludf.DUMMYFUNCTION("""COMPUTED_VALUE"""),"Wild 27 Extreme")</f>
        <v>Wild 27 Extreme</v>
      </c>
      <c r="N797" s="7" t="str">
        <f>IFERROR(__xludf.DUMMYFUNCTION("""COMPUTED_VALUE"""),"https://drive.google.com/drive/u/1/folders/1u9zSqrdT7upTpz3uiJRAuTNt3RZYGlWX")</f>
        <v>https://drive.google.com/drive/u/1/folders/1u9zSqrdT7upTpz3uiJRAuTNt3RZYGlWX</v>
      </c>
      <c r="O797" s="7" t="str">
        <f>IFERROR(__xludf.DUMMYFUNCTION("""COMPUTED_VALUE"""),"https://drive.google.com/drive/u/1/folders/1u9zSqrdT7upTpz3uiJRAuTNt3RZYGlWX")</f>
        <v>https://drive.google.com/drive/u/1/folders/1u9zSqrdT7upTpz3uiJRAuTNt3RZYGlWX</v>
      </c>
      <c r="P797" s="12">
        <f>IFERROR(__xludf.DUMMYFUNCTION("""COMPUTED_VALUE"""),14.0)</f>
        <v>14</v>
      </c>
      <c r="Q797" s="13">
        <f>IFERROR(__xludf.DUMMYFUNCTION("""COMPUTED_VALUE"""),46223.0)</f>
        <v>46223</v>
      </c>
      <c r="R797" s="13">
        <f>IFERROR(__xludf.DUMMYFUNCTION("""COMPUTED_VALUE"""),46230.0)</f>
        <v>46230</v>
      </c>
      <c r="S797" s="13">
        <f>IFERROR(__xludf.DUMMYFUNCTION("""COMPUTED_VALUE"""),46237.0)</f>
        <v>46237</v>
      </c>
      <c r="T797" s="5" t="b">
        <f>IFERROR(__xludf.DUMMYFUNCTION("""COMPUTED_VALUE"""),TRUE)</f>
        <v>1</v>
      </c>
      <c r="U797" s="5" t="str">
        <f>IFERROR(__xludf.DUMMYFUNCTION("""COMPUTED_VALUE"""),"3x3")</f>
        <v>3x3</v>
      </c>
      <c r="V797" s="5">
        <f>IFERROR(__xludf.DUMMYFUNCTION("""COMPUTED_VALUE"""),27.0)</f>
        <v>27</v>
      </c>
      <c r="W797" s="5">
        <f>IFERROR(__xludf.DUMMYFUNCTION("""COMPUTED_VALUE"""),27.0)</f>
        <v>27</v>
      </c>
      <c r="X797" s="5">
        <f>IFERROR(__xludf.DUMMYFUNCTION("""COMPUTED_VALUE"""),96.516)</f>
        <v>96.516</v>
      </c>
      <c r="Y797" s="5" t="str">
        <f>IFERROR(__xludf.DUMMYFUNCTION("""COMPUTED_VALUE"""),"High")</f>
        <v>High</v>
      </c>
      <c r="Z797" s="5">
        <f>IFERROR(__xludf.DUMMYFUNCTION("""COMPUTED_VALUE"""),6.72)</f>
        <v>6.72</v>
      </c>
      <c r="AA797" s="5">
        <f>IFERROR(__xludf.DUMMYFUNCTION("""COMPUTED_VALUE"""),3240.0)</f>
        <v>3240</v>
      </c>
      <c r="AB797" s="5"/>
      <c r="AC797" s="5" t="str">
        <f>IFERROR(__xludf.DUMMYFUNCTION("""COMPUTED_VALUE"""),"Win Multiplier")</f>
        <v>Win Multiplier</v>
      </c>
      <c r="AD797" s="5" t="str">
        <f>IFERROR(__xludf.DUMMYFUNCTION("""COMPUTED_VALUE"""),"0.1/50")</f>
        <v>0.1/50</v>
      </c>
      <c r="AE797" s="5"/>
      <c r="AF797" s="5"/>
      <c r="AG797" s="8">
        <f>IFERROR(__xludf.DUMMYFUNCTION("""COMPUTED_VALUE"""),46248.429456018515)</f>
        <v>46248.42946</v>
      </c>
      <c r="AH797" s="5"/>
      <c r="AI797" s="13"/>
      <c r="AJ797" s="5"/>
      <c r="AK797" s="5"/>
      <c r="AL797" s="5" t="str">
        <f>IFERROR(__xludf.DUMMYFUNCTION("""COMPUTED_VALUE"""),"No")</f>
        <v>No</v>
      </c>
      <c r="AM797" s="5" t="str">
        <f>IFERROR(__xludf.DUMMYFUNCTION("""COMPUTED_VALUE"""),"No")</f>
        <v>No</v>
      </c>
      <c r="AN797" s="7" t="str">
        <f>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AO797" s="5" t="str">
        <f>IFERROR(__xludf.DUMMYFUNCTION("""COMPUTED_VALUE"""),"No")</f>
        <v>No</v>
      </c>
      <c r="AP797" s="5" t="str">
        <f>IFERROR(__xludf.DUMMYFUNCTION("""COMPUTED_VALUE"""),"No")</f>
        <v>No</v>
      </c>
      <c r="AQ797" s="5" t="b">
        <f>IFERROR(__xludf.DUMMYFUNCTION("""COMPUTED_VALUE"""),TRUE)</f>
        <v>1</v>
      </c>
      <c r="AR797" s="5"/>
      <c r="AS797" s="5" t="str">
        <f>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AT797" s="5"/>
      <c r="AU797" s="5" t="str">
        <f>IFERROR(__xludf.DUMMYFUNCTION("""COMPUTED_VALUE"""),"Fazi")</f>
        <v>Fazi</v>
      </c>
      <c r="AV797" s="5"/>
      <c r="AW797" s="5"/>
      <c r="AX797" s="13">
        <f>IFERROR(__xludf.DUMMYFUNCTION("""COMPUTED_VALUE"""),46217.0)</f>
        <v>46217</v>
      </c>
      <c r="AY797" s="5"/>
      <c r="AZ797" s="5"/>
      <c r="BA797" s="5"/>
      <c r="BB797" s="5" t="b">
        <f>IFERROR(__xludf.DUMMYFUNCTION("""COMPUTED_VALUE"""),TRUE)</f>
        <v>1</v>
      </c>
      <c r="BC797" s="5" t="str">
        <f>IFERROR(__xludf.DUMMYFUNCTION("""COMPUTED_VALUE"""),"Playnet")</f>
        <v>Playnet</v>
      </c>
      <c r="BD797" s="7" t="str">
        <f>IFERROR(__xludf.DUMMYFUNCTION("""COMPUTED_VALUE"""),"https://gameserver-store-client-area.orbionlimited.com/Home/IntegrationGameLaunch/client-area?moneyType=0&amp;gameName=PlayNetTropicTwistExtreme&amp;platform=desktop&amp;languageCode=eng&amp;currency=EUR")</f>
        <v>https://gameserver-store-client-area.orbionlimited.com/Home/IntegrationGameLaunch/client-area?moneyType=0&amp;gameName=PlayNetTropicTwistExtreme&amp;platform=desktop&amp;languageCode=eng&amp;currency=EUR</v>
      </c>
      <c r="BE797" s="5" t="b">
        <f>IFERROR(__xludf.DUMMYFUNCTION("""COMPUTED_VALUE"""),TRUE)</f>
        <v>1</v>
      </c>
    </row>
    <row r="798">
      <c r="A798" s="5">
        <f>IFERROR(__xludf.DUMMYFUNCTION("""COMPUTED_VALUE"""),836.0)</f>
        <v>836</v>
      </c>
      <c r="B798" s="5">
        <f>IFERROR(__xludf.DUMMYFUNCTION("""COMPUTED_VALUE"""),547.0)</f>
        <v>547</v>
      </c>
      <c r="C798" s="5" t="str">
        <f>IFERROR(__xludf.DUMMYFUNCTION("""COMPUTED_VALUE"""),"Playnet")</f>
        <v>Playnet</v>
      </c>
      <c r="D798" s="5" t="str">
        <f>IFERROR(__xludf.DUMMYFUNCTION("""COMPUTED_VALUE"""),"Clover Wealth 5")</f>
        <v>Clover Wealth 5</v>
      </c>
      <c r="E798" s="5" t="str">
        <f>IFERROR(__xludf.DUMMYFUNCTION("""COMPUTED_VALUE"""),"Sertifikacioni")</f>
        <v>Sertifikacioni</v>
      </c>
      <c r="F798" s="5" t="str">
        <f>IFERROR(__xludf.DUMMYFUNCTION("""COMPUTED_VALUE"""),"PlayNetCloverWealth5")</f>
        <v>PlayNetCloverWealth5</v>
      </c>
      <c r="G798" s="5" t="str">
        <f>IFERROR(__xludf.DUMMYFUNCTION("""COMPUTED_VALUE"""),"Live")</f>
        <v>Live</v>
      </c>
      <c r="H798" s="5"/>
      <c r="I798" s="5"/>
      <c r="J798" s="5" t="str">
        <f>IFERROR(__xludf.DUMMYFUNCTION("""COMPUTED_VALUE"""),"JSON")</f>
        <v>JSON</v>
      </c>
      <c r="K798" s="5" t="str">
        <f>IFERROR(__xludf.DUMMYFUNCTION("""COMPUTED_VALUE"""),"Slot")</f>
        <v>Slot</v>
      </c>
      <c r="L798" s="5" t="str">
        <f>IFERROR(__xludf.DUMMYFUNCTION("""COMPUTED_VALUE""")," Clone")</f>
        <v> Clone</v>
      </c>
      <c r="M798" s="5" t="str">
        <f>IFERROR(__xludf.DUMMYFUNCTION("""COMPUTED_VALUE"""),"Very Hot 5")</f>
        <v>Very Hot 5</v>
      </c>
      <c r="N798" s="5"/>
      <c r="O798" s="5"/>
      <c r="P798" s="12">
        <f>IFERROR(__xludf.DUMMYFUNCTION("""COMPUTED_VALUE"""),15.0)</f>
        <v>15</v>
      </c>
      <c r="Q798" s="13">
        <f>IFERROR(__xludf.DUMMYFUNCTION("""COMPUTED_VALUE"""),46237.0)</f>
        <v>46237</v>
      </c>
      <c r="R798" s="13">
        <f>IFERROR(__xludf.DUMMYFUNCTION("""COMPUTED_VALUE"""),46240.0)</f>
        <v>46240</v>
      </c>
      <c r="S798" s="13">
        <f>IFERROR(__xludf.DUMMYFUNCTION("""COMPUTED_VALUE"""),46247.0)</f>
        <v>46247</v>
      </c>
      <c r="T798" s="5" t="b">
        <f>IFERROR(__xludf.DUMMYFUNCTION("""COMPUTED_VALUE"""),TRUE)</f>
        <v>1</v>
      </c>
      <c r="U798" s="5" t="str">
        <f>IFERROR(__xludf.DUMMYFUNCTION("""COMPUTED_VALUE"""),"5x3")</f>
        <v>5x3</v>
      </c>
      <c r="V798" s="5">
        <f>IFERROR(__xludf.DUMMYFUNCTION("""COMPUTED_VALUE"""),5.0)</f>
        <v>5</v>
      </c>
      <c r="W798" s="5">
        <f>IFERROR(__xludf.DUMMYFUNCTION("""COMPUTED_VALUE"""),5.0)</f>
        <v>5</v>
      </c>
      <c r="X798" s="5">
        <f>IFERROR(__xludf.DUMMYFUNCTION("""COMPUTED_VALUE"""),96.447)</f>
        <v>96.447</v>
      </c>
      <c r="Y798" s="5" t="str">
        <f>IFERROR(__xludf.DUMMYFUNCTION("""COMPUTED_VALUE"""),"Medium")</f>
        <v>Medium</v>
      </c>
      <c r="Z798" s="5">
        <f>IFERROR(__xludf.DUMMYFUNCTION("""COMPUTED_VALUE"""),14.505)</f>
        <v>14.505</v>
      </c>
      <c r="AA798" s="5">
        <f>IFERROR(__xludf.DUMMYFUNCTION("""COMPUTED_VALUE"""),1222.0)</f>
        <v>1222</v>
      </c>
      <c r="AB798" s="5"/>
      <c r="AC798" s="5" t="str">
        <f>IFERROR(__xludf.DUMMYFUNCTION("""COMPUTED_VALUE"""),"Expanding Wild, Scatter")</f>
        <v>Expanding Wild, Scatter</v>
      </c>
      <c r="AD798" s="5" t="str">
        <f>IFERROR(__xludf.DUMMYFUNCTION("""COMPUTED_VALUE"""),"0.05/30")</f>
        <v>0.05/30</v>
      </c>
      <c r="AE798" s="5"/>
      <c r="AF798" s="5"/>
      <c r="AG798" s="8">
        <f>IFERROR(__xludf.DUMMYFUNCTION("""COMPUTED_VALUE"""),46252.445185185185)</f>
        <v>46252.44519</v>
      </c>
      <c r="AH798" s="5" t="str">
        <f>IFERROR(__xludf.DUMMYFUNCTION("""COMPUTED_VALUE"""),"vanja.svetska@fazi.rs")</f>
        <v>vanja.svetska@fazi.rs</v>
      </c>
      <c r="AI798" s="13"/>
      <c r="AJ798" s="5"/>
      <c r="AK798" s="5">
        <f>IFERROR(__xludf.DUMMYFUNCTION("""COMPUTED_VALUE"""),5.0)</f>
        <v>5</v>
      </c>
      <c r="AL798" s="5" t="str">
        <f>IFERROR(__xludf.DUMMYFUNCTION("""COMPUTED_VALUE"""),"No")</f>
        <v>No</v>
      </c>
      <c r="AM798" s="5" t="str">
        <f>IFERROR(__xludf.DUMMYFUNCTION("""COMPUTED_VALUE"""),"No")</f>
        <v>No</v>
      </c>
      <c r="AN798" s="7" t="str">
        <f>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AO798" s="5" t="str">
        <f>IFERROR(__xludf.DUMMYFUNCTION("""COMPUTED_VALUE"""),"No")</f>
        <v>No</v>
      </c>
      <c r="AP798" s="5" t="str">
        <f>IFERROR(__xludf.DUMMYFUNCTION("""COMPUTED_VALUE"""),"No")</f>
        <v>No</v>
      </c>
      <c r="AQ798" s="5" t="b">
        <f>IFERROR(__xludf.DUMMYFUNCTION("""COMPUTED_VALUE"""),TRUE)</f>
        <v>1</v>
      </c>
      <c r="AR798" s="5"/>
      <c r="AS798" s="5" t="str">
        <f>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AT798" s="5"/>
      <c r="AU798" s="5" t="str">
        <f>IFERROR(__xludf.DUMMYFUNCTION("""COMPUTED_VALUE"""),"Fazi")</f>
        <v>Fazi</v>
      </c>
      <c r="AV798" s="5">
        <f>IFERROR(__xludf.DUMMYFUNCTION("""COMPUTED_VALUE"""),1.0)</f>
        <v>1</v>
      </c>
      <c r="AW798" s="5"/>
      <c r="AX798" s="13">
        <f>IFERROR(__xludf.DUMMYFUNCTION("""COMPUTED_VALUE"""),46231.0)</f>
        <v>46231</v>
      </c>
      <c r="AY798" s="5"/>
      <c r="AZ798" s="5"/>
      <c r="BA798" s="5"/>
      <c r="BB798" s="5" t="b">
        <f>IFERROR(__xludf.DUMMYFUNCTION("""COMPUTED_VALUE"""),TRUE)</f>
        <v>1</v>
      </c>
      <c r="BC798" s="5" t="str">
        <f>IFERROR(__xludf.DUMMYFUNCTION("""COMPUTED_VALUE"""),"Playnet")</f>
        <v>Playnet</v>
      </c>
      <c r="BD798" s="7" t="str">
        <f>IFERROR(__xludf.DUMMYFUNCTION("""COMPUTED_VALUE"""),"https://gameserver-store-client-area.orbionlimited.com/Home/IntegrationGameLaunch/client-area?moneyType=0&amp;gameName=PlayNetCloverWealth5&amp;platform=desktop&amp;languageCode=eng&amp;currency=EUR")</f>
        <v>https://gameserver-store-client-area.orbionlimited.com/Home/IntegrationGameLaunch/client-area?moneyType=0&amp;gameName=PlayNetCloverWealth5&amp;platform=desktop&amp;languageCode=eng&amp;currency=EUR</v>
      </c>
      <c r="BE798" s="5" t="b">
        <f>IFERROR(__xludf.DUMMYFUNCTION("""COMPUTED_VALUE"""),TRUE)</f>
        <v>1</v>
      </c>
    </row>
    <row r="799">
      <c r="A799" s="5">
        <f>IFERROR(__xludf.DUMMYFUNCTION("""COMPUTED_VALUE"""),837.0)</f>
        <v>837</v>
      </c>
      <c r="B799" s="5">
        <f>IFERROR(__xludf.DUMMYFUNCTION("""COMPUTED_VALUE"""),548.0)</f>
        <v>548</v>
      </c>
      <c r="C799" s="5" t="str">
        <f>IFERROR(__xludf.DUMMYFUNCTION("""COMPUTED_VALUE"""),"Playnet")</f>
        <v>Playnet</v>
      </c>
      <c r="D799" s="5" t="str">
        <f>IFERROR(__xludf.DUMMYFUNCTION("""COMPUTED_VALUE"""),"27 Lucky Crown")</f>
        <v>27 Lucky Crown</v>
      </c>
      <c r="E799" s="5" t="str">
        <f>IFERROR(__xludf.DUMMYFUNCTION("""COMPUTED_VALUE"""),"Sertifikacioni")</f>
        <v>Sertifikacioni</v>
      </c>
      <c r="F799" s="5" t="str">
        <f>IFERROR(__xludf.DUMMYFUNCTION("""COMPUTED_VALUE"""),"PlayNet27LuckyCrown")</f>
        <v>PlayNet27LuckyCrown</v>
      </c>
      <c r="G799" s="5" t="str">
        <f>IFERROR(__xludf.DUMMYFUNCTION("""COMPUTED_VALUE"""),"Live")</f>
        <v>Live</v>
      </c>
      <c r="H799" s="5"/>
      <c r="I799" s="5"/>
      <c r="J799" s="5" t="str">
        <f>IFERROR(__xludf.DUMMYFUNCTION("""COMPUTED_VALUE"""),"JSON")</f>
        <v>JSON</v>
      </c>
      <c r="K799" s="5" t="str">
        <f>IFERROR(__xludf.DUMMYFUNCTION("""COMPUTED_VALUE"""),"Slot")</f>
        <v>Slot</v>
      </c>
      <c r="L799" s="5" t="str">
        <f>IFERROR(__xludf.DUMMYFUNCTION("""COMPUTED_VALUE""")," Clone")</f>
        <v> Clone</v>
      </c>
      <c r="M799" s="5" t="str">
        <f>IFERROR(__xludf.DUMMYFUNCTION("""COMPUTED_VALUE"""),"Wild 27 Extreme")</f>
        <v>Wild 27 Extreme</v>
      </c>
      <c r="N799" s="5"/>
      <c r="O799" s="5"/>
      <c r="P799" s="12">
        <f>IFERROR(__xludf.DUMMYFUNCTION("""COMPUTED_VALUE"""),13.0)</f>
        <v>13</v>
      </c>
      <c r="Q799" s="13">
        <f>IFERROR(__xludf.DUMMYFUNCTION("""COMPUTED_VALUE"""),46237.0)</f>
        <v>46237</v>
      </c>
      <c r="R799" s="13">
        <f>IFERROR(__xludf.DUMMYFUNCTION("""COMPUTED_VALUE"""),46244.0)</f>
        <v>46244</v>
      </c>
      <c r="S799" s="13">
        <f>IFERROR(__xludf.DUMMYFUNCTION("""COMPUTED_VALUE"""),46251.0)</f>
        <v>46251</v>
      </c>
      <c r="T799" s="5" t="b">
        <f>IFERROR(__xludf.DUMMYFUNCTION("""COMPUTED_VALUE"""),TRUE)</f>
        <v>1</v>
      </c>
      <c r="U799" s="5" t="str">
        <f>IFERROR(__xludf.DUMMYFUNCTION("""COMPUTED_VALUE"""),"3x3")</f>
        <v>3x3</v>
      </c>
      <c r="V799" s="5">
        <f>IFERROR(__xludf.DUMMYFUNCTION("""COMPUTED_VALUE"""),27.0)</f>
        <v>27</v>
      </c>
      <c r="W799" s="5">
        <f>IFERROR(__xludf.DUMMYFUNCTION("""COMPUTED_VALUE"""),27.0)</f>
        <v>27</v>
      </c>
      <c r="X799" s="5">
        <f>IFERROR(__xludf.DUMMYFUNCTION("""COMPUTED_VALUE"""),96.516)</f>
        <v>96.516</v>
      </c>
      <c r="Y799" s="5" t="str">
        <f>IFERROR(__xludf.DUMMYFUNCTION("""COMPUTED_VALUE"""),"High")</f>
        <v>High</v>
      </c>
      <c r="Z799" s="5">
        <f>IFERROR(__xludf.DUMMYFUNCTION("""COMPUTED_VALUE"""),6.72)</f>
        <v>6.72</v>
      </c>
      <c r="AA799" s="5">
        <f>IFERROR(__xludf.DUMMYFUNCTION("""COMPUTED_VALUE"""),3240.0)</f>
        <v>3240</v>
      </c>
      <c r="AB799" s="5"/>
      <c r="AC799" s="5" t="str">
        <f>IFERROR(__xludf.DUMMYFUNCTION("""COMPUTED_VALUE"""),"Win Multiplier")</f>
        <v>Win Multiplier</v>
      </c>
      <c r="AD799" s="5" t="str">
        <f>IFERROR(__xludf.DUMMYFUNCTION("""COMPUTED_VALUE"""),"0.1/50")</f>
        <v>0.1/50</v>
      </c>
      <c r="AE799" s="5"/>
      <c r="AF799" s="5"/>
      <c r="AG799" s="8">
        <f>IFERROR(__xludf.DUMMYFUNCTION("""COMPUTED_VALUE"""),46252.445625)</f>
        <v>46252.44563</v>
      </c>
      <c r="AH799" s="5" t="str">
        <f>IFERROR(__xludf.DUMMYFUNCTION("""COMPUTED_VALUE"""),"vanja.svetska@fazi.rs")</f>
        <v>vanja.svetska@fazi.rs</v>
      </c>
      <c r="AI799" s="13"/>
      <c r="AJ799" s="5"/>
      <c r="AK799" s="5">
        <f>IFERROR(__xludf.DUMMYFUNCTION("""COMPUTED_VALUE"""),1.0)</f>
        <v>1</v>
      </c>
      <c r="AL799" s="5" t="str">
        <f>IFERROR(__xludf.DUMMYFUNCTION("""COMPUTED_VALUE"""),"No")</f>
        <v>No</v>
      </c>
      <c r="AM799" s="5" t="str">
        <f>IFERROR(__xludf.DUMMYFUNCTION("""COMPUTED_VALUE"""),"No")</f>
        <v>No</v>
      </c>
      <c r="AN799" s="7" t="str">
        <f>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AO799" s="5" t="str">
        <f>IFERROR(__xludf.DUMMYFUNCTION("""COMPUTED_VALUE"""),"No")</f>
        <v>No</v>
      </c>
      <c r="AP799" s="5" t="str">
        <f>IFERROR(__xludf.DUMMYFUNCTION("""COMPUTED_VALUE"""),"No")</f>
        <v>No</v>
      </c>
      <c r="AQ799" s="5" t="b">
        <f>IFERROR(__xludf.DUMMYFUNCTION("""COMPUTED_VALUE"""),TRUE)</f>
        <v>1</v>
      </c>
      <c r="AR799" s="5"/>
      <c r="AS799" s="5" t="str">
        <f>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AT799" s="5"/>
      <c r="AU799" s="5" t="str">
        <f>IFERROR(__xludf.DUMMYFUNCTION("""COMPUTED_VALUE"""),"Fazi")</f>
        <v>Fazi</v>
      </c>
      <c r="AV799" s="5">
        <f>IFERROR(__xludf.DUMMYFUNCTION("""COMPUTED_VALUE"""),1.0)</f>
        <v>1</v>
      </c>
      <c r="AW799" s="5"/>
      <c r="AX799" s="13">
        <f>IFERROR(__xludf.DUMMYFUNCTION("""COMPUTED_VALUE"""),46231.0)</f>
        <v>46231</v>
      </c>
      <c r="AY799" s="5"/>
      <c r="AZ799" s="5"/>
      <c r="BA799" s="5"/>
      <c r="BB799" s="5" t="b">
        <f>IFERROR(__xludf.DUMMYFUNCTION("""COMPUTED_VALUE"""),TRUE)</f>
        <v>1</v>
      </c>
      <c r="BC799" s="5" t="str">
        <f>IFERROR(__xludf.DUMMYFUNCTION("""COMPUTED_VALUE"""),"Playnet")</f>
        <v>Playnet</v>
      </c>
      <c r="BD799" s="7" t="str">
        <f>IFERROR(__xludf.DUMMYFUNCTION("""COMPUTED_VALUE"""),"https://gameserver-store-client-area.orbionlimited.com/Home/IntegrationGameLaunch/client-area?moneyType=0&amp;gameName=PlayNet27LuckyCrown&amp;platform=desktop&amp;languageCode=eng&amp;currency=EUR")</f>
        <v>https://gameserver-store-client-area.orbionlimited.com/Home/IntegrationGameLaunch/client-area?moneyType=0&amp;gameName=PlayNet27LuckyCrown&amp;platform=desktop&amp;languageCode=eng&amp;currency=EUR</v>
      </c>
      <c r="BE799" s="5" t="b">
        <f>IFERROR(__xludf.DUMMYFUNCTION("""COMPUTED_VALUE"""),TRUE)</f>
        <v>1</v>
      </c>
    </row>
    <row r="800">
      <c r="A800" s="5">
        <f>IFERROR(__xludf.DUMMYFUNCTION("""COMPUTED_VALUE"""),838.0)</f>
        <v>838</v>
      </c>
      <c r="B800" s="5">
        <f>IFERROR(__xludf.DUMMYFUNCTION("""COMPUTED_VALUE"""),549.0)</f>
        <v>549</v>
      </c>
      <c r="C800" s="5" t="str">
        <f>IFERROR(__xludf.DUMMYFUNCTION("""COMPUTED_VALUE"""),"Playnet")</f>
        <v>Playnet</v>
      </c>
      <c r="D800" s="5" t="str">
        <f>IFERROR(__xludf.DUMMYFUNCTION("""COMPUTED_VALUE"""),"Royal Flame x2")</f>
        <v>Royal Flame x2</v>
      </c>
      <c r="E800" s="5" t="str">
        <f>IFERROR(__xludf.DUMMYFUNCTION("""COMPUTED_VALUE"""),"Sertifikacioni")</f>
        <v>Sertifikacioni</v>
      </c>
      <c r="F800" s="5" t="str">
        <f>IFERROR(__xludf.DUMMYFUNCTION("""COMPUTED_VALUE"""),"PlayNetRoyalFlameX2")</f>
        <v>PlayNetRoyalFlameX2</v>
      </c>
      <c r="G800" s="5" t="str">
        <f>IFERROR(__xludf.DUMMYFUNCTION("""COMPUTED_VALUE"""),"Live")</f>
        <v>Live</v>
      </c>
      <c r="H800" s="5"/>
      <c r="I800" s="5"/>
      <c r="J800" s="5" t="str">
        <f>IFERROR(__xludf.DUMMYFUNCTION("""COMPUTED_VALUE"""),"JSON")</f>
        <v>JSON</v>
      </c>
      <c r="K800" s="5" t="str">
        <f>IFERROR(__xludf.DUMMYFUNCTION("""COMPUTED_VALUE"""),"Slot")</f>
        <v>Slot</v>
      </c>
      <c r="L800" s="5" t="str">
        <f>IFERROR(__xludf.DUMMYFUNCTION("""COMPUTED_VALUE""")," Clone")</f>
        <v> Clone</v>
      </c>
      <c r="M800" s="5" t="str">
        <f>IFERROR(__xludf.DUMMYFUNCTION("""COMPUTED_VALUE"""),"Golden Crown Extreme")</f>
        <v>Golden Crown Extreme</v>
      </c>
      <c r="N800" s="5"/>
      <c r="O800" s="5"/>
      <c r="P800" s="12">
        <f>IFERROR(__xludf.DUMMYFUNCTION("""COMPUTED_VALUE"""),15.0)</f>
        <v>15</v>
      </c>
      <c r="Q800" s="13">
        <f>IFERROR(__xludf.DUMMYFUNCTION("""COMPUTED_VALUE"""),46251.0)</f>
        <v>46251</v>
      </c>
      <c r="R800" s="13">
        <f>IFERROR(__xludf.DUMMYFUNCTION("""COMPUTED_VALUE"""),46251.0)</f>
        <v>46251</v>
      </c>
      <c r="S800" s="13">
        <f>IFERROR(__xludf.DUMMYFUNCTION("""COMPUTED_VALUE"""),46258.0)</f>
        <v>46258</v>
      </c>
      <c r="T800" s="5" t="b">
        <f>IFERROR(__xludf.DUMMYFUNCTION("""COMPUTED_VALUE"""),TRUE)</f>
        <v>1</v>
      </c>
      <c r="U800" s="5" t="str">
        <f>IFERROR(__xludf.DUMMYFUNCTION("""COMPUTED_VALUE"""),"5x3")</f>
        <v>5x3</v>
      </c>
      <c r="V800" s="5">
        <f>IFERROR(__xludf.DUMMYFUNCTION("""COMPUTED_VALUE"""),10.0)</f>
        <v>10</v>
      </c>
      <c r="W800" s="5">
        <f>IFERROR(__xludf.DUMMYFUNCTION("""COMPUTED_VALUE"""),10.0)</f>
        <v>10</v>
      </c>
      <c r="X800" s="5">
        <f>IFERROR(__xludf.DUMMYFUNCTION("""COMPUTED_VALUE"""),96.535)</f>
        <v>96.535</v>
      </c>
      <c r="Y800" s="5" t="str">
        <f>IFERROR(__xludf.DUMMYFUNCTION("""COMPUTED_VALUE"""),"Medium")</f>
        <v>Medium</v>
      </c>
      <c r="Z800" s="5">
        <f>IFERROR(__xludf.DUMMYFUNCTION("""COMPUTED_VALUE"""),14.28)</f>
        <v>14.28</v>
      </c>
      <c r="AA800" s="5">
        <f>IFERROR(__xludf.DUMMYFUNCTION("""COMPUTED_VALUE"""),3076.0)</f>
        <v>3076</v>
      </c>
      <c r="AB800" s="5"/>
      <c r="AC800" s="5" t="str">
        <f>IFERROR(__xludf.DUMMYFUNCTION("""COMPUTED_VALUE"""),"Scatter, Expanding Wild, Wild Multiplier")</f>
        <v>Scatter, Expanding Wild, Wild Multiplier</v>
      </c>
      <c r="AD800" s="5" t="str">
        <f>IFERROR(__xludf.DUMMYFUNCTION("""COMPUTED_VALUE"""),"0.1/50")</f>
        <v>0.1/50</v>
      </c>
      <c r="AE800" s="5"/>
      <c r="AF800" s="5"/>
      <c r="AG800" s="8">
        <f>IFERROR(__xludf.DUMMYFUNCTION("""COMPUTED_VALUE"""),46261.58951388889)</f>
        <v>46261.58951</v>
      </c>
      <c r="AH800" s="5" t="str">
        <f>IFERROR(__xludf.DUMMYFUNCTION("""COMPUTED_VALUE"""),"vanja.svetska@fazi.rs")</f>
        <v>vanja.svetska@fazi.rs</v>
      </c>
      <c r="AI800" s="13"/>
      <c r="AJ800" s="5"/>
      <c r="AK800" s="5">
        <f>IFERROR(__xludf.DUMMYFUNCTION("""COMPUTED_VALUE"""),10.0)</f>
        <v>10</v>
      </c>
      <c r="AL800" s="5" t="str">
        <f>IFERROR(__xludf.DUMMYFUNCTION("""COMPUTED_VALUE"""),"No")</f>
        <v>No</v>
      </c>
      <c r="AM800" s="5" t="str">
        <f>IFERROR(__xludf.DUMMYFUNCTION("""COMPUTED_VALUE"""),"No")</f>
        <v>No</v>
      </c>
      <c r="AN800" s="7" t="str">
        <f>IFERROR(__xludf.DUMMYFUNCTION("""COMPUTED_VALUE"""),"https://onlinegamespromo.fazi.rs/Home/IntegrationGameLaunch?moneyType=0&amp;gameName=PlayNetRoyalFlameX2&amp;platform=desktop&amp;languageCode=eng&amp;currency=EUR")</f>
        <v>https://onlinegamespromo.fazi.rs/Home/IntegrationGameLaunch?moneyType=0&amp;gameName=PlayNetRoyalFlameX2&amp;platform=desktop&amp;languageCode=eng&amp;currency=EUR</v>
      </c>
      <c r="AO800" s="5" t="str">
        <f>IFERROR(__xludf.DUMMYFUNCTION("""COMPUTED_VALUE"""),"No")</f>
        <v>No</v>
      </c>
      <c r="AP800" s="5" t="str">
        <f>IFERROR(__xludf.DUMMYFUNCTION("""COMPUTED_VALUE"""),"No")</f>
        <v>No</v>
      </c>
      <c r="AQ800" s="5" t="b">
        <f>IFERROR(__xludf.DUMMYFUNCTION("""COMPUTED_VALUE"""),TRUE)</f>
        <v>1</v>
      </c>
      <c r="AR800" s="5"/>
      <c r="AS800" s="5" t="str">
        <f>IFERROR(__xludf.DUMMYFUNCTION("""COMPUTED_VALUE"""),"Royal Flame X2 brings a bold new energy to the timeless fruit slot formula - with a royal upgrade. When the Queen of Fire appears, she doesn’t just rule the reels – she replaces all symbols except scatter and turns the heat all the way up. Meanwhile, the "&amp;"special Queen appears on reel 3, expanding just the same while instantly doubling any winning combination it completes. Expect vibrant visuals, smooth gameplay, and a fiery twist on familiar favorites. Are you ready to play with fire?")</f>
        <v>Royal Flame X2 brings a bold new energy to the timeless fruit slot formula - with a royal upgrade. When the Queen of Fire appears, she doesn’t just rule the reels – she replaces all symbols except scatter and turns the heat all the way up. Meanwhile, the special Queen appears on reel 3, expanding just the same while instantly doubling any winning combination it completes. Expect vibrant visuals, smooth gameplay, and a fiery twist on familiar favorites. Are you ready to play with fire?</v>
      </c>
      <c r="AT800" s="5"/>
      <c r="AU800" s="5" t="str">
        <f>IFERROR(__xludf.DUMMYFUNCTION("""COMPUTED_VALUE"""),"Fazi")</f>
        <v>Fazi</v>
      </c>
      <c r="AV800" s="5"/>
      <c r="AW800" s="5"/>
      <c r="AX800" s="13">
        <f>IFERROR(__xludf.DUMMYFUNCTION("""COMPUTED_VALUE"""),46245.0)</f>
        <v>46245</v>
      </c>
      <c r="AY800" s="5"/>
      <c r="AZ800" s="5"/>
      <c r="BA800" s="5"/>
      <c r="BB800" s="5" t="b">
        <f>IFERROR(__xludf.DUMMYFUNCTION("""COMPUTED_VALUE"""),TRUE)</f>
        <v>1</v>
      </c>
      <c r="BC800" s="5" t="str">
        <f>IFERROR(__xludf.DUMMYFUNCTION("""COMPUTED_VALUE"""),"Playnet")</f>
        <v>Playnet</v>
      </c>
      <c r="BD800" s="7" t="str">
        <f>IFERROR(__xludf.DUMMYFUNCTION("""COMPUTED_VALUE"""),"https://gameserver-store-client-area.orbionlimited.com/Home/IntegrationGameLaunch/client-area?moneyType=0&amp;gameName=PlayNetRoyalFlameX2&amp;platform=desktop&amp;languageCode=eng&amp;currency=EUR")</f>
        <v>https://gameserver-store-client-area.orbionlimited.com/Home/IntegrationGameLaunch/client-area?moneyType=0&amp;gameName=PlayNetRoyalFlameX2&amp;platform=desktop&amp;languageCode=eng&amp;currency=EUR</v>
      </c>
      <c r="BE800" s="5" t="b">
        <f>IFERROR(__xludf.DUMMYFUNCTION("""COMPUTED_VALUE"""),TRUE)</f>
        <v>1</v>
      </c>
    </row>
    <row r="801">
      <c r="A801" s="5">
        <f>IFERROR(__xludf.DUMMYFUNCTION("""COMPUTED_VALUE"""),839.0)</f>
        <v>839</v>
      </c>
      <c r="B801" s="5">
        <f>IFERROR(__xludf.DUMMYFUNCTION("""COMPUTED_VALUE"""),550.0)</f>
        <v>550</v>
      </c>
      <c r="C801" s="5" t="str">
        <f>IFERROR(__xludf.DUMMYFUNCTION("""COMPUTED_VALUE"""),"Playnet")</f>
        <v>Playnet</v>
      </c>
      <c r="D801" s="5" t="str">
        <f>IFERROR(__xludf.DUMMYFUNCTION("""COMPUTED_VALUE"""),"Heart Gem 5")</f>
        <v>Heart Gem 5</v>
      </c>
      <c r="E801" s="5" t="str">
        <f>IFERROR(__xludf.DUMMYFUNCTION("""COMPUTED_VALUE"""),"Sertifikacioni")</f>
        <v>Sertifikacioni</v>
      </c>
      <c r="F801" s="5" t="str">
        <f>IFERROR(__xludf.DUMMYFUNCTION("""COMPUTED_VALUE"""),"PlayNetHeartGem5")</f>
        <v>PlayNetHeartGem5</v>
      </c>
      <c r="G801" s="5" t="str">
        <f>IFERROR(__xludf.DUMMYFUNCTION("""COMPUTED_VALUE"""),"Planned")</f>
        <v>Planned</v>
      </c>
      <c r="H801" s="5"/>
      <c r="I801" s="5"/>
      <c r="J801" s="5" t="str">
        <f>IFERROR(__xludf.DUMMYFUNCTION("""COMPUTED_VALUE"""),"JSON")</f>
        <v>JSON</v>
      </c>
      <c r="K801" s="5" t="str">
        <f>IFERROR(__xludf.DUMMYFUNCTION("""COMPUTED_VALUE"""),"Slot")</f>
        <v>Slot</v>
      </c>
      <c r="L801" s="5" t="str">
        <f>IFERROR(__xludf.DUMMYFUNCTION("""COMPUTED_VALUE""")," Clone")</f>
        <v> Clone</v>
      </c>
      <c r="M801" s="5" t="str">
        <f>IFERROR(__xludf.DUMMYFUNCTION("""COMPUTED_VALUE"""),"Very Hot 5")</f>
        <v>Very Hot 5</v>
      </c>
      <c r="N801" s="5"/>
      <c r="O801" s="5"/>
      <c r="P801" s="12">
        <f>IFERROR(__xludf.DUMMYFUNCTION("""COMPUTED_VALUE"""),15.0)</f>
        <v>15</v>
      </c>
      <c r="Q801" s="13">
        <f>IFERROR(__xludf.DUMMYFUNCTION("""COMPUTED_VALUE"""),46279.0)</f>
        <v>46279</v>
      </c>
      <c r="R801" s="13">
        <f>IFERROR(__xludf.DUMMYFUNCTION("""COMPUTED_VALUE"""),46279.0)</f>
        <v>46279</v>
      </c>
      <c r="S801" s="13">
        <f>IFERROR(__xludf.DUMMYFUNCTION("""COMPUTED_VALUE"""),46286.0)</f>
        <v>46286</v>
      </c>
      <c r="T801" s="5" t="b">
        <f>IFERROR(__xludf.DUMMYFUNCTION("""COMPUTED_VALUE"""),TRUE)</f>
        <v>1</v>
      </c>
      <c r="U801" s="5" t="str">
        <f>IFERROR(__xludf.DUMMYFUNCTION("""COMPUTED_VALUE"""),"5x3")</f>
        <v>5x3</v>
      </c>
      <c r="V801" s="5">
        <f>IFERROR(__xludf.DUMMYFUNCTION("""COMPUTED_VALUE"""),5.0)</f>
        <v>5</v>
      </c>
      <c r="W801" s="5">
        <f>IFERROR(__xludf.DUMMYFUNCTION("""COMPUTED_VALUE"""),5.0)</f>
        <v>5</v>
      </c>
      <c r="X801" s="5">
        <f>IFERROR(__xludf.DUMMYFUNCTION("""COMPUTED_VALUE"""),96.447)</f>
        <v>96.447</v>
      </c>
      <c r="Y801" s="5" t="str">
        <f>IFERROR(__xludf.DUMMYFUNCTION("""COMPUTED_VALUE"""),"Medium")</f>
        <v>Medium</v>
      </c>
      <c r="Z801" s="5">
        <f>IFERROR(__xludf.DUMMYFUNCTION("""COMPUTED_VALUE"""),14.505)</f>
        <v>14.505</v>
      </c>
      <c r="AA801" s="5">
        <f>IFERROR(__xludf.DUMMYFUNCTION("""COMPUTED_VALUE"""),1222.0)</f>
        <v>1222</v>
      </c>
      <c r="AB801" s="5"/>
      <c r="AC801" s="5" t="str">
        <f>IFERROR(__xludf.DUMMYFUNCTION("""COMPUTED_VALUE"""),"Scatter, Expanding Wild")</f>
        <v>Scatter, Expanding Wild</v>
      </c>
      <c r="AD801" s="5" t="str">
        <f>IFERROR(__xludf.DUMMYFUNCTION("""COMPUTED_VALUE"""),"0.05/30")</f>
        <v>0.05/30</v>
      </c>
      <c r="AE801" s="5"/>
      <c r="AF801" s="5"/>
      <c r="AG801" s="8">
        <f>IFERROR(__xludf.DUMMYFUNCTION("""COMPUTED_VALUE"""),46260.449016203704)</f>
        <v>46260.44902</v>
      </c>
      <c r="AH801" s="5" t="str">
        <f>IFERROR(__xludf.DUMMYFUNCTION("""COMPUTED_VALUE"""),"selena.mihajlovic@fazi.rs")</f>
        <v>selena.mihajlovic@fazi.rs</v>
      </c>
      <c r="AI801" s="13"/>
      <c r="AJ801" s="5"/>
      <c r="AK801" s="5"/>
      <c r="AL801" s="5" t="str">
        <f>IFERROR(__xludf.DUMMYFUNCTION("""COMPUTED_VALUE"""),"No")</f>
        <v>No</v>
      </c>
      <c r="AM801" s="5" t="str">
        <f>IFERROR(__xludf.DUMMYFUNCTION("""COMPUTED_VALUE"""),"No")</f>
        <v>No</v>
      </c>
      <c r="AN801" s="7" t="str">
        <f>IFERROR(__xludf.DUMMYFUNCTION("""COMPUTED_VALUE"""),"https://onlinegamespromo.fazi.rs/Home/IntegrationGameLaunch?moneyType=0&amp;gameName=PlayNetHeartGem5&amp;platform=desktop&amp;languageCode=eng&amp;currency=EUR")</f>
        <v>https://onlinegamespromo.fazi.rs/Home/IntegrationGameLaunch?moneyType=0&amp;gameName=PlayNetHeartGem5&amp;platform=desktop&amp;languageCode=eng&amp;currency=EUR</v>
      </c>
      <c r="AO801" s="5" t="str">
        <f>IFERROR(__xludf.DUMMYFUNCTION("""COMPUTED_VALUE"""),"No")</f>
        <v>No</v>
      </c>
      <c r="AP801" s="5" t="str">
        <f>IFERROR(__xludf.DUMMYFUNCTION("""COMPUTED_VALUE"""),"No")</f>
        <v>No</v>
      </c>
      <c r="AQ801" s="5" t="b">
        <f>IFERROR(__xludf.DUMMYFUNCTION("""COMPUTED_VALUE"""),TRUE)</f>
        <v>1</v>
      </c>
      <c r="AR801" s="5"/>
      <c r="AS801" s="5" t="str">
        <f>IFERROR(__xludf.DUMMYFUNCTION("""COMPUTED_VALUE"""),"Five lines. One Wild. And a Heart that shows up when you need it most. Heart Gem 5 doesn't try to impress you with complexity. It wins you over spin by spin - with two Scatters landing on reels 1, 3, and 5, and a Heart Gem Wild ready to flip your luck on "&amp;"reels 2, 3, and 4. The kind of slot you open for a quick spin and forget to stop. Heart Gem 5. You'll know why after the first spin.")</f>
        <v>Five lines. One Wild. And a Heart that shows up when you need it most. Heart Gem 5 doesn't try to impress you with complexity. It wins you over spin by spin - with two Scatters landing on reels 1, 3, and 5, and a Heart Gem Wild ready to flip your luck on reels 2, 3, and 4. The kind of slot you open for a quick spin and forget to stop. Heart Gem 5. You'll know why after the first spin.</v>
      </c>
      <c r="AT801" s="5"/>
      <c r="AU801" s="5" t="str">
        <f>IFERROR(__xludf.DUMMYFUNCTION("""COMPUTED_VALUE"""),"Fazi")</f>
        <v>Fazi</v>
      </c>
      <c r="AV801" s="5"/>
      <c r="AW801" s="5"/>
      <c r="AX801" s="13">
        <f>IFERROR(__xludf.DUMMYFUNCTION("""COMPUTED_VALUE"""),46273.0)</f>
        <v>46273</v>
      </c>
      <c r="AY801" s="5"/>
      <c r="AZ801" s="5"/>
      <c r="BA801" s="5"/>
      <c r="BB801" s="5" t="b">
        <f>IFERROR(__xludf.DUMMYFUNCTION("""COMPUTED_VALUE"""),TRUE)</f>
        <v>1</v>
      </c>
      <c r="BC801" s="5" t="str">
        <f>IFERROR(__xludf.DUMMYFUNCTION("""COMPUTED_VALUE"""),"Playnet")</f>
        <v>Playnet</v>
      </c>
      <c r="BD801" s="7" t="str">
        <f>IFERROR(__xludf.DUMMYFUNCTION("""COMPUTED_VALUE"""),"https://gameserver-store-client-area.orbionlimited.com/Home/IntegrationGameLaunch/client-area?moneyType=0&amp;gameName=PlayNetHeartGem5&amp;platform=desktop&amp;languageCode=eng&amp;currency=EUR")</f>
        <v>https://gameserver-store-client-area.orbionlimited.com/Home/IntegrationGameLaunch/client-area?moneyType=0&amp;gameName=PlayNetHeartGem5&amp;platform=desktop&amp;languageCode=eng&amp;currency=EUR</v>
      </c>
      <c r="BE801" s="5" t="b">
        <f>IFERROR(__xludf.DUMMYFUNCTION("""COMPUTED_VALUE"""),TRUE)</f>
        <v>1</v>
      </c>
    </row>
    <row r="802">
      <c r="A802" s="5">
        <f>IFERROR(__xludf.DUMMYFUNCTION("""COMPUTED_VALUE"""),840.0)</f>
        <v>840</v>
      </c>
      <c r="B802" s="5">
        <f>IFERROR(__xludf.DUMMYFUNCTION("""COMPUTED_VALUE"""),552.0)</f>
        <v>552</v>
      </c>
      <c r="C802" s="5" t="str">
        <f>IFERROR(__xludf.DUMMYFUNCTION("""COMPUTED_VALUE"""),"Playnet")</f>
        <v>Playnet</v>
      </c>
      <c r="D802" s="5" t="str">
        <f>IFERROR(__xludf.DUMMYFUNCTION("""COMPUTED_VALUE"""),"Empress of Flame 20")</f>
        <v>Empress of Flame 20</v>
      </c>
      <c r="E802" s="5" t="str">
        <f>IFERROR(__xludf.DUMMYFUNCTION("""COMPUTED_VALUE"""),"Sertifikacioni")</f>
        <v>Sertifikacioni</v>
      </c>
      <c r="F802" s="5" t="str">
        <f>IFERROR(__xludf.DUMMYFUNCTION("""COMPUTED_VALUE"""),"PlayNetEmpressOfFlame20")</f>
        <v>PlayNetEmpressOfFlame20</v>
      </c>
      <c r="G802" s="5" t="str">
        <f>IFERROR(__xludf.DUMMYFUNCTION("""COMPUTED_VALUE"""),"Live")</f>
        <v>Live</v>
      </c>
      <c r="H802" s="5"/>
      <c r="I802" s="5"/>
      <c r="J802" s="5" t="str">
        <f>IFERROR(__xludf.DUMMYFUNCTION("""COMPUTED_VALUE"""),"JSON")</f>
        <v>JSON</v>
      </c>
      <c r="K802" s="5" t="str">
        <f>IFERROR(__xludf.DUMMYFUNCTION("""COMPUTED_VALUE"""),"Slot")</f>
        <v>Slot</v>
      </c>
      <c r="L802" s="5" t="str">
        <f>IFERROR(__xludf.DUMMYFUNCTION("""COMPUTED_VALUE""")," Clone")</f>
        <v> Clone</v>
      </c>
      <c r="M802" s="5" t="str">
        <f>IFERROR(__xludf.DUMMYFUNCTION("""COMPUTED_VALUE"""),"Turbo Stars 20")</f>
        <v>Turbo Stars 20</v>
      </c>
      <c r="N802" s="5"/>
      <c r="O802" s="5"/>
      <c r="P802" s="12">
        <f>IFERROR(__xludf.DUMMYFUNCTION("""COMPUTED_VALUE"""),15.0)</f>
        <v>15</v>
      </c>
      <c r="Q802" s="13">
        <f>IFERROR(__xludf.DUMMYFUNCTION("""COMPUTED_VALUE"""),46265.0)</f>
        <v>46265</v>
      </c>
      <c r="R802" s="13">
        <f>IFERROR(__xludf.DUMMYFUNCTION("""COMPUTED_VALUE"""),46265.0)</f>
        <v>46265</v>
      </c>
      <c r="S802" s="13">
        <f>IFERROR(__xludf.DUMMYFUNCTION("""COMPUTED_VALUE"""),46272.0)</f>
        <v>46272</v>
      </c>
      <c r="T802" s="5" t="b">
        <f>IFERROR(__xludf.DUMMYFUNCTION("""COMPUTED_VALUE"""),TRUE)</f>
        <v>1</v>
      </c>
      <c r="U802" s="5" t="str">
        <f>IFERROR(__xludf.DUMMYFUNCTION("""COMPUTED_VALUE"""),"5x3")</f>
        <v>5x3</v>
      </c>
      <c r="V802" s="5">
        <f>IFERROR(__xludf.DUMMYFUNCTION("""COMPUTED_VALUE"""),20.0)</f>
        <v>20</v>
      </c>
      <c r="W802" s="5">
        <f>IFERROR(__xludf.DUMMYFUNCTION("""COMPUTED_VALUE"""),20.0)</f>
        <v>20</v>
      </c>
      <c r="X802" s="5">
        <f>IFERROR(__xludf.DUMMYFUNCTION("""COMPUTED_VALUE"""),95.544)</f>
        <v>95.544</v>
      </c>
      <c r="Y802" s="5" t="str">
        <f>IFERROR(__xludf.DUMMYFUNCTION("""COMPUTED_VALUE"""),"Medium")</f>
        <v>Medium</v>
      </c>
      <c r="Z802" s="5">
        <f>IFERROR(__xludf.DUMMYFUNCTION("""COMPUTED_VALUE"""),16.508)</f>
        <v>16.508</v>
      </c>
      <c r="AA802" s="5">
        <f>IFERROR(__xludf.DUMMYFUNCTION("""COMPUTED_VALUE"""),1700.0)</f>
        <v>1700</v>
      </c>
      <c r="AB802" s="5"/>
      <c r="AC802" s="5" t="str">
        <f>IFERROR(__xludf.DUMMYFUNCTION("""COMPUTED_VALUE"""),"Expanding Wild")</f>
        <v>Expanding Wild</v>
      </c>
      <c r="AD802" s="5" t="str">
        <f>IFERROR(__xludf.DUMMYFUNCTION("""COMPUTED_VALUE"""),"0.2/50")</f>
        <v>0.2/50</v>
      </c>
      <c r="AE802" s="5"/>
      <c r="AF802" s="5"/>
      <c r="AG802" s="8">
        <f>IFERROR(__xludf.DUMMYFUNCTION("""COMPUTED_VALUE"""),46273.54525462963)</f>
        <v>46273.54525</v>
      </c>
      <c r="AH802" s="5" t="str">
        <f>IFERROR(__xludf.DUMMYFUNCTION("""COMPUTED_VALUE"""),"vanja.svetska@fazi.rs")</f>
        <v>vanja.svetska@fazi.rs</v>
      </c>
      <c r="AI802" s="13"/>
      <c r="AJ802" s="5"/>
      <c r="AK802" s="5"/>
      <c r="AL802" s="5" t="str">
        <f>IFERROR(__xludf.DUMMYFUNCTION("""COMPUTED_VALUE"""),"No")</f>
        <v>No</v>
      </c>
      <c r="AM802" s="5" t="str">
        <f>IFERROR(__xludf.DUMMYFUNCTION("""COMPUTED_VALUE"""),"Yes")</f>
        <v>Yes</v>
      </c>
      <c r="AN802" s="7" t="str">
        <f>IFERROR(__xludf.DUMMYFUNCTION("""COMPUTED_VALUE"""),"https://onlinegamespromo.fazi.rs/Home/IntegrationGameLaunch?moneyType=0&amp;gameName=PlayNetEmpressOfFlame20&amp;platform=desktop&amp;languageCode=eng&amp;currency=EUR")</f>
        <v>https://onlinegamespromo.fazi.rs/Home/IntegrationGameLaunch?moneyType=0&amp;gameName=PlayNetEmpressOfFlame20&amp;platform=desktop&amp;languageCode=eng&amp;currency=EUR</v>
      </c>
      <c r="AO802" s="5" t="str">
        <f>IFERROR(__xludf.DUMMYFUNCTION("""COMPUTED_VALUE"""),"No")</f>
        <v>No</v>
      </c>
      <c r="AP802" s="5" t="str">
        <f>IFERROR(__xludf.DUMMYFUNCTION("""COMPUTED_VALUE"""),"No")</f>
        <v>No</v>
      </c>
      <c r="AQ802" s="5" t="b">
        <f>IFERROR(__xludf.DUMMYFUNCTION("""COMPUTED_VALUE"""),TRUE)</f>
        <v>1</v>
      </c>
      <c r="AR802" s="5"/>
      <c r="AS802" s="5" t="str">
        <f>IFERROR(__xludf.DUMMYFUNCTION("""COMPUTED_VALUE"""),"Enter the fiery realm of the Empress of Flame with 20 paylines, where mystical dragon eggs, golden gongs, and elegant fans hold the secrets of treasure. The Golden Dragon appears, expands to cover the reel, and awards a Respin, increasing your chances for"&amp;" big wins. With its combination of traditional Eastern aesthetics and thrilling slot mechanics, Empress of Flame 20 ignites every spin with excitement!")</f>
        <v>Enter the fiery realm of the Empress of Flame with 20 paylines,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20 ignites every spin with excitement!</v>
      </c>
      <c r="AT802" s="5"/>
      <c r="AU802" s="5" t="str">
        <f>IFERROR(__xludf.DUMMYFUNCTION("""COMPUTED_VALUE"""),"Fazi")</f>
        <v>Fazi</v>
      </c>
      <c r="AV802" s="5"/>
      <c r="AW802" s="5"/>
      <c r="AX802" s="13">
        <f>IFERROR(__xludf.DUMMYFUNCTION("""COMPUTED_VALUE"""),46259.0)</f>
        <v>46259</v>
      </c>
      <c r="AY802" s="5"/>
      <c r="AZ802" s="5"/>
      <c r="BA802" s="5"/>
      <c r="BB802" s="5" t="b">
        <f>IFERROR(__xludf.DUMMYFUNCTION("""COMPUTED_VALUE"""),TRUE)</f>
        <v>1</v>
      </c>
      <c r="BC802" s="5" t="str">
        <f>IFERROR(__xludf.DUMMYFUNCTION("""COMPUTED_VALUE"""),"Playnet")</f>
        <v>Playnet</v>
      </c>
      <c r="BD802" s="7" t="str">
        <f>IFERROR(__xludf.DUMMYFUNCTION("""COMPUTED_VALUE"""),"https://gameserver-store-client-area.orbionlimited.com/Home/IntegrationGameLaunch/client-area?moneyType=0&amp;gameName=PlayNetEmpressOfFlame20&amp;platform=desktop&amp;languageCode=eng&amp;currency=EUR")</f>
        <v>https://gameserver-store-client-area.orbionlimited.com/Home/IntegrationGameLaunch/client-area?moneyType=0&amp;gameName=PlayNetEmpressOfFlame20&amp;platform=desktop&amp;languageCode=eng&amp;currency=EUR</v>
      </c>
      <c r="BE802" s="5" t="b">
        <f>IFERROR(__xludf.DUMMYFUNCTION("""COMPUTED_VALUE"""),TRUE)</f>
        <v>1</v>
      </c>
    </row>
    <row r="803">
      <c r="A803" s="5">
        <f>IFERROR(__xludf.DUMMYFUNCTION("""COMPUTED_VALUE"""),841.0)</f>
        <v>841</v>
      </c>
      <c r="B803" s="5">
        <f>IFERROR(__xludf.DUMMYFUNCTION("""COMPUTED_VALUE"""),551.0)</f>
        <v>551</v>
      </c>
      <c r="C803" s="5" t="str">
        <f>IFERROR(__xludf.DUMMYFUNCTION("""COMPUTED_VALUE"""),"Playnet")</f>
        <v>Playnet</v>
      </c>
      <c r="D803" s="5" t="str">
        <f>IFERROR(__xludf.DUMMYFUNCTION("""COMPUTED_VALUE"""),"Shadow Hunt 20")</f>
        <v>Shadow Hunt 20</v>
      </c>
      <c r="E803" s="5" t="str">
        <f>IFERROR(__xludf.DUMMYFUNCTION("""COMPUTED_VALUE"""),"Sertifikacioni")</f>
        <v>Sertifikacioni</v>
      </c>
      <c r="F803" s="5" t="str">
        <f>IFERROR(__xludf.DUMMYFUNCTION("""COMPUTED_VALUE"""),"PlayNetShadowHunt20")</f>
        <v>PlayNetShadowHunt20</v>
      </c>
      <c r="G803" s="5" t="str">
        <f>IFERROR(__xludf.DUMMYFUNCTION("""COMPUTED_VALUE"""),"Deployed")</f>
        <v>Deployed</v>
      </c>
      <c r="H803" s="5"/>
      <c r="I803" s="5"/>
      <c r="J803" s="5" t="str">
        <f>IFERROR(__xludf.DUMMYFUNCTION("""COMPUTED_VALUE"""),"JSON")</f>
        <v>JSON</v>
      </c>
      <c r="K803" s="5" t="str">
        <f>IFERROR(__xludf.DUMMYFUNCTION("""COMPUTED_VALUE"""),"Slot")</f>
        <v>Slot</v>
      </c>
      <c r="L803" s="5" t="str">
        <f>IFERROR(__xludf.DUMMYFUNCTION("""COMPUTED_VALUE""")," Clone")</f>
        <v> Clone</v>
      </c>
      <c r="M803" s="5" t="str">
        <f>IFERROR(__xludf.DUMMYFUNCTION("""COMPUTED_VALUE"""),"Mega Hot 20")</f>
        <v>Mega Hot 20</v>
      </c>
      <c r="N803" s="5"/>
      <c r="O803" s="5"/>
      <c r="P803" s="12">
        <f>IFERROR(__xludf.DUMMYFUNCTION("""COMPUTED_VALUE"""),15.0)</f>
        <v>15</v>
      </c>
      <c r="Q803" s="13">
        <f>IFERROR(__xludf.DUMMYFUNCTION("""COMPUTED_VALUE"""),46265.0)</f>
        <v>46265</v>
      </c>
      <c r="R803" s="13">
        <f>IFERROR(__xludf.DUMMYFUNCTION("""COMPUTED_VALUE"""),46272.0)</f>
        <v>46272</v>
      </c>
      <c r="S803" s="13">
        <f>IFERROR(__xludf.DUMMYFUNCTION("""COMPUTED_VALUE"""),46279.0)</f>
        <v>46279</v>
      </c>
      <c r="T803" s="5" t="b">
        <f>IFERROR(__xludf.DUMMYFUNCTION("""COMPUTED_VALUE"""),TRUE)</f>
        <v>1</v>
      </c>
      <c r="U803" s="5" t="str">
        <f>IFERROR(__xludf.DUMMYFUNCTION("""COMPUTED_VALUE"""),"5x3")</f>
        <v>5x3</v>
      </c>
      <c r="V803" s="5">
        <f>IFERROR(__xludf.DUMMYFUNCTION("""COMPUTED_VALUE"""),20.0)</f>
        <v>20</v>
      </c>
      <c r="W803" s="5">
        <f>IFERROR(__xludf.DUMMYFUNCTION("""COMPUTED_VALUE"""),20.0)</f>
        <v>20</v>
      </c>
      <c r="X803" s="5">
        <f>IFERROR(__xludf.DUMMYFUNCTION("""COMPUTED_VALUE"""),96.475)</f>
        <v>96.475</v>
      </c>
      <c r="Y803" s="5" t="str">
        <f>IFERROR(__xludf.DUMMYFUNCTION("""COMPUTED_VALUE"""),"High")</f>
        <v>High</v>
      </c>
      <c r="Z803" s="5">
        <f>IFERROR(__xludf.DUMMYFUNCTION("""COMPUTED_VALUE"""),7.13)</f>
        <v>7.13</v>
      </c>
      <c r="AA803" s="5">
        <f>IFERROR(__xludf.DUMMYFUNCTION("""COMPUTED_VALUE"""),1500.0)</f>
        <v>1500</v>
      </c>
      <c r="AB803" s="5"/>
      <c r="AC803" s="5" t="str">
        <f>IFERROR(__xludf.DUMMYFUNCTION("""COMPUTED_VALUE"""),"Win Multiplier")</f>
        <v>Win Multiplier</v>
      </c>
      <c r="AD803" s="5" t="str">
        <f>IFERROR(__xludf.DUMMYFUNCTION("""COMPUTED_VALUE"""),"0.2/50")</f>
        <v>0.2/50</v>
      </c>
      <c r="AE803" s="5"/>
      <c r="AF803" s="5"/>
      <c r="AG803" s="8">
        <f>IFERROR(__xludf.DUMMYFUNCTION("""COMPUTED_VALUE"""),46266.40923611111)</f>
        <v>46266.40924</v>
      </c>
      <c r="AH803" s="5" t="str">
        <f>IFERROR(__xludf.DUMMYFUNCTION("""COMPUTED_VALUE"""),"danica.petrovic@fazi.rs")</f>
        <v>danica.petrovic@fazi.rs</v>
      </c>
      <c r="AI803" s="13"/>
      <c r="AJ803" s="5"/>
      <c r="AK803" s="5"/>
      <c r="AL803" s="5" t="str">
        <f>IFERROR(__xludf.DUMMYFUNCTION("""COMPUTED_VALUE"""),"No")</f>
        <v>No</v>
      </c>
      <c r="AM803" s="5" t="str">
        <f>IFERROR(__xludf.DUMMYFUNCTION("""COMPUTED_VALUE"""),"No")</f>
        <v>No</v>
      </c>
      <c r="AN803" s="7" t="str">
        <f>IFERROR(__xludf.DUMMYFUNCTION("""COMPUTED_VALUE"""),"https://onlinegamespromo.fazi.rs/Home/IntegrationGameLaunch?moneyType=0&amp;gameName=PlayNetShadowHunt20&amp;platform=desktop&amp;languageCode=eng&amp;currency=EUR")</f>
        <v>https://onlinegamespromo.fazi.rs/Home/IntegrationGameLaunch?moneyType=0&amp;gameName=PlayNetShadowHunt20&amp;platform=desktop&amp;languageCode=eng&amp;currency=EUR</v>
      </c>
      <c r="AO803" s="5" t="str">
        <f>IFERROR(__xludf.DUMMYFUNCTION("""COMPUTED_VALUE"""),"No")</f>
        <v>No</v>
      </c>
      <c r="AP803" s="5" t="str">
        <f>IFERROR(__xludf.DUMMYFUNCTION("""COMPUTED_VALUE"""),"No")</f>
        <v>No</v>
      </c>
      <c r="AQ803" s="5" t="b">
        <f>IFERROR(__xludf.DUMMYFUNCTION("""COMPUTED_VALUE"""),TRUE)</f>
        <v>1</v>
      </c>
      <c r="AR803" s="5"/>
      <c r="AS803" s="5" t="str">
        <f>IFERROR(__xludf.DUMMYFUNCTION("""COMPUTED_VALUE"""),"Step into the dark forest where ancient spirits guide your fate. Shadow Hunt with 20 paylines and one mechanic that makes every spin matter, brings players into a mystical hunt under the moonlight, with glowing animal guardians and enchanted symbols. Spec"&amp;"ial win multipliers of x3, x4, and x5 amplify the thrill, rewarding daring hunters with legendary wins.")</f>
        <v>Step into the dark forest where ancient spirits guide your fate. Shadow Hunt with 20 paylines and one mechanic that makes every spin matter, brings players into a mystical hunt under the moonlight, with glowing animal guardians and enchanted symbols. Special win multipliers of x3, x4, and x5 amplify the thrill, rewarding daring hunters with legendary wins.</v>
      </c>
      <c r="AT803" s="5"/>
      <c r="AU803" s="5" t="str">
        <f>IFERROR(__xludf.DUMMYFUNCTION("""COMPUTED_VALUE"""),"Fazi")</f>
        <v>Fazi</v>
      </c>
      <c r="AV803" s="5"/>
      <c r="AW803" s="5"/>
      <c r="AX803" s="13">
        <f>IFERROR(__xludf.DUMMYFUNCTION("""COMPUTED_VALUE"""),46259.0)</f>
        <v>46259</v>
      </c>
      <c r="AY803" s="5"/>
      <c r="AZ803" s="5"/>
      <c r="BA803" s="5"/>
      <c r="BB803" s="5" t="b">
        <f>IFERROR(__xludf.DUMMYFUNCTION("""COMPUTED_VALUE"""),TRUE)</f>
        <v>1</v>
      </c>
      <c r="BC803" s="5" t="str">
        <f>IFERROR(__xludf.DUMMYFUNCTION("""COMPUTED_VALUE"""),"Playnet")</f>
        <v>Playnet</v>
      </c>
      <c r="BD803" s="7" t="str">
        <f>IFERROR(__xludf.DUMMYFUNCTION("""COMPUTED_VALUE"""),"https://gameserver-store-client-area.orbionlimited.com/Home/IntegrationGameLaunch/client-area?moneyType=0&amp;gameName=PlayNetShadowHunt20&amp;platform=desktop&amp;languageCode=eng&amp;currency=EUR")</f>
        <v>https://gameserver-store-client-area.orbionlimited.com/Home/IntegrationGameLaunch/client-area?moneyType=0&amp;gameName=PlayNetShadowHunt20&amp;platform=desktop&amp;languageCode=eng&amp;currency=EUR</v>
      </c>
      <c r="BE803" s="5" t="b">
        <f>IFERROR(__xludf.DUMMYFUNCTION("""COMPUTED_VALUE"""),TRUE)</f>
        <v>1</v>
      </c>
    </row>
    <row r="804">
      <c r="A804" s="5">
        <f>IFERROR(__xludf.DUMMYFUNCTION("""COMPUTED_VALUE"""),842.0)</f>
        <v>842</v>
      </c>
      <c r="B804" s="5">
        <f>IFERROR(__xludf.DUMMYFUNCTION("""COMPUTED_VALUE"""),553.0)</f>
        <v>553</v>
      </c>
      <c r="C804" s="5" t="str">
        <f>IFERROR(__xludf.DUMMYFUNCTION("""COMPUTED_VALUE"""),"Playnet")</f>
        <v>Playnet</v>
      </c>
      <c r="D804" s="5" t="str">
        <f>IFERROR(__xludf.DUMMYFUNCTION("""COMPUTED_VALUE"""),"27 Wild Stacks Extreme")</f>
        <v>27 Wild Stacks Extreme</v>
      </c>
      <c r="E804" s="5" t="str">
        <f>IFERROR(__xludf.DUMMYFUNCTION("""COMPUTED_VALUE"""),"Sertifikacioni")</f>
        <v>Sertifikacioni</v>
      </c>
      <c r="F804" s="5" t="str">
        <f>IFERROR(__xludf.DUMMYFUNCTION("""COMPUTED_VALUE"""),"PlayNet27WildStacksExtreme")</f>
        <v>PlayNet27WildStacksExtreme</v>
      </c>
      <c r="G804" s="5" t="str">
        <f>IFERROR(__xludf.DUMMYFUNCTION("""COMPUTED_VALUE"""),"Live")</f>
        <v>Live</v>
      </c>
      <c r="H804" s="5"/>
      <c r="I804" s="5"/>
      <c r="J804" s="5" t="str">
        <f>IFERROR(__xludf.DUMMYFUNCTION("""COMPUTED_VALUE"""),"JSON")</f>
        <v>JSON</v>
      </c>
      <c r="K804" s="5" t="str">
        <f>IFERROR(__xludf.DUMMYFUNCTION("""COMPUTED_VALUE"""),"Slot")</f>
        <v>Slot</v>
      </c>
      <c r="L804" s="5" t="str">
        <f>IFERROR(__xludf.DUMMYFUNCTION("""COMPUTED_VALUE""")," Clone")</f>
        <v> Clone</v>
      </c>
      <c r="M804" s="5" t="str">
        <f>IFERROR(__xludf.DUMMYFUNCTION("""COMPUTED_VALUE"""),"Wild 27 Extreme")</f>
        <v>Wild 27 Extreme</v>
      </c>
      <c r="N804" s="5"/>
      <c r="O804" s="5"/>
      <c r="P804" s="12">
        <f>IFERROR(__xludf.DUMMYFUNCTION("""COMPUTED_VALUE"""),15.0)</f>
        <v>15</v>
      </c>
      <c r="Q804" s="13">
        <f>IFERROR(__xludf.DUMMYFUNCTION("""COMPUTED_VALUE"""),46265.0)</f>
        <v>46265</v>
      </c>
      <c r="R804" s="13">
        <f>IFERROR(__xludf.DUMMYFUNCTION("""COMPUTED_VALUE"""),46260.0)</f>
        <v>46260</v>
      </c>
      <c r="S804" s="13">
        <f>IFERROR(__xludf.DUMMYFUNCTION("""COMPUTED_VALUE"""),46267.0)</f>
        <v>46267</v>
      </c>
      <c r="T804" s="5" t="b">
        <f>IFERROR(__xludf.DUMMYFUNCTION("""COMPUTED_VALUE"""),TRUE)</f>
        <v>1</v>
      </c>
      <c r="U804" s="5" t="str">
        <f>IFERROR(__xludf.DUMMYFUNCTION("""COMPUTED_VALUE"""),"3x3")</f>
        <v>3x3</v>
      </c>
      <c r="V804" s="5">
        <f>IFERROR(__xludf.DUMMYFUNCTION("""COMPUTED_VALUE"""),27.0)</f>
        <v>27</v>
      </c>
      <c r="W804" s="5">
        <f>IFERROR(__xludf.DUMMYFUNCTION("""COMPUTED_VALUE"""),27.0)</f>
        <v>27</v>
      </c>
      <c r="X804" s="5">
        <f>IFERROR(__xludf.DUMMYFUNCTION("""COMPUTED_VALUE"""),96.516)</f>
        <v>96.516</v>
      </c>
      <c r="Y804" s="5" t="str">
        <f>IFERROR(__xludf.DUMMYFUNCTION("""COMPUTED_VALUE"""),"High")</f>
        <v>High</v>
      </c>
      <c r="Z804" s="5">
        <f>IFERROR(__xludf.DUMMYFUNCTION("""COMPUTED_VALUE"""),6.72)</f>
        <v>6.72</v>
      </c>
      <c r="AA804" s="5">
        <f>IFERROR(__xludf.DUMMYFUNCTION("""COMPUTED_VALUE"""),3240.0)</f>
        <v>3240</v>
      </c>
      <c r="AB804" s="5"/>
      <c r="AC804" s="5" t="str">
        <f>IFERROR(__xludf.DUMMYFUNCTION("""COMPUTED_VALUE"""),"Win Multiplier")</f>
        <v>Win Multiplier</v>
      </c>
      <c r="AD804" s="5" t="str">
        <f>IFERROR(__xludf.DUMMYFUNCTION("""COMPUTED_VALUE"""),"0.1/50")</f>
        <v>0.1/50</v>
      </c>
      <c r="AE804" s="5"/>
      <c r="AF804" s="5"/>
      <c r="AG804" s="8">
        <f>IFERROR(__xludf.DUMMYFUNCTION("""COMPUTED_VALUE"""),46268.45459490741)</f>
        <v>46268.45459</v>
      </c>
      <c r="AH804" s="5" t="str">
        <f>IFERROR(__xludf.DUMMYFUNCTION("""COMPUTED_VALUE"""),"vanja.svetska@fazi.rs")</f>
        <v>vanja.svetska@fazi.rs</v>
      </c>
      <c r="AI804" s="13"/>
      <c r="AJ804" s="5"/>
      <c r="AK804" s="5"/>
      <c r="AL804" s="5" t="str">
        <f>IFERROR(__xludf.DUMMYFUNCTION("""COMPUTED_VALUE"""),"No")</f>
        <v>No</v>
      </c>
      <c r="AM804" s="5" t="str">
        <f>IFERROR(__xludf.DUMMYFUNCTION("""COMPUTED_VALUE"""),"No")</f>
        <v>No</v>
      </c>
      <c r="AN804" s="7" t="str">
        <f>IFERROR(__xludf.DUMMYFUNCTION("""COMPUTED_VALUE"""),"https://onlinegamespromo.fazi.rs/Home/IntegrationGameLaunch?moneyType=0&amp;gameName=PlayNet27WildStacksExtreme&amp;platform=desktop&amp;languageCode=eng&amp;currency=EUR")</f>
        <v>https://onlinegamespromo.fazi.rs/Home/IntegrationGameLaunch?moneyType=0&amp;gameName=PlayNet27WildStacksExtreme&amp;platform=desktop&amp;languageCode=eng&amp;currency=EUR</v>
      </c>
      <c r="AO804" s="5" t="str">
        <f>IFERROR(__xludf.DUMMYFUNCTION("""COMPUTED_VALUE"""),"No")</f>
        <v>No</v>
      </c>
      <c r="AP804" s="5" t="str">
        <f>IFERROR(__xludf.DUMMYFUNCTION("""COMPUTED_VALUE"""),"No")</f>
        <v>No</v>
      </c>
      <c r="AQ804" s="5" t="b">
        <f>IFERROR(__xludf.DUMMYFUNCTION("""COMPUTED_VALUE"""),TRUE)</f>
        <v>1</v>
      </c>
      <c r="AR804" s="5"/>
      <c r="AS804" s="5" t="str">
        <f>IFERROR(__xludf.DUMMYFUNCTION("""COMPUTED_VALUE"""),"27 Wild Stacks Extreme brings a bold new energy to the classic 3x3 fruit slot formula - with an extreme upgrade! 3x3 fruit slot with 27 paylines and one mechanic that makes every spin matter. Fill all 9 positions with the same symbol and the game rewards "&amp;"you with an instant x2 multiplier on your total win.")</f>
        <v>27 Wild Stacks Extreme brings a bold new energy to the classic 3x3 fruit slot formula - with an extreme upgrade! 3x3 fruit slot with 27 paylines and one mechanic that makes every spin matter. Fill all 9 positions with the same symbol and the game rewards you with an instant x2 multiplier on your total win.</v>
      </c>
      <c r="AT804" s="5"/>
      <c r="AU804" s="5" t="str">
        <f>IFERROR(__xludf.DUMMYFUNCTION("""COMPUTED_VALUE"""),"Fazi")</f>
        <v>Fazi</v>
      </c>
      <c r="AV804" s="5"/>
      <c r="AW804" s="5"/>
      <c r="AX804" s="13">
        <f>IFERROR(__xludf.DUMMYFUNCTION("""COMPUTED_VALUE"""),46259.0)</f>
        <v>46259</v>
      </c>
      <c r="AY804" s="5"/>
      <c r="AZ804" s="5"/>
      <c r="BA804" s="5"/>
      <c r="BB804" s="5" t="b">
        <f>IFERROR(__xludf.DUMMYFUNCTION("""COMPUTED_VALUE"""),TRUE)</f>
        <v>1</v>
      </c>
      <c r="BC804" s="5" t="str">
        <f>IFERROR(__xludf.DUMMYFUNCTION("""COMPUTED_VALUE"""),"Playnet")</f>
        <v>Playnet</v>
      </c>
      <c r="BD804" s="7" t="str">
        <f>IFERROR(__xludf.DUMMYFUNCTION("""COMPUTED_VALUE"""),"https://gameserver-store-client-area.orbionlimited.com/Home/IntegrationGameLaunch/client-area?moneyType=0&amp;gameName=PlayNet27WildStacksExtreme&amp;platform=desktop&amp;languageCode=eng&amp;currency=EUR")</f>
        <v>https://gameserver-store-client-area.orbionlimited.com/Home/IntegrationGameLaunch/client-area?moneyType=0&amp;gameName=PlayNet27WildStacksExtreme&amp;platform=desktop&amp;languageCode=eng&amp;currency=EUR</v>
      </c>
      <c r="BE804" s="5" t="b">
        <f>IFERROR(__xludf.DUMMYFUNCTION("""COMPUTED_VALUE"""),TRUE)</f>
        <v>1</v>
      </c>
    </row>
    <row r="805">
      <c r="A805" s="5">
        <f>IFERROR(__xludf.DUMMYFUNCTION("""COMPUTED_VALUE"""),843.0)</f>
        <v>843</v>
      </c>
      <c r="B805" s="5">
        <f>IFERROR(__xludf.DUMMYFUNCTION("""COMPUTED_VALUE"""),180087.0)</f>
        <v>180087</v>
      </c>
      <c r="C805" s="5" t="str">
        <f>IFERROR(__xludf.DUMMYFUNCTION("""COMPUTED_VALUE"""),"Redstone")</f>
        <v>Redstone</v>
      </c>
      <c r="D805" s="5" t="str">
        <f>IFERROR(__xludf.DUMMYFUNCTION("""COMPUTED_VALUE"""),"Lucky Lucky Bells")</f>
        <v>Lucky Lucky Bells</v>
      </c>
      <c r="E805" s="5" t="str">
        <f>IFERROR(__xludf.DUMMYFUNCTION("""COMPUTED_VALUE"""),"Redstone")</f>
        <v>Redstone</v>
      </c>
      <c r="F805" s="5" t="str">
        <f>IFERROR(__xludf.DUMMYFUNCTION("""COMPUTED_VALUE"""),"RedstoneLuckyLuckyBells")</f>
        <v>RedstoneLuckyLuckyBells</v>
      </c>
      <c r="G805" s="5" t="str">
        <f>IFERROR(__xludf.DUMMYFUNCTION("""COMPUTED_VALUE"""),"Live")</f>
        <v>Live</v>
      </c>
      <c r="H805" s="5"/>
      <c r="I805" s="5"/>
      <c r="J805" s="5" t="str">
        <f>IFERROR(__xludf.DUMMYFUNCTION("""COMPUTED_VALUE"""),"JSON")</f>
        <v>JSON</v>
      </c>
      <c r="K805" s="5" t="str">
        <f>IFERROR(__xludf.DUMMYFUNCTION("""COMPUTED_VALUE"""),"Slot")</f>
        <v>Slot</v>
      </c>
      <c r="L805" s="5" t="str">
        <f>IFERROR(__xludf.DUMMYFUNCTION("""COMPUTED_VALUE"""),"Master")</f>
        <v>Master</v>
      </c>
      <c r="M805" s="5"/>
      <c r="N805" s="7" t="str">
        <f>IFERROR(__xludf.DUMMYFUNCTION("""COMPUTED_VALUE"""),"https://drive.google.com/file/d/1OcQy9RzN8DA0FHZWrpaWZWvZVvkB8v4f/view?usp=drive_link")</f>
        <v>https://drive.google.com/file/d/1OcQy9RzN8DA0FHZWrpaWZWvZVvkB8v4f/view?usp=drive_link</v>
      </c>
      <c r="O805" s="7" t="str">
        <f>IFERROR(__xludf.DUMMYFUNCTION("""COMPUTED_VALUE"""),"https://drive.google.com/file/d/1JHdeWf7t5_oOGjzMNPMThT3v8di0qzBX/view?usp=drive_link")</f>
        <v>https://drive.google.com/file/d/1JHdeWf7t5_oOGjzMNPMThT3v8di0qzBX/view?usp=drive_link</v>
      </c>
      <c r="P805" s="12">
        <f>IFERROR(__xludf.DUMMYFUNCTION("""COMPUTED_VALUE"""),12.3)</f>
        <v>12.3</v>
      </c>
      <c r="Q805" s="13">
        <f>IFERROR(__xludf.DUMMYFUNCTION("""COMPUTED_VALUE"""),46223.0)</f>
        <v>46223</v>
      </c>
      <c r="R805" s="13">
        <f>IFERROR(__xludf.DUMMYFUNCTION("""COMPUTED_VALUE"""),46226.0)</f>
        <v>46226</v>
      </c>
      <c r="S805" s="13">
        <f>IFERROR(__xludf.DUMMYFUNCTION("""COMPUTED_VALUE"""),46233.0)</f>
        <v>46233</v>
      </c>
      <c r="T805" s="5" t="b">
        <f>IFERROR(__xludf.DUMMYFUNCTION("""COMPUTED_VALUE"""),TRUE)</f>
        <v>1</v>
      </c>
      <c r="U805" s="5" t="str">
        <f>IFERROR(__xludf.DUMMYFUNCTION("""COMPUTED_VALUE"""),"3x3")</f>
        <v>3x3</v>
      </c>
      <c r="V805" s="5">
        <f>IFERROR(__xludf.DUMMYFUNCTION("""COMPUTED_VALUE"""),5.0)</f>
        <v>5</v>
      </c>
      <c r="W805" s="5">
        <f>IFERROR(__xludf.DUMMYFUNCTION("""COMPUTED_VALUE"""),5.0)</f>
        <v>5</v>
      </c>
      <c r="X805" s="5">
        <f>IFERROR(__xludf.DUMMYFUNCTION("""COMPUTED_VALUE"""),96.64)</f>
        <v>96.64</v>
      </c>
      <c r="Y805" s="5" t="str">
        <f>IFERROR(__xludf.DUMMYFUNCTION("""COMPUTED_VALUE"""),"Low")</f>
        <v>Low</v>
      </c>
      <c r="Z805" s="5">
        <f>IFERROR(__xludf.DUMMYFUNCTION("""COMPUTED_VALUE"""),10.5)</f>
        <v>10.5</v>
      </c>
      <c r="AA805" s="5">
        <f>IFERROR(__xludf.DUMMYFUNCTION("""COMPUTED_VALUE"""),1003.0)</f>
        <v>1003</v>
      </c>
      <c r="AB805" s="5"/>
      <c r="AC805" s="5" t="str">
        <f>IFERROR(__xludf.DUMMYFUNCTION("""COMPUTED_VALUE"""),"Wild Symbol, Scatter")</f>
        <v>Wild Symbol, Scatter</v>
      </c>
      <c r="AD805" s="5" t="str">
        <f>IFERROR(__xludf.DUMMYFUNCTION("""COMPUTED_VALUE"""),"0.10/50")</f>
        <v>0.10/50</v>
      </c>
      <c r="AE805" s="5"/>
      <c r="AF805" s="5"/>
      <c r="AG805" s="8">
        <f>IFERROR(__xludf.DUMMYFUNCTION("""COMPUTED_VALUE"""),46237.54246527778)</f>
        <v>46237.54247</v>
      </c>
      <c r="AH805" s="5" t="str">
        <f>IFERROR(__xludf.DUMMYFUNCTION("""COMPUTED_VALUE"""),"vanja.svetska@fazi.rs")</f>
        <v>vanja.svetska@fazi.rs</v>
      </c>
      <c r="AI805" s="13"/>
      <c r="AJ805" s="5"/>
      <c r="AK805" s="5">
        <f>IFERROR(__xludf.DUMMYFUNCTION("""COMPUTED_VALUE"""),1.0)</f>
        <v>1</v>
      </c>
      <c r="AL805" s="5" t="str">
        <f>IFERROR(__xludf.DUMMYFUNCTION("""COMPUTED_VALUE"""),"No")</f>
        <v>No</v>
      </c>
      <c r="AM805" s="5" t="str">
        <f>IFERROR(__xludf.DUMMYFUNCTION("""COMPUTED_VALUE"""),"No")</f>
        <v>No</v>
      </c>
      <c r="AN805" s="7" t="str">
        <f>IFERROR(__xludf.DUMMYFUNCTION("""COMPUTED_VALUE"""),"https://static.redstone.rs/games/lucky-lucky-bells/")</f>
        <v>https://static.redstone.rs/games/lucky-lucky-bells/</v>
      </c>
      <c r="AO805" s="5" t="str">
        <f>IFERROR(__xludf.DUMMYFUNCTION("""COMPUTED_VALUE"""),"No")</f>
        <v>No</v>
      </c>
      <c r="AP805" s="5" t="str">
        <f>IFERROR(__xludf.DUMMYFUNCTION("""COMPUTED_VALUE"""),"No")</f>
        <v>No</v>
      </c>
      <c r="AQ805" s="5" t="b">
        <f>IFERROR(__xludf.DUMMYFUNCTION("""COMPUTED_VALUE"""),TRUE)</f>
        <v>1</v>
      </c>
      <c r="AR805" s="5"/>
      <c r="AS805" s="5" t="str">
        <f>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AT805" s="5"/>
      <c r="AU805" s="5" t="str">
        <f>IFERROR(__xludf.DUMMYFUNCTION("""COMPUTED_VALUE"""),"Redstone")</f>
        <v>Redstone</v>
      </c>
      <c r="AV805" s="5">
        <f>IFERROR(__xludf.DUMMYFUNCTION("""COMPUTED_VALUE"""),10.0)</f>
        <v>10</v>
      </c>
      <c r="AW805" s="5"/>
      <c r="AX805" s="13">
        <f>IFERROR(__xludf.DUMMYFUNCTION("""COMPUTED_VALUE"""),46217.0)</f>
        <v>46217</v>
      </c>
      <c r="AY805" s="5"/>
      <c r="AZ805" s="5"/>
      <c r="BA805" s="5"/>
      <c r="BB805" s="5" t="b">
        <f>IFERROR(__xludf.DUMMYFUNCTION("""COMPUTED_VALUE"""),TRUE)</f>
        <v>1</v>
      </c>
      <c r="BC805" s="5" t="str">
        <f>IFERROR(__xludf.DUMMYFUNCTION("""COMPUTED_VALUE"""),"Redstone")</f>
        <v>Redstone</v>
      </c>
      <c r="BD805" s="7" t="str">
        <f>IFERROR(__xludf.DUMMYFUNCTION("""COMPUTED_VALUE"""),"https://gameserver-store-client-area.orbionlimited.com/Home/IntegrationGameLaunch/client-area?moneyType=0&amp;gameName=RedstoneLuckyLuckyBells&amp;platform=desktop&amp;languageCode=eng&amp;currency=EUR")</f>
        <v>https://gameserver-store-client-area.orbionlimited.com/Home/IntegrationGameLaunch/client-area?moneyType=0&amp;gameName=RedstoneLuckyLuckyBells&amp;platform=desktop&amp;languageCode=eng&amp;currency=EUR</v>
      </c>
      <c r="BE805" s="5" t="b">
        <f>IFERROR(__xludf.DUMMYFUNCTION("""COMPUTED_VALUE"""),TRUE)</f>
        <v>1</v>
      </c>
    </row>
    <row r="806">
      <c r="A806" s="5">
        <f>IFERROR(__xludf.DUMMYFUNCTION("""COMPUTED_VALUE"""),844.0)</f>
        <v>844</v>
      </c>
      <c r="B806" s="5">
        <f>IFERROR(__xludf.DUMMYFUNCTION("""COMPUTED_VALUE"""),180088.0)</f>
        <v>180088</v>
      </c>
      <c r="C806" s="5" t="str">
        <f>IFERROR(__xludf.DUMMYFUNCTION("""COMPUTED_VALUE"""),"Redstone")</f>
        <v>Redstone</v>
      </c>
      <c r="D806" s="5" t="str">
        <f>IFERROR(__xludf.DUMMYFUNCTION("""COMPUTED_VALUE"""),"Clover Fire 1000")</f>
        <v>Clover Fire 1000</v>
      </c>
      <c r="E806" s="5" t="str">
        <f>IFERROR(__xludf.DUMMYFUNCTION("""COMPUTED_VALUE"""),"Redstone")</f>
        <v>Redstone</v>
      </c>
      <c r="F806" s="5" t="str">
        <f>IFERROR(__xludf.DUMMYFUNCTION("""COMPUTED_VALUE"""),"RedstoneCloverFire1000")</f>
        <v>RedstoneCloverFire1000</v>
      </c>
      <c r="G806" s="5" t="str">
        <f>IFERROR(__xludf.DUMMYFUNCTION("""COMPUTED_VALUE"""),"Live")</f>
        <v>Live</v>
      </c>
      <c r="H806" s="5"/>
      <c r="I806" s="5" t="str">
        <f>IFERROR(__xludf.DUMMYFUNCTION("""COMPUTED_VALUE"""),"Redstone")</f>
        <v>Redstone</v>
      </c>
      <c r="J806" s="5" t="str">
        <f>IFERROR(__xludf.DUMMYFUNCTION("""COMPUTED_VALUE"""),"JSON")</f>
        <v>JSON</v>
      </c>
      <c r="K806" s="5" t="str">
        <f>IFERROR(__xludf.DUMMYFUNCTION("""COMPUTED_VALUE"""),"Slot")</f>
        <v>Slot</v>
      </c>
      <c r="L806" s="5" t="str">
        <f>IFERROR(__xludf.DUMMYFUNCTION("""COMPUTED_VALUE"""),"Master")</f>
        <v>Master</v>
      </c>
      <c r="M806" s="5"/>
      <c r="N806" s="7" t="str">
        <f>IFERROR(__xludf.DUMMYFUNCTION("""COMPUTED_VALUE"""),"https://drive.google.com/file/d/1s18KWxLBweWnNBhm5gcm9LIcbFlTRTX_/view?usp=drive_link")</f>
        <v>https://drive.google.com/file/d/1s18KWxLBweWnNBhm5gcm9LIcbFlTRTX_/view?usp=drive_link</v>
      </c>
      <c r="O806" s="7" t="str">
        <f>IFERROR(__xludf.DUMMYFUNCTION("""COMPUTED_VALUE"""),"https://drive.google.com/file/d/10rV4fotC8qoSNCHiRcLITCnXVGI7dtFg/view?usp=drive_link")</f>
        <v>https://drive.google.com/file/d/10rV4fotC8qoSNCHiRcLITCnXVGI7dtFg/view?usp=drive_link</v>
      </c>
      <c r="P806" s="12">
        <f>IFERROR(__xludf.DUMMYFUNCTION("""COMPUTED_VALUE"""),8.8)</f>
        <v>8.8</v>
      </c>
      <c r="Q806" s="13">
        <f>IFERROR(__xludf.DUMMYFUNCTION("""COMPUTED_VALUE"""),46237.0)</f>
        <v>46237</v>
      </c>
      <c r="R806" s="13">
        <f>IFERROR(__xludf.DUMMYFUNCTION("""COMPUTED_VALUE"""),46237.0)</f>
        <v>46237</v>
      </c>
      <c r="S806" s="13">
        <f>IFERROR(__xludf.DUMMYFUNCTION("""COMPUTED_VALUE"""),46244.0)</f>
        <v>46244</v>
      </c>
      <c r="T806" s="5" t="b">
        <f>IFERROR(__xludf.DUMMYFUNCTION("""COMPUTED_VALUE"""),TRUE)</f>
        <v>1</v>
      </c>
      <c r="U806" s="5" t="str">
        <f>IFERROR(__xludf.DUMMYFUNCTION("""COMPUTED_VALUE"""),"5x3")</f>
        <v>5x3</v>
      </c>
      <c r="V806" s="5">
        <f>IFERROR(__xludf.DUMMYFUNCTION("""COMPUTED_VALUE"""),5.0)</f>
        <v>5</v>
      </c>
      <c r="W806" s="5">
        <f>IFERROR(__xludf.DUMMYFUNCTION("""COMPUTED_VALUE"""),5.0)</f>
        <v>5</v>
      </c>
      <c r="X806" s="5">
        <f>IFERROR(__xludf.DUMMYFUNCTION("""COMPUTED_VALUE"""),96.03)</f>
        <v>96.03</v>
      </c>
      <c r="Y806" s="5" t="str">
        <f>IFERROR(__xludf.DUMMYFUNCTION("""COMPUTED_VALUE"""),"Medium")</f>
        <v>Medium</v>
      </c>
      <c r="Z806" s="5">
        <f>IFERROR(__xludf.DUMMYFUNCTION("""COMPUTED_VALUE"""),13.54)</f>
        <v>13.54</v>
      </c>
      <c r="AA806" s="5">
        <f>IFERROR(__xludf.DUMMYFUNCTION("""COMPUTED_VALUE"""),1000.0)</f>
        <v>1000</v>
      </c>
      <c r="AB806" s="5"/>
      <c r="AC806" s="5" t="str">
        <f>IFERROR(__xludf.DUMMYFUNCTION("""COMPUTED_VALUE"""),"Expanding Wild, Scatter")</f>
        <v>Expanding Wild, Scatter</v>
      </c>
      <c r="AD806" s="5" t="str">
        <f>IFERROR(__xludf.DUMMYFUNCTION("""COMPUTED_VALUE"""),"0.10/50")</f>
        <v>0.10/50</v>
      </c>
      <c r="AE806" s="5"/>
      <c r="AF806" s="5"/>
      <c r="AG806" s="8">
        <f>IFERROR(__xludf.DUMMYFUNCTION("""COMPUTED_VALUE"""),46252.444131944445)</f>
        <v>46252.44413</v>
      </c>
      <c r="AH806" s="5" t="str">
        <f>IFERROR(__xludf.DUMMYFUNCTION("""COMPUTED_VALUE"""),"vanja.svetska@fazi.rs")</f>
        <v>vanja.svetska@fazi.rs</v>
      </c>
      <c r="AI806" s="13"/>
      <c r="AJ806" s="5"/>
      <c r="AK806" s="5">
        <f>IFERROR(__xludf.DUMMYFUNCTION("""COMPUTED_VALUE"""),1.0)</f>
        <v>1</v>
      </c>
      <c r="AL806" s="5" t="str">
        <f>IFERROR(__xludf.DUMMYFUNCTION("""COMPUTED_VALUE"""),"No")</f>
        <v>No</v>
      </c>
      <c r="AM806" s="5" t="str">
        <f>IFERROR(__xludf.DUMMYFUNCTION("""COMPUTED_VALUE"""),"No")</f>
        <v>No</v>
      </c>
      <c r="AN806" s="7" t="str">
        <f>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AO806" s="5" t="str">
        <f>IFERROR(__xludf.DUMMYFUNCTION("""COMPUTED_VALUE"""),"No")</f>
        <v>No</v>
      </c>
      <c r="AP806" s="5" t="str">
        <f>IFERROR(__xludf.DUMMYFUNCTION("""COMPUTED_VALUE"""),"No")</f>
        <v>No</v>
      </c>
      <c r="AQ806" s="5" t="b">
        <f>IFERROR(__xludf.DUMMYFUNCTION("""COMPUTED_VALUE"""),TRUE)</f>
        <v>1</v>
      </c>
      <c r="AR806" s="5"/>
      <c r="AS806" s="5" t="str">
        <f>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AT806" s="5"/>
      <c r="AU806" s="5" t="str">
        <f>IFERROR(__xludf.DUMMYFUNCTION("""COMPUTED_VALUE"""),"Redstone")</f>
        <v>Redstone</v>
      </c>
      <c r="AV806" s="5"/>
      <c r="AW806" s="5"/>
      <c r="AX806" s="13">
        <f>IFERROR(__xludf.DUMMYFUNCTION("""COMPUTED_VALUE"""),46231.0)</f>
        <v>46231</v>
      </c>
      <c r="AY806" s="5"/>
      <c r="AZ806" s="5"/>
      <c r="BA806" s="5"/>
      <c r="BB806" s="5" t="b">
        <f>IFERROR(__xludf.DUMMYFUNCTION("""COMPUTED_VALUE"""),TRUE)</f>
        <v>1</v>
      </c>
      <c r="BC806" s="5" t="str">
        <f>IFERROR(__xludf.DUMMYFUNCTION("""COMPUTED_VALUE"""),"Redstone")</f>
        <v>Redstone</v>
      </c>
      <c r="BD806" s="7" t="str">
        <f>IFERROR(__xludf.DUMMYFUNCTION("""COMPUTED_VALUE"""),"https://gameserver-store-client-area.orbionlimited.com/Home/IntegrationGameLaunch/client-area?moneyType=0&amp;gameName=RedstoneCloverFire1000&amp;platform=desktop&amp;languageCode=eng&amp;currency=EUR")</f>
        <v>https://gameserver-store-client-area.orbionlimited.com/Home/IntegrationGameLaunch/client-area?moneyType=0&amp;gameName=RedstoneCloverFire1000&amp;platform=desktop&amp;languageCode=eng&amp;currency=EUR</v>
      </c>
      <c r="BE806" s="5" t="b">
        <f>IFERROR(__xludf.DUMMYFUNCTION("""COMPUTED_VALUE"""),TRUE)</f>
        <v>1</v>
      </c>
    </row>
    <row r="807">
      <c r="A807" s="5">
        <f>IFERROR(__xludf.DUMMYFUNCTION("""COMPUTED_VALUE"""),845.0)</f>
        <v>845</v>
      </c>
      <c r="B807" s="5">
        <f>IFERROR(__xludf.DUMMYFUNCTION("""COMPUTED_VALUE"""),180089.0)</f>
        <v>180089</v>
      </c>
      <c r="C807" s="5" t="str">
        <f>IFERROR(__xludf.DUMMYFUNCTION("""COMPUTED_VALUE"""),"Redstone")</f>
        <v>Redstone</v>
      </c>
      <c r="D807" s="5" t="str">
        <f>IFERROR(__xludf.DUMMYFUNCTION("""COMPUTED_VALUE"""),"Wild Heart 1000")</f>
        <v>Wild Heart 1000</v>
      </c>
      <c r="E807" s="5" t="str">
        <f>IFERROR(__xludf.DUMMYFUNCTION("""COMPUTED_VALUE"""),"Redstone")</f>
        <v>Redstone</v>
      </c>
      <c r="F807" s="5" t="str">
        <f>IFERROR(__xludf.DUMMYFUNCTION("""COMPUTED_VALUE"""),"RedstoneWildHeart1000")</f>
        <v>RedstoneWildHeart1000</v>
      </c>
      <c r="G807" s="5" t="str">
        <f>IFERROR(__xludf.DUMMYFUNCTION("""COMPUTED_VALUE"""),"Live")</f>
        <v>Live</v>
      </c>
      <c r="H807" s="5"/>
      <c r="I807" s="5" t="str">
        <f>IFERROR(__xludf.DUMMYFUNCTION("""COMPUTED_VALUE"""),"Redstone")</f>
        <v>Redstone</v>
      </c>
      <c r="J807" s="5" t="str">
        <f>IFERROR(__xludf.DUMMYFUNCTION("""COMPUTED_VALUE"""),"JSON")</f>
        <v>JSON</v>
      </c>
      <c r="K807" s="5" t="str">
        <f>IFERROR(__xludf.DUMMYFUNCTION("""COMPUTED_VALUE"""),"Slot")</f>
        <v>Slot</v>
      </c>
      <c r="L807" s="5"/>
      <c r="M807" s="5"/>
      <c r="N807" s="7" t="str">
        <f>IFERROR(__xludf.DUMMYFUNCTION("""COMPUTED_VALUE"""),"https://drive.google.com/file/d/1O52UGr6YBo2Bg0Dy0xPSY9xtFETqmMjW/view?usp=drive_link")</f>
        <v>https://drive.google.com/file/d/1O52UGr6YBo2Bg0Dy0xPSY9xtFETqmMjW/view?usp=drive_link</v>
      </c>
      <c r="O807" s="7" t="str">
        <f>IFERROR(__xludf.DUMMYFUNCTION("""COMPUTED_VALUE"""),"https://drive.google.com/file/d/17XbSts2nKODexFcKfBq2IOAyMVhi7UqQ/view?usp=drive_link")</f>
        <v>https://drive.google.com/file/d/17XbSts2nKODexFcKfBq2IOAyMVhi7UqQ/view?usp=drive_link</v>
      </c>
      <c r="P807" s="12">
        <f>IFERROR(__xludf.DUMMYFUNCTION("""COMPUTED_VALUE"""),8.7)</f>
        <v>8.7</v>
      </c>
      <c r="Q807" s="13">
        <f>IFERROR(__xludf.DUMMYFUNCTION("""COMPUTED_VALUE"""),46251.0)</f>
        <v>46251</v>
      </c>
      <c r="R807" s="13">
        <f>IFERROR(__xludf.DUMMYFUNCTION("""COMPUTED_VALUE"""),46252.0)</f>
        <v>46252</v>
      </c>
      <c r="S807" s="13">
        <f>IFERROR(__xludf.DUMMYFUNCTION("""COMPUTED_VALUE"""),46259.0)</f>
        <v>46259</v>
      </c>
      <c r="T807" s="5" t="b">
        <f>IFERROR(__xludf.DUMMYFUNCTION("""COMPUTED_VALUE"""),TRUE)</f>
        <v>1</v>
      </c>
      <c r="U807" s="5" t="str">
        <f>IFERROR(__xludf.DUMMYFUNCTION("""COMPUTED_VALUE"""),"5x3")</f>
        <v>5x3</v>
      </c>
      <c r="V807" s="5">
        <f>IFERROR(__xludf.DUMMYFUNCTION("""COMPUTED_VALUE"""),5.0)</f>
        <v>5</v>
      </c>
      <c r="W807" s="5">
        <f>IFERROR(__xludf.DUMMYFUNCTION("""COMPUTED_VALUE"""),5.0)</f>
        <v>5</v>
      </c>
      <c r="X807" s="5">
        <f>IFERROR(__xludf.DUMMYFUNCTION("""COMPUTED_VALUE"""),96.03)</f>
        <v>96.03</v>
      </c>
      <c r="Y807" s="5" t="str">
        <f>IFERROR(__xludf.DUMMYFUNCTION("""COMPUTED_VALUE"""),"Medium")</f>
        <v>Medium</v>
      </c>
      <c r="Z807" s="5">
        <f>IFERROR(__xludf.DUMMYFUNCTION("""COMPUTED_VALUE"""),13.54)</f>
        <v>13.54</v>
      </c>
      <c r="AA807" s="5">
        <f>IFERROR(__xludf.DUMMYFUNCTION("""COMPUTED_VALUE"""),1000.0)</f>
        <v>1000</v>
      </c>
      <c r="AB807" s="5"/>
      <c r="AC807" s="5" t="str">
        <f>IFERROR(__xludf.DUMMYFUNCTION("""COMPUTED_VALUE"""),"Expanding Wild, Scatter")</f>
        <v>Expanding Wild, Scatter</v>
      </c>
      <c r="AD807" s="5" t="str">
        <f>IFERROR(__xludf.DUMMYFUNCTION("""COMPUTED_VALUE"""),"0.10/50")</f>
        <v>0.10/50</v>
      </c>
      <c r="AE807" s="5"/>
      <c r="AF807" s="5"/>
      <c r="AG807" s="8">
        <f>IFERROR(__xludf.DUMMYFUNCTION("""COMPUTED_VALUE"""),46261.589791666665)</f>
        <v>46261.58979</v>
      </c>
      <c r="AH807" s="5" t="str">
        <f>IFERROR(__xludf.DUMMYFUNCTION("""COMPUTED_VALUE"""),"vanja.svetska@fazi.rs")</f>
        <v>vanja.svetska@fazi.rs</v>
      </c>
      <c r="AI807" s="13"/>
      <c r="AJ807" s="5"/>
      <c r="AK807" s="5">
        <f>IFERROR(__xludf.DUMMYFUNCTION("""COMPUTED_VALUE"""),1.0)</f>
        <v>1</v>
      </c>
      <c r="AL807" s="5" t="str">
        <f>IFERROR(__xludf.DUMMYFUNCTION("""COMPUTED_VALUE"""),"No")</f>
        <v>No</v>
      </c>
      <c r="AM807" s="5" t="str">
        <f>IFERROR(__xludf.DUMMYFUNCTION("""COMPUTED_VALUE"""),"No")</f>
        <v>No</v>
      </c>
      <c r="AN807" s="7" t="str">
        <f>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AO807" s="5" t="str">
        <f>IFERROR(__xludf.DUMMYFUNCTION("""COMPUTED_VALUE"""),"No")</f>
        <v>No</v>
      </c>
      <c r="AP807" s="5" t="str">
        <f>IFERROR(__xludf.DUMMYFUNCTION("""COMPUTED_VALUE"""),"No")</f>
        <v>No</v>
      </c>
      <c r="AQ807" s="5" t="b">
        <f>IFERROR(__xludf.DUMMYFUNCTION("""COMPUTED_VALUE"""),TRUE)</f>
        <v>1</v>
      </c>
      <c r="AR807" s="5"/>
      <c r="AS807" s="5" t="str">
        <f>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AT807" s="5"/>
      <c r="AU807" s="5" t="str">
        <f>IFERROR(__xludf.DUMMYFUNCTION("""COMPUTED_VALUE"""),"Redstone")</f>
        <v>Redstone</v>
      </c>
      <c r="AV807" s="5">
        <f>IFERROR(__xludf.DUMMYFUNCTION("""COMPUTED_VALUE"""),10.0)</f>
        <v>10</v>
      </c>
      <c r="AW807" s="5"/>
      <c r="AX807" s="13">
        <f>IFERROR(__xludf.DUMMYFUNCTION("""COMPUTED_VALUE"""),46245.0)</f>
        <v>46245</v>
      </c>
      <c r="AY807" s="5"/>
      <c r="AZ807" s="5"/>
      <c r="BA807" s="5"/>
      <c r="BB807" s="5" t="b">
        <f>IFERROR(__xludf.DUMMYFUNCTION("""COMPUTED_VALUE"""),TRUE)</f>
        <v>1</v>
      </c>
      <c r="BC807" s="5" t="str">
        <f>IFERROR(__xludf.DUMMYFUNCTION("""COMPUTED_VALUE"""),"Redstone")</f>
        <v>Redstone</v>
      </c>
      <c r="BD807" s="7" t="str">
        <f>IFERROR(__xludf.DUMMYFUNCTION("""COMPUTED_VALUE"""),"https://gameserver-store-client-area.orbionlimited.com/Home/IntegrationGameLaunch/client-area?moneyType=0&amp;gameName=RedstoneWildHeart1000&amp;platform=desktop&amp;languageCode=eng&amp;currency=EUR")</f>
        <v>https://gameserver-store-client-area.orbionlimited.com/Home/IntegrationGameLaunch/client-area?moneyType=0&amp;gameName=RedstoneWildHeart1000&amp;platform=desktop&amp;languageCode=eng&amp;currency=EUR</v>
      </c>
      <c r="BE807" s="5" t="b">
        <f>IFERROR(__xludf.DUMMYFUNCTION("""COMPUTED_VALUE"""),TRUE)</f>
        <v>1</v>
      </c>
    </row>
    <row r="808">
      <c r="A808" s="5">
        <f>IFERROR(__xludf.DUMMYFUNCTION("""COMPUTED_VALUE"""),846.0)</f>
        <v>846</v>
      </c>
      <c r="B808" s="5">
        <f>IFERROR(__xludf.DUMMYFUNCTION("""COMPUTED_VALUE"""),180090.0)</f>
        <v>180090</v>
      </c>
      <c r="C808" s="5" t="str">
        <f>IFERROR(__xludf.DUMMYFUNCTION("""COMPUTED_VALUE"""),"Redstone")</f>
        <v>Redstone</v>
      </c>
      <c r="D808" s="5" t="str">
        <f>IFERROR(__xludf.DUMMYFUNCTION("""COMPUTED_VALUE"""),"Wild Crown 1000")</f>
        <v>Wild Crown 1000</v>
      </c>
      <c r="E808" s="5" t="str">
        <f>IFERROR(__xludf.DUMMYFUNCTION("""COMPUTED_VALUE"""),"Redstone")</f>
        <v>Redstone</v>
      </c>
      <c r="F808" s="5" t="str">
        <f>IFERROR(__xludf.DUMMYFUNCTION("""COMPUTED_VALUE"""),"RedstoneWildCrown1000")</f>
        <v>RedstoneWildCrown1000</v>
      </c>
      <c r="G808" s="5" t="str">
        <f>IFERROR(__xludf.DUMMYFUNCTION("""COMPUTED_VALUE"""),"Deployed")</f>
        <v>Deployed</v>
      </c>
      <c r="H808" s="5"/>
      <c r="I808" s="5" t="str">
        <f>IFERROR(__xludf.DUMMYFUNCTION("""COMPUTED_VALUE"""),"Redstone")</f>
        <v>Redstone</v>
      </c>
      <c r="J808" s="5" t="str">
        <f>IFERROR(__xludf.DUMMYFUNCTION("""COMPUTED_VALUE"""),"JSON")</f>
        <v>JSON</v>
      </c>
      <c r="K808" s="5" t="str">
        <f>IFERROR(__xludf.DUMMYFUNCTION("""COMPUTED_VALUE"""),"Slot")</f>
        <v>Slot</v>
      </c>
      <c r="L808" s="5"/>
      <c r="M808" s="5"/>
      <c r="N808" s="7" t="str">
        <f>IFERROR(__xludf.DUMMYFUNCTION("""COMPUTED_VALUE"""),"https://drive.google.com/file/d/1OeRwzK0jpkY2oMN3vSTjTspcEjbdvF04/view?usp=drive_link")</f>
        <v>https://drive.google.com/file/d/1OeRwzK0jpkY2oMN3vSTjTspcEjbdvF04/view?usp=drive_link</v>
      </c>
      <c r="O808" s="7" t="str">
        <f>IFERROR(__xludf.DUMMYFUNCTION("""COMPUTED_VALUE"""),"https://drive.google.com/file/d/1Y8d2xqBTOeIyprsumhn8cASXF85S0wcQ/view?usp=drive_link")</f>
        <v>https://drive.google.com/file/d/1Y8d2xqBTOeIyprsumhn8cASXF85S0wcQ/view?usp=drive_link</v>
      </c>
      <c r="P808" s="12">
        <f>IFERROR(__xludf.DUMMYFUNCTION("""COMPUTED_VALUE"""),8.7)</f>
        <v>8.7</v>
      </c>
      <c r="Q808" s="13">
        <f>IFERROR(__xludf.DUMMYFUNCTION("""COMPUTED_VALUE"""),46279.0)</f>
        <v>46279</v>
      </c>
      <c r="R808" s="13">
        <f>IFERROR(__xludf.DUMMYFUNCTION("""COMPUTED_VALUE"""),46280.0)</f>
        <v>46280</v>
      </c>
      <c r="S808" s="13">
        <f>IFERROR(__xludf.DUMMYFUNCTION("""COMPUTED_VALUE"""),46287.0)</f>
        <v>46287</v>
      </c>
      <c r="T808" s="5" t="b">
        <f>IFERROR(__xludf.DUMMYFUNCTION("""COMPUTED_VALUE"""),TRUE)</f>
        <v>1</v>
      </c>
      <c r="U808" s="5" t="str">
        <f>IFERROR(__xludf.DUMMYFUNCTION("""COMPUTED_VALUE"""),"5x3")</f>
        <v>5x3</v>
      </c>
      <c r="V808" s="5">
        <f>IFERROR(__xludf.DUMMYFUNCTION("""COMPUTED_VALUE"""),5.0)</f>
        <v>5</v>
      </c>
      <c r="W808" s="5">
        <f>IFERROR(__xludf.DUMMYFUNCTION("""COMPUTED_VALUE"""),5.0)</f>
        <v>5</v>
      </c>
      <c r="X808" s="5">
        <f>IFERROR(__xludf.DUMMYFUNCTION("""COMPUTED_VALUE"""),96.03)</f>
        <v>96.03</v>
      </c>
      <c r="Y808" s="5" t="str">
        <f>IFERROR(__xludf.DUMMYFUNCTION("""COMPUTED_VALUE"""),"Medium")</f>
        <v>Medium</v>
      </c>
      <c r="Z808" s="5">
        <f>IFERROR(__xludf.DUMMYFUNCTION("""COMPUTED_VALUE"""),13.54)</f>
        <v>13.54</v>
      </c>
      <c r="AA808" s="5">
        <f>IFERROR(__xludf.DUMMYFUNCTION("""COMPUTED_VALUE"""),1000.0)</f>
        <v>1000</v>
      </c>
      <c r="AB808" s="5"/>
      <c r="AC808" s="5" t="str">
        <f>IFERROR(__xludf.DUMMYFUNCTION("""COMPUTED_VALUE"""),"Expanding Wild, Scatter")</f>
        <v>Expanding Wild, Scatter</v>
      </c>
      <c r="AD808" s="5" t="str">
        <f>IFERROR(__xludf.DUMMYFUNCTION("""COMPUTED_VALUE"""),"0.10/50")</f>
        <v>0.10/50</v>
      </c>
      <c r="AE808" s="5"/>
      <c r="AF808" s="5"/>
      <c r="AG808" s="8">
        <f>IFERROR(__xludf.DUMMYFUNCTION("""COMPUTED_VALUE"""),46260.44944444444)</f>
        <v>46260.44944</v>
      </c>
      <c r="AH808" s="5" t="str">
        <f>IFERROR(__xludf.DUMMYFUNCTION("""COMPUTED_VALUE"""),"selena.mihajlovic@fazi.rs")</f>
        <v>selena.mihajlovic@fazi.rs</v>
      </c>
      <c r="AI808" s="13"/>
      <c r="AJ808" s="5"/>
      <c r="AK808" s="5">
        <f>IFERROR(__xludf.DUMMYFUNCTION("""COMPUTED_VALUE"""),1.0)</f>
        <v>1</v>
      </c>
      <c r="AL808" s="5" t="str">
        <f>IFERROR(__xludf.DUMMYFUNCTION("""COMPUTED_VALUE"""),"No")</f>
        <v>No</v>
      </c>
      <c r="AM808" s="5" t="str">
        <f>IFERROR(__xludf.DUMMYFUNCTION("""COMPUTED_VALUE"""),"No")</f>
        <v>No</v>
      </c>
      <c r="AN808" s="7" t="str">
        <f>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AO808" s="5" t="str">
        <f>IFERROR(__xludf.DUMMYFUNCTION("""COMPUTED_VALUE"""),"No")</f>
        <v>No</v>
      </c>
      <c r="AP808" s="5" t="str">
        <f>IFERROR(__xludf.DUMMYFUNCTION("""COMPUTED_VALUE"""),"No")</f>
        <v>No</v>
      </c>
      <c r="AQ808" s="5" t="b">
        <f>IFERROR(__xludf.DUMMYFUNCTION("""COMPUTED_VALUE"""),TRUE)</f>
        <v>1</v>
      </c>
      <c r="AR808" s="5"/>
      <c r="AS808" s="5" t="str">
        <f>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AT808" s="5"/>
      <c r="AU808" s="5" t="str">
        <f>IFERROR(__xludf.DUMMYFUNCTION("""COMPUTED_VALUE"""),"Redstone")</f>
        <v>Redstone</v>
      </c>
      <c r="AV808" s="5">
        <f>IFERROR(__xludf.DUMMYFUNCTION("""COMPUTED_VALUE"""),10.0)</f>
        <v>10</v>
      </c>
      <c r="AW808" s="5"/>
      <c r="AX808" s="13">
        <f>IFERROR(__xludf.DUMMYFUNCTION("""COMPUTED_VALUE"""),46273.0)</f>
        <v>46273</v>
      </c>
      <c r="AY808" s="5"/>
      <c r="AZ808" s="5"/>
      <c r="BA808" s="5"/>
      <c r="BB808" s="5" t="b">
        <f>IFERROR(__xludf.DUMMYFUNCTION("""COMPUTED_VALUE"""),TRUE)</f>
        <v>1</v>
      </c>
      <c r="BC808" s="5" t="str">
        <f>IFERROR(__xludf.DUMMYFUNCTION("""COMPUTED_VALUE"""),"Redstone")</f>
        <v>Redstone</v>
      </c>
      <c r="BD808" s="7" t="str">
        <f>IFERROR(__xludf.DUMMYFUNCTION("""COMPUTED_VALUE"""),"https://gameserver-store-client-area.orbionlimited.com/Home/IntegrationGameLaunch/client-area?moneyType=0&amp;gameName=RedstoneWildCrown1000&amp;platform=desktop&amp;languageCode=eng&amp;currency=EUR")</f>
        <v>https://gameserver-store-client-area.orbionlimited.com/Home/IntegrationGameLaunch/client-area?moneyType=0&amp;gameName=RedstoneWildCrown1000&amp;platform=desktop&amp;languageCode=eng&amp;currency=EUR</v>
      </c>
      <c r="BE808" s="5" t="b">
        <f>IFERROR(__xludf.DUMMYFUNCTION("""COMPUTED_VALUE"""),TRUE)</f>
        <v>1</v>
      </c>
    </row>
    <row r="809">
      <c r="A809" s="5">
        <f>IFERROR(__xludf.DUMMYFUNCTION("""COMPUTED_VALUE"""),847.0)</f>
        <v>847</v>
      </c>
      <c r="B809" s="5">
        <f>IFERROR(__xludf.DUMMYFUNCTION("""COMPUTED_VALUE"""),1024.0)</f>
        <v>1024</v>
      </c>
      <c r="C809" s="5" t="str">
        <f>IFERROR(__xludf.DUMMYFUNCTION("""COMPUTED_VALUE"""),"Fazi")</f>
        <v>Fazi</v>
      </c>
      <c r="D809" s="5" t="str">
        <f>IFERROR(__xludf.DUMMYFUNCTION("""COMPUTED_VALUE"""),"Clover 81")</f>
        <v>Clover 81</v>
      </c>
      <c r="E809" s="5" t="str">
        <f>IFERROR(__xludf.DUMMYFUNCTION("""COMPUTED_VALUE"""),"V4-1")</f>
        <v>V4-1</v>
      </c>
      <c r="F809" s="5" t="str">
        <f>IFERROR(__xludf.DUMMYFUNCTION("""COMPUTED_VALUE"""),"Clover81")</f>
        <v>Clover81</v>
      </c>
      <c r="G809" s="5" t="str">
        <f>IFERROR(__xludf.DUMMYFUNCTION("""COMPUTED_VALUE"""),"Deployed")</f>
        <v>Deployed</v>
      </c>
      <c r="H809" s="5"/>
      <c r="I809" s="5" t="str">
        <f>IFERROR(__xludf.DUMMYFUNCTION("""COMPUTED_VALUE"""),"V4")</f>
        <v>V4</v>
      </c>
      <c r="J809" s="5" t="str">
        <f>IFERROR(__xludf.DUMMYFUNCTION("""COMPUTED_VALUE"""),"JSON")</f>
        <v>JSON</v>
      </c>
      <c r="K809" s="5" t="str">
        <f>IFERROR(__xludf.DUMMYFUNCTION("""COMPUTED_VALUE"""),"Slot")</f>
        <v>Slot</v>
      </c>
      <c r="L809" s="5" t="str">
        <f>IFERROR(__xludf.DUMMYFUNCTION("""COMPUTED_VALUE""")," Variant")</f>
        <v> Variant</v>
      </c>
      <c r="M809" s="5" t="str">
        <f>IFERROR(__xludf.DUMMYFUNCTION("""COMPUTED_VALUE"""),"Clover 27")</f>
        <v>Clover 27</v>
      </c>
      <c r="N809" s="5"/>
      <c r="O809" s="5"/>
      <c r="P809" s="12">
        <f>IFERROR(__xludf.DUMMYFUNCTION("""COMPUTED_VALUE"""),15.8)</f>
        <v>15.8</v>
      </c>
      <c r="Q809" s="13">
        <f>IFERROR(__xludf.DUMMYFUNCTION("""COMPUTED_VALUE"""),46279.0)</f>
        <v>46279</v>
      </c>
      <c r="R809" s="13"/>
      <c r="S809" s="13"/>
      <c r="T809" s="5"/>
      <c r="U809" s="5" t="str">
        <f>IFERROR(__xludf.DUMMYFUNCTION("""COMPUTED_VALUE"""),"4x3")</f>
        <v>4x3</v>
      </c>
      <c r="V809" s="5">
        <f>IFERROR(__xludf.DUMMYFUNCTION("""COMPUTED_VALUE"""),81.0)</f>
        <v>81</v>
      </c>
      <c r="W809" s="5">
        <f>IFERROR(__xludf.DUMMYFUNCTION("""COMPUTED_VALUE"""),81.0)</f>
        <v>81</v>
      </c>
      <c r="X809" s="5">
        <f>IFERROR(__xludf.DUMMYFUNCTION("""COMPUTED_VALUE"""),96.5)</f>
        <v>96.5</v>
      </c>
      <c r="Y809" s="5" t="str">
        <f>IFERROR(__xludf.DUMMYFUNCTION("""COMPUTED_VALUE"""),"Medium")</f>
        <v>Medium</v>
      </c>
      <c r="Z809" s="5">
        <f>IFERROR(__xludf.DUMMYFUNCTION("""COMPUTED_VALUE"""),7.669)</f>
        <v>7.669</v>
      </c>
      <c r="AA809" s="5">
        <f>IFERROR(__xludf.DUMMYFUNCTION("""COMPUTED_VALUE"""),522.0)</f>
        <v>522</v>
      </c>
      <c r="AB809" s="5"/>
      <c r="AC809" s="5" t="str">
        <f>IFERROR(__xludf.DUMMYFUNCTION("""COMPUTED_VALUE"""),"Expanding Wild")</f>
        <v>Expanding Wild</v>
      </c>
      <c r="AD809" s="5" t="str">
        <f>IFERROR(__xludf.DUMMYFUNCTION("""COMPUTED_VALUE"""),"0.1/50")</f>
        <v>0.1/50</v>
      </c>
      <c r="AE809" s="5"/>
      <c r="AF809" s="5"/>
      <c r="AG809" s="8">
        <f>IFERROR(__xludf.DUMMYFUNCTION("""COMPUTED_VALUE"""),46254.57685185185)</f>
        <v>46254.57685</v>
      </c>
      <c r="AH809" s="5" t="str">
        <f>IFERROR(__xludf.DUMMYFUNCTION("""COMPUTED_VALUE"""),"djordje.petrovic@fazi.rs")</f>
        <v>djordje.petrovic@fazi.rs</v>
      </c>
      <c r="AI809" s="13"/>
      <c r="AJ809" s="5"/>
      <c r="AK809" s="5">
        <f>IFERROR(__xludf.DUMMYFUNCTION("""COMPUTED_VALUE"""),1.0)</f>
        <v>1</v>
      </c>
      <c r="AL809" s="5" t="str">
        <f>IFERROR(__xludf.DUMMYFUNCTION("""COMPUTED_VALUE"""),"Yes")</f>
        <v>Yes</v>
      </c>
      <c r="AM809" s="5" t="str">
        <f>IFERROR(__xludf.DUMMYFUNCTION("""COMPUTED_VALUE"""),"No")</f>
        <v>No</v>
      </c>
      <c r="AN809" s="5"/>
      <c r="AO809" s="5" t="str">
        <f>IFERROR(__xludf.DUMMYFUNCTION("""COMPUTED_VALUE"""),"Yes")</f>
        <v>Yes</v>
      </c>
      <c r="AP809" s="5" t="str">
        <f>IFERROR(__xludf.DUMMYFUNCTION("""COMPUTED_VALUE"""),"Yes")</f>
        <v>Yes</v>
      </c>
      <c r="AQ809" s="5"/>
      <c r="AR809" s="5"/>
      <c r="AS809" s="5"/>
      <c r="AT809" s="5"/>
      <c r="AU809" s="5" t="str">
        <f>IFERROR(__xludf.DUMMYFUNCTION("""COMPUTED_VALUE"""),"Fazi")</f>
        <v>Fazi</v>
      </c>
      <c r="AV809" s="5">
        <f>IFERROR(__xludf.DUMMYFUNCTION("""COMPUTED_VALUE"""),1.0)</f>
        <v>1</v>
      </c>
      <c r="AW809" s="5"/>
      <c r="AX809" s="13">
        <f>IFERROR(__xludf.DUMMYFUNCTION("""COMPUTED_VALUE"""),46273.0)</f>
        <v>46273</v>
      </c>
      <c r="AY809" s="5" t="str">
        <f>IFERROR(__xludf.DUMMYFUNCTION("""COMPUTED_VALUE"""),"95.5, 94.5, 93.5, 91.5, 89.5, 87.5")</f>
        <v>95.5, 94.5, 93.5, 91.5, 89.5, 87.5</v>
      </c>
      <c r="AZ809" s="5"/>
      <c r="BA809" s="5"/>
      <c r="BB809" s="5"/>
      <c r="BC809" s="5" t="str">
        <f>IFERROR(__xludf.DUMMYFUNCTION("""COMPUTED_VALUE"""),"Foxi")</f>
        <v>Foxi</v>
      </c>
      <c r="BD809" s="5"/>
      <c r="BE809" s="5"/>
    </row>
    <row r="810">
      <c r="A810" s="5">
        <f>IFERROR(__xludf.DUMMYFUNCTION("""COMPUTED_VALUE"""),848.0)</f>
        <v>848</v>
      </c>
      <c r="B810" s="5">
        <f>IFERROR(__xludf.DUMMYFUNCTION("""COMPUTED_VALUE"""),1025.0)</f>
        <v>1025</v>
      </c>
      <c r="C810" s="5" t="str">
        <f>IFERROR(__xludf.DUMMYFUNCTION("""COMPUTED_VALUE"""),"Fazi")</f>
        <v>Fazi</v>
      </c>
      <c r="D810" s="5" t="str">
        <f>IFERROR(__xludf.DUMMYFUNCTION("""COMPUTED_VALUE"""),"Clover 5")</f>
        <v>Clover 5</v>
      </c>
      <c r="E810" s="5" t="str">
        <f>IFERROR(__xludf.DUMMYFUNCTION("""COMPUTED_VALUE"""),"V4-1")</f>
        <v>V4-1</v>
      </c>
      <c r="F810" s="5" t="str">
        <f>IFERROR(__xludf.DUMMYFUNCTION("""COMPUTED_VALUE"""),"Clover5")</f>
        <v>Clover5</v>
      </c>
      <c r="G810" s="5" t="str">
        <f>IFERROR(__xludf.DUMMYFUNCTION("""COMPUTED_VALUE"""),"In Development")</f>
        <v>In Development</v>
      </c>
      <c r="H810" s="5"/>
      <c r="I810" s="5" t="str">
        <f>IFERROR(__xludf.DUMMYFUNCTION("""COMPUTED_VALUE"""),"V4")</f>
        <v>V4</v>
      </c>
      <c r="J810" s="5" t="str">
        <f>IFERROR(__xludf.DUMMYFUNCTION("""COMPUTED_VALUE"""),"JSON")</f>
        <v>JSON</v>
      </c>
      <c r="K810" s="5" t="str">
        <f>IFERROR(__xludf.DUMMYFUNCTION("""COMPUTED_VALUE"""),"Slot")</f>
        <v>Slot</v>
      </c>
      <c r="L810" s="5" t="str">
        <f>IFERROR(__xludf.DUMMYFUNCTION("""COMPUTED_VALUE""")," Variant")</f>
        <v> Variant</v>
      </c>
      <c r="M810" s="5" t="str">
        <f>IFERROR(__xludf.DUMMYFUNCTION("""COMPUTED_VALUE"""),"Clover 27")</f>
        <v>Clover 27</v>
      </c>
      <c r="N810" s="5"/>
      <c r="O810" s="5"/>
      <c r="P810" s="12">
        <f>IFERROR(__xludf.DUMMYFUNCTION("""COMPUTED_VALUE"""),16.3)</f>
        <v>16.3</v>
      </c>
      <c r="Q810" s="13">
        <f>IFERROR(__xludf.DUMMYFUNCTION("""COMPUTED_VALUE"""),46279.0)</f>
        <v>46279</v>
      </c>
      <c r="R810" s="13"/>
      <c r="S810" s="13"/>
      <c r="T810" s="5"/>
      <c r="U810" s="5" t="str">
        <f>IFERROR(__xludf.DUMMYFUNCTION("""COMPUTED_VALUE"""),"3x3")</f>
        <v>3x3</v>
      </c>
      <c r="V810" s="5">
        <f>IFERROR(__xludf.DUMMYFUNCTION("""COMPUTED_VALUE"""),5.0)</f>
        <v>5</v>
      </c>
      <c r="W810" s="5">
        <f>IFERROR(__xludf.DUMMYFUNCTION("""COMPUTED_VALUE"""),5.0)</f>
        <v>5</v>
      </c>
      <c r="X810" s="5">
        <f>IFERROR(__xludf.DUMMYFUNCTION("""COMPUTED_VALUE"""),96.5)</f>
        <v>96.5</v>
      </c>
      <c r="Y810" s="5" t="str">
        <f>IFERROR(__xludf.DUMMYFUNCTION("""COMPUTED_VALUE"""),"Low")</f>
        <v>Low</v>
      </c>
      <c r="Z810" s="5">
        <f>IFERROR(__xludf.DUMMYFUNCTION("""COMPUTED_VALUE"""),5.731)</f>
        <v>5.731</v>
      </c>
      <c r="AA810" s="5">
        <f>IFERROR(__xludf.DUMMYFUNCTION("""COMPUTED_VALUE"""),84.0)</f>
        <v>84</v>
      </c>
      <c r="AB810" s="5"/>
      <c r="AC810" s="5" t="str">
        <f>IFERROR(__xludf.DUMMYFUNCTION("""COMPUTED_VALUE"""),"Expanding Wild")</f>
        <v>Expanding Wild</v>
      </c>
      <c r="AD810" s="5" t="str">
        <f>IFERROR(__xludf.DUMMYFUNCTION("""COMPUTED_VALUE"""),"0.1 / 50")</f>
        <v>0.1 / 50</v>
      </c>
      <c r="AE810" s="5"/>
      <c r="AF810" s="5"/>
      <c r="AG810" s="8">
        <f>IFERROR(__xludf.DUMMYFUNCTION("""COMPUTED_VALUE"""),46254.57587962963)</f>
        <v>46254.57588</v>
      </c>
      <c r="AH810" s="5" t="str">
        <f>IFERROR(__xludf.DUMMYFUNCTION("""COMPUTED_VALUE"""),"djordje.petrovic@fazi.rs")</f>
        <v>djordje.petrovic@fazi.rs</v>
      </c>
      <c r="AI810" s="13"/>
      <c r="AJ810" s="5"/>
      <c r="AK810" s="5">
        <f>IFERROR(__xludf.DUMMYFUNCTION("""COMPUTED_VALUE"""),1.0)</f>
        <v>1</v>
      </c>
      <c r="AL810" s="5" t="str">
        <f>IFERROR(__xludf.DUMMYFUNCTION("""COMPUTED_VALUE"""),"Yes")</f>
        <v>Yes</v>
      </c>
      <c r="AM810" s="5" t="str">
        <f>IFERROR(__xludf.DUMMYFUNCTION("""COMPUTED_VALUE"""),"No")</f>
        <v>No</v>
      </c>
      <c r="AN810"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10" s="5" t="str">
        <f>IFERROR(__xludf.DUMMYFUNCTION("""COMPUTED_VALUE"""),"Yes")</f>
        <v>Yes</v>
      </c>
      <c r="AP810" s="5" t="str">
        <f>IFERROR(__xludf.DUMMYFUNCTION("""COMPUTED_VALUE"""),"Yes")</f>
        <v>Yes</v>
      </c>
      <c r="AQ810" s="5"/>
      <c r="AR810" s="5"/>
      <c r="AS810" s="5"/>
      <c r="AT810" s="5"/>
      <c r="AU810" s="5" t="str">
        <f>IFERROR(__xludf.DUMMYFUNCTION("""COMPUTED_VALUE"""),"Fazi")</f>
        <v>Fazi</v>
      </c>
      <c r="AV810" s="5">
        <f>IFERROR(__xludf.DUMMYFUNCTION("""COMPUTED_VALUE"""),1.0)</f>
        <v>1</v>
      </c>
      <c r="AW810" s="5"/>
      <c r="AX810" s="13">
        <f>IFERROR(__xludf.DUMMYFUNCTION("""COMPUTED_VALUE"""),46273.0)</f>
        <v>46273</v>
      </c>
      <c r="AY810" s="5" t="str">
        <f>IFERROR(__xludf.DUMMYFUNCTION("""COMPUTED_VALUE"""),"95.5, 94,5, 93.5, 91.5, 89.5, 87.5")</f>
        <v>95.5, 94,5, 93.5, 91.5, 89.5, 87.5</v>
      </c>
      <c r="AZ810" s="5"/>
      <c r="BA810" s="5"/>
      <c r="BB810" s="5"/>
      <c r="BC810" s="5" t="str">
        <f>IFERROR(__xludf.DUMMYFUNCTION("""COMPUTED_VALUE"""),"Foxi")</f>
        <v>Foxi</v>
      </c>
      <c r="BD810" s="5"/>
      <c r="BE810" s="5"/>
    </row>
    <row r="811">
      <c r="A811" s="5">
        <f>IFERROR(__xludf.DUMMYFUNCTION("""COMPUTED_VALUE"""),849.0)</f>
        <v>849</v>
      </c>
      <c r="B811" s="5">
        <f>IFERROR(__xludf.DUMMYFUNCTION("""COMPUTED_VALUE"""),1026.0)</f>
        <v>1026</v>
      </c>
      <c r="C811" s="5" t="str">
        <f>IFERROR(__xludf.DUMMYFUNCTION("""COMPUTED_VALUE"""),"Fazi")</f>
        <v>Fazi</v>
      </c>
      <c r="D811" s="5" t="str">
        <f>IFERROR(__xludf.DUMMYFUNCTION("""COMPUTED_VALUE"""),"Clover 10")</f>
        <v>Clover 10</v>
      </c>
      <c r="E811" s="5" t="str">
        <f>IFERROR(__xludf.DUMMYFUNCTION("""COMPUTED_VALUE"""),"V4-1")</f>
        <v>V4-1</v>
      </c>
      <c r="F811" s="5" t="str">
        <f>IFERROR(__xludf.DUMMYFUNCTION("""COMPUTED_VALUE"""),"Clover10")</f>
        <v>Clover10</v>
      </c>
      <c r="G811" s="5" t="str">
        <f>IFERROR(__xludf.DUMMYFUNCTION("""COMPUTED_VALUE"""),"In Development")</f>
        <v>In Development</v>
      </c>
      <c r="H811" s="5"/>
      <c r="I811" s="5" t="str">
        <f>IFERROR(__xludf.DUMMYFUNCTION("""COMPUTED_VALUE"""),"V4")</f>
        <v>V4</v>
      </c>
      <c r="J811" s="5" t="str">
        <f>IFERROR(__xludf.DUMMYFUNCTION("""COMPUTED_VALUE"""),"JSON")</f>
        <v>JSON</v>
      </c>
      <c r="K811" s="5" t="str">
        <f>IFERROR(__xludf.DUMMYFUNCTION("""COMPUTED_VALUE"""),"Slot")</f>
        <v>Slot</v>
      </c>
      <c r="L811" s="5" t="str">
        <f>IFERROR(__xludf.DUMMYFUNCTION("""COMPUTED_VALUE""")," Variant")</f>
        <v> Variant</v>
      </c>
      <c r="M811" s="5" t="str">
        <f>IFERROR(__xludf.DUMMYFUNCTION("""COMPUTED_VALUE"""),"Clover 81")</f>
        <v>Clover 81</v>
      </c>
      <c r="N811" s="5"/>
      <c r="O811" s="5"/>
      <c r="P811" s="12"/>
      <c r="Q811" s="13">
        <f>IFERROR(__xludf.DUMMYFUNCTION("""COMPUTED_VALUE"""),46279.0)</f>
        <v>46279</v>
      </c>
      <c r="R811" s="13"/>
      <c r="S811" s="13"/>
      <c r="T811" s="5"/>
      <c r="U811" s="5" t="str">
        <f>IFERROR(__xludf.DUMMYFUNCTION("""COMPUTED_VALUE"""),"4x3")</f>
        <v>4x3</v>
      </c>
      <c r="V811" s="5">
        <f>IFERROR(__xludf.DUMMYFUNCTION("""COMPUTED_VALUE"""),10.0)</f>
        <v>10</v>
      </c>
      <c r="W811" s="5">
        <f>IFERROR(__xludf.DUMMYFUNCTION("""COMPUTED_VALUE"""),10.0)</f>
        <v>10</v>
      </c>
      <c r="X811" s="5">
        <f>IFERROR(__xludf.DUMMYFUNCTION("""COMPUTED_VALUE"""),96.5)</f>
        <v>96.5</v>
      </c>
      <c r="Y811" s="5" t="str">
        <f>IFERROR(__xludf.DUMMYFUNCTION("""COMPUTED_VALUE"""),"Medium")</f>
        <v>Medium</v>
      </c>
      <c r="Z811" s="5">
        <f>IFERROR(__xludf.DUMMYFUNCTION("""COMPUTED_VALUE"""),9.529)</f>
        <v>9.529</v>
      </c>
      <c r="AA811" s="5">
        <f>IFERROR(__xludf.DUMMYFUNCTION("""COMPUTED_VALUE"""),933.0)</f>
        <v>933</v>
      </c>
      <c r="AB811" s="5"/>
      <c r="AC811" s="5" t="str">
        <f>IFERROR(__xludf.DUMMYFUNCTION("""COMPUTED_VALUE"""),"Expanding Wild")</f>
        <v>Expanding Wild</v>
      </c>
      <c r="AD811" s="5" t="str">
        <f>IFERROR(__xludf.DUMMYFUNCTION("""COMPUTED_VALUE"""),"0.1 / 50")</f>
        <v>0.1 / 50</v>
      </c>
      <c r="AE811" s="5"/>
      <c r="AF811" s="5"/>
      <c r="AG811" s="8">
        <f>IFERROR(__xludf.DUMMYFUNCTION("""COMPUTED_VALUE"""),46254.57609953704)</f>
        <v>46254.5761</v>
      </c>
      <c r="AH811" s="5" t="str">
        <f>IFERROR(__xludf.DUMMYFUNCTION("""COMPUTED_VALUE"""),"djordje.petrovic@fazi.rs")</f>
        <v>djordje.petrovic@fazi.rs</v>
      </c>
      <c r="AI811" s="13"/>
      <c r="AJ811" s="5"/>
      <c r="AK811" s="5">
        <f>IFERROR(__xludf.DUMMYFUNCTION("""COMPUTED_VALUE"""),1.0)</f>
        <v>1</v>
      </c>
      <c r="AL811" s="5" t="str">
        <f>IFERROR(__xludf.DUMMYFUNCTION("""COMPUTED_VALUE"""),"Yes")</f>
        <v>Yes</v>
      </c>
      <c r="AM811" s="5" t="str">
        <f>IFERROR(__xludf.DUMMYFUNCTION("""COMPUTED_VALUE"""),"No")</f>
        <v>No</v>
      </c>
      <c r="AN811" s="5"/>
      <c r="AO811" s="5" t="str">
        <f>IFERROR(__xludf.DUMMYFUNCTION("""COMPUTED_VALUE"""),"Yes")</f>
        <v>Yes</v>
      </c>
      <c r="AP811" s="5" t="str">
        <f>IFERROR(__xludf.DUMMYFUNCTION("""COMPUTED_VALUE"""),"Yes")</f>
        <v>Yes</v>
      </c>
      <c r="AQ811" s="5"/>
      <c r="AR811" s="5"/>
      <c r="AS811" s="5"/>
      <c r="AT811" s="5"/>
      <c r="AU811" s="5" t="str">
        <f>IFERROR(__xludf.DUMMYFUNCTION("""COMPUTED_VALUE"""),"Fazi")</f>
        <v>Fazi</v>
      </c>
      <c r="AV811" s="5">
        <f>IFERROR(__xludf.DUMMYFUNCTION("""COMPUTED_VALUE"""),1.0)</f>
        <v>1</v>
      </c>
      <c r="AW811" s="5"/>
      <c r="AX811" s="13">
        <f>IFERROR(__xludf.DUMMYFUNCTION("""COMPUTED_VALUE"""),46273.0)</f>
        <v>46273</v>
      </c>
      <c r="AY811" s="5" t="str">
        <f>IFERROR(__xludf.DUMMYFUNCTION("""COMPUTED_VALUE"""),"95.5, 94.5, 93.5, 91.5, 89.5, 87.5")</f>
        <v>95.5, 94.5, 93.5, 91.5, 89.5, 87.5</v>
      </c>
      <c r="AZ811" s="5"/>
      <c r="BA811" s="5"/>
      <c r="BB811" s="5"/>
      <c r="BC811" s="5" t="str">
        <f>IFERROR(__xludf.DUMMYFUNCTION("""COMPUTED_VALUE"""),"Foxi")</f>
        <v>Foxi</v>
      </c>
      <c r="BD811" s="5"/>
      <c r="BE811" s="5"/>
    </row>
    <row r="812">
      <c r="A812" s="5">
        <f>IFERROR(__xludf.DUMMYFUNCTION("""COMPUTED_VALUE"""),850.0)</f>
        <v>850</v>
      </c>
      <c r="B812" s="5">
        <f>IFERROR(__xludf.DUMMYFUNCTION("""COMPUTED_VALUE"""),3046.0)</f>
        <v>3046</v>
      </c>
      <c r="C812" s="5" t="str">
        <f>IFERROR(__xludf.DUMMYFUNCTION("""COMPUTED_VALUE"""),"Fazi")</f>
        <v>Fazi</v>
      </c>
      <c r="D812" s="5" t="str">
        <f>IFERROR(__xludf.DUMMYFUNCTION("""COMPUTED_VALUE"""),"Power Lucky 7")</f>
        <v>Power Lucky 7</v>
      </c>
      <c r="E812" s="5" t="str">
        <f>IFERROR(__xludf.DUMMYFUNCTION("""COMPUTED_VALUE"""),"V2")</f>
        <v>V2</v>
      </c>
      <c r="F812" s="5" t="str">
        <f>IFERROR(__xludf.DUMMYFUNCTION("""COMPUTED_VALUE"""),"PowerLucky7")</f>
        <v>PowerLucky7</v>
      </c>
      <c r="G812" s="5" t="str">
        <f>IFERROR(__xludf.DUMMYFUNCTION("""COMPUTED_VALUE"""),"Deployed")</f>
        <v>Deployed</v>
      </c>
      <c r="H812" s="5"/>
      <c r="I812" s="5" t="str">
        <f>IFERROR(__xludf.DUMMYFUNCTION("""COMPUTED_VALUE"""),"V4")</f>
        <v>V4</v>
      </c>
      <c r="J812" s="5" t="str">
        <f>IFERROR(__xludf.DUMMYFUNCTION("""COMPUTED_VALUE"""),"JSON")</f>
        <v>JSON</v>
      </c>
      <c r="K812" s="5" t="str">
        <f>IFERROR(__xludf.DUMMYFUNCTION("""COMPUTED_VALUE"""),"Slot")</f>
        <v>Slot</v>
      </c>
      <c r="L812" s="5" t="str">
        <f>IFERROR(__xludf.DUMMYFUNCTION("""COMPUTED_VALUE"""),"Master")</f>
        <v>Master</v>
      </c>
      <c r="M812" s="5"/>
      <c r="N812" s="5"/>
      <c r="O812" s="5"/>
      <c r="P812" s="12">
        <f>IFERROR(__xludf.DUMMYFUNCTION("""COMPUTED_VALUE"""),16.4)</f>
        <v>16.4</v>
      </c>
      <c r="Q812" s="13">
        <f>IFERROR(__xludf.DUMMYFUNCTION("""COMPUTED_VALUE"""),46209.0)</f>
        <v>46209</v>
      </c>
      <c r="R812" s="13"/>
      <c r="S812" s="13"/>
      <c r="T812" s="5"/>
      <c r="U812" s="5" t="str">
        <f>IFERROR(__xludf.DUMMYFUNCTION("""COMPUTED_VALUE"""),"5x3")</f>
        <v>5x3</v>
      </c>
      <c r="V812" s="5">
        <f>IFERROR(__xludf.DUMMYFUNCTION("""COMPUTED_VALUE"""),10.0)</f>
        <v>10</v>
      </c>
      <c r="W812" s="5">
        <f>IFERROR(__xludf.DUMMYFUNCTION("""COMPUTED_VALUE"""),10.0)</f>
        <v>10</v>
      </c>
      <c r="X812" s="5">
        <f>IFERROR(__xludf.DUMMYFUNCTION("""COMPUTED_VALUE"""),96.269)</f>
        <v>96.269</v>
      </c>
      <c r="Y812" s="5" t="str">
        <f>IFERROR(__xludf.DUMMYFUNCTION("""COMPUTED_VALUE"""),"High")</f>
        <v>High</v>
      </c>
      <c r="Z812" s="5">
        <f>IFERROR(__xludf.DUMMYFUNCTION("""COMPUTED_VALUE"""),10.612)</f>
        <v>10.612</v>
      </c>
      <c r="AA812" s="5">
        <f>IFERROR(__xludf.DUMMYFUNCTION("""COMPUTED_VALUE"""),5000.0)</f>
        <v>5000</v>
      </c>
      <c r="AB812" s="5"/>
      <c r="AC812" s="5" t="str">
        <f>IFERROR(__xludf.DUMMYFUNCTION("""COMPUTED_VALUE"""),"Variable RTP, Scatter, Free Rounds ")</f>
        <v>Variable RTP, Scatter, Free Rounds </v>
      </c>
      <c r="AD812" s="5" t="str">
        <f>IFERROR(__xludf.DUMMYFUNCTION("""COMPUTED_VALUE"""),"0.1/40")</f>
        <v>0.1/40</v>
      </c>
      <c r="AE812" s="5"/>
      <c r="AF812" s="5"/>
      <c r="AG812" s="8">
        <f>IFERROR(__xludf.DUMMYFUNCTION("""COMPUTED_VALUE"""),46226.71131944445)</f>
        <v>46226.71132</v>
      </c>
      <c r="AH812" s="5" t="str">
        <f>IFERROR(__xludf.DUMMYFUNCTION("""COMPUTED_VALUE"""),"milena.kocic@fazi.rs")</f>
        <v>milena.kocic@fazi.rs</v>
      </c>
      <c r="AI812" s="13"/>
      <c r="AJ812" s="5"/>
      <c r="AK812" s="5">
        <f>IFERROR(__xludf.DUMMYFUNCTION("""COMPUTED_VALUE"""),1.0)</f>
        <v>1</v>
      </c>
      <c r="AL812" s="5" t="str">
        <f>IFERROR(__xludf.DUMMYFUNCTION("""COMPUTED_VALUE"""),"Yes")</f>
        <v>Yes</v>
      </c>
      <c r="AM812" s="5" t="str">
        <f>IFERROR(__xludf.DUMMYFUNCTION("""COMPUTED_VALUE"""),"No")</f>
        <v>No</v>
      </c>
      <c r="AN812" s="7" t="str">
        <f>IFERROR(__xludf.DUMMYFUNCTION("""COMPUTED_VALUE"""),"https://onlinegamespromo.fazi.rs/Home/IntegrationGameLaunch?moneyType=0&amp;gameName=PowerLucky7&amp;platform=desktop&amp;languageCode=eng&amp;currency=EUR")</f>
        <v>https://onlinegamespromo.fazi.rs/Home/IntegrationGameLaunch?moneyType=0&amp;gameName=PowerLucky7&amp;platform=desktop&amp;languageCode=eng&amp;currency=EUR</v>
      </c>
      <c r="AO812" s="5" t="str">
        <f>IFERROR(__xludf.DUMMYFUNCTION("""COMPUTED_VALUE"""),"Yes")</f>
        <v>Yes</v>
      </c>
      <c r="AP812" s="5" t="str">
        <f>IFERROR(__xludf.DUMMYFUNCTION("""COMPUTED_VALUE"""),"Yes")</f>
        <v>Yes</v>
      </c>
      <c r="AQ812" s="5"/>
      <c r="AR812" s="5"/>
      <c r="AS812" s="5"/>
      <c r="AT812" s="5"/>
      <c r="AU812" s="5" t="str">
        <f>IFERROR(__xludf.DUMMYFUNCTION("""COMPUTED_VALUE"""),"Fazi")</f>
        <v>Fazi</v>
      </c>
      <c r="AV812" s="5">
        <f>IFERROR(__xludf.DUMMYFUNCTION("""COMPUTED_VALUE"""),1.0)</f>
        <v>1</v>
      </c>
      <c r="AW812" s="5"/>
      <c r="AX812" s="13">
        <f>IFERROR(__xludf.DUMMYFUNCTION("""COMPUTED_VALUE"""),46203.0)</f>
        <v>46203</v>
      </c>
      <c r="AY812" s="5" t="str">
        <f>IFERROR(__xludf.DUMMYFUNCTION("""COMPUTED_VALUE"""),"87.5%, 89.5%, 91.5%, 93.5%, 94.5%, 95.5%, 96.5%")</f>
        <v>87.5%, 89.5%, 91.5%, 93.5%, 94.5%, 95.5%, 96.5%</v>
      </c>
      <c r="AZ812" s="5"/>
      <c r="BA812" s="5"/>
      <c r="BB812" s="5"/>
      <c r="BC812" s="5" t="str">
        <f>IFERROR(__xludf.DUMMYFUNCTION("""COMPUTED_VALUE"""),"Foxi")</f>
        <v>Foxi</v>
      </c>
      <c r="BD812" s="5"/>
      <c r="BE812" s="5"/>
    </row>
    <row r="813">
      <c r="A813" s="5">
        <f>IFERROR(__xludf.DUMMYFUNCTION("""COMPUTED_VALUE"""),851.0)</f>
        <v>851</v>
      </c>
      <c r="B813" s="5">
        <f>IFERROR(__xludf.DUMMYFUNCTION("""COMPUTED_VALUE"""),180091.0)</f>
        <v>180091</v>
      </c>
      <c r="C813" s="5" t="str">
        <f>IFERROR(__xludf.DUMMYFUNCTION("""COMPUTED_VALUE"""),"Redstone")</f>
        <v>Redstone</v>
      </c>
      <c r="D813" s="5" t="str">
        <f>IFERROR(__xludf.DUMMYFUNCTION("""COMPUTED_VALUE"""),"X Bomb Fire")</f>
        <v>X Bomb Fire</v>
      </c>
      <c r="E813" s="5" t="str">
        <f>IFERROR(__xludf.DUMMYFUNCTION("""COMPUTED_VALUE"""),"Redstone")</f>
        <v>Redstone</v>
      </c>
      <c r="F813" s="5" t="str">
        <f>IFERROR(__xludf.DUMMYFUNCTION("""COMPUTED_VALUE"""),"RedstoneXBombFire")</f>
        <v>RedstoneXBombFire</v>
      </c>
      <c r="G813" s="5" t="str">
        <f>IFERROR(__xludf.DUMMYFUNCTION("""COMPUTED_VALUE"""),"Planned")</f>
        <v>Planned</v>
      </c>
      <c r="H813" s="5"/>
      <c r="I813" s="5"/>
      <c r="J813" s="5" t="str">
        <f>IFERROR(__xludf.DUMMYFUNCTION("""COMPUTED_VALUE"""),"JSON")</f>
        <v>JSON</v>
      </c>
      <c r="K813" s="5" t="str">
        <f>IFERROR(__xludf.DUMMYFUNCTION("""COMPUTED_VALUE"""),"Slot")</f>
        <v>Slot</v>
      </c>
      <c r="L813" s="5"/>
      <c r="M813" s="5"/>
      <c r="N813" s="5"/>
      <c r="O813" s="5"/>
      <c r="P813" s="12"/>
      <c r="Q813" s="13">
        <f>IFERROR(__xludf.DUMMYFUNCTION("""COMPUTED_VALUE"""),46251.0)</f>
        <v>46251</v>
      </c>
      <c r="R813" s="13"/>
      <c r="S813" s="13"/>
      <c r="T813" s="5"/>
      <c r="U813" s="5"/>
      <c r="V813" s="5"/>
      <c r="W813" s="5"/>
      <c r="X813" s="5"/>
      <c r="Y813" s="5"/>
      <c r="Z813" s="5"/>
      <c r="AA813" s="5"/>
      <c r="AB813" s="5"/>
      <c r="AC813" s="5" t="str">
        <f>IFERROR(__xludf.DUMMYFUNCTION("""COMPUTED_VALUE"""),"Cascade Game, Expanding Wild, Win Multiplier")</f>
        <v>Cascade Game, Expanding Wild, Win Multiplier</v>
      </c>
      <c r="AD813" s="5"/>
      <c r="AE813" s="5"/>
      <c r="AF813" s="5"/>
      <c r="AG813" s="8">
        <f>IFERROR(__xludf.DUMMYFUNCTION("""COMPUTED_VALUE"""),46232.461377314816)</f>
        <v>46232.46138</v>
      </c>
      <c r="AH813" s="5" t="str">
        <f>IFERROR(__xludf.DUMMYFUNCTION("""COMPUTED_VALUE"""),"danica.petrovic@fazi.rs")</f>
        <v>danica.petrovic@fazi.rs</v>
      </c>
      <c r="AI813" s="13"/>
      <c r="AJ813" s="5"/>
      <c r="AK813" s="5"/>
      <c r="AL813" s="5" t="str">
        <f>IFERROR(__xludf.DUMMYFUNCTION("""COMPUTED_VALUE"""),"No")</f>
        <v>No</v>
      </c>
      <c r="AM813" s="5" t="str">
        <f>IFERROR(__xludf.DUMMYFUNCTION("""COMPUTED_VALUE"""),"No")</f>
        <v>No</v>
      </c>
      <c r="AN813" s="5"/>
      <c r="AO813" s="5" t="str">
        <f>IFERROR(__xludf.DUMMYFUNCTION("""COMPUTED_VALUE"""),"No")</f>
        <v>No</v>
      </c>
      <c r="AP813" s="5" t="str">
        <f>IFERROR(__xludf.DUMMYFUNCTION("""COMPUTED_VALUE"""),"No")</f>
        <v>No</v>
      </c>
      <c r="AQ813" s="5"/>
      <c r="AR813" s="5"/>
      <c r="AS813" s="5"/>
      <c r="AT813" s="5"/>
      <c r="AU813" s="5" t="str">
        <f>IFERROR(__xludf.DUMMYFUNCTION("""COMPUTED_VALUE"""),"Redstone")</f>
        <v>Redstone</v>
      </c>
      <c r="AV813" s="5"/>
      <c r="AW813" s="5"/>
      <c r="AX813" s="13">
        <f>IFERROR(__xludf.DUMMYFUNCTION("""COMPUTED_VALUE"""),46245.0)</f>
        <v>46245</v>
      </c>
      <c r="AY813" s="5"/>
      <c r="AZ813" s="5"/>
      <c r="BA813" s="5"/>
      <c r="BB813" s="5"/>
      <c r="BC813" s="5" t="str">
        <f>IFERROR(__xludf.DUMMYFUNCTION("""COMPUTED_VALUE"""),"Redstone")</f>
        <v>Redstone</v>
      </c>
      <c r="BD813" s="5"/>
      <c r="BE813" s="5"/>
    </row>
    <row r="814">
      <c r="A814" s="5">
        <f>IFERROR(__xludf.DUMMYFUNCTION("""COMPUTED_VALUE"""),852.0)</f>
        <v>852</v>
      </c>
      <c r="B814" s="5">
        <f>IFERROR(__xludf.DUMMYFUNCTION("""COMPUTED_VALUE"""),4048.0)</f>
        <v>4048</v>
      </c>
      <c r="C814" s="5" t="str">
        <f>IFERROR(__xludf.DUMMYFUNCTION("""COMPUTED_VALUE"""),"Fazi")</f>
        <v>Fazi</v>
      </c>
      <c r="D814" s="5" t="str">
        <f>IFERROR(__xludf.DUMMYFUNCTION("""COMPUTED_VALUE"""),"October Hot 40")</f>
        <v>October Hot 40</v>
      </c>
      <c r="E814" s="5" t="str">
        <f>IFERROR(__xludf.DUMMYFUNCTION("""COMPUTED_VALUE"""),"Sertifikacioni")</f>
        <v>Sertifikacioni</v>
      </c>
      <c r="F814" s="5" t="str">
        <f>IFERROR(__xludf.DUMMYFUNCTION("""COMPUTED_VALUE"""),"OctoberHot40")</f>
        <v>OctoberHot40</v>
      </c>
      <c r="G814" s="5" t="str">
        <f>IFERROR(__xludf.DUMMYFUNCTION("""COMPUTED_VALUE"""),"Deployed")</f>
        <v>Deployed</v>
      </c>
      <c r="H814" s="5"/>
      <c r="I814" s="5" t="str">
        <f>IFERROR(__xludf.DUMMYFUNCTION("""COMPUTED_VALUE"""),"V4")</f>
        <v>V4</v>
      </c>
      <c r="J814" s="5" t="str">
        <f>IFERROR(__xludf.DUMMYFUNCTION("""COMPUTED_VALUE"""),"JSON")</f>
        <v>JSON</v>
      </c>
      <c r="K814" s="5" t="str">
        <f>IFERROR(__xludf.DUMMYFUNCTION("""COMPUTED_VALUE"""),"Slot")</f>
        <v>Slot</v>
      </c>
      <c r="L814" s="5" t="str">
        <f>IFERROR(__xludf.DUMMYFUNCTION("""COMPUTED_VALUE""")," Clone")</f>
        <v> Clone</v>
      </c>
      <c r="M814" s="5" t="str">
        <f>IFERROR(__xludf.DUMMYFUNCTION("""COMPUTED_VALUE"""),"Wild Hot 40 Deluxe")</f>
        <v>Wild Hot 40 Deluxe</v>
      </c>
      <c r="N814" s="7" t="str">
        <f>IFERROR(__xludf.DUMMYFUNCTION("""COMPUTED_VALUE"""),"https://drive.google.com/file/d/1ifkbT5IUmlX9vRzl_rfBUgmzXjLdxkJJ/view?usp=drive_link")</f>
        <v>https://drive.google.com/file/d/1ifkbT5IUmlX9vRzl_rfBUgmzXjLdxkJJ/view?usp=drive_link</v>
      </c>
      <c r="O814" s="7" t="str">
        <f>IFERROR(__xludf.DUMMYFUNCTION("""COMPUTED_VALUE"""),"https://drive.google.com/file/d/1QLX4xQRcGad0XYh6Sq-lXTaG7GXDMHAk/view?usp=drive_link")</f>
        <v>https://drive.google.com/file/d/1QLX4xQRcGad0XYh6Sq-lXTaG7GXDMHAk/view?usp=drive_link</v>
      </c>
      <c r="P814" s="12">
        <f>IFERROR(__xludf.DUMMYFUNCTION("""COMPUTED_VALUE"""),119.0)</f>
        <v>119</v>
      </c>
      <c r="Q814" s="13">
        <f>IFERROR(__xludf.DUMMYFUNCTION("""COMPUTED_VALUE"""),46251.0)</f>
        <v>46251</v>
      </c>
      <c r="R814" s="13">
        <f>IFERROR(__xludf.DUMMYFUNCTION("""COMPUTED_VALUE"""),46265.0)</f>
        <v>46265</v>
      </c>
      <c r="S814" s="13">
        <f>IFERROR(__xludf.DUMMYFUNCTION("""COMPUTED_VALUE"""),46272.0)</f>
        <v>46272</v>
      </c>
      <c r="T814" s="5"/>
      <c r="U814" s="5" t="str">
        <f>IFERROR(__xludf.DUMMYFUNCTION("""COMPUTED_VALUE"""),"5x4")</f>
        <v>5x4</v>
      </c>
      <c r="V814" s="5">
        <f>IFERROR(__xludf.DUMMYFUNCTION("""COMPUTED_VALUE"""),40.0)</f>
        <v>40</v>
      </c>
      <c r="W814" s="5">
        <f>IFERROR(__xludf.DUMMYFUNCTION("""COMPUTED_VALUE"""),40.0)</f>
        <v>40</v>
      </c>
      <c r="X814" s="5">
        <f>IFERROR(__xludf.DUMMYFUNCTION("""COMPUTED_VALUE"""),96.584)</f>
        <v>96.584</v>
      </c>
      <c r="Y814" s="5" t="str">
        <f>IFERROR(__xludf.DUMMYFUNCTION("""COMPUTED_VALUE"""),"Medium")</f>
        <v>Medium</v>
      </c>
      <c r="Z814" s="5">
        <f>IFERROR(__xludf.DUMMYFUNCTION("""COMPUTED_VALUE"""),16.725)</f>
        <v>16.725</v>
      </c>
      <c r="AA814" s="5">
        <f>IFERROR(__xludf.DUMMYFUNCTION("""COMPUTED_VALUE"""),1000.0)</f>
        <v>1000</v>
      </c>
      <c r="AB814" s="5"/>
      <c r="AC814" s="5"/>
      <c r="AD814" s="5" t="str">
        <f>IFERROR(__xludf.DUMMYFUNCTION("""COMPUTED_VALUE"""),"0.40/60")</f>
        <v>0.40/60</v>
      </c>
      <c r="AE814" s="5"/>
      <c r="AF814" s="5"/>
      <c r="AG814" s="8">
        <f>IFERROR(__xludf.DUMMYFUNCTION("""COMPUTED_VALUE"""),46261.55905092593)</f>
        <v>46261.55905</v>
      </c>
      <c r="AH814" s="5" t="str">
        <f>IFERROR(__xludf.DUMMYFUNCTION("""COMPUTED_VALUE"""),"petra.ilic@fazi.rs")</f>
        <v>petra.ilic@fazi.rs</v>
      </c>
      <c r="AI814" s="13"/>
      <c r="AJ814" s="5"/>
      <c r="AK814" s="5">
        <f>IFERROR(__xludf.DUMMYFUNCTION("""COMPUTED_VALUE"""),40.0)</f>
        <v>40</v>
      </c>
      <c r="AL814" s="5" t="str">
        <f>IFERROR(__xludf.DUMMYFUNCTION("""COMPUTED_VALUE"""),"Yes")</f>
        <v>Yes</v>
      </c>
      <c r="AM814" s="5"/>
      <c r="AN814" s="7" t="str">
        <f>IFERROR(__xludf.DUMMYFUNCTION("""COMPUTED_VALUE"""),"https://gameserver-store-nc.fazi.rs/Home/IntegrationGameLaunch/admiralmne?moneyType=0&amp;currency=eur&amp;gameName=OctoberHot40")</f>
        <v>https://gameserver-store-nc.fazi.rs/Home/IntegrationGameLaunch/admiralmne?moneyType=0&amp;currency=eur&amp;gameName=OctoberHot40</v>
      </c>
      <c r="AO814" s="5"/>
      <c r="AP814" s="5" t="str">
        <f>IFERROR(__xludf.DUMMYFUNCTION("""COMPUTED_VALUE"""),"Yes")</f>
        <v>Yes</v>
      </c>
      <c r="AQ814" s="5" t="b">
        <f>IFERROR(__xludf.DUMMYFUNCTION("""COMPUTED_VALUE"""),TRUE)</f>
        <v>1</v>
      </c>
      <c r="AR814" s="5"/>
      <c r="AS814" s="5" t="str">
        <f>IFERROR(__xludf.DUMMYFUNCTION("""COMPUTED_VALUE"""),"The festivity is here – and it’s hotter than ever. 
Packed with Bavarian energy, glowing fruits, and powerful wild action, this beer-soaked experience brings bigger thrills and autumn’s hottest wins with every spin. More celebration. More intensity. More "&amp;"explosive rewards. Are you ready to feel the October heat? 
")</f>
        <v>The festivity is here – and it’s hotter than ever. 
Packed with Bavarian energy, glowing fruits, and powerful wild action, this beer-soaked experience brings bigger thrills and autumn’s hottest wins with every spin. More celebration. More intensity. More explosive rewards. Are you ready to feel the October heat? 
</v>
      </c>
      <c r="AT814" s="5"/>
      <c r="AU814" s="5" t="str">
        <f>IFERROR(__xludf.DUMMYFUNCTION("""COMPUTED_VALUE"""),"Fazi")</f>
        <v>Fazi</v>
      </c>
      <c r="AV814" s="5">
        <f>IFERROR(__xludf.DUMMYFUNCTION("""COMPUTED_VALUE"""),4.0)</f>
        <v>4</v>
      </c>
      <c r="AW814" s="5"/>
      <c r="AX814" s="13">
        <f>IFERROR(__xludf.DUMMYFUNCTION("""COMPUTED_VALUE"""),46245.0)</f>
        <v>46245</v>
      </c>
      <c r="AY814" s="5"/>
      <c r="AZ814" s="5"/>
      <c r="BA814" s="5"/>
      <c r="BB814" s="5" t="b">
        <f>IFERROR(__xludf.DUMMYFUNCTION("""COMPUTED_VALUE"""),TRUE)</f>
        <v>1</v>
      </c>
      <c r="BC814" s="5" t="str">
        <f>IFERROR(__xludf.DUMMYFUNCTION("""COMPUTED_VALUE"""),"Foxi")</f>
        <v>Foxi</v>
      </c>
      <c r="BD814" s="7" t="str">
        <f>IFERROR(__xludf.DUMMYFUNCTION("""COMPUTED_VALUE"""),"https://gameserver-store-client-area.orbionlimited.com/Home/IntegrationGameLaunch/client-area?moneyType=0&amp;gameName=OctoberHot40&amp;platform=desktop&amp;languageCode=eng&amp;currency=EUR")</f>
        <v>https://gameserver-store-client-area.orbionlimited.com/Home/IntegrationGameLaunch/client-area?moneyType=0&amp;gameName=OctoberHot40&amp;platform=desktop&amp;languageCode=eng&amp;currency=EUR</v>
      </c>
      <c r="BE814" s="5" t="b">
        <f>IFERROR(__xludf.DUMMYFUNCTION("""COMPUTED_VALUE"""),TRUE)</f>
        <v>1</v>
      </c>
    </row>
    <row r="815">
      <c r="A815" s="5">
        <f>IFERROR(__xludf.DUMMYFUNCTION("""COMPUTED_VALUE"""),853.0)</f>
        <v>853</v>
      </c>
      <c r="B815" s="5">
        <f>IFERROR(__xludf.DUMMYFUNCTION("""COMPUTED_VALUE"""),4045.0)</f>
        <v>4045</v>
      </c>
      <c r="C815" s="5" t="str">
        <f>IFERROR(__xludf.DUMMYFUNCTION("""COMPUTED_VALUE"""),"Fazi")</f>
        <v>Fazi</v>
      </c>
      <c r="D815" s="5" t="str">
        <f>IFERROR(__xludf.DUMMYFUNCTION("""COMPUTED_VALUE"""),"Winning Wild Crown")</f>
        <v>Winning Wild Crown</v>
      </c>
      <c r="E815" s="5" t="str">
        <f>IFERROR(__xludf.DUMMYFUNCTION("""COMPUTED_VALUE"""),"Sertifikacioni")</f>
        <v>Sertifikacioni</v>
      </c>
      <c r="F815" s="5" t="str">
        <f>IFERROR(__xludf.DUMMYFUNCTION("""COMPUTED_VALUE"""),"WinningWildCrown")</f>
        <v>WinningWildCrown</v>
      </c>
      <c r="G815" s="5" t="str">
        <f>IFERROR(__xludf.DUMMYFUNCTION("""COMPUTED_VALUE"""),"Deployed")</f>
        <v>Deployed</v>
      </c>
      <c r="H815" s="5"/>
      <c r="I815" s="5" t="str">
        <f>IFERROR(__xludf.DUMMYFUNCTION("""COMPUTED_VALUE"""),"V4")</f>
        <v>V4</v>
      </c>
      <c r="J815" s="5" t="str">
        <f>IFERROR(__xludf.DUMMYFUNCTION("""COMPUTED_VALUE"""),"JSON")</f>
        <v>JSON</v>
      </c>
      <c r="K815" s="5" t="str">
        <f>IFERROR(__xludf.DUMMYFUNCTION("""COMPUTED_VALUE"""),"Slot")</f>
        <v>Slot</v>
      </c>
      <c r="L815" s="5" t="str">
        <f>IFERROR(__xludf.DUMMYFUNCTION("""COMPUTED_VALUE""")," Variant")</f>
        <v> Variant</v>
      </c>
      <c r="M815" s="5"/>
      <c r="N815" s="5"/>
      <c r="O815" s="5"/>
      <c r="P815" s="12">
        <f>IFERROR(__xludf.DUMMYFUNCTION("""COMPUTED_VALUE"""),110.0)</f>
        <v>110</v>
      </c>
      <c r="Q815" s="13">
        <f>IFERROR(__xludf.DUMMYFUNCTION("""COMPUTED_VALUE"""),46251.0)</f>
        <v>46251</v>
      </c>
      <c r="R815" s="13"/>
      <c r="S815" s="13"/>
      <c r="T815" s="5"/>
      <c r="U815" s="5" t="str">
        <f>IFERROR(__xludf.DUMMYFUNCTION("""COMPUTED_VALUE"""),"4x3")</f>
        <v>4x3</v>
      </c>
      <c r="V815" s="5">
        <f>IFERROR(__xludf.DUMMYFUNCTION("""COMPUTED_VALUE"""),10.0)</f>
        <v>10</v>
      </c>
      <c r="W815" s="5"/>
      <c r="X815" s="5">
        <f>IFERROR(__xludf.DUMMYFUNCTION("""COMPUTED_VALUE"""),96.504)</f>
        <v>96.504</v>
      </c>
      <c r="Y815" s="5" t="str">
        <f>IFERROR(__xludf.DUMMYFUNCTION("""COMPUTED_VALUE"""),"Low")</f>
        <v>Low</v>
      </c>
      <c r="Z815" s="5">
        <f>IFERROR(__xludf.DUMMYFUNCTION("""COMPUTED_VALUE"""),14.84)</f>
        <v>14.84</v>
      </c>
      <c r="AA815" s="5">
        <f>IFERROR(__xludf.DUMMYFUNCTION("""COMPUTED_VALUE"""),272.0)</f>
        <v>272</v>
      </c>
      <c r="AB815" s="5"/>
      <c r="AC815" s="5"/>
      <c r="AD815" s="5"/>
      <c r="AE815" s="5"/>
      <c r="AF815" s="5"/>
      <c r="AG815" s="8">
        <f>IFERROR(__xludf.DUMMYFUNCTION("""COMPUTED_VALUE"""),46252.49313657408)</f>
        <v>46252.49314</v>
      </c>
      <c r="AH815" s="5" t="str">
        <f>IFERROR(__xludf.DUMMYFUNCTION("""COMPUTED_VALUE"""),"petra.ilic@fazi.rs")</f>
        <v>petra.ilic@fazi.rs</v>
      </c>
      <c r="AI815" s="13"/>
      <c r="AJ815" s="5"/>
      <c r="AK815" s="5">
        <f>IFERROR(__xludf.DUMMYFUNCTION("""COMPUTED_VALUE"""),1.0)</f>
        <v>1</v>
      </c>
      <c r="AL815" s="5"/>
      <c r="AM815" s="5"/>
      <c r="AN815" s="7" t="str">
        <f>IFERROR(__xludf.DUMMYFUNCTION("""COMPUTED_VALUE"""),"https://gameserver-store-nc.fazi.rs/Home/IntegrationGameLaunch/admiralmne?moneyType=0&amp;currency=eur&amp;gameName=WinningWildCrown")</f>
        <v>https://gameserver-store-nc.fazi.rs/Home/IntegrationGameLaunch/admiralmne?moneyType=0&amp;currency=eur&amp;gameName=WinningWildCrown</v>
      </c>
      <c r="AO815" s="5"/>
      <c r="AP815" s="5"/>
      <c r="AQ815" s="5"/>
      <c r="AR815" s="5"/>
      <c r="AS815" s="5"/>
      <c r="AT815" s="5"/>
      <c r="AU815" s="5" t="str">
        <f>IFERROR(__xludf.DUMMYFUNCTION("""COMPUTED_VALUE"""),"Fazi")</f>
        <v>Fazi</v>
      </c>
      <c r="AV815" s="5">
        <f>IFERROR(__xludf.DUMMYFUNCTION("""COMPUTED_VALUE"""),1.0)</f>
        <v>1</v>
      </c>
      <c r="AW815" s="5"/>
      <c r="AX815" s="13">
        <f>IFERROR(__xludf.DUMMYFUNCTION("""COMPUTED_VALUE"""),46245.0)</f>
        <v>46245</v>
      </c>
      <c r="AY815" s="5" t="str">
        <f>IFERROR(__xludf.DUMMYFUNCTION("""COMPUTED_VALUE"""),"87.5%, 89.5%, 91.5%, 93.5%, 94.5%, 95.5%, 96.5%")</f>
        <v>87.5%, 89.5%, 91.5%, 93.5%, 94.5%, 95.5%, 96.5%</v>
      </c>
      <c r="AZ815" s="5"/>
      <c r="BA815" s="5"/>
      <c r="BB815" s="5"/>
      <c r="BC815" s="5" t="str">
        <f>IFERROR(__xludf.DUMMYFUNCTION("""COMPUTED_VALUE"""),"Foxi")</f>
        <v>Foxi</v>
      </c>
      <c r="BD815" s="7" t="str">
        <f>IFERROR(__xludf.DUMMYFUNCTION("""COMPUTED_VALUE"""),"https://gameserver-store-client-area.orbionlimited.com/Home/IntegrationGameLaunch/client-area?moneyType=0&amp;gameName=WinningWildCrown&amp;platform=desktop&amp;languageCode=eng&amp;currency=EUR")</f>
        <v>https://gameserver-store-client-area.orbionlimited.com/Home/IntegrationGameLaunch/client-area?moneyType=0&amp;gameName=WinningWildCrown&amp;platform=desktop&amp;languageCode=eng&amp;currency=EUR</v>
      </c>
      <c r="BE815" s="5"/>
    </row>
    <row r="816">
      <c r="A816" s="5">
        <f>IFERROR(__xludf.DUMMYFUNCTION("""COMPUTED_VALUE"""),854.0)</f>
        <v>854</v>
      </c>
      <c r="B816" s="5">
        <f>IFERROR(__xludf.DUMMYFUNCTION("""COMPUTED_VALUE"""),4049.0)</f>
        <v>4049</v>
      </c>
      <c r="C816" s="5" t="str">
        <f>IFERROR(__xludf.DUMMYFUNCTION("""COMPUTED_VALUE"""),"Fazi")</f>
        <v>Fazi</v>
      </c>
      <c r="D816" s="5" t="str">
        <f>IFERROR(__xludf.DUMMYFUNCTION("""COMPUTED_VALUE"""),"Tipobet Hot 40")</f>
        <v>Tipobet Hot 40</v>
      </c>
      <c r="E816" s="5" t="str">
        <f>IFERROR(__xludf.DUMMYFUNCTION("""COMPUTED_VALUE"""),"Sertifikacioni")</f>
        <v>Sertifikacioni</v>
      </c>
      <c r="F816" s="5" t="str">
        <f>IFERROR(__xludf.DUMMYFUNCTION("""COMPUTED_VALUE"""),"TipobetHot40")</f>
        <v>TipobetHot40</v>
      </c>
      <c r="G816" s="5" t="str">
        <f>IFERROR(__xludf.DUMMYFUNCTION("""COMPUTED_VALUE"""),"In Development")</f>
        <v>In Development</v>
      </c>
      <c r="H816" s="5" t="str">
        <f>IFERROR(__xludf.DUMMYFUNCTION("""COMPUTED_VALUE"""),"Tipobet")</f>
        <v>Tipobet</v>
      </c>
      <c r="I816" s="5" t="str">
        <f>IFERROR(__xludf.DUMMYFUNCTION("""COMPUTED_VALUE"""),"V2")</f>
        <v>V2</v>
      </c>
      <c r="J816" s="5" t="str">
        <f>IFERROR(__xludf.DUMMYFUNCTION("""COMPUTED_VALUE"""),"JSON")</f>
        <v>JSON</v>
      </c>
      <c r="K816" s="5" t="str">
        <f>IFERROR(__xludf.DUMMYFUNCTION("""COMPUTED_VALUE"""),"Slot")</f>
        <v>Slot</v>
      </c>
      <c r="L816" s="5" t="str">
        <f>IFERROR(__xludf.DUMMYFUNCTION("""COMPUTED_VALUE""")," Clone")</f>
        <v> Clone</v>
      </c>
      <c r="M816" s="5" t="str">
        <f>IFERROR(__xludf.DUMMYFUNCTION("""COMPUTED_VALUE"""),"Wild Hot 40")</f>
        <v>Wild Hot 40</v>
      </c>
      <c r="N816" s="5"/>
      <c r="O816" s="5"/>
      <c r="P816" s="12"/>
      <c r="Q816" s="13">
        <f>IFERROR(__xludf.DUMMYFUNCTION("""COMPUTED_VALUE"""),46265.0)</f>
        <v>46265</v>
      </c>
      <c r="R816" s="13"/>
      <c r="S816" s="13"/>
      <c r="T816" s="5"/>
      <c r="U816" s="5" t="str">
        <f>IFERROR(__xludf.DUMMYFUNCTION("""COMPUTED_VALUE"""),"5x4")</f>
        <v>5x4</v>
      </c>
      <c r="V816" s="5">
        <f>IFERROR(__xludf.DUMMYFUNCTION("""COMPUTED_VALUE"""),40.0)</f>
        <v>40</v>
      </c>
      <c r="W816" s="5"/>
      <c r="X816" s="5">
        <f>IFERROR(__xludf.DUMMYFUNCTION("""COMPUTED_VALUE"""),96.584)</f>
        <v>96.584</v>
      </c>
      <c r="Y816" s="5" t="str">
        <f>IFERROR(__xludf.DUMMYFUNCTION("""COMPUTED_VALUE"""),"Low")</f>
        <v>Low</v>
      </c>
      <c r="Z816" s="5">
        <f>IFERROR(__xludf.DUMMYFUNCTION("""COMPUTED_VALUE"""),16.73)</f>
        <v>16.73</v>
      </c>
      <c r="AA816" s="5">
        <f>IFERROR(__xludf.DUMMYFUNCTION("""COMPUTED_VALUE"""),1000.0)</f>
        <v>1000</v>
      </c>
      <c r="AB816" s="5"/>
      <c r="AC816" s="5"/>
      <c r="AD816" s="5" t="str">
        <f>IFERROR(__xludf.DUMMYFUNCTION("""COMPUTED_VALUE"""),"0.40/60	")</f>
        <v>0.40/60	</v>
      </c>
      <c r="AE816" s="5"/>
      <c r="AF816" s="5"/>
      <c r="AG816" s="8">
        <f>IFERROR(__xludf.DUMMYFUNCTION("""COMPUTED_VALUE"""),46259.562256944446)</f>
        <v>46259.56226</v>
      </c>
      <c r="AH816" s="5" t="str">
        <f>IFERROR(__xludf.DUMMYFUNCTION("""COMPUTED_VALUE"""),"petra.ilic@fazi.rs")</f>
        <v>petra.ilic@fazi.rs</v>
      </c>
      <c r="AI816" s="13"/>
      <c r="AJ816" s="5"/>
      <c r="AK816" s="5">
        <f>IFERROR(__xludf.DUMMYFUNCTION("""COMPUTED_VALUE"""),40.0)</f>
        <v>40</v>
      </c>
      <c r="AL816" s="5"/>
      <c r="AM816" s="5"/>
      <c r="AN816" s="5"/>
      <c r="AO816" s="5"/>
      <c r="AP816" s="5"/>
      <c r="AQ816" s="5"/>
      <c r="AR816" s="5" t="b">
        <f>IFERROR(__xludf.DUMMYFUNCTION("""COMPUTED_VALUE"""),TRUE)</f>
        <v>1</v>
      </c>
      <c r="AS816" s="5"/>
      <c r="AT816" s="5"/>
      <c r="AU816" s="5" t="str">
        <f>IFERROR(__xludf.DUMMYFUNCTION("""COMPUTED_VALUE"""),"Fazi")</f>
        <v>Fazi</v>
      </c>
      <c r="AV816" s="5">
        <f>IFERROR(__xludf.DUMMYFUNCTION("""COMPUTED_VALUE"""),1.0)</f>
        <v>1</v>
      </c>
      <c r="AW816" s="5"/>
      <c r="AX816" s="13">
        <f>IFERROR(__xludf.DUMMYFUNCTION("""COMPUTED_VALUE"""),46259.0)</f>
        <v>46259</v>
      </c>
      <c r="AY816" s="5" t="str">
        <f>IFERROR(__xludf.DUMMYFUNCTION("""COMPUTED_VALUE"""),"87.5%, 89.5%, 91.5%, 93.5%, 94.5%, 95.5%, 96.5%")</f>
        <v>87.5%, 89.5%, 91.5%, 93.5%, 94.5%, 95.5%, 96.5%</v>
      </c>
      <c r="AZ816" s="5"/>
      <c r="BA816" s="5"/>
      <c r="BB816" s="5"/>
      <c r="BC816" s="5" t="str">
        <f>IFERROR(__xludf.DUMMYFUNCTION("""COMPUTED_VALUE"""),"Foxi")</f>
        <v>Foxi</v>
      </c>
      <c r="BD816" s="5"/>
      <c r="BE816" s="5"/>
    </row>
    <row r="817">
      <c r="A817" s="5">
        <f>IFERROR(__xludf.DUMMYFUNCTION("""COMPUTED_VALUE"""),855.0)</f>
        <v>855</v>
      </c>
      <c r="B817" s="5">
        <f>IFERROR(__xludf.DUMMYFUNCTION("""COMPUTED_VALUE"""),3047.0)</f>
        <v>3047</v>
      </c>
      <c r="C817" s="5" t="str">
        <f>IFERROR(__xludf.DUMMYFUNCTION("""COMPUTED_VALUE"""),"Fazi")</f>
        <v>Fazi</v>
      </c>
      <c r="D817" s="5" t="str">
        <f>IFERROR(__xludf.DUMMYFUNCTION("""COMPUTED_VALUE"""),"Crown Of Bonus Extrabet")</f>
        <v>Crown Of Bonus Extrabet</v>
      </c>
      <c r="E817" s="5" t="str">
        <f>IFERROR(__xludf.DUMMYFUNCTION("""COMPUTED_VALUE"""),"V2")</f>
        <v>V2</v>
      </c>
      <c r="F817" s="5" t="str">
        <f>IFERROR(__xludf.DUMMYFUNCTION("""COMPUTED_VALUE"""),"CrownOfBonusExtrabet")</f>
        <v>CrownOfBonusExtrabet</v>
      </c>
      <c r="G817" s="5" t="str">
        <f>IFERROR(__xludf.DUMMYFUNCTION("""COMPUTED_VALUE"""),"In Development")</f>
        <v>In Development</v>
      </c>
      <c r="H817" s="5"/>
      <c r="I817" s="5" t="str">
        <f>IFERROR(__xludf.DUMMYFUNCTION("""COMPUTED_VALUE"""),"V4")</f>
        <v>V4</v>
      </c>
      <c r="J817" s="5" t="str">
        <f>IFERROR(__xludf.DUMMYFUNCTION("""COMPUTED_VALUE"""),"JSON")</f>
        <v>JSON</v>
      </c>
      <c r="K817" s="5" t="str">
        <f>IFERROR(__xludf.DUMMYFUNCTION("""COMPUTED_VALUE"""),"Slot")</f>
        <v>Slot</v>
      </c>
      <c r="L817" s="5" t="str">
        <f>IFERROR(__xludf.DUMMYFUNCTION("""COMPUTED_VALUE"""),"Master")</f>
        <v>Master</v>
      </c>
      <c r="M817" s="5" t="str">
        <f>IFERROR(__xludf.DUMMYFUNCTION("""COMPUTED_VALUE"""),"#VALUE!")</f>
        <v>#VALUE!</v>
      </c>
      <c r="N817" s="5"/>
      <c r="O817" s="5"/>
      <c r="P817" s="12"/>
      <c r="Q817" s="13"/>
      <c r="R817" s="13"/>
      <c r="S817" s="13"/>
      <c r="T817" s="5"/>
      <c r="U817" s="5" t="str">
        <f>IFERROR(__xludf.DUMMYFUNCTION("""COMPUTED_VALUE"""),"5x3")</f>
        <v>5x3</v>
      </c>
      <c r="V817" s="5">
        <f>IFERROR(__xludf.DUMMYFUNCTION("""COMPUTED_VALUE"""),10.0)</f>
        <v>10</v>
      </c>
      <c r="W817" s="5">
        <f>IFERROR(__xludf.DUMMYFUNCTION("""COMPUTED_VALUE"""),10.0)</f>
        <v>10</v>
      </c>
      <c r="X817" s="5">
        <f>IFERROR(__xludf.DUMMYFUNCTION("""COMPUTED_VALUE"""),96.387)</f>
        <v>96.387</v>
      </c>
      <c r="Y817" s="5" t="str">
        <f>IFERROR(__xludf.DUMMYFUNCTION("""COMPUTED_VALUE"""),"High")</f>
        <v>High</v>
      </c>
      <c r="Z817" s="5">
        <f>IFERROR(__xludf.DUMMYFUNCTION("""COMPUTED_VALUE"""),9.097)</f>
        <v>9.097</v>
      </c>
      <c r="AA817" s="5">
        <f>IFERROR(__xludf.DUMMYFUNCTION("""COMPUTED_VALUE"""),5000.0)</f>
        <v>5000</v>
      </c>
      <c r="AB817" s="5"/>
      <c r="AC817" s="5"/>
      <c r="AD817" s="5"/>
      <c r="AE817" s="5"/>
      <c r="AF817" s="5"/>
      <c r="AG817" s="8">
        <f>IFERROR(__xludf.DUMMYFUNCTION("""COMPUTED_VALUE"""),46252.76652777778)</f>
        <v>46252.76653</v>
      </c>
      <c r="AH817" s="5" t="str">
        <f>IFERROR(__xludf.DUMMYFUNCTION("""COMPUTED_VALUE"""),"milena.kocic@fazi.rs")</f>
        <v>milena.kocic@fazi.rs</v>
      </c>
      <c r="AI817" s="13"/>
      <c r="AJ817" s="5"/>
      <c r="AK817" s="5">
        <f>IFERROR(__xludf.DUMMYFUNCTION("""COMPUTED_VALUE"""),10.0)</f>
        <v>10</v>
      </c>
      <c r="AL817" s="5"/>
      <c r="AM817" s="5"/>
      <c r="AN817" s="5"/>
      <c r="AO817" s="5"/>
      <c r="AP817" s="5"/>
      <c r="AQ817" s="5"/>
      <c r="AR817" s="5"/>
      <c r="AS817" s="5"/>
      <c r="AT817" s="5"/>
      <c r="AU817" s="5" t="str">
        <f>IFERROR(__xludf.DUMMYFUNCTION("""COMPUTED_VALUE"""),"Fazi")</f>
        <v>Fazi</v>
      </c>
      <c r="AV817" s="5">
        <f>IFERROR(__xludf.DUMMYFUNCTION("""COMPUTED_VALUE"""),1.0)</f>
        <v>1</v>
      </c>
      <c r="AW817" s="5"/>
      <c r="AX817" s="5"/>
      <c r="AY817" s="5" t="str">
        <f>IFERROR(__xludf.DUMMYFUNCTION("""COMPUTED_VALUE"""),"87.5%, 89.5%, 91.5%, 93.5%, 94.5%, 95.5%, 96.5%")</f>
        <v>87.5%, 89.5%, 91.5%, 93.5%, 94.5%, 95.5%, 96.5%</v>
      </c>
      <c r="AZ817" s="5"/>
      <c r="BA817" s="5"/>
      <c r="BB817" s="5"/>
      <c r="BC817" s="5" t="str">
        <f>IFERROR(__xludf.DUMMYFUNCTION("""COMPUTED_VALUE"""),"Foxi")</f>
        <v>Foxi</v>
      </c>
      <c r="BD817" s="5"/>
      <c r="BE817" s="5"/>
    </row>
    <row r="818">
      <c r="A818" s="5">
        <f>IFERROR(__xludf.DUMMYFUNCTION("""COMPUTED_VALUE"""),856.0)</f>
        <v>856</v>
      </c>
      <c r="B818" s="5">
        <f>IFERROR(__xludf.DUMMYFUNCTION("""COMPUTED_VALUE"""),6001.0)</f>
        <v>6001</v>
      </c>
      <c r="C818" s="5" t="str">
        <f>IFERROR(__xludf.DUMMYFUNCTION("""COMPUTED_VALUE"""),"Fazi")</f>
        <v>Fazi</v>
      </c>
      <c r="D818" s="5" t="str">
        <f>IFERROR(__xludf.DUMMYFUNCTION("""COMPUTED_VALUE"""),"Treasure Rush")</f>
        <v>Treasure Rush</v>
      </c>
      <c r="E818" s="5" t="str">
        <f>IFERROR(__xludf.DUMMYFUNCTION("""COMPUTED_VALUE"""),"C3P")</f>
        <v>C3P</v>
      </c>
      <c r="F818" s="5" t="str">
        <f>IFERROR(__xludf.DUMMYFUNCTION("""COMPUTED_VALUE"""),"TreasureRush")</f>
        <v>TreasureRush</v>
      </c>
      <c r="G818" s="5" t="str">
        <f>IFERROR(__xludf.DUMMYFUNCTION("""COMPUTED_VALUE"""),"In Development")</f>
        <v>In Development</v>
      </c>
      <c r="H818" s="5"/>
      <c r="I818" s="5" t="str">
        <f>IFERROR(__xludf.DUMMYFUNCTION("""COMPUTED_VALUE"""),"V4")</f>
        <v>V4</v>
      </c>
      <c r="J818" s="5" t="str">
        <f>IFERROR(__xludf.DUMMYFUNCTION("""COMPUTED_VALUE"""),"JSON")</f>
        <v>JSON</v>
      </c>
      <c r="K818" s="5" t="str">
        <f>IFERROR(__xludf.DUMMYFUNCTION("""COMPUTED_VALUE"""),"Slot")</f>
        <v>Slot</v>
      </c>
      <c r="L818" s="5" t="str">
        <f>IFERROR(__xludf.DUMMYFUNCTION("""COMPUTED_VALUE"""),"Master")</f>
        <v>Master</v>
      </c>
      <c r="M818" s="5"/>
      <c r="N818" s="5"/>
      <c r="O818" s="5"/>
      <c r="P818" s="12"/>
      <c r="Q818" s="13"/>
      <c r="R818" s="13"/>
      <c r="S818" s="13"/>
      <c r="T818" s="5"/>
      <c r="U818" s="5" t="str">
        <f>IFERROR(__xludf.DUMMYFUNCTION("""COMPUTED_VALUE"""),"6x6")</f>
        <v>6x6</v>
      </c>
      <c r="V818" s="5">
        <f>IFERROR(__xludf.DUMMYFUNCTION("""COMPUTED_VALUE"""),10.0)</f>
        <v>10</v>
      </c>
      <c r="W818" s="5"/>
      <c r="X818" s="5">
        <f>IFERROR(__xludf.DUMMYFUNCTION("""COMPUTED_VALUE"""),96.5)</f>
        <v>96.5</v>
      </c>
      <c r="Y818" s="5" t="str">
        <f>IFERROR(__xludf.DUMMYFUNCTION("""COMPUTED_VALUE"""),"Medium")</f>
        <v>Medium</v>
      </c>
      <c r="Z818" s="5">
        <f>IFERROR(__xludf.DUMMYFUNCTION("""COMPUTED_VALUE"""),24.719)</f>
        <v>24.719</v>
      </c>
      <c r="AA818" s="5">
        <f>IFERROR(__xludf.DUMMYFUNCTION("""COMPUTED_VALUE"""),2400.0)</f>
        <v>2400</v>
      </c>
      <c r="AB818" s="5"/>
      <c r="AC818" s="5" t="str">
        <f>IFERROR(__xludf.DUMMYFUNCTION("""COMPUTED_VALUE"""),"Cascade Game, Cluster Win")</f>
        <v>Cascade Game, Cluster Win</v>
      </c>
      <c r="AD818" s="5"/>
      <c r="AE818" s="5"/>
      <c r="AF818" s="5"/>
      <c r="AG818" s="8">
        <f>IFERROR(__xludf.DUMMYFUNCTION("""COMPUTED_VALUE"""),46261.68094907407)</f>
        <v>46261.68095</v>
      </c>
      <c r="AH818" s="5" t="str">
        <f>IFERROR(__xludf.DUMMYFUNCTION("""COMPUTED_VALUE"""),"aleksandra.dinic@fazi.rs")</f>
        <v>aleksandra.dinic@fazi.rs</v>
      </c>
      <c r="AI818" s="13"/>
      <c r="AJ818" s="5"/>
      <c r="AK818" s="5">
        <f>IFERROR(__xludf.DUMMYFUNCTION("""COMPUTED_VALUE"""),10.0)</f>
        <v>10</v>
      </c>
      <c r="AL818" s="5" t="str">
        <f>IFERROR(__xludf.DUMMYFUNCTION("""COMPUTED_VALUE"""),"No")</f>
        <v>No</v>
      </c>
      <c r="AM818" s="5" t="str">
        <f>IFERROR(__xludf.DUMMYFUNCTION("""COMPUTED_VALUE"""),"No")</f>
        <v>No</v>
      </c>
      <c r="AN818" s="5"/>
      <c r="AO818" s="5" t="str">
        <f>IFERROR(__xludf.DUMMYFUNCTION("""COMPUTED_VALUE"""),"Yes")</f>
        <v>Yes</v>
      </c>
      <c r="AP818" s="5" t="str">
        <f>IFERROR(__xludf.DUMMYFUNCTION("""COMPUTED_VALUE"""),"No")</f>
        <v>No</v>
      </c>
      <c r="AQ818" s="5"/>
      <c r="AR818" s="5"/>
      <c r="AS818" s="5"/>
      <c r="AT818" s="5"/>
      <c r="AU818" s="5" t="str">
        <f>IFERROR(__xludf.DUMMYFUNCTION("""COMPUTED_VALUE"""),"Fazi")</f>
        <v>Fazi</v>
      </c>
      <c r="AV818" s="5">
        <f>IFERROR(__xludf.DUMMYFUNCTION("""COMPUTED_VALUE"""),1.0)</f>
        <v>1</v>
      </c>
      <c r="AW818" s="5"/>
      <c r="AX818" s="5"/>
      <c r="AY818" s="5"/>
      <c r="AZ818" s="5"/>
      <c r="BA818" s="5"/>
      <c r="BB818" s="5"/>
      <c r="BC818" s="5" t="str">
        <f>IFERROR(__xludf.DUMMYFUNCTION("""COMPUTED_VALUE"""),"Foxi")</f>
        <v>Foxi</v>
      </c>
      <c r="BD818" s="5"/>
      <c r="BE818" s="5"/>
    </row>
    <row r="819">
      <c r="A819" s="5">
        <f>IFERROR(__xludf.DUMMYFUNCTION("""COMPUTED_VALUE"""),857.0)</f>
        <v>857</v>
      </c>
      <c r="B819" s="5">
        <f>IFERROR(__xludf.DUMMYFUNCTION("""COMPUTED_VALUE"""),-1.0)</f>
        <v>-1</v>
      </c>
      <c r="C819" s="5" t="str">
        <f>IFERROR(__xludf.DUMMYFUNCTION("""COMPUTED_VALUE"""),"Fazi")</f>
        <v>Fazi</v>
      </c>
      <c r="D819" s="5" t="str">
        <f>IFERROR(__xludf.DUMMYFUNCTION("""COMPUTED_VALUE"""),"On Demand Roulette Lux")</f>
        <v>On Demand Roulette Lux</v>
      </c>
      <c r="E819" s="5" t="str">
        <f>IFERROR(__xludf.DUMMYFUNCTION("""COMPUTED_VALUE"""),"V4-1")</f>
        <v>V4-1</v>
      </c>
      <c r="F819" s="5" t="str">
        <f>IFERROR(__xludf.DUMMYFUNCTION("""COMPUTED_VALUE"""),"TBD")</f>
        <v>TBD</v>
      </c>
      <c r="G819" s="5" t="str">
        <f>IFERROR(__xludf.DUMMYFUNCTION("""COMPUTED_VALUE"""),"In Development")</f>
        <v>In Development</v>
      </c>
      <c r="H819" s="5"/>
      <c r="I819" s="5" t="str">
        <f>IFERROR(__xludf.DUMMYFUNCTION("""COMPUTED_VALUE"""),"V4")</f>
        <v>V4</v>
      </c>
      <c r="J819" s="5" t="str">
        <f>IFERROR(__xludf.DUMMYFUNCTION("""COMPUTED_VALUE"""),"JSON")</f>
        <v>JSON</v>
      </c>
      <c r="K819" s="5" t="str">
        <f>IFERROR(__xludf.DUMMYFUNCTION("""COMPUTED_VALUE"""),"Roulette")</f>
        <v>Roulette</v>
      </c>
      <c r="L819" s="5" t="str">
        <f>IFERROR(__xludf.DUMMYFUNCTION("""COMPUTED_VALUE""")," Reskin")</f>
        <v> Reskin</v>
      </c>
      <c r="M819" s="5" t="str">
        <f>IFERROR(__xludf.DUMMYFUNCTION("""COMPUTED_VALUE"""),"On Demand Roulette")</f>
        <v>On Demand Roulette</v>
      </c>
      <c r="N819" s="5"/>
      <c r="O819" s="5"/>
      <c r="P819" s="12"/>
      <c r="Q819" s="13">
        <f>IFERROR(__xludf.DUMMYFUNCTION("""COMPUTED_VALUE"""),46307.0)</f>
        <v>46307</v>
      </c>
      <c r="R819" s="13"/>
      <c r="S819" s="13">
        <f>IFERROR(__xludf.DUMMYFUNCTION("""COMPUTED_VALUE"""),46378.0)</f>
        <v>46378</v>
      </c>
      <c r="T819" s="5" t="b">
        <f>IFERROR(__xludf.DUMMYFUNCTION("""COMPUTED_VALUE"""),TRUE)</f>
        <v>1</v>
      </c>
      <c r="U819" s="5" t="str">
        <f>IFERROR(__xludf.DUMMYFUNCTION("""COMPUTED_VALUE"""),"/")</f>
        <v>/</v>
      </c>
      <c r="V819" s="5" t="str">
        <f>IFERROR(__xludf.DUMMYFUNCTION("""COMPUTED_VALUE"""),"/")</f>
        <v>/</v>
      </c>
      <c r="W819" s="5" t="str">
        <f>IFERROR(__xludf.DUMMYFUNCTION("""COMPUTED_VALUE"""),"/")</f>
        <v>/</v>
      </c>
      <c r="X819" s="5">
        <f>IFERROR(__xludf.DUMMYFUNCTION("""COMPUTED_VALUE"""),97.3)</f>
        <v>97.3</v>
      </c>
      <c r="Y819" s="5" t="str">
        <f>IFERROR(__xludf.DUMMYFUNCTION("""COMPUTED_VALUE"""),"Medium")</f>
        <v>Medium</v>
      </c>
      <c r="Z819" s="5"/>
      <c r="AA819" s="5">
        <f>IFERROR(__xludf.DUMMYFUNCTION("""COMPUTED_VALUE"""),36.0)</f>
        <v>36</v>
      </c>
      <c r="AB819" s="5"/>
      <c r="AC819" s="5"/>
      <c r="AD819" s="5">
        <f>IFERROR(__xludf.DUMMYFUNCTION("""COMPUTED_VALUE"""),0.1)</f>
        <v>0.1</v>
      </c>
      <c r="AE819" s="5"/>
      <c r="AF819" s="5"/>
      <c r="AG819" s="8">
        <f>IFERROR(__xludf.DUMMYFUNCTION("""COMPUTED_VALUE"""),46273.574467592596)</f>
        <v>46273.57447</v>
      </c>
      <c r="AH819" s="5" t="str">
        <f>IFERROR(__xludf.DUMMYFUNCTION("""COMPUTED_VALUE"""),"aleksandar.matejic@fazi.rs")</f>
        <v>aleksandar.matejic@fazi.rs</v>
      </c>
      <c r="AI819" s="13"/>
      <c r="AJ819" s="5"/>
      <c r="AK819" s="5" t="str">
        <f>IFERROR(__xludf.DUMMYFUNCTION("""COMPUTED_VALUE"""),"/")</f>
        <v>/</v>
      </c>
      <c r="AL819" s="5" t="str">
        <f>IFERROR(__xludf.DUMMYFUNCTION("""COMPUTED_VALUE"""),"No")</f>
        <v>No</v>
      </c>
      <c r="AM819" s="5" t="str">
        <f>IFERROR(__xludf.DUMMYFUNCTION("""COMPUTED_VALUE"""),"No")</f>
        <v>No</v>
      </c>
      <c r="AN819" s="5"/>
      <c r="AO819" s="5" t="str">
        <f>IFERROR(__xludf.DUMMYFUNCTION("""COMPUTED_VALUE"""),"Yes")</f>
        <v>Yes</v>
      </c>
      <c r="AP819" s="5" t="str">
        <f>IFERROR(__xludf.DUMMYFUNCTION("""COMPUTED_VALUE"""),"No")</f>
        <v>No</v>
      </c>
      <c r="AQ819" s="5"/>
      <c r="AR819" s="5"/>
      <c r="AS819" s="5"/>
      <c r="AT819" s="5"/>
      <c r="AU819" s="5" t="str">
        <f>IFERROR(__xludf.DUMMYFUNCTION("""COMPUTED_VALUE"""),"Fazi")</f>
        <v>Fazi</v>
      </c>
      <c r="AV819" s="5">
        <f>IFERROR(__xludf.DUMMYFUNCTION("""COMPUTED_VALUE"""),1.0)</f>
        <v>1</v>
      </c>
      <c r="AW819" s="5"/>
      <c r="AX819" s="13">
        <f>IFERROR(__xludf.DUMMYFUNCTION("""COMPUTED_VALUE"""),46301.0)</f>
        <v>46301</v>
      </c>
      <c r="AY819" s="5"/>
      <c r="AZ819" s="5"/>
      <c r="BA819" s="5"/>
      <c r="BB819" s="5"/>
      <c r="BC819" s="5" t="str">
        <f>IFERROR(__xludf.DUMMYFUNCTION("""COMPUTED_VALUE"""),"Foxi")</f>
        <v>Foxi</v>
      </c>
      <c r="BD819" s="5"/>
      <c r="BE819" s="5"/>
    </row>
    <row r="820">
      <c r="A820" s="5">
        <f>IFERROR(__xludf.DUMMYFUNCTION("""COMPUTED_VALUE"""),858.0)</f>
        <v>858</v>
      </c>
      <c r="B820" s="5">
        <f>IFERROR(__xludf.DUMMYFUNCTION("""COMPUTED_VALUE"""),-1.0)</f>
        <v>-1</v>
      </c>
      <c r="C820" s="5" t="str">
        <f>IFERROR(__xludf.DUMMYFUNCTION("""COMPUTED_VALUE"""),"Fazi")</f>
        <v>Fazi</v>
      </c>
      <c r="D820" s="5" t="str">
        <f>IFERROR(__xludf.DUMMYFUNCTION("""COMPUTED_VALUE"""),"On Demand Roulette Vip")</f>
        <v>On Demand Roulette Vip</v>
      </c>
      <c r="E820" s="5" t="str">
        <f>IFERROR(__xludf.DUMMYFUNCTION("""COMPUTED_VALUE"""),"V4-1")</f>
        <v>V4-1</v>
      </c>
      <c r="F820" s="5" t="str">
        <f>IFERROR(__xludf.DUMMYFUNCTION("""COMPUTED_VALUE"""),"TBD")</f>
        <v>TBD</v>
      </c>
      <c r="G820" s="5" t="str">
        <f>IFERROR(__xludf.DUMMYFUNCTION("""COMPUTED_VALUE"""),"In Development")</f>
        <v>In Development</v>
      </c>
      <c r="H820" s="5"/>
      <c r="I820" s="5" t="str">
        <f>IFERROR(__xludf.DUMMYFUNCTION("""COMPUTED_VALUE"""),"V4")</f>
        <v>V4</v>
      </c>
      <c r="J820" s="5" t="str">
        <f>IFERROR(__xludf.DUMMYFUNCTION("""COMPUTED_VALUE"""),"JSON")</f>
        <v>JSON</v>
      </c>
      <c r="K820" s="5" t="str">
        <f>IFERROR(__xludf.DUMMYFUNCTION("""COMPUTED_VALUE"""),"Roulette")</f>
        <v>Roulette</v>
      </c>
      <c r="L820" s="5" t="str">
        <f>IFERROR(__xludf.DUMMYFUNCTION("""COMPUTED_VALUE""")," Reskin")</f>
        <v> Reskin</v>
      </c>
      <c r="M820" s="5" t="str">
        <f>IFERROR(__xludf.DUMMYFUNCTION("""COMPUTED_VALUE"""),"On Demand Roulette")</f>
        <v>On Demand Roulette</v>
      </c>
      <c r="N820" s="5"/>
      <c r="O820" s="5"/>
      <c r="P820" s="12"/>
      <c r="Q820" s="13">
        <f>IFERROR(__xludf.DUMMYFUNCTION("""COMPUTED_VALUE"""),46307.0)</f>
        <v>46307</v>
      </c>
      <c r="R820" s="13"/>
      <c r="S820" s="13"/>
      <c r="T820" s="5"/>
      <c r="U820" s="5" t="str">
        <f>IFERROR(__xludf.DUMMYFUNCTION("""COMPUTED_VALUE"""),"/")</f>
        <v>/</v>
      </c>
      <c r="V820" s="5" t="str">
        <f>IFERROR(__xludf.DUMMYFUNCTION("""COMPUTED_VALUE"""),"/")</f>
        <v>/</v>
      </c>
      <c r="W820" s="5" t="str">
        <f>IFERROR(__xludf.DUMMYFUNCTION("""COMPUTED_VALUE"""),"/")</f>
        <v>/</v>
      </c>
      <c r="X820" s="5">
        <f>IFERROR(__xludf.DUMMYFUNCTION("""COMPUTED_VALUE"""),97.3)</f>
        <v>97.3</v>
      </c>
      <c r="Y820" s="5" t="str">
        <f>IFERROR(__xludf.DUMMYFUNCTION("""COMPUTED_VALUE"""),"Medium")</f>
        <v>Medium</v>
      </c>
      <c r="Z820" s="5"/>
      <c r="AA820" s="5">
        <f>IFERROR(__xludf.DUMMYFUNCTION("""COMPUTED_VALUE"""),36.0)</f>
        <v>36</v>
      </c>
      <c r="AB820" s="5"/>
      <c r="AC820" s="5"/>
      <c r="AD820" s="5">
        <f>IFERROR(__xludf.DUMMYFUNCTION("""COMPUTED_VALUE"""),0.1)</f>
        <v>0.1</v>
      </c>
      <c r="AE820" s="5"/>
      <c r="AF820" s="5"/>
      <c r="AG820" s="8">
        <f>IFERROR(__xludf.DUMMYFUNCTION("""COMPUTED_VALUE"""),46273.55158564815)</f>
        <v>46273.55159</v>
      </c>
      <c r="AH820" s="5" t="str">
        <f>IFERROR(__xludf.DUMMYFUNCTION("""COMPUTED_VALUE"""),"djordje.petrovic@fazi.rs")</f>
        <v>djordje.petrovic@fazi.rs</v>
      </c>
      <c r="AI820" s="13"/>
      <c r="AJ820" s="5"/>
      <c r="AK820" s="5" t="str">
        <f>IFERROR(__xludf.DUMMYFUNCTION("""COMPUTED_VALUE"""),"/")</f>
        <v>/</v>
      </c>
      <c r="AL820" s="5" t="str">
        <f>IFERROR(__xludf.DUMMYFUNCTION("""COMPUTED_VALUE"""),"No")</f>
        <v>No</v>
      </c>
      <c r="AM820" s="5" t="str">
        <f>IFERROR(__xludf.DUMMYFUNCTION("""COMPUTED_VALUE"""),"No")</f>
        <v>No</v>
      </c>
      <c r="AN820" s="5"/>
      <c r="AO820" s="5" t="str">
        <f>IFERROR(__xludf.DUMMYFUNCTION("""COMPUTED_VALUE"""),"Yes")</f>
        <v>Yes</v>
      </c>
      <c r="AP820" s="5" t="str">
        <f>IFERROR(__xludf.DUMMYFUNCTION("""COMPUTED_VALUE"""),"No")</f>
        <v>No</v>
      </c>
      <c r="AQ820" s="5"/>
      <c r="AR820" s="5"/>
      <c r="AS820" s="5"/>
      <c r="AT820" s="5"/>
      <c r="AU820" s="5" t="str">
        <f>IFERROR(__xludf.DUMMYFUNCTION("""COMPUTED_VALUE"""),"Fazi")</f>
        <v>Fazi</v>
      </c>
      <c r="AV820" s="5">
        <f>IFERROR(__xludf.DUMMYFUNCTION("""COMPUTED_VALUE"""),1.0)</f>
        <v>1</v>
      </c>
      <c r="AW820" s="5"/>
      <c r="AX820" s="13">
        <f>IFERROR(__xludf.DUMMYFUNCTION("""COMPUTED_VALUE"""),46301.0)</f>
        <v>46301</v>
      </c>
      <c r="AY820" s="5" t="str">
        <f>IFERROR(__xludf.DUMMYFUNCTION("""COMPUTED_VALUE"""),"/")</f>
        <v>/</v>
      </c>
      <c r="AZ820" s="5"/>
      <c r="BA820" s="5"/>
      <c r="BB820" s="5"/>
      <c r="BC820" s="5" t="str">
        <f>IFERROR(__xludf.DUMMYFUNCTION("""COMPUTED_VALUE"""),"Foxi")</f>
        <v>Foxi</v>
      </c>
      <c r="BD820" s="5"/>
      <c r="BE820" s="5"/>
    </row>
    <row r="821">
      <c r="A821" s="5">
        <f>IFERROR(__xludf.DUMMYFUNCTION("""COMPUTED_VALUE"""),859.0)</f>
        <v>859</v>
      </c>
      <c r="B821" s="5">
        <f>IFERROR(__xludf.DUMMYFUNCTION("""COMPUTED_VALUE"""),2030.0)</f>
        <v>2030</v>
      </c>
      <c r="C821" s="5" t="str">
        <f>IFERROR(__xludf.DUMMYFUNCTION("""COMPUTED_VALUE"""),"Fazi")</f>
        <v>Fazi</v>
      </c>
      <c r="D821" s="5" t="str">
        <f>IFERROR(__xludf.DUMMYFUNCTION("""COMPUTED_VALUE"""),"Wu Kong 27")</f>
        <v>Wu Kong 27</v>
      </c>
      <c r="E821" s="5" t="str">
        <f>IFERROR(__xludf.DUMMYFUNCTION("""COMPUTED_VALUE"""),"V4-2")</f>
        <v>V4-2</v>
      </c>
      <c r="F821" s="5" t="str">
        <f>IFERROR(__xludf.DUMMYFUNCTION("""COMPUTED_VALUE"""),"WuKong27")</f>
        <v>WuKong27</v>
      </c>
      <c r="G821" s="5" t="str">
        <f>IFERROR(__xludf.DUMMYFUNCTION("""COMPUTED_VALUE"""),"In Development")</f>
        <v>In Development</v>
      </c>
      <c r="H821" s="5"/>
      <c r="I821" s="5" t="str">
        <f>IFERROR(__xludf.DUMMYFUNCTION("""COMPUTED_VALUE"""),"V4")</f>
        <v>V4</v>
      </c>
      <c r="J821" s="5" t="str">
        <f>IFERROR(__xludf.DUMMYFUNCTION("""COMPUTED_VALUE"""),"JSON")</f>
        <v>JSON</v>
      </c>
      <c r="K821" s="5" t="str">
        <f>IFERROR(__xludf.DUMMYFUNCTION("""COMPUTED_VALUE"""),"Slot")</f>
        <v>Slot</v>
      </c>
      <c r="L821" s="5" t="str">
        <f>IFERROR(__xludf.DUMMYFUNCTION("""COMPUTED_VALUE""")," Clone")</f>
        <v> Clone</v>
      </c>
      <c r="M821" s="5" t="str">
        <f>IFERROR(__xludf.DUMMYFUNCTION("""COMPUTED_VALUE"""),"Wild 27")</f>
        <v>Wild 27</v>
      </c>
      <c r="N821" s="5"/>
      <c r="O821" s="5"/>
      <c r="P821" s="12"/>
      <c r="Q821" s="13">
        <f>IFERROR(__xludf.DUMMYFUNCTION("""COMPUTED_VALUE"""),46293.0)</f>
        <v>46293</v>
      </c>
      <c r="R821" s="13"/>
      <c r="S821" s="13"/>
      <c r="T821" s="5"/>
      <c r="U821" s="5" t="str">
        <f>IFERROR(__xludf.DUMMYFUNCTION("""COMPUTED_VALUE"""),"3x3")</f>
        <v>3x3</v>
      </c>
      <c r="V821" s="5">
        <f>IFERROR(__xludf.DUMMYFUNCTION("""COMPUTED_VALUE"""),27.0)</f>
        <v>27</v>
      </c>
      <c r="W821" s="5">
        <f>IFERROR(__xludf.DUMMYFUNCTION("""COMPUTED_VALUE"""),27.0)</f>
        <v>27</v>
      </c>
      <c r="X821" s="5">
        <f>IFERROR(__xludf.DUMMYFUNCTION("""COMPUTED_VALUE"""),96.24)</f>
        <v>96.24</v>
      </c>
      <c r="Y821" s="5" t="str">
        <f>IFERROR(__xludf.DUMMYFUNCTION("""COMPUTED_VALUE"""),"Medium")</f>
        <v>Medium</v>
      </c>
      <c r="Z821" s="5">
        <f>IFERROR(__xludf.DUMMYFUNCTION("""COMPUTED_VALUE"""),6.58)</f>
        <v>6.58</v>
      </c>
      <c r="AA821" s="5">
        <f>IFERROR(__xludf.DUMMYFUNCTION("""COMPUTED_VALUE"""),108.0)</f>
        <v>108</v>
      </c>
      <c r="AB821" s="5"/>
      <c r="AC821" s="5" t="str">
        <f>IFERROR(__xludf.DUMMYFUNCTION("""COMPUTED_VALUE"""),"Win Multiplier, Variable RTP")</f>
        <v>Win Multiplier, Variable RTP</v>
      </c>
      <c r="AD821" s="5" t="str">
        <f>IFERROR(__xludf.DUMMYFUNCTION("""COMPUTED_VALUE"""),"0.1/40")</f>
        <v>0.1/40</v>
      </c>
      <c r="AE821" s="5"/>
      <c r="AF821" s="5"/>
      <c r="AG821" s="8">
        <f>IFERROR(__xludf.DUMMYFUNCTION("""COMPUTED_VALUE"""),46269.550833333335)</f>
        <v>46269.55083</v>
      </c>
      <c r="AH821" s="5" t="str">
        <f>IFERROR(__xludf.DUMMYFUNCTION("""COMPUTED_VALUE"""),"aleksandar.trajkovic@fazi.rs")</f>
        <v>aleksandar.trajkovic@fazi.rs</v>
      </c>
      <c r="AI821" s="13"/>
      <c r="AJ821" s="5"/>
      <c r="AK821" s="5">
        <f>IFERROR(__xludf.DUMMYFUNCTION("""COMPUTED_VALUE"""),1.0)</f>
        <v>1</v>
      </c>
      <c r="AL821" s="5" t="str">
        <f>IFERROR(__xludf.DUMMYFUNCTION("""COMPUTED_VALUE"""),"No")</f>
        <v>No</v>
      </c>
      <c r="AM821" s="5" t="str">
        <f>IFERROR(__xludf.DUMMYFUNCTION("""COMPUTED_VALUE"""),"No")</f>
        <v>No</v>
      </c>
      <c r="AN821" s="5"/>
      <c r="AO821" s="5" t="str">
        <f>IFERROR(__xludf.DUMMYFUNCTION("""COMPUTED_VALUE"""),"Yes")</f>
        <v>Yes</v>
      </c>
      <c r="AP821" s="5" t="str">
        <f>IFERROR(__xludf.DUMMYFUNCTION("""COMPUTED_VALUE"""),"Yes")</f>
        <v>Yes</v>
      </c>
      <c r="AQ821" s="5"/>
      <c r="AR821" s="5"/>
      <c r="AS821" s="5"/>
      <c r="AT821" s="5"/>
      <c r="AU821" s="5" t="str">
        <f>IFERROR(__xludf.DUMMYFUNCTION("""COMPUTED_VALUE"""),"Fazi")</f>
        <v>Fazi</v>
      </c>
      <c r="AV821" s="5"/>
      <c r="AW821" s="5"/>
      <c r="AX821" s="13">
        <f>IFERROR(__xludf.DUMMYFUNCTION("""COMPUTED_VALUE"""),46287.0)</f>
        <v>46287</v>
      </c>
      <c r="AY821" s="5" t="str">
        <f>IFERROR(__xludf.DUMMYFUNCTION("""COMPUTED_VALUE"""),"87.5%, 89.5%, 91.5%, 93.5%, 94.5%, 95.5%, 96.5%")</f>
        <v>87.5%, 89.5%, 91.5%, 93.5%, 94.5%, 95.5%, 96.5%</v>
      </c>
      <c r="AZ821" s="5"/>
      <c r="BA821" s="5"/>
      <c r="BB821" s="5"/>
      <c r="BC821" s="5" t="str">
        <f>IFERROR(__xludf.DUMMYFUNCTION("""COMPUTED_VALUE"""),"Foxi")</f>
        <v>Foxi</v>
      </c>
      <c r="BD821" s="5"/>
      <c r="BE821" s="5"/>
    </row>
    <row r="822">
      <c r="A822" s="5">
        <f>IFERROR(__xludf.DUMMYFUNCTION("""COMPUTED_VALUE"""),860.0)</f>
        <v>860</v>
      </c>
      <c r="B822" s="5">
        <f>IFERROR(__xludf.DUMMYFUNCTION("""COMPUTED_VALUE"""),-1.0)</f>
        <v>-1</v>
      </c>
      <c r="C822" s="5" t="str">
        <f>IFERROR(__xludf.DUMMYFUNCTION("""COMPUTED_VALUE"""),"Tiptop")</f>
        <v>Tiptop</v>
      </c>
      <c r="D822" s="5" t="str">
        <f>IFERROR(__xludf.DUMMYFUNCTION("""COMPUTED_VALUE"""),"Hollow Nightmare")</f>
        <v>Hollow Nightmare</v>
      </c>
      <c r="E822" s="5" t="str">
        <f>IFERROR(__xludf.DUMMYFUNCTION("""COMPUTED_VALUE"""),"TipTop")</f>
        <v>TipTop</v>
      </c>
      <c r="F822" s="5" t="str">
        <f>IFERROR(__xludf.DUMMYFUNCTION("""COMPUTED_VALUE"""),"TBD")</f>
        <v>TBD</v>
      </c>
      <c r="G822" s="5" t="str">
        <f>IFERROR(__xludf.DUMMYFUNCTION("""COMPUTED_VALUE"""),"Planned")</f>
        <v>Planned</v>
      </c>
      <c r="H822" s="5"/>
      <c r="I822" s="5"/>
      <c r="J822" s="5" t="str">
        <f>IFERROR(__xludf.DUMMYFUNCTION("""COMPUTED_VALUE"""),"JSON")</f>
        <v>JSON</v>
      </c>
      <c r="K822" s="5" t="str">
        <f>IFERROR(__xludf.DUMMYFUNCTION("""COMPUTED_VALUE"""),"Slot")</f>
        <v>Slot</v>
      </c>
      <c r="L822" s="5"/>
      <c r="M822" s="5"/>
      <c r="N822" s="5"/>
      <c r="O822" s="5"/>
      <c r="P822" s="12"/>
      <c r="Q822" s="13">
        <f>IFERROR(__xludf.DUMMYFUNCTION("""COMPUTED_VALUE"""),46293.0)</f>
        <v>46293</v>
      </c>
      <c r="R822" s="13"/>
      <c r="S822" s="13"/>
      <c r="T822" s="5"/>
      <c r="U822" s="5"/>
      <c r="V822" s="5"/>
      <c r="W822" s="5"/>
      <c r="X822" s="5"/>
      <c r="Y822" s="5"/>
      <c r="Z822" s="5"/>
      <c r="AA822" s="5"/>
      <c r="AB822" s="5"/>
      <c r="AC822" s="5"/>
      <c r="AD822" s="5"/>
      <c r="AE822" s="5"/>
      <c r="AF822" s="5"/>
      <c r="AG822" s="8">
        <f>IFERROR(__xludf.DUMMYFUNCTION("""COMPUTED_VALUE"""),46273.42901620371)</f>
        <v>46273.42902</v>
      </c>
      <c r="AH822" s="5" t="str">
        <f>IFERROR(__xludf.DUMMYFUNCTION("""COMPUTED_VALUE"""),"danica.petrovic@fazi.rs")</f>
        <v>danica.petrovic@fazi.rs</v>
      </c>
      <c r="AI822" s="13"/>
      <c r="AJ822" s="5"/>
      <c r="AK822" s="5"/>
      <c r="AL822" s="5"/>
      <c r="AM822" s="5"/>
      <c r="AN822" s="5"/>
      <c r="AO822" s="5"/>
      <c r="AP822" s="5"/>
      <c r="AQ822" s="5"/>
      <c r="AR822" s="5"/>
      <c r="AS822" s="5"/>
      <c r="AT822" s="5"/>
      <c r="AU822" s="5" t="str">
        <f>IFERROR(__xludf.DUMMYFUNCTION("""COMPUTED_VALUE"""),"Tiptop")</f>
        <v>Tiptop</v>
      </c>
      <c r="AV822" s="5"/>
      <c r="AW822" s="5"/>
      <c r="AX822" s="13">
        <f>IFERROR(__xludf.DUMMYFUNCTION("""COMPUTED_VALUE"""),46287.0)</f>
        <v>46287</v>
      </c>
      <c r="AY822" s="5"/>
      <c r="AZ822" s="5"/>
      <c r="BA822" s="5"/>
      <c r="BB822" s="5"/>
      <c r="BC822" s="5" t="str">
        <f>IFERROR(__xludf.DUMMYFUNCTION("""COMPUTED_VALUE"""),"Tiptop")</f>
        <v>Tiptop</v>
      </c>
      <c r="BD822" s="5"/>
      <c r="BE822" s="5"/>
    </row>
    <row r="823">
      <c r="A823" s="5">
        <f>IFERROR(__xludf.DUMMYFUNCTION("""COMPUTED_VALUE"""),861.0)</f>
        <v>861</v>
      </c>
      <c r="B823" s="5">
        <f>IFERROR(__xludf.DUMMYFUNCTION("""COMPUTED_VALUE"""),-1.0)</f>
        <v>-1</v>
      </c>
      <c r="C823" s="5" t="str">
        <f>IFERROR(__xludf.DUMMYFUNCTION("""COMPUTED_VALUE"""),"Tiptop")</f>
        <v>Tiptop</v>
      </c>
      <c r="D823" s="5" t="str">
        <f>IFERROR(__xludf.DUMMYFUNCTION("""COMPUTED_VALUE"""),"Classic Fruit Bars")</f>
        <v>Classic Fruit Bars</v>
      </c>
      <c r="E823" s="5" t="str">
        <f>IFERROR(__xludf.DUMMYFUNCTION("""COMPUTED_VALUE"""),"TipTop")</f>
        <v>TipTop</v>
      </c>
      <c r="F823" s="5" t="str">
        <f>IFERROR(__xludf.DUMMYFUNCTION("""COMPUTED_VALUE"""),"TBD")</f>
        <v>TBD</v>
      </c>
      <c r="G823" s="5" t="str">
        <f>IFERROR(__xludf.DUMMYFUNCTION("""COMPUTED_VALUE"""),"Planned")</f>
        <v>Planned</v>
      </c>
      <c r="H823" s="5"/>
      <c r="I823" s="5"/>
      <c r="J823" s="5" t="str">
        <f>IFERROR(__xludf.DUMMYFUNCTION("""COMPUTED_VALUE"""),"JSON")</f>
        <v>JSON</v>
      </c>
      <c r="K823" s="5" t="str">
        <f>IFERROR(__xludf.DUMMYFUNCTION("""COMPUTED_VALUE"""),"Slot")</f>
        <v>Slot</v>
      </c>
      <c r="L823" s="5"/>
      <c r="M823" s="5"/>
      <c r="N823" s="5"/>
      <c r="O823" s="5"/>
      <c r="P823" s="12"/>
      <c r="Q823" s="13">
        <f>IFERROR(__xludf.DUMMYFUNCTION("""COMPUTED_VALUE"""),46307.0)</f>
        <v>46307</v>
      </c>
      <c r="R823" s="13"/>
      <c r="S823" s="13"/>
      <c r="T823" s="5"/>
      <c r="U823" s="5"/>
      <c r="V823" s="5"/>
      <c r="W823" s="5"/>
      <c r="X823" s="5"/>
      <c r="Y823" s="5"/>
      <c r="Z823" s="5"/>
      <c r="AA823" s="5"/>
      <c r="AB823" s="5"/>
      <c r="AC823" s="5"/>
      <c r="AD823" s="5"/>
      <c r="AE823" s="5"/>
      <c r="AF823" s="5"/>
      <c r="AG823" s="8">
        <f>IFERROR(__xludf.DUMMYFUNCTION("""COMPUTED_VALUE"""),46273.43135416666)</f>
        <v>46273.43135</v>
      </c>
      <c r="AH823" s="5" t="str">
        <f>IFERROR(__xludf.DUMMYFUNCTION("""COMPUTED_VALUE"""),"danica.petrovic@fazi.rs")</f>
        <v>danica.petrovic@fazi.rs</v>
      </c>
      <c r="AI823" s="13"/>
      <c r="AJ823" s="5"/>
      <c r="AK823" s="5"/>
      <c r="AL823" s="5"/>
      <c r="AM823" s="5"/>
      <c r="AN823" s="5"/>
      <c r="AO823" s="5"/>
      <c r="AP823" s="5"/>
      <c r="AQ823" s="5"/>
      <c r="AR823" s="5"/>
      <c r="AS823" s="5"/>
      <c r="AT823" s="5"/>
      <c r="AU823" s="5" t="str">
        <f>IFERROR(__xludf.DUMMYFUNCTION("""COMPUTED_VALUE"""),"Tiptop")</f>
        <v>Tiptop</v>
      </c>
      <c r="AV823" s="5"/>
      <c r="AW823" s="5"/>
      <c r="AX823" s="13">
        <f>IFERROR(__xludf.DUMMYFUNCTION("""COMPUTED_VALUE"""),46301.0)</f>
        <v>46301</v>
      </c>
      <c r="AY823" s="5"/>
      <c r="AZ823" s="5"/>
      <c r="BA823" s="5"/>
      <c r="BB823" s="5"/>
      <c r="BC823" s="5" t="str">
        <f>IFERROR(__xludf.DUMMYFUNCTION("""COMPUTED_VALUE"""),"Tiptop")</f>
        <v>Tiptop</v>
      </c>
      <c r="BD823" s="5"/>
      <c r="BE823" s="5"/>
    </row>
    <row r="824">
      <c r="A824" s="5">
        <f>IFERROR(__xludf.DUMMYFUNCTION("""COMPUTED_VALUE"""),862.0)</f>
        <v>862</v>
      </c>
      <c r="B824" s="5">
        <f>IFERROR(__xludf.DUMMYFUNCTION("""COMPUTED_VALUE"""),3050.0)</f>
        <v>3050</v>
      </c>
      <c r="C824" s="5" t="str">
        <f>IFERROR(__xludf.DUMMYFUNCTION("""COMPUTED_VALUE"""),"Fazi")</f>
        <v>Fazi</v>
      </c>
      <c r="D824" s="5" t="str">
        <f>IFERROR(__xludf.DUMMYFUNCTION("""COMPUTED_VALUE"""),"Double Gift 10")</f>
        <v>Double Gift 10</v>
      </c>
      <c r="E824" s="5" t="str">
        <f>IFERROR(__xludf.DUMMYFUNCTION("""COMPUTED_VALUE"""),"V2")</f>
        <v>V2</v>
      </c>
      <c r="F824" s="5" t="str">
        <f>IFERROR(__xludf.DUMMYFUNCTION("""COMPUTED_VALUE"""),"DoubleGift10")</f>
        <v>DoubleGift10</v>
      </c>
      <c r="G824" s="5" t="str">
        <f>IFERROR(__xludf.DUMMYFUNCTION("""COMPUTED_VALUE"""),"In Development")</f>
        <v>In Development</v>
      </c>
      <c r="H824" s="5"/>
      <c r="I824" s="5" t="str">
        <f>IFERROR(__xludf.DUMMYFUNCTION("""COMPUTED_VALUE"""),"V4")</f>
        <v>V4</v>
      </c>
      <c r="J824" s="5" t="str">
        <f>IFERROR(__xludf.DUMMYFUNCTION("""COMPUTED_VALUE"""),"JSON")</f>
        <v>JSON</v>
      </c>
      <c r="K824" s="5" t="str">
        <f>IFERROR(__xludf.DUMMYFUNCTION("""COMPUTED_VALUE"""),"Slot")</f>
        <v>Slot</v>
      </c>
      <c r="L824" s="5" t="str">
        <f>IFERROR(__xludf.DUMMYFUNCTION("""COMPUTED_VALUE""")," Clone")</f>
        <v> Clone</v>
      </c>
      <c r="M824" s="5" t="str">
        <f>IFERROR(__xludf.DUMMYFUNCTION("""COMPUTED_VALUE"""),"Very Hot 10 Extreme")</f>
        <v>Very Hot 10 Extreme</v>
      </c>
      <c r="N824" s="5"/>
      <c r="O824" s="5"/>
      <c r="P824" s="12"/>
      <c r="Q824" s="13"/>
      <c r="R824" s="13"/>
      <c r="S824" s="13"/>
      <c r="T824" s="5"/>
      <c r="U824" s="5" t="str">
        <f>IFERROR(__xludf.DUMMYFUNCTION("""COMPUTED_VALUE"""),"5x3")</f>
        <v>5x3</v>
      </c>
      <c r="V824" s="5">
        <f>IFERROR(__xludf.DUMMYFUNCTION("""COMPUTED_VALUE"""),10.0)</f>
        <v>10</v>
      </c>
      <c r="W824" s="5">
        <f>IFERROR(__xludf.DUMMYFUNCTION("""COMPUTED_VALUE"""),10.0)</f>
        <v>10</v>
      </c>
      <c r="X824" s="5">
        <f>IFERROR(__xludf.DUMMYFUNCTION("""COMPUTED_VALUE"""),96.453)</f>
        <v>96.453</v>
      </c>
      <c r="Y824" s="5" t="str">
        <f>IFERROR(__xludf.DUMMYFUNCTION("""COMPUTED_VALUE"""),"Medium")</f>
        <v>Medium</v>
      </c>
      <c r="Z824" s="5">
        <f>IFERROR(__xludf.DUMMYFUNCTION("""COMPUTED_VALUE"""),17.364)</f>
        <v>17.364</v>
      </c>
      <c r="AA824" s="5">
        <f>IFERROR(__xludf.DUMMYFUNCTION("""COMPUTED_VALUE"""),2210.0)</f>
        <v>2210</v>
      </c>
      <c r="AB824" s="5"/>
      <c r="AC824" s="5"/>
      <c r="AD824" s="5"/>
      <c r="AE824" s="5"/>
      <c r="AF824" s="5"/>
      <c r="AG824" s="8">
        <f>IFERROR(__xludf.DUMMYFUNCTION("""COMPUTED_VALUE"""),46273.68769675926)</f>
        <v>46273.6877</v>
      </c>
      <c r="AH824" s="5" t="str">
        <f>IFERROR(__xludf.DUMMYFUNCTION("""COMPUTED_VALUE"""),"aleksandar.trajkovic@fazi.rs")</f>
        <v>aleksandar.trajkovic@fazi.rs</v>
      </c>
      <c r="AI824" s="13"/>
      <c r="AJ824" s="5"/>
      <c r="AK824" s="5">
        <f>IFERROR(__xludf.DUMMYFUNCTION("""COMPUTED_VALUE"""),1.0)</f>
        <v>1</v>
      </c>
      <c r="AL824" s="5"/>
      <c r="AM824" s="5"/>
      <c r="AN824" s="5"/>
      <c r="AO824" s="5"/>
      <c r="AP824" s="5"/>
      <c r="AQ824" s="5"/>
      <c r="AR824" s="5"/>
      <c r="AS824" s="5"/>
      <c r="AT824" s="5"/>
      <c r="AU824" s="5" t="str">
        <f>IFERROR(__xludf.DUMMYFUNCTION("""COMPUTED_VALUE"""),"Fazi")</f>
        <v>Fazi</v>
      </c>
      <c r="AV824" s="5"/>
      <c r="AW824" s="5"/>
      <c r="AX824" s="13"/>
      <c r="AY824" s="5" t="str">
        <f>IFERROR(__xludf.DUMMYFUNCTION("""COMPUTED_VALUE"""),"87.5%, 89.5%, 91.5%, 93.5%, 94.5%, 95.5%, 96.5%")</f>
        <v>87.5%, 89.5%, 91.5%, 93.5%, 94.5%, 95.5%, 96.5%</v>
      </c>
      <c r="AZ824" s="5"/>
      <c r="BA824" s="5"/>
      <c r="BB824" s="5"/>
      <c r="BC824" s="5" t="str">
        <f>IFERROR(__xludf.DUMMYFUNCTION("""COMPUTED_VALUE"""),"Foxi")</f>
        <v>Foxi</v>
      </c>
      <c r="BD824" s="5"/>
      <c r="BE824" s="5"/>
    </row>
    <row r="825">
      <c r="A825" s="5">
        <f>IFERROR(__xludf.DUMMYFUNCTION("""COMPUTED_VALUE"""),863.0)</f>
        <v>863</v>
      </c>
      <c r="B825" s="5">
        <f>IFERROR(__xludf.DUMMYFUNCTION("""COMPUTED_VALUE"""),3049.0)</f>
        <v>3049</v>
      </c>
      <c r="C825" s="5" t="str">
        <f>IFERROR(__xludf.DUMMYFUNCTION("""COMPUTED_VALUE"""),"Fazi")</f>
        <v>Fazi</v>
      </c>
      <c r="D825" s="5" t="str">
        <f>IFERROR(__xludf.DUMMYFUNCTION("""COMPUTED_VALUE"""),"Double Gift 5")</f>
        <v>Double Gift 5</v>
      </c>
      <c r="E825" s="5" t="str">
        <f>IFERROR(__xludf.DUMMYFUNCTION("""COMPUTED_VALUE"""),"V2")</f>
        <v>V2</v>
      </c>
      <c r="F825" s="5" t="str">
        <f>IFERROR(__xludf.DUMMYFUNCTION("""COMPUTED_VALUE"""),"DoubleGift5")</f>
        <v>DoubleGift5</v>
      </c>
      <c r="G825" s="5" t="str">
        <f>IFERROR(__xludf.DUMMYFUNCTION("""COMPUTED_VALUE"""),"In Development")</f>
        <v>In Development</v>
      </c>
      <c r="H825" s="5"/>
      <c r="I825" s="5" t="str">
        <f>IFERROR(__xludf.DUMMYFUNCTION("""COMPUTED_VALUE"""),"V4")</f>
        <v>V4</v>
      </c>
      <c r="J825" s="5" t="str">
        <f>IFERROR(__xludf.DUMMYFUNCTION("""COMPUTED_VALUE"""),"JSON")</f>
        <v>JSON</v>
      </c>
      <c r="K825" s="5" t="str">
        <f>IFERROR(__xludf.DUMMYFUNCTION("""COMPUTED_VALUE"""),"Slot")</f>
        <v>Slot</v>
      </c>
      <c r="L825" s="5" t="str">
        <f>IFERROR(__xludf.DUMMYFUNCTION("""COMPUTED_VALUE""")," Clone")</f>
        <v> Clone</v>
      </c>
      <c r="M825" s="5" t="str">
        <f>IFERROR(__xludf.DUMMYFUNCTION("""COMPUTED_VALUE"""),"Very Hot 5 Extreme")</f>
        <v>Very Hot 5 Extreme</v>
      </c>
      <c r="N825" s="5"/>
      <c r="O825" s="5"/>
      <c r="P825" s="12"/>
      <c r="Q825" s="13">
        <f>IFERROR(__xludf.DUMMYFUNCTION("""COMPUTED_VALUE"""),46307.0)</f>
        <v>46307</v>
      </c>
      <c r="R825" s="13"/>
      <c r="S825" s="13">
        <f>IFERROR(__xludf.DUMMYFUNCTION("""COMPUTED_VALUE"""),46338.0)</f>
        <v>46338</v>
      </c>
      <c r="T825" s="5" t="b">
        <f>IFERROR(__xludf.DUMMYFUNCTION("""COMPUTED_VALUE"""),TRUE)</f>
        <v>1</v>
      </c>
      <c r="U825" s="5" t="str">
        <f>IFERROR(__xludf.DUMMYFUNCTION("""COMPUTED_VALUE"""),"5x3")</f>
        <v>5x3</v>
      </c>
      <c r="V825" s="5">
        <f>IFERROR(__xludf.DUMMYFUNCTION("""COMPUTED_VALUE"""),5.0)</f>
        <v>5</v>
      </c>
      <c r="W825" s="5">
        <f>IFERROR(__xludf.DUMMYFUNCTION("""COMPUTED_VALUE"""),5.0)</f>
        <v>5</v>
      </c>
      <c r="X825" s="5">
        <f>IFERROR(__xludf.DUMMYFUNCTION("""COMPUTED_VALUE"""),96.453)</f>
        <v>96.453</v>
      </c>
      <c r="Y825" s="5" t="str">
        <f>IFERROR(__xludf.DUMMYFUNCTION("""COMPUTED_VALUE"""),"Medium")</f>
        <v>Medium</v>
      </c>
      <c r="Z825" s="5">
        <f>IFERROR(__xludf.DUMMYFUNCTION("""COMPUTED_VALUE"""),14.234)</f>
        <v>14.234</v>
      </c>
      <c r="AA825" s="5">
        <f>IFERROR(__xludf.DUMMYFUNCTION("""COMPUTED_VALUE"""),2623.0)</f>
        <v>2623</v>
      </c>
      <c r="AB825" s="5"/>
      <c r="AC825" s="5"/>
      <c r="AD825" s="5"/>
      <c r="AE825" s="5"/>
      <c r="AF825" s="5"/>
      <c r="AG825" s="8">
        <f>IFERROR(__xludf.DUMMYFUNCTION("""COMPUTED_VALUE"""),46273.68824074074)</f>
        <v>46273.68824</v>
      </c>
      <c r="AH825" s="5" t="str">
        <f>IFERROR(__xludf.DUMMYFUNCTION("""COMPUTED_VALUE"""),"aleksandar.trajkovic@fazi.rs")</f>
        <v>aleksandar.trajkovic@fazi.rs</v>
      </c>
      <c r="AI825" s="13"/>
      <c r="AJ825" s="5"/>
      <c r="AK825" s="5">
        <f>IFERROR(__xludf.DUMMYFUNCTION("""COMPUTED_VALUE"""),1.0)</f>
        <v>1</v>
      </c>
      <c r="AL825" s="5"/>
      <c r="AM825" s="5"/>
      <c r="AN825" s="5"/>
      <c r="AO825" s="5"/>
      <c r="AP825" s="5"/>
      <c r="AQ825" s="5"/>
      <c r="AR825" s="5"/>
      <c r="AS825" s="5"/>
      <c r="AT825" s="5"/>
      <c r="AU825" s="5" t="str">
        <f>IFERROR(__xludf.DUMMYFUNCTION("""COMPUTED_VALUE"""),"Fazi")</f>
        <v>Fazi</v>
      </c>
      <c r="AV825" s="5"/>
      <c r="AW825" s="5"/>
      <c r="AX825" s="13">
        <f>IFERROR(__xludf.DUMMYFUNCTION("""COMPUTED_VALUE"""),46301.0)</f>
        <v>46301</v>
      </c>
      <c r="AY825" s="5" t="str">
        <f>IFERROR(__xludf.DUMMYFUNCTION("""COMPUTED_VALUE"""),"87.5%, 89.5%, 91.5%, 93.5%, 94.5%, 95.5%, 96.5%")</f>
        <v>87.5%, 89.5%, 91.5%, 93.5%, 94.5%, 95.5%, 96.5%</v>
      </c>
      <c r="AZ825" s="5"/>
      <c r="BA825" s="5"/>
      <c r="BB825" s="5"/>
      <c r="BC825" s="5" t="str">
        <f>IFERROR(__xludf.DUMMYFUNCTION("""COMPUTED_VALUE"""),"Foxi")</f>
        <v>Foxi</v>
      </c>
      <c r="BD825" s="5"/>
      <c r="BE825" s="5"/>
    </row>
    <row r="826">
      <c r="A826" s="5">
        <f>IFERROR(__xludf.DUMMYFUNCTION("""COMPUTED_VALUE"""),864.0)</f>
        <v>864</v>
      </c>
      <c r="B826" s="5">
        <f>IFERROR(__xludf.DUMMYFUNCTION("""COMPUTED_VALUE"""),-1.0)</f>
        <v>-1</v>
      </c>
      <c r="C826" s="5" t="str">
        <f>IFERROR(__xludf.DUMMYFUNCTION("""COMPUTED_VALUE"""),"Redstone")</f>
        <v>Redstone</v>
      </c>
      <c r="D826" s="5" t="str">
        <f>IFERROR(__xludf.DUMMYFUNCTION("""COMPUTED_VALUE"""),"X Wild Pumpkin")</f>
        <v>X Wild Pumpkin</v>
      </c>
      <c r="E826" s="5" t="str">
        <f>IFERROR(__xludf.DUMMYFUNCTION("""COMPUTED_VALUE"""),"Redstone")</f>
        <v>Redstone</v>
      </c>
      <c r="F826" s="5" t="str">
        <f>IFERROR(__xludf.DUMMYFUNCTION("""COMPUTED_VALUE"""),"TBD")</f>
        <v>TBD</v>
      </c>
      <c r="G826" s="5" t="str">
        <f>IFERROR(__xludf.DUMMYFUNCTION("""COMPUTED_VALUE"""),"Planned")</f>
        <v>Planned</v>
      </c>
      <c r="H826" s="5"/>
      <c r="I826" s="5"/>
      <c r="J826" s="5" t="str">
        <f>IFERROR(__xludf.DUMMYFUNCTION("""COMPUTED_VALUE"""),"JSON")</f>
        <v>JSON</v>
      </c>
      <c r="K826" s="5" t="str">
        <f>IFERROR(__xludf.DUMMYFUNCTION("""COMPUTED_VALUE"""),"Slot")</f>
        <v>Slot</v>
      </c>
      <c r="L826" s="5"/>
      <c r="M826" s="5"/>
      <c r="N826" s="5"/>
      <c r="O826" s="5"/>
      <c r="P826" s="12"/>
      <c r="Q826" s="13">
        <f>IFERROR(__xludf.DUMMYFUNCTION("""COMPUTED_VALUE"""),46293.0)</f>
        <v>46293</v>
      </c>
      <c r="R826" s="13"/>
      <c r="S826" s="13"/>
      <c r="T826" s="5"/>
      <c r="U826" s="5"/>
      <c r="V826" s="5"/>
      <c r="W826" s="5"/>
      <c r="X826" s="5"/>
      <c r="Y826" s="5"/>
      <c r="Z826" s="5"/>
      <c r="AA826" s="5"/>
      <c r="AB826" s="5"/>
      <c r="AC826" s="5"/>
      <c r="AD826" s="5"/>
      <c r="AE826" s="5"/>
      <c r="AF826" s="5"/>
      <c r="AG826" s="8">
        <f>IFERROR(__xludf.DUMMYFUNCTION("""COMPUTED_VALUE"""),46274.588113425925)</f>
        <v>46274.58811</v>
      </c>
      <c r="AH826" s="5" t="str">
        <f>IFERROR(__xludf.DUMMYFUNCTION("""COMPUTED_VALUE"""),"milivoje.mihajlovic@fazi.rs")</f>
        <v>milivoje.mihajlovic@fazi.rs</v>
      </c>
      <c r="AI826" s="13"/>
      <c r="AJ826" s="5"/>
      <c r="AK826" s="5"/>
      <c r="AL826" s="5"/>
      <c r="AM826" s="5"/>
      <c r="AN826" s="5"/>
      <c r="AO826" s="5"/>
      <c r="AP826" s="5"/>
      <c r="AQ826" s="5"/>
      <c r="AR826" s="5"/>
      <c r="AS826" s="5"/>
      <c r="AT826" s="5"/>
      <c r="AU826" s="5" t="str">
        <f>IFERROR(__xludf.DUMMYFUNCTION("""COMPUTED_VALUE"""),"Redstone")</f>
        <v>Redstone</v>
      </c>
      <c r="AV826" s="5"/>
      <c r="AW826" s="5"/>
      <c r="AX826" s="13">
        <f>IFERROR(__xludf.DUMMYFUNCTION("""COMPUTED_VALUE"""),46287.0)</f>
        <v>46287</v>
      </c>
      <c r="AY826" s="5"/>
      <c r="AZ826" s="5"/>
      <c r="BA826" s="5"/>
      <c r="BB826" s="5"/>
      <c r="BC826" s="5" t="str">
        <f>IFERROR(__xludf.DUMMYFUNCTION("""COMPUTED_VALUE"""),"Redstone")</f>
        <v>Redstone</v>
      </c>
      <c r="BD826" s="5"/>
      <c r="BE826" s="5"/>
    </row>
    <row r="827">
      <c r="A827" s="5">
        <f>IFERROR(__xludf.DUMMYFUNCTION("""COMPUTED_VALUE"""),865.0)</f>
        <v>865</v>
      </c>
      <c r="B827" s="5">
        <f>IFERROR(__xludf.DUMMYFUNCTION("""COMPUTED_VALUE"""),-1.0)</f>
        <v>-1</v>
      </c>
      <c r="C827" s="5" t="str">
        <f>IFERROR(__xludf.DUMMYFUNCTION("""COMPUTED_VALUE"""),"Redstone")</f>
        <v>Redstone</v>
      </c>
      <c r="D827" s="5" t="str">
        <f>IFERROR(__xludf.DUMMYFUNCTION("""COMPUTED_VALUE"""),"Double Crown Deluxe")</f>
        <v>Double Crown Deluxe</v>
      </c>
      <c r="E827" s="5"/>
      <c r="F827" s="5" t="str">
        <f>IFERROR(__xludf.DUMMYFUNCTION("""COMPUTED_VALUE"""),"TBD")</f>
        <v>TBD</v>
      </c>
      <c r="G827" s="5" t="str">
        <f>IFERROR(__xludf.DUMMYFUNCTION("""COMPUTED_VALUE"""),"Planned")</f>
        <v>Planned</v>
      </c>
      <c r="H827" s="5"/>
      <c r="I827" s="5"/>
      <c r="J827" s="5" t="str">
        <f>IFERROR(__xludf.DUMMYFUNCTION("""COMPUTED_VALUE"""),"JSON")</f>
        <v>JSON</v>
      </c>
      <c r="K827" s="5" t="str">
        <f>IFERROR(__xludf.DUMMYFUNCTION("""COMPUTED_VALUE"""),"Slot")</f>
        <v>Slot</v>
      </c>
      <c r="L827" s="5"/>
      <c r="M827" s="5"/>
      <c r="N827" s="5"/>
      <c r="O827" s="5"/>
      <c r="P827" s="12"/>
      <c r="Q827" s="13">
        <f>IFERROR(__xludf.DUMMYFUNCTION("""COMPUTED_VALUE"""),46307.0)</f>
        <v>46307</v>
      </c>
      <c r="R827" s="13"/>
      <c r="S827" s="13"/>
      <c r="T827" s="5"/>
      <c r="U827" s="5"/>
      <c r="V827" s="5"/>
      <c r="W827" s="5"/>
      <c r="X827" s="5"/>
      <c r="Y827" s="5"/>
      <c r="Z827" s="5"/>
      <c r="AA827" s="5"/>
      <c r="AB827" s="5"/>
      <c r="AC827" s="5"/>
      <c r="AD827" s="5"/>
      <c r="AE827" s="5"/>
      <c r="AF827" s="5"/>
      <c r="AG827" s="8">
        <f>IFERROR(__xludf.DUMMYFUNCTION("""COMPUTED_VALUE"""),46274.60239583333)</f>
        <v>46274.6024</v>
      </c>
      <c r="AH827" s="5" t="str">
        <f>IFERROR(__xludf.DUMMYFUNCTION("""COMPUTED_VALUE"""),"milivoje.mihajlovic@fazi.rs")</f>
        <v>milivoje.mihajlovic@fazi.rs</v>
      </c>
      <c r="AI827" s="13"/>
      <c r="AJ827" s="5"/>
      <c r="AK827" s="5"/>
      <c r="AL827" s="5"/>
      <c r="AM827" s="5"/>
      <c r="AN827" s="5"/>
      <c r="AO827" s="5"/>
      <c r="AP827" s="5"/>
      <c r="AQ827" s="5"/>
      <c r="AR827" s="5"/>
      <c r="AS827" s="5"/>
      <c r="AT827" s="5"/>
      <c r="AU827" s="5" t="str">
        <f>IFERROR(__xludf.DUMMYFUNCTION("""COMPUTED_VALUE"""),"Redstone")</f>
        <v>Redstone</v>
      </c>
      <c r="AV827" s="5"/>
      <c r="AW827" s="5"/>
      <c r="AX827" s="13">
        <f>IFERROR(__xludf.DUMMYFUNCTION("""COMPUTED_VALUE"""),46301.0)</f>
        <v>46301</v>
      </c>
      <c r="AY827" s="5"/>
      <c r="AZ827" s="5"/>
      <c r="BA827" s="5"/>
      <c r="BB827" s="5"/>
      <c r="BC827" s="5" t="str">
        <f>IFERROR(__xludf.DUMMYFUNCTION("""COMPUTED_VALUE"""),"Redstone")</f>
        <v>Redstone</v>
      </c>
      <c r="BD827" s="5"/>
      <c r="BE827" s="5"/>
    </row>
    <row r="828">
      <c r="A828" s="5">
        <f>IFERROR(__xludf.DUMMYFUNCTION("""COMPUTED_VALUE"""),866.0)</f>
        <v>866</v>
      </c>
      <c r="B828" s="5">
        <f>IFERROR(__xludf.DUMMYFUNCTION("""COMPUTED_VALUE"""),-1.0)</f>
        <v>-1</v>
      </c>
      <c r="C828" s="5" t="str">
        <f>IFERROR(__xludf.DUMMYFUNCTION("""COMPUTED_VALUE"""),"Redstone")</f>
        <v>Redstone</v>
      </c>
      <c r="D828" s="5" t="str">
        <f>IFERROR(__xludf.DUMMYFUNCTION("""COMPUTED_VALUE"""),"Fruit Oasis")</f>
        <v>Fruit Oasis</v>
      </c>
      <c r="E828" s="5"/>
      <c r="F828" s="5" t="str">
        <f>IFERROR(__xludf.DUMMYFUNCTION("""COMPUTED_VALUE"""),"TBD")</f>
        <v>TBD</v>
      </c>
      <c r="G828" s="5" t="str">
        <f>IFERROR(__xludf.DUMMYFUNCTION("""COMPUTED_VALUE"""),"Planned")</f>
        <v>Planned</v>
      </c>
      <c r="H828" s="5"/>
      <c r="I828" s="5"/>
      <c r="J828" s="5" t="str">
        <f>IFERROR(__xludf.DUMMYFUNCTION("""COMPUTED_VALUE"""),"JSON")</f>
        <v>JSON</v>
      </c>
      <c r="K828" s="5" t="str">
        <f>IFERROR(__xludf.DUMMYFUNCTION("""COMPUTED_VALUE"""),"Slot")</f>
        <v>Slot</v>
      </c>
      <c r="L828" s="5"/>
      <c r="M828" s="5"/>
      <c r="N828" s="5"/>
      <c r="O828" s="5"/>
      <c r="P828" s="12"/>
      <c r="Q828" s="13">
        <f>IFERROR(__xludf.DUMMYFUNCTION("""COMPUTED_VALUE"""),46274.0)</f>
        <v>46274</v>
      </c>
      <c r="R828" s="13"/>
      <c r="S828" s="13"/>
      <c r="T828" s="5"/>
      <c r="U828" s="5"/>
      <c r="V828" s="5"/>
      <c r="W828" s="5"/>
      <c r="X828" s="5"/>
      <c r="Y828" s="5"/>
      <c r="Z828" s="5"/>
      <c r="AA828" s="5"/>
      <c r="AB828" s="5"/>
      <c r="AC828" s="5"/>
      <c r="AD828" s="5"/>
      <c r="AE828" s="5"/>
      <c r="AF828" s="5"/>
      <c r="AG828" s="8">
        <f>IFERROR(__xludf.DUMMYFUNCTION("""COMPUTED_VALUE"""),46274.604780092595)</f>
        <v>46274.60478</v>
      </c>
      <c r="AH828" s="5" t="str">
        <f>IFERROR(__xludf.DUMMYFUNCTION("""COMPUTED_VALUE"""),"milivoje.mihajlovic@fazi.rs")</f>
        <v>milivoje.mihajlovic@fazi.rs</v>
      </c>
      <c r="AI828" s="13"/>
      <c r="AJ828" s="5"/>
      <c r="AK828" s="5"/>
      <c r="AL828" s="5"/>
      <c r="AM828" s="5"/>
      <c r="AN828" s="5"/>
      <c r="AO828" s="5"/>
      <c r="AP828" s="5"/>
      <c r="AQ828" s="5"/>
      <c r="AR828" s="5"/>
      <c r="AS828" s="5"/>
      <c r="AT828" s="5"/>
      <c r="AU828" s="5"/>
      <c r="AV828" s="5"/>
      <c r="AW828" s="5"/>
      <c r="AX828" s="13">
        <f>IFERROR(__xludf.DUMMYFUNCTION("""COMPUTED_VALUE"""),46268.0)</f>
        <v>46268</v>
      </c>
      <c r="AY828" s="5"/>
      <c r="AZ828" s="5"/>
      <c r="BA828" s="5"/>
      <c r="BB828" s="5"/>
      <c r="BC828" s="5" t="str">
        <f>IFERROR(__xludf.DUMMYFUNCTION("""COMPUTED_VALUE"""),"Redstone")</f>
        <v>Redstone</v>
      </c>
      <c r="BD828" s="5"/>
      <c r="BE828" s="5"/>
    </row>
    <row r="829">
      <c r="A829" s="5">
        <f>IFERROR(__xludf.DUMMYFUNCTION("""COMPUTED_VALUE"""),867.0)</f>
        <v>867</v>
      </c>
      <c r="B829" s="5">
        <f>IFERROR(__xludf.DUMMYFUNCTION("""COMPUTED_VALUE"""),-1.0)</f>
        <v>-1</v>
      </c>
      <c r="C829" s="5" t="str">
        <f>IFERROR(__xludf.DUMMYFUNCTION("""COMPUTED_VALUE"""),"Redstone")</f>
        <v>Redstone</v>
      </c>
      <c r="D829" s="5" t="str">
        <f>IFERROR(__xludf.DUMMYFUNCTION("""COMPUTED_VALUE"""),"5 Wild Crown")</f>
        <v>5 Wild Crown</v>
      </c>
      <c r="E829" s="5"/>
      <c r="F829" s="5" t="str">
        <f>IFERROR(__xludf.DUMMYFUNCTION("""COMPUTED_VALUE"""),"TBD")</f>
        <v>TBD</v>
      </c>
      <c r="G829" s="5" t="str">
        <f>IFERROR(__xludf.DUMMYFUNCTION("""COMPUTED_VALUE"""),"Planned")</f>
        <v>Planned</v>
      </c>
      <c r="H829" s="5"/>
      <c r="I829" s="5"/>
      <c r="J829" s="5" t="str">
        <f>IFERROR(__xludf.DUMMYFUNCTION("""COMPUTED_VALUE"""),"JSON")</f>
        <v>JSON</v>
      </c>
      <c r="K829" s="5" t="str">
        <f>IFERROR(__xludf.DUMMYFUNCTION("""COMPUTED_VALUE"""),"Slot")</f>
        <v>Slot</v>
      </c>
      <c r="L829" s="5"/>
      <c r="M829" s="5"/>
      <c r="N829" s="5"/>
      <c r="O829" s="5"/>
      <c r="P829" s="12"/>
      <c r="Q829" s="13">
        <f>IFERROR(__xludf.DUMMYFUNCTION("""COMPUTED_VALUE"""),46307.0)</f>
        <v>46307</v>
      </c>
      <c r="R829" s="13"/>
      <c r="S829" s="13"/>
      <c r="T829" s="5"/>
      <c r="U829" s="5"/>
      <c r="V829" s="5"/>
      <c r="W829" s="5"/>
      <c r="X829" s="5"/>
      <c r="Y829" s="5"/>
      <c r="Z829" s="5"/>
      <c r="AA829" s="5"/>
      <c r="AB829" s="5"/>
      <c r="AC829" s="5"/>
      <c r="AD829" s="5"/>
      <c r="AE829" s="5"/>
      <c r="AF829" s="5"/>
      <c r="AG829" s="8">
        <f>IFERROR(__xludf.DUMMYFUNCTION("""COMPUTED_VALUE"""),46274.609976851854)</f>
        <v>46274.60998</v>
      </c>
      <c r="AH829" s="5" t="str">
        <f>IFERROR(__xludf.DUMMYFUNCTION("""COMPUTED_VALUE"""),"milivoje.mihajlovic@fazi.rs")</f>
        <v>milivoje.mihajlovic@fazi.rs</v>
      </c>
      <c r="AI829" s="13"/>
      <c r="AJ829" s="5"/>
      <c r="AK829" s="5"/>
      <c r="AL829" s="5"/>
      <c r="AM829" s="5"/>
      <c r="AN829" s="5"/>
      <c r="AO829" s="5"/>
      <c r="AP829" s="5"/>
      <c r="AQ829" s="5"/>
      <c r="AR829" s="5"/>
      <c r="AS829" s="5"/>
      <c r="AT829" s="5"/>
      <c r="AU829" s="5" t="str">
        <f>IFERROR(__xludf.DUMMYFUNCTION("""COMPUTED_VALUE"""),"Redstone")</f>
        <v>Redstone</v>
      </c>
      <c r="AV829" s="5"/>
      <c r="AW829" s="5"/>
      <c r="AX829" s="13">
        <f>IFERROR(__xludf.DUMMYFUNCTION("""COMPUTED_VALUE"""),46301.0)</f>
        <v>46301</v>
      </c>
      <c r="AY829" s="5"/>
      <c r="AZ829" s="5"/>
      <c r="BA829" s="5"/>
      <c r="BB829" s="5"/>
      <c r="BC829" s="5" t="str">
        <f>IFERROR(__xludf.DUMMYFUNCTION("""COMPUTED_VALUE"""),"Redstone")</f>
        <v>Redstone</v>
      </c>
      <c r="BD829" s="5"/>
      <c r="BE829" s="5"/>
    </row>
    <row r="830">
      <c r="A830" s="5">
        <f>IFERROR(__xludf.DUMMYFUNCTION("""COMPUTED_VALUE"""),868.0)</f>
        <v>868</v>
      </c>
      <c r="B830" s="5">
        <f>IFERROR(__xludf.DUMMYFUNCTION("""COMPUTED_VALUE"""),-1.0)</f>
        <v>-1</v>
      </c>
      <c r="C830" s="5" t="str">
        <f>IFERROR(__xludf.DUMMYFUNCTION("""COMPUTED_VALUE"""),"Redstone")</f>
        <v>Redstone</v>
      </c>
      <c r="D830" s="5" t="str">
        <f>IFERROR(__xludf.DUMMYFUNCTION("""COMPUTED_VALUE"""),"Shell Fortune")</f>
        <v>Shell Fortune</v>
      </c>
      <c r="E830" s="5"/>
      <c r="F830" s="5" t="str">
        <f>IFERROR(__xludf.DUMMYFUNCTION("""COMPUTED_VALUE"""),"TBD")</f>
        <v>TBD</v>
      </c>
      <c r="G830" s="5" t="str">
        <f>IFERROR(__xludf.DUMMYFUNCTION("""COMPUTED_VALUE"""),"Planned")</f>
        <v>Planned</v>
      </c>
      <c r="H830" s="5"/>
      <c r="I830" s="5"/>
      <c r="J830" s="5" t="str">
        <f>IFERROR(__xludf.DUMMYFUNCTION("""COMPUTED_VALUE"""),"JSON")</f>
        <v>JSON</v>
      </c>
      <c r="K830" s="5" t="str">
        <f>IFERROR(__xludf.DUMMYFUNCTION("""COMPUTED_VALUE"""),"Slot")</f>
        <v>Slot</v>
      </c>
      <c r="L830" s="5"/>
      <c r="M830" s="5"/>
      <c r="N830" s="5"/>
      <c r="O830" s="5"/>
      <c r="P830" s="12"/>
      <c r="Q830" s="13">
        <f>IFERROR(__xludf.DUMMYFUNCTION("""COMPUTED_VALUE"""),46335.0)</f>
        <v>46335</v>
      </c>
      <c r="R830" s="13"/>
      <c r="S830" s="13"/>
      <c r="T830" s="5"/>
      <c r="U830" s="5"/>
      <c r="V830" s="5"/>
      <c r="W830" s="5"/>
      <c r="X830" s="5"/>
      <c r="Y830" s="5"/>
      <c r="Z830" s="5"/>
      <c r="AA830" s="5"/>
      <c r="AB830" s="5"/>
      <c r="AC830" s="5"/>
      <c r="AD830" s="5"/>
      <c r="AE830" s="5"/>
      <c r="AF830" s="5"/>
      <c r="AG830" s="8">
        <f>IFERROR(__xludf.DUMMYFUNCTION("""COMPUTED_VALUE"""),46274.61282407407)</f>
        <v>46274.61282</v>
      </c>
      <c r="AH830" s="5" t="str">
        <f>IFERROR(__xludf.DUMMYFUNCTION("""COMPUTED_VALUE"""),"milivoje.mihajlovic@fazi.rs")</f>
        <v>milivoje.mihajlovic@fazi.rs</v>
      </c>
      <c r="AI830" s="13"/>
      <c r="AJ830" s="5"/>
      <c r="AK830" s="5"/>
      <c r="AL830" s="5"/>
      <c r="AM830" s="5"/>
      <c r="AN830" s="5"/>
      <c r="AO830" s="5"/>
      <c r="AP830" s="5"/>
      <c r="AQ830" s="5"/>
      <c r="AR830" s="5"/>
      <c r="AS830" s="5"/>
      <c r="AT830" s="5"/>
      <c r="AU830" s="5" t="str">
        <f>IFERROR(__xludf.DUMMYFUNCTION("""COMPUTED_VALUE"""),"Redstone")</f>
        <v>Redstone</v>
      </c>
      <c r="AV830" s="5"/>
      <c r="AW830" s="5"/>
      <c r="AX830" s="13">
        <f>IFERROR(__xludf.DUMMYFUNCTION("""COMPUTED_VALUE"""),46329.0)</f>
        <v>46329</v>
      </c>
      <c r="AY830" s="5"/>
      <c r="AZ830" s="5"/>
      <c r="BA830" s="5"/>
      <c r="BB830" s="5"/>
      <c r="BC830" s="5" t="str">
        <f>IFERROR(__xludf.DUMMYFUNCTION("""COMPUTED_VALUE"""),"Redstone")</f>
        <v>Redstone</v>
      </c>
      <c r="BD830" s="5"/>
      <c r="BE830" s="5"/>
    </row>
    <row r="831">
      <c r="A831" s="5">
        <f>IFERROR(__xludf.DUMMYFUNCTION("""COMPUTED_VALUE"""),869.0)</f>
        <v>869</v>
      </c>
      <c r="B831" s="5">
        <f>IFERROR(__xludf.DUMMYFUNCTION("""COMPUTED_VALUE"""),-1.0)</f>
        <v>-1</v>
      </c>
      <c r="C831" s="5" t="str">
        <f>IFERROR(__xludf.DUMMYFUNCTION("""COMPUTED_VALUE"""),"Redstone")</f>
        <v>Redstone</v>
      </c>
      <c r="D831" s="5" t="str">
        <f>IFERROR(__xludf.DUMMYFUNCTION("""COMPUTED_VALUE"""),"40 Wild Crown Bell Power")</f>
        <v>40 Wild Crown Bell Power</v>
      </c>
      <c r="E831" s="5"/>
      <c r="F831" s="5" t="str">
        <f>IFERROR(__xludf.DUMMYFUNCTION("""COMPUTED_VALUE"""),"TBD")</f>
        <v>TBD</v>
      </c>
      <c r="G831" s="5" t="str">
        <f>IFERROR(__xludf.DUMMYFUNCTION("""COMPUTED_VALUE"""),"Planned")</f>
        <v>Planned</v>
      </c>
      <c r="H831" s="5"/>
      <c r="I831" s="5"/>
      <c r="J831" s="5" t="str">
        <f>IFERROR(__xludf.DUMMYFUNCTION("""COMPUTED_VALUE"""),"JSON")</f>
        <v>JSON</v>
      </c>
      <c r="K831" s="5" t="str">
        <f>IFERROR(__xludf.DUMMYFUNCTION("""COMPUTED_VALUE"""),"Slot")</f>
        <v>Slot</v>
      </c>
      <c r="L831" s="5"/>
      <c r="M831" s="5"/>
      <c r="N831" s="5"/>
      <c r="O831" s="5"/>
      <c r="P831" s="12"/>
      <c r="Q831" s="13">
        <f>IFERROR(__xludf.DUMMYFUNCTION("""COMPUTED_VALUE"""),46363.0)</f>
        <v>46363</v>
      </c>
      <c r="R831" s="13"/>
      <c r="S831" s="13"/>
      <c r="T831" s="5"/>
      <c r="U831" s="5"/>
      <c r="V831" s="5"/>
      <c r="W831" s="5"/>
      <c r="X831" s="5"/>
      <c r="Y831" s="5"/>
      <c r="Z831" s="5"/>
      <c r="AA831" s="5"/>
      <c r="AB831" s="5"/>
      <c r="AC831" s="5"/>
      <c r="AD831" s="5"/>
      <c r="AE831" s="5"/>
      <c r="AF831" s="5"/>
      <c r="AG831" s="8">
        <f>IFERROR(__xludf.DUMMYFUNCTION("""COMPUTED_VALUE"""),46274.64114583333)</f>
        <v>46274.64115</v>
      </c>
      <c r="AH831" s="5" t="str">
        <f>IFERROR(__xludf.DUMMYFUNCTION("""COMPUTED_VALUE"""),"milivoje.mihajlovic@fazi.rs")</f>
        <v>milivoje.mihajlovic@fazi.rs</v>
      </c>
      <c r="AI831" s="13"/>
      <c r="AJ831" s="5"/>
      <c r="AK831" s="5"/>
      <c r="AL831" s="5"/>
      <c r="AM831" s="5"/>
      <c r="AN831" s="5"/>
      <c r="AO831" s="5"/>
      <c r="AP831" s="5"/>
      <c r="AQ831" s="5"/>
      <c r="AR831" s="5"/>
      <c r="AS831" s="5"/>
      <c r="AT831" s="5"/>
      <c r="AU831" s="5" t="str">
        <f>IFERROR(__xludf.DUMMYFUNCTION("""COMPUTED_VALUE"""),"Redstone")</f>
        <v>Redstone</v>
      </c>
      <c r="AV831" s="5"/>
      <c r="AW831" s="5"/>
      <c r="AX831" s="13">
        <f>IFERROR(__xludf.DUMMYFUNCTION("""COMPUTED_VALUE"""),46357.0)</f>
        <v>46357</v>
      </c>
      <c r="AY831" s="5"/>
      <c r="AZ831" s="5"/>
      <c r="BA831" s="5"/>
      <c r="BB831" s="5"/>
      <c r="BC831" s="5" t="str">
        <f>IFERROR(__xludf.DUMMYFUNCTION("""COMPUTED_VALUE"""),"Redstone")</f>
        <v>Redstone</v>
      </c>
      <c r="BD831" s="5"/>
      <c r="BE831" s="5"/>
    </row>
    <row r="832">
      <c r="A832" s="5">
        <f>IFERROR(__xludf.DUMMYFUNCTION("""COMPUTED_VALUE"""),870.0)</f>
        <v>870</v>
      </c>
      <c r="B832" s="5">
        <f>IFERROR(__xludf.DUMMYFUNCTION("""COMPUTED_VALUE"""),-1.0)</f>
        <v>-1</v>
      </c>
      <c r="C832" s="5" t="str">
        <f>IFERROR(__xludf.DUMMYFUNCTION("""COMPUTED_VALUE"""),"Tiptop")</f>
        <v>Tiptop</v>
      </c>
      <c r="D832" s="5" t="str">
        <f>IFERROR(__xludf.DUMMYFUNCTION("""COMPUTED_VALUE"""),"Triple Royal Dice")</f>
        <v>Triple Royal Dice</v>
      </c>
      <c r="E832" s="5"/>
      <c r="F832" s="5" t="str">
        <f>IFERROR(__xludf.DUMMYFUNCTION("""COMPUTED_VALUE"""),"TBD")</f>
        <v>TBD</v>
      </c>
      <c r="G832" s="5" t="str">
        <f>IFERROR(__xludf.DUMMYFUNCTION("""COMPUTED_VALUE"""),"Planned")</f>
        <v>Planned</v>
      </c>
      <c r="H832" s="5"/>
      <c r="I832" s="5"/>
      <c r="J832" s="5" t="str">
        <f>IFERROR(__xludf.DUMMYFUNCTION("""COMPUTED_VALUE"""),"JSON")</f>
        <v>JSON</v>
      </c>
      <c r="K832" s="5" t="str">
        <f>IFERROR(__xludf.DUMMYFUNCTION("""COMPUTED_VALUE"""),"Slot")</f>
        <v>Slot</v>
      </c>
      <c r="L832" s="5"/>
      <c r="M832" s="5"/>
      <c r="N832" s="5"/>
      <c r="O832" s="5"/>
      <c r="P832" s="12"/>
      <c r="Q832" s="13">
        <f>IFERROR(__xludf.DUMMYFUNCTION("""COMPUTED_VALUE"""),46307.0)</f>
        <v>46307</v>
      </c>
      <c r="R832" s="13"/>
      <c r="S832" s="13"/>
      <c r="T832" s="5"/>
      <c r="U832" s="5"/>
      <c r="V832" s="5"/>
      <c r="W832" s="5"/>
      <c r="X832" s="5"/>
      <c r="Y832" s="5"/>
      <c r="Z832" s="5"/>
      <c r="AA832" s="5"/>
      <c r="AB832" s="5"/>
      <c r="AC832" s="5"/>
      <c r="AD832" s="5"/>
      <c r="AE832" s="5"/>
      <c r="AF832" s="5"/>
      <c r="AG832" s="8">
        <f>IFERROR(__xludf.DUMMYFUNCTION("""COMPUTED_VALUE"""),46274.64780092592)</f>
        <v>46274.6478</v>
      </c>
      <c r="AH832" s="5" t="str">
        <f>IFERROR(__xludf.DUMMYFUNCTION("""COMPUTED_VALUE"""),"milivoje.mihajlovic@fazi.rs")</f>
        <v>milivoje.mihajlovic@fazi.rs</v>
      </c>
      <c r="AI832" s="13"/>
      <c r="AJ832" s="5"/>
      <c r="AK832" s="5"/>
      <c r="AL832" s="5"/>
      <c r="AM832" s="5"/>
      <c r="AN832" s="5"/>
      <c r="AO832" s="5"/>
      <c r="AP832" s="5"/>
      <c r="AQ832" s="5"/>
      <c r="AR832" s="5"/>
      <c r="AS832" s="5"/>
      <c r="AT832" s="5"/>
      <c r="AU832" s="5" t="str">
        <f>IFERROR(__xludf.DUMMYFUNCTION("""COMPUTED_VALUE"""),"Tiptop")</f>
        <v>Tiptop</v>
      </c>
      <c r="AV832" s="5"/>
      <c r="AW832" s="5"/>
      <c r="AX832" s="13">
        <f>IFERROR(__xludf.DUMMYFUNCTION("""COMPUTED_VALUE"""),46301.0)</f>
        <v>46301</v>
      </c>
      <c r="AY832" s="5"/>
      <c r="AZ832" s="5"/>
      <c r="BA832" s="5"/>
      <c r="BB832" s="5"/>
      <c r="BC832" s="5" t="str">
        <f>IFERROR(__xludf.DUMMYFUNCTION("""COMPUTED_VALUE"""),"Redstone")</f>
        <v>Redstone</v>
      </c>
      <c r="BD832" s="5"/>
      <c r="BE832" s="5"/>
    </row>
    <row r="833">
      <c r="A833" s="5">
        <f>IFERROR(__xludf.DUMMYFUNCTION("""COMPUTED_VALUE"""),871.0)</f>
        <v>871</v>
      </c>
      <c r="B833" s="5">
        <f>IFERROR(__xludf.DUMMYFUNCTION("""COMPUTED_VALUE"""),-1.0)</f>
        <v>-1</v>
      </c>
      <c r="C833" s="5" t="str">
        <f>IFERROR(__xludf.DUMMYFUNCTION("""COMPUTED_VALUE"""),"Tiptop")</f>
        <v>Tiptop</v>
      </c>
      <c r="D833" s="5" t="str">
        <f>IFERROR(__xludf.DUMMYFUNCTION("""COMPUTED_VALUE"""),"Dynamite Sam")</f>
        <v>Dynamite Sam</v>
      </c>
      <c r="E833" s="5"/>
      <c r="F833" s="5" t="str">
        <f>IFERROR(__xludf.DUMMYFUNCTION("""COMPUTED_VALUE"""),"TBD")</f>
        <v>TBD</v>
      </c>
      <c r="G833" s="5" t="str">
        <f>IFERROR(__xludf.DUMMYFUNCTION("""COMPUTED_VALUE"""),"Planned")</f>
        <v>Planned</v>
      </c>
      <c r="H833" s="5"/>
      <c r="I833" s="5"/>
      <c r="J833" s="5" t="str">
        <f>IFERROR(__xludf.DUMMYFUNCTION("""COMPUTED_VALUE"""),"JSON")</f>
        <v>JSON</v>
      </c>
      <c r="K833" s="5" t="str">
        <f>IFERROR(__xludf.DUMMYFUNCTION("""COMPUTED_VALUE"""),"Slot")</f>
        <v>Slot</v>
      </c>
      <c r="L833" s="5"/>
      <c r="M833" s="5"/>
      <c r="N833" s="5"/>
      <c r="O833" s="5"/>
      <c r="P833" s="12"/>
      <c r="Q833" s="13">
        <f>IFERROR(__xludf.DUMMYFUNCTION("""COMPUTED_VALUE"""),46307.0)</f>
        <v>46307</v>
      </c>
      <c r="R833" s="13"/>
      <c r="S833" s="13"/>
      <c r="T833" s="5"/>
      <c r="U833" s="5"/>
      <c r="V833" s="5"/>
      <c r="W833" s="5"/>
      <c r="X833" s="5"/>
      <c r="Y833" s="5"/>
      <c r="Z833" s="5"/>
      <c r="AA833" s="5"/>
      <c r="AB833" s="5"/>
      <c r="AC833" s="5"/>
      <c r="AD833" s="5"/>
      <c r="AE833" s="5"/>
      <c r="AF833" s="5"/>
      <c r="AG833" s="8">
        <f>IFERROR(__xludf.DUMMYFUNCTION("""COMPUTED_VALUE"""),46274.648668981485)</f>
        <v>46274.64867</v>
      </c>
      <c r="AH833" s="5" t="str">
        <f>IFERROR(__xludf.DUMMYFUNCTION("""COMPUTED_VALUE"""),"milivoje.mihajlovic@fazi.rs")</f>
        <v>milivoje.mihajlovic@fazi.rs</v>
      </c>
      <c r="AI833" s="13"/>
      <c r="AJ833" s="5"/>
      <c r="AK833" s="5"/>
      <c r="AL833" s="5"/>
      <c r="AM833" s="5"/>
      <c r="AN833" s="5"/>
      <c r="AO833" s="5"/>
      <c r="AP833" s="5"/>
      <c r="AQ833" s="5"/>
      <c r="AR833" s="5"/>
      <c r="AS833" s="5"/>
      <c r="AT833" s="5"/>
      <c r="AU833" s="5" t="str">
        <f>IFERROR(__xludf.DUMMYFUNCTION("""COMPUTED_VALUE"""),"Redstone")</f>
        <v>Redstone</v>
      </c>
      <c r="AV833" s="5"/>
      <c r="AW833" s="5"/>
      <c r="AX833" s="13">
        <f>IFERROR(__xludf.DUMMYFUNCTION("""COMPUTED_VALUE"""),46301.0)</f>
        <v>46301</v>
      </c>
      <c r="AY833" s="5"/>
      <c r="AZ833" s="5"/>
      <c r="BA833" s="5"/>
      <c r="BB833" s="5"/>
      <c r="BC833" s="5" t="str">
        <f>IFERROR(__xludf.DUMMYFUNCTION("""COMPUTED_VALUE"""),"Redstone")</f>
        <v>Redstone</v>
      </c>
      <c r="BD833" s="5"/>
      <c r="BE833" s="5"/>
    </row>
    <row r="834">
      <c r="A834" s="5">
        <f>IFERROR(__xludf.DUMMYFUNCTION("""COMPUTED_VALUE"""),872.0)</f>
        <v>872</v>
      </c>
      <c r="B834" s="5">
        <f>IFERROR(__xludf.DUMMYFUNCTION("""COMPUTED_VALUE"""),-1.0)</f>
        <v>-1</v>
      </c>
      <c r="C834" s="5" t="str">
        <f>IFERROR(__xludf.DUMMYFUNCTION("""COMPUTED_VALUE"""),"Tiptop")</f>
        <v>Tiptop</v>
      </c>
      <c r="D834" s="5" t="str">
        <f>IFERROR(__xludf.DUMMYFUNCTION("""COMPUTED_VALUE"""),"Grand Royal Wild")</f>
        <v>Grand Royal Wild</v>
      </c>
      <c r="E834" s="5"/>
      <c r="F834" s="5" t="str">
        <f>IFERROR(__xludf.DUMMYFUNCTION("""COMPUTED_VALUE"""),"TBD")</f>
        <v>TBD</v>
      </c>
      <c r="G834" s="5" t="str">
        <f>IFERROR(__xludf.DUMMYFUNCTION("""COMPUTED_VALUE"""),"Planned")</f>
        <v>Planned</v>
      </c>
      <c r="H834" s="5"/>
      <c r="I834" s="5"/>
      <c r="J834" s="5" t="str">
        <f>IFERROR(__xludf.DUMMYFUNCTION("""COMPUTED_VALUE"""),"JSON")</f>
        <v>JSON</v>
      </c>
      <c r="K834" s="5" t="str">
        <f>IFERROR(__xludf.DUMMYFUNCTION("""COMPUTED_VALUE"""),"Slot")</f>
        <v>Slot</v>
      </c>
      <c r="L834" s="5"/>
      <c r="M834" s="5"/>
      <c r="N834" s="5"/>
      <c r="O834" s="5"/>
      <c r="P834" s="12"/>
      <c r="Q834" s="13">
        <f>IFERROR(__xludf.DUMMYFUNCTION("""COMPUTED_VALUE"""),46307.0)</f>
        <v>46307</v>
      </c>
      <c r="R834" s="13"/>
      <c r="S834" s="13"/>
      <c r="T834" s="5"/>
      <c r="U834" s="5"/>
      <c r="V834" s="5"/>
      <c r="W834" s="5"/>
      <c r="X834" s="5"/>
      <c r="Y834" s="5"/>
      <c r="Z834" s="5"/>
      <c r="AA834" s="5"/>
      <c r="AB834" s="5"/>
      <c r="AC834" s="5"/>
      <c r="AD834" s="5"/>
      <c r="AE834" s="5"/>
      <c r="AF834" s="5"/>
      <c r="AG834" s="8">
        <f>IFERROR(__xludf.DUMMYFUNCTION("""COMPUTED_VALUE"""),46274.64900462963)</f>
        <v>46274.649</v>
      </c>
      <c r="AH834" s="5" t="str">
        <f>IFERROR(__xludf.DUMMYFUNCTION("""COMPUTED_VALUE"""),"milivoje.mihajlovic@fazi.rs")</f>
        <v>milivoje.mihajlovic@fazi.rs</v>
      </c>
      <c r="AI834" s="13"/>
      <c r="AJ834" s="5"/>
      <c r="AK834" s="5"/>
      <c r="AL834" s="5"/>
      <c r="AM834" s="5"/>
      <c r="AN834" s="5"/>
      <c r="AO834" s="5"/>
      <c r="AP834" s="5"/>
      <c r="AQ834" s="5"/>
      <c r="AR834" s="5"/>
      <c r="AS834" s="5"/>
      <c r="AT834" s="5"/>
      <c r="AU834" s="5" t="str">
        <f>IFERROR(__xludf.DUMMYFUNCTION("""COMPUTED_VALUE"""),"Tiptop")</f>
        <v>Tiptop</v>
      </c>
      <c r="AV834" s="5"/>
      <c r="AW834" s="5"/>
      <c r="AX834" s="13">
        <f>IFERROR(__xludf.DUMMYFUNCTION("""COMPUTED_VALUE"""),46301.0)</f>
        <v>46301</v>
      </c>
      <c r="AY834" s="5"/>
      <c r="AZ834" s="5"/>
      <c r="BA834" s="5"/>
      <c r="BB834" s="5"/>
      <c r="BC834" s="5" t="str">
        <f>IFERROR(__xludf.DUMMYFUNCTION("""COMPUTED_VALUE"""),"Redstone")</f>
        <v>Redstone</v>
      </c>
      <c r="BD834" s="5"/>
      <c r="BE834" s="5"/>
    </row>
    <row r="835">
      <c r="A835" s="5">
        <f>IFERROR(__xludf.DUMMYFUNCTION("""COMPUTED_VALUE"""),873.0)</f>
        <v>873</v>
      </c>
      <c r="B835" s="5">
        <f>IFERROR(__xludf.DUMMYFUNCTION("""COMPUTED_VALUE"""),-1.0)</f>
        <v>-1</v>
      </c>
      <c r="C835" s="5" t="str">
        <f>IFERROR(__xludf.DUMMYFUNCTION("""COMPUTED_VALUE"""),"Tiptop")</f>
        <v>Tiptop</v>
      </c>
      <c r="D835" s="5" t="str">
        <f>IFERROR(__xludf.DUMMYFUNCTION("""COMPUTED_VALUE"""),"Safari Road")</f>
        <v>Safari Road</v>
      </c>
      <c r="E835" s="5"/>
      <c r="F835" s="5" t="str">
        <f>IFERROR(__xludf.DUMMYFUNCTION("""COMPUTED_VALUE"""),"TBD")</f>
        <v>TBD</v>
      </c>
      <c r="G835" s="5" t="str">
        <f>IFERROR(__xludf.DUMMYFUNCTION("""COMPUTED_VALUE"""),"Planned")</f>
        <v>Planned</v>
      </c>
      <c r="H835" s="5"/>
      <c r="I835" s="5"/>
      <c r="J835" s="5" t="str">
        <f>IFERROR(__xludf.DUMMYFUNCTION("""COMPUTED_VALUE"""),"JSON")</f>
        <v>JSON</v>
      </c>
      <c r="K835" s="5" t="str">
        <f>IFERROR(__xludf.DUMMYFUNCTION("""COMPUTED_VALUE"""),"Slot")</f>
        <v>Slot</v>
      </c>
      <c r="L835" s="5"/>
      <c r="M835" s="5"/>
      <c r="N835" s="5"/>
      <c r="O835" s="5"/>
      <c r="P835" s="12"/>
      <c r="Q835" s="13">
        <f>IFERROR(__xludf.DUMMYFUNCTION("""COMPUTED_VALUE"""),46321.0)</f>
        <v>46321</v>
      </c>
      <c r="R835" s="13"/>
      <c r="S835" s="13"/>
      <c r="T835" s="5"/>
      <c r="U835" s="5"/>
      <c r="V835" s="5"/>
      <c r="W835" s="5"/>
      <c r="X835" s="5"/>
      <c r="Y835" s="5"/>
      <c r="Z835" s="5"/>
      <c r="AA835" s="5"/>
      <c r="AB835" s="5"/>
      <c r="AC835" s="5"/>
      <c r="AD835" s="5"/>
      <c r="AE835" s="5"/>
      <c r="AF835" s="5"/>
      <c r="AG835" s="8">
        <f>IFERROR(__xludf.DUMMYFUNCTION("""COMPUTED_VALUE"""),46274.64957175926)</f>
        <v>46274.64957</v>
      </c>
      <c r="AH835" s="5" t="str">
        <f>IFERROR(__xludf.DUMMYFUNCTION("""COMPUTED_VALUE"""),"milivoje.mihajlovic@fazi.rs")</f>
        <v>milivoje.mihajlovic@fazi.rs</v>
      </c>
      <c r="AI835" s="13"/>
      <c r="AJ835" s="5"/>
      <c r="AK835" s="5"/>
      <c r="AL835" s="5"/>
      <c r="AM835" s="5"/>
      <c r="AN835" s="5"/>
      <c r="AO835" s="5"/>
      <c r="AP835" s="5"/>
      <c r="AQ835" s="5"/>
      <c r="AR835" s="5"/>
      <c r="AS835" s="5"/>
      <c r="AT835" s="5"/>
      <c r="AU835" s="5" t="str">
        <f>IFERROR(__xludf.DUMMYFUNCTION("""COMPUTED_VALUE"""),"Tiptop")</f>
        <v>Tiptop</v>
      </c>
      <c r="AV835" s="5"/>
      <c r="AW835" s="5"/>
      <c r="AX835" s="13">
        <f>IFERROR(__xludf.DUMMYFUNCTION("""COMPUTED_VALUE"""),46315.0)</f>
        <v>46315</v>
      </c>
      <c r="AY835" s="5"/>
      <c r="AZ835" s="5"/>
      <c r="BA835" s="5"/>
      <c r="BB835" s="5"/>
      <c r="BC835" s="5" t="str">
        <f>IFERROR(__xludf.DUMMYFUNCTION("""COMPUTED_VALUE"""),"Redstone")</f>
        <v>Redstone</v>
      </c>
      <c r="BD835" s="5"/>
      <c r="BE835" s="5"/>
    </row>
    <row r="836">
      <c r="A836" s="5">
        <f>IFERROR(__xludf.DUMMYFUNCTION("""COMPUTED_VALUE"""),874.0)</f>
        <v>874</v>
      </c>
      <c r="B836" s="5">
        <f>IFERROR(__xludf.DUMMYFUNCTION("""COMPUTED_VALUE"""),-1.0)</f>
        <v>-1</v>
      </c>
      <c r="C836" s="5" t="str">
        <f>IFERROR(__xludf.DUMMYFUNCTION("""COMPUTED_VALUE"""),"Tiptop")</f>
        <v>Tiptop</v>
      </c>
      <c r="D836" s="5" t="str">
        <f>IFERROR(__xludf.DUMMYFUNCTION("""COMPUTED_VALUE"""),"Sun of the Nile Jackpot")</f>
        <v>Sun of the Nile Jackpot</v>
      </c>
      <c r="E836" s="5"/>
      <c r="F836" s="5" t="str">
        <f>IFERROR(__xludf.DUMMYFUNCTION("""COMPUTED_VALUE"""),"TBD")</f>
        <v>TBD</v>
      </c>
      <c r="G836" s="5" t="str">
        <f>IFERROR(__xludf.DUMMYFUNCTION("""COMPUTED_VALUE"""),"Planned")</f>
        <v>Planned</v>
      </c>
      <c r="H836" s="5"/>
      <c r="I836" s="5"/>
      <c r="J836" s="5" t="str">
        <f>IFERROR(__xludf.DUMMYFUNCTION("""COMPUTED_VALUE"""),"JSON")</f>
        <v>JSON</v>
      </c>
      <c r="K836" s="5" t="str">
        <f>IFERROR(__xludf.DUMMYFUNCTION("""COMPUTED_VALUE"""),"Slot")</f>
        <v>Slot</v>
      </c>
      <c r="L836" s="5"/>
      <c r="M836" s="5"/>
      <c r="N836" s="5"/>
      <c r="O836" s="5"/>
      <c r="P836" s="12"/>
      <c r="Q836" s="13">
        <f>IFERROR(__xludf.DUMMYFUNCTION("""COMPUTED_VALUE"""),46321.0)</f>
        <v>46321</v>
      </c>
      <c r="R836" s="13"/>
      <c r="S836" s="13"/>
      <c r="T836" s="5"/>
      <c r="U836" s="5"/>
      <c r="V836" s="5"/>
      <c r="W836" s="5"/>
      <c r="X836" s="5"/>
      <c r="Y836" s="5"/>
      <c r="Z836" s="5"/>
      <c r="AA836" s="5"/>
      <c r="AB836" s="5"/>
      <c r="AC836" s="5"/>
      <c r="AD836" s="5"/>
      <c r="AE836" s="5"/>
      <c r="AF836" s="5"/>
      <c r="AG836" s="8">
        <f>IFERROR(__xludf.DUMMYFUNCTION("""COMPUTED_VALUE"""),46274.65002314815)</f>
        <v>46274.65002</v>
      </c>
      <c r="AH836" s="5" t="str">
        <f>IFERROR(__xludf.DUMMYFUNCTION("""COMPUTED_VALUE"""),"milivoje.mihajlovic@fazi.rs")</f>
        <v>milivoje.mihajlovic@fazi.rs</v>
      </c>
      <c r="AI836" s="13"/>
      <c r="AJ836" s="5"/>
      <c r="AK836" s="5"/>
      <c r="AL836" s="5"/>
      <c r="AM836" s="5"/>
      <c r="AN836" s="5"/>
      <c r="AO836" s="5"/>
      <c r="AP836" s="5"/>
      <c r="AQ836" s="5"/>
      <c r="AR836" s="5"/>
      <c r="AS836" s="5"/>
      <c r="AT836" s="5"/>
      <c r="AU836" s="5" t="str">
        <f>IFERROR(__xludf.DUMMYFUNCTION("""COMPUTED_VALUE"""),"Tiptop")</f>
        <v>Tiptop</v>
      </c>
      <c r="AV836" s="5"/>
      <c r="AW836" s="5"/>
      <c r="AX836" s="13">
        <f>IFERROR(__xludf.DUMMYFUNCTION("""COMPUTED_VALUE"""),46315.0)</f>
        <v>46315</v>
      </c>
      <c r="AY836" s="5"/>
      <c r="AZ836" s="5"/>
      <c r="BA836" s="5"/>
      <c r="BB836" s="5"/>
      <c r="BC836" s="5" t="str">
        <f>IFERROR(__xludf.DUMMYFUNCTION("""COMPUTED_VALUE"""),"Redstone")</f>
        <v>Redstone</v>
      </c>
      <c r="BD836" s="5"/>
      <c r="BE836" s="5"/>
    </row>
    <row r="837">
      <c r="A837" s="5">
        <f>IFERROR(__xludf.DUMMYFUNCTION("""COMPUTED_VALUE"""),875.0)</f>
        <v>875</v>
      </c>
      <c r="B837" s="5">
        <f>IFERROR(__xludf.DUMMYFUNCTION("""COMPUTED_VALUE"""),-1.0)</f>
        <v>-1</v>
      </c>
      <c r="C837" s="5" t="str">
        <f>IFERROR(__xludf.DUMMYFUNCTION("""COMPUTED_VALUE"""),"Tiptop")</f>
        <v>Tiptop</v>
      </c>
      <c r="D837" s="5" t="str">
        <f>IFERROR(__xludf.DUMMYFUNCTION("""COMPUTED_VALUE"""),"Spin the Sevens Jackpot")</f>
        <v>Spin the Sevens Jackpot</v>
      </c>
      <c r="E837" s="5"/>
      <c r="F837" s="5" t="str">
        <f>IFERROR(__xludf.DUMMYFUNCTION("""COMPUTED_VALUE"""),"TBD")</f>
        <v>TBD</v>
      </c>
      <c r="G837" s="5" t="str">
        <f>IFERROR(__xludf.DUMMYFUNCTION("""COMPUTED_VALUE"""),"Planned")</f>
        <v>Planned</v>
      </c>
      <c r="H837" s="5"/>
      <c r="I837" s="5"/>
      <c r="J837" s="5" t="str">
        <f>IFERROR(__xludf.DUMMYFUNCTION("""COMPUTED_VALUE"""),"JSON")</f>
        <v>JSON</v>
      </c>
      <c r="K837" s="5" t="str">
        <f>IFERROR(__xludf.DUMMYFUNCTION("""COMPUTED_VALUE"""),"Slot")</f>
        <v>Slot</v>
      </c>
      <c r="L837" s="5"/>
      <c r="M837" s="5"/>
      <c r="N837" s="5"/>
      <c r="O837" s="5"/>
      <c r="P837" s="12"/>
      <c r="Q837" s="13">
        <f>IFERROR(__xludf.DUMMYFUNCTION("""COMPUTED_VALUE"""),46335.0)</f>
        <v>46335</v>
      </c>
      <c r="R837" s="13"/>
      <c r="S837" s="13"/>
      <c r="T837" s="5"/>
      <c r="U837" s="5"/>
      <c r="V837" s="5"/>
      <c r="W837" s="5"/>
      <c r="X837" s="5"/>
      <c r="Y837" s="5"/>
      <c r="Z837" s="5"/>
      <c r="AA837" s="5"/>
      <c r="AB837" s="5"/>
      <c r="AC837" s="5"/>
      <c r="AD837" s="5"/>
      <c r="AE837" s="5"/>
      <c r="AF837" s="5"/>
      <c r="AG837" s="8">
        <f>IFERROR(__xludf.DUMMYFUNCTION("""COMPUTED_VALUE"""),46274.65076388889)</f>
        <v>46274.65076</v>
      </c>
      <c r="AH837" s="5" t="str">
        <f>IFERROR(__xludf.DUMMYFUNCTION("""COMPUTED_VALUE"""),"milivoje.mihajlovic@fazi.rs")</f>
        <v>milivoje.mihajlovic@fazi.rs</v>
      </c>
      <c r="AI837" s="13"/>
      <c r="AJ837" s="5"/>
      <c r="AK837" s="5"/>
      <c r="AL837" s="5"/>
      <c r="AM837" s="5"/>
      <c r="AN837" s="5"/>
      <c r="AO837" s="5"/>
      <c r="AP837" s="5"/>
      <c r="AQ837" s="5"/>
      <c r="AR837" s="5"/>
      <c r="AS837" s="5"/>
      <c r="AT837" s="5"/>
      <c r="AU837" s="5" t="str">
        <f>IFERROR(__xludf.DUMMYFUNCTION("""COMPUTED_VALUE"""),"Tiptop")</f>
        <v>Tiptop</v>
      </c>
      <c r="AV837" s="5"/>
      <c r="AW837" s="5"/>
      <c r="AX837" s="13">
        <f>IFERROR(__xludf.DUMMYFUNCTION("""COMPUTED_VALUE"""),46329.0)</f>
        <v>46329</v>
      </c>
      <c r="AY837" s="5"/>
      <c r="AZ837" s="5"/>
      <c r="BA837" s="5"/>
      <c r="BB837" s="5"/>
      <c r="BC837" s="5" t="str">
        <f>IFERROR(__xludf.DUMMYFUNCTION("""COMPUTED_VALUE"""),"Redstone")</f>
        <v>Redstone</v>
      </c>
      <c r="BD837" s="5"/>
      <c r="BE837" s="5"/>
    </row>
    <row r="838">
      <c r="A838" s="5">
        <f>IFERROR(__xludf.DUMMYFUNCTION("""COMPUTED_VALUE"""),876.0)</f>
        <v>876</v>
      </c>
      <c r="B838" s="5">
        <f>IFERROR(__xludf.DUMMYFUNCTION("""COMPUTED_VALUE"""),-1.0)</f>
        <v>-1</v>
      </c>
      <c r="C838" s="5" t="str">
        <f>IFERROR(__xludf.DUMMYFUNCTION("""COMPUTED_VALUE"""),"Tiptop")</f>
        <v>Tiptop</v>
      </c>
      <c r="D838" s="5" t="str">
        <f>IFERROR(__xludf.DUMMYFUNCTION("""COMPUTED_VALUE"""),"Dazzle Firedice")</f>
        <v>Dazzle Firedice</v>
      </c>
      <c r="E838" s="5"/>
      <c r="F838" s="5" t="str">
        <f>IFERROR(__xludf.DUMMYFUNCTION("""COMPUTED_VALUE"""),"TBD")</f>
        <v>TBD</v>
      </c>
      <c r="G838" s="5" t="str">
        <f>IFERROR(__xludf.DUMMYFUNCTION("""COMPUTED_VALUE"""),"Planned")</f>
        <v>Planned</v>
      </c>
      <c r="H838" s="5"/>
      <c r="I838" s="5"/>
      <c r="J838" s="5" t="str">
        <f>IFERROR(__xludf.DUMMYFUNCTION("""COMPUTED_VALUE"""),"JSON")</f>
        <v>JSON</v>
      </c>
      <c r="K838" s="5" t="str">
        <f>IFERROR(__xludf.DUMMYFUNCTION("""COMPUTED_VALUE"""),"Slot")</f>
        <v>Slot</v>
      </c>
      <c r="L838" s="5"/>
      <c r="M838" s="5"/>
      <c r="N838" s="5"/>
      <c r="O838" s="5"/>
      <c r="P838" s="12"/>
      <c r="Q838" s="13">
        <f>IFERROR(__xludf.DUMMYFUNCTION("""COMPUTED_VALUE"""),46349.0)</f>
        <v>46349</v>
      </c>
      <c r="R838" s="13"/>
      <c r="S838" s="13"/>
      <c r="T838" s="5"/>
      <c r="U838" s="5"/>
      <c r="V838" s="5"/>
      <c r="W838" s="5"/>
      <c r="X838" s="5"/>
      <c r="Y838" s="5"/>
      <c r="Z838" s="5"/>
      <c r="AA838" s="5"/>
      <c r="AB838" s="5"/>
      <c r="AC838" s="5"/>
      <c r="AD838" s="5"/>
      <c r="AE838" s="5"/>
      <c r="AF838" s="5"/>
      <c r="AG838" s="8">
        <f>IFERROR(__xludf.DUMMYFUNCTION("""COMPUTED_VALUE"""),46274.65133101852)</f>
        <v>46274.65133</v>
      </c>
      <c r="AH838" s="5" t="str">
        <f>IFERROR(__xludf.DUMMYFUNCTION("""COMPUTED_VALUE"""),"milivoje.mihajlovic@fazi.rs")</f>
        <v>milivoje.mihajlovic@fazi.rs</v>
      </c>
      <c r="AI838" s="13"/>
      <c r="AJ838" s="5"/>
      <c r="AK838" s="5"/>
      <c r="AL838" s="5"/>
      <c r="AM838" s="5"/>
      <c r="AN838" s="5"/>
      <c r="AO838" s="5"/>
      <c r="AP838" s="5"/>
      <c r="AQ838" s="5"/>
      <c r="AR838" s="5"/>
      <c r="AS838" s="5"/>
      <c r="AT838" s="5"/>
      <c r="AU838" s="5" t="str">
        <f>IFERROR(__xludf.DUMMYFUNCTION("""COMPUTED_VALUE"""),"Tiptop")</f>
        <v>Tiptop</v>
      </c>
      <c r="AV838" s="5"/>
      <c r="AW838" s="5"/>
      <c r="AX838" s="13">
        <f>IFERROR(__xludf.DUMMYFUNCTION("""COMPUTED_VALUE"""),46343.0)</f>
        <v>46343</v>
      </c>
      <c r="AY838" s="5"/>
      <c r="AZ838" s="5"/>
      <c r="BA838" s="5"/>
      <c r="BB838" s="5"/>
      <c r="BC838" s="5" t="str">
        <f>IFERROR(__xludf.DUMMYFUNCTION("""COMPUTED_VALUE"""),"Redstone")</f>
        <v>Redstone</v>
      </c>
      <c r="BD838" s="5"/>
      <c r="BE838" s="5"/>
    </row>
    <row r="839">
      <c r="A839" s="5">
        <f>IFERROR(__xludf.DUMMYFUNCTION("""COMPUTED_VALUE"""),877.0)</f>
        <v>877</v>
      </c>
      <c r="B839" s="5">
        <f>IFERROR(__xludf.DUMMYFUNCTION("""COMPUTED_VALUE"""),-1.0)</f>
        <v>-1</v>
      </c>
      <c r="C839" s="5" t="str">
        <f>IFERROR(__xludf.DUMMYFUNCTION("""COMPUTED_VALUE"""),"Tiptop")</f>
        <v>Tiptop</v>
      </c>
      <c r="D839" s="5" t="str">
        <f>IFERROR(__xludf.DUMMYFUNCTION("""COMPUTED_VALUE"""),"Christmas Present Jackpot")</f>
        <v>Christmas Present Jackpot</v>
      </c>
      <c r="E839" s="5"/>
      <c r="F839" s="5" t="str">
        <f>IFERROR(__xludf.DUMMYFUNCTION("""COMPUTED_VALUE"""),"TBD")</f>
        <v>TBD</v>
      </c>
      <c r="G839" s="5" t="str">
        <f>IFERROR(__xludf.DUMMYFUNCTION("""COMPUTED_VALUE"""),"Planned")</f>
        <v>Planned</v>
      </c>
      <c r="H839" s="5"/>
      <c r="I839" s="5"/>
      <c r="J839" s="5" t="str">
        <f>IFERROR(__xludf.DUMMYFUNCTION("""COMPUTED_VALUE"""),"JSON")</f>
        <v>JSON</v>
      </c>
      <c r="K839" s="5" t="str">
        <f>IFERROR(__xludf.DUMMYFUNCTION("""COMPUTED_VALUE"""),"Slot")</f>
        <v>Slot</v>
      </c>
      <c r="L839" s="5"/>
      <c r="M839" s="5"/>
      <c r="N839" s="5"/>
      <c r="O839" s="5"/>
      <c r="P839" s="12"/>
      <c r="Q839" s="13">
        <f>IFERROR(__xludf.DUMMYFUNCTION("""COMPUTED_VALUE"""),46363.0)</f>
        <v>46363</v>
      </c>
      <c r="R839" s="13"/>
      <c r="S839" s="13"/>
      <c r="T839" s="5"/>
      <c r="U839" s="5"/>
      <c r="V839" s="5"/>
      <c r="W839" s="5"/>
      <c r="X839" s="5"/>
      <c r="Y839" s="5"/>
      <c r="Z839" s="5"/>
      <c r="AA839" s="5"/>
      <c r="AB839" s="5"/>
      <c r="AC839" s="5"/>
      <c r="AD839" s="5"/>
      <c r="AE839" s="5"/>
      <c r="AF839" s="5"/>
      <c r="AG839" s="8">
        <f>IFERROR(__xludf.DUMMYFUNCTION("""COMPUTED_VALUE"""),46274.65188657407)</f>
        <v>46274.65189</v>
      </c>
      <c r="AH839" s="5" t="str">
        <f>IFERROR(__xludf.DUMMYFUNCTION("""COMPUTED_VALUE"""),"milivoje.mihajlovic@fazi.rs")</f>
        <v>milivoje.mihajlovic@fazi.rs</v>
      </c>
      <c r="AI839" s="13"/>
      <c r="AJ839" s="5"/>
      <c r="AK839" s="5"/>
      <c r="AL839" s="5"/>
      <c r="AM839" s="5"/>
      <c r="AN839" s="5"/>
      <c r="AO839" s="5"/>
      <c r="AP839" s="5"/>
      <c r="AQ839" s="5"/>
      <c r="AR839" s="5"/>
      <c r="AS839" s="5"/>
      <c r="AT839" s="5"/>
      <c r="AU839" s="5" t="str">
        <f>IFERROR(__xludf.DUMMYFUNCTION("""COMPUTED_VALUE"""),"Tiptop")</f>
        <v>Tiptop</v>
      </c>
      <c r="AV839" s="5"/>
      <c r="AW839" s="5"/>
      <c r="AX839" s="13">
        <f>IFERROR(__xludf.DUMMYFUNCTION("""COMPUTED_VALUE"""),46357.0)</f>
        <v>46357</v>
      </c>
      <c r="AY839" s="5"/>
      <c r="AZ839" s="5"/>
      <c r="BA839" s="5"/>
      <c r="BB839" s="5"/>
      <c r="BC839" s="5" t="str">
        <f>IFERROR(__xludf.DUMMYFUNCTION("""COMPUTED_VALUE"""),"Redstone")</f>
        <v>Redstone</v>
      </c>
      <c r="BD839" s="5"/>
      <c r="BE839" s="5"/>
    </row>
    <row r="840">
      <c r="A840" s="5">
        <f>IFERROR(__xludf.DUMMYFUNCTION("""COMPUTED_VALUE"""),878.0)</f>
        <v>878</v>
      </c>
      <c r="B840" s="5">
        <f>IFERROR(__xludf.DUMMYFUNCTION("""COMPUTED_VALUE"""),-1.0)</f>
        <v>-1</v>
      </c>
      <c r="C840" s="5" t="str">
        <f>IFERROR(__xludf.DUMMYFUNCTION("""COMPUTED_VALUE"""),"Tiptop")</f>
        <v>Tiptop</v>
      </c>
      <c r="D840" s="5" t="str">
        <f>IFERROR(__xludf.DUMMYFUNCTION("""COMPUTED_VALUE"""),"Lucky Sevens Chase")</f>
        <v>Lucky Sevens Chase</v>
      </c>
      <c r="E840" s="5"/>
      <c r="F840" s="5" t="str">
        <f>IFERROR(__xludf.DUMMYFUNCTION("""COMPUTED_VALUE"""),"TBD")</f>
        <v>TBD</v>
      </c>
      <c r="G840" s="5" t="str">
        <f>IFERROR(__xludf.DUMMYFUNCTION("""COMPUTED_VALUE"""),"Planned")</f>
        <v>Planned</v>
      </c>
      <c r="H840" s="5"/>
      <c r="I840" s="5"/>
      <c r="J840" s="5" t="str">
        <f>IFERROR(__xludf.DUMMYFUNCTION("""COMPUTED_VALUE"""),"JSON")</f>
        <v>JSON</v>
      </c>
      <c r="K840" s="5" t="str">
        <f>IFERROR(__xludf.DUMMYFUNCTION("""COMPUTED_VALUE"""),"Slot")</f>
        <v>Slot</v>
      </c>
      <c r="L840" s="5"/>
      <c r="M840" s="5"/>
      <c r="N840" s="5"/>
      <c r="O840" s="5"/>
      <c r="P840" s="12"/>
      <c r="Q840" s="13">
        <f>IFERROR(__xludf.DUMMYFUNCTION("""COMPUTED_VALUE"""),46363.0)</f>
        <v>46363</v>
      </c>
      <c r="R840" s="13"/>
      <c r="S840" s="13"/>
      <c r="T840" s="5"/>
      <c r="U840" s="5"/>
      <c r="V840" s="5"/>
      <c r="W840" s="5"/>
      <c r="X840" s="5"/>
      <c r="Y840" s="5"/>
      <c r="Z840" s="5"/>
      <c r="AA840" s="5"/>
      <c r="AB840" s="5"/>
      <c r="AC840" s="5"/>
      <c r="AD840" s="5"/>
      <c r="AE840" s="5"/>
      <c r="AF840" s="5"/>
      <c r="AG840" s="8">
        <f>IFERROR(__xludf.DUMMYFUNCTION("""COMPUTED_VALUE"""),46274.65256944444)</f>
        <v>46274.65257</v>
      </c>
      <c r="AH840" s="5" t="str">
        <f>IFERROR(__xludf.DUMMYFUNCTION("""COMPUTED_VALUE"""),"milivoje.mihajlovic@fazi.rs")</f>
        <v>milivoje.mihajlovic@fazi.rs</v>
      </c>
      <c r="AI840" s="13"/>
      <c r="AJ840" s="5"/>
      <c r="AK840" s="5"/>
      <c r="AL840" s="5"/>
      <c r="AM840" s="5"/>
      <c r="AN840" s="5"/>
      <c r="AO840" s="5"/>
      <c r="AP840" s="5"/>
      <c r="AQ840" s="5"/>
      <c r="AR840" s="5"/>
      <c r="AS840" s="5"/>
      <c r="AT840" s="5"/>
      <c r="AU840" s="5" t="str">
        <f>IFERROR(__xludf.DUMMYFUNCTION("""COMPUTED_VALUE"""),"Tiptop")</f>
        <v>Tiptop</v>
      </c>
      <c r="AV840" s="5"/>
      <c r="AW840" s="5"/>
      <c r="AX840" s="13">
        <f>IFERROR(__xludf.DUMMYFUNCTION("""COMPUTED_VALUE"""),46357.0)</f>
        <v>46357</v>
      </c>
      <c r="AY840" s="5"/>
      <c r="AZ840" s="5"/>
      <c r="BA840" s="5"/>
      <c r="BB840" s="5"/>
      <c r="BC840" s="5" t="str">
        <f>IFERROR(__xludf.DUMMYFUNCTION("""COMPUTED_VALUE"""),"Redstone")</f>
        <v>Redstone</v>
      </c>
      <c r="BD840" s="5"/>
      <c r="BE840" s="5"/>
    </row>
    <row r="841">
      <c r="A841" s="5">
        <f>IFERROR(__xludf.DUMMYFUNCTION("""COMPUTED_VALUE"""),879.0)</f>
        <v>879</v>
      </c>
      <c r="B841" s="5">
        <f>IFERROR(__xludf.DUMMYFUNCTION("""COMPUTED_VALUE"""),-1.0)</f>
        <v>-1</v>
      </c>
      <c r="C841" s="5" t="str">
        <f>IFERROR(__xludf.DUMMYFUNCTION("""COMPUTED_VALUE"""),"Tiptop")</f>
        <v>Tiptop</v>
      </c>
      <c r="D841" s="5" t="str">
        <f>IFERROR(__xludf.DUMMYFUNCTION("""COMPUTED_VALUE"""),"Money Standard Dice Jackpot")</f>
        <v>Money Standard Dice Jackpot</v>
      </c>
      <c r="E841" s="5"/>
      <c r="F841" s="5" t="str">
        <f>IFERROR(__xludf.DUMMYFUNCTION("""COMPUTED_VALUE"""),"TBD")</f>
        <v>TBD</v>
      </c>
      <c r="G841" s="5" t="str">
        <f>IFERROR(__xludf.DUMMYFUNCTION("""COMPUTED_VALUE"""),"Planned")</f>
        <v>Planned</v>
      </c>
      <c r="H841" s="5"/>
      <c r="I841" s="5"/>
      <c r="J841" s="5" t="str">
        <f>IFERROR(__xludf.DUMMYFUNCTION("""COMPUTED_VALUE"""),"JSON")</f>
        <v>JSON</v>
      </c>
      <c r="K841" s="5" t="str">
        <f>IFERROR(__xludf.DUMMYFUNCTION("""COMPUTED_VALUE"""),"Slot")</f>
        <v>Slot</v>
      </c>
      <c r="L841" s="5"/>
      <c r="M841" s="5"/>
      <c r="N841" s="5"/>
      <c r="O841" s="5"/>
      <c r="P841" s="12"/>
      <c r="Q841" s="13">
        <f>IFERROR(__xludf.DUMMYFUNCTION("""COMPUTED_VALUE"""),46377.0)</f>
        <v>46377</v>
      </c>
      <c r="R841" s="13"/>
      <c r="S841" s="13"/>
      <c r="T841" s="5"/>
      <c r="U841" s="5"/>
      <c r="V841" s="5"/>
      <c r="W841" s="5"/>
      <c r="X841" s="5"/>
      <c r="Y841" s="5"/>
      <c r="Z841" s="5"/>
      <c r="AA841" s="5"/>
      <c r="AB841" s="5"/>
      <c r="AC841" s="5"/>
      <c r="AD841" s="5"/>
      <c r="AE841" s="5"/>
      <c r="AF841" s="5"/>
      <c r="AG841" s="8">
        <f>IFERROR(__xludf.DUMMYFUNCTION("""COMPUTED_VALUE"""),46274.65306712963)</f>
        <v>46274.65307</v>
      </c>
      <c r="AH841" s="5" t="str">
        <f>IFERROR(__xludf.DUMMYFUNCTION("""COMPUTED_VALUE"""),"milivoje.mihajlovic@fazi.rs")</f>
        <v>milivoje.mihajlovic@fazi.rs</v>
      </c>
      <c r="AI841" s="13"/>
      <c r="AJ841" s="5"/>
      <c r="AK841" s="5"/>
      <c r="AL841" s="5"/>
      <c r="AM841" s="5"/>
      <c r="AN841" s="5"/>
      <c r="AO841" s="5"/>
      <c r="AP841" s="5"/>
      <c r="AQ841" s="5"/>
      <c r="AR841" s="5"/>
      <c r="AS841" s="5"/>
      <c r="AT841" s="5"/>
      <c r="AU841" s="5" t="str">
        <f>IFERROR(__xludf.DUMMYFUNCTION("""COMPUTED_VALUE"""),"Tiptop")</f>
        <v>Tiptop</v>
      </c>
      <c r="AV841" s="5"/>
      <c r="AW841" s="5"/>
      <c r="AX841" s="13">
        <f>IFERROR(__xludf.DUMMYFUNCTION("""COMPUTED_VALUE"""),46371.0)</f>
        <v>46371</v>
      </c>
      <c r="AY841" s="5"/>
      <c r="AZ841" s="5"/>
      <c r="BA841" s="5"/>
      <c r="BB841" s="5"/>
      <c r="BC841" s="5" t="str">
        <f>IFERROR(__xludf.DUMMYFUNCTION("""COMPUTED_VALUE"""),"Redstone")</f>
        <v>Redstone</v>
      </c>
      <c r="BD841" s="5"/>
      <c r="BE841" s="5"/>
    </row>
    <row r="842">
      <c r="A842" s="5">
        <f>IFERROR(__xludf.DUMMYFUNCTION("""COMPUTED_VALUE"""),880.0)</f>
        <v>880</v>
      </c>
      <c r="B842" s="5">
        <f>IFERROR(__xludf.DUMMYFUNCTION("""COMPUTED_VALUE"""),-1.0)</f>
        <v>-1</v>
      </c>
      <c r="C842" s="5" t="str">
        <f>IFERROR(__xludf.DUMMYFUNCTION("""COMPUTED_VALUE"""),"Tiptop")</f>
        <v>Tiptop</v>
      </c>
      <c r="D842" s="5" t="str">
        <f>IFERROR(__xludf.DUMMYFUNCTION("""COMPUTED_VALUE"""),"Fruit Getaway")</f>
        <v>Fruit Getaway</v>
      </c>
      <c r="E842" s="5"/>
      <c r="F842" s="5" t="str">
        <f>IFERROR(__xludf.DUMMYFUNCTION("""COMPUTED_VALUE"""),"TBD")</f>
        <v>TBD</v>
      </c>
      <c r="G842" s="5" t="str">
        <f>IFERROR(__xludf.DUMMYFUNCTION("""COMPUTED_VALUE"""),"Planned")</f>
        <v>Planned</v>
      </c>
      <c r="H842" s="5"/>
      <c r="I842" s="5"/>
      <c r="J842" s="5" t="str">
        <f>IFERROR(__xludf.DUMMYFUNCTION("""COMPUTED_VALUE"""),"JSON")</f>
        <v>JSON</v>
      </c>
      <c r="K842" s="5" t="str">
        <f>IFERROR(__xludf.DUMMYFUNCTION("""COMPUTED_VALUE"""),"Slot")</f>
        <v>Slot</v>
      </c>
      <c r="L842" s="5"/>
      <c r="M842" s="5"/>
      <c r="N842" s="5"/>
      <c r="O842" s="5"/>
      <c r="P842" s="12"/>
      <c r="Q842" s="13">
        <f>IFERROR(__xludf.DUMMYFUNCTION("""COMPUTED_VALUE"""),46363.0)</f>
        <v>46363</v>
      </c>
      <c r="R842" s="13"/>
      <c r="S842" s="13"/>
      <c r="T842" s="5"/>
      <c r="U842" s="5"/>
      <c r="V842" s="5"/>
      <c r="W842" s="5"/>
      <c r="X842" s="5"/>
      <c r="Y842" s="5"/>
      <c r="Z842" s="5"/>
      <c r="AA842" s="5"/>
      <c r="AB842" s="5"/>
      <c r="AC842" s="5"/>
      <c r="AD842" s="5"/>
      <c r="AE842" s="5"/>
      <c r="AF842" s="5"/>
      <c r="AG842" s="8">
        <f>IFERROR(__xludf.DUMMYFUNCTION("""COMPUTED_VALUE"""),46274.68047453704)</f>
        <v>46274.68047</v>
      </c>
      <c r="AH842" s="5" t="str">
        <f>IFERROR(__xludf.DUMMYFUNCTION("""COMPUTED_VALUE"""),"danica.petrovic@fazi.rs")</f>
        <v>danica.petrovic@fazi.rs</v>
      </c>
      <c r="AI842" s="13"/>
      <c r="AJ842" s="5"/>
      <c r="AK842" s="5"/>
      <c r="AL842" s="5"/>
      <c r="AM842" s="5"/>
      <c r="AN842" s="5"/>
      <c r="AO842" s="5"/>
      <c r="AP842" s="5"/>
      <c r="AQ842" s="5"/>
      <c r="AR842" s="5"/>
      <c r="AS842" s="5"/>
      <c r="AT842" s="5"/>
      <c r="AU842" s="5" t="str">
        <f>IFERROR(__xludf.DUMMYFUNCTION("""COMPUTED_VALUE"""),"Tiptop")</f>
        <v>Tiptop</v>
      </c>
      <c r="AV842" s="5"/>
      <c r="AW842" s="5"/>
      <c r="AX842" s="13">
        <f>IFERROR(__xludf.DUMMYFUNCTION("""COMPUTED_VALUE"""),46357.0)</f>
        <v>46357</v>
      </c>
      <c r="AY842" s="5"/>
      <c r="AZ842" s="5"/>
      <c r="BA842" s="5"/>
      <c r="BB842" s="5"/>
      <c r="BC842" s="5" t="str">
        <f>IFERROR(__xludf.DUMMYFUNCTION("""COMPUTED_VALUE"""),"Redstone")</f>
        <v>Redstone</v>
      </c>
      <c r="BD842" s="5"/>
      <c r="BE842" s="5"/>
    </row>
    <row r="843">
      <c r="A843" s="5"/>
      <c r="B843" s="5"/>
      <c r="C843" s="5"/>
      <c r="D843" s="5"/>
      <c r="E843" s="5"/>
      <c r="F843" s="5"/>
      <c r="G843" s="5"/>
      <c r="H843" s="5"/>
      <c r="I843" s="5"/>
      <c r="J843" s="5"/>
      <c r="K843" s="5"/>
      <c r="L843" s="5"/>
      <c r="M843" s="5"/>
      <c r="N843" s="5"/>
      <c r="O843" s="5"/>
      <c r="P843" s="12"/>
      <c r="Q843" s="13"/>
      <c r="R843" s="13"/>
      <c r="S843" s="13"/>
      <c r="T843" s="5"/>
      <c r="U843" s="5"/>
      <c r="V843" s="5"/>
      <c r="W843" s="5"/>
      <c r="X843" s="5"/>
      <c r="Y843" s="5"/>
      <c r="Z843" s="5"/>
      <c r="AA843" s="5"/>
      <c r="AB843" s="5"/>
      <c r="AC843" s="5"/>
      <c r="AD843" s="5"/>
      <c r="AE843" s="5"/>
      <c r="AF843" s="5"/>
      <c r="AG843" s="8"/>
      <c r="AH843" s="5"/>
      <c r="AI843" s="13"/>
      <c r="AJ843" s="5"/>
      <c r="AK843" s="5"/>
      <c r="AL843" s="5"/>
      <c r="AM843" s="5"/>
      <c r="AN843" s="5"/>
      <c r="AO843" s="5"/>
      <c r="AP843" s="5"/>
      <c r="AQ843" s="5"/>
      <c r="AR843" s="5"/>
      <c r="AS843" s="5"/>
      <c r="AT843" s="5"/>
      <c r="AU843" s="5"/>
      <c r="AV843" s="5"/>
      <c r="AW843" s="5"/>
      <c r="AX843" s="5"/>
      <c r="AY843" s="5"/>
      <c r="AZ843" s="5"/>
      <c r="BA843" s="5"/>
      <c r="BB843" s="5"/>
      <c r="BC843" s="5"/>
      <c r="BD843" s="5"/>
      <c r="BE843" s="5"/>
    </row>
    <row r="844">
      <c r="A844" s="5"/>
      <c r="B844" s="5"/>
      <c r="C844" s="5"/>
      <c r="D844" s="5"/>
      <c r="E844" s="5"/>
      <c r="F844" s="5"/>
      <c r="G844" s="5"/>
      <c r="H844" s="5"/>
      <c r="I844" s="5"/>
      <c r="J844" s="5"/>
      <c r="K844" s="5"/>
      <c r="L844" s="5"/>
      <c r="M844" s="5"/>
      <c r="N844" s="5"/>
      <c r="O844" s="5"/>
      <c r="P844" s="12"/>
      <c r="Q844" s="13"/>
      <c r="R844" s="13"/>
      <c r="S844" s="13"/>
      <c r="T844" s="5"/>
      <c r="U844" s="5"/>
      <c r="V844" s="5"/>
      <c r="W844" s="5"/>
      <c r="X844" s="5"/>
      <c r="Y844" s="5"/>
      <c r="Z844" s="5"/>
      <c r="AA844" s="5"/>
      <c r="AB844" s="5"/>
      <c r="AC844" s="5"/>
      <c r="AD844" s="5"/>
      <c r="AE844" s="5"/>
      <c r="AF844" s="5"/>
      <c r="AG844" s="8"/>
      <c r="AH844" s="5"/>
      <c r="AI844" s="13"/>
      <c r="AJ844" s="5"/>
      <c r="AK844" s="5"/>
      <c r="AL844" s="5"/>
      <c r="AM844" s="5"/>
      <c r="AN844" s="5"/>
      <c r="AO844" s="5"/>
      <c r="AP844" s="5"/>
      <c r="AQ844" s="5"/>
      <c r="AR844" s="5"/>
      <c r="AS844" s="5"/>
      <c r="AT844" s="5"/>
      <c r="AU844" s="5"/>
      <c r="AV844" s="5"/>
      <c r="AW844" s="5"/>
      <c r="AX844" s="5"/>
      <c r="AY844" s="5"/>
      <c r="AZ844" s="5"/>
      <c r="BA844" s="5"/>
      <c r="BB844" s="5"/>
      <c r="BC844" s="5"/>
      <c r="BD844" s="5"/>
      <c r="BE844" s="5"/>
    </row>
    <row r="845">
      <c r="A845" s="5"/>
      <c r="B845" s="5"/>
      <c r="C845" s="5"/>
      <c r="D845" s="5"/>
      <c r="E845" s="5"/>
      <c r="F845" s="5"/>
      <c r="G845" s="5"/>
      <c r="H845" s="5"/>
      <c r="I845" s="5"/>
      <c r="J845" s="5"/>
      <c r="K845" s="5"/>
      <c r="L845" s="5"/>
      <c r="M845" s="5"/>
      <c r="N845" s="5"/>
      <c r="O845" s="5"/>
      <c r="P845" s="12"/>
      <c r="Q845" s="13"/>
      <c r="R845" s="13"/>
      <c r="S845" s="13"/>
      <c r="T845" s="5"/>
      <c r="U845" s="5"/>
      <c r="V845" s="5"/>
      <c r="W845" s="5"/>
      <c r="X845" s="5"/>
      <c r="Y845" s="5"/>
      <c r="Z845" s="5"/>
      <c r="AA845" s="5"/>
      <c r="AB845" s="5"/>
      <c r="AC845" s="5"/>
      <c r="AD845" s="5"/>
      <c r="AE845" s="5"/>
      <c r="AF845" s="5"/>
      <c r="AG845" s="8"/>
      <c r="AH845" s="5"/>
      <c r="AI845" s="13"/>
      <c r="AJ845" s="5"/>
      <c r="AK845" s="5"/>
      <c r="AL845" s="5"/>
      <c r="AM845" s="5"/>
      <c r="AN845" s="5"/>
      <c r="AO845" s="5"/>
      <c r="AP845" s="5"/>
      <c r="AQ845" s="5"/>
      <c r="AR845" s="5"/>
      <c r="AS845" s="5"/>
      <c r="AT845" s="5"/>
      <c r="AU845" s="5"/>
      <c r="AV845" s="5"/>
      <c r="AW845" s="5"/>
      <c r="AX845" s="5"/>
      <c r="AY845" s="5"/>
      <c r="AZ845" s="5"/>
      <c r="BA845" s="5"/>
      <c r="BB845" s="5"/>
      <c r="BC845" s="5"/>
      <c r="BD845" s="5"/>
      <c r="BE845" s="5"/>
    </row>
    <row r="846">
      <c r="A846" s="5"/>
      <c r="B846" s="5"/>
      <c r="C846" s="5"/>
      <c r="D846" s="5"/>
      <c r="E846" s="5"/>
      <c r="F846" s="5"/>
      <c r="G846" s="5"/>
      <c r="H846" s="5"/>
      <c r="I846" s="5"/>
      <c r="J846" s="5"/>
      <c r="K846" s="5"/>
      <c r="L846" s="5"/>
      <c r="M846" s="5"/>
      <c r="N846" s="5"/>
      <c r="O846" s="5"/>
      <c r="P846" s="12"/>
      <c r="Q846" s="13"/>
      <c r="R846" s="13"/>
      <c r="S846" s="13"/>
      <c r="T846" s="5"/>
      <c r="U846" s="5"/>
      <c r="V846" s="5"/>
      <c r="W846" s="5"/>
      <c r="X846" s="5"/>
      <c r="Y846" s="5"/>
      <c r="Z846" s="5"/>
      <c r="AA846" s="5"/>
      <c r="AB846" s="5"/>
      <c r="AC846" s="5"/>
      <c r="AD846" s="5"/>
      <c r="AE846" s="5"/>
      <c r="AF846" s="5"/>
      <c r="AG846" s="8"/>
      <c r="AH846" s="5"/>
      <c r="AI846" s="13"/>
      <c r="AJ846" s="5"/>
      <c r="AK846" s="5"/>
      <c r="AL846" s="5"/>
      <c r="AM846" s="5"/>
      <c r="AN846" s="5"/>
      <c r="AO846" s="5"/>
      <c r="AP846" s="5"/>
      <c r="AQ846" s="5"/>
      <c r="AR846" s="5"/>
      <c r="AS846" s="5"/>
      <c r="AT846" s="5"/>
      <c r="AU846" s="5"/>
      <c r="AV846" s="5"/>
      <c r="AW846" s="5"/>
      <c r="AX846" s="5"/>
      <c r="AY846" s="5"/>
      <c r="AZ846" s="5"/>
      <c r="BA846" s="5"/>
      <c r="BB846" s="5"/>
      <c r="BC846" s="5"/>
      <c r="BD846" s="5"/>
      <c r="BE846" s="5"/>
    </row>
    <row r="847">
      <c r="A847" s="5"/>
      <c r="B847" s="5"/>
      <c r="C847" s="5"/>
      <c r="D847" s="5"/>
      <c r="E847" s="5"/>
      <c r="F847" s="5"/>
      <c r="G847" s="5"/>
      <c r="H847" s="5"/>
      <c r="I847" s="5"/>
      <c r="J847" s="5"/>
      <c r="K847" s="5"/>
      <c r="L847" s="5"/>
      <c r="M847" s="5"/>
      <c r="N847" s="5"/>
      <c r="O847" s="5"/>
      <c r="P847" s="12"/>
      <c r="Q847" s="13"/>
      <c r="R847" s="13"/>
      <c r="S847" s="13"/>
      <c r="T847" s="5"/>
      <c r="U847" s="5"/>
      <c r="V847" s="5"/>
      <c r="W847" s="5"/>
      <c r="X847" s="5"/>
      <c r="Y847" s="5"/>
      <c r="Z847" s="5"/>
      <c r="AA847" s="5"/>
      <c r="AB847" s="5"/>
      <c r="AC847" s="5"/>
      <c r="AD847" s="5"/>
      <c r="AE847" s="5"/>
      <c r="AF847" s="5"/>
      <c r="AG847" s="8"/>
      <c r="AH847" s="5"/>
      <c r="AI847" s="13"/>
      <c r="AJ847" s="5"/>
      <c r="AK847" s="5"/>
      <c r="AL847" s="5"/>
      <c r="AM847" s="5"/>
      <c r="AN847" s="5"/>
      <c r="AO847" s="5"/>
      <c r="AP847" s="5"/>
      <c r="AQ847" s="5"/>
      <c r="AR847" s="5"/>
      <c r="AS847" s="5"/>
      <c r="AT847" s="5"/>
      <c r="AU847" s="5"/>
      <c r="AV847" s="5"/>
      <c r="AW847" s="5"/>
      <c r="AX847" s="5"/>
      <c r="AY847" s="5"/>
      <c r="AZ847" s="5"/>
      <c r="BA847" s="5"/>
      <c r="BB847" s="5"/>
      <c r="BC847" s="5"/>
      <c r="BD847" s="5"/>
      <c r="BE847" s="5"/>
    </row>
    <row r="848">
      <c r="A848" s="5"/>
      <c r="B848" s="5"/>
      <c r="C848" s="5"/>
      <c r="D848" s="5"/>
      <c r="E848" s="5"/>
      <c r="F848" s="5"/>
      <c r="G848" s="5"/>
      <c r="H848" s="5"/>
      <c r="I848" s="5"/>
      <c r="J848" s="5"/>
      <c r="K848" s="5"/>
      <c r="L848" s="5"/>
      <c r="M848" s="5"/>
      <c r="N848" s="5"/>
      <c r="O848" s="5"/>
      <c r="P848" s="12"/>
      <c r="Q848" s="13"/>
      <c r="R848" s="13"/>
      <c r="S848" s="13"/>
      <c r="T848" s="5"/>
      <c r="U848" s="5"/>
      <c r="V848" s="5"/>
      <c r="W848" s="5"/>
      <c r="X848" s="5"/>
      <c r="Y848" s="5"/>
      <c r="Z848" s="5"/>
      <c r="AA848" s="5"/>
      <c r="AB848" s="5"/>
      <c r="AC848" s="5"/>
      <c r="AD848" s="5"/>
      <c r="AE848" s="5"/>
      <c r="AF848" s="5"/>
      <c r="AG848" s="8"/>
      <c r="AH848" s="5"/>
      <c r="AI848" s="13"/>
      <c r="AJ848" s="5"/>
      <c r="AK848" s="5"/>
      <c r="AL848" s="5"/>
      <c r="AM848" s="5"/>
      <c r="AN848" s="5"/>
      <c r="AO848" s="5"/>
      <c r="AP848" s="5"/>
      <c r="AQ848" s="5"/>
      <c r="AR848" s="5"/>
      <c r="AS848" s="5"/>
      <c r="AT848" s="5"/>
      <c r="AU848" s="5"/>
      <c r="AV848" s="5"/>
      <c r="AW848" s="5"/>
      <c r="AX848" s="5"/>
      <c r="AY848" s="5"/>
      <c r="AZ848" s="5"/>
      <c r="BA848" s="5"/>
      <c r="BB848" s="5"/>
      <c r="BC848" s="5"/>
      <c r="BD848" s="5"/>
      <c r="BE848" s="5"/>
    </row>
    <row r="849">
      <c r="A849" s="5"/>
      <c r="B849" s="5"/>
      <c r="C849" s="5"/>
      <c r="D849" s="5"/>
      <c r="E849" s="5"/>
      <c r="F849" s="5"/>
      <c r="G849" s="5"/>
      <c r="H849" s="5"/>
      <c r="I849" s="5"/>
      <c r="J849" s="5"/>
      <c r="K849" s="5"/>
      <c r="L849" s="5"/>
      <c r="M849" s="5"/>
      <c r="N849" s="5"/>
      <c r="O849" s="5"/>
      <c r="P849" s="12"/>
      <c r="Q849" s="13"/>
      <c r="R849" s="13"/>
      <c r="S849" s="13"/>
      <c r="T849" s="5"/>
      <c r="U849" s="5"/>
      <c r="V849" s="5"/>
      <c r="W849" s="5"/>
      <c r="X849" s="5"/>
      <c r="Y849" s="5"/>
      <c r="Z849" s="5"/>
      <c r="AA849" s="5"/>
      <c r="AB849" s="5"/>
      <c r="AC849" s="5"/>
      <c r="AD849" s="5"/>
      <c r="AE849" s="5"/>
      <c r="AF849" s="5"/>
      <c r="AG849" s="8"/>
      <c r="AH849" s="5"/>
      <c r="AI849" s="13"/>
      <c r="AJ849" s="5"/>
      <c r="AK849" s="5"/>
      <c r="AL849" s="5"/>
      <c r="AM849" s="5"/>
      <c r="AN849" s="5"/>
      <c r="AO849" s="5"/>
      <c r="AP849" s="5"/>
      <c r="AQ849" s="5"/>
      <c r="AR849" s="5"/>
      <c r="AS849" s="5"/>
      <c r="AT849" s="5"/>
      <c r="AU849" s="5"/>
      <c r="AV849" s="5"/>
      <c r="AW849" s="5"/>
      <c r="AX849" s="5"/>
      <c r="AY849" s="5"/>
      <c r="AZ849" s="5"/>
      <c r="BA849" s="5"/>
      <c r="BB849" s="5"/>
      <c r="BC849" s="5"/>
      <c r="BD849" s="5"/>
      <c r="BE849" s="5"/>
    </row>
    <row r="850">
      <c r="A850" s="5"/>
      <c r="B850" s="5"/>
      <c r="C850" s="5"/>
      <c r="D850" s="5"/>
      <c r="E850" s="5"/>
      <c r="F850" s="5"/>
      <c r="G850" s="5"/>
      <c r="H850" s="5"/>
      <c r="I850" s="5"/>
      <c r="J850" s="5"/>
      <c r="K850" s="5"/>
      <c r="L850" s="5"/>
      <c r="M850" s="5"/>
      <c r="N850" s="5"/>
      <c r="O850" s="5"/>
      <c r="P850" s="12"/>
      <c r="Q850" s="13"/>
      <c r="R850" s="13"/>
      <c r="S850" s="13"/>
      <c r="T850" s="5"/>
      <c r="U850" s="5"/>
      <c r="V850" s="5"/>
      <c r="W850" s="5"/>
      <c r="X850" s="5"/>
      <c r="Y850" s="5"/>
      <c r="Z850" s="5"/>
      <c r="AA850" s="5"/>
      <c r="AB850" s="5"/>
      <c r="AC850" s="5"/>
      <c r="AD850" s="5"/>
      <c r="AE850" s="5"/>
      <c r="AF850" s="5"/>
      <c r="AG850" s="8"/>
      <c r="AH850" s="5"/>
      <c r="AI850" s="13"/>
      <c r="AJ850" s="5"/>
      <c r="AK850" s="5"/>
      <c r="AL850" s="5"/>
      <c r="AM850" s="5"/>
      <c r="AN850" s="5"/>
      <c r="AO850" s="5"/>
      <c r="AP850" s="5"/>
      <c r="AQ850" s="5"/>
      <c r="AR850" s="5"/>
      <c r="AS850" s="5"/>
      <c r="AT850" s="5"/>
      <c r="AU850" s="5"/>
      <c r="AV850" s="5"/>
      <c r="AW850" s="5"/>
      <c r="AX850" s="5"/>
      <c r="AY850" s="5"/>
      <c r="AZ850" s="5"/>
      <c r="BA850" s="5"/>
      <c r="BB850" s="5"/>
      <c r="BC850" s="5"/>
      <c r="BD850" s="5"/>
      <c r="BE850" s="5"/>
    </row>
    <row r="851">
      <c r="A851" s="5"/>
      <c r="B851" s="5"/>
      <c r="C851" s="5"/>
      <c r="D851" s="5"/>
      <c r="E851" s="5"/>
      <c r="F851" s="5"/>
      <c r="G851" s="5"/>
      <c r="H851" s="5"/>
      <c r="I851" s="5"/>
      <c r="J851" s="5"/>
      <c r="K851" s="5"/>
      <c r="L851" s="5"/>
      <c r="M851" s="5"/>
      <c r="N851" s="5"/>
      <c r="O851" s="5"/>
      <c r="P851" s="12"/>
      <c r="Q851" s="13"/>
      <c r="R851" s="13"/>
      <c r="S851" s="13"/>
      <c r="T851" s="5"/>
      <c r="U851" s="5"/>
      <c r="V851" s="5"/>
      <c r="W851" s="5"/>
      <c r="X851" s="5"/>
      <c r="Y851" s="5"/>
      <c r="Z851" s="5"/>
      <c r="AA851" s="5"/>
      <c r="AB851" s="5"/>
      <c r="AC851" s="5"/>
      <c r="AD851" s="5"/>
      <c r="AE851" s="5"/>
      <c r="AF851" s="5"/>
      <c r="AG851" s="8"/>
      <c r="AH851" s="5"/>
      <c r="AI851" s="13"/>
      <c r="AJ851" s="5"/>
      <c r="AK851" s="5"/>
      <c r="AL851" s="5"/>
      <c r="AM851" s="5"/>
      <c r="AN851" s="5"/>
      <c r="AO851" s="5"/>
      <c r="AP851" s="5"/>
      <c r="AQ851" s="5"/>
      <c r="AR851" s="5"/>
      <c r="AS851" s="5"/>
      <c r="AT851" s="5"/>
      <c r="AU851" s="5"/>
      <c r="AV851" s="5"/>
      <c r="AW851" s="5"/>
      <c r="AX851" s="5"/>
      <c r="AY851" s="5"/>
      <c r="AZ851" s="5"/>
      <c r="BA851" s="5"/>
      <c r="BB851" s="5"/>
      <c r="BC851" s="5"/>
      <c r="BD851" s="5"/>
      <c r="BE851" s="5"/>
    </row>
    <row r="852">
      <c r="A852" s="5"/>
      <c r="B852" s="5"/>
      <c r="C852" s="5"/>
      <c r="D852" s="5"/>
      <c r="E852" s="5"/>
      <c r="F852" s="5"/>
      <c r="G852" s="5"/>
      <c r="H852" s="5"/>
      <c r="I852" s="5"/>
      <c r="J852" s="5"/>
      <c r="K852" s="5"/>
      <c r="L852" s="5"/>
      <c r="M852" s="5"/>
      <c r="N852" s="5"/>
      <c r="O852" s="5"/>
      <c r="P852" s="12"/>
      <c r="Q852" s="13"/>
      <c r="R852" s="13"/>
      <c r="S852" s="13"/>
      <c r="T852" s="5"/>
      <c r="U852" s="5"/>
      <c r="V852" s="5"/>
      <c r="W852" s="5"/>
      <c r="X852" s="5"/>
      <c r="Y852" s="5"/>
      <c r="Z852" s="5"/>
      <c r="AA852" s="5"/>
      <c r="AB852" s="5"/>
      <c r="AC852" s="5"/>
      <c r="AD852" s="5"/>
      <c r="AE852" s="5"/>
      <c r="AF852" s="5"/>
      <c r="AG852" s="8"/>
      <c r="AH852" s="5"/>
      <c r="AI852" s="13"/>
      <c r="AJ852" s="5"/>
      <c r="AK852" s="5"/>
      <c r="AL852" s="5"/>
      <c r="AM852" s="5"/>
      <c r="AN852" s="5"/>
      <c r="AO852" s="5"/>
      <c r="AP852" s="5"/>
      <c r="AQ852" s="5"/>
      <c r="AR852" s="5"/>
      <c r="AS852" s="5"/>
      <c r="AT852" s="5"/>
      <c r="AU852" s="5"/>
      <c r="AV852" s="5"/>
      <c r="AW852" s="5"/>
      <c r="AX852" s="5"/>
      <c r="AY852" s="5"/>
      <c r="AZ852" s="5"/>
      <c r="BA852" s="5"/>
      <c r="BB852" s="5"/>
      <c r="BC852" s="5"/>
      <c r="BD852" s="5"/>
      <c r="BE852" s="5"/>
    </row>
    <row r="853">
      <c r="A853" s="5"/>
      <c r="B853" s="5"/>
      <c r="C853" s="5"/>
      <c r="D853" s="5"/>
      <c r="E853" s="5"/>
      <c r="F853" s="5"/>
      <c r="G853" s="5"/>
      <c r="H853" s="5"/>
      <c r="I853" s="5"/>
      <c r="J853" s="5"/>
      <c r="K853" s="5"/>
      <c r="L853" s="5"/>
      <c r="M853" s="5"/>
      <c r="N853" s="5"/>
      <c r="O853" s="5"/>
      <c r="P853" s="12"/>
      <c r="Q853" s="13"/>
      <c r="R853" s="13"/>
      <c r="S853" s="13"/>
      <c r="T853" s="5"/>
      <c r="U853" s="5"/>
      <c r="V853" s="5"/>
      <c r="W853" s="5"/>
      <c r="X853" s="5"/>
      <c r="Y853" s="5"/>
      <c r="Z853" s="5"/>
      <c r="AA853" s="5"/>
      <c r="AB853" s="5"/>
      <c r="AC853" s="5"/>
      <c r="AD853" s="5"/>
      <c r="AE853" s="5"/>
      <c r="AF853" s="5"/>
      <c r="AG853" s="8"/>
      <c r="AH853" s="5"/>
      <c r="AI853" s="13"/>
      <c r="AJ853" s="5"/>
      <c r="AK853" s="5"/>
      <c r="AL853" s="5"/>
      <c r="AM853" s="5"/>
      <c r="AN853" s="5"/>
      <c r="AO853" s="5"/>
      <c r="AP853" s="5"/>
      <c r="AQ853" s="5"/>
      <c r="AR853" s="5"/>
      <c r="AS853" s="5"/>
      <c r="AT853" s="5"/>
      <c r="AU853" s="5"/>
      <c r="AV853" s="5"/>
      <c r="AW853" s="5"/>
      <c r="AX853" s="5"/>
      <c r="AY853" s="5"/>
      <c r="AZ853" s="5"/>
      <c r="BA853" s="5"/>
      <c r="BB853" s="5"/>
      <c r="BC853" s="5"/>
      <c r="BD853" s="5"/>
      <c r="BE853" s="5"/>
    </row>
    <row r="854">
      <c r="A854" s="5"/>
      <c r="B854" s="5"/>
      <c r="C854" s="5"/>
      <c r="D854" s="5"/>
      <c r="E854" s="5"/>
      <c r="F854" s="5"/>
      <c r="G854" s="5"/>
      <c r="H854" s="5"/>
      <c r="I854" s="5"/>
      <c r="J854" s="5"/>
      <c r="K854" s="5"/>
      <c r="L854" s="5"/>
      <c r="M854" s="5"/>
      <c r="N854" s="5"/>
      <c r="O854" s="5"/>
      <c r="P854" s="12"/>
      <c r="Q854" s="13"/>
      <c r="R854" s="13"/>
      <c r="S854" s="13"/>
      <c r="T854" s="5"/>
      <c r="U854" s="5"/>
      <c r="V854" s="5"/>
      <c r="W854" s="5"/>
      <c r="X854" s="5"/>
      <c r="Y854" s="5"/>
      <c r="Z854" s="5"/>
      <c r="AA854" s="5"/>
      <c r="AB854" s="5"/>
      <c r="AC854" s="5"/>
      <c r="AD854" s="5"/>
      <c r="AE854" s="5"/>
      <c r="AF854" s="5"/>
      <c r="AG854" s="8"/>
      <c r="AH854" s="5"/>
      <c r="AI854" s="13"/>
      <c r="AJ854" s="5"/>
      <c r="AK854" s="5"/>
      <c r="AL854" s="5"/>
      <c r="AM854" s="5"/>
      <c r="AN854" s="5"/>
      <c r="AO854" s="5"/>
      <c r="AP854" s="5"/>
      <c r="AQ854" s="5"/>
      <c r="AR854" s="5"/>
      <c r="AS854" s="5"/>
      <c r="AT854" s="5"/>
      <c r="AU854" s="5"/>
      <c r="AV854" s="5"/>
      <c r="AW854" s="5"/>
      <c r="AX854" s="5"/>
      <c r="AY854" s="5"/>
      <c r="AZ854" s="5"/>
      <c r="BA854" s="5"/>
      <c r="BB854" s="5"/>
      <c r="BC854" s="5"/>
      <c r="BD854" s="5"/>
      <c r="BE854" s="5"/>
    </row>
    <row r="855">
      <c r="A855" s="5"/>
      <c r="B855" s="5"/>
      <c r="C855" s="5"/>
      <c r="D855" s="5"/>
      <c r="E855" s="5"/>
      <c r="F855" s="5"/>
      <c r="G855" s="5"/>
      <c r="H855" s="5"/>
      <c r="I855" s="5"/>
      <c r="J855" s="5"/>
      <c r="K855" s="5"/>
      <c r="L855" s="5"/>
      <c r="M855" s="5"/>
      <c r="N855" s="5"/>
      <c r="O855" s="5"/>
      <c r="P855" s="12"/>
      <c r="Q855" s="13"/>
      <c r="R855" s="13"/>
      <c r="S855" s="13"/>
      <c r="T855" s="5"/>
      <c r="U855" s="5"/>
      <c r="V855" s="5"/>
      <c r="W855" s="5"/>
      <c r="X855" s="5"/>
      <c r="Y855" s="5"/>
      <c r="Z855" s="5"/>
      <c r="AA855" s="5"/>
      <c r="AB855" s="5"/>
      <c r="AC855" s="5"/>
      <c r="AD855" s="5"/>
      <c r="AE855" s="5"/>
      <c r="AF855" s="5"/>
      <c r="AG855" s="8"/>
      <c r="AH855" s="5"/>
      <c r="AI855" s="13"/>
      <c r="AJ855" s="5"/>
      <c r="AK855" s="5"/>
      <c r="AL855" s="5"/>
      <c r="AM855" s="5"/>
      <c r="AN855" s="5"/>
      <c r="AO855" s="5"/>
      <c r="AP855" s="5"/>
      <c r="AQ855" s="5"/>
      <c r="AR855" s="5"/>
      <c r="AS855" s="5"/>
      <c r="AT855" s="5"/>
      <c r="AU855" s="5"/>
      <c r="AV855" s="5"/>
      <c r="AW855" s="5"/>
      <c r="AX855" s="5"/>
      <c r="AY855" s="5"/>
      <c r="AZ855" s="5"/>
      <c r="BA855" s="5"/>
      <c r="BB855" s="5"/>
      <c r="BC855" s="5"/>
      <c r="BD855" s="5"/>
      <c r="BE855" s="5"/>
    </row>
    <row r="856">
      <c r="A856" s="5"/>
      <c r="B856" s="5"/>
      <c r="C856" s="5"/>
      <c r="D856" s="5"/>
      <c r="E856" s="5"/>
      <c r="F856" s="5"/>
      <c r="G856" s="5"/>
      <c r="H856" s="5"/>
      <c r="I856" s="5"/>
      <c r="J856" s="5"/>
      <c r="K856" s="5"/>
      <c r="L856" s="5"/>
      <c r="M856" s="5"/>
      <c r="N856" s="5"/>
      <c r="O856" s="5"/>
      <c r="P856" s="12"/>
      <c r="Q856" s="13"/>
      <c r="R856" s="13"/>
      <c r="S856" s="13"/>
      <c r="T856" s="5"/>
      <c r="U856" s="5"/>
      <c r="V856" s="5"/>
      <c r="W856" s="5"/>
      <c r="X856" s="5"/>
      <c r="Y856" s="5"/>
      <c r="Z856" s="5"/>
      <c r="AA856" s="5"/>
      <c r="AB856" s="5"/>
      <c r="AC856" s="5"/>
      <c r="AD856" s="5"/>
      <c r="AE856" s="5"/>
      <c r="AF856" s="5"/>
      <c r="AG856" s="8"/>
      <c r="AH856" s="5"/>
      <c r="AI856" s="13"/>
      <c r="AJ856" s="5"/>
      <c r="AK856" s="5"/>
      <c r="AL856" s="5"/>
      <c r="AM856" s="5"/>
      <c r="AN856" s="5"/>
      <c r="AO856" s="5"/>
      <c r="AP856" s="5"/>
      <c r="AQ856" s="5"/>
      <c r="AR856" s="5"/>
      <c r="AS856" s="5"/>
      <c r="AT856" s="5"/>
      <c r="AU856" s="5"/>
      <c r="AV856" s="5"/>
      <c r="AW856" s="5"/>
      <c r="AX856" s="5"/>
      <c r="AY856" s="5"/>
      <c r="AZ856" s="5"/>
      <c r="BA856" s="5"/>
      <c r="BB856" s="5"/>
      <c r="BC856" s="5"/>
      <c r="BD856" s="5"/>
      <c r="BE856" s="5"/>
    </row>
    <row r="857">
      <c r="A857" s="5"/>
      <c r="B857" s="5"/>
      <c r="C857" s="5"/>
      <c r="D857" s="5"/>
      <c r="E857" s="5"/>
      <c r="F857" s="5"/>
      <c r="G857" s="5"/>
      <c r="H857" s="5"/>
      <c r="I857" s="5"/>
      <c r="J857" s="5"/>
      <c r="K857" s="5"/>
      <c r="L857" s="5"/>
      <c r="M857" s="5"/>
      <c r="N857" s="5"/>
      <c r="O857" s="5"/>
      <c r="P857" s="12"/>
      <c r="Q857" s="13"/>
      <c r="R857" s="13"/>
      <c r="S857" s="13"/>
      <c r="T857" s="5"/>
      <c r="U857" s="5"/>
      <c r="V857" s="5"/>
      <c r="W857" s="5"/>
      <c r="X857" s="5"/>
      <c r="Y857" s="5"/>
      <c r="Z857" s="5"/>
      <c r="AA857" s="5"/>
      <c r="AB857" s="5"/>
      <c r="AC857" s="5"/>
      <c r="AD857" s="5"/>
      <c r="AE857" s="5"/>
      <c r="AF857" s="5"/>
      <c r="AG857" s="8"/>
      <c r="AH857" s="5"/>
      <c r="AI857" s="13"/>
      <c r="AJ857" s="5"/>
      <c r="AK857" s="5"/>
      <c r="AL857" s="5"/>
      <c r="AM857" s="5"/>
      <c r="AN857" s="5"/>
      <c r="AO857" s="5"/>
      <c r="AP857" s="5"/>
      <c r="AQ857" s="5"/>
      <c r="AR857" s="5"/>
      <c r="AS857" s="5"/>
      <c r="AT857" s="5"/>
      <c r="AU857" s="5"/>
      <c r="AV857" s="5"/>
      <c r="AW857" s="5"/>
      <c r="AX857" s="5"/>
      <c r="AY857" s="5"/>
      <c r="AZ857" s="5"/>
      <c r="BA857" s="5"/>
      <c r="BB857" s="5"/>
      <c r="BC857" s="5"/>
      <c r="BD857" s="5"/>
      <c r="BE857" s="5"/>
    </row>
    <row r="858">
      <c r="A858" s="5"/>
      <c r="B858" s="5"/>
      <c r="C858" s="5"/>
      <c r="D858" s="5"/>
      <c r="E858" s="5"/>
      <c r="F858" s="5"/>
      <c r="G858" s="5"/>
      <c r="H858" s="5"/>
      <c r="I858" s="5"/>
      <c r="J858" s="5"/>
      <c r="K858" s="5"/>
      <c r="L858" s="5"/>
      <c r="M858" s="5"/>
      <c r="N858" s="5"/>
      <c r="O858" s="5"/>
      <c r="P858" s="12"/>
      <c r="Q858" s="13"/>
      <c r="R858" s="13"/>
      <c r="S858" s="13"/>
      <c r="T858" s="5"/>
      <c r="U858" s="5"/>
      <c r="V858" s="5"/>
      <c r="W858" s="5"/>
      <c r="X858" s="5"/>
      <c r="Y858" s="5"/>
      <c r="Z858" s="5"/>
      <c r="AA858" s="5"/>
      <c r="AB858" s="5"/>
      <c r="AC858" s="5"/>
      <c r="AD858" s="5"/>
      <c r="AE858" s="5"/>
      <c r="AF858" s="5"/>
      <c r="AG858" s="8"/>
      <c r="AH858" s="5"/>
      <c r="AI858" s="13"/>
      <c r="AJ858" s="5"/>
      <c r="AK858" s="5"/>
      <c r="AL858" s="5"/>
      <c r="AM858" s="5"/>
      <c r="AN858" s="5"/>
      <c r="AO858" s="5"/>
      <c r="AP858" s="5"/>
      <c r="AQ858" s="5"/>
      <c r="AR858" s="5"/>
      <c r="AS858" s="5"/>
      <c r="AT858" s="5"/>
      <c r="AU858" s="5"/>
      <c r="AV858" s="5"/>
      <c r="AW858" s="5"/>
      <c r="AX858" s="5"/>
      <c r="AY858" s="5"/>
      <c r="AZ858" s="5"/>
      <c r="BA858" s="5"/>
      <c r="BB858" s="5"/>
      <c r="BC858" s="5"/>
      <c r="BD858" s="5"/>
      <c r="BE858" s="5"/>
    </row>
    <row r="859">
      <c r="A859" s="5"/>
      <c r="B859" s="5"/>
      <c r="C859" s="5"/>
      <c r="D859" s="5"/>
      <c r="E859" s="5"/>
      <c r="F859" s="5"/>
      <c r="G859" s="5"/>
      <c r="H859" s="5"/>
      <c r="I859" s="5"/>
      <c r="J859" s="5"/>
      <c r="K859" s="5"/>
      <c r="L859" s="5"/>
      <c r="M859" s="5"/>
      <c r="N859" s="5"/>
      <c r="O859" s="5"/>
      <c r="P859" s="12"/>
      <c r="Q859" s="13"/>
      <c r="R859" s="13"/>
      <c r="S859" s="13"/>
      <c r="T859" s="5"/>
      <c r="U859" s="5"/>
      <c r="V859" s="5"/>
      <c r="W859" s="5"/>
      <c r="X859" s="5"/>
      <c r="Y859" s="5"/>
      <c r="Z859" s="5"/>
      <c r="AA859" s="5"/>
      <c r="AB859" s="5"/>
      <c r="AC859" s="5"/>
      <c r="AD859" s="5"/>
      <c r="AE859" s="5"/>
      <c r="AF859" s="5"/>
      <c r="AG859" s="8"/>
      <c r="AH859" s="5"/>
      <c r="AI859" s="13"/>
      <c r="AJ859" s="5"/>
      <c r="AK859" s="5"/>
      <c r="AL859" s="5"/>
      <c r="AM859" s="5"/>
      <c r="AN859" s="5"/>
      <c r="AO859" s="5"/>
      <c r="AP859" s="5"/>
      <c r="AQ859" s="5"/>
      <c r="AR859" s="5"/>
      <c r="AS859" s="5"/>
      <c r="AT859" s="5"/>
      <c r="AU859" s="5"/>
      <c r="AV859" s="5"/>
      <c r="AW859" s="5"/>
      <c r="AX859" s="5"/>
      <c r="AY859" s="5"/>
      <c r="AZ859" s="5"/>
      <c r="BA859" s="5"/>
      <c r="BB859" s="5"/>
      <c r="BC859" s="5"/>
      <c r="BD859" s="5"/>
      <c r="BE859" s="5"/>
    </row>
    <row r="860">
      <c r="A860" s="5"/>
      <c r="B860" s="5"/>
      <c r="C860" s="5"/>
      <c r="D860" s="5"/>
      <c r="E860" s="5"/>
      <c r="F860" s="5"/>
      <c r="G860" s="5"/>
      <c r="H860" s="5"/>
      <c r="I860" s="5"/>
      <c r="J860" s="5"/>
      <c r="K860" s="5"/>
      <c r="L860" s="5"/>
      <c r="M860" s="5"/>
      <c r="N860" s="5"/>
      <c r="O860" s="5"/>
      <c r="P860" s="12"/>
      <c r="Q860" s="13"/>
      <c r="R860" s="13"/>
      <c r="S860" s="13"/>
      <c r="T860" s="5"/>
      <c r="U860" s="5"/>
      <c r="V860" s="5"/>
      <c r="W860" s="5"/>
      <c r="X860" s="5"/>
      <c r="Y860" s="5"/>
      <c r="Z860" s="5"/>
      <c r="AA860" s="5"/>
      <c r="AB860" s="5"/>
      <c r="AC860" s="5"/>
      <c r="AD860" s="5"/>
      <c r="AE860" s="5"/>
      <c r="AF860" s="5"/>
      <c r="AG860" s="8"/>
      <c r="AH860" s="5"/>
      <c r="AI860" s="13"/>
      <c r="AJ860" s="5"/>
      <c r="AK860" s="5"/>
      <c r="AL860" s="5"/>
      <c r="AM860" s="5"/>
      <c r="AN860" s="5"/>
      <c r="AO860" s="5"/>
      <c r="AP860" s="5"/>
      <c r="AQ860" s="5"/>
      <c r="AR860" s="5"/>
      <c r="AS860" s="5"/>
      <c r="AT860" s="5"/>
      <c r="AU860" s="5"/>
      <c r="AV860" s="5"/>
      <c r="AW860" s="5"/>
      <c r="AX860" s="5"/>
      <c r="AY860" s="5"/>
      <c r="AZ860" s="5"/>
      <c r="BA860" s="5"/>
      <c r="BB860" s="5"/>
      <c r="BC860" s="5"/>
      <c r="BD860" s="5"/>
      <c r="BE860" s="5"/>
    </row>
    <row r="861">
      <c r="A861" s="5"/>
      <c r="B861" s="5"/>
      <c r="C861" s="5"/>
      <c r="D861" s="5"/>
      <c r="E861" s="5"/>
      <c r="F861" s="5"/>
      <c r="G861" s="5"/>
      <c r="H861" s="5"/>
      <c r="I861" s="5"/>
      <c r="J861" s="5"/>
      <c r="K861" s="5"/>
      <c r="L861" s="5"/>
      <c r="M861" s="5"/>
      <c r="N861" s="5"/>
      <c r="O861" s="5"/>
      <c r="P861" s="12"/>
      <c r="Q861" s="13"/>
      <c r="R861" s="13"/>
      <c r="S861" s="13"/>
      <c r="T861" s="5"/>
      <c r="U861" s="5"/>
      <c r="V861" s="5"/>
      <c r="W861" s="5"/>
      <c r="X861" s="5"/>
      <c r="Y861" s="5"/>
      <c r="Z861" s="5"/>
      <c r="AA861" s="5"/>
      <c r="AB861" s="5"/>
      <c r="AC861" s="5"/>
      <c r="AD861" s="5"/>
      <c r="AE861" s="5"/>
      <c r="AF861" s="5"/>
      <c r="AG861" s="8"/>
      <c r="AH861" s="5"/>
      <c r="AI861" s="13"/>
      <c r="AJ861" s="5"/>
      <c r="AK861" s="5"/>
      <c r="AL861" s="5"/>
      <c r="AM861" s="5"/>
      <c r="AN861" s="5"/>
      <c r="AO861" s="5"/>
      <c r="AP861" s="5"/>
      <c r="AQ861" s="5"/>
      <c r="AR861" s="5"/>
      <c r="AS861" s="5"/>
      <c r="AT861" s="5"/>
      <c r="AU861" s="5"/>
      <c r="AV861" s="5"/>
      <c r="AW861" s="5"/>
      <c r="AX861" s="5"/>
      <c r="AY861" s="5"/>
      <c r="AZ861" s="5"/>
      <c r="BA861" s="5"/>
      <c r="BB861" s="5"/>
      <c r="BC861" s="5"/>
      <c r="BD861" s="5"/>
      <c r="BE861" s="5"/>
    </row>
    <row r="862">
      <c r="A862" s="5"/>
      <c r="B862" s="5"/>
      <c r="C862" s="5"/>
      <c r="D862" s="5"/>
      <c r="E862" s="5"/>
      <c r="F862" s="5"/>
      <c r="G862" s="5"/>
      <c r="H862" s="5"/>
      <c r="I862" s="5"/>
      <c r="J862" s="5"/>
      <c r="K862" s="5"/>
      <c r="L862" s="5"/>
      <c r="M862" s="5"/>
      <c r="N862" s="5"/>
      <c r="O862" s="5"/>
      <c r="P862" s="12"/>
      <c r="Q862" s="13"/>
      <c r="R862" s="13"/>
      <c r="S862" s="13"/>
      <c r="T862" s="5"/>
      <c r="U862" s="5"/>
      <c r="V862" s="5"/>
      <c r="W862" s="5"/>
      <c r="X862" s="5"/>
      <c r="Y862" s="5"/>
      <c r="Z862" s="5"/>
      <c r="AA862" s="5"/>
      <c r="AB862" s="5"/>
      <c r="AC862" s="5"/>
      <c r="AD862" s="5"/>
      <c r="AE862" s="5"/>
      <c r="AF862" s="5"/>
      <c r="AG862" s="8"/>
      <c r="AH862" s="5"/>
      <c r="AI862" s="13"/>
      <c r="AJ862" s="5"/>
      <c r="AK862" s="5"/>
      <c r="AL862" s="5"/>
      <c r="AM862" s="5"/>
      <c r="AN862" s="5"/>
      <c r="AO862" s="5"/>
      <c r="AP862" s="5"/>
      <c r="AQ862" s="5"/>
      <c r="AR862" s="5"/>
      <c r="AS862" s="5"/>
      <c r="AT862" s="5"/>
      <c r="AU862" s="5"/>
      <c r="AV862" s="5"/>
      <c r="AW862" s="5"/>
      <c r="AX862" s="5"/>
      <c r="AY862" s="5"/>
      <c r="AZ862" s="5"/>
      <c r="BA862" s="5"/>
      <c r="BB862" s="5"/>
      <c r="BC862" s="5"/>
      <c r="BD862" s="5"/>
      <c r="BE862" s="5"/>
    </row>
    <row r="863">
      <c r="A863" s="5"/>
      <c r="B863" s="5"/>
      <c r="C863" s="5"/>
      <c r="D863" s="5"/>
      <c r="E863" s="5"/>
      <c r="F863" s="5"/>
      <c r="G863" s="5"/>
      <c r="H863" s="5"/>
      <c r="I863" s="5"/>
      <c r="J863" s="5"/>
      <c r="K863" s="5"/>
      <c r="L863" s="5"/>
      <c r="M863" s="5"/>
      <c r="N863" s="5"/>
      <c r="O863" s="5"/>
      <c r="P863" s="12"/>
      <c r="Q863" s="13"/>
      <c r="R863" s="13"/>
      <c r="S863" s="13"/>
      <c r="T863" s="5"/>
      <c r="U863" s="5"/>
      <c r="V863" s="5"/>
      <c r="W863" s="5"/>
      <c r="X863" s="5"/>
      <c r="Y863" s="5"/>
      <c r="Z863" s="5"/>
      <c r="AA863" s="5"/>
      <c r="AB863" s="5"/>
      <c r="AC863" s="5"/>
      <c r="AD863" s="5"/>
      <c r="AE863" s="5"/>
      <c r="AF863" s="5"/>
      <c r="AG863" s="8"/>
      <c r="AH863" s="5"/>
      <c r="AI863" s="13"/>
      <c r="AJ863" s="5"/>
      <c r="AK863" s="5"/>
      <c r="AL863" s="5"/>
      <c r="AM863" s="5"/>
      <c r="AN863" s="5"/>
      <c r="AO863" s="5"/>
      <c r="AP863" s="5"/>
      <c r="AQ863" s="5"/>
      <c r="AR863" s="5"/>
      <c r="AS863" s="5"/>
      <c r="AT863" s="5"/>
      <c r="AU863" s="5"/>
      <c r="AV863" s="5"/>
      <c r="AW863" s="5"/>
      <c r="AX863" s="5"/>
      <c r="AY863" s="5"/>
      <c r="AZ863" s="5"/>
      <c r="BA863" s="5"/>
      <c r="BB863" s="5"/>
      <c r="BC863" s="5"/>
      <c r="BD863" s="5"/>
      <c r="BE863" s="5"/>
    </row>
    <row r="864">
      <c r="A864" s="5"/>
      <c r="B864" s="5"/>
      <c r="C864" s="5"/>
      <c r="D864" s="5"/>
      <c r="E864" s="5"/>
      <c r="F864" s="5"/>
      <c r="G864" s="5"/>
      <c r="H864" s="5"/>
      <c r="I864" s="5"/>
      <c r="J864" s="5"/>
      <c r="K864" s="5"/>
      <c r="L864" s="5"/>
      <c r="M864" s="5"/>
      <c r="N864" s="5"/>
      <c r="O864" s="5"/>
      <c r="P864" s="12"/>
      <c r="Q864" s="13"/>
      <c r="R864" s="13"/>
      <c r="S864" s="13"/>
      <c r="T864" s="5"/>
      <c r="U864" s="5"/>
      <c r="V864" s="5"/>
      <c r="W864" s="5"/>
      <c r="X864" s="5"/>
      <c r="Y864" s="5"/>
      <c r="Z864" s="5"/>
      <c r="AA864" s="5"/>
      <c r="AB864" s="5"/>
      <c r="AC864" s="5"/>
      <c r="AD864" s="5"/>
      <c r="AE864" s="5"/>
      <c r="AF864" s="5"/>
      <c r="AG864" s="8"/>
      <c r="AH864" s="5"/>
      <c r="AI864" s="13"/>
      <c r="AJ864" s="5"/>
      <c r="AK864" s="5"/>
      <c r="AL864" s="5"/>
      <c r="AM864" s="5"/>
      <c r="AN864" s="5"/>
      <c r="AO864" s="5"/>
      <c r="AP864" s="5"/>
      <c r="AQ864" s="5"/>
      <c r="AR864" s="5"/>
      <c r="AS864" s="5"/>
      <c r="AT864" s="5"/>
      <c r="AU864" s="5"/>
      <c r="AV864" s="5"/>
      <c r="AW864" s="5"/>
      <c r="AX864" s="5"/>
      <c r="AY864" s="5"/>
      <c r="AZ864" s="5"/>
      <c r="BA864" s="5"/>
      <c r="BB864" s="5"/>
      <c r="BC864" s="5"/>
      <c r="BD864" s="5"/>
      <c r="BE864" s="5"/>
    </row>
    <row r="865">
      <c r="A865" s="5"/>
      <c r="B865" s="5"/>
      <c r="C865" s="5"/>
      <c r="D865" s="5"/>
      <c r="E865" s="5"/>
      <c r="F865" s="5"/>
      <c r="G865" s="5"/>
      <c r="H865" s="5"/>
      <c r="I865" s="5"/>
      <c r="J865" s="5"/>
      <c r="K865" s="5"/>
      <c r="L865" s="5"/>
      <c r="M865" s="5"/>
      <c r="N865" s="5"/>
      <c r="O865" s="5"/>
      <c r="P865" s="12"/>
      <c r="Q865" s="13"/>
      <c r="R865" s="13"/>
      <c r="S865" s="13"/>
      <c r="T865" s="5"/>
      <c r="U865" s="5"/>
      <c r="V865" s="5"/>
      <c r="W865" s="5"/>
      <c r="X865" s="5"/>
      <c r="Y865" s="5"/>
      <c r="Z865" s="5"/>
      <c r="AA865" s="5"/>
      <c r="AB865" s="5"/>
      <c r="AC865" s="5"/>
      <c r="AD865" s="5"/>
      <c r="AE865" s="5"/>
      <c r="AF865" s="5"/>
      <c r="AG865" s="8"/>
      <c r="AH865" s="5"/>
      <c r="AI865" s="13"/>
      <c r="AJ865" s="5"/>
      <c r="AK865" s="5"/>
      <c r="AL865" s="5"/>
      <c r="AM865" s="5"/>
      <c r="AN865" s="5"/>
      <c r="AO865" s="5"/>
      <c r="AP865" s="5"/>
      <c r="AQ865" s="5"/>
      <c r="AR865" s="5"/>
      <c r="AS865" s="5"/>
      <c r="AT865" s="5"/>
      <c r="AU865" s="5"/>
      <c r="AV865" s="5"/>
      <c r="AW865" s="5"/>
      <c r="AX865" s="5"/>
      <c r="AY865" s="5"/>
      <c r="AZ865" s="5"/>
      <c r="BA865" s="5"/>
      <c r="BB865" s="5"/>
      <c r="BC865" s="5"/>
      <c r="BD865" s="5"/>
      <c r="BE865" s="5"/>
    </row>
    <row r="866">
      <c r="A866" s="5"/>
      <c r="B866" s="5"/>
      <c r="C866" s="5"/>
      <c r="D866" s="5"/>
      <c r="E866" s="5"/>
      <c r="F866" s="5"/>
      <c r="G866" s="5"/>
      <c r="H866" s="5"/>
      <c r="I866" s="5"/>
      <c r="J866" s="5"/>
      <c r="K866" s="5"/>
      <c r="L866" s="5"/>
      <c r="M866" s="5"/>
      <c r="N866" s="5"/>
      <c r="O866" s="5"/>
      <c r="P866" s="12"/>
      <c r="Q866" s="13"/>
      <c r="R866" s="13"/>
      <c r="S866" s="13"/>
      <c r="T866" s="5"/>
      <c r="U866" s="5"/>
      <c r="V866" s="5"/>
      <c r="W866" s="5"/>
      <c r="X866" s="5"/>
      <c r="Y866" s="5"/>
      <c r="Z866" s="5"/>
      <c r="AA866" s="5"/>
      <c r="AB866" s="5"/>
      <c r="AC866" s="5"/>
      <c r="AD866" s="5"/>
      <c r="AE866" s="5"/>
      <c r="AF866" s="5"/>
      <c r="AG866" s="8"/>
      <c r="AH866" s="5"/>
      <c r="AI866" s="13"/>
      <c r="AJ866" s="5"/>
      <c r="AK866" s="5"/>
      <c r="AL866" s="5"/>
      <c r="AM866" s="5"/>
      <c r="AN866" s="5"/>
      <c r="AO866" s="5"/>
      <c r="AP866" s="5"/>
      <c r="AQ866" s="5"/>
      <c r="AR866" s="5"/>
      <c r="AS866" s="5"/>
      <c r="AT866" s="5"/>
      <c r="AU866" s="5"/>
      <c r="AV866" s="5"/>
      <c r="AW866" s="5"/>
      <c r="AX866" s="5"/>
      <c r="AY866" s="5"/>
      <c r="AZ866" s="5"/>
      <c r="BA866" s="5"/>
      <c r="BB866" s="5"/>
      <c r="BC866" s="5"/>
      <c r="BD866" s="5"/>
      <c r="BE866" s="5"/>
    </row>
    <row r="867">
      <c r="A867" s="5"/>
      <c r="B867" s="5"/>
      <c r="C867" s="5"/>
      <c r="D867" s="5"/>
      <c r="E867" s="5"/>
      <c r="F867" s="5"/>
      <c r="G867" s="5"/>
      <c r="H867" s="5"/>
      <c r="I867" s="5"/>
      <c r="J867" s="5"/>
      <c r="K867" s="5"/>
      <c r="L867" s="5"/>
      <c r="M867" s="5"/>
      <c r="N867" s="5"/>
      <c r="O867" s="5"/>
      <c r="P867" s="12"/>
      <c r="Q867" s="13"/>
      <c r="R867" s="13"/>
      <c r="S867" s="13"/>
      <c r="T867" s="5"/>
      <c r="U867" s="5"/>
      <c r="V867" s="5"/>
      <c r="W867" s="5"/>
      <c r="X867" s="5"/>
      <c r="Y867" s="5"/>
      <c r="Z867" s="5"/>
      <c r="AA867" s="5"/>
      <c r="AB867" s="5"/>
      <c r="AC867" s="5"/>
      <c r="AD867" s="5"/>
      <c r="AE867" s="5"/>
      <c r="AF867" s="5"/>
      <c r="AG867" s="8"/>
      <c r="AH867" s="5"/>
      <c r="AI867" s="13"/>
      <c r="AJ867" s="5"/>
      <c r="AK867" s="5"/>
      <c r="AL867" s="5"/>
      <c r="AM867" s="5"/>
      <c r="AN867" s="5"/>
      <c r="AO867" s="5"/>
      <c r="AP867" s="5"/>
      <c r="AQ867" s="5"/>
      <c r="AR867" s="5"/>
      <c r="AS867" s="5"/>
      <c r="AT867" s="5"/>
      <c r="AU867" s="5"/>
      <c r="AV867" s="5"/>
      <c r="AW867" s="5"/>
      <c r="AX867" s="5"/>
      <c r="AY867" s="5"/>
      <c r="AZ867" s="5"/>
      <c r="BA867" s="5"/>
      <c r="BB867" s="5"/>
      <c r="BC867" s="5"/>
      <c r="BD867" s="5"/>
      <c r="BE867" s="5"/>
    </row>
    <row r="868">
      <c r="A868" s="5"/>
      <c r="B868" s="5"/>
      <c r="C868" s="5"/>
      <c r="D868" s="5"/>
      <c r="E868" s="5"/>
      <c r="F868" s="5"/>
      <c r="G868" s="5"/>
      <c r="H868" s="5"/>
      <c r="I868" s="5"/>
      <c r="J868" s="5"/>
      <c r="K868" s="5"/>
      <c r="L868" s="5"/>
      <c r="M868" s="5"/>
      <c r="N868" s="5"/>
      <c r="O868" s="5"/>
      <c r="P868" s="12"/>
      <c r="Q868" s="13"/>
      <c r="R868" s="13"/>
      <c r="S868" s="13"/>
      <c r="T868" s="5"/>
      <c r="U868" s="5"/>
      <c r="V868" s="5"/>
      <c r="W868" s="5"/>
      <c r="X868" s="5"/>
      <c r="Y868" s="5"/>
      <c r="Z868" s="5"/>
      <c r="AA868" s="5"/>
      <c r="AB868" s="5"/>
      <c r="AC868" s="5"/>
      <c r="AD868" s="5"/>
      <c r="AE868" s="5"/>
      <c r="AF868" s="5"/>
      <c r="AG868" s="8"/>
      <c r="AH868" s="5"/>
      <c r="AI868" s="13"/>
      <c r="AJ868" s="5"/>
      <c r="AK868" s="5"/>
      <c r="AL868" s="5"/>
      <c r="AM868" s="5"/>
      <c r="AN868" s="5"/>
      <c r="AO868" s="5"/>
      <c r="AP868" s="5"/>
      <c r="AQ868" s="5"/>
      <c r="AR868" s="5"/>
      <c r="AS868" s="5"/>
      <c r="AT868" s="5"/>
      <c r="AU868" s="5"/>
      <c r="AV868" s="5"/>
      <c r="AW868" s="5"/>
      <c r="AX868" s="5"/>
      <c r="AY868" s="5"/>
      <c r="AZ868" s="5"/>
      <c r="BA868" s="5"/>
      <c r="BB868" s="5"/>
      <c r="BC868" s="5"/>
      <c r="BD868" s="5"/>
      <c r="BE868" s="5"/>
    </row>
    <row r="869">
      <c r="A869" s="5"/>
      <c r="B869" s="5"/>
      <c r="C869" s="5"/>
      <c r="D869" s="5"/>
      <c r="E869" s="5"/>
      <c r="F869" s="5"/>
      <c r="G869" s="5"/>
      <c r="H869" s="5"/>
      <c r="I869" s="5"/>
      <c r="J869" s="5"/>
      <c r="K869" s="5"/>
      <c r="L869" s="5"/>
      <c r="M869" s="5"/>
      <c r="N869" s="5"/>
      <c r="O869" s="5"/>
      <c r="P869" s="12"/>
      <c r="Q869" s="13"/>
      <c r="R869" s="13"/>
      <c r="S869" s="13"/>
      <c r="T869" s="5"/>
      <c r="U869" s="5"/>
      <c r="V869" s="5"/>
      <c r="W869" s="5"/>
      <c r="X869" s="5"/>
      <c r="Y869" s="5"/>
      <c r="Z869" s="5"/>
      <c r="AA869" s="5"/>
      <c r="AB869" s="5"/>
      <c r="AC869" s="5"/>
      <c r="AD869" s="5"/>
      <c r="AE869" s="5"/>
      <c r="AF869" s="5"/>
      <c r="AG869" s="8"/>
      <c r="AH869" s="5"/>
      <c r="AI869" s="13"/>
      <c r="AJ869" s="5"/>
      <c r="AK869" s="5"/>
      <c r="AL869" s="5"/>
      <c r="AM869" s="5"/>
      <c r="AN869" s="5"/>
      <c r="AO869" s="5"/>
      <c r="AP869" s="5"/>
      <c r="AQ869" s="5"/>
      <c r="AR869" s="5"/>
      <c r="AS869" s="5"/>
      <c r="AT869" s="5"/>
      <c r="AU869" s="5"/>
      <c r="AV869" s="5"/>
      <c r="AW869" s="5"/>
      <c r="AX869" s="5"/>
      <c r="AY869" s="5"/>
      <c r="AZ869" s="5"/>
      <c r="BA869" s="5"/>
      <c r="BB869" s="5"/>
      <c r="BC869" s="5"/>
      <c r="BD869" s="5"/>
      <c r="BE869" s="5"/>
    </row>
    <row r="870">
      <c r="A870" s="5"/>
      <c r="B870" s="5"/>
      <c r="C870" s="5"/>
      <c r="D870" s="5"/>
      <c r="E870" s="5"/>
      <c r="F870" s="5"/>
      <c r="G870" s="5"/>
      <c r="H870" s="5"/>
      <c r="I870" s="5"/>
      <c r="J870" s="5"/>
      <c r="K870" s="5"/>
      <c r="L870" s="5"/>
      <c r="M870" s="5"/>
      <c r="N870" s="5"/>
      <c r="O870" s="5"/>
      <c r="P870" s="12"/>
      <c r="Q870" s="13"/>
      <c r="R870" s="13"/>
      <c r="S870" s="13"/>
      <c r="T870" s="5"/>
      <c r="U870" s="5"/>
      <c r="V870" s="5"/>
      <c r="W870" s="5"/>
      <c r="X870" s="5"/>
      <c r="Y870" s="5"/>
      <c r="Z870" s="5"/>
      <c r="AA870" s="5"/>
      <c r="AB870" s="5"/>
      <c r="AC870" s="5"/>
      <c r="AD870" s="5"/>
      <c r="AE870" s="5"/>
      <c r="AF870" s="5"/>
      <c r="AG870" s="8"/>
      <c r="AH870" s="5"/>
      <c r="AI870" s="13"/>
      <c r="AJ870" s="5"/>
      <c r="AK870" s="5"/>
      <c r="AL870" s="5"/>
      <c r="AM870" s="5"/>
      <c r="AN870" s="5"/>
      <c r="AO870" s="5"/>
      <c r="AP870" s="5"/>
      <c r="AQ870" s="5"/>
      <c r="AR870" s="5"/>
      <c r="AS870" s="5"/>
      <c r="AT870" s="5"/>
      <c r="AU870" s="5"/>
      <c r="AV870" s="5"/>
      <c r="AW870" s="5"/>
      <c r="AX870" s="5"/>
      <c r="AY870" s="5"/>
      <c r="AZ870" s="5"/>
      <c r="BA870" s="5"/>
      <c r="BB870" s="5"/>
      <c r="BC870" s="5"/>
      <c r="BD870" s="5"/>
      <c r="BE870" s="5"/>
    </row>
    <row r="871">
      <c r="A871" s="5"/>
      <c r="B871" s="5"/>
      <c r="C871" s="5"/>
      <c r="D871" s="5"/>
      <c r="E871" s="5"/>
      <c r="F871" s="5"/>
      <c r="G871" s="5"/>
      <c r="H871" s="5"/>
      <c r="I871" s="5"/>
      <c r="J871" s="5"/>
      <c r="K871" s="5"/>
      <c r="L871" s="5"/>
      <c r="M871" s="5"/>
      <c r="N871" s="5"/>
      <c r="O871" s="5"/>
      <c r="P871" s="12"/>
      <c r="Q871" s="13"/>
      <c r="R871" s="13"/>
      <c r="S871" s="13"/>
      <c r="T871" s="5"/>
      <c r="U871" s="5"/>
      <c r="V871" s="5"/>
      <c r="W871" s="5"/>
      <c r="X871" s="5"/>
      <c r="Y871" s="5"/>
      <c r="Z871" s="5"/>
      <c r="AA871" s="5"/>
      <c r="AB871" s="5"/>
      <c r="AC871" s="5"/>
      <c r="AD871" s="5"/>
      <c r="AE871" s="5"/>
      <c r="AF871" s="5"/>
      <c r="AG871" s="8"/>
      <c r="AH871" s="5"/>
      <c r="AI871" s="13"/>
      <c r="AJ871" s="5"/>
      <c r="AK871" s="5"/>
      <c r="AL871" s="5"/>
      <c r="AM871" s="5"/>
      <c r="AN871" s="5"/>
      <c r="AO871" s="5"/>
      <c r="AP871" s="5"/>
      <c r="AQ871" s="5"/>
      <c r="AR871" s="5"/>
      <c r="AS871" s="5"/>
      <c r="AT871" s="5"/>
      <c r="AU871" s="5"/>
      <c r="AV871" s="5"/>
      <c r="AW871" s="5"/>
      <c r="AX871" s="5"/>
      <c r="AY871" s="5"/>
      <c r="AZ871" s="5"/>
      <c r="BA871" s="5"/>
      <c r="BB871" s="5"/>
      <c r="BC871" s="5"/>
      <c r="BD871" s="5"/>
      <c r="BE871" s="5"/>
    </row>
    <row r="872">
      <c r="A872" s="5"/>
      <c r="B872" s="5"/>
      <c r="C872" s="5"/>
      <c r="D872" s="5"/>
      <c r="E872" s="5"/>
      <c r="F872" s="5"/>
      <c r="G872" s="5"/>
      <c r="H872" s="5"/>
      <c r="I872" s="5"/>
      <c r="J872" s="5"/>
      <c r="K872" s="5"/>
      <c r="L872" s="5"/>
      <c r="M872" s="5"/>
      <c r="N872" s="5"/>
      <c r="O872" s="5"/>
      <c r="P872" s="12"/>
      <c r="Q872" s="13"/>
      <c r="R872" s="13"/>
      <c r="S872" s="13"/>
      <c r="T872" s="5"/>
      <c r="U872" s="5"/>
      <c r="V872" s="5"/>
      <c r="W872" s="5"/>
      <c r="X872" s="5"/>
      <c r="Y872" s="5"/>
      <c r="Z872" s="5"/>
      <c r="AA872" s="5"/>
      <c r="AB872" s="5"/>
      <c r="AC872" s="5"/>
      <c r="AD872" s="5"/>
      <c r="AE872" s="5"/>
      <c r="AF872" s="5"/>
      <c r="AG872" s="8"/>
      <c r="AH872" s="5"/>
      <c r="AI872" s="13"/>
      <c r="AJ872" s="5"/>
      <c r="AK872" s="5"/>
      <c r="AL872" s="5"/>
      <c r="AM872" s="5"/>
      <c r="AN872" s="5"/>
      <c r="AO872" s="5"/>
      <c r="AP872" s="5"/>
      <c r="AQ872" s="5"/>
      <c r="AR872" s="5"/>
      <c r="AS872" s="5"/>
      <c r="AT872" s="5"/>
      <c r="AU872" s="5"/>
      <c r="AV872" s="5"/>
      <c r="AW872" s="5"/>
      <c r="AX872" s="5"/>
      <c r="AY872" s="5"/>
      <c r="AZ872" s="5"/>
      <c r="BA872" s="5"/>
      <c r="BB872" s="5"/>
      <c r="BC872" s="5"/>
      <c r="BD872" s="5"/>
      <c r="BE872" s="5"/>
    </row>
    <row r="873">
      <c r="A873" s="5"/>
      <c r="B873" s="5"/>
      <c r="C873" s="5"/>
      <c r="D873" s="5"/>
      <c r="E873" s="5"/>
      <c r="F873" s="5"/>
      <c r="G873" s="5"/>
      <c r="H873" s="5"/>
      <c r="I873" s="5"/>
      <c r="J873" s="5"/>
      <c r="K873" s="5"/>
      <c r="L873" s="5"/>
      <c r="M873" s="5"/>
      <c r="N873" s="5"/>
      <c r="O873" s="5"/>
      <c r="P873" s="12"/>
      <c r="Q873" s="13"/>
      <c r="R873" s="13"/>
      <c r="S873" s="13"/>
      <c r="T873" s="5"/>
      <c r="U873" s="5"/>
      <c r="V873" s="5"/>
      <c r="W873" s="5"/>
      <c r="X873" s="5"/>
      <c r="Y873" s="5"/>
      <c r="Z873" s="5"/>
      <c r="AA873" s="5"/>
      <c r="AB873" s="5"/>
      <c r="AC873" s="5"/>
      <c r="AD873" s="5"/>
      <c r="AE873" s="5"/>
      <c r="AF873" s="5"/>
      <c r="AG873" s="8"/>
      <c r="AH873" s="5"/>
      <c r="AI873" s="13"/>
      <c r="AJ873" s="5"/>
      <c r="AK873" s="5"/>
      <c r="AL873" s="5"/>
      <c r="AM873" s="5"/>
      <c r="AN873" s="5"/>
      <c r="AO873" s="5"/>
      <c r="AP873" s="5"/>
      <c r="AQ873" s="5"/>
      <c r="AR873" s="5"/>
      <c r="AS873" s="5"/>
      <c r="AT873" s="5"/>
      <c r="AU873" s="5"/>
      <c r="AV873" s="5"/>
      <c r="AW873" s="5"/>
      <c r="AX873" s="5"/>
      <c r="AY873" s="5"/>
      <c r="AZ873" s="5"/>
      <c r="BA873" s="5"/>
      <c r="BB873" s="5"/>
      <c r="BC873" s="5"/>
      <c r="BD873" s="5"/>
      <c r="BE873" s="5"/>
    </row>
    <row r="874">
      <c r="A874" s="5"/>
      <c r="B874" s="5"/>
      <c r="C874" s="5"/>
      <c r="D874" s="5"/>
      <c r="E874" s="5"/>
      <c r="F874" s="5"/>
      <c r="G874" s="5"/>
      <c r="H874" s="5"/>
      <c r="I874" s="5"/>
      <c r="J874" s="5"/>
      <c r="K874" s="5"/>
      <c r="L874" s="5"/>
      <c r="M874" s="5"/>
      <c r="N874" s="5"/>
      <c r="O874" s="5"/>
      <c r="P874" s="12"/>
      <c r="Q874" s="13"/>
      <c r="R874" s="13"/>
      <c r="S874" s="13"/>
      <c r="T874" s="5"/>
      <c r="U874" s="5"/>
      <c r="V874" s="5"/>
      <c r="W874" s="5"/>
      <c r="X874" s="5"/>
      <c r="Y874" s="5"/>
      <c r="Z874" s="5"/>
      <c r="AA874" s="5"/>
      <c r="AB874" s="5"/>
      <c r="AC874" s="5"/>
      <c r="AD874" s="5"/>
      <c r="AE874" s="5"/>
      <c r="AF874" s="5"/>
      <c r="AG874" s="8"/>
      <c r="AH874" s="5"/>
      <c r="AI874" s="13"/>
      <c r="AJ874" s="5"/>
      <c r="AK874" s="5"/>
      <c r="AL874" s="5"/>
      <c r="AM874" s="5"/>
      <c r="AN874" s="5"/>
      <c r="AO874" s="5"/>
      <c r="AP874" s="5"/>
      <c r="AQ874" s="5"/>
      <c r="AR874" s="5"/>
      <c r="AS874" s="5"/>
      <c r="AT874" s="5"/>
      <c r="AU874" s="5"/>
      <c r="AV874" s="5"/>
      <c r="AW874" s="5"/>
      <c r="AX874" s="5"/>
      <c r="AY874" s="5"/>
      <c r="AZ874" s="5"/>
      <c r="BA874" s="5"/>
      <c r="BB874" s="5"/>
      <c r="BC874" s="5"/>
      <c r="BD874" s="5"/>
      <c r="BE874" s="5"/>
    </row>
    <row r="875">
      <c r="A875" s="5"/>
      <c r="B875" s="5"/>
      <c r="C875" s="5"/>
      <c r="D875" s="5"/>
      <c r="E875" s="5"/>
      <c r="F875" s="5"/>
      <c r="G875" s="5"/>
      <c r="H875" s="5"/>
      <c r="I875" s="5"/>
      <c r="J875" s="5"/>
      <c r="K875" s="5"/>
      <c r="L875" s="5"/>
      <c r="M875" s="5"/>
      <c r="N875" s="5"/>
      <c r="O875" s="5"/>
      <c r="P875" s="12"/>
      <c r="Q875" s="13"/>
      <c r="R875" s="13"/>
      <c r="S875" s="13"/>
      <c r="T875" s="5"/>
      <c r="U875" s="5"/>
      <c r="V875" s="5"/>
      <c r="W875" s="5"/>
      <c r="X875" s="5"/>
      <c r="Y875" s="5"/>
      <c r="Z875" s="5"/>
      <c r="AA875" s="5"/>
      <c r="AB875" s="5"/>
      <c r="AC875" s="5"/>
      <c r="AD875" s="5"/>
      <c r="AE875" s="5"/>
      <c r="AF875" s="5"/>
      <c r="AG875" s="8"/>
      <c r="AH875" s="5"/>
      <c r="AI875" s="13"/>
      <c r="AJ875" s="5"/>
      <c r="AK875" s="5"/>
      <c r="AL875" s="5"/>
      <c r="AM875" s="5"/>
      <c r="AN875" s="5"/>
      <c r="AO875" s="5"/>
      <c r="AP875" s="5"/>
      <c r="AQ875" s="5"/>
      <c r="AR875" s="5"/>
      <c r="AS875" s="5"/>
      <c r="AT875" s="5"/>
      <c r="AU875" s="5"/>
      <c r="AV875" s="5"/>
      <c r="AW875" s="5"/>
      <c r="AX875" s="5"/>
      <c r="AY875" s="5"/>
      <c r="AZ875" s="5"/>
      <c r="BA875" s="5"/>
      <c r="BB875" s="5"/>
      <c r="BC875" s="5"/>
      <c r="BD875" s="5"/>
      <c r="BE875" s="5"/>
    </row>
    <row r="876">
      <c r="A876" s="5"/>
      <c r="B876" s="5"/>
      <c r="C876" s="5"/>
      <c r="D876" s="5"/>
      <c r="E876" s="5"/>
      <c r="F876" s="5"/>
      <c r="G876" s="5"/>
      <c r="H876" s="5"/>
      <c r="I876" s="5"/>
      <c r="J876" s="5"/>
      <c r="K876" s="5"/>
      <c r="L876" s="5"/>
      <c r="M876" s="5"/>
      <c r="N876" s="5"/>
      <c r="O876" s="5"/>
      <c r="P876" s="12"/>
      <c r="Q876" s="13"/>
      <c r="R876" s="13"/>
      <c r="S876" s="13"/>
      <c r="T876" s="5"/>
      <c r="U876" s="5"/>
      <c r="V876" s="5"/>
      <c r="W876" s="5"/>
      <c r="X876" s="5"/>
      <c r="Y876" s="5"/>
      <c r="Z876" s="5"/>
      <c r="AA876" s="5"/>
      <c r="AB876" s="5"/>
      <c r="AC876" s="5"/>
      <c r="AD876" s="5"/>
      <c r="AE876" s="5"/>
      <c r="AF876" s="5"/>
      <c r="AG876" s="8"/>
      <c r="AH876" s="5"/>
      <c r="AI876" s="13"/>
      <c r="AJ876" s="5"/>
      <c r="AK876" s="5"/>
      <c r="AL876" s="5"/>
      <c r="AM876" s="5"/>
      <c r="AN876" s="5"/>
      <c r="AO876" s="5"/>
      <c r="AP876" s="5"/>
      <c r="AQ876" s="5"/>
      <c r="AR876" s="5"/>
      <c r="AS876" s="5"/>
      <c r="AT876" s="5"/>
      <c r="AU876" s="5"/>
      <c r="AV876" s="5"/>
      <c r="AW876" s="5"/>
      <c r="AX876" s="5"/>
      <c r="AY876" s="5"/>
      <c r="AZ876" s="5"/>
      <c r="BA876" s="5"/>
      <c r="BB876" s="5"/>
      <c r="BC876" s="5"/>
      <c r="BD876" s="5"/>
      <c r="BE876" s="5"/>
    </row>
    <row r="877">
      <c r="A877" s="5"/>
      <c r="B877" s="5"/>
      <c r="C877" s="5"/>
      <c r="D877" s="5"/>
      <c r="E877" s="5"/>
      <c r="F877" s="5"/>
      <c r="G877" s="5"/>
      <c r="H877" s="5"/>
      <c r="I877" s="5"/>
      <c r="J877" s="5"/>
      <c r="K877" s="5"/>
      <c r="L877" s="5"/>
      <c r="M877" s="5"/>
      <c r="N877" s="5"/>
      <c r="O877" s="5"/>
      <c r="P877" s="12"/>
      <c r="Q877" s="13"/>
      <c r="R877" s="13"/>
      <c r="S877" s="13"/>
      <c r="T877" s="5"/>
      <c r="U877" s="5"/>
      <c r="V877" s="5"/>
      <c r="W877" s="5"/>
      <c r="X877" s="5"/>
      <c r="Y877" s="5"/>
      <c r="Z877" s="5"/>
      <c r="AA877" s="5"/>
      <c r="AB877" s="5"/>
      <c r="AC877" s="5"/>
      <c r="AD877" s="5"/>
      <c r="AE877" s="5"/>
      <c r="AF877" s="5"/>
      <c r="AG877" s="8"/>
      <c r="AH877" s="5"/>
      <c r="AI877" s="13"/>
      <c r="AJ877" s="5"/>
      <c r="AK877" s="5"/>
      <c r="AL877" s="5"/>
      <c r="AM877" s="5"/>
      <c r="AN877" s="5"/>
      <c r="AO877" s="5"/>
      <c r="AP877" s="5"/>
      <c r="AQ877" s="5"/>
      <c r="AR877" s="5"/>
      <c r="AS877" s="5"/>
      <c r="AT877" s="5"/>
      <c r="AU877" s="5"/>
      <c r="AV877" s="5"/>
      <c r="AW877" s="5"/>
      <c r="AX877" s="5"/>
      <c r="AY877" s="5"/>
      <c r="AZ877" s="5"/>
      <c r="BA877" s="5"/>
      <c r="BB877" s="5"/>
      <c r="BC877" s="5"/>
      <c r="BD877" s="5"/>
      <c r="BE877" s="5"/>
    </row>
    <row r="878">
      <c r="A878" s="5"/>
      <c r="B878" s="5"/>
      <c r="C878" s="5"/>
      <c r="D878" s="5"/>
      <c r="E878" s="5"/>
      <c r="F878" s="5"/>
      <c r="G878" s="5"/>
      <c r="H878" s="5"/>
      <c r="I878" s="5"/>
      <c r="J878" s="5"/>
      <c r="K878" s="5"/>
      <c r="L878" s="5"/>
      <c r="M878" s="5"/>
      <c r="N878" s="5"/>
      <c r="O878" s="5"/>
      <c r="P878" s="12"/>
      <c r="Q878" s="13"/>
      <c r="R878" s="13"/>
      <c r="S878" s="13"/>
      <c r="T878" s="5"/>
      <c r="U878" s="5"/>
      <c r="V878" s="5"/>
      <c r="W878" s="5"/>
      <c r="X878" s="5"/>
      <c r="Y878" s="5"/>
      <c r="Z878" s="5"/>
      <c r="AA878" s="5"/>
      <c r="AB878" s="5"/>
      <c r="AC878" s="5"/>
      <c r="AD878" s="5"/>
      <c r="AE878" s="5"/>
      <c r="AF878" s="5"/>
      <c r="AG878" s="8"/>
      <c r="AH878" s="5"/>
      <c r="AI878" s="13"/>
      <c r="AJ878" s="5"/>
      <c r="AK878" s="5"/>
      <c r="AL878" s="5"/>
      <c r="AM878" s="5"/>
      <c r="AN878" s="5"/>
      <c r="AO878" s="5"/>
      <c r="AP878" s="5"/>
      <c r="AQ878" s="5"/>
      <c r="AR878" s="5"/>
      <c r="AS878" s="5"/>
      <c r="AT878" s="5"/>
      <c r="AU878" s="5"/>
      <c r="AV878" s="5"/>
      <c r="AW878" s="5"/>
      <c r="AX878" s="5"/>
      <c r="AY878" s="5"/>
      <c r="AZ878" s="5"/>
      <c r="BA878" s="5"/>
      <c r="BB878" s="5"/>
      <c r="BC878" s="5"/>
      <c r="BD878" s="5"/>
      <c r="BE878" s="5"/>
    </row>
    <row r="879">
      <c r="A879" s="5"/>
      <c r="B879" s="5"/>
      <c r="C879" s="5"/>
      <c r="D879" s="5"/>
      <c r="E879" s="5"/>
      <c r="F879" s="5"/>
      <c r="G879" s="5"/>
      <c r="H879" s="5"/>
      <c r="I879" s="5"/>
      <c r="J879" s="5"/>
      <c r="K879" s="5"/>
      <c r="L879" s="5"/>
      <c r="M879" s="5"/>
      <c r="N879" s="5"/>
      <c r="O879" s="5"/>
      <c r="P879" s="12"/>
      <c r="Q879" s="13"/>
      <c r="R879" s="13"/>
      <c r="S879" s="13"/>
      <c r="T879" s="5"/>
      <c r="U879" s="5"/>
      <c r="V879" s="5"/>
      <c r="W879" s="5"/>
      <c r="X879" s="5"/>
      <c r="Y879" s="5"/>
      <c r="Z879" s="5"/>
      <c r="AA879" s="5"/>
      <c r="AB879" s="5"/>
      <c r="AC879" s="5"/>
      <c r="AD879" s="5"/>
      <c r="AE879" s="5"/>
      <c r="AF879" s="5"/>
      <c r="AG879" s="8"/>
      <c r="AH879" s="5"/>
      <c r="AI879" s="13"/>
      <c r="AJ879" s="5"/>
      <c r="AK879" s="5"/>
      <c r="AL879" s="5"/>
      <c r="AM879" s="5"/>
      <c r="AN879" s="5"/>
      <c r="AO879" s="5"/>
      <c r="AP879" s="5"/>
      <c r="AQ879" s="5"/>
      <c r="AR879" s="5"/>
      <c r="AS879" s="5"/>
      <c r="AT879" s="5"/>
      <c r="AU879" s="5"/>
      <c r="AV879" s="5"/>
      <c r="AW879" s="5"/>
      <c r="AX879" s="5"/>
      <c r="AY879" s="5"/>
      <c r="AZ879" s="5"/>
      <c r="BA879" s="5"/>
      <c r="BB879" s="5"/>
      <c r="BC879" s="5"/>
      <c r="BD879" s="5"/>
      <c r="BE879" s="5"/>
    </row>
    <row r="880">
      <c r="A880" s="5"/>
      <c r="B880" s="5"/>
      <c r="C880" s="5"/>
      <c r="D880" s="5"/>
      <c r="E880" s="5"/>
      <c r="F880" s="5"/>
      <c r="G880" s="5"/>
      <c r="H880" s="5"/>
      <c r="I880" s="5"/>
      <c r="J880" s="5"/>
      <c r="K880" s="5"/>
      <c r="L880" s="5"/>
      <c r="M880" s="5"/>
      <c r="N880" s="5"/>
      <c r="O880" s="5"/>
      <c r="P880" s="12"/>
      <c r="Q880" s="13"/>
      <c r="R880" s="13"/>
      <c r="S880" s="13"/>
      <c r="T880" s="5"/>
      <c r="U880" s="5"/>
      <c r="V880" s="5"/>
      <c r="W880" s="5"/>
      <c r="X880" s="5"/>
      <c r="Y880" s="5"/>
      <c r="Z880" s="5"/>
      <c r="AA880" s="5"/>
      <c r="AB880" s="5"/>
      <c r="AC880" s="5"/>
      <c r="AD880" s="5"/>
      <c r="AE880" s="5"/>
      <c r="AF880" s="5"/>
      <c r="AG880" s="8"/>
      <c r="AH880" s="5"/>
      <c r="AI880" s="13"/>
      <c r="AJ880" s="5"/>
      <c r="AK880" s="5"/>
      <c r="AL880" s="5"/>
      <c r="AM880" s="5"/>
      <c r="AN880" s="5"/>
      <c r="AO880" s="5"/>
      <c r="AP880" s="5"/>
      <c r="AQ880" s="5"/>
      <c r="AR880" s="5"/>
      <c r="AS880" s="5"/>
      <c r="AT880" s="5"/>
      <c r="AU880" s="5"/>
      <c r="AV880" s="5"/>
      <c r="AW880" s="5"/>
      <c r="AX880" s="5"/>
      <c r="AY880" s="5"/>
      <c r="AZ880" s="5"/>
      <c r="BA880" s="5"/>
      <c r="BB880" s="5"/>
      <c r="BC880" s="5"/>
      <c r="BD880" s="5"/>
      <c r="BE880" s="5"/>
    </row>
    <row r="881">
      <c r="A881" s="5"/>
      <c r="B881" s="5"/>
      <c r="C881" s="5"/>
      <c r="D881" s="5"/>
      <c r="E881" s="5"/>
      <c r="F881" s="5"/>
      <c r="G881" s="5"/>
      <c r="H881" s="5"/>
      <c r="I881" s="5"/>
      <c r="J881" s="5"/>
      <c r="K881" s="5"/>
      <c r="L881" s="5"/>
      <c r="M881" s="5"/>
      <c r="N881" s="5"/>
      <c r="O881" s="5"/>
      <c r="P881" s="12"/>
      <c r="Q881" s="13"/>
      <c r="R881" s="13"/>
      <c r="S881" s="13"/>
      <c r="T881" s="5"/>
      <c r="U881" s="5"/>
      <c r="V881" s="5"/>
      <c r="W881" s="5"/>
      <c r="X881" s="5"/>
      <c r="Y881" s="5"/>
      <c r="Z881" s="5"/>
      <c r="AA881" s="5"/>
      <c r="AB881" s="5"/>
      <c r="AC881" s="5"/>
      <c r="AD881" s="5"/>
      <c r="AE881" s="5"/>
      <c r="AF881" s="5"/>
      <c r="AG881" s="8"/>
      <c r="AH881" s="5"/>
      <c r="AI881" s="13"/>
      <c r="AJ881" s="5"/>
      <c r="AK881" s="5"/>
      <c r="AL881" s="5"/>
      <c r="AM881" s="5"/>
      <c r="AN881" s="5"/>
      <c r="AO881" s="5"/>
      <c r="AP881" s="5"/>
      <c r="AQ881" s="5"/>
      <c r="AR881" s="5"/>
      <c r="AS881" s="5"/>
      <c r="AT881" s="5"/>
      <c r="AU881" s="5"/>
      <c r="AV881" s="5"/>
      <c r="AW881" s="5"/>
      <c r="AX881" s="5"/>
      <c r="AY881" s="5"/>
      <c r="AZ881" s="5"/>
      <c r="BA881" s="5"/>
      <c r="BB881" s="5"/>
      <c r="BC881" s="5"/>
      <c r="BD881" s="5"/>
      <c r="BE881" s="5"/>
    </row>
    <row r="882">
      <c r="A882" s="5"/>
      <c r="B882" s="5"/>
      <c r="C882" s="5"/>
      <c r="D882" s="5"/>
      <c r="E882" s="5"/>
      <c r="F882" s="5"/>
      <c r="G882" s="5"/>
      <c r="H882" s="5"/>
      <c r="I882" s="5"/>
      <c r="J882" s="5"/>
      <c r="K882" s="5"/>
      <c r="L882" s="5"/>
      <c r="M882" s="5"/>
      <c r="N882" s="5"/>
      <c r="O882" s="5"/>
      <c r="P882" s="12"/>
      <c r="Q882" s="13"/>
      <c r="R882" s="13"/>
      <c r="S882" s="13"/>
      <c r="T882" s="5"/>
      <c r="U882" s="5"/>
      <c r="V882" s="5"/>
      <c r="W882" s="5"/>
      <c r="X882" s="5"/>
      <c r="Y882" s="5"/>
      <c r="Z882" s="5"/>
      <c r="AA882" s="5"/>
      <c r="AB882" s="5"/>
      <c r="AC882" s="5"/>
      <c r="AD882" s="5"/>
      <c r="AE882" s="5"/>
      <c r="AF882" s="5"/>
      <c r="AG882" s="8"/>
      <c r="AH882" s="5"/>
      <c r="AI882" s="13"/>
      <c r="AJ882" s="5"/>
      <c r="AK882" s="5"/>
      <c r="AL882" s="5"/>
      <c r="AM882" s="5"/>
      <c r="AN882" s="5"/>
      <c r="AO882" s="5"/>
      <c r="AP882" s="5"/>
      <c r="AQ882" s="5"/>
      <c r="AR882" s="5"/>
      <c r="AS882" s="5"/>
      <c r="AT882" s="5"/>
      <c r="AU882" s="5"/>
      <c r="AV882" s="5"/>
      <c r="AW882" s="5"/>
      <c r="AX882" s="5"/>
      <c r="AY882" s="5"/>
      <c r="AZ882" s="5"/>
      <c r="BA882" s="5"/>
      <c r="BB882" s="5"/>
      <c r="BC882" s="5"/>
      <c r="BD882" s="5"/>
      <c r="BE882" s="5"/>
    </row>
    <row r="883">
      <c r="A883" s="5"/>
      <c r="B883" s="5"/>
      <c r="C883" s="5"/>
      <c r="D883" s="5"/>
      <c r="E883" s="5"/>
      <c r="F883" s="5"/>
      <c r="G883" s="5"/>
      <c r="H883" s="5"/>
      <c r="I883" s="5"/>
      <c r="J883" s="5"/>
      <c r="K883" s="5"/>
      <c r="L883" s="5"/>
      <c r="M883" s="5"/>
      <c r="N883" s="5"/>
      <c r="O883" s="5"/>
      <c r="P883" s="12"/>
      <c r="Q883" s="13"/>
      <c r="R883" s="13"/>
      <c r="S883" s="13"/>
      <c r="T883" s="5"/>
      <c r="U883" s="5"/>
      <c r="V883" s="5"/>
      <c r="W883" s="5"/>
      <c r="X883" s="5"/>
      <c r="Y883" s="5"/>
      <c r="Z883" s="5"/>
      <c r="AA883" s="5"/>
      <c r="AB883" s="5"/>
      <c r="AC883" s="5"/>
      <c r="AD883" s="5"/>
      <c r="AE883" s="5"/>
      <c r="AF883" s="5"/>
      <c r="AG883" s="8"/>
      <c r="AH883" s="5"/>
      <c r="AI883" s="13"/>
      <c r="AJ883" s="5"/>
      <c r="AK883" s="5"/>
      <c r="AL883" s="5"/>
      <c r="AM883" s="5"/>
      <c r="AN883" s="5"/>
      <c r="AO883" s="5"/>
      <c r="AP883" s="5"/>
      <c r="AQ883" s="5"/>
      <c r="AR883" s="5"/>
      <c r="AS883" s="5"/>
      <c r="AT883" s="5"/>
      <c r="AU883" s="5"/>
      <c r="AV883" s="5"/>
      <c r="AW883" s="5"/>
      <c r="AX883" s="5"/>
      <c r="AY883" s="5"/>
      <c r="AZ883" s="5"/>
      <c r="BA883" s="5"/>
      <c r="BB883" s="5"/>
      <c r="BC883" s="5"/>
      <c r="BD883" s="5"/>
      <c r="BE883" s="5"/>
    </row>
    <row r="884">
      <c r="A884" s="5"/>
      <c r="B884" s="5"/>
      <c r="C884" s="5"/>
      <c r="D884" s="5"/>
      <c r="E884" s="5"/>
      <c r="F884" s="5"/>
      <c r="G884" s="5"/>
      <c r="H884" s="5"/>
      <c r="I884" s="5"/>
      <c r="J884" s="5"/>
      <c r="K884" s="5"/>
      <c r="L884" s="5"/>
      <c r="M884" s="5"/>
      <c r="N884" s="5"/>
      <c r="O884" s="5"/>
      <c r="P884" s="12"/>
      <c r="Q884" s="13"/>
      <c r="R884" s="13"/>
      <c r="S884" s="13"/>
      <c r="T884" s="5"/>
      <c r="U884" s="5"/>
      <c r="V884" s="5"/>
      <c r="W884" s="5"/>
      <c r="X884" s="5"/>
      <c r="Y884" s="5"/>
      <c r="Z884" s="5"/>
      <c r="AA884" s="5"/>
      <c r="AB884" s="5"/>
      <c r="AC884" s="5"/>
      <c r="AD884" s="5"/>
      <c r="AE884" s="5"/>
      <c r="AF884" s="5"/>
      <c r="AG884" s="8"/>
      <c r="AH884" s="5"/>
      <c r="AI884" s="13"/>
      <c r="AJ884" s="5"/>
      <c r="AK884" s="5"/>
      <c r="AL884" s="5"/>
      <c r="AM884" s="5"/>
      <c r="AN884" s="5"/>
      <c r="AO884" s="5"/>
      <c r="AP884" s="5"/>
      <c r="AQ884" s="5"/>
      <c r="AR884" s="5"/>
      <c r="AS884" s="5"/>
      <c r="AT884" s="5"/>
      <c r="AU884" s="5"/>
      <c r="AV884" s="5"/>
      <c r="AW884" s="5"/>
      <c r="AX884" s="5"/>
      <c r="AY884" s="5"/>
      <c r="AZ884" s="5"/>
      <c r="BA884" s="5"/>
      <c r="BB884" s="5"/>
      <c r="BC884" s="5"/>
      <c r="BD884" s="5"/>
      <c r="BE884" s="5"/>
    </row>
    <row r="885">
      <c r="A885" s="5"/>
      <c r="B885" s="5"/>
      <c r="C885" s="5"/>
      <c r="D885" s="5"/>
      <c r="E885" s="5"/>
      <c r="F885" s="5"/>
      <c r="G885" s="5"/>
      <c r="H885" s="5"/>
      <c r="I885" s="5"/>
      <c r="J885" s="5"/>
      <c r="K885" s="5"/>
      <c r="L885" s="5"/>
      <c r="M885" s="5"/>
      <c r="N885" s="5"/>
      <c r="O885" s="5"/>
      <c r="P885" s="12"/>
      <c r="Q885" s="13"/>
      <c r="R885" s="13"/>
      <c r="S885" s="13"/>
      <c r="T885" s="5"/>
      <c r="U885" s="5"/>
      <c r="V885" s="5"/>
      <c r="W885" s="5"/>
      <c r="X885" s="5"/>
      <c r="Y885" s="5"/>
      <c r="Z885" s="5"/>
      <c r="AA885" s="5"/>
      <c r="AB885" s="5"/>
      <c r="AC885" s="5"/>
      <c r="AD885" s="5"/>
      <c r="AE885" s="5"/>
      <c r="AF885" s="5"/>
      <c r="AG885" s="8"/>
      <c r="AH885" s="5"/>
      <c r="AI885" s="13"/>
      <c r="AJ885" s="5"/>
      <c r="AK885" s="5"/>
      <c r="AL885" s="5"/>
      <c r="AM885" s="5"/>
      <c r="AN885" s="5"/>
      <c r="AO885" s="5"/>
      <c r="AP885" s="5"/>
      <c r="AQ885" s="5"/>
      <c r="AR885" s="5"/>
      <c r="AS885" s="5"/>
      <c r="AT885" s="5"/>
      <c r="AU885" s="5"/>
      <c r="AV885" s="5"/>
      <c r="AW885" s="5"/>
      <c r="AX885" s="5"/>
      <c r="AY885" s="5"/>
      <c r="AZ885" s="5"/>
      <c r="BA885" s="5"/>
      <c r="BB885" s="5"/>
      <c r="BC885" s="5"/>
      <c r="BD885" s="5"/>
      <c r="BE885" s="5"/>
    </row>
    <row r="886">
      <c r="A886" s="5"/>
      <c r="B886" s="5"/>
      <c r="C886" s="5"/>
      <c r="D886" s="5"/>
      <c r="E886" s="5"/>
      <c r="F886" s="5"/>
      <c r="G886" s="5"/>
      <c r="H886" s="5"/>
      <c r="I886" s="5"/>
      <c r="J886" s="5"/>
      <c r="K886" s="5"/>
      <c r="L886" s="5"/>
      <c r="M886" s="5"/>
      <c r="N886" s="5"/>
      <c r="O886" s="5"/>
      <c r="P886" s="12"/>
      <c r="Q886" s="13"/>
      <c r="R886" s="13"/>
      <c r="S886" s="13"/>
      <c r="T886" s="5"/>
      <c r="U886" s="5"/>
      <c r="V886" s="5"/>
      <c r="W886" s="5"/>
      <c r="X886" s="5"/>
      <c r="Y886" s="5"/>
      <c r="Z886" s="5"/>
      <c r="AA886" s="5"/>
      <c r="AB886" s="5"/>
      <c r="AC886" s="5"/>
      <c r="AD886" s="5"/>
      <c r="AE886" s="5"/>
      <c r="AF886" s="5"/>
      <c r="AG886" s="8"/>
      <c r="AH886" s="5"/>
      <c r="AI886" s="13"/>
      <c r="AJ886" s="5"/>
      <c r="AK886" s="5"/>
      <c r="AL886" s="5"/>
      <c r="AM886" s="5"/>
      <c r="AN886" s="5"/>
      <c r="AO886" s="5"/>
      <c r="AP886" s="5"/>
      <c r="AQ886" s="5"/>
      <c r="AR886" s="5"/>
      <c r="AS886" s="5"/>
      <c r="AT886" s="5"/>
      <c r="AU886" s="5"/>
      <c r="AV886" s="5"/>
      <c r="AW886" s="5"/>
      <c r="AX886" s="5"/>
      <c r="AY886" s="5"/>
      <c r="AZ886" s="5"/>
      <c r="BA886" s="5"/>
      <c r="BB886" s="5"/>
      <c r="BC886" s="5"/>
      <c r="BD886" s="5"/>
      <c r="BE886" s="5"/>
    </row>
    <row r="887">
      <c r="A887" s="5"/>
      <c r="B887" s="5"/>
      <c r="C887" s="5"/>
      <c r="D887" s="5"/>
      <c r="E887" s="5"/>
      <c r="F887" s="5"/>
      <c r="G887" s="5"/>
      <c r="H887" s="5"/>
      <c r="I887" s="5"/>
      <c r="J887" s="5"/>
      <c r="K887" s="5"/>
      <c r="L887" s="5"/>
      <c r="M887" s="5"/>
      <c r="N887" s="5"/>
      <c r="O887" s="5"/>
      <c r="P887" s="12"/>
      <c r="Q887" s="13"/>
      <c r="R887" s="13"/>
      <c r="S887" s="13"/>
      <c r="T887" s="5"/>
      <c r="U887" s="5"/>
      <c r="V887" s="5"/>
      <c r="W887" s="5"/>
      <c r="X887" s="5"/>
      <c r="Y887" s="5"/>
      <c r="Z887" s="5"/>
      <c r="AA887" s="5"/>
      <c r="AB887" s="5"/>
      <c r="AC887" s="5"/>
      <c r="AD887" s="5"/>
      <c r="AE887" s="5"/>
      <c r="AF887" s="5"/>
      <c r="AG887" s="8"/>
      <c r="AH887" s="5"/>
      <c r="AI887" s="13"/>
      <c r="AJ887" s="5"/>
      <c r="AK887" s="5"/>
      <c r="AL887" s="5"/>
      <c r="AM887" s="5"/>
      <c r="AN887" s="5"/>
      <c r="AO887" s="5"/>
      <c r="AP887" s="5"/>
      <c r="AQ887" s="5"/>
      <c r="AR887" s="5"/>
      <c r="AS887" s="5"/>
      <c r="AT887" s="5"/>
      <c r="AU887" s="5"/>
      <c r="AV887" s="5"/>
      <c r="AW887" s="5"/>
      <c r="AX887" s="5"/>
      <c r="AY887" s="5"/>
      <c r="AZ887" s="5"/>
      <c r="BA887" s="5"/>
      <c r="BB887" s="5"/>
      <c r="BC887" s="5"/>
      <c r="BD887" s="5"/>
      <c r="BE887" s="5"/>
    </row>
    <row r="888">
      <c r="A888" s="5"/>
      <c r="B888" s="5"/>
      <c r="C888" s="5"/>
      <c r="D888" s="5"/>
      <c r="E888" s="5"/>
      <c r="F888" s="5"/>
      <c r="G888" s="5"/>
      <c r="H888" s="5"/>
      <c r="I888" s="5"/>
      <c r="J888" s="5"/>
      <c r="K888" s="5"/>
      <c r="L888" s="5"/>
      <c r="M888" s="5"/>
      <c r="N888" s="5"/>
      <c r="O888" s="5"/>
      <c r="P888" s="12"/>
      <c r="Q888" s="13"/>
      <c r="R888" s="13"/>
      <c r="S888" s="13"/>
      <c r="T888" s="5"/>
      <c r="U888" s="5"/>
      <c r="V888" s="5"/>
      <c r="W888" s="5"/>
      <c r="X888" s="5"/>
      <c r="Y888" s="5"/>
      <c r="Z888" s="5"/>
      <c r="AA888" s="5"/>
      <c r="AB888" s="5"/>
      <c r="AC888" s="5"/>
      <c r="AD888" s="5"/>
      <c r="AE888" s="5"/>
      <c r="AF888" s="5"/>
      <c r="AG888" s="8"/>
      <c r="AH888" s="5"/>
      <c r="AI888" s="13"/>
      <c r="AJ888" s="5"/>
      <c r="AK888" s="5"/>
      <c r="AL888" s="5"/>
      <c r="AM888" s="5"/>
      <c r="AN888" s="5"/>
      <c r="AO888" s="5"/>
      <c r="AP888" s="5"/>
      <c r="AQ888" s="5"/>
      <c r="AR888" s="5"/>
      <c r="AS888" s="5"/>
      <c r="AT888" s="5"/>
      <c r="AU888" s="5"/>
      <c r="AV888" s="5"/>
      <c r="AW888" s="5"/>
      <c r="AX888" s="5"/>
      <c r="AY888" s="5"/>
      <c r="AZ888" s="5"/>
      <c r="BA888" s="5"/>
      <c r="BB888" s="5"/>
      <c r="BC888" s="5"/>
      <c r="BD888" s="5"/>
      <c r="BE888" s="5"/>
    </row>
    <row r="889">
      <c r="A889" s="5"/>
      <c r="B889" s="5"/>
      <c r="C889" s="5"/>
      <c r="D889" s="5"/>
      <c r="E889" s="5"/>
      <c r="F889" s="5"/>
      <c r="G889" s="5"/>
      <c r="H889" s="5"/>
      <c r="I889" s="5"/>
      <c r="J889" s="5"/>
      <c r="K889" s="5"/>
      <c r="L889" s="5"/>
      <c r="M889" s="5"/>
      <c r="N889" s="5"/>
      <c r="O889" s="5"/>
      <c r="P889" s="12"/>
      <c r="Q889" s="13"/>
      <c r="R889" s="13"/>
      <c r="S889" s="13"/>
      <c r="T889" s="5"/>
      <c r="U889" s="5"/>
      <c r="V889" s="5"/>
      <c r="W889" s="5"/>
      <c r="X889" s="5"/>
      <c r="Y889" s="5"/>
      <c r="Z889" s="5"/>
      <c r="AA889" s="5"/>
      <c r="AB889" s="5"/>
      <c r="AC889" s="5"/>
      <c r="AD889" s="5"/>
      <c r="AE889" s="5"/>
      <c r="AF889" s="5"/>
      <c r="AG889" s="8"/>
      <c r="AH889" s="5"/>
      <c r="AI889" s="13"/>
      <c r="AJ889" s="5"/>
      <c r="AK889" s="5"/>
      <c r="AL889" s="5"/>
      <c r="AM889" s="5"/>
      <c r="AN889" s="5"/>
      <c r="AO889" s="5"/>
      <c r="AP889" s="5"/>
      <c r="AQ889" s="5"/>
      <c r="AR889" s="5"/>
      <c r="AS889" s="5"/>
      <c r="AT889" s="5"/>
      <c r="AU889" s="5"/>
      <c r="AV889" s="5"/>
      <c r="AW889" s="5"/>
      <c r="AX889" s="5"/>
      <c r="AY889" s="5"/>
      <c r="AZ889" s="5"/>
      <c r="BA889" s="5"/>
      <c r="BB889" s="5"/>
      <c r="BC889" s="5"/>
      <c r="BD889" s="5"/>
      <c r="BE889" s="5"/>
    </row>
    <row r="890">
      <c r="A890" s="5"/>
      <c r="B890" s="5"/>
      <c r="C890" s="5"/>
      <c r="D890" s="5"/>
      <c r="E890" s="5"/>
      <c r="F890" s="5"/>
      <c r="G890" s="5"/>
      <c r="H890" s="5"/>
      <c r="I890" s="5"/>
      <c r="J890" s="5"/>
      <c r="K890" s="5"/>
      <c r="L890" s="5"/>
      <c r="M890" s="5"/>
      <c r="N890" s="5"/>
      <c r="O890" s="5"/>
      <c r="P890" s="12"/>
      <c r="Q890" s="13"/>
      <c r="R890" s="13"/>
      <c r="S890" s="13"/>
      <c r="T890" s="5"/>
      <c r="U890" s="5"/>
      <c r="V890" s="5"/>
      <c r="W890" s="5"/>
      <c r="X890" s="5"/>
      <c r="Y890" s="5"/>
      <c r="Z890" s="5"/>
      <c r="AA890" s="5"/>
      <c r="AB890" s="5"/>
      <c r="AC890" s="5"/>
      <c r="AD890" s="5"/>
      <c r="AE890" s="5"/>
      <c r="AF890" s="5"/>
      <c r="AG890" s="8"/>
      <c r="AH890" s="5"/>
      <c r="AI890" s="13"/>
      <c r="AJ890" s="5"/>
      <c r="AK890" s="5"/>
      <c r="AL890" s="5"/>
      <c r="AM890" s="5"/>
      <c r="AN890" s="5"/>
      <c r="AO890" s="5"/>
      <c r="AP890" s="5"/>
      <c r="AQ890" s="5"/>
      <c r="AR890" s="5"/>
      <c r="AS890" s="5"/>
      <c r="AT890" s="5"/>
      <c r="AU890" s="5"/>
      <c r="AV890" s="5"/>
      <c r="AW890" s="5"/>
      <c r="AX890" s="5"/>
      <c r="AY890" s="5"/>
      <c r="AZ890" s="5"/>
      <c r="BA890" s="5"/>
      <c r="BB890" s="5"/>
      <c r="BC890" s="5"/>
      <c r="BD890" s="5"/>
      <c r="BE890" s="5"/>
    </row>
    <row r="891">
      <c r="A891" s="5"/>
      <c r="B891" s="5"/>
      <c r="C891" s="5"/>
      <c r="D891" s="5"/>
      <c r="E891" s="5"/>
      <c r="F891" s="5"/>
      <c r="G891" s="5"/>
      <c r="H891" s="5"/>
      <c r="I891" s="5"/>
      <c r="J891" s="5"/>
      <c r="K891" s="5"/>
      <c r="L891" s="5"/>
      <c r="M891" s="5"/>
      <c r="N891" s="5"/>
      <c r="O891" s="5"/>
      <c r="P891" s="12"/>
      <c r="Q891" s="13"/>
      <c r="R891" s="13"/>
      <c r="S891" s="13"/>
      <c r="T891" s="5"/>
      <c r="U891" s="5"/>
      <c r="V891" s="5"/>
      <c r="W891" s="5"/>
      <c r="X891" s="5"/>
      <c r="Y891" s="5"/>
      <c r="Z891" s="5"/>
      <c r="AA891" s="5"/>
      <c r="AB891" s="5"/>
      <c r="AC891" s="5"/>
      <c r="AD891" s="5"/>
      <c r="AE891" s="5"/>
      <c r="AF891" s="5"/>
      <c r="AG891" s="8"/>
      <c r="AH891" s="5"/>
      <c r="AI891" s="13"/>
      <c r="AJ891" s="5"/>
      <c r="AK891" s="5"/>
      <c r="AL891" s="5"/>
      <c r="AM891" s="5"/>
      <c r="AN891" s="5"/>
      <c r="AO891" s="5"/>
      <c r="AP891" s="5"/>
      <c r="AQ891" s="5"/>
      <c r="AR891" s="5"/>
      <c r="AS891" s="5"/>
      <c r="AT891" s="5"/>
      <c r="AU891" s="5"/>
      <c r="AV891" s="5"/>
      <c r="AW891" s="5"/>
      <c r="AX891" s="5"/>
      <c r="AY891" s="5"/>
      <c r="AZ891" s="5"/>
      <c r="BA891" s="5"/>
      <c r="BB891" s="5"/>
      <c r="BC891" s="5"/>
      <c r="BD891" s="5"/>
      <c r="BE891" s="5"/>
    </row>
    <row r="892">
      <c r="A892" s="5"/>
      <c r="B892" s="5"/>
      <c r="C892" s="5"/>
      <c r="D892" s="5"/>
      <c r="E892" s="5"/>
      <c r="F892" s="5"/>
      <c r="G892" s="5"/>
      <c r="H892" s="5"/>
      <c r="I892" s="5"/>
      <c r="J892" s="5"/>
      <c r="K892" s="5"/>
      <c r="L892" s="5"/>
      <c r="M892" s="5"/>
      <c r="N892" s="5"/>
      <c r="O892" s="5"/>
      <c r="P892" s="12"/>
      <c r="Q892" s="13"/>
      <c r="R892" s="13"/>
      <c r="S892" s="13"/>
      <c r="T892" s="5"/>
      <c r="U892" s="5"/>
      <c r="V892" s="5"/>
      <c r="W892" s="5"/>
      <c r="X892" s="5"/>
      <c r="Y892" s="5"/>
      <c r="Z892" s="5"/>
      <c r="AA892" s="5"/>
      <c r="AB892" s="5"/>
      <c r="AC892" s="5"/>
      <c r="AD892" s="5"/>
      <c r="AE892" s="5"/>
      <c r="AF892" s="5"/>
      <c r="AG892" s="8"/>
      <c r="AH892" s="5"/>
      <c r="AI892" s="13"/>
      <c r="AJ892" s="5"/>
      <c r="AK892" s="5"/>
      <c r="AL892" s="5"/>
      <c r="AM892" s="5"/>
      <c r="AN892" s="5"/>
      <c r="AO892" s="5"/>
      <c r="AP892" s="5"/>
      <c r="AQ892" s="5"/>
      <c r="AR892" s="5"/>
      <c r="AS892" s="5"/>
      <c r="AT892" s="5"/>
      <c r="AU892" s="5"/>
      <c r="AV892" s="5"/>
      <c r="AW892" s="5"/>
      <c r="AX892" s="5"/>
      <c r="AY892" s="5"/>
      <c r="AZ892" s="5"/>
      <c r="BA892" s="5"/>
      <c r="BB892" s="5"/>
      <c r="BC892" s="5"/>
      <c r="BD892" s="5"/>
      <c r="BE892" s="5"/>
    </row>
    <row r="893">
      <c r="A893" s="5"/>
      <c r="B893" s="5"/>
      <c r="C893" s="5"/>
      <c r="D893" s="5"/>
      <c r="E893" s="5"/>
      <c r="F893" s="5"/>
      <c r="G893" s="5"/>
      <c r="H893" s="5"/>
      <c r="I893" s="5"/>
      <c r="J893" s="5"/>
      <c r="K893" s="5"/>
      <c r="L893" s="5"/>
      <c r="M893" s="5"/>
      <c r="N893" s="5"/>
      <c r="O893" s="5"/>
      <c r="P893" s="12"/>
      <c r="Q893" s="13"/>
      <c r="R893" s="13"/>
      <c r="S893" s="13"/>
      <c r="T893" s="5"/>
      <c r="U893" s="5"/>
      <c r="V893" s="5"/>
      <c r="W893" s="5"/>
      <c r="X893" s="5"/>
      <c r="Y893" s="5"/>
      <c r="Z893" s="5"/>
      <c r="AA893" s="5"/>
      <c r="AB893" s="5"/>
      <c r="AC893" s="5"/>
      <c r="AD893" s="5"/>
      <c r="AE893" s="5"/>
      <c r="AF893" s="5"/>
      <c r="AG893" s="8"/>
      <c r="AH893" s="5"/>
      <c r="AI893" s="13"/>
      <c r="AJ893" s="5"/>
      <c r="AK893" s="5"/>
      <c r="AL893" s="5"/>
      <c r="AM893" s="5"/>
      <c r="AN893" s="5"/>
      <c r="AO893" s="5"/>
      <c r="AP893" s="5"/>
      <c r="AQ893" s="5"/>
      <c r="AR893" s="5"/>
      <c r="AS893" s="5"/>
      <c r="AT893" s="5"/>
      <c r="AU893" s="5"/>
      <c r="AV893" s="5"/>
      <c r="AW893" s="5"/>
      <c r="AX893" s="5"/>
      <c r="AY893" s="5"/>
      <c r="AZ893" s="5"/>
      <c r="BA893" s="5"/>
      <c r="BB893" s="5"/>
      <c r="BC893" s="5"/>
      <c r="BD893" s="5"/>
      <c r="BE893" s="5"/>
    </row>
    <row r="894">
      <c r="A894" s="5"/>
      <c r="B894" s="5"/>
      <c r="C894" s="5"/>
      <c r="D894" s="5"/>
      <c r="E894" s="5"/>
      <c r="F894" s="5"/>
      <c r="G894" s="5"/>
      <c r="H894" s="5"/>
      <c r="I894" s="5"/>
      <c r="J894" s="5"/>
      <c r="K894" s="5"/>
      <c r="L894" s="5"/>
      <c r="M894" s="5"/>
      <c r="N894" s="5"/>
      <c r="O894" s="5"/>
      <c r="P894" s="12"/>
      <c r="Q894" s="13"/>
      <c r="R894" s="13"/>
      <c r="S894" s="13"/>
      <c r="T894" s="5"/>
      <c r="U894" s="5"/>
      <c r="V894" s="5"/>
      <c r="W894" s="5"/>
      <c r="X894" s="5"/>
      <c r="Y894" s="5"/>
      <c r="Z894" s="5"/>
      <c r="AA894" s="5"/>
      <c r="AB894" s="5"/>
      <c r="AC894" s="5"/>
      <c r="AD894" s="5"/>
      <c r="AE894" s="5"/>
      <c r="AF894" s="5"/>
      <c r="AG894" s="8"/>
      <c r="AH894" s="5"/>
      <c r="AI894" s="13"/>
      <c r="AJ894" s="5"/>
      <c r="AK894" s="5"/>
      <c r="AL894" s="5"/>
      <c r="AM894" s="5"/>
      <c r="AN894" s="5"/>
      <c r="AO894" s="5"/>
      <c r="AP894" s="5"/>
      <c r="AQ894" s="5"/>
      <c r="AR894" s="5"/>
      <c r="AS894" s="5"/>
      <c r="AT894" s="5"/>
      <c r="AU894" s="5"/>
      <c r="AV894" s="5"/>
      <c r="AW894" s="5"/>
      <c r="AX894" s="5"/>
      <c r="AY894" s="5"/>
      <c r="AZ894" s="5"/>
      <c r="BA894" s="5"/>
      <c r="BB894" s="5"/>
      <c r="BC894" s="5"/>
      <c r="BD894" s="5"/>
      <c r="BE894" s="5"/>
    </row>
    <row r="895">
      <c r="A895" s="5"/>
      <c r="B895" s="5"/>
      <c r="C895" s="5"/>
      <c r="D895" s="5"/>
      <c r="E895" s="5"/>
      <c r="F895" s="5"/>
      <c r="G895" s="5"/>
      <c r="H895" s="5"/>
      <c r="I895" s="5"/>
      <c r="J895" s="5"/>
      <c r="K895" s="5"/>
      <c r="L895" s="5"/>
      <c r="M895" s="5"/>
      <c r="N895" s="5"/>
      <c r="O895" s="5"/>
      <c r="P895" s="12"/>
      <c r="Q895" s="13"/>
      <c r="R895" s="13"/>
      <c r="S895" s="13"/>
      <c r="T895" s="5"/>
      <c r="U895" s="5"/>
      <c r="V895" s="5"/>
      <c r="W895" s="5"/>
      <c r="X895" s="5"/>
      <c r="Y895" s="5"/>
      <c r="Z895" s="5"/>
      <c r="AA895" s="5"/>
      <c r="AB895" s="5"/>
      <c r="AC895" s="5"/>
      <c r="AD895" s="5"/>
      <c r="AE895" s="5"/>
      <c r="AF895" s="5"/>
      <c r="AG895" s="8"/>
      <c r="AH895" s="5"/>
      <c r="AI895" s="13"/>
      <c r="AJ895" s="5"/>
      <c r="AK895" s="5"/>
      <c r="AL895" s="5"/>
      <c r="AM895" s="5"/>
      <c r="AN895" s="5"/>
      <c r="AO895" s="5"/>
      <c r="AP895" s="5"/>
      <c r="AQ895" s="5"/>
      <c r="AR895" s="5"/>
      <c r="AS895" s="5"/>
      <c r="AT895" s="5"/>
      <c r="AU895" s="5"/>
      <c r="AV895" s="5"/>
      <c r="AW895" s="5"/>
      <c r="AX895" s="5"/>
      <c r="AY895" s="5"/>
      <c r="AZ895" s="5"/>
      <c r="BA895" s="5"/>
      <c r="BB895" s="5"/>
      <c r="BC895" s="5"/>
      <c r="BD895" s="5"/>
      <c r="BE895" s="5"/>
    </row>
    <row r="896">
      <c r="A896" s="5"/>
      <c r="B896" s="5"/>
      <c r="C896" s="5"/>
      <c r="D896" s="5"/>
      <c r="E896" s="5"/>
      <c r="F896" s="5"/>
      <c r="G896" s="5"/>
      <c r="H896" s="5"/>
      <c r="I896" s="5"/>
      <c r="J896" s="5"/>
      <c r="K896" s="5"/>
      <c r="L896" s="5"/>
      <c r="M896" s="5"/>
      <c r="N896" s="5"/>
      <c r="O896" s="5"/>
      <c r="P896" s="12"/>
      <c r="Q896" s="13"/>
      <c r="R896" s="13"/>
      <c r="S896" s="13"/>
      <c r="T896" s="5"/>
      <c r="U896" s="5"/>
      <c r="V896" s="5"/>
      <c r="W896" s="5"/>
      <c r="X896" s="5"/>
      <c r="Y896" s="5"/>
      <c r="Z896" s="5"/>
      <c r="AA896" s="5"/>
      <c r="AB896" s="5"/>
      <c r="AC896" s="5"/>
      <c r="AD896" s="5"/>
      <c r="AE896" s="5"/>
      <c r="AF896" s="5"/>
      <c r="AG896" s="8"/>
      <c r="AH896" s="5"/>
      <c r="AI896" s="13"/>
      <c r="AJ896" s="5"/>
      <c r="AK896" s="5"/>
      <c r="AL896" s="5"/>
      <c r="AM896" s="5"/>
      <c r="AN896" s="5"/>
      <c r="AO896" s="5"/>
      <c r="AP896" s="5"/>
      <c r="AQ896" s="5"/>
      <c r="AR896" s="5"/>
      <c r="AS896" s="5"/>
      <c r="AT896" s="5"/>
      <c r="AU896" s="5"/>
      <c r="AV896" s="5"/>
      <c r="AW896" s="5"/>
      <c r="AX896" s="5"/>
      <c r="AY896" s="5"/>
      <c r="AZ896" s="5"/>
      <c r="BA896" s="5"/>
      <c r="BB896" s="5"/>
      <c r="BC896" s="5"/>
      <c r="BD896" s="5"/>
      <c r="BE896" s="5"/>
    </row>
    <row r="897">
      <c r="A897" s="5"/>
      <c r="B897" s="5"/>
      <c r="C897" s="5"/>
      <c r="D897" s="5"/>
      <c r="E897" s="5"/>
      <c r="F897" s="5"/>
      <c r="G897" s="5"/>
      <c r="H897" s="5"/>
      <c r="I897" s="5"/>
      <c r="J897" s="5"/>
      <c r="K897" s="5"/>
      <c r="L897" s="5"/>
      <c r="M897" s="5"/>
      <c r="N897" s="5"/>
      <c r="O897" s="5"/>
      <c r="P897" s="12"/>
      <c r="Q897" s="13"/>
      <c r="R897" s="13"/>
      <c r="S897" s="13"/>
      <c r="T897" s="5"/>
      <c r="U897" s="5"/>
      <c r="V897" s="5"/>
      <c r="W897" s="5"/>
      <c r="X897" s="5"/>
      <c r="Y897" s="5"/>
      <c r="Z897" s="5"/>
      <c r="AA897" s="5"/>
      <c r="AB897" s="5"/>
      <c r="AC897" s="5"/>
      <c r="AD897" s="5"/>
      <c r="AE897" s="5"/>
      <c r="AF897" s="5"/>
      <c r="AG897" s="8"/>
      <c r="AH897" s="5"/>
      <c r="AI897" s="13"/>
      <c r="AJ897" s="5"/>
      <c r="AK897" s="5"/>
      <c r="AL897" s="5"/>
      <c r="AM897" s="5"/>
      <c r="AN897" s="5"/>
      <c r="AO897" s="5"/>
      <c r="AP897" s="5"/>
      <c r="AQ897" s="5"/>
      <c r="AR897" s="5"/>
      <c r="AS897" s="5"/>
      <c r="AT897" s="5"/>
      <c r="AU897" s="5"/>
      <c r="AV897" s="5"/>
      <c r="AW897" s="5"/>
      <c r="AX897" s="5"/>
      <c r="AY897" s="5"/>
      <c r="AZ897" s="5"/>
      <c r="BA897" s="5"/>
      <c r="BB897" s="5"/>
      <c r="BC897" s="5"/>
      <c r="BD897" s="5"/>
      <c r="BE897" s="5"/>
    </row>
    <row r="898">
      <c r="A898" s="5"/>
      <c r="B898" s="5"/>
      <c r="C898" s="5"/>
      <c r="D898" s="5"/>
      <c r="E898" s="5"/>
      <c r="F898" s="5"/>
      <c r="G898" s="5"/>
      <c r="H898" s="5"/>
      <c r="I898" s="5"/>
      <c r="J898" s="5"/>
      <c r="K898" s="5"/>
      <c r="L898" s="5"/>
      <c r="M898" s="5"/>
      <c r="N898" s="5"/>
      <c r="O898" s="5"/>
      <c r="P898" s="12"/>
      <c r="Q898" s="13"/>
      <c r="R898" s="13"/>
      <c r="S898" s="13"/>
      <c r="T898" s="5"/>
      <c r="U898" s="5"/>
      <c r="V898" s="5"/>
      <c r="W898" s="5"/>
      <c r="X898" s="5"/>
      <c r="Y898" s="5"/>
      <c r="Z898" s="5"/>
      <c r="AA898" s="5"/>
      <c r="AB898" s="5"/>
      <c r="AC898" s="5"/>
      <c r="AD898" s="5"/>
      <c r="AE898" s="5"/>
      <c r="AF898" s="5"/>
      <c r="AG898" s="8"/>
      <c r="AH898" s="5"/>
      <c r="AI898" s="13"/>
      <c r="AJ898" s="5"/>
      <c r="AK898" s="5"/>
      <c r="AL898" s="5"/>
      <c r="AM898" s="5"/>
      <c r="AN898" s="5"/>
      <c r="AO898" s="5"/>
      <c r="AP898" s="5"/>
      <c r="AQ898" s="5"/>
      <c r="AR898" s="5"/>
      <c r="AS898" s="5"/>
      <c r="AT898" s="5"/>
      <c r="AU898" s="5"/>
      <c r="AV898" s="5"/>
      <c r="AW898" s="5"/>
      <c r="AX898" s="5"/>
      <c r="AY898" s="5"/>
      <c r="AZ898" s="5"/>
      <c r="BA898" s="5"/>
      <c r="BB898" s="5"/>
      <c r="BC898" s="5"/>
      <c r="BD898" s="5"/>
      <c r="BE898" s="5"/>
    </row>
    <row r="899">
      <c r="A899" s="5"/>
      <c r="B899" s="5"/>
      <c r="C899" s="5"/>
      <c r="D899" s="5"/>
      <c r="E899" s="5"/>
      <c r="F899" s="5"/>
      <c r="G899" s="5"/>
      <c r="H899" s="5"/>
      <c r="I899" s="5"/>
      <c r="J899" s="5"/>
      <c r="K899" s="5"/>
      <c r="L899" s="5"/>
      <c r="M899" s="5"/>
      <c r="N899" s="5"/>
      <c r="O899" s="5"/>
      <c r="P899" s="12"/>
      <c r="Q899" s="13"/>
      <c r="R899" s="13"/>
      <c r="S899" s="13"/>
      <c r="T899" s="5"/>
      <c r="U899" s="5"/>
      <c r="V899" s="5"/>
      <c r="W899" s="5"/>
      <c r="X899" s="5"/>
      <c r="Y899" s="5"/>
      <c r="Z899" s="5"/>
      <c r="AA899" s="5"/>
      <c r="AB899" s="5"/>
      <c r="AC899" s="5"/>
      <c r="AD899" s="5"/>
      <c r="AE899" s="5"/>
      <c r="AF899" s="5"/>
      <c r="AG899" s="8"/>
      <c r="AH899" s="5"/>
      <c r="AI899" s="13"/>
      <c r="AJ899" s="5"/>
      <c r="AK899" s="5"/>
      <c r="AL899" s="5"/>
      <c r="AM899" s="5"/>
      <c r="AN899" s="5"/>
      <c r="AO899" s="5"/>
      <c r="AP899" s="5"/>
      <c r="AQ899" s="5"/>
      <c r="AR899" s="5"/>
      <c r="AS899" s="5"/>
      <c r="AT899" s="5"/>
      <c r="AU899" s="5"/>
      <c r="AV899" s="5"/>
      <c r="AW899" s="5"/>
      <c r="AX899" s="5"/>
      <c r="AY899" s="5"/>
      <c r="AZ899" s="5"/>
      <c r="BA899" s="5"/>
      <c r="BB899" s="5"/>
      <c r="BC899" s="5"/>
      <c r="BD899" s="5"/>
      <c r="BE899" s="5"/>
    </row>
    <row r="900">
      <c r="A900" s="5"/>
      <c r="B900" s="5"/>
      <c r="C900" s="5"/>
      <c r="D900" s="5"/>
      <c r="E900" s="5"/>
      <c r="F900" s="5"/>
      <c r="G900" s="5"/>
      <c r="H900" s="5"/>
      <c r="I900" s="5"/>
      <c r="J900" s="5"/>
      <c r="K900" s="5"/>
      <c r="L900" s="5"/>
      <c r="M900" s="5"/>
      <c r="N900" s="5"/>
      <c r="O900" s="5"/>
      <c r="P900" s="12"/>
      <c r="Q900" s="13"/>
      <c r="R900" s="13"/>
      <c r="S900" s="13"/>
      <c r="T900" s="5"/>
      <c r="U900" s="5"/>
      <c r="V900" s="5"/>
      <c r="W900" s="5"/>
      <c r="X900" s="5"/>
      <c r="Y900" s="5"/>
      <c r="Z900" s="5"/>
      <c r="AA900" s="5"/>
      <c r="AB900" s="5"/>
      <c r="AC900" s="5"/>
      <c r="AD900" s="5"/>
      <c r="AE900" s="5"/>
      <c r="AF900" s="5"/>
      <c r="AG900" s="8"/>
      <c r="AH900" s="5"/>
      <c r="AI900" s="13"/>
      <c r="AJ900" s="5"/>
      <c r="AK900" s="5"/>
      <c r="AL900" s="5"/>
      <c r="AM900" s="5"/>
      <c r="AN900" s="5"/>
      <c r="AO900" s="5"/>
      <c r="AP900" s="5"/>
      <c r="AQ900" s="5"/>
      <c r="AR900" s="5"/>
      <c r="AS900" s="5"/>
      <c r="AT900" s="5"/>
      <c r="AU900" s="5"/>
      <c r="AV900" s="5"/>
      <c r="AW900" s="5"/>
      <c r="AX900" s="5"/>
      <c r="AY900" s="5"/>
      <c r="AZ900" s="5"/>
      <c r="BA900" s="5"/>
      <c r="BB900" s="5"/>
      <c r="BC900" s="5"/>
      <c r="BD900" s="5"/>
      <c r="BE900" s="5"/>
    </row>
    <row r="901">
      <c r="A901" s="5"/>
      <c r="B901" s="5"/>
      <c r="C901" s="5"/>
      <c r="D901" s="5"/>
      <c r="E901" s="5"/>
      <c r="F901" s="5"/>
      <c r="G901" s="5"/>
      <c r="H901" s="5"/>
      <c r="I901" s="5"/>
      <c r="J901" s="5"/>
      <c r="K901" s="5"/>
      <c r="L901" s="5"/>
      <c r="M901" s="5"/>
      <c r="N901" s="5"/>
      <c r="O901" s="5"/>
      <c r="P901" s="12"/>
      <c r="Q901" s="13"/>
      <c r="R901" s="13"/>
      <c r="S901" s="13"/>
      <c r="T901" s="5"/>
      <c r="U901" s="5"/>
      <c r="V901" s="5"/>
      <c r="W901" s="5"/>
      <c r="X901" s="5"/>
      <c r="Y901" s="5"/>
      <c r="Z901" s="5"/>
      <c r="AA901" s="5"/>
      <c r="AB901" s="5"/>
      <c r="AC901" s="5"/>
      <c r="AD901" s="5"/>
      <c r="AE901" s="5"/>
      <c r="AF901" s="5"/>
      <c r="AG901" s="8"/>
      <c r="AH901" s="5"/>
      <c r="AI901" s="13"/>
      <c r="AJ901" s="5"/>
      <c r="AK901" s="5"/>
      <c r="AL901" s="5"/>
      <c r="AM901" s="5"/>
      <c r="AN901" s="5"/>
      <c r="AO901" s="5"/>
      <c r="AP901" s="5"/>
      <c r="AQ901" s="5"/>
      <c r="AR901" s="5"/>
      <c r="AS901" s="5"/>
      <c r="AT901" s="5"/>
      <c r="AU901" s="5"/>
      <c r="AV901" s="5"/>
      <c r="AW901" s="5"/>
      <c r="AX901" s="5"/>
      <c r="AY901" s="5"/>
      <c r="AZ901" s="5"/>
      <c r="BA901" s="5"/>
      <c r="BB901" s="5"/>
      <c r="BC901" s="5"/>
      <c r="BD901" s="5"/>
      <c r="BE901" s="5"/>
    </row>
    <row r="902">
      <c r="A902" s="5"/>
      <c r="B902" s="5"/>
      <c r="C902" s="5"/>
      <c r="D902" s="5"/>
      <c r="E902" s="5"/>
      <c r="F902" s="5"/>
      <c r="G902" s="5"/>
      <c r="H902" s="5"/>
      <c r="I902" s="5"/>
      <c r="J902" s="5"/>
      <c r="K902" s="5"/>
      <c r="L902" s="5"/>
      <c r="M902" s="5"/>
      <c r="N902" s="5"/>
      <c r="O902" s="5"/>
      <c r="P902" s="12"/>
      <c r="Q902" s="13"/>
      <c r="R902" s="13"/>
      <c r="S902" s="13"/>
      <c r="T902" s="5"/>
      <c r="U902" s="5"/>
      <c r="V902" s="5"/>
      <c r="W902" s="5"/>
      <c r="X902" s="5"/>
      <c r="Y902" s="5"/>
      <c r="Z902" s="5"/>
      <c r="AA902" s="5"/>
      <c r="AB902" s="5"/>
      <c r="AC902" s="5"/>
      <c r="AD902" s="5"/>
      <c r="AE902" s="5"/>
      <c r="AF902" s="5"/>
      <c r="AG902" s="8"/>
      <c r="AH902" s="5"/>
      <c r="AI902" s="13"/>
      <c r="AJ902" s="5"/>
      <c r="AK902" s="5"/>
      <c r="AL902" s="5"/>
      <c r="AM902" s="5"/>
      <c r="AN902" s="5"/>
      <c r="AO902" s="5"/>
      <c r="AP902" s="5"/>
      <c r="AQ902" s="5"/>
      <c r="AR902" s="5"/>
      <c r="AS902" s="5"/>
      <c r="AT902" s="5"/>
      <c r="AU902" s="5"/>
      <c r="AV902" s="5"/>
      <c r="AW902" s="5"/>
      <c r="AX902" s="5"/>
      <c r="AY902" s="5"/>
      <c r="AZ902" s="5"/>
      <c r="BA902" s="5"/>
      <c r="BB902" s="5"/>
      <c r="BC902" s="5"/>
      <c r="BD902" s="5"/>
      <c r="BE902" s="5"/>
    </row>
    <row r="903">
      <c r="A903" s="5"/>
      <c r="B903" s="5"/>
      <c r="C903" s="5"/>
      <c r="D903" s="5"/>
      <c r="E903" s="5"/>
      <c r="F903" s="5"/>
      <c r="G903" s="5"/>
      <c r="H903" s="5"/>
      <c r="I903" s="5"/>
      <c r="J903" s="5"/>
      <c r="K903" s="5"/>
      <c r="L903" s="5"/>
      <c r="M903" s="5"/>
      <c r="N903" s="5"/>
      <c r="O903" s="5"/>
      <c r="P903" s="12"/>
      <c r="Q903" s="13"/>
      <c r="R903" s="13"/>
      <c r="S903" s="13"/>
      <c r="T903" s="5"/>
      <c r="U903" s="5"/>
      <c r="V903" s="5"/>
      <c r="W903" s="5"/>
      <c r="X903" s="5"/>
      <c r="Y903" s="5"/>
      <c r="Z903" s="5"/>
      <c r="AA903" s="5"/>
      <c r="AB903" s="5"/>
      <c r="AC903" s="5"/>
      <c r="AD903" s="5"/>
      <c r="AE903" s="5"/>
      <c r="AF903" s="5"/>
      <c r="AG903" s="8"/>
      <c r="AH903" s="5"/>
      <c r="AI903" s="13"/>
      <c r="AJ903" s="5"/>
      <c r="AK903" s="5"/>
      <c r="AL903" s="5"/>
      <c r="AM903" s="5"/>
      <c r="AN903" s="5"/>
      <c r="AO903" s="5"/>
      <c r="AP903" s="5"/>
      <c r="AQ903" s="5"/>
      <c r="AR903" s="5"/>
      <c r="AS903" s="5"/>
      <c r="AT903" s="5"/>
      <c r="AU903" s="5"/>
      <c r="AV903" s="5"/>
      <c r="AW903" s="5"/>
      <c r="AX903" s="5"/>
      <c r="AY903" s="5"/>
      <c r="AZ903" s="5"/>
      <c r="BA903" s="5"/>
      <c r="BB903" s="5"/>
      <c r="BC903" s="5"/>
      <c r="BD903" s="5"/>
      <c r="BE903" s="5"/>
    </row>
    <row r="904">
      <c r="A904" s="5"/>
      <c r="B904" s="5"/>
      <c r="C904" s="5"/>
      <c r="D904" s="5"/>
      <c r="E904" s="5"/>
      <c r="F904" s="5"/>
      <c r="G904" s="5"/>
      <c r="H904" s="5"/>
      <c r="I904" s="5"/>
      <c r="J904" s="5"/>
      <c r="K904" s="5"/>
      <c r="L904" s="5"/>
      <c r="M904" s="5"/>
      <c r="N904" s="5"/>
      <c r="O904" s="5"/>
      <c r="P904" s="12"/>
      <c r="Q904" s="13"/>
      <c r="R904" s="13"/>
      <c r="S904" s="13"/>
      <c r="T904" s="5"/>
      <c r="U904" s="5"/>
      <c r="V904" s="5"/>
      <c r="W904" s="5"/>
      <c r="X904" s="5"/>
      <c r="Y904" s="5"/>
      <c r="Z904" s="5"/>
      <c r="AA904" s="5"/>
      <c r="AB904" s="5"/>
      <c r="AC904" s="5"/>
      <c r="AD904" s="5"/>
      <c r="AE904" s="5"/>
      <c r="AF904" s="5"/>
      <c r="AG904" s="8"/>
      <c r="AH904" s="5"/>
      <c r="AI904" s="13"/>
      <c r="AJ904" s="5"/>
      <c r="AK904" s="5"/>
      <c r="AL904" s="5"/>
      <c r="AM904" s="5"/>
      <c r="AN904" s="5"/>
      <c r="AO904" s="5"/>
      <c r="AP904" s="5"/>
      <c r="AQ904" s="5"/>
      <c r="AR904" s="5"/>
      <c r="AS904" s="5"/>
      <c r="AT904" s="5"/>
      <c r="AU904" s="5"/>
      <c r="AV904" s="5"/>
      <c r="AW904" s="5"/>
      <c r="AX904" s="5"/>
      <c r="AY904" s="5"/>
      <c r="AZ904" s="5"/>
      <c r="BA904" s="5"/>
      <c r="BB904" s="5"/>
      <c r="BC904" s="5"/>
      <c r="BD904" s="5"/>
      <c r="BE904" s="5"/>
    </row>
    <row r="905">
      <c r="A905" s="5"/>
      <c r="B905" s="5"/>
      <c r="C905" s="5"/>
      <c r="D905" s="5"/>
      <c r="E905" s="5"/>
      <c r="F905" s="5"/>
      <c r="G905" s="5"/>
      <c r="H905" s="5"/>
      <c r="I905" s="5"/>
      <c r="J905" s="5"/>
      <c r="K905" s="5"/>
      <c r="L905" s="5"/>
      <c r="M905" s="5"/>
      <c r="N905" s="5"/>
      <c r="O905" s="5"/>
      <c r="P905" s="12"/>
      <c r="Q905" s="13"/>
      <c r="R905" s="13"/>
      <c r="S905" s="13"/>
      <c r="T905" s="5"/>
      <c r="U905" s="5"/>
      <c r="V905" s="5"/>
      <c r="W905" s="5"/>
      <c r="X905" s="5"/>
      <c r="Y905" s="5"/>
      <c r="Z905" s="5"/>
      <c r="AA905" s="5"/>
      <c r="AB905" s="5"/>
      <c r="AC905" s="5"/>
      <c r="AD905" s="5"/>
      <c r="AE905" s="5"/>
      <c r="AF905" s="5"/>
      <c r="AG905" s="8"/>
      <c r="AH905" s="5"/>
      <c r="AI905" s="13"/>
      <c r="AJ905" s="5"/>
      <c r="AK905" s="5"/>
      <c r="AL905" s="5"/>
      <c r="AM905" s="5"/>
      <c r="AN905" s="5"/>
      <c r="AO905" s="5"/>
      <c r="AP905" s="5"/>
      <c r="AQ905" s="5"/>
      <c r="AR905" s="5"/>
      <c r="AS905" s="5"/>
      <c r="AT905" s="5"/>
      <c r="AU905" s="5"/>
      <c r="AV905" s="5"/>
      <c r="AW905" s="5"/>
      <c r="AX905" s="5"/>
      <c r="AY905" s="5"/>
      <c r="AZ905" s="5"/>
      <c r="BA905" s="5"/>
      <c r="BB905" s="5"/>
      <c r="BC905" s="5"/>
      <c r="BD905" s="5"/>
      <c r="BE905" s="5"/>
    </row>
    <row r="906">
      <c r="A906" s="5"/>
      <c r="B906" s="5"/>
      <c r="C906" s="5"/>
      <c r="D906" s="5"/>
      <c r="E906" s="5"/>
      <c r="F906" s="5"/>
      <c r="G906" s="5"/>
      <c r="H906" s="5"/>
      <c r="I906" s="5"/>
      <c r="J906" s="5"/>
      <c r="K906" s="5"/>
      <c r="L906" s="5"/>
      <c r="M906" s="5"/>
      <c r="N906" s="5"/>
      <c r="O906" s="5"/>
      <c r="P906" s="12"/>
      <c r="Q906" s="13"/>
      <c r="R906" s="13"/>
      <c r="S906" s="13"/>
      <c r="T906" s="5"/>
      <c r="U906" s="5"/>
      <c r="V906" s="5"/>
      <c r="W906" s="5"/>
      <c r="X906" s="5"/>
      <c r="Y906" s="5"/>
      <c r="Z906" s="5"/>
      <c r="AA906" s="5"/>
      <c r="AB906" s="5"/>
      <c r="AC906" s="5"/>
      <c r="AD906" s="5"/>
      <c r="AE906" s="5"/>
      <c r="AF906" s="5"/>
      <c r="AG906" s="8"/>
      <c r="AH906" s="5"/>
      <c r="AI906" s="13"/>
      <c r="AJ906" s="5"/>
      <c r="AK906" s="5"/>
      <c r="AL906" s="5"/>
      <c r="AM906" s="5"/>
      <c r="AN906" s="5"/>
      <c r="AO906" s="5"/>
      <c r="AP906" s="5"/>
      <c r="AQ906" s="5"/>
      <c r="AR906" s="5"/>
      <c r="AS906" s="5"/>
      <c r="AT906" s="5"/>
      <c r="AU906" s="5"/>
      <c r="AV906" s="5"/>
      <c r="AW906" s="5"/>
      <c r="AX906" s="5"/>
      <c r="AY906" s="5"/>
      <c r="AZ906" s="5"/>
      <c r="BA906" s="5"/>
      <c r="BB906" s="5"/>
      <c r="BC906" s="5"/>
      <c r="BD906" s="5"/>
      <c r="BE906" s="5"/>
    </row>
    <row r="907">
      <c r="A907" s="5"/>
      <c r="B907" s="5"/>
      <c r="C907" s="5"/>
      <c r="D907" s="5"/>
      <c r="E907" s="5"/>
      <c r="F907" s="5"/>
      <c r="G907" s="5"/>
      <c r="H907" s="5"/>
      <c r="I907" s="5"/>
      <c r="J907" s="5"/>
      <c r="K907" s="5"/>
      <c r="L907" s="5"/>
      <c r="M907" s="5"/>
      <c r="N907" s="5"/>
      <c r="O907" s="5"/>
      <c r="P907" s="12"/>
      <c r="Q907" s="13"/>
      <c r="R907" s="13"/>
      <c r="S907" s="13"/>
      <c r="T907" s="5"/>
      <c r="U907" s="5"/>
      <c r="V907" s="5"/>
      <c r="W907" s="5"/>
      <c r="X907" s="5"/>
      <c r="Y907" s="5"/>
      <c r="Z907" s="5"/>
      <c r="AA907" s="5"/>
      <c r="AB907" s="5"/>
      <c r="AC907" s="5"/>
      <c r="AD907" s="5"/>
      <c r="AE907" s="5"/>
      <c r="AF907" s="5"/>
      <c r="AG907" s="8"/>
      <c r="AH907" s="5"/>
      <c r="AI907" s="13"/>
      <c r="AJ907" s="5"/>
      <c r="AK907" s="5"/>
      <c r="AL907" s="5"/>
      <c r="AM907" s="5"/>
      <c r="AN907" s="5"/>
      <c r="AO907" s="5"/>
      <c r="AP907" s="5"/>
      <c r="AQ907" s="5"/>
      <c r="AR907" s="5"/>
      <c r="AS907" s="5"/>
      <c r="AT907" s="5"/>
      <c r="AU907" s="5"/>
      <c r="AV907" s="5"/>
      <c r="AW907" s="5"/>
      <c r="AX907" s="5"/>
      <c r="AY907" s="5"/>
      <c r="AZ907" s="5"/>
      <c r="BA907" s="5"/>
      <c r="BB907" s="5"/>
      <c r="BC907" s="5"/>
      <c r="BD907" s="5"/>
      <c r="BE907" s="5"/>
    </row>
    <row r="908">
      <c r="A908" s="5"/>
      <c r="B908" s="5"/>
      <c r="C908" s="5"/>
      <c r="D908" s="5"/>
      <c r="E908" s="5"/>
      <c r="F908" s="5"/>
      <c r="G908" s="5"/>
      <c r="H908" s="5"/>
      <c r="I908" s="5"/>
      <c r="J908" s="5"/>
      <c r="K908" s="5"/>
      <c r="L908" s="5"/>
      <c r="M908" s="5"/>
      <c r="N908" s="5"/>
      <c r="O908" s="5"/>
      <c r="P908" s="12"/>
      <c r="Q908" s="13"/>
      <c r="R908" s="13"/>
      <c r="S908" s="13"/>
      <c r="T908" s="5"/>
      <c r="U908" s="5"/>
      <c r="V908" s="5"/>
      <c r="W908" s="5"/>
      <c r="X908" s="5"/>
      <c r="Y908" s="5"/>
      <c r="Z908" s="5"/>
      <c r="AA908" s="5"/>
      <c r="AB908" s="5"/>
      <c r="AC908" s="5"/>
      <c r="AD908" s="5"/>
      <c r="AE908" s="5"/>
      <c r="AF908" s="5"/>
      <c r="AG908" s="8"/>
      <c r="AH908" s="5"/>
      <c r="AI908" s="13"/>
      <c r="AJ908" s="5"/>
      <c r="AK908" s="5"/>
      <c r="AL908" s="5"/>
      <c r="AM908" s="5"/>
      <c r="AN908" s="5"/>
      <c r="AO908" s="5"/>
      <c r="AP908" s="5"/>
      <c r="AQ908" s="5"/>
      <c r="AR908" s="5"/>
      <c r="AS908" s="5"/>
      <c r="AT908" s="5"/>
      <c r="AU908" s="5"/>
      <c r="AV908" s="5"/>
      <c r="AW908" s="5"/>
      <c r="AX908" s="5"/>
      <c r="AY908" s="5"/>
      <c r="AZ908" s="5"/>
      <c r="BA908" s="5"/>
      <c r="BB908" s="5"/>
      <c r="BC908" s="5"/>
      <c r="BD908" s="5"/>
      <c r="BE908" s="5"/>
    </row>
    <row r="909">
      <c r="A909" s="5"/>
      <c r="B909" s="5"/>
      <c r="C909" s="5"/>
      <c r="D909" s="5"/>
      <c r="E909" s="5"/>
      <c r="F909" s="5"/>
      <c r="G909" s="5"/>
      <c r="H909" s="5"/>
      <c r="I909" s="5"/>
      <c r="J909" s="5"/>
      <c r="K909" s="5"/>
      <c r="L909" s="5"/>
      <c r="M909" s="5"/>
      <c r="N909" s="5"/>
      <c r="O909" s="5"/>
      <c r="P909" s="12"/>
      <c r="Q909" s="13"/>
      <c r="R909" s="13"/>
      <c r="S909" s="13"/>
      <c r="T909" s="5"/>
      <c r="U909" s="5"/>
      <c r="V909" s="5"/>
      <c r="W909" s="5"/>
      <c r="X909" s="5"/>
      <c r="Y909" s="5"/>
      <c r="Z909" s="5"/>
      <c r="AA909" s="5"/>
      <c r="AB909" s="5"/>
      <c r="AC909" s="5"/>
      <c r="AD909" s="5"/>
      <c r="AE909" s="5"/>
      <c r="AF909" s="5"/>
      <c r="AG909" s="8"/>
      <c r="AH909" s="5"/>
      <c r="AI909" s="13"/>
      <c r="AJ909" s="5"/>
      <c r="AK909" s="5"/>
      <c r="AL909" s="5"/>
      <c r="AM909" s="5"/>
      <c r="AN909" s="5"/>
      <c r="AO909" s="5"/>
      <c r="AP909" s="5"/>
      <c r="AQ909" s="5"/>
      <c r="AR909" s="5"/>
      <c r="AS909" s="5"/>
      <c r="AT909" s="5"/>
      <c r="AU909" s="5"/>
      <c r="AV909" s="5"/>
      <c r="AW909" s="5"/>
      <c r="AX909" s="5"/>
      <c r="AY909" s="5"/>
      <c r="AZ909" s="5"/>
      <c r="BA909" s="5"/>
      <c r="BB909" s="5"/>
      <c r="BC909" s="5"/>
      <c r="BD909" s="5"/>
      <c r="BE909" s="5"/>
    </row>
    <row r="910">
      <c r="A910" s="5"/>
      <c r="B910" s="5"/>
      <c r="C910" s="5"/>
      <c r="D910" s="5"/>
      <c r="E910" s="5"/>
      <c r="F910" s="5"/>
      <c r="G910" s="5"/>
      <c r="H910" s="5"/>
      <c r="I910" s="5"/>
      <c r="J910" s="5"/>
      <c r="K910" s="5"/>
      <c r="L910" s="5"/>
      <c r="M910" s="5"/>
      <c r="N910" s="5"/>
      <c r="O910" s="5"/>
      <c r="P910" s="12"/>
      <c r="Q910" s="13"/>
      <c r="R910" s="13"/>
      <c r="S910" s="13"/>
      <c r="T910" s="5"/>
      <c r="U910" s="5"/>
      <c r="V910" s="5"/>
      <c r="W910" s="5"/>
      <c r="X910" s="5"/>
      <c r="Y910" s="5"/>
      <c r="Z910" s="5"/>
      <c r="AA910" s="5"/>
      <c r="AB910" s="5"/>
      <c r="AC910" s="5"/>
      <c r="AD910" s="5"/>
      <c r="AE910" s="5"/>
      <c r="AF910" s="5"/>
      <c r="AG910" s="8"/>
      <c r="AH910" s="5"/>
      <c r="AI910" s="13"/>
      <c r="AJ910" s="5"/>
      <c r="AK910" s="5"/>
      <c r="AL910" s="5"/>
      <c r="AM910" s="5"/>
      <c r="AN910" s="5"/>
      <c r="AO910" s="5"/>
      <c r="AP910" s="5"/>
      <c r="AQ910" s="5"/>
      <c r="AR910" s="5"/>
      <c r="AS910" s="5"/>
      <c r="AT910" s="5"/>
      <c r="AU910" s="5"/>
      <c r="AV910" s="5"/>
      <c r="AW910" s="5"/>
      <c r="AX910" s="5"/>
      <c r="AY910" s="5"/>
      <c r="AZ910" s="5"/>
      <c r="BA910" s="5"/>
      <c r="BB910" s="5"/>
      <c r="BC910" s="5"/>
      <c r="BD910" s="5"/>
      <c r="BE910" s="5"/>
    </row>
    <row r="911">
      <c r="A911" s="5"/>
      <c r="B911" s="5"/>
      <c r="C911" s="5"/>
      <c r="D911" s="5"/>
      <c r="E911" s="5"/>
      <c r="F911" s="5"/>
      <c r="G911" s="5"/>
      <c r="H911" s="5"/>
      <c r="I911" s="5"/>
      <c r="J911" s="5"/>
      <c r="K911" s="5"/>
      <c r="L911" s="5"/>
      <c r="M911" s="5"/>
      <c r="N911" s="5"/>
      <c r="O911" s="5"/>
      <c r="P911" s="12"/>
      <c r="Q911" s="13"/>
      <c r="R911" s="13"/>
      <c r="S911" s="13"/>
      <c r="T911" s="5"/>
      <c r="U911" s="5"/>
      <c r="V911" s="5"/>
      <c r="W911" s="5"/>
      <c r="X911" s="5"/>
      <c r="Y911" s="5"/>
      <c r="Z911" s="5"/>
      <c r="AA911" s="5"/>
      <c r="AB911" s="5"/>
      <c r="AC911" s="5"/>
      <c r="AD911" s="5"/>
      <c r="AE911" s="5"/>
      <c r="AF911" s="5"/>
      <c r="AG911" s="8"/>
      <c r="AH911" s="5"/>
      <c r="AI911" s="13"/>
      <c r="AJ911" s="5"/>
      <c r="AK911" s="5"/>
      <c r="AL911" s="5"/>
      <c r="AM911" s="5"/>
      <c r="AN911" s="5"/>
      <c r="AO911" s="5"/>
      <c r="AP911" s="5"/>
      <c r="AQ911" s="5"/>
      <c r="AR911" s="5"/>
      <c r="AS911" s="5"/>
      <c r="AT911" s="5"/>
      <c r="AU911" s="5"/>
      <c r="AV911" s="5"/>
      <c r="AW911" s="5"/>
      <c r="AX911" s="5"/>
      <c r="AY911" s="5"/>
      <c r="AZ911" s="5"/>
      <c r="BA911" s="5"/>
      <c r="BB911" s="5"/>
      <c r="BC911" s="5"/>
      <c r="BD911" s="5"/>
      <c r="BE911" s="5"/>
    </row>
    <row r="912">
      <c r="A912" s="5"/>
      <c r="B912" s="5"/>
      <c r="C912" s="5"/>
      <c r="D912" s="5"/>
      <c r="E912" s="5"/>
      <c r="F912" s="5"/>
      <c r="G912" s="5"/>
      <c r="H912" s="5"/>
      <c r="I912" s="5"/>
      <c r="J912" s="5"/>
      <c r="K912" s="5"/>
      <c r="L912" s="5"/>
      <c r="M912" s="5"/>
      <c r="N912" s="5"/>
      <c r="O912" s="5"/>
      <c r="P912" s="12"/>
      <c r="Q912" s="13"/>
      <c r="R912" s="13"/>
      <c r="S912" s="13"/>
      <c r="T912" s="5"/>
      <c r="U912" s="5"/>
      <c r="V912" s="5"/>
      <c r="W912" s="5"/>
      <c r="X912" s="5"/>
      <c r="Y912" s="5"/>
      <c r="Z912" s="5"/>
      <c r="AA912" s="5"/>
      <c r="AB912" s="5"/>
      <c r="AC912" s="5"/>
      <c r="AD912" s="5"/>
      <c r="AE912" s="5"/>
      <c r="AF912" s="5"/>
      <c r="AG912" s="8"/>
      <c r="AH912" s="5"/>
      <c r="AI912" s="13"/>
      <c r="AJ912" s="5"/>
      <c r="AK912" s="5"/>
      <c r="AL912" s="5"/>
      <c r="AM912" s="5"/>
      <c r="AN912" s="5"/>
      <c r="AO912" s="5"/>
      <c r="AP912" s="5"/>
      <c r="AQ912" s="5"/>
      <c r="AR912" s="5"/>
      <c r="AS912" s="5"/>
      <c r="AT912" s="5"/>
      <c r="AU912" s="5"/>
      <c r="AV912" s="5"/>
      <c r="AW912" s="5"/>
      <c r="AX912" s="5"/>
      <c r="AY912" s="5"/>
      <c r="AZ912" s="5"/>
      <c r="BA912" s="5"/>
      <c r="BB912" s="5"/>
      <c r="BC912" s="5"/>
      <c r="BD912" s="5"/>
      <c r="BE912" s="5"/>
    </row>
    <row r="913">
      <c r="A913" s="5"/>
      <c r="B913" s="5"/>
      <c r="C913" s="5"/>
      <c r="D913" s="5"/>
      <c r="E913" s="5"/>
      <c r="F913" s="5"/>
      <c r="G913" s="5"/>
      <c r="H913" s="5"/>
      <c r="I913" s="5"/>
      <c r="J913" s="5"/>
      <c r="K913" s="5"/>
      <c r="L913" s="5"/>
      <c r="M913" s="5"/>
      <c r="N913" s="5"/>
      <c r="O913" s="5"/>
      <c r="P913" s="12"/>
      <c r="Q913" s="13"/>
      <c r="R913" s="13"/>
      <c r="S913" s="13"/>
      <c r="T913" s="5"/>
      <c r="U913" s="5"/>
      <c r="V913" s="5"/>
      <c r="W913" s="5"/>
      <c r="X913" s="5"/>
      <c r="Y913" s="5"/>
      <c r="Z913" s="5"/>
      <c r="AA913" s="5"/>
      <c r="AB913" s="5"/>
      <c r="AC913" s="5"/>
      <c r="AD913" s="5"/>
      <c r="AE913" s="5"/>
      <c r="AF913" s="5"/>
      <c r="AG913" s="8"/>
      <c r="AH913" s="5"/>
      <c r="AI913" s="13"/>
      <c r="AJ913" s="5"/>
      <c r="AK913" s="5"/>
      <c r="AL913" s="5"/>
      <c r="AM913" s="5"/>
      <c r="AN913" s="5"/>
      <c r="AO913" s="5"/>
      <c r="AP913" s="5"/>
      <c r="AQ913" s="5"/>
      <c r="AR913" s="5"/>
      <c r="AS913" s="5"/>
      <c r="AT913" s="5"/>
      <c r="AU913" s="5"/>
      <c r="AV913" s="5"/>
      <c r="AW913" s="5"/>
      <c r="AX913" s="5"/>
      <c r="AY913" s="5"/>
      <c r="AZ913" s="5"/>
      <c r="BA913" s="5"/>
      <c r="BB913" s="5"/>
      <c r="BC913" s="5"/>
      <c r="BD913" s="5"/>
      <c r="BE913" s="5"/>
    </row>
    <row r="914">
      <c r="A914" s="5"/>
      <c r="B914" s="5"/>
      <c r="C914" s="5"/>
      <c r="D914" s="5"/>
      <c r="E914" s="5"/>
      <c r="F914" s="5"/>
      <c r="G914" s="5"/>
      <c r="H914" s="5"/>
      <c r="I914" s="5"/>
      <c r="J914" s="5"/>
      <c r="K914" s="5"/>
      <c r="L914" s="5"/>
      <c r="M914" s="5"/>
      <c r="N914" s="5"/>
      <c r="O914" s="5"/>
      <c r="P914" s="12"/>
      <c r="Q914" s="13"/>
      <c r="R914" s="13"/>
      <c r="S914" s="13"/>
      <c r="T914" s="5"/>
      <c r="U914" s="5"/>
      <c r="V914" s="5"/>
      <c r="W914" s="5"/>
      <c r="X914" s="5"/>
      <c r="Y914" s="5"/>
      <c r="Z914" s="5"/>
      <c r="AA914" s="5"/>
      <c r="AB914" s="5"/>
      <c r="AC914" s="5"/>
      <c r="AD914" s="5"/>
      <c r="AE914" s="5"/>
      <c r="AF914" s="5"/>
      <c r="AG914" s="8"/>
      <c r="AH914" s="5"/>
      <c r="AI914" s="13"/>
      <c r="AJ914" s="5"/>
      <c r="AK914" s="5"/>
      <c r="AL914" s="5"/>
      <c r="AM914" s="5"/>
      <c r="AN914" s="5"/>
      <c r="AO914" s="5"/>
      <c r="AP914" s="5"/>
      <c r="AQ914" s="5"/>
      <c r="AR914" s="5"/>
      <c r="AS914" s="5"/>
      <c r="AT914" s="5"/>
      <c r="AU914" s="5"/>
      <c r="AV914" s="5"/>
      <c r="AW914" s="5"/>
      <c r="AX914" s="5"/>
      <c r="AY914" s="5"/>
      <c r="AZ914" s="5"/>
      <c r="BA914" s="5"/>
      <c r="BB914" s="5"/>
      <c r="BC914" s="5"/>
      <c r="BD914" s="5"/>
      <c r="BE914" s="5"/>
    </row>
    <row r="915">
      <c r="A915" s="5"/>
      <c r="B915" s="5"/>
      <c r="C915" s="5"/>
      <c r="D915" s="5"/>
      <c r="E915" s="5"/>
      <c r="F915" s="5"/>
      <c r="G915" s="5"/>
      <c r="H915" s="5"/>
      <c r="I915" s="5"/>
      <c r="J915" s="5"/>
      <c r="K915" s="5"/>
      <c r="L915" s="5"/>
      <c r="M915" s="5"/>
      <c r="N915" s="5"/>
      <c r="O915" s="5"/>
      <c r="P915" s="12"/>
      <c r="Q915" s="13"/>
      <c r="R915" s="13"/>
      <c r="S915" s="13"/>
      <c r="T915" s="5"/>
      <c r="U915" s="5"/>
      <c r="V915" s="5"/>
      <c r="W915" s="5"/>
      <c r="X915" s="5"/>
      <c r="Y915" s="5"/>
      <c r="Z915" s="5"/>
      <c r="AA915" s="5"/>
      <c r="AB915" s="5"/>
      <c r="AC915" s="5"/>
      <c r="AD915" s="5"/>
      <c r="AE915" s="5"/>
      <c r="AF915" s="5"/>
      <c r="AG915" s="8"/>
      <c r="AH915" s="5"/>
      <c r="AI915" s="13"/>
      <c r="AJ915" s="5"/>
      <c r="AK915" s="5"/>
      <c r="AL915" s="5"/>
      <c r="AM915" s="5"/>
      <c r="AN915" s="5"/>
      <c r="AO915" s="5"/>
      <c r="AP915" s="5"/>
      <c r="AQ915" s="5"/>
      <c r="AR915" s="5"/>
      <c r="AS915" s="5"/>
      <c r="AT915" s="5"/>
      <c r="AU915" s="5"/>
      <c r="AV915" s="5"/>
      <c r="AW915" s="5"/>
      <c r="AX915" s="5"/>
      <c r="AY915" s="5"/>
      <c r="AZ915" s="5"/>
      <c r="BA915" s="5"/>
      <c r="BB915" s="5"/>
      <c r="BC915" s="5"/>
      <c r="BD915" s="5"/>
      <c r="BE915" s="5"/>
    </row>
    <row r="916">
      <c r="A916" s="5"/>
      <c r="B916" s="5"/>
      <c r="C916" s="5"/>
      <c r="D916" s="5"/>
      <c r="E916" s="5"/>
      <c r="F916" s="5"/>
      <c r="G916" s="5"/>
      <c r="H916" s="5"/>
      <c r="I916" s="5"/>
      <c r="J916" s="5"/>
      <c r="K916" s="5"/>
      <c r="L916" s="5"/>
      <c r="M916" s="5"/>
      <c r="N916" s="5"/>
      <c r="O916" s="5"/>
      <c r="P916" s="12"/>
      <c r="Q916" s="13"/>
      <c r="R916" s="13"/>
      <c r="S916" s="13"/>
      <c r="T916" s="5"/>
      <c r="U916" s="5"/>
      <c r="V916" s="5"/>
      <c r="W916" s="5"/>
      <c r="X916" s="5"/>
      <c r="Y916" s="5"/>
      <c r="Z916" s="5"/>
      <c r="AA916" s="5"/>
      <c r="AB916" s="5"/>
      <c r="AC916" s="5"/>
      <c r="AD916" s="5"/>
      <c r="AE916" s="5"/>
      <c r="AF916" s="5"/>
      <c r="AG916" s="8"/>
      <c r="AH916" s="5"/>
      <c r="AI916" s="13"/>
      <c r="AJ916" s="5"/>
      <c r="AK916" s="5"/>
      <c r="AL916" s="5"/>
      <c r="AM916" s="5"/>
      <c r="AN916" s="5"/>
      <c r="AO916" s="5"/>
      <c r="AP916" s="5"/>
      <c r="AQ916" s="5"/>
      <c r="AR916" s="5"/>
      <c r="AS916" s="5"/>
      <c r="AT916" s="5"/>
      <c r="AU916" s="5"/>
      <c r="AV916" s="5"/>
      <c r="AW916" s="5"/>
      <c r="AX916" s="5"/>
      <c r="AY916" s="5"/>
      <c r="AZ916" s="5"/>
      <c r="BA916" s="5"/>
      <c r="BB916" s="5"/>
      <c r="BC916" s="5"/>
      <c r="BD916" s="5"/>
      <c r="BE916" s="5"/>
    </row>
    <row r="917">
      <c r="A917" s="5"/>
      <c r="B917" s="5"/>
      <c r="C917" s="5"/>
      <c r="D917" s="5"/>
      <c r="E917" s="5"/>
      <c r="F917" s="5"/>
      <c r="G917" s="5"/>
      <c r="H917" s="5"/>
      <c r="I917" s="5"/>
      <c r="J917" s="5"/>
      <c r="K917" s="5"/>
      <c r="L917" s="5"/>
      <c r="M917" s="5"/>
      <c r="N917" s="5"/>
      <c r="O917" s="5"/>
      <c r="P917" s="12"/>
      <c r="Q917" s="13"/>
      <c r="R917" s="13"/>
      <c r="S917" s="13"/>
      <c r="T917" s="5"/>
      <c r="U917" s="5"/>
      <c r="V917" s="5"/>
      <c r="W917" s="5"/>
      <c r="X917" s="5"/>
      <c r="Y917" s="5"/>
      <c r="Z917" s="5"/>
      <c r="AA917" s="5"/>
      <c r="AB917" s="5"/>
      <c r="AC917" s="5"/>
      <c r="AD917" s="5"/>
      <c r="AE917" s="5"/>
      <c r="AF917" s="5"/>
      <c r="AG917" s="8"/>
      <c r="AH917" s="5"/>
      <c r="AI917" s="13"/>
      <c r="AJ917" s="5"/>
      <c r="AK917" s="5"/>
      <c r="AL917" s="5"/>
      <c r="AM917" s="5"/>
      <c r="AN917" s="5"/>
      <c r="AO917" s="5"/>
      <c r="AP917" s="5"/>
      <c r="AQ917" s="5"/>
      <c r="AR917" s="5"/>
      <c r="AS917" s="5"/>
      <c r="AT917" s="5"/>
      <c r="AU917" s="5"/>
      <c r="AV917" s="5"/>
      <c r="AW917" s="5"/>
      <c r="AX917" s="5"/>
      <c r="AY917" s="5"/>
      <c r="AZ917" s="5"/>
      <c r="BA917" s="5"/>
      <c r="BB917" s="5"/>
      <c r="BC917" s="5"/>
      <c r="BD917" s="5"/>
      <c r="BE917" s="5"/>
    </row>
    <row r="918">
      <c r="A918" s="5"/>
      <c r="B918" s="5"/>
      <c r="C918" s="5"/>
      <c r="D918" s="5"/>
      <c r="E918" s="5"/>
      <c r="F918" s="5"/>
      <c r="G918" s="5"/>
      <c r="H918" s="5"/>
      <c r="I918" s="5"/>
      <c r="J918" s="5"/>
      <c r="K918" s="5"/>
      <c r="L918" s="5"/>
      <c r="M918" s="5"/>
      <c r="N918" s="5"/>
      <c r="O918" s="5"/>
      <c r="P918" s="12"/>
      <c r="Q918" s="13"/>
      <c r="R918" s="13"/>
      <c r="S918" s="13"/>
      <c r="T918" s="5"/>
      <c r="U918" s="5"/>
      <c r="V918" s="5"/>
      <c r="W918" s="5"/>
      <c r="X918" s="5"/>
      <c r="Y918" s="5"/>
      <c r="Z918" s="5"/>
      <c r="AA918" s="5"/>
      <c r="AB918" s="5"/>
      <c r="AC918" s="5"/>
      <c r="AD918" s="5"/>
      <c r="AE918" s="5"/>
      <c r="AF918" s="5"/>
      <c r="AG918" s="8"/>
      <c r="AH918" s="5"/>
      <c r="AI918" s="13"/>
      <c r="AJ918" s="5"/>
      <c r="AK918" s="5"/>
      <c r="AL918" s="5"/>
      <c r="AM918" s="5"/>
      <c r="AN918" s="5"/>
      <c r="AO918" s="5"/>
      <c r="AP918" s="5"/>
      <c r="AQ918" s="5"/>
      <c r="AR918" s="5"/>
      <c r="AS918" s="5"/>
      <c r="AT918" s="5"/>
      <c r="AU918" s="5"/>
      <c r="AV918" s="5"/>
      <c r="AW918" s="5"/>
      <c r="AX918" s="5"/>
      <c r="AY918" s="5"/>
      <c r="AZ918" s="5"/>
      <c r="BA918" s="5"/>
      <c r="BB918" s="5"/>
      <c r="BC918" s="5"/>
      <c r="BD918" s="5"/>
      <c r="BE918" s="5"/>
    </row>
    <row r="919">
      <c r="A919" s="5"/>
      <c r="B919" s="5"/>
      <c r="C919" s="5"/>
      <c r="D919" s="5"/>
      <c r="E919" s="5"/>
      <c r="F919" s="5"/>
      <c r="G919" s="5"/>
      <c r="H919" s="5"/>
      <c r="I919" s="5"/>
      <c r="J919" s="5"/>
      <c r="K919" s="5"/>
      <c r="L919" s="5"/>
      <c r="M919" s="5"/>
      <c r="N919" s="5"/>
      <c r="O919" s="5"/>
      <c r="P919" s="12"/>
      <c r="Q919" s="13"/>
      <c r="R919" s="13"/>
      <c r="S919" s="13"/>
      <c r="T919" s="5"/>
      <c r="U919" s="5"/>
      <c r="V919" s="5"/>
      <c r="W919" s="5"/>
      <c r="X919" s="5"/>
      <c r="Y919" s="5"/>
      <c r="Z919" s="5"/>
      <c r="AA919" s="5"/>
      <c r="AB919" s="5"/>
      <c r="AC919" s="5"/>
      <c r="AD919" s="5"/>
      <c r="AE919" s="5"/>
      <c r="AF919" s="5"/>
      <c r="AG919" s="8"/>
      <c r="AH919" s="5"/>
      <c r="AI919" s="13"/>
      <c r="AJ919" s="5"/>
      <c r="AK919" s="5"/>
      <c r="AL919" s="5"/>
      <c r="AM919" s="5"/>
      <c r="AN919" s="5"/>
      <c r="AO919" s="5"/>
      <c r="AP919" s="5"/>
      <c r="AQ919" s="5"/>
      <c r="AR919" s="5"/>
      <c r="AS919" s="5"/>
      <c r="AT919" s="5"/>
      <c r="AU919" s="5"/>
      <c r="AV919" s="5"/>
      <c r="AW919" s="5"/>
      <c r="AX919" s="5"/>
      <c r="AY919" s="5"/>
      <c r="AZ919" s="5"/>
      <c r="BA919" s="5"/>
      <c r="BB919" s="5"/>
      <c r="BC919" s="5"/>
      <c r="BD919" s="5"/>
      <c r="BE919" s="5"/>
    </row>
    <row r="920">
      <c r="A920" s="5"/>
      <c r="B920" s="5"/>
      <c r="C920" s="5"/>
      <c r="D920" s="5"/>
      <c r="E920" s="5"/>
      <c r="F920" s="5"/>
      <c r="G920" s="5"/>
      <c r="H920" s="5"/>
      <c r="I920" s="5"/>
      <c r="J920" s="5"/>
      <c r="K920" s="5"/>
      <c r="L920" s="5"/>
      <c r="M920" s="5"/>
      <c r="N920" s="5"/>
      <c r="O920" s="5"/>
      <c r="P920" s="12"/>
      <c r="Q920" s="13"/>
      <c r="R920" s="13"/>
      <c r="S920" s="13"/>
      <c r="T920" s="5"/>
      <c r="U920" s="5"/>
      <c r="V920" s="5"/>
      <c r="W920" s="5"/>
      <c r="X920" s="5"/>
      <c r="Y920" s="5"/>
      <c r="Z920" s="5"/>
      <c r="AA920" s="5"/>
      <c r="AB920" s="5"/>
      <c r="AC920" s="5"/>
      <c r="AD920" s="5"/>
      <c r="AE920" s="5"/>
      <c r="AF920" s="5"/>
      <c r="AG920" s="8"/>
      <c r="AH920" s="5"/>
      <c r="AI920" s="13"/>
      <c r="AJ920" s="5"/>
      <c r="AK920" s="5"/>
      <c r="AL920" s="5"/>
      <c r="AM920" s="5"/>
      <c r="AN920" s="5"/>
      <c r="AO920" s="5"/>
      <c r="AP920" s="5"/>
      <c r="AQ920" s="5"/>
      <c r="AR920" s="5"/>
      <c r="AS920" s="5"/>
      <c r="AT920" s="5"/>
      <c r="AU920" s="5"/>
      <c r="AV920" s="5"/>
      <c r="AW920" s="5"/>
      <c r="AX920" s="5"/>
      <c r="AY920" s="5"/>
      <c r="AZ920" s="5"/>
      <c r="BA920" s="5"/>
      <c r="BB920" s="5"/>
      <c r="BC920" s="5"/>
      <c r="BD920" s="5"/>
      <c r="BE920" s="5"/>
    </row>
    <row r="921">
      <c r="A921" s="5"/>
      <c r="B921" s="5"/>
      <c r="C921" s="5"/>
      <c r="D921" s="5"/>
      <c r="E921" s="5"/>
      <c r="F921" s="5"/>
      <c r="G921" s="5"/>
      <c r="H921" s="5"/>
      <c r="I921" s="5"/>
      <c r="J921" s="5"/>
      <c r="K921" s="5"/>
      <c r="L921" s="5"/>
      <c r="M921" s="5"/>
      <c r="N921" s="5"/>
      <c r="O921" s="5"/>
      <c r="P921" s="12"/>
      <c r="Q921" s="13"/>
      <c r="R921" s="13"/>
      <c r="S921" s="13"/>
      <c r="T921" s="5"/>
      <c r="U921" s="5"/>
      <c r="V921" s="5"/>
      <c r="W921" s="5"/>
      <c r="X921" s="5"/>
      <c r="Y921" s="5"/>
      <c r="Z921" s="5"/>
      <c r="AA921" s="5"/>
      <c r="AB921" s="5"/>
      <c r="AC921" s="5"/>
      <c r="AD921" s="5"/>
      <c r="AE921" s="5"/>
      <c r="AF921" s="5"/>
      <c r="AG921" s="8"/>
      <c r="AH921" s="5"/>
      <c r="AI921" s="13"/>
      <c r="AJ921" s="5"/>
      <c r="AK921" s="5"/>
      <c r="AL921" s="5"/>
      <c r="AM921" s="5"/>
      <c r="AN921" s="5"/>
      <c r="AO921" s="5"/>
      <c r="AP921" s="5"/>
      <c r="AQ921" s="5"/>
      <c r="AR921" s="5"/>
      <c r="AS921" s="5"/>
      <c r="AT921" s="5"/>
      <c r="AU921" s="5"/>
      <c r="AV921" s="5"/>
      <c r="AW921" s="5"/>
      <c r="AX921" s="5"/>
      <c r="AY921" s="5"/>
      <c r="AZ921" s="5"/>
      <c r="BA921" s="5"/>
      <c r="BB921" s="5"/>
      <c r="BC921" s="5"/>
      <c r="BD921" s="5"/>
      <c r="BE921" s="5"/>
    </row>
    <row r="922">
      <c r="A922" s="5"/>
      <c r="B922" s="5"/>
      <c r="C922" s="5"/>
      <c r="D922" s="5"/>
      <c r="E922" s="5"/>
      <c r="F922" s="5"/>
      <c r="G922" s="5"/>
      <c r="H922" s="5"/>
      <c r="I922" s="5"/>
      <c r="J922" s="5"/>
      <c r="K922" s="5"/>
      <c r="L922" s="5"/>
      <c r="M922" s="5"/>
      <c r="N922" s="5"/>
      <c r="O922" s="5"/>
      <c r="P922" s="12"/>
      <c r="Q922" s="13"/>
      <c r="R922" s="13"/>
      <c r="S922" s="13"/>
      <c r="T922" s="5"/>
      <c r="U922" s="5"/>
      <c r="V922" s="5"/>
      <c r="W922" s="5"/>
      <c r="X922" s="5"/>
      <c r="Y922" s="5"/>
      <c r="Z922" s="5"/>
      <c r="AA922" s="5"/>
      <c r="AB922" s="5"/>
      <c r="AC922" s="5"/>
      <c r="AD922" s="5"/>
      <c r="AE922" s="5"/>
      <c r="AF922" s="5"/>
      <c r="AG922" s="8"/>
      <c r="AH922" s="5"/>
      <c r="AI922" s="13"/>
      <c r="AJ922" s="5"/>
      <c r="AK922" s="5"/>
      <c r="AL922" s="5"/>
      <c r="AM922" s="5"/>
      <c r="AN922" s="5"/>
      <c r="AO922" s="5"/>
      <c r="AP922" s="5"/>
      <c r="AQ922" s="5"/>
      <c r="AR922" s="5"/>
      <c r="AS922" s="5"/>
      <c r="AT922" s="5"/>
      <c r="AU922" s="5"/>
      <c r="AV922" s="5"/>
      <c r="AW922" s="5"/>
      <c r="AX922" s="5"/>
      <c r="AY922" s="5"/>
      <c r="AZ922" s="5"/>
      <c r="BA922" s="5"/>
      <c r="BB922" s="5"/>
      <c r="BC922" s="5"/>
      <c r="BD922" s="5"/>
      <c r="BE922" s="5"/>
    </row>
    <row r="923">
      <c r="A923" s="5"/>
      <c r="B923" s="5"/>
      <c r="C923" s="5"/>
      <c r="D923" s="5"/>
      <c r="E923" s="5"/>
      <c r="F923" s="5"/>
      <c r="G923" s="5"/>
      <c r="H923" s="5"/>
      <c r="I923" s="5"/>
      <c r="J923" s="5"/>
      <c r="K923" s="5"/>
      <c r="L923" s="5"/>
      <c r="M923" s="5"/>
      <c r="N923" s="5"/>
      <c r="O923" s="5"/>
      <c r="P923" s="12"/>
      <c r="Q923" s="13"/>
      <c r="R923" s="13"/>
      <c r="S923" s="13"/>
      <c r="T923" s="5"/>
      <c r="U923" s="5"/>
      <c r="V923" s="5"/>
      <c r="W923" s="5"/>
      <c r="X923" s="5"/>
      <c r="Y923" s="5"/>
      <c r="Z923" s="5"/>
      <c r="AA923" s="5"/>
      <c r="AB923" s="5"/>
      <c r="AC923" s="5"/>
      <c r="AD923" s="5"/>
      <c r="AE923" s="5"/>
      <c r="AF923" s="5"/>
      <c r="AG923" s="8"/>
      <c r="AH923" s="5"/>
      <c r="AI923" s="13"/>
      <c r="AJ923" s="5"/>
      <c r="AK923" s="5"/>
      <c r="AL923" s="5"/>
      <c r="AM923" s="5"/>
      <c r="AN923" s="5"/>
      <c r="AO923" s="5"/>
      <c r="AP923" s="5"/>
      <c r="AQ923" s="5"/>
      <c r="AR923" s="5"/>
      <c r="AS923" s="5"/>
      <c r="AT923" s="5"/>
      <c r="AU923" s="5"/>
      <c r="AV923" s="5"/>
      <c r="AW923" s="5"/>
      <c r="AX923" s="5"/>
      <c r="AY923" s="5"/>
      <c r="AZ923" s="5"/>
      <c r="BA923" s="5"/>
      <c r="BB923" s="5"/>
      <c r="BC923" s="5"/>
      <c r="BD923" s="5"/>
      <c r="BE923" s="5"/>
    </row>
    <row r="924">
      <c r="A924" s="5"/>
      <c r="B924" s="5"/>
      <c r="C924" s="5"/>
      <c r="D924" s="5"/>
      <c r="E924" s="5"/>
      <c r="F924" s="5"/>
      <c r="G924" s="5"/>
      <c r="H924" s="5"/>
      <c r="I924" s="5"/>
      <c r="J924" s="5"/>
      <c r="K924" s="5"/>
      <c r="L924" s="5"/>
      <c r="M924" s="5"/>
      <c r="N924" s="5"/>
      <c r="O924" s="5"/>
      <c r="P924" s="12"/>
      <c r="Q924" s="13"/>
      <c r="R924" s="13"/>
      <c r="S924" s="13"/>
      <c r="T924" s="5"/>
      <c r="U924" s="5"/>
      <c r="V924" s="5"/>
      <c r="W924" s="5"/>
      <c r="X924" s="5"/>
      <c r="Y924" s="5"/>
      <c r="Z924" s="5"/>
      <c r="AA924" s="5"/>
      <c r="AB924" s="5"/>
      <c r="AC924" s="5"/>
      <c r="AD924" s="5"/>
      <c r="AE924" s="5"/>
      <c r="AF924" s="5"/>
      <c r="AG924" s="8"/>
      <c r="AH924" s="5"/>
      <c r="AI924" s="13"/>
      <c r="AJ924" s="5"/>
      <c r="AK924" s="5"/>
      <c r="AL924" s="5"/>
      <c r="AM924" s="5"/>
      <c r="AN924" s="5"/>
      <c r="AO924" s="5"/>
      <c r="AP924" s="5"/>
      <c r="AQ924" s="5"/>
      <c r="AR924" s="5"/>
      <c r="AS924" s="5"/>
      <c r="AT924" s="5"/>
      <c r="AU924" s="5"/>
      <c r="AV924" s="5"/>
      <c r="AW924" s="5"/>
      <c r="AX924" s="5"/>
      <c r="AY924" s="5"/>
      <c r="AZ924" s="5"/>
      <c r="BA924" s="5"/>
      <c r="BB924" s="5"/>
      <c r="BC924" s="5"/>
      <c r="BD924" s="5"/>
      <c r="BE924" s="5"/>
    </row>
    <row r="925">
      <c r="A925" s="5"/>
      <c r="B925" s="5"/>
      <c r="C925" s="5"/>
      <c r="D925" s="5"/>
      <c r="E925" s="5"/>
      <c r="F925" s="5"/>
      <c r="G925" s="5"/>
      <c r="H925" s="5"/>
      <c r="I925" s="5"/>
      <c r="J925" s="5"/>
      <c r="K925" s="5"/>
      <c r="L925" s="5"/>
      <c r="M925" s="5"/>
      <c r="N925" s="5"/>
      <c r="O925" s="5"/>
      <c r="P925" s="12"/>
      <c r="Q925" s="13"/>
      <c r="R925" s="13"/>
      <c r="S925" s="13"/>
      <c r="T925" s="5"/>
      <c r="U925" s="5"/>
      <c r="V925" s="5"/>
      <c r="W925" s="5"/>
      <c r="X925" s="5"/>
      <c r="Y925" s="5"/>
      <c r="Z925" s="5"/>
      <c r="AA925" s="5"/>
      <c r="AB925" s="5"/>
      <c r="AC925" s="5"/>
      <c r="AD925" s="5"/>
      <c r="AE925" s="5"/>
      <c r="AF925" s="5"/>
      <c r="AG925" s="8"/>
      <c r="AH925" s="5"/>
      <c r="AI925" s="13"/>
      <c r="AJ925" s="5"/>
      <c r="AK925" s="5"/>
      <c r="AL925" s="5"/>
      <c r="AM925" s="5"/>
      <c r="AN925" s="5"/>
      <c r="AO925" s="5"/>
      <c r="AP925" s="5"/>
      <c r="AQ925" s="5"/>
      <c r="AR925" s="5"/>
      <c r="AS925" s="5"/>
      <c r="AT925" s="5"/>
      <c r="AU925" s="5"/>
      <c r="AV925" s="5"/>
      <c r="AW925" s="5"/>
      <c r="AX925" s="5"/>
      <c r="AY925" s="5"/>
      <c r="AZ925" s="5"/>
      <c r="BA925" s="5"/>
      <c r="BB925" s="5"/>
      <c r="BC925" s="5"/>
      <c r="BD925" s="5"/>
      <c r="BE925" s="5"/>
    </row>
    <row r="926">
      <c r="A926" s="5"/>
      <c r="B926" s="5"/>
      <c r="C926" s="5"/>
      <c r="D926" s="5"/>
      <c r="E926" s="5"/>
      <c r="F926" s="5"/>
      <c r="G926" s="5"/>
      <c r="H926" s="5"/>
      <c r="I926" s="5"/>
      <c r="J926" s="5"/>
      <c r="K926" s="5"/>
      <c r="L926" s="5"/>
      <c r="M926" s="5"/>
      <c r="N926" s="5"/>
      <c r="O926" s="5"/>
      <c r="P926" s="12"/>
      <c r="Q926" s="13"/>
      <c r="R926" s="13"/>
      <c r="S926" s="13"/>
      <c r="T926" s="5"/>
      <c r="U926" s="5"/>
      <c r="V926" s="5"/>
      <c r="W926" s="5"/>
      <c r="X926" s="5"/>
      <c r="Y926" s="5"/>
      <c r="Z926" s="5"/>
      <c r="AA926" s="5"/>
      <c r="AB926" s="5"/>
      <c r="AC926" s="5"/>
      <c r="AD926" s="5"/>
      <c r="AE926" s="5"/>
      <c r="AF926" s="5"/>
      <c r="AG926" s="8"/>
      <c r="AH926" s="5"/>
      <c r="AI926" s="13"/>
      <c r="AJ926" s="5"/>
      <c r="AK926" s="5"/>
      <c r="AL926" s="5"/>
      <c r="AM926" s="5"/>
      <c r="AN926" s="5"/>
      <c r="AO926" s="5"/>
      <c r="AP926" s="5"/>
      <c r="AQ926" s="5"/>
      <c r="AR926" s="5"/>
      <c r="AS926" s="5"/>
      <c r="AT926" s="5"/>
      <c r="AU926" s="5"/>
      <c r="AV926" s="5"/>
      <c r="AW926" s="5"/>
      <c r="AX926" s="5"/>
      <c r="AY926" s="5"/>
      <c r="AZ926" s="5"/>
      <c r="BA926" s="5"/>
      <c r="BB926" s="5"/>
      <c r="BC926" s="5"/>
      <c r="BD926" s="5"/>
      <c r="BE926" s="5"/>
    </row>
    <row r="927">
      <c r="A927" s="5"/>
      <c r="B927" s="5"/>
      <c r="C927" s="5"/>
      <c r="D927" s="5"/>
      <c r="E927" s="5"/>
      <c r="F927" s="5"/>
      <c r="G927" s="5"/>
      <c r="H927" s="5"/>
      <c r="I927" s="5"/>
      <c r="J927" s="5"/>
      <c r="K927" s="5"/>
      <c r="L927" s="5"/>
      <c r="M927" s="5"/>
      <c r="N927" s="5"/>
      <c r="O927" s="5"/>
      <c r="P927" s="12"/>
      <c r="Q927" s="13"/>
      <c r="R927" s="13"/>
      <c r="S927" s="13"/>
      <c r="T927" s="5"/>
      <c r="U927" s="5"/>
      <c r="V927" s="5"/>
      <c r="W927" s="5"/>
      <c r="X927" s="5"/>
      <c r="Y927" s="5"/>
      <c r="Z927" s="5"/>
      <c r="AA927" s="5"/>
      <c r="AB927" s="5"/>
      <c r="AC927" s="5"/>
      <c r="AD927" s="5"/>
      <c r="AE927" s="5"/>
      <c r="AF927" s="5"/>
      <c r="AG927" s="8"/>
      <c r="AH927" s="5"/>
      <c r="AI927" s="13"/>
      <c r="AJ927" s="5"/>
      <c r="AK927" s="5"/>
      <c r="AL927" s="5"/>
      <c r="AM927" s="5"/>
      <c r="AN927" s="5"/>
      <c r="AO927" s="5"/>
      <c r="AP927" s="5"/>
      <c r="AQ927" s="5"/>
      <c r="AR927" s="5"/>
      <c r="AS927" s="5"/>
      <c r="AT927" s="5"/>
      <c r="AU927" s="5"/>
      <c r="AV927" s="5"/>
      <c r="AW927" s="5"/>
      <c r="AX927" s="5"/>
      <c r="AY927" s="5"/>
      <c r="AZ927" s="5"/>
      <c r="BA927" s="5"/>
      <c r="BB927" s="5"/>
      <c r="BC927" s="5"/>
      <c r="BD927" s="5"/>
      <c r="BE927" s="5"/>
    </row>
    <row r="928">
      <c r="A928" s="5"/>
      <c r="B928" s="5"/>
      <c r="C928" s="5"/>
      <c r="D928" s="5"/>
      <c r="E928" s="5"/>
      <c r="F928" s="5"/>
      <c r="G928" s="5"/>
      <c r="H928" s="5"/>
      <c r="I928" s="5"/>
      <c r="J928" s="5"/>
      <c r="K928" s="5"/>
      <c r="L928" s="5"/>
      <c r="M928" s="5"/>
      <c r="N928" s="5"/>
      <c r="O928" s="5"/>
      <c r="P928" s="12"/>
      <c r="Q928" s="13"/>
      <c r="R928" s="13"/>
      <c r="S928" s="13"/>
      <c r="T928" s="5"/>
      <c r="U928" s="5"/>
      <c r="V928" s="5"/>
      <c r="W928" s="5"/>
      <c r="X928" s="5"/>
      <c r="Y928" s="5"/>
      <c r="Z928" s="5"/>
      <c r="AA928" s="5"/>
      <c r="AB928" s="5"/>
      <c r="AC928" s="5"/>
      <c r="AD928" s="5"/>
      <c r="AE928" s="5"/>
      <c r="AF928" s="5"/>
      <c r="AG928" s="8"/>
      <c r="AH928" s="5"/>
      <c r="AI928" s="13"/>
      <c r="AJ928" s="5"/>
      <c r="AK928" s="5"/>
      <c r="AL928" s="5"/>
      <c r="AM928" s="5"/>
      <c r="AN928" s="5"/>
      <c r="AO928" s="5"/>
      <c r="AP928" s="5"/>
      <c r="AQ928" s="5"/>
      <c r="AR928" s="5"/>
      <c r="AS928" s="5"/>
      <c r="AT928" s="5"/>
      <c r="AU928" s="5"/>
      <c r="AV928" s="5"/>
      <c r="AW928" s="5"/>
      <c r="AX928" s="5"/>
      <c r="AY928" s="5"/>
      <c r="AZ928" s="5"/>
      <c r="BA928" s="5"/>
      <c r="BB928" s="5"/>
      <c r="BC928" s="5"/>
      <c r="BD928" s="5"/>
      <c r="BE928" s="5"/>
    </row>
    <row r="929">
      <c r="A929" s="5"/>
      <c r="B929" s="5"/>
      <c r="C929" s="5"/>
      <c r="D929" s="5"/>
      <c r="E929" s="5"/>
      <c r="F929" s="5"/>
      <c r="G929" s="5"/>
      <c r="H929" s="5"/>
      <c r="I929" s="5"/>
      <c r="J929" s="5"/>
      <c r="K929" s="5"/>
      <c r="L929" s="5"/>
      <c r="M929" s="5"/>
      <c r="N929" s="5"/>
      <c r="O929" s="5"/>
      <c r="P929" s="12"/>
      <c r="Q929" s="13"/>
      <c r="R929" s="13"/>
      <c r="S929" s="13"/>
      <c r="T929" s="5"/>
      <c r="U929" s="5"/>
      <c r="V929" s="5"/>
      <c r="W929" s="5"/>
      <c r="X929" s="5"/>
      <c r="Y929" s="5"/>
      <c r="Z929" s="5"/>
      <c r="AA929" s="5"/>
      <c r="AB929" s="5"/>
      <c r="AC929" s="5"/>
      <c r="AD929" s="5"/>
      <c r="AE929" s="5"/>
      <c r="AF929" s="5"/>
      <c r="AG929" s="8"/>
      <c r="AH929" s="5"/>
      <c r="AI929" s="13"/>
      <c r="AJ929" s="5"/>
      <c r="AK929" s="5"/>
      <c r="AL929" s="5"/>
      <c r="AM929" s="5"/>
      <c r="AN929" s="5"/>
      <c r="AO929" s="5"/>
      <c r="AP929" s="5"/>
      <c r="AQ929" s="5"/>
      <c r="AR929" s="5"/>
      <c r="AS929" s="5"/>
      <c r="AT929" s="5"/>
      <c r="AU929" s="5"/>
      <c r="AV929" s="5"/>
      <c r="AW929" s="5"/>
      <c r="AX929" s="5"/>
      <c r="AY929" s="5"/>
      <c r="AZ929" s="5"/>
      <c r="BA929" s="5"/>
      <c r="BB929" s="5"/>
      <c r="BC929" s="5"/>
      <c r="BD929" s="5"/>
      <c r="BE929" s="5"/>
    </row>
    <row r="930">
      <c r="A930" s="5"/>
      <c r="B930" s="5"/>
      <c r="C930" s="5"/>
      <c r="D930" s="5"/>
      <c r="E930" s="5"/>
      <c r="F930" s="5"/>
      <c r="G930" s="5"/>
      <c r="H930" s="5"/>
      <c r="I930" s="5"/>
      <c r="J930" s="5"/>
      <c r="K930" s="5"/>
      <c r="L930" s="5"/>
      <c r="M930" s="5"/>
      <c r="N930" s="5"/>
      <c r="O930" s="5"/>
      <c r="P930" s="12"/>
      <c r="Q930" s="13"/>
      <c r="R930" s="13"/>
      <c r="S930" s="13"/>
      <c r="T930" s="5"/>
      <c r="U930" s="5"/>
      <c r="V930" s="5"/>
      <c r="W930" s="5"/>
      <c r="X930" s="5"/>
      <c r="Y930" s="5"/>
      <c r="Z930" s="5"/>
      <c r="AA930" s="5"/>
      <c r="AB930" s="5"/>
      <c r="AC930" s="5"/>
      <c r="AD930" s="5"/>
      <c r="AE930" s="5"/>
      <c r="AF930" s="5"/>
      <c r="AG930" s="8"/>
      <c r="AH930" s="5"/>
      <c r="AI930" s="13"/>
      <c r="AJ930" s="5"/>
      <c r="AK930" s="5"/>
      <c r="AL930" s="5"/>
      <c r="AM930" s="5"/>
      <c r="AN930" s="5"/>
      <c r="AO930" s="5"/>
      <c r="AP930" s="5"/>
      <c r="AQ930" s="5"/>
      <c r="AR930" s="5"/>
      <c r="AS930" s="5"/>
      <c r="AT930" s="5"/>
      <c r="AU930" s="5"/>
      <c r="AV930" s="5"/>
      <c r="AW930" s="5"/>
      <c r="AX930" s="5"/>
      <c r="AY930" s="5"/>
      <c r="AZ930" s="5"/>
      <c r="BA930" s="5"/>
      <c r="BB930" s="5"/>
      <c r="BC930" s="5"/>
      <c r="BD930" s="5"/>
      <c r="BE930" s="5"/>
    </row>
    <row r="931">
      <c r="A931" s="5"/>
      <c r="B931" s="5"/>
      <c r="C931" s="5"/>
      <c r="D931" s="5"/>
      <c r="E931" s="5"/>
      <c r="F931" s="5"/>
      <c r="G931" s="5"/>
      <c r="H931" s="5"/>
      <c r="I931" s="5"/>
      <c r="J931" s="5"/>
      <c r="K931" s="5"/>
      <c r="L931" s="5"/>
      <c r="M931" s="5"/>
      <c r="N931" s="5"/>
      <c r="O931" s="5"/>
      <c r="P931" s="12"/>
      <c r="Q931" s="13"/>
      <c r="R931" s="13"/>
      <c r="S931" s="13"/>
      <c r="T931" s="5"/>
      <c r="U931" s="5"/>
      <c r="V931" s="5"/>
      <c r="W931" s="5"/>
      <c r="X931" s="5"/>
      <c r="Y931" s="5"/>
      <c r="Z931" s="5"/>
      <c r="AA931" s="5"/>
      <c r="AB931" s="5"/>
      <c r="AC931" s="5"/>
      <c r="AD931" s="5"/>
      <c r="AE931" s="5"/>
      <c r="AF931" s="5"/>
      <c r="AG931" s="8"/>
      <c r="AH931" s="5"/>
      <c r="AI931" s="13"/>
      <c r="AJ931" s="5"/>
      <c r="AK931" s="5"/>
      <c r="AL931" s="5"/>
      <c r="AM931" s="5"/>
      <c r="AN931" s="5"/>
      <c r="AO931" s="5"/>
      <c r="AP931" s="5"/>
      <c r="AQ931" s="5"/>
      <c r="AR931" s="5"/>
      <c r="AS931" s="5"/>
      <c r="AT931" s="5"/>
      <c r="AU931" s="5"/>
      <c r="AV931" s="5"/>
      <c r="AW931" s="5"/>
      <c r="AX931" s="5"/>
      <c r="AY931" s="5"/>
      <c r="AZ931" s="5"/>
      <c r="BA931" s="5"/>
      <c r="BB931" s="5"/>
      <c r="BC931" s="5"/>
      <c r="BD931" s="5"/>
      <c r="BE931" s="5"/>
    </row>
    <row r="932">
      <c r="A932" s="5"/>
      <c r="B932" s="5"/>
      <c r="C932" s="5"/>
      <c r="D932" s="5"/>
      <c r="E932" s="5"/>
      <c r="F932" s="5"/>
      <c r="G932" s="5"/>
      <c r="H932" s="5"/>
      <c r="I932" s="5"/>
      <c r="J932" s="5"/>
      <c r="K932" s="5"/>
      <c r="L932" s="5"/>
      <c r="M932" s="5"/>
      <c r="N932" s="5"/>
      <c r="O932" s="5"/>
      <c r="P932" s="12"/>
      <c r="Q932" s="13"/>
      <c r="R932" s="13"/>
      <c r="S932" s="13"/>
      <c r="T932" s="5"/>
      <c r="U932" s="5"/>
      <c r="V932" s="5"/>
      <c r="W932" s="5"/>
      <c r="X932" s="5"/>
      <c r="Y932" s="5"/>
      <c r="Z932" s="5"/>
      <c r="AA932" s="5"/>
      <c r="AB932" s="5"/>
      <c r="AC932" s="5"/>
      <c r="AD932" s="5"/>
      <c r="AE932" s="5"/>
      <c r="AF932" s="5"/>
      <c r="AG932" s="8"/>
      <c r="AH932" s="5"/>
      <c r="AI932" s="13"/>
      <c r="AJ932" s="5"/>
      <c r="AK932" s="5"/>
      <c r="AL932" s="5"/>
      <c r="AM932" s="5"/>
      <c r="AN932" s="5"/>
      <c r="AO932" s="5"/>
      <c r="AP932" s="5"/>
      <c r="AQ932" s="5"/>
      <c r="AR932" s="5"/>
      <c r="AS932" s="5"/>
      <c r="AT932" s="5"/>
      <c r="AU932" s="5"/>
      <c r="AV932" s="5"/>
      <c r="AW932" s="5"/>
      <c r="AX932" s="5"/>
      <c r="AY932" s="5"/>
      <c r="AZ932" s="5"/>
      <c r="BA932" s="5"/>
      <c r="BB932" s="5"/>
      <c r="BC932" s="5"/>
      <c r="BD932" s="5"/>
      <c r="BE932" s="5"/>
    </row>
    <row r="933">
      <c r="A933" s="5"/>
      <c r="B933" s="5"/>
      <c r="C933" s="5"/>
      <c r="D933" s="5"/>
      <c r="E933" s="5"/>
      <c r="F933" s="5"/>
      <c r="G933" s="5"/>
      <c r="H933" s="5"/>
      <c r="I933" s="5"/>
      <c r="J933" s="5"/>
      <c r="K933" s="5"/>
      <c r="L933" s="5"/>
      <c r="M933" s="5"/>
      <c r="N933" s="5"/>
      <c r="O933" s="5"/>
      <c r="P933" s="12"/>
      <c r="Q933" s="13"/>
      <c r="R933" s="13"/>
      <c r="S933" s="13"/>
      <c r="T933" s="5"/>
      <c r="U933" s="5"/>
      <c r="V933" s="5"/>
      <c r="W933" s="5"/>
      <c r="X933" s="5"/>
      <c r="Y933" s="5"/>
      <c r="Z933" s="5"/>
      <c r="AA933" s="5"/>
      <c r="AB933" s="5"/>
      <c r="AC933" s="5"/>
      <c r="AD933" s="5"/>
      <c r="AE933" s="5"/>
      <c r="AF933" s="5"/>
      <c r="AG933" s="8"/>
      <c r="AH933" s="5"/>
      <c r="AI933" s="13"/>
      <c r="AJ933" s="5"/>
      <c r="AK933" s="5"/>
      <c r="AL933" s="5"/>
      <c r="AM933" s="5"/>
      <c r="AN933" s="5"/>
      <c r="AO933" s="5"/>
      <c r="AP933" s="5"/>
      <c r="AQ933" s="5"/>
      <c r="AR933" s="5"/>
      <c r="AS933" s="5"/>
      <c r="AT933" s="5"/>
      <c r="AU933" s="5"/>
      <c r="AV933" s="5"/>
      <c r="AW933" s="5"/>
      <c r="AX933" s="5"/>
      <c r="AY933" s="5"/>
      <c r="AZ933" s="5"/>
      <c r="BA933" s="5"/>
      <c r="BB933" s="5"/>
      <c r="BC933" s="5"/>
      <c r="BD933" s="5"/>
      <c r="BE933" s="5"/>
    </row>
    <row r="934">
      <c r="A934" s="5"/>
      <c r="B934" s="5"/>
      <c r="C934" s="5"/>
      <c r="D934" s="5"/>
      <c r="E934" s="5"/>
      <c r="F934" s="5"/>
      <c r="G934" s="5"/>
      <c r="H934" s="5"/>
      <c r="I934" s="5"/>
      <c r="J934" s="5"/>
      <c r="K934" s="5"/>
      <c r="L934" s="5"/>
      <c r="M934" s="5"/>
      <c r="N934" s="5"/>
      <c r="O934" s="5"/>
      <c r="P934" s="12"/>
      <c r="Q934" s="13"/>
      <c r="R934" s="13"/>
      <c r="S934" s="13"/>
      <c r="T934" s="5"/>
      <c r="U934" s="5"/>
      <c r="V934" s="5"/>
      <c r="W934" s="5"/>
      <c r="X934" s="5"/>
      <c r="Y934" s="5"/>
      <c r="Z934" s="5"/>
      <c r="AA934" s="5"/>
      <c r="AB934" s="5"/>
      <c r="AC934" s="5"/>
      <c r="AD934" s="5"/>
      <c r="AE934" s="5"/>
      <c r="AF934" s="5"/>
      <c r="AG934" s="8"/>
      <c r="AH934" s="5"/>
      <c r="AI934" s="13"/>
      <c r="AJ934" s="5"/>
      <c r="AK934" s="5"/>
      <c r="AL934" s="5"/>
      <c r="AM934" s="5"/>
      <c r="AN934" s="5"/>
      <c r="AO934" s="5"/>
      <c r="AP934" s="5"/>
      <c r="AQ934" s="5"/>
      <c r="AR934" s="5"/>
      <c r="AS934" s="5"/>
      <c r="AT934" s="5"/>
      <c r="AU934" s="5"/>
      <c r="AV934" s="5"/>
      <c r="AW934" s="5"/>
      <c r="AX934" s="5"/>
      <c r="AY934" s="5"/>
      <c r="AZ934" s="5"/>
      <c r="BA934" s="5"/>
      <c r="BB934" s="5"/>
      <c r="BC934" s="5"/>
      <c r="BD934" s="5"/>
      <c r="BE934" s="5"/>
    </row>
    <row r="935">
      <c r="A935" s="5"/>
      <c r="B935" s="5"/>
      <c r="C935" s="5"/>
      <c r="D935" s="5"/>
      <c r="E935" s="5"/>
      <c r="F935" s="5"/>
      <c r="G935" s="5"/>
      <c r="H935" s="5"/>
      <c r="I935" s="5"/>
      <c r="J935" s="5"/>
      <c r="K935" s="5"/>
      <c r="L935" s="5"/>
      <c r="M935" s="5"/>
      <c r="N935" s="5"/>
      <c r="O935" s="5"/>
      <c r="P935" s="12"/>
      <c r="Q935" s="13"/>
      <c r="R935" s="13"/>
      <c r="S935" s="13"/>
      <c r="T935" s="5"/>
      <c r="U935" s="5"/>
      <c r="V935" s="5"/>
      <c r="W935" s="5"/>
      <c r="X935" s="5"/>
      <c r="Y935" s="5"/>
      <c r="Z935" s="5"/>
      <c r="AA935" s="5"/>
      <c r="AB935" s="5"/>
      <c r="AC935" s="5"/>
      <c r="AD935" s="5"/>
      <c r="AE935" s="5"/>
      <c r="AF935" s="5"/>
      <c r="AG935" s="8"/>
      <c r="AH935" s="5"/>
      <c r="AI935" s="13"/>
      <c r="AJ935" s="5"/>
      <c r="AK935" s="5"/>
      <c r="AL935" s="5"/>
      <c r="AM935" s="5"/>
      <c r="AN935" s="5"/>
      <c r="AO935" s="5"/>
      <c r="AP935" s="5"/>
      <c r="AQ935" s="5"/>
      <c r="AR935" s="5"/>
      <c r="AS935" s="5"/>
      <c r="AT935" s="5"/>
      <c r="AU935" s="5"/>
      <c r="AV935" s="5"/>
      <c r="AW935" s="5"/>
      <c r="AX935" s="5"/>
      <c r="AY935" s="5"/>
      <c r="AZ935" s="5"/>
      <c r="BA935" s="5"/>
      <c r="BB935" s="5"/>
      <c r="BC935" s="5"/>
      <c r="BD935" s="5"/>
      <c r="BE935" s="5"/>
    </row>
    <row r="936">
      <c r="A936" s="5"/>
      <c r="B936" s="5"/>
      <c r="C936" s="5"/>
      <c r="D936" s="5"/>
      <c r="E936" s="5"/>
      <c r="F936" s="5"/>
      <c r="G936" s="5"/>
      <c r="H936" s="5"/>
      <c r="I936" s="5"/>
      <c r="J936" s="5"/>
      <c r="K936" s="5"/>
      <c r="L936" s="5"/>
      <c r="M936" s="5"/>
      <c r="N936" s="5"/>
      <c r="O936" s="5"/>
      <c r="P936" s="12"/>
      <c r="Q936" s="13"/>
      <c r="R936" s="13"/>
      <c r="S936" s="13"/>
      <c r="T936" s="5"/>
      <c r="U936" s="5"/>
      <c r="V936" s="5"/>
      <c r="W936" s="5"/>
      <c r="X936" s="5"/>
      <c r="Y936" s="5"/>
      <c r="Z936" s="5"/>
      <c r="AA936" s="5"/>
      <c r="AB936" s="5"/>
      <c r="AC936" s="5"/>
      <c r="AD936" s="5"/>
      <c r="AE936" s="5"/>
      <c r="AF936" s="5"/>
      <c r="AG936" s="8"/>
      <c r="AH936" s="5"/>
      <c r="AI936" s="13"/>
      <c r="AJ936" s="5"/>
      <c r="AK936" s="5"/>
      <c r="AL936" s="5"/>
      <c r="AM936" s="5"/>
      <c r="AN936" s="5"/>
      <c r="AO936" s="5"/>
      <c r="AP936" s="5"/>
      <c r="AQ936" s="5"/>
      <c r="AR936" s="5"/>
      <c r="AS936" s="5"/>
      <c r="AT936" s="5"/>
      <c r="AU936" s="5"/>
      <c r="AV936" s="5"/>
      <c r="AW936" s="5"/>
      <c r="AX936" s="5"/>
      <c r="AY936" s="5"/>
      <c r="AZ936" s="5"/>
      <c r="BA936" s="5"/>
      <c r="BB936" s="5"/>
      <c r="BC936" s="5"/>
      <c r="BD936" s="5"/>
      <c r="BE936" s="5"/>
    </row>
    <row r="937">
      <c r="A937" s="5"/>
      <c r="B937" s="5"/>
      <c r="C937" s="5"/>
      <c r="D937" s="5"/>
      <c r="E937" s="5"/>
      <c r="F937" s="5"/>
      <c r="G937" s="5"/>
      <c r="H937" s="5"/>
      <c r="I937" s="5"/>
      <c r="J937" s="5"/>
      <c r="K937" s="5"/>
      <c r="L937" s="5"/>
      <c r="M937" s="5"/>
      <c r="N937" s="5"/>
      <c r="O937" s="5"/>
      <c r="P937" s="12"/>
      <c r="Q937" s="13"/>
      <c r="R937" s="13"/>
      <c r="S937" s="13"/>
      <c r="T937" s="5"/>
      <c r="U937" s="5"/>
      <c r="V937" s="5"/>
      <c r="W937" s="5"/>
      <c r="X937" s="5"/>
      <c r="Y937" s="5"/>
      <c r="Z937" s="5"/>
      <c r="AA937" s="5"/>
      <c r="AB937" s="5"/>
      <c r="AC937" s="5"/>
      <c r="AD937" s="5"/>
      <c r="AE937" s="5"/>
      <c r="AF937" s="5"/>
      <c r="AG937" s="8"/>
      <c r="AH937" s="5"/>
      <c r="AI937" s="13"/>
      <c r="AJ937" s="5"/>
      <c r="AK937" s="5"/>
      <c r="AL937" s="5"/>
      <c r="AM937" s="5"/>
      <c r="AN937" s="5"/>
      <c r="AO937" s="5"/>
      <c r="AP937" s="5"/>
      <c r="AQ937" s="5"/>
      <c r="AR937" s="5"/>
      <c r="AS937" s="5"/>
      <c r="AT937" s="5"/>
      <c r="AU937" s="5"/>
      <c r="AV937" s="5"/>
      <c r="AW937" s="5"/>
      <c r="AX937" s="5"/>
      <c r="AY937" s="5"/>
      <c r="AZ937" s="5"/>
      <c r="BA937" s="5"/>
      <c r="BB937" s="5"/>
      <c r="BC937" s="5"/>
      <c r="BD937" s="5"/>
      <c r="BE937" s="5"/>
    </row>
    <row r="938">
      <c r="A938" s="5"/>
      <c r="B938" s="5"/>
      <c r="C938" s="5"/>
      <c r="D938" s="5"/>
      <c r="E938" s="5"/>
      <c r="F938" s="5"/>
      <c r="G938" s="5"/>
      <c r="H938" s="5"/>
      <c r="I938" s="5"/>
      <c r="J938" s="5"/>
      <c r="K938" s="5"/>
      <c r="L938" s="5"/>
      <c r="M938" s="5"/>
      <c r="N938" s="5"/>
      <c r="O938" s="5"/>
      <c r="P938" s="12"/>
      <c r="Q938" s="13"/>
      <c r="R938" s="13"/>
      <c r="S938" s="13"/>
      <c r="T938" s="5"/>
      <c r="U938" s="5"/>
      <c r="V938" s="5"/>
      <c r="W938" s="5"/>
      <c r="X938" s="5"/>
      <c r="Y938" s="5"/>
      <c r="Z938" s="5"/>
      <c r="AA938" s="5"/>
      <c r="AB938" s="5"/>
      <c r="AC938" s="5"/>
      <c r="AD938" s="5"/>
      <c r="AE938" s="5"/>
      <c r="AF938" s="5"/>
      <c r="AG938" s="8"/>
      <c r="AH938" s="5"/>
      <c r="AI938" s="13"/>
      <c r="AJ938" s="5"/>
      <c r="AK938" s="5"/>
      <c r="AL938" s="5"/>
      <c r="AM938" s="5"/>
      <c r="AN938" s="5"/>
      <c r="AO938" s="5"/>
      <c r="AP938" s="5"/>
      <c r="AQ938" s="5"/>
      <c r="AR938" s="5"/>
      <c r="AS938" s="5"/>
      <c r="AT938" s="5"/>
      <c r="AU938" s="5"/>
      <c r="AV938" s="5"/>
      <c r="AW938" s="5"/>
      <c r="AX938" s="5"/>
      <c r="AY938" s="5"/>
      <c r="AZ938" s="5"/>
      <c r="BA938" s="5"/>
      <c r="BB938" s="5"/>
      <c r="BC938" s="5"/>
      <c r="BD938" s="5"/>
      <c r="BE938" s="5"/>
    </row>
    <row r="939">
      <c r="A939" s="5"/>
      <c r="B939" s="5"/>
      <c r="C939" s="5"/>
      <c r="D939" s="5"/>
      <c r="E939" s="5"/>
      <c r="F939" s="5"/>
      <c r="G939" s="5"/>
      <c r="H939" s="5"/>
      <c r="I939" s="5"/>
      <c r="J939" s="5"/>
      <c r="K939" s="5"/>
      <c r="L939" s="5"/>
      <c r="M939" s="5"/>
      <c r="N939" s="5"/>
      <c r="O939" s="5"/>
      <c r="P939" s="12"/>
      <c r="Q939" s="13"/>
      <c r="R939" s="13"/>
      <c r="S939" s="13"/>
      <c r="T939" s="5"/>
      <c r="U939" s="5"/>
      <c r="V939" s="5"/>
      <c r="W939" s="5"/>
      <c r="X939" s="5"/>
      <c r="Y939" s="5"/>
      <c r="Z939" s="5"/>
      <c r="AA939" s="5"/>
      <c r="AB939" s="5"/>
      <c r="AC939" s="5"/>
      <c r="AD939" s="5"/>
      <c r="AE939" s="5"/>
      <c r="AF939" s="5"/>
      <c r="AG939" s="8"/>
      <c r="AH939" s="5"/>
      <c r="AI939" s="13"/>
      <c r="AJ939" s="5"/>
      <c r="AK939" s="5"/>
      <c r="AL939" s="5"/>
      <c r="AM939" s="5"/>
      <c r="AN939" s="5"/>
      <c r="AO939" s="5"/>
      <c r="AP939" s="5"/>
      <c r="AQ939" s="5"/>
      <c r="AR939" s="5"/>
      <c r="AS939" s="5"/>
      <c r="AT939" s="5"/>
      <c r="AU939" s="5"/>
      <c r="AV939" s="5"/>
      <c r="AW939" s="5"/>
      <c r="AX939" s="5"/>
      <c r="AY939" s="5"/>
      <c r="AZ939" s="5"/>
      <c r="BA939" s="5"/>
      <c r="BB939" s="5"/>
      <c r="BC939" s="5"/>
      <c r="BD939" s="5"/>
      <c r="BE939" s="5"/>
    </row>
    <row r="940">
      <c r="A940" s="5"/>
      <c r="B940" s="5"/>
      <c r="C940" s="5"/>
      <c r="D940" s="5"/>
      <c r="E940" s="5"/>
      <c r="F940" s="5"/>
      <c r="G940" s="5"/>
      <c r="H940" s="5"/>
      <c r="I940" s="5"/>
      <c r="J940" s="5"/>
      <c r="K940" s="5"/>
      <c r="L940" s="5"/>
      <c r="M940" s="5"/>
      <c r="N940" s="5"/>
      <c r="O940" s="5"/>
      <c r="P940" s="12"/>
      <c r="Q940" s="13"/>
      <c r="R940" s="13"/>
      <c r="S940" s="13"/>
      <c r="T940" s="5"/>
      <c r="U940" s="5"/>
      <c r="V940" s="5"/>
      <c r="W940" s="5"/>
      <c r="X940" s="5"/>
      <c r="Y940" s="5"/>
      <c r="Z940" s="5"/>
      <c r="AA940" s="5"/>
      <c r="AB940" s="5"/>
      <c r="AC940" s="5"/>
      <c r="AD940" s="5"/>
      <c r="AE940" s="5"/>
      <c r="AF940" s="5"/>
      <c r="AG940" s="8"/>
      <c r="AH940" s="5"/>
      <c r="AI940" s="13"/>
      <c r="AJ940" s="5"/>
      <c r="AK940" s="5"/>
      <c r="AL940" s="5"/>
      <c r="AM940" s="5"/>
      <c r="AN940" s="5"/>
      <c r="AO940" s="5"/>
      <c r="AP940" s="5"/>
      <c r="AQ940" s="5"/>
      <c r="AR940" s="5"/>
      <c r="AS940" s="5"/>
      <c r="AT940" s="5"/>
      <c r="AU940" s="5"/>
      <c r="AV940" s="5"/>
      <c r="AW940" s="5"/>
      <c r="AX940" s="5"/>
      <c r="AY940" s="5"/>
      <c r="AZ940" s="5"/>
      <c r="BA940" s="5"/>
      <c r="BB940" s="5"/>
      <c r="BC940" s="5"/>
      <c r="BD940" s="5"/>
      <c r="BE940" s="5"/>
    </row>
    <row r="941">
      <c r="A941" s="5"/>
      <c r="B941" s="5"/>
      <c r="C941" s="5"/>
      <c r="D941" s="5"/>
      <c r="E941" s="5"/>
      <c r="F941" s="5"/>
      <c r="G941" s="5"/>
      <c r="H941" s="5"/>
      <c r="I941" s="5"/>
      <c r="J941" s="5"/>
      <c r="K941" s="5"/>
      <c r="L941" s="5"/>
      <c r="M941" s="5"/>
      <c r="N941" s="5"/>
      <c r="O941" s="5"/>
      <c r="P941" s="12"/>
      <c r="Q941" s="13"/>
      <c r="R941" s="13"/>
      <c r="S941" s="13"/>
      <c r="T941" s="5"/>
      <c r="U941" s="5"/>
      <c r="V941" s="5"/>
      <c r="W941" s="5"/>
      <c r="X941" s="5"/>
      <c r="Y941" s="5"/>
      <c r="Z941" s="5"/>
      <c r="AA941" s="5"/>
      <c r="AB941" s="5"/>
      <c r="AC941" s="5"/>
      <c r="AD941" s="5"/>
      <c r="AE941" s="5"/>
      <c r="AF941" s="5"/>
      <c r="AG941" s="8"/>
      <c r="AH941" s="5"/>
      <c r="AI941" s="13"/>
      <c r="AJ941" s="5"/>
      <c r="AK941" s="5"/>
      <c r="AL941" s="5"/>
      <c r="AM941" s="5"/>
      <c r="AN941" s="5"/>
      <c r="AO941" s="5"/>
      <c r="AP941" s="5"/>
      <c r="AQ941" s="5"/>
      <c r="AR941" s="5"/>
      <c r="AS941" s="5"/>
      <c r="AT941" s="5"/>
      <c r="AU941" s="5"/>
      <c r="AV941" s="5"/>
      <c r="AW941" s="5"/>
      <c r="AX941" s="5"/>
      <c r="AY941" s="5"/>
      <c r="AZ941" s="5"/>
      <c r="BA941" s="5"/>
      <c r="BB941" s="5"/>
      <c r="BC941" s="5"/>
      <c r="BD941" s="5"/>
      <c r="BE941" s="5"/>
    </row>
    <row r="942">
      <c r="A942" s="5"/>
      <c r="B942" s="5"/>
      <c r="C942" s="5"/>
      <c r="D942" s="5"/>
      <c r="E942" s="5"/>
      <c r="F942" s="5"/>
      <c r="G942" s="5"/>
      <c r="H942" s="5"/>
      <c r="I942" s="5"/>
      <c r="J942" s="5"/>
      <c r="K942" s="5"/>
      <c r="L942" s="5"/>
      <c r="M942" s="5"/>
      <c r="N942" s="5"/>
      <c r="O942" s="5"/>
      <c r="P942" s="12"/>
      <c r="Q942" s="13"/>
      <c r="R942" s="13"/>
      <c r="S942" s="13"/>
      <c r="T942" s="5"/>
      <c r="U942" s="5"/>
      <c r="V942" s="5"/>
      <c r="W942" s="5"/>
      <c r="X942" s="5"/>
      <c r="Y942" s="5"/>
      <c r="Z942" s="5"/>
      <c r="AA942" s="5"/>
      <c r="AB942" s="5"/>
      <c r="AC942" s="5"/>
      <c r="AD942" s="5"/>
      <c r="AE942" s="5"/>
      <c r="AF942" s="5"/>
      <c r="AG942" s="8"/>
      <c r="AH942" s="5"/>
      <c r="AI942" s="13"/>
      <c r="AJ942" s="5"/>
      <c r="AK942" s="5"/>
      <c r="AL942" s="5"/>
      <c r="AM942" s="5"/>
      <c r="AN942" s="5"/>
      <c r="AO942" s="5"/>
      <c r="AP942" s="5"/>
      <c r="AQ942" s="5"/>
      <c r="AR942" s="5"/>
      <c r="AS942" s="5"/>
      <c r="AT942" s="5"/>
      <c r="AU942" s="5"/>
      <c r="AV942" s="5"/>
      <c r="AW942" s="5"/>
      <c r="AX942" s="5"/>
      <c r="AY942" s="5"/>
      <c r="AZ942" s="5"/>
      <c r="BA942" s="5"/>
      <c r="BB942" s="5"/>
      <c r="BC942" s="5"/>
      <c r="BD942" s="5"/>
      <c r="BE942" s="5"/>
    </row>
    <row r="943">
      <c r="A943" s="5"/>
      <c r="B943" s="5"/>
      <c r="C943" s="5"/>
      <c r="D943" s="5"/>
      <c r="E943" s="5"/>
      <c r="F943" s="5"/>
      <c r="G943" s="5"/>
      <c r="H943" s="5"/>
      <c r="I943" s="5"/>
      <c r="J943" s="5"/>
      <c r="K943" s="5"/>
      <c r="L943" s="5"/>
      <c r="M943" s="5"/>
      <c r="N943" s="5"/>
      <c r="O943" s="5"/>
      <c r="P943" s="12"/>
      <c r="Q943" s="13"/>
      <c r="R943" s="13"/>
      <c r="S943" s="13"/>
      <c r="T943" s="5"/>
      <c r="U943" s="5"/>
      <c r="V943" s="5"/>
      <c r="W943" s="5"/>
      <c r="X943" s="5"/>
      <c r="Y943" s="5"/>
      <c r="Z943" s="5"/>
      <c r="AA943" s="5"/>
      <c r="AB943" s="5"/>
      <c r="AC943" s="5"/>
      <c r="AD943" s="5"/>
      <c r="AE943" s="5"/>
      <c r="AF943" s="5"/>
      <c r="AG943" s="8"/>
      <c r="AH943" s="5"/>
      <c r="AI943" s="13"/>
      <c r="AJ943" s="5"/>
      <c r="AK943" s="5"/>
      <c r="AL943" s="5"/>
      <c r="AM943" s="5"/>
      <c r="AN943" s="5"/>
      <c r="AO943" s="5"/>
      <c r="AP943" s="5"/>
      <c r="AQ943" s="5"/>
      <c r="AR943" s="5"/>
      <c r="AS943" s="5"/>
      <c r="AT943" s="5"/>
      <c r="AU943" s="5"/>
      <c r="AV943" s="5"/>
      <c r="AW943" s="5"/>
      <c r="AX943" s="5"/>
      <c r="AY943" s="5"/>
      <c r="AZ943" s="5"/>
      <c r="BA943" s="5"/>
      <c r="BB943" s="5"/>
      <c r="BC943" s="5"/>
      <c r="BD943" s="5"/>
      <c r="BE943" s="5"/>
    </row>
    <row r="944">
      <c r="A944" s="5"/>
      <c r="B944" s="5"/>
      <c r="C944" s="5"/>
      <c r="D944" s="5"/>
      <c r="E944" s="5"/>
      <c r="F944" s="5"/>
      <c r="G944" s="5"/>
      <c r="H944" s="5"/>
      <c r="I944" s="5"/>
      <c r="J944" s="5"/>
      <c r="K944" s="5"/>
      <c r="L944" s="5"/>
      <c r="M944" s="5"/>
      <c r="N944" s="5"/>
      <c r="O944" s="5"/>
      <c r="P944" s="12"/>
      <c r="Q944" s="13"/>
      <c r="R944" s="13"/>
      <c r="S944" s="13"/>
      <c r="T944" s="5"/>
      <c r="U944" s="5"/>
      <c r="V944" s="5"/>
      <c r="W944" s="5"/>
      <c r="X944" s="5"/>
      <c r="Y944" s="5"/>
      <c r="Z944" s="5"/>
      <c r="AA944" s="5"/>
      <c r="AB944" s="5"/>
      <c r="AC944" s="5"/>
      <c r="AD944" s="5"/>
      <c r="AE944" s="5"/>
      <c r="AF944" s="5"/>
      <c r="AG944" s="8"/>
      <c r="AH944" s="5"/>
      <c r="AI944" s="13"/>
      <c r="AJ944" s="5"/>
      <c r="AK944" s="5"/>
      <c r="AL944" s="5"/>
      <c r="AM944" s="5"/>
      <c r="AN944" s="5"/>
      <c r="AO944" s="5"/>
      <c r="AP944" s="5"/>
      <c r="AQ944" s="5"/>
      <c r="AR944" s="5"/>
      <c r="AS944" s="5"/>
      <c r="AT944" s="5"/>
      <c r="AU944" s="5"/>
      <c r="AV944" s="5"/>
      <c r="AW944" s="5"/>
      <c r="AX944" s="5"/>
      <c r="AY944" s="5"/>
      <c r="AZ944" s="5"/>
      <c r="BA944" s="5"/>
      <c r="BB944" s="5"/>
      <c r="BC944" s="5"/>
      <c r="BD944" s="5"/>
      <c r="BE944" s="5"/>
    </row>
    <row r="945">
      <c r="A945" s="5"/>
      <c r="B945" s="5"/>
      <c r="C945" s="5"/>
      <c r="D945" s="5"/>
      <c r="E945" s="5"/>
      <c r="F945" s="5"/>
      <c r="G945" s="5"/>
      <c r="H945" s="5"/>
      <c r="I945" s="5"/>
      <c r="J945" s="5"/>
      <c r="K945" s="5"/>
      <c r="L945" s="5"/>
      <c r="M945" s="5"/>
      <c r="N945" s="5"/>
      <c r="O945" s="5"/>
      <c r="P945" s="12"/>
      <c r="Q945" s="13"/>
      <c r="R945" s="13"/>
      <c r="S945" s="13"/>
      <c r="T945" s="5"/>
      <c r="U945" s="5"/>
      <c r="V945" s="5"/>
      <c r="W945" s="5"/>
      <c r="X945" s="5"/>
      <c r="Y945" s="5"/>
      <c r="Z945" s="5"/>
      <c r="AA945" s="5"/>
      <c r="AB945" s="5"/>
      <c r="AC945" s="5"/>
      <c r="AD945" s="5"/>
      <c r="AE945" s="5"/>
      <c r="AF945" s="5"/>
      <c r="AG945" s="8"/>
      <c r="AH945" s="5"/>
      <c r="AI945" s="13"/>
      <c r="AJ945" s="5"/>
      <c r="AK945" s="5"/>
      <c r="AL945" s="5"/>
      <c r="AM945" s="5"/>
      <c r="AN945" s="5"/>
      <c r="AO945" s="5"/>
      <c r="AP945" s="5"/>
      <c r="AQ945" s="5"/>
      <c r="AR945" s="5"/>
      <c r="AS945" s="5"/>
      <c r="AT945" s="5"/>
      <c r="AU945" s="5"/>
      <c r="AV945" s="5"/>
      <c r="AW945" s="5"/>
      <c r="AX945" s="5"/>
      <c r="AY945" s="5"/>
      <c r="AZ945" s="5"/>
      <c r="BA945" s="5"/>
      <c r="BB945" s="5"/>
      <c r="BC945" s="5"/>
      <c r="BD945" s="5"/>
      <c r="BE945" s="5"/>
    </row>
    <row r="946">
      <c r="A946" s="5"/>
      <c r="B946" s="5"/>
      <c r="C946" s="5"/>
      <c r="D946" s="5"/>
      <c r="E946" s="5"/>
      <c r="F946" s="5"/>
      <c r="G946" s="5"/>
      <c r="H946" s="5"/>
      <c r="I946" s="5"/>
      <c r="J946" s="5"/>
      <c r="K946" s="5"/>
      <c r="L946" s="5"/>
      <c r="M946" s="5"/>
      <c r="N946" s="5"/>
      <c r="O946" s="5"/>
      <c r="P946" s="12"/>
      <c r="Q946" s="13"/>
      <c r="R946" s="13"/>
      <c r="S946" s="13"/>
      <c r="T946" s="5"/>
      <c r="U946" s="5"/>
      <c r="V946" s="5"/>
      <c r="W946" s="5"/>
      <c r="X946" s="5"/>
      <c r="Y946" s="5"/>
      <c r="Z946" s="5"/>
      <c r="AA946" s="5"/>
      <c r="AB946" s="5"/>
      <c r="AC946" s="5"/>
      <c r="AD946" s="5"/>
      <c r="AE946" s="5"/>
      <c r="AF946" s="5"/>
      <c r="AG946" s="8"/>
      <c r="AH946" s="5"/>
      <c r="AI946" s="13"/>
      <c r="AJ946" s="5"/>
      <c r="AK946" s="5"/>
      <c r="AL946" s="5"/>
      <c r="AM946" s="5"/>
      <c r="AN946" s="5"/>
      <c r="AO946" s="5"/>
      <c r="AP946" s="5"/>
      <c r="AQ946" s="5"/>
      <c r="AR946" s="5"/>
      <c r="AS946" s="5"/>
      <c r="AT946" s="5"/>
      <c r="AU946" s="5"/>
      <c r="AV946" s="5"/>
      <c r="AW946" s="5"/>
      <c r="AX946" s="5"/>
      <c r="AY946" s="5"/>
      <c r="AZ946" s="5"/>
      <c r="BA946" s="5"/>
      <c r="BB946" s="5"/>
      <c r="BC946" s="5"/>
      <c r="BD946" s="5"/>
      <c r="BE946" s="5"/>
    </row>
    <row r="947">
      <c r="A947" s="5"/>
      <c r="B947" s="5"/>
      <c r="C947" s="5"/>
      <c r="D947" s="5"/>
      <c r="E947" s="5"/>
      <c r="F947" s="5"/>
      <c r="G947" s="5"/>
      <c r="H947" s="5"/>
      <c r="I947" s="5"/>
      <c r="J947" s="5"/>
      <c r="K947" s="5"/>
      <c r="L947" s="5"/>
      <c r="M947" s="5"/>
      <c r="N947" s="5"/>
      <c r="O947" s="5"/>
      <c r="P947" s="12"/>
      <c r="Q947" s="13"/>
      <c r="R947" s="13"/>
      <c r="S947" s="13"/>
      <c r="T947" s="5"/>
      <c r="U947" s="5"/>
      <c r="V947" s="5"/>
      <c r="W947" s="5"/>
      <c r="X947" s="5"/>
      <c r="Y947" s="5"/>
      <c r="Z947" s="5"/>
      <c r="AA947" s="5"/>
      <c r="AB947" s="5"/>
      <c r="AC947" s="5"/>
      <c r="AD947" s="5"/>
      <c r="AE947" s="5"/>
      <c r="AF947" s="5"/>
      <c r="AG947" s="8"/>
      <c r="AH947" s="5"/>
      <c r="AI947" s="13"/>
      <c r="AJ947" s="5"/>
      <c r="AK947" s="5"/>
      <c r="AL947" s="5"/>
      <c r="AM947" s="5"/>
      <c r="AN947" s="5"/>
      <c r="AO947" s="5"/>
      <c r="AP947" s="5"/>
      <c r="AQ947" s="5"/>
      <c r="AR947" s="5"/>
      <c r="AS947" s="5"/>
      <c r="AT947" s="5"/>
      <c r="AU947" s="5"/>
      <c r="AV947" s="5"/>
      <c r="AW947" s="5"/>
      <c r="AX947" s="5"/>
      <c r="AY947" s="5"/>
      <c r="AZ947" s="5"/>
      <c r="BA947" s="5"/>
      <c r="BB947" s="5"/>
      <c r="BC947" s="5"/>
      <c r="BD947" s="5"/>
      <c r="BE947" s="5"/>
    </row>
    <row r="948">
      <c r="A948" s="5"/>
      <c r="B948" s="5"/>
      <c r="C948" s="5"/>
      <c r="D948" s="5"/>
      <c r="E948" s="5"/>
      <c r="F948" s="5"/>
      <c r="G948" s="5"/>
      <c r="H948" s="5"/>
      <c r="I948" s="5"/>
      <c r="J948" s="5"/>
      <c r="K948" s="5"/>
      <c r="L948" s="5"/>
      <c r="M948" s="5"/>
      <c r="N948" s="5"/>
      <c r="O948" s="5"/>
      <c r="P948" s="12"/>
      <c r="Q948" s="13"/>
      <c r="R948" s="13"/>
      <c r="S948" s="13"/>
      <c r="T948" s="5"/>
      <c r="U948" s="5"/>
      <c r="V948" s="5"/>
      <c r="W948" s="5"/>
      <c r="X948" s="5"/>
      <c r="Y948" s="5"/>
      <c r="Z948" s="5"/>
      <c r="AA948" s="5"/>
      <c r="AB948" s="5"/>
      <c r="AC948" s="5"/>
      <c r="AD948" s="5"/>
      <c r="AE948" s="5"/>
      <c r="AF948" s="5"/>
      <c r="AG948" s="8"/>
      <c r="AH948" s="5"/>
      <c r="AI948" s="13"/>
      <c r="AJ948" s="5"/>
      <c r="AK948" s="5"/>
      <c r="AL948" s="5"/>
      <c r="AM948" s="5"/>
      <c r="AN948" s="5"/>
      <c r="AO948" s="5"/>
      <c r="AP948" s="5"/>
      <c r="AQ948" s="5"/>
      <c r="AR948" s="5"/>
      <c r="AS948" s="5"/>
      <c r="AT948" s="5"/>
      <c r="AU948" s="5"/>
      <c r="AV948" s="5"/>
      <c r="AW948" s="5"/>
      <c r="AX948" s="5"/>
      <c r="AY948" s="5"/>
      <c r="AZ948" s="5"/>
      <c r="BA948" s="5"/>
      <c r="BB948" s="5"/>
      <c r="BC948" s="5"/>
      <c r="BD948" s="5"/>
      <c r="BE948" s="5"/>
    </row>
    <row r="949">
      <c r="A949" s="5"/>
      <c r="B949" s="5"/>
      <c r="C949" s="5"/>
      <c r="D949" s="5"/>
      <c r="E949" s="5"/>
      <c r="F949" s="5"/>
      <c r="G949" s="5"/>
      <c r="H949" s="5"/>
      <c r="I949" s="5"/>
      <c r="J949" s="5"/>
      <c r="K949" s="5"/>
      <c r="L949" s="5"/>
      <c r="M949" s="5"/>
      <c r="N949" s="5"/>
      <c r="O949" s="5"/>
      <c r="P949" s="12"/>
      <c r="Q949" s="13"/>
      <c r="R949" s="13"/>
      <c r="S949" s="13"/>
      <c r="T949" s="5"/>
      <c r="U949" s="5"/>
      <c r="V949" s="5"/>
      <c r="W949" s="5"/>
      <c r="X949" s="5"/>
      <c r="Y949" s="5"/>
      <c r="Z949" s="5"/>
      <c r="AA949" s="5"/>
      <c r="AB949" s="5"/>
      <c r="AC949" s="5"/>
      <c r="AD949" s="5"/>
      <c r="AE949" s="5"/>
      <c r="AF949" s="5"/>
      <c r="AG949" s="8"/>
      <c r="AH949" s="5"/>
      <c r="AI949" s="13"/>
      <c r="AJ949" s="5"/>
      <c r="AK949" s="5"/>
      <c r="AL949" s="5"/>
      <c r="AM949" s="5"/>
      <c r="AN949" s="5"/>
      <c r="AO949" s="5"/>
      <c r="AP949" s="5"/>
      <c r="AQ949" s="5"/>
      <c r="AR949" s="5"/>
      <c r="AS949" s="5"/>
      <c r="AT949" s="5"/>
      <c r="AU949" s="5"/>
      <c r="AV949" s="5"/>
      <c r="AW949" s="5"/>
      <c r="AX949" s="5"/>
      <c r="AY949" s="5"/>
      <c r="AZ949" s="5"/>
      <c r="BA949" s="5"/>
      <c r="BB949" s="5"/>
      <c r="BC949" s="5"/>
      <c r="BD949" s="5"/>
      <c r="BE949" s="5"/>
    </row>
    <row r="950">
      <c r="A950" s="5"/>
      <c r="B950" s="5"/>
      <c r="C950" s="5"/>
      <c r="D950" s="5"/>
      <c r="E950" s="5"/>
      <c r="F950" s="5"/>
      <c r="G950" s="5"/>
      <c r="H950" s="5"/>
      <c r="I950" s="5"/>
      <c r="J950" s="5"/>
      <c r="K950" s="5"/>
      <c r="L950" s="5"/>
      <c r="M950" s="5"/>
      <c r="N950" s="5"/>
      <c r="O950" s="5"/>
      <c r="P950" s="12"/>
      <c r="Q950" s="13"/>
      <c r="R950" s="13"/>
      <c r="S950" s="13"/>
      <c r="T950" s="5"/>
      <c r="U950" s="5"/>
      <c r="V950" s="5"/>
      <c r="W950" s="5"/>
      <c r="X950" s="5"/>
      <c r="Y950" s="5"/>
      <c r="Z950" s="5"/>
      <c r="AA950" s="5"/>
      <c r="AB950" s="5"/>
      <c r="AC950" s="5"/>
      <c r="AD950" s="5"/>
      <c r="AE950" s="5"/>
      <c r="AF950" s="5"/>
      <c r="AG950" s="8"/>
      <c r="AH950" s="5"/>
      <c r="AI950" s="13"/>
      <c r="AJ950" s="5"/>
      <c r="AK950" s="5"/>
      <c r="AL950" s="5"/>
      <c r="AM950" s="5"/>
      <c r="AN950" s="5"/>
      <c r="AO950" s="5"/>
      <c r="AP950" s="5"/>
      <c r="AQ950" s="5"/>
      <c r="AR950" s="5"/>
      <c r="AS950" s="5"/>
      <c r="AT950" s="5"/>
      <c r="AU950" s="5"/>
      <c r="AV950" s="5"/>
      <c r="AW950" s="5"/>
      <c r="AX950" s="5"/>
      <c r="AY950" s="5"/>
      <c r="AZ950" s="5"/>
      <c r="BA950" s="5"/>
      <c r="BB950" s="5"/>
      <c r="BC950" s="5"/>
      <c r="BD950" s="5"/>
      <c r="BE950" s="5"/>
    </row>
    <row r="951">
      <c r="A951" s="5"/>
      <c r="B951" s="5"/>
      <c r="C951" s="5"/>
      <c r="D951" s="5"/>
      <c r="E951" s="5"/>
      <c r="F951" s="5"/>
      <c r="G951" s="5"/>
      <c r="H951" s="5"/>
      <c r="I951" s="5"/>
      <c r="J951" s="5"/>
      <c r="K951" s="5"/>
      <c r="L951" s="5"/>
      <c r="M951" s="5"/>
      <c r="N951" s="5"/>
      <c r="O951" s="5"/>
      <c r="P951" s="12"/>
      <c r="Q951" s="13"/>
      <c r="R951" s="13"/>
      <c r="S951" s="13"/>
      <c r="T951" s="5"/>
      <c r="U951" s="5"/>
      <c r="V951" s="5"/>
      <c r="W951" s="5"/>
      <c r="X951" s="5"/>
      <c r="Y951" s="5"/>
      <c r="Z951" s="5"/>
      <c r="AA951" s="5"/>
      <c r="AB951" s="5"/>
      <c r="AC951" s="5"/>
      <c r="AD951" s="5"/>
      <c r="AE951" s="5"/>
      <c r="AF951" s="5"/>
      <c r="AG951" s="8"/>
      <c r="AH951" s="5"/>
      <c r="AI951" s="13"/>
      <c r="AJ951" s="5"/>
      <c r="AK951" s="5"/>
      <c r="AL951" s="5"/>
      <c r="AM951" s="5"/>
      <c r="AN951" s="5"/>
      <c r="AO951" s="5"/>
      <c r="AP951" s="5"/>
      <c r="AQ951" s="5"/>
      <c r="AR951" s="5"/>
      <c r="AS951" s="5"/>
      <c r="AT951" s="5"/>
      <c r="AU951" s="5"/>
      <c r="AV951" s="5"/>
      <c r="AW951" s="5"/>
      <c r="AX951" s="5"/>
      <c r="AY951" s="5"/>
      <c r="AZ951" s="5"/>
      <c r="BA951" s="5"/>
      <c r="BB951" s="5"/>
      <c r="BC951" s="5"/>
      <c r="BD951" s="5"/>
      <c r="BE951" s="5"/>
    </row>
    <row r="952">
      <c r="A952" s="5"/>
      <c r="B952" s="5"/>
      <c r="C952" s="5"/>
      <c r="D952" s="5"/>
      <c r="E952" s="5"/>
      <c r="F952" s="5"/>
      <c r="G952" s="5"/>
      <c r="H952" s="5"/>
      <c r="I952" s="5"/>
      <c r="J952" s="5"/>
      <c r="K952" s="5"/>
      <c r="L952" s="5"/>
      <c r="M952" s="5"/>
      <c r="N952" s="5"/>
      <c r="O952" s="5"/>
      <c r="P952" s="12"/>
      <c r="Q952" s="13"/>
      <c r="R952" s="13"/>
      <c r="S952" s="13"/>
      <c r="T952" s="5"/>
      <c r="U952" s="5"/>
      <c r="V952" s="5"/>
      <c r="W952" s="5"/>
      <c r="X952" s="5"/>
      <c r="Y952" s="5"/>
      <c r="Z952" s="5"/>
      <c r="AA952" s="5"/>
      <c r="AB952" s="5"/>
      <c r="AC952" s="5"/>
      <c r="AD952" s="5"/>
      <c r="AE952" s="5"/>
      <c r="AF952" s="5"/>
      <c r="AG952" s="8"/>
      <c r="AH952" s="5"/>
      <c r="AI952" s="13"/>
      <c r="AJ952" s="5"/>
      <c r="AK952" s="5"/>
      <c r="AL952" s="5"/>
      <c r="AM952" s="5"/>
      <c r="AN952" s="5"/>
      <c r="AO952" s="5"/>
      <c r="AP952" s="5"/>
      <c r="AQ952" s="5"/>
      <c r="AR952" s="5"/>
      <c r="AS952" s="5"/>
      <c r="AT952" s="5"/>
      <c r="AU952" s="5"/>
      <c r="AV952" s="5"/>
      <c r="AW952" s="5"/>
      <c r="AX952" s="5"/>
      <c r="AY952" s="5"/>
      <c r="AZ952" s="5"/>
      <c r="BA952" s="5"/>
      <c r="BB952" s="5"/>
      <c r="BC952" s="5"/>
      <c r="BD952" s="5"/>
      <c r="BE952" s="5"/>
    </row>
    <row r="953">
      <c r="A953" s="5"/>
      <c r="B953" s="5"/>
      <c r="C953" s="5"/>
      <c r="D953" s="5"/>
      <c r="E953" s="5"/>
      <c r="F953" s="5"/>
      <c r="G953" s="5"/>
      <c r="H953" s="5"/>
      <c r="I953" s="5"/>
      <c r="J953" s="5"/>
      <c r="K953" s="5"/>
      <c r="L953" s="5"/>
      <c r="M953" s="5"/>
      <c r="N953" s="5"/>
      <c r="O953" s="5"/>
      <c r="P953" s="12"/>
      <c r="Q953" s="13"/>
      <c r="R953" s="13"/>
      <c r="S953" s="13"/>
      <c r="T953" s="5"/>
      <c r="U953" s="5"/>
      <c r="V953" s="5"/>
      <c r="W953" s="5"/>
      <c r="X953" s="5"/>
      <c r="Y953" s="5"/>
      <c r="Z953" s="5"/>
      <c r="AA953" s="5"/>
      <c r="AB953" s="5"/>
      <c r="AC953" s="5"/>
      <c r="AD953" s="5"/>
      <c r="AE953" s="5"/>
      <c r="AF953" s="5"/>
      <c r="AG953" s="8"/>
      <c r="AH953" s="5"/>
      <c r="AI953" s="13"/>
      <c r="AJ953" s="5"/>
      <c r="AK953" s="5"/>
      <c r="AL953" s="5"/>
      <c r="AM953" s="5"/>
      <c r="AN953" s="5"/>
      <c r="AO953" s="5"/>
      <c r="AP953" s="5"/>
      <c r="AQ953" s="5"/>
      <c r="AR953" s="5"/>
      <c r="AS953" s="5"/>
      <c r="AT953" s="5"/>
      <c r="AU953" s="5"/>
      <c r="AV953" s="5"/>
      <c r="AW953" s="5"/>
      <c r="AX953" s="5"/>
      <c r="AY953" s="5"/>
      <c r="AZ953" s="5"/>
      <c r="BA953" s="5"/>
      <c r="BB953" s="5"/>
      <c r="BC953" s="5"/>
      <c r="BD953" s="5"/>
      <c r="BE953" s="5"/>
    </row>
    <row r="954">
      <c r="A954" s="5"/>
      <c r="B954" s="5"/>
      <c r="C954" s="5"/>
      <c r="D954" s="5"/>
      <c r="E954" s="5"/>
      <c r="F954" s="5"/>
      <c r="G954" s="5"/>
      <c r="H954" s="5"/>
      <c r="I954" s="5"/>
      <c r="J954" s="5"/>
      <c r="K954" s="5"/>
      <c r="L954" s="5"/>
      <c r="M954" s="5"/>
      <c r="N954" s="5"/>
      <c r="O954" s="5"/>
      <c r="P954" s="12"/>
      <c r="Q954" s="13"/>
      <c r="R954" s="13"/>
      <c r="S954" s="13"/>
      <c r="T954" s="5"/>
      <c r="U954" s="5"/>
      <c r="V954" s="5"/>
      <c r="W954" s="5"/>
      <c r="X954" s="5"/>
      <c r="Y954" s="5"/>
      <c r="Z954" s="5"/>
      <c r="AA954" s="5"/>
      <c r="AB954" s="5"/>
      <c r="AC954" s="5"/>
      <c r="AD954" s="5"/>
      <c r="AE954" s="5"/>
      <c r="AF954" s="5"/>
      <c r="AG954" s="8"/>
      <c r="AH954" s="5"/>
      <c r="AI954" s="13"/>
      <c r="AJ954" s="5"/>
      <c r="AK954" s="5"/>
      <c r="AL954" s="5"/>
      <c r="AM954" s="5"/>
      <c r="AN954" s="5"/>
      <c r="AO954" s="5"/>
      <c r="AP954" s="5"/>
      <c r="AQ954" s="5"/>
      <c r="AR954" s="5"/>
      <c r="AS954" s="5"/>
      <c r="AT954" s="5"/>
      <c r="AU954" s="5"/>
      <c r="AV954" s="5"/>
      <c r="AW954" s="5"/>
      <c r="AX954" s="5"/>
      <c r="AY954" s="5"/>
      <c r="AZ954" s="5"/>
      <c r="BA954" s="5"/>
      <c r="BB954" s="5"/>
      <c r="BC954" s="5"/>
      <c r="BD954" s="5"/>
      <c r="BE954" s="5"/>
    </row>
    <row r="955">
      <c r="A955" s="5"/>
      <c r="B955" s="5"/>
      <c r="C955" s="5"/>
      <c r="D955" s="5"/>
      <c r="E955" s="5"/>
      <c r="F955" s="5"/>
      <c r="G955" s="5"/>
      <c r="H955" s="5"/>
      <c r="I955" s="5"/>
      <c r="J955" s="5"/>
      <c r="K955" s="5"/>
      <c r="L955" s="5"/>
      <c r="M955" s="5"/>
      <c r="N955" s="5"/>
      <c r="O955" s="5"/>
      <c r="P955" s="12"/>
      <c r="Q955" s="13"/>
      <c r="R955" s="13"/>
      <c r="S955" s="13"/>
      <c r="T955" s="5"/>
      <c r="U955" s="5"/>
      <c r="V955" s="5"/>
      <c r="W955" s="5"/>
      <c r="X955" s="5"/>
      <c r="Y955" s="5"/>
      <c r="Z955" s="5"/>
      <c r="AA955" s="5"/>
      <c r="AB955" s="5"/>
      <c r="AC955" s="5"/>
      <c r="AD955" s="5"/>
      <c r="AE955" s="5"/>
      <c r="AF955" s="5"/>
      <c r="AG955" s="8"/>
      <c r="AH955" s="5"/>
      <c r="AI955" s="13"/>
      <c r="AJ955" s="5"/>
      <c r="AK955" s="5"/>
      <c r="AL955" s="5"/>
      <c r="AM955" s="5"/>
      <c r="AN955" s="5"/>
      <c r="AO955" s="5"/>
      <c r="AP955" s="5"/>
      <c r="AQ955" s="5"/>
      <c r="AR955" s="5"/>
      <c r="AS955" s="5"/>
      <c r="AT955" s="5"/>
      <c r="AU955" s="5"/>
      <c r="AV955" s="5"/>
      <c r="AW955" s="5"/>
      <c r="AX955" s="5"/>
      <c r="AY955" s="5"/>
      <c r="AZ955" s="5"/>
      <c r="BA955" s="5"/>
      <c r="BB955" s="5"/>
      <c r="BC955" s="5"/>
      <c r="BD955" s="5"/>
      <c r="BE955" s="5"/>
    </row>
    <row r="956">
      <c r="A956" s="5"/>
      <c r="B956" s="5"/>
      <c r="C956" s="5"/>
      <c r="D956" s="5"/>
      <c r="E956" s="5"/>
      <c r="F956" s="5"/>
      <c r="G956" s="5"/>
      <c r="H956" s="5"/>
      <c r="I956" s="5"/>
      <c r="J956" s="5"/>
      <c r="K956" s="5"/>
      <c r="L956" s="5"/>
      <c r="M956" s="5"/>
      <c r="N956" s="5"/>
      <c r="O956" s="5"/>
      <c r="P956" s="12"/>
      <c r="Q956" s="13"/>
      <c r="R956" s="13"/>
      <c r="S956" s="13"/>
      <c r="T956" s="5"/>
      <c r="U956" s="5"/>
      <c r="V956" s="5"/>
      <c r="W956" s="5"/>
      <c r="X956" s="5"/>
      <c r="Y956" s="5"/>
      <c r="Z956" s="5"/>
      <c r="AA956" s="5"/>
      <c r="AB956" s="5"/>
      <c r="AC956" s="5"/>
      <c r="AD956" s="5"/>
      <c r="AE956" s="5"/>
      <c r="AF956" s="5"/>
      <c r="AG956" s="8"/>
      <c r="AH956" s="5"/>
      <c r="AI956" s="13"/>
      <c r="AJ956" s="5"/>
      <c r="AK956" s="5"/>
      <c r="AL956" s="5"/>
      <c r="AM956" s="5"/>
      <c r="AN956" s="5"/>
      <c r="AO956" s="5"/>
      <c r="AP956" s="5"/>
      <c r="AQ956" s="5"/>
      <c r="AR956" s="5"/>
      <c r="AS956" s="5"/>
      <c r="AT956" s="5"/>
      <c r="AU956" s="5"/>
      <c r="AV956" s="5"/>
      <c r="AW956" s="5"/>
      <c r="AX956" s="5"/>
      <c r="AY956" s="5"/>
      <c r="AZ956" s="5"/>
      <c r="BA956" s="5"/>
      <c r="BB956" s="5"/>
      <c r="BC956" s="5"/>
      <c r="BD956" s="5"/>
      <c r="BE956" s="5"/>
    </row>
    <row r="957">
      <c r="A957" s="5"/>
      <c r="B957" s="5"/>
      <c r="C957" s="5"/>
      <c r="D957" s="5"/>
      <c r="E957" s="5"/>
      <c r="F957" s="5"/>
      <c r="G957" s="5"/>
      <c r="H957" s="5"/>
      <c r="I957" s="5"/>
      <c r="J957" s="5"/>
      <c r="K957" s="5"/>
      <c r="L957" s="5"/>
      <c r="M957" s="5"/>
      <c r="N957" s="5"/>
      <c r="O957" s="5"/>
      <c r="P957" s="12"/>
      <c r="Q957" s="13"/>
      <c r="R957" s="13"/>
      <c r="S957" s="13"/>
      <c r="T957" s="5"/>
      <c r="U957" s="5"/>
      <c r="V957" s="5"/>
      <c r="W957" s="5"/>
      <c r="X957" s="5"/>
      <c r="Y957" s="5"/>
      <c r="Z957" s="5"/>
      <c r="AA957" s="5"/>
      <c r="AB957" s="5"/>
      <c r="AC957" s="5"/>
      <c r="AD957" s="5"/>
      <c r="AE957" s="5"/>
      <c r="AF957" s="5"/>
      <c r="AG957" s="8"/>
      <c r="AH957" s="5"/>
      <c r="AI957" s="13"/>
      <c r="AJ957" s="5"/>
      <c r="AK957" s="5"/>
      <c r="AL957" s="5"/>
      <c r="AM957" s="5"/>
      <c r="AN957" s="5"/>
      <c r="AO957" s="5"/>
      <c r="AP957" s="5"/>
      <c r="AQ957" s="5"/>
      <c r="AR957" s="5"/>
      <c r="AS957" s="5"/>
      <c r="AT957" s="5"/>
      <c r="AU957" s="5"/>
      <c r="AV957" s="5"/>
      <c r="AW957" s="5"/>
      <c r="AX957" s="5"/>
      <c r="AY957" s="5"/>
      <c r="AZ957" s="5"/>
      <c r="BA957" s="5"/>
      <c r="BB957" s="5"/>
      <c r="BC957" s="5"/>
      <c r="BD957" s="5"/>
      <c r="BE957" s="5"/>
    </row>
    <row r="958">
      <c r="A958" s="5"/>
      <c r="B958" s="5"/>
      <c r="C958" s="5"/>
      <c r="D958" s="5"/>
      <c r="E958" s="5"/>
      <c r="F958" s="5"/>
      <c r="G958" s="5"/>
      <c r="H958" s="5"/>
      <c r="I958" s="5"/>
      <c r="J958" s="5"/>
      <c r="K958" s="5"/>
      <c r="L958" s="5"/>
      <c r="M958" s="5"/>
      <c r="N958" s="5"/>
      <c r="O958" s="5"/>
      <c r="P958" s="12"/>
      <c r="Q958" s="13"/>
      <c r="R958" s="13"/>
      <c r="S958" s="13"/>
      <c r="T958" s="5"/>
      <c r="U958" s="5"/>
      <c r="V958" s="5"/>
      <c r="W958" s="5"/>
      <c r="X958" s="5"/>
      <c r="Y958" s="5"/>
      <c r="Z958" s="5"/>
      <c r="AA958" s="5"/>
      <c r="AB958" s="5"/>
      <c r="AC958" s="5"/>
      <c r="AD958" s="5"/>
      <c r="AE958" s="5"/>
      <c r="AF958" s="5"/>
      <c r="AG958" s="8"/>
      <c r="AH958" s="5"/>
      <c r="AI958" s="13"/>
      <c r="AJ958" s="5"/>
      <c r="AK958" s="5"/>
      <c r="AL958" s="5"/>
      <c r="AM958" s="5"/>
      <c r="AN958" s="5"/>
      <c r="AO958" s="5"/>
      <c r="AP958" s="5"/>
      <c r="AQ958" s="5"/>
      <c r="AR958" s="5"/>
      <c r="AS958" s="5"/>
      <c r="AT958" s="5"/>
      <c r="AU958" s="5"/>
      <c r="AV958" s="5"/>
      <c r="AW958" s="5"/>
      <c r="AX958" s="5"/>
      <c r="AY958" s="5"/>
      <c r="AZ958" s="5"/>
      <c r="BA958" s="5"/>
      <c r="BB958" s="5"/>
      <c r="BC958" s="5"/>
      <c r="BD958" s="5"/>
      <c r="BE958" s="5"/>
    </row>
    <row r="959">
      <c r="A959" s="5"/>
      <c r="B959" s="5"/>
      <c r="C959" s="5"/>
      <c r="D959" s="5"/>
      <c r="E959" s="5"/>
      <c r="F959" s="5"/>
      <c r="G959" s="5"/>
      <c r="H959" s="5"/>
      <c r="I959" s="5"/>
      <c r="J959" s="5"/>
      <c r="K959" s="5"/>
      <c r="L959" s="5"/>
      <c r="M959" s="5"/>
      <c r="N959" s="5"/>
      <c r="O959" s="5"/>
      <c r="P959" s="12"/>
      <c r="Q959" s="13"/>
      <c r="R959" s="13"/>
      <c r="S959" s="13"/>
      <c r="T959" s="5"/>
      <c r="U959" s="5"/>
      <c r="V959" s="5"/>
      <c r="W959" s="5"/>
      <c r="X959" s="5"/>
      <c r="Y959" s="5"/>
      <c r="Z959" s="5"/>
      <c r="AA959" s="5"/>
      <c r="AB959" s="5"/>
      <c r="AC959" s="5"/>
      <c r="AD959" s="5"/>
      <c r="AE959" s="5"/>
      <c r="AF959" s="5"/>
      <c r="AG959" s="8"/>
      <c r="AH959" s="5"/>
      <c r="AI959" s="13"/>
      <c r="AJ959" s="5"/>
      <c r="AK959" s="5"/>
      <c r="AL959" s="5"/>
      <c r="AM959" s="5"/>
      <c r="AN959" s="5"/>
      <c r="AO959" s="5"/>
      <c r="AP959" s="5"/>
      <c r="AQ959" s="5"/>
      <c r="AR959" s="5"/>
      <c r="AS959" s="5"/>
      <c r="AT959" s="5"/>
      <c r="AU959" s="5"/>
      <c r="AV959" s="5"/>
      <c r="AW959" s="5"/>
      <c r="AX959" s="5"/>
      <c r="AY959" s="5"/>
      <c r="AZ959" s="5"/>
      <c r="BA959" s="5"/>
      <c r="BB959" s="5"/>
      <c r="BC959" s="5"/>
      <c r="BD959" s="5"/>
      <c r="BE959" s="5"/>
    </row>
    <row r="960">
      <c r="A960" s="5"/>
      <c r="B960" s="5"/>
      <c r="C960" s="5"/>
      <c r="D960" s="5"/>
      <c r="E960" s="5"/>
      <c r="F960" s="5"/>
      <c r="G960" s="5"/>
      <c r="H960" s="5"/>
      <c r="I960" s="5"/>
      <c r="J960" s="5"/>
      <c r="K960" s="5"/>
      <c r="L960" s="5"/>
      <c r="M960" s="5"/>
      <c r="N960" s="5"/>
      <c r="O960" s="5"/>
      <c r="P960" s="12"/>
      <c r="Q960" s="13"/>
      <c r="R960" s="13"/>
      <c r="S960" s="13"/>
      <c r="T960" s="5"/>
      <c r="U960" s="5"/>
      <c r="V960" s="5"/>
      <c r="W960" s="5"/>
      <c r="X960" s="5"/>
      <c r="Y960" s="5"/>
      <c r="Z960" s="5"/>
      <c r="AA960" s="5"/>
      <c r="AB960" s="5"/>
      <c r="AC960" s="5"/>
      <c r="AD960" s="5"/>
      <c r="AE960" s="5"/>
      <c r="AF960" s="5"/>
      <c r="AG960" s="8"/>
      <c r="AH960" s="5"/>
      <c r="AI960" s="13"/>
      <c r="AJ960" s="5"/>
      <c r="AK960" s="5"/>
      <c r="AL960" s="5"/>
      <c r="AM960" s="5"/>
      <c r="AN960" s="5"/>
      <c r="AO960" s="5"/>
      <c r="AP960" s="5"/>
      <c r="AQ960" s="5"/>
      <c r="AR960" s="5"/>
      <c r="AS960" s="5"/>
      <c r="AT960" s="5"/>
      <c r="AU960" s="5"/>
      <c r="AV960" s="5"/>
      <c r="AW960" s="5"/>
      <c r="AX960" s="5"/>
      <c r="AY960" s="5"/>
      <c r="AZ960" s="5"/>
      <c r="BA960" s="5"/>
      <c r="BB960" s="5"/>
      <c r="BC960" s="5"/>
      <c r="BD960" s="5"/>
      <c r="BE960" s="5"/>
    </row>
    <row r="961">
      <c r="A961" s="5"/>
      <c r="B961" s="5"/>
      <c r="C961" s="5"/>
      <c r="D961" s="5"/>
      <c r="E961" s="5"/>
      <c r="F961" s="5"/>
      <c r="G961" s="5"/>
      <c r="H961" s="5"/>
      <c r="I961" s="5"/>
      <c r="J961" s="5"/>
      <c r="K961" s="5"/>
      <c r="L961" s="5"/>
      <c r="M961" s="5"/>
      <c r="N961" s="5"/>
      <c r="O961" s="5"/>
      <c r="P961" s="12"/>
      <c r="Q961" s="13"/>
      <c r="R961" s="13"/>
      <c r="S961" s="13"/>
      <c r="T961" s="5"/>
      <c r="U961" s="5"/>
      <c r="V961" s="5"/>
      <c r="W961" s="5"/>
      <c r="X961" s="5"/>
      <c r="Y961" s="5"/>
      <c r="Z961" s="5"/>
      <c r="AA961" s="5"/>
      <c r="AB961" s="5"/>
      <c r="AC961" s="5"/>
      <c r="AD961" s="5"/>
      <c r="AE961" s="5"/>
      <c r="AF961" s="5"/>
      <c r="AG961" s="8"/>
      <c r="AH961" s="5"/>
      <c r="AI961" s="13"/>
      <c r="AJ961" s="5"/>
      <c r="AK961" s="5"/>
      <c r="AL961" s="5"/>
      <c r="AM961" s="5"/>
      <c r="AN961" s="5"/>
      <c r="AO961" s="5"/>
      <c r="AP961" s="5"/>
      <c r="AQ961" s="5"/>
      <c r="AR961" s="5"/>
      <c r="AS961" s="5"/>
      <c r="AT961" s="5"/>
      <c r="AU961" s="5"/>
      <c r="AV961" s="5"/>
      <c r="AW961" s="5"/>
      <c r="AX961" s="5"/>
      <c r="AY961" s="5"/>
      <c r="AZ961" s="5"/>
      <c r="BA961" s="5"/>
      <c r="BB961" s="5"/>
      <c r="BC961" s="5"/>
      <c r="BD961" s="5"/>
      <c r="BE961" s="5"/>
    </row>
    <row r="962">
      <c r="A962" s="5"/>
      <c r="B962" s="5"/>
      <c r="C962" s="5"/>
      <c r="D962" s="5"/>
      <c r="E962" s="5"/>
      <c r="F962" s="5"/>
      <c r="G962" s="5"/>
      <c r="H962" s="5"/>
      <c r="I962" s="5"/>
      <c r="J962" s="5"/>
      <c r="K962" s="5"/>
      <c r="L962" s="5"/>
      <c r="M962" s="5"/>
      <c r="N962" s="5"/>
      <c r="O962" s="5"/>
      <c r="P962" s="12"/>
      <c r="Q962" s="13"/>
      <c r="R962" s="13"/>
      <c r="S962" s="13"/>
      <c r="T962" s="5"/>
      <c r="U962" s="5"/>
      <c r="V962" s="5"/>
      <c r="W962" s="5"/>
      <c r="X962" s="5"/>
      <c r="Y962" s="5"/>
      <c r="Z962" s="5"/>
      <c r="AA962" s="5"/>
      <c r="AB962" s="5"/>
      <c r="AC962" s="5"/>
      <c r="AD962" s="5"/>
      <c r="AE962" s="5"/>
      <c r="AF962" s="5"/>
      <c r="AG962" s="8"/>
      <c r="AH962" s="5"/>
      <c r="AI962" s="13"/>
      <c r="AJ962" s="5"/>
      <c r="AK962" s="5"/>
      <c r="AL962" s="5"/>
      <c r="AM962" s="5"/>
      <c r="AN962" s="5"/>
      <c r="AO962" s="5"/>
      <c r="AP962" s="5"/>
      <c r="AQ962" s="5"/>
      <c r="AR962" s="5"/>
      <c r="AS962" s="5"/>
      <c r="AT962" s="5"/>
      <c r="AU962" s="5"/>
      <c r="AV962" s="5"/>
      <c r="AW962" s="5"/>
      <c r="AX962" s="5"/>
      <c r="AY962" s="5"/>
      <c r="AZ962" s="5"/>
      <c r="BA962" s="5"/>
      <c r="BB962" s="5"/>
      <c r="BC962" s="5"/>
      <c r="BD962" s="5"/>
      <c r="BE962" s="5"/>
    </row>
    <row r="963">
      <c r="A963" s="5"/>
      <c r="B963" s="5"/>
      <c r="C963" s="5"/>
      <c r="D963" s="5"/>
      <c r="E963" s="5"/>
      <c r="F963" s="5"/>
      <c r="G963" s="5"/>
      <c r="H963" s="5"/>
      <c r="I963" s="5"/>
      <c r="J963" s="5"/>
      <c r="K963" s="5"/>
      <c r="L963" s="5"/>
      <c r="M963" s="5"/>
      <c r="N963" s="5"/>
      <c r="O963" s="5"/>
      <c r="P963" s="12"/>
      <c r="Q963" s="13"/>
      <c r="R963" s="13"/>
      <c r="S963" s="13"/>
      <c r="T963" s="5"/>
      <c r="U963" s="5"/>
      <c r="V963" s="5"/>
      <c r="W963" s="5"/>
      <c r="X963" s="5"/>
      <c r="Y963" s="5"/>
      <c r="Z963" s="5"/>
      <c r="AA963" s="5"/>
      <c r="AB963" s="5"/>
      <c r="AC963" s="5"/>
      <c r="AD963" s="5"/>
      <c r="AE963" s="5"/>
      <c r="AF963" s="5"/>
      <c r="AG963" s="8"/>
      <c r="AH963" s="5"/>
      <c r="AI963" s="13"/>
      <c r="AJ963" s="5"/>
      <c r="AK963" s="5"/>
      <c r="AL963" s="5"/>
      <c r="AM963" s="5"/>
      <c r="AN963" s="5"/>
      <c r="AO963" s="5"/>
      <c r="AP963" s="5"/>
      <c r="AQ963" s="5"/>
      <c r="AR963" s="5"/>
      <c r="AS963" s="5"/>
      <c r="AT963" s="5"/>
      <c r="AU963" s="5"/>
      <c r="AV963" s="5"/>
      <c r="AW963" s="5"/>
      <c r="AX963" s="5"/>
      <c r="AY963" s="5"/>
      <c r="AZ963" s="5"/>
      <c r="BA963" s="5"/>
      <c r="BB963" s="5"/>
      <c r="BC963" s="5"/>
      <c r="BD963" s="5"/>
      <c r="BE963" s="5"/>
    </row>
    <row r="964">
      <c r="A964" s="5"/>
      <c r="B964" s="5"/>
      <c r="C964" s="5"/>
      <c r="D964" s="5"/>
      <c r="E964" s="5"/>
      <c r="F964" s="5"/>
      <c r="G964" s="5"/>
      <c r="H964" s="5"/>
      <c r="I964" s="5"/>
      <c r="J964" s="5"/>
      <c r="K964" s="5"/>
      <c r="L964" s="5"/>
      <c r="M964" s="5"/>
      <c r="N964" s="5"/>
      <c r="O964" s="5"/>
      <c r="P964" s="12"/>
      <c r="Q964" s="13"/>
      <c r="R964" s="13"/>
      <c r="S964" s="13"/>
      <c r="T964" s="5"/>
      <c r="U964" s="5"/>
      <c r="V964" s="5"/>
      <c r="W964" s="5"/>
      <c r="X964" s="5"/>
      <c r="Y964" s="5"/>
      <c r="Z964" s="5"/>
      <c r="AA964" s="5"/>
      <c r="AB964" s="5"/>
      <c r="AC964" s="5"/>
      <c r="AD964" s="5"/>
      <c r="AE964" s="5"/>
      <c r="AF964" s="5"/>
      <c r="AG964" s="8"/>
      <c r="AH964" s="5"/>
      <c r="AI964" s="13"/>
      <c r="AJ964" s="5"/>
      <c r="AK964" s="5"/>
      <c r="AL964" s="5"/>
      <c r="AM964" s="5"/>
      <c r="AN964" s="5"/>
      <c r="AO964" s="5"/>
      <c r="AP964" s="5"/>
      <c r="AQ964" s="5"/>
      <c r="AR964" s="5"/>
      <c r="AS964" s="5"/>
      <c r="AT964" s="5"/>
      <c r="AU964" s="5"/>
      <c r="AV964" s="5"/>
      <c r="AW964" s="5"/>
      <c r="AX964" s="5"/>
      <c r="AY964" s="5"/>
      <c r="AZ964" s="5"/>
      <c r="BA964" s="5"/>
      <c r="BB964" s="5"/>
      <c r="BC964" s="5"/>
      <c r="BD964" s="5"/>
      <c r="BE964" s="5"/>
    </row>
    <row r="965">
      <c r="A965" s="5"/>
      <c r="B965" s="5"/>
      <c r="C965" s="5"/>
      <c r="D965" s="5"/>
      <c r="E965" s="5"/>
      <c r="F965" s="5"/>
      <c r="G965" s="5"/>
      <c r="H965" s="5"/>
      <c r="I965" s="5"/>
      <c r="J965" s="5"/>
      <c r="K965" s="5"/>
      <c r="L965" s="5"/>
      <c r="M965" s="5"/>
      <c r="N965" s="5"/>
      <c r="O965" s="5"/>
      <c r="P965" s="12"/>
      <c r="Q965" s="13"/>
      <c r="R965" s="13"/>
      <c r="S965" s="13"/>
      <c r="T965" s="5"/>
      <c r="U965" s="5"/>
      <c r="V965" s="5"/>
      <c r="W965" s="5"/>
      <c r="X965" s="5"/>
      <c r="Y965" s="5"/>
      <c r="Z965" s="5"/>
      <c r="AA965" s="5"/>
      <c r="AB965" s="5"/>
      <c r="AC965" s="5"/>
      <c r="AD965" s="5"/>
      <c r="AE965" s="5"/>
      <c r="AF965" s="5"/>
      <c r="AG965" s="8"/>
      <c r="AH965" s="5"/>
      <c r="AI965" s="13"/>
      <c r="AJ965" s="5"/>
      <c r="AK965" s="5"/>
      <c r="AL965" s="5"/>
      <c r="AM965" s="5"/>
      <c r="AN965" s="5"/>
      <c r="AO965" s="5"/>
      <c r="AP965" s="5"/>
      <c r="AQ965" s="5"/>
      <c r="AR965" s="5"/>
      <c r="AS965" s="5"/>
      <c r="AT965" s="5"/>
      <c r="AU965" s="5"/>
      <c r="AV965" s="5"/>
      <c r="AW965" s="5"/>
      <c r="AX965" s="5"/>
      <c r="AY965" s="5"/>
      <c r="AZ965" s="5"/>
      <c r="BA965" s="5"/>
      <c r="BB965" s="5"/>
      <c r="BC965" s="5"/>
      <c r="BD965" s="5"/>
      <c r="BE965" s="5"/>
    </row>
    <row r="966">
      <c r="A966" s="5"/>
      <c r="B966" s="5"/>
      <c r="C966" s="5"/>
      <c r="D966" s="5"/>
      <c r="E966" s="5"/>
      <c r="F966" s="5"/>
      <c r="G966" s="5"/>
      <c r="H966" s="5"/>
      <c r="I966" s="5"/>
      <c r="J966" s="5"/>
      <c r="K966" s="5"/>
      <c r="L966" s="5"/>
      <c r="M966" s="5"/>
      <c r="N966" s="5"/>
      <c r="O966" s="5"/>
      <c r="P966" s="12"/>
      <c r="Q966" s="13"/>
      <c r="R966" s="13"/>
      <c r="S966" s="13"/>
      <c r="T966" s="5"/>
      <c r="U966" s="5"/>
      <c r="V966" s="5"/>
      <c r="W966" s="5"/>
      <c r="X966" s="5"/>
      <c r="Y966" s="5"/>
      <c r="Z966" s="5"/>
      <c r="AA966" s="5"/>
      <c r="AB966" s="5"/>
      <c r="AC966" s="5"/>
      <c r="AD966" s="5"/>
      <c r="AE966" s="5"/>
      <c r="AF966" s="5"/>
      <c r="AG966" s="8"/>
      <c r="AH966" s="5"/>
      <c r="AI966" s="13"/>
      <c r="AJ966" s="5"/>
      <c r="AK966" s="5"/>
      <c r="AL966" s="5"/>
      <c r="AM966" s="5"/>
      <c r="AN966" s="5"/>
      <c r="AO966" s="5"/>
      <c r="AP966" s="5"/>
      <c r="AQ966" s="5"/>
      <c r="AR966" s="5"/>
      <c r="AS966" s="5"/>
      <c r="AT966" s="5"/>
      <c r="AU966" s="5"/>
      <c r="AV966" s="5"/>
      <c r="AW966" s="5"/>
      <c r="AX966" s="5"/>
      <c r="AY966" s="5"/>
      <c r="AZ966" s="5"/>
      <c r="BA966" s="5"/>
      <c r="BB966" s="5"/>
      <c r="BC966" s="5"/>
      <c r="BD966" s="5"/>
      <c r="BE966" s="5"/>
    </row>
    <row r="967">
      <c r="A967" s="5"/>
      <c r="B967" s="5"/>
      <c r="C967" s="5"/>
      <c r="D967" s="5"/>
      <c r="E967" s="5"/>
      <c r="F967" s="5"/>
      <c r="G967" s="5"/>
      <c r="H967" s="5"/>
      <c r="I967" s="5"/>
      <c r="J967" s="5"/>
      <c r="K967" s="5"/>
      <c r="L967" s="5"/>
      <c r="M967" s="5"/>
      <c r="N967" s="5"/>
      <c r="O967" s="5"/>
      <c r="P967" s="12"/>
      <c r="Q967" s="13"/>
      <c r="R967" s="13"/>
      <c r="S967" s="13"/>
      <c r="T967" s="5"/>
      <c r="U967" s="5"/>
      <c r="V967" s="5"/>
      <c r="W967" s="5"/>
      <c r="X967" s="5"/>
      <c r="Y967" s="5"/>
      <c r="Z967" s="5"/>
      <c r="AA967" s="5"/>
      <c r="AB967" s="5"/>
      <c r="AC967" s="5"/>
      <c r="AD967" s="5"/>
      <c r="AE967" s="5"/>
      <c r="AF967" s="5"/>
      <c r="AG967" s="8"/>
      <c r="AH967" s="5"/>
      <c r="AI967" s="13"/>
      <c r="AJ967" s="5"/>
      <c r="AK967" s="5"/>
      <c r="AL967" s="5"/>
      <c r="AM967" s="5"/>
      <c r="AN967" s="5"/>
      <c r="AO967" s="5"/>
      <c r="AP967" s="5"/>
      <c r="AQ967" s="5"/>
      <c r="AR967" s="5"/>
      <c r="AS967" s="5"/>
      <c r="AT967" s="5"/>
      <c r="AU967" s="5"/>
      <c r="AV967" s="5"/>
      <c r="AW967" s="5"/>
      <c r="AX967" s="5"/>
      <c r="AY967" s="5"/>
      <c r="AZ967" s="5"/>
      <c r="BA967" s="5"/>
      <c r="BB967" s="5"/>
      <c r="BC967" s="5"/>
      <c r="BD967" s="5"/>
      <c r="BE967" s="5"/>
    </row>
    <row r="968">
      <c r="A968" s="5"/>
      <c r="B968" s="5"/>
      <c r="C968" s="5"/>
      <c r="D968" s="5"/>
      <c r="E968" s="5"/>
      <c r="F968" s="5"/>
      <c r="G968" s="5"/>
      <c r="H968" s="5"/>
      <c r="I968" s="5"/>
      <c r="J968" s="5"/>
      <c r="K968" s="5"/>
      <c r="L968" s="5"/>
      <c r="M968" s="5"/>
      <c r="N968" s="5"/>
      <c r="O968" s="5"/>
      <c r="P968" s="12"/>
      <c r="Q968" s="13"/>
      <c r="R968" s="13"/>
      <c r="S968" s="13"/>
      <c r="T968" s="5"/>
      <c r="U968" s="5"/>
      <c r="V968" s="5"/>
      <c r="W968" s="5"/>
      <c r="X968" s="5"/>
      <c r="Y968" s="5"/>
      <c r="Z968" s="5"/>
      <c r="AA968" s="5"/>
      <c r="AB968" s="5"/>
      <c r="AC968" s="5"/>
      <c r="AD968" s="5"/>
      <c r="AE968" s="5"/>
      <c r="AF968" s="5"/>
      <c r="AG968" s="8"/>
      <c r="AH968" s="5"/>
      <c r="AI968" s="13"/>
      <c r="AJ968" s="5"/>
      <c r="AK968" s="5"/>
      <c r="AL968" s="5"/>
      <c r="AM968" s="5"/>
      <c r="AN968" s="5"/>
      <c r="AO968" s="5"/>
      <c r="AP968" s="5"/>
      <c r="AQ968" s="5"/>
      <c r="AR968" s="5"/>
      <c r="AS968" s="5"/>
      <c r="AT968" s="5"/>
      <c r="AU968" s="5"/>
      <c r="AV968" s="5"/>
      <c r="AW968" s="5"/>
      <c r="AX968" s="5"/>
      <c r="AY968" s="5"/>
      <c r="AZ968" s="5"/>
      <c r="BA968" s="5"/>
      <c r="BB968" s="5"/>
      <c r="BC968" s="5"/>
      <c r="BD968" s="5"/>
      <c r="BE968" s="5"/>
    </row>
    <row r="969">
      <c r="A969" s="5"/>
      <c r="B969" s="5"/>
      <c r="C969" s="5"/>
      <c r="D969" s="5"/>
      <c r="E969" s="5"/>
      <c r="F969" s="5"/>
      <c r="G969" s="5"/>
      <c r="H969" s="5"/>
      <c r="I969" s="5"/>
      <c r="J969" s="5"/>
      <c r="K969" s="5"/>
      <c r="L969" s="5"/>
      <c r="M969" s="5"/>
      <c r="N969" s="5"/>
      <c r="O969" s="5"/>
      <c r="P969" s="12"/>
      <c r="Q969" s="13"/>
      <c r="R969" s="13"/>
      <c r="S969" s="13"/>
      <c r="T969" s="5"/>
      <c r="U969" s="5"/>
      <c r="V969" s="5"/>
      <c r="W969" s="5"/>
      <c r="X969" s="5"/>
      <c r="Y969" s="5"/>
      <c r="Z969" s="5"/>
      <c r="AA969" s="5"/>
      <c r="AB969" s="5"/>
      <c r="AC969" s="5"/>
      <c r="AD969" s="5"/>
      <c r="AE969" s="5"/>
      <c r="AF969" s="5"/>
      <c r="AG969" s="8"/>
      <c r="AH969" s="5"/>
      <c r="AI969" s="13"/>
      <c r="AJ969" s="5"/>
      <c r="AK969" s="5"/>
      <c r="AL969" s="5"/>
      <c r="AM969" s="5"/>
      <c r="AN969" s="5"/>
      <c r="AO969" s="5"/>
      <c r="AP969" s="5"/>
      <c r="AQ969" s="5"/>
      <c r="AR969" s="5"/>
      <c r="AS969" s="5"/>
      <c r="AT969" s="5"/>
      <c r="AU969" s="5"/>
      <c r="AV969" s="5"/>
      <c r="AW969" s="5"/>
      <c r="AX969" s="5"/>
      <c r="AY969" s="5"/>
      <c r="AZ969" s="5"/>
      <c r="BA969" s="5"/>
      <c r="BB969" s="5"/>
      <c r="BC969" s="5"/>
      <c r="BD969" s="5"/>
      <c r="BE969" s="5"/>
    </row>
    <row r="970">
      <c r="A970" s="5"/>
      <c r="B970" s="5"/>
      <c r="C970" s="5"/>
      <c r="D970" s="5"/>
      <c r="E970" s="5"/>
      <c r="F970" s="5"/>
      <c r="G970" s="5"/>
      <c r="H970" s="5"/>
      <c r="I970" s="5"/>
      <c r="J970" s="5"/>
      <c r="K970" s="5"/>
      <c r="L970" s="5"/>
      <c r="M970" s="5"/>
      <c r="N970" s="5"/>
      <c r="O970" s="5"/>
      <c r="P970" s="12"/>
      <c r="Q970" s="13"/>
      <c r="R970" s="13"/>
      <c r="S970" s="13"/>
      <c r="T970" s="5"/>
      <c r="U970" s="5"/>
      <c r="V970" s="5"/>
      <c r="W970" s="5"/>
      <c r="X970" s="5"/>
      <c r="Y970" s="5"/>
      <c r="Z970" s="5"/>
      <c r="AA970" s="5"/>
      <c r="AB970" s="5"/>
      <c r="AC970" s="5"/>
      <c r="AD970" s="5"/>
      <c r="AE970" s="5"/>
      <c r="AF970" s="5"/>
      <c r="AG970" s="8"/>
      <c r="AH970" s="5"/>
      <c r="AI970" s="13"/>
      <c r="AJ970" s="5"/>
      <c r="AK970" s="5"/>
      <c r="AL970" s="5"/>
      <c r="AM970" s="5"/>
      <c r="AN970" s="5"/>
      <c r="AO970" s="5"/>
      <c r="AP970" s="5"/>
      <c r="AQ970" s="5"/>
      <c r="AR970" s="5"/>
      <c r="AS970" s="5"/>
      <c r="AT970" s="5"/>
      <c r="AU970" s="5"/>
      <c r="AV970" s="5"/>
      <c r="AW970" s="5"/>
      <c r="AX970" s="5"/>
      <c r="AY970" s="5"/>
      <c r="AZ970" s="5"/>
      <c r="BA970" s="5"/>
      <c r="BB970" s="5"/>
      <c r="BC970" s="5"/>
      <c r="BD970" s="5"/>
      <c r="BE970" s="5"/>
    </row>
    <row r="971">
      <c r="A971" s="5"/>
      <c r="B971" s="5"/>
      <c r="C971" s="5"/>
      <c r="D971" s="5"/>
      <c r="E971" s="5"/>
      <c r="F971" s="5"/>
      <c r="G971" s="5"/>
      <c r="H971" s="5"/>
      <c r="I971" s="5"/>
      <c r="J971" s="5"/>
      <c r="K971" s="5"/>
      <c r="L971" s="5"/>
      <c r="M971" s="5"/>
      <c r="N971" s="5"/>
      <c r="O971" s="5"/>
      <c r="P971" s="12"/>
      <c r="Q971" s="13"/>
      <c r="R971" s="13"/>
      <c r="S971" s="13"/>
      <c r="T971" s="5"/>
      <c r="U971" s="5"/>
      <c r="V971" s="5"/>
      <c r="W971" s="5"/>
      <c r="X971" s="5"/>
      <c r="Y971" s="5"/>
      <c r="Z971" s="5"/>
      <c r="AA971" s="5"/>
      <c r="AB971" s="5"/>
      <c r="AC971" s="5"/>
      <c r="AD971" s="5"/>
      <c r="AE971" s="5"/>
      <c r="AF971" s="5"/>
      <c r="AG971" s="8"/>
      <c r="AH971" s="5"/>
      <c r="AI971" s="13"/>
      <c r="AJ971" s="5"/>
      <c r="AK971" s="5"/>
      <c r="AL971" s="5"/>
      <c r="AM971" s="5"/>
      <c r="AN971" s="5"/>
      <c r="AO971" s="5"/>
      <c r="AP971" s="5"/>
      <c r="AQ971" s="5"/>
      <c r="AR971" s="5"/>
      <c r="AS971" s="5"/>
      <c r="AT971" s="5"/>
      <c r="AU971" s="5"/>
      <c r="AV971" s="5"/>
      <c r="AW971" s="5"/>
      <c r="AX971" s="5"/>
      <c r="AY971" s="5"/>
      <c r="AZ971" s="5"/>
      <c r="BA971" s="5"/>
      <c r="BB971" s="5"/>
      <c r="BC971" s="5"/>
      <c r="BD971" s="5"/>
      <c r="BE971" s="5"/>
    </row>
    <row r="972">
      <c r="A972" s="5"/>
      <c r="B972" s="5"/>
      <c r="C972" s="5"/>
      <c r="D972" s="5"/>
      <c r="E972" s="5"/>
      <c r="F972" s="5"/>
      <c r="G972" s="5"/>
      <c r="H972" s="5"/>
      <c r="I972" s="5"/>
      <c r="J972" s="5"/>
      <c r="K972" s="5"/>
      <c r="L972" s="5"/>
      <c r="M972" s="5"/>
      <c r="N972" s="5"/>
      <c r="O972" s="5"/>
      <c r="P972" s="12"/>
      <c r="Q972" s="13"/>
      <c r="R972" s="13"/>
      <c r="S972" s="13"/>
      <c r="T972" s="5"/>
      <c r="U972" s="5"/>
      <c r="V972" s="5"/>
      <c r="W972" s="5"/>
      <c r="X972" s="5"/>
      <c r="Y972" s="5"/>
      <c r="Z972" s="5"/>
      <c r="AA972" s="5"/>
      <c r="AB972" s="5"/>
      <c r="AC972" s="5"/>
      <c r="AD972" s="5"/>
      <c r="AE972" s="5"/>
      <c r="AF972" s="5"/>
      <c r="AG972" s="8"/>
      <c r="AH972" s="5"/>
      <c r="AI972" s="13"/>
      <c r="AJ972" s="5"/>
      <c r="AK972" s="5"/>
      <c r="AL972" s="5"/>
      <c r="AM972" s="5"/>
      <c r="AN972" s="5"/>
      <c r="AO972" s="5"/>
      <c r="AP972" s="5"/>
      <c r="AQ972" s="5"/>
      <c r="AR972" s="5"/>
      <c r="AS972" s="5"/>
      <c r="AT972" s="5"/>
      <c r="AU972" s="5"/>
      <c r="AV972" s="5"/>
      <c r="AW972" s="5"/>
      <c r="AX972" s="5"/>
      <c r="AY972" s="5"/>
      <c r="AZ972" s="5"/>
      <c r="BA972" s="5"/>
      <c r="BB972" s="5"/>
      <c r="BC972" s="5"/>
      <c r="BD972" s="5"/>
      <c r="BE972" s="5"/>
    </row>
    <row r="973">
      <c r="A973" s="5"/>
      <c r="B973" s="5"/>
      <c r="C973" s="5"/>
      <c r="D973" s="5"/>
      <c r="E973" s="5"/>
      <c r="F973" s="5"/>
      <c r="G973" s="5"/>
      <c r="H973" s="5"/>
      <c r="I973" s="5"/>
      <c r="J973" s="5"/>
      <c r="K973" s="5"/>
      <c r="L973" s="5"/>
      <c r="M973" s="5"/>
      <c r="N973" s="5"/>
      <c r="O973" s="5"/>
      <c r="P973" s="12"/>
      <c r="Q973" s="13"/>
      <c r="R973" s="13"/>
      <c r="S973" s="13"/>
      <c r="T973" s="5"/>
      <c r="U973" s="5"/>
      <c r="V973" s="5"/>
      <c r="W973" s="5"/>
      <c r="X973" s="5"/>
      <c r="Y973" s="5"/>
      <c r="Z973" s="5"/>
      <c r="AA973" s="5"/>
      <c r="AB973" s="5"/>
      <c r="AC973" s="5"/>
      <c r="AD973" s="5"/>
      <c r="AE973" s="5"/>
      <c r="AF973" s="5"/>
      <c r="AG973" s="8"/>
      <c r="AH973" s="5"/>
      <c r="AI973" s="13"/>
      <c r="AJ973" s="5"/>
      <c r="AK973" s="5"/>
      <c r="AL973" s="5"/>
      <c r="AM973" s="5"/>
      <c r="AN973" s="5"/>
      <c r="AO973" s="5"/>
      <c r="AP973" s="5"/>
      <c r="AQ973" s="5"/>
      <c r="AR973" s="5"/>
      <c r="AS973" s="5"/>
      <c r="AT973" s="5"/>
      <c r="AU973" s="5"/>
      <c r="AV973" s="5"/>
      <c r="AW973" s="5"/>
      <c r="AX973" s="5"/>
      <c r="AY973" s="5"/>
      <c r="AZ973" s="5"/>
      <c r="BA973" s="5"/>
      <c r="BB973" s="5"/>
      <c r="BC973" s="5"/>
      <c r="BD973" s="5"/>
      <c r="BE973" s="5"/>
    </row>
    <row r="974">
      <c r="A974" s="5"/>
      <c r="B974" s="5"/>
      <c r="C974" s="5"/>
      <c r="D974" s="5"/>
      <c r="E974" s="5"/>
      <c r="F974" s="5"/>
      <c r="G974" s="5"/>
      <c r="H974" s="5"/>
      <c r="I974" s="5"/>
      <c r="J974" s="5"/>
      <c r="K974" s="5"/>
      <c r="L974" s="5"/>
      <c r="M974" s="5"/>
      <c r="N974" s="5"/>
      <c r="O974" s="5"/>
      <c r="P974" s="12"/>
      <c r="Q974" s="13"/>
      <c r="R974" s="13"/>
      <c r="S974" s="13"/>
      <c r="T974" s="5"/>
      <c r="U974" s="5"/>
      <c r="V974" s="5"/>
      <c r="W974" s="5"/>
      <c r="X974" s="5"/>
      <c r="Y974" s="5"/>
      <c r="Z974" s="5"/>
      <c r="AA974" s="5"/>
      <c r="AB974" s="5"/>
      <c r="AC974" s="5"/>
      <c r="AD974" s="5"/>
      <c r="AE974" s="5"/>
      <c r="AF974" s="5"/>
      <c r="AG974" s="8"/>
      <c r="AH974" s="5"/>
      <c r="AI974" s="13"/>
      <c r="AJ974" s="5"/>
      <c r="AK974" s="5"/>
      <c r="AL974" s="5"/>
      <c r="AM974" s="5"/>
      <c r="AN974" s="5"/>
      <c r="AO974" s="5"/>
      <c r="AP974" s="5"/>
      <c r="AQ974" s="5"/>
      <c r="AR974" s="5"/>
      <c r="AS974" s="5"/>
      <c r="AT974" s="5"/>
      <c r="AU974" s="5"/>
      <c r="AV974" s="5"/>
      <c r="AW974" s="5"/>
      <c r="AX974" s="5"/>
      <c r="AY974" s="5"/>
      <c r="AZ974" s="5"/>
      <c r="BA974" s="5"/>
      <c r="BB974" s="5"/>
      <c r="BC974" s="5"/>
      <c r="BD974" s="5"/>
      <c r="BE974" s="5"/>
    </row>
    <row r="975">
      <c r="A975" s="5"/>
      <c r="B975" s="5"/>
      <c r="C975" s="5"/>
      <c r="D975" s="5"/>
      <c r="E975" s="5"/>
      <c r="F975" s="5"/>
      <c r="G975" s="5"/>
      <c r="H975" s="5"/>
      <c r="I975" s="5"/>
      <c r="J975" s="5"/>
      <c r="K975" s="5"/>
      <c r="L975" s="5"/>
      <c r="M975" s="5"/>
      <c r="N975" s="5"/>
      <c r="O975" s="5"/>
      <c r="P975" s="12"/>
      <c r="Q975" s="13"/>
      <c r="R975" s="13"/>
      <c r="S975" s="13"/>
      <c r="T975" s="5"/>
      <c r="U975" s="5"/>
      <c r="V975" s="5"/>
      <c r="W975" s="5"/>
      <c r="X975" s="5"/>
      <c r="Y975" s="5"/>
      <c r="Z975" s="5"/>
      <c r="AA975" s="5"/>
      <c r="AB975" s="5"/>
      <c r="AC975" s="5"/>
      <c r="AD975" s="5"/>
      <c r="AE975" s="5"/>
      <c r="AF975" s="5"/>
      <c r="AG975" s="8"/>
      <c r="AH975" s="5"/>
      <c r="AI975" s="13"/>
      <c r="AJ975" s="5"/>
      <c r="AK975" s="5"/>
      <c r="AL975" s="5"/>
      <c r="AM975" s="5"/>
      <c r="AN975" s="5"/>
      <c r="AO975" s="5"/>
      <c r="AP975" s="5"/>
      <c r="AQ975" s="5"/>
      <c r="AR975" s="5"/>
      <c r="AS975" s="5"/>
      <c r="AT975" s="5"/>
      <c r="AU975" s="5"/>
      <c r="AV975" s="5"/>
      <c r="AW975" s="5"/>
      <c r="AX975" s="5"/>
      <c r="AY975" s="5"/>
      <c r="AZ975" s="5"/>
      <c r="BA975" s="5"/>
      <c r="BB975" s="5"/>
      <c r="BC975" s="5"/>
      <c r="BD975" s="5"/>
      <c r="BE975" s="5"/>
    </row>
    <row r="976">
      <c r="A976" s="5"/>
      <c r="B976" s="5"/>
      <c r="C976" s="5"/>
      <c r="D976" s="5"/>
      <c r="E976" s="5"/>
      <c r="F976" s="5"/>
      <c r="G976" s="5"/>
      <c r="H976" s="5"/>
      <c r="I976" s="5"/>
      <c r="J976" s="5"/>
      <c r="K976" s="5"/>
      <c r="L976" s="5"/>
      <c r="M976" s="5"/>
      <c r="N976" s="5"/>
      <c r="O976" s="5"/>
      <c r="P976" s="12"/>
      <c r="Q976" s="13"/>
      <c r="R976" s="13"/>
      <c r="S976" s="13"/>
      <c r="T976" s="5"/>
      <c r="U976" s="5"/>
      <c r="V976" s="5"/>
      <c r="W976" s="5"/>
      <c r="X976" s="5"/>
      <c r="Y976" s="5"/>
      <c r="Z976" s="5"/>
      <c r="AA976" s="5"/>
      <c r="AB976" s="5"/>
      <c r="AC976" s="5"/>
      <c r="AD976" s="5"/>
      <c r="AE976" s="5"/>
      <c r="AF976" s="5"/>
      <c r="AG976" s="8"/>
      <c r="AH976" s="5"/>
      <c r="AI976" s="13"/>
      <c r="AJ976" s="5"/>
      <c r="AK976" s="5"/>
      <c r="AL976" s="5"/>
      <c r="AM976" s="5"/>
      <c r="AN976" s="5"/>
      <c r="AO976" s="5"/>
      <c r="AP976" s="5"/>
      <c r="AQ976" s="5"/>
      <c r="AR976" s="5"/>
      <c r="AS976" s="5"/>
      <c r="AT976" s="5"/>
      <c r="AU976" s="5"/>
      <c r="AV976" s="5"/>
      <c r="AW976" s="5"/>
      <c r="AX976" s="5"/>
      <c r="AY976" s="5"/>
      <c r="AZ976" s="5"/>
      <c r="BA976" s="5"/>
      <c r="BB976" s="5"/>
      <c r="BC976" s="5"/>
      <c r="BD976" s="5"/>
      <c r="BE976" s="5"/>
    </row>
    <row r="977">
      <c r="A977" s="5"/>
      <c r="B977" s="5"/>
      <c r="C977" s="5"/>
      <c r="D977" s="5"/>
      <c r="E977" s="5"/>
      <c r="F977" s="5"/>
      <c r="G977" s="5"/>
      <c r="H977" s="5"/>
      <c r="I977" s="5"/>
      <c r="J977" s="5"/>
      <c r="K977" s="5"/>
      <c r="L977" s="5"/>
      <c r="M977" s="5"/>
      <c r="N977" s="5"/>
      <c r="O977" s="5"/>
      <c r="P977" s="12"/>
      <c r="Q977" s="13"/>
      <c r="R977" s="13"/>
      <c r="S977" s="13"/>
      <c r="T977" s="5"/>
      <c r="U977" s="5"/>
      <c r="V977" s="5"/>
      <c r="W977" s="5"/>
      <c r="X977" s="5"/>
      <c r="Y977" s="5"/>
      <c r="Z977" s="5"/>
      <c r="AA977" s="5"/>
      <c r="AB977" s="5"/>
      <c r="AC977" s="5"/>
      <c r="AD977" s="5"/>
      <c r="AE977" s="5"/>
      <c r="AF977" s="5"/>
      <c r="AG977" s="8"/>
      <c r="AH977" s="5"/>
      <c r="AI977" s="13"/>
      <c r="AJ977" s="5"/>
      <c r="AK977" s="5"/>
      <c r="AL977" s="5"/>
      <c r="AM977" s="5"/>
      <c r="AN977" s="5"/>
      <c r="AO977" s="5"/>
      <c r="AP977" s="5"/>
      <c r="AQ977" s="5"/>
      <c r="AR977" s="5"/>
      <c r="AS977" s="5"/>
      <c r="AT977" s="5"/>
      <c r="AU977" s="5"/>
      <c r="AV977" s="5"/>
      <c r="AW977" s="5"/>
      <c r="AX977" s="5"/>
      <c r="AY977" s="5"/>
      <c r="AZ977" s="5"/>
      <c r="BA977" s="5"/>
      <c r="BB977" s="5"/>
      <c r="BC977" s="5"/>
      <c r="BD977" s="5"/>
      <c r="BE977" s="5"/>
    </row>
    <row r="978">
      <c r="A978" s="5"/>
      <c r="B978" s="5"/>
      <c r="C978" s="5"/>
      <c r="D978" s="5"/>
      <c r="E978" s="5"/>
      <c r="F978" s="5"/>
      <c r="G978" s="5"/>
      <c r="H978" s="5"/>
      <c r="I978" s="5"/>
      <c r="J978" s="5"/>
      <c r="K978" s="5"/>
      <c r="L978" s="5"/>
      <c r="M978" s="5"/>
      <c r="N978" s="5"/>
      <c r="O978" s="5"/>
      <c r="P978" s="12"/>
      <c r="Q978" s="13"/>
      <c r="R978" s="13"/>
      <c r="S978" s="13"/>
      <c r="T978" s="5"/>
      <c r="U978" s="5"/>
      <c r="V978" s="5"/>
      <c r="W978" s="5"/>
      <c r="X978" s="5"/>
      <c r="Y978" s="5"/>
      <c r="Z978" s="5"/>
      <c r="AA978" s="5"/>
      <c r="AB978" s="5"/>
      <c r="AC978" s="5"/>
      <c r="AD978" s="5"/>
      <c r="AE978" s="5"/>
      <c r="AF978" s="5"/>
      <c r="AG978" s="8"/>
      <c r="AH978" s="5"/>
      <c r="AI978" s="13"/>
      <c r="AJ978" s="5"/>
      <c r="AK978" s="5"/>
      <c r="AL978" s="5"/>
      <c r="AM978" s="5"/>
      <c r="AN978" s="5"/>
      <c r="AO978" s="5"/>
      <c r="AP978" s="5"/>
      <c r="AQ978" s="5"/>
      <c r="AR978" s="5"/>
      <c r="AS978" s="5"/>
      <c r="AT978" s="5"/>
      <c r="AU978" s="5"/>
      <c r="AV978" s="5"/>
      <c r="AW978" s="5"/>
      <c r="AX978" s="5"/>
      <c r="AY978" s="5"/>
      <c r="AZ978" s="5"/>
      <c r="BA978" s="5"/>
      <c r="BB978" s="5"/>
      <c r="BC978" s="5"/>
      <c r="BD978" s="5"/>
      <c r="BE978" s="5"/>
    </row>
    <row r="979">
      <c r="A979" s="5"/>
      <c r="B979" s="5"/>
      <c r="C979" s="5"/>
      <c r="D979" s="5"/>
      <c r="E979" s="5"/>
      <c r="F979" s="5"/>
      <c r="G979" s="5"/>
      <c r="H979" s="5"/>
      <c r="I979" s="5"/>
      <c r="J979" s="5"/>
      <c r="K979" s="5"/>
      <c r="L979" s="5"/>
      <c r="M979" s="5"/>
      <c r="N979" s="5"/>
      <c r="O979" s="5"/>
      <c r="P979" s="12"/>
      <c r="Q979" s="13"/>
      <c r="R979" s="13"/>
      <c r="S979" s="13"/>
      <c r="T979" s="5"/>
      <c r="U979" s="5"/>
      <c r="V979" s="5"/>
      <c r="W979" s="5"/>
      <c r="X979" s="5"/>
      <c r="Y979" s="5"/>
      <c r="Z979" s="5"/>
      <c r="AA979" s="5"/>
      <c r="AB979" s="5"/>
      <c r="AC979" s="5"/>
      <c r="AD979" s="5"/>
      <c r="AE979" s="5"/>
      <c r="AF979" s="5"/>
      <c r="AG979" s="8"/>
      <c r="AH979" s="5"/>
      <c r="AI979" s="13"/>
      <c r="AJ979" s="5"/>
      <c r="AK979" s="5"/>
      <c r="AL979" s="5"/>
      <c r="AM979" s="5"/>
      <c r="AN979" s="5"/>
      <c r="AO979" s="5"/>
      <c r="AP979" s="5"/>
      <c r="AQ979" s="5"/>
      <c r="AR979" s="5"/>
      <c r="AS979" s="5"/>
      <c r="AT979" s="5"/>
      <c r="AU979" s="5"/>
      <c r="AV979" s="5"/>
      <c r="AW979" s="5"/>
      <c r="AX979" s="5"/>
      <c r="AY979" s="5"/>
      <c r="AZ979" s="5"/>
      <c r="BA979" s="5"/>
      <c r="BB979" s="5"/>
      <c r="BC979" s="5"/>
      <c r="BD979" s="5"/>
      <c r="BE979" s="5"/>
    </row>
    <row r="980">
      <c r="A980" s="5"/>
      <c r="B980" s="5"/>
      <c r="C980" s="5"/>
      <c r="D980" s="5"/>
      <c r="E980" s="5"/>
      <c r="F980" s="5"/>
      <c r="G980" s="5"/>
      <c r="H980" s="5"/>
      <c r="I980" s="5"/>
      <c r="J980" s="5"/>
      <c r="K980" s="5"/>
      <c r="L980" s="5"/>
      <c r="M980" s="5"/>
      <c r="N980" s="5"/>
      <c r="O980" s="5"/>
      <c r="P980" s="12"/>
      <c r="Q980" s="13"/>
      <c r="R980" s="13"/>
      <c r="S980" s="13"/>
      <c r="T980" s="5"/>
      <c r="U980" s="5"/>
      <c r="V980" s="5"/>
      <c r="W980" s="5"/>
      <c r="X980" s="5"/>
      <c r="Y980" s="5"/>
      <c r="Z980" s="5"/>
      <c r="AA980" s="5"/>
      <c r="AB980" s="5"/>
      <c r="AC980" s="5"/>
      <c r="AD980" s="5"/>
      <c r="AE980" s="5"/>
      <c r="AF980" s="5"/>
      <c r="AG980" s="8"/>
      <c r="AH980" s="5"/>
      <c r="AI980" s="13"/>
      <c r="AJ980" s="5"/>
      <c r="AK980" s="5"/>
      <c r="AL980" s="5"/>
      <c r="AM980" s="5"/>
      <c r="AN980" s="5"/>
      <c r="AO980" s="5"/>
      <c r="AP980" s="5"/>
      <c r="AQ980" s="5"/>
      <c r="AR980" s="5"/>
      <c r="AS980" s="5"/>
      <c r="AT980" s="5"/>
      <c r="AU980" s="5"/>
      <c r="AV980" s="5"/>
      <c r="AW980" s="5"/>
      <c r="AX980" s="5"/>
      <c r="AY980" s="5"/>
      <c r="AZ980" s="5"/>
      <c r="BA980" s="5"/>
      <c r="BB980" s="5"/>
      <c r="BC980" s="5"/>
      <c r="BD980" s="5"/>
      <c r="BE980" s="5"/>
    </row>
    <row r="981">
      <c r="A981" s="5"/>
      <c r="B981" s="5"/>
      <c r="C981" s="5"/>
      <c r="D981" s="5"/>
      <c r="E981" s="5"/>
      <c r="F981" s="5"/>
      <c r="G981" s="5"/>
      <c r="H981" s="5"/>
      <c r="I981" s="5"/>
      <c r="J981" s="5"/>
      <c r="K981" s="5"/>
      <c r="L981" s="5"/>
      <c r="M981" s="5"/>
      <c r="N981" s="5"/>
      <c r="O981" s="5"/>
      <c r="P981" s="12"/>
      <c r="Q981" s="13"/>
      <c r="R981" s="13"/>
      <c r="S981" s="13"/>
      <c r="T981" s="5"/>
      <c r="U981" s="5"/>
      <c r="V981" s="5"/>
      <c r="W981" s="5"/>
      <c r="X981" s="5"/>
      <c r="Y981" s="5"/>
      <c r="Z981" s="5"/>
      <c r="AA981" s="5"/>
      <c r="AB981" s="5"/>
      <c r="AC981" s="5"/>
      <c r="AD981" s="5"/>
      <c r="AE981" s="5"/>
      <c r="AF981" s="5"/>
      <c r="AG981" s="8"/>
      <c r="AH981" s="5"/>
      <c r="AI981" s="13"/>
      <c r="AJ981" s="5"/>
      <c r="AK981" s="5"/>
      <c r="AL981" s="5"/>
      <c r="AM981" s="5"/>
      <c r="AN981" s="5"/>
      <c r="AO981" s="5"/>
      <c r="AP981" s="5"/>
      <c r="AQ981" s="5"/>
      <c r="AR981" s="5"/>
      <c r="AS981" s="5"/>
      <c r="AT981" s="5"/>
      <c r="AU981" s="5"/>
      <c r="AV981" s="5"/>
      <c r="AW981" s="5"/>
      <c r="AX981" s="5"/>
      <c r="AY981" s="5"/>
      <c r="AZ981" s="5"/>
      <c r="BA981" s="5"/>
      <c r="BB981" s="5"/>
      <c r="BC981" s="5"/>
      <c r="BD981" s="5"/>
      <c r="BE981" s="5"/>
    </row>
    <row r="982">
      <c r="A982" s="5"/>
      <c r="B982" s="5"/>
      <c r="C982" s="5"/>
      <c r="D982" s="5"/>
      <c r="E982" s="5"/>
      <c r="F982" s="5"/>
      <c r="G982" s="5"/>
      <c r="H982" s="5"/>
      <c r="I982" s="5"/>
      <c r="J982" s="5"/>
      <c r="K982" s="5"/>
      <c r="L982" s="5"/>
      <c r="M982" s="5"/>
      <c r="N982" s="5"/>
      <c r="O982" s="5"/>
      <c r="P982" s="12"/>
      <c r="Q982" s="13"/>
      <c r="R982" s="13"/>
      <c r="S982" s="13"/>
      <c r="T982" s="5"/>
      <c r="U982" s="5"/>
      <c r="V982" s="5"/>
      <c r="W982" s="5"/>
      <c r="X982" s="5"/>
      <c r="Y982" s="5"/>
      <c r="Z982" s="5"/>
      <c r="AA982" s="5"/>
      <c r="AB982" s="5"/>
      <c r="AC982" s="5"/>
      <c r="AD982" s="5"/>
      <c r="AE982" s="5"/>
      <c r="AF982" s="5"/>
      <c r="AG982" s="8"/>
      <c r="AH982" s="5"/>
      <c r="AI982" s="13"/>
      <c r="AJ982" s="5"/>
      <c r="AK982" s="5"/>
      <c r="AL982" s="5"/>
      <c r="AM982" s="5"/>
      <c r="AN982" s="5"/>
      <c r="AO982" s="5"/>
      <c r="AP982" s="5"/>
      <c r="AQ982" s="5"/>
      <c r="AR982" s="5"/>
      <c r="AS982" s="5"/>
      <c r="AT982" s="5"/>
      <c r="AU982" s="5"/>
      <c r="AV982" s="5"/>
      <c r="AW982" s="5"/>
      <c r="AX982" s="5"/>
      <c r="AY982" s="5"/>
      <c r="AZ982" s="5"/>
      <c r="BA982" s="5"/>
      <c r="BB982" s="5"/>
      <c r="BC982" s="5"/>
      <c r="BD982" s="5"/>
      <c r="BE982" s="5"/>
    </row>
    <row r="983">
      <c r="A983" s="5"/>
      <c r="B983" s="5"/>
      <c r="C983" s="5"/>
      <c r="D983" s="5"/>
      <c r="E983" s="5"/>
      <c r="F983" s="5"/>
      <c r="G983" s="5"/>
      <c r="H983" s="5"/>
      <c r="I983" s="5"/>
      <c r="J983" s="5"/>
      <c r="K983" s="5"/>
      <c r="L983" s="5"/>
      <c r="M983" s="5"/>
      <c r="N983" s="5"/>
      <c r="O983" s="5"/>
      <c r="P983" s="12"/>
      <c r="Q983" s="13"/>
      <c r="R983" s="13"/>
      <c r="S983" s="13"/>
      <c r="T983" s="5"/>
      <c r="U983" s="5"/>
      <c r="V983" s="5"/>
      <c r="W983" s="5"/>
      <c r="X983" s="5"/>
      <c r="Y983" s="5"/>
      <c r="Z983" s="5"/>
      <c r="AA983" s="5"/>
      <c r="AB983" s="5"/>
      <c r="AC983" s="5"/>
      <c r="AD983" s="5"/>
      <c r="AE983" s="5"/>
      <c r="AF983" s="5"/>
      <c r="AG983" s="8"/>
      <c r="AH983" s="5"/>
      <c r="AI983" s="13"/>
      <c r="AJ983" s="5"/>
      <c r="AK983" s="5"/>
      <c r="AL983" s="5"/>
      <c r="AM983" s="5"/>
      <c r="AN983" s="5"/>
      <c r="AO983" s="5"/>
      <c r="AP983" s="5"/>
      <c r="AQ983" s="5"/>
      <c r="AR983" s="5"/>
      <c r="AS983" s="5"/>
      <c r="AT983" s="5"/>
      <c r="AU983" s="5"/>
      <c r="AV983" s="5"/>
      <c r="AW983" s="5"/>
      <c r="AX983" s="5"/>
      <c r="AY983" s="5"/>
      <c r="AZ983" s="5"/>
      <c r="BA983" s="5"/>
      <c r="BB983" s="5"/>
      <c r="BC983" s="5"/>
      <c r="BD983" s="5"/>
      <c r="BE983" s="5"/>
    </row>
    <row r="984">
      <c r="A984" s="5"/>
      <c r="B984" s="5"/>
      <c r="C984" s="5"/>
      <c r="D984" s="5"/>
      <c r="E984" s="5"/>
      <c r="F984" s="5"/>
      <c r="G984" s="5"/>
      <c r="H984" s="5"/>
      <c r="I984" s="5"/>
      <c r="J984" s="5"/>
      <c r="K984" s="5"/>
      <c r="L984" s="5"/>
      <c r="M984" s="5"/>
      <c r="N984" s="5"/>
      <c r="O984" s="5"/>
      <c r="P984" s="12"/>
      <c r="Q984" s="13"/>
      <c r="R984" s="13"/>
      <c r="S984" s="13"/>
      <c r="T984" s="5"/>
      <c r="U984" s="5"/>
      <c r="V984" s="5"/>
      <c r="W984" s="5"/>
      <c r="X984" s="5"/>
      <c r="Y984" s="5"/>
      <c r="Z984" s="5"/>
      <c r="AA984" s="5"/>
      <c r="AB984" s="5"/>
      <c r="AC984" s="5"/>
      <c r="AD984" s="5"/>
      <c r="AE984" s="5"/>
      <c r="AF984" s="5"/>
      <c r="AG984" s="8"/>
      <c r="AH984" s="5"/>
      <c r="AI984" s="13"/>
      <c r="AJ984" s="5"/>
      <c r="AK984" s="5"/>
      <c r="AL984" s="5"/>
      <c r="AM984" s="5"/>
      <c r="AN984" s="5"/>
      <c r="AO984" s="5"/>
      <c r="AP984" s="5"/>
      <c r="AQ984" s="5"/>
      <c r="AR984" s="5"/>
      <c r="AS984" s="5"/>
      <c r="AT984" s="5"/>
      <c r="AU984" s="5"/>
      <c r="AV984" s="5"/>
      <c r="AW984" s="5"/>
      <c r="AX984" s="5"/>
      <c r="AY984" s="5"/>
      <c r="AZ984" s="5"/>
      <c r="BA984" s="5"/>
      <c r="BB984" s="5"/>
      <c r="BC984" s="5"/>
      <c r="BD984" s="5"/>
      <c r="BE984" s="5"/>
    </row>
    <row r="985">
      <c r="A985" s="5"/>
      <c r="B985" s="5"/>
      <c r="C985" s="5"/>
      <c r="D985" s="5"/>
      <c r="E985" s="5"/>
      <c r="F985" s="5"/>
      <c r="G985" s="5"/>
      <c r="H985" s="5"/>
      <c r="I985" s="5"/>
      <c r="J985" s="5"/>
      <c r="K985" s="5"/>
      <c r="L985" s="5"/>
      <c r="M985" s="5"/>
      <c r="N985" s="5"/>
      <c r="O985" s="5"/>
      <c r="P985" s="12"/>
      <c r="Q985" s="13"/>
      <c r="R985" s="13"/>
      <c r="S985" s="13"/>
      <c r="T985" s="5"/>
      <c r="U985" s="5"/>
      <c r="V985" s="5"/>
      <c r="W985" s="5"/>
      <c r="X985" s="5"/>
      <c r="Y985" s="5"/>
      <c r="Z985" s="5"/>
      <c r="AA985" s="5"/>
      <c r="AB985" s="5"/>
      <c r="AC985" s="5"/>
      <c r="AD985" s="5"/>
      <c r="AE985" s="5"/>
      <c r="AF985" s="5"/>
      <c r="AG985" s="8"/>
      <c r="AH985" s="5"/>
      <c r="AI985" s="13"/>
      <c r="AJ985" s="5"/>
      <c r="AK985" s="5"/>
      <c r="AL985" s="5"/>
      <c r="AM985" s="5"/>
      <c r="AN985" s="5"/>
      <c r="AO985" s="5"/>
      <c r="AP985" s="5"/>
      <c r="AQ985" s="5"/>
      <c r="AR985" s="5"/>
      <c r="AS985" s="5"/>
      <c r="AT985" s="5"/>
      <c r="AU985" s="5"/>
      <c r="AV985" s="5"/>
      <c r="AW985" s="5"/>
      <c r="AX985" s="5"/>
      <c r="AY985" s="5"/>
      <c r="AZ985" s="5"/>
      <c r="BA985" s="5"/>
      <c r="BB985" s="5"/>
      <c r="BC985" s="5"/>
      <c r="BD985" s="5"/>
      <c r="BE985" s="5"/>
    </row>
    <row r="986">
      <c r="A986" s="5"/>
      <c r="B986" s="5"/>
      <c r="C986" s="5"/>
      <c r="D986" s="5"/>
      <c r="E986" s="5"/>
      <c r="F986" s="5"/>
      <c r="G986" s="5"/>
      <c r="H986" s="5"/>
      <c r="I986" s="5"/>
      <c r="J986" s="5"/>
      <c r="K986" s="5"/>
      <c r="L986" s="5"/>
      <c r="M986" s="5"/>
      <c r="N986" s="5"/>
      <c r="O986" s="5"/>
      <c r="P986" s="12"/>
      <c r="Q986" s="13"/>
      <c r="R986" s="13"/>
      <c r="S986" s="13"/>
      <c r="T986" s="5"/>
      <c r="U986" s="5"/>
      <c r="V986" s="5"/>
      <c r="W986" s="5"/>
      <c r="X986" s="5"/>
      <c r="Y986" s="5"/>
      <c r="Z986" s="5"/>
      <c r="AA986" s="5"/>
      <c r="AB986" s="5"/>
      <c r="AC986" s="5"/>
      <c r="AD986" s="5"/>
      <c r="AE986" s="5"/>
      <c r="AF986" s="5"/>
      <c r="AG986" s="8"/>
      <c r="AH986" s="5"/>
      <c r="AI986" s="13"/>
      <c r="AJ986" s="5"/>
      <c r="AK986" s="5"/>
      <c r="AL986" s="5"/>
      <c r="AM986" s="5"/>
      <c r="AN986" s="5"/>
      <c r="AO986" s="5"/>
      <c r="AP986" s="5"/>
      <c r="AQ986" s="5"/>
      <c r="AR986" s="5"/>
      <c r="AS986" s="5"/>
      <c r="AT986" s="5"/>
      <c r="AU986" s="5"/>
      <c r="AV986" s="5"/>
      <c r="AW986" s="5"/>
      <c r="AX986" s="5"/>
      <c r="AY986" s="5"/>
      <c r="AZ986" s="5"/>
      <c r="BA986" s="5"/>
      <c r="BB986" s="5"/>
      <c r="BC986" s="5"/>
      <c r="BD986" s="5"/>
      <c r="BE986" s="5"/>
    </row>
    <row r="987">
      <c r="A987" s="5"/>
      <c r="B987" s="5"/>
      <c r="C987" s="5"/>
      <c r="D987" s="5"/>
      <c r="E987" s="5"/>
      <c r="F987" s="5"/>
      <c r="G987" s="5"/>
      <c r="H987" s="5"/>
      <c r="I987" s="5"/>
      <c r="J987" s="5"/>
      <c r="K987" s="5"/>
      <c r="L987" s="5"/>
      <c r="M987" s="5"/>
      <c r="N987" s="5"/>
      <c r="O987" s="5"/>
      <c r="P987" s="12"/>
      <c r="Q987" s="13"/>
      <c r="R987" s="13"/>
      <c r="S987" s="13"/>
      <c r="T987" s="5"/>
      <c r="U987" s="5"/>
      <c r="V987" s="5"/>
      <c r="W987" s="5"/>
      <c r="X987" s="5"/>
      <c r="Y987" s="5"/>
      <c r="Z987" s="5"/>
      <c r="AA987" s="5"/>
      <c r="AB987" s="5"/>
      <c r="AC987" s="5"/>
      <c r="AD987" s="5"/>
      <c r="AE987" s="5"/>
      <c r="AF987" s="5"/>
      <c r="AG987" s="8"/>
      <c r="AH987" s="5"/>
      <c r="AI987" s="13"/>
      <c r="AJ987" s="5"/>
      <c r="AK987" s="5"/>
      <c r="AL987" s="5"/>
      <c r="AM987" s="5"/>
      <c r="AN987" s="5"/>
      <c r="AO987" s="5"/>
      <c r="AP987" s="5"/>
      <c r="AQ987" s="5"/>
      <c r="AR987" s="5"/>
      <c r="AS987" s="5"/>
      <c r="AT987" s="5"/>
      <c r="AU987" s="5"/>
      <c r="AV987" s="5"/>
      <c r="AW987" s="5"/>
      <c r="AX987" s="5"/>
      <c r="AY987" s="5"/>
      <c r="AZ987" s="5"/>
      <c r="BA987" s="5"/>
      <c r="BB987" s="5"/>
      <c r="BC987" s="5"/>
      <c r="BD987" s="5"/>
      <c r="BE987" s="5"/>
    </row>
    <row r="988">
      <c r="A988" s="5"/>
      <c r="B988" s="5"/>
      <c r="C988" s="5"/>
      <c r="D988" s="5"/>
      <c r="E988" s="5"/>
      <c r="F988" s="5"/>
      <c r="G988" s="5"/>
      <c r="H988" s="5"/>
      <c r="I988" s="5"/>
      <c r="J988" s="5"/>
      <c r="K988" s="5"/>
      <c r="L988" s="5"/>
      <c r="M988" s="5"/>
      <c r="N988" s="5"/>
      <c r="O988" s="5"/>
      <c r="P988" s="12"/>
      <c r="Q988" s="13"/>
      <c r="R988" s="13"/>
      <c r="S988" s="13"/>
      <c r="T988" s="5"/>
      <c r="U988" s="5"/>
      <c r="V988" s="5"/>
      <c r="W988" s="5"/>
      <c r="X988" s="5"/>
      <c r="Y988" s="5"/>
      <c r="Z988" s="5"/>
      <c r="AA988" s="5"/>
      <c r="AB988" s="5"/>
      <c r="AC988" s="5"/>
      <c r="AD988" s="5"/>
      <c r="AE988" s="5"/>
      <c r="AF988" s="5"/>
      <c r="AG988" s="8"/>
      <c r="AH988" s="5"/>
      <c r="AI988" s="13"/>
      <c r="AJ988" s="5"/>
      <c r="AK988" s="5"/>
      <c r="AL988" s="5"/>
      <c r="AM988" s="5"/>
      <c r="AN988" s="5"/>
      <c r="AO988" s="5"/>
      <c r="AP988" s="5"/>
      <c r="AQ988" s="5"/>
      <c r="AR988" s="5"/>
      <c r="AS988" s="5"/>
      <c r="AT988" s="5"/>
      <c r="AU988" s="5"/>
      <c r="AV988" s="5"/>
      <c r="AW988" s="5"/>
      <c r="AX988" s="5"/>
      <c r="AY988" s="5"/>
      <c r="AZ988" s="5"/>
      <c r="BA988" s="5"/>
      <c r="BB988" s="5"/>
      <c r="BC988" s="5"/>
      <c r="BD988" s="5"/>
      <c r="BE988" s="5"/>
    </row>
    <row r="989">
      <c r="A989" s="5"/>
      <c r="B989" s="5"/>
      <c r="C989" s="5"/>
      <c r="D989" s="5"/>
      <c r="E989" s="5"/>
      <c r="F989" s="5"/>
      <c r="G989" s="5"/>
      <c r="H989" s="5"/>
      <c r="I989" s="5"/>
      <c r="J989" s="5"/>
      <c r="K989" s="5"/>
      <c r="L989" s="5"/>
      <c r="M989" s="5"/>
      <c r="N989" s="5"/>
      <c r="O989" s="5"/>
      <c r="P989" s="12"/>
      <c r="Q989" s="13"/>
      <c r="R989" s="13"/>
      <c r="S989" s="13"/>
      <c r="T989" s="5"/>
      <c r="U989" s="5"/>
      <c r="V989" s="5"/>
      <c r="W989" s="5"/>
      <c r="X989" s="5"/>
      <c r="Y989" s="5"/>
      <c r="Z989" s="5"/>
      <c r="AA989" s="5"/>
      <c r="AB989" s="5"/>
      <c r="AC989" s="5"/>
      <c r="AD989" s="5"/>
      <c r="AE989" s="5"/>
      <c r="AF989" s="5"/>
      <c r="AG989" s="8"/>
      <c r="AH989" s="5"/>
      <c r="AI989" s="13"/>
      <c r="AJ989" s="5"/>
      <c r="AK989" s="5"/>
      <c r="AL989" s="5"/>
      <c r="AM989" s="5"/>
      <c r="AN989" s="5"/>
      <c r="AO989" s="5"/>
      <c r="AP989" s="5"/>
      <c r="AQ989" s="5"/>
      <c r="AR989" s="5"/>
      <c r="AS989" s="5"/>
      <c r="AT989" s="5"/>
      <c r="AU989" s="5"/>
      <c r="AV989" s="5"/>
      <c r="AW989" s="5"/>
      <c r="AX989" s="5"/>
      <c r="AY989" s="5"/>
      <c r="AZ989" s="5"/>
      <c r="BA989" s="5"/>
      <c r="BB989" s="5"/>
      <c r="BC989" s="5"/>
      <c r="BD989" s="5"/>
      <c r="BE989" s="5"/>
    </row>
    <row r="990">
      <c r="A990" s="5"/>
      <c r="B990" s="5"/>
      <c r="C990" s="5"/>
      <c r="D990" s="5"/>
      <c r="E990" s="5"/>
      <c r="F990" s="5"/>
      <c r="G990" s="5"/>
      <c r="H990" s="5"/>
      <c r="I990" s="5"/>
      <c r="J990" s="5"/>
      <c r="K990" s="5"/>
      <c r="L990" s="5"/>
      <c r="M990" s="5"/>
      <c r="N990" s="5"/>
      <c r="O990" s="5"/>
      <c r="P990" s="12"/>
      <c r="Q990" s="13"/>
      <c r="R990" s="13"/>
      <c r="S990" s="13"/>
      <c r="T990" s="5"/>
      <c r="U990" s="5"/>
      <c r="V990" s="5"/>
      <c r="W990" s="5"/>
      <c r="X990" s="5"/>
      <c r="Y990" s="5"/>
      <c r="Z990" s="5"/>
      <c r="AA990" s="5"/>
      <c r="AB990" s="5"/>
      <c r="AC990" s="5"/>
      <c r="AD990" s="5"/>
      <c r="AE990" s="5"/>
      <c r="AF990" s="5"/>
      <c r="AG990" s="8"/>
      <c r="AH990" s="5"/>
      <c r="AI990" s="13"/>
      <c r="AJ990" s="5"/>
      <c r="AK990" s="5"/>
      <c r="AL990" s="5"/>
      <c r="AM990" s="5"/>
      <c r="AN990" s="5"/>
      <c r="AO990" s="5"/>
      <c r="AP990" s="5"/>
      <c r="AQ990" s="5"/>
      <c r="AR990" s="5"/>
      <c r="AS990" s="5"/>
      <c r="AT990" s="5"/>
      <c r="AU990" s="5"/>
      <c r="AV990" s="5"/>
      <c r="AW990" s="5"/>
      <c r="AX990" s="5"/>
      <c r="AY990" s="5"/>
      <c r="AZ990" s="5"/>
      <c r="BA990" s="5"/>
      <c r="BB990" s="5"/>
      <c r="BC990" s="5"/>
      <c r="BD990" s="5"/>
      <c r="BE990" s="5"/>
    </row>
    <row r="991">
      <c r="A991" s="5"/>
      <c r="B991" s="5"/>
      <c r="C991" s="5"/>
      <c r="D991" s="5"/>
      <c r="E991" s="5"/>
      <c r="F991" s="5"/>
      <c r="G991" s="5"/>
      <c r="H991" s="5"/>
      <c r="I991" s="5"/>
      <c r="J991" s="5"/>
      <c r="K991" s="5"/>
      <c r="L991" s="5"/>
      <c r="M991" s="5"/>
      <c r="N991" s="5"/>
      <c r="O991" s="5"/>
      <c r="P991" s="12"/>
      <c r="Q991" s="13"/>
      <c r="R991" s="13"/>
      <c r="S991" s="13"/>
      <c r="T991" s="5"/>
      <c r="U991" s="5"/>
      <c r="V991" s="5"/>
      <c r="W991" s="5"/>
      <c r="X991" s="5"/>
      <c r="Y991" s="5"/>
      <c r="Z991" s="5"/>
      <c r="AA991" s="5"/>
      <c r="AB991" s="5"/>
      <c r="AC991" s="5"/>
      <c r="AD991" s="5"/>
      <c r="AE991" s="5"/>
      <c r="AF991" s="5"/>
      <c r="AG991" s="8"/>
      <c r="AH991" s="5"/>
      <c r="AI991" s="13"/>
      <c r="AJ991" s="5"/>
      <c r="AK991" s="5"/>
      <c r="AL991" s="5"/>
      <c r="AM991" s="5"/>
      <c r="AN991" s="5"/>
      <c r="AO991" s="5"/>
      <c r="AP991" s="5"/>
      <c r="AQ991" s="5"/>
      <c r="AR991" s="5"/>
      <c r="AS991" s="5"/>
      <c r="AT991" s="5"/>
      <c r="AU991" s="5"/>
      <c r="AV991" s="5"/>
      <c r="AW991" s="5"/>
      <c r="AX991" s="5"/>
      <c r="AY991" s="5"/>
      <c r="AZ991" s="5"/>
      <c r="BA991" s="5"/>
      <c r="BB991" s="5"/>
      <c r="BC991" s="5"/>
      <c r="BD991" s="5"/>
      <c r="BE991" s="5"/>
    </row>
    <row r="992">
      <c r="A992" s="5"/>
      <c r="B992" s="5"/>
      <c r="C992" s="5"/>
      <c r="D992" s="5"/>
      <c r="E992" s="5"/>
      <c r="F992" s="5"/>
      <c r="G992" s="5"/>
      <c r="H992" s="5"/>
      <c r="I992" s="5"/>
      <c r="J992" s="5"/>
      <c r="K992" s="5"/>
      <c r="L992" s="5"/>
      <c r="M992" s="5"/>
      <c r="N992" s="5"/>
      <c r="O992" s="5"/>
      <c r="P992" s="12"/>
      <c r="Q992" s="13"/>
      <c r="R992" s="13"/>
      <c r="S992" s="13"/>
      <c r="T992" s="5"/>
      <c r="U992" s="5"/>
      <c r="V992" s="5"/>
      <c r="W992" s="5"/>
      <c r="X992" s="5"/>
      <c r="Y992" s="5"/>
      <c r="Z992" s="5"/>
      <c r="AA992" s="5"/>
      <c r="AB992" s="5"/>
      <c r="AC992" s="5"/>
      <c r="AD992" s="5"/>
      <c r="AE992" s="5"/>
      <c r="AF992" s="5"/>
      <c r="AG992" s="8"/>
      <c r="AH992" s="5"/>
      <c r="AI992" s="13"/>
      <c r="AJ992" s="5"/>
      <c r="AK992" s="5"/>
      <c r="AL992" s="5"/>
      <c r="AM992" s="5"/>
      <c r="AN992" s="5"/>
      <c r="AO992" s="5"/>
      <c r="AP992" s="5"/>
      <c r="AQ992" s="5"/>
      <c r="AR992" s="5"/>
      <c r="AS992" s="5"/>
      <c r="AT992" s="5"/>
      <c r="AU992" s="5"/>
      <c r="AV992" s="5"/>
      <c r="AW992" s="5"/>
      <c r="AX992" s="5"/>
      <c r="AY992" s="5"/>
      <c r="AZ992" s="5"/>
      <c r="BA992" s="5"/>
      <c r="BB992" s="5"/>
      <c r="BC992" s="5"/>
      <c r="BD992" s="5"/>
      <c r="BE992" s="5"/>
    </row>
    <row r="993">
      <c r="A993" s="5"/>
      <c r="B993" s="5"/>
      <c r="C993" s="5"/>
      <c r="D993" s="5"/>
      <c r="E993" s="5"/>
      <c r="F993" s="5"/>
      <c r="G993" s="5"/>
      <c r="H993" s="5"/>
      <c r="I993" s="5"/>
      <c r="J993" s="5"/>
      <c r="K993" s="5"/>
      <c r="L993" s="5"/>
      <c r="M993" s="5"/>
      <c r="N993" s="5"/>
      <c r="O993" s="5"/>
      <c r="P993" s="12"/>
      <c r="Q993" s="13"/>
      <c r="R993" s="13"/>
      <c r="S993" s="13"/>
      <c r="T993" s="5"/>
      <c r="U993" s="5"/>
      <c r="V993" s="5"/>
      <c r="W993" s="5"/>
      <c r="X993" s="5"/>
      <c r="Y993" s="5"/>
      <c r="Z993" s="5"/>
      <c r="AA993" s="5"/>
      <c r="AB993" s="5"/>
      <c r="AC993" s="5"/>
      <c r="AD993" s="5"/>
      <c r="AE993" s="5"/>
      <c r="AF993" s="5"/>
      <c r="AG993" s="8"/>
      <c r="AH993" s="5"/>
      <c r="AI993" s="13"/>
      <c r="AJ993" s="5"/>
      <c r="AK993" s="5"/>
      <c r="AL993" s="5"/>
      <c r="AM993" s="5"/>
      <c r="AN993" s="5"/>
      <c r="AO993" s="5"/>
      <c r="AP993" s="5"/>
      <c r="AQ993" s="5"/>
      <c r="AR993" s="5"/>
      <c r="AS993" s="5"/>
      <c r="AT993" s="5"/>
      <c r="AU993" s="5"/>
      <c r="AV993" s="5"/>
      <c r="AW993" s="5"/>
      <c r="AX993" s="5"/>
      <c r="AY993" s="5"/>
      <c r="AZ993" s="5"/>
      <c r="BA993" s="5"/>
      <c r="BB993" s="5"/>
      <c r="BC993" s="5"/>
      <c r="BD993" s="5"/>
      <c r="BE993" s="5"/>
    </row>
    <row r="994">
      <c r="A994" s="5"/>
      <c r="B994" s="5"/>
      <c r="C994" s="5"/>
      <c r="D994" s="5"/>
      <c r="E994" s="5"/>
      <c r="F994" s="5"/>
      <c r="G994" s="5"/>
      <c r="H994" s="5"/>
      <c r="I994" s="5"/>
      <c r="J994" s="5"/>
      <c r="K994" s="5"/>
      <c r="L994" s="5"/>
      <c r="M994" s="5"/>
      <c r="N994" s="5"/>
      <c r="O994" s="5"/>
      <c r="P994" s="12"/>
      <c r="Q994" s="13"/>
      <c r="R994" s="13"/>
      <c r="S994" s="13"/>
      <c r="T994" s="5"/>
      <c r="U994" s="5"/>
      <c r="V994" s="5"/>
      <c r="W994" s="5"/>
      <c r="X994" s="5"/>
      <c r="Y994" s="5"/>
      <c r="Z994" s="5"/>
      <c r="AA994" s="5"/>
      <c r="AB994" s="5"/>
      <c r="AC994" s="5"/>
      <c r="AD994" s="5"/>
      <c r="AE994" s="5"/>
      <c r="AF994" s="5"/>
      <c r="AG994" s="8"/>
      <c r="AH994" s="5"/>
      <c r="AI994" s="13"/>
      <c r="AJ994" s="5"/>
      <c r="AK994" s="5"/>
      <c r="AL994" s="5"/>
      <c r="AM994" s="5"/>
      <c r="AN994" s="5"/>
      <c r="AO994" s="5"/>
      <c r="AP994" s="5"/>
      <c r="AQ994" s="5"/>
      <c r="AR994" s="5"/>
      <c r="AS994" s="5"/>
      <c r="AT994" s="5"/>
      <c r="AU994" s="5"/>
      <c r="AV994" s="5"/>
      <c r="AW994" s="5"/>
      <c r="AX994" s="5"/>
      <c r="AY994" s="5"/>
      <c r="AZ994" s="5"/>
      <c r="BA994" s="5"/>
      <c r="BB994" s="5"/>
      <c r="BC994" s="5"/>
      <c r="BD994" s="5"/>
      <c r="BE994" s="5"/>
    </row>
    <row r="995">
      <c r="A995" s="5"/>
      <c r="B995" s="5"/>
      <c r="C995" s="5"/>
      <c r="D995" s="5"/>
      <c r="E995" s="5"/>
      <c r="F995" s="5"/>
      <c r="G995" s="5"/>
      <c r="H995" s="5"/>
      <c r="I995" s="5"/>
      <c r="J995" s="5"/>
      <c r="K995" s="5"/>
      <c r="L995" s="5"/>
      <c r="M995" s="5"/>
      <c r="N995" s="5"/>
      <c r="O995" s="5"/>
      <c r="P995" s="12"/>
      <c r="Q995" s="13"/>
      <c r="R995" s="13"/>
      <c r="S995" s="13"/>
      <c r="T995" s="5"/>
      <c r="U995" s="5"/>
      <c r="V995" s="5"/>
      <c r="W995" s="5"/>
      <c r="X995" s="5"/>
      <c r="Y995" s="5"/>
      <c r="Z995" s="5"/>
      <c r="AA995" s="5"/>
      <c r="AB995" s="5"/>
      <c r="AC995" s="5"/>
      <c r="AD995" s="5"/>
      <c r="AE995" s="5"/>
      <c r="AF995" s="5"/>
      <c r="AG995" s="8"/>
      <c r="AH995" s="5"/>
      <c r="AI995" s="13"/>
      <c r="AJ995" s="5"/>
      <c r="AK995" s="5"/>
      <c r="AL995" s="5"/>
      <c r="AM995" s="5"/>
      <c r="AN995" s="5"/>
      <c r="AO995" s="5"/>
      <c r="AP995" s="5"/>
      <c r="AQ995" s="5"/>
      <c r="AR995" s="5"/>
      <c r="AS995" s="5"/>
      <c r="AT995" s="5"/>
      <c r="AU995" s="5"/>
      <c r="AV995" s="5"/>
      <c r="AW995" s="5"/>
      <c r="AX995" s="5"/>
      <c r="AY995" s="5"/>
      <c r="AZ995" s="5"/>
      <c r="BA995" s="5"/>
      <c r="BB995" s="5"/>
      <c r="BC995" s="5"/>
      <c r="BD995" s="5"/>
      <c r="BE995" s="5"/>
    </row>
    <row r="996">
      <c r="A996" s="5"/>
      <c r="B996" s="5"/>
      <c r="C996" s="5"/>
      <c r="D996" s="5"/>
      <c r="E996" s="5"/>
      <c r="F996" s="5"/>
      <c r="G996" s="5"/>
      <c r="H996" s="5"/>
      <c r="I996" s="5"/>
      <c r="J996" s="5"/>
      <c r="K996" s="5"/>
      <c r="L996" s="5"/>
      <c r="M996" s="5"/>
      <c r="N996" s="5"/>
      <c r="O996" s="5"/>
      <c r="P996" s="12"/>
      <c r="Q996" s="13"/>
      <c r="R996" s="13"/>
      <c r="S996" s="13"/>
      <c r="T996" s="5"/>
      <c r="U996" s="5"/>
      <c r="V996" s="5"/>
      <c r="W996" s="5"/>
      <c r="X996" s="5"/>
      <c r="Y996" s="5"/>
      <c r="Z996" s="5"/>
      <c r="AA996" s="5"/>
      <c r="AB996" s="5"/>
      <c r="AC996" s="5"/>
      <c r="AD996" s="5"/>
      <c r="AE996" s="5"/>
      <c r="AF996" s="5"/>
      <c r="AG996" s="8"/>
      <c r="AH996" s="5"/>
      <c r="AI996" s="13"/>
      <c r="AJ996" s="5"/>
      <c r="AK996" s="5"/>
      <c r="AL996" s="5"/>
      <c r="AM996" s="5"/>
      <c r="AN996" s="5"/>
      <c r="AO996" s="5"/>
      <c r="AP996" s="5"/>
      <c r="AQ996" s="5"/>
      <c r="AR996" s="5"/>
      <c r="AS996" s="5"/>
      <c r="AT996" s="5"/>
      <c r="AU996" s="5"/>
      <c r="AV996" s="5"/>
      <c r="AW996" s="5"/>
      <c r="AX996" s="5"/>
      <c r="AY996" s="5"/>
      <c r="AZ996" s="5"/>
      <c r="BA996" s="5"/>
      <c r="BB996" s="5"/>
      <c r="BC996" s="5"/>
      <c r="BD996" s="5"/>
      <c r="BE996" s="5"/>
    </row>
    <row r="997">
      <c r="A997" s="5"/>
      <c r="B997" s="5"/>
      <c r="C997" s="5"/>
      <c r="D997" s="5"/>
      <c r="E997" s="5"/>
      <c r="F997" s="5"/>
      <c r="G997" s="5"/>
      <c r="H997" s="5"/>
      <c r="I997" s="5"/>
      <c r="J997" s="5"/>
      <c r="K997" s="5"/>
      <c r="L997" s="5"/>
      <c r="M997" s="5"/>
      <c r="N997" s="5"/>
      <c r="O997" s="5"/>
      <c r="P997" s="12"/>
      <c r="Q997" s="13"/>
      <c r="R997" s="13"/>
      <c r="S997" s="13"/>
      <c r="T997" s="5"/>
      <c r="U997" s="5"/>
      <c r="V997" s="5"/>
      <c r="W997" s="5"/>
      <c r="X997" s="5"/>
      <c r="Y997" s="5"/>
      <c r="Z997" s="5"/>
      <c r="AA997" s="5"/>
      <c r="AB997" s="5"/>
      <c r="AC997" s="5"/>
      <c r="AD997" s="5"/>
      <c r="AE997" s="5"/>
      <c r="AF997" s="5"/>
      <c r="AG997" s="8"/>
      <c r="AH997" s="5"/>
      <c r="AI997" s="13"/>
      <c r="AJ997" s="5"/>
      <c r="AK997" s="5"/>
      <c r="AL997" s="5"/>
      <c r="AM997" s="5"/>
      <c r="AN997" s="5"/>
      <c r="AO997" s="5"/>
      <c r="AP997" s="5"/>
      <c r="AQ997" s="5"/>
      <c r="AR997" s="5"/>
      <c r="AS997" s="5"/>
      <c r="AT997" s="5"/>
      <c r="AU997" s="5"/>
      <c r="AV997" s="5"/>
      <c r="AW997" s="5"/>
      <c r="AX997" s="5"/>
      <c r="AY997" s="5"/>
      <c r="AZ997" s="5"/>
      <c r="BA997" s="5"/>
      <c r="BB997" s="5"/>
      <c r="BC997" s="5"/>
      <c r="BD997" s="5"/>
      <c r="BE997" s="5"/>
    </row>
    <row r="998">
      <c r="A998" s="5"/>
      <c r="B998" s="5"/>
      <c r="C998" s="5"/>
      <c r="D998" s="5"/>
      <c r="E998" s="5"/>
      <c r="F998" s="5"/>
      <c r="G998" s="5"/>
      <c r="H998" s="5"/>
      <c r="I998" s="5"/>
      <c r="J998" s="5"/>
      <c r="K998" s="5"/>
      <c r="L998" s="5"/>
      <c r="M998" s="5"/>
      <c r="N998" s="5"/>
      <c r="O998" s="5"/>
      <c r="P998" s="12"/>
      <c r="Q998" s="13"/>
      <c r="R998" s="13"/>
      <c r="S998" s="13"/>
      <c r="T998" s="5"/>
      <c r="U998" s="5"/>
      <c r="V998" s="5"/>
      <c r="W998" s="5"/>
      <c r="X998" s="5"/>
      <c r="Y998" s="5"/>
      <c r="Z998" s="5"/>
      <c r="AA998" s="5"/>
      <c r="AB998" s="5"/>
      <c r="AC998" s="5"/>
      <c r="AD998" s="5"/>
      <c r="AE998" s="5"/>
      <c r="AF998" s="5"/>
      <c r="AG998" s="8"/>
      <c r="AH998" s="5"/>
      <c r="AI998" s="13"/>
      <c r="AJ998" s="5"/>
      <c r="AK998" s="5"/>
      <c r="AL998" s="5"/>
      <c r="AM998" s="5"/>
      <c r="AN998" s="5"/>
      <c r="AO998" s="5"/>
      <c r="AP998" s="5"/>
      <c r="AQ998" s="5"/>
      <c r="AR998" s="5"/>
      <c r="AS998" s="5"/>
      <c r="AT998" s="5"/>
      <c r="AU998" s="5"/>
      <c r="AV998" s="5"/>
      <c r="AW998" s="5"/>
      <c r="AX998" s="5"/>
      <c r="AY998" s="5"/>
      <c r="AZ998" s="5"/>
      <c r="BA998" s="5"/>
      <c r="BB998" s="5"/>
      <c r="BC998" s="5"/>
      <c r="BD998" s="5"/>
      <c r="BE998" s="5"/>
    </row>
    <row r="999">
      <c r="A999" s="5"/>
      <c r="B999" s="5"/>
      <c r="C999" s="5"/>
      <c r="D999" s="5"/>
      <c r="E999" s="5"/>
      <c r="F999" s="5"/>
      <c r="G999" s="5"/>
      <c r="H999" s="5"/>
      <c r="I999" s="5"/>
      <c r="J999" s="5"/>
      <c r="K999" s="5"/>
      <c r="L999" s="5"/>
      <c r="M999" s="5"/>
      <c r="N999" s="5"/>
      <c r="O999" s="5"/>
      <c r="P999" s="12"/>
      <c r="Q999" s="13"/>
      <c r="R999" s="13"/>
      <c r="S999" s="13"/>
      <c r="T999" s="5"/>
      <c r="U999" s="5"/>
      <c r="V999" s="5"/>
      <c r="W999" s="5"/>
      <c r="X999" s="5"/>
      <c r="Y999" s="5"/>
      <c r="Z999" s="5"/>
      <c r="AA999" s="5"/>
      <c r="AB999" s="5"/>
      <c r="AC999" s="5"/>
      <c r="AD999" s="5"/>
      <c r="AE999" s="5"/>
      <c r="AF999" s="5"/>
      <c r="AG999" s="8"/>
      <c r="AH999" s="5"/>
      <c r="AI999" s="13"/>
      <c r="AJ999" s="5"/>
      <c r="AK999" s="5"/>
      <c r="AL999" s="5"/>
      <c r="AM999" s="5"/>
      <c r="AN999" s="5"/>
      <c r="AO999" s="5"/>
      <c r="AP999" s="5"/>
      <c r="AQ999" s="5"/>
      <c r="AR999" s="5"/>
      <c r="AS999" s="5"/>
      <c r="AT999" s="5"/>
      <c r="AU999" s="5"/>
      <c r="AV999" s="5"/>
      <c r="AW999" s="5"/>
      <c r="AX999" s="5"/>
      <c r="AY999" s="5"/>
      <c r="AZ999" s="5"/>
      <c r="BA999" s="5"/>
      <c r="BB999" s="5"/>
      <c r="BC999" s="5"/>
      <c r="BD999" s="5"/>
      <c r="BE999" s="5"/>
    </row>
    <row r="1000">
      <c r="A1000" s="5"/>
      <c r="B1000" s="5"/>
      <c r="C1000" s="5"/>
      <c r="D1000" s="5"/>
      <c r="E1000" s="5"/>
      <c r="F1000" s="5"/>
      <c r="G1000" s="5"/>
      <c r="H1000" s="5"/>
      <c r="I1000" s="5"/>
      <c r="J1000" s="5"/>
      <c r="K1000" s="5"/>
      <c r="L1000" s="5"/>
      <c r="M1000" s="5"/>
      <c r="N1000" s="5"/>
      <c r="O1000" s="5"/>
      <c r="P1000" s="12"/>
      <c r="Q1000" s="13"/>
      <c r="R1000" s="13"/>
      <c r="S1000" s="13"/>
      <c r="T1000" s="5"/>
      <c r="U1000" s="5"/>
      <c r="V1000" s="5"/>
      <c r="W1000" s="5"/>
      <c r="X1000" s="5"/>
      <c r="Y1000" s="5"/>
      <c r="Z1000" s="5"/>
      <c r="AA1000" s="5"/>
      <c r="AB1000" s="5"/>
      <c r="AC1000" s="5"/>
      <c r="AD1000" s="5"/>
      <c r="AE1000" s="5"/>
      <c r="AF1000" s="5"/>
      <c r="AG1000" s="8"/>
      <c r="AH1000" s="5"/>
      <c r="AI1000" s="13"/>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row>
  </sheetData>
  <hyperlinks>
    <hyperlink r:id="rId1" ref="AN2"/>
    <hyperlink r:id="rId2" ref="BD2"/>
    <hyperlink r:id="rId3" ref="AN3"/>
    <hyperlink r:id="rId4" ref="AZ3"/>
    <hyperlink r:id="rId5" ref="BD3"/>
    <hyperlink r:id="rId6" ref="AN4"/>
    <hyperlink r:id="rId7" ref="AZ4"/>
    <hyperlink r:id="rId8" ref="BD4"/>
    <hyperlink r:id="rId9" ref="AN5"/>
    <hyperlink r:id="rId10" ref="AZ5"/>
    <hyperlink r:id="rId11" ref="BD5"/>
    <hyperlink r:id="rId12" ref="AN12"/>
    <hyperlink r:id="rId13" ref="AZ12"/>
    <hyperlink r:id="rId14" ref="BD12"/>
    <hyperlink r:id="rId15" ref="AN15"/>
    <hyperlink r:id="rId16" ref="BD15"/>
    <hyperlink r:id="rId17" ref="AN17"/>
    <hyperlink r:id="rId18" ref="BD17"/>
    <hyperlink r:id="rId19" ref="AN18"/>
    <hyperlink r:id="rId20" ref="BD18"/>
    <hyperlink r:id="rId21" ref="AN19"/>
    <hyperlink r:id="rId22" ref="BD19"/>
    <hyperlink r:id="rId23" ref="AN22"/>
    <hyperlink r:id="rId24" ref="BD22"/>
    <hyperlink r:id="rId25" ref="AN23"/>
    <hyperlink r:id="rId26" ref="BD23"/>
    <hyperlink r:id="rId27" ref="AN25"/>
    <hyperlink r:id="rId28" ref="BD25"/>
    <hyperlink r:id="rId29" ref="AN26"/>
    <hyperlink r:id="rId30" ref="BD26"/>
    <hyperlink r:id="rId31" ref="AN30"/>
    <hyperlink r:id="rId32" ref="BD30"/>
    <hyperlink r:id="rId33" ref="AN31"/>
    <hyperlink r:id="rId34" ref="BD31"/>
    <hyperlink r:id="rId35" ref="AN32"/>
    <hyperlink r:id="rId36" ref="BD32"/>
    <hyperlink r:id="rId37" ref="AN33"/>
    <hyperlink r:id="rId38" ref="BD33"/>
    <hyperlink r:id="rId39" ref="AN34"/>
    <hyperlink r:id="rId40" ref="BD34"/>
    <hyperlink r:id="rId41" ref="AN35"/>
    <hyperlink r:id="rId42" ref="BD35"/>
    <hyperlink r:id="rId43" ref="AN36"/>
    <hyperlink r:id="rId44" ref="BD36"/>
    <hyperlink r:id="rId45" ref="AN37"/>
    <hyperlink r:id="rId46" ref="BD37"/>
    <hyperlink r:id="rId47" ref="AN38"/>
    <hyperlink r:id="rId48" ref="BD38"/>
    <hyperlink r:id="rId49" ref="AN40"/>
    <hyperlink r:id="rId50" ref="BD40"/>
    <hyperlink r:id="rId51" ref="AN41"/>
    <hyperlink r:id="rId52" ref="BD41"/>
    <hyperlink r:id="rId53" ref="AN43"/>
    <hyperlink r:id="rId54" ref="BD43"/>
    <hyperlink r:id="rId55" ref="AN44"/>
    <hyperlink r:id="rId56" ref="BD44"/>
    <hyperlink r:id="rId57" ref="AN45"/>
    <hyperlink r:id="rId58" ref="BD45"/>
    <hyperlink r:id="rId59" ref="AN48"/>
    <hyperlink r:id="rId60" ref="BD48"/>
    <hyperlink r:id="rId61" ref="AN49"/>
    <hyperlink r:id="rId62" ref="BD49"/>
    <hyperlink r:id="rId63" ref="AN53"/>
    <hyperlink r:id="rId64" ref="BD53"/>
    <hyperlink r:id="rId65" ref="AN54"/>
    <hyperlink r:id="rId66" ref="BD54"/>
    <hyperlink r:id="rId67" ref="AN55"/>
    <hyperlink r:id="rId68" ref="BD55"/>
    <hyperlink r:id="rId69" ref="AN56"/>
    <hyperlink r:id="rId70" ref="BD56"/>
    <hyperlink r:id="rId71" ref="AN57"/>
    <hyperlink r:id="rId72" ref="BD57"/>
    <hyperlink r:id="rId73" ref="AN59"/>
    <hyperlink r:id="rId74" ref="BD59"/>
    <hyperlink r:id="rId75" ref="AN60"/>
    <hyperlink r:id="rId76" ref="BD60"/>
    <hyperlink r:id="rId77" ref="AN61"/>
    <hyperlink r:id="rId78" ref="BD61"/>
    <hyperlink r:id="rId79" ref="AN62"/>
    <hyperlink r:id="rId80" ref="BD62"/>
    <hyperlink r:id="rId81" ref="AN63"/>
    <hyperlink r:id="rId82" ref="BD63"/>
    <hyperlink r:id="rId83" ref="AN64"/>
    <hyperlink r:id="rId84" ref="BD64"/>
    <hyperlink r:id="rId85" ref="AN65"/>
    <hyperlink r:id="rId86" ref="BD65"/>
    <hyperlink r:id="rId87" ref="AN66"/>
    <hyperlink r:id="rId88" ref="BD66"/>
    <hyperlink r:id="rId89" ref="AN68"/>
    <hyperlink r:id="rId90" ref="BD68"/>
    <hyperlink r:id="rId91" ref="AN69"/>
    <hyperlink r:id="rId92" ref="BD69"/>
    <hyperlink r:id="rId93" ref="AN70"/>
    <hyperlink r:id="rId94" ref="BD70"/>
    <hyperlink r:id="rId95" ref="AN73"/>
    <hyperlink r:id="rId96" ref="BD73"/>
    <hyperlink r:id="rId97" ref="AN74"/>
    <hyperlink r:id="rId98" ref="BD74"/>
    <hyperlink r:id="rId99" ref="AN76"/>
    <hyperlink r:id="rId100" ref="BD76"/>
    <hyperlink r:id="rId101" ref="AN78"/>
    <hyperlink r:id="rId102" ref="BD78"/>
    <hyperlink r:id="rId103" ref="AN81"/>
    <hyperlink r:id="rId104" ref="BD81"/>
    <hyperlink r:id="rId105" ref="AN82"/>
    <hyperlink r:id="rId106" ref="BD82"/>
    <hyperlink r:id="rId107" ref="N84"/>
    <hyperlink r:id="rId108" ref="O84"/>
    <hyperlink r:id="rId109" ref="AN84"/>
    <hyperlink r:id="rId110" ref="BD84"/>
    <hyperlink r:id="rId111" ref="AN85"/>
    <hyperlink r:id="rId112" ref="BD85"/>
    <hyperlink r:id="rId113" ref="AN86"/>
    <hyperlink r:id="rId114" ref="BD86"/>
    <hyperlink r:id="rId115" ref="AN87"/>
    <hyperlink r:id="rId116" ref="BD87"/>
    <hyperlink r:id="rId117" ref="AN88"/>
    <hyperlink r:id="rId118" ref="BD88"/>
    <hyperlink r:id="rId119" ref="AN89"/>
    <hyperlink r:id="rId120" ref="BD89"/>
    <hyperlink r:id="rId121" ref="AN90"/>
    <hyperlink r:id="rId122" ref="BD90"/>
    <hyperlink r:id="rId123" ref="AN91"/>
    <hyperlink r:id="rId124" ref="BD91"/>
    <hyperlink r:id="rId125" ref="N92"/>
    <hyperlink r:id="rId126" ref="O92"/>
    <hyperlink r:id="rId127" ref="AN92"/>
    <hyperlink r:id="rId128" ref="BD92"/>
    <hyperlink r:id="rId129" ref="N93"/>
    <hyperlink r:id="rId130" ref="O93"/>
    <hyperlink r:id="rId131" ref="AN93"/>
    <hyperlink r:id="rId132" ref="BD93"/>
    <hyperlink r:id="rId133" ref="N95"/>
    <hyperlink r:id="rId134" ref="O95"/>
    <hyperlink r:id="rId135" ref="AN95"/>
    <hyperlink r:id="rId136" ref="BD95"/>
    <hyperlink r:id="rId137" ref="AN96"/>
    <hyperlink r:id="rId138" ref="BD96"/>
    <hyperlink r:id="rId139" ref="AN97"/>
    <hyperlink r:id="rId140" ref="BD97"/>
    <hyperlink r:id="rId141" ref="N98"/>
    <hyperlink r:id="rId142" ref="O98"/>
    <hyperlink r:id="rId143" ref="AN98"/>
    <hyperlink r:id="rId144" ref="BD98"/>
    <hyperlink r:id="rId145" ref="AN99"/>
    <hyperlink r:id="rId146" ref="BD99"/>
    <hyperlink r:id="rId147" ref="AN100"/>
    <hyperlink r:id="rId148" ref="BD100"/>
    <hyperlink r:id="rId149" ref="N101"/>
    <hyperlink r:id="rId150" ref="O101"/>
    <hyperlink r:id="rId151" ref="AN101"/>
    <hyperlink r:id="rId152" ref="BD101"/>
    <hyperlink r:id="rId153" ref="AN102"/>
    <hyperlink r:id="rId154" ref="BD102"/>
    <hyperlink r:id="rId155" ref="AN103"/>
    <hyperlink r:id="rId156" ref="BD103"/>
    <hyperlink r:id="rId157" ref="AN104"/>
    <hyperlink r:id="rId158" ref="BD104"/>
    <hyperlink r:id="rId159" ref="AN105"/>
    <hyperlink r:id="rId160" ref="BD105"/>
    <hyperlink r:id="rId161" ref="N106"/>
    <hyperlink r:id="rId162" ref="O106"/>
    <hyperlink r:id="rId163" ref="AN106"/>
    <hyperlink r:id="rId164" ref="BD106"/>
    <hyperlink r:id="rId165" ref="AN107"/>
    <hyperlink r:id="rId166" ref="BD107"/>
    <hyperlink r:id="rId167" ref="AN108"/>
    <hyperlink r:id="rId168" ref="BD108"/>
    <hyperlink r:id="rId169" ref="AN109"/>
    <hyperlink r:id="rId170" ref="BD109"/>
    <hyperlink r:id="rId171" ref="AN110"/>
    <hyperlink r:id="rId172" ref="BD110"/>
    <hyperlink r:id="rId173" ref="AN111"/>
    <hyperlink r:id="rId174" ref="BD111"/>
    <hyperlink r:id="rId175" ref="AN112"/>
    <hyperlink r:id="rId176" ref="BD112"/>
    <hyperlink r:id="rId177" ref="AN113"/>
    <hyperlink r:id="rId178" ref="BD113"/>
    <hyperlink r:id="rId179" ref="AN114"/>
    <hyperlink r:id="rId180" ref="BD114"/>
    <hyperlink r:id="rId181" ref="AN115"/>
    <hyperlink r:id="rId182" ref="BD115"/>
    <hyperlink r:id="rId183" ref="N116"/>
    <hyperlink r:id="rId184" ref="O116"/>
    <hyperlink r:id="rId185" ref="AN116"/>
    <hyperlink r:id="rId186" ref="BD116"/>
    <hyperlink r:id="rId187" ref="AN117"/>
    <hyperlink r:id="rId188" ref="BD117"/>
    <hyperlink r:id="rId189" ref="AN118"/>
    <hyperlink r:id="rId190" ref="BD118"/>
    <hyperlink r:id="rId191" ref="N120"/>
    <hyperlink r:id="rId192" ref="O120"/>
    <hyperlink r:id="rId193" ref="AN120"/>
    <hyperlink r:id="rId194" ref="BD120"/>
    <hyperlink r:id="rId195" ref="N123"/>
    <hyperlink r:id="rId196" ref="O123"/>
    <hyperlink r:id="rId197" ref="AN123"/>
    <hyperlink r:id="rId198" ref="BD123"/>
    <hyperlink r:id="rId199" ref="AN125"/>
    <hyperlink r:id="rId200" ref="BD125"/>
    <hyperlink r:id="rId201" ref="AN130"/>
    <hyperlink r:id="rId202" ref="BD130"/>
    <hyperlink r:id="rId203" ref="AN132"/>
    <hyperlink r:id="rId204" ref="BD132"/>
    <hyperlink r:id="rId205" ref="AN133"/>
    <hyperlink r:id="rId206" ref="BD133"/>
    <hyperlink r:id="rId207" ref="AN134"/>
    <hyperlink r:id="rId208" ref="BD134"/>
    <hyperlink r:id="rId209" ref="AN136"/>
    <hyperlink r:id="rId210" ref="BD136"/>
    <hyperlink r:id="rId211" ref="AN137"/>
    <hyperlink r:id="rId212" ref="BD137"/>
    <hyperlink r:id="rId213" ref="AN138"/>
    <hyperlink r:id="rId214" ref="BD138"/>
    <hyperlink r:id="rId215" ref="AN139"/>
    <hyperlink r:id="rId216" ref="BD139"/>
    <hyperlink r:id="rId217" ref="AN140"/>
    <hyperlink r:id="rId218" ref="BD140"/>
    <hyperlink r:id="rId219" ref="AN141"/>
    <hyperlink r:id="rId220" ref="BD141"/>
    <hyperlink r:id="rId221" ref="N142"/>
    <hyperlink r:id="rId222" ref="O142"/>
    <hyperlink r:id="rId223" ref="AN142"/>
    <hyperlink r:id="rId224" ref="BD142"/>
    <hyperlink r:id="rId225" ref="AN145"/>
    <hyperlink r:id="rId226" ref="BD145"/>
    <hyperlink r:id="rId227" ref="AN146"/>
    <hyperlink r:id="rId228" ref="BD146"/>
    <hyperlink r:id="rId229" ref="N147"/>
    <hyperlink r:id="rId230" ref="O147"/>
    <hyperlink r:id="rId231" ref="AN147"/>
    <hyperlink r:id="rId232" ref="BD147"/>
    <hyperlink r:id="rId233" ref="N151"/>
    <hyperlink r:id="rId234" ref="O151"/>
    <hyperlink r:id="rId235" ref="AN151"/>
    <hyperlink r:id="rId236" ref="BD151"/>
    <hyperlink r:id="rId237" ref="AN153"/>
    <hyperlink r:id="rId238" ref="BD153"/>
    <hyperlink r:id="rId239" ref="AN154"/>
    <hyperlink r:id="rId240" ref="BD154"/>
    <hyperlink r:id="rId241" ref="AN155"/>
    <hyperlink r:id="rId242" ref="BD155"/>
    <hyperlink r:id="rId243" ref="AN156"/>
    <hyperlink r:id="rId244" ref="BD156"/>
    <hyperlink r:id="rId245" ref="AN157"/>
    <hyperlink r:id="rId246" ref="BD157"/>
    <hyperlink r:id="rId247" ref="AN160"/>
    <hyperlink r:id="rId248" ref="BD160"/>
    <hyperlink r:id="rId249" ref="AN161"/>
    <hyperlink r:id="rId250" ref="BD161"/>
    <hyperlink r:id="rId251" ref="AN162"/>
    <hyperlink r:id="rId252" ref="BD162"/>
    <hyperlink r:id="rId253" ref="AN163"/>
    <hyperlink r:id="rId254" ref="BD163"/>
    <hyperlink r:id="rId255" ref="AN164"/>
    <hyperlink r:id="rId256" ref="BD164"/>
    <hyperlink r:id="rId257" ref="AN165"/>
    <hyperlink r:id="rId258" ref="BD165"/>
    <hyperlink r:id="rId259" ref="N166"/>
    <hyperlink r:id="rId260" ref="O166"/>
    <hyperlink r:id="rId261" ref="AN166"/>
    <hyperlink r:id="rId262" ref="BD166"/>
    <hyperlink r:id="rId263" ref="AN167"/>
    <hyperlink r:id="rId264" ref="BD167"/>
    <hyperlink r:id="rId265" ref="AN168"/>
    <hyperlink r:id="rId266" ref="BD168"/>
    <hyperlink r:id="rId267" ref="N169"/>
    <hyperlink r:id="rId268" ref="O169"/>
    <hyperlink r:id="rId269" ref="AN169"/>
    <hyperlink r:id="rId270" ref="BD169"/>
    <hyperlink r:id="rId271" ref="AN170"/>
    <hyperlink r:id="rId272" ref="BD170"/>
    <hyperlink r:id="rId273" ref="AN171"/>
    <hyperlink r:id="rId274" ref="BD171"/>
    <hyperlink r:id="rId275" ref="AN175"/>
    <hyperlink r:id="rId276" ref="BD175"/>
    <hyperlink r:id="rId277" ref="N176"/>
    <hyperlink r:id="rId278" ref="O176"/>
    <hyperlink r:id="rId279" ref="AN176"/>
    <hyperlink r:id="rId280" ref="BD176"/>
    <hyperlink r:id="rId281" ref="AN177"/>
    <hyperlink r:id="rId282" ref="BD177"/>
    <hyperlink r:id="rId283" ref="N179"/>
    <hyperlink r:id="rId284" ref="O179"/>
    <hyperlink r:id="rId285" ref="AN179"/>
    <hyperlink r:id="rId286" ref="BD179"/>
    <hyperlink r:id="rId287" ref="N180"/>
    <hyperlink r:id="rId288" ref="O180"/>
    <hyperlink r:id="rId289" ref="AN180"/>
    <hyperlink r:id="rId290" ref="BD180"/>
    <hyperlink r:id="rId291" ref="AN189"/>
    <hyperlink r:id="rId292" ref="BD189"/>
    <hyperlink r:id="rId293" ref="AN190"/>
    <hyperlink r:id="rId294" ref="BD190"/>
    <hyperlink r:id="rId295" ref="AN191"/>
    <hyperlink r:id="rId296" ref="BD191"/>
    <hyperlink r:id="rId297" ref="N192"/>
    <hyperlink r:id="rId298" ref="O192"/>
    <hyperlink r:id="rId299" ref="AN192"/>
    <hyperlink r:id="rId300" ref="BD192"/>
    <hyperlink r:id="rId301" ref="AN195"/>
    <hyperlink r:id="rId302" ref="BD195"/>
    <hyperlink r:id="rId303" ref="AN196"/>
    <hyperlink r:id="rId304" ref="BD196"/>
    <hyperlink r:id="rId305" ref="AN197"/>
    <hyperlink r:id="rId306" ref="BD197"/>
    <hyperlink r:id="rId307" ref="AN198"/>
    <hyperlink r:id="rId308" ref="BD198"/>
    <hyperlink r:id="rId309" ref="N199"/>
    <hyperlink r:id="rId310" ref="O199"/>
    <hyperlink r:id="rId311" ref="AN199"/>
    <hyperlink r:id="rId312" ref="BD199"/>
    <hyperlink r:id="rId313" ref="N200"/>
    <hyperlink r:id="rId314" ref="O200"/>
    <hyperlink r:id="rId315" ref="AN200"/>
    <hyperlink r:id="rId316" ref="BD200"/>
    <hyperlink r:id="rId317" ref="AN201"/>
    <hyperlink r:id="rId318" ref="BD201"/>
    <hyperlink r:id="rId319" ref="AN202"/>
    <hyperlink r:id="rId320" ref="BD202"/>
    <hyperlink r:id="rId321" ref="AN203"/>
    <hyperlink r:id="rId322" ref="BD203"/>
    <hyperlink r:id="rId323" ref="BD211"/>
    <hyperlink r:id="rId324" ref="BD214"/>
    <hyperlink r:id="rId325" ref="N216"/>
    <hyperlink r:id="rId326" ref="O216"/>
    <hyperlink r:id="rId327" ref="AN216"/>
    <hyperlink r:id="rId328" ref="BD216"/>
    <hyperlink r:id="rId329" ref="N218"/>
    <hyperlink r:id="rId330" ref="O218"/>
    <hyperlink r:id="rId331" ref="AN218"/>
    <hyperlink r:id="rId332" ref="BD218"/>
    <hyperlink r:id="rId333" ref="AN219"/>
    <hyperlink r:id="rId334" ref="BD219"/>
    <hyperlink r:id="rId335" ref="AN220"/>
    <hyperlink r:id="rId336" ref="BD220"/>
    <hyperlink r:id="rId337" ref="AN221"/>
    <hyperlink r:id="rId338" ref="BD221"/>
    <hyperlink r:id="rId339" ref="AN222"/>
    <hyperlink r:id="rId340" ref="BD222"/>
    <hyperlink r:id="rId341" ref="AN223"/>
    <hyperlink r:id="rId342" ref="BD223"/>
    <hyperlink r:id="rId343" ref="AN225"/>
    <hyperlink r:id="rId344" ref="BD225"/>
    <hyperlink r:id="rId345" ref="AN226"/>
    <hyperlink r:id="rId346" ref="BD226"/>
    <hyperlink r:id="rId347" ref="AN227"/>
    <hyperlink r:id="rId348" ref="BD227"/>
    <hyperlink r:id="rId349" ref="AN228"/>
    <hyperlink r:id="rId350" ref="BD228"/>
    <hyperlink r:id="rId351" ref="AN229"/>
    <hyperlink r:id="rId352" ref="BD229"/>
    <hyperlink r:id="rId353" ref="N230"/>
    <hyperlink r:id="rId354" ref="O230"/>
    <hyperlink r:id="rId355" ref="AN230"/>
    <hyperlink r:id="rId356" ref="BD230"/>
    <hyperlink r:id="rId357" ref="AN231"/>
    <hyperlink r:id="rId358" ref="BD231"/>
    <hyperlink r:id="rId359" ref="AN232"/>
    <hyperlink r:id="rId360" ref="BD232"/>
    <hyperlink r:id="rId361" ref="AN233"/>
    <hyperlink r:id="rId362" ref="BD233"/>
    <hyperlink r:id="rId363" ref="AN234"/>
    <hyperlink r:id="rId364" ref="BD234"/>
    <hyperlink r:id="rId365" ref="AN235"/>
    <hyperlink r:id="rId366" ref="BD235"/>
    <hyperlink r:id="rId367" ref="AN236"/>
    <hyperlink r:id="rId368" ref="BD236"/>
    <hyperlink r:id="rId369" ref="N237"/>
    <hyperlink r:id="rId370" ref="O237"/>
    <hyperlink r:id="rId371" ref="AN237"/>
    <hyperlink r:id="rId372" ref="BD237"/>
    <hyperlink r:id="rId373" ref="AN238"/>
    <hyperlink r:id="rId374" ref="BD238"/>
    <hyperlink r:id="rId375" ref="AN239"/>
    <hyperlink r:id="rId376" ref="BD239"/>
    <hyperlink r:id="rId377" ref="AN240"/>
    <hyperlink r:id="rId378" ref="BD240"/>
    <hyperlink r:id="rId379" ref="AN241"/>
    <hyperlink r:id="rId380" ref="BD241"/>
    <hyperlink r:id="rId381" ref="N242"/>
    <hyperlink r:id="rId382" ref="O242"/>
    <hyperlink r:id="rId383" ref="AN242"/>
    <hyperlink r:id="rId384" ref="BD242"/>
    <hyperlink r:id="rId385" ref="AN243"/>
    <hyperlink r:id="rId386" ref="BD243"/>
    <hyperlink r:id="rId387" ref="AN244"/>
    <hyperlink r:id="rId388" ref="BD244"/>
    <hyperlink r:id="rId389" ref="AN245"/>
    <hyperlink r:id="rId390" ref="BD245"/>
    <hyperlink r:id="rId391" ref="AN246"/>
    <hyperlink r:id="rId392" ref="BD246"/>
    <hyperlink r:id="rId393" ref="AN247"/>
    <hyperlink r:id="rId394" ref="BD247"/>
    <hyperlink r:id="rId395" ref="N248"/>
    <hyperlink r:id="rId396" ref="O248"/>
    <hyperlink r:id="rId397" ref="AN248"/>
    <hyperlink r:id="rId398" ref="BD248"/>
    <hyperlink r:id="rId399" ref="AN249"/>
    <hyperlink r:id="rId400" ref="BD249"/>
    <hyperlink r:id="rId401" ref="AN250"/>
    <hyperlink r:id="rId402" ref="BD250"/>
    <hyperlink r:id="rId403" ref="AN252"/>
    <hyperlink r:id="rId404" ref="BD252"/>
    <hyperlink r:id="rId405" ref="AN253"/>
    <hyperlink r:id="rId406" ref="BD253"/>
    <hyperlink r:id="rId407" ref="AN254"/>
    <hyperlink r:id="rId408" ref="BD254"/>
    <hyperlink r:id="rId409" ref="N255"/>
    <hyperlink r:id="rId410" ref="O255"/>
    <hyperlink r:id="rId411" ref="AN255"/>
    <hyperlink r:id="rId412" ref="BD255"/>
    <hyperlink r:id="rId413" ref="AN257"/>
    <hyperlink r:id="rId414" ref="BD257"/>
    <hyperlink r:id="rId415" ref="AN258"/>
    <hyperlink r:id="rId416" ref="BD258"/>
    <hyperlink r:id="rId417" ref="AN259"/>
    <hyperlink r:id="rId418" ref="BD259"/>
    <hyperlink r:id="rId419" ref="N260"/>
    <hyperlink r:id="rId420" ref="O260"/>
    <hyperlink r:id="rId421" ref="AN260"/>
    <hyperlink r:id="rId422" ref="BD260"/>
    <hyperlink r:id="rId423" ref="AN261"/>
    <hyperlink r:id="rId424" ref="BD261"/>
    <hyperlink r:id="rId425" ref="AN262"/>
    <hyperlink r:id="rId426" ref="BD262"/>
    <hyperlink r:id="rId427" ref="AN263"/>
    <hyperlink r:id="rId428" ref="BD263"/>
    <hyperlink r:id="rId429" ref="AN264"/>
    <hyperlink r:id="rId430" ref="BD264"/>
    <hyperlink r:id="rId431" ref="AN265"/>
    <hyperlink r:id="rId432" ref="BD265"/>
    <hyperlink r:id="rId433" ref="AN266"/>
    <hyperlink r:id="rId434" ref="BD266"/>
    <hyperlink r:id="rId435" ref="AN267"/>
    <hyperlink r:id="rId436" ref="BD267"/>
    <hyperlink r:id="rId437" ref="N268"/>
    <hyperlink r:id="rId438" ref="O268"/>
    <hyperlink r:id="rId439" ref="AN268"/>
    <hyperlink r:id="rId440" ref="BD268"/>
    <hyperlink r:id="rId441" ref="AN269"/>
    <hyperlink r:id="rId442" ref="BD269"/>
    <hyperlink r:id="rId443" ref="AN270"/>
    <hyperlink r:id="rId444" ref="BD270"/>
    <hyperlink r:id="rId445" ref="AN272"/>
    <hyperlink r:id="rId446" ref="BD272"/>
    <hyperlink r:id="rId447" ref="AN273"/>
    <hyperlink r:id="rId448" ref="BD273"/>
    <hyperlink r:id="rId449" ref="AN274"/>
    <hyperlink r:id="rId450" ref="BD274"/>
    <hyperlink r:id="rId451" ref="AN275"/>
    <hyperlink r:id="rId452" ref="BD275"/>
    <hyperlink r:id="rId453" ref="AN276"/>
    <hyperlink r:id="rId454" ref="BD276"/>
    <hyperlink r:id="rId455" ref="AN277"/>
    <hyperlink r:id="rId456" ref="BD277"/>
    <hyperlink r:id="rId457" ref="N278"/>
    <hyperlink r:id="rId458" ref="O278"/>
    <hyperlink r:id="rId459" ref="AN278"/>
    <hyperlink r:id="rId460" ref="BD278"/>
    <hyperlink r:id="rId461" ref="AN279"/>
    <hyperlink r:id="rId462" ref="BD279"/>
    <hyperlink r:id="rId463" ref="AN280"/>
    <hyperlink r:id="rId464" ref="BD280"/>
    <hyperlink r:id="rId465" ref="AN282"/>
    <hyperlink r:id="rId466" ref="BD282"/>
    <hyperlink r:id="rId467" ref="AN283"/>
    <hyperlink r:id="rId468" ref="BD283"/>
    <hyperlink r:id="rId469" ref="AN285"/>
    <hyperlink r:id="rId470" ref="BD285"/>
    <hyperlink r:id="rId471" ref="N286"/>
    <hyperlink r:id="rId472" ref="O286"/>
    <hyperlink r:id="rId473" ref="AN286"/>
    <hyperlink r:id="rId474" ref="BD286"/>
    <hyperlink r:id="rId475" ref="N287"/>
    <hyperlink r:id="rId476" ref="O287"/>
    <hyperlink r:id="rId477" ref="AN287"/>
    <hyperlink r:id="rId478" ref="BD287"/>
    <hyperlink r:id="rId479" ref="N288"/>
    <hyperlink r:id="rId480" ref="O288"/>
    <hyperlink r:id="rId481" ref="AN288"/>
    <hyperlink r:id="rId482" ref="BD288"/>
    <hyperlink r:id="rId483" ref="N289"/>
    <hyperlink r:id="rId484" ref="O289"/>
    <hyperlink r:id="rId485" ref="AN289"/>
    <hyperlink r:id="rId486" ref="BD289"/>
    <hyperlink r:id="rId487" ref="N290"/>
    <hyperlink r:id="rId488" ref="O290"/>
    <hyperlink r:id="rId489" ref="AN290"/>
    <hyperlink r:id="rId490" ref="BD290"/>
    <hyperlink r:id="rId491" ref="N291"/>
    <hyperlink r:id="rId492" ref="O291"/>
    <hyperlink r:id="rId493" ref="AN291"/>
    <hyperlink r:id="rId494" ref="BD291"/>
    <hyperlink r:id="rId495" ref="N292"/>
    <hyperlink r:id="rId496" ref="O292"/>
    <hyperlink r:id="rId497" ref="AN292"/>
    <hyperlink r:id="rId498" ref="BD292"/>
    <hyperlink r:id="rId499" ref="N293"/>
    <hyperlink r:id="rId500" ref="O293"/>
    <hyperlink r:id="rId501" ref="AN293"/>
    <hyperlink r:id="rId502" ref="BD293"/>
    <hyperlink r:id="rId503" ref="N294"/>
    <hyperlink r:id="rId504" ref="O294"/>
    <hyperlink r:id="rId505" ref="AN294"/>
    <hyperlink r:id="rId506" ref="BD294"/>
    <hyperlink r:id="rId507" ref="AN295"/>
    <hyperlink r:id="rId508" ref="BD295"/>
    <hyperlink r:id="rId509" ref="N296"/>
    <hyperlink r:id="rId510" ref="O296"/>
    <hyperlink r:id="rId511" ref="AN296"/>
    <hyperlink r:id="rId512" ref="BD296"/>
    <hyperlink r:id="rId513" ref="AN297"/>
    <hyperlink r:id="rId514" ref="BD297"/>
    <hyperlink r:id="rId515" ref="AN298"/>
    <hyperlink r:id="rId516" ref="BD298"/>
    <hyperlink r:id="rId517" ref="AN300"/>
    <hyperlink r:id="rId518" ref="BD300"/>
    <hyperlink r:id="rId519" ref="N301"/>
    <hyperlink r:id="rId520" ref="O301"/>
    <hyperlink r:id="rId521" ref="AN301"/>
    <hyperlink r:id="rId522" ref="BD301"/>
    <hyperlink r:id="rId523" ref="N302"/>
    <hyperlink r:id="rId524" ref="O302"/>
    <hyperlink r:id="rId525" ref="AN302"/>
    <hyperlink r:id="rId526" ref="BD302"/>
    <hyperlink r:id="rId527" ref="N309"/>
    <hyperlink r:id="rId528" ref="O309"/>
    <hyperlink r:id="rId529" ref="AN309"/>
    <hyperlink r:id="rId530" ref="BD309"/>
    <hyperlink r:id="rId531" ref="N310"/>
    <hyperlink r:id="rId532" ref="O310"/>
    <hyperlink r:id="rId533" ref="AN310"/>
    <hyperlink r:id="rId534" ref="BD310"/>
    <hyperlink r:id="rId535" ref="AN311"/>
    <hyperlink r:id="rId536" ref="BD311"/>
    <hyperlink r:id="rId537" ref="AN312"/>
    <hyperlink r:id="rId538" ref="BD312"/>
    <hyperlink r:id="rId539" ref="N313"/>
    <hyperlink r:id="rId540" ref="O313"/>
    <hyperlink r:id="rId541" ref="AN313"/>
    <hyperlink r:id="rId542" ref="BD313"/>
    <hyperlink r:id="rId543" ref="N314"/>
    <hyperlink r:id="rId544" ref="O314"/>
    <hyperlink r:id="rId545" ref="AN314"/>
    <hyperlink r:id="rId546" ref="BD314"/>
    <hyperlink r:id="rId547" ref="AN315"/>
    <hyperlink r:id="rId548" ref="BD315"/>
    <hyperlink r:id="rId549" ref="AN316"/>
    <hyperlink r:id="rId550" ref="BD316"/>
    <hyperlink r:id="rId551" ref="AN321"/>
    <hyperlink r:id="rId552" ref="BD321"/>
    <hyperlink r:id="rId553" ref="AN322"/>
    <hyperlink r:id="rId554" ref="BD322"/>
    <hyperlink r:id="rId555" ref="AN323"/>
    <hyperlink r:id="rId556" ref="BD323"/>
    <hyperlink r:id="rId557" ref="N324"/>
    <hyperlink r:id="rId558" ref="O324"/>
    <hyperlink r:id="rId559" ref="AN324"/>
    <hyperlink r:id="rId560" ref="BD324"/>
    <hyperlink r:id="rId561" ref="AN325"/>
    <hyperlink r:id="rId562" ref="BD325"/>
    <hyperlink r:id="rId563" ref="AN326"/>
    <hyperlink r:id="rId564" ref="BD326"/>
    <hyperlink r:id="rId565" ref="N327"/>
    <hyperlink r:id="rId566" ref="O327"/>
    <hyperlink r:id="rId567" ref="AN327"/>
    <hyperlink r:id="rId568" ref="BD327"/>
    <hyperlink r:id="rId569" ref="N328"/>
    <hyperlink r:id="rId570" ref="O328"/>
    <hyperlink r:id="rId571" ref="AN328"/>
    <hyperlink r:id="rId572" ref="BD328"/>
    <hyperlink r:id="rId573" ref="AN329"/>
    <hyperlink r:id="rId574" ref="BD329"/>
    <hyperlink r:id="rId575" ref="AN330"/>
    <hyperlink r:id="rId576" ref="BD330"/>
    <hyperlink r:id="rId577" ref="N331"/>
    <hyperlink r:id="rId578" ref="O331"/>
    <hyperlink r:id="rId579" ref="AN331"/>
    <hyperlink r:id="rId580" ref="BD331"/>
    <hyperlink r:id="rId581" ref="AN332"/>
    <hyperlink r:id="rId582" ref="BD332"/>
    <hyperlink r:id="rId583" ref="AN333"/>
    <hyperlink r:id="rId584" ref="BD333"/>
    <hyperlink r:id="rId585" ref="AN334"/>
    <hyperlink r:id="rId586" ref="BD334"/>
    <hyperlink r:id="rId587" ref="N335"/>
    <hyperlink r:id="rId588" ref="O335"/>
    <hyperlink r:id="rId589" ref="AN335"/>
    <hyperlink r:id="rId590" ref="BD335"/>
    <hyperlink r:id="rId591" ref="AN336"/>
    <hyperlink r:id="rId592" ref="BD336"/>
    <hyperlink r:id="rId593" ref="AN337"/>
    <hyperlink r:id="rId594" ref="BD337"/>
    <hyperlink r:id="rId595" ref="N338"/>
    <hyperlink r:id="rId596" ref="O338"/>
    <hyperlink r:id="rId597" ref="AN338"/>
    <hyperlink r:id="rId598" ref="BD338"/>
    <hyperlink r:id="rId599" ref="AN339"/>
    <hyperlink r:id="rId600" ref="BD339"/>
    <hyperlink r:id="rId601" ref="N340"/>
    <hyperlink r:id="rId602" ref="O340"/>
    <hyperlink r:id="rId603" ref="AN340"/>
    <hyperlink r:id="rId604" ref="BD340"/>
    <hyperlink r:id="rId605" ref="N341"/>
    <hyperlink r:id="rId606" ref="O341"/>
    <hyperlink r:id="rId607" ref="AN341"/>
    <hyperlink r:id="rId608" ref="BD341"/>
    <hyperlink r:id="rId609" ref="N342"/>
    <hyperlink r:id="rId610" ref="O342"/>
    <hyperlink r:id="rId611" ref="AN342"/>
    <hyperlink r:id="rId612" ref="BD342"/>
    <hyperlink r:id="rId613" ref="N343"/>
    <hyperlink r:id="rId614" ref="O343"/>
    <hyperlink r:id="rId615" ref="AN343"/>
    <hyperlink r:id="rId616" ref="BD343"/>
    <hyperlink r:id="rId617" ref="N344"/>
    <hyperlink r:id="rId618" ref="O344"/>
    <hyperlink r:id="rId619" ref="AN344"/>
    <hyperlink r:id="rId620" ref="BD344"/>
    <hyperlink r:id="rId621" ref="AN345"/>
    <hyperlink r:id="rId622" ref="BD345"/>
    <hyperlink r:id="rId623" ref="N346"/>
    <hyperlink r:id="rId624" ref="O346"/>
    <hyperlink r:id="rId625" ref="AN346"/>
    <hyperlink r:id="rId626" ref="BD346"/>
    <hyperlink r:id="rId627" ref="AN347"/>
    <hyperlink r:id="rId628" ref="BD347"/>
    <hyperlink r:id="rId629" ref="AN348"/>
    <hyperlink r:id="rId630" ref="BD348"/>
    <hyperlink r:id="rId631" ref="AN349"/>
    <hyperlink r:id="rId632" ref="BD349"/>
    <hyperlink r:id="rId633" ref="AN357"/>
    <hyperlink r:id="rId634" ref="BD357"/>
    <hyperlink r:id="rId635" ref="AN358"/>
    <hyperlink r:id="rId636" ref="BD358"/>
    <hyperlink r:id="rId637" ref="AN359"/>
    <hyperlink r:id="rId638" ref="BD359"/>
    <hyperlink r:id="rId639" ref="AN360"/>
    <hyperlink r:id="rId640" ref="BD360"/>
    <hyperlink r:id="rId641" ref="N361"/>
    <hyperlink r:id="rId642" ref="O361"/>
    <hyperlink r:id="rId643" ref="AN361"/>
    <hyperlink r:id="rId644" ref="BD361"/>
    <hyperlink r:id="rId645" ref="AN362"/>
    <hyperlink r:id="rId646" ref="BD362"/>
    <hyperlink r:id="rId647" ref="N363"/>
    <hyperlink r:id="rId648" ref="O363"/>
    <hyperlink r:id="rId649" ref="AN363"/>
    <hyperlink r:id="rId650" ref="BD363"/>
    <hyperlink r:id="rId651" ref="AN364"/>
    <hyperlink r:id="rId652" ref="BD364"/>
    <hyperlink r:id="rId653" ref="N365"/>
    <hyperlink r:id="rId654" ref="O365"/>
    <hyperlink r:id="rId655" ref="AN365"/>
    <hyperlink r:id="rId656" ref="BD365"/>
    <hyperlink r:id="rId657" ref="AN366"/>
    <hyperlink r:id="rId658" ref="BD366"/>
    <hyperlink r:id="rId659" ref="AN367"/>
    <hyperlink r:id="rId660" ref="BD367"/>
    <hyperlink r:id="rId661" ref="N368"/>
    <hyperlink r:id="rId662" ref="O368"/>
    <hyperlink r:id="rId663" ref="AN368"/>
    <hyperlink r:id="rId664" ref="BD368"/>
    <hyperlink r:id="rId665" ref="AN369"/>
    <hyperlink r:id="rId666" ref="BD369"/>
    <hyperlink r:id="rId667" ref="AN370"/>
    <hyperlink r:id="rId668" ref="BD370"/>
    <hyperlink r:id="rId669" ref="N371"/>
    <hyperlink r:id="rId670" ref="O371"/>
    <hyperlink r:id="rId671" ref="AN371"/>
    <hyperlink r:id="rId672" ref="BD371"/>
    <hyperlink r:id="rId673" ref="N372"/>
    <hyperlink r:id="rId674" ref="O372"/>
    <hyperlink r:id="rId675" ref="AN372"/>
    <hyperlink r:id="rId676" ref="BD372"/>
    <hyperlink r:id="rId677" ref="AN373"/>
    <hyperlink r:id="rId678" ref="BD373"/>
    <hyperlink r:id="rId679" ref="AN374"/>
    <hyperlink r:id="rId680" ref="BD374"/>
    <hyperlink r:id="rId681" ref="AN375"/>
    <hyperlink r:id="rId682" ref="BD375"/>
    <hyperlink r:id="rId683" ref="AN376"/>
    <hyperlink r:id="rId684" ref="BD376"/>
    <hyperlink r:id="rId685" ref="AN377"/>
    <hyperlink r:id="rId686" ref="BD377"/>
    <hyperlink r:id="rId687" ref="AN378"/>
    <hyperlink r:id="rId688" ref="BD378"/>
    <hyperlink r:id="rId689" ref="N379"/>
    <hyperlink r:id="rId690" ref="O379"/>
    <hyperlink r:id="rId691" ref="AN379"/>
    <hyperlink r:id="rId692" ref="BD379"/>
    <hyperlink r:id="rId693" ref="AN380"/>
    <hyperlink r:id="rId694" ref="BD380"/>
    <hyperlink r:id="rId695" ref="AN381"/>
    <hyperlink r:id="rId696" ref="BD381"/>
    <hyperlink r:id="rId697" ref="AN382"/>
    <hyperlink r:id="rId698" ref="BD382"/>
    <hyperlink r:id="rId699" ref="AN383"/>
    <hyperlink r:id="rId700" ref="BD383"/>
    <hyperlink r:id="rId701" ref="N384"/>
    <hyperlink r:id="rId702" ref="O384"/>
    <hyperlink r:id="rId703" ref="AN384"/>
    <hyperlink r:id="rId704" ref="BD384"/>
    <hyperlink r:id="rId705" ref="AN385"/>
    <hyperlink r:id="rId706" ref="BD385"/>
    <hyperlink r:id="rId707" ref="AN386"/>
    <hyperlink r:id="rId708" ref="BD386"/>
    <hyperlink r:id="rId709" ref="AN387"/>
    <hyperlink r:id="rId710" ref="BD387"/>
    <hyperlink r:id="rId711" ref="N388"/>
    <hyperlink r:id="rId712" ref="O388"/>
    <hyperlink r:id="rId713" ref="AN388"/>
    <hyperlink r:id="rId714" ref="BD388"/>
    <hyperlink r:id="rId715" ref="AN389"/>
    <hyperlink r:id="rId716" ref="BD389"/>
    <hyperlink r:id="rId717" ref="N390"/>
    <hyperlink r:id="rId718" ref="O390"/>
    <hyperlink r:id="rId719" ref="AN390"/>
    <hyperlink r:id="rId720" ref="BD390"/>
    <hyperlink r:id="rId721" ref="N391"/>
    <hyperlink r:id="rId722" ref="O391"/>
    <hyperlink r:id="rId723" ref="AN391"/>
    <hyperlink r:id="rId724" ref="BD391"/>
    <hyperlink r:id="rId725" ref="AN392"/>
    <hyperlink r:id="rId726" ref="BD392"/>
    <hyperlink r:id="rId727" ref="AN393"/>
    <hyperlink r:id="rId728" ref="BD393"/>
    <hyperlink r:id="rId729" ref="AN394"/>
    <hyperlink r:id="rId730" ref="BD394"/>
    <hyperlink r:id="rId731" ref="N395"/>
    <hyperlink r:id="rId732" ref="O395"/>
    <hyperlink r:id="rId733" ref="AN395"/>
    <hyperlink r:id="rId734" ref="BD395"/>
    <hyperlink r:id="rId735" ref="N396"/>
    <hyperlink r:id="rId736" ref="O396"/>
    <hyperlink r:id="rId737" ref="AN396"/>
    <hyperlink r:id="rId738" ref="BD396"/>
    <hyperlink r:id="rId739" ref="N397"/>
    <hyperlink r:id="rId740" ref="O397"/>
    <hyperlink r:id="rId741" ref="AN397"/>
    <hyperlink r:id="rId742" ref="BD397"/>
    <hyperlink r:id="rId743" ref="N398"/>
    <hyperlink r:id="rId744" ref="O398"/>
    <hyperlink r:id="rId745" ref="AN398"/>
    <hyperlink r:id="rId746" ref="BD398"/>
    <hyperlink r:id="rId747" ref="N399"/>
    <hyperlink r:id="rId748" ref="O399"/>
    <hyperlink r:id="rId749" ref="AN399"/>
    <hyperlink r:id="rId750" ref="BD399"/>
    <hyperlink r:id="rId751" ref="N400"/>
    <hyperlink r:id="rId752" ref="O400"/>
    <hyperlink r:id="rId753" ref="AN400"/>
    <hyperlink r:id="rId754" ref="BD400"/>
    <hyperlink r:id="rId755" ref="N402"/>
    <hyperlink r:id="rId756" ref="O402"/>
    <hyperlink r:id="rId757" ref="AN402"/>
    <hyperlink r:id="rId758" ref="BD402"/>
    <hyperlink r:id="rId759" ref="AN403"/>
    <hyperlink r:id="rId760" ref="BD403"/>
    <hyperlink r:id="rId761" ref="AN404"/>
    <hyperlink r:id="rId762" ref="BD404"/>
    <hyperlink r:id="rId763" ref="AN405"/>
    <hyperlink r:id="rId764" ref="BD405"/>
    <hyperlink r:id="rId765" ref="N406"/>
    <hyperlink r:id="rId766" ref="O406"/>
    <hyperlink r:id="rId767" ref="AN406"/>
    <hyperlink r:id="rId768" ref="BD406"/>
    <hyperlink r:id="rId769" ref="AN407"/>
    <hyperlink r:id="rId770" ref="BD407"/>
    <hyperlink r:id="rId771" ref="AN408"/>
    <hyperlink r:id="rId772" ref="BD408"/>
    <hyperlink r:id="rId773" ref="N409"/>
    <hyperlink r:id="rId774" ref="O409"/>
    <hyperlink r:id="rId775" ref="AN409"/>
    <hyperlink r:id="rId776" ref="BD409"/>
    <hyperlink r:id="rId777" ref="AN410"/>
    <hyperlink r:id="rId778" ref="BD410"/>
    <hyperlink r:id="rId779" ref="AN411"/>
    <hyperlink r:id="rId780" ref="BD411"/>
    <hyperlink r:id="rId781" ref="N412"/>
    <hyperlink r:id="rId782" ref="O412"/>
    <hyperlink r:id="rId783" ref="AN412"/>
    <hyperlink r:id="rId784" ref="BD412"/>
    <hyperlink r:id="rId785" ref="N413"/>
    <hyperlink r:id="rId786" ref="O413"/>
    <hyperlink r:id="rId787" ref="AN413"/>
    <hyperlink r:id="rId788" ref="BD413"/>
    <hyperlink r:id="rId789" ref="AN414"/>
    <hyperlink r:id="rId790" ref="BD414"/>
    <hyperlink r:id="rId791" ref="AN415"/>
    <hyperlink r:id="rId792" ref="BD415"/>
    <hyperlink r:id="rId793" ref="N416"/>
    <hyperlink r:id="rId794" ref="O416"/>
    <hyperlink r:id="rId795" ref="AN416"/>
    <hyperlink r:id="rId796" ref="BD416"/>
    <hyperlink r:id="rId797" ref="N417"/>
    <hyperlink r:id="rId798" ref="O417"/>
    <hyperlink r:id="rId799" ref="AN417"/>
    <hyperlink r:id="rId800" ref="BD417"/>
    <hyperlink r:id="rId801" ref="AN418"/>
    <hyperlink r:id="rId802" ref="BD418"/>
    <hyperlink r:id="rId803" ref="AN419"/>
    <hyperlink r:id="rId804" ref="BD419"/>
    <hyperlink r:id="rId805" ref="N420"/>
    <hyperlink r:id="rId806" ref="O420"/>
    <hyperlink r:id="rId807" ref="AN420"/>
    <hyperlink r:id="rId808" ref="BD420"/>
    <hyperlink r:id="rId809" ref="N421"/>
    <hyperlink r:id="rId810" ref="O421"/>
    <hyperlink r:id="rId811" ref="AN421"/>
    <hyperlink r:id="rId812" ref="BD421"/>
    <hyperlink r:id="rId813" ref="AN423"/>
    <hyperlink r:id="rId814" ref="BD423"/>
    <hyperlink r:id="rId815" ref="N424"/>
    <hyperlink r:id="rId816" ref="O424"/>
    <hyperlink r:id="rId817" ref="AN424"/>
    <hyperlink r:id="rId818" ref="BD424"/>
    <hyperlink r:id="rId819" ref="N425"/>
    <hyperlink r:id="rId820" ref="O425"/>
    <hyperlink r:id="rId821" ref="AN425"/>
    <hyperlink r:id="rId822" ref="BD425"/>
    <hyperlink r:id="rId823" ref="N426"/>
    <hyperlink r:id="rId824" ref="O426"/>
    <hyperlink r:id="rId825" ref="N427"/>
    <hyperlink r:id="rId826" ref="O427"/>
    <hyperlink r:id="rId827" ref="AN427"/>
    <hyperlink r:id="rId828" ref="BD427"/>
    <hyperlink r:id="rId829" ref="AN428"/>
    <hyperlink r:id="rId830" ref="BD428"/>
    <hyperlink r:id="rId831" ref="N429"/>
    <hyperlink r:id="rId832" ref="O429"/>
    <hyperlink r:id="rId833" ref="AN429"/>
    <hyperlink r:id="rId834" ref="BD429"/>
    <hyperlink r:id="rId835" ref="N432"/>
    <hyperlink r:id="rId836" ref="O432"/>
    <hyperlink r:id="rId837" ref="AN432"/>
    <hyperlink r:id="rId838" ref="BD432"/>
    <hyperlink r:id="rId839" ref="N433"/>
    <hyperlink r:id="rId840" ref="O433"/>
    <hyperlink r:id="rId841" ref="AN433"/>
    <hyperlink r:id="rId842" ref="BD433"/>
    <hyperlink r:id="rId843" ref="AN434"/>
    <hyperlink r:id="rId844" ref="BD434"/>
    <hyperlink r:id="rId845" ref="AN435"/>
    <hyperlink r:id="rId846" ref="BD435"/>
    <hyperlink r:id="rId847" ref="AN436"/>
    <hyperlink r:id="rId848" ref="BD436"/>
    <hyperlink r:id="rId849" ref="AN437"/>
    <hyperlink r:id="rId850" ref="BD437"/>
    <hyperlink r:id="rId851" ref="AN438"/>
    <hyperlink r:id="rId852" ref="BD438"/>
    <hyperlink r:id="rId853" ref="AN443"/>
    <hyperlink r:id="rId854" ref="BD443"/>
    <hyperlink r:id="rId855" ref="AN444"/>
    <hyperlink r:id="rId856" ref="BD444"/>
    <hyperlink r:id="rId857" ref="AN445"/>
    <hyperlink r:id="rId858" ref="BD445"/>
    <hyperlink r:id="rId859" ref="AN446"/>
    <hyperlink r:id="rId860" ref="BD446"/>
    <hyperlink r:id="rId861" ref="AN447"/>
    <hyperlink r:id="rId862" ref="BD447"/>
    <hyperlink r:id="rId863" ref="AN448"/>
    <hyperlink r:id="rId864" ref="BD448"/>
    <hyperlink r:id="rId865" ref="AN449"/>
    <hyperlink r:id="rId866" ref="BD449"/>
    <hyperlink r:id="rId867" ref="AN450"/>
    <hyperlink r:id="rId868" ref="BD450"/>
    <hyperlink r:id="rId869" ref="AN451"/>
    <hyperlink r:id="rId870" ref="BD451"/>
    <hyperlink r:id="rId871" ref="AN452"/>
    <hyperlink r:id="rId872" ref="BD452"/>
    <hyperlink r:id="rId873" ref="AN453"/>
    <hyperlink r:id="rId874" ref="BD453"/>
    <hyperlink r:id="rId875" ref="AN454"/>
    <hyperlink r:id="rId876" ref="BD454"/>
    <hyperlink r:id="rId877" ref="AN455"/>
    <hyperlink r:id="rId878" ref="BD455"/>
    <hyperlink r:id="rId879" ref="N456"/>
    <hyperlink r:id="rId880" ref="O456"/>
    <hyperlink r:id="rId881" ref="AN456"/>
    <hyperlink r:id="rId882" ref="BD456"/>
    <hyperlink r:id="rId883" ref="N457"/>
    <hyperlink r:id="rId884" ref="O457"/>
    <hyperlink r:id="rId885" ref="AN457"/>
    <hyperlink r:id="rId886" ref="BD457"/>
    <hyperlink r:id="rId887" ref="N458"/>
    <hyperlink r:id="rId888" ref="O458"/>
    <hyperlink r:id="rId889" ref="AN458"/>
    <hyperlink r:id="rId890" ref="BD458"/>
    <hyperlink r:id="rId891" ref="N459"/>
    <hyperlink r:id="rId892" ref="O459"/>
    <hyperlink r:id="rId893" ref="AN459"/>
    <hyperlink r:id="rId894" ref="BD459"/>
    <hyperlink r:id="rId895" ref="N460"/>
    <hyperlink r:id="rId896" ref="O460"/>
    <hyperlink r:id="rId897" ref="AN460"/>
    <hyperlink r:id="rId898" ref="BD460"/>
    <hyperlink r:id="rId899" ref="N464"/>
    <hyperlink r:id="rId900" ref="O464"/>
    <hyperlink r:id="rId901" ref="AN464"/>
    <hyperlink r:id="rId902" ref="BD464"/>
    <hyperlink r:id="rId903" ref="AN465"/>
    <hyperlink r:id="rId904" ref="BD465"/>
    <hyperlink r:id="rId905" ref="AN466"/>
    <hyperlink r:id="rId906" ref="BD466"/>
    <hyperlink r:id="rId907" ref="AN467"/>
    <hyperlink r:id="rId908" ref="BD467"/>
    <hyperlink r:id="rId909" ref="AN468"/>
    <hyperlink r:id="rId910" ref="BD468"/>
    <hyperlink r:id="rId911" ref="AN469"/>
    <hyperlink r:id="rId912" ref="BD469"/>
    <hyperlink r:id="rId913" ref="AN470"/>
    <hyperlink r:id="rId914" ref="BD470"/>
    <hyperlink r:id="rId915" ref="N474"/>
    <hyperlink r:id="rId916" ref="O474"/>
    <hyperlink r:id="rId917" ref="AN474"/>
    <hyperlink r:id="rId918" ref="BD474"/>
    <hyperlink r:id="rId919" ref="N475"/>
    <hyperlink r:id="rId920" ref="O475"/>
    <hyperlink r:id="rId921" ref="AN475"/>
    <hyperlink r:id="rId922" ref="BD475"/>
    <hyperlink r:id="rId923" ref="N476"/>
    <hyperlink r:id="rId924" ref="O476"/>
    <hyperlink r:id="rId925" ref="AN476"/>
    <hyperlink r:id="rId926" ref="BD476"/>
    <hyperlink r:id="rId927" ref="N477"/>
    <hyperlink r:id="rId928" ref="O477"/>
    <hyperlink r:id="rId929" ref="AN477"/>
    <hyperlink r:id="rId930" ref="BD477"/>
    <hyperlink r:id="rId931" ref="N479"/>
    <hyperlink r:id="rId932" ref="O479"/>
    <hyperlink r:id="rId933" ref="AN479"/>
    <hyperlink r:id="rId934" ref="BD479"/>
    <hyperlink r:id="rId935" ref="AN480"/>
    <hyperlink r:id="rId936" ref="BD480"/>
    <hyperlink r:id="rId937" ref="AN481"/>
    <hyperlink r:id="rId938" ref="BD481"/>
    <hyperlink r:id="rId939" ref="AN482"/>
    <hyperlink r:id="rId940" ref="BD482"/>
    <hyperlink r:id="rId941" ref="AN483"/>
    <hyperlink r:id="rId942" ref="BD483"/>
    <hyperlink r:id="rId943" ref="AN484"/>
    <hyperlink r:id="rId944" ref="BD484"/>
    <hyperlink r:id="rId945" ref="AN485"/>
    <hyperlink r:id="rId946" ref="BD485"/>
    <hyperlink r:id="rId947" ref="BD486"/>
    <hyperlink r:id="rId948" ref="N487"/>
    <hyperlink r:id="rId949" ref="O487"/>
    <hyperlink r:id="rId950" ref="AN487"/>
    <hyperlink r:id="rId951" ref="AZ487"/>
    <hyperlink r:id="rId952" ref="BD487"/>
    <hyperlink r:id="rId953" ref="AN488"/>
    <hyperlink r:id="rId954" ref="BD488"/>
    <hyperlink r:id="rId955" ref="AN489"/>
    <hyperlink r:id="rId956" ref="BD489"/>
    <hyperlink r:id="rId957" ref="N490"/>
    <hyperlink r:id="rId958" ref="O490"/>
    <hyperlink r:id="rId959" ref="AN490"/>
    <hyperlink r:id="rId960" ref="BD490"/>
    <hyperlink r:id="rId961" ref="N491"/>
    <hyperlink r:id="rId962" ref="O491"/>
    <hyperlink r:id="rId963" ref="AN491"/>
    <hyperlink r:id="rId964" ref="BD491"/>
    <hyperlink r:id="rId965" ref="N492"/>
    <hyperlink r:id="rId966" ref="O492"/>
    <hyperlink r:id="rId967" ref="AN492"/>
    <hyperlink r:id="rId968" ref="BD492"/>
    <hyperlink r:id="rId969" ref="AN493"/>
    <hyperlink r:id="rId970" ref="BD493"/>
    <hyperlink r:id="rId971" ref="N506"/>
    <hyperlink r:id="rId972" ref="O506"/>
    <hyperlink r:id="rId973" ref="AN506"/>
    <hyperlink r:id="rId974" ref="BD506"/>
    <hyperlink r:id="rId975" ref="N507"/>
    <hyperlink r:id="rId976" ref="O507"/>
    <hyperlink r:id="rId977" ref="AN507"/>
    <hyperlink r:id="rId978" ref="BD507"/>
    <hyperlink r:id="rId979" ref="N508"/>
    <hyperlink r:id="rId980" ref="O508"/>
    <hyperlink r:id="rId981" ref="AN508"/>
    <hyperlink r:id="rId982" ref="BD508"/>
    <hyperlink r:id="rId983" ref="N509"/>
    <hyperlink r:id="rId984" ref="O509"/>
    <hyperlink r:id="rId985" ref="AN509"/>
    <hyperlink r:id="rId986" ref="BD509"/>
    <hyperlink r:id="rId987" ref="N510"/>
    <hyperlink r:id="rId988" ref="O510"/>
    <hyperlink r:id="rId989" ref="AN510"/>
    <hyperlink r:id="rId990" ref="BD510"/>
    <hyperlink r:id="rId991" ref="N511"/>
    <hyperlink r:id="rId992" ref="O511"/>
    <hyperlink r:id="rId993" ref="AN511"/>
    <hyperlink r:id="rId994" ref="BD511"/>
    <hyperlink r:id="rId995" ref="N512"/>
    <hyperlink r:id="rId996" ref="O512"/>
    <hyperlink r:id="rId997" ref="AN512"/>
    <hyperlink r:id="rId998" ref="BD512"/>
    <hyperlink r:id="rId999" ref="N513"/>
    <hyperlink r:id="rId1000" ref="O513"/>
    <hyperlink r:id="rId1001" ref="AN513"/>
    <hyperlink r:id="rId1002" ref="BD513"/>
    <hyperlink r:id="rId1003" ref="N514"/>
    <hyperlink r:id="rId1004" ref="O514"/>
    <hyperlink r:id="rId1005" ref="AN514"/>
    <hyperlink r:id="rId1006" ref="BD514"/>
    <hyperlink r:id="rId1007" ref="N517"/>
    <hyperlink r:id="rId1008" ref="O517"/>
    <hyperlink r:id="rId1009" ref="AN517"/>
    <hyperlink r:id="rId1010" ref="BD517"/>
    <hyperlink r:id="rId1011" ref="AN526"/>
    <hyperlink r:id="rId1012" ref="BD526"/>
    <hyperlink r:id="rId1013" ref="AN527"/>
    <hyperlink r:id="rId1014" ref="BD527"/>
    <hyperlink r:id="rId1015" ref="AN528"/>
    <hyperlink r:id="rId1016" ref="BD528"/>
    <hyperlink r:id="rId1017" ref="AN529"/>
    <hyperlink r:id="rId1018" ref="BD529"/>
    <hyperlink r:id="rId1019" ref="AN530"/>
    <hyperlink r:id="rId1020" ref="BD530"/>
    <hyperlink r:id="rId1021" ref="AN531"/>
    <hyperlink r:id="rId1022" ref="BD531"/>
    <hyperlink r:id="rId1023" ref="AN532"/>
    <hyperlink r:id="rId1024" ref="BD532"/>
    <hyperlink r:id="rId1025" ref="AN533"/>
    <hyperlink r:id="rId1026" ref="BD533"/>
    <hyperlink r:id="rId1027" ref="AN534"/>
    <hyperlink r:id="rId1028" ref="BD534"/>
    <hyperlink r:id="rId1029" ref="AN535"/>
    <hyperlink r:id="rId1030" ref="BD535"/>
    <hyperlink r:id="rId1031" ref="AN536"/>
    <hyperlink r:id="rId1032" ref="BD536"/>
    <hyperlink r:id="rId1033" ref="AN537"/>
    <hyperlink r:id="rId1034" ref="BD537"/>
    <hyperlink r:id="rId1035" ref="AN538"/>
    <hyperlink r:id="rId1036" ref="BD538"/>
    <hyperlink r:id="rId1037" ref="AN539"/>
    <hyperlink r:id="rId1038" ref="BD539"/>
    <hyperlink r:id="rId1039" ref="AN540"/>
    <hyperlink r:id="rId1040" ref="BD540"/>
    <hyperlink r:id="rId1041" ref="AN541"/>
    <hyperlink r:id="rId1042" ref="BD541"/>
    <hyperlink r:id="rId1043" ref="AN542"/>
    <hyperlink r:id="rId1044" ref="BD542"/>
    <hyperlink r:id="rId1045" ref="AN543"/>
    <hyperlink r:id="rId1046" ref="BD543"/>
    <hyperlink r:id="rId1047" ref="N545"/>
    <hyperlink r:id="rId1048" ref="O545"/>
    <hyperlink r:id="rId1049" ref="AN545"/>
    <hyperlink r:id="rId1050" ref="BD545"/>
    <hyperlink r:id="rId1051" ref="N546"/>
    <hyperlink r:id="rId1052" ref="O546"/>
    <hyperlink r:id="rId1053" ref="AN546"/>
    <hyperlink r:id="rId1054" ref="BD546"/>
    <hyperlink r:id="rId1055" ref="N547"/>
    <hyperlink r:id="rId1056" ref="O547"/>
    <hyperlink r:id="rId1057" ref="AN547"/>
    <hyperlink r:id="rId1058" ref="BD547"/>
    <hyperlink r:id="rId1059" ref="N548"/>
    <hyperlink r:id="rId1060" ref="O548"/>
    <hyperlink r:id="rId1061" ref="AN548"/>
    <hyperlink r:id="rId1062" ref="BD548"/>
    <hyperlink r:id="rId1063" ref="AN549"/>
    <hyperlink r:id="rId1064" ref="BD549"/>
    <hyperlink r:id="rId1065" ref="AN550"/>
    <hyperlink r:id="rId1066" ref="BD550"/>
    <hyperlink r:id="rId1067" ref="AN551"/>
    <hyperlink r:id="rId1068" ref="BD551"/>
    <hyperlink r:id="rId1069" ref="AN557"/>
    <hyperlink r:id="rId1070" ref="BD557"/>
    <hyperlink r:id="rId1071" ref="AN558"/>
    <hyperlink r:id="rId1072" ref="BD558"/>
    <hyperlink r:id="rId1073" ref="AN559"/>
    <hyperlink r:id="rId1074" ref="BD559"/>
    <hyperlink r:id="rId1075" ref="AN560"/>
    <hyperlink r:id="rId1076" ref="BD560"/>
    <hyperlink r:id="rId1077" ref="AN561"/>
    <hyperlink r:id="rId1078" ref="BD561"/>
    <hyperlink r:id="rId1079" ref="AN562"/>
    <hyperlink r:id="rId1080" ref="BD562"/>
    <hyperlink r:id="rId1081" ref="AN563"/>
    <hyperlink r:id="rId1082" ref="BD563"/>
    <hyperlink r:id="rId1083" ref="AN564"/>
    <hyperlink r:id="rId1084" ref="BD564"/>
    <hyperlink r:id="rId1085" ref="AN565"/>
    <hyperlink r:id="rId1086" ref="BD565"/>
    <hyperlink r:id="rId1087" ref="AN566"/>
    <hyperlink r:id="rId1088" ref="BD566"/>
    <hyperlink r:id="rId1089" ref="AN567"/>
    <hyperlink r:id="rId1090" ref="BD567"/>
    <hyperlink r:id="rId1091" ref="AN568"/>
    <hyperlink r:id="rId1092" ref="BD568"/>
    <hyperlink r:id="rId1093" ref="AN569"/>
    <hyperlink r:id="rId1094" ref="BD569"/>
    <hyperlink r:id="rId1095" ref="AN570"/>
    <hyperlink r:id="rId1096" ref="BD570"/>
    <hyperlink r:id="rId1097" ref="N571"/>
    <hyperlink r:id="rId1098" ref="O571"/>
    <hyperlink r:id="rId1099" ref="AN571"/>
    <hyperlink r:id="rId1100" ref="BD571"/>
    <hyperlink r:id="rId1101" ref="AN572"/>
    <hyperlink r:id="rId1102" ref="BD572"/>
    <hyperlink r:id="rId1103" ref="N573"/>
    <hyperlink r:id="rId1104" ref="O573"/>
    <hyperlink r:id="rId1105" ref="AN573"/>
    <hyperlink r:id="rId1106" ref="BD573"/>
    <hyperlink r:id="rId1107" ref="AN574"/>
    <hyperlink r:id="rId1108" ref="BD574"/>
    <hyperlink r:id="rId1109" ref="AN575"/>
    <hyperlink r:id="rId1110" ref="N576"/>
    <hyperlink r:id="rId1111" ref="O576"/>
    <hyperlink r:id="rId1112" ref="AN576"/>
    <hyperlink r:id="rId1113" ref="BD576"/>
    <hyperlink r:id="rId1114" ref="N577"/>
    <hyperlink r:id="rId1115" ref="O577"/>
    <hyperlink r:id="rId1116" ref="N578"/>
    <hyperlink r:id="rId1117" ref="O578"/>
    <hyperlink r:id="rId1118" ref="AN578"/>
    <hyperlink r:id="rId1119" ref="BD578"/>
    <hyperlink r:id="rId1120" ref="N579"/>
    <hyperlink r:id="rId1121" ref="O579"/>
    <hyperlink r:id="rId1122" ref="AN579"/>
    <hyperlink r:id="rId1123" ref="BD579"/>
    <hyperlink r:id="rId1124" ref="AN580"/>
    <hyperlink r:id="rId1125" ref="BD580"/>
    <hyperlink r:id="rId1126" ref="AN581"/>
    <hyperlink r:id="rId1127" ref="BD581"/>
    <hyperlink r:id="rId1128" ref="N582"/>
    <hyperlink r:id="rId1129" ref="O582"/>
    <hyperlink r:id="rId1130" ref="AN582"/>
    <hyperlink r:id="rId1131" ref="BD582"/>
    <hyperlink r:id="rId1132" ref="N585"/>
    <hyperlink r:id="rId1133" ref="O585"/>
    <hyperlink r:id="rId1134" ref="AN585"/>
    <hyperlink r:id="rId1135" ref="BD585"/>
    <hyperlink r:id="rId1136" ref="N586"/>
    <hyperlink r:id="rId1137" ref="O586"/>
    <hyperlink r:id="rId1138" ref="AN586"/>
    <hyperlink r:id="rId1139" ref="BD586"/>
    <hyperlink r:id="rId1140" ref="AN587"/>
    <hyperlink r:id="rId1141" ref="BD587"/>
    <hyperlink r:id="rId1142" ref="AN588"/>
    <hyperlink r:id="rId1143" ref="BD588"/>
    <hyperlink r:id="rId1144" ref="AN589"/>
    <hyperlink r:id="rId1145" ref="BD589"/>
    <hyperlink r:id="rId1146" ref="N590"/>
    <hyperlink r:id="rId1147" ref="O590"/>
    <hyperlink r:id="rId1148" ref="AN590"/>
    <hyperlink r:id="rId1149" ref="BD590"/>
    <hyperlink r:id="rId1150" ref="AN591"/>
    <hyperlink r:id="rId1151" ref="BD591"/>
    <hyperlink r:id="rId1152" ref="AN592"/>
    <hyperlink r:id="rId1153" ref="BD592"/>
    <hyperlink r:id="rId1154" ref="N593"/>
    <hyperlink r:id="rId1155" ref="O593"/>
    <hyperlink r:id="rId1156" ref="AN593"/>
    <hyperlink r:id="rId1157" ref="BD593"/>
    <hyperlink r:id="rId1158" ref="AN595"/>
    <hyperlink r:id="rId1159" ref="BD595"/>
    <hyperlink r:id="rId1160" ref="N597"/>
    <hyperlink r:id="rId1161" ref="O597"/>
    <hyperlink r:id="rId1162" ref="AN597"/>
    <hyperlink r:id="rId1163" ref="BD597"/>
    <hyperlink r:id="rId1164" ref="N598"/>
    <hyperlink r:id="rId1165" ref="O598"/>
    <hyperlink r:id="rId1166" ref="AN598"/>
    <hyperlink r:id="rId1167" ref="BD598"/>
    <hyperlink r:id="rId1168" ref="BD600"/>
    <hyperlink r:id="rId1169" ref="N601"/>
    <hyperlink r:id="rId1170" ref="AN601"/>
    <hyperlink r:id="rId1171" ref="BD601"/>
    <hyperlink r:id="rId1172" ref="N602"/>
    <hyperlink r:id="rId1173" ref="AN602"/>
    <hyperlink r:id="rId1174" ref="BD602"/>
    <hyperlink r:id="rId1175" ref="N605"/>
    <hyperlink r:id="rId1176" ref="AN605"/>
    <hyperlink r:id="rId1177" ref="BD605"/>
    <hyperlink r:id="rId1178" ref="N606"/>
    <hyperlink r:id="rId1179" ref="AN606"/>
    <hyperlink r:id="rId1180" ref="BD606"/>
    <hyperlink r:id="rId1181" ref="N608"/>
    <hyperlink r:id="rId1182" ref="O608"/>
    <hyperlink r:id="rId1183" ref="AN608"/>
    <hyperlink r:id="rId1184" ref="BD608"/>
    <hyperlink r:id="rId1185" ref="N609"/>
    <hyperlink r:id="rId1186" ref="AN609"/>
    <hyperlink r:id="rId1187" ref="BD609"/>
    <hyperlink r:id="rId1188" ref="AN611"/>
    <hyperlink r:id="rId1189" ref="BD611"/>
    <hyperlink r:id="rId1190" ref="AN612"/>
    <hyperlink r:id="rId1191" ref="BD612"/>
    <hyperlink r:id="rId1192" ref="AN613"/>
    <hyperlink r:id="rId1193" ref="BD613"/>
    <hyperlink r:id="rId1194" ref="N615"/>
    <hyperlink r:id="rId1195" ref="O615"/>
    <hyperlink r:id="rId1196" ref="AN615"/>
    <hyperlink r:id="rId1197" ref="BD615"/>
    <hyperlink r:id="rId1198" ref="N616"/>
    <hyperlink r:id="rId1199" ref="O616"/>
    <hyperlink r:id="rId1200" ref="AN616"/>
    <hyperlink r:id="rId1201" ref="BD616"/>
    <hyperlink r:id="rId1202" ref="N617"/>
    <hyperlink r:id="rId1203" ref="O617"/>
    <hyperlink r:id="rId1204" ref="AN617"/>
    <hyperlink r:id="rId1205" ref="BD617"/>
    <hyperlink r:id="rId1206" ref="N618"/>
    <hyperlink r:id="rId1207" ref="O618"/>
    <hyperlink r:id="rId1208" ref="AN618"/>
    <hyperlink r:id="rId1209" ref="BD618"/>
    <hyperlink r:id="rId1210" ref="AN619"/>
    <hyperlink r:id="rId1211" ref="BD619"/>
    <hyperlink r:id="rId1212" ref="AN620"/>
    <hyperlink r:id="rId1213" ref="BD620"/>
    <hyperlink r:id="rId1214" ref="AN621"/>
    <hyperlink r:id="rId1215" ref="BD621"/>
    <hyperlink r:id="rId1216" ref="AN622"/>
    <hyperlink r:id="rId1217" ref="BD622"/>
    <hyperlink r:id="rId1218" ref="AN623"/>
    <hyperlink r:id="rId1219" ref="BD623"/>
    <hyperlink r:id="rId1220" ref="N624"/>
    <hyperlink r:id="rId1221" ref="O624"/>
    <hyperlink r:id="rId1222" ref="AN624"/>
    <hyperlink r:id="rId1223" ref="BD624"/>
    <hyperlink r:id="rId1224" ref="AN625"/>
    <hyperlink r:id="rId1225" ref="AZ625"/>
    <hyperlink r:id="rId1226" ref="BD625"/>
    <hyperlink r:id="rId1227" ref="AN626"/>
    <hyperlink r:id="rId1228" ref="BD626"/>
    <hyperlink r:id="rId1229" ref="AN630"/>
    <hyperlink r:id="rId1230" ref="BD630"/>
    <hyperlink r:id="rId1231" ref="AN631"/>
    <hyperlink r:id="rId1232" ref="BD631"/>
    <hyperlink r:id="rId1233" ref="AN632"/>
    <hyperlink r:id="rId1234" ref="BD632"/>
    <hyperlink r:id="rId1235" ref="N633"/>
    <hyperlink r:id="rId1236" ref="O633"/>
    <hyperlink r:id="rId1237" ref="AN633"/>
    <hyperlink r:id="rId1238" ref="BD633"/>
    <hyperlink r:id="rId1239" ref="N634"/>
    <hyperlink r:id="rId1240" ref="O634"/>
    <hyperlink r:id="rId1241" ref="AN634"/>
    <hyperlink r:id="rId1242" ref="BD634"/>
    <hyperlink r:id="rId1243" ref="N635"/>
    <hyperlink r:id="rId1244" ref="O635"/>
    <hyperlink r:id="rId1245" ref="AN635"/>
    <hyperlink r:id="rId1246" ref="BD635"/>
    <hyperlink r:id="rId1247" ref="N636"/>
    <hyperlink r:id="rId1248" ref="O636"/>
    <hyperlink r:id="rId1249" ref="AN636"/>
    <hyperlink r:id="rId1250" ref="BD636"/>
    <hyperlink r:id="rId1251" ref="N637"/>
    <hyperlink r:id="rId1252" ref="O637"/>
    <hyperlink r:id="rId1253" ref="AN637"/>
    <hyperlink r:id="rId1254" ref="BD637"/>
    <hyperlink r:id="rId1255" ref="N638"/>
    <hyperlink r:id="rId1256" ref="O638"/>
    <hyperlink r:id="rId1257" ref="AN638"/>
    <hyperlink r:id="rId1258" ref="BD638"/>
    <hyperlink r:id="rId1259" ref="N640"/>
    <hyperlink r:id="rId1260" ref="O640"/>
    <hyperlink r:id="rId1261" ref="AN640"/>
    <hyperlink r:id="rId1262" ref="BD640"/>
    <hyperlink r:id="rId1263" ref="AN641"/>
    <hyperlink r:id="rId1264" ref="BD641"/>
    <hyperlink r:id="rId1265" ref="AN642"/>
    <hyperlink r:id="rId1266" ref="BD642"/>
    <hyperlink r:id="rId1267" ref="AN643"/>
    <hyperlink r:id="rId1268" ref="BD643"/>
    <hyperlink r:id="rId1269" ref="AN644"/>
    <hyperlink r:id="rId1270" ref="BD644"/>
    <hyperlink r:id="rId1271" ref="AN645"/>
    <hyperlink r:id="rId1272" ref="BD645"/>
    <hyperlink r:id="rId1273" ref="AN646"/>
    <hyperlink r:id="rId1274" ref="BD646"/>
    <hyperlink r:id="rId1275" ref="AN647"/>
    <hyperlink r:id="rId1276" ref="BD647"/>
    <hyperlink r:id="rId1277" ref="AN648"/>
    <hyperlink r:id="rId1278" ref="BD648"/>
    <hyperlink r:id="rId1279" ref="AN649"/>
    <hyperlink r:id="rId1280" ref="BD649"/>
    <hyperlink r:id="rId1281" ref="N650"/>
    <hyperlink r:id="rId1282" ref="O650"/>
    <hyperlink r:id="rId1283" ref="AN650"/>
    <hyperlink r:id="rId1284" ref="BD650"/>
    <hyperlink r:id="rId1285" ref="N651"/>
    <hyperlink r:id="rId1286" ref="O651"/>
    <hyperlink r:id="rId1287" ref="AN651"/>
    <hyperlink r:id="rId1288" ref="BD651"/>
    <hyperlink r:id="rId1289" ref="N652"/>
    <hyperlink r:id="rId1290" ref="O652"/>
    <hyperlink r:id="rId1291" ref="AN652"/>
    <hyperlink r:id="rId1292" ref="BD652"/>
    <hyperlink r:id="rId1293" ref="N653"/>
    <hyperlink r:id="rId1294" ref="O653"/>
    <hyperlink r:id="rId1295" ref="AN653"/>
    <hyperlink r:id="rId1296" ref="BD653"/>
    <hyperlink r:id="rId1297" ref="N654"/>
    <hyperlink r:id="rId1298" ref="O654"/>
    <hyperlink r:id="rId1299" ref="AN654"/>
    <hyperlink r:id="rId1300" ref="BD654"/>
    <hyperlink r:id="rId1301" ref="AN655"/>
    <hyperlink r:id="rId1302" ref="BD655"/>
    <hyperlink r:id="rId1303" ref="N656"/>
    <hyperlink r:id="rId1304" ref="O656"/>
    <hyperlink r:id="rId1305" ref="AN656"/>
    <hyperlink r:id="rId1306" ref="BD656"/>
    <hyperlink r:id="rId1307" ref="AN657"/>
    <hyperlink r:id="rId1308" ref="BD657"/>
    <hyperlink r:id="rId1309" ref="N658"/>
    <hyperlink r:id="rId1310" ref="O658"/>
    <hyperlink r:id="rId1311" ref="AN658"/>
    <hyperlink r:id="rId1312" ref="BD658"/>
    <hyperlink r:id="rId1313" ref="N659"/>
    <hyperlink r:id="rId1314" ref="O659"/>
    <hyperlink r:id="rId1315" ref="AN659"/>
    <hyperlink r:id="rId1316" ref="BD659"/>
    <hyperlink r:id="rId1317" ref="AN661"/>
    <hyperlink r:id="rId1318" ref="BD661"/>
    <hyperlink r:id="rId1319" ref="AN662"/>
    <hyperlink r:id="rId1320" ref="AN663"/>
    <hyperlink r:id="rId1321" ref="BD663"/>
    <hyperlink r:id="rId1322" ref="AN664"/>
    <hyperlink r:id="rId1323" ref="BD664"/>
    <hyperlink r:id="rId1324" ref="H665"/>
    <hyperlink r:id="rId1325" ref="AN666"/>
    <hyperlink r:id="rId1326" ref="BD666"/>
    <hyperlink r:id="rId1327" ref="AN667"/>
    <hyperlink r:id="rId1328" ref="BD667"/>
    <hyperlink r:id="rId1329" ref="AN668"/>
    <hyperlink r:id="rId1330" ref="BD668"/>
    <hyperlink r:id="rId1331" ref="N670"/>
    <hyperlink r:id="rId1332" ref="O670"/>
    <hyperlink r:id="rId1333" ref="AN670"/>
    <hyperlink r:id="rId1334" ref="BD670"/>
    <hyperlink r:id="rId1335" ref="AN671"/>
    <hyperlink r:id="rId1336" ref="BD671"/>
    <hyperlink r:id="rId1337" ref="AN672"/>
    <hyperlink r:id="rId1338" ref="BD672"/>
    <hyperlink r:id="rId1339" ref="AN673"/>
    <hyperlink r:id="rId1340" ref="BD673"/>
    <hyperlink r:id="rId1341" ref="AN674"/>
    <hyperlink r:id="rId1342" ref="BD674"/>
    <hyperlink r:id="rId1343" ref="N675"/>
    <hyperlink r:id="rId1344" ref="O675"/>
    <hyperlink r:id="rId1345" ref="AN675"/>
    <hyperlink r:id="rId1346" ref="BD675"/>
    <hyperlink r:id="rId1347" ref="H676"/>
    <hyperlink r:id="rId1348" ref="AN680"/>
    <hyperlink r:id="rId1349" ref="BD680"/>
    <hyperlink r:id="rId1350" ref="AN681"/>
    <hyperlink r:id="rId1351" ref="BD681"/>
    <hyperlink r:id="rId1352" ref="AN682"/>
    <hyperlink r:id="rId1353" ref="BD682"/>
    <hyperlink r:id="rId1354" ref="AN683"/>
    <hyperlink r:id="rId1355" ref="BD683"/>
    <hyperlink r:id="rId1356" ref="AN684"/>
    <hyperlink r:id="rId1357" ref="BD684"/>
    <hyperlink r:id="rId1358" ref="AN685"/>
    <hyperlink r:id="rId1359" ref="BD685"/>
    <hyperlink r:id="rId1360" ref="AN686"/>
    <hyperlink r:id="rId1361" ref="BD686"/>
    <hyperlink r:id="rId1362" ref="AN687"/>
    <hyperlink r:id="rId1363" ref="BD687"/>
    <hyperlink r:id="rId1364" ref="AN688"/>
    <hyperlink r:id="rId1365" ref="BD688"/>
    <hyperlink r:id="rId1366" ref="AN689"/>
    <hyperlink r:id="rId1367" ref="BD689"/>
    <hyperlink r:id="rId1368" ref="AN690"/>
    <hyperlink r:id="rId1369" ref="BD690"/>
    <hyperlink r:id="rId1370" ref="N691"/>
    <hyperlink r:id="rId1371" ref="O691"/>
    <hyperlink r:id="rId1372" ref="AN691"/>
    <hyperlink r:id="rId1373" ref="BD691"/>
    <hyperlink r:id="rId1374" ref="N692"/>
    <hyperlink r:id="rId1375" ref="O692"/>
    <hyperlink r:id="rId1376" ref="AN692"/>
    <hyperlink r:id="rId1377" ref="BD692"/>
    <hyperlink r:id="rId1378" ref="N693"/>
    <hyperlink r:id="rId1379" ref="O693"/>
    <hyperlink r:id="rId1380" ref="AN693"/>
    <hyperlink r:id="rId1381" ref="BD693"/>
    <hyperlink r:id="rId1382" ref="N694"/>
    <hyperlink r:id="rId1383" ref="O694"/>
    <hyperlink r:id="rId1384" ref="AN694"/>
    <hyperlink r:id="rId1385" ref="BD694"/>
    <hyperlink r:id="rId1386" ref="N695"/>
    <hyperlink r:id="rId1387" ref="O695"/>
    <hyperlink r:id="rId1388" ref="AN695"/>
    <hyperlink r:id="rId1389" ref="BD695"/>
    <hyperlink r:id="rId1390" ref="AN696"/>
    <hyperlink r:id="rId1391" ref="BD696"/>
    <hyperlink r:id="rId1392" ref="N697"/>
    <hyperlink r:id="rId1393" ref="O697"/>
    <hyperlink r:id="rId1394" ref="AN697"/>
    <hyperlink r:id="rId1395" ref="BD697"/>
    <hyperlink r:id="rId1396" ref="N698"/>
    <hyperlink r:id="rId1397" ref="O698"/>
    <hyperlink r:id="rId1398" ref="AN698"/>
    <hyperlink r:id="rId1399" ref="BD698"/>
    <hyperlink r:id="rId1400" ref="N699"/>
    <hyperlink r:id="rId1401" ref="O699"/>
    <hyperlink r:id="rId1402" ref="AN699"/>
    <hyperlink r:id="rId1403" ref="BD699"/>
    <hyperlink r:id="rId1404" ref="N700"/>
    <hyperlink r:id="rId1405" ref="O700"/>
    <hyperlink r:id="rId1406" ref="AN700"/>
    <hyperlink r:id="rId1407" ref="BD700"/>
    <hyperlink r:id="rId1408" ref="N701"/>
    <hyperlink r:id="rId1409" ref="O701"/>
    <hyperlink r:id="rId1410" ref="AN701"/>
    <hyperlink r:id="rId1411" ref="BD701"/>
    <hyperlink r:id="rId1412" ref="N702"/>
    <hyperlink r:id="rId1413" ref="O702"/>
    <hyperlink r:id="rId1414" ref="AN702"/>
    <hyperlink r:id="rId1415" ref="BD702"/>
    <hyperlink r:id="rId1416" ref="N703"/>
    <hyperlink r:id="rId1417" ref="O703"/>
    <hyperlink r:id="rId1418" ref="AN703"/>
    <hyperlink r:id="rId1419" ref="BD703"/>
    <hyperlink r:id="rId1420" ref="AN704"/>
    <hyperlink r:id="rId1421" ref="BD704"/>
    <hyperlink r:id="rId1422" ref="AN705"/>
    <hyperlink r:id="rId1423" ref="BD705"/>
    <hyperlink r:id="rId1424" ref="AN706"/>
    <hyperlink r:id="rId1425" ref="BD706"/>
    <hyperlink r:id="rId1426" ref="AN707"/>
    <hyperlink r:id="rId1427" ref="BD707"/>
    <hyperlink r:id="rId1428" ref="AN708"/>
    <hyperlink r:id="rId1429" ref="BD708"/>
    <hyperlink r:id="rId1430" ref="AN709"/>
    <hyperlink r:id="rId1431" ref="BD709"/>
    <hyperlink r:id="rId1432" ref="AN710"/>
    <hyperlink r:id="rId1433" ref="BD710"/>
    <hyperlink r:id="rId1434" ref="AN711"/>
    <hyperlink r:id="rId1435" ref="BD711"/>
    <hyperlink r:id="rId1436" ref="N712"/>
    <hyperlink r:id="rId1437" ref="O712"/>
    <hyperlink r:id="rId1438" ref="AN712"/>
    <hyperlink r:id="rId1439" ref="BD712"/>
    <hyperlink r:id="rId1440" ref="AN714"/>
    <hyperlink r:id="rId1441" ref="BD714"/>
    <hyperlink r:id="rId1442" ref="AN715"/>
    <hyperlink r:id="rId1443" ref="BD715"/>
    <hyperlink r:id="rId1444" ref="AN716"/>
    <hyperlink r:id="rId1445" ref="BD716"/>
    <hyperlink r:id="rId1446" ref="AN717"/>
    <hyperlink r:id="rId1447" ref="BD717"/>
    <hyperlink r:id="rId1448" ref="AN718"/>
    <hyperlink r:id="rId1449" ref="N724"/>
    <hyperlink r:id="rId1450" ref="O724"/>
    <hyperlink r:id="rId1451" ref="AN724"/>
    <hyperlink r:id="rId1452" ref="BD724"/>
    <hyperlink r:id="rId1453" ref="N726"/>
    <hyperlink r:id="rId1454" ref="O726"/>
    <hyperlink r:id="rId1455" ref="AN726"/>
    <hyperlink r:id="rId1456" ref="BD726"/>
    <hyperlink r:id="rId1457" ref="N729"/>
    <hyperlink r:id="rId1458" ref="O729"/>
    <hyperlink r:id="rId1459" ref="AN729"/>
    <hyperlink r:id="rId1460" ref="N730"/>
    <hyperlink r:id="rId1461" ref="O730"/>
    <hyperlink r:id="rId1462" ref="AN730"/>
    <hyperlink r:id="rId1463" ref="BD730"/>
    <hyperlink r:id="rId1464" ref="N731"/>
    <hyperlink r:id="rId1465" ref="O731"/>
    <hyperlink r:id="rId1466" ref="AN731"/>
    <hyperlink r:id="rId1467" ref="BD731"/>
    <hyperlink r:id="rId1468" ref="N732"/>
    <hyperlink r:id="rId1469" ref="O732"/>
    <hyperlink r:id="rId1470" ref="AN732"/>
    <hyperlink r:id="rId1471" ref="BD732"/>
    <hyperlink r:id="rId1472" ref="N733"/>
    <hyperlink r:id="rId1473" ref="O733"/>
    <hyperlink r:id="rId1474" ref="AN733"/>
    <hyperlink r:id="rId1475" ref="BD733"/>
    <hyperlink r:id="rId1476" ref="N735"/>
    <hyperlink r:id="rId1477" ref="O735"/>
    <hyperlink r:id="rId1478" ref="AN735"/>
    <hyperlink r:id="rId1479" ref="BD735"/>
    <hyperlink r:id="rId1480" ref="N750"/>
    <hyperlink r:id="rId1481" ref="O750"/>
    <hyperlink r:id="rId1482" ref="AN750"/>
    <hyperlink r:id="rId1483" ref="BD750"/>
    <hyperlink r:id="rId1484" ref="AN751"/>
    <hyperlink r:id="rId1485" ref="BD751"/>
    <hyperlink r:id="rId1486" ref="N752"/>
    <hyperlink r:id="rId1487" ref="O752"/>
    <hyperlink r:id="rId1488" ref="AN752"/>
    <hyperlink r:id="rId1489" ref="AN753"/>
    <hyperlink r:id="rId1490" ref="BD753"/>
    <hyperlink r:id="rId1491" ref="BD754"/>
    <hyperlink r:id="rId1492" ref="AN758"/>
    <hyperlink r:id="rId1493" ref="AN759"/>
    <hyperlink r:id="rId1494" ref="BD759"/>
    <hyperlink r:id="rId1495" ref="AN760"/>
    <hyperlink r:id="rId1496" ref="BD760"/>
    <hyperlink r:id="rId1497" ref="AN761"/>
    <hyperlink r:id="rId1498" ref="BD761"/>
    <hyperlink r:id="rId1499" ref="AN762"/>
    <hyperlink r:id="rId1500" ref="BD762"/>
    <hyperlink r:id="rId1501" ref="AN763"/>
    <hyperlink r:id="rId1502" ref="BD763"/>
    <hyperlink r:id="rId1503" ref="AN764"/>
    <hyperlink r:id="rId1504" ref="BD764"/>
    <hyperlink r:id="rId1505" ref="AN765"/>
    <hyperlink r:id="rId1506" ref="BD765"/>
    <hyperlink r:id="rId1507" ref="AN766"/>
    <hyperlink r:id="rId1508" ref="BD766"/>
    <hyperlink r:id="rId1509" ref="AN767"/>
    <hyperlink r:id="rId1510" ref="BD767"/>
    <hyperlink r:id="rId1511" ref="AN768"/>
    <hyperlink r:id="rId1512" ref="BD768"/>
    <hyperlink r:id="rId1513" ref="AN769"/>
    <hyperlink r:id="rId1514" ref="BD769"/>
    <hyperlink r:id="rId1515" ref="AN770"/>
    <hyperlink r:id="rId1516" ref="BD770"/>
    <hyperlink r:id="rId1517" ref="AN771"/>
    <hyperlink r:id="rId1518" ref="BD771"/>
    <hyperlink r:id="rId1519" ref="AN772"/>
    <hyperlink r:id="rId1520" ref="BD772"/>
    <hyperlink r:id="rId1521" ref="AN773"/>
    <hyperlink r:id="rId1522" ref="BD773"/>
    <hyperlink r:id="rId1523" ref="AN774"/>
    <hyperlink r:id="rId1524" ref="BD774"/>
    <hyperlink r:id="rId1525" ref="N775"/>
    <hyperlink r:id="rId1526" ref="O775"/>
    <hyperlink r:id="rId1527" ref="AN775"/>
    <hyperlink r:id="rId1528" ref="BD775"/>
    <hyperlink r:id="rId1529" ref="N778"/>
    <hyperlink r:id="rId1530" ref="O778"/>
    <hyperlink r:id="rId1531" ref="AN778"/>
    <hyperlink r:id="rId1532" ref="BD778"/>
    <hyperlink r:id="rId1533" ref="N779"/>
    <hyperlink r:id="rId1534" ref="O779"/>
    <hyperlink r:id="rId1535" ref="N780"/>
    <hyperlink r:id="rId1536" ref="O780"/>
    <hyperlink r:id="rId1537" ref="AN780"/>
    <hyperlink r:id="rId1538" ref="BD780"/>
    <hyperlink r:id="rId1539" ref="N781"/>
    <hyperlink r:id="rId1540" ref="O781"/>
    <hyperlink r:id="rId1541" ref="AN781"/>
    <hyperlink r:id="rId1542" ref="BD781"/>
    <hyperlink r:id="rId1543" ref="N782"/>
    <hyperlink r:id="rId1544" ref="O782"/>
    <hyperlink r:id="rId1545" ref="AN782"/>
    <hyperlink r:id="rId1546" ref="BD782"/>
    <hyperlink r:id="rId1547" ref="N783"/>
    <hyperlink r:id="rId1548" ref="O783"/>
    <hyperlink r:id="rId1549" ref="AN783"/>
    <hyperlink r:id="rId1550" ref="BD783"/>
    <hyperlink r:id="rId1551" ref="N784"/>
    <hyperlink r:id="rId1552" ref="O784"/>
    <hyperlink r:id="rId1553" ref="AN784"/>
    <hyperlink r:id="rId1554" ref="BD784"/>
    <hyperlink r:id="rId1555" ref="N785"/>
    <hyperlink r:id="rId1556" ref="O785"/>
    <hyperlink r:id="rId1557" ref="AN785"/>
    <hyperlink r:id="rId1558" ref="N793"/>
    <hyperlink r:id="rId1559" ref="O793"/>
    <hyperlink r:id="rId1560" ref="AN793"/>
    <hyperlink r:id="rId1561" ref="BD793"/>
    <hyperlink r:id="rId1562" ref="N794"/>
    <hyperlink r:id="rId1563" ref="O794"/>
    <hyperlink r:id="rId1564" ref="AN794"/>
    <hyperlink r:id="rId1565" ref="BD794"/>
    <hyperlink r:id="rId1566" ref="AN795"/>
    <hyperlink r:id="rId1567" ref="BD795"/>
    <hyperlink r:id="rId1568" ref="N796"/>
    <hyperlink r:id="rId1569" ref="O796"/>
    <hyperlink r:id="rId1570" ref="AN796"/>
    <hyperlink r:id="rId1571" ref="BD796"/>
    <hyperlink r:id="rId1572" ref="N797"/>
    <hyperlink r:id="rId1573" ref="O797"/>
    <hyperlink r:id="rId1574" ref="AN797"/>
    <hyperlink r:id="rId1575" ref="BD797"/>
    <hyperlink r:id="rId1576" ref="AN798"/>
    <hyperlink r:id="rId1577" ref="BD798"/>
    <hyperlink r:id="rId1578" ref="AN799"/>
    <hyperlink r:id="rId1579" ref="BD799"/>
    <hyperlink r:id="rId1580" ref="AN800"/>
    <hyperlink r:id="rId1581" ref="BD800"/>
    <hyperlink r:id="rId1582" ref="AN801"/>
    <hyperlink r:id="rId1583" ref="BD801"/>
    <hyperlink r:id="rId1584" ref="AN802"/>
    <hyperlink r:id="rId1585" ref="BD802"/>
    <hyperlink r:id="rId1586" ref="AN803"/>
    <hyperlink r:id="rId1587" ref="BD803"/>
    <hyperlink r:id="rId1588" ref="AN804"/>
    <hyperlink r:id="rId1589" ref="BD804"/>
    <hyperlink r:id="rId1590" ref="N805"/>
    <hyperlink r:id="rId1591" ref="O805"/>
    <hyperlink r:id="rId1592" ref="AN805"/>
    <hyperlink r:id="rId1593" ref="BD805"/>
    <hyperlink r:id="rId1594" ref="N806"/>
    <hyperlink r:id="rId1595" ref="O806"/>
    <hyperlink r:id="rId1596" ref="AN806"/>
    <hyperlink r:id="rId1597" ref="BD806"/>
    <hyperlink r:id="rId1598" ref="N807"/>
    <hyperlink r:id="rId1599" ref="O807"/>
    <hyperlink r:id="rId1600" ref="AN807"/>
    <hyperlink r:id="rId1601" ref="BD807"/>
    <hyperlink r:id="rId1602" ref="N808"/>
    <hyperlink r:id="rId1603" ref="O808"/>
    <hyperlink r:id="rId1604" ref="AN808"/>
    <hyperlink r:id="rId1605" ref="BD808"/>
    <hyperlink r:id="rId1606" ref="AN810"/>
    <hyperlink r:id="rId1607" ref="AN812"/>
    <hyperlink r:id="rId1608" ref="N814"/>
    <hyperlink r:id="rId1609" ref="O814"/>
    <hyperlink r:id="rId1610" ref="AN814"/>
    <hyperlink r:id="rId1611" ref="BD814"/>
    <hyperlink r:id="rId1612" ref="AN815"/>
    <hyperlink r:id="rId1613" ref="BD815"/>
  </hyperlinks>
  <drawing r:id="rId161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7" max="17" width="34.13"/>
  </cols>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""Redstone"",
  all_rows, IFERROR(FILTER(AllGames_Games!A2:AZ1001, (AllGames_Games!AQ2:AQ1001 = TRUE) + (AllGames_Games!AQ2:AQ1001 = ""TRUE"")), """"),
  base_games, IFERROR(FILTER(all_rows, IF(studio_filter = """", 1, CHOOSECOLS("&amp;"all_rows, 3) = studio_filter)), """"),
  IF(INDEX(base_games, 1, 1) = """", ""Nema rezultata za filter"",
    LET(
      gamename_keys, CHOOSECOLS(base_games, 4),
      gameid_keys, CHOOSECOLS(base_games, 6),
      studio, VSTACK(""GameStudio"","&amp;" CHOOSECOLS(base_games, 3)),
      name, VSTACK(""GameName"", gamename_keys),
      gameID, VSTACK(""GameID"", gameid_keys),
      release, VSTACK(""ReleaseDate"", CHOOSECOLS(base_games, 19)),
      category, VSTACK(""GameCategoryID"", CHOOSECOLS(base_gam"&amp;"es, 11)),
      size, VSTACK(""GameSize"", CHOOSECOLS(base_games, 16)),
      reels, VSTACK(""ReelsAndRows"", CHOOSECOLS(base_games, 21)),
      lines, VSTACK(""Paylines"", CHOOSECOLS(base_games, 22)),
      payLines, VSTACK(""PayableLines"", CHOOSECOLS(b"&amp;"ase_games, 23)),
      rtp, VSTACK(""RTP%"", ARRAYFORMULA(IF(CHOOSECOLS(base_games, 24)="""", """", CHOOSECOLS(base_games, 24) &amp; ""%""))),
      volatility, VSTACK(""VolatilityID"", CHOOSECOLS(base_games, 25)),
      hit, VSTACK(""HitFrequency%"", ARRAYFO"&amp;"RMULA(IF(CHOOSECOLS(base_games, 26)="""", """", CHOOSECOLS(base_games, 26) &amp; ""%""))),
      exposure, VSTACK(""MaxExposure"", ARRAYFORMULA(IF(CHOOSECOLS(base_games, 27)="""", """", ""x"" &amp; CHOOSECOLS(base_games, 27)))),
      bet, VSTACK(""MinandMaxBet(E"&amp;"UR)"", CHOOSECOLS(base_games, 30)),
      jackpot, VSTACK(""Jackpot"", CHOOSECOLS(base_games, 38)),
      features, VSTACK(""Features"", CHOOSECOLS(base_games, 29)),
      demo, VSTACK(""DemoLink"", CHOOSECOLS(base_games, 40)),
      promo, VSTACK(""Promo"&amp;"Text"", CHOOSECOLS(base_games, 45)),
      part1, HSTACK(studio, name, gameID, release, category, size, reels, lines, payLines, rtp, volatility, hit, exposure, bet, jackpot, features, demo, promo),
      lang_headers, GameLanguages_za_CA!B1:"&amp;"AD1,
      lang_data, ARRAYFORMULA(IFERROR(VLOOKUP(gameid_keys, GameLanguages_za_CA!A:AD, SEQUENCE(1, COLUMNS(lang_headers), 2), 0), """")),
      part2, VSTACK(lang_headers, lang_data),
      jur_headers, FILTER(Jurisdiction_report!B1:BY1, Jurisdi"&amp;"ction_report!B1:BY1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Av"&amp;"ailable)"", """"))),
        LET(
          filtered_headers, CHOOSECOLS(jur_headers, valid_col_indices),
          filtered_data_raw, CHOOSECOLS(jur_data_raw, valid_col_indices),
          filtered_data, ARRAYFORMULA(IF(filtered_data_raw = ""Available"","&amp;" ""Available"",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IFERROR(__xludf.DUMMYFUNCTION("""COMPUTED_VALUE"""),"Switzerland")</f>
        <v>Switzerland</v>
      </c>
      <c r="AW2" s="3" t="str">
        <f>IFERROR(__xludf.DUMMYFUNCTION("""COMPUTED_VALUE"""),"Italy")</f>
        <v>Italy</v>
      </c>
      <c r="AX2" s="3" t="str">
        <f>IFERROR(__xludf.DUMMYFUNCTION("""COMPUTED_VALUE"""),"Belarus")</f>
        <v>Belarus</v>
      </c>
      <c r="AY2" s="3" t="str">
        <f>IFERROR(__xludf.DUMMYFUNCTION("""COMPUTED_VALUE"""),"Croatia")</f>
        <v>Croatia</v>
      </c>
      <c r="AZ2" s="3" t="str">
        <f>IFERROR(__xludf.DUMMYFUNCTION("""COMPUTED_VALUE"""),"Romania")</f>
        <v>Romania</v>
      </c>
      <c r="BA2" s="3" t="str">
        <f>IFERROR(__xludf.DUMMYFUNCTION("""COMPUTED_VALUE"""),"Greece")</f>
        <v>Greece</v>
      </c>
      <c r="BB2" s="3" t="str">
        <f>IFERROR(__xludf.DUMMYFUNCTION("""COMPUTED_VALUE"""),"Republic of Srpska")</f>
        <v>Republic of Srpska</v>
      </c>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IFERROR(__xludf.DUMMYFUNCTION("""COMPUTED_VALUE"""),"Redstone")</f>
        <v>Redstone</v>
      </c>
      <c r="B3" s="5" t="str">
        <f>IFERROR(__xludf.DUMMYFUNCTION("""COMPUTED_VALUE"""),"40 Wild Clover")</f>
        <v>40 Wild Clover</v>
      </c>
      <c r="C3" s="5" t="str">
        <f>IFERROR(__xludf.DUMMYFUNCTION("""COMPUTED_VALUE"""),"WildClover40")</f>
        <v>WildClover40</v>
      </c>
      <c r="D3" s="6">
        <f>IFERROR(__xludf.DUMMYFUNCTION("""COMPUTED_VALUE"""),44350.0)</f>
        <v>44350</v>
      </c>
      <c r="E3" s="5" t="str">
        <f>IFERROR(__xludf.DUMMYFUNCTION("""COMPUTED_VALUE"""),"Slot")</f>
        <v>Slot</v>
      </c>
      <c r="F3" s="5">
        <f>IFERROR(__xludf.DUMMYFUNCTION("""COMPUTED_VALUE"""),9.73)</f>
        <v>9.73</v>
      </c>
      <c r="G3" s="5" t="str">
        <f>IFERROR(__xludf.DUMMYFUNCTION("""COMPUTED_VALUE"""),"5x4")</f>
        <v>5x4</v>
      </c>
      <c r="H3" s="5" t="str">
        <f>IFERROR(__xludf.DUMMYFUNCTION("""COMPUTED_VALUE"""),"40")</f>
        <v>40</v>
      </c>
      <c r="I3" s="5" t="str">
        <f>IFERROR(__xludf.DUMMYFUNCTION("""COMPUTED_VALUE"""),"40")</f>
        <v>40</v>
      </c>
      <c r="J3" s="5" t="str">
        <f>IFERROR(__xludf.DUMMYFUNCTION("""COMPUTED_VALUE"""),"95.32%")</f>
        <v>95.32%</v>
      </c>
      <c r="K3" s="5" t="str">
        <f>IFERROR(__xludf.DUMMYFUNCTION("""COMPUTED_VALUE"""),"Medium")</f>
        <v>Medium</v>
      </c>
      <c r="L3" s="5" t="str">
        <f>IFERROR(__xludf.DUMMYFUNCTION("""COMPUTED_VALUE"""),"12.34%")</f>
        <v>12.34%</v>
      </c>
      <c r="M3" s="5" t="str">
        <f>IFERROR(__xludf.DUMMYFUNCTION("""COMPUTED_VALUE"""),"x2000")</f>
        <v>x2000</v>
      </c>
      <c r="N3" s="5" t="str">
        <f>IFERROR(__xludf.DUMMYFUNCTION("""COMPUTED_VALUE"""),"0.40/60")</f>
        <v>0.40/60</v>
      </c>
      <c r="O3" s="5" t="str">
        <f>IFERROR(__xludf.DUMMYFUNCTION("""COMPUTED_VALUE"""),"No")</f>
        <v>No</v>
      </c>
      <c r="P3" s="5" t="str">
        <f>IFERROR(__xludf.DUMMYFUNCTION("""COMPUTED_VALUE"""),"Wild Symbol, Scatter, Bonus Game with Free Spins")</f>
        <v>Wild Symbol, Scatter, Bonus Game with Free Spins</v>
      </c>
      <c r="Q3" s="7" t="str">
        <f>IFERROR(__xludf.DUMMYFUNCTION("""COMPUTED_VALUE"""),"https://static.redstone.rs/games/40-wild-clover/")</f>
        <v>https://static.redstone.rs/games/40-wild-clover/</v>
      </c>
      <c r="R3" s="5" t="str">
        <f>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S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 s="5" t="str">
        <f>IFERROR(__xludf.DUMMYFUNCTION("""COMPUTED_VALUE"""),"Yes")</f>
        <v>Yes</v>
      </c>
      <c r="U3" s="5" t="str">
        <f>IFERROR(__xludf.DUMMYFUNCTION("""COMPUTED_VALUE"""),"Yes")</f>
        <v>Yes</v>
      </c>
      <c r="V3" s="5" t="str">
        <f>IFERROR(__xludf.DUMMYFUNCTION("""COMPUTED_VALUE"""),"No")</f>
        <v>No</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IFERROR(__xludf.DUMMYFUNCTION("""COMPUTED_VALUE"""),"Yes")</f>
        <v>Yes</v>
      </c>
      <c r="AH3" s="5" t="str">
        <f>IFERROR(__xludf.DUMMYFUNCTION("""COMPUTED_VALUE"""),"Yes")</f>
        <v>Yes</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t="str">
        <f>IFERROR(__xludf.DUMMYFUNCTION("""COMPUTED_VALUE"""),"No")</f>
        <v>No</v>
      </c>
      <c r="AN3" s="5" t="str">
        <f>IFERROR(__xludf.DUMMYFUNCTION("""COMPUTED_VALUE"""),"No")</f>
        <v>No</v>
      </c>
      <c r="AO3" s="5" t="str">
        <f>IFERROR(__xludf.DUMMYFUNCTION("""COMPUTED_VALUE"""),"No")</f>
        <v>No</v>
      </c>
      <c r="AP3" s="5" t="str">
        <f>IFERROR(__xludf.DUMMYFUNCTION("""COMPUTED_VALUE"""),"No")</f>
        <v>No</v>
      </c>
      <c r="AQ3" s="5" t="str">
        <f>IFERROR(__xludf.DUMMYFUNCTION("""COMPUTED_VALUE"""),"No")</f>
        <v>No</v>
      </c>
      <c r="AR3" s="5" t="str">
        <f>IFERROR(__xludf.DUMMYFUNCTION("""COMPUTED_VALUE"""),"No")</f>
        <v>No</v>
      </c>
      <c r="AS3" s="5" t="str">
        <f>IFERROR(__xludf.DUMMYFUNCTION("""COMPUTED_VALUE"""),"Yes")</f>
        <v>Yes</v>
      </c>
      <c r="AT3" s="5" t="str">
        <f>IFERROR(__xludf.DUMMYFUNCTION("""COMPUTED_VALUE"""),"No")</f>
        <v>No</v>
      </c>
      <c r="AU3" s="5"/>
      <c r="AV3" s="5" t="str">
        <f>IFERROR(__xludf.DUMMYFUNCTION("""COMPUTED_VALUE"""),"")</f>
        <v/>
      </c>
      <c r="AW3" s="5" t="str">
        <f>IFERROR(__xludf.DUMMYFUNCTION("""COMPUTED_VALUE"""),"Available")</f>
        <v>Available</v>
      </c>
      <c r="AX3" s="5" t="str">
        <f>IFERROR(__xludf.DUMMYFUNCTION("""COMPUTED_VALUE"""),"Available")</f>
        <v>Available</v>
      </c>
      <c r="AY3" s="5" t="str">
        <f>IFERROR(__xludf.DUMMYFUNCTION("""COMPUTED_VALUE"""),"Available")</f>
        <v>Available</v>
      </c>
      <c r="AZ3" s="5" t="str">
        <f>IFERROR(__xludf.DUMMYFUNCTION("""COMPUTED_VALUE"""),"")</f>
        <v/>
      </c>
      <c r="BA3" s="5" t="str">
        <f>IFERROR(__xludf.DUMMYFUNCTION("""COMPUTED_VALUE"""),"")</f>
        <v/>
      </c>
      <c r="BB3" s="5" t="str">
        <f>IFERROR(__xludf.DUMMYFUNCTION("""COMPUTED_VALUE"""),"Available")</f>
        <v>Available</v>
      </c>
    </row>
    <row r="4">
      <c r="A4" s="5" t="str">
        <f>IFERROR(__xludf.DUMMYFUNCTION("""COMPUTED_VALUE"""),"Redstone")</f>
        <v>Redstone</v>
      </c>
      <c r="B4" s="5" t="str">
        <f>IFERROR(__xludf.DUMMYFUNCTION("""COMPUTED_VALUE"""),"Mayan Coins")</f>
        <v>Mayan Coins</v>
      </c>
      <c r="C4" s="5" t="str">
        <f>IFERROR(__xludf.DUMMYFUNCTION("""COMPUTED_VALUE"""),"MayanCoins")</f>
        <v>MayanCoins</v>
      </c>
      <c r="D4" s="6">
        <f>IFERROR(__xludf.DUMMYFUNCTION("""COMPUTED_VALUE"""),44669.0)</f>
        <v>44669</v>
      </c>
      <c r="E4" s="5" t="str">
        <f>IFERROR(__xludf.DUMMYFUNCTION("""COMPUTED_VALUE"""),"Slot")</f>
        <v>Slot</v>
      </c>
      <c r="F4" s="5">
        <f>IFERROR(__xludf.DUMMYFUNCTION("""COMPUTED_VALUE"""),15.0)</f>
        <v>15</v>
      </c>
      <c r="G4" s="5" t="str">
        <f>IFERROR(__xludf.DUMMYFUNCTION("""COMPUTED_VALUE"""),"5x3")</f>
        <v>5x3</v>
      </c>
      <c r="H4" s="5" t="str">
        <f>IFERROR(__xludf.DUMMYFUNCTION("""COMPUTED_VALUE"""),"10")</f>
        <v>10</v>
      </c>
      <c r="I4" s="5" t="str">
        <f>IFERROR(__xludf.DUMMYFUNCTION("""COMPUTED_VALUE"""),"10")</f>
        <v>10</v>
      </c>
      <c r="J4" s="5" t="str">
        <f>IFERROR(__xludf.DUMMYFUNCTION("""COMPUTED_VALUE"""),"95.45%")</f>
        <v>95.45%</v>
      </c>
      <c r="K4" s="5" t="str">
        <f>IFERROR(__xludf.DUMMYFUNCTION("""COMPUTED_VALUE"""),"Medium")</f>
        <v>Medium</v>
      </c>
      <c r="L4" s="5" t="str">
        <f>IFERROR(__xludf.DUMMYFUNCTION("""COMPUTED_VALUE"""),"12.54%")</f>
        <v>12.54%</v>
      </c>
      <c r="M4" s="5" t="str">
        <f>IFERROR(__xludf.DUMMYFUNCTION("""COMPUTED_VALUE"""),"x1250")</f>
        <v>x1250</v>
      </c>
      <c r="N4" s="5" t="str">
        <f>IFERROR(__xludf.DUMMYFUNCTION("""COMPUTED_VALUE"""),"0.10/40")</f>
        <v>0.10/40</v>
      </c>
      <c r="O4" s="5" t="str">
        <f>IFERROR(__xludf.DUMMYFUNCTION("""COMPUTED_VALUE"""),"No")</f>
        <v>No</v>
      </c>
      <c r="P4" s="5" t="str">
        <f>IFERROR(__xludf.DUMMYFUNCTION("""COMPUTED_VALUE"""),"Hold and Win, Wild Symbol")</f>
        <v>Hold and Win, Wild Symbol</v>
      </c>
      <c r="Q4" s="7" t="str">
        <f>IFERROR(__xludf.DUMMYFUNCTION("""COMPUTED_VALUE"""),"https://static.redstone.rs/games/mayan-coins/")</f>
        <v>https://static.redstone.rs/games/mayan-coins/</v>
      </c>
      <c r="R4" s="5" t="str">
        <f>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S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 s="5" t="str">
        <f>IFERROR(__xludf.DUMMYFUNCTION("""COMPUTED_VALUE"""),"Yes")</f>
        <v>Yes</v>
      </c>
      <c r="U4" s="5" t="str">
        <f>IFERROR(__xludf.DUMMYFUNCTION("""COMPUTED_VALUE"""),"Yes")</f>
        <v>Yes</v>
      </c>
      <c r="V4" s="5" t="str">
        <f>IFERROR(__xludf.DUMMYFUNCTION("""COMPUTED_VALUE"""),"No")</f>
        <v>No</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t="str">
        <f>IFERROR(__xludf.DUMMYFUNCTION("""COMPUTED_VALUE"""),"No")</f>
        <v>No</v>
      </c>
      <c r="AN4" s="5" t="str">
        <f>IFERROR(__xludf.DUMMYFUNCTION("""COMPUTED_VALUE"""),"No")</f>
        <v>No</v>
      </c>
      <c r="AO4" s="5" t="str">
        <f>IFERROR(__xludf.DUMMYFUNCTION("""COMPUTED_VALUE"""),"No")</f>
        <v>No</v>
      </c>
      <c r="AP4" s="5" t="str">
        <f>IFERROR(__xludf.DUMMYFUNCTION("""COMPUTED_VALUE"""),"No")</f>
        <v>No</v>
      </c>
      <c r="AQ4" s="5" t="str">
        <f>IFERROR(__xludf.DUMMYFUNCTION("""COMPUTED_VALUE"""),"No")</f>
        <v>No</v>
      </c>
      <c r="AR4" s="5" t="str">
        <f>IFERROR(__xludf.DUMMYFUNCTION("""COMPUTED_VALUE"""),"No")</f>
        <v>No</v>
      </c>
      <c r="AS4" s="5" t="str">
        <f>IFERROR(__xludf.DUMMYFUNCTION("""COMPUTED_VALUE"""),"Yes")</f>
        <v>Yes</v>
      </c>
      <c r="AT4" s="5" t="str">
        <f>IFERROR(__xludf.DUMMYFUNCTION("""COMPUTED_VALUE"""),"No")</f>
        <v>No</v>
      </c>
      <c r="AU4" s="5"/>
      <c r="AV4" s="5" t="str">
        <f>IFERROR(__xludf.DUMMYFUNCTION("""COMPUTED_VALUE"""),"")</f>
        <v/>
      </c>
      <c r="AW4" s="5" t="str">
        <f>IFERROR(__xludf.DUMMYFUNCTION("""COMPUTED_VALUE"""),"")</f>
        <v/>
      </c>
      <c r="AX4" s="5" t="str">
        <f>IFERROR(__xludf.DUMMYFUNCTION("""COMPUTED_VALUE"""),"Available")</f>
        <v>Available</v>
      </c>
      <c r="AY4" s="5" t="str">
        <f>IFERROR(__xludf.DUMMYFUNCTION("""COMPUTED_VALUE"""),"")</f>
        <v/>
      </c>
      <c r="AZ4" s="5" t="str">
        <f>IFERROR(__xludf.DUMMYFUNCTION("""COMPUTED_VALUE"""),"")</f>
        <v/>
      </c>
      <c r="BA4" s="5" t="str">
        <f>IFERROR(__xludf.DUMMYFUNCTION("""COMPUTED_VALUE"""),"Available")</f>
        <v>Available</v>
      </c>
      <c r="BB4" s="5" t="str">
        <f>IFERROR(__xludf.DUMMYFUNCTION("""COMPUTED_VALUE"""),"")</f>
        <v/>
      </c>
    </row>
    <row r="5">
      <c r="A5" s="5" t="str">
        <f>IFERROR(__xludf.DUMMYFUNCTION("""COMPUTED_VALUE"""),"Redstone")</f>
        <v>Redstone</v>
      </c>
      <c r="B5" s="5" t="str">
        <f>IFERROR(__xludf.DUMMYFUNCTION("""COMPUTED_VALUE"""),"5 Clover Fire")</f>
        <v>5 Clover Fire</v>
      </c>
      <c r="C5" s="5" t="str">
        <f>IFERROR(__xludf.DUMMYFUNCTION("""COMPUTED_VALUE"""),"FireClover5")</f>
        <v>FireClover5</v>
      </c>
      <c r="D5" s="6">
        <f>IFERROR(__xludf.DUMMYFUNCTION("""COMPUTED_VALUE"""),44368.0)</f>
        <v>44368</v>
      </c>
      <c r="E5" s="5" t="str">
        <f>IFERROR(__xludf.DUMMYFUNCTION("""COMPUTED_VALUE"""),"Slot")</f>
        <v>Slot</v>
      </c>
      <c r="F5" s="5">
        <f>IFERROR(__xludf.DUMMYFUNCTION("""COMPUTED_VALUE"""),8.7)</f>
        <v>8.7</v>
      </c>
      <c r="G5" s="5" t="str">
        <f>IFERROR(__xludf.DUMMYFUNCTION("""COMPUTED_VALUE"""),"5x3")</f>
        <v>5x3</v>
      </c>
      <c r="H5" s="5" t="str">
        <f>IFERROR(__xludf.DUMMYFUNCTION("""COMPUTED_VALUE"""),"5")</f>
        <v>5</v>
      </c>
      <c r="I5" s="5" t="str">
        <f>IFERROR(__xludf.DUMMYFUNCTION("""COMPUTED_VALUE"""),"5")</f>
        <v>5</v>
      </c>
      <c r="J5" s="5" t="str">
        <f>IFERROR(__xludf.DUMMYFUNCTION("""COMPUTED_VALUE"""),"96.45%")</f>
        <v>96.45%</v>
      </c>
      <c r="K5" s="5" t="str">
        <f>IFERROR(__xludf.DUMMYFUNCTION("""COMPUTED_VALUE"""),"Medium")</f>
        <v>Medium</v>
      </c>
      <c r="L5" s="5" t="str">
        <f>IFERROR(__xludf.DUMMYFUNCTION("""COMPUTED_VALUE"""),"14.5%")</f>
        <v>14.5%</v>
      </c>
      <c r="M5" s="5" t="str">
        <f>IFERROR(__xludf.DUMMYFUNCTION("""COMPUTED_VALUE"""),"x1222")</f>
        <v>x1222</v>
      </c>
      <c r="N5" s="5" t="str">
        <f>IFERROR(__xludf.DUMMYFUNCTION("""COMPUTED_VALUE"""),"0.05/30")</f>
        <v>0.05/30</v>
      </c>
      <c r="O5" s="5" t="str">
        <f>IFERROR(__xludf.DUMMYFUNCTION("""COMPUTED_VALUE"""),"No")</f>
        <v>No</v>
      </c>
      <c r="P5" s="5" t="str">
        <f>IFERROR(__xludf.DUMMYFUNCTION("""COMPUTED_VALUE"""),"Expanding Wild, Scatter")</f>
        <v>Expanding Wild, Scatter</v>
      </c>
      <c r="Q5" s="7" t="str">
        <f>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R5" s="5" t="str">
        <f>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S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IFERROR(__xludf.DUMMYFUNCTION("""COMPUTED_VALUE"""),"Yes")</f>
        <v>Yes</v>
      </c>
      <c r="AH5" s="5" t="str">
        <f>IFERROR(__xludf.DUMMYFUNCTION("""COMPUTED_VALUE"""),"Yes")</f>
        <v>Yes</v>
      </c>
      <c r="AI5" s="5" t="str">
        <f>IFERROR(__xludf.DUMMYFUNCTION("""COMPUTED_VALUE"""),"Yes")</f>
        <v>Yes</v>
      </c>
      <c r="AJ5" s="5" t="str">
        <f>IFERROR(__xludf.DUMMYFUNCTION("""COMPUTED_VALUE"""),"Yes")</f>
        <v>Yes</v>
      </c>
      <c r="AK5" s="5" t="str">
        <f>IFERROR(__xludf.DUMMYFUNCTION("""COMPUTED_VALUE"""),"Yes")</f>
        <v>Yes</v>
      </c>
      <c r="AL5" s="5" t="str">
        <f>IFERROR(__xludf.DUMMYFUNCTION("""COMPUTED_VALUE"""),"Yes")</f>
        <v>Yes</v>
      </c>
      <c r="AM5" s="5" t="str">
        <f>IFERROR(__xludf.DUMMYFUNCTION("""COMPUTED_VALUE"""),"Yes")</f>
        <v>Yes</v>
      </c>
      <c r="AN5" s="5"/>
      <c r="AO5" s="5"/>
      <c r="AP5" s="5"/>
      <c r="AQ5" s="5" t="str">
        <f>IFERROR(__xludf.DUMMYFUNCTION("""COMPUTED_VALUE"""),"Yes")</f>
        <v>Yes</v>
      </c>
      <c r="AR5" s="5"/>
      <c r="AS5" s="5" t="str">
        <f>IFERROR(__xludf.DUMMYFUNCTION("""COMPUTED_VALUE"""),"Yes")</f>
        <v>Yes</v>
      </c>
      <c r="AT5" s="5"/>
      <c r="AU5" s="5"/>
      <c r="AV5" s="5" t="str">
        <f>IFERROR(__xludf.DUMMYFUNCTION("""COMPUTED_VALUE"""),"Available")</f>
        <v>Available</v>
      </c>
      <c r="AW5" s="5" t="str">
        <f>IFERROR(__xludf.DUMMYFUNCTION("""COMPUTED_VALUE"""),"Available")</f>
        <v>Available</v>
      </c>
      <c r="AX5" s="5" t="str">
        <f>IFERROR(__xludf.DUMMYFUNCTION("""COMPUTED_VALUE"""),"Available")</f>
        <v>Available</v>
      </c>
      <c r="AY5" s="5" t="str">
        <f>IFERROR(__xludf.DUMMYFUNCTION("""COMPUTED_VALUE"""),"Available")</f>
        <v>Available</v>
      </c>
      <c r="AZ5" s="5" t="str">
        <f>IFERROR(__xludf.DUMMYFUNCTION("""COMPUTED_VALUE"""),"")</f>
        <v/>
      </c>
      <c r="BA5" s="5" t="str">
        <f>IFERROR(__xludf.DUMMYFUNCTION("""COMPUTED_VALUE"""),"")</f>
        <v/>
      </c>
      <c r="BB5" s="5" t="str">
        <f>IFERROR(__xludf.DUMMYFUNCTION("""COMPUTED_VALUE"""),"Available")</f>
        <v>Available</v>
      </c>
    </row>
    <row r="6">
      <c r="A6" s="5" t="str">
        <f>IFERROR(__xludf.DUMMYFUNCTION("""COMPUTED_VALUE"""),"Redstone")</f>
        <v>Redstone</v>
      </c>
      <c r="B6" s="5" t="str">
        <f>IFERROR(__xludf.DUMMYFUNCTION("""COMPUTED_VALUE"""),"10 Wild Crown")</f>
        <v>10 Wild Crown</v>
      </c>
      <c r="C6" s="5" t="str">
        <f>IFERROR(__xludf.DUMMYFUNCTION("""COMPUTED_VALUE"""),"WildCrown10")</f>
        <v>WildCrown10</v>
      </c>
      <c r="D6" s="6">
        <f>IFERROR(__xludf.DUMMYFUNCTION("""COMPUTED_VALUE"""),44398.0)</f>
        <v>44398</v>
      </c>
      <c r="E6" s="5" t="str">
        <f>IFERROR(__xludf.DUMMYFUNCTION("""COMPUTED_VALUE"""),"Slot")</f>
        <v>Slot</v>
      </c>
      <c r="F6" s="5">
        <f>IFERROR(__xludf.DUMMYFUNCTION("""COMPUTED_VALUE"""),7.39)</f>
        <v>7.39</v>
      </c>
      <c r="G6" s="5" t="str">
        <f>IFERROR(__xludf.DUMMYFUNCTION("""COMPUTED_VALUE"""),"5x3")</f>
        <v>5x3</v>
      </c>
      <c r="H6" s="5" t="str">
        <f>IFERROR(__xludf.DUMMYFUNCTION("""COMPUTED_VALUE"""),"10")</f>
        <v>10</v>
      </c>
      <c r="I6" s="5" t="str">
        <f>IFERROR(__xludf.DUMMYFUNCTION("""COMPUTED_VALUE"""),"10")</f>
        <v>10</v>
      </c>
      <c r="J6" s="5" t="str">
        <f>IFERROR(__xludf.DUMMYFUNCTION("""COMPUTED_VALUE"""),"95.96%")</f>
        <v>95.96%</v>
      </c>
      <c r="K6" s="5" t="str">
        <f>IFERROR(__xludf.DUMMYFUNCTION("""COMPUTED_VALUE"""),"Medium")</f>
        <v>Medium</v>
      </c>
      <c r="L6" s="5" t="str">
        <f>IFERROR(__xludf.DUMMYFUNCTION("""COMPUTED_VALUE"""),"14.63%")</f>
        <v>14.63%</v>
      </c>
      <c r="M6" s="5" t="str">
        <f>IFERROR(__xludf.DUMMYFUNCTION("""COMPUTED_VALUE"""),"x1538")</f>
        <v>x1538</v>
      </c>
      <c r="N6" s="5" t="str">
        <f>IFERROR(__xludf.DUMMYFUNCTION("""COMPUTED_VALUE"""),"0.10/40")</f>
        <v>0.10/40</v>
      </c>
      <c r="O6" s="5" t="str">
        <f>IFERROR(__xludf.DUMMYFUNCTION("""COMPUTED_VALUE"""),"No")</f>
        <v>No</v>
      </c>
      <c r="P6" s="5" t="str">
        <f>IFERROR(__xludf.DUMMYFUNCTION("""COMPUTED_VALUE"""),"Expanding Wild, Scatter")</f>
        <v>Expanding Wild, Scatter</v>
      </c>
      <c r="Q6" s="7" t="str">
        <f>IFERROR(__xludf.DUMMYFUNCTION("""COMPUTED_VALUE"""),"https://static.redstone.rs/games/10-wild-crown/")</f>
        <v>https://static.redstone.rs/games/10-wild-crown/</v>
      </c>
      <c r="R6" s="5" t="str">
        <f>IFERROR(__xludf.DUMMYFUNCTION("""COMPUTED_VALUE"""),"Hot and explosive experience. Conquer luck and land up to 3 Expanding Wilds for massive wins. The Crown is yours!")</f>
        <v>Hot and explosive experience. Conquer luck and land up to 3 Expanding Wilds for massive wins. The Crown is yours!</v>
      </c>
      <c r="S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 s="5" t="str">
        <f>IFERROR(__xludf.DUMMYFUNCTION("""COMPUTED_VALUE"""),"Yes")</f>
        <v>Yes</v>
      </c>
      <c r="U6" s="5" t="str">
        <f>IFERROR(__xludf.DUMMYFUNCTION("""COMPUTED_VALUE"""),"Yes")</f>
        <v>Yes</v>
      </c>
      <c r="V6" s="5" t="str">
        <f>IFERROR(__xludf.DUMMYFUNCTION("""COMPUTED_VALUE"""),"No")</f>
        <v>No</v>
      </c>
      <c r="W6" s="5" t="str">
        <f>IFERROR(__xludf.DUMMYFUNCTION("""COMPUTED_VALUE"""),"Yes")</f>
        <v>Yes</v>
      </c>
      <c r="X6" s="5" t="str">
        <f>IFERROR(__xludf.DUMMYFUNCTION("""COMPUTED_VALUE"""),"Yes")</f>
        <v>Yes</v>
      </c>
      <c r="Y6" s="5" t="str">
        <f>IFERROR(__xludf.DUMMYFUNCTION("""COMPUTED_VALUE"""),"Yes")</f>
        <v>Yes</v>
      </c>
      <c r="Z6" s="5" t="str">
        <f>IFERROR(__xludf.DUMMYFUNCTION("""COMPUTED_VALUE"""),"Yes")</f>
        <v>Yes</v>
      </c>
      <c r="AA6" s="5" t="str">
        <f>IFERROR(__xludf.DUMMYFUNCTION("""COMPUTED_VALUE"""),"Yes")</f>
        <v>Yes</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IFERROR(__xludf.DUMMYFUNCTION("""COMPUTED_VALUE"""),"Yes")</f>
        <v>Yes</v>
      </c>
      <c r="AH6" s="5" t="str">
        <f>IFERROR(__xludf.DUMMYFUNCTION("""COMPUTED_VALUE"""),"Yes")</f>
        <v>Yes</v>
      </c>
      <c r="AI6" s="5" t="str">
        <f>IFERROR(__xludf.DUMMYFUNCTION("""COMPUTED_VALUE"""),"No")</f>
        <v>No</v>
      </c>
      <c r="AJ6" s="5" t="str">
        <f>IFERROR(__xludf.DUMMYFUNCTION("""COMPUTED_VALUE"""),"No")</f>
        <v>No</v>
      </c>
      <c r="AK6" s="5" t="str">
        <f>IFERROR(__xludf.DUMMYFUNCTION("""COMPUTED_VALUE"""),"No")</f>
        <v>No</v>
      </c>
      <c r="AL6" s="5" t="str">
        <f>IFERROR(__xludf.DUMMYFUNCTION("""COMPUTED_VALUE"""),"No")</f>
        <v>No</v>
      </c>
      <c r="AM6" s="5" t="str">
        <f>IFERROR(__xludf.DUMMYFUNCTION("""COMPUTED_VALUE"""),"No")</f>
        <v>No</v>
      </c>
      <c r="AN6" s="5" t="str">
        <f>IFERROR(__xludf.DUMMYFUNCTION("""COMPUTED_VALUE"""),"No")</f>
        <v>No</v>
      </c>
      <c r="AO6" s="5" t="str">
        <f>IFERROR(__xludf.DUMMYFUNCTION("""COMPUTED_VALUE"""),"No")</f>
        <v>No</v>
      </c>
      <c r="AP6" s="5" t="str">
        <f>IFERROR(__xludf.DUMMYFUNCTION("""COMPUTED_VALUE"""),"No")</f>
        <v>No</v>
      </c>
      <c r="AQ6" s="5" t="str">
        <f>IFERROR(__xludf.DUMMYFUNCTION("""COMPUTED_VALUE"""),"No")</f>
        <v>No</v>
      </c>
      <c r="AR6" s="5" t="str">
        <f>IFERROR(__xludf.DUMMYFUNCTION("""COMPUTED_VALUE"""),"No")</f>
        <v>No</v>
      </c>
      <c r="AS6" s="5" t="str">
        <f>IFERROR(__xludf.DUMMYFUNCTION("""COMPUTED_VALUE"""),"Yes")</f>
        <v>Yes</v>
      </c>
      <c r="AT6" s="5" t="str">
        <f>IFERROR(__xludf.DUMMYFUNCTION("""COMPUTED_VALUE"""),"No")</f>
        <v>No</v>
      </c>
      <c r="AU6" s="5"/>
      <c r="AV6" s="5" t="str">
        <f>IFERROR(__xludf.DUMMYFUNCTION("""COMPUTED_VALUE"""),"")</f>
        <v/>
      </c>
      <c r="AW6" s="5" t="str">
        <f>IFERROR(__xludf.DUMMYFUNCTION("""COMPUTED_VALUE"""),"Available")</f>
        <v>Available</v>
      </c>
      <c r="AX6" s="5" t="str">
        <f>IFERROR(__xludf.DUMMYFUNCTION("""COMPUTED_VALUE"""),"Available")</f>
        <v>Available</v>
      </c>
      <c r="AY6" s="5" t="str">
        <f>IFERROR(__xludf.DUMMYFUNCTION("""COMPUTED_VALUE"""),"Available")</f>
        <v>Available</v>
      </c>
      <c r="AZ6" s="5" t="str">
        <f>IFERROR(__xludf.DUMMYFUNCTION("""COMPUTED_VALUE"""),"")</f>
        <v/>
      </c>
      <c r="BA6" s="5" t="str">
        <f>IFERROR(__xludf.DUMMYFUNCTION("""COMPUTED_VALUE"""),"Available")</f>
        <v>Available</v>
      </c>
      <c r="BB6" s="5" t="str">
        <f>IFERROR(__xludf.DUMMYFUNCTION("""COMPUTED_VALUE"""),"Available")</f>
        <v>Available</v>
      </c>
    </row>
    <row r="7">
      <c r="A7" s="5" t="str">
        <f>IFERROR(__xludf.DUMMYFUNCTION("""COMPUTED_VALUE"""),"Redstone")</f>
        <v>Redstone</v>
      </c>
      <c r="B7" s="5" t="str">
        <f>IFERROR(__xludf.DUMMYFUNCTION("""COMPUTED_VALUE"""),"40 Wild Dice")</f>
        <v>40 Wild Dice</v>
      </c>
      <c r="C7" s="5" t="str">
        <f>IFERROR(__xludf.DUMMYFUNCTION("""COMPUTED_VALUE"""),"WildCloverDice40")</f>
        <v>WildCloverDice40</v>
      </c>
      <c r="D7" s="6">
        <f>IFERROR(__xludf.DUMMYFUNCTION("""COMPUTED_VALUE"""),44433.0)</f>
        <v>44433</v>
      </c>
      <c r="E7" s="5" t="str">
        <f>IFERROR(__xludf.DUMMYFUNCTION("""COMPUTED_VALUE"""),"Dice Slots")</f>
        <v>Dice Slots</v>
      </c>
      <c r="F7" s="5">
        <f>IFERROR(__xludf.DUMMYFUNCTION("""COMPUTED_VALUE"""),9.25)</f>
        <v>9.25</v>
      </c>
      <c r="G7" s="5" t="str">
        <f>IFERROR(__xludf.DUMMYFUNCTION("""COMPUTED_VALUE"""),"5x4")</f>
        <v>5x4</v>
      </c>
      <c r="H7" s="5" t="str">
        <f>IFERROR(__xludf.DUMMYFUNCTION("""COMPUTED_VALUE"""),"40")</f>
        <v>40</v>
      </c>
      <c r="I7" s="5" t="str">
        <f>IFERROR(__xludf.DUMMYFUNCTION("""COMPUTED_VALUE"""),"40")</f>
        <v>40</v>
      </c>
      <c r="J7" s="5" t="str">
        <f>IFERROR(__xludf.DUMMYFUNCTION("""COMPUTED_VALUE"""),"95.32%")</f>
        <v>95.32%</v>
      </c>
      <c r="K7" s="5" t="str">
        <f>IFERROR(__xludf.DUMMYFUNCTION("""COMPUTED_VALUE"""),"Medium")</f>
        <v>Medium</v>
      </c>
      <c r="L7" s="5" t="str">
        <f>IFERROR(__xludf.DUMMYFUNCTION("""COMPUTED_VALUE"""),"12.34%")</f>
        <v>12.34%</v>
      </c>
      <c r="M7" s="5" t="str">
        <f>IFERROR(__xludf.DUMMYFUNCTION("""COMPUTED_VALUE"""),"x2000")</f>
        <v>x2000</v>
      </c>
      <c r="N7" s="5" t="str">
        <f>IFERROR(__xludf.DUMMYFUNCTION("""COMPUTED_VALUE"""),"0.40/60")</f>
        <v>0.40/60</v>
      </c>
      <c r="O7" s="5" t="str">
        <f>IFERROR(__xludf.DUMMYFUNCTION("""COMPUTED_VALUE"""),"No")</f>
        <v>No</v>
      </c>
      <c r="P7" s="5" t="str">
        <f>IFERROR(__xludf.DUMMYFUNCTION("""COMPUTED_VALUE"""),"Bonus Game with Free Spins, Wild Symbol, Scatter")</f>
        <v>Bonus Game with Free Spins, Wild Symbol, Scatter</v>
      </c>
      <c r="Q7" s="7" t="str">
        <f>IFERROR(__xludf.DUMMYFUNCTION("""COMPUTED_VALUE"""),"https://static.redstone.rs/games/40-wild-dice/")</f>
        <v>https://static.redstone.rs/games/40-wild-dice/</v>
      </c>
      <c r="R7" s="5" t="str">
        <f>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S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7" s="5" t="str">
        <f>IFERROR(__xludf.DUMMYFUNCTION("""COMPUTED_VALUE"""),"Yes")</f>
        <v>Yes</v>
      </c>
      <c r="U7" s="5" t="str">
        <f>IFERROR(__xludf.DUMMYFUNCTION("""COMPUTED_VALUE"""),"Yes")</f>
        <v>Yes</v>
      </c>
      <c r="V7" s="5" t="str">
        <f>IFERROR(__xludf.DUMMYFUNCTION("""COMPUTED_VALUE"""),"No")</f>
        <v>No</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IFERROR(__xludf.DUMMYFUNCTION("""COMPUTED_VALUE"""),"No")</f>
        <v>No</v>
      </c>
      <c r="AJ7" s="5" t="str">
        <f>IFERROR(__xludf.DUMMYFUNCTION("""COMPUTED_VALUE"""),"No")</f>
        <v>No</v>
      </c>
      <c r="AK7" s="5" t="str">
        <f>IFERROR(__xludf.DUMMYFUNCTION("""COMPUTED_VALUE"""),"No")</f>
        <v>No</v>
      </c>
      <c r="AL7" s="5" t="str">
        <f>IFERROR(__xludf.DUMMYFUNCTION("""COMPUTED_VALUE"""),"No")</f>
        <v>No</v>
      </c>
      <c r="AM7" s="5" t="str">
        <f>IFERROR(__xludf.DUMMYFUNCTION("""COMPUTED_VALUE"""),"No")</f>
        <v>No</v>
      </c>
      <c r="AN7" s="5" t="str">
        <f>IFERROR(__xludf.DUMMYFUNCTION("""COMPUTED_VALUE"""),"No")</f>
        <v>No</v>
      </c>
      <c r="AO7" s="5" t="str">
        <f>IFERROR(__xludf.DUMMYFUNCTION("""COMPUTED_VALUE"""),"No")</f>
        <v>No</v>
      </c>
      <c r="AP7" s="5" t="str">
        <f>IFERROR(__xludf.DUMMYFUNCTION("""COMPUTED_VALUE"""),"No")</f>
        <v>No</v>
      </c>
      <c r="AQ7" s="5" t="str">
        <f>IFERROR(__xludf.DUMMYFUNCTION("""COMPUTED_VALUE"""),"No")</f>
        <v>No</v>
      </c>
      <c r="AR7" s="5" t="str">
        <f>IFERROR(__xludf.DUMMYFUNCTION("""COMPUTED_VALUE"""),"No")</f>
        <v>No</v>
      </c>
      <c r="AS7" s="5" t="str">
        <f>IFERROR(__xludf.DUMMYFUNCTION("""COMPUTED_VALUE"""),"Yes")</f>
        <v>Yes</v>
      </c>
      <c r="AT7" s="5" t="str">
        <f>IFERROR(__xludf.DUMMYFUNCTION("""COMPUTED_VALUE"""),"No")</f>
        <v>No</v>
      </c>
      <c r="AU7" s="5"/>
      <c r="AV7" s="5" t="str">
        <f>IFERROR(__xludf.DUMMYFUNCTION("""COMPUTED_VALUE"""),"")</f>
        <v/>
      </c>
      <c r="AW7" s="5" t="str">
        <f>IFERROR(__xludf.DUMMYFUNCTION("""COMPUTED_VALUE"""),"")</f>
        <v/>
      </c>
      <c r="AX7" s="5" t="str">
        <f>IFERROR(__xludf.DUMMYFUNCTION("""COMPUTED_VALUE"""),"")</f>
        <v/>
      </c>
      <c r="AY7" s="5" t="str">
        <f>IFERROR(__xludf.DUMMYFUNCTION("""COMPUTED_VALUE"""),"")</f>
        <v/>
      </c>
      <c r="AZ7" s="5" t="str">
        <f>IFERROR(__xludf.DUMMYFUNCTION("""COMPUTED_VALUE"""),"")</f>
        <v/>
      </c>
      <c r="BA7" s="5" t="str">
        <f>IFERROR(__xludf.DUMMYFUNCTION("""COMPUTED_VALUE"""),"")</f>
        <v/>
      </c>
      <c r="BB7" s="5" t="str">
        <f>IFERROR(__xludf.DUMMYFUNCTION("""COMPUTED_VALUE"""),"")</f>
        <v/>
      </c>
    </row>
    <row r="8">
      <c r="A8" s="5" t="str">
        <f>IFERROR(__xludf.DUMMYFUNCTION("""COMPUTED_VALUE"""),"Redstone")</f>
        <v>Redstone</v>
      </c>
      <c r="B8" s="5" t="str">
        <f>IFERROR(__xludf.DUMMYFUNCTION("""COMPUTED_VALUE"""),"5 Dice Fire")</f>
        <v>5 Dice Fire</v>
      </c>
      <c r="C8" s="5" t="str">
        <f>IFERROR(__xludf.DUMMYFUNCTION("""COMPUTED_VALUE"""),"FireCloverDice5")</f>
        <v>FireCloverDice5</v>
      </c>
      <c r="D8" s="6">
        <f>IFERROR(__xludf.DUMMYFUNCTION("""COMPUTED_VALUE"""),44439.0)</f>
        <v>44439</v>
      </c>
      <c r="E8" s="5" t="str">
        <f>IFERROR(__xludf.DUMMYFUNCTION("""COMPUTED_VALUE"""),"Dice Slots")</f>
        <v>Dice Slots</v>
      </c>
      <c r="F8" s="5">
        <f>IFERROR(__xludf.DUMMYFUNCTION("""COMPUTED_VALUE"""),6.25)</f>
        <v>6.25</v>
      </c>
      <c r="G8" s="5" t="str">
        <f>IFERROR(__xludf.DUMMYFUNCTION("""COMPUTED_VALUE"""),"5x3")</f>
        <v>5x3</v>
      </c>
      <c r="H8" s="5" t="str">
        <f>IFERROR(__xludf.DUMMYFUNCTION("""COMPUTED_VALUE"""),"5")</f>
        <v>5</v>
      </c>
      <c r="I8" s="5" t="str">
        <f>IFERROR(__xludf.DUMMYFUNCTION("""COMPUTED_VALUE"""),"5")</f>
        <v>5</v>
      </c>
      <c r="J8" s="5" t="str">
        <f>IFERROR(__xludf.DUMMYFUNCTION("""COMPUTED_VALUE"""),"96.45%")</f>
        <v>96.45%</v>
      </c>
      <c r="K8" s="5" t="str">
        <f>IFERROR(__xludf.DUMMYFUNCTION("""COMPUTED_VALUE"""),"Medium")</f>
        <v>Medium</v>
      </c>
      <c r="L8" s="5" t="str">
        <f>IFERROR(__xludf.DUMMYFUNCTION("""COMPUTED_VALUE"""),"14.5%")</f>
        <v>14.5%</v>
      </c>
      <c r="M8" s="5" t="str">
        <f>IFERROR(__xludf.DUMMYFUNCTION("""COMPUTED_VALUE"""),"x1222")</f>
        <v>x1222</v>
      </c>
      <c r="N8" s="5" t="str">
        <f>IFERROR(__xludf.DUMMYFUNCTION("""COMPUTED_VALUE"""),"0.05/30")</f>
        <v>0.05/30</v>
      </c>
      <c r="O8" s="5" t="str">
        <f>IFERROR(__xludf.DUMMYFUNCTION("""COMPUTED_VALUE"""),"No")</f>
        <v>No</v>
      </c>
      <c r="P8" s="5" t="str">
        <f>IFERROR(__xludf.DUMMYFUNCTION("""COMPUTED_VALUE"""),"Expanding Wild, Scatter")</f>
        <v>Expanding Wild, Scatter</v>
      </c>
      <c r="Q8" s="7" t="str">
        <f>IFERROR(__xludf.DUMMYFUNCTION("""COMPUTED_VALUE"""),"https://static.redstone.rs/games/5-dice-fire/")</f>
        <v>https://static.redstone.rs/games/5-dice-fire/</v>
      </c>
      <c r="R8" s="5" t="str">
        <f>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S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8" s="5" t="str">
        <f>IFERROR(__xludf.DUMMYFUNCTION("""COMPUTED_VALUE"""),"Yes")</f>
        <v>Yes</v>
      </c>
      <c r="U8" s="5" t="str">
        <f>IFERROR(__xludf.DUMMYFUNCTION("""COMPUTED_VALUE"""),"Yes")</f>
        <v>Yes</v>
      </c>
      <c r="V8" s="5" t="str">
        <f>IFERROR(__xludf.DUMMYFUNCTION("""COMPUTED_VALUE"""),"No")</f>
        <v>No</v>
      </c>
      <c r="W8" s="5" t="str">
        <f>IFERROR(__xludf.DUMMYFUNCTION("""COMPUTED_VALUE"""),"Yes")</f>
        <v>Yes</v>
      </c>
      <c r="X8" s="5" t="str">
        <f>IFERROR(__xludf.DUMMYFUNCTION("""COMPUTED_VALUE"""),"Yes")</f>
        <v>Yes</v>
      </c>
      <c r="Y8" s="5" t="str">
        <f>IFERROR(__xludf.DUMMYFUNCTION("""COMPUTED_VALUE"""),"Yes")</f>
        <v>Yes</v>
      </c>
      <c r="Z8" s="5" t="str">
        <f>IFERROR(__xludf.DUMMYFUNCTION("""COMPUTED_VALUE"""),"Yes")</f>
        <v>Yes</v>
      </c>
      <c r="AA8" s="5" t="str">
        <f>IFERROR(__xludf.DUMMYFUNCTION("""COMPUTED_VALUE"""),"Yes")</f>
        <v>Yes</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IFERROR(__xludf.DUMMYFUNCTION("""COMPUTED_VALUE"""),"Yes")</f>
        <v>Yes</v>
      </c>
      <c r="AH8" s="5" t="str">
        <f>IFERROR(__xludf.DUMMYFUNCTION("""COMPUTED_VALUE"""),"Yes")</f>
        <v>Yes</v>
      </c>
      <c r="AI8" s="5" t="str">
        <f>IFERROR(__xludf.DUMMYFUNCTION("""COMPUTED_VALUE"""),"No")</f>
        <v>No</v>
      </c>
      <c r="AJ8" s="5" t="str">
        <f>IFERROR(__xludf.DUMMYFUNCTION("""COMPUTED_VALUE"""),"No")</f>
        <v>No</v>
      </c>
      <c r="AK8" s="5" t="str">
        <f>IFERROR(__xludf.DUMMYFUNCTION("""COMPUTED_VALUE"""),"No")</f>
        <v>No</v>
      </c>
      <c r="AL8" s="5" t="str">
        <f>IFERROR(__xludf.DUMMYFUNCTION("""COMPUTED_VALUE"""),"No")</f>
        <v>No</v>
      </c>
      <c r="AM8" s="5" t="str">
        <f>IFERROR(__xludf.DUMMYFUNCTION("""COMPUTED_VALUE"""),"No")</f>
        <v>No</v>
      </c>
      <c r="AN8" s="5" t="str">
        <f>IFERROR(__xludf.DUMMYFUNCTION("""COMPUTED_VALUE"""),"No")</f>
        <v>No</v>
      </c>
      <c r="AO8" s="5" t="str">
        <f>IFERROR(__xludf.DUMMYFUNCTION("""COMPUTED_VALUE"""),"No")</f>
        <v>No</v>
      </c>
      <c r="AP8" s="5" t="str">
        <f>IFERROR(__xludf.DUMMYFUNCTION("""COMPUTED_VALUE"""),"No")</f>
        <v>No</v>
      </c>
      <c r="AQ8" s="5" t="str">
        <f>IFERROR(__xludf.DUMMYFUNCTION("""COMPUTED_VALUE"""),"No")</f>
        <v>No</v>
      </c>
      <c r="AR8" s="5" t="str">
        <f>IFERROR(__xludf.DUMMYFUNCTION("""COMPUTED_VALUE"""),"No")</f>
        <v>No</v>
      </c>
      <c r="AS8" s="5" t="str">
        <f>IFERROR(__xludf.DUMMYFUNCTION("""COMPUTED_VALUE"""),"Yes")</f>
        <v>Yes</v>
      </c>
      <c r="AT8" s="5" t="str">
        <f>IFERROR(__xludf.DUMMYFUNCTION("""COMPUTED_VALUE"""),"No")</f>
        <v>No</v>
      </c>
      <c r="AU8" s="5"/>
      <c r="AV8" s="5" t="str">
        <f>IFERROR(__xludf.DUMMYFUNCTION("""COMPUTED_VALUE"""),"")</f>
        <v/>
      </c>
      <c r="AW8" s="5" t="str">
        <f>IFERROR(__xludf.DUMMYFUNCTION("""COMPUTED_VALUE"""),"")</f>
        <v/>
      </c>
      <c r="AX8" s="5" t="str">
        <f>IFERROR(__xludf.DUMMYFUNCTION("""COMPUTED_VALUE"""),"")</f>
        <v/>
      </c>
      <c r="AY8" s="5" t="str">
        <f>IFERROR(__xludf.DUMMYFUNCTION("""COMPUTED_VALUE"""),"")</f>
        <v/>
      </c>
      <c r="AZ8" s="5" t="str">
        <f>IFERROR(__xludf.DUMMYFUNCTION("""COMPUTED_VALUE"""),"")</f>
        <v/>
      </c>
      <c r="BA8" s="5" t="str">
        <f>IFERROR(__xludf.DUMMYFUNCTION("""COMPUTED_VALUE"""),"")</f>
        <v/>
      </c>
      <c r="BB8" s="5" t="str">
        <f>IFERROR(__xludf.DUMMYFUNCTION("""COMPUTED_VALUE"""),"")</f>
        <v/>
      </c>
    </row>
    <row r="9">
      <c r="A9" s="5" t="str">
        <f>IFERROR(__xludf.DUMMYFUNCTION("""COMPUTED_VALUE"""),"Redstone")</f>
        <v>Redstone</v>
      </c>
      <c r="B9" s="5" t="str">
        <f>IFERROR(__xludf.DUMMYFUNCTION("""COMPUTED_VALUE"""),"40 Clover Fire")</f>
        <v>40 Clover Fire</v>
      </c>
      <c r="C9" s="5" t="str">
        <f>IFERROR(__xludf.DUMMYFUNCTION("""COMPUTED_VALUE"""),"FireClover40")</f>
        <v>FireClover40</v>
      </c>
      <c r="D9" s="6">
        <f>IFERROR(__xludf.DUMMYFUNCTION("""COMPUTED_VALUE"""),44420.0)</f>
        <v>44420</v>
      </c>
      <c r="E9" s="5" t="str">
        <f>IFERROR(__xludf.DUMMYFUNCTION("""COMPUTED_VALUE"""),"Slot")</f>
        <v>Slot</v>
      </c>
      <c r="F9" s="5">
        <f>IFERROR(__xludf.DUMMYFUNCTION("""COMPUTED_VALUE"""),8.56)</f>
        <v>8.56</v>
      </c>
      <c r="G9" s="5" t="str">
        <f>IFERROR(__xludf.DUMMYFUNCTION("""COMPUTED_VALUE"""),"5x3")</f>
        <v>5x3</v>
      </c>
      <c r="H9" s="5" t="str">
        <f>IFERROR(__xludf.DUMMYFUNCTION("""COMPUTED_VALUE"""),"40")</f>
        <v>40</v>
      </c>
      <c r="I9" s="5" t="str">
        <f>IFERROR(__xludf.DUMMYFUNCTION("""COMPUTED_VALUE"""),"40")</f>
        <v>40</v>
      </c>
      <c r="J9" s="5" t="str">
        <f>IFERROR(__xludf.DUMMYFUNCTION("""COMPUTED_VALUE"""),"96.53%")</f>
        <v>96.53%</v>
      </c>
      <c r="K9" s="5" t="str">
        <f>IFERROR(__xludf.DUMMYFUNCTION("""COMPUTED_VALUE"""),"Low")</f>
        <v>Low</v>
      </c>
      <c r="L9" s="5" t="str">
        <f>IFERROR(__xludf.DUMMYFUNCTION("""COMPUTED_VALUE"""),"23.37%")</f>
        <v>23.37%</v>
      </c>
      <c r="M9" s="5" t="str">
        <f>IFERROR(__xludf.DUMMYFUNCTION("""COMPUTED_VALUE"""),"x3507")</f>
        <v>x3507</v>
      </c>
      <c r="N9" s="5" t="str">
        <f>IFERROR(__xludf.DUMMYFUNCTION("""COMPUTED_VALUE"""),"0.40/60")</f>
        <v>0.40/60</v>
      </c>
      <c r="O9" s="5" t="str">
        <f>IFERROR(__xludf.DUMMYFUNCTION("""COMPUTED_VALUE"""),"No")</f>
        <v>No</v>
      </c>
      <c r="P9" s="5" t="str">
        <f>IFERROR(__xludf.DUMMYFUNCTION("""COMPUTED_VALUE"""),"Expanding Wild, Scatter")</f>
        <v>Expanding Wild, Scatter</v>
      </c>
      <c r="Q9" s="7" t="str">
        <f>IFERROR(__xludf.DUMMYFUNCTION("""COMPUTED_VALUE"""),"https://static.redstone.rs/games/40-clover-fire/")</f>
        <v>https://static.redstone.rs/games/40-clover-fire/</v>
      </c>
      <c r="R9" s="5" t="str">
        <f>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S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9" s="5" t="str">
        <f>IFERROR(__xludf.DUMMYFUNCTION("""COMPUTED_VALUE"""),"Yes")</f>
        <v>Yes</v>
      </c>
      <c r="U9" s="5" t="str">
        <f>IFERROR(__xludf.DUMMYFUNCTION("""COMPUTED_VALUE"""),"Yes")</f>
        <v>Yes</v>
      </c>
      <c r="V9" s="5" t="str">
        <f>IFERROR(__xludf.DUMMYFUNCTION("""COMPUTED_VALUE"""),"No")</f>
        <v>No</v>
      </c>
      <c r="W9" s="5" t="str">
        <f>IFERROR(__xludf.DUMMYFUNCTION("""COMPUTED_VALUE"""),"Yes")</f>
        <v>Yes</v>
      </c>
      <c r="X9" s="5" t="str">
        <f>IFERROR(__xludf.DUMMYFUNCTION("""COMPUTED_VALUE"""),"Yes")</f>
        <v>Yes</v>
      </c>
      <c r="Y9" s="5" t="str">
        <f>IFERROR(__xludf.DUMMYFUNCTION("""COMPUTED_VALUE"""),"Yes")</f>
        <v>Yes</v>
      </c>
      <c r="Z9" s="5" t="str">
        <f>IFERROR(__xludf.DUMMYFUNCTION("""COMPUTED_VALUE"""),"Yes")</f>
        <v>Yes</v>
      </c>
      <c r="AA9" s="5" t="str">
        <f>IFERROR(__xludf.DUMMYFUNCTION("""COMPUTED_VALUE"""),"Yes")</f>
        <v>Yes</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IFERROR(__xludf.DUMMYFUNCTION("""COMPUTED_VALUE"""),"Yes")</f>
        <v>Yes</v>
      </c>
      <c r="AH9" s="5" t="str">
        <f>IFERROR(__xludf.DUMMYFUNCTION("""COMPUTED_VALUE"""),"Yes")</f>
        <v>Yes</v>
      </c>
      <c r="AI9" s="5" t="str">
        <f>IFERROR(__xludf.DUMMYFUNCTION("""COMPUTED_VALUE"""),"No")</f>
        <v>No</v>
      </c>
      <c r="AJ9" s="5" t="str">
        <f>IFERROR(__xludf.DUMMYFUNCTION("""COMPUTED_VALUE"""),"No")</f>
        <v>No</v>
      </c>
      <c r="AK9" s="5" t="str">
        <f>IFERROR(__xludf.DUMMYFUNCTION("""COMPUTED_VALUE"""),"No")</f>
        <v>No</v>
      </c>
      <c r="AL9" s="5" t="str">
        <f>IFERROR(__xludf.DUMMYFUNCTION("""COMPUTED_VALUE"""),"No")</f>
        <v>No</v>
      </c>
      <c r="AM9" s="5" t="str">
        <f>IFERROR(__xludf.DUMMYFUNCTION("""COMPUTED_VALUE"""),"No")</f>
        <v>No</v>
      </c>
      <c r="AN9" s="5" t="str">
        <f>IFERROR(__xludf.DUMMYFUNCTION("""COMPUTED_VALUE"""),"No")</f>
        <v>No</v>
      </c>
      <c r="AO9" s="5" t="str">
        <f>IFERROR(__xludf.DUMMYFUNCTION("""COMPUTED_VALUE"""),"No")</f>
        <v>No</v>
      </c>
      <c r="AP9" s="5" t="str">
        <f>IFERROR(__xludf.DUMMYFUNCTION("""COMPUTED_VALUE"""),"No")</f>
        <v>No</v>
      </c>
      <c r="AQ9" s="5" t="str">
        <f>IFERROR(__xludf.DUMMYFUNCTION("""COMPUTED_VALUE"""),"No")</f>
        <v>No</v>
      </c>
      <c r="AR9" s="5" t="str">
        <f>IFERROR(__xludf.DUMMYFUNCTION("""COMPUTED_VALUE"""),"No")</f>
        <v>No</v>
      </c>
      <c r="AS9" s="5" t="str">
        <f>IFERROR(__xludf.DUMMYFUNCTION("""COMPUTED_VALUE"""),"Yes")</f>
        <v>Yes</v>
      </c>
      <c r="AT9" s="5" t="str">
        <f>IFERROR(__xludf.DUMMYFUNCTION("""COMPUTED_VALUE"""),"No")</f>
        <v>No</v>
      </c>
      <c r="AU9" s="5"/>
      <c r="AV9" s="5" t="str">
        <f>IFERROR(__xludf.DUMMYFUNCTION("""COMPUTED_VALUE"""),"")</f>
        <v/>
      </c>
      <c r="AW9" s="5" t="str">
        <f>IFERROR(__xludf.DUMMYFUNCTION("""COMPUTED_VALUE"""),"Available")</f>
        <v>Available</v>
      </c>
      <c r="AX9" s="5" t="str">
        <f>IFERROR(__xludf.DUMMYFUNCTION("""COMPUTED_VALUE"""),"Available")</f>
        <v>Available</v>
      </c>
      <c r="AY9" s="5" t="str">
        <f>IFERROR(__xludf.DUMMYFUNCTION("""COMPUTED_VALUE"""),"Available")</f>
        <v>Available</v>
      </c>
      <c r="AZ9" s="5" t="str">
        <f>IFERROR(__xludf.DUMMYFUNCTION("""COMPUTED_VALUE"""),"")</f>
        <v/>
      </c>
      <c r="BA9" s="5" t="str">
        <f>IFERROR(__xludf.DUMMYFUNCTION("""COMPUTED_VALUE"""),"")</f>
        <v/>
      </c>
      <c r="BB9" s="5" t="str">
        <f>IFERROR(__xludf.DUMMYFUNCTION("""COMPUTED_VALUE"""),"Available")</f>
        <v>Available</v>
      </c>
    </row>
    <row r="10">
      <c r="A10" s="5" t="str">
        <f>IFERROR(__xludf.DUMMYFUNCTION("""COMPUTED_VALUE"""),"Redstone")</f>
        <v>Redstone</v>
      </c>
      <c r="B10" s="5" t="str">
        <f>IFERROR(__xludf.DUMMYFUNCTION("""COMPUTED_VALUE"""),"50 Wild Cash")</f>
        <v>50 Wild Cash</v>
      </c>
      <c r="C10" s="5" t="str">
        <f>IFERROR(__xludf.DUMMYFUNCTION("""COMPUTED_VALUE"""),"WildClover506")</f>
        <v>WildClover506</v>
      </c>
      <c r="D10" s="6">
        <f>IFERROR(__xludf.DUMMYFUNCTION("""COMPUTED_VALUE"""),44462.0)</f>
        <v>44462</v>
      </c>
      <c r="E10" s="5" t="str">
        <f>IFERROR(__xludf.DUMMYFUNCTION("""COMPUTED_VALUE"""),"Slot")</f>
        <v>Slot</v>
      </c>
      <c r="F10" s="5">
        <f>IFERROR(__xludf.DUMMYFUNCTION("""COMPUTED_VALUE"""),7.02)</f>
        <v>7.02</v>
      </c>
      <c r="G10" s="5" t="str">
        <f>IFERROR(__xludf.DUMMYFUNCTION("""COMPUTED_VALUE"""),"6x4")</f>
        <v>6x4</v>
      </c>
      <c r="H10" s="5" t="str">
        <f>IFERROR(__xludf.DUMMYFUNCTION("""COMPUTED_VALUE"""),"50")</f>
        <v>50</v>
      </c>
      <c r="I10" s="5" t="str">
        <f>IFERROR(__xludf.DUMMYFUNCTION("""COMPUTED_VALUE"""),"50")</f>
        <v>50</v>
      </c>
      <c r="J10" s="5" t="str">
        <f>IFERROR(__xludf.DUMMYFUNCTION("""COMPUTED_VALUE"""),"95.26%")</f>
        <v>95.26%</v>
      </c>
      <c r="K10" s="5" t="str">
        <f>IFERROR(__xludf.DUMMYFUNCTION("""COMPUTED_VALUE"""),"Medium")</f>
        <v>Medium</v>
      </c>
      <c r="L10" s="5" t="str">
        <f>IFERROR(__xludf.DUMMYFUNCTION("""COMPUTED_VALUE"""),"13.33%")</f>
        <v>13.33%</v>
      </c>
      <c r="M10" s="5" t="str">
        <f>IFERROR(__xludf.DUMMYFUNCTION("""COMPUTED_VALUE"""),"x2500")</f>
        <v>x2500</v>
      </c>
      <c r="N10" s="5" t="str">
        <f>IFERROR(__xludf.DUMMYFUNCTION("""COMPUTED_VALUE"""),"0.5/75")</f>
        <v>0.5/75</v>
      </c>
      <c r="O10" s="5" t="str">
        <f>IFERROR(__xludf.DUMMYFUNCTION("""COMPUTED_VALUE"""),"No")</f>
        <v>No</v>
      </c>
      <c r="P10" s="5" t="str">
        <f>IFERROR(__xludf.DUMMYFUNCTION("""COMPUTED_VALUE"""),"Bonus Game with Free Spins, Special Wild, Scatter")</f>
        <v>Bonus Game with Free Spins, Special Wild, Scatter</v>
      </c>
      <c r="Q10" s="7" t="str">
        <f>IFERROR(__xludf.DUMMYFUNCTION("""COMPUTED_VALUE"""),"https://static.redstone.rs/games/50-wild-cash/")</f>
        <v>https://static.redstone.rs/games/50-wild-cash/</v>
      </c>
      <c r="R10" s="5" t="str">
        <f>IFERROR(__xludf.DUMMYFUNCTION("""COMPUTED_VALUE"""),"Wild Pots full of gold! With a little bit of luck you can land full reels of stacked Wild Pots for massive wins. Free Games symbols trigger Free Spins feature. ")</f>
        <v>Wild Pots full of gold! With a little bit of luck you can land full reels of stacked Wild Pots for massive wins. Free Games symbols trigger Free Spins feature. </v>
      </c>
      <c r="S10"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0" s="5" t="str">
        <f>IFERROR(__xludf.DUMMYFUNCTION("""COMPUTED_VALUE"""),"Yes")</f>
        <v>Yes</v>
      </c>
      <c r="U10" s="5" t="str">
        <f>IFERROR(__xludf.DUMMYFUNCTION("""COMPUTED_VALUE"""),"Yes")</f>
        <v>Yes</v>
      </c>
      <c r="V10" s="5" t="str">
        <f>IFERROR(__xludf.DUMMYFUNCTION("""COMPUTED_VALUE"""),"No")</f>
        <v>No</v>
      </c>
      <c r="W10" s="5" t="str">
        <f>IFERROR(__xludf.DUMMYFUNCTION("""COMPUTED_VALUE"""),"Yes")</f>
        <v>Yes</v>
      </c>
      <c r="X10" s="5" t="str">
        <f>IFERROR(__xludf.DUMMYFUNCTION("""COMPUTED_VALUE"""),"Yes")</f>
        <v>Yes</v>
      </c>
      <c r="Y10" s="5" t="str">
        <f>IFERROR(__xludf.DUMMYFUNCTION("""COMPUTED_VALUE"""),"Yes")</f>
        <v>Yes</v>
      </c>
      <c r="Z10" s="5" t="str">
        <f>IFERROR(__xludf.DUMMYFUNCTION("""COMPUTED_VALUE"""),"Yes")</f>
        <v>Yes</v>
      </c>
      <c r="AA10" s="5" t="str">
        <f>IFERROR(__xludf.DUMMYFUNCTION("""COMPUTED_VALUE"""),"Yes")</f>
        <v>Yes</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IFERROR(__xludf.DUMMYFUNCTION("""COMPUTED_VALUE"""),"No")</f>
        <v>No</v>
      </c>
      <c r="AG10" s="5" t="str">
        <f>IFERROR(__xludf.DUMMYFUNCTION("""COMPUTED_VALUE"""),"No")</f>
        <v>No</v>
      </c>
      <c r="AH10" s="5" t="str">
        <f>IFERROR(__xludf.DUMMYFUNCTION("""COMPUTED_VALUE"""),"Yes")</f>
        <v>Yes</v>
      </c>
      <c r="AI10" s="5" t="str">
        <f>IFERROR(__xludf.DUMMYFUNCTION("""COMPUTED_VALUE"""),"No")</f>
        <v>No</v>
      </c>
      <c r="AJ10" s="5" t="str">
        <f>IFERROR(__xludf.DUMMYFUNCTION("""COMPUTED_VALUE"""),"No")</f>
        <v>No</v>
      </c>
      <c r="AK10" s="5" t="str">
        <f>IFERROR(__xludf.DUMMYFUNCTION("""COMPUTED_VALUE"""),"No")</f>
        <v>No</v>
      </c>
      <c r="AL10" s="5" t="str">
        <f>IFERROR(__xludf.DUMMYFUNCTION("""COMPUTED_VALUE"""),"No")</f>
        <v>No</v>
      </c>
      <c r="AM10" s="5" t="str">
        <f>IFERROR(__xludf.DUMMYFUNCTION("""COMPUTED_VALUE"""),"No")</f>
        <v>No</v>
      </c>
      <c r="AN10" s="5" t="str">
        <f>IFERROR(__xludf.DUMMYFUNCTION("""COMPUTED_VALUE"""),"No")</f>
        <v>No</v>
      </c>
      <c r="AO10" s="5" t="str">
        <f>IFERROR(__xludf.DUMMYFUNCTION("""COMPUTED_VALUE"""),"No")</f>
        <v>No</v>
      </c>
      <c r="AP10" s="5" t="str">
        <f>IFERROR(__xludf.DUMMYFUNCTION("""COMPUTED_VALUE"""),"No")</f>
        <v>No</v>
      </c>
      <c r="AQ10" s="5" t="str">
        <f>IFERROR(__xludf.DUMMYFUNCTION("""COMPUTED_VALUE"""),"No")</f>
        <v>No</v>
      </c>
      <c r="AR10" s="5" t="str">
        <f>IFERROR(__xludf.DUMMYFUNCTION("""COMPUTED_VALUE"""),"No")</f>
        <v>No</v>
      </c>
      <c r="AS10" s="5" t="str">
        <f>IFERROR(__xludf.DUMMYFUNCTION("""COMPUTED_VALUE"""),"Yes")</f>
        <v>Yes</v>
      </c>
      <c r="AT10" s="5" t="str">
        <f>IFERROR(__xludf.DUMMYFUNCTION("""COMPUTED_VALUE"""),"No")</f>
        <v>No</v>
      </c>
      <c r="AU10" s="5"/>
      <c r="AV10" s="5" t="str">
        <f>IFERROR(__xludf.DUMMYFUNCTION("""COMPUTED_VALUE"""),"")</f>
        <v/>
      </c>
      <c r="AW10" s="5" t="str">
        <f>IFERROR(__xludf.DUMMYFUNCTION("""COMPUTED_VALUE"""),"Available")</f>
        <v>Available</v>
      </c>
      <c r="AX10" s="5" t="str">
        <f>IFERROR(__xludf.DUMMYFUNCTION("""COMPUTED_VALUE"""),"")</f>
        <v/>
      </c>
      <c r="AY10" s="5" t="str">
        <f>IFERROR(__xludf.DUMMYFUNCTION("""COMPUTED_VALUE"""),"Available")</f>
        <v>Available</v>
      </c>
      <c r="AZ10" s="5" t="str">
        <f>IFERROR(__xludf.DUMMYFUNCTION("""COMPUTED_VALUE"""),"Available")</f>
        <v>Available</v>
      </c>
      <c r="BA10" s="5" t="str">
        <f>IFERROR(__xludf.DUMMYFUNCTION("""COMPUTED_VALUE"""),"")</f>
        <v/>
      </c>
      <c r="BB10" s="5" t="str">
        <f>IFERROR(__xludf.DUMMYFUNCTION("""COMPUTED_VALUE"""),"Available")</f>
        <v>Available</v>
      </c>
    </row>
    <row r="11">
      <c r="A11" s="5" t="str">
        <f>IFERROR(__xludf.DUMMYFUNCTION("""COMPUTED_VALUE"""),"Redstone")</f>
        <v>Redstone</v>
      </c>
      <c r="B11" s="5" t="str">
        <f>IFERROR(__xludf.DUMMYFUNCTION("""COMPUTED_VALUE"""),"Lost Book")</f>
        <v>Lost Book</v>
      </c>
      <c r="C11" s="5" t="str">
        <f>IFERROR(__xludf.DUMMYFUNCTION("""COMPUTED_VALUE"""),"LostBook")</f>
        <v>LostBook</v>
      </c>
      <c r="D11" s="6">
        <f>IFERROR(__xludf.DUMMYFUNCTION("""COMPUTED_VALUE"""),44522.0)</f>
        <v>44522</v>
      </c>
      <c r="E11" s="5" t="str">
        <f>IFERROR(__xludf.DUMMYFUNCTION("""COMPUTED_VALUE"""),"Slot")</f>
        <v>Slot</v>
      </c>
      <c r="F11" s="5">
        <f>IFERROR(__xludf.DUMMYFUNCTION("""COMPUTED_VALUE"""),12.0)</f>
        <v>12</v>
      </c>
      <c r="G11" s="5" t="str">
        <f>IFERROR(__xludf.DUMMYFUNCTION("""COMPUTED_VALUE"""),"5x3")</f>
        <v>5x3</v>
      </c>
      <c r="H11" s="5" t="str">
        <f>IFERROR(__xludf.DUMMYFUNCTION("""COMPUTED_VALUE"""),"10")</f>
        <v>10</v>
      </c>
      <c r="I11" s="5" t="str">
        <f>IFERROR(__xludf.DUMMYFUNCTION("""COMPUTED_VALUE"""),"10")</f>
        <v>10</v>
      </c>
      <c r="J11" s="5" t="str">
        <f>IFERROR(__xludf.DUMMYFUNCTION("""COMPUTED_VALUE"""),"96.2%")</f>
        <v>96.2%</v>
      </c>
      <c r="K11" s="5" t="str">
        <f>IFERROR(__xludf.DUMMYFUNCTION("""COMPUTED_VALUE"""),"High")</f>
        <v>High</v>
      </c>
      <c r="L11" s="5" t="str">
        <f>IFERROR(__xludf.DUMMYFUNCTION("""COMPUTED_VALUE"""),"12.34%")</f>
        <v>12.34%</v>
      </c>
      <c r="M11" s="5" t="str">
        <f>IFERROR(__xludf.DUMMYFUNCTION("""COMPUTED_VALUE"""),"x5512")</f>
        <v>x5512</v>
      </c>
      <c r="N11" s="5" t="str">
        <f>IFERROR(__xludf.DUMMYFUNCTION("""COMPUTED_VALUE"""),"0.10/40")</f>
        <v>0.10/40</v>
      </c>
      <c r="O11" s="5" t="str">
        <f>IFERROR(__xludf.DUMMYFUNCTION("""COMPUTED_VALUE"""),"No")</f>
        <v>No</v>
      </c>
      <c r="P11" s="5" t="str">
        <f>IFERROR(__xludf.DUMMYFUNCTION("""COMPUTED_VALUE"""),"Bonus Game with Free Spins, Wild Symbol, Scatter")</f>
        <v>Bonus Game with Free Spins, Wild Symbol, Scatter</v>
      </c>
      <c r="Q11" s="7" t="str">
        <f>IFERROR(__xludf.DUMMYFUNCTION("""COMPUTED_VALUE"""),"https://static.redstone.rs/games/lost-book/")</f>
        <v>https://static.redstone.rs/games/lost-book/</v>
      </c>
      <c r="R11" s="5" t="str">
        <f>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S11"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1" s="5" t="str">
        <f>IFERROR(__xludf.DUMMYFUNCTION("""COMPUTED_VALUE"""),"Yes")</f>
        <v>Yes</v>
      </c>
      <c r="U11" s="5" t="str">
        <f>IFERROR(__xludf.DUMMYFUNCTION("""COMPUTED_VALUE"""),"Yes")</f>
        <v>Yes</v>
      </c>
      <c r="V11" s="5" t="str">
        <f>IFERROR(__xludf.DUMMYFUNCTION("""COMPUTED_VALUE"""),"No")</f>
        <v>No</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IFERROR(__xludf.DUMMYFUNCTION("""COMPUTED_VALUE"""),"No")</f>
        <v>No</v>
      </c>
      <c r="AG11" s="5" t="str">
        <f>IFERROR(__xludf.DUMMYFUNCTION("""COMPUTED_VALUE"""),"No")</f>
        <v>No</v>
      </c>
      <c r="AH11" s="5" t="str">
        <f>IFERROR(__xludf.DUMMYFUNCTION("""COMPUTED_VALUE"""),"Yes")</f>
        <v>Yes</v>
      </c>
      <c r="AI11" s="5" t="str">
        <f>IFERROR(__xludf.DUMMYFUNCTION("""COMPUTED_VALUE"""),"No")</f>
        <v>No</v>
      </c>
      <c r="AJ11" s="5" t="str">
        <f>IFERROR(__xludf.DUMMYFUNCTION("""COMPUTED_VALUE"""),"No")</f>
        <v>No</v>
      </c>
      <c r="AK11" s="5" t="str">
        <f>IFERROR(__xludf.DUMMYFUNCTION("""COMPUTED_VALUE"""),"No")</f>
        <v>No</v>
      </c>
      <c r="AL11" s="5" t="str">
        <f>IFERROR(__xludf.DUMMYFUNCTION("""COMPUTED_VALUE"""),"No")</f>
        <v>No</v>
      </c>
      <c r="AM11" s="5" t="str">
        <f>IFERROR(__xludf.DUMMYFUNCTION("""COMPUTED_VALUE"""),"No")</f>
        <v>No</v>
      </c>
      <c r="AN11" s="5" t="str">
        <f>IFERROR(__xludf.DUMMYFUNCTION("""COMPUTED_VALUE"""),"No")</f>
        <v>No</v>
      </c>
      <c r="AO11" s="5" t="str">
        <f>IFERROR(__xludf.DUMMYFUNCTION("""COMPUTED_VALUE"""),"No")</f>
        <v>No</v>
      </c>
      <c r="AP11" s="5" t="str">
        <f>IFERROR(__xludf.DUMMYFUNCTION("""COMPUTED_VALUE"""),"No")</f>
        <v>No</v>
      </c>
      <c r="AQ11" s="5" t="str">
        <f>IFERROR(__xludf.DUMMYFUNCTION("""COMPUTED_VALUE"""),"No")</f>
        <v>No</v>
      </c>
      <c r="AR11" s="5" t="str">
        <f>IFERROR(__xludf.DUMMYFUNCTION("""COMPUTED_VALUE"""),"No")</f>
        <v>No</v>
      </c>
      <c r="AS11" s="5" t="str">
        <f>IFERROR(__xludf.DUMMYFUNCTION("""COMPUTED_VALUE"""),"Yes")</f>
        <v>Yes</v>
      </c>
      <c r="AT11" s="5" t="str">
        <f>IFERROR(__xludf.DUMMYFUNCTION("""COMPUTED_VALUE"""),"No")</f>
        <v>No</v>
      </c>
      <c r="AU11" s="5"/>
      <c r="AV11" s="5" t="str">
        <f>IFERROR(__xludf.DUMMYFUNCTION("""COMPUTED_VALUE"""),"")</f>
        <v/>
      </c>
      <c r="AW11" s="5" t="str">
        <f>IFERROR(__xludf.DUMMYFUNCTION("""COMPUTED_VALUE"""),"Available")</f>
        <v>Available</v>
      </c>
      <c r="AX11" s="5" t="str">
        <f>IFERROR(__xludf.DUMMYFUNCTION("""COMPUTED_VALUE"""),"Available")</f>
        <v>Available</v>
      </c>
      <c r="AY11" s="5" t="str">
        <f>IFERROR(__xludf.DUMMYFUNCTION("""COMPUTED_VALUE"""),"Available")</f>
        <v>Available</v>
      </c>
      <c r="AZ11" s="5" t="str">
        <f>IFERROR(__xludf.DUMMYFUNCTION("""COMPUTED_VALUE"""),"")</f>
        <v/>
      </c>
      <c r="BA11" s="5" t="str">
        <f>IFERROR(__xludf.DUMMYFUNCTION("""COMPUTED_VALUE"""),"")</f>
        <v/>
      </c>
      <c r="BB11" s="5" t="str">
        <f>IFERROR(__xludf.DUMMYFUNCTION("""COMPUTED_VALUE"""),"Available")</f>
        <v>Available</v>
      </c>
    </row>
    <row r="12">
      <c r="A12" s="5" t="str">
        <f>IFERROR(__xludf.DUMMYFUNCTION("""COMPUTED_VALUE"""),"Redstone")</f>
        <v>Redstone</v>
      </c>
      <c r="B12" s="5" t="str">
        <f>IFERROR(__xludf.DUMMYFUNCTION("""COMPUTED_VALUE"""),"Fire Dice 40")</f>
        <v>Fire Dice 40</v>
      </c>
      <c r="C12" s="5" t="str">
        <f>IFERROR(__xludf.DUMMYFUNCTION("""COMPUTED_VALUE"""),"FireDice40")</f>
        <v>FireDice40</v>
      </c>
      <c r="D12" s="6">
        <f>IFERROR(__xludf.DUMMYFUNCTION("""COMPUTED_VALUE"""),44438.0)</f>
        <v>44438</v>
      </c>
      <c r="E12" s="5" t="str">
        <f>IFERROR(__xludf.DUMMYFUNCTION("""COMPUTED_VALUE"""),"Dice Slots")</f>
        <v>Dice Slots</v>
      </c>
      <c r="F12" s="5">
        <f>IFERROR(__xludf.DUMMYFUNCTION("""COMPUTED_VALUE"""),7.03)</f>
        <v>7.03</v>
      </c>
      <c r="G12" s="5" t="str">
        <f>IFERROR(__xludf.DUMMYFUNCTION("""COMPUTED_VALUE"""),"5x3")</f>
        <v>5x3</v>
      </c>
      <c r="H12" s="5" t="str">
        <f>IFERROR(__xludf.DUMMYFUNCTION("""COMPUTED_VALUE"""),"40")</f>
        <v>40</v>
      </c>
      <c r="I12" s="5" t="str">
        <f>IFERROR(__xludf.DUMMYFUNCTION("""COMPUTED_VALUE"""),"40")</f>
        <v>40</v>
      </c>
      <c r="J12" s="5" t="str">
        <f>IFERROR(__xludf.DUMMYFUNCTION("""COMPUTED_VALUE"""),"96.53%")</f>
        <v>96.53%</v>
      </c>
      <c r="K12" s="5" t="str">
        <f>IFERROR(__xludf.DUMMYFUNCTION("""COMPUTED_VALUE"""),"Low")</f>
        <v>Low</v>
      </c>
      <c r="L12" s="5" t="str">
        <f>IFERROR(__xludf.DUMMYFUNCTION("""COMPUTED_VALUE"""),"23.38%")</f>
        <v>23.38%</v>
      </c>
      <c r="M12" s="5" t="str">
        <f>IFERROR(__xludf.DUMMYFUNCTION("""COMPUTED_VALUE"""),"x3507")</f>
        <v>x3507</v>
      </c>
      <c r="N12" s="5" t="str">
        <f>IFERROR(__xludf.DUMMYFUNCTION("""COMPUTED_VALUE"""),"0.40/60")</f>
        <v>0.40/60</v>
      </c>
      <c r="O12" s="5" t="str">
        <f>IFERROR(__xludf.DUMMYFUNCTION("""COMPUTED_VALUE"""),"No")</f>
        <v>No</v>
      </c>
      <c r="P12" s="5" t="str">
        <f>IFERROR(__xludf.DUMMYFUNCTION("""COMPUTED_VALUE"""),"Expanding Wild, Scatter")</f>
        <v>Expanding Wild, Scatter</v>
      </c>
      <c r="Q12" s="7" t="str">
        <f>IFERROR(__xludf.DUMMYFUNCTION("""COMPUTED_VALUE"""),"https://static.redstone.rs/games/40-dice-fire/")</f>
        <v>https://static.redstone.rs/games/40-dice-fire/</v>
      </c>
      <c r="R12" s="5" t="str">
        <f>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S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IFERROR(__xludf.DUMMYFUNCTION("""COMPUTED_VALUE"""),"Yes")</f>
        <v>Yes</v>
      </c>
      <c r="AJ12" s="5" t="str">
        <f>IFERROR(__xludf.DUMMYFUNCTION("""COMPUTED_VALUE"""),"Yes")</f>
        <v>Yes</v>
      </c>
      <c r="AK12" s="5" t="str">
        <f>IFERROR(__xludf.DUMMYFUNCTION("""COMPUTED_VALUE"""),"Yes")</f>
        <v>Yes</v>
      </c>
      <c r="AL12" s="5" t="str">
        <f>IFERROR(__xludf.DUMMYFUNCTION("""COMPUTED_VALUE"""),"Yes")</f>
        <v>Yes</v>
      </c>
      <c r="AM12" s="5" t="str">
        <f>IFERROR(__xludf.DUMMYFUNCTION("""COMPUTED_VALUE"""),"Yes")</f>
        <v>Yes</v>
      </c>
      <c r="AN12" s="5"/>
      <c r="AO12" s="5"/>
      <c r="AP12" s="5"/>
      <c r="AQ12" s="5" t="str">
        <f>IFERROR(__xludf.DUMMYFUNCTION("""COMPUTED_VALUE"""),"Yes")</f>
        <v>Yes</v>
      </c>
      <c r="AR12" s="5"/>
      <c r="AS12" s="5"/>
      <c r="AT12" s="5"/>
      <c r="AU12" s="5"/>
      <c r="AV12" s="5" t="str">
        <f>IFERROR(__xludf.DUMMYFUNCTION("""COMPUTED_VALUE"""),"")</f>
        <v/>
      </c>
      <c r="AW12" s="5" t="str">
        <f>IFERROR(__xludf.DUMMYFUNCTION("""COMPUTED_VALUE"""),"")</f>
        <v/>
      </c>
      <c r="AX12" s="5" t="str">
        <f>IFERROR(__xludf.DUMMYFUNCTION("""COMPUTED_VALUE"""),"")</f>
        <v/>
      </c>
      <c r="AY12" s="5" t="str">
        <f>IFERROR(__xludf.DUMMYFUNCTION("""COMPUTED_VALUE"""),"")</f>
        <v/>
      </c>
      <c r="AZ12" s="5" t="str">
        <f>IFERROR(__xludf.DUMMYFUNCTION("""COMPUTED_VALUE"""),"")</f>
        <v/>
      </c>
      <c r="BA12" s="5" t="str">
        <f>IFERROR(__xludf.DUMMYFUNCTION("""COMPUTED_VALUE"""),"")</f>
        <v/>
      </c>
      <c r="BB12" s="5" t="str">
        <f>IFERROR(__xludf.DUMMYFUNCTION("""COMPUTED_VALUE"""),"")</f>
        <v/>
      </c>
    </row>
    <row r="13">
      <c r="A13" s="5" t="str">
        <f>IFERROR(__xludf.DUMMYFUNCTION("""COMPUTED_VALUE"""),"Redstone")</f>
        <v>Redstone</v>
      </c>
      <c r="B13" s="5" t="str">
        <f>IFERROR(__xludf.DUMMYFUNCTION("""COMPUTED_VALUE"""),"Action Hot 40")</f>
        <v>Action Hot 40</v>
      </c>
      <c r="C13" s="5" t="str">
        <f>IFERROR(__xludf.DUMMYFUNCTION("""COMPUTED_VALUE"""),"ActionHot40")</f>
        <v>ActionHot40</v>
      </c>
      <c r="D13" s="6">
        <f>IFERROR(__xludf.DUMMYFUNCTION("""COMPUTED_VALUE"""),44588.0)</f>
        <v>44588</v>
      </c>
      <c r="E13" s="5" t="str">
        <f>IFERROR(__xludf.DUMMYFUNCTION("""COMPUTED_VALUE"""),"Slot")</f>
        <v>Slot</v>
      </c>
      <c r="F13" s="5">
        <f>IFERROR(__xludf.DUMMYFUNCTION("""COMPUTED_VALUE"""),9.3)</f>
        <v>9.3</v>
      </c>
      <c r="G13" s="5" t="str">
        <f>IFERROR(__xludf.DUMMYFUNCTION("""COMPUTED_VALUE"""),"5x4")</f>
        <v>5x4</v>
      </c>
      <c r="H13" s="5" t="str">
        <f>IFERROR(__xludf.DUMMYFUNCTION("""COMPUTED_VALUE"""),"40")</f>
        <v>40</v>
      </c>
      <c r="I13" s="5" t="str">
        <f>IFERROR(__xludf.DUMMYFUNCTION("""COMPUTED_VALUE"""),"40")</f>
        <v>40</v>
      </c>
      <c r="J13" s="5" t="str">
        <f>IFERROR(__xludf.DUMMYFUNCTION("""COMPUTED_VALUE"""),"96.58%")</f>
        <v>96.58%</v>
      </c>
      <c r="K13" s="5" t="str">
        <f>IFERROR(__xludf.DUMMYFUNCTION("""COMPUTED_VALUE"""),"Low")</f>
        <v>Low</v>
      </c>
      <c r="L13" s="5" t="str">
        <f>IFERROR(__xludf.DUMMYFUNCTION("""COMPUTED_VALUE"""),"16.725%")</f>
        <v>16.725%</v>
      </c>
      <c r="M13" s="5" t="str">
        <f>IFERROR(__xludf.DUMMYFUNCTION("""COMPUTED_VALUE"""),"x1000")</f>
        <v>x1000</v>
      </c>
      <c r="N13" s="5" t="str">
        <f>IFERROR(__xludf.DUMMYFUNCTION("""COMPUTED_VALUE"""),"0.40/60")</f>
        <v>0.40/60</v>
      </c>
      <c r="O13" s="5" t="str">
        <f>IFERROR(__xludf.DUMMYFUNCTION("""COMPUTED_VALUE"""),"No")</f>
        <v>No</v>
      </c>
      <c r="P13" s="5" t="str">
        <f>IFERROR(__xludf.DUMMYFUNCTION("""COMPUTED_VALUE"""),"Scatter, Special Wild")</f>
        <v>Scatter, Special Wild</v>
      </c>
      <c r="Q13" s="7" t="str">
        <f>IFERROR(__xludf.DUMMYFUNCTION("""COMPUTED_VALUE"""),"https://static.redstone.rs/games/action-hot-40/")</f>
        <v>https://static.redstone.rs/games/action-hot-40/</v>
      </c>
      <c r="R13" s="5" t="str">
        <f>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S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t="str">
        <f>IFERROR(__xludf.DUMMYFUNCTION("""COMPUTED_VALUE"""),"Yes")</f>
        <v>Yes</v>
      </c>
      <c r="Z13" s="5" t="str">
        <f>IFERROR(__xludf.DUMMYFUNCTION("""COMPUTED_VALUE"""),"Yes")</f>
        <v>Yes</v>
      </c>
      <c r="AA13" s="5" t="str">
        <f>IFERROR(__xludf.DUMMYFUNCTION("""COMPUTED_VALUE"""),"Yes")</f>
        <v>Yes</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IFERROR(__xludf.DUMMYFUNCTION("""COMPUTED_VALUE"""),"Yes")</f>
        <v>Yes</v>
      </c>
      <c r="AH13" s="5" t="str">
        <f>IFERROR(__xludf.DUMMYFUNCTION("""COMPUTED_VALUE"""),"Yes")</f>
        <v>Yes</v>
      </c>
      <c r="AI13" s="5" t="str">
        <f>IFERROR(__xludf.DUMMYFUNCTION("""COMPUTED_VALUE"""),"Yes")</f>
        <v>Yes</v>
      </c>
      <c r="AJ13" s="5" t="str">
        <f>IFERROR(__xludf.DUMMYFUNCTION("""COMPUTED_VALUE"""),"Yes")</f>
        <v>Yes</v>
      </c>
      <c r="AK13" s="5" t="str">
        <f>IFERROR(__xludf.DUMMYFUNCTION("""COMPUTED_VALUE"""),"Yes")</f>
        <v>Yes</v>
      </c>
      <c r="AL13" s="5" t="str">
        <f>IFERROR(__xludf.DUMMYFUNCTION("""COMPUTED_VALUE"""),"Yes")</f>
        <v>Yes</v>
      </c>
      <c r="AM13" s="5" t="str">
        <f>IFERROR(__xludf.DUMMYFUNCTION("""COMPUTED_VALUE"""),"Yes")</f>
        <v>Yes</v>
      </c>
      <c r="AN13" s="5" t="str">
        <f>IFERROR(__xludf.DUMMYFUNCTION("""COMPUTED_VALUE"""),"Yes")</f>
        <v>Yes</v>
      </c>
      <c r="AO13" s="5" t="str">
        <f>IFERROR(__xludf.DUMMYFUNCTION("""COMPUTED_VALUE"""),"Yes")</f>
        <v>Yes</v>
      </c>
      <c r="AP13" s="5" t="str">
        <f>IFERROR(__xludf.DUMMYFUNCTION("""COMPUTED_VALUE"""),"Yes")</f>
        <v>Yes</v>
      </c>
      <c r="AQ13" s="5" t="str">
        <f>IFERROR(__xludf.DUMMYFUNCTION("""COMPUTED_VALUE"""),"Yes")</f>
        <v>Yes</v>
      </c>
      <c r="AR13" s="5" t="str">
        <f>IFERROR(__xludf.DUMMYFUNCTION("""COMPUTED_VALUE"""),"Yes")</f>
        <v>Yes</v>
      </c>
      <c r="AS13" s="5" t="str">
        <f>IFERROR(__xludf.DUMMYFUNCTION("""COMPUTED_VALUE"""),"Yes")</f>
        <v>Yes</v>
      </c>
      <c r="AT13" s="5"/>
      <c r="AU13" s="5"/>
      <c r="AV13" s="5" t="str">
        <f>IFERROR(__xludf.DUMMYFUNCTION("""COMPUTED_VALUE"""),"Available")</f>
        <v>Available</v>
      </c>
      <c r="AW13" s="5" t="str">
        <f>IFERROR(__xludf.DUMMYFUNCTION("""COMPUTED_VALUE"""),"Available")</f>
        <v>Available</v>
      </c>
      <c r="AX13" s="5" t="str">
        <f>IFERROR(__xludf.DUMMYFUNCTION("""COMPUTED_VALUE"""),"Available")</f>
        <v>Available</v>
      </c>
      <c r="AY13" s="5" t="str">
        <f>IFERROR(__xludf.DUMMYFUNCTION("""COMPUTED_VALUE"""),"Available")</f>
        <v>Available</v>
      </c>
      <c r="AZ13" s="5" t="str">
        <f>IFERROR(__xludf.DUMMYFUNCTION("""COMPUTED_VALUE"""),"")</f>
        <v/>
      </c>
      <c r="BA13" s="5" t="str">
        <f>IFERROR(__xludf.DUMMYFUNCTION("""COMPUTED_VALUE"""),"")</f>
        <v/>
      </c>
      <c r="BB13" s="5" t="str">
        <f>IFERROR(__xludf.DUMMYFUNCTION("""COMPUTED_VALUE"""),"Available")</f>
        <v>Available</v>
      </c>
    </row>
    <row r="14">
      <c r="A14" s="5" t="str">
        <f>IFERROR(__xludf.DUMMYFUNCTION("""COMPUTED_VALUE"""),"Redstone")</f>
        <v>Redstone</v>
      </c>
      <c r="B14" s="5" t="str">
        <f>IFERROR(__xludf.DUMMYFUNCTION("""COMPUTED_VALUE"""),"Action Hot 20")</f>
        <v>Action Hot 20</v>
      </c>
      <c r="C14" s="5" t="str">
        <f>IFERROR(__xludf.DUMMYFUNCTION("""COMPUTED_VALUE"""),"ActionHot20")</f>
        <v>ActionHot20</v>
      </c>
      <c r="D14" s="6">
        <f>IFERROR(__xludf.DUMMYFUNCTION("""COMPUTED_VALUE"""),44588.0)</f>
        <v>44588</v>
      </c>
      <c r="E14" s="5" t="str">
        <f>IFERROR(__xludf.DUMMYFUNCTION("""COMPUTED_VALUE"""),"Slot")</f>
        <v>Slot</v>
      </c>
      <c r="F14" s="5">
        <f>IFERROR(__xludf.DUMMYFUNCTION("""COMPUTED_VALUE"""),9.3)</f>
        <v>9.3</v>
      </c>
      <c r="G14" s="5" t="str">
        <f>IFERROR(__xludf.DUMMYFUNCTION("""COMPUTED_VALUE"""),"5x3")</f>
        <v>5x3</v>
      </c>
      <c r="H14" s="5" t="str">
        <f>IFERROR(__xludf.DUMMYFUNCTION("""COMPUTED_VALUE"""),"20")</f>
        <v>20</v>
      </c>
      <c r="I14" s="5" t="str">
        <f>IFERROR(__xludf.DUMMYFUNCTION("""COMPUTED_VALUE"""),"20")</f>
        <v>20</v>
      </c>
      <c r="J14" s="5" t="str">
        <f>IFERROR(__xludf.DUMMYFUNCTION("""COMPUTED_VALUE"""),"95.79%")</f>
        <v>95.79%</v>
      </c>
      <c r="K14" s="5" t="str">
        <f>IFERROR(__xludf.DUMMYFUNCTION("""COMPUTED_VALUE"""),"Low")</f>
        <v>Low</v>
      </c>
      <c r="L14" s="5" t="str">
        <f>IFERROR(__xludf.DUMMYFUNCTION("""COMPUTED_VALUE"""),"17.45%")</f>
        <v>17.45%</v>
      </c>
      <c r="M14" s="5" t="str">
        <f>IFERROR(__xludf.DUMMYFUNCTION("""COMPUTED_VALUE"""),"x1000")</f>
        <v>x1000</v>
      </c>
      <c r="N14" s="5" t="str">
        <f>IFERROR(__xludf.DUMMYFUNCTION("""COMPUTED_VALUE"""),"0.20/50")</f>
        <v>0.20/50</v>
      </c>
      <c r="O14" s="5" t="str">
        <f>IFERROR(__xludf.DUMMYFUNCTION("""COMPUTED_VALUE"""),"No")</f>
        <v>No</v>
      </c>
      <c r="P14" s="5" t="str">
        <f>IFERROR(__xludf.DUMMYFUNCTION("""COMPUTED_VALUE"""),"Scatter, Special Wild")</f>
        <v>Scatter, Special Wild</v>
      </c>
      <c r="Q14" s="7" t="str">
        <f>IFERROR(__xludf.DUMMYFUNCTION("""COMPUTED_VALUE"""),"https://static.redstone.rs/games/action-hot-20/")</f>
        <v>https://static.redstone.rs/games/action-hot-20/</v>
      </c>
      <c r="R14" s="5" t="str">
        <f>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S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IFERROR(__xludf.DUMMYFUNCTION("""COMPUTED_VALUE"""),"Yes")</f>
        <v>Yes</v>
      </c>
      <c r="AH14" s="5" t="str">
        <f>IFERROR(__xludf.DUMMYFUNCTION("""COMPUTED_VALUE"""),"Yes")</f>
        <v>Yes</v>
      </c>
      <c r="AI14" s="5" t="str">
        <f>IFERROR(__xludf.DUMMYFUNCTION("""COMPUTED_VALUE"""),"Yes")</f>
        <v>Yes</v>
      </c>
      <c r="AJ14" s="5" t="str">
        <f>IFERROR(__xludf.DUMMYFUNCTION("""COMPUTED_VALUE"""),"Yes")</f>
        <v>Yes</v>
      </c>
      <c r="AK14" s="5" t="str">
        <f>IFERROR(__xludf.DUMMYFUNCTION("""COMPUTED_VALUE"""),"Yes")</f>
        <v>Yes</v>
      </c>
      <c r="AL14" s="5" t="str">
        <f>IFERROR(__xludf.DUMMYFUNCTION("""COMPUTED_VALUE"""),"Yes")</f>
        <v>Yes</v>
      </c>
      <c r="AM14" s="5" t="str">
        <f>IFERROR(__xludf.DUMMYFUNCTION("""COMPUTED_VALUE"""),"Yes")</f>
        <v>Yes</v>
      </c>
      <c r="AN14" s="5" t="str">
        <f>IFERROR(__xludf.DUMMYFUNCTION("""COMPUTED_VALUE"""),"Yes")</f>
        <v>Yes</v>
      </c>
      <c r="AO14" s="5" t="str">
        <f>IFERROR(__xludf.DUMMYFUNCTION("""COMPUTED_VALUE"""),"Yes")</f>
        <v>Yes</v>
      </c>
      <c r="AP14" s="5" t="str">
        <f>IFERROR(__xludf.DUMMYFUNCTION("""COMPUTED_VALUE"""),"Yes")</f>
        <v>Yes</v>
      </c>
      <c r="AQ14" s="5" t="str">
        <f>IFERROR(__xludf.DUMMYFUNCTION("""COMPUTED_VALUE"""),"Yes")</f>
        <v>Yes</v>
      </c>
      <c r="AR14" s="5" t="str">
        <f>IFERROR(__xludf.DUMMYFUNCTION("""COMPUTED_VALUE"""),"Yes")</f>
        <v>Yes</v>
      </c>
      <c r="AS14" s="5" t="str">
        <f>IFERROR(__xludf.DUMMYFUNCTION("""COMPUTED_VALUE"""),"Yes")</f>
        <v>Yes</v>
      </c>
      <c r="AT14" s="5"/>
      <c r="AU14" s="5"/>
      <c r="AV14" s="5" t="str">
        <f>IFERROR(__xludf.DUMMYFUNCTION("""COMPUTED_VALUE"""),"Available")</f>
        <v>Available</v>
      </c>
      <c r="AW14" s="5" t="str">
        <f>IFERROR(__xludf.DUMMYFUNCTION("""COMPUTED_VALUE"""),"Available")</f>
        <v>Available</v>
      </c>
      <c r="AX14" s="5" t="str">
        <f>IFERROR(__xludf.DUMMYFUNCTION("""COMPUTED_VALUE"""),"Available")</f>
        <v>Available</v>
      </c>
      <c r="AY14" s="5" t="str">
        <f>IFERROR(__xludf.DUMMYFUNCTION("""COMPUTED_VALUE"""),"Available")</f>
        <v>Available</v>
      </c>
      <c r="AZ14" s="5" t="str">
        <f>IFERROR(__xludf.DUMMYFUNCTION("""COMPUTED_VALUE"""),"")</f>
        <v/>
      </c>
      <c r="BA14" s="5" t="str">
        <f>IFERROR(__xludf.DUMMYFUNCTION("""COMPUTED_VALUE"""),"")</f>
        <v/>
      </c>
      <c r="BB14" s="5" t="str">
        <f>IFERROR(__xludf.DUMMYFUNCTION("""COMPUTED_VALUE"""),"Available")</f>
        <v>Available</v>
      </c>
    </row>
    <row r="15">
      <c r="A15" s="5" t="str">
        <f>IFERROR(__xludf.DUMMYFUNCTION("""COMPUTED_VALUE"""),"Redstone")</f>
        <v>Redstone</v>
      </c>
      <c r="B15" s="5" t="str">
        <f>IFERROR(__xludf.DUMMYFUNCTION("""COMPUTED_VALUE"""),"40 Cash Bells")</f>
        <v>40 Cash Bells</v>
      </c>
      <c r="C15" s="5" t="str">
        <f>IFERROR(__xludf.DUMMYFUNCTION("""COMPUTED_VALUE"""),"CashBells40")</f>
        <v>CashBells40</v>
      </c>
      <c r="D15" s="6">
        <f>IFERROR(__xludf.DUMMYFUNCTION("""COMPUTED_VALUE"""),44602.0)</f>
        <v>44602</v>
      </c>
      <c r="E15" s="5" t="str">
        <f>IFERROR(__xludf.DUMMYFUNCTION("""COMPUTED_VALUE"""),"Slot")</f>
        <v>Slot</v>
      </c>
      <c r="F15" s="5">
        <f>IFERROR(__xludf.DUMMYFUNCTION("""COMPUTED_VALUE"""),8.4)</f>
        <v>8.4</v>
      </c>
      <c r="G15" s="5" t="str">
        <f>IFERROR(__xludf.DUMMYFUNCTION("""COMPUTED_VALUE"""),"6x4")</f>
        <v>6x4</v>
      </c>
      <c r="H15" s="5" t="str">
        <f>IFERROR(__xludf.DUMMYFUNCTION("""COMPUTED_VALUE"""),"40")</f>
        <v>40</v>
      </c>
      <c r="I15" s="5" t="str">
        <f>IFERROR(__xludf.DUMMYFUNCTION("""COMPUTED_VALUE"""),"40")</f>
        <v>40</v>
      </c>
      <c r="J15" s="5" t="str">
        <f>IFERROR(__xludf.DUMMYFUNCTION("""COMPUTED_VALUE"""),"95.41%")</f>
        <v>95.41%</v>
      </c>
      <c r="K15" s="5" t="str">
        <f>IFERROR(__xludf.DUMMYFUNCTION("""COMPUTED_VALUE"""),"Medium")</f>
        <v>Medium</v>
      </c>
      <c r="L15" s="5" t="str">
        <f>IFERROR(__xludf.DUMMYFUNCTION("""COMPUTED_VALUE"""),"13.33%")</f>
        <v>13.33%</v>
      </c>
      <c r="M15" s="5" t="str">
        <f>IFERROR(__xludf.DUMMYFUNCTION("""COMPUTED_VALUE"""),"x2400")</f>
        <v>x2400</v>
      </c>
      <c r="N15" s="5" t="str">
        <f>IFERROR(__xludf.DUMMYFUNCTION("""COMPUTED_VALUE"""),"0.40/60")</f>
        <v>0.40/60</v>
      </c>
      <c r="O15" s="5" t="str">
        <f>IFERROR(__xludf.DUMMYFUNCTION("""COMPUTED_VALUE"""),"No")</f>
        <v>No</v>
      </c>
      <c r="P15" s="5" t="str">
        <f>IFERROR(__xludf.DUMMYFUNCTION("""COMPUTED_VALUE"""),"Bonus Game with Free Spins, Scatter, Special Wild")</f>
        <v>Bonus Game with Free Spins, Scatter, Special Wild</v>
      </c>
      <c r="Q15" s="7" t="str">
        <f>IFERROR(__xludf.DUMMYFUNCTION("""COMPUTED_VALUE"""),"https://static.redstone.rs/games/40-cash-bells/")</f>
        <v>https://static.redstone.rs/games/40-cash-bells/</v>
      </c>
      <c r="R15" s="5" t="str">
        <f>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S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IFERROR(__xludf.DUMMYFUNCTION("""COMPUTED_VALUE"""),"Yes")</f>
        <v>Yes</v>
      </c>
      <c r="AH15" s="5" t="str">
        <f>IFERROR(__xludf.DUMMYFUNCTION("""COMPUTED_VALUE"""),"Yes")</f>
        <v>Yes</v>
      </c>
      <c r="AI15" s="5" t="str">
        <f>IFERROR(__xludf.DUMMYFUNCTION("""COMPUTED_VALUE"""),"Yes")</f>
        <v>Yes</v>
      </c>
      <c r="AJ15" s="5" t="str">
        <f>IFERROR(__xludf.DUMMYFUNCTION("""COMPUTED_VALUE"""),"Yes")</f>
        <v>Yes</v>
      </c>
      <c r="AK15" s="5" t="str">
        <f>IFERROR(__xludf.DUMMYFUNCTION("""COMPUTED_VALUE"""),"Yes")</f>
        <v>Yes</v>
      </c>
      <c r="AL15" s="5" t="str">
        <f>IFERROR(__xludf.DUMMYFUNCTION("""COMPUTED_VALUE"""),"Yes")</f>
        <v>Yes</v>
      </c>
      <c r="AM15" s="5" t="str">
        <f>IFERROR(__xludf.DUMMYFUNCTION("""COMPUTED_VALUE"""),"Yes")</f>
        <v>Yes</v>
      </c>
      <c r="AN15" s="5"/>
      <c r="AO15" s="5"/>
      <c r="AP15" s="5"/>
      <c r="AQ15" s="5" t="str">
        <f>IFERROR(__xludf.DUMMYFUNCTION("""COMPUTED_VALUE"""),"Yes")</f>
        <v>Yes</v>
      </c>
      <c r="AR15" s="5"/>
      <c r="AS15" s="5"/>
      <c r="AT15" s="5"/>
      <c r="AU15" s="5"/>
      <c r="AV15" s="5" t="str">
        <f>IFERROR(__xludf.DUMMYFUNCTION("""COMPUTED_VALUE"""),"Available")</f>
        <v>Available</v>
      </c>
      <c r="AW15" s="5" t="str">
        <f>IFERROR(__xludf.DUMMYFUNCTION("""COMPUTED_VALUE"""),"Available")</f>
        <v>Available</v>
      </c>
      <c r="AX15" s="5" t="str">
        <f>IFERROR(__xludf.DUMMYFUNCTION("""COMPUTED_VALUE"""),"Available")</f>
        <v>Available</v>
      </c>
      <c r="AY15" s="5" t="str">
        <f>IFERROR(__xludf.DUMMYFUNCTION("""COMPUTED_VALUE"""),"Available")</f>
        <v>Available</v>
      </c>
      <c r="AZ15" s="5" t="str">
        <f>IFERROR(__xludf.DUMMYFUNCTION("""COMPUTED_VALUE"""),"")</f>
        <v/>
      </c>
      <c r="BA15" s="5" t="str">
        <f>IFERROR(__xludf.DUMMYFUNCTION("""COMPUTED_VALUE"""),"")</f>
        <v/>
      </c>
      <c r="BB15" s="5" t="str">
        <f>IFERROR(__xludf.DUMMYFUNCTION("""COMPUTED_VALUE"""),"Available")</f>
        <v>Available</v>
      </c>
    </row>
    <row r="16">
      <c r="A16" s="5" t="str">
        <f>IFERROR(__xludf.DUMMYFUNCTION("""COMPUTED_VALUE"""),"Redstone")</f>
        <v>Redstone</v>
      </c>
      <c r="B16" s="5" t="str">
        <f>IFERROR(__xludf.DUMMYFUNCTION("""COMPUTED_VALUE"""),"10 Wild Diamond")</f>
        <v>10 Wild Diamond</v>
      </c>
      <c r="C16" s="5" t="str">
        <f>IFERROR(__xludf.DUMMYFUNCTION("""COMPUTED_VALUE"""),"WildDiamond10")</f>
        <v>WildDiamond10</v>
      </c>
      <c r="D16" s="6">
        <f>IFERROR(__xludf.DUMMYFUNCTION("""COMPUTED_VALUE"""),44699.0)</f>
        <v>44699</v>
      </c>
      <c r="E16" s="5" t="str">
        <f>IFERROR(__xludf.DUMMYFUNCTION("""COMPUTED_VALUE"""),"Slot")</f>
        <v>Slot</v>
      </c>
      <c r="F16" s="5">
        <f>IFERROR(__xludf.DUMMYFUNCTION("""COMPUTED_VALUE"""),7.39)</f>
        <v>7.39</v>
      </c>
      <c r="G16" s="5" t="str">
        <f>IFERROR(__xludf.DUMMYFUNCTION("""COMPUTED_VALUE"""),"5x3")</f>
        <v>5x3</v>
      </c>
      <c r="H16" s="5" t="str">
        <f>IFERROR(__xludf.DUMMYFUNCTION("""COMPUTED_VALUE"""),"10")</f>
        <v>10</v>
      </c>
      <c r="I16" s="5" t="str">
        <f>IFERROR(__xludf.DUMMYFUNCTION("""COMPUTED_VALUE"""),"10")</f>
        <v>10</v>
      </c>
      <c r="J16" s="5" t="str">
        <f>IFERROR(__xludf.DUMMYFUNCTION("""COMPUTED_VALUE"""),"95.96%")</f>
        <v>95.96%</v>
      </c>
      <c r="K16" s="5" t="str">
        <f>IFERROR(__xludf.DUMMYFUNCTION("""COMPUTED_VALUE"""),"Medium")</f>
        <v>Medium</v>
      </c>
      <c r="L16" s="5" t="str">
        <f>IFERROR(__xludf.DUMMYFUNCTION("""COMPUTED_VALUE"""),"14.63%")</f>
        <v>14.63%</v>
      </c>
      <c r="M16" s="5" t="str">
        <f>IFERROR(__xludf.DUMMYFUNCTION("""COMPUTED_VALUE"""),"x1538")</f>
        <v>x1538</v>
      </c>
      <c r="N16" s="5" t="str">
        <f>IFERROR(__xludf.DUMMYFUNCTION("""COMPUTED_VALUE"""),"0.10/40")</f>
        <v>0.10/40</v>
      </c>
      <c r="O16" s="5" t="str">
        <f>IFERROR(__xludf.DUMMYFUNCTION("""COMPUTED_VALUE"""),"No")</f>
        <v>No</v>
      </c>
      <c r="P16" s="5" t="str">
        <f>IFERROR(__xludf.DUMMYFUNCTION("""COMPUTED_VALUE"""),"Expanding Wild, Scatter")</f>
        <v>Expanding Wild, Scatter</v>
      </c>
      <c r="Q16" s="7" t="str">
        <f>IFERROR(__xludf.DUMMYFUNCTION("""COMPUTED_VALUE"""),"https://static.redstone.rs/games/10-wild-diamond/")</f>
        <v>https://static.redstone.rs/games/10-wild-diamond/</v>
      </c>
      <c r="R16" s="5" t="str">
        <f>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S1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6" s="5" t="str">
        <f>IFERROR(__xludf.DUMMYFUNCTION("""COMPUTED_VALUE"""),"Yes")</f>
        <v>Yes</v>
      </c>
      <c r="U16" s="5" t="str">
        <f>IFERROR(__xludf.DUMMYFUNCTION("""COMPUTED_VALUE"""),"Yes")</f>
        <v>Yes</v>
      </c>
      <c r="V16" s="5" t="str">
        <f>IFERROR(__xludf.DUMMYFUNCTION("""COMPUTED_VALUE"""),"Yes")</f>
        <v>Yes</v>
      </c>
      <c r="W16" s="5" t="str">
        <f>IFERROR(__xludf.DUMMYFUNCTION("""COMPUTED_VALUE"""),"No")</f>
        <v>No</v>
      </c>
      <c r="X16" s="5" t="str">
        <f>IFERROR(__xludf.DUMMYFUNCTION("""COMPUTED_VALUE"""),"No")</f>
        <v>No</v>
      </c>
      <c r="Y16" s="5" t="str">
        <f>IFERROR(__xludf.DUMMYFUNCTION("""COMPUTED_VALUE"""),"No")</f>
        <v>No</v>
      </c>
      <c r="Z16" s="5" t="str">
        <f>IFERROR(__xludf.DUMMYFUNCTION("""COMPUTED_VALUE"""),"No")</f>
        <v>No</v>
      </c>
      <c r="AA16" s="5" t="str">
        <f>IFERROR(__xludf.DUMMYFUNCTION("""COMPUTED_VALUE"""),"No")</f>
        <v>No</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IFERROR(__xludf.DUMMYFUNCTION("""COMPUTED_VALUE"""),"No")</f>
        <v>No</v>
      </c>
      <c r="AH16" s="5" t="str">
        <f>IFERROR(__xludf.DUMMYFUNCTION("""COMPUTED_VALUE"""),"Yes")</f>
        <v>Yes</v>
      </c>
      <c r="AI16" s="5" t="str">
        <f>IFERROR(__xludf.DUMMYFUNCTION("""COMPUTED_VALUE"""),"No")</f>
        <v>No</v>
      </c>
      <c r="AJ16" s="5" t="str">
        <f>IFERROR(__xludf.DUMMYFUNCTION("""COMPUTED_VALUE"""),"No")</f>
        <v>No</v>
      </c>
      <c r="AK16" s="5" t="str">
        <f>IFERROR(__xludf.DUMMYFUNCTION("""COMPUTED_VALUE"""),"No")</f>
        <v>No</v>
      </c>
      <c r="AL16" s="5" t="str">
        <f>IFERROR(__xludf.DUMMYFUNCTION("""COMPUTED_VALUE"""),"No")</f>
        <v>No</v>
      </c>
      <c r="AM16" s="5" t="str">
        <f>IFERROR(__xludf.DUMMYFUNCTION("""COMPUTED_VALUE"""),"No")</f>
        <v>No</v>
      </c>
      <c r="AN16" s="5"/>
      <c r="AO16" s="5"/>
      <c r="AP16" s="5"/>
      <c r="AQ16" s="5" t="str">
        <f>IFERROR(__xludf.DUMMYFUNCTION("""COMPUTED_VALUE"""),"No")</f>
        <v>No</v>
      </c>
      <c r="AR16" s="5"/>
      <c r="AS16" s="5"/>
      <c r="AT16" s="5"/>
      <c r="AU16" s="5"/>
      <c r="AV16" s="5" t="str">
        <f>IFERROR(__xludf.DUMMYFUNCTION("""COMPUTED_VALUE"""),"")</f>
        <v/>
      </c>
      <c r="AW16" s="5" t="str">
        <f>IFERROR(__xludf.DUMMYFUNCTION("""COMPUTED_VALUE"""),"")</f>
        <v/>
      </c>
      <c r="AX16" s="5" t="str">
        <f>IFERROR(__xludf.DUMMYFUNCTION("""COMPUTED_VALUE"""),"")</f>
        <v/>
      </c>
      <c r="AY16" s="5" t="str">
        <f>IFERROR(__xludf.DUMMYFUNCTION("""COMPUTED_VALUE"""),"")</f>
        <v/>
      </c>
      <c r="AZ16" s="5" t="str">
        <f>IFERROR(__xludf.DUMMYFUNCTION("""COMPUTED_VALUE"""),"")</f>
        <v/>
      </c>
      <c r="BA16" s="5" t="str">
        <f>IFERROR(__xludf.DUMMYFUNCTION("""COMPUTED_VALUE"""),"")</f>
        <v/>
      </c>
      <c r="BB16" s="5" t="str">
        <f>IFERROR(__xludf.DUMMYFUNCTION("""COMPUTED_VALUE"""),"")</f>
        <v/>
      </c>
    </row>
    <row r="17">
      <c r="A17" s="5" t="str">
        <f>IFERROR(__xludf.DUMMYFUNCTION("""COMPUTED_VALUE"""),"Redstone")</f>
        <v>Redstone</v>
      </c>
      <c r="B17" s="5" t="str">
        <f>IFERROR(__xludf.DUMMYFUNCTION("""COMPUTED_VALUE"""),"5 Wild Heart")</f>
        <v>5 Wild Heart</v>
      </c>
      <c r="C17" s="5" t="str">
        <f>IFERROR(__xludf.DUMMYFUNCTION("""COMPUTED_VALUE"""),"WildHeart5")</f>
        <v>WildHeart5</v>
      </c>
      <c r="D17" s="6">
        <f>IFERROR(__xludf.DUMMYFUNCTION("""COMPUTED_VALUE"""),44718.0)</f>
        <v>44718</v>
      </c>
      <c r="E17" s="5" t="str">
        <f>IFERROR(__xludf.DUMMYFUNCTION("""COMPUTED_VALUE"""),"Slot")</f>
        <v>Slot</v>
      </c>
      <c r="F17" s="5">
        <f>IFERROR(__xludf.DUMMYFUNCTION("""COMPUTED_VALUE"""),8.7)</f>
        <v>8.7</v>
      </c>
      <c r="G17" s="5" t="str">
        <f>IFERROR(__xludf.DUMMYFUNCTION("""COMPUTED_VALUE"""),"5x3")</f>
        <v>5x3</v>
      </c>
      <c r="H17" s="5" t="str">
        <f>IFERROR(__xludf.DUMMYFUNCTION("""COMPUTED_VALUE"""),"5")</f>
        <v>5</v>
      </c>
      <c r="I17" s="5" t="str">
        <f>IFERROR(__xludf.DUMMYFUNCTION("""COMPUTED_VALUE"""),"5")</f>
        <v>5</v>
      </c>
      <c r="J17" s="5" t="str">
        <f>IFERROR(__xludf.DUMMYFUNCTION("""COMPUTED_VALUE"""),"96.45%")</f>
        <v>96.45%</v>
      </c>
      <c r="K17" s="5" t="str">
        <f>IFERROR(__xludf.DUMMYFUNCTION("""COMPUTED_VALUE"""),"Medium")</f>
        <v>Medium</v>
      </c>
      <c r="L17" s="5" t="str">
        <f>IFERROR(__xludf.DUMMYFUNCTION("""COMPUTED_VALUE"""),"14.5%")</f>
        <v>14.5%</v>
      </c>
      <c r="M17" s="5" t="str">
        <f>IFERROR(__xludf.DUMMYFUNCTION("""COMPUTED_VALUE"""),"x1222")</f>
        <v>x1222</v>
      </c>
      <c r="N17" s="5" t="str">
        <f>IFERROR(__xludf.DUMMYFUNCTION("""COMPUTED_VALUE"""),"0.05/30")</f>
        <v>0.05/30</v>
      </c>
      <c r="O17" s="5" t="str">
        <f>IFERROR(__xludf.DUMMYFUNCTION("""COMPUTED_VALUE"""),"No")</f>
        <v>No</v>
      </c>
      <c r="P17" s="5" t="str">
        <f>IFERROR(__xludf.DUMMYFUNCTION("""COMPUTED_VALUE"""),"Expanding Wild, Scatter")</f>
        <v>Expanding Wild, Scatter</v>
      </c>
      <c r="Q17" s="7" t="str">
        <f>IFERROR(__xludf.DUMMYFUNCTION("""COMPUTED_VALUE"""),"https://static.redstone.rs/games/5-wild-heart/")</f>
        <v>https://static.redstone.rs/games/5-wild-heart/</v>
      </c>
      <c r="R17" s="5" t="str">
        <f>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S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IFERROR(__xludf.DUMMYFUNCTION("""COMPUTED_VALUE"""),"Yes")</f>
        <v>Yes</v>
      </c>
      <c r="AH17" s="5" t="str">
        <f>IFERROR(__xludf.DUMMYFUNCTION("""COMPUTED_VALUE"""),"Yes")</f>
        <v>Yes</v>
      </c>
      <c r="AI17" s="5" t="str">
        <f>IFERROR(__xludf.DUMMYFUNCTION("""COMPUTED_VALUE"""),"Yes")</f>
        <v>Yes</v>
      </c>
      <c r="AJ17" s="5" t="str">
        <f>IFERROR(__xludf.DUMMYFUNCTION("""COMPUTED_VALUE"""),"Yes")</f>
        <v>Yes</v>
      </c>
      <c r="AK17" s="5" t="str">
        <f>IFERROR(__xludf.DUMMYFUNCTION("""COMPUTED_VALUE"""),"Yes")</f>
        <v>Yes</v>
      </c>
      <c r="AL17" s="5" t="str">
        <f>IFERROR(__xludf.DUMMYFUNCTION("""COMPUTED_VALUE"""),"Yes")</f>
        <v>Yes</v>
      </c>
      <c r="AM17" s="5" t="str">
        <f>IFERROR(__xludf.DUMMYFUNCTION("""COMPUTED_VALUE"""),"Yes")</f>
        <v>Yes</v>
      </c>
      <c r="AN17" s="5" t="str">
        <f>IFERROR(__xludf.DUMMYFUNCTION("""COMPUTED_VALUE"""),"Yes")</f>
        <v>Yes</v>
      </c>
      <c r="AO17" s="5" t="str">
        <f>IFERROR(__xludf.DUMMYFUNCTION("""COMPUTED_VALUE"""),"Yes")</f>
        <v>Yes</v>
      </c>
      <c r="AP17" s="5" t="str">
        <f>IFERROR(__xludf.DUMMYFUNCTION("""COMPUTED_VALUE"""),"Yes")</f>
        <v>Yes</v>
      </c>
      <c r="AQ17" s="5" t="str">
        <f>IFERROR(__xludf.DUMMYFUNCTION("""COMPUTED_VALUE"""),"Yes")</f>
        <v>Yes</v>
      </c>
      <c r="AR17" s="5" t="str">
        <f>IFERROR(__xludf.DUMMYFUNCTION("""COMPUTED_VALUE"""),"Yes")</f>
        <v>Yes</v>
      </c>
      <c r="AS17" s="5" t="str">
        <f>IFERROR(__xludf.DUMMYFUNCTION("""COMPUTED_VALUE"""),"Yes")</f>
        <v>Yes</v>
      </c>
      <c r="AT17" s="5"/>
      <c r="AU17" s="5"/>
      <c r="AV17" s="5" t="str">
        <f>IFERROR(__xludf.DUMMYFUNCTION("""COMPUTED_VALUE"""),"")</f>
        <v/>
      </c>
      <c r="AW17" s="5" t="str">
        <f>IFERROR(__xludf.DUMMYFUNCTION("""COMPUTED_VALUE"""),"")</f>
        <v/>
      </c>
      <c r="AX17" s="5" t="str">
        <f>IFERROR(__xludf.DUMMYFUNCTION("""COMPUTED_VALUE"""),"")</f>
        <v/>
      </c>
      <c r="AY17" s="5" t="str">
        <f>IFERROR(__xludf.DUMMYFUNCTION("""COMPUTED_VALUE"""),"")</f>
        <v/>
      </c>
      <c r="AZ17" s="5" t="str">
        <f>IFERROR(__xludf.DUMMYFUNCTION("""COMPUTED_VALUE"""),"")</f>
        <v/>
      </c>
      <c r="BA17" s="5" t="str">
        <f>IFERROR(__xludf.DUMMYFUNCTION("""COMPUTED_VALUE"""),"")</f>
        <v/>
      </c>
      <c r="BB17" s="5" t="str">
        <f>IFERROR(__xludf.DUMMYFUNCTION("""COMPUTED_VALUE"""),"")</f>
        <v/>
      </c>
    </row>
    <row r="18">
      <c r="A18" s="5" t="str">
        <f>IFERROR(__xludf.DUMMYFUNCTION("""COMPUTED_VALUE"""),"Redstone")</f>
        <v>Redstone</v>
      </c>
      <c r="B18" s="5" t="str">
        <f>IFERROR(__xludf.DUMMYFUNCTION("""COMPUTED_VALUE"""),"10 Wild Dice")</f>
        <v>10 Wild Dice</v>
      </c>
      <c r="C18" s="5" t="str">
        <f>IFERROR(__xludf.DUMMYFUNCTION("""COMPUTED_VALUE"""),"WildDice10")</f>
        <v>WildDice10</v>
      </c>
      <c r="D18" s="6">
        <f>IFERROR(__xludf.DUMMYFUNCTION("""COMPUTED_VALUE"""),44761.0)</f>
        <v>44761</v>
      </c>
      <c r="E18" s="5" t="str">
        <f>IFERROR(__xludf.DUMMYFUNCTION("""COMPUTED_VALUE"""),"Slot")</f>
        <v>Slot</v>
      </c>
      <c r="F18" s="5">
        <f>IFERROR(__xludf.DUMMYFUNCTION("""COMPUTED_VALUE"""),7.8)</f>
        <v>7.8</v>
      </c>
      <c r="G18" s="5" t="str">
        <f>IFERROR(__xludf.DUMMYFUNCTION("""COMPUTED_VALUE"""),"5x3")</f>
        <v>5x3</v>
      </c>
      <c r="H18" s="5" t="str">
        <f>IFERROR(__xludf.DUMMYFUNCTION("""COMPUTED_VALUE"""),"10")</f>
        <v>10</v>
      </c>
      <c r="I18" s="5" t="str">
        <f>IFERROR(__xludf.DUMMYFUNCTION("""COMPUTED_VALUE"""),"10")</f>
        <v>10</v>
      </c>
      <c r="J18" s="5" t="str">
        <f>IFERROR(__xludf.DUMMYFUNCTION("""COMPUTED_VALUE"""),"95.96%")</f>
        <v>95.96%</v>
      </c>
      <c r="K18" s="5" t="str">
        <f>IFERROR(__xludf.DUMMYFUNCTION("""COMPUTED_VALUE"""),"Medium")</f>
        <v>Medium</v>
      </c>
      <c r="L18" s="5" t="str">
        <f>IFERROR(__xludf.DUMMYFUNCTION("""COMPUTED_VALUE"""),"14.63%")</f>
        <v>14.63%</v>
      </c>
      <c r="M18" s="5" t="str">
        <f>IFERROR(__xludf.DUMMYFUNCTION("""COMPUTED_VALUE"""),"x1538")</f>
        <v>x1538</v>
      </c>
      <c r="N18" s="5" t="str">
        <f>IFERROR(__xludf.DUMMYFUNCTION("""COMPUTED_VALUE"""),"0.10/40")</f>
        <v>0.10/40</v>
      </c>
      <c r="O18" s="5" t="str">
        <f>IFERROR(__xludf.DUMMYFUNCTION("""COMPUTED_VALUE"""),"No")</f>
        <v>No</v>
      </c>
      <c r="P18" s="5" t="str">
        <f>IFERROR(__xludf.DUMMYFUNCTION("""COMPUTED_VALUE"""),"Expanding Wild, Scatter")</f>
        <v>Expanding Wild, Scatter</v>
      </c>
      <c r="Q18" s="7" t="str">
        <f>IFERROR(__xludf.DUMMYFUNCTION("""COMPUTED_VALUE"""),"https://static.redstone.rs/games/10-wild-dice/")</f>
        <v>https://static.redstone.rs/games/10-wild-dice/</v>
      </c>
      <c r="R18" s="5" t="str">
        <f>IFERROR(__xludf.DUMMYFUNCTION("""COMPUTED_VALUE"""),"It's time to roll the dice. So, spin for victory and get a chance to win big in REDSTONE's latest release 10 Wild Dice.")</f>
        <v>It's time to roll the dice. So, spin for victory and get a chance to win big in REDSTONE's latest release 10 Wild Dice.</v>
      </c>
      <c r="S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IFERROR(__xludf.DUMMYFUNCTION("""COMPUTED_VALUE"""),"Yes")</f>
        <v>Yes</v>
      </c>
      <c r="AH18" s="5" t="str">
        <f>IFERROR(__xludf.DUMMYFUNCTION("""COMPUTED_VALUE"""),"Yes")</f>
        <v>Yes</v>
      </c>
      <c r="AI18" s="5" t="str">
        <f>IFERROR(__xludf.DUMMYFUNCTION("""COMPUTED_VALUE"""),"Yes")</f>
        <v>Yes</v>
      </c>
      <c r="AJ18" s="5" t="str">
        <f>IFERROR(__xludf.DUMMYFUNCTION("""COMPUTED_VALUE"""),"Yes")</f>
        <v>Yes</v>
      </c>
      <c r="AK18" s="5" t="str">
        <f>IFERROR(__xludf.DUMMYFUNCTION("""COMPUTED_VALUE"""),"Yes")</f>
        <v>Yes</v>
      </c>
      <c r="AL18" s="5" t="str">
        <f>IFERROR(__xludf.DUMMYFUNCTION("""COMPUTED_VALUE"""),"Yes")</f>
        <v>Yes</v>
      </c>
      <c r="AM18" s="5" t="str">
        <f>IFERROR(__xludf.DUMMYFUNCTION("""COMPUTED_VALUE"""),"Yes")</f>
        <v>Yes</v>
      </c>
      <c r="AN18" s="5" t="str">
        <f>IFERROR(__xludf.DUMMYFUNCTION("""COMPUTED_VALUE"""),"Yes")</f>
        <v>Yes</v>
      </c>
      <c r="AO18" s="5" t="str">
        <f>IFERROR(__xludf.DUMMYFUNCTION("""COMPUTED_VALUE"""),"Yes")</f>
        <v>Yes</v>
      </c>
      <c r="AP18" s="5" t="str">
        <f>IFERROR(__xludf.DUMMYFUNCTION("""COMPUTED_VALUE"""),"Yes")</f>
        <v>Yes</v>
      </c>
      <c r="AQ18" s="5" t="str">
        <f>IFERROR(__xludf.DUMMYFUNCTION("""COMPUTED_VALUE"""),"Yes")</f>
        <v>Yes</v>
      </c>
      <c r="AR18" s="5" t="str">
        <f>IFERROR(__xludf.DUMMYFUNCTION("""COMPUTED_VALUE"""),"Yes")</f>
        <v>Yes</v>
      </c>
      <c r="AS18" s="5" t="str">
        <f>IFERROR(__xludf.DUMMYFUNCTION("""COMPUTED_VALUE"""),"Yes")</f>
        <v>Yes</v>
      </c>
      <c r="AT18" s="5"/>
      <c r="AU18" s="5"/>
      <c r="AV18" s="5" t="str">
        <f>IFERROR(__xludf.DUMMYFUNCTION("""COMPUTED_VALUE"""),"")</f>
        <v/>
      </c>
      <c r="AW18" s="5" t="str">
        <f>IFERROR(__xludf.DUMMYFUNCTION("""COMPUTED_VALUE"""),"")</f>
        <v/>
      </c>
      <c r="AX18" s="5" t="str">
        <f>IFERROR(__xludf.DUMMYFUNCTION("""COMPUTED_VALUE"""),"")</f>
        <v/>
      </c>
      <c r="AY18" s="5" t="str">
        <f>IFERROR(__xludf.DUMMYFUNCTION("""COMPUTED_VALUE"""),"")</f>
        <v/>
      </c>
      <c r="AZ18" s="5" t="str">
        <f>IFERROR(__xludf.DUMMYFUNCTION("""COMPUTED_VALUE"""),"")</f>
        <v/>
      </c>
      <c r="BA18" s="5" t="str">
        <f>IFERROR(__xludf.DUMMYFUNCTION("""COMPUTED_VALUE"""),"")</f>
        <v/>
      </c>
      <c r="BB18" s="5" t="str">
        <f>IFERROR(__xludf.DUMMYFUNCTION("""COMPUTED_VALUE"""),"")</f>
        <v/>
      </c>
    </row>
    <row r="19">
      <c r="A19" s="5" t="str">
        <f>IFERROR(__xludf.DUMMYFUNCTION("""COMPUTED_VALUE"""),"Redstone")</f>
        <v>Redstone</v>
      </c>
      <c r="B19" s="5" t="str">
        <f>IFERROR(__xludf.DUMMYFUNCTION("""COMPUTED_VALUE"""),"Book Of Ibis")</f>
        <v>Book Of Ibis</v>
      </c>
      <c r="C19" s="5" t="str">
        <f>IFERROR(__xludf.DUMMYFUNCTION("""COMPUTED_VALUE"""),"BookOfIbis")</f>
        <v>BookOfIbis</v>
      </c>
      <c r="D19" s="6">
        <f>IFERROR(__xludf.DUMMYFUNCTION("""COMPUTED_VALUE"""),44791.0)</f>
        <v>44791</v>
      </c>
      <c r="E19" s="5" t="str">
        <f>IFERROR(__xludf.DUMMYFUNCTION("""COMPUTED_VALUE"""),"Slot")</f>
        <v>Slot</v>
      </c>
      <c r="F19" s="5">
        <f>IFERROR(__xludf.DUMMYFUNCTION("""COMPUTED_VALUE"""),13.9)</f>
        <v>13.9</v>
      </c>
      <c r="G19" s="5" t="str">
        <f>IFERROR(__xludf.DUMMYFUNCTION("""COMPUTED_VALUE"""),"5x3")</f>
        <v>5x3</v>
      </c>
      <c r="H19" s="5" t="str">
        <f>IFERROR(__xludf.DUMMYFUNCTION("""COMPUTED_VALUE"""),"10")</f>
        <v>10</v>
      </c>
      <c r="I19" s="5" t="str">
        <f>IFERROR(__xludf.DUMMYFUNCTION("""COMPUTED_VALUE"""),"10")</f>
        <v>10</v>
      </c>
      <c r="J19" s="5" t="str">
        <f>IFERROR(__xludf.DUMMYFUNCTION("""COMPUTED_VALUE"""),"96.2%")</f>
        <v>96.2%</v>
      </c>
      <c r="K19" s="5" t="str">
        <f>IFERROR(__xludf.DUMMYFUNCTION("""COMPUTED_VALUE"""),"High")</f>
        <v>High</v>
      </c>
      <c r="L19" s="5" t="str">
        <f>IFERROR(__xludf.DUMMYFUNCTION("""COMPUTED_VALUE"""),"12.34%")</f>
        <v>12.34%</v>
      </c>
      <c r="M19" s="5" t="str">
        <f>IFERROR(__xludf.DUMMYFUNCTION("""COMPUTED_VALUE"""),"x5512")</f>
        <v>x5512</v>
      </c>
      <c r="N19" s="5" t="str">
        <f>IFERROR(__xludf.DUMMYFUNCTION("""COMPUTED_VALUE"""),"0.10/40")</f>
        <v>0.10/40</v>
      </c>
      <c r="O19" s="5" t="str">
        <f>IFERROR(__xludf.DUMMYFUNCTION("""COMPUTED_VALUE"""),"No")</f>
        <v>No</v>
      </c>
      <c r="P19" s="5" t="str">
        <f>IFERROR(__xludf.DUMMYFUNCTION("""COMPUTED_VALUE"""),"Bonus Game with Free Spins, Scatter, Expanding Wild")</f>
        <v>Bonus Game with Free Spins, Scatter, Expanding Wild</v>
      </c>
      <c r="Q19" s="7" t="str">
        <f>IFERROR(__xludf.DUMMYFUNCTION("""COMPUTED_VALUE"""),"https://static.redstone.rs/games/book-of-ibis/")</f>
        <v>https://static.redstone.rs/games/book-of-ibis/</v>
      </c>
      <c r="R19" s="5" t="str">
        <f>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S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IFERROR(__xludf.DUMMYFUNCTION("""COMPUTED_VALUE"""),"Yes")</f>
        <v>Yes</v>
      </c>
      <c r="AH19" s="5" t="str">
        <f>IFERROR(__xludf.DUMMYFUNCTION("""COMPUTED_VALUE"""),"Yes")</f>
        <v>Yes</v>
      </c>
      <c r="AI19" s="5" t="str">
        <f>IFERROR(__xludf.DUMMYFUNCTION("""COMPUTED_VALUE"""),"Yes")</f>
        <v>Yes</v>
      </c>
      <c r="AJ19" s="5" t="str">
        <f>IFERROR(__xludf.DUMMYFUNCTION("""COMPUTED_VALUE"""),"Yes")</f>
        <v>Yes</v>
      </c>
      <c r="AK19" s="5" t="str">
        <f>IFERROR(__xludf.DUMMYFUNCTION("""COMPUTED_VALUE"""),"Yes")</f>
        <v>Yes</v>
      </c>
      <c r="AL19" s="5" t="str">
        <f>IFERROR(__xludf.DUMMYFUNCTION("""COMPUTED_VALUE"""),"Yes")</f>
        <v>Yes</v>
      </c>
      <c r="AM19" s="5" t="str">
        <f>IFERROR(__xludf.DUMMYFUNCTION("""COMPUTED_VALUE"""),"Yes")</f>
        <v>Yes</v>
      </c>
      <c r="AN19" s="5"/>
      <c r="AO19" s="5"/>
      <c r="AP19" s="5"/>
      <c r="AQ19" s="5" t="str">
        <f>IFERROR(__xludf.DUMMYFUNCTION("""COMPUTED_VALUE"""),"Yes")</f>
        <v>Yes</v>
      </c>
      <c r="AR19" s="5"/>
      <c r="AS19" s="5"/>
      <c r="AT19" s="5"/>
      <c r="AU19" s="5"/>
      <c r="AV19" s="5" t="str">
        <f>IFERROR(__xludf.DUMMYFUNCTION("""COMPUTED_VALUE"""),"")</f>
        <v/>
      </c>
      <c r="AW19" s="5" t="str">
        <f>IFERROR(__xludf.DUMMYFUNCTION("""COMPUTED_VALUE"""),"")</f>
        <v/>
      </c>
      <c r="AX19" s="5" t="str">
        <f>IFERROR(__xludf.DUMMYFUNCTION("""COMPUTED_VALUE"""),"")</f>
        <v/>
      </c>
      <c r="AY19" s="5" t="str">
        <f>IFERROR(__xludf.DUMMYFUNCTION("""COMPUTED_VALUE"""),"")</f>
        <v/>
      </c>
      <c r="AZ19" s="5" t="str">
        <f>IFERROR(__xludf.DUMMYFUNCTION("""COMPUTED_VALUE"""),"")</f>
        <v/>
      </c>
      <c r="BA19" s="5" t="str">
        <f>IFERROR(__xludf.DUMMYFUNCTION("""COMPUTED_VALUE"""),"")</f>
        <v/>
      </c>
      <c r="BB19" s="5" t="str">
        <f>IFERROR(__xludf.DUMMYFUNCTION("""COMPUTED_VALUE"""),"")</f>
        <v/>
      </c>
    </row>
    <row r="20">
      <c r="A20" s="5" t="str">
        <f>IFERROR(__xludf.DUMMYFUNCTION("""COMPUTED_VALUE"""),"Redstone")</f>
        <v>Redstone</v>
      </c>
      <c r="B20" s="5" t="str">
        <f>IFERROR(__xludf.DUMMYFUNCTION("""COMPUTED_VALUE"""),"Clover Coin")</f>
        <v>Clover Coin</v>
      </c>
      <c r="C20" s="5" t="str">
        <f>IFERROR(__xludf.DUMMYFUNCTION("""COMPUTED_VALUE"""),"CloverCoin")</f>
        <v>CloverCoin</v>
      </c>
      <c r="D20" s="6">
        <f>IFERROR(__xludf.DUMMYFUNCTION("""COMPUTED_VALUE"""),44810.0)</f>
        <v>44810</v>
      </c>
      <c r="E20" s="5" t="str">
        <f>IFERROR(__xludf.DUMMYFUNCTION("""COMPUTED_VALUE"""),"Slot")</f>
        <v>Slot</v>
      </c>
      <c r="F20" s="5">
        <f>IFERROR(__xludf.DUMMYFUNCTION("""COMPUTED_VALUE"""),11.9)</f>
        <v>11.9</v>
      </c>
      <c r="G20" s="5" t="str">
        <f>IFERROR(__xludf.DUMMYFUNCTION("""COMPUTED_VALUE"""),"5x3")</f>
        <v>5x3</v>
      </c>
      <c r="H20" s="5" t="str">
        <f>IFERROR(__xludf.DUMMYFUNCTION("""COMPUTED_VALUE"""),"10")</f>
        <v>10</v>
      </c>
      <c r="I20" s="5" t="str">
        <f>IFERROR(__xludf.DUMMYFUNCTION("""COMPUTED_VALUE"""),"10")</f>
        <v>10</v>
      </c>
      <c r="J20" s="5" t="str">
        <f>IFERROR(__xludf.DUMMYFUNCTION("""COMPUTED_VALUE"""),"94.45%")</f>
        <v>94.45%</v>
      </c>
      <c r="K20" s="5" t="str">
        <f>IFERROR(__xludf.DUMMYFUNCTION("""COMPUTED_VALUE"""),"Medium")</f>
        <v>Medium</v>
      </c>
      <c r="L20" s="5" t="str">
        <f>IFERROR(__xludf.DUMMYFUNCTION("""COMPUTED_VALUE"""),"12.54%")</f>
        <v>12.54%</v>
      </c>
      <c r="M20" s="5" t="str">
        <f>IFERROR(__xludf.DUMMYFUNCTION("""COMPUTED_VALUE"""),"x1250")</f>
        <v>x1250</v>
      </c>
      <c r="N20" s="5" t="str">
        <f>IFERROR(__xludf.DUMMYFUNCTION("""COMPUTED_VALUE"""),"0.10/40")</f>
        <v>0.10/40</v>
      </c>
      <c r="O20" s="5" t="str">
        <f>IFERROR(__xludf.DUMMYFUNCTION("""COMPUTED_VALUE"""),"No")</f>
        <v>No</v>
      </c>
      <c r="P20" s="5" t="str">
        <f>IFERROR(__xludf.DUMMYFUNCTION("""COMPUTED_VALUE"""),"Bonus Game with Free Spins, Wild Symbol")</f>
        <v>Bonus Game with Free Spins, Wild Symbol</v>
      </c>
      <c r="Q20" s="7" t="str">
        <f>IFERROR(__xludf.DUMMYFUNCTION("""COMPUTED_VALUE"""),"https://static.redstone.rs/games/clover-coin/")</f>
        <v>https://static.redstone.rs/games/clover-coin/</v>
      </c>
      <c r="R20" s="5" t="str">
        <f>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S2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0" s="5" t="str">
        <f>IFERROR(__xludf.DUMMYFUNCTION("""COMPUTED_VALUE"""),"Yes")</f>
        <v>Yes</v>
      </c>
      <c r="U20" s="5" t="str">
        <f>IFERROR(__xludf.DUMMYFUNCTION("""COMPUTED_VALUE"""),"Yes")</f>
        <v>Yes</v>
      </c>
      <c r="V20" s="5" t="str">
        <f>IFERROR(__xludf.DUMMYFUNCTION("""COMPUTED_VALUE"""),"No")</f>
        <v>No</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IFERROR(__xludf.DUMMYFUNCTION("""COMPUTED_VALUE"""),"No")</f>
        <v>No</v>
      </c>
      <c r="AJ20" s="5" t="str">
        <f>IFERROR(__xludf.DUMMYFUNCTION("""COMPUTED_VALUE"""),"No")</f>
        <v>No</v>
      </c>
      <c r="AK20" s="5" t="str">
        <f>IFERROR(__xludf.DUMMYFUNCTION("""COMPUTED_VALUE"""),"No")</f>
        <v>No</v>
      </c>
      <c r="AL20" s="5" t="str">
        <f>IFERROR(__xludf.DUMMYFUNCTION("""COMPUTED_VALUE"""),"No")</f>
        <v>No</v>
      </c>
      <c r="AM20" s="5" t="str">
        <f>IFERROR(__xludf.DUMMYFUNCTION("""COMPUTED_VALUE"""),"No")</f>
        <v>No</v>
      </c>
      <c r="AN20" s="5" t="str">
        <f>IFERROR(__xludf.DUMMYFUNCTION("""COMPUTED_VALUE"""),"No")</f>
        <v>No</v>
      </c>
      <c r="AO20" s="5" t="str">
        <f>IFERROR(__xludf.DUMMYFUNCTION("""COMPUTED_VALUE"""),"No")</f>
        <v>No</v>
      </c>
      <c r="AP20" s="5" t="str">
        <f>IFERROR(__xludf.DUMMYFUNCTION("""COMPUTED_VALUE"""),"No")</f>
        <v>No</v>
      </c>
      <c r="AQ20" s="5" t="str">
        <f>IFERROR(__xludf.DUMMYFUNCTION("""COMPUTED_VALUE"""),"No")</f>
        <v>No</v>
      </c>
      <c r="AR20" s="5" t="str">
        <f>IFERROR(__xludf.DUMMYFUNCTION("""COMPUTED_VALUE"""),"No")</f>
        <v>No</v>
      </c>
      <c r="AS20" s="5" t="str">
        <f>IFERROR(__xludf.DUMMYFUNCTION("""COMPUTED_VALUE"""),"Yes")</f>
        <v>Yes</v>
      </c>
      <c r="AT20" s="5" t="str">
        <f>IFERROR(__xludf.DUMMYFUNCTION("""COMPUTED_VALUE"""),"No")</f>
        <v>No</v>
      </c>
      <c r="AU20" s="5"/>
      <c r="AV20" s="5" t="str">
        <f>IFERROR(__xludf.DUMMYFUNCTION("""COMPUTED_VALUE"""),"")</f>
        <v/>
      </c>
      <c r="AW20" s="5" t="str">
        <f>IFERROR(__xludf.DUMMYFUNCTION("""COMPUTED_VALUE"""),"")</f>
        <v/>
      </c>
      <c r="AX20" s="5" t="str">
        <f>IFERROR(__xludf.DUMMYFUNCTION("""COMPUTED_VALUE"""),"")</f>
        <v/>
      </c>
      <c r="AY20" s="5" t="str">
        <f>IFERROR(__xludf.DUMMYFUNCTION("""COMPUTED_VALUE"""),"")</f>
        <v/>
      </c>
      <c r="AZ20" s="5" t="str">
        <f>IFERROR(__xludf.DUMMYFUNCTION("""COMPUTED_VALUE"""),"")</f>
        <v/>
      </c>
      <c r="BA20" s="5" t="str">
        <f>IFERROR(__xludf.DUMMYFUNCTION("""COMPUTED_VALUE"""),"")</f>
        <v/>
      </c>
      <c r="BB20" s="5" t="str">
        <f>IFERROR(__xludf.DUMMYFUNCTION("""COMPUTED_VALUE"""),"")</f>
        <v/>
      </c>
    </row>
    <row r="21">
      <c r="A21" s="5" t="str">
        <f>IFERROR(__xludf.DUMMYFUNCTION("""COMPUTED_VALUE"""),"Redstone")</f>
        <v>Redstone</v>
      </c>
      <c r="B21" s="5" t="str">
        <f>IFERROR(__xludf.DUMMYFUNCTION("""COMPUTED_VALUE"""),"Heat Classic 5")</f>
        <v>Heat Classic 5</v>
      </c>
      <c r="C21" s="5" t="str">
        <f>IFERROR(__xludf.DUMMYFUNCTION("""COMPUTED_VALUE"""),"HeatClassic5")</f>
        <v>HeatClassic5</v>
      </c>
      <c r="D21" s="6">
        <f>IFERROR(__xludf.DUMMYFUNCTION("""COMPUTED_VALUE"""),44866.0)</f>
        <v>44866</v>
      </c>
      <c r="E21" s="5" t="str">
        <f>IFERROR(__xludf.DUMMYFUNCTION("""COMPUTED_VALUE"""),"Slot")</f>
        <v>Slot</v>
      </c>
      <c r="F21" s="5">
        <f>IFERROR(__xludf.DUMMYFUNCTION("""COMPUTED_VALUE"""),6.5)</f>
        <v>6.5</v>
      </c>
      <c r="G21" s="5" t="str">
        <f>IFERROR(__xludf.DUMMYFUNCTION("""COMPUTED_VALUE"""),"3x3")</f>
        <v>3x3</v>
      </c>
      <c r="H21" s="5" t="str">
        <f>IFERROR(__xludf.DUMMYFUNCTION("""COMPUTED_VALUE"""),"5")</f>
        <v>5</v>
      </c>
      <c r="I21" s="5" t="str">
        <f>IFERROR(__xludf.DUMMYFUNCTION("""COMPUTED_VALUE"""),"5")</f>
        <v>5</v>
      </c>
      <c r="J21" s="5" t="str">
        <f>IFERROR(__xludf.DUMMYFUNCTION("""COMPUTED_VALUE"""),"95.95%")</f>
        <v>95.95%</v>
      </c>
      <c r="K21" s="5" t="str">
        <f>IFERROR(__xludf.DUMMYFUNCTION("""COMPUTED_VALUE"""),"Medium")</f>
        <v>Medium</v>
      </c>
      <c r="L21" s="5" t="str">
        <f>IFERROR(__xludf.DUMMYFUNCTION("""COMPUTED_VALUE"""),"8.63%")</f>
        <v>8.63%</v>
      </c>
      <c r="M21" s="5" t="str">
        <f>IFERROR(__xludf.DUMMYFUNCTION("""COMPUTED_VALUE"""),"x60")</f>
        <v>x60</v>
      </c>
      <c r="N21" s="5" t="str">
        <f>IFERROR(__xludf.DUMMYFUNCTION("""COMPUTED_VALUE"""),"0.05/30")</f>
        <v>0.05/30</v>
      </c>
      <c r="O21" s="5" t="str">
        <f>IFERROR(__xludf.DUMMYFUNCTION("""COMPUTED_VALUE"""),"No")</f>
        <v>No</v>
      </c>
      <c r="P21" s="5"/>
      <c r="Q21" s="7" t="str">
        <f>IFERROR(__xludf.DUMMYFUNCTION("""COMPUTED_VALUE"""),"https://static.redstone.rs/games/heat-classic-5/")</f>
        <v>https://static.redstone.rs/games/heat-classic-5/</v>
      </c>
      <c r="R21" s="5" t="str">
        <f>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S2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1" s="5" t="str">
        <f>IFERROR(__xludf.DUMMYFUNCTION("""COMPUTED_VALUE"""),"Yes")</f>
        <v>Yes</v>
      </c>
      <c r="U21" s="5" t="str">
        <f>IFERROR(__xludf.DUMMYFUNCTION("""COMPUTED_VALUE"""),"Yes")</f>
        <v>Yes</v>
      </c>
      <c r="V21" s="5" t="str">
        <f>IFERROR(__xludf.DUMMYFUNCTION("""COMPUTED_VALUE"""),"Yes")</f>
        <v>Yes</v>
      </c>
      <c r="W21" s="5" t="str">
        <f>IFERROR(__xludf.DUMMYFUNCTION("""COMPUTED_VALUE"""),"No")</f>
        <v>No</v>
      </c>
      <c r="X21" s="5" t="str">
        <f>IFERROR(__xludf.DUMMYFUNCTION("""COMPUTED_VALUE"""),"No")</f>
        <v>No</v>
      </c>
      <c r="Y21" s="5" t="str">
        <f>IFERROR(__xludf.DUMMYFUNCTION("""COMPUTED_VALUE"""),"No")</f>
        <v>No</v>
      </c>
      <c r="Z21" s="5" t="str">
        <f>IFERROR(__xludf.DUMMYFUNCTION("""COMPUTED_VALUE"""),"No")</f>
        <v>No</v>
      </c>
      <c r="AA21" s="5" t="str">
        <f>IFERROR(__xludf.DUMMYFUNCTION("""COMPUTED_VALUE"""),"No")</f>
        <v>No</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IFERROR(__xludf.DUMMYFUNCTION("""COMPUTED_VALUE"""),"No")</f>
        <v>No</v>
      </c>
      <c r="AH21" s="5" t="str">
        <f>IFERROR(__xludf.DUMMYFUNCTION("""COMPUTED_VALUE"""),"Yes")</f>
        <v>Yes</v>
      </c>
      <c r="AI21" s="5" t="str">
        <f>IFERROR(__xludf.DUMMYFUNCTION("""COMPUTED_VALUE"""),"No")</f>
        <v>No</v>
      </c>
      <c r="AJ21" s="5" t="str">
        <f>IFERROR(__xludf.DUMMYFUNCTION("""COMPUTED_VALUE"""),"No")</f>
        <v>No</v>
      </c>
      <c r="AK21" s="5" t="str">
        <f>IFERROR(__xludf.DUMMYFUNCTION("""COMPUTED_VALUE"""),"No")</f>
        <v>No</v>
      </c>
      <c r="AL21" s="5" t="str">
        <f>IFERROR(__xludf.DUMMYFUNCTION("""COMPUTED_VALUE"""),"No")</f>
        <v>No</v>
      </c>
      <c r="AM21" s="5" t="str">
        <f>IFERROR(__xludf.DUMMYFUNCTION("""COMPUTED_VALUE"""),"No")</f>
        <v>No</v>
      </c>
      <c r="AN21" s="5"/>
      <c r="AO21" s="5"/>
      <c r="AP21" s="5"/>
      <c r="AQ21" s="5" t="str">
        <f>IFERROR(__xludf.DUMMYFUNCTION("""COMPUTED_VALUE"""),"No")</f>
        <v>No</v>
      </c>
      <c r="AR21" s="5"/>
      <c r="AS21" s="5"/>
      <c r="AT21" s="5"/>
      <c r="AU21" s="5"/>
      <c r="AV21" s="5" t="str">
        <f>IFERROR(__xludf.DUMMYFUNCTION("""COMPUTED_VALUE"""),"")</f>
        <v/>
      </c>
      <c r="AW21" s="5" t="str">
        <f>IFERROR(__xludf.DUMMYFUNCTION("""COMPUTED_VALUE"""),"")</f>
        <v/>
      </c>
      <c r="AX21" s="5" t="str">
        <f>IFERROR(__xludf.DUMMYFUNCTION("""COMPUTED_VALUE"""),"")</f>
        <v/>
      </c>
      <c r="AY21" s="5" t="str">
        <f>IFERROR(__xludf.DUMMYFUNCTION("""COMPUTED_VALUE"""),"")</f>
        <v/>
      </c>
      <c r="AZ21" s="5" t="str">
        <f>IFERROR(__xludf.DUMMYFUNCTION("""COMPUTED_VALUE"""),"")</f>
        <v/>
      </c>
      <c r="BA21" s="5" t="str">
        <f>IFERROR(__xludf.DUMMYFUNCTION("""COMPUTED_VALUE"""),"")</f>
        <v/>
      </c>
      <c r="BB21" s="5" t="str">
        <f>IFERROR(__xludf.DUMMYFUNCTION("""COMPUTED_VALUE"""),"")</f>
        <v/>
      </c>
    </row>
    <row r="22">
      <c r="A22" s="5" t="str">
        <f>IFERROR(__xludf.DUMMYFUNCTION("""COMPUTED_VALUE"""),"Redstone")</f>
        <v>Redstone</v>
      </c>
      <c r="B22" s="5" t="str">
        <f>IFERROR(__xludf.DUMMYFUNCTION("""COMPUTED_VALUE"""),"Book Of Dread")</f>
        <v>Book Of Dread</v>
      </c>
      <c r="C22" s="5" t="str">
        <f>IFERROR(__xludf.DUMMYFUNCTION("""COMPUTED_VALUE"""),"BookOfDread")</f>
        <v>BookOfDread</v>
      </c>
      <c r="D22" s="6">
        <f>IFERROR(__xludf.DUMMYFUNCTION("""COMPUTED_VALUE"""),44846.0)</f>
        <v>44846</v>
      </c>
      <c r="E22" s="5" t="str">
        <f>IFERROR(__xludf.DUMMYFUNCTION("""COMPUTED_VALUE"""),"Slot")</f>
        <v>Slot</v>
      </c>
      <c r="F22" s="5">
        <f>IFERROR(__xludf.DUMMYFUNCTION("""COMPUTED_VALUE"""),15.0)</f>
        <v>15</v>
      </c>
      <c r="G22" s="5" t="str">
        <f>IFERROR(__xludf.DUMMYFUNCTION("""COMPUTED_VALUE"""),"5x3")</f>
        <v>5x3</v>
      </c>
      <c r="H22" s="5" t="str">
        <f>IFERROR(__xludf.DUMMYFUNCTION("""COMPUTED_VALUE"""),"10")</f>
        <v>10</v>
      </c>
      <c r="I22" s="5" t="str">
        <f>IFERROR(__xludf.DUMMYFUNCTION("""COMPUTED_VALUE"""),"10")</f>
        <v>10</v>
      </c>
      <c r="J22" s="5" t="str">
        <f>IFERROR(__xludf.DUMMYFUNCTION("""COMPUTED_VALUE"""),"96.2%")</f>
        <v>96.2%</v>
      </c>
      <c r="K22" s="5" t="str">
        <f>IFERROR(__xludf.DUMMYFUNCTION("""COMPUTED_VALUE"""),"High")</f>
        <v>High</v>
      </c>
      <c r="L22" s="5" t="str">
        <f>IFERROR(__xludf.DUMMYFUNCTION("""COMPUTED_VALUE"""),"30.81%")</f>
        <v>30.81%</v>
      </c>
      <c r="M22" s="5" t="str">
        <f>IFERROR(__xludf.DUMMYFUNCTION("""COMPUTED_VALUE"""),"x5456")</f>
        <v>x5456</v>
      </c>
      <c r="N22" s="5" t="str">
        <f>IFERROR(__xludf.DUMMYFUNCTION("""COMPUTED_VALUE"""),"0.10/40")</f>
        <v>0.10/40</v>
      </c>
      <c r="O22" s="5" t="str">
        <f>IFERROR(__xludf.DUMMYFUNCTION("""COMPUTED_VALUE"""),"No")</f>
        <v>No</v>
      </c>
      <c r="P22" s="5" t="str">
        <f>IFERROR(__xludf.DUMMYFUNCTION("""COMPUTED_VALUE"""),"Wild Symbol, Bonus Game with Free Spins, Expanding Wild")</f>
        <v>Wild Symbol, Bonus Game with Free Spins, Expanding Wild</v>
      </c>
      <c r="Q22" s="7" t="str">
        <f>IFERROR(__xludf.DUMMYFUNCTION("""COMPUTED_VALUE"""),"https://static.redstone.rs/games/book-of-dread/")</f>
        <v>https://static.redstone.rs/games/book-of-dread/</v>
      </c>
      <c r="R22" s="5" t="str">
        <f>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S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IFERROR(__xludf.DUMMYFUNCTION("""COMPUTED_VALUE"""),"Yes")</f>
        <v>Yes</v>
      </c>
      <c r="AH22" s="5" t="str">
        <f>IFERROR(__xludf.DUMMYFUNCTION("""COMPUTED_VALUE"""),"Yes")</f>
        <v>Yes</v>
      </c>
      <c r="AI22" s="5" t="str">
        <f>IFERROR(__xludf.DUMMYFUNCTION("""COMPUTED_VALUE"""),"Yes")</f>
        <v>Yes</v>
      </c>
      <c r="AJ22" s="5" t="str">
        <f>IFERROR(__xludf.DUMMYFUNCTION("""COMPUTED_VALUE"""),"Yes")</f>
        <v>Yes</v>
      </c>
      <c r="AK22" s="5" t="str">
        <f>IFERROR(__xludf.DUMMYFUNCTION("""COMPUTED_VALUE"""),"Yes")</f>
        <v>Yes</v>
      </c>
      <c r="AL22" s="5" t="str">
        <f>IFERROR(__xludf.DUMMYFUNCTION("""COMPUTED_VALUE"""),"Yes")</f>
        <v>Yes</v>
      </c>
      <c r="AM22" s="5" t="str">
        <f>IFERROR(__xludf.DUMMYFUNCTION("""COMPUTED_VALUE"""),"Yes")</f>
        <v>Yes</v>
      </c>
      <c r="AN22" s="5" t="str">
        <f>IFERROR(__xludf.DUMMYFUNCTION("""COMPUTED_VALUE"""),"Yes")</f>
        <v>Yes</v>
      </c>
      <c r="AO22" s="5" t="str">
        <f>IFERROR(__xludf.DUMMYFUNCTION("""COMPUTED_VALUE"""),"Yes")</f>
        <v>Yes</v>
      </c>
      <c r="AP22" s="5" t="str">
        <f>IFERROR(__xludf.DUMMYFUNCTION("""COMPUTED_VALUE"""),"Yes")</f>
        <v>Yes</v>
      </c>
      <c r="AQ22" s="5" t="str">
        <f>IFERROR(__xludf.DUMMYFUNCTION("""COMPUTED_VALUE"""),"Yes")</f>
        <v>Yes</v>
      </c>
      <c r="AR22" s="5" t="str">
        <f>IFERROR(__xludf.DUMMYFUNCTION("""COMPUTED_VALUE"""),"Yes")</f>
        <v>Yes</v>
      </c>
      <c r="AS22" s="5" t="str">
        <f>IFERROR(__xludf.DUMMYFUNCTION("""COMPUTED_VALUE"""),"Yes")</f>
        <v>Yes</v>
      </c>
      <c r="AT22" s="5"/>
      <c r="AU22" s="5"/>
      <c r="AV22" s="5" t="str">
        <f>IFERROR(__xludf.DUMMYFUNCTION("""COMPUTED_VALUE"""),"")</f>
        <v/>
      </c>
      <c r="AW22" s="5" t="str">
        <f>IFERROR(__xludf.DUMMYFUNCTION("""COMPUTED_VALUE"""),"Available")</f>
        <v>Available</v>
      </c>
      <c r="AX22" s="5" t="str">
        <f>IFERROR(__xludf.DUMMYFUNCTION("""COMPUTED_VALUE"""),"")</f>
        <v/>
      </c>
      <c r="AY22" s="5" t="str">
        <f>IFERROR(__xludf.DUMMYFUNCTION("""COMPUTED_VALUE"""),"Available")</f>
        <v>Available</v>
      </c>
      <c r="AZ22" s="5" t="str">
        <f>IFERROR(__xludf.DUMMYFUNCTION("""COMPUTED_VALUE"""),"")</f>
        <v/>
      </c>
      <c r="BA22" s="5" t="str">
        <f>IFERROR(__xludf.DUMMYFUNCTION("""COMPUTED_VALUE"""),"")</f>
        <v/>
      </c>
      <c r="BB22" s="5" t="str">
        <f>IFERROR(__xludf.DUMMYFUNCTION("""COMPUTED_VALUE"""),"")</f>
        <v/>
      </c>
    </row>
    <row r="23">
      <c r="A23" s="5" t="str">
        <f>IFERROR(__xludf.DUMMYFUNCTION("""COMPUTED_VALUE"""),"Redstone")</f>
        <v>Redstone</v>
      </c>
      <c r="B23" s="5" t="str">
        <f>IFERROR(__xludf.DUMMYFUNCTION("""COMPUTED_VALUE"""),"10 Wild Pumpkin")</f>
        <v>10 Wild Pumpkin</v>
      </c>
      <c r="C23" s="5" t="str">
        <f>IFERROR(__xludf.DUMMYFUNCTION("""COMPUTED_VALUE"""),"WildPumpkin10")</f>
        <v>WildPumpkin10</v>
      </c>
      <c r="D23" s="6">
        <f>IFERROR(__xludf.DUMMYFUNCTION("""COMPUTED_VALUE"""),44831.0)</f>
        <v>44831</v>
      </c>
      <c r="E23" s="5" t="str">
        <f>IFERROR(__xludf.DUMMYFUNCTION("""COMPUTED_VALUE"""),"Slot")</f>
        <v>Slot</v>
      </c>
      <c r="F23" s="5">
        <f>IFERROR(__xludf.DUMMYFUNCTION("""COMPUTED_VALUE"""),6.7)</f>
        <v>6.7</v>
      </c>
      <c r="G23" s="5" t="str">
        <f>IFERROR(__xludf.DUMMYFUNCTION("""COMPUTED_VALUE"""),"5x3")</f>
        <v>5x3</v>
      </c>
      <c r="H23" s="5" t="str">
        <f>IFERROR(__xludf.DUMMYFUNCTION("""COMPUTED_VALUE"""),"10")</f>
        <v>10</v>
      </c>
      <c r="I23" s="5" t="str">
        <f>IFERROR(__xludf.DUMMYFUNCTION("""COMPUTED_VALUE"""),"10")</f>
        <v>10</v>
      </c>
      <c r="J23" s="5" t="str">
        <f>IFERROR(__xludf.DUMMYFUNCTION("""COMPUTED_VALUE"""),"95.96%")</f>
        <v>95.96%</v>
      </c>
      <c r="K23" s="5" t="str">
        <f>IFERROR(__xludf.DUMMYFUNCTION("""COMPUTED_VALUE"""),"Medium")</f>
        <v>Medium</v>
      </c>
      <c r="L23" s="5" t="str">
        <f>IFERROR(__xludf.DUMMYFUNCTION("""COMPUTED_VALUE"""),"14.63%")</f>
        <v>14.63%</v>
      </c>
      <c r="M23" s="5" t="str">
        <f>IFERROR(__xludf.DUMMYFUNCTION("""COMPUTED_VALUE"""),"x1538")</f>
        <v>x1538</v>
      </c>
      <c r="N23" s="5" t="str">
        <f>IFERROR(__xludf.DUMMYFUNCTION("""COMPUTED_VALUE"""),"0.10/40")</f>
        <v>0.10/40</v>
      </c>
      <c r="O23" s="5" t="str">
        <f>IFERROR(__xludf.DUMMYFUNCTION("""COMPUTED_VALUE"""),"No")</f>
        <v>No</v>
      </c>
      <c r="P23" s="5" t="str">
        <f>IFERROR(__xludf.DUMMYFUNCTION("""COMPUTED_VALUE"""),"Expanding Wild, Scatter")</f>
        <v>Expanding Wild, Scatter</v>
      </c>
      <c r="Q23" s="7" t="str">
        <f>IFERROR(__xludf.DUMMYFUNCTION("""COMPUTED_VALUE"""),"https://static.redstone.rs/games/10-wild-pumpkin/")</f>
        <v>https://static.redstone.rs/games/10-wild-pumpkin/</v>
      </c>
      <c r="R23" s="5" t="str">
        <f>IFERROR(__xludf.DUMMYFUNCTION("""COMPUTED_VALUE"""),"’Tis the spooky season. Land up to 3 expanding Wild Pumpkins for massive wins on up to 10 lines. ")</f>
        <v>’Tis the spooky season. Land up to 3 expanding Wild Pumpkins for massive wins on up to 10 lines. </v>
      </c>
      <c r="S2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3" s="5" t="str">
        <f>IFERROR(__xludf.DUMMYFUNCTION("""COMPUTED_VALUE"""),"Yes")</f>
        <v>Yes</v>
      </c>
      <c r="U23" s="5" t="str">
        <f>IFERROR(__xludf.DUMMYFUNCTION("""COMPUTED_VALUE"""),"Yes")</f>
        <v>Yes</v>
      </c>
      <c r="V23" s="5" t="str">
        <f>IFERROR(__xludf.DUMMYFUNCTION("""COMPUTED_VALUE"""),"No")</f>
        <v>No</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IFERROR(__xludf.DUMMYFUNCTION("""COMPUTED_VALUE"""),"No")</f>
        <v>No</v>
      </c>
      <c r="AJ23" s="5" t="str">
        <f>IFERROR(__xludf.DUMMYFUNCTION("""COMPUTED_VALUE"""),"No")</f>
        <v>No</v>
      </c>
      <c r="AK23" s="5" t="str">
        <f>IFERROR(__xludf.DUMMYFUNCTION("""COMPUTED_VALUE"""),"No")</f>
        <v>No</v>
      </c>
      <c r="AL23" s="5" t="str">
        <f>IFERROR(__xludf.DUMMYFUNCTION("""COMPUTED_VALUE"""),"No")</f>
        <v>No</v>
      </c>
      <c r="AM23" s="5" t="str">
        <f>IFERROR(__xludf.DUMMYFUNCTION("""COMPUTED_VALUE"""),"No")</f>
        <v>No</v>
      </c>
      <c r="AN23" s="5" t="str">
        <f>IFERROR(__xludf.DUMMYFUNCTION("""COMPUTED_VALUE"""),"No")</f>
        <v>No</v>
      </c>
      <c r="AO23" s="5" t="str">
        <f>IFERROR(__xludf.DUMMYFUNCTION("""COMPUTED_VALUE"""),"No")</f>
        <v>No</v>
      </c>
      <c r="AP23" s="5" t="str">
        <f>IFERROR(__xludf.DUMMYFUNCTION("""COMPUTED_VALUE"""),"No")</f>
        <v>No</v>
      </c>
      <c r="AQ23" s="5" t="str">
        <f>IFERROR(__xludf.DUMMYFUNCTION("""COMPUTED_VALUE"""),"No")</f>
        <v>No</v>
      </c>
      <c r="AR23" s="5" t="str">
        <f>IFERROR(__xludf.DUMMYFUNCTION("""COMPUTED_VALUE"""),"No")</f>
        <v>No</v>
      </c>
      <c r="AS23" s="5" t="str">
        <f>IFERROR(__xludf.DUMMYFUNCTION("""COMPUTED_VALUE"""),"Yes")</f>
        <v>Yes</v>
      </c>
      <c r="AT23" s="5" t="str">
        <f>IFERROR(__xludf.DUMMYFUNCTION("""COMPUTED_VALUE"""),"No")</f>
        <v>No</v>
      </c>
      <c r="AU23" s="5"/>
      <c r="AV23" s="5" t="str">
        <f>IFERROR(__xludf.DUMMYFUNCTION("""COMPUTED_VALUE"""),"")</f>
        <v/>
      </c>
      <c r="AW23" s="5" t="str">
        <f>IFERROR(__xludf.DUMMYFUNCTION("""COMPUTED_VALUE"""),"")</f>
        <v/>
      </c>
      <c r="AX23" s="5" t="str">
        <f>IFERROR(__xludf.DUMMYFUNCTION("""COMPUTED_VALUE"""),"")</f>
        <v/>
      </c>
      <c r="AY23" s="5" t="str">
        <f>IFERROR(__xludf.DUMMYFUNCTION("""COMPUTED_VALUE"""),"")</f>
        <v/>
      </c>
      <c r="AZ23" s="5" t="str">
        <f>IFERROR(__xludf.DUMMYFUNCTION("""COMPUTED_VALUE"""),"")</f>
        <v/>
      </c>
      <c r="BA23" s="5" t="str">
        <f>IFERROR(__xludf.DUMMYFUNCTION("""COMPUTED_VALUE"""),"")</f>
        <v/>
      </c>
      <c r="BB23" s="5" t="str">
        <f>IFERROR(__xludf.DUMMYFUNCTION("""COMPUTED_VALUE"""),"")</f>
        <v/>
      </c>
    </row>
    <row r="24">
      <c r="A24" s="5" t="str">
        <f>IFERROR(__xludf.DUMMYFUNCTION("""COMPUTED_VALUE"""),"Redstone")</f>
        <v>Redstone</v>
      </c>
      <c r="B24" s="5" t="str">
        <f>IFERROR(__xludf.DUMMYFUNCTION("""COMPUTED_VALUE"""),"5 Crown Fire")</f>
        <v>5 Crown Fire</v>
      </c>
      <c r="C24" s="5" t="str">
        <f>IFERROR(__xludf.DUMMYFUNCTION("""COMPUTED_VALUE"""),"CrownFire5")</f>
        <v>CrownFire5</v>
      </c>
      <c r="D24" s="6">
        <f>IFERROR(__xludf.DUMMYFUNCTION("""COMPUTED_VALUE"""),44889.0)</f>
        <v>44889</v>
      </c>
      <c r="E24" s="5" t="str">
        <f>IFERROR(__xludf.DUMMYFUNCTION("""COMPUTED_VALUE"""),"Slot")</f>
        <v>Slot</v>
      </c>
      <c r="F24" s="5">
        <f>IFERROR(__xludf.DUMMYFUNCTION("""COMPUTED_VALUE"""),6.5)</f>
        <v>6.5</v>
      </c>
      <c r="G24" s="5" t="str">
        <f>IFERROR(__xludf.DUMMYFUNCTION("""COMPUTED_VALUE"""),"5x3")</f>
        <v>5x3</v>
      </c>
      <c r="H24" s="5" t="str">
        <f>IFERROR(__xludf.DUMMYFUNCTION("""COMPUTED_VALUE"""),"5")</f>
        <v>5</v>
      </c>
      <c r="I24" s="5" t="str">
        <f>IFERROR(__xludf.DUMMYFUNCTION("""COMPUTED_VALUE"""),"5")</f>
        <v>5</v>
      </c>
      <c r="J24" s="5" t="str">
        <f>IFERROR(__xludf.DUMMYFUNCTION("""COMPUTED_VALUE"""),"96.45%")</f>
        <v>96.45%</v>
      </c>
      <c r="K24" s="5" t="str">
        <f>IFERROR(__xludf.DUMMYFUNCTION("""COMPUTED_VALUE"""),"Medium")</f>
        <v>Medium</v>
      </c>
      <c r="L24" s="5" t="str">
        <f>IFERROR(__xludf.DUMMYFUNCTION("""COMPUTED_VALUE"""),"14.5%")</f>
        <v>14.5%</v>
      </c>
      <c r="M24" s="5" t="str">
        <f>IFERROR(__xludf.DUMMYFUNCTION("""COMPUTED_VALUE"""),"x1222")</f>
        <v>x1222</v>
      </c>
      <c r="N24" s="5" t="str">
        <f>IFERROR(__xludf.DUMMYFUNCTION("""COMPUTED_VALUE"""),"0.05/30")</f>
        <v>0.05/30</v>
      </c>
      <c r="O24" s="5" t="str">
        <f>IFERROR(__xludf.DUMMYFUNCTION("""COMPUTED_VALUE"""),"No")</f>
        <v>No</v>
      </c>
      <c r="P24" s="5" t="str">
        <f>IFERROR(__xludf.DUMMYFUNCTION("""COMPUTED_VALUE"""),"Expanding Wild, Scatter")</f>
        <v>Expanding Wild, Scatter</v>
      </c>
      <c r="Q24" s="7" t="str">
        <f>IFERROR(__xludf.DUMMYFUNCTION("""COMPUTED_VALUE"""),"https://static.redstone.rs/games/5-crown-fire/")</f>
        <v>https://static.redstone.rs/games/5-crown-fire/</v>
      </c>
      <c r="R24" s="5" t="str">
        <f>IFERROR(__xludf.DUMMYFUNCTION("""COMPUTED_VALUE"""),"Royal games give royal wins! Find your lucky crown and feel the power of fruits with new 5 lined game.")</f>
        <v>Royal games give royal wins! Find your lucky crown and feel the power of fruits with new 5 lined game.</v>
      </c>
      <c r="S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t="str">
        <f>IFERROR(__xludf.DUMMYFUNCTION("""COMPUTED_VALUE"""),"Yes")</f>
        <v>Yes</v>
      </c>
      <c r="Z24" s="5" t="str">
        <f>IFERROR(__xludf.DUMMYFUNCTION("""COMPUTED_VALUE"""),"Yes")</f>
        <v>Yes</v>
      </c>
      <c r="AA24" s="5" t="str">
        <f>IFERROR(__xludf.DUMMYFUNCTION("""COMPUTED_VALUE"""),"Yes")</f>
        <v>Yes</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IFERROR(__xludf.DUMMYFUNCTION("""COMPUTED_VALUE"""),"Yes")</f>
        <v>Yes</v>
      </c>
      <c r="AH24" s="5" t="str">
        <f>IFERROR(__xludf.DUMMYFUNCTION("""COMPUTED_VALUE"""),"Yes")</f>
        <v>Yes</v>
      </c>
      <c r="AI24" s="5" t="str">
        <f>IFERROR(__xludf.DUMMYFUNCTION("""COMPUTED_VALUE"""),"Yes")</f>
        <v>Yes</v>
      </c>
      <c r="AJ24" s="5" t="str">
        <f>IFERROR(__xludf.DUMMYFUNCTION("""COMPUTED_VALUE"""),"Yes")</f>
        <v>Yes</v>
      </c>
      <c r="AK24" s="5" t="str">
        <f>IFERROR(__xludf.DUMMYFUNCTION("""COMPUTED_VALUE"""),"Yes")</f>
        <v>Yes</v>
      </c>
      <c r="AL24" s="5" t="str">
        <f>IFERROR(__xludf.DUMMYFUNCTION("""COMPUTED_VALUE"""),"Yes")</f>
        <v>Yes</v>
      </c>
      <c r="AM24" s="5" t="str">
        <f>IFERROR(__xludf.DUMMYFUNCTION("""COMPUTED_VALUE"""),"Yes")</f>
        <v>Yes</v>
      </c>
      <c r="AN24" s="5"/>
      <c r="AO24" s="5"/>
      <c r="AP24" s="5"/>
      <c r="AQ24" s="5" t="str">
        <f>IFERROR(__xludf.DUMMYFUNCTION("""COMPUTED_VALUE"""),"Yes")</f>
        <v>Yes</v>
      </c>
      <c r="AR24" s="5"/>
      <c r="AS24" s="5"/>
      <c r="AT24" s="5"/>
      <c r="AU24" s="5"/>
      <c r="AV24" s="5" t="str">
        <f>IFERROR(__xludf.DUMMYFUNCTION("""COMPUTED_VALUE"""),"")</f>
        <v/>
      </c>
      <c r="AW24" s="5" t="str">
        <f>IFERROR(__xludf.DUMMYFUNCTION("""COMPUTED_VALUE"""),"")</f>
        <v/>
      </c>
      <c r="AX24" s="5" t="str">
        <f>IFERROR(__xludf.DUMMYFUNCTION("""COMPUTED_VALUE"""),"")</f>
        <v/>
      </c>
      <c r="AY24" s="5" t="str">
        <f>IFERROR(__xludf.DUMMYFUNCTION("""COMPUTED_VALUE"""),"")</f>
        <v/>
      </c>
      <c r="AZ24" s="5" t="str">
        <f>IFERROR(__xludf.DUMMYFUNCTION("""COMPUTED_VALUE"""),"")</f>
        <v/>
      </c>
      <c r="BA24" s="5" t="str">
        <f>IFERROR(__xludf.DUMMYFUNCTION("""COMPUTED_VALUE"""),"")</f>
        <v/>
      </c>
      <c r="BB24" s="5" t="str">
        <f>IFERROR(__xludf.DUMMYFUNCTION("""COMPUTED_VALUE"""),"")</f>
        <v/>
      </c>
    </row>
    <row r="25">
      <c r="A25" s="5" t="str">
        <f>IFERROR(__xludf.DUMMYFUNCTION("""COMPUTED_VALUE"""),"Redstone")</f>
        <v>Redstone</v>
      </c>
      <c r="B25" s="5" t="str">
        <f>IFERROR(__xludf.DUMMYFUNCTION("""COMPUTED_VALUE"""),"10 Wild Santa")</f>
        <v>10 Wild Santa</v>
      </c>
      <c r="C25" s="5" t="str">
        <f>IFERROR(__xludf.DUMMYFUNCTION("""COMPUTED_VALUE"""),"WildSanta10")</f>
        <v>WildSanta10</v>
      </c>
      <c r="D25" s="6">
        <f>IFERROR(__xludf.DUMMYFUNCTION("""COMPUTED_VALUE"""),44901.0)</f>
        <v>44901</v>
      </c>
      <c r="E25" s="5" t="str">
        <f>IFERROR(__xludf.DUMMYFUNCTION("""COMPUTED_VALUE"""),"Slot")</f>
        <v>Slot</v>
      </c>
      <c r="F25" s="5">
        <f>IFERROR(__xludf.DUMMYFUNCTION("""COMPUTED_VALUE"""),8.5)</f>
        <v>8.5</v>
      </c>
      <c r="G25" s="5" t="str">
        <f>IFERROR(__xludf.DUMMYFUNCTION("""COMPUTED_VALUE"""),"5x3")</f>
        <v>5x3</v>
      </c>
      <c r="H25" s="5" t="str">
        <f>IFERROR(__xludf.DUMMYFUNCTION("""COMPUTED_VALUE"""),"10")</f>
        <v>10</v>
      </c>
      <c r="I25" s="5" t="str">
        <f>IFERROR(__xludf.DUMMYFUNCTION("""COMPUTED_VALUE"""),"10")</f>
        <v>10</v>
      </c>
      <c r="J25" s="5" t="str">
        <f>IFERROR(__xludf.DUMMYFUNCTION("""COMPUTED_VALUE"""),"95.96%")</f>
        <v>95.96%</v>
      </c>
      <c r="K25" s="5" t="str">
        <f>IFERROR(__xludf.DUMMYFUNCTION("""COMPUTED_VALUE"""),"Medium")</f>
        <v>Medium</v>
      </c>
      <c r="L25" s="5" t="str">
        <f>IFERROR(__xludf.DUMMYFUNCTION("""COMPUTED_VALUE"""),"14.63%")</f>
        <v>14.63%</v>
      </c>
      <c r="M25" s="5" t="str">
        <f>IFERROR(__xludf.DUMMYFUNCTION("""COMPUTED_VALUE"""),"x1538")</f>
        <v>x1538</v>
      </c>
      <c r="N25" s="5" t="str">
        <f>IFERROR(__xludf.DUMMYFUNCTION("""COMPUTED_VALUE"""),"0.10/40")</f>
        <v>0.10/40</v>
      </c>
      <c r="O25" s="5" t="str">
        <f>IFERROR(__xludf.DUMMYFUNCTION("""COMPUTED_VALUE"""),"No")</f>
        <v>No</v>
      </c>
      <c r="P25" s="5" t="str">
        <f>IFERROR(__xludf.DUMMYFUNCTION("""COMPUTED_VALUE"""),"Expanding Wild, Scatter")</f>
        <v>Expanding Wild, Scatter</v>
      </c>
      <c r="Q25" s="7" t="str">
        <f>IFERROR(__xludf.DUMMYFUNCTION("""COMPUTED_VALUE"""),"https://static.redstone.rs/games/10-wild-santa/")</f>
        <v>https://static.redstone.rs/games/10-wild-santa/</v>
      </c>
      <c r="R25" s="5" t="str">
        <f>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S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IFERROR(__xludf.DUMMYFUNCTION("""COMPUTED_VALUE"""),"Yes")</f>
        <v>Yes</v>
      </c>
      <c r="AJ25" s="5" t="str">
        <f>IFERROR(__xludf.DUMMYFUNCTION("""COMPUTED_VALUE"""),"Yes")</f>
        <v>Yes</v>
      </c>
      <c r="AK25" s="5" t="str">
        <f>IFERROR(__xludf.DUMMYFUNCTION("""COMPUTED_VALUE"""),"Yes")</f>
        <v>Yes</v>
      </c>
      <c r="AL25" s="5" t="str">
        <f>IFERROR(__xludf.DUMMYFUNCTION("""COMPUTED_VALUE"""),"Yes")</f>
        <v>Yes</v>
      </c>
      <c r="AM25" s="5" t="str">
        <f>IFERROR(__xludf.DUMMYFUNCTION("""COMPUTED_VALUE"""),"Yes")</f>
        <v>Yes</v>
      </c>
      <c r="AN25" s="5"/>
      <c r="AO25" s="5"/>
      <c r="AP25" s="5"/>
      <c r="AQ25" s="5" t="str">
        <f>IFERROR(__xludf.DUMMYFUNCTION("""COMPUTED_VALUE"""),"Yes")</f>
        <v>Yes</v>
      </c>
      <c r="AR25" s="5"/>
      <c r="AS25" s="5"/>
      <c r="AT25" s="5"/>
      <c r="AU25" s="5"/>
      <c r="AV25" s="5" t="str">
        <f>IFERROR(__xludf.DUMMYFUNCTION("""COMPUTED_VALUE"""),"")</f>
        <v/>
      </c>
      <c r="AW25" s="5" t="str">
        <f>IFERROR(__xludf.DUMMYFUNCTION("""COMPUTED_VALUE"""),"")</f>
        <v/>
      </c>
      <c r="AX25" s="5" t="str">
        <f>IFERROR(__xludf.DUMMYFUNCTION("""COMPUTED_VALUE"""),"")</f>
        <v/>
      </c>
      <c r="AY25" s="5" t="str">
        <f>IFERROR(__xludf.DUMMYFUNCTION("""COMPUTED_VALUE"""),"")</f>
        <v/>
      </c>
      <c r="AZ25" s="5" t="str">
        <f>IFERROR(__xludf.DUMMYFUNCTION("""COMPUTED_VALUE"""),"")</f>
        <v/>
      </c>
      <c r="BA25" s="5" t="str">
        <f>IFERROR(__xludf.DUMMYFUNCTION("""COMPUTED_VALUE"""),"")</f>
        <v/>
      </c>
      <c r="BB25" s="5" t="str">
        <f>IFERROR(__xludf.DUMMYFUNCTION("""COMPUTED_VALUE"""),"")</f>
        <v/>
      </c>
    </row>
    <row r="26">
      <c r="A26" s="5" t="str">
        <f>IFERROR(__xludf.DUMMYFUNCTION("""COMPUTED_VALUE"""),"Redstone")</f>
        <v>Redstone</v>
      </c>
      <c r="B26" s="5" t="str">
        <f>IFERROR(__xludf.DUMMYFUNCTION("""COMPUTED_VALUE"""),"20 Fire Cash")</f>
        <v>20 Fire Cash</v>
      </c>
      <c r="C26" s="5" t="str">
        <f>IFERROR(__xludf.DUMMYFUNCTION("""COMPUTED_VALUE"""),"FireCash20")</f>
        <v>FireCash20</v>
      </c>
      <c r="D26" s="6">
        <f>IFERROR(__xludf.DUMMYFUNCTION("""COMPUTED_VALUE"""),44958.0)</f>
        <v>44958</v>
      </c>
      <c r="E26" s="5" t="str">
        <f>IFERROR(__xludf.DUMMYFUNCTION("""COMPUTED_VALUE"""),"Slot")</f>
        <v>Slot</v>
      </c>
      <c r="F26" s="5">
        <f>IFERROR(__xludf.DUMMYFUNCTION("""COMPUTED_VALUE"""),6.5)</f>
        <v>6.5</v>
      </c>
      <c r="G26" s="5" t="str">
        <f>IFERROR(__xludf.DUMMYFUNCTION("""COMPUTED_VALUE"""),"5x3")</f>
        <v>5x3</v>
      </c>
      <c r="H26" s="5" t="str">
        <f>IFERROR(__xludf.DUMMYFUNCTION("""COMPUTED_VALUE"""),"20")</f>
        <v>20</v>
      </c>
      <c r="I26" s="5" t="str">
        <f>IFERROR(__xludf.DUMMYFUNCTION("""COMPUTED_VALUE"""),"20")</f>
        <v>20</v>
      </c>
      <c r="J26" s="5" t="str">
        <f>IFERROR(__xludf.DUMMYFUNCTION("""COMPUTED_VALUE"""),"96.47%")</f>
        <v>96.47%</v>
      </c>
      <c r="K26" s="5" t="str">
        <f>IFERROR(__xludf.DUMMYFUNCTION("""COMPUTED_VALUE"""),"Medium")</f>
        <v>Medium</v>
      </c>
      <c r="L26" s="5" t="str">
        <f>IFERROR(__xludf.DUMMYFUNCTION("""COMPUTED_VALUE"""),"17.73%")</f>
        <v>17.73%</v>
      </c>
      <c r="M26" s="5" t="str">
        <f>IFERROR(__xludf.DUMMYFUNCTION("""COMPUTED_VALUE"""),"x1000")</f>
        <v>x1000</v>
      </c>
      <c r="N26" s="5" t="str">
        <f>IFERROR(__xludf.DUMMYFUNCTION("""COMPUTED_VALUE"""),"0.02/50")</f>
        <v>0.02/50</v>
      </c>
      <c r="O26" s="5" t="str">
        <f>IFERROR(__xludf.DUMMYFUNCTION("""COMPUTED_VALUE"""),"No")</f>
        <v>No</v>
      </c>
      <c r="P26" s="5" t="str">
        <f>IFERROR(__xludf.DUMMYFUNCTION("""COMPUTED_VALUE"""),"Special Wild, Scatter")</f>
        <v>Special Wild, Scatter</v>
      </c>
      <c r="Q26" s="7" t="str">
        <f>IFERROR(__xludf.DUMMYFUNCTION("""COMPUTED_VALUE"""),"https://static.redstone.rs/games/20-fire-cash/")</f>
        <v>https://static.redstone.rs/games/20-fire-cash/</v>
      </c>
      <c r="R26" s="5" t="str">
        <f>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S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5" t="str">
        <f>IFERROR(__xludf.DUMMYFUNCTION("""COMPUTED_VALUE"""),"Yes")</f>
        <v>Yes</v>
      </c>
      <c r="U26" s="5" t="str">
        <f>IFERROR(__xludf.DUMMYFUNCTION("""COMPUTED_VALUE"""),"Yes")</f>
        <v>Yes</v>
      </c>
      <c r="V26" s="5" t="str">
        <f>IFERROR(__xludf.DUMMYFUNCTION("""COMPUTED_VALUE"""),"Yes")</f>
        <v>Yes</v>
      </c>
      <c r="W26" s="5" t="str">
        <f>IFERROR(__xludf.DUMMYFUNCTION("""COMPUTED_VALUE"""),"No")</f>
        <v>No</v>
      </c>
      <c r="X26" s="5" t="str">
        <f>IFERROR(__xludf.DUMMYFUNCTION("""COMPUTED_VALUE"""),"No")</f>
        <v>No</v>
      </c>
      <c r="Y26" s="5" t="str">
        <f>IFERROR(__xludf.DUMMYFUNCTION("""COMPUTED_VALUE"""),"No")</f>
        <v>No</v>
      </c>
      <c r="Z26" s="5" t="str">
        <f>IFERROR(__xludf.DUMMYFUNCTION("""COMPUTED_VALUE"""),"No")</f>
        <v>No</v>
      </c>
      <c r="AA26" s="5" t="str">
        <f>IFERROR(__xludf.DUMMYFUNCTION("""COMPUTED_VALUE"""),"No")</f>
        <v>No</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IFERROR(__xludf.DUMMYFUNCTION("""COMPUTED_VALUE"""),"No")</f>
        <v>No</v>
      </c>
      <c r="AH26" s="5" t="str">
        <f>IFERROR(__xludf.DUMMYFUNCTION("""COMPUTED_VALUE"""),"Yes")</f>
        <v>Yes</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t="str">
        <f>IFERROR(__xludf.DUMMYFUNCTION("""COMPUTED_VALUE"""),"No")</f>
        <v>No</v>
      </c>
      <c r="AN26" s="5"/>
      <c r="AO26" s="5"/>
      <c r="AP26" s="5"/>
      <c r="AQ26" s="5" t="str">
        <f>IFERROR(__xludf.DUMMYFUNCTION("""COMPUTED_VALUE"""),"No")</f>
        <v>No</v>
      </c>
      <c r="AR26" s="5"/>
      <c r="AS26" s="5"/>
      <c r="AT26" s="5"/>
      <c r="AU26" s="5"/>
      <c r="AV26" s="5" t="str">
        <f>IFERROR(__xludf.DUMMYFUNCTION("""COMPUTED_VALUE"""),"")</f>
        <v/>
      </c>
      <c r="AW26" s="5" t="str">
        <f>IFERROR(__xludf.DUMMYFUNCTION("""COMPUTED_VALUE"""),"")</f>
        <v/>
      </c>
      <c r="AX26" s="5" t="str">
        <f>IFERROR(__xludf.DUMMYFUNCTION("""COMPUTED_VALUE"""),"")</f>
        <v/>
      </c>
      <c r="AY26" s="5" t="str">
        <f>IFERROR(__xludf.DUMMYFUNCTION("""COMPUTED_VALUE"""),"")</f>
        <v/>
      </c>
      <c r="AZ26" s="5" t="str">
        <f>IFERROR(__xludf.DUMMYFUNCTION("""COMPUTED_VALUE"""),"")</f>
        <v/>
      </c>
      <c r="BA26" s="5" t="str">
        <f>IFERROR(__xludf.DUMMYFUNCTION("""COMPUTED_VALUE"""),"")</f>
        <v/>
      </c>
      <c r="BB26" s="5" t="str">
        <f>IFERROR(__xludf.DUMMYFUNCTION("""COMPUTED_VALUE"""),"")</f>
        <v/>
      </c>
    </row>
    <row r="27">
      <c r="A27" s="5" t="str">
        <f>IFERROR(__xludf.DUMMYFUNCTION("""COMPUTED_VALUE"""),"Redstone")</f>
        <v>Redstone</v>
      </c>
      <c r="B27" s="5" t="str">
        <f>IFERROR(__xludf.DUMMYFUNCTION("""COMPUTED_VALUE"""),"40 Fire Cash")</f>
        <v>40 Fire Cash</v>
      </c>
      <c r="C27" s="5" t="str">
        <f>IFERROR(__xludf.DUMMYFUNCTION("""COMPUTED_VALUE"""),"FireCash40")</f>
        <v>FireCash40</v>
      </c>
      <c r="D27" s="6">
        <f>IFERROR(__xludf.DUMMYFUNCTION("""COMPUTED_VALUE"""),45021.0)</f>
        <v>45021</v>
      </c>
      <c r="E27" s="5" t="str">
        <f>IFERROR(__xludf.DUMMYFUNCTION("""COMPUTED_VALUE"""),"Slot")</f>
        <v>Slot</v>
      </c>
      <c r="F27" s="5">
        <f>IFERROR(__xludf.DUMMYFUNCTION("""COMPUTED_VALUE"""),7.3)</f>
        <v>7.3</v>
      </c>
      <c r="G27" s="5" t="str">
        <f>IFERROR(__xludf.DUMMYFUNCTION("""COMPUTED_VALUE"""),"5x4")</f>
        <v>5x4</v>
      </c>
      <c r="H27" s="5" t="str">
        <f>IFERROR(__xludf.DUMMYFUNCTION("""COMPUTED_VALUE"""),"40")</f>
        <v>40</v>
      </c>
      <c r="I27" s="5" t="str">
        <f>IFERROR(__xludf.DUMMYFUNCTION("""COMPUTED_VALUE"""),"40")</f>
        <v>40</v>
      </c>
      <c r="J27" s="5" t="str">
        <f>IFERROR(__xludf.DUMMYFUNCTION("""COMPUTED_VALUE"""),"96.23%")</f>
        <v>96.23%</v>
      </c>
      <c r="K27" s="5" t="str">
        <f>IFERROR(__xludf.DUMMYFUNCTION("""COMPUTED_VALUE"""),"Medium")</f>
        <v>Medium</v>
      </c>
      <c r="L27" s="5" t="str">
        <f>IFERROR(__xludf.DUMMYFUNCTION("""COMPUTED_VALUE"""),"16.93%")</f>
        <v>16.93%</v>
      </c>
      <c r="M27" s="5" t="str">
        <f>IFERROR(__xludf.DUMMYFUNCTION("""COMPUTED_VALUE"""),"x1000")</f>
        <v>x1000</v>
      </c>
      <c r="N27" s="5" t="str">
        <f>IFERROR(__xludf.DUMMYFUNCTION("""COMPUTED_VALUE"""),"0.40/60")</f>
        <v>0.40/60</v>
      </c>
      <c r="O27" s="5" t="str">
        <f>IFERROR(__xludf.DUMMYFUNCTION("""COMPUTED_VALUE"""),"No")</f>
        <v>No</v>
      </c>
      <c r="P27" s="5" t="str">
        <f>IFERROR(__xludf.DUMMYFUNCTION("""COMPUTED_VALUE"""),"Special Wild, Scatter, Wild Symbol")</f>
        <v>Special Wild, Scatter, Wild Symbol</v>
      </c>
      <c r="Q27" s="7" t="str">
        <f>IFERROR(__xludf.DUMMYFUNCTION("""COMPUTED_VALUE"""),"https://static.redstone.rs/games/40-fire-cash/")</f>
        <v>https://static.redstone.rs/games/40-fire-cash/</v>
      </c>
      <c r="R27" s="5" t="str">
        <f>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S2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7" s="5" t="str">
        <f>IFERROR(__xludf.DUMMYFUNCTION("""COMPUTED_VALUE"""),"Yes")</f>
        <v>Yes</v>
      </c>
      <c r="U27" s="5" t="str">
        <f>IFERROR(__xludf.DUMMYFUNCTION("""COMPUTED_VALUE"""),"Yes")</f>
        <v>Yes</v>
      </c>
      <c r="V27" s="5" t="str">
        <f>IFERROR(__xludf.DUMMYFUNCTION("""COMPUTED_VALUE"""),"Yes")</f>
        <v>Yes</v>
      </c>
      <c r="W27" s="5" t="str">
        <f>IFERROR(__xludf.DUMMYFUNCTION("""COMPUTED_VALUE"""),"No")</f>
        <v>No</v>
      </c>
      <c r="X27" s="5" t="str">
        <f>IFERROR(__xludf.DUMMYFUNCTION("""COMPUTED_VALUE"""),"No")</f>
        <v>No</v>
      </c>
      <c r="Y27" s="5" t="str">
        <f>IFERROR(__xludf.DUMMYFUNCTION("""COMPUTED_VALUE"""),"No")</f>
        <v>No</v>
      </c>
      <c r="Z27" s="5" t="str">
        <f>IFERROR(__xludf.DUMMYFUNCTION("""COMPUTED_VALUE"""),"No")</f>
        <v>No</v>
      </c>
      <c r="AA27" s="5" t="str">
        <f>IFERROR(__xludf.DUMMYFUNCTION("""COMPUTED_VALUE"""),"No")</f>
        <v>No</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IFERROR(__xludf.DUMMYFUNCTION("""COMPUTED_VALUE"""),"No")</f>
        <v>No</v>
      </c>
      <c r="AH27" s="5" t="str">
        <f>IFERROR(__xludf.DUMMYFUNCTION("""COMPUTED_VALUE"""),"Yes")</f>
        <v>Yes</v>
      </c>
      <c r="AI27" s="5" t="str">
        <f>IFERROR(__xludf.DUMMYFUNCTION("""COMPUTED_VALUE"""),"No")</f>
        <v>No</v>
      </c>
      <c r="AJ27" s="5" t="str">
        <f>IFERROR(__xludf.DUMMYFUNCTION("""COMPUTED_VALUE"""),"No")</f>
        <v>No</v>
      </c>
      <c r="AK27" s="5" t="str">
        <f>IFERROR(__xludf.DUMMYFUNCTION("""COMPUTED_VALUE"""),"No")</f>
        <v>No</v>
      </c>
      <c r="AL27" s="5" t="str">
        <f>IFERROR(__xludf.DUMMYFUNCTION("""COMPUTED_VALUE"""),"No")</f>
        <v>No</v>
      </c>
      <c r="AM27" s="5" t="str">
        <f>IFERROR(__xludf.DUMMYFUNCTION("""COMPUTED_VALUE"""),"No")</f>
        <v>No</v>
      </c>
      <c r="AN27" s="5"/>
      <c r="AO27" s="5"/>
      <c r="AP27" s="5"/>
      <c r="AQ27" s="5" t="str">
        <f>IFERROR(__xludf.DUMMYFUNCTION("""COMPUTED_VALUE"""),"No")</f>
        <v>No</v>
      </c>
      <c r="AR27" s="5"/>
      <c r="AS27" s="5"/>
      <c r="AT27" s="5"/>
      <c r="AU27" s="5"/>
      <c r="AV27" s="5" t="str">
        <f>IFERROR(__xludf.DUMMYFUNCTION("""COMPUTED_VALUE"""),"")</f>
        <v/>
      </c>
      <c r="AW27" s="5" t="str">
        <f>IFERROR(__xludf.DUMMYFUNCTION("""COMPUTED_VALUE"""),"")</f>
        <v/>
      </c>
      <c r="AX27" s="5" t="str">
        <f>IFERROR(__xludf.DUMMYFUNCTION("""COMPUTED_VALUE"""),"")</f>
        <v/>
      </c>
      <c r="AY27" s="5" t="str">
        <f>IFERROR(__xludf.DUMMYFUNCTION("""COMPUTED_VALUE"""),"")</f>
        <v/>
      </c>
      <c r="AZ27" s="5" t="str">
        <f>IFERROR(__xludf.DUMMYFUNCTION("""COMPUTED_VALUE"""),"")</f>
        <v/>
      </c>
      <c r="BA27" s="5" t="str">
        <f>IFERROR(__xludf.DUMMYFUNCTION("""COMPUTED_VALUE"""),"")</f>
        <v/>
      </c>
      <c r="BB27" s="5" t="str">
        <f>IFERROR(__xludf.DUMMYFUNCTION("""COMPUTED_VALUE"""),"")</f>
        <v/>
      </c>
    </row>
    <row r="28">
      <c r="A28" s="5" t="str">
        <f>IFERROR(__xludf.DUMMYFUNCTION("""COMPUTED_VALUE"""),"Redstone")</f>
        <v>Redstone</v>
      </c>
      <c r="B28" s="5" t="str">
        <f>IFERROR(__xludf.DUMMYFUNCTION("""COMPUTED_VALUE"""),"Super Lucky")</f>
        <v>Super Lucky</v>
      </c>
      <c r="C28" s="5" t="str">
        <f>IFERROR(__xludf.DUMMYFUNCTION("""COMPUTED_VALUE"""),"SuperLucky")</f>
        <v>SuperLucky</v>
      </c>
      <c r="D28" s="6">
        <f>IFERROR(__xludf.DUMMYFUNCTION("""COMPUTED_VALUE"""),45049.0)</f>
        <v>45049</v>
      </c>
      <c r="E28" s="5" t="str">
        <f>IFERROR(__xludf.DUMMYFUNCTION("""COMPUTED_VALUE"""),"Slot")</f>
        <v>Slot</v>
      </c>
      <c r="F28" s="5">
        <f>IFERROR(__xludf.DUMMYFUNCTION("""COMPUTED_VALUE"""),10.9)</f>
        <v>10.9</v>
      </c>
      <c r="G28" s="5" t="str">
        <f>IFERROR(__xludf.DUMMYFUNCTION("""COMPUTED_VALUE"""),"5x3")</f>
        <v>5x3</v>
      </c>
      <c r="H28" s="5" t="str">
        <f>IFERROR(__xludf.DUMMYFUNCTION("""COMPUTED_VALUE"""),"5")</f>
        <v>5</v>
      </c>
      <c r="I28" s="5" t="str">
        <f>IFERROR(__xludf.DUMMYFUNCTION("""COMPUTED_VALUE"""),"5")</f>
        <v>5</v>
      </c>
      <c r="J28" s="5" t="str">
        <f>IFERROR(__xludf.DUMMYFUNCTION("""COMPUTED_VALUE"""),"95.45%")</f>
        <v>95.45%</v>
      </c>
      <c r="K28" s="5" t="str">
        <f>IFERROR(__xludf.DUMMYFUNCTION("""COMPUTED_VALUE"""),"High")</f>
        <v>High</v>
      </c>
      <c r="L28" s="5" t="str">
        <f>IFERROR(__xludf.DUMMYFUNCTION("""COMPUTED_VALUE"""),"12.54%")</f>
        <v>12.54%</v>
      </c>
      <c r="M28" s="5" t="str">
        <f>IFERROR(__xludf.DUMMYFUNCTION("""COMPUTED_VALUE"""),"x1250")</f>
        <v>x1250</v>
      </c>
      <c r="N28" s="5" t="str">
        <f>IFERROR(__xludf.DUMMYFUNCTION("""COMPUTED_VALUE"""),"0.10/40")</f>
        <v>0.10/40</v>
      </c>
      <c r="O28" s="5" t="str">
        <f>IFERROR(__xludf.DUMMYFUNCTION("""COMPUTED_VALUE"""),"No")</f>
        <v>No</v>
      </c>
      <c r="P28" s="5" t="str">
        <f>IFERROR(__xludf.DUMMYFUNCTION("""COMPUTED_VALUE"""),"Hold and Win, Wild Symbol")</f>
        <v>Hold and Win, Wild Symbol</v>
      </c>
      <c r="Q28" s="7" t="str">
        <f>IFERROR(__xludf.DUMMYFUNCTION("""COMPUTED_VALUE"""),"https://static.redstone.rs/games/super-lucky/")</f>
        <v>https://static.redstone.rs/games/super-lucky/</v>
      </c>
      <c r="R28" s="5" t="str">
        <f>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S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t="str">
        <f>IFERROR(__xludf.DUMMYFUNCTION("""COMPUTED_VALUE"""),"Yes")</f>
        <v>Yes</v>
      </c>
      <c r="Z28" s="5" t="str">
        <f>IFERROR(__xludf.DUMMYFUNCTION("""COMPUTED_VALUE"""),"Yes")</f>
        <v>Yes</v>
      </c>
      <c r="AA28" s="5" t="str">
        <f>IFERROR(__xludf.DUMMYFUNCTION("""COMPUTED_VALUE"""),"Yes")</f>
        <v>Yes</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IFERROR(__xludf.DUMMYFUNCTION("""COMPUTED_VALUE"""),"Yes")</f>
        <v>Yes</v>
      </c>
      <c r="AH28" s="5" t="str">
        <f>IFERROR(__xludf.DUMMYFUNCTION("""COMPUTED_VALUE"""),"Yes")</f>
        <v>Yes</v>
      </c>
      <c r="AI28" s="5" t="str">
        <f>IFERROR(__xludf.DUMMYFUNCTION("""COMPUTED_VALUE"""),"Yes")</f>
        <v>Yes</v>
      </c>
      <c r="AJ28" s="5" t="str">
        <f>IFERROR(__xludf.DUMMYFUNCTION("""COMPUTED_VALUE"""),"Yes")</f>
        <v>Yes</v>
      </c>
      <c r="AK28" s="5" t="str">
        <f>IFERROR(__xludf.DUMMYFUNCTION("""COMPUTED_VALUE"""),"Yes")</f>
        <v>Yes</v>
      </c>
      <c r="AL28" s="5" t="str">
        <f>IFERROR(__xludf.DUMMYFUNCTION("""COMPUTED_VALUE"""),"Yes")</f>
        <v>Yes</v>
      </c>
      <c r="AM28" s="5" t="str">
        <f>IFERROR(__xludf.DUMMYFUNCTION("""COMPUTED_VALUE"""),"Yes")</f>
        <v>Yes</v>
      </c>
      <c r="AN28" s="5" t="str">
        <f>IFERROR(__xludf.DUMMYFUNCTION("""COMPUTED_VALUE"""),"Yes")</f>
        <v>Yes</v>
      </c>
      <c r="AO28" s="5"/>
      <c r="AP28" s="5"/>
      <c r="AQ28" s="5" t="str">
        <f>IFERROR(__xludf.DUMMYFUNCTION("""COMPUTED_VALUE"""),"Yes")</f>
        <v>Yes</v>
      </c>
      <c r="AR28" s="5"/>
      <c r="AS28" s="5"/>
      <c r="AT28" s="5"/>
      <c r="AU28" s="5"/>
      <c r="AV28" s="5" t="str">
        <f>IFERROR(__xludf.DUMMYFUNCTION("""COMPUTED_VALUE"""),"")</f>
        <v/>
      </c>
      <c r="AW28" s="5" t="str">
        <f>IFERROR(__xludf.DUMMYFUNCTION("""COMPUTED_VALUE"""),"")</f>
        <v/>
      </c>
      <c r="AX28" s="5" t="str">
        <f>IFERROR(__xludf.DUMMYFUNCTION("""COMPUTED_VALUE"""),"")</f>
        <v/>
      </c>
      <c r="AY28" s="5" t="str">
        <f>IFERROR(__xludf.DUMMYFUNCTION("""COMPUTED_VALUE"""),"")</f>
        <v/>
      </c>
      <c r="AZ28" s="5" t="str">
        <f>IFERROR(__xludf.DUMMYFUNCTION("""COMPUTED_VALUE"""),"")</f>
        <v/>
      </c>
      <c r="BA28" s="5" t="str">
        <f>IFERROR(__xludf.DUMMYFUNCTION("""COMPUTED_VALUE"""),"")</f>
        <v/>
      </c>
      <c r="BB28" s="5" t="str">
        <f>IFERROR(__xludf.DUMMYFUNCTION("""COMPUTED_VALUE"""),"")</f>
        <v/>
      </c>
    </row>
    <row r="29">
      <c r="A29" s="5" t="str">
        <f>IFERROR(__xludf.DUMMYFUNCTION("""COMPUTED_VALUE"""),"Redstone")</f>
        <v>Redstone</v>
      </c>
      <c r="B29" s="5" t="str">
        <f>IFERROR(__xludf.DUMMYFUNCTION("""COMPUTED_VALUE"""),"Heat Double")</f>
        <v>Heat Double</v>
      </c>
      <c r="C29" s="5" t="str">
        <f>IFERROR(__xludf.DUMMYFUNCTION("""COMPUTED_VALUE"""),"HeatDouble")</f>
        <v>HeatDouble</v>
      </c>
      <c r="D29" s="6">
        <f>IFERROR(__xludf.DUMMYFUNCTION("""COMPUTED_VALUE"""),45089.0)</f>
        <v>45089</v>
      </c>
      <c r="E29" s="5" t="str">
        <f>IFERROR(__xludf.DUMMYFUNCTION("""COMPUTED_VALUE"""),"Slot")</f>
        <v>Slot</v>
      </c>
      <c r="F29" s="5">
        <f>IFERROR(__xludf.DUMMYFUNCTION("""COMPUTED_VALUE"""),10.9)</f>
        <v>10.9</v>
      </c>
      <c r="G29" s="5" t="str">
        <f>IFERROR(__xludf.DUMMYFUNCTION("""COMPUTED_VALUE"""),"3x3")</f>
        <v>3x3</v>
      </c>
      <c r="H29" s="5" t="str">
        <f>IFERROR(__xludf.DUMMYFUNCTION("""COMPUTED_VALUE"""),"5")</f>
        <v>5</v>
      </c>
      <c r="I29" s="5" t="str">
        <f>IFERROR(__xludf.DUMMYFUNCTION("""COMPUTED_VALUE"""),"5")</f>
        <v>5</v>
      </c>
      <c r="J29" s="5" t="str">
        <f>IFERROR(__xludf.DUMMYFUNCTION("""COMPUTED_VALUE"""),"96.33%")</f>
        <v>96.33%</v>
      </c>
      <c r="K29" s="5" t="str">
        <f>IFERROR(__xludf.DUMMYFUNCTION("""COMPUTED_VALUE"""),"Low")</f>
        <v>Low</v>
      </c>
      <c r="L29" s="5" t="str">
        <f>IFERROR(__xludf.DUMMYFUNCTION("""COMPUTED_VALUE"""),"8.08%")</f>
        <v>8.08%</v>
      </c>
      <c r="M29" s="5" t="str">
        <f>IFERROR(__xludf.DUMMYFUNCTION("""COMPUTED_VALUE"""),"x150")</f>
        <v>x150</v>
      </c>
      <c r="N29" s="5" t="str">
        <f>IFERROR(__xludf.DUMMYFUNCTION("""COMPUTED_VALUE"""),"0.05/30")</f>
        <v>0.05/30</v>
      </c>
      <c r="O29" s="5" t="str">
        <f>IFERROR(__xludf.DUMMYFUNCTION("""COMPUTED_VALUE"""),"No")</f>
        <v>No</v>
      </c>
      <c r="P29" s="5" t="str">
        <f>IFERROR(__xludf.DUMMYFUNCTION("""COMPUTED_VALUE"""),"Win Multiplier")</f>
        <v>Win Multiplier</v>
      </c>
      <c r="Q29" s="7" t="str">
        <f>IFERROR(__xludf.DUMMYFUNCTION("""COMPUTED_VALUE"""),"https://static.redstone.rs/games/heat-double/")</f>
        <v>https://static.redstone.rs/games/heat-double/</v>
      </c>
      <c r="R29" s="5" t="str">
        <f>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S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IFERROR(__xludf.DUMMYFUNCTION("""COMPUTED_VALUE"""),"Yes")</f>
        <v>Yes</v>
      </c>
      <c r="AJ29" s="5" t="str">
        <f>IFERROR(__xludf.DUMMYFUNCTION("""COMPUTED_VALUE"""),"Yes")</f>
        <v>Yes</v>
      </c>
      <c r="AK29" s="5" t="str">
        <f>IFERROR(__xludf.DUMMYFUNCTION("""COMPUTED_VALUE"""),"Yes")</f>
        <v>Yes</v>
      </c>
      <c r="AL29" s="5" t="str">
        <f>IFERROR(__xludf.DUMMYFUNCTION("""COMPUTED_VALUE"""),"Yes")</f>
        <v>Yes</v>
      </c>
      <c r="AM29" s="5" t="str">
        <f>IFERROR(__xludf.DUMMYFUNCTION("""COMPUTED_VALUE"""),"Yes")</f>
        <v>Yes</v>
      </c>
      <c r="AN29" s="5" t="str">
        <f>IFERROR(__xludf.DUMMYFUNCTION("""COMPUTED_VALUE"""),"Yes")</f>
        <v>Yes</v>
      </c>
      <c r="AO29" s="5"/>
      <c r="AP29" s="5"/>
      <c r="AQ29" s="5" t="str">
        <f>IFERROR(__xludf.DUMMYFUNCTION("""COMPUTED_VALUE"""),"Yes")</f>
        <v>Yes</v>
      </c>
      <c r="AR29" s="5"/>
      <c r="AS29" s="5"/>
      <c r="AT29" s="5"/>
      <c r="AU29" s="5"/>
      <c r="AV29" s="5" t="str">
        <f>IFERROR(__xludf.DUMMYFUNCTION("""COMPUTED_VALUE"""),"")</f>
        <v/>
      </c>
      <c r="AW29" s="5" t="str">
        <f>IFERROR(__xludf.DUMMYFUNCTION("""COMPUTED_VALUE"""),"")</f>
        <v/>
      </c>
      <c r="AX29" s="5" t="str">
        <f>IFERROR(__xludf.DUMMYFUNCTION("""COMPUTED_VALUE"""),"")</f>
        <v/>
      </c>
      <c r="AY29" s="5" t="str">
        <f>IFERROR(__xludf.DUMMYFUNCTION("""COMPUTED_VALUE"""),"")</f>
        <v/>
      </c>
      <c r="AZ29" s="5" t="str">
        <f>IFERROR(__xludf.DUMMYFUNCTION("""COMPUTED_VALUE"""),"")</f>
        <v/>
      </c>
      <c r="BA29" s="5" t="str">
        <f>IFERROR(__xludf.DUMMYFUNCTION("""COMPUTED_VALUE"""),"")</f>
        <v/>
      </c>
      <c r="BB29" s="5" t="str">
        <f>IFERROR(__xludf.DUMMYFUNCTION("""COMPUTED_VALUE"""),"")</f>
        <v/>
      </c>
    </row>
    <row r="30">
      <c r="A30" s="5" t="str">
        <f>IFERROR(__xludf.DUMMYFUNCTION("""COMPUTED_VALUE"""),"Redstone")</f>
        <v>Redstone</v>
      </c>
      <c r="B30" s="5" t="str">
        <f>IFERROR(__xludf.DUMMYFUNCTION("""COMPUTED_VALUE"""),"Blazing Heat")</f>
        <v>Blazing Heat</v>
      </c>
      <c r="C30" s="5" t="str">
        <f>IFERROR(__xludf.DUMMYFUNCTION("""COMPUTED_VALUE"""),"BlazingHeat")</f>
        <v>BlazingHeat</v>
      </c>
      <c r="D30" s="6">
        <f>IFERROR(__xludf.DUMMYFUNCTION("""COMPUTED_VALUE"""),45112.0)</f>
        <v>45112</v>
      </c>
      <c r="E30" s="5" t="str">
        <f>IFERROR(__xludf.DUMMYFUNCTION("""COMPUTED_VALUE"""),"Slot")</f>
        <v>Slot</v>
      </c>
      <c r="F30" s="5">
        <f>IFERROR(__xludf.DUMMYFUNCTION("""COMPUTED_VALUE"""),7.7)</f>
        <v>7.7</v>
      </c>
      <c r="G30" s="5" t="str">
        <f>IFERROR(__xludf.DUMMYFUNCTION("""COMPUTED_VALUE"""),"5x3")</f>
        <v>5x3</v>
      </c>
      <c r="H30" s="5" t="str">
        <f>IFERROR(__xludf.DUMMYFUNCTION("""COMPUTED_VALUE"""),"5")</f>
        <v>5</v>
      </c>
      <c r="I30" s="5" t="str">
        <f>IFERROR(__xludf.DUMMYFUNCTION("""COMPUTED_VALUE"""),"5")</f>
        <v>5</v>
      </c>
      <c r="J30" s="5" t="str">
        <f>IFERROR(__xludf.DUMMYFUNCTION("""COMPUTED_VALUE"""),"96.15%")</f>
        <v>96.15%</v>
      </c>
      <c r="K30" s="5" t="str">
        <f>IFERROR(__xludf.DUMMYFUNCTION("""COMPUTED_VALUE"""),"Medium")</f>
        <v>Medium</v>
      </c>
      <c r="L30" s="5" t="str">
        <f>IFERROR(__xludf.DUMMYFUNCTION("""COMPUTED_VALUE"""),"12.88%")</f>
        <v>12.88%</v>
      </c>
      <c r="M30" s="5" t="str">
        <f>IFERROR(__xludf.DUMMYFUNCTION("""COMPUTED_VALUE"""),"x1000")</f>
        <v>x1000</v>
      </c>
      <c r="N30" s="5" t="str">
        <f>IFERROR(__xludf.DUMMYFUNCTION("""COMPUTED_VALUE"""),"0.01/50")</f>
        <v>0.01/50</v>
      </c>
      <c r="O30" s="5" t="str">
        <f>IFERROR(__xludf.DUMMYFUNCTION("""COMPUTED_VALUE"""),"No")</f>
        <v>No</v>
      </c>
      <c r="P30" s="5" t="str">
        <f>IFERROR(__xludf.DUMMYFUNCTION("""COMPUTED_VALUE"""),"Scatter")</f>
        <v>Scatter</v>
      </c>
      <c r="Q30" s="7" t="str">
        <f>IFERROR(__xludf.DUMMYFUNCTION("""COMPUTED_VALUE"""),"https://static.redstone.rs/games/blazing-heat/")</f>
        <v>https://static.redstone.rs/games/blazing-heat/</v>
      </c>
      <c r="R30" s="5" t="str">
        <f>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S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IFERROR(__xludf.DUMMYFUNCTION("""COMPUTED_VALUE"""),"Yes")</f>
        <v>Yes</v>
      </c>
      <c r="AH30" s="5" t="str">
        <f>IFERROR(__xludf.DUMMYFUNCTION("""COMPUTED_VALUE"""),"Yes")</f>
        <v>Yes</v>
      </c>
      <c r="AI30" s="5" t="str">
        <f>IFERROR(__xludf.DUMMYFUNCTION("""COMPUTED_VALUE"""),"Yes")</f>
        <v>Yes</v>
      </c>
      <c r="AJ30" s="5" t="str">
        <f>IFERROR(__xludf.DUMMYFUNCTION("""COMPUTED_VALUE"""),"Yes")</f>
        <v>Yes</v>
      </c>
      <c r="AK30" s="5" t="str">
        <f>IFERROR(__xludf.DUMMYFUNCTION("""COMPUTED_VALUE"""),"Yes")</f>
        <v>Yes</v>
      </c>
      <c r="AL30" s="5" t="str">
        <f>IFERROR(__xludf.DUMMYFUNCTION("""COMPUTED_VALUE"""),"Yes")</f>
        <v>Yes</v>
      </c>
      <c r="AM30" s="5" t="str">
        <f>IFERROR(__xludf.DUMMYFUNCTION("""COMPUTED_VALUE"""),"Yes")</f>
        <v>Yes</v>
      </c>
      <c r="AN30" s="5" t="str">
        <f>IFERROR(__xludf.DUMMYFUNCTION("""COMPUTED_VALUE"""),"Yes")</f>
        <v>Yes</v>
      </c>
      <c r="AO30" s="5" t="str">
        <f>IFERROR(__xludf.DUMMYFUNCTION("""COMPUTED_VALUE"""),"Yes")</f>
        <v>Yes</v>
      </c>
      <c r="AP30" s="5" t="str">
        <f>IFERROR(__xludf.DUMMYFUNCTION("""COMPUTED_VALUE"""),"Yes")</f>
        <v>Yes</v>
      </c>
      <c r="AQ30" s="5" t="str">
        <f>IFERROR(__xludf.DUMMYFUNCTION("""COMPUTED_VALUE"""),"Yes")</f>
        <v>Yes</v>
      </c>
      <c r="AR30" s="5" t="str">
        <f>IFERROR(__xludf.DUMMYFUNCTION("""COMPUTED_VALUE"""),"Yes")</f>
        <v>Yes</v>
      </c>
      <c r="AS30" s="5" t="str">
        <f>IFERROR(__xludf.DUMMYFUNCTION("""COMPUTED_VALUE"""),"Yes")</f>
        <v>Yes</v>
      </c>
      <c r="AT30" s="5"/>
      <c r="AU30" s="5"/>
      <c r="AV30" s="5" t="str">
        <f>IFERROR(__xludf.DUMMYFUNCTION("""COMPUTED_VALUE"""),"")</f>
        <v/>
      </c>
      <c r="AW30" s="5" t="str">
        <f>IFERROR(__xludf.DUMMYFUNCTION("""COMPUTED_VALUE"""),"")</f>
        <v/>
      </c>
      <c r="AX30" s="5" t="str">
        <f>IFERROR(__xludf.DUMMYFUNCTION("""COMPUTED_VALUE"""),"")</f>
        <v/>
      </c>
      <c r="AY30" s="5" t="str">
        <f>IFERROR(__xludf.DUMMYFUNCTION("""COMPUTED_VALUE"""),"")</f>
        <v/>
      </c>
      <c r="AZ30" s="5" t="str">
        <f>IFERROR(__xludf.DUMMYFUNCTION("""COMPUTED_VALUE"""),"")</f>
        <v/>
      </c>
      <c r="BA30" s="5" t="str">
        <f>IFERROR(__xludf.DUMMYFUNCTION("""COMPUTED_VALUE"""),"")</f>
        <v/>
      </c>
      <c r="BB30" s="5" t="str">
        <f>IFERROR(__xludf.DUMMYFUNCTION("""COMPUTED_VALUE"""),"")</f>
        <v/>
      </c>
    </row>
    <row r="31">
      <c r="A31" s="5" t="str">
        <f>IFERROR(__xludf.DUMMYFUNCTION("""COMPUTED_VALUE"""),"Redstone")</f>
        <v>Redstone</v>
      </c>
      <c r="B31" s="5" t="str">
        <f>IFERROR(__xludf.DUMMYFUNCTION("""COMPUTED_VALUE"""),"Hot Hot Stereo Win")</f>
        <v>Hot Hot Stereo Win</v>
      </c>
      <c r="C31" s="5" t="str">
        <f>IFERROR(__xludf.DUMMYFUNCTION("""COMPUTED_VALUE"""),"HotHotStereoWin")</f>
        <v>HotHotStereoWin</v>
      </c>
      <c r="D31" s="6">
        <f>IFERROR(__xludf.DUMMYFUNCTION("""COMPUTED_VALUE"""),45141.0)</f>
        <v>45141</v>
      </c>
      <c r="E31" s="5" t="str">
        <f>IFERROR(__xludf.DUMMYFUNCTION("""COMPUTED_VALUE"""),"Slot")</f>
        <v>Slot</v>
      </c>
      <c r="F31" s="5">
        <f>IFERROR(__xludf.DUMMYFUNCTION("""COMPUTED_VALUE"""),16.2)</f>
        <v>16.2</v>
      </c>
      <c r="G31" s="5" t="str">
        <f>IFERROR(__xludf.DUMMYFUNCTION("""COMPUTED_VALUE"""),"5x3")</f>
        <v>5x3</v>
      </c>
      <c r="H31" s="5" t="str">
        <f>IFERROR(__xludf.DUMMYFUNCTION("""COMPUTED_VALUE"""),"5")</f>
        <v>5</v>
      </c>
      <c r="I31" s="5" t="str">
        <f>IFERROR(__xludf.DUMMYFUNCTION("""COMPUTED_VALUE"""),"5")</f>
        <v>5</v>
      </c>
      <c r="J31" s="5" t="str">
        <f>IFERROR(__xludf.DUMMYFUNCTION("""COMPUTED_VALUE"""),"95.01%")</f>
        <v>95.01%</v>
      </c>
      <c r="K31" s="5" t="str">
        <f>IFERROR(__xludf.DUMMYFUNCTION("""COMPUTED_VALUE"""),"Low")</f>
        <v>Low</v>
      </c>
      <c r="L31" s="5" t="str">
        <f>IFERROR(__xludf.DUMMYFUNCTION("""COMPUTED_VALUE"""),"18.95%")</f>
        <v>18.95%</v>
      </c>
      <c r="M31" s="5" t="str">
        <f>IFERROR(__xludf.DUMMYFUNCTION("""COMPUTED_VALUE"""),"x1000")</f>
        <v>x1000</v>
      </c>
      <c r="N31" s="5" t="str">
        <f>IFERROR(__xludf.DUMMYFUNCTION("""COMPUTED_VALUE"""),"0.01/50")</f>
        <v>0.01/50</v>
      </c>
      <c r="O31" s="5" t="str">
        <f>IFERROR(__xludf.DUMMYFUNCTION("""COMPUTED_VALUE"""),"No")</f>
        <v>No</v>
      </c>
      <c r="P31" s="5" t="str">
        <f>IFERROR(__xludf.DUMMYFUNCTION("""COMPUTED_VALUE"""),"Bothways")</f>
        <v>Bothways</v>
      </c>
      <c r="Q31" s="7" t="str">
        <f>IFERROR(__xludf.DUMMYFUNCTION("""COMPUTED_VALUE"""),"https://static.redstone.rs/games/hot-hot/")</f>
        <v>https://static.redstone.rs/games/hot-hot/</v>
      </c>
      <c r="R31" s="5"/>
      <c r="S3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1" s="5" t="str">
        <f>IFERROR(__xludf.DUMMYFUNCTION("""COMPUTED_VALUE"""),"Yes")</f>
        <v>Yes</v>
      </c>
      <c r="U31" s="5" t="str">
        <f>IFERROR(__xludf.DUMMYFUNCTION("""COMPUTED_VALUE"""),"Yes")</f>
        <v>Yes</v>
      </c>
      <c r="V31" s="5" t="str">
        <f>IFERROR(__xludf.DUMMYFUNCTION("""COMPUTED_VALUE"""),"Yes")</f>
        <v>Yes</v>
      </c>
      <c r="W31" s="5" t="str">
        <f>IFERROR(__xludf.DUMMYFUNCTION("""COMPUTED_VALUE"""),"No")</f>
        <v>No</v>
      </c>
      <c r="X31" s="5" t="str">
        <f>IFERROR(__xludf.DUMMYFUNCTION("""COMPUTED_VALUE"""),"No")</f>
        <v>No</v>
      </c>
      <c r="Y31" s="5" t="str">
        <f>IFERROR(__xludf.DUMMYFUNCTION("""COMPUTED_VALUE"""),"No")</f>
        <v>No</v>
      </c>
      <c r="Z31" s="5" t="str">
        <f>IFERROR(__xludf.DUMMYFUNCTION("""COMPUTED_VALUE"""),"No")</f>
        <v>No</v>
      </c>
      <c r="AA31" s="5" t="str">
        <f>IFERROR(__xludf.DUMMYFUNCTION("""COMPUTED_VALUE"""),"No")</f>
        <v>No</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IFERROR(__xludf.DUMMYFUNCTION("""COMPUTED_VALUE"""),"No")</f>
        <v>No</v>
      </c>
      <c r="AH31" s="5" t="str">
        <f>IFERROR(__xludf.DUMMYFUNCTION("""COMPUTED_VALUE"""),"Yes")</f>
        <v>Yes</v>
      </c>
      <c r="AI31" s="5" t="str">
        <f>IFERROR(__xludf.DUMMYFUNCTION("""COMPUTED_VALUE"""),"No")</f>
        <v>No</v>
      </c>
      <c r="AJ31" s="5" t="str">
        <f>IFERROR(__xludf.DUMMYFUNCTION("""COMPUTED_VALUE"""),"No")</f>
        <v>No</v>
      </c>
      <c r="AK31" s="5" t="str">
        <f>IFERROR(__xludf.DUMMYFUNCTION("""COMPUTED_VALUE"""),"No")</f>
        <v>No</v>
      </c>
      <c r="AL31" s="5" t="str">
        <f>IFERROR(__xludf.DUMMYFUNCTION("""COMPUTED_VALUE"""),"No")</f>
        <v>No</v>
      </c>
      <c r="AM31" s="5"/>
      <c r="AN31" s="5"/>
      <c r="AO31" s="5"/>
      <c r="AP31" s="5"/>
      <c r="AQ31" s="5" t="str">
        <f>IFERROR(__xludf.DUMMYFUNCTION("""COMPUTED_VALUE"""),"No")</f>
        <v>No</v>
      </c>
      <c r="AR31" s="5"/>
      <c r="AS31" s="5"/>
      <c r="AT31" s="5"/>
      <c r="AU31" s="5"/>
      <c r="AV31" s="5" t="str">
        <f>IFERROR(__xludf.DUMMYFUNCTION("""COMPUTED_VALUE"""),"")</f>
        <v/>
      </c>
      <c r="AW31" s="5" t="str">
        <f>IFERROR(__xludf.DUMMYFUNCTION("""COMPUTED_VALUE"""),"")</f>
        <v/>
      </c>
      <c r="AX31" s="5" t="str">
        <f>IFERROR(__xludf.DUMMYFUNCTION("""COMPUTED_VALUE"""),"")</f>
        <v/>
      </c>
      <c r="AY31" s="5" t="str">
        <f>IFERROR(__xludf.DUMMYFUNCTION("""COMPUTED_VALUE"""),"")</f>
        <v/>
      </c>
      <c r="AZ31" s="5" t="str">
        <f>IFERROR(__xludf.DUMMYFUNCTION("""COMPUTED_VALUE"""),"")</f>
        <v/>
      </c>
      <c r="BA31" s="5" t="str">
        <f>IFERROR(__xludf.DUMMYFUNCTION("""COMPUTED_VALUE"""),"")</f>
        <v/>
      </c>
      <c r="BB31" s="5" t="str">
        <f>IFERROR(__xludf.DUMMYFUNCTION("""COMPUTED_VALUE"""),"")</f>
        <v/>
      </c>
    </row>
    <row r="32">
      <c r="A32" s="5" t="str">
        <f>IFERROR(__xludf.DUMMYFUNCTION("""COMPUTED_VALUE"""),"Redstone")</f>
        <v>Redstone</v>
      </c>
      <c r="B32" s="5" t="str">
        <f>IFERROR(__xludf.DUMMYFUNCTION("""COMPUTED_VALUE"""),"Clover Blast 5")</f>
        <v>Clover Blast 5</v>
      </c>
      <c r="C32" s="5" t="str">
        <f>IFERROR(__xludf.DUMMYFUNCTION("""COMPUTED_VALUE"""),"CloverBlast5")</f>
        <v>CloverBlast5</v>
      </c>
      <c r="D32" s="6">
        <f>IFERROR(__xludf.DUMMYFUNCTION("""COMPUTED_VALUE"""),45172.0)</f>
        <v>45172</v>
      </c>
      <c r="E32" s="5" t="str">
        <f>IFERROR(__xludf.DUMMYFUNCTION("""COMPUTED_VALUE"""),"Slot")</f>
        <v>Slot</v>
      </c>
      <c r="F32" s="5">
        <f>IFERROR(__xludf.DUMMYFUNCTION("""COMPUTED_VALUE"""),8.8)</f>
        <v>8.8</v>
      </c>
      <c r="G32" s="5" t="str">
        <f>IFERROR(__xludf.DUMMYFUNCTION("""COMPUTED_VALUE"""),"5x3")</f>
        <v>5x3</v>
      </c>
      <c r="H32" s="5" t="str">
        <f>IFERROR(__xludf.DUMMYFUNCTION("""COMPUTED_VALUE"""),"5")</f>
        <v>5</v>
      </c>
      <c r="I32" s="5" t="str">
        <f>IFERROR(__xludf.DUMMYFUNCTION("""COMPUTED_VALUE"""),"5")</f>
        <v>5</v>
      </c>
      <c r="J32" s="5" t="str">
        <f>IFERROR(__xludf.DUMMYFUNCTION("""COMPUTED_VALUE"""),"96.2%")</f>
        <v>96.2%</v>
      </c>
      <c r="K32" s="5" t="str">
        <f>IFERROR(__xludf.DUMMYFUNCTION("""COMPUTED_VALUE"""),"Medium")</f>
        <v>Medium</v>
      </c>
      <c r="L32" s="5" t="str">
        <f>IFERROR(__xludf.DUMMYFUNCTION("""COMPUTED_VALUE"""),"11.91%")</f>
        <v>11.91%</v>
      </c>
      <c r="M32" s="5" t="str">
        <f>IFERROR(__xludf.DUMMYFUNCTION("""COMPUTED_VALUE"""),"x2000")</f>
        <v>x2000</v>
      </c>
      <c r="N32" s="5" t="str">
        <f>IFERROR(__xludf.DUMMYFUNCTION("""COMPUTED_VALUE"""),"0.01/50")</f>
        <v>0.01/50</v>
      </c>
      <c r="O32" s="5" t="str">
        <f>IFERROR(__xludf.DUMMYFUNCTION("""COMPUTED_VALUE"""),"No")</f>
        <v>No</v>
      </c>
      <c r="P32" s="5" t="str">
        <f>IFERROR(__xludf.DUMMYFUNCTION("""COMPUTED_VALUE"""),"Expanding Wild")</f>
        <v>Expanding Wild</v>
      </c>
      <c r="Q32" s="7" t="str">
        <f>IFERROR(__xludf.DUMMYFUNCTION("""COMPUTED_VALUE"""),"https://play.redstone.rs/games/clover-blast-5/index.html")</f>
        <v>https://play.redstone.rs/games/clover-blast-5/index.html</v>
      </c>
      <c r="R32" s="5" t="str">
        <f>IFERROR(__xludf.DUMMYFUNCTION("""COMPUTED_VALUE"""),"Immerse yourself in the glamorous atmosphere, where the clover expands on all five reels for incredible winnings!")</f>
        <v>Immerse yourself in the glamorous atmosphere, where the clover expands on all five reels for incredible winnings!</v>
      </c>
      <c r="S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IFERROR(__xludf.DUMMYFUNCTION("""COMPUTED_VALUE"""),"Yes")</f>
        <v>Yes</v>
      </c>
      <c r="AJ32" s="5" t="str">
        <f>IFERROR(__xludf.DUMMYFUNCTION("""COMPUTED_VALUE"""),"Yes")</f>
        <v>Yes</v>
      </c>
      <c r="AK32" s="5" t="str">
        <f>IFERROR(__xludf.DUMMYFUNCTION("""COMPUTED_VALUE"""),"Yes")</f>
        <v>Yes</v>
      </c>
      <c r="AL32" s="5" t="str">
        <f>IFERROR(__xludf.DUMMYFUNCTION("""COMPUTED_VALUE"""),"Yes")</f>
        <v>Yes</v>
      </c>
      <c r="AM32" s="5"/>
      <c r="AN32" s="5" t="str">
        <f>IFERROR(__xludf.DUMMYFUNCTION("""COMPUTED_VALUE"""),"Yes")</f>
        <v>Yes</v>
      </c>
      <c r="AO32" s="5"/>
      <c r="AP32" s="5"/>
      <c r="AQ32" s="5" t="str">
        <f>IFERROR(__xludf.DUMMYFUNCTION("""COMPUTED_VALUE"""),"Yes")</f>
        <v>Yes</v>
      </c>
      <c r="AR32" s="5"/>
      <c r="AS32" s="5"/>
      <c r="AT32" s="5"/>
      <c r="AU32" s="5"/>
      <c r="AV32" s="5" t="str">
        <f>IFERROR(__xludf.DUMMYFUNCTION("""COMPUTED_VALUE"""),"")</f>
        <v/>
      </c>
      <c r="AW32" s="5" t="str">
        <f>IFERROR(__xludf.DUMMYFUNCTION("""COMPUTED_VALUE"""),"")</f>
        <v/>
      </c>
      <c r="AX32" s="5" t="str">
        <f>IFERROR(__xludf.DUMMYFUNCTION("""COMPUTED_VALUE"""),"")</f>
        <v/>
      </c>
      <c r="AY32" s="5" t="str">
        <f>IFERROR(__xludf.DUMMYFUNCTION("""COMPUTED_VALUE"""),"")</f>
        <v/>
      </c>
      <c r="AZ32" s="5" t="str">
        <f>IFERROR(__xludf.DUMMYFUNCTION("""COMPUTED_VALUE"""),"")</f>
        <v/>
      </c>
      <c r="BA32" s="5" t="str">
        <f>IFERROR(__xludf.DUMMYFUNCTION("""COMPUTED_VALUE"""),"")</f>
        <v/>
      </c>
      <c r="BB32" s="5" t="str">
        <f>IFERROR(__xludf.DUMMYFUNCTION("""COMPUTED_VALUE"""),"")</f>
        <v/>
      </c>
    </row>
    <row r="33">
      <c r="A33" s="5" t="str">
        <f>IFERROR(__xludf.DUMMYFUNCTION("""COMPUTED_VALUE"""),"Redstone")</f>
        <v>Redstone</v>
      </c>
      <c r="B33" s="5" t="str">
        <f>IFERROR(__xludf.DUMMYFUNCTION("""COMPUTED_VALUE"""),"Fear Of Dark")</f>
        <v>Fear Of Dark</v>
      </c>
      <c r="C33" s="5" t="str">
        <f>IFERROR(__xludf.DUMMYFUNCTION("""COMPUTED_VALUE"""),"RedstoneFearOfDark")</f>
        <v>RedstoneFearOfDark</v>
      </c>
      <c r="D33" s="6">
        <f>IFERROR(__xludf.DUMMYFUNCTION("""COMPUTED_VALUE"""),45217.0)</f>
        <v>45217</v>
      </c>
      <c r="E33" s="5" t="str">
        <f>IFERROR(__xludf.DUMMYFUNCTION("""COMPUTED_VALUE"""),"Slot")</f>
        <v>Slot</v>
      </c>
      <c r="F33" s="5">
        <f>IFERROR(__xludf.DUMMYFUNCTION("""COMPUTED_VALUE"""),9.3)</f>
        <v>9.3</v>
      </c>
      <c r="G33" s="5" t="str">
        <f>IFERROR(__xludf.DUMMYFUNCTION("""COMPUTED_VALUE"""),"5x4")</f>
        <v>5x4</v>
      </c>
      <c r="H33" s="5" t="str">
        <f>IFERROR(__xludf.DUMMYFUNCTION("""COMPUTED_VALUE"""),"40")</f>
        <v>40</v>
      </c>
      <c r="I33" s="5" t="str">
        <f>IFERROR(__xludf.DUMMYFUNCTION("""COMPUTED_VALUE"""),"40")</f>
        <v>40</v>
      </c>
      <c r="J33" s="5" t="str">
        <f>IFERROR(__xludf.DUMMYFUNCTION("""COMPUTED_VALUE"""),"96.24%")</f>
        <v>96.24%</v>
      </c>
      <c r="K33" s="5" t="str">
        <f>IFERROR(__xludf.DUMMYFUNCTION("""COMPUTED_VALUE"""),"Medium")</f>
        <v>Medium</v>
      </c>
      <c r="L33" s="5" t="str">
        <f>IFERROR(__xludf.DUMMYFUNCTION("""COMPUTED_VALUE"""),"11.27%")</f>
        <v>11.27%</v>
      </c>
      <c r="M33" s="5" t="str">
        <f>IFERROR(__xludf.DUMMYFUNCTION("""COMPUTED_VALUE"""),"x3000")</f>
        <v>x3000</v>
      </c>
      <c r="N33" s="5" t="str">
        <f>IFERROR(__xludf.DUMMYFUNCTION("""COMPUTED_VALUE"""),"0.04/50")</f>
        <v>0.04/50</v>
      </c>
      <c r="O33" s="5" t="str">
        <f>IFERROR(__xludf.DUMMYFUNCTION("""COMPUTED_VALUE"""),"No")</f>
        <v>No</v>
      </c>
      <c r="P33" s="5" t="str">
        <f>IFERROR(__xludf.DUMMYFUNCTION("""COMPUTED_VALUE"""),"Expanding Wild, Scatter")</f>
        <v>Expanding Wild, Scatter</v>
      </c>
      <c r="Q33" s="7" t="str">
        <f>IFERROR(__xludf.DUMMYFUNCTION("""COMPUTED_VALUE"""),"https://play.redstone.rs/games/fear-of-dark/index.html")</f>
        <v>https://play.redstone.rs/games/fear-of-dark/index.html</v>
      </c>
      <c r="R33" s="5" t="str">
        <f>IFERROR(__xludf.DUMMYFUNCTION("""COMPUTED_VALUE"""),"Are you ready to face the Fear of Dark? The brave will walk away with x3000 in clutches!")</f>
        <v>Are you ready to face the Fear of Dark? The brave will walk away with x3000 in clutches!</v>
      </c>
      <c r="S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c r="AN33" s="5" t="str">
        <f>IFERROR(__xludf.DUMMYFUNCTION("""COMPUTED_VALUE"""),"Yes")</f>
        <v>Yes</v>
      </c>
      <c r="AO33" s="5" t="str">
        <f>IFERROR(__xludf.DUMMYFUNCTION("""COMPUTED_VALUE"""),"Yes")</f>
        <v>Yes</v>
      </c>
      <c r="AP33" s="5" t="str">
        <f>IFERROR(__xludf.DUMMYFUNCTION("""COMPUTED_VALUE"""),"Yes")</f>
        <v>Yes</v>
      </c>
      <c r="AQ33" s="5" t="str">
        <f>IFERROR(__xludf.DUMMYFUNCTION("""COMPUTED_VALUE"""),"Yes")</f>
        <v>Yes</v>
      </c>
      <c r="AR33" s="5" t="str">
        <f>IFERROR(__xludf.DUMMYFUNCTION("""COMPUTED_VALUE"""),"Yes")</f>
        <v>Yes</v>
      </c>
      <c r="AS33" s="5" t="str">
        <f>IFERROR(__xludf.DUMMYFUNCTION("""COMPUTED_VALUE"""),"Yes")</f>
        <v>Yes</v>
      </c>
      <c r="AT33" s="5"/>
      <c r="AU33" s="5"/>
      <c r="AV33" s="5" t="str">
        <f>IFERROR(__xludf.DUMMYFUNCTION("""COMPUTED_VALUE"""),"")</f>
        <v/>
      </c>
      <c r="AW33" s="5" t="str">
        <f>IFERROR(__xludf.DUMMYFUNCTION("""COMPUTED_VALUE"""),"")</f>
        <v/>
      </c>
      <c r="AX33" s="5" t="str">
        <f>IFERROR(__xludf.DUMMYFUNCTION("""COMPUTED_VALUE"""),"")</f>
        <v/>
      </c>
      <c r="AY33" s="5" t="str">
        <f>IFERROR(__xludf.DUMMYFUNCTION("""COMPUTED_VALUE"""),"")</f>
        <v/>
      </c>
      <c r="AZ33" s="5" t="str">
        <f>IFERROR(__xludf.DUMMYFUNCTION("""COMPUTED_VALUE"""),"")</f>
        <v/>
      </c>
      <c r="BA33" s="5" t="str">
        <f>IFERROR(__xludf.DUMMYFUNCTION("""COMPUTED_VALUE"""),"")</f>
        <v/>
      </c>
      <c r="BB33" s="5" t="str">
        <f>IFERROR(__xludf.DUMMYFUNCTION("""COMPUTED_VALUE"""),"")</f>
        <v/>
      </c>
    </row>
    <row r="34">
      <c r="A34" s="5" t="str">
        <f>IFERROR(__xludf.DUMMYFUNCTION("""COMPUTED_VALUE"""),"Redstone")</f>
        <v>Redstone</v>
      </c>
      <c r="B34" s="5" t="str">
        <f>IFERROR(__xludf.DUMMYFUNCTION("""COMPUTED_VALUE"""),"Chilli Hot 5")</f>
        <v>Chilli Hot 5</v>
      </c>
      <c r="C34" s="5" t="str">
        <f>IFERROR(__xludf.DUMMYFUNCTION("""COMPUTED_VALUE"""),"RedstoneChilliHot5")</f>
        <v>RedstoneChilliHot5</v>
      </c>
      <c r="D34" s="6">
        <f>IFERROR(__xludf.DUMMYFUNCTION("""COMPUTED_VALUE"""),45232.0)</f>
        <v>45232</v>
      </c>
      <c r="E34" s="5" t="str">
        <f>IFERROR(__xludf.DUMMYFUNCTION("""COMPUTED_VALUE"""),"Slot")</f>
        <v>Slot</v>
      </c>
      <c r="F34" s="5">
        <f>IFERROR(__xludf.DUMMYFUNCTION("""COMPUTED_VALUE"""),6.9)</f>
        <v>6.9</v>
      </c>
      <c r="G34" s="5" t="str">
        <f>IFERROR(__xludf.DUMMYFUNCTION("""COMPUTED_VALUE"""),"5x3")</f>
        <v>5x3</v>
      </c>
      <c r="H34" s="5" t="str">
        <f>IFERROR(__xludf.DUMMYFUNCTION("""COMPUTED_VALUE"""),"5")</f>
        <v>5</v>
      </c>
      <c r="I34" s="5" t="str">
        <f>IFERROR(__xludf.DUMMYFUNCTION("""COMPUTED_VALUE"""),"5")</f>
        <v>5</v>
      </c>
      <c r="J34" s="5" t="str">
        <f>IFERROR(__xludf.DUMMYFUNCTION("""COMPUTED_VALUE"""),"96.45%")</f>
        <v>96.45%</v>
      </c>
      <c r="K34" s="5" t="str">
        <f>IFERROR(__xludf.DUMMYFUNCTION("""COMPUTED_VALUE"""),"Medium")</f>
        <v>Medium</v>
      </c>
      <c r="L34" s="5" t="str">
        <f>IFERROR(__xludf.DUMMYFUNCTION("""COMPUTED_VALUE"""),"14.5%")</f>
        <v>14.5%</v>
      </c>
      <c r="M34" s="5" t="str">
        <f>IFERROR(__xludf.DUMMYFUNCTION("""COMPUTED_VALUE"""),"x1222")</f>
        <v>x1222</v>
      </c>
      <c r="N34" s="5" t="str">
        <f>IFERROR(__xludf.DUMMYFUNCTION("""COMPUTED_VALUE"""),"0.01/50")</f>
        <v>0.01/50</v>
      </c>
      <c r="O34" s="5" t="str">
        <f>IFERROR(__xludf.DUMMYFUNCTION("""COMPUTED_VALUE"""),"No")</f>
        <v>No</v>
      </c>
      <c r="P34" s="5" t="str">
        <f>IFERROR(__xludf.DUMMYFUNCTION("""COMPUTED_VALUE"""),"Expanding Wild, Scatter")</f>
        <v>Expanding Wild, Scatter</v>
      </c>
      <c r="Q34" s="7" t="str">
        <f>IFERROR(__xludf.DUMMYFUNCTION("""COMPUTED_VALUE"""),"https://play.redstone.rs/games/chilli-hot-5/index.html")</f>
        <v>https://play.redstone.rs/games/chilli-hot-5/index.html</v>
      </c>
      <c r="R34" s="5" t="str">
        <f>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S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t="str">
        <f>IFERROR(__xludf.DUMMYFUNCTION("""COMPUTED_VALUE"""),"Yes")</f>
        <v>Yes</v>
      </c>
      <c r="AI34" s="5" t="str">
        <f>IFERROR(__xludf.DUMMYFUNCTION("""COMPUTED_VALUE"""),"Yes")</f>
        <v>Yes</v>
      </c>
      <c r="AJ34" s="5" t="str">
        <f>IFERROR(__xludf.DUMMYFUNCTION("""COMPUTED_VALUE"""),"Yes")</f>
        <v>Yes</v>
      </c>
      <c r="AK34" s="5" t="str">
        <f>IFERROR(__xludf.DUMMYFUNCTION("""COMPUTED_VALUE"""),"Yes")</f>
        <v>Yes</v>
      </c>
      <c r="AL34" s="5" t="str">
        <f>IFERROR(__xludf.DUMMYFUNCTION("""COMPUTED_VALUE"""),"Yes")</f>
        <v>Yes</v>
      </c>
      <c r="AM34" s="5"/>
      <c r="AN34" s="5" t="str">
        <f>IFERROR(__xludf.DUMMYFUNCTION("""COMPUTED_VALUE"""),"Yes")</f>
        <v>Yes</v>
      </c>
      <c r="AO34" s="5"/>
      <c r="AP34" s="5"/>
      <c r="AQ34" s="5" t="str">
        <f>IFERROR(__xludf.DUMMYFUNCTION("""COMPUTED_VALUE"""),"Yes")</f>
        <v>Yes</v>
      </c>
      <c r="AR34" s="5"/>
      <c r="AS34" s="5"/>
      <c r="AT34" s="5"/>
      <c r="AU34" s="5"/>
      <c r="AV34" s="5" t="str">
        <f>IFERROR(__xludf.DUMMYFUNCTION("""COMPUTED_VALUE"""),"")</f>
        <v/>
      </c>
      <c r="AW34" s="5" t="str">
        <f>IFERROR(__xludf.DUMMYFUNCTION("""COMPUTED_VALUE"""),"")</f>
        <v/>
      </c>
      <c r="AX34" s="5" t="str">
        <f>IFERROR(__xludf.DUMMYFUNCTION("""COMPUTED_VALUE"""),"")</f>
        <v/>
      </c>
      <c r="AY34" s="5" t="str">
        <f>IFERROR(__xludf.DUMMYFUNCTION("""COMPUTED_VALUE"""),"")</f>
        <v/>
      </c>
      <c r="AZ34" s="5" t="str">
        <f>IFERROR(__xludf.DUMMYFUNCTION("""COMPUTED_VALUE"""),"")</f>
        <v/>
      </c>
      <c r="BA34" s="5" t="str">
        <f>IFERROR(__xludf.DUMMYFUNCTION("""COMPUTED_VALUE"""),"")</f>
        <v/>
      </c>
      <c r="BB34" s="5" t="str">
        <f>IFERROR(__xludf.DUMMYFUNCTION("""COMPUTED_VALUE"""),"")</f>
        <v/>
      </c>
    </row>
    <row r="35">
      <c r="A35" s="5" t="str">
        <f>IFERROR(__xludf.DUMMYFUNCTION("""COMPUTED_VALUE"""),"Redstone")</f>
        <v>Redstone</v>
      </c>
      <c r="B35" s="5" t="str">
        <f>IFERROR(__xludf.DUMMYFUNCTION("""COMPUTED_VALUE"""),"40 Hot Joker")</f>
        <v>40 Hot Joker</v>
      </c>
      <c r="C35" s="5" t="str">
        <f>IFERROR(__xludf.DUMMYFUNCTION("""COMPUTED_VALUE"""),"Redstone40HotJoker")</f>
        <v>Redstone40HotJoker</v>
      </c>
      <c r="D35" s="6">
        <f>IFERROR(__xludf.DUMMYFUNCTION("""COMPUTED_VALUE"""),45230.0)</f>
        <v>45230</v>
      </c>
      <c r="E35" s="5" t="str">
        <f>IFERROR(__xludf.DUMMYFUNCTION("""COMPUTED_VALUE"""),"Slot")</f>
        <v>Slot</v>
      </c>
      <c r="F35" s="5">
        <f>IFERROR(__xludf.DUMMYFUNCTION("""COMPUTED_VALUE"""),7.1)</f>
        <v>7.1</v>
      </c>
      <c r="G35" s="5" t="str">
        <f>IFERROR(__xludf.DUMMYFUNCTION("""COMPUTED_VALUE"""),"5x4")</f>
        <v>5x4</v>
      </c>
      <c r="H35" s="5" t="str">
        <f>IFERROR(__xludf.DUMMYFUNCTION("""COMPUTED_VALUE"""),"40")</f>
        <v>40</v>
      </c>
      <c r="I35" s="5" t="str">
        <f>IFERROR(__xludf.DUMMYFUNCTION("""COMPUTED_VALUE"""),"40")</f>
        <v>40</v>
      </c>
      <c r="J35" s="5" t="str">
        <f>IFERROR(__xludf.DUMMYFUNCTION("""COMPUTED_VALUE"""),"96.24%")</f>
        <v>96.24%</v>
      </c>
      <c r="K35" s="5" t="str">
        <f>IFERROR(__xludf.DUMMYFUNCTION("""COMPUTED_VALUE"""),"Medium")</f>
        <v>Medium</v>
      </c>
      <c r="L35" s="5" t="str">
        <f>IFERROR(__xludf.DUMMYFUNCTION("""COMPUTED_VALUE"""),"11.27%")</f>
        <v>11.27%</v>
      </c>
      <c r="M35" s="5" t="str">
        <f>IFERROR(__xludf.DUMMYFUNCTION("""COMPUTED_VALUE"""),"x3000")</f>
        <v>x3000</v>
      </c>
      <c r="N35" s="5" t="str">
        <f>IFERROR(__xludf.DUMMYFUNCTION("""COMPUTED_VALUE"""),"0.04/50")</f>
        <v>0.04/50</v>
      </c>
      <c r="O35" s="5" t="str">
        <f>IFERROR(__xludf.DUMMYFUNCTION("""COMPUTED_VALUE"""),"No")</f>
        <v>No</v>
      </c>
      <c r="P35" s="5" t="str">
        <f>IFERROR(__xludf.DUMMYFUNCTION("""COMPUTED_VALUE"""),"Expanding Wild, Scatter")</f>
        <v>Expanding Wild, Scatter</v>
      </c>
      <c r="Q35" s="7" t="str">
        <f>IFERROR(__xludf.DUMMYFUNCTION("""COMPUTED_VALUE"""),"https://play.redstone.rs/games/40-hot-joker/index.html")</f>
        <v>https://play.redstone.rs/games/40-hot-joker/index.html</v>
      </c>
      <c r="R35" s="5" t="str">
        <f>IFERROR(__xludf.DUMMYFUNCTION("""COMPUTED_VALUE"""),"Get lucky with triple expanding Hot Joker for a win up to 3000x on 40 lines!")</f>
        <v>Get lucky with triple expanding Hot Joker for a win up to 3000x on 40 lines!</v>
      </c>
      <c r="S3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5" s="5" t="str">
        <f>IFERROR(__xludf.DUMMYFUNCTION("""COMPUTED_VALUE"""),"Yes")</f>
        <v>Yes</v>
      </c>
      <c r="U35" s="5" t="str">
        <f>IFERROR(__xludf.DUMMYFUNCTION("""COMPUTED_VALUE"""),"Yes")</f>
        <v>Yes</v>
      </c>
      <c r="V35" s="5" t="str">
        <f>IFERROR(__xludf.DUMMYFUNCTION("""COMPUTED_VALUE"""),"No")</f>
        <v>No</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IFERROR(__xludf.DUMMYFUNCTION("""COMPUTED_VALUE"""),"Yes")</f>
        <v>Yes</v>
      </c>
      <c r="AH35" s="5" t="str">
        <f>IFERROR(__xludf.DUMMYFUNCTION("""COMPUTED_VALUE"""),"Yes")</f>
        <v>Yes</v>
      </c>
      <c r="AI35" s="5" t="str">
        <f>IFERROR(__xludf.DUMMYFUNCTION("""COMPUTED_VALUE"""),"No")</f>
        <v>No</v>
      </c>
      <c r="AJ35" s="5" t="str">
        <f>IFERROR(__xludf.DUMMYFUNCTION("""COMPUTED_VALUE"""),"No")</f>
        <v>No</v>
      </c>
      <c r="AK35" s="5" t="str">
        <f>IFERROR(__xludf.DUMMYFUNCTION("""COMPUTED_VALUE"""),"No")</f>
        <v>No</v>
      </c>
      <c r="AL35" s="5" t="str">
        <f>IFERROR(__xludf.DUMMYFUNCTION("""COMPUTED_VALUE"""),"No")</f>
        <v>No</v>
      </c>
      <c r="AM35" s="5" t="str">
        <f>IFERROR(__xludf.DUMMYFUNCTION("""COMPUTED_VALUE"""),"No")</f>
        <v>No</v>
      </c>
      <c r="AN35" s="5" t="str">
        <f>IFERROR(__xludf.DUMMYFUNCTION("""COMPUTED_VALUE"""),"No")</f>
        <v>No</v>
      </c>
      <c r="AO35" s="5" t="str">
        <f>IFERROR(__xludf.DUMMYFUNCTION("""COMPUTED_VALUE"""),"No")</f>
        <v>No</v>
      </c>
      <c r="AP35" s="5" t="str">
        <f>IFERROR(__xludf.DUMMYFUNCTION("""COMPUTED_VALUE"""),"No")</f>
        <v>No</v>
      </c>
      <c r="AQ35" s="5" t="str">
        <f>IFERROR(__xludf.DUMMYFUNCTION("""COMPUTED_VALUE"""),"No")</f>
        <v>No</v>
      </c>
      <c r="AR35" s="5" t="str">
        <f>IFERROR(__xludf.DUMMYFUNCTION("""COMPUTED_VALUE"""),"No")</f>
        <v>No</v>
      </c>
      <c r="AS35" s="5" t="str">
        <f>IFERROR(__xludf.DUMMYFUNCTION("""COMPUTED_VALUE"""),"Yes")</f>
        <v>Yes</v>
      </c>
      <c r="AT35" s="5" t="str">
        <f>IFERROR(__xludf.DUMMYFUNCTION("""COMPUTED_VALUE"""),"No")</f>
        <v>No</v>
      </c>
      <c r="AU35" s="5"/>
      <c r="AV35" s="5" t="str">
        <f>IFERROR(__xludf.DUMMYFUNCTION("""COMPUTED_VALUE"""),"")</f>
        <v/>
      </c>
      <c r="AW35" s="5" t="str">
        <f>IFERROR(__xludf.DUMMYFUNCTION("""COMPUTED_VALUE"""),"")</f>
        <v/>
      </c>
      <c r="AX35" s="5" t="str">
        <f>IFERROR(__xludf.DUMMYFUNCTION("""COMPUTED_VALUE"""),"")</f>
        <v/>
      </c>
      <c r="AY35" s="5" t="str">
        <f>IFERROR(__xludf.DUMMYFUNCTION("""COMPUTED_VALUE"""),"")</f>
        <v/>
      </c>
      <c r="AZ35" s="5" t="str">
        <f>IFERROR(__xludf.DUMMYFUNCTION("""COMPUTED_VALUE"""),"")</f>
        <v/>
      </c>
      <c r="BA35" s="5" t="str">
        <f>IFERROR(__xludf.DUMMYFUNCTION("""COMPUTED_VALUE"""),"")</f>
        <v/>
      </c>
      <c r="BB35" s="5" t="str">
        <f>IFERROR(__xludf.DUMMYFUNCTION("""COMPUTED_VALUE"""),"")</f>
        <v/>
      </c>
    </row>
    <row r="36">
      <c r="A36" s="5" t="str">
        <f>IFERROR(__xludf.DUMMYFUNCTION("""COMPUTED_VALUE"""),"Redstone")</f>
        <v>Redstone</v>
      </c>
      <c r="B36" s="5" t="str">
        <f>IFERROR(__xludf.DUMMYFUNCTION("""COMPUTED_VALUE"""),"Jolly Presents")</f>
        <v>Jolly Presents</v>
      </c>
      <c r="C36" s="5" t="str">
        <f>IFERROR(__xludf.DUMMYFUNCTION("""COMPUTED_VALUE"""),"RedstoneJollyPresents")</f>
        <v>RedstoneJollyPresents</v>
      </c>
      <c r="D36" s="6">
        <f>IFERROR(__xludf.DUMMYFUNCTION("""COMPUTED_VALUE"""),45259.0)</f>
        <v>45259</v>
      </c>
      <c r="E36" s="5" t="str">
        <f>IFERROR(__xludf.DUMMYFUNCTION("""COMPUTED_VALUE"""),"Slot")</f>
        <v>Slot</v>
      </c>
      <c r="F36" s="5">
        <f>IFERROR(__xludf.DUMMYFUNCTION("""COMPUTED_VALUE"""),6.9)</f>
        <v>6.9</v>
      </c>
      <c r="G36" s="5" t="str">
        <f>IFERROR(__xludf.DUMMYFUNCTION("""COMPUTED_VALUE"""),"5x3")</f>
        <v>5x3</v>
      </c>
      <c r="H36" s="5" t="str">
        <f>IFERROR(__xludf.DUMMYFUNCTION("""COMPUTED_VALUE"""),"5")</f>
        <v>5</v>
      </c>
      <c r="I36" s="5" t="str">
        <f>IFERROR(__xludf.DUMMYFUNCTION("""COMPUTED_VALUE"""),"5")</f>
        <v>5</v>
      </c>
      <c r="J36" s="5" t="str">
        <f>IFERROR(__xludf.DUMMYFUNCTION("""COMPUTED_VALUE"""),"96%")</f>
        <v>96%</v>
      </c>
      <c r="K36" s="5" t="str">
        <f>IFERROR(__xludf.DUMMYFUNCTION("""COMPUTED_VALUE"""),"Medium")</f>
        <v>Medium</v>
      </c>
      <c r="L36" s="5" t="str">
        <f>IFERROR(__xludf.DUMMYFUNCTION("""COMPUTED_VALUE"""),"14.5%")</f>
        <v>14.5%</v>
      </c>
      <c r="M36" s="5" t="str">
        <f>IFERROR(__xludf.DUMMYFUNCTION("""COMPUTED_VALUE"""),"x1222")</f>
        <v>x1222</v>
      </c>
      <c r="N36" s="5" t="str">
        <f>IFERROR(__xludf.DUMMYFUNCTION("""COMPUTED_VALUE"""),"0.01/50")</f>
        <v>0.01/50</v>
      </c>
      <c r="O36" s="5" t="str">
        <f>IFERROR(__xludf.DUMMYFUNCTION("""COMPUTED_VALUE"""),"No")</f>
        <v>No</v>
      </c>
      <c r="P36" s="5" t="str">
        <f>IFERROR(__xludf.DUMMYFUNCTION("""COMPUTED_VALUE"""),"Expanding Wild, Scatter")</f>
        <v>Expanding Wild, Scatter</v>
      </c>
      <c r="Q36" s="7" t="str">
        <f>IFERROR(__xludf.DUMMYFUNCTION("""COMPUTED_VALUE"""),"https://play.redstone.rs/games/jolly-presents/index.html")</f>
        <v>https://play.redstone.rs/games/jolly-presents/index.html</v>
      </c>
      <c r="R36" s="5" t="str">
        <f>IFERROR(__xludf.DUMMYFUNCTION("""COMPUTED_VALUE"""),"Get wrapped up in the fun of Jolly Presents, where expanding wilds mean big wins up to 1200x are just a spin away!")</f>
        <v>Get wrapped up in the fun of Jolly Presents, where expanding wilds mean big wins up to 1200x are just a spin away!</v>
      </c>
      <c r="S3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6" s="5" t="str">
        <f>IFERROR(__xludf.DUMMYFUNCTION("""COMPUTED_VALUE"""),"Yes")</f>
        <v>Yes</v>
      </c>
      <c r="U36" s="5" t="str">
        <f>IFERROR(__xludf.DUMMYFUNCTION("""COMPUTED_VALUE"""),"Yes")</f>
        <v>Yes</v>
      </c>
      <c r="V36" s="5" t="str">
        <f>IFERROR(__xludf.DUMMYFUNCTION("""COMPUTED_VALUE"""),"No")</f>
        <v>No</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t="str">
        <f>IFERROR(__xludf.DUMMYFUNCTION("""COMPUTED_VALUE"""),"No")</f>
        <v>No</v>
      </c>
      <c r="AJ36" s="5" t="str">
        <f>IFERROR(__xludf.DUMMYFUNCTION("""COMPUTED_VALUE"""),"No")</f>
        <v>No</v>
      </c>
      <c r="AK36" s="5" t="str">
        <f>IFERROR(__xludf.DUMMYFUNCTION("""COMPUTED_VALUE"""),"No")</f>
        <v>No</v>
      </c>
      <c r="AL36" s="5" t="str">
        <f>IFERROR(__xludf.DUMMYFUNCTION("""COMPUTED_VALUE"""),"No")</f>
        <v>No</v>
      </c>
      <c r="AM36" s="5" t="str">
        <f>IFERROR(__xludf.DUMMYFUNCTION("""COMPUTED_VALUE"""),"No")</f>
        <v>No</v>
      </c>
      <c r="AN36" s="5" t="str">
        <f>IFERROR(__xludf.DUMMYFUNCTION("""COMPUTED_VALUE"""),"No")</f>
        <v>No</v>
      </c>
      <c r="AO36" s="5" t="str">
        <f>IFERROR(__xludf.DUMMYFUNCTION("""COMPUTED_VALUE"""),"No")</f>
        <v>No</v>
      </c>
      <c r="AP36" s="5" t="str">
        <f>IFERROR(__xludf.DUMMYFUNCTION("""COMPUTED_VALUE"""),"No")</f>
        <v>No</v>
      </c>
      <c r="AQ36" s="5" t="str">
        <f>IFERROR(__xludf.DUMMYFUNCTION("""COMPUTED_VALUE"""),"No")</f>
        <v>No</v>
      </c>
      <c r="AR36" s="5" t="str">
        <f>IFERROR(__xludf.DUMMYFUNCTION("""COMPUTED_VALUE"""),"No")</f>
        <v>No</v>
      </c>
      <c r="AS36" s="5" t="str">
        <f>IFERROR(__xludf.DUMMYFUNCTION("""COMPUTED_VALUE"""),"Yes")</f>
        <v>Yes</v>
      </c>
      <c r="AT36" s="5" t="str">
        <f>IFERROR(__xludf.DUMMYFUNCTION("""COMPUTED_VALUE"""),"No")</f>
        <v>No</v>
      </c>
      <c r="AU36" s="5"/>
      <c r="AV36" s="5" t="str">
        <f>IFERROR(__xludf.DUMMYFUNCTION("""COMPUTED_VALUE"""),"")</f>
        <v/>
      </c>
      <c r="AW36" s="5" t="str">
        <f>IFERROR(__xludf.DUMMYFUNCTION("""COMPUTED_VALUE"""),"")</f>
        <v/>
      </c>
      <c r="AX36" s="5" t="str">
        <f>IFERROR(__xludf.DUMMYFUNCTION("""COMPUTED_VALUE"""),"")</f>
        <v/>
      </c>
      <c r="AY36" s="5" t="str">
        <f>IFERROR(__xludf.DUMMYFUNCTION("""COMPUTED_VALUE"""),"")</f>
        <v/>
      </c>
      <c r="AZ36" s="5" t="str">
        <f>IFERROR(__xludf.DUMMYFUNCTION("""COMPUTED_VALUE"""),"")</f>
        <v/>
      </c>
      <c r="BA36" s="5" t="str">
        <f>IFERROR(__xludf.DUMMYFUNCTION("""COMPUTED_VALUE"""),"")</f>
        <v/>
      </c>
      <c r="BB36" s="5" t="str">
        <f>IFERROR(__xludf.DUMMYFUNCTION("""COMPUTED_VALUE"""),"")</f>
        <v/>
      </c>
    </row>
    <row r="37">
      <c r="A37" s="5" t="str">
        <f>IFERROR(__xludf.DUMMYFUNCTION("""COMPUTED_VALUE"""),"Redstone")</f>
        <v>Redstone</v>
      </c>
      <c r="B37" s="5" t="str">
        <f>IFERROR(__xludf.DUMMYFUNCTION("""COMPUTED_VALUE"""),"20 Fruit Frenzy")</f>
        <v>20 Fruit Frenzy</v>
      </c>
      <c r="C37" s="5" t="str">
        <f>IFERROR(__xludf.DUMMYFUNCTION("""COMPUTED_VALUE"""),"Redstone20FruitFrenzy")</f>
        <v>Redstone20FruitFrenzy</v>
      </c>
      <c r="D37" s="6">
        <f>IFERROR(__xludf.DUMMYFUNCTION("""COMPUTED_VALUE"""),45243.0)</f>
        <v>45243</v>
      </c>
      <c r="E37" s="5" t="str">
        <f>IFERROR(__xludf.DUMMYFUNCTION("""COMPUTED_VALUE"""),"Slot")</f>
        <v>Slot</v>
      </c>
      <c r="F37" s="5">
        <f>IFERROR(__xludf.DUMMYFUNCTION("""COMPUTED_VALUE"""),7.6)</f>
        <v>7.6</v>
      </c>
      <c r="G37" s="5" t="str">
        <f>IFERROR(__xludf.DUMMYFUNCTION("""COMPUTED_VALUE"""),"5x3")</f>
        <v>5x3</v>
      </c>
      <c r="H37" s="5" t="str">
        <f>IFERROR(__xludf.DUMMYFUNCTION("""COMPUTED_VALUE"""),"20")</f>
        <v>20</v>
      </c>
      <c r="I37" s="5" t="str">
        <f>IFERROR(__xludf.DUMMYFUNCTION("""COMPUTED_VALUE"""),"20")</f>
        <v>20</v>
      </c>
      <c r="J37" s="5" t="str">
        <f>IFERROR(__xludf.DUMMYFUNCTION("""COMPUTED_VALUE"""),"96.47%")</f>
        <v>96.47%</v>
      </c>
      <c r="K37" s="5" t="str">
        <f>IFERROR(__xludf.DUMMYFUNCTION("""COMPUTED_VALUE"""),"Medium")</f>
        <v>Medium</v>
      </c>
      <c r="L37" s="5" t="str">
        <f>IFERROR(__xludf.DUMMYFUNCTION("""COMPUTED_VALUE"""),"17.73%")</f>
        <v>17.73%</v>
      </c>
      <c r="M37" s="5" t="str">
        <f>IFERROR(__xludf.DUMMYFUNCTION("""COMPUTED_VALUE"""),"x1000")</f>
        <v>x1000</v>
      </c>
      <c r="N37" s="5" t="str">
        <f>IFERROR(__xludf.DUMMYFUNCTION("""COMPUTED_VALUE"""),"0.02/50")</f>
        <v>0.02/50</v>
      </c>
      <c r="O37" s="5" t="str">
        <f>IFERROR(__xludf.DUMMYFUNCTION("""COMPUTED_VALUE"""),"No")</f>
        <v>No</v>
      </c>
      <c r="P37" s="5" t="str">
        <f>IFERROR(__xludf.DUMMYFUNCTION("""COMPUTED_VALUE"""),"Special Wild, Scatter")</f>
        <v>Special Wild, Scatter</v>
      </c>
      <c r="Q37" s="7" t="str">
        <f>IFERROR(__xludf.DUMMYFUNCTION("""COMPUTED_VALUE"""),"https://play.redstone.rs/games/20-fruit-frenzy/index.html")</f>
        <v>https://play.redstone.rs/games/20-fruit-frenzy/index.html</v>
      </c>
      <c r="R37" s="5" t="str">
        <f>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S3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7" s="5" t="str">
        <f>IFERROR(__xludf.DUMMYFUNCTION("""COMPUTED_VALUE"""),"Yes")</f>
        <v>Yes</v>
      </c>
      <c r="U37" s="5" t="str">
        <f>IFERROR(__xludf.DUMMYFUNCTION("""COMPUTED_VALUE"""),"Yes")</f>
        <v>Yes</v>
      </c>
      <c r="V37" s="5" t="str">
        <f>IFERROR(__xludf.DUMMYFUNCTION("""COMPUTED_VALUE"""),"No")</f>
        <v>No</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t="str">
        <f>IFERROR(__xludf.DUMMYFUNCTION("""COMPUTED_VALUE"""),"No")</f>
        <v>No</v>
      </c>
      <c r="AJ37" s="5" t="str">
        <f>IFERROR(__xludf.DUMMYFUNCTION("""COMPUTED_VALUE"""),"No")</f>
        <v>No</v>
      </c>
      <c r="AK37" s="5" t="str">
        <f>IFERROR(__xludf.DUMMYFUNCTION("""COMPUTED_VALUE"""),"No")</f>
        <v>No</v>
      </c>
      <c r="AL37" s="5" t="str">
        <f>IFERROR(__xludf.DUMMYFUNCTION("""COMPUTED_VALUE"""),"No")</f>
        <v>No</v>
      </c>
      <c r="AM37" s="5" t="str">
        <f>IFERROR(__xludf.DUMMYFUNCTION("""COMPUTED_VALUE"""),"No")</f>
        <v>No</v>
      </c>
      <c r="AN37" s="5" t="str">
        <f>IFERROR(__xludf.DUMMYFUNCTION("""COMPUTED_VALUE"""),"No")</f>
        <v>No</v>
      </c>
      <c r="AO37" s="5" t="str">
        <f>IFERROR(__xludf.DUMMYFUNCTION("""COMPUTED_VALUE"""),"No")</f>
        <v>No</v>
      </c>
      <c r="AP37" s="5" t="str">
        <f>IFERROR(__xludf.DUMMYFUNCTION("""COMPUTED_VALUE"""),"No")</f>
        <v>No</v>
      </c>
      <c r="AQ37" s="5" t="str">
        <f>IFERROR(__xludf.DUMMYFUNCTION("""COMPUTED_VALUE"""),"No")</f>
        <v>No</v>
      </c>
      <c r="AR37" s="5" t="str">
        <f>IFERROR(__xludf.DUMMYFUNCTION("""COMPUTED_VALUE"""),"No")</f>
        <v>No</v>
      </c>
      <c r="AS37" s="5" t="str">
        <f>IFERROR(__xludf.DUMMYFUNCTION("""COMPUTED_VALUE"""),"Yes")</f>
        <v>Yes</v>
      </c>
      <c r="AT37" s="5" t="str">
        <f>IFERROR(__xludf.DUMMYFUNCTION("""COMPUTED_VALUE"""),"No")</f>
        <v>No</v>
      </c>
      <c r="AU37" s="5"/>
      <c r="AV37" s="5" t="str">
        <f>IFERROR(__xludf.DUMMYFUNCTION("""COMPUTED_VALUE"""),"")</f>
        <v/>
      </c>
      <c r="AW37" s="5" t="str">
        <f>IFERROR(__xludf.DUMMYFUNCTION("""COMPUTED_VALUE"""),"")</f>
        <v/>
      </c>
      <c r="AX37" s="5" t="str">
        <f>IFERROR(__xludf.DUMMYFUNCTION("""COMPUTED_VALUE"""),"")</f>
        <v/>
      </c>
      <c r="AY37" s="5" t="str">
        <f>IFERROR(__xludf.DUMMYFUNCTION("""COMPUTED_VALUE"""),"")</f>
        <v/>
      </c>
      <c r="AZ37" s="5" t="str">
        <f>IFERROR(__xludf.DUMMYFUNCTION("""COMPUTED_VALUE"""),"")</f>
        <v/>
      </c>
      <c r="BA37" s="5" t="str">
        <f>IFERROR(__xludf.DUMMYFUNCTION("""COMPUTED_VALUE"""),"")</f>
        <v/>
      </c>
      <c r="BB37" s="5" t="str">
        <f>IFERROR(__xludf.DUMMYFUNCTION("""COMPUTED_VALUE"""),"")</f>
        <v/>
      </c>
    </row>
    <row r="38">
      <c r="A38" s="5" t="str">
        <f>IFERROR(__xludf.DUMMYFUNCTION("""COMPUTED_VALUE"""),"Redstone")</f>
        <v>Redstone</v>
      </c>
      <c r="B38" s="5" t="str">
        <f>IFERROR(__xludf.DUMMYFUNCTION("""COMPUTED_VALUE"""),"40 Fruit Frenzy")</f>
        <v>40 Fruit Frenzy</v>
      </c>
      <c r="C38" s="5" t="str">
        <f>IFERROR(__xludf.DUMMYFUNCTION("""COMPUTED_VALUE"""),"Redstone40FruitFrenzy")</f>
        <v>Redstone40FruitFrenzy</v>
      </c>
      <c r="D38" s="6">
        <f>IFERROR(__xludf.DUMMYFUNCTION("""COMPUTED_VALUE"""),45254.0)</f>
        <v>45254</v>
      </c>
      <c r="E38" s="5" t="str">
        <f>IFERROR(__xludf.DUMMYFUNCTION("""COMPUTED_VALUE"""),"Slot")</f>
        <v>Slot</v>
      </c>
      <c r="F38" s="5">
        <f>IFERROR(__xludf.DUMMYFUNCTION("""COMPUTED_VALUE"""),7.4)</f>
        <v>7.4</v>
      </c>
      <c r="G38" s="5" t="str">
        <f>IFERROR(__xludf.DUMMYFUNCTION("""COMPUTED_VALUE"""),"5x4")</f>
        <v>5x4</v>
      </c>
      <c r="H38" s="5" t="str">
        <f>IFERROR(__xludf.DUMMYFUNCTION("""COMPUTED_VALUE"""),"40")</f>
        <v>40</v>
      </c>
      <c r="I38" s="5" t="str">
        <f>IFERROR(__xludf.DUMMYFUNCTION("""COMPUTED_VALUE"""),"40")</f>
        <v>40</v>
      </c>
      <c r="J38" s="5" t="str">
        <f>IFERROR(__xludf.DUMMYFUNCTION("""COMPUTED_VALUE"""),"96.23%")</f>
        <v>96.23%</v>
      </c>
      <c r="K38" s="5" t="str">
        <f>IFERROR(__xludf.DUMMYFUNCTION("""COMPUTED_VALUE"""),"Medium")</f>
        <v>Medium</v>
      </c>
      <c r="L38" s="5" t="str">
        <f>IFERROR(__xludf.DUMMYFUNCTION("""COMPUTED_VALUE"""),"16.93%")</f>
        <v>16.93%</v>
      </c>
      <c r="M38" s="5" t="str">
        <f>IFERROR(__xludf.DUMMYFUNCTION("""COMPUTED_VALUE"""),"x1000")</f>
        <v>x1000</v>
      </c>
      <c r="N38" s="5" t="str">
        <f>IFERROR(__xludf.DUMMYFUNCTION("""COMPUTED_VALUE"""),"0.04/50")</f>
        <v>0.04/50</v>
      </c>
      <c r="O38" s="5" t="str">
        <f>IFERROR(__xludf.DUMMYFUNCTION("""COMPUTED_VALUE"""),"No")</f>
        <v>No</v>
      </c>
      <c r="P38" s="5" t="str">
        <f>IFERROR(__xludf.DUMMYFUNCTION("""COMPUTED_VALUE"""),"Special Wild, Scatter")</f>
        <v>Special Wild, Scatter</v>
      </c>
      <c r="Q38" s="7" t="str">
        <f>IFERROR(__xludf.DUMMYFUNCTION("""COMPUTED_VALUE"""),"https://play.redstone.rs/games/40-fruit-frenzy/index.html")</f>
        <v>https://play.redstone.rs/games/40-fruit-frenzy/index.html</v>
      </c>
      <c r="R38" s="5" t="str">
        <f>IFERROR(__xludf.DUMMYFUNCTION("""COMPUTED_VALUE"""),"New adventure awaits! Fruit Frenzy is stacked with 40 lines and offers frenzied wins that can rack up huge rewards.")</f>
        <v>New adventure awaits! Fruit Frenzy is stacked with 40 lines and offers frenzied wins that can rack up huge rewards.</v>
      </c>
      <c r="S3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5" t="str">
        <f>IFERROR(__xludf.DUMMYFUNCTION("""COMPUTED_VALUE"""),"Yes")</f>
        <v>Yes</v>
      </c>
      <c r="U38" s="5" t="str">
        <f>IFERROR(__xludf.DUMMYFUNCTION("""COMPUTED_VALUE"""),"Yes")</f>
        <v>Yes</v>
      </c>
      <c r="V38" s="5" t="str">
        <f>IFERROR(__xludf.DUMMYFUNCTION("""COMPUTED_VALUE"""),"No")</f>
        <v>No</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IFERROR(__xludf.DUMMYFUNCTION("""COMPUTED_VALUE"""),"Yes")</f>
        <v>Yes</v>
      </c>
      <c r="AH38" s="5" t="str">
        <f>IFERROR(__xludf.DUMMYFUNCTION("""COMPUTED_VALUE"""),"Yes")</f>
        <v>Yes</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t="str">
        <f>IFERROR(__xludf.DUMMYFUNCTION("""COMPUTED_VALUE"""),"No")</f>
        <v>No</v>
      </c>
      <c r="AN38" s="5" t="str">
        <f>IFERROR(__xludf.DUMMYFUNCTION("""COMPUTED_VALUE"""),"No")</f>
        <v>No</v>
      </c>
      <c r="AO38" s="5" t="str">
        <f>IFERROR(__xludf.DUMMYFUNCTION("""COMPUTED_VALUE"""),"No")</f>
        <v>No</v>
      </c>
      <c r="AP38" s="5" t="str">
        <f>IFERROR(__xludf.DUMMYFUNCTION("""COMPUTED_VALUE"""),"No")</f>
        <v>No</v>
      </c>
      <c r="AQ38" s="5" t="str">
        <f>IFERROR(__xludf.DUMMYFUNCTION("""COMPUTED_VALUE"""),"No")</f>
        <v>No</v>
      </c>
      <c r="AR38" s="5" t="str">
        <f>IFERROR(__xludf.DUMMYFUNCTION("""COMPUTED_VALUE"""),"No")</f>
        <v>No</v>
      </c>
      <c r="AS38" s="5" t="str">
        <f>IFERROR(__xludf.DUMMYFUNCTION("""COMPUTED_VALUE"""),"Yes")</f>
        <v>Yes</v>
      </c>
      <c r="AT38" s="5" t="str">
        <f>IFERROR(__xludf.DUMMYFUNCTION("""COMPUTED_VALUE"""),"No")</f>
        <v>No</v>
      </c>
      <c r="AU38" s="5"/>
      <c r="AV38" s="5" t="str">
        <f>IFERROR(__xludf.DUMMYFUNCTION("""COMPUTED_VALUE"""),"")</f>
        <v/>
      </c>
      <c r="AW38" s="5" t="str">
        <f>IFERROR(__xludf.DUMMYFUNCTION("""COMPUTED_VALUE"""),"")</f>
        <v/>
      </c>
      <c r="AX38" s="5" t="str">
        <f>IFERROR(__xludf.DUMMYFUNCTION("""COMPUTED_VALUE"""),"")</f>
        <v/>
      </c>
      <c r="AY38" s="5" t="str">
        <f>IFERROR(__xludf.DUMMYFUNCTION("""COMPUTED_VALUE"""),"")</f>
        <v/>
      </c>
      <c r="AZ38" s="5" t="str">
        <f>IFERROR(__xludf.DUMMYFUNCTION("""COMPUTED_VALUE"""),"")</f>
        <v/>
      </c>
      <c r="BA38" s="5" t="str">
        <f>IFERROR(__xludf.DUMMYFUNCTION("""COMPUTED_VALUE"""),"")</f>
        <v/>
      </c>
      <c r="BB38" s="5" t="str">
        <f>IFERROR(__xludf.DUMMYFUNCTION("""COMPUTED_VALUE"""),"")</f>
        <v/>
      </c>
    </row>
    <row r="39">
      <c r="A39" s="5" t="str">
        <f>IFERROR(__xludf.DUMMYFUNCTION("""COMPUTED_VALUE"""),"Redstone")</f>
        <v>Redstone</v>
      </c>
      <c r="B39" s="5" t="str">
        <f>IFERROR(__xludf.DUMMYFUNCTION("""COMPUTED_VALUE"""),"Wild Heart Beat")</f>
        <v>Wild Heart Beat</v>
      </c>
      <c r="C39" s="5" t="str">
        <f>IFERROR(__xludf.DUMMYFUNCTION("""COMPUTED_VALUE"""),"RedstoneWildHeartBeat")</f>
        <v>RedstoneWildHeartBeat</v>
      </c>
      <c r="D39" s="6">
        <f>IFERROR(__xludf.DUMMYFUNCTION("""COMPUTED_VALUE"""),45257.0)</f>
        <v>45257</v>
      </c>
      <c r="E39" s="5" t="str">
        <f>IFERROR(__xludf.DUMMYFUNCTION("""COMPUTED_VALUE"""),"Slot")</f>
        <v>Slot</v>
      </c>
      <c r="F39" s="5">
        <f>IFERROR(__xludf.DUMMYFUNCTION("""COMPUTED_VALUE"""),8.2)</f>
        <v>8.2</v>
      </c>
      <c r="G39" s="5" t="str">
        <f>IFERROR(__xludf.DUMMYFUNCTION("""COMPUTED_VALUE"""),"5x3")</f>
        <v>5x3</v>
      </c>
      <c r="H39" s="5" t="str">
        <f>IFERROR(__xludf.DUMMYFUNCTION("""COMPUTED_VALUE"""),"5")</f>
        <v>5</v>
      </c>
      <c r="I39" s="5" t="str">
        <f>IFERROR(__xludf.DUMMYFUNCTION("""COMPUTED_VALUE"""),"5")</f>
        <v>5</v>
      </c>
      <c r="J39" s="5" t="str">
        <f>IFERROR(__xludf.DUMMYFUNCTION("""COMPUTED_VALUE"""),"96.36%")</f>
        <v>96.36%</v>
      </c>
      <c r="K39" s="5" t="str">
        <f>IFERROR(__xludf.DUMMYFUNCTION("""COMPUTED_VALUE"""),"Medium")</f>
        <v>Medium</v>
      </c>
      <c r="L39" s="5" t="str">
        <f>IFERROR(__xludf.DUMMYFUNCTION("""COMPUTED_VALUE"""),"11.87%")</f>
        <v>11.87%</v>
      </c>
      <c r="M39" s="5" t="str">
        <f>IFERROR(__xludf.DUMMYFUNCTION("""COMPUTED_VALUE"""),"x2000")</f>
        <v>x2000</v>
      </c>
      <c r="N39" s="5" t="str">
        <f>IFERROR(__xludf.DUMMYFUNCTION("""COMPUTED_VALUE"""),"0.01/50")</f>
        <v>0.01/50</v>
      </c>
      <c r="O39" s="5" t="str">
        <f>IFERROR(__xludf.DUMMYFUNCTION("""COMPUTED_VALUE"""),"No")</f>
        <v>No</v>
      </c>
      <c r="P39" s="5" t="str">
        <f>IFERROR(__xludf.DUMMYFUNCTION("""COMPUTED_VALUE"""),"Expanding Wild, Scatter")</f>
        <v>Expanding Wild, Scatter</v>
      </c>
      <c r="Q39" s="7" t="str">
        <f>IFERROR(__xludf.DUMMYFUNCTION("""COMPUTED_VALUE"""),"https://play.redstone.rs/games/wild-heart-beat/index.html")</f>
        <v>https://play.redstone.rs/games/wild-heart-beat/index.html</v>
      </c>
      <c r="R39" s="5" t="str">
        <f>IFERROR(__xludf.DUMMYFUNCTION("""COMPUTED_VALUE"""),"Wild HEART Beat sets the rhythm for big wins, with expanding wilds that could lead to a heart-stopping 2000x payout!")</f>
        <v>Wild HEART Beat sets the rhythm for big wins, with expanding wilds that could lead to a heart-stopping 2000x payout!</v>
      </c>
      <c r="S3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5" t="str">
        <f>IFERROR(__xludf.DUMMYFUNCTION("""COMPUTED_VALUE"""),"Yes")</f>
        <v>Yes</v>
      </c>
      <c r="U39" s="5" t="str">
        <f>IFERROR(__xludf.DUMMYFUNCTION("""COMPUTED_VALUE"""),"Yes")</f>
        <v>Yes</v>
      </c>
      <c r="V39" s="5" t="str">
        <f>IFERROR(__xludf.DUMMYFUNCTION("""COMPUTED_VALUE"""),"No")</f>
        <v>No</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IFERROR(__xludf.DUMMYFUNCTION("""COMPUTED_VALUE"""),"Yes")</f>
        <v>Yes</v>
      </c>
      <c r="AF39" s="5" t="str">
        <f>IFERROR(__xludf.DUMMYFUNCTION("""COMPUTED_VALUE"""),"Yes")</f>
        <v>Yes</v>
      </c>
      <c r="AG39" s="5" t="str">
        <f>IFERROR(__xludf.DUMMYFUNCTION("""COMPUTED_VALUE"""),"Yes")</f>
        <v>Yes</v>
      </c>
      <c r="AH39" s="5" t="str">
        <f>IFERROR(__xludf.DUMMYFUNCTION("""COMPUTED_VALUE"""),"Yes")</f>
        <v>Yes</v>
      </c>
      <c r="AI39" s="5" t="str">
        <f>IFERROR(__xludf.DUMMYFUNCTION("""COMPUTED_VALUE"""),"No")</f>
        <v>No</v>
      </c>
      <c r="AJ39" s="5" t="str">
        <f>IFERROR(__xludf.DUMMYFUNCTION("""COMPUTED_VALUE"""),"No")</f>
        <v>No</v>
      </c>
      <c r="AK39" s="5" t="str">
        <f>IFERROR(__xludf.DUMMYFUNCTION("""COMPUTED_VALUE"""),"No")</f>
        <v>No</v>
      </c>
      <c r="AL39" s="5" t="str">
        <f>IFERROR(__xludf.DUMMYFUNCTION("""COMPUTED_VALUE"""),"No")</f>
        <v>No</v>
      </c>
      <c r="AM39" s="5" t="str">
        <f>IFERROR(__xludf.DUMMYFUNCTION("""COMPUTED_VALUE"""),"No")</f>
        <v>No</v>
      </c>
      <c r="AN39" s="5" t="str">
        <f>IFERROR(__xludf.DUMMYFUNCTION("""COMPUTED_VALUE"""),"No")</f>
        <v>No</v>
      </c>
      <c r="AO39" s="5" t="str">
        <f>IFERROR(__xludf.DUMMYFUNCTION("""COMPUTED_VALUE"""),"No")</f>
        <v>No</v>
      </c>
      <c r="AP39" s="5" t="str">
        <f>IFERROR(__xludf.DUMMYFUNCTION("""COMPUTED_VALUE"""),"No")</f>
        <v>No</v>
      </c>
      <c r="AQ39" s="5" t="str">
        <f>IFERROR(__xludf.DUMMYFUNCTION("""COMPUTED_VALUE"""),"No")</f>
        <v>No</v>
      </c>
      <c r="AR39" s="5" t="str">
        <f>IFERROR(__xludf.DUMMYFUNCTION("""COMPUTED_VALUE"""),"No")</f>
        <v>No</v>
      </c>
      <c r="AS39" s="5" t="str">
        <f>IFERROR(__xludf.DUMMYFUNCTION("""COMPUTED_VALUE"""),"Yes")</f>
        <v>Yes</v>
      </c>
      <c r="AT39" s="5" t="str">
        <f>IFERROR(__xludf.DUMMYFUNCTION("""COMPUTED_VALUE"""),"No")</f>
        <v>No</v>
      </c>
      <c r="AU39" s="5"/>
      <c r="AV39" s="5" t="str">
        <f>IFERROR(__xludf.DUMMYFUNCTION("""COMPUTED_VALUE"""),"")</f>
        <v/>
      </c>
      <c r="AW39" s="5" t="str">
        <f>IFERROR(__xludf.DUMMYFUNCTION("""COMPUTED_VALUE"""),"")</f>
        <v/>
      </c>
      <c r="AX39" s="5" t="str">
        <f>IFERROR(__xludf.DUMMYFUNCTION("""COMPUTED_VALUE"""),"")</f>
        <v/>
      </c>
      <c r="AY39" s="5" t="str">
        <f>IFERROR(__xludf.DUMMYFUNCTION("""COMPUTED_VALUE"""),"")</f>
        <v/>
      </c>
      <c r="AZ39" s="5" t="str">
        <f>IFERROR(__xludf.DUMMYFUNCTION("""COMPUTED_VALUE"""),"")</f>
        <v/>
      </c>
      <c r="BA39" s="5" t="str">
        <f>IFERROR(__xludf.DUMMYFUNCTION("""COMPUTED_VALUE"""),"")</f>
        <v/>
      </c>
      <c r="BB39" s="5" t="str">
        <f>IFERROR(__xludf.DUMMYFUNCTION("""COMPUTED_VALUE"""),"")</f>
        <v/>
      </c>
    </row>
    <row r="40">
      <c r="A40" s="5" t="str">
        <f>IFERROR(__xludf.DUMMYFUNCTION("""COMPUTED_VALUE"""),"Redstone")</f>
        <v>Redstone</v>
      </c>
      <c r="B40" s="5" t="str">
        <f>IFERROR(__xludf.DUMMYFUNCTION("""COMPUTED_VALUE"""),"Wild Trail")</f>
        <v>Wild Trail</v>
      </c>
      <c r="C40" s="5" t="str">
        <f>IFERROR(__xludf.DUMMYFUNCTION("""COMPUTED_VALUE"""),"RedstoneWildTrail")</f>
        <v>RedstoneWildTrail</v>
      </c>
      <c r="D40" s="6">
        <f>IFERROR(__xludf.DUMMYFUNCTION("""COMPUTED_VALUE"""),45261.0)</f>
        <v>45261</v>
      </c>
      <c r="E40" s="5" t="str">
        <f>IFERROR(__xludf.DUMMYFUNCTION("""COMPUTED_VALUE"""),"Slot")</f>
        <v>Slot</v>
      </c>
      <c r="F40" s="5">
        <f>IFERROR(__xludf.DUMMYFUNCTION("""COMPUTED_VALUE"""),7.6)</f>
        <v>7.6</v>
      </c>
      <c r="G40" s="5" t="str">
        <f>IFERROR(__xludf.DUMMYFUNCTION("""COMPUTED_VALUE"""),"5x4")</f>
        <v>5x4</v>
      </c>
      <c r="H40" s="5" t="str">
        <f>IFERROR(__xludf.DUMMYFUNCTION("""COMPUTED_VALUE"""),"40")</f>
        <v>40</v>
      </c>
      <c r="I40" s="5" t="str">
        <f>IFERROR(__xludf.DUMMYFUNCTION("""COMPUTED_VALUE"""),"40")</f>
        <v>40</v>
      </c>
      <c r="J40" s="5" t="str">
        <f>IFERROR(__xludf.DUMMYFUNCTION("""COMPUTED_VALUE"""),"95.32%")</f>
        <v>95.32%</v>
      </c>
      <c r="K40" s="5" t="str">
        <f>IFERROR(__xludf.DUMMYFUNCTION("""COMPUTED_VALUE"""),"Medium")</f>
        <v>Medium</v>
      </c>
      <c r="L40" s="5" t="str">
        <f>IFERROR(__xludf.DUMMYFUNCTION("""COMPUTED_VALUE"""),"12.34%")</f>
        <v>12.34%</v>
      </c>
      <c r="M40" s="5" t="str">
        <f>IFERROR(__xludf.DUMMYFUNCTION("""COMPUTED_VALUE"""),"x2000")</f>
        <v>x2000</v>
      </c>
      <c r="N40" s="5" t="str">
        <f>IFERROR(__xludf.DUMMYFUNCTION("""COMPUTED_VALUE"""),"0.40/60")</f>
        <v>0.40/60</v>
      </c>
      <c r="O40" s="5" t="str">
        <f>IFERROR(__xludf.DUMMYFUNCTION("""COMPUTED_VALUE"""),"No")</f>
        <v>No</v>
      </c>
      <c r="P40" s="5" t="str">
        <f>IFERROR(__xludf.DUMMYFUNCTION("""COMPUTED_VALUE"""),"Special Wild, Scatter, Bonus Game with Free Spins")</f>
        <v>Special Wild, Scatter, Bonus Game with Free Spins</v>
      </c>
      <c r="Q40" s="7" t="str">
        <f>IFERROR(__xludf.DUMMYFUNCTION("""COMPUTED_VALUE"""),"https://play.redstone.rs/games/wild-trail/index.html")</f>
        <v>https://play.redstone.rs/games/wild-trail/index.html</v>
      </c>
      <c r="R40" s="5" t="str">
        <f>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S4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0" s="5" t="str">
        <f>IFERROR(__xludf.DUMMYFUNCTION("""COMPUTED_VALUE"""),"Yes")</f>
        <v>Yes</v>
      </c>
      <c r="U40" s="5" t="str">
        <f>IFERROR(__xludf.DUMMYFUNCTION("""COMPUTED_VALUE"""),"Yes")</f>
        <v>Yes</v>
      </c>
      <c r="V40" s="5" t="str">
        <f>IFERROR(__xludf.DUMMYFUNCTION("""COMPUTED_VALUE"""),"No")</f>
        <v>No</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IFERROR(__xludf.DUMMYFUNCTION("""COMPUTED_VALUE"""),"Yes")</f>
        <v>Yes</v>
      </c>
      <c r="AH40" s="5" t="str">
        <f>IFERROR(__xludf.DUMMYFUNCTION("""COMPUTED_VALUE"""),"Yes")</f>
        <v>Yes</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t="str">
        <f>IFERROR(__xludf.DUMMYFUNCTION("""COMPUTED_VALUE"""),"No")</f>
        <v>No</v>
      </c>
      <c r="AN40" s="5" t="str">
        <f>IFERROR(__xludf.DUMMYFUNCTION("""COMPUTED_VALUE"""),"No")</f>
        <v>No</v>
      </c>
      <c r="AO40" s="5" t="str">
        <f>IFERROR(__xludf.DUMMYFUNCTION("""COMPUTED_VALUE"""),"No")</f>
        <v>No</v>
      </c>
      <c r="AP40" s="5" t="str">
        <f>IFERROR(__xludf.DUMMYFUNCTION("""COMPUTED_VALUE"""),"No")</f>
        <v>No</v>
      </c>
      <c r="AQ40" s="5" t="str">
        <f>IFERROR(__xludf.DUMMYFUNCTION("""COMPUTED_VALUE"""),"No")</f>
        <v>No</v>
      </c>
      <c r="AR40" s="5" t="str">
        <f>IFERROR(__xludf.DUMMYFUNCTION("""COMPUTED_VALUE"""),"No")</f>
        <v>No</v>
      </c>
      <c r="AS40" s="5" t="str">
        <f>IFERROR(__xludf.DUMMYFUNCTION("""COMPUTED_VALUE"""),"Yes")</f>
        <v>Yes</v>
      </c>
      <c r="AT40" s="5" t="str">
        <f>IFERROR(__xludf.DUMMYFUNCTION("""COMPUTED_VALUE"""),"No")</f>
        <v>No</v>
      </c>
      <c r="AU40" s="5"/>
      <c r="AV40" s="5" t="str">
        <f>IFERROR(__xludf.DUMMYFUNCTION("""COMPUTED_VALUE"""),"")</f>
        <v/>
      </c>
      <c r="AW40" s="5" t="str">
        <f>IFERROR(__xludf.DUMMYFUNCTION("""COMPUTED_VALUE"""),"")</f>
        <v/>
      </c>
      <c r="AX40" s="5" t="str">
        <f>IFERROR(__xludf.DUMMYFUNCTION("""COMPUTED_VALUE"""),"")</f>
        <v/>
      </c>
      <c r="AY40" s="5" t="str">
        <f>IFERROR(__xludf.DUMMYFUNCTION("""COMPUTED_VALUE"""),"")</f>
        <v/>
      </c>
      <c r="AZ40" s="5" t="str">
        <f>IFERROR(__xludf.DUMMYFUNCTION("""COMPUTED_VALUE"""),"")</f>
        <v/>
      </c>
      <c r="BA40" s="5" t="str">
        <f>IFERROR(__xludf.DUMMYFUNCTION("""COMPUTED_VALUE"""),"")</f>
        <v/>
      </c>
      <c r="BB40" s="5" t="str">
        <f>IFERROR(__xludf.DUMMYFUNCTION("""COMPUTED_VALUE"""),"")</f>
        <v/>
      </c>
    </row>
    <row r="41">
      <c r="A41" s="5" t="str">
        <f>IFERROR(__xludf.DUMMYFUNCTION("""COMPUTED_VALUE"""),"Redstone")</f>
        <v>Redstone</v>
      </c>
      <c r="B41" s="5" t="str">
        <f>IFERROR(__xludf.DUMMYFUNCTION("""COMPUTED_VALUE"""),"40 Jokers Free Games")</f>
        <v>40 Jokers Free Games</v>
      </c>
      <c r="C41" s="5" t="str">
        <f>IFERROR(__xludf.DUMMYFUNCTION("""COMPUTED_VALUE"""),"Redstone40JokersFreeGames")</f>
        <v>Redstone40JokersFreeGames</v>
      </c>
      <c r="D41" s="6">
        <f>IFERROR(__xludf.DUMMYFUNCTION("""COMPUTED_VALUE"""),45271.0)</f>
        <v>45271</v>
      </c>
      <c r="E41" s="5" t="str">
        <f>IFERROR(__xludf.DUMMYFUNCTION("""COMPUTED_VALUE"""),"Slot")</f>
        <v>Slot</v>
      </c>
      <c r="F41" s="5">
        <f>IFERROR(__xludf.DUMMYFUNCTION("""COMPUTED_VALUE"""),7.6)</f>
        <v>7.6</v>
      </c>
      <c r="G41" s="5" t="str">
        <f>IFERROR(__xludf.DUMMYFUNCTION("""COMPUTED_VALUE"""),"5x4")</f>
        <v>5x4</v>
      </c>
      <c r="H41" s="5" t="str">
        <f>IFERROR(__xludf.DUMMYFUNCTION("""COMPUTED_VALUE"""),"40")</f>
        <v>40</v>
      </c>
      <c r="I41" s="5" t="str">
        <f>IFERROR(__xludf.DUMMYFUNCTION("""COMPUTED_VALUE"""),"40")</f>
        <v>40</v>
      </c>
      <c r="J41" s="5" t="str">
        <f>IFERROR(__xludf.DUMMYFUNCTION("""COMPUTED_VALUE"""),"95.32%")</f>
        <v>95.32%</v>
      </c>
      <c r="K41" s="5" t="str">
        <f>IFERROR(__xludf.DUMMYFUNCTION("""COMPUTED_VALUE"""),"Medium")</f>
        <v>Medium</v>
      </c>
      <c r="L41" s="5" t="str">
        <f>IFERROR(__xludf.DUMMYFUNCTION("""COMPUTED_VALUE"""),"12.34%")</f>
        <v>12.34%</v>
      </c>
      <c r="M41" s="5" t="str">
        <f>IFERROR(__xludf.DUMMYFUNCTION("""COMPUTED_VALUE"""),"x2000")</f>
        <v>x2000</v>
      </c>
      <c r="N41" s="5" t="str">
        <f>IFERROR(__xludf.DUMMYFUNCTION("""COMPUTED_VALUE"""),"0.40/60")</f>
        <v>0.40/60</v>
      </c>
      <c r="O41" s="5" t="str">
        <f>IFERROR(__xludf.DUMMYFUNCTION("""COMPUTED_VALUE"""),"No")</f>
        <v>No</v>
      </c>
      <c r="P41" s="5" t="str">
        <f>IFERROR(__xludf.DUMMYFUNCTION("""COMPUTED_VALUE"""),"Special Wild, Scatter, Bonus Game with Free Spins")</f>
        <v>Special Wild, Scatter, Bonus Game with Free Spins</v>
      </c>
      <c r="Q41" s="7" t="str">
        <f>IFERROR(__xludf.DUMMYFUNCTION("""COMPUTED_VALUE"""),"https://play.redstone.rs/games/40-jokers-free-games/index.html")</f>
        <v>https://play.redstone.rs/games/40-jokers-free-games/index.html</v>
      </c>
      <c r="R41" s="5" t="str">
        <f>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S4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1" s="5" t="str">
        <f>IFERROR(__xludf.DUMMYFUNCTION("""COMPUTED_VALUE"""),"Yes")</f>
        <v>Yes</v>
      </c>
      <c r="U41" s="5" t="str">
        <f>IFERROR(__xludf.DUMMYFUNCTION("""COMPUTED_VALUE"""),"Yes")</f>
        <v>Yes</v>
      </c>
      <c r="V41" s="5" t="str">
        <f>IFERROR(__xludf.DUMMYFUNCTION("""COMPUTED_VALUE"""),"No")</f>
        <v>No</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IFERROR(__xludf.DUMMYFUNCTION("""COMPUTED_VALUE"""),"Yes")</f>
        <v>Yes</v>
      </c>
      <c r="AH41" s="5" t="str">
        <f>IFERROR(__xludf.DUMMYFUNCTION("""COMPUTED_VALUE"""),"Yes")</f>
        <v>Yes</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t="str">
        <f>IFERROR(__xludf.DUMMYFUNCTION("""COMPUTED_VALUE"""),"No")</f>
        <v>No</v>
      </c>
      <c r="AN41" s="5" t="str">
        <f>IFERROR(__xludf.DUMMYFUNCTION("""COMPUTED_VALUE"""),"No")</f>
        <v>No</v>
      </c>
      <c r="AO41" s="5" t="str">
        <f>IFERROR(__xludf.DUMMYFUNCTION("""COMPUTED_VALUE"""),"No")</f>
        <v>No</v>
      </c>
      <c r="AP41" s="5" t="str">
        <f>IFERROR(__xludf.DUMMYFUNCTION("""COMPUTED_VALUE"""),"No")</f>
        <v>No</v>
      </c>
      <c r="AQ41" s="5" t="str">
        <f>IFERROR(__xludf.DUMMYFUNCTION("""COMPUTED_VALUE"""),"No")</f>
        <v>No</v>
      </c>
      <c r="AR41" s="5" t="str">
        <f>IFERROR(__xludf.DUMMYFUNCTION("""COMPUTED_VALUE"""),"No")</f>
        <v>No</v>
      </c>
      <c r="AS41" s="5" t="str">
        <f>IFERROR(__xludf.DUMMYFUNCTION("""COMPUTED_VALUE"""),"Yes")</f>
        <v>Yes</v>
      </c>
      <c r="AT41" s="5" t="str">
        <f>IFERROR(__xludf.DUMMYFUNCTION("""COMPUTED_VALUE"""),"No")</f>
        <v>No</v>
      </c>
      <c r="AU41" s="5"/>
      <c r="AV41" s="5" t="str">
        <f>IFERROR(__xludf.DUMMYFUNCTION("""COMPUTED_VALUE"""),"")</f>
        <v/>
      </c>
      <c r="AW41" s="5" t="str">
        <f>IFERROR(__xludf.DUMMYFUNCTION("""COMPUTED_VALUE"""),"")</f>
        <v/>
      </c>
      <c r="AX41" s="5" t="str">
        <f>IFERROR(__xludf.DUMMYFUNCTION("""COMPUTED_VALUE"""),"")</f>
        <v/>
      </c>
      <c r="AY41" s="5" t="str">
        <f>IFERROR(__xludf.DUMMYFUNCTION("""COMPUTED_VALUE"""),"")</f>
        <v/>
      </c>
      <c r="AZ41" s="5" t="str">
        <f>IFERROR(__xludf.DUMMYFUNCTION("""COMPUTED_VALUE"""),"")</f>
        <v/>
      </c>
      <c r="BA41" s="5" t="str">
        <f>IFERROR(__xludf.DUMMYFUNCTION("""COMPUTED_VALUE"""),"")</f>
        <v/>
      </c>
      <c r="BB41" s="5" t="str">
        <f>IFERROR(__xludf.DUMMYFUNCTION("""COMPUTED_VALUE"""),"")</f>
        <v/>
      </c>
    </row>
    <row r="42">
      <c r="A42" s="5" t="str">
        <f>IFERROR(__xludf.DUMMYFUNCTION("""COMPUTED_VALUE"""),"Redstone")</f>
        <v>Redstone</v>
      </c>
      <c r="B42" s="5" t="str">
        <f>IFERROR(__xludf.DUMMYFUNCTION("""COMPUTED_VALUE"""),"Moon Dog")</f>
        <v>Moon Dog</v>
      </c>
      <c r="C42" s="5" t="str">
        <f>IFERROR(__xludf.DUMMYFUNCTION("""COMPUTED_VALUE"""),"RedstoneMoonDog")</f>
        <v>RedstoneMoonDog</v>
      </c>
      <c r="D42" s="6">
        <f>IFERROR(__xludf.DUMMYFUNCTION("""COMPUTED_VALUE"""),45264.0)</f>
        <v>45264</v>
      </c>
      <c r="E42" s="5" t="str">
        <f>IFERROR(__xludf.DUMMYFUNCTION("""COMPUTED_VALUE"""),"Slot")</f>
        <v>Slot</v>
      </c>
      <c r="F42" s="5">
        <f>IFERROR(__xludf.DUMMYFUNCTION("""COMPUTED_VALUE"""),7.6)</f>
        <v>7.6</v>
      </c>
      <c r="G42" s="5" t="str">
        <f>IFERROR(__xludf.DUMMYFUNCTION("""COMPUTED_VALUE"""),"5x4")</f>
        <v>5x4</v>
      </c>
      <c r="H42" s="5" t="str">
        <f>IFERROR(__xludf.DUMMYFUNCTION("""COMPUTED_VALUE"""),"40")</f>
        <v>40</v>
      </c>
      <c r="I42" s="5" t="str">
        <f>IFERROR(__xludf.DUMMYFUNCTION("""COMPUTED_VALUE"""),"40")</f>
        <v>40</v>
      </c>
      <c r="J42" s="5" t="str">
        <f>IFERROR(__xludf.DUMMYFUNCTION("""COMPUTED_VALUE"""),"95.32%")</f>
        <v>95.32%</v>
      </c>
      <c r="K42" s="5" t="str">
        <f>IFERROR(__xludf.DUMMYFUNCTION("""COMPUTED_VALUE"""),"Medium")</f>
        <v>Medium</v>
      </c>
      <c r="L42" s="5" t="str">
        <f>IFERROR(__xludf.DUMMYFUNCTION("""COMPUTED_VALUE"""),"12.34%")</f>
        <v>12.34%</v>
      </c>
      <c r="M42" s="5" t="str">
        <f>IFERROR(__xludf.DUMMYFUNCTION("""COMPUTED_VALUE"""),"x2000")</f>
        <v>x2000</v>
      </c>
      <c r="N42" s="5" t="str">
        <f>IFERROR(__xludf.DUMMYFUNCTION("""COMPUTED_VALUE"""),"0.40/60")</f>
        <v>0.40/60</v>
      </c>
      <c r="O42" s="5" t="str">
        <f>IFERROR(__xludf.DUMMYFUNCTION("""COMPUTED_VALUE"""),"No")</f>
        <v>No</v>
      </c>
      <c r="P42" s="5" t="str">
        <f>IFERROR(__xludf.DUMMYFUNCTION("""COMPUTED_VALUE"""),"Special Wild, Scatter, Bonus Game with Free Spins")</f>
        <v>Special Wild, Scatter, Bonus Game with Free Spins</v>
      </c>
      <c r="Q42" s="7" t="str">
        <f>IFERROR(__xludf.DUMMYFUNCTION("""COMPUTED_VALUE"""),"https://static.redstone.rs/games/moon-dog/")</f>
        <v>https://static.redstone.rs/games/moon-dog/</v>
      </c>
      <c r="R42" s="5" t="str">
        <f>IFERROR(__xludf.DUMMYFUNCTION("""COMPUTED_VALUE"""),"Take a spin in the Moon Dog universe with 40 lines and bonus games, and win up to 2000x!")</f>
        <v>Take a spin in the Moon Dog universe with 40 lines and bonus games, and win up to 2000x!</v>
      </c>
      <c r="S4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2" s="5" t="str">
        <f>IFERROR(__xludf.DUMMYFUNCTION("""COMPUTED_VALUE"""),"Yes")</f>
        <v>Yes</v>
      </c>
      <c r="U42" s="5" t="str">
        <f>IFERROR(__xludf.DUMMYFUNCTION("""COMPUTED_VALUE"""),"Yes")</f>
        <v>Yes</v>
      </c>
      <c r="V42" s="5" t="str">
        <f>IFERROR(__xludf.DUMMYFUNCTION("""COMPUTED_VALUE"""),"No")</f>
        <v>No</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IFERROR(__xludf.DUMMYFUNCTION("""COMPUTED_VALUE"""),"No")</f>
        <v>No</v>
      </c>
      <c r="AJ42" s="5" t="str">
        <f>IFERROR(__xludf.DUMMYFUNCTION("""COMPUTED_VALUE"""),"No")</f>
        <v>No</v>
      </c>
      <c r="AK42" s="5" t="str">
        <f>IFERROR(__xludf.DUMMYFUNCTION("""COMPUTED_VALUE"""),"No")</f>
        <v>No</v>
      </c>
      <c r="AL42" s="5" t="str">
        <f>IFERROR(__xludf.DUMMYFUNCTION("""COMPUTED_VALUE"""),"No")</f>
        <v>No</v>
      </c>
      <c r="AM42" s="5" t="str">
        <f>IFERROR(__xludf.DUMMYFUNCTION("""COMPUTED_VALUE"""),"No")</f>
        <v>No</v>
      </c>
      <c r="AN42" s="5" t="str">
        <f>IFERROR(__xludf.DUMMYFUNCTION("""COMPUTED_VALUE"""),"No")</f>
        <v>No</v>
      </c>
      <c r="AO42" s="5" t="str">
        <f>IFERROR(__xludf.DUMMYFUNCTION("""COMPUTED_VALUE"""),"No")</f>
        <v>No</v>
      </c>
      <c r="AP42" s="5" t="str">
        <f>IFERROR(__xludf.DUMMYFUNCTION("""COMPUTED_VALUE"""),"No")</f>
        <v>No</v>
      </c>
      <c r="AQ42" s="5" t="str">
        <f>IFERROR(__xludf.DUMMYFUNCTION("""COMPUTED_VALUE"""),"No")</f>
        <v>No</v>
      </c>
      <c r="AR42" s="5" t="str">
        <f>IFERROR(__xludf.DUMMYFUNCTION("""COMPUTED_VALUE"""),"No")</f>
        <v>No</v>
      </c>
      <c r="AS42" s="5" t="str">
        <f>IFERROR(__xludf.DUMMYFUNCTION("""COMPUTED_VALUE"""),"Yes")</f>
        <v>Yes</v>
      </c>
      <c r="AT42" s="5" t="str">
        <f>IFERROR(__xludf.DUMMYFUNCTION("""COMPUTED_VALUE"""),"No")</f>
        <v>No</v>
      </c>
      <c r="AU42" s="5"/>
      <c r="AV42" s="5" t="str">
        <f>IFERROR(__xludf.DUMMYFUNCTION("""COMPUTED_VALUE"""),"")</f>
        <v/>
      </c>
      <c r="AW42" s="5" t="str">
        <f>IFERROR(__xludf.DUMMYFUNCTION("""COMPUTED_VALUE"""),"")</f>
        <v/>
      </c>
      <c r="AX42" s="5" t="str">
        <f>IFERROR(__xludf.DUMMYFUNCTION("""COMPUTED_VALUE"""),"")</f>
        <v/>
      </c>
      <c r="AY42" s="5" t="str">
        <f>IFERROR(__xludf.DUMMYFUNCTION("""COMPUTED_VALUE"""),"")</f>
        <v/>
      </c>
      <c r="AZ42" s="5" t="str">
        <f>IFERROR(__xludf.DUMMYFUNCTION("""COMPUTED_VALUE"""),"")</f>
        <v/>
      </c>
      <c r="BA42" s="5" t="str">
        <f>IFERROR(__xludf.DUMMYFUNCTION("""COMPUTED_VALUE"""),"")</f>
        <v/>
      </c>
      <c r="BB42" s="5" t="str">
        <f>IFERROR(__xludf.DUMMYFUNCTION("""COMPUTED_VALUE"""),"")</f>
        <v/>
      </c>
    </row>
    <row r="43">
      <c r="A43" s="5" t="str">
        <f>IFERROR(__xludf.DUMMYFUNCTION("""COMPUTED_VALUE"""),"Redstone")</f>
        <v>Redstone</v>
      </c>
      <c r="B43" s="5" t="str">
        <f>IFERROR(__xludf.DUMMYFUNCTION("""COMPUTED_VALUE"""),"20 Wild Crown")</f>
        <v>20 Wild Crown</v>
      </c>
      <c r="C43" s="5" t="str">
        <f>IFERROR(__xludf.DUMMYFUNCTION("""COMPUTED_VALUE"""),"Redstone20WildCrown")</f>
        <v>Redstone20WildCrown</v>
      </c>
      <c r="D43" s="6">
        <f>IFERROR(__xludf.DUMMYFUNCTION("""COMPUTED_VALUE"""),45278.0)</f>
        <v>45278</v>
      </c>
      <c r="E43" s="5" t="str">
        <f>IFERROR(__xludf.DUMMYFUNCTION("""COMPUTED_VALUE"""),"Slot")</f>
        <v>Slot</v>
      </c>
      <c r="F43" s="5">
        <f>IFERROR(__xludf.DUMMYFUNCTION("""COMPUTED_VALUE"""),8.9)</f>
        <v>8.9</v>
      </c>
      <c r="G43" s="5" t="str">
        <f>IFERROR(__xludf.DUMMYFUNCTION("""COMPUTED_VALUE"""),"5x3")</f>
        <v>5x3</v>
      </c>
      <c r="H43" s="5" t="str">
        <f>IFERROR(__xludf.DUMMYFUNCTION("""COMPUTED_VALUE"""),"20")</f>
        <v>20</v>
      </c>
      <c r="I43" s="5" t="str">
        <f>IFERROR(__xludf.DUMMYFUNCTION("""COMPUTED_VALUE"""),"20")</f>
        <v>20</v>
      </c>
      <c r="J43" s="5" t="str">
        <f>IFERROR(__xludf.DUMMYFUNCTION("""COMPUTED_VALUE"""),"96.55%")</f>
        <v>96.55%</v>
      </c>
      <c r="K43" s="5" t="str">
        <f>IFERROR(__xludf.DUMMYFUNCTION("""COMPUTED_VALUE"""),"Medium")</f>
        <v>Medium</v>
      </c>
      <c r="L43" s="5" t="str">
        <f>IFERROR(__xludf.DUMMYFUNCTION("""COMPUTED_VALUE"""),"21.75%")</f>
        <v>21.75%</v>
      </c>
      <c r="M43" s="5" t="str">
        <f>IFERROR(__xludf.DUMMYFUNCTION("""COMPUTED_VALUE"""),"x1231.5")</f>
        <v>x1231.5</v>
      </c>
      <c r="N43" s="5" t="str">
        <f>IFERROR(__xludf.DUMMYFUNCTION("""COMPUTED_VALUE"""),"0.20/100")</f>
        <v>0.20/100</v>
      </c>
      <c r="O43" s="5" t="str">
        <f>IFERROR(__xludf.DUMMYFUNCTION("""COMPUTED_VALUE"""),"No")</f>
        <v>No</v>
      </c>
      <c r="P43" s="5" t="str">
        <f>IFERROR(__xludf.DUMMYFUNCTION("""COMPUTED_VALUE"""),"Expanding Wild, Scatter")</f>
        <v>Expanding Wild, Scatter</v>
      </c>
      <c r="Q43" s="7" t="str">
        <f>IFERROR(__xludf.DUMMYFUNCTION("""COMPUTED_VALUE"""),"https://play.redstone.rs/games/20-wild-crown/index.html")</f>
        <v>https://play.redstone.rs/games/20-wild-crown/index.html</v>
      </c>
      <c r="R43" s="5" t="str">
        <f>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S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IFERROR(__xludf.DUMMYFUNCTION("""COMPUTED_VALUE"""),"Yes")</f>
        <v>Yes</v>
      </c>
      <c r="AJ43" s="5" t="str">
        <f>IFERROR(__xludf.DUMMYFUNCTION("""COMPUTED_VALUE"""),"Yes")</f>
        <v>Yes</v>
      </c>
      <c r="AK43" s="5" t="str">
        <f>IFERROR(__xludf.DUMMYFUNCTION("""COMPUTED_VALUE"""),"Yes")</f>
        <v>Yes</v>
      </c>
      <c r="AL43" s="5" t="str">
        <f>IFERROR(__xludf.DUMMYFUNCTION("""COMPUTED_VALUE"""),"Yes")</f>
        <v>Yes</v>
      </c>
      <c r="AM43" s="5"/>
      <c r="AN43" s="5" t="str">
        <f>IFERROR(__xludf.DUMMYFUNCTION("""COMPUTED_VALUE"""),"Yes")</f>
        <v>Yes</v>
      </c>
      <c r="AO43" s="5"/>
      <c r="AP43" s="5"/>
      <c r="AQ43" s="5" t="str">
        <f>IFERROR(__xludf.DUMMYFUNCTION("""COMPUTED_VALUE"""),"Yes")</f>
        <v>Yes</v>
      </c>
      <c r="AR43" s="5"/>
      <c r="AS43" s="5"/>
      <c r="AT43" s="5"/>
      <c r="AU43" s="5"/>
      <c r="AV43" s="5" t="str">
        <f>IFERROR(__xludf.DUMMYFUNCTION("""COMPUTED_VALUE"""),"")</f>
        <v/>
      </c>
      <c r="AW43" s="5" t="str">
        <f>IFERROR(__xludf.DUMMYFUNCTION("""COMPUTED_VALUE"""),"")</f>
        <v/>
      </c>
      <c r="AX43" s="5" t="str">
        <f>IFERROR(__xludf.DUMMYFUNCTION("""COMPUTED_VALUE"""),"")</f>
        <v/>
      </c>
      <c r="AY43" s="5" t="str">
        <f>IFERROR(__xludf.DUMMYFUNCTION("""COMPUTED_VALUE"""),"")</f>
        <v/>
      </c>
      <c r="AZ43" s="5" t="str">
        <f>IFERROR(__xludf.DUMMYFUNCTION("""COMPUTED_VALUE"""),"")</f>
        <v/>
      </c>
      <c r="BA43" s="5" t="str">
        <f>IFERROR(__xludf.DUMMYFUNCTION("""COMPUTED_VALUE"""),"")</f>
        <v/>
      </c>
      <c r="BB43" s="5" t="str">
        <f>IFERROR(__xludf.DUMMYFUNCTION("""COMPUTED_VALUE"""),"")</f>
        <v/>
      </c>
    </row>
    <row r="44">
      <c r="A44" s="5" t="str">
        <f>IFERROR(__xludf.DUMMYFUNCTION("""COMPUTED_VALUE"""),"Redstone")</f>
        <v>Redstone</v>
      </c>
      <c r="B44" s="5" t="str">
        <f>IFERROR(__xludf.DUMMYFUNCTION("""COMPUTED_VALUE"""),"Chilli Double")</f>
        <v>Chilli Double</v>
      </c>
      <c r="C44" s="5" t="str">
        <f>IFERROR(__xludf.DUMMYFUNCTION("""COMPUTED_VALUE"""),"RedstoneChilliDouble")</f>
        <v>RedstoneChilliDouble</v>
      </c>
      <c r="D44" s="6">
        <f>IFERROR(__xludf.DUMMYFUNCTION("""COMPUTED_VALUE"""),45313.0)</f>
        <v>45313</v>
      </c>
      <c r="E44" s="5" t="str">
        <f>IFERROR(__xludf.DUMMYFUNCTION("""COMPUTED_VALUE"""),"Slot")</f>
        <v>Slot</v>
      </c>
      <c r="F44" s="5">
        <f>IFERROR(__xludf.DUMMYFUNCTION("""COMPUTED_VALUE"""),7.5)</f>
        <v>7.5</v>
      </c>
      <c r="G44" s="5" t="str">
        <f>IFERROR(__xludf.DUMMYFUNCTION("""COMPUTED_VALUE"""),"5x3")</f>
        <v>5x3</v>
      </c>
      <c r="H44" s="5" t="str">
        <f>IFERROR(__xludf.DUMMYFUNCTION("""COMPUTED_VALUE"""),"5")</f>
        <v>5</v>
      </c>
      <c r="I44" s="5" t="str">
        <f>IFERROR(__xludf.DUMMYFUNCTION("""COMPUTED_VALUE"""),"5")</f>
        <v>5</v>
      </c>
      <c r="J44" s="5" t="str">
        <f>IFERROR(__xludf.DUMMYFUNCTION("""COMPUTED_VALUE"""),"96.45%")</f>
        <v>96.45%</v>
      </c>
      <c r="K44" s="5" t="str">
        <f>IFERROR(__xludf.DUMMYFUNCTION("""COMPUTED_VALUE"""),"Medium")</f>
        <v>Medium</v>
      </c>
      <c r="L44" s="5" t="str">
        <f>IFERROR(__xludf.DUMMYFUNCTION("""COMPUTED_VALUE"""),"14.23%")</f>
        <v>14.23%</v>
      </c>
      <c r="M44" s="5" t="str">
        <f>IFERROR(__xludf.DUMMYFUNCTION("""COMPUTED_VALUE"""),"x2624")</f>
        <v>x2624</v>
      </c>
      <c r="N44" s="5" t="str">
        <f>IFERROR(__xludf.DUMMYFUNCTION("""COMPUTED_VALUE"""),"0.05/100")</f>
        <v>0.05/100</v>
      </c>
      <c r="O44" s="5" t="str">
        <f>IFERROR(__xludf.DUMMYFUNCTION("""COMPUTED_VALUE"""),"No")</f>
        <v>No</v>
      </c>
      <c r="P44" s="5" t="str">
        <f>IFERROR(__xludf.DUMMYFUNCTION("""COMPUTED_VALUE"""),"Expanding Wild, Scatter")</f>
        <v>Expanding Wild, Scatter</v>
      </c>
      <c r="Q44" s="7" t="str">
        <f>IFERROR(__xludf.DUMMYFUNCTION("""COMPUTED_VALUE"""),"https://static.redstone.rs/games/chilli-double/")</f>
        <v>https://static.redstone.rs/games/chilli-double/</v>
      </c>
      <c r="R44" s="5" t="str">
        <f>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S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t="str">
        <f>IFERROR(__xludf.DUMMYFUNCTION("""COMPUTED_VALUE"""),"Yes")</f>
        <v>Yes</v>
      </c>
      <c r="AJ44" s="5" t="str">
        <f>IFERROR(__xludf.DUMMYFUNCTION("""COMPUTED_VALUE"""),"Yes")</f>
        <v>Yes</v>
      </c>
      <c r="AK44" s="5" t="str">
        <f>IFERROR(__xludf.DUMMYFUNCTION("""COMPUTED_VALUE"""),"Yes")</f>
        <v>Yes</v>
      </c>
      <c r="AL44" s="5" t="str">
        <f>IFERROR(__xludf.DUMMYFUNCTION("""COMPUTED_VALUE"""),"Yes")</f>
        <v>Yes</v>
      </c>
      <c r="AM44" s="5"/>
      <c r="AN44" s="5" t="str">
        <f>IFERROR(__xludf.DUMMYFUNCTION("""COMPUTED_VALUE"""),"Yes")</f>
        <v>Yes</v>
      </c>
      <c r="AO44" s="5" t="str">
        <f>IFERROR(__xludf.DUMMYFUNCTION("""COMPUTED_VALUE"""),"Yes")</f>
        <v>Yes</v>
      </c>
      <c r="AP44" s="5" t="str">
        <f>IFERROR(__xludf.DUMMYFUNCTION("""COMPUTED_VALUE"""),"Yes")</f>
        <v>Yes</v>
      </c>
      <c r="AQ44" s="5" t="str">
        <f>IFERROR(__xludf.DUMMYFUNCTION("""COMPUTED_VALUE"""),"Yes")</f>
        <v>Yes</v>
      </c>
      <c r="AR44" s="5" t="str">
        <f>IFERROR(__xludf.DUMMYFUNCTION("""COMPUTED_VALUE"""),"Yes")</f>
        <v>Yes</v>
      </c>
      <c r="AS44" s="5" t="str">
        <f>IFERROR(__xludf.DUMMYFUNCTION("""COMPUTED_VALUE"""),"Yes")</f>
        <v>Yes</v>
      </c>
      <c r="AT44" s="5"/>
      <c r="AU44" s="5"/>
      <c r="AV44" s="5" t="str">
        <f>IFERROR(__xludf.DUMMYFUNCTION("""COMPUTED_VALUE"""),"")</f>
        <v/>
      </c>
      <c r="AW44" s="5" t="str">
        <f>IFERROR(__xludf.DUMMYFUNCTION("""COMPUTED_VALUE"""),"")</f>
        <v/>
      </c>
      <c r="AX44" s="5" t="str">
        <f>IFERROR(__xludf.DUMMYFUNCTION("""COMPUTED_VALUE"""),"")</f>
        <v/>
      </c>
      <c r="AY44" s="5" t="str">
        <f>IFERROR(__xludf.DUMMYFUNCTION("""COMPUTED_VALUE"""),"")</f>
        <v/>
      </c>
      <c r="AZ44" s="5" t="str">
        <f>IFERROR(__xludf.DUMMYFUNCTION("""COMPUTED_VALUE"""),"")</f>
        <v/>
      </c>
      <c r="BA44" s="5" t="str">
        <f>IFERROR(__xludf.DUMMYFUNCTION("""COMPUTED_VALUE"""),"")</f>
        <v/>
      </c>
      <c r="BB44" s="5" t="str">
        <f>IFERROR(__xludf.DUMMYFUNCTION("""COMPUTED_VALUE"""),"")</f>
        <v/>
      </c>
    </row>
    <row r="45">
      <c r="A45" s="5" t="str">
        <f>IFERROR(__xludf.DUMMYFUNCTION("""COMPUTED_VALUE"""),"Redstone")</f>
        <v>Redstone</v>
      </c>
      <c r="B45" s="5" t="str">
        <f>IFERROR(__xludf.DUMMYFUNCTION("""COMPUTED_VALUE"""),"Hot Rush Crown Burst")</f>
        <v>Hot Rush Crown Burst</v>
      </c>
      <c r="C45" s="5" t="str">
        <f>IFERROR(__xludf.DUMMYFUNCTION("""COMPUTED_VALUE"""),"RedstoneHotRushCrownBurst")</f>
        <v>RedstoneHotRushCrownBurst</v>
      </c>
      <c r="D45" s="6">
        <f>IFERROR(__xludf.DUMMYFUNCTION("""COMPUTED_VALUE"""),45328.0)</f>
        <v>45328</v>
      </c>
      <c r="E45" s="5" t="str">
        <f>IFERROR(__xludf.DUMMYFUNCTION("""COMPUTED_VALUE"""),"Slot")</f>
        <v>Slot</v>
      </c>
      <c r="F45" s="5">
        <f>IFERROR(__xludf.DUMMYFUNCTION("""COMPUTED_VALUE"""),8.9)</f>
        <v>8.9</v>
      </c>
      <c r="G45" s="5" t="str">
        <f>IFERROR(__xludf.DUMMYFUNCTION("""COMPUTED_VALUE"""),"5x3")</f>
        <v>5x3</v>
      </c>
      <c r="H45" s="5" t="str">
        <f>IFERROR(__xludf.DUMMYFUNCTION("""COMPUTED_VALUE"""),"5")</f>
        <v>5</v>
      </c>
      <c r="I45" s="5" t="str">
        <f>IFERROR(__xludf.DUMMYFUNCTION("""COMPUTED_VALUE"""),"5")</f>
        <v>5</v>
      </c>
      <c r="J45" s="5" t="str">
        <f>IFERROR(__xludf.DUMMYFUNCTION("""COMPUTED_VALUE"""),"96.45%")</f>
        <v>96.45%</v>
      </c>
      <c r="K45" s="5" t="str">
        <f>IFERROR(__xludf.DUMMYFUNCTION("""COMPUTED_VALUE"""),"Medium")</f>
        <v>Medium</v>
      </c>
      <c r="L45" s="5" t="str">
        <f>IFERROR(__xludf.DUMMYFUNCTION("""COMPUTED_VALUE"""),"14.5%")</f>
        <v>14.5%</v>
      </c>
      <c r="M45" s="5" t="str">
        <f>IFERROR(__xludf.DUMMYFUNCTION("""COMPUTED_VALUE"""),"x1222")</f>
        <v>x1222</v>
      </c>
      <c r="N45" s="5" t="str">
        <f>IFERROR(__xludf.DUMMYFUNCTION("""COMPUTED_VALUE"""),"0.05/100")</f>
        <v>0.05/100</v>
      </c>
      <c r="O45" s="5" t="str">
        <f>IFERROR(__xludf.DUMMYFUNCTION("""COMPUTED_VALUE"""),"No")</f>
        <v>No</v>
      </c>
      <c r="P45" s="5" t="str">
        <f>IFERROR(__xludf.DUMMYFUNCTION("""COMPUTED_VALUE"""),"Expanding Wild, Scatter")</f>
        <v>Expanding Wild, Scatter</v>
      </c>
      <c r="Q45" s="7" t="str">
        <f>IFERROR(__xludf.DUMMYFUNCTION("""COMPUTED_VALUE"""),"https://static.redstone.rs/games/hot-rush-crown-burst/")</f>
        <v>https://static.redstone.rs/games/hot-rush-crown-burst/</v>
      </c>
      <c r="R45" s="5" t="str">
        <f>IFERROR(__xludf.DUMMYFUNCTION("""COMPUTED_VALUE"""),"In Hot Rush Crown Burst, every expanding wild brings a rush of adrenaline and the chance for a 1200x cosmic payout!")</f>
        <v>In Hot Rush Crown Burst, every expanding wild brings a rush of adrenaline and the chance for a 1200x cosmic payout!</v>
      </c>
      <c r="S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IFERROR(__xludf.DUMMYFUNCTION("""COMPUTED_VALUE"""),"Yes")</f>
        <v>Yes</v>
      </c>
      <c r="AJ45" s="5" t="str">
        <f>IFERROR(__xludf.DUMMYFUNCTION("""COMPUTED_VALUE"""),"Yes")</f>
        <v>Yes</v>
      </c>
      <c r="AK45" s="5" t="str">
        <f>IFERROR(__xludf.DUMMYFUNCTION("""COMPUTED_VALUE"""),"Yes")</f>
        <v>Yes</v>
      </c>
      <c r="AL45" s="5" t="str">
        <f>IFERROR(__xludf.DUMMYFUNCTION("""COMPUTED_VALUE"""),"Yes")</f>
        <v>Yes</v>
      </c>
      <c r="AM45" s="5"/>
      <c r="AN45" s="5"/>
      <c r="AO45" s="5"/>
      <c r="AP45" s="5"/>
      <c r="AQ45" s="5" t="str">
        <f>IFERROR(__xludf.DUMMYFUNCTION("""COMPUTED_VALUE"""),"Yes")</f>
        <v>Yes</v>
      </c>
      <c r="AR45" s="5"/>
      <c r="AS45" s="5"/>
      <c r="AT45" s="5"/>
      <c r="AU45" s="5"/>
      <c r="AV45" s="5" t="str">
        <f>IFERROR(__xludf.DUMMYFUNCTION("""COMPUTED_VALUE"""),"")</f>
        <v/>
      </c>
      <c r="AW45" s="5" t="str">
        <f>IFERROR(__xludf.DUMMYFUNCTION("""COMPUTED_VALUE"""),"")</f>
        <v/>
      </c>
      <c r="AX45" s="5" t="str">
        <f>IFERROR(__xludf.DUMMYFUNCTION("""COMPUTED_VALUE"""),"")</f>
        <v/>
      </c>
      <c r="AY45" s="5" t="str">
        <f>IFERROR(__xludf.DUMMYFUNCTION("""COMPUTED_VALUE"""),"")</f>
        <v/>
      </c>
      <c r="AZ45" s="5" t="str">
        <f>IFERROR(__xludf.DUMMYFUNCTION("""COMPUTED_VALUE"""),"")</f>
        <v/>
      </c>
      <c r="BA45" s="5" t="str">
        <f>IFERROR(__xludf.DUMMYFUNCTION("""COMPUTED_VALUE"""),"")</f>
        <v/>
      </c>
      <c r="BB45" s="5" t="str">
        <f>IFERROR(__xludf.DUMMYFUNCTION("""COMPUTED_VALUE"""),"")</f>
        <v/>
      </c>
    </row>
    <row r="46">
      <c r="A46" s="5" t="str">
        <f>IFERROR(__xludf.DUMMYFUNCTION("""COMPUTED_VALUE"""),"Redstone")</f>
        <v>Redstone</v>
      </c>
      <c r="B46" s="5" t="str">
        <f>IFERROR(__xludf.DUMMYFUNCTION("""COMPUTED_VALUE"""),"Lady Triple Fortune")</f>
        <v>Lady Triple Fortune</v>
      </c>
      <c r="C46" s="5" t="str">
        <f>IFERROR(__xludf.DUMMYFUNCTION("""COMPUTED_VALUE"""),"RedstoneLadyTripleFortune")</f>
        <v>RedstoneLadyTripleFortune</v>
      </c>
      <c r="D46" s="6">
        <f>IFERROR(__xludf.DUMMYFUNCTION("""COMPUTED_VALUE"""),45329.0)</f>
        <v>45329</v>
      </c>
      <c r="E46" s="5" t="str">
        <f>IFERROR(__xludf.DUMMYFUNCTION("""COMPUTED_VALUE"""),"Slot")</f>
        <v>Slot</v>
      </c>
      <c r="F46" s="5">
        <f>IFERROR(__xludf.DUMMYFUNCTION("""COMPUTED_VALUE"""),9.5)</f>
        <v>9.5</v>
      </c>
      <c r="G46" s="5" t="str">
        <f>IFERROR(__xludf.DUMMYFUNCTION("""COMPUTED_VALUE"""),"5x3")</f>
        <v>5x3</v>
      </c>
      <c r="H46" s="5" t="str">
        <f>IFERROR(__xludf.DUMMYFUNCTION("""COMPUTED_VALUE"""),"5")</f>
        <v>5</v>
      </c>
      <c r="I46" s="5" t="str">
        <f>IFERROR(__xludf.DUMMYFUNCTION("""COMPUTED_VALUE"""),"5")</f>
        <v>5</v>
      </c>
      <c r="J46" s="5" t="str">
        <f>IFERROR(__xludf.DUMMYFUNCTION("""COMPUTED_VALUE"""),"96.45%")</f>
        <v>96.45%</v>
      </c>
      <c r="K46" s="5" t="str">
        <f>IFERROR(__xludf.DUMMYFUNCTION("""COMPUTED_VALUE"""),"Medium")</f>
        <v>Medium</v>
      </c>
      <c r="L46" s="5" t="str">
        <f>IFERROR(__xludf.DUMMYFUNCTION("""COMPUTED_VALUE"""),"14.5%")</f>
        <v>14.5%</v>
      </c>
      <c r="M46" s="5" t="str">
        <f>IFERROR(__xludf.DUMMYFUNCTION("""COMPUTED_VALUE"""),"x1222")</f>
        <v>x1222</v>
      </c>
      <c r="N46" s="5" t="str">
        <f>IFERROR(__xludf.DUMMYFUNCTION("""COMPUTED_VALUE"""),"0.10/100")</f>
        <v>0.10/100</v>
      </c>
      <c r="O46" s="5" t="str">
        <f>IFERROR(__xludf.DUMMYFUNCTION("""COMPUTED_VALUE"""),"No")</f>
        <v>No</v>
      </c>
      <c r="P46" s="5" t="str">
        <f>IFERROR(__xludf.DUMMYFUNCTION("""COMPUTED_VALUE"""),"Scatter, Expanding Wild")</f>
        <v>Scatter, Expanding Wild</v>
      </c>
      <c r="Q46" s="7" t="str">
        <f>IFERROR(__xludf.DUMMYFUNCTION("""COMPUTED_VALUE"""),"https://static.redstone.rs/games/lady-triple-fortune/")</f>
        <v>https://static.redstone.rs/games/lady-triple-fortune/</v>
      </c>
      <c r="R46" s="5" t="str">
        <f>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S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IFERROR(__xludf.DUMMYFUNCTION("""COMPUTED_VALUE"""),"Yes")</f>
        <v>Yes</v>
      </c>
      <c r="AH46" s="5" t="str">
        <f>IFERROR(__xludf.DUMMYFUNCTION("""COMPUTED_VALUE"""),"Yes")</f>
        <v>Yes</v>
      </c>
      <c r="AI46" s="5" t="str">
        <f>IFERROR(__xludf.DUMMYFUNCTION("""COMPUTED_VALUE"""),"Yes")</f>
        <v>Yes</v>
      </c>
      <c r="AJ46" s="5" t="str">
        <f>IFERROR(__xludf.DUMMYFUNCTION("""COMPUTED_VALUE"""),"Yes")</f>
        <v>Yes</v>
      </c>
      <c r="AK46" s="5" t="str">
        <f>IFERROR(__xludf.DUMMYFUNCTION("""COMPUTED_VALUE"""),"Yes")</f>
        <v>Yes</v>
      </c>
      <c r="AL46" s="5" t="str">
        <f>IFERROR(__xludf.DUMMYFUNCTION("""COMPUTED_VALUE"""),"Yes")</f>
        <v>Yes</v>
      </c>
      <c r="AM46" s="5"/>
      <c r="AN46" s="5"/>
      <c r="AO46" s="5"/>
      <c r="AP46" s="5"/>
      <c r="AQ46" s="5" t="str">
        <f>IFERROR(__xludf.DUMMYFUNCTION("""COMPUTED_VALUE"""),"Yes")</f>
        <v>Yes</v>
      </c>
      <c r="AR46" s="5"/>
      <c r="AS46" s="5"/>
      <c r="AT46" s="5"/>
      <c r="AU46" s="5"/>
      <c r="AV46" s="5" t="str">
        <f>IFERROR(__xludf.DUMMYFUNCTION("""COMPUTED_VALUE"""),"")</f>
        <v/>
      </c>
      <c r="AW46" s="5" t="str">
        <f>IFERROR(__xludf.DUMMYFUNCTION("""COMPUTED_VALUE"""),"")</f>
        <v/>
      </c>
      <c r="AX46" s="5" t="str">
        <f>IFERROR(__xludf.DUMMYFUNCTION("""COMPUTED_VALUE"""),"")</f>
        <v/>
      </c>
      <c r="AY46" s="5" t="str">
        <f>IFERROR(__xludf.DUMMYFUNCTION("""COMPUTED_VALUE"""),"")</f>
        <v/>
      </c>
      <c r="AZ46" s="5" t="str">
        <f>IFERROR(__xludf.DUMMYFUNCTION("""COMPUTED_VALUE"""),"")</f>
        <v/>
      </c>
      <c r="BA46" s="5" t="str">
        <f>IFERROR(__xludf.DUMMYFUNCTION("""COMPUTED_VALUE"""),"")</f>
        <v/>
      </c>
      <c r="BB46" s="5" t="str">
        <f>IFERROR(__xludf.DUMMYFUNCTION("""COMPUTED_VALUE"""),"")</f>
        <v/>
      </c>
    </row>
    <row r="47">
      <c r="A47" s="5" t="str">
        <f>IFERROR(__xludf.DUMMYFUNCTION("""COMPUTED_VALUE"""),"Redstone")</f>
        <v>Redstone</v>
      </c>
      <c r="B47" s="5" t="str">
        <f>IFERROR(__xludf.DUMMYFUNCTION("""COMPUTED_VALUE"""),"Hot Rush Stars Deluxe")</f>
        <v>Hot Rush Stars Deluxe</v>
      </c>
      <c r="C47" s="5" t="str">
        <f>IFERROR(__xludf.DUMMYFUNCTION("""COMPUTED_VALUE"""),"RedstoneHotRushStarsDeluxe")</f>
        <v>RedstoneHotRushStarsDeluxe</v>
      </c>
      <c r="D47" s="6">
        <f>IFERROR(__xludf.DUMMYFUNCTION("""COMPUTED_VALUE"""),45364.0)</f>
        <v>45364</v>
      </c>
      <c r="E47" s="5" t="str">
        <f>IFERROR(__xludf.DUMMYFUNCTION("""COMPUTED_VALUE"""),"Slot")</f>
        <v>Slot</v>
      </c>
      <c r="F47" s="5">
        <f>IFERROR(__xludf.DUMMYFUNCTION("""COMPUTED_VALUE"""),8.0)</f>
        <v>8</v>
      </c>
      <c r="G47" s="5" t="str">
        <f>IFERROR(__xludf.DUMMYFUNCTION("""COMPUTED_VALUE"""),"5x3")</f>
        <v>5x3</v>
      </c>
      <c r="H47" s="5" t="str">
        <f>IFERROR(__xludf.DUMMYFUNCTION("""COMPUTED_VALUE"""),"5")</f>
        <v>5</v>
      </c>
      <c r="I47" s="5" t="str">
        <f>IFERROR(__xludf.DUMMYFUNCTION("""COMPUTED_VALUE"""),"5")</f>
        <v>5</v>
      </c>
      <c r="J47" s="5" t="str">
        <f>IFERROR(__xludf.DUMMYFUNCTION("""COMPUTED_VALUE"""),"96.15%")</f>
        <v>96.15%</v>
      </c>
      <c r="K47" s="5" t="str">
        <f>IFERROR(__xludf.DUMMYFUNCTION("""COMPUTED_VALUE"""),"Medium")</f>
        <v>Medium</v>
      </c>
      <c r="L47" s="5" t="str">
        <f>IFERROR(__xludf.DUMMYFUNCTION("""COMPUTED_VALUE"""),"12.88%")</f>
        <v>12.88%</v>
      </c>
      <c r="M47" s="5" t="str">
        <f>IFERROR(__xludf.DUMMYFUNCTION("""COMPUTED_VALUE"""),"x1000")</f>
        <v>x1000</v>
      </c>
      <c r="N47" s="5" t="str">
        <f>IFERROR(__xludf.DUMMYFUNCTION("""COMPUTED_VALUE"""),"0.05/100")</f>
        <v>0.05/100</v>
      </c>
      <c r="O47" s="5" t="str">
        <f>IFERROR(__xludf.DUMMYFUNCTION("""COMPUTED_VALUE"""),"No")</f>
        <v>No</v>
      </c>
      <c r="P47" s="5" t="str">
        <f>IFERROR(__xludf.DUMMYFUNCTION("""COMPUTED_VALUE"""),"Scatter")</f>
        <v>Scatter</v>
      </c>
      <c r="Q47" s="7" t="str">
        <f>IFERROR(__xludf.DUMMYFUNCTION("""COMPUTED_VALUE"""),"https://static.redstone.rs/games/hot-rush-stars-deluxe/")</f>
        <v>https://static.redstone.rs/games/hot-rush-stars-deluxe/</v>
      </c>
      <c r="R47" s="5" t="str">
        <f>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S4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7" s="5" t="str">
        <f>IFERROR(__xludf.DUMMYFUNCTION("""COMPUTED_VALUE"""),"Yes")</f>
        <v>Yes</v>
      </c>
      <c r="U47" s="5" t="str">
        <f>IFERROR(__xludf.DUMMYFUNCTION("""COMPUTED_VALUE"""),"Yes")</f>
        <v>Yes</v>
      </c>
      <c r="V47" s="5" t="str">
        <f>IFERROR(__xludf.DUMMYFUNCTION("""COMPUTED_VALUE"""),"No")</f>
        <v>No</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IFERROR(__xludf.DUMMYFUNCTION("""COMPUTED_VALUE"""),"No")</f>
        <v>No</v>
      </c>
      <c r="AJ47" s="5" t="str">
        <f>IFERROR(__xludf.DUMMYFUNCTION("""COMPUTED_VALUE"""),"No")</f>
        <v>No</v>
      </c>
      <c r="AK47" s="5" t="str">
        <f>IFERROR(__xludf.DUMMYFUNCTION("""COMPUTED_VALUE"""),"No")</f>
        <v>No</v>
      </c>
      <c r="AL47" s="5" t="str">
        <f>IFERROR(__xludf.DUMMYFUNCTION("""COMPUTED_VALUE"""),"No")</f>
        <v>No</v>
      </c>
      <c r="AM47" s="5" t="str">
        <f>IFERROR(__xludf.DUMMYFUNCTION("""COMPUTED_VALUE"""),"No")</f>
        <v>No</v>
      </c>
      <c r="AN47" s="5" t="str">
        <f>IFERROR(__xludf.DUMMYFUNCTION("""COMPUTED_VALUE"""),"No")</f>
        <v>No</v>
      </c>
      <c r="AO47" s="5" t="str">
        <f>IFERROR(__xludf.DUMMYFUNCTION("""COMPUTED_VALUE"""),"No")</f>
        <v>No</v>
      </c>
      <c r="AP47" s="5" t="str">
        <f>IFERROR(__xludf.DUMMYFUNCTION("""COMPUTED_VALUE"""),"No")</f>
        <v>No</v>
      </c>
      <c r="AQ47" s="5" t="str">
        <f>IFERROR(__xludf.DUMMYFUNCTION("""COMPUTED_VALUE"""),"No")</f>
        <v>No</v>
      </c>
      <c r="AR47" s="5" t="str">
        <f>IFERROR(__xludf.DUMMYFUNCTION("""COMPUTED_VALUE"""),"No")</f>
        <v>No</v>
      </c>
      <c r="AS47" s="5" t="str">
        <f>IFERROR(__xludf.DUMMYFUNCTION("""COMPUTED_VALUE"""),"Yes")</f>
        <v>Yes</v>
      </c>
      <c r="AT47" s="5" t="str">
        <f>IFERROR(__xludf.DUMMYFUNCTION("""COMPUTED_VALUE"""),"No")</f>
        <v>No</v>
      </c>
      <c r="AU47" s="5"/>
      <c r="AV47" s="5" t="str">
        <f>IFERROR(__xludf.DUMMYFUNCTION("""COMPUTED_VALUE"""),"")</f>
        <v/>
      </c>
      <c r="AW47" s="5" t="str">
        <f>IFERROR(__xludf.DUMMYFUNCTION("""COMPUTED_VALUE"""),"")</f>
        <v/>
      </c>
      <c r="AX47" s="5" t="str">
        <f>IFERROR(__xludf.DUMMYFUNCTION("""COMPUTED_VALUE"""),"")</f>
        <v/>
      </c>
      <c r="AY47" s="5" t="str">
        <f>IFERROR(__xludf.DUMMYFUNCTION("""COMPUTED_VALUE"""),"")</f>
        <v/>
      </c>
      <c r="AZ47" s="5" t="str">
        <f>IFERROR(__xludf.DUMMYFUNCTION("""COMPUTED_VALUE"""),"")</f>
        <v/>
      </c>
      <c r="BA47" s="5" t="str">
        <f>IFERROR(__xludf.DUMMYFUNCTION("""COMPUTED_VALUE"""),"")</f>
        <v/>
      </c>
      <c r="BB47" s="5" t="str">
        <f>IFERROR(__xludf.DUMMYFUNCTION("""COMPUTED_VALUE"""),"")</f>
        <v/>
      </c>
    </row>
    <row r="48">
      <c r="A48" s="5" t="str">
        <f>IFERROR(__xludf.DUMMYFUNCTION("""COMPUTED_VALUE"""),"Redstone")</f>
        <v>Redstone</v>
      </c>
      <c r="B48" s="5" t="str">
        <f>IFERROR(__xludf.DUMMYFUNCTION("""COMPUTED_VALUE"""),"Slot Royale")</f>
        <v>Slot Royale</v>
      </c>
      <c r="C48" s="5" t="str">
        <f>IFERROR(__xludf.DUMMYFUNCTION("""COMPUTED_VALUE"""),"RedstoneSlotRoyale")</f>
        <v>RedstoneSlotRoyale</v>
      </c>
      <c r="D48" s="6">
        <f>IFERROR(__xludf.DUMMYFUNCTION("""COMPUTED_VALUE"""),45355.0)</f>
        <v>45355</v>
      </c>
      <c r="E48" s="5" t="str">
        <f>IFERROR(__xludf.DUMMYFUNCTION("""COMPUTED_VALUE"""),"Slot")</f>
        <v>Slot</v>
      </c>
      <c r="F48" s="5">
        <f>IFERROR(__xludf.DUMMYFUNCTION("""COMPUTED_VALUE"""),9.1)</f>
        <v>9.1</v>
      </c>
      <c r="G48" s="5" t="str">
        <f>IFERROR(__xludf.DUMMYFUNCTION("""COMPUTED_VALUE"""),"5x3")</f>
        <v>5x3</v>
      </c>
      <c r="H48" s="5" t="str">
        <f>IFERROR(__xludf.DUMMYFUNCTION("""COMPUTED_VALUE"""),"10")</f>
        <v>10</v>
      </c>
      <c r="I48" s="5" t="str">
        <f>IFERROR(__xludf.DUMMYFUNCTION("""COMPUTED_VALUE"""),"10")</f>
        <v>10</v>
      </c>
      <c r="J48" s="5" t="str">
        <f>IFERROR(__xludf.DUMMYFUNCTION("""COMPUTED_VALUE"""),"95.96%")</f>
        <v>95.96%</v>
      </c>
      <c r="K48" s="5" t="str">
        <f>IFERROR(__xludf.DUMMYFUNCTION("""COMPUTED_VALUE"""),"Medium")</f>
        <v>Medium</v>
      </c>
      <c r="L48" s="5" t="str">
        <f>IFERROR(__xludf.DUMMYFUNCTION("""COMPUTED_VALUE"""),"14.63%")</f>
        <v>14.63%</v>
      </c>
      <c r="M48" s="5" t="str">
        <f>IFERROR(__xludf.DUMMYFUNCTION("""COMPUTED_VALUE"""),"x1538")</f>
        <v>x1538</v>
      </c>
      <c r="N48" s="5" t="str">
        <f>IFERROR(__xludf.DUMMYFUNCTION("""COMPUTED_VALUE"""),"0.05/100")</f>
        <v>0.05/100</v>
      </c>
      <c r="O48" s="5" t="str">
        <f>IFERROR(__xludf.DUMMYFUNCTION("""COMPUTED_VALUE"""),"No")</f>
        <v>No</v>
      </c>
      <c r="P48" s="5" t="str">
        <f>IFERROR(__xludf.DUMMYFUNCTION("""COMPUTED_VALUE"""),"Expanding Wild, Scatter")</f>
        <v>Expanding Wild, Scatter</v>
      </c>
      <c r="Q48" s="7" t="str">
        <f>IFERROR(__xludf.DUMMYFUNCTION("""COMPUTED_VALUE"""),"https://static.redstone.rs/games/slot-royale/")</f>
        <v>https://static.redstone.rs/games/slot-royale/</v>
      </c>
      <c r="R48" s="5" t="str">
        <f>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S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IFERROR(__xludf.DUMMYFUNCTION("""COMPUTED_VALUE"""),"Yes")</f>
        <v>Yes</v>
      </c>
      <c r="AH48" s="5" t="str">
        <f>IFERROR(__xludf.DUMMYFUNCTION("""COMPUTED_VALUE"""),"Yes")</f>
        <v>Yes</v>
      </c>
      <c r="AI48" s="5" t="str">
        <f>IFERROR(__xludf.DUMMYFUNCTION("""COMPUTED_VALUE"""),"Yes")</f>
        <v>Yes</v>
      </c>
      <c r="AJ48" s="5" t="str">
        <f>IFERROR(__xludf.DUMMYFUNCTION("""COMPUTED_VALUE"""),"Yes")</f>
        <v>Yes</v>
      </c>
      <c r="AK48" s="5" t="str">
        <f>IFERROR(__xludf.DUMMYFUNCTION("""COMPUTED_VALUE"""),"Yes")</f>
        <v>Yes</v>
      </c>
      <c r="AL48" s="5" t="str">
        <f>IFERROR(__xludf.DUMMYFUNCTION("""COMPUTED_VALUE"""),"Yes")</f>
        <v>Yes</v>
      </c>
      <c r="AM48" s="5"/>
      <c r="AN48" s="5" t="str">
        <f>IFERROR(__xludf.DUMMYFUNCTION("""COMPUTED_VALUE"""),"Yes")</f>
        <v>Yes</v>
      </c>
      <c r="AO48" s="5"/>
      <c r="AP48" s="5"/>
      <c r="AQ48" s="5" t="str">
        <f>IFERROR(__xludf.DUMMYFUNCTION("""COMPUTED_VALUE"""),"Yes")</f>
        <v>Yes</v>
      </c>
      <c r="AR48" s="5"/>
      <c r="AS48" s="5"/>
      <c r="AT48" s="5"/>
      <c r="AU48" s="5"/>
      <c r="AV48" s="5" t="str">
        <f>IFERROR(__xludf.DUMMYFUNCTION("""COMPUTED_VALUE"""),"")</f>
        <v/>
      </c>
      <c r="AW48" s="5" t="str">
        <f>IFERROR(__xludf.DUMMYFUNCTION("""COMPUTED_VALUE"""),"")</f>
        <v/>
      </c>
      <c r="AX48" s="5" t="str">
        <f>IFERROR(__xludf.DUMMYFUNCTION("""COMPUTED_VALUE"""),"")</f>
        <v/>
      </c>
      <c r="AY48" s="5" t="str">
        <f>IFERROR(__xludf.DUMMYFUNCTION("""COMPUTED_VALUE"""),"")</f>
        <v/>
      </c>
      <c r="AZ48" s="5" t="str">
        <f>IFERROR(__xludf.DUMMYFUNCTION("""COMPUTED_VALUE"""),"")</f>
        <v/>
      </c>
      <c r="BA48" s="5" t="str">
        <f>IFERROR(__xludf.DUMMYFUNCTION("""COMPUTED_VALUE"""),"")</f>
        <v/>
      </c>
      <c r="BB48" s="5" t="str">
        <f>IFERROR(__xludf.DUMMYFUNCTION("""COMPUTED_VALUE"""),"")</f>
        <v/>
      </c>
    </row>
    <row r="49">
      <c r="A49" s="5" t="str">
        <f>IFERROR(__xludf.DUMMYFUNCTION("""COMPUTED_VALUE"""),"Redstone")</f>
        <v>Redstone</v>
      </c>
      <c r="B49" s="5" t="str">
        <f>IFERROR(__xludf.DUMMYFUNCTION("""COMPUTED_VALUE"""),"5 Clover Fire - Lock &amp; Cash")</f>
        <v>5 Clover Fire - Lock &amp; Cash</v>
      </c>
      <c r="C49" s="5" t="str">
        <f>IFERROR(__xludf.DUMMYFUNCTION("""COMPUTED_VALUE"""),"RedstoneClover5LockAndCash")</f>
        <v>RedstoneClover5LockAndCash</v>
      </c>
      <c r="D49" s="6">
        <f>IFERROR(__xludf.DUMMYFUNCTION("""COMPUTED_VALUE"""),45377.0)</f>
        <v>45377</v>
      </c>
      <c r="E49" s="5" t="str">
        <f>IFERROR(__xludf.DUMMYFUNCTION("""COMPUTED_VALUE"""),"Slot")</f>
        <v>Slot</v>
      </c>
      <c r="F49" s="5">
        <f>IFERROR(__xludf.DUMMYFUNCTION("""COMPUTED_VALUE"""),14.4)</f>
        <v>14.4</v>
      </c>
      <c r="G49" s="5" t="str">
        <f>IFERROR(__xludf.DUMMYFUNCTION("""COMPUTED_VALUE"""),"5x3")</f>
        <v>5x3</v>
      </c>
      <c r="H49" s="5" t="str">
        <f>IFERROR(__xludf.DUMMYFUNCTION("""COMPUTED_VALUE"""),"5")</f>
        <v>5</v>
      </c>
      <c r="I49" s="5" t="str">
        <f>IFERROR(__xludf.DUMMYFUNCTION("""COMPUTED_VALUE"""),"5")</f>
        <v>5</v>
      </c>
      <c r="J49" s="5" t="str">
        <f>IFERROR(__xludf.DUMMYFUNCTION("""COMPUTED_VALUE"""),"95.45%")</f>
        <v>95.45%</v>
      </c>
      <c r="K49" s="5" t="str">
        <f>IFERROR(__xludf.DUMMYFUNCTION("""COMPUTED_VALUE"""),"Medium")</f>
        <v>Medium</v>
      </c>
      <c r="L49" s="5" t="str">
        <f>IFERROR(__xludf.DUMMYFUNCTION("""COMPUTED_VALUE"""),"12.54%")</f>
        <v>12.54%</v>
      </c>
      <c r="M49" s="5" t="str">
        <f>IFERROR(__xludf.DUMMYFUNCTION("""COMPUTED_VALUE"""),"x1250")</f>
        <v>x1250</v>
      </c>
      <c r="N49" s="5" t="str">
        <f>IFERROR(__xludf.DUMMYFUNCTION("""COMPUTED_VALUE"""),"0.05/100")</f>
        <v>0.05/100</v>
      </c>
      <c r="O49" s="5" t="str">
        <f>IFERROR(__xludf.DUMMYFUNCTION("""COMPUTED_VALUE"""),"No")</f>
        <v>No</v>
      </c>
      <c r="P49" s="5" t="str">
        <f>IFERROR(__xludf.DUMMYFUNCTION("""COMPUTED_VALUE"""),"Hold and Win, Wild Symbol")</f>
        <v>Hold and Win, Wild Symbol</v>
      </c>
      <c r="Q49" s="7" t="str">
        <f>IFERROR(__xludf.DUMMYFUNCTION("""COMPUTED_VALUE"""),"https://static.redstone.rs/games/5-clover-fire-lnc/")</f>
        <v>https://static.redstone.rs/games/5-clover-fire-lnc/</v>
      </c>
      <c r="R49" s="5" t="str">
        <f>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S4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5" t="str">
        <f>IFERROR(__xludf.DUMMYFUNCTION("""COMPUTED_VALUE"""),"Yes")</f>
        <v>Yes</v>
      </c>
      <c r="U49" s="5" t="str">
        <f>IFERROR(__xludf.DUMMYFUNCTION("""COMPUTED_VALUE"""),"Yes")</f>
        <v>Yes</v>
      </c>
      <c r="V49" s="5" t="str">
        <f>IFERROR(__xludf.DUMMYFUNCTION("""COMPUTED_VALUE"""),"No")</f>
        <v>No</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t="str">
        <f>IFERROR(__xludf.DUMMYFUNCTION("""COMPUTED_VALUE"""),"No")</f>
        <v>No</v>
      </c>
      <c r="AJ49" s="5" t="str">
        <f>IFERROR(__xludf.DUMMYFUNCTION("""COMPUTED_VALUE"""),"No")</f>
        <v>No</v>
      </c>
      <c r="AK49" s="5" t="str">
        <f>IFERROR(__xludf.DUMMYFUNCTION("""COMPUTED_VALUE"""),"No")</f>
        <v>No</v>
      </c>
      <c r="AL49" s="5" t="str">
        <f>IFERROR(__xludf.DUMMYFUNCTION("""COMPUTED_VALUE"""),"No")</f>
        <v>No</v>
      </c>
      <c r="AM49" s="5" t="str">
        <f>IFERROR(__xludf.DUMMYFUNCTION("""COMPUTED_VALUE"""),"No")</f>
        <v>No</v>
      </c>
      <c r="AN49" s="5" t="str">
        <f>IFERROR(__xludf.DUMMYFUNCTION("""COMPUTED_VALUE"""),"No")</f>
        <v>No</v>
      </c>
      <c r="AO49" s="5" t="str">
        <f>IFERROR(__xludf.DUMMYFUNCTION("""COMPUTED_VALUE"""),"No")</f>
        <v>No</v>
      </c>
      <c r="AP49" s="5" t="str">
        <f>IFERROR(__xludf.DUMMYFUNCTION("""COMPUTED_VALUE"""),"No")</f>
        <v>No</v>
      </c>
      <c r="AQ49" s="5" t="str">
        <f>IFERROR(__xludf.DUMMYFUNCTION("""COMPUTED_VALUE"""),"No")</f>
        <v>No</v>
      </c>
      <c r="AR49" s="5" t="str">
        <f>IFERROR(__xludf.DUMMYFUNCTION("""COMPUTED_VALUE"""),"No")</f>
        <v>No</v>
      </c>
      <c r="AS49" s="5" t="str">
        <f>IFERROR(__xludf.DUMMYFUNCTION("""COMPUTED_VALUE"""),"Yes")</f>
        <v>Yes</v>
      </c>
      <c r="AT49" s="5" t="str">
        <f>IFERROR(__xludf.DUMMYFUNCTION("""COMPUTED_VALUE"""),"No")</f>
        <v>No</v>
      </c>
      <c r="AU49" s="5"/>
      <c r="AV49" s="5" t="str">
        <f>IFERROR(__xludf.DUMMYFUNCTION("""COMPUTED_VALUE"""),"")</f>
        <v/>
      </c>
      <c r="AW49" s="5" t="str">
        <f>IFERROR(__xludf.DUMMYFUNCTION("""COMPUTED_VALUE"""),"")</f>
        <v/>
      </c>
      <c r="AX49" s="5" t="str">
        <f>IFERROR(__xludf.DUMMYFUNCTION("""COMPUTED_VALUE"""),"")</f>
        <v/>
      </c>
      <c r="AY49" s="5" t="str">
        <f>IFERROR(__xludf.DUMMYFUNCTION("""COMPUTED_VALUE"""),"")</f>
        <v/>
      </c>
      <c r="AZ49" s="5" t="str">
        <f>IFERROR(__xludf.DUMMYFUNCTION("""COMPUTED_VALUE"""),"")</f>
        <v/>
      </c>
      <c r="BA49" s="5" t="str">
        <f>IFERROR(__xludf.DUMMYFUNCTION("""COMPUTED_VALUE"""),"")</f>
        <v/>
      </c>
      <c r="BB49" s="5" t="str">
        <f>IFERROR(__xludf.DUMMYFUNCTION("""COMPUTED_VALUE"""),"")</f>
        <v/>
      </c>
    </row>
    <row r="50">
      <c r="A50" s="5" t="str">
        <f>IFERROR(__xludf.DUMMYFUNCTION("""COMPUTED_VALUE"""),"Redstone")</f>
        <v>Redstone</v>
      </c>
      <c r="B50" s="5" t="str">
        <f>IFERROR(__xludf.DUMMYFUNCTION("""COMPUTED_VALUE"""),"Caps and Crowns")</f>
        <v>Caps and Crowns</v>
      </c>
      <c r="C50" s="5" t="str">
        <f>IFERROR(__xludf.DUMMYFUNCTION("""COMPUTED_VALUE"""),"RedstoneCapsAndCrowns")</f>
        <v>RedstoneCapsAndCrowns</v>
      </c>
      <c r="D50" s="6">
        <f>IFERROR(__xludf.DUMMYFUNCTION("""COMPUTED_VALUE"""),45386.0)</f>
        <v>45386</v>
      </c>
      <c r="E50" s="5" t="str">
        <f>IFERROR(__xludf.DUMMYFUNCTION("""COMPUTED_VALUE"""),"Slot")</f>
        <v>Slot</v>
      </c>
      <c r="F50" s="5">
        <f>IFERROR(__xludf.DUMMYFUNCTION("""COMPUTED_VALUE"""),7.6)</f>
        <v>7.6</v>
      </c>
      <c r="G50" s="5" t="str">
        <f>IFERROR(__xludf.DUMMYFUNCTION("""COMPUTED_VALUE"""),"5x3")</f>
        <v>5x3</v>
      </c>
      <c r="H50" s="5" t="str">
        <f>IFERROR(__xludf.DUMMYFUNCTION("""COMPUTED_VALUE"""),"5")</f>
        <v>5</v>
      </c>
      <c r="I50" s="5" t="str">
        <f>IFERROR(__xludf.DUMMYFUNCTION("""COMPUTED_VALUE"""),"5")</f>
        <v>5</v>
      </c>
      <c r="J50" s="5" t="str">
        <f>IFERROR(__xludf.DUMMYFUNCTION("""COMPUTED_VALUE"""),"96.45%")</f>
        <v>96.45%</v>
      </c>
      <c r="K50" s="5" t="str">
        <f>IFERROR(__xludf.DUMMYFUNCTION("""COMPUTED_VALUE"""),"Medium")</f>
        <v>Medium</v>
      </c>
      <c r="L50" s="5" t="str">
        <f>IFERROR(__xludf.DUMMYFUNCTION("""COMPUTED_VALUE"""),"14.23%")</f>
        <v>14.23%</v>
      </c>
      <c r="M50" s="5" t="str">
        <f>IFERROR(__xludf.DUMMYFUNCTION("""COMPUTED_VALUE"""),"x2624")</f>
        <v>x2624</v>
      </c>
      <c r="N50" s="5" t="str">
        <f>IFERROR(__xludf.DUMMYFUNCTION("""COMPUTED_VALUE"""),"0.05/100")</f>
        <v>0.05/100</v>
      </c>
      <c r="O50" s="5" t="str">
        <f>IFERROR(__xludf.DUMMYFUNCTION("""COMPUTED_VALUE"""),"No")</f>
        <v>No</v>
      </c>
      <c r="P50" s="5" t="str">
        <f>IFERROR(__xludf.DUMMYFUNCTION("""COMPUTED_VALUE"""),"Scatter, Expanding Wild")</f>
        <v>Scatter, Expanding Wild</v>
      </c>
      <c r="Q50" s="7" t="str">
        <f>IFERROR(__xludf.DUMMYFUNCTION("""COMPUTED_VALUE"""),"https://static.redstone.rs/games/caps-and-crowns/")</f>
        <v>https://static.redstone.rs/games/caps-and-crowns/</v>
      </c>
      <c r="R50" s="5" t="str">
        <f>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S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IFERROR(__xludf.DUMMYFUNCTION("""COMPUTED_VALUE"""),"Yes")</f>
        <v>Yes</v>
      </c>
      <c r="AH50" s="5" t="str">
        <f>IFERROR(__xludf.DUMMYFUNCTION("""COMPUTED_VALUE"""),"Yes")</f>
        <v>Yes</v>
      </c>
      <c r="AI50" s="5" t="str">
        <f>IFERROR(__xludf.DUMMYFUNCTION("""COMPUTED_VALUE"""),"Yes")</f>
        <v>Yes</v>
      </c>
      <c r="AJ50" s="5" t="str">
        <f>IFERROR(__xludf.DUMMYFUNCTION("""COMPUTED_VALUE"""),"Yes")</f>
        <v>Yes</v>
      </c>
      <c r="AK50" s="5" t="str">
        <f>IFERROR(__xludf.DUMMYFUNCTION("""COMPUTED_VALUE"""),"Yes")</f>
        <v>Yes</v>
      </c>
      <c r="AL50" s="5" t="str">
        <f>IFERROR(__xludf.DUMMYFUNCTION("""COMPUTED_VALUE"""),"Yes")</f>
        <v>Yes</v>
      </c>
      <c r="AM50" s="5"/>
      <c r="AN50" s="5" t="str">
        <f>IFERROR(__xludf.DUMMYFUNCTION("""COMPUTED_VALUE"""),"Yes")</f>
        <v>Yes</v>
      </c>
      <c r="AO50" s="5" t="str">
        <f>IFERROR(__xludf.DUMMYFUNCTION("""COMPUTED_VALUE"""),"Yes")</f>
        <v>Yes</v>
      </c>
      <c r="AP50" s="5" t="str">
        <f>IFERROR(__xludf.DUMMYFUNCTION("""COMPUTED_VALUE"""),"Yes")</f>
        <v>Yes</v>
      </c>
      <c r="AQ50" s="5" t="str">
        <f>IFERROR(__xludf.DUMMYFUNCTION("""COMPUTED_VALUE"""),"Yes")</f>
        <v>Yes</v>
      </c>
      <c r="AR50" s="5" t="str">
        <f>IFERROR(__xludf.DUMMYFUNCTION("""COMPUTED_VALUE"""),"Yes")</f>
        <v>Yes</v>
      </c>
      <c r="AS50" s="5" t="str">
        <f>IFERROR(__xludf.DUMMYFUNCTION("""COMPUTED_VALUE"""),"Yes")</f>
        <v>Yes</v>
      </c>
      <c r="AT50" s="5"/>
      <c r="AU50" s="5"/>
      <c r="AV50" s="5" t="str">
        <f>IFERROR(__xludf.DUMMYFUNCTION("""COMPUTED_VALUE"""),"")</f>
        <v/>
      </c>
      <c r="AW50" s="5" t="str">
        <f>IFERROR(__xludf.DUMMYFUNCTION("""COMPUTED_VALUE"""),"")</f>
        <v/>
      </c>
      <c r="AX50" s="5" t="str">
        <f>IFERROR(__xludf.DUMMYFUNCTION("""COMPUTED_VALUE"""),"")</f>
        <v/>
      </c>
      <c r="AY50" s="5" t="str">
        <f>IFERROR(__xludf.DUMMYFUNCTION("""COMPUTED_VALUE"""),"")</f>
        <v/>
      </c>
      <c r="AZ50" s="5" t="str">
        <f>IFERROR(__xludf.DUMMYFUNCTION("""COMPUTED_VALUE"""),"")</f>
        <v/>
      </c>
      <c r="BA50" s="5" t="str">
        <f>IFERROR(__xludf.DUMMYFUNCTION("""COMPUTED_VALUE"""),"")</f>
        <v/>
      </c>
      <c r="BB50" s="5" t="str">
        <f>IFERROR(__xludf.DUMMYFUNCTION("""COMPUTED_VALUE"""),"")</f>
        <v/>
      </c>
    </row>
    <row r="51">
      <c r="A51" s="5" t="str">
        <f>IFERROR(__xludf.DUMMYFUNCTION("""COMPUTED_VALUE"""),"Redstone")</f>
        <v>Redstone</v>
      </c>
      <c r="B51" s="5" t="str">
        <f>IFERROR(__xludf.DUMMYFUNCTION("""COMPUTED_VALUE"""),"Hot Rush Both Ways")</f>
        <v>Hot Rush Both Ways</v>
      </c>
      <c r="C51" s="5" t="str">
        <f>IFERROR(__xludf.DUMMYFUNCTION("""COMPUTED_VALUE"""),"RedstoneHotRushBothWays")</f>
        <v>RedstoneHotRushBothWays</v>
      </c>
      <c r="D51" s="6">
        <f>IFERROR(__xludf.DUMMYFUNCTION("""COMPUTED_VALUE"""),45405.0)</f>
        <v>45405</v>
      </c>
      <c r="E51" s="5" t="str">
        <f>IFERROR(__xludf.DUMMYFUNCTION("""COMPUTED_VALUE"""),"Slot")</f>
        <v>Slot</v>
      </c>
      <c r="F51" s="5">
        <f>IFERROR(__xludf.DUMMYFUNCTION("""COMPUTED_VALUE"""),7.5)</f>
        <v>7.5</v>
      </c>
      <c r="G51" s="5" t="str">
        <f>IFERROR(__xludf.DUMMYFUNCTION("""COMPUTED_VALUE"""),"5x3")</f>
        <v>5x3</v>
      </c>
      <c r="H51" s="5" t="str">
        <f>IFERROR(__xludf.DUMMYFUNCTION("""COMPUTED_VALUE"""),"5")</f>
        <v>5</v>
      </c>
      <c r="I51" s="5" t="str">
        <f>IFERROR(__xludf.DUMMYFUNCTION("""COMPUTED_VALUE"""),"5")</f>
        <v>5</v>
      </c>
      <c r="J51" s="5" t="str">
        <f>IFERROR(__xludf.DUMMYFUNCTION("""COMPUTED_VALUE"""),"96.04%")</f>
        <v>96.04%</v>
      </c>
      <c r="K51" s="5" t="str">
        <f>IFERROR(__xludf.DUMMYFUNCTION("""COMPUTED_VALUE"""),"Low")</f>
        <v>Low</v>
      </c>
      <c r="L51" s="5" t="str">
        <f>IFERROR(__xludf.DUMMYFUNCTION("""COMPUTED_VALUE"""),"18.64%")</f>
        <v>18.64%</v>
      </c>
      <c r="M51" s="5" t="str">
        <f>IFERROR(__xludf.DUMMYFUNCTION("""COMPUTED_VALUE"""),"x1000")</f>
        <v>x1000</v>
      </c>
      <c r="N51" s="5" t="str">
        <f>IFERROR(__xludf.DUMMYFUNCTION("""COMPUTED_VALUE"""),"0.05/100")</f>
        <v>0.05/100</v>
      </c>
      <c r="O51" s="5" t="str">
        <f>IFERROR(__xludf.DUMMYFUNCTION("""COMPUTED_VALUE"""),"No")</f>
        <v>No</v>
      </c>
      <c r="P51" s="5" t="str">
        <f>IFERROR(__xludf.DUMMYFUNCTION("""COMPUTED_VALUE"""),"Bothways")</f>
        <v>Bothways</v>
      </c>
      <c r="Q51" s="7" t="str">
        <f>IFERROR(__xludf.DUMMYFUNCTION("""COMPUTED_VALUE"""),"https://static.redstone.rs/games/hot-rush-both-ways/")</f>
        <v>https://static.redstone.rs/games/hot-rush-both-ways/</v>
      </c>
      <c r="R51" s="5" t="str">
        <f>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S5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1" s="5" t="str">
        <f>IFERROR(__xludf.DUMMYFUNCTION("""COMPUTED_VALUE"""),"Yes")</f>
        <v>Yes</v>
      </c>
      <c r="U51" s="5" t="str">
        <f>IFERROR(__xludf.DUMMYFUNCTION("""COMPUTED_VALUE"""),"Yes")</f>
        <v>Yes</v>
      </c>
      <c r="V51" s="5" t="str">
        <f>IFERROR(__xludf.DUMMYFUNCTION("""COMPUTED_VALUE"""),"Yes")</f>
        <v>Yes</v>
      </c>
      <c r="W51" s="5" t="str">
        <f>IFERROR(__xludf.DUMMYFUNCTION("""COMPUTED_VALUE"""),"No")</f>
        <v>No</v>
      </c>
      <c r="X51" s="5" t="str">
        <f>IFERROR(__xludf.DUMMYFUNCTION("""COMPUTED_VALUE"""),"No")</f>
        <v>No</v>
      </c>
      <c r="Y51" s="5" t="str">
        <f>IFERROR(__xludf.DUMMYFUNCTION("""COMPUTED_VALUE"""),"No")</f>
        <v>No</v>
      </c>
      <c r="Z51" s="5" t="str">
        <f>IFERROR(__xludf.DUMMYFUNCTION("""COMPUTED_VALUE"""),"No")</f>
        <v>No</v>
      </c>
      <c r="AA51" s="5" t="str">
        <f>IFERROR(__xludf.DUMMYFUNCTION("""COMPUTED_VALUE"""),"No")</f>
        <v>No</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IFERROR(__xludf.DUMMYFUNCTION("""COMPUTED_VALUE"""),"No")</f>
        <v>No</v>
      </c>
      <c r="AH51" s="5" t="str">
        <f>IFERROR(__xludf.DUMMYFUNCTION("""COMPUTED_VALUE"""),"Yes")</f>
        <v>Yes</v>
      </c>
      <c r="AI51" s="5" t="str">
        <f>IFERROR(__xludf.DUMMYFUNCTION("""COMPUTED_VALUE"""),"No")</f>
        <v>No</v>
      </c>
      <c r="AJ51" s="5" t="str">
        <f>IFERROR(__xludf.DUMMYFUNCTION("""COMPUTED_VALUE"""),"No")</f>
        <v>No</v>
      </c>
      <c r="AK51" s="5" t="str">
        <f>IFERROR(__xludf.DUMMYFUNCTION("""COMPUTED_VALUE"""),"No")</f>
        <v>No</v>
      </c>
      <c r="AL51" s="5" t="str">
        <f>IFERROR(__xludf.DUMMYFUNCTION("""COMPUTED_VALUE"""),"No")</f>
        <v>No</v>
      </c>
      <c r="AM51" s="5"/>
      <c r="AN51" s="5"/>
      <c r="AO51" s="5"/>
      <c r="AP51" s="5"/>
      <c r="AQ51" s="5" t="str">
        <f>IFERROR(__xludf.DUMMYFUNCTION("""COMPUTED_VALUE"""),"No")</f>
        <v>No</v>
      </c>
      <c r="AR51" s="5"/>
      <c r="AS51" s="5"/>
      <c r="AT51" s="5"/>
      <c r="AU51" s="5"/>
      <c r="AV51" s="5" t="str">
        <f>IFERROR(__xludf.DUMMYFUNCTION("""COMPUTED_VALUE"""),"")</f>
        <v/>
      </c>
      <c r="AW51" s="5" t="str">
        <f>IFERROR(__xludf.DUMMYFUNCTION("""COMPUTED_VALUE"""),"")</f>
        <v/>
      </c>
      <c r="AX51" s="5" t="str">
        <f>IFERROR(__xludf.DUMMYFUNCTION("""COMPUTED_VALUE"""),"")</f>
        <v/>
      </c>
      <c r="AY51" s="5" t="str">
        <f>IFERROR(__xludf.DUMMYFUNCTION("""COMPUTED_VALUE"""),"")</f>
        <v/>
      </c>
      <c r="AZ51" s="5" t="str">
        <f>IFERROR(__xludf.DUMMYFUNCTION("""COMPUTED_VALUE"""),"")</f>
        <v/>
      </c>
      <c r="BA51" s="5" t="str">
        <f>IFERROR(__xludf.DUMMYFUNCTION("""COMPUTED_VALUE"""),"")</f>
        <v/>
      </c>
      <c r="BB51" s="5" t="str">
        <f>IFERROR(__xludf.DUMMYFUNCTION("""COMPUTED_VALUE"""),"")</f>
        <v/>
      </c>
    </row>
    <row r="52">
      <c r="A52" s="5" t="str">
        <f>IFERROR(__xludf.DUMMYFUNCTION("""COMPUTED_VALUE"""),"Redstone")</f>
        <v>Redstone</v>
      </c>
      <c r="B52" s="5" t="str">
        <f>IFERROR(__xludf.DUMMYFUNCTION("""COMPUTED_VALUE"""),"Book Of Scorpio")</f>
        <v>Book Of Scorpio</v>
      </c>
      <c r="C52" s="5" t="str">
        <f>IFERROR(__xludf.DUMMYFUNCTION("""COMPUTED_VALUE"""),"RedstoneBookOfScorpio")</f>
        <v>RedstoneBookOfScorpio</v>
      </c>
      <c r="D52" s="6">
        <f>IFERROR(__xludf.DUMMYFUNCTION("""COMPUTED_VALUE"""),45427.0)</f>
        <v>45427</v>
      </c>
      <c r="E52" s="5" t="str">
        <f>IFERROR(__xludf.DUMMYFUNCTION("""COMPUTED_VALUE"""),"Slot")</f>
        <v>Slot</v>
      </c>
      <c r="F52" s="5">
        <f>IFERROR(__xludf.DUMMYFUNCTION("""COMPUTED_VALUE"""),12.0)</f>
        <v>12</v>
      </c>
      <c r="G52" s="5" t="str">
        <f>IFERROR(__xludf.DUMMYFUNCTION("""COMPUTED_VALUE"""),"5x3")</f>
        <v>5x3</v>
      </c>
      <c r="H52" s="5" t="str">
        <f>IFERROR(__xludf.DUMMYFUNCTION("""COMPUTED_VALUE"""),"10")</f>
        <v>10</v>
      </c>
      <c r="I52" s="5" t="str">
        <f>IFERROR(__xludf.DUMMYFUNCTION("""COMPUTED_VALUE"""),"10")</f>
        <v>10</v>
      </c>
      <c r="J52" s="5" t="str">
        <f>IFERROR(__xludf.DUMMYFUNCTION("""COMPUTED_VALUE"""),"96.2%")</f>
        <v>96.2%</v>
      </c>
      <c r="K52" s="5" t="str">
        <f>IFERROR(__xludf.DUMMYFUNCTION("""COMPUTED_VALUE"""),"High")</f>
        <v>High</v>
      </c>
      <c r="L52" s="5" t="str">
        <f>IFERROR(__xludf.DUMMYFUNCTION("""COMPUTED_VALUE"""),"12.34%")</f>
        <v>12.34%</v>
      </c>
      <c r="M52" s="5" t="str">
        <f>IFERROR(__xludf.DUMMYFUNCTION("""COMPUTED_VALUE"""),"x5456")</f>
        <v>x5456</v>
      </c>
      <c r="N52" s="5" t="str">
        <f>IFERROR(__xludf.DUMMYFUNCTION("""COMPUTED_VALUE"""),"0.10/40")</f>
        <v>0.10/40</v>
      </c>
      <c r="O52" s="5" t="str">
        <f>IFERROR(__xludf.DUMMYFUNCTION("""COMPUTED_VALUE"""),"No")</f>
        <v>No</v>
      </c>
      <c r="P52" s="5" t="str">
        <f>IFERROR(__xludf.DUMMYFUNCTION("""COMPUTED_VALUE"""),"Scatter, Wild Symbol, Bonus Game with Free Spins, Bonus Game with Special Symbol")</f>
        <v>Scatter, Wild Symbol, Bonus Game with Free Spins, Bonus Game with Special Symbol</v>
      </c>
      <c r="Q52" s="7" t="str">
        <f>IFERROR(__xludf.DUMMYFUNCTION("""COMPUTED_VALUE"""),"https://static.redstone.rs/games/book-of-scorpio/")</f>
        <v>https://static.redstone.rs/games/book-of-scorpio/</v>
      </c>
      <c r="R52" s="5" t="str">
        <f>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S5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2" s="5" t="str">
        <f>IFERROR(__xludf.DUMMYFUNCTION("""COMPUTED_VALUE"""),"Yes")</f>
        <v>Yes</v>
      </c>
      <c r="U52" s="5" t="str">
        <f>IFERROR(__xludf.DUMMYFUNCTION("""COMPUTED_VALUE"""),"Yes")</f>
        <v>Yes</v>
      </c>
      <c r="V52" s="5" t="str">
        <f>IFERROR(__xludf.DUMMYFUNCTION("""COMPUTED_VALUE"""),"No")</f>
        <v>No</v>
      </c>
      <c r="W52" s="5" t="str">
        <f>IFERROR(__xludf.DUMMYFUNCTION("""COMPUTED_VALUE"""),"Yes")</f>
        <v>Yes</v>
      </c>
      <c r="X52" s="5" t="str">
        <f>IFERROR(__xludf.DUMMYFUNCTION("""COMPUTED_VALUE"""),"Yes")</f>
        <v>Yes</v>
      </c>
      <c r="Y52" s="5" t="str">
        <f>IFERROR(__xludf.DUMMYFUNCTION("""COMPUTED_VALUE"""),"Yes")</f>
        <v>Yes</v>
      </c>
      <c r="Z52" s="5" t="str">
        <f>IFERROR(__xludf.DUMMYFUNCTION("""COMPUTED_VALUE"""),"Yes")</f>
        <v>Yes</v>
      </c>
      <c r="AA52" s="5" t="str">
        <f>IFERROR(__xludf.DUMMYFUNCTION("""COMPUTED_VALUE"""),"Yes")</f>
        <v>Yes</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IFERROR(__xludf.DUMMYFUNCTION("""COMPUTED_VALUE"""),"Yes")</f>
        <v>Yes</v>
      </c>
      <c r="AH52" s="5" t="str">
        <f>IFERROR(__xludf.DUMMYFUNCTION("""COMPUTED_VALUE"""),"Yes")</f>
        <v>Yes</v>
      </c>
      <c r="AI52" s="5" t="str">
        <f>IFERROR(__xludf.DUMMYFUNCTION("""COMPUTED_VALUE"""),"No")</f>
        <v>No</v>
      </c>
      <c r="AJ52" s="5" t="str">
        <f>IFERROR(__xludf.DUMMYFUNCTION("""COMPUTED_VALUE"""),"No")</f>
        <v>No</v>
      </c>
      <c r="AK52" s="5" t="str">
        <f>IFERROR(__xludf.DUMMYFUNCTION("""COMPUTED_VALUE"""),"No")</f>
        <v>No</v>
      </c>
      <c r="AL52" s="5" t="str">
        <f>IFERROR(__xludf.DUMMYFUNCTION("""COMPUTED_VALUE"""),"No")</f>
        <v>No</v>
      </c>
      <c r="AM52" s="5" t="str">
        <f>IFERROR(__xludf.DUMMYFUNCTION("""COMPUTED_VALUE"""),"No")</f>
        <v>No</v>
      </c>
      <c r="AN52" s="5" t="str">
        <f>IFERROR(__xludf.DUMMYFUNCTION("""COMPUTED_VALUE"""),"No")</f>
        <v>No</v>
      </c>
      <c r="AO52" s="5" t="str">
        <f>IFERROR(__xludf.DUMMYFUNCTION("""COMPUTED_VALUE"""),"No")</f>
        <v>No</v>
      </c>
      <c r="AP52" s="5" t="str">
        <f>IFERROR(__xludf.DUMMYFUNCTION("""COMPUTED_VALUE"""),"No")</f>
        <v>No</v>
      </c>
      <c r="AQ52" s="5" t="str">
        <f>IFERROR(__xludf.DUMMYFUNCTION("""COMPUTED_VALUE"""),"No")</f>
        <v>No</v>
      </c>
      <c r="AR52" s="5" t="str">
        <f>IFERROR(__xludf.DUMMYFUNCTION("""COMPUTED_VALUE"""),"No")</f>
        <v>No</v>
      </c>
      <c r="AS52" s="5" t="str">
        <f>IFERROR(__xludf.DUMMYFUNCTION("""COMPUTED_VALUE"""),"Yes")</f>
        <v>Yes</v>
      </c>
      <c r="AT52" s="5" t="str">
        <f>IFERROR(__xludf.DUMMYFUNCTION("""COMPUTED_VALUE"""),"No")</f>
        <v>No</v>
      </c>
      <c r="AU52" s="5"/>
      <c r="AV52" s="5" t="str">
        <f>IFERROR(__xludf.DUMMYFUNCTION("""COMPUTED_VALUE"""),"")</f>
        <v/>
      </c>
      <c r="AW52" s="5" t="str">
        <f>IFERROR(__xludf.DUMMYFUNCTION("""COMPUTED_VALUE"""),"")</f>
        <v/>
      </c>
      <c r="AX52" s="5" t="str">
        <f>IFERROR(__xludf.DUMMYFUNCTION("""COMPUTED_VALUE"""),"")</f>
        <v/>
      </c>
      <c r="AY52" s="5" t="str">
        <f>IFERROR(__xludf.DUMMYFUNCTION("""COMPUTED_VALUE"""),"")</f>
        <v/>
      </c>
      <c r="AZ52" s="5" t="str">
        <f>IFERROR(__xludf.DUMMYFUNCTION("""COMPUTED_VALUE"""),"")</f>
        <v/>
      </c>
      <c r="BA52" s="5" t="str">
        <f>IFERROR(__xludf.DUMMYFUNCTION("""COMPUTED_VALUE"""),"")</f>
        <v/>
      </c>
      <c r="BB52" s="5" t="str">
        <f>IFERROR(__xludf.DUMMYFUNCTION("""COMPUTED_VALUE"""),"")</f>
        <v/>
      </c>
    </row>
    <row r="53">
      <c r="A53" s="5" t="str">
        <f>IFERROR(__xludf.DUMMYFUNCTION("""COMPUTED_VALUE"""),"Redstone")</f>
        <v>Redstone</v>
      </c>
      <c r="B53" s="5" t="str">
        <f>IFERROR(__xludf.DUMMYFUNCTION("""COMPUTED_VALUE"""),"SpinUp")</f>
        <v>SpinUp</v>
      </c>
      <c r="C53" s="5" t="str">
        <f>IFERROR(__xludf.DUMMYFUNCTION("""COMPUTED_VALUE"""),"RedstoneSpinUp")</f>
        <v>RedstoneSpinUp</v>
      </c>
      <c r="D53" s="6">
        <f>IFERROR(__xludf.DUMMYFUNCTION("""COMPUTED_VALUE"""),45446.0)</f>
        <v>45446</v>
      </c>
      <c r="E53" s="5" t="str">
        <f>IFERROR(__xludf.DUMMYFUNCTION("""COMPUTED_VALUE"""),"Slot")</f>
        <v>Slot</v>
      </c>
      <c r="F53" s="5">
        <f>IFERROR(__xludf.DUMMYFUNCTION("""COMPUTED_VALUE"""),10.2)</f>
        <v>10.2</v>
      </c>
      <c r="G53" s="5" t="str">
        <f>IFERROR(__xludf.DUMMYFUNCTION("""COMPUTED_VALUE"""),"5x3")</f>
        <v>5x3</v>
      </c>
      <c r="H53" s="5" t="str">
        <f>IFERROR(__xludf.DUMMYFUNCTION("""COMPUTED_VALUE"""),"5")</f>
        <v>5</v>
      </c>
      <c r="I53" s="5" t="str">
        <f>IFERROR(__xludf.DUMMYFUNCTION("""COMPUTED_VALUE"""),"5")</f>
        <v>5</v>
      </c>
      <c r="J53" s="5" t="str">
        <f>IFERROR(__xludf.DUMMYFUNCTION("""COMPUTED_VALUE"""),"96.36%")</f>
        <v>96.36%</v>
      </c>
      <c r="K53" s="5" t="str">
        <f>IFERROR(__xludf.DUMMYFUNCTION("""COMPUTED_VALUE"""),"Medium")</f>
        <v>Medium</v>
      </c>
      <c r="L53" s="5" t="str">
        <f>IFERROR(__xludf.DUMMYFUNCTION("""COMPUTED_VALUE"""),"11.87%")</f>
        <v>11.87%</v>
      </c>
      <c r="M53" s="5" t="str">
        <f>IFERROR(__xludf.DUMMYFUNCTION("""COMPUTED_VALUE"""),"x2000")</f>
        <v>x2000</v>
      </c>
      <c r="N53" s="5" t="str">
        <f>IFERROR(__xludf.DUMMYFUNCTION("""COMPUTED_VALUE"""),"0.01/50")</f>
        <v>0.01/50</v>
      </c>
      <c r="O53" s="5" t="str">
        <f>IFERROR(__xludf.DUMMYFUNCTION("""COMPUTED_VALUE"""),"No")</f>
        <v>No</v>
      </c>
      <c r="P53" s="5" t="str">
        <f>IFERROR(__xludf.DUMMYFUNCTION("""COMPUTED_VALUE"""),"Expanding Wild, Scatter")</f>
        <v>Expanding Wild, Scatter</v>
      </c>
      <c r="Q53" s="7" t="str">
        <f>IFERROR(__xludf.DUMMYFUNCTION("""COMPUTED_VALUE"""),"https://static.redstone.rs/games/spin-up/")</f>
        <v>https://static.redstone.rs/games/spin-up/</v>
      </c>
      <c r="R53" s="5" t="str">
        <f>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S5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3" s="5" t="str">
        <f>IFERROR(__xludf.DUMMYFUNCTION("""COMPUTED_VALUE"""),"Yes")</f>
        <v>Yes</v>
      </c>
      <c r="U53" s="5" t="str">
        <f>IFERROR(__xludf.DUMMYFUNCTION("""COMPUTED_VALUE"""),"Yes")</f>
        <v>Yes</v>
      </c>
      <c r="V53" s="5" t="str">
        <f>IFERROR(__xludf.DUMMYFUNCTION("""COMPUTED_VALUE"""),"Yes")</f>
        <v>Yes</v>
      </c>
      <c r="W53" s="5" t="str">
        <f>IFERROR(__xludf.DUMMYFUNCTION("""COMPUTED_VALUE"""),"No")</f>
        <v>No</v>
      </c>
      <c r="X53" s="5" t="str">
        <f>IFERROR(__xludf.DUMMYFUNCTION("""COMPUTED_VALUE"""),"No")</f>
        <v>No</v>
      </c>
      <c r="Y53" s="5" t="str">
        <f>IFERROR(__xludf.DUMMYFUNCTION("""COMPUTED_VALUE"""),"No")</f>
        <v>No</v>
      </c>
      <c r="Z53" s="5" t="str">
        <f>IFERROR(__xludf.DUMMYFUNCTION("""COMPUTED_VALUE"""),"No")</f>
        <v>No</v>
      </c>
      <c r="AA53" s="5" t="str">
        <f>IFERROR(__xludf.DUMMYFUNCTION("""COMPUTED_VALUE"""),"No")</f>
        <v>No</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IFERROR(__xludf.DUMMYFUNCTION("""COMPUTED_VALUE"""),"No")</f>
        <v>No</v>
      </c>
      <c r="AH53" s="5" t="str">
        <f>IFERROR(__xludf.DUMMYFUNCTION("""COMPUTED_VALUE"""),"Yes")</f>
        <v>Yes</v>
      </c>
      <c r="AI53" s="5" t="str">
        <f>IFERROR(__xludf.DUMMYFUNCTION("""COMPUTED_VALUE"""),"No")</f>
        <v>No</v>
      </c>
      <c r="AJ53" s="5" t="str">
        <f>IFERROR(__xludf.DUMMYFUNCTION("""COMPUTED_VALUE"""),"No")</f>
        <v>No</v>
      </c>
      <c r="AK53" s="5" t="str">
        <f>IFERROR(__xludf.DUMMYFUNCTION("""COMPUTED_VALUE"""),"No")</f>
        <v>No</v>
      </c>
      <c r="AL53" s="5" t="str">
        <f>IFERROR(__xludf.DUMMYFUNCTION("""COMPUTED_VALUE"""),"No")</f>
        <v>No</v>
      </c>
      <c r="AM53" s="5"/>
      <c r="AN53" s="5"/>
      <c r="AO53" s="5"/>
      <c r="AP53" s="5"/>
      <c r="AQ53" s="5" t="str">
        <f>IFERROR(__xludf.DUMMYFUNCTION("""COMPUTED_VALUE"""),"No")</f>
        <v>No</v>
      </c>
      <c r="AR53" s="5"/>
      <c r="AS53" s="5"/>
      <c r="AT53" s="5"/>
      <c r="AU53" s="5"/>
      <c r="AV53" s="5" t="str">
        <f>IFERROR(__xludf.DUMMYFUNCTION("""COMPUTED_VALUE"""),"")</f>
        <v/>
      </c>
      <c r="AW53" s="5" t="str">
        <f>IFERROR(__xludf.DUMMYFUNCTION("""COMPUTED_VALUE"""),"")</f>
        <v/>
      </c>
      <c r="AX53" s="5" t="str">
        <f>IFERROR(__xludf.DUMMYFUNCTION("""COMPUTED_VALUE"""),"")</f>
        <v/>
      </c>
      <c r="AY53" s="5" t="str">
        <f>IFERROR(__xludf.DUMMYFUNCTION("""COMPUTED_VALUE"""),"")</f>
        <v/>
      </c>
      <c r="AZ53" s="5" t="str">
        <f>IFERROR(__xludf.DUMMYFUNCTION("""COMPUTED_VALUE"""),"")</f>
        <v/>
      </c>
      <c r="BA53" s="5" t="str">
        <f>IFERROR(__xludf.DUMMYFUNCTION("""COMPUTED_VALUE"""),"")</f>
        <v/>
      </c>
      <c r="BB53" s="5" t="str">
        <f>IFERROR(__xludf.DUMMYFUNCTION("""COMPUTED_VALUE"""),"")</f>
        <v/>
      </c>
    </row>
    <row r="54">
      <c r="A54" s="5" t="str">
        <f>IFERROR(__xludf.DUMMYFUNCTION("""COMPUTED_VALUE"""),"Redstone")</f>
        <v>Redstone</v>
      </c>
      <c r="B54" s="5" t="str">
        <f>IFERROR(__xludf.DUMMYFUNCTION("""COMPUTED_VALUE"""),"81 Vegas Crown")</f>
        <v>81 Vegas Crown</v>
      </c>
      <c r="C54" s="5" t="str">
        <f>IFERROR(__xludf.DUMMYFUNCTION("""COMPUTED_VALUE"""),"Redstone81VegasCrown")</f>
        <v>Redstone81VegasCrown</v>
      </c>
      <c r="D54" s="6">
        <f>IFERROR(__xludf.DUMMYFUNCTION("""COMPUTED_VALUE"""),45485.0)</f>
        <v>45485</v>
      </c>
      <c r="E54" s="5" t="str">
        <f>IFERROR(__xludf.DUMMYFUNCTION("""COMPUTED_VALUE"""),"Slot")</f>
        <v>Slot</v>
      </c>
      <c r="F54" s="5">
        <f>IFERROR(__xludf.DUMMYFUNCTION("""COMPUTED_VALUE"""),11.7)</f>
        <v>11.7</v>
      </c>
      <c r="G54" s="5" t="str">
        <f>IFERROR(__xludf.DUMMYFUNCTION("""COMPUTED_VALUE"""),"4x3")</f>
        <v>4x3</v>
      </c>
      <c r="H54" s="5">
        <f>IFERROR(__xludf.DUMMYFUNCTION("""COMPUTED_VALUE"""),81.0)</f>
        <v>81</v>
      </c>
      <c r="I54" s="5">
        <f>IFERROR(__xludf.DUMMYFUNCTION("""COMPUTED_VALUE"""),81.0)</f>
        <v>81</v>
      </c>
      <c r="J54" s="5" t="str">
        <f>IFERROR(__xludf.DUMMYFUNCTION("""COMPUTED_VALUE"""),"96.55%")</f>
        <v>96.55%</v>
      </c>
      <c r="K54" s="5" t="str">
        <f>IFERROR(__xludf.DUMMYFUNCTION("""COMPUTED_VALUE"""),"High")</f>
        <v>High</v>
      </c>
      <c r="L54" s="5" t="str">
        <f>IFERROR(__xludf.DUMMYFUNCTION("""COMPUTED_VALUE"""),"5.1%")</f>
        <v>5.1%</v>
      </c>
      <c r="M54" s="5" t="str">
        <f>IFERROR(__xludf.DUMMYFUNCTION("""COMPUTED_VALUE"""),"x3200")</f>
        <v>x3200</v>
      </c>
      <c r="N54" s="5" t="str">
        <f>IFERROR(__xludf.DUMMYFUNCTION("""COMPUTED_VALUE"""),"0.05/20")</f>
        <v>0.05/20</v>
      </c>
      <c r="O54" s="5" t="str">
        <f>IFERROR(__xludf.DUMMYFUNCTION("""COMPUTED_VALUE"""),"No")</f>
        <v>No</v>
      </c>
      <c r="P54" s="5" t="str">
        <f>IFERROR(__xludf.DUMMYFUNCTION("""COMPUTED_VALUE"""),"Mystery symbol, Wild Multiplier, Win Multiplier")</f>
        <v>Mystery symbol, Wild Multiplier, Win Multiplier</v>
      </c>
      <c r="Q54" s="7" t="str">
        <f>IFERROR(__xludf.DUMMYFUNCTION("""COMPUTED_VALUE"""),"https://static.redstone.rs/games/81-vegas-crown/")</f>
        <v>https://static.redstone.rs/games/81-vegas-crown/</v>
      </c>
      <c r="R54" s="5" t="str">
        <f>IFERROR(__xludf.DUMMYFUNCTION("""COMPUTED_VALUE"""),"Feel the Vegas atmosphere with 81 Vegas Crown, land crown symbols and get some juicy multipliers!")</f>
        <v>Feel the Vegas atmosphere with 81 Vegas Crown, land crown symbols and get some juicy multipliers!</v>
      </c>
      <c r="S5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5" t="str">
        <f>IFERROR(__xludf.DUMMYFUNCTION("""COMPUTED_VALUE"""),"Yes")</f>
        <v>Yes</v>
      </c>
      <c r="U54" s="5" t="str">
        <f>IFERROR(__xludf.DUMMYFUNCTION("""COMPUTED_VALUE"""),"Yes")</f>
        <v>Yes</v>
      </c>
      <c r="V54" s="5" t="str">
        <f>IFERROR(__xludf.DUMMYFUNCTION("""COMPUTED_VALUE"""),"Yes")</f>
        <v>Yes</v>
      </c>
      <c r="W54" s="5" t="str">
        <f>IFERROR(__xludf.DUMMYFUNCTION("""COMPUTED_VALUE"""),"No")</f>
        <v>No</v>
      </c>
      <c r="X54" s="5" t="str">
        <f>IFERROR(__xludf.DUMMYFUNCTION("""COMPUTED_VALUE"""),"No")</f>
        <v>No</v>
      </c>
      <c r="Y54" s="5" t="str">
        <f>IFERROR(__xludf.DUMMYFUNCTION("""COMPUTED_VALUE"""),"No")</f>
        <v>No</v>
      </c>
      <c r="Z54" s="5" t="str">
        <f>IFERROR(__xludf.DUMMYFUNCTION("""COMPUTED_VALUE"""),"No")</f>
        <v>No</v>
      </c>
      <c r="AA54" s="5" t="str">
        <f>IFERROR(__xludf.DUMMYFUNCTION("""COMPUTED_VALUE"""),"No")</f>
        <v>No</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IFERROR(__xludf.DUMMYFUNCTION("""COMPUTED_VALUE"""),"No")</f>
        <v>No</v>
      </c>
      <c r="AH54" s="5" t="str">
        <f>IFERROR(__xludf.DUMMYFUNCTION("""COMPUTED_VALUE"""),"Yes")</f>
        <v>Yes</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c r="AN54" s="5" t="str">
        <f>IFERROR(__xludf.DUMMYFUNCTION("""COMPUTED_VALUE"""),"No")</f>
        <v>No</v>
      </c>
      <c r="AO54" s="5" t="str">
        <f>IFERROR(__xludf.DUMMYFUNCTION("""COMPUTED_VALUE"""),"No")</f>
        <v>No</v>
      </c>
      <c r="AP54" s="5" t="str">
        <f>IFERROR(__xludf.DUMMYFUNCTION("""COMPUTED_VALUE"""),"No")</f>
        <v>No</v>
      </c>
      <c r="AQ54" s="5" t="str">
        <f>IFERROR(__xludf.DUMMYFUNCTION("""COMPUTED_VALUE"""),"No")</f>
        <v>No</v>
      </c>
      <c r="AR54" s="5" t="str">
        <f>IFERROR(__xludf.DUMMYFUNCTION("""COMPUTED_VALUE"""),"No")</f>
        <v>No</v>
      </c>
      <c r="AS54" s="5" t="str">
        <f>IFERROR(__xludf.DUMMYFUNCTION("""COMPUTED_VALUE"""),"No")</f>
        <v>No</v>
      </c>
      <c r="AT54" s="5"/>
      <c r="AU54" s="5"/>
      <c r="AV54" s="5" t="str">
        <f>IFERROR(__xludf.DUMMYFUNCTION("""COMPUTED_VALUE"""),"")</f>
        <v/>
      </c>
      <c r="AW54" s="5" t="str">
        <f>IFERROR(__xludf.DUMMYFUNCTION("""COMPUTED_VALUE"""),"")</f>
        <v/>
      </c>
      <c r="AX54" s="5" t="str">
        <f>IFERROR(__xludf.DUMMYFUNCTION("""COMPUTED_VALUE"""),"")</f>
        <v/>
      </c>
      <c r="AY54" s="5" t="str">
        <f>IFERROR(__xludf.DUMMYFUNCTION("""COMPUTED_VALUE"""),"")</f>
        <v/>
      </c>
      <c r="AZ54" s="5" t="str">
        <f>IFERROR(__xludf.DUMMYFUNCTION("""COMPUTED_VALUE"""),"")</f>
        <v/>
      </c>
      <c r="BA54" s="5" t="str">
        <f>IFERROR(__xludf.DUMMYFUNCTION("""COMPUTED_VALUE"""),"")</f>
        <v/>
      </c>
      <c r="BB54" s="5" t="str">
        <f>IFERROR(__xludf.DUMMYFUNCTION("""COMPUTED_VALUE"""),"")</f>
        <v/>
      </c>
    </row>
    <row r="55">
      <c r="A55" s="5" t="str">
        <f>IFERROR(__xludf.DUMMYFUNCTION("""COMPUTED_VALUE"""),"Redstone")</f>
        <v>Redstone</v>
      </c>
      <c r="B55" s="5" t="str">
        <f>IFERROR(__xludf.DUMMYFUNCTION("""COMPUTED_VALUE"""),"Apollo 27 Classic")</f>
        <v>Apollo 27 Classic</v>
      </c>
      <c r="C55" s="5" t="str">
        <f>IFERROR(__xludf.DUMMYFUNCTION("""COMPUTED_VALUE"""),"RedstoneApollo27Classic")</f>
        <v>RedstoneApollo27Classic</v>
      </c>
      <c r="D55" s="6">
        <f>IFERROR(__xludf.DUMMYFUNCTION("""COMPUTED_VALUE"""),45467.0)</f>
        <v>45467</v>
      </c>
      <c r="E55" s="5" t="str">
        <f>IFERROR(__xludf.DUMMYFUNCTION("""COMPUTED_VALUE"""),"Slot")</f>
        <v>Slot</v>
      </c>
      <c r="F55" s="5">
        <f>IFERROR(__xludf.DUMMYFUNCTION("""COMPUTED_VALUE"""),6.1)</f>
        <v>6.1</v>
      </c>
      <c r="G55" s="5" t="str">
        <f>IFERROR(__xludf.DUMMYFUNCTION("""COMPUTED_VALUE"""),"3x3")</f>
        <v>3x3</v>
      </c>
      <c r="H55" s="5">
        <f>IFERROR(__xludf.DUMMYFUNCTION("""COMPUTED_VALUE"""),27.0)</f>
        <v>27</v>
      </c>
      <c r="I55" s="5">
        <f>IFERROR(__xludf.DUMMYFUNCTION("""COMPUTED_VALUE"""),27.0)</f>
        <v>27</v>
      </c>
      <c r="J55" s="5" t="str">
        <f>IFERROR(__xludf.DUMMYFUNCTION("""COMPUTED_VALUE"""),"96.24%")</f>
        <v>96.24%</v>
      </c>
      <c r="K55" s="5" t="str">
        <f>IFERROR(__xludf.DUMMYFUNCTION("""COMPUTED_VALUE"""),"Low")</f>
        <v>Low</v>
      </c>
      <c r="L55" s="5" t="str">
        <f>IFERROR(__xludf.DUMMYFUNCTION("""COMPUTED_VALUE"""),"6.58%")</f>
        <v>6.58%</v>
      </c>
      <c r="M55" s="5" t="str">
        <f>IFERROR(__xludf.DUMMYFUNCTION("""COMPUTED_VALUE"""),"x108")</f>
        <v>x108</v>
      </c>
      <c r="N55" s="5" t="str">
        <f>IFERROR(__xludf.DUMMYFUNCTION("""COMPUTED_VALUE"""),"0.01/50")</f>
        <v>0.01/50</v>
      </c>
      <c r="O55" s="5" t="str">
        <f>IFERROR(__xludf.DUMMYFUNCTION("""COMPUTED_VALUE"""),"No")</f>
        <v>No</v>
      </c>
      <c r="P55" s="5" t="str">
        <f>IFERROR(__xludf.DUMMYFUNCTION("""COMPUTED_VALUE"""),"Win Multiplier")</f>
        <v>Win Multiplier</v>
      </c>
      <c r="Q55" s="7" t="str">
        <f>IFERROR(__xludf.DUMMYFUNCTION("""COMPUTED_VALUE"""),"https://static.redstone.rs/games/apollo-27-classic/")</f>
        <v>https://static.redstone.rs/games/apollo-27-classic/</v>
      </c>
      <c r="R55" s="5" t="str">
        <f>IFERROR(__xludf.DUMMYFUNCTION("""COMPUTED_VALUE"""),"Spin the fruity reels and chase double wins! With 27 ways for payout, this game is a juicy classic!")</f>
        <v>Spin the fruity reels and chase double wins! With 27 ways for payout, this game is a juicy classic!</v>
      </c>
      <c r="S5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5" s="5" t="str">
        <f>IFERROR(__xludf.DUMMYFUNCTION("""COMPUTED_VALUE"""),"Yes")</f>
        <v>Yes</v>
      </c>
      <c r="U55" s="5" t="str">
        <f>IFERROR(__xludf.DUMMYFUNCTION("""COMPUTED_VALUE"""),"Yes")</f>
        <v>Yes</v>
      </c>
      <c r="V55" s="5" t="str">
        <f>IFERROR(__xludf.DUMMYFUNCTION("""COMPUTED_VALUE"""),"Yes")</f>
        <v>Yes</v>
      </c>
      <c r="W55" s="5" t="str">
        <f>IFERROR(__xludf.DUMMYFUNCTION("""COMPUTED_VALUE"""),"No")</f>
        <v>No</v>
      </c>
      <c r="X55" s="5" t="str">
        <f>IFERROR(__xludf.DUMMYFUNCTION("""COMPUTED_VALUE"""),"No")</f>
        <v>No</v>
      </c>
      <c r="Y55" s="5" t="str">
        <f>IFERROR(__xludf.DUMMYFUNCTION("""COMPUTED_VALUE"""),"No")</f>
        <v>No</v>
      </c>
      <c r="Z55" s="5" t="str">
        <f>IFERROR(__xludf.DUMMYFUNCTION("""COMPUTED_VALUE"""),"No")</f>
        <v>No</v>
      </c>
      <c r="AA55" s="5" t="str">
        <f>IFERROR(__xludf.DUMMYFUNCTION("""COMPUTED_VALUE"""),"No")</f>
        <v>No</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IFERROR(__xludf.DUMMYFUNCTION("""COMPUTED_VALUE"""),"No")</f>
        <v>No</v>
      </c>
      <c r="AH55" s="5" t="str">
        <f>IFERROR(__xludf.DUMMYFUNCTION("""COMPUTED_VALUE"""),"Yes")</f>
        <v>Yes</v>
      </c>
      <c r="AI55" s="5" t="str">
        <f>IFERROR(__xludf.DUMMYFUNCTION("""COMPUTED_VALUE"""),"No")</f>
        <v>No</v>
      </c>
      <c r="AJ55" s="5" t="str">
        <f>IFERROR(__xludf.DUMMYFUNCTION("""COMPUTED_VALUE"""),"No")</f>
        <v>No</v>
      </c>
      <c r="AK55" s="5" t="str">
        <f>IFERROR(__xludf.DUMMYFUNCTION("""COMPUTED_VALUE"""),"No")</f>
        <v>No</v>
      </c>
      <c r="AL55" s="5" t="str">
        <f>IFERROR(__xludf.DUMMYFUNCTION("""COMPUTED_VALUE"""),"No")</f>
        <v>No</v>
      </c>
      <c r="AM55" s="5"/>
      <c r="AN55" s="5"/>
      <c r="AO55" s="5"/>
      <c r="AP55" s="5"/>
      <c r="AQ55" s="5" t="str">
        <f>IFERROR(__xludf.DUMMYFUNCTION("""COMPUTED_VALUE"""),"No")</f>
        <v>No</v>
      </c>
      <c r="AR55" s="5"/>
      <c r="AS55" s="5"/>
      <c r="AT55" s="5"/>
      <c r="AU55" s="5"/>
      <c r="AV55" s="5" t="str">
        <f>IFERROR(__xludf.DUMMYFUNCTION("""COMPUTED_VALUE"""),"")</f>
        <v/>
      </c>
      <c r="AW55" s="5" t="str">
        <f>IFERROR(__xludf.DUMMYFUNCTION("""COMPUTED_VALUE"""),"")</f>
        <v/>
      </c>
      <c r="AX55" s="5" t="str">
        <f>IFERROR(__xludf.DUMMYFUNCTION("""COMPUTED_VALUE"""),"")</f>
        <v/>
      </c>
      <c r="AY55" s="5" t="str">
        <f>IFERROR(__xludf.DUMMYFUNCTION("""COMPUTED_VALUE"""),"")</f>
        <v/>
      </c>
      <c r="AZ55" s="5" t="str">
        <f>IFERROR(__xludf.DUMMYFUNCTION("""COMPUTED_VALUE"""),"")</f>
        <v/>
      </c>
      <c r="BA55" s="5" t="str">
        <f>IFERROR(__xludf.DUMMYFUNCTION("""COMPUTED_VALUE"""),"")</f>
        <v/>
      </c>
      <c r="BB55" s="5" t="str">
        <f>IFERROR(__xludf.DUMMYFUNCTION("""COMPUTED_VALUE"""),"")</f>
        <v/>
      </c>
    </row>
    <row r="56">
      <c r="A56" s="5" t="str">
        <f>IFERROR(__xludf.DUMMYFUNCTION("""COMPUTED_VALUE"""),"Redstone")</f>
        <v>Redstone</v>
      </c>
      <c r="B56" s="5" t="str">
        <f>IFERROR(__xludf.DUMMYFUNCTION("""COMPUTED_VALUE"""),"Double Clover Fire")</f>
        <v>Double Clover Fire</v>
      </c>
      <c r="C56" s="5" t="str">
        <f>IFERROR(__xludf.DUMMYFUNCTION("""COMPUTED_VALUE"""),"RedstoneDoubleFireClover")</f>
        <v>RedstoneDoubleFireClover</v>
      </c>
      <c r="D56" s="6">
        <f>IFERROR(__xludf.DUMMYFUNCTION("""COMPUTED_VALUE"""),45499.0)</f>
        <v>45499</v>
      </c>
      <c r="E56" s="5" t="str">
        <f>IFERROR(__xludf.DUMMYFUNCTION("""COMPUTED_VALUE"""),"Slot")</f>
        <v>Slot</v>
      </c>
      <c r="F56" s="5">
        <f>IFERROR(__xludf.DUMMYFUNCTION("""COMPUTED_VALUE"""),8.9)</f>
        <v>8.9</v>
      </c>
      <c r="G56" s="5" t="str">
        <f>IFERROR(__xludf.DUMMYFUNCTION("""COMPUTED_VALUE"""),"5x3")</f>
        <v>5x3</v>
      </c>
      <c r="H56" s="5">
        <f>IFERROR(__xludf.DUMMYFUNCTION("""COMPUTED_VALUE"""),5.0)</f>
        <v>5</v>
      </c>
      <c r="I56" s="5">
        <f>IFERROR(__xludf.DUMMYFUNCTION("""COMPUTED_VALUE"""),5.0)</f>
        <v>5</v>
      </c>
      <c r="J56" s="5" t="str">
        <f>IFERROR(__xludf.DUMMYFUNCTION("""COMPUTED_VALUE"""),"96.45%")</f>
        <v>96.45%</v>
      </c>
      <c r="K56" s="5" t="str">
        <f>IFERROR(__xludf.DUMMYFUNCTION("""COMPUTED_VALUE"""),"Medium")</f>
        <v>Medium</v>
      </c>
      <c r="L56" s="5" t="str">
        <f>IFERROR(__xludf.DUMMYFUNCTION("""COMPUTED_VALUE"""),"14.23%")</f>
        <v>14.23%</v>
      </c>
      <c r="M56" s="5" t="str">
        <f>IFERROR(__xludf.DUMMYFUNCTION("""COMPUTED_VALUE"""),"x2624")</f>
        <v>x2624</v>
      </c>
      <c r="N56" s="5" t="str">
        <f>IFERROR(__xludf.DUMMYFUNCTION("""COMPUTED_VALUE"""),"0.05/100")</f>
        <v>0.05/100</v>
      </c>
      <c r="O56" s="5" t="str">
        <f>IFERROR(__xludf.DUMMYFUNCTION("""COMPUTED_VALUE"""),"No")</f>
        <v>No</v>
      </c>
      <c r="P56" s="5" t="str">
        <f>IFERROR(__xludf.DUMMYFUNCTION("""COMPUTED_VALUE"""),"Expanding Wild, Scatter")</f>
        <v>Expanding Wild, Scatter</v>
      </c>
      <c r="Q56" s="7" t="str">
        <f>IFERROR(__xludf.DUMMYFUNCTION("""COMPUTED_VALUE"""),"https://static.redstone.rs/games/double-clover-fire/")</f>
        <v>https://static.redstone.rs/games/double-clover-fire/</v>
      </c>
      <c r="R56" s="5" t="str">
        <f>IFERROR(__xludf.DUMMYFUNCTION("""COMPUTED_VALUE"""),"Discover the blazing excitement of Double Clover Fire and spin your way to doubled wins today!")</f>
        <v>Discover the blazing excitement of Double Clover Fire and spin your way to doubled wins today!</v>
      </c>
      <c r="S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t="str">
        <f>IFERROR(__xludf.DUMMYFUNCTION("""COMPUTED_VALUE"""),"Yes")</f>
        <v>Yes</v>
      </c>
      <c r="AJ56" s="5" t="str">
        <f>IFERROR(__xludf.DUMMYFUNCTION("""COMPUTED_VALUE"""),"Yes")</f>
        <v>Yes</v>
      </c>
      <c r="AK56" s="5" t="str">
        <f>IFERROR(__xludf.DUMMYFUNCTION("""COMPUTED_VALUE"""),"Yes")</f>
        <v>Yes</v>
      </c>
      <c r="AL56" s="5" t="str">
        <f>IFERROR(__xludf.DUMMYFUNCTION("""COMPUTED_VALUE"""),"Yes")</f>
        <v>Yes</v>
      </c>
      <c r="AM56" s="5"/>
      <c r="AN56" s="5"/>
      <c r="AO56" s="5"/>
      <c r="AP56" s="5"/>
      <c r="AQ56" s="5" t="str">
        <f>IFERROR(__xludf.DUMMYFUNCTION("""COMPUTED_VALUE"""),"Yes")</f>
        <v>Yes</v>
      </c>
      <c r="AR56" s="5"/>
      <c r="AS56" s="5"/>
      <c r="AT56" s="5"/>
      <c r="AU56" s="5"/>
      <c r="AV56" s="5" t="str">
        <f>IFERROR(__xludf.DUMMYFUNCTION("""COMPUTED_VALUE"""),"")</f>
        <v/>
      </c>
      <c r="AW56" s="5" t="str">
        <f>IFERROR(__xludf.DUMMYFUNCTION("""COMPUTED_VALUE"""),"")</f>
        <v/>
      </c>
      <c r="AX56" s="5" t="str">
        <f>IFERROR(__xludf.DUMMYFUNCTION("""COMPUTED_VALUE"""),"")</f>
        <v/>
      </c>
      <c r="AY56" s="5" t="str">
        <f>IFERROR(__xludf.DUMMYFUNCTION("""COMPUTED_VALUE"""),"")</f>
        <v/>
      </c>
      <c r="AZ56" s="5" t="str">
        <f>IFERROR(__xludf.DUMMYFUNCTION("""COMPUTED_VALUE"""),"")</f>
        <v/>
      </c>
      <c r="BA56" s="5" t="str">
        <f>IFERROR(__xludf.DUMMYFUNCTION("""COMPUTED_VALUE"""),"")</f>
        <v/>
      </c>
      <c r="BB56" s="5" t="str">
        <f>IFERROR(__xludf.DUMMYFUNCTION("""COMPUTED_VALUE"""),"")</f>
        <v/>
      </c>
    </row>
    <row r="57">
      <c r="A57" s="5" t="str">
        <f>IFERROR(__xludf.DUMMYFUNCTION("""COMPUTED_VALUE"""),"Redstone")</f>
        <v>Redstone</v>
      </c>
      <c r="B57" s="5" t="str">
        <f>IFERROR(__xludf.DUMMYFUNCTION("""COMPUTED_VALUE"""),"100 Clover Fire")</f>
        <v>100 Clover Fire</v>
      </c>
      <c r="C57" s="5" t="str">
        <f>IFERROR(__xludf.DUMMYFUNCTION("""COMPUTED_VALUE"""),"Redstone100CloverFire")</f>
        <v>Redstone100CloverFire</v>
      </c>
      <c r="D57" s="6">
        <f>IFERROR(__xludf.DUMMYFUNCTION("""COMPUTED_VALUE"""),45511.0)</f>
        <v>45511</v>
      </c>
      <c r="E57" s="5" t="str">
        <f>IFERROR(__xludf.DUMMYFUNCTION("""COMPUTED_VALUE"""),"Slot")</f>
        <v>Slot</v>
      </c>
      <c r="F57" s="5">
        <f>IFERROR(__xludf.DUMMYFUNCTION("""COMPUTED_VALUE"""),9.7)</f>
        <v>9.7</v>
      </c>
      <c r="G57" s="5" t="str">
        <f>IFERROR(__xludf.DUMMYFUNCTION("""COMPUTED_VALUE"""),"5x4")</f>
        <v>5x4</v>
      </c>
      <c r="H57" s="5">
        <f>IFERROR(__xludf.DUMMYFUNCTION("""COMPUTED_VALUE"""),100.0)</f>
        <v>100</v>
      </c>
      <c r="I57" s="5">
        <f>IFERROR(__xludf.DUMMYFUNCTION("""COMPUTED_VALUE"""),100.0)</f>
        <v>100</v>
      </c>
      <c r="J57" s="5" t="str">
        <f>IFERROR(__xludf.DUMMYFUNCTION("""COMPUTED_VALUE"""),"96.5%")</f>
        <v>96.5%</v>
      </c>
      <c r="K57" s="5" t="str">
        <f>IFERROR(__xludf.DUMMYFUNCTION("""COMPUTED_VALUE"""),"Medium")</f>
        <v>Medium</v>
      </c>
      <c r="L57" s="5" t="str">
        <f>IFERROR(__xludf.DUMMYFUNCTION("""COMPUTED_VALUE"""),"13.31%")</f>
        <v>13.31%</v>
      </c>
      <c r="M57" s="5" t="str">
        <f>IFERROR(__xludf.DUMMYFUNCTION("""COMPUTED_VALUE"""),"x3000")</f>
        <v>x3000</v>
      </c>
      <c r="N57" s="5" t="str">
        <f>IFERROR(__xludf.DUMMYFUNCTION("""COMPUTED_VALUE"""),"1/100")</f>
        <v>1/100</v>
      </c>
      <c r="O57" s="5" t="str">
        <f>IFERROR(__xludf.DUMMYFUNCTION("""COMPUTED_VALUE"""),"No")</f>
        <v>No</v>
      </c>
      <c r="P57" s="5" t="str">
        <f>IFERROR(__xludf.DUMMYFUNCTION("""COMPUTED_VALUE"""),"Scatter, Expanding Wild")</f>
        <v>Scatter, Expanding Wild</v>
      </c>
      <c r="Q57" s="7" t="str">
        <f>IFERROR(__xludf.DUMMYFUNCTION("""COMPUTED_VALUE"""),"https://static.redstone.rs/games/100-clover-fire/")</f>
        <v>https://static.redstone.rs/games/100-clover-fire/</v>
      </c>
      <c r="R57" s="5" t="str">
        <f>IFERROR(__xludf.DUMMYFUNCTION("""COMPUTED_VALUE"""),"100 Clover Fire means 100 ways to win! Feel the thrill, spin the reels and blaze your path to massive wins!")</f>
        <v>100 Clover Fire means 100 ways to win! Feel the thrill, spin the reels and blaze your path to massive wins!</v>
      </c>
      <c r="S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IFERROR(__xludf.DUMMYFUNCTION("""COMPUTED_VALUE"""),"Yes")</f>
        <v>Yes</v>
      </c>
      <c r="AH57" s="5" t="str">
        <f>IFERROR(__xludf.DUMMYFUNCTION("""COMPUTED_VALUE"""),"Yes")</f>
        <v>Yes</v>
      </c>
      <c r="AI57" s="5" t="str">
        <f>IFERROR(__xludf.DUMMYFUNCTION("""COMPUTED_VALUE"""),"Yes")</f>
        <v>Yes</v>
      </c>
      <c r="AJ57" s="5" t="str">
        <f>IFERROR(__xludf.DUMMYFUNCTION("""COMPUTED_VALUE"""),"Yes")</f>
        <v>Yes</v>
      </c>
      <c r="AK57" s="5" t="str">
        <f>IFERROR(__xludf.DUMMYFUNCTION("""COMPUTED_VALUE"""),"Yes")</f>
        <v>Yes</v>
      </c>
      <c r="AL57" s="5" t="str">
        <f>IFERROR(__xludf.DUMMYFUNCTION("""COMPUTED_VALUE"""),"Yes")</f>
        <v>Yes</v>
      </c>
      <c r="AM57" s="5"/>
      <c r="AN57" s="5"/>
      <c r="AO57" s="5"/>
      <c r="AP57" s="5"/>
      <c r="AQ57" s="5" t="str">
        <f>IFERROR(__xludf.DUMMYFUNCTION("""COMPUTED_VALUE"""),"Yes")</f>
        <v>Yes</v>
      </c>
      <c r="AR57" s="5"/>
      <c r="AS57" s="5"/>
      <c r="AT57" s="5"/>
      <c r="AU57" s="5"/>
      <c r="AV57" s="5" t="str">
        <f>IFERROR(__xludf.DUMMYFUNCTION("""COMPUTED_VALUE"""),"")</f>
        <v/>
      </c>
      <c r="AW57" s="5" t="str">
        <f>IFERROR(__xludf.DUMMYFUNCTION("""COMPUTED_VALUE"""),"")</f>
        <v/>
      </c>
      <c r="AX57" s="5" t="str">
        <f>IFERROR(__xludf.DUMMYFUNCTION("""COMPUTED_VALUE"""),"")</f>
        <v/>
      </c>
      <c r="AY57" s="5" t="str">
        <f>IFERROR(__xludf.DUMMYFUNCTION("""COMPUTED_VALUE"""),"")</f>
        <v/>
      </c>
      <c r="AZ57" s="5" t="str">
        <f>IFERROR(__xludf.DUMMYFUNCTION("""COMPUTED_VALUE"""),"")</f>
        <v/>
      </c>
      <c r="BA57" s="5" t="str">
        <f>IFERROR(__xludf.DUMMYFUNCTION("""COMPUTED_VALUE"""),"")</f>
        <v/>
      </c>
      <c r="BB57" s="5" t="str">
        <f>IFERROR(__xludf.DUMMYFUNCTION("""COMPUTED_VALUE"""),"")</f>
        <v/>
      </c>
    </row>
    <row r="58">
      <c r="A58" s="5" t="str">
        <f>IFERROR(__xludf.DUMMYFUNCTION("""COMPUTED_VALUE"""),"Redstone")</f>
        <v>Redstone</v>
      </c>
      <c r="B58" s="5" t="str">
        <f>IFERROR(__xludf.DUMMYFUNCTION("""COMPUTED_VALUE"""),"Volcano Crown")</f>
        <v>Volcano Crown</v>
      </c>
      <c r="C58" s="5" t="str">
        <f>IFERROR(__xludf.DUMMYFUNCTION("""COMPUTED_VALUE"""),"RedstoneVolcanoCrown")</f>
        <v>RedstoneVolcanoCrown</v>
      </c>
      <c r="D58" s="6">
        <f>IFERROR(__xludf.DUMMYFUNCTION("""COMPUTED_VALUE"""),45523.0)</f>
        <v>45523</v>
      </c>
      <c r="E58" s="5" t="str">
        <f>IFERROR(__xludf.DUMMYFUNCTION("""COMPUTED_VALUE"""),"Slot")</f>
        <v>Slot</v>
      </c>
      <c r="F58" s="5">
        <f>IFERROR(__xludf.DUMMYFUNCTION("""COMPUTED_VALUE"""),7.5)</f>
        <v>7.5</v>
      </c>
      <c r="G58" s="5" t="str">
        <f>IFERROR(__xludf.DUMMYFUNCTION("""COMPUTED_VALUE"""),"5x3")</f>
        <v>5x3</v>
      </c>
      <c r="H58" s="5">
        <f>IFERROR(__xludf.DUMMYFUNCTION("""COMPUTED_VALUE"""),10.0)</f>
        <v>10</v>
      </c>
      <c r="I58" s="5">
        <f>IFERROR(__xludf.DUMMYFUNCTION("""COMPUTED_VALUE"""),10.0)</f>
        <v>10</v>
      </c>
      <c r="J58" s="5" t="str">
        <f>IFERROR(__xludf.DUMMYFUNCTION("""COMPUTED_VALUE"""),"95.96%")</f>
        <v>95.96%</v>
      </c>
      <c r="K58" s="5" t="str">
        <f>IFERROR(__xludf.DUMMYFUNCTION("""COMPUTED_VALUE"""),"Medium")</f>
        <v>Medium</v>
      </c>
      <c r="L58" s="5" t="str">
        <f>IFERROR(__xludf.DUMMYFUNCTION("""COMPUTED_VALUE"""),"14.63%")</f>
        <v>14.63%</v>
      </c>
      <c r="M58" s="5" t="str">
        <f>IFERROR(__xludf.DUMMYFUNCTION("""COMPUTED_VALUE"""),"x1538")</f>
        <v>x1538</v>
      </c>
      <c r="N58" s="5" t="str">
        <f>IFERROR(__xludf.DUMMYFUNCTION("""COMPUTED_VALUE"""),"0.10/40")</f>
        <v>0.10/40</v>
      </c>
      <c r="O58" s="5" t="str">
        <f>IFERROR(__xludf.DUMMYFUNCTION("""COMPUTED_VALUE"""),"No")</f>
        <v>No</v>
      </c>
      <c r="P58" s="5" t="str">
        <f>IFERROR(__xludf.DUMMYFUNCTION("""COMPUTED_VALUE"""),"Expanding Wild, Scatter")</f>
        <v>Expanding Wild, Scatter</v>
      </c>
      <c r="Q58" s="7" t="str">
        <f>IFERROR(__xludf.DUMMYFUNCTION("""COMPUTED_VALUE"""),"https://static.redstone.rs/games/volcano-crown/")</f>
        <v>https://static.redstone.rs/games/volcano-crown/</v>
      </c>
      <c r="R58" s="5" t="str">
        <f>IFERROR(__xludf.DUMMYFUNCTION("""COMPUTED_VALUE"""),"Feel the lava flow as you spin for regal rewards. Erupt with excitement and claim your Volcano Crown today!")</f>
        <v>Feel the lava flow as you spin for regal rewards. Erupt with excitement and claim your Volcano Crown today!</v>
      </c>
      <c r="S5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IFERROR(__xludf.DUMMYFUNCTION("""COMPUTED_VALUE"""),"Yes")</f>
        <v>Yes</v>
      </c>
      <c r="U58" s="5" t="str">
        <f>IFERROR(__xludf.DUMMYFUNCTION("""COMPUTED_VALUE"""),"Yes")</f>
        <v>Yes</v>
      </c>
      <c r="V58" s="5" t="str">
        <f>IFERROR(__xludf.DUMMYFUNCTION("""COMPUTED_VALUE"""),"No")</f>
        <v>No</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t="str">
        <f>IFERROR(__xludf.DUMMYFUNCTION("""COMPUTED_VALUE"""),"No")</f>
        <v>No</v>
      </c>
      <c r="AN58" s="5" t="str">
        <f>IFERROR(__xludf.DUMMYFUNCTION("""COMPUTED_VALUE"""),"No")</f>
        <v>No</v>
      </c>
      <c r="AO58" s="5" t="str">
        <f>IFERROR(__xludf.DUMMYFUNCTION("""COMPUTED_VALUE"""),"No")</f>
        <v>No</v>
      </c>
      <c r="AP58" s="5" t="str">
        <f>IFERROR(__xludf.DUMMYFUNCTION("""COMPUTED_VALUE"""),"No")</f>
        <v>No</v>
      </c>
      <c r="AQ58" s="5" t="str">
        <f>IFERROR(__xludf.DUMMYFUNCTION("""COMPUTED_VALUE"""),"No")</f>
        <v>No</v>
      </c>
      <c r="AR58" s="5" t="str">
        <f>IFERROR(__xludf.DUMMYFUNCTION("""COMPUTED_VALUE"""),"No")</f>
        <v>No</v>
      </c>
      <c r="AS58" s="5" t="str">
        <f>IFERROR(__xludf.DUMMYFUNCTION("""COMPUTED_VALUE"""),"Yes")</f>
        <v>Yes</v>
      </c>
      <c r="AT58" s="5" t="str">
        <f>IFERROR(__xludf.DUMMYFUNCTION("""COMPUTED_VALUE"""),"No")</f>
        <v>No</v>
      </c>
      <c r="AU58" s="5"/>
      <c r="AV58" s="5" t="str">
        <f>IFERROR(__xludf.DUMMYFUNCTION("""COMPUTED_VALUE"""),"")</f>
        <v/>
      </c>
      <c r="AW58" s="5" t="str">
        <f>IFERROR(__xludf.DUMMYFUNCTION("""COMPUTED_VALUE"""),"")</f>
        <v/>
      </c>
      <c r="AX58" s="5" t="str">
        <f>IFERROR(__xludf.DUMMYFUNCTION("""COMPUTED_VALUE"""),"")</f>
        <v/>
      </c>
      <c r="AY58" s="5" t="str">
        <f>IFERROR(__xludf.DUMMYFUNCTION("""COMPUTED_VALUE"""),"")</f>
        <v/>
      </c>
      <c r="AZ58" s="5" t="str">
        <f>IFERROR(__xludf.DUMMYFUNCTION("""COMPUTED_VALUE"""),"")</f>
        <v/>
      </c>
      <c r="BA58" s="5" t="str">
        <f>IFERROR(__xludf.DUMMYFUNCTION("""COMPUTED_VALUE"""),"")</f>
        <v/>
      </c>
      <c r="BB58" s="5" t="str">
        <f>IFERROR(__xludf.DUMMYFUNCTION("""COMPUTED_VALUE"""),"")</f>
        <v/>
      </c>
    </row>
    <row r="59">
      <c r="A59" s="5" t="str">
        <f>IFERROR(__xludf.DUMMYFUNCTION("""COMPUTED_VALUE"""),"Redstone")</f>
        <v>Redstone</v>
      </c>
      <c r="B59" s="5" t="str">
        <f>IFERROR(__xludf.DUMMYFUNCTION("""COMPUTED_VALUE"""),"Spooky Spins")</f>
        <v>Spooky Spins</v>
      </c>
      <c r="C59" s="5" t="str">
        <f>IFERROR(__xludf.DUMMYFUNCTION("""COMPUTED_VALUE"""),"RedstoneSpookySpins")</f>
        <v>RedstoneSpookySpins</v>
      </c>
      <c r="D59" s="6">
        <f>IFERROR(__xludf.DUMMYFUNCTION("""COMPUTED_VALUE"""),45574.0)</f>
        <v>45574</v>
      </c>
      <c r="E59" s="5" t="str">
        <f>IFERROR(__xludf.DUMMYFUNCTION("""COMPUTED_VALUE"""),"Slot")</f>
        <v>Slot</v>
      </c>
      <c r="F59" s="5">
        <f>IFERROR(__xludf.DUMMYFUNCTION("""COMPUTED_VALUE"""),12.0)</f>
        <v>12</v>
      </c>
      <c r="G59" s="5" t="str">
        <f>IFERROR(__xludf.DUMMYFUNCTION("""COMPUTED_VALUE"""),"5x3")</f>
        <v>5x3</v>
      </c>
      <c r="H59" s="5">
        <f>IFERROR(__xludf.DUMMYFUNCTION("""COMPUTED_VALUE"""),10.0)</f>
        <v>10</v>
      </c>
      <c r="I59" s="5">
        <f>IFERROR(__xludf.DUMMYFUNCTION("""COMPUTED_VALUE"""),10.0)</f>
        <v>10</v>
      </c>
      <c r="J59" s="5" t="str">
        <f>IFERROR(__xludf.DUMMYFUNCTION("""COMPUTED_VALUE"""),"96.53%")</f>
        <v>96.53%</v>
      </c>
      <c r="K59" s="5" t="str">
        <f>IFERROR(__xludf.DUMMYFUNCTION("""COMPUTED_VALUE"""),"High")</f>
        <v>High</v>
      </c>
      <c r="L59" s="5" t="str">
        <f>IFERROR(__xludf.DUMMYFUNCTION("""COMPUTED_VALUE"""),"10.61%")</f>
        <v>10.61%</v>
      </c>
      <c r="M59" s="5" t="str">
        <f>IFERROR(__xludf.DUMMYFUNCTION("""COMPUTED_VALUE"""),"x20108")</f>
        <v>x20108</v>
      </c>
      <c r="N59" s="5" t="str">
        <f>IFERROR(__xludf.DUMMYFUNCTION("""COMPUTED_VALUE"""),"0.10/40")</f>
        <v>0.10/40</v>
      </c>
      <c r="O59" s="5" t="str">
        <f>IFERROR(__xludf.DUMMYFUNCTION("""COMPUTED_VALUE"""),"No")</f>
        <v>No</v>
      </c>
      <c r="P59" s="5" t="str">
        <f>IFERROR(__xludf.DUMMYFUNCTION("""COMPUTED_VALUE"""),"Expanding Wild, Scatter, Bonus Game with Free Spins, Extralines")</f>
        <v>Expanding Wild, Scatter, Bonus Game with Free Spins, Extralines</v>
      </c>
      <c r="Q59" s="7" t="str">
        <f>IFERROR(__xludf.DUMMYFUNCTION("""COMPUTED_VALUE"""),"https://static.redstone.rs/games/spooky-spins/")</f>
        <v>https://static.redstone.rs/games/spooky-spins/</v>
      </c>
      <c r="R59" s="5" t="str">
        <f>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S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IFERROR(__xludf.DUMMYFUNCTION("""COMPUTED_VALUE"""),"Yes")</f>
        <v>Yes</v>
      </c>
      <c r="AJ59" s="5" t="str">
        <f>IFERROR(__xludf.DUMMYFUNCTION("""COMPUTED_VALUE"""),"Yes")</f>
        <v>Yes</v>
      </c>
      <c r="AK59" s="5" t="str">
        <f>IFERROR(__xludf.DUMMYFUNCTION("""COMPUTED_VALUE"""),"Yes")</f>
        <v>Yes</v>
      </c>
      <c r="AL59" s="5" t="str">
        <f>IFERROR(__xludf.DUMMYFUNCTION("""COMPUTED_VALUE"""),"Yes")</f>
        <v>Yes</v>
      </c>
      <c r="AM59" s="5"/>
      <c r="AN59" s="5"/>
      <c r="AO59" s="5"/>
      <c r="AP59" s="5"/>
      <c r="AQ59" s="5" t="str">
        <f>IFERROR(__xludf.DUMMYFUNCTION("""COMPUTED_VALUE"""),"Yes")</f>
        <v>Yes</v>
      </c>
      <c r="AR59" s="5"/>
      <c r="AS59" s="5"/>
      <c r="AT59" s="5"/>
      <c r="AU59" s="5"/>
      <c r="AV59" s="5" t="str">
        <f>IFERROR(__xludf.DUMMYFUNCTION("""COMPUTED_VALUE"""),"")</f>
        <v/>
      </c>
      <c r="AW59" s="5" t="str">
        <f>IFERROR(__xludf.DUMMYFUNCTION("""COMPUTED_VALUE"""),"")</f>
        <v/>
      </c>
      <c r="AX59" s="5" t="str">
        <f>IFERROR(__xludf.DUMMYFUNCTION("""COMPUTED_VALUE"""),"")</f>
        <v/>
      </c>
      <c r="AY59" s="5" t="str">
        <f>IFERROR(__xludf.DUMMYFUNCTION("""COMPUTED_VALUE"""),"")</f>
        <v/>
      </c>
      <c r="AZ59" s="5" t="str">
        <f>IFERROR(__xludf.DUMMYFUNCTION("""COMPUTED_VALUE"""),"")</f>
        <v/>
      </c>
      <c r="BA59" s="5" t="str">
        <f>IFERROR(__xludf.DUMMYFUNCTION("""COMPUTED_VALUE"""),"")</f>
        <v/>
      </c>
      <c r="BB59" s="5" t="str">
        <f>IFERROR(__xludf.DUMMYFUNCTION("""COMPUTED_VALUE"""),"")</f>
        <v/>
      </c>
    </row>
    <row r="60">
      <c r="A60" s="5" t="str">
        <f>IFERROR(__xludf.DUMMYFUNCTION("""COMPUTED_VALUE"""),"Redstone")</f>
        <v>Redstone</v>
      </c>
      <c r="B60" s="5" t="str">
        <f>IFERROR(__xludf.DUMMYFUNCTION("""COMPUTED_VALUE"""),"5 Wild Fire")</f>
        <v>5 Wild Fire</v>
      </c>
      <c r="C60" s="5" t="str">
        <f>IFERROR(__xludf.DUMMYFUNCTION("""COMPUTED_VALUE"""),"Redstone5WildFire")</f>
        <v>Redstone5WildFire</v>
      </c>
      <c r="D60" s="6">
        <f>IFERROR(__xludf.DUMMYFUNCTION("""COMPUTED_VALUE"""),45568.0)</f>
        <v>45568</v>
      </c>
      <c r="E60" s="5" t="str">
        <f>IFERROR(__xludf.DUMMYFUNCTION("""COMPUTED_VALUE"""),"Slot")</f>
        <v>Slot</v>
      </c>
      <c r="F60" s="5">
        <f>IFERROR(__xludf.DUMMYFUNCTION("""COMPUTED_VALUE"""),11.2)</f>
        <v>11.2</v>
      </c>
      <c r="G60" s="5" t="str">
        <f>IFERROR(__xludf.DUMMYFUNCTION("""COMPUTED_VALUE"""),"5x3")</f>
        <v>5x3</v>
      </c>
      <c r="H60" s="5">
        <f>IFERROR(__xludf.DUMMYFUNCTION("""COMPUTED_VALUE"""),5.0)</f>
        <v>5</v>
      </c>
      <c r="I60" s="5">
        <f>IFERROR(__xludf.DUMMYFUNCTION("""COMPUTED_VALUE"""),5.0)</f>
        <v>5</v>
      </c>
      <c r="J60" s="5" t="str">
        <f>IFERROR(__xludf.DUMMYFUNCTION("""COMPUTED_VALUE"""),"96.2%")</f>
        <v>96.2%</v>
      </c>
      <c r="K60" s="5" t="str">
        <f>IFERROR(__xludf.DUMMYFUNCTION("""COMPUTED_VALUE"""),"Medium")</f>
        <v>Medium</v>
      </c>
      <c r="L60" s="5" t="str">
        <f>IFERROR(__xludf.DUMMYFUNCTION("""COMPUTED_VALUE"""),"11.91%")</f>
        <v>11.91%</v>
      </c>
      <c r="M60" s="5" t="str">
        <f>IFERROR(__xludf.DUMMYFUNCTION("""COMPUTED_VALUE"""),"x2000")</f>
        <v>x2000</v>
      </c>
      <c r="N60" s="5" t="str">
        <f>IFERROR(__xludf.DUMMYFUNCTION("""COMPUTED_VALUE"""),"0.01/50")</f>
        <v>0.01/50</v>
      </c>
      <c r="O60" s="5" t="str">
        <f>IFERROR(__xludf.DUMMYFUNCTION("""COMPUTED_VALUE"""),"No")</f>
        <v>No</v>
      </c>
      <c r="P60" s="5" t="str">
        <f>IFERROR(__xludf.DUMMYFUNCTION("""COMPUTED_VALUE"""),"Wild Symbol")</f>
        <v>Wild Symbol</v>
      </c>
      <c r="Q60" s="7" t="str">
        <f>IFERROR(__xludf.DUMMYFUNCTION("""COMPUTED_VALUE"""),"https://static.redstone.rs/games/5-wild-fire/")</f>
        <v>https://static.redstone.rs/games/5-wild-fire/</v>
      </c>
      <c r="R60" s="5" t="str">
        <f>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S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IFERROR(__xludf.DUMMYFUNCTION("""COMPUTED_VALUE"""),"Yes")</f>
        <v>Yes</v>
      </c>
      <c r="AH60" s="5" t="str">
        <f>IFERROR(__xludf.DUMMYFUNCTION("""COMPUTED_VALUE"""),"Yes")</f>
        <v>Yes</v>
      </c>
      <c r="AI60" s="5" t="str">
        <f>IFERROR(__xludf.DUMMYFUNCTION("""COMPUTED_VALUE"""),"Yes")</f>
        <v>Yes</v>
      </c>
      <c r="AJ60" s="5" t="str">
        <f>IFERROR(__xludf.DUMMYFUNCTION("""COMPUTED_VALUE"""),"Yes")</f>
        <v>Yes</v>
      </c>
      <c r="AK60" s="5" t="str">
        <f>IFERROR(__xludf.DUMMYFUNCTION("""COMPUTED_VALUE"""),"Yes")</f>
        <v>Yes</v>
      </c>
      <c r="AL60" s="5" t="str">
        <f>IFERROR(__xludf.DUMMYFUNCTION("""COMPUTED_VALUE"""),"Yes")</f>
        <v>Yes</v>
      </c>
      <c r="AM60" s="5"/>
      <c r="AN60" s="5"/>
      <c r="AO60" s="5"/>
      <c r="AP60" s="5"/>
      <c r="AQ60" s="5" t="str">
        <f>IFERROR(__xludf.DUMMYFUNCTION("""COMPUTED_VALUE"""),"Yes")</f>
        <v>Yes</v>
      </c>
      <c r="AR60" s="5"/>
      <c r="AS60" s="5"/>
      <c r="AT60" s="5"/>
      <c r="AU60" s="5"/>
      <c r="AV60" s="5" t="str">
        <f>IFERROR(__xludf.DUMMYFUNCTION("""COMPUTED_VALUE"""),"")</f>
        <v/>
      </c>
      <c r="AW60" s="5" t="str">
        <f>IFERROR(__xludf.DUMMYFUNCTION("""COMPUTED_VALUE"""),"")</f>
        <v/>
      </c>
      <c r="AX60" s="5" t="str">
        <f>IFERROR(__xludf.DUMMYFUNCTION("""COMPUTED_VALUE"""),"")</f>
        <v/>
      </c>
      <c r="AY60" s="5" t="str">
        <f>IFERROR(__xludf.DUMMYFUNCTION("""COMPUTED_VALUE"""),"")</f>
        <v/>
      </c>
      <c r="AZ60" s="5" t="str">
        <f>IFERROR(__xludf.DUMMYFUNCTION("""COMPUTED_VALUE"""),"")</f>
        <v/>
      </c>
      <c r="BA60" s="5" t="str">
        <f>IFERROR(__xludf.DUMMYFUNCTION("""COMPUTED_VALUE"""),"")</f>
        <v/>
      </c>
      <c r="BB60" s="5" t="str">
        <f>IFERROR(__xludf.DUMMYFUNCTION("""COMPUTED_VALUE"""),"")</f>
        <v/>
      </c>
    </row>
    <row r="61">
      <c r="A61" s="5" t="str">
        <f>IFERROR(__xludf.DUMMYFUNCTION("""COMPUTED_VALUE"""),"Redstone")</f>
        <v>Redstone</v>
      </c>
      <c r="B61" s="5" t="str">
        <f>IFERROR(__xludf.DUMMYFUNCTION("""COMPUTED_VALUE"""),"81 Double Magic")</f>
        <v>81 Double Magic</v>
      </c>
      <c r="C61" s="5" t="str">
        <f>IFERROR(__xludf.DUMMYFUNCTION("""COMPUTED_VALUE"""),"Redstone81DoubleMagic")</f>
        <v>Redstone81DoubleMagic</v>
      </c>
      <c r="D61" s="6">
        <f>IFERROR(__xludf.DUMMYFUNCTION("""COMPUTED_VALUE"""),45586.0)</f>
        <v>45586</v>
      </c>
      <c r="E61" s="5" t="str">
        <f>IFERROR(__xludf.DUMMYFUNCTION("""COMPUTED_VALUE"""),"Slot")</f>
        <v>Slot</v>
      </c>
      <c r="F61" s="5">
        <f>IFERROR(__xludf.DUMMYFUNCTION("""COMPUTED_VALUE"""),9.7)</f>
        <v>9.7</v>
      </c>
      <c r="G61" s="5" t="str">
        <f>IFERROR(__xludf.DUMMYFUNCTION("""COMPUTED_VALUE"""),"4x3")</f>
        <v>4x3</v>
      </c>
      <c r="H61" s="5">
        <f>IFERROR(__xludf.DUMMYFUNCTION("""COMPUTED_VALUE"""),81.0)</f>
        <v>81</v>
      </c>
      <c r="I61" s="5">
        <f>IFERROR(__xludf.DUMMYFUNCTION("""COMPUTED_VALUE"""),81.0)</f>
        <v>81</v>
      </c>
      <c r="J61" s="5" t="str">
        <f>IFERROR(__xludf.DUMMYFUNCTION("""COMPUTED_VALUE"""),"96.55%")</f>
        <v>96.55%</v>
      </c>
      <c r="K61" s="5" t="str">
        <f>IFERROR(__xludf.DUMMYFUNCTION("""COMPUTED_VALUE"""),"High")</f>
        <v>High</v>
      </c>
      <c r="L61" s="5" t="str">
        <f>IFERROR(__xludf.DUMMYFUNCTION("""COMPUTED_VALUE"""),"5.1%")</f>
        <v>5.1%</v>
      </c>
      <c r="M61" s="5" t="str">
        <f>IFERROR(__xludf.DUMMYFUNCTION("""COMPUTED_VALUE"""),"x3200")</f>
        <v>x3200</v>
      </c>
      <c r="N61" s="5" t="str">
        <f>IFERROR(__xludf.DUMMYFUNCTION("""COMPUTED_VALUE"""),"0.05/20")</f>
        <v>0.05/20</v>
      </c>
      <c r="O61" s="5" t="str">
        <f>IFERROR(__xludf.DUMMYFUNCTION("""COMPUTED_VALUE"""),"No")</f>
        <v>No</v>
      </c>
      <c r="P61" s="5" t="str">
        <f>IFERROR(__xludf.DUMMYFUNCTION("""COMPUTED_VALUE"""),"Mystery symbol, Wild Multiplier")</f>
        <v>Mystery symbol, Wild Multiplier</v>
      </c>
      <c r="Q61" s="7" t="str">
        <f>IFERROR(__xludf.DUMMYFUNCTION("""COMPUTED_VALUE"""),"https://static.redstone.rs/games/81-double-magic/")</f>
        <v>https://static.redstone.rs/games/81-double-magic/</v>
      </c>
      <c r="R61" s="5" t="str">
        <f>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S6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5" t="str">
        <f>IFERROR(__xludf.DUMMYFUNCTION("""COMPUTED_VALUE"""),"Yes")</f>
        <v>Yes</v>
      </c>
      <c r="U61" s="5" t="str">
        <f>IFERROR(__xludf.DUMMYFUNCTION("""COMPUTED_VALUE"""),"Yes")</f>
        <v>Yes</v>
      </c>
      <c r="V61" s="5" t="str">
        <f>IFERROR(__xludf.DUMMYFUNCTION("""COMPUTED_VALUE"""),"Yes")</f>
        <v>Yes</v>
      </c>
      <c r="W61" s="5" t="str">
        <f>IFERROR(__xludf.DUMMYFUNCTION("""COMPUTED_VALUE"""),"No")</f>
        <v>No</v>
      </c>
      <c r="X61" s="5" t="str">
        <f>IFERROR(__xludf.DUMMYFUNCTION("""COMPUTED_VALUE"""),"No")</f>
        <v>No</v>
      </c>
      <c r="Y61" s="5" t="str">
        <f>IFERROR(__xludf.DUMMYFUNCTION("""COMPUTED_VALUE"""),"No")</f>
        <v>No</v>
      </c>
      <c r="Z61" s="5" t="str">
        <f>IFERROR(__xludf.DUMMYFUNCTION("""COMPUTED_VALUE"""),"No")</f>
        <v>No</v>
      </c>
      <c r="AA61" s="5" t="str">
        <f>IFERROR(__xludf.DUMMYFUNCTION("""COMPUTED_VALUE"""),"No")</f>
        <v>No</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IFERROR(__xludf.DUMMYFUNCTION("""COMPUTED_VALUE"""),"No")</f>
        <v>No</v>
      </c>
      <c r="AH61" s="5" t="str">
        <f>IFERROR(__xludf.DUMMYFUNCTION("""COMPUTED_VALUE"""),"Yes")</f>
        <v>Yes</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c r="AN61" s="5"/>
      <c r="AO61" s="5" t="str">
        <f>IFERROR(__xludf.DUMMYFUNCTION("""COMPUTED_VALUE"""),"No")</f>
        <v>No</v>
      </c>
      <c r="AP61" s="5"/>
      <c r="AQ61" s="5" t="str">
        <f>IFERROR(__xludf.DUMMYFUNCTION("""COMPUTED_VALUE"""),"No")</f>
        <v>No</v>
      </c>
      <c r="AR61" s="5"/>
      <c r="AS61" s="5" t="str">
        <f>IFERROR(__xludf.DUMMYFUNCTION("""COMPUTED_VALUE"""),"No")</f>
        <v>No</v>
      </c>
      <c r="AT61" s="5" t="str">
        <f>IFERROR(__xludf.DUMMYFUNCTION("""COMPUTED_VALUE"""),"No")</f>
        <v>No</v>
      </c>
      <c r="AU61" s="5"/>
      <c r="AV61" s="5" t="str">
        <f>IFERROR(__xludf.DUMMYFUNCTION("""COMPUTED_VALUE"""),"")</f>
        <v/>
      </c>
      <c r="AW61" s="5" t="str">
        <f>IFERROR(__xludf.DUMMYFUNCTION("""COMPUTED_VALUE"""),"")</f>
        <v/>
      </c>
      <c r="AX61" s="5" t="str">
        <f>IFERROR(__xludf.DUMMYFUNCTION("""COMPUTED_VALUE"""),"")</f>
        <v/>
      </c>
      <c r="AY61" s="5" t="str">
        <f>IFERROR(__xludf.DUMMYFUNCTION("""COMPUTED_VALUE"""),"")</f>
        <v/>
      </c>
      <c r="AZ61" s="5" t="str">
        <f>IFERROR(__xludf.DUMMYFUNCTION("""COMPUTED_VALUE"""),"")</f>
        <v/>
      </c>
      <c r="BA61" s="5" t="str">
        <f>IFERROR(__xludf.DUMMYFUNCTION("""COMPUTED_VALUE"""),"")</f>
        <v/>
      </c>
      <c r="BB61" s="5" t="str">
        <f>IFERROR(__xludf.DUMMYFUNCTION("""COMPUTED_VALUE"""),"")</f>
        <v/>
      </c>
    </row>
    <row r="62">
      <c r="A62" s="5" t="str">
        <f>IFERROR(__xludf.DUMMYFUNCTION("""COMPUTED_VALUE"""),"Redstone")</f>
        <v>Redstone</v>
      </c>
      <c r="B62" s="5" t="str">
        <f>IFERROR(__xludf.DUMMYFUNCTION("""COMPUTED_VALUE"""),"Only Anime")</f>
        <v>Only Anime</v>
      </c>
      <c r="C62" s="5" t="str">
        <f>IFERROR(__xludf.DUMMYFUNCTION("""COMPUTED_VALUE"""),"RedstoneOnlyAnime")</f>
        <v>RedstoneOnlyAnime</v>
      </c>
      <c r="D62" s="6">
        <f>IFERROR(__xludf.DUMMYFUNCTION("""COMPUTED_VALUE"""),45610.0)</f>
        <v>45610</v>
      </c>
      <c r="E62" s="5" t="str">
        <f>IFERROR(__xludf.DUMMYFUNCTION("""COMPUTED_VALUE"""),"Slot")</f>
        <v>Slot</v>
      </c>
      <c r="F62" s="5">
        <f>IFERROR(__xludf.DUMMYFUNCTION("""COMPUTED_VALUE"""),8.5)</f>
        <v>8.5</v>
      </c>
      <c r="G62" s="5" t="str">
        <f>IFERROR(__xludf.DUMMYFUNCTION("""COMPUTED_VALUE"""),"5x3")</f>
        <v>5x3</v>
      </c>
      <c r="H62" s="5">
        <f>IFERROR(__xludf.DUMMYFUNCTION("""COMPUTED_VALUE"""),5.0)</f>
        <v>5</v>
      </c>
      <c r="I62" s="5">
        <f>IFERROR(__xludf.DUMMYFUNCTION("""COMPUTED_VALUE"""),5.0)</f>
        <v>5</v>
      </c>
      <c r="J62" s="5" t="str">
        <f>IFERROR(__xludf.DUMMYFUNCTION("""COMPUTED_VALUE"""),"96.36%")</f>
        <v>96.36%</v>
      </c>
      <c r="K62" s="5" t="str">
        <f>IFERROR(__xludf.DUMMYFUNCTION("""COMPUTED_VALUE"""),"Medium")</f>
        <v>Medium</v>
      </c>
      <c r="L62" s="5" t="str">
        <f>IFERROR(__xludf.DUMMYFUNCTION("""COMPUTED_VALUE"""),"11.87%")</f>
        <v>11.87%</v>
      </c>
      <c r="M62" s="5" t="str">
        <f>IFERROR(__xludf.DUMMYFUNCTION("""COMPUTED_VALUE"""),"x2000")</f>
        <v>x2000</v>
      </c>
      <c r="N62" s="5" t="str">
        <f>IFERROR(__xludf.DUMMYFUNCTION("""COMPUTED_VALUE"""),"0.01/50")</f>
        <v>0.01/50</v>
      </c>
      <c r="O62" s="5" t="str">
        <f>IFERROR(__xludf.DUMMYFUNCTION("""COMPUTED_VALUE"""),"No")</f>
        <v>No</v>
      </c>
      <c r="P62" s="5" t="str">
        <f>IFERROR(__xludf.DUMMYFUNCTION("""COMPUTED_VALUE"""),"Scatter, Expanding Wild")</f>
        <v>Scatter, Expanding Wild</v>
      </c>
      <c r="Q62" s="7" t="str">
        <f>IFERROR(__xludf.DUMMYFUNCTION("""COMPUTED_VALUE"""),"https://static.redstone.rs/games/only-anime/")</f>
        <v>https://static.redstone.rs/games/only-anime/</v>
      </c>
      <c r="R62" s="5" t="str">
        <f>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S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IFERROR(__xludf.DUMMYFUNCTION("""COMPUTED_VALUE"""),"Yes")</f>
        <v>Yes</v>
      </c>
      <c r="AJ62" s="5" t="str">
        <f>IFERROR(__xludf.DUMMYFUNCTION("""COMPUTED_VALUE"""),"Yes")</f>
        <v>Yes</v>
      </c>
      <c r="AK62" s="5" t="str">
        <f>IFERROR(__xludf.DUMMYFUNCTION("""COMPUTED_VALUE"""),"Yes")</f>
        <v>Yes</v>
      </c>
      <c r="AL62" s="5" t="str">
        <f>IFERROR(__xludf.DUMMYFUNCTION("""COMPUTED_VALUE"""),"Yes")</f>
        <v>Yes</v>
      </c>
      <c r="AM62" s="5"/>
      <c r="AN62" s="5"/>
      <c r="AO62" s="5"/>
      <c r="AP62" s="5"/>
      <c r="AQ62" s="5" t="str">
        <f>IFERROR(__xludf.DUMMYFUNCTION("""COMPUTED_VALUE"""),"Yes")</f>
        <v>Yes</v>
      </c>
      <c r="AR62" s="5"/>
      <c r="AS62" s="5"/>
      <c r="AT62" s="5"/>
      <c r="AU62" s="5"/>
      <c r="AV62" s="5" t="str">
        <f>IFERROR(__xludf.DUMMYFUNCTION("""COMPUTED_VALUE"""),"")</f>
        <v/>
      </c>
      <c r="AW62" s="5" t="str">
        <f>IFERROR(__xludf.DUMMYFUNCTION("""COMPUTED_VALUE"""),"")</f>
        <v/>
      </c>
      <c r="AX62" s="5" t="str">
        <f>IFERROR(__xludf.DUMMYFUNCTION("""COMPUTED_VALUE"""),"")</f>
        <v/>
      </c>
      <c r="AY62" s="5" t="str">
        <f>IFERROR(__xludf.DUMMYFUNCTION("""COMPUTED_VALUE"""),"")</f>
        <v/>
      </c>
      <c r="AZ62" s="5" t="str">
        <f>IFERROR(__xludf.DUMMYFUNCTION("""COMPUTED_VALUE"""),"")</f>
        <v/>
      </c>
      <c r="BA62" s="5" t="str">
        <f>IFERROR(__xludf.DUMMYFUNCTION("""COMPUTED_VALUE"""),"")</f>
        <v/>
      </c>
      <c r="BB62" s="5" t="str">
        <f>IFERROR(__xludf.DUMMYFUNCTION("""COMPUTED_VALUE"""),"")</f>
        <v/>
      </c>
    </row>
    <row r="63">
      <c r="A63" s="5" t="str">
        <f>IFERROR(__xludf.DUMMYFUNCTION("""COMPUTED_VALUE"""),"Redstone")</f>
        <v>Redstone</v>
      </c>
      <c r="B63" s="5" t="str">
        <f>IFERROR(__xludf.DUMMYFUNCTION("""COMPUTED_VALUE"""),"27 Double Fruits")</f>
        <v>27 Double Fruits</v>
      </c>
      <c r="C63" s="5" t="str">
        <f>IFERROR(__xludf.DUMMYFUNCTION("""COMPUTED_VALUE"""),"Redstone27DoubleFruit")</f>
        <v>Redstone27DoubleFruit</v>
      </c>
      <c r="D63" s="6">
        <f>IFERROR(__xludf.DUMMYFUNCTION("""COMPUTED_VALUE"""),45621.0)</f>
        <v>45621</v>
      </c>
      <c r="E63" s="5" t="str">
        <f>IFERROR(__xludf.DUMMYFUNCTION("""COMPUTED_VALUE"""),"Slot")</f>
        <v>Slot</v>
      </c>
      <c r="F63" s="5">
        <f>IFERROR(__xludf.DUMMYFUNCTION("""COMPUTED_VALUE"""),6.2)</f>
        <v>6.2</v>
      </c>
      <c r="G63" s="5" t="str">
        <f>IFERROR(__xludf.DUMMYFUNCTION("""COMPUTED_VALUE"""),"3x3")</f>
        <v>3x3</v>
      </c>
      <c r="H63" s="5">
        <f>IFERROR(__xludf.DUMMYFUNCTION("""COMPUTED_VALUE"""),27.0)</f>
        <v>27</v>
      </c>
      <c r="I63" s="5">
        <f>IFERROR(__xludf.DUMMYFUNCTION("""COMPUTED_VALUE"""),27.0)</f>
        <v>27</v>
      </c>
      <c r="J63" s="5" t="str">
        <f>IFERROR(__xludf.DUMMYFUNCTION("""COMPUTED_VALUE"""),"96.24%")</f>
        <v>96.24%</v>
      </c>
      <c r="K63" s="5" t="str">
        <f>IFERROR(__xludf.DUMMYFUNCTION("""COMPUTED_VALUE"""),"Low")</f>
        <v>Low</v>
      </c>
      <c r="L63" s="5" t="str">
        <f>IFERROR(__xludf.DUMMYFUNCTION("""COMPUTED_VALUE"""),"6.58%")</f>
        <v>6.58%</v>
      </c>
      <c r="M63" s="5" t="str">
        <f>IFERROR(__xludf.DUMMYFUNCTION("""COMPUTED_VALUE"""),"x108")</f>
        <v>x108</v>
      </c>
      <c r="N63" s="5" t="str">
        <f>IFERROR(__xludf.DUMMYFUNCTION("""COMPUTED_VALUE"""),"0.10/50")</f>
        <v>0.10/50</v>
      </c>
      <c r="O63" s="5" t="str">
        <f>IFERROR(__xludf.DUMMYFUNCTION("""COMPUTED_VALUE"""),"No")</f>
        <v>No</v>
      </c>
      <c r="P63" s="5" t="str">
        <f>IFERROR(__xludf.DUMMYFUNCTION("""COMPUTED_VALUE"""),"Win Multiplier")</f>
        <v>Win Multiplier</v>
      </c>
      <c r="Q63" s="7" t="str">
        <f>IFERROR(__xludf.DUMMYFUNCTION("""COMPUTED_VALUE"""),"https://static.redstone.rs/games/27-double-fruits/")</f>
        <v>https://static.redstone.rs/games/27-double-fruits/</v>
      </c>
      <c r="R63" s="5" t="str">
        <f>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S6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3" s="5" t="str">
        <f>IFERROR(__xludf.DUMMYFUNCTION("""COMPUTED_VALUE"""),"Yes")</f>
        <v>Yes</v>
      </c>
      <c r="U63" s="5" t="str">
        <f>IFERROR(__xludf.DUMMYFUNCTION("""COMPUTED_VALUE"""),"Yes")</f>
        <v>Yes</v>
      </c>
      <c r="V63" s="5" t="str">
        <f>IFERROR(__xludf.DUMMYFUNCTION("""COMPUTED_VALUE"""),"No")</f>
        <v>No</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IFERROR(__xludf.DUMMYFUNCTION("""COMPUTED_VALUE"""),"Yes")</f>
        <v>Yes</v>
      </c>
      <c r="AH63" s="5" t="str">
        <f>IFERROR(__xludf.DUMMYFUNCTION("""COMPUTED_VALUE"""),"Yes")</f>
        <v>Yes</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t="str">
        <f>IFERROR(__xludf.DUMMYFUNCTION("""COMPUTED_VALUE"""),"No")</f>
        <v>No</v>
      </c>
      <c r="AN63" s="5" t="str">
        <f>IFERROR(__xludf.DUMMYFUNCTION("""COMPUTED_VALUE"""),"No")</f>
        <v>No</v>
      </c>
      <c r="AO63" s="5" t="str">
        <f>IFERROR(__xludf.DUMMYFUNCTION("""COMPUTED_VALUE"""),"No")</f>
        <v>No</v>
      </c>
      <c r="AP63" s="5" t="str">
        <f>IFERROR(__xludf.DUMMYFUNCTION("""COMPUTED_VALUE"""),"No")</f>
        <v>No</v>
      </c>
      <c r="AQ63" s="5" t="str">
        <f>IFERROR(__xludf.DUMMYFUNCTION("""COMPUTED_VALUE"""),"No")</f>
        <v>No</v>
      </c>
      <c r="AR63" s="5" t="str">
        <f>IFERROR(__xludf.DUMMYFUNCTION("""COMPUTED_VALUE"""),"No")</f>
        <v>No</v>
      </c>
      <c r="AS63" s="5" t="str">
        <f>IFERROR(__xludf.DUMMYFUNCTION("""COMPUTED_VALUE"""),"Yes")</f>
        <v>Yes</v>
      </c>
      <c r="AT63" s="5" t="str">
        <f>IFERROR(__xludf.DUMMYFUNCTION("""COMPUTED_VALUE"""),"No")</f>
        <v>No</v>
      </c>
      <c r="AU63" s="5"/>
      <c r="AV63" s="5" t="str">
        <f>IFERROR(__xludf.DUMMYFUNCTION("""COMPUTED_VALUE"""),"")</f>
        <v/>
      </c>
      <c r="AW63" s="5" t="str">
        <f>IFERROR(__xludf.DUMMYFUNCTION("""COMPUTED_VALUE"""),"")</f>
        <v/>
      </c>
      <c r="AX63" s="5" t="str">
        <f>IFERROR(__xludf.DUMMYFUNCTION("""COMPUTED_VALUE"""),"")</f>
        <v/>
      </c>
      <c r="AY63" s="5" t="str">
        <f>IFERROR(__xludf.DUMMYFUNCTION("""COMPUTED_VALUE"""),"")</f>
        <v/>
      </c>
      <c r="AZ63" s="5" t="str">
        <f>IFERROR(__xludf.DUMMYFUNCTION("""COMPUTED_VALUE"""),"")</f>
        <v/>
      </c>
      <c r="BA63" s="5" t="str">
        <f>IFERROR(__xludf.DUMMYFUNCTION("""COMPUTED_VALUE"""),"")</f>
        <v/>
      </c>
      <c r="BB63" s="5" t="str">
        <f>IFERROR(__xludf.DUMMYFUNCTION("""COMPUTED_VALUE"""),"")</f>
        <v/>
      </c>
    </row>
    <row r="64">
      <c r="A64" s="5" t="str">
        <f>IFERROR(__xludf.DUMMYFUNCTION("""COMPUTED_VALUE"""),"Redstone")</f>
        <v>Redstone</v>
      </c>
      <c r="B64" s="5" t="str">
        <f>IFERROR(__xludf.DUMMYFUNCTION("""COMPUTED_VALUE"""),"Juicy Heat 20")</f>
        <v>Juicy Heat 20</v>
      </c>
      <c r="C64" s="5" t="str">
        <f>IFERROR(__xludf.DUMMYFUNCTION("""COMPUTED_VALUE"""),"RedstoneJuicyHeat20")</f>
        <v>RedstoneJuicyHeat20</v>
      </c>
      <c r="D64" s="6">
        <f>IFERROR(__xludf.DUMMYFUNCTION("""COMPUTED_VALUE"""),45628.0)</f>
        <v>45628</v>
      </c>
      <c r="E64" s="5" t="str">
        <f>IFERROR(__xludf.DUMMYFUNCTION("""COMPUTED_VALUE"""),"Slot")</f>
        <v>Slot</v>
      </c>
      <c r="F64" s="5">
        <f>IFERROR(__xludf.DUMMYFUNCTION("""COMPUTED_VALUE"""),7.2)</f>
        <v>7.2</v>
      </c>
      <c r="G64" s="5" t="str">
        <f>IFERROR(__xludf.DUMMYFUNCTION("""COMPUTED_VALUE"""),"5x3")</f>
        <v>5x3</v>
      </c>
      <c r="H64" s="5">
        <f>IFERROR(__xludf.DUMMYFUNCTION("""COMPUTED_VALUE"""),20.0)</f>
        <v>20</v>
      </c>
      <c r="I64" s="5">
        <f>IFERROR(__xludf.DUMMYFUNCTION("""COMPUTED_VALUE"""),20.0)</f>
        <v>20</v>
      </c>
      <c r="J64" s="5" t="str">
        <f>IFERROR(__xludf.DUMMYFUNCTION("""COMPUTED_VALUE"""),"96.48%")</f>
        <v>96.48%</v>
      </c>
      <c r="K64" s="5" t="str">
        <f>IFERROR(__xludf.DUMMYFUNCTION("""COMPUTED_VALUE"""),"High")</f>
        <v>High</v>
      </c>
      <c r="L64" s="5" t="str">
        <f>IFERROR(__xludf.DUMMYFUNCTION("""COMPUTED_VALUE"""),"7.13%")</f>
        <v>7.13%</v>
      </c>
      <c r="M64" s="5" t="str">
        <f>IFERROR(__xludf.DUMMYFUNCTION("""COMPUTED_VALUE"""),"x1500")</f>
        <v>x1500</v>
      </c>
      <c r="N64" s="5" t="str">
        <f>IFERROR(__xludf.DUMMYFUNCTION("""COMPUTED_VALUE"""),"0.20/50")</f>
        <v>0.20/50</v>
      </c>
      <c r="O64" s="5" t="str">
        <f>IFERROR(__xludf.DUMMYFUNCTION("""COMPUTED_VALUE"""),"No")</f>
        <v>No</v>
      </c>
      <c r="P64" s="5" t="str">
        <f>IFERROR(__xludf.DUMMYFUNCTION("""COMPUTED_VALUE"""),"Win Multiplier")</f>
        <v>Win Multiplier</v>
      </c>
      <c r="Q64" s="7" t="str">
        <f>IFERROR(__xludf.DUMMYFUNCTION("""COMPUTED_VALUE"""),"https://static.redstone.rs/games/juicy-heat-20/")</f>
        <v>https://static.redstone.rs/games/juicy-heat-20/</v>
      </c>
      <c r="R64" s="5" t="str">
        <f>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S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IFERROR(__xludf.DUMMYFUNCTION("""COMPUTED_VALUE"""),"Yes")</f>
        <v>Yes</v>
      </c>
      <c r="AH64" s="5" t="str">
        <f>IFERROR(__xludf.DUMMYFUNCTION("""COMPUTED_VALUE"""),"Yes")</f>
        <v>Yes</v>
      </c>
      <c r="AI64" s="5" t="str">
        <f>IFERROR(__xludf.DUMMYFUNCTION("""COMPUTED_VALUE"""),"Yes")</f>
        <v>Yes</v>
      </c>
      <c r="AJ64" s="5" t="str">
        <f>IFERROR(__xludf.DUMMYFUNCTION("""COMPUTED_VALUE"""),"Yes")</f>
        <v>Yes</v>
      </c>
      <c r="AK64" s="5" t="str">
        <f>IFERROR(__xludf.DUMMYFUNCTION("""COMPUTED_VALUE"""),"Yes")</f>
        <v>Yes</v>
      </c>
      <c r="AL64" s="5" t="str">
        <f>IFERROR(__xludf.DUMMYFUNCTION("""COMPUTED_VALUE"""),"Yes")</f>
        <v>Yes</v>
      </c>
      <c r="AM64" s="5"/>
      <c r="AN64" s="5"/>
      <c r="AO64" s="5"/>
      <c r="AP64" s="5"/>
      <c r="AQ64" s="5" t="str">
        <f>IFERROR(__xludf.DUMMYFUNCTION("""COMPUTED_VALUE"""),"Yes")</f>
        <v>Yes</v>
      </c>
      <c r="AR64" s="5"/>
      <c r="AS64" s="5"/>
      <c r="AT64" s="5"/>
      <c r="AU64" s="5"/>
      <c r="AV64" s="5" t="str">
        <f>IFERROR(__xludf.DUMMYFUNCTION("""COMPUTED_VALUE"""),"")</f>
        <v/>
      </c>
      <c r="AW64" s="5" t="str">
        <f>IFERROR(__xludf.DUMMYFUNCTION("""COMPUTED_VALUE"""),"")</f>
        <v/>
      </c>
      <c r="AX64" s="5" t="str">
        <f>IFERROR(__xludf.DUMMYFUNCTION("""COMPUTED_VALUE"""),"")</f>
        <v/>
      </c>
      <c r="AY64" s="5" t="str">
        <f>IFERROR(__xludf.DUMMYFUNCTION("""COMPUTED_VALUE"""),"")</f>
        <v/>
      </c>
      <c r="AZ64" s="5" t="str">
        <f>IFERROR(__xludf.DUMMYFUNCTION("""COMPUTED_VALUE"""),"")</f>
        <v/>
      </c>
      <c r="BA64" s="5" t="str">
        <f>IFERROR(__xludf.DUMMYFUNCTION("""COMPUTED_VALUE"""),"")</f>
        <v/>
      </c>
      <c r="BB64" s="5" t="str">
        <f>IFERROR(__xludf.DUMMYFUNCTION("""COMPUTED_VALUE"""),"")</f>
        <v/>
      </c>
    </row>
    <row r="65">
      <c r="A65" s="5" t="str">
        <f>IFERROR(__xludf.DUMMYFUNCTION("""COMPUTED_VALUE"""),"Redstone")</f>
        <v>Redstone</v>
      </c>
      <c r="B65" s="5" t="str">
        <f>IFERROR(__xludf.DUMMYFUNCTION("""COMPUTED_VALUE"""),"Christmas Delight")</f>
        <v>Christmas Delight</v>
      </c>
      <c r="C65" s="5" t="str">
        <f>IFERROR(__xludf.DUMMYFUNCTION("""COMPUTED_VALUE"""),"RedstoneChristmasDelight")</f>
        <v>RedstoneChristmasDelight</v>
      </c>
      <c r="D65" s="6">
        <f>IFERROR(__xludf.DUMMYFUNCTION("""COMPUTED_VALUE"""),45638.0)</f>
        <v>45638</v>
      </c>
      <c r="E65" s="5" t="str">
        <f>IFERROR(__xludf.DUMMYFUNCTION("""COMPUTED_VALUE"""),"Slot")</f>
        <v>Slot</v>
      </c>
      <c r="F65" s="5">
        <f>IFERROR(__xludf.DUMMYFUNCTION("""COMPUTED_VALUE"""),10.8)</f>
        <v>10.8</v>
      </c>
      <c r="G65" s="5" t="str">
        <f>IFERROR(__xludf.DUMMYFUNCTION("""COMPUTED_VALUE"""),"5x3")</f>
        <v>5x3</v>
      </c>
      <c r="H65" s="5">
        <f>IFERROR(__xludf.DUMMYFUNCTION("""COMPUTED_VALUE"""),5.0)</f>
        <v>5</v>
      </c>
      <c r="I65" s="5">
        <f>IFERROR(__xludf.DUMMYFUNCTION("""COMPUTED_VALUE"""),5.0)</f>
        <v>5</v>
      </c>
      <c r="J65" s="5" t="str">
        <f>IFERROR(__xludf.DUMMYFUNCTION("""COMPUTED_VALUE"""),"96.45%")</f>
        <v>96.45%</v>
      </c>
      <c r="K65" s="5" t="str">
        <f>IFERROR(__xludf.DUMMYFUNCTION("""COMPUTED_VALUE"""),"Medium")</f>
        <v>Medium</v>
      </c>
      <c r="L65" s="5" t="str">
        <f>IFERROR(__xludf.DUMMYFUNCTION("""COMPUTED_VALUE"""),"14.23%")</f>
        <v>14.23%</v>
      </c>
      <c r="M65" s="5" t="str">
        <f>IFERROR(__xludf.DUMMYFUNCTION("""COMPUTED_VALUE"""),"x2624")</f>
        <v>x2624</v>
      </c>
      <c r="N65" s="5" t="str">
        <f>IFERROR(__xludf.DUMMYFUNCTION("""COMPUTED_VALUE"""),"0.05/100")</f>
        <v>0.05/100</v>
      </c>
      <c r="O65" s="5" t="str">
        <f>IFERROR(__xludf.DUMMYFUNCTION("""COMPUTED_VALUE"""),"No")</f>
        <v>No</v>
      </c>
      <c r="P65" s="5" t="str">
        <f>IFERROR(__xludf.DUMMYFUNCTION("""COMPUTED_VALUE"""),"Expanding Wild, Scatter")</f>
        <v>Expanding Wild, Scatter</v>
      </c>
      <c r="Q65" s="7" t="str">
        <f>IFERROR(__xludf.DUMMYFUNCTION("""COMPUTED_VALUE"""),"https://static.redstone.rs/games/christmas-delight/")</f>
        <v>https://static.redstone.rs/games/christmas-delight/</v>
      </c>
      <c r="R65" s="5" t="str">
        <f>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S6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5" s="5" t="str">
        <f>IFERROR(__xludf.DUMMYFUNCTION("""COMPUTED_VALUE"""),"Yes")</f>
        <v>Yes</v>
      </c>
      <c r="U65" s="5" t="str">
        <f>IFERROR(__xludf.DUMMYFUNCTION("""COMPUTED_VALUE"""),"Yes")</f>
        <v>Yes</v>
      </c>
      <c r="V65" s="5" t="str">
        <f>IFERROR(__xludf.DUMMYFUNCTION("""COMPUTED_VALUE"""),"No")</f>
        <v>No</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t="str">
        <f>IFERROR(__xludf.DUMMYFUNCTION("""COMPUTED_VALUE"""),"No")</f>
        <v>No</v>
      </c>
      <c r="AN65" s="5" t="str">
        <f>IFERROR(__xludf.DUMMYFUNCTION("""COMPUTED_VALUE"""),"No")</f>
        <v>No</v>
      </c>
      <c r="AO65" s="5" t="str">
        <f>IFERROR(__xludf.DUMMYFUNCTION("""COMPUTED_VALUE"""),"Yes")</f>
        <v>Yes</v>
      </c>
      <c r="AP65" s="5" t="str">
        <f>IFERROR(__xludf.DUMMYFUNCTION("""COMPUTED_VALUE"""),"No")</f>
        <v>No</v>
      </c>
      <c r="AQ65" s="5" t="str">
        <f>IFERROR(__xludf.DUMMYFUNCTION("""COMPUTED_VALUE"""),"No")</f>
        <v>No</v>
      </c>
      <c r="AR65" s="5" t="str">
        <f>IFERROR(__xludf.DUMMYFUNCTION("""COMPUTED_VALUE"""),"No")</f>
        <v>No</v>
      </c>
      <c r="AS65" s="5" t="str">
        <f>IFERROR(__xludf.DUMMYFUNCTION("""COMPUTED_VALUE"""),"Yes")</f>
        <v>Yes</v>
      </c>
      <c r="AT65" s="5" t="str">
        <f>IFERROR(__xludf.DUMMYFUNCTION("""COMPUTED_VALUE"""),"No")</f>
        <v>No</v>
      </c>
      <c r="AU65" s="5"/>
      <c r="AV65" s="5" t="str">
        <f>IFERROR(__xludf.DUMMYFUNCTION("""COMPUTED_VALUE"""),"")</f>
        <v/>
      </c>
      <c r="AW65" s="5" t="str">
        <f>IFERROR(__xludf.DUMMYFUNCTION("""COMPUTED_VALUE"""),"")</f>
        <v/>
      </c>
      <c r="AX65" s="5" t="str">
        <f>IFERROR(__xludf.DUMMYFUNCTION("""COMPUTED_VALUE"""),"")</f>
        <v/>
      </c>
      <c r="AY65" s="5" t="str">
        <f>IFERROR(__xludf.DUMMYFUNCTION("""COMPUTED_VALUE"""),"")</f>
        <v/>
      </c>
      <c r="AZ65" s="5" t="str">
        <f>IFERROR(__xludf.DUMMYFUNCTION("""COMPUTED_VALUE"""),"")</f>
        <v/>
      </c>
      <c r="BA65" s="5" t="str">
        <f>IFERROR(__xludf.DUMMYFUNCTION("""COMPUTED_VALUE"""),"")</f>
        <v/>
      </c>
      <c r="BB65" s="5" t="str">
        <f>IFERROR(__xludf.DUMMYFUNCTION("""COMPUTED_VALUE"""),"")</f>
        <v/>
      </c>
    </row>
    <row r="66">
      <c r="A66" s="5" t="str">
        <f>IFERROR(__xludf.DUMMYFUNCTION("""COMPUTED_VALUE"""),"Redstone")</f>
        <v>Redstone</v>
      </c>
      <c r="B66" s="5" t="str">
        <f>IFERROR(__xludf.DUMMYFUNCTION("""COMPUTED_VALUE"""),"Funky Fruits")</f>
        <v>Funky Fruits</v>
      </c>
      <c r="C66" s="5" t="str">
        <f>IFERROR(__xludf.DUMMYFUNCTION("""COMPUTED_VALUE"""),"RedstoneFunkyFruits")</f>
        <v>RedstoneFunkyFruits</v>
      </c>
      <c r="D66" s="6">
        <f>IFERROR(__xludf.DUMMYFUNCTION("""COMPUTED_VALUE"""),45642.0)</f>
        <v>45642</v>
      </c>
      <c r="E66" s="5" t="str">
        <f>IFERROR(__xludf.DUMMYFUNCTION("""COMPUTED_VALUE"""),"Slot")</f>
        <v>Slot</v>
      </c>
      <c r="F66" s="5">
        <f>IFERROR(__xludf.DUMMYFUNCTION("""COMPUTED_VALUE"""),8.9)</f>
        <v>8.9</v>
      </c>
      <c r="G66" s="5" t="str">
        <f>IFERROR(__xludf.DUMMYFUNCTION("""COMPUTED_VALUE"""),"5x3")</f>
        <v>5x3</v>
      </c>
      <c r="H66" s="5">
        <f>IFERROR(__xludf.DUMMYFUNCTION("""COMPUTED_VALUE"""),5.0)</f>
        <v>5</v>
      </c>
      <c r="I66" s="5">
        <f>IFERROR(__xludf.DUMMYFUNCTION("""COMPUTED_VALUE"""),5.0)</f>
        <v>5</v>
      </c>
      <c r="J66" s="5" t="str">
        <f>IFERROR(__xludf.DUMMYFUNCTION("""COMPUTED_VALUE"""),"96.45%")</f>
        <v>96.45%</v>
      </c>
      <c r="K66" s="5" t="str">
        <f>IFERROR(__xludf.DUMMYFUNCTION("""COMPUTED_VALUE"""),"Medium")</f>
        <v>Medium</v>
      </c>
      <c r="L66" s="5" t="str">
        <f>IFERROR(__xludf.DUMMYFUNCTION("""COMPUTED_VALUE"""),"14.5%")</f>
        <v>14.5%</v>
      </c>
      <c r="M66" s="5" t="str">
        <f>IFERROR(__xludf.DUMMYFUNCTION("""COMPUTED_VALUE"""),"x1222")</f>
        <v>x1222</v>
      </c>
      <c r="N66" s="5" t="str">
        <f>IFERROR(__xludf.DUMMYFUNCTION("""COMPUTED_VALUE"""),"0.05/30")</f>
        <v>0.05/30</v>
      </c>
      <c r="O66" s="5" t="str">
        <f>IFERROR(__xludf.DUMMYFUNCTION("""COMPUTED_VALUE"""),"No")</f>
        <v>No</v>
      </c>
      <c r="P66" s="5" t="str">
        <f>IFERROR(__xludf.DUMMYFUNCTION("""COMPUTED_VALUE"""),"Expanding Wild, Scatter")</f>
        <v>Expanding Wild, Scatter</v>
      </c>
      <c r="Q66" s="7" t="str">
        <f>IFERROR(__xludf.DUMMYFUNCTION("""COMPUTED_VALUE"""),"https://static.redstone.rs/games/funky-fruits/")</f>
        <v>https://static.redstone.rs/games/funky-fruits/</v>
      </c>
      <c r="R66" s="5" t="str">
        <f>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S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IFERROR(__xludf.DUMMYFUNCTION("""COMPUTED_VALUE"""),"Yes")</f>
        <v>Yes</v>
      </c>
      <c r="AF66" s="5" t="str">
        <f>IFERROR(__xludf.DUMMYFUNCTION("""COMPUTED_VALUE"""),"Yes")</f>
        <v>Yes</v>
      </c>
      <c r="AG66" s="5" t="str">
        <f>IFERROR(__xludf.DUMMYFUNCTION("""COMPUTED_VALUE"""),"Yes")</f>
        <v>Yes</v>
      </c>
      <c r="AH66" s="5" t="str">
        <f>IFERROR(__xludf.DUMMYFUNCTION("""COMPUTED_VALUE"""),"Yes")</f>
        <v>Yes</v>
      </c>
      <c r="AI66" s="5" t="str">
        <f>IFERROR(__xludf.DUMMYFUNCTION("""COMPUTED_VALUE"""),"Yes")</f>
        <v>Yes</v>
      </c>
      <c r="AJ66" s="5" t="str">
        <f>IFERROR(__xludf.DUMMYFUNCTION("""COMPUTED_VALUE"""),"Yes")</f>
        <v>Yes</v>
      </c>
      <c r="AK66" s="5" t="str">
        <f>IFERROR(__xludf.DUMMYFUNCTION("""COMPUTED_VALUE"""),"Yes")</f>
        <v>Yes</v>
      </c>
      <c r="AL66" s="5" t="str">
        <f>IFERROR(__xludf.DUMMYFUNCTION("""COMPUTED_VALUE"""),"Yes")</f>
        <v>Yes</v>
      </c>
      <c r="AM66" s="5"/>
      <c r="AN66" s="5"/>
      <c r="AO66" s="5"/>
      <c r="AP66" s="5"/>
      <c r="AQ66" s="5" t="str">
        <f>IFERROR(__xludf.DUMMYFUNCTION("""COMPUTED_VALUE"""),"Yes")</f>
        <v>Yes</v>
      </c>
      <c r="AR66" s="5"/>
      <c r="AS66" s="5"/>
      <c r="AT66" s="5"/>
      <c r="AU66" s="5"/>
      <c r="AV66" s="5" t="str">
        <f>IFERROR(__xludf.DUMMYFUNCTION("""COMPUTED_VALUE"""),"")</f>
        <v/>
      </c>
      <c r="AW66" s="5" t="str">
        <f>IFERROR(__xludf.DUMMYFUNCTION("""COMPUTED_VALUE"""),"")</f>
        <v/>
      </c>
      <c r="AX66" s="5" t="str">
        <f>IFERROR(__xludf.DUMMYFUNCTION("""COMPUTED_VALUE"""),"")</f>
        <v/>
      </c>
      <c r="AY66" s="5" t="str">
        <f>IFERROR(__xludf.DUMMYFUNCTION("""COMPUTED_VALUE"""),"")</f>
        <v/>
      </c>
      <c r="AZ66" s="5" t="str">
        <f>IFERROR(__xludf.DUMMYFUNCTION("""COMPUTED_VALUE"""),"")</f>
        <v/>
      </c>
      <c r="BA66" s="5" t="str">
        <f>IFERROR(__xludf.DUMMYFUNCTION("""COMPUTED_VALUE"""),"")</f>
        <v/>
      </c>
      <c r="BB66" s="5" t="str">
        <f>IFERROR(__xludf.DUMMYFUNCTION("""COMPUTED_VALUE"""),"")</f>
        <v/>
      </c>
    </row>
    <row r="67">
      <c r="A67" s="5" t="str">
        <f>IFERROR(__xludf.DUMMYFUNCTION("""COMPUTED_VALUE"""),"Redstone")</f>
        <v>Redstone</v>
      </c>
      <c r="B67" s="5" t="str">
        <f>IFERROR(__xludf.DUMMYFUNCTION("""COMPUTED_VALUE"""),"Dice Double")</f>
        <v>Dice Double</v>
      </c>
      <c r="C67" s="5" t="str">
        <f>IFERROR(__xludf.DUMMYFUNCTION("""COMPUTED_VALUE"""),"RedstoneDiceDouble")</f>
        <v>RedstoneDiceDouble</v>
      </c>
      <c r="D67" s="6">
        <f>IFERROR(__xludf.DUMMYFUNCTION("""COMPUTED_VALUE"""),45506.0)</f>
        <v>45506</v>
      </c>
      <c r="E67" s="5" t="str">
        <f>IFERROR(__xludf.DUMMYFUNCTION("""COMPUTED_VALUE"""),"Slot")</f>
        <v>Slot</v>
      </c>
      <c r="F67" s="5">
        <f>IFERROR(__xludf.DUMMYFUNCTION("""COMPUTED_VALUE"""),7.6)</f>
        <v>7.6</v>
      </c>
      <c r="G67" s="5" t="str">
        <f>IFERROR(__xludf.DUMMYFUNCTION("""COMPUTED_VALUE"""),"5x3")</f>
        <v>5x3</v>
      </c>
      <c r="H67" s="5">
        <f>IFERROR(__xludf.DUMMYFUNCTION("""COMPUTED_VALUE"""),5.0)</f>
        <v>5</v>
      </c>
      <c r="I67" s="5">
        <f>IFERROR(__xludf.DUMMYFUNCTION("""COMPUTED_VALUE"""),5.0)</f>
        <v>5</v>
      </c>
      <c r="J67" s="5" t="str">
        <f>IFERROR(__xludf.DUMMYFUNCTION("""COMPUTED_VALUE"""),"96.45%")</f>
        <v>96.45%</v>
      </c>
      <c r="K67" s="5" t="str">
        <f>IFERROR(__xludf.DUMMYFUNCTION("""COMPUTED_VALUE"""),"Medium")</f>
        <v>Medium</v>
      </c>
      <c r="L67" s="5" t="str">
        <f>IFERROR(__xludf.DUMMYFUNCTION("""COMPUTED_VALUE"""),"14.23%")</f>
        <v>14.23%</v>
      </c>
      <c r="M67" s="5" t="str">
        <f>IFERROR(__xludf.DUMMYFUNCTION("""COMPUTED_VALUE"""),"x2624")</f>
        <v>x2624</v>
      </c>
      <c r="N67" s="5" t="str">
        <f>IFERROR(__xludf.DUMMYFUNCTION("""COMPUTED_VALUE"""),"0.05/100")</f>
        <v>0.05/100</v>
      </c>
      <c r="O67" s="5" t="str">
        <f>IFERROR(__xludf.DUMMYFUNCTION("""COMPUTED_VALUE"""),"No")</f>
        <v>No</v>
      </c>
      <c r="P67" s="5" t="str">
        <f>IFERROR(__xludf.DUMMYFUNCTION("""COMPUTED_VALUE"""),"Expanding Wild, Scatter")</f>
        <v>Expanding Wild, Scatter</v>
      </c>
      <c r="Q67" s="7" t="str">
        <f>IFERROR(__xludf.DUMMYFUNCTION("""COMPUTED_VALUE"""),"https://static.redstone.rs/games/dice-double/")</f>
        <v>https://static.redstone.rs/games/dice-double/</v>
      </c>
      <c r="R67" s="5" t="str">
        <f>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S6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7" s="5" t="str">
        <f>IFERROR(__xludf.DUMMYFUNCTION("""COMPUTED_VALUE"""),"Yes")</f>
        <v>Yes</v>
      </c>
      <c r="U67" s="5" t="str">
        <f>IFERROR(__xludf.DUMMYFUNCTION("""COMPUTED_VALUE"""),"Yes")</f>
        <v>Yes</v>
      </c>
      <c r="V67" s="5" t="str">
        <f>IFERROR(__xludf.DUMMYFUNCTION("""COMPUTED_VALUE"""),"No")</f>
        <v>No</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IFERROR(__xludf.DUMMYFUNCTION("""COMPUTED_VALUE"""),"Yes")</f>
        <v>Yes</v>
      </c>
      <c r="AF67" s="5" t="str">
        <f>IFERROR(__xludf.DUMMYFUNCTION("""COMPUTED_VALUE"""),"Yes")</f>
        <v>Yes</v>
      </c>
      <c r="AG67" s="5" t="str">
        <f>IFERROR(__xludf.DUMMYFUNCTION("""COMPUTED_VALUE"""),"Yes")</f>
        <v>Yes</v>
      </c>
      <c r="AH67" s="5" t="str">
        <f>IFERROR(__xludf.DUMMYFUNCTION("""COMPUTED_VALUE"""),"Yes")</f>
        <v>Yes</v>
      </c>
      <c r="AI67" s="5" t="str">
        <f>IFERROR(__xludf.DUMMYFUNCTION("""COMPUTED_VALUE"""),"No")</f>
        <v>No</v>
      </c>
      <c r="AJ67" s="5" t="str">
        <f>IFERROR(__xludf.DUMMYFUNCTION("""COMPUTED_VALUE"""),"No")</f>
        <v>No</v>
      </c>
      <c r="AK67" s="5" t="str">
        <f>IFERROR(__xludf.DUMMYFUNCTION("""COMPUTED_VALUE"""),"No")</f>
        <v>No</v>
      </c>
      <c r="AL67" s="5" t="str">
        <f>IFERROR(__xludf.DUMMYFUNCTION("""COMPUTED_VALUE"""),"No")</f>
        <v>No</v>
      </c>
      <c r="AM67" s="5" t="str">
        <f>IFERROR(__xludf.DUMMYFUNCTION("""COMPUTED_VALUE"""),"No")</f>
        <v>No</v>
      </c>
      <c r="AN67" s="5" t="str">
        <f>IFERROR(__xludf.DUMMYFUNCTION("""COMPUTED_VALUE"""),"No")</f>
        <v>No</v>
      </c>
      <c r="AO67" s="5" t="str">
        <f>IFERROR(__xludf.DUMMYFUNCTION("""COMPUTED_VALUE"""),"Yes")</f>
        <v>Yes</v>
      </c>
      <c r="AP67" s="5" t="str">
        <f>IFERROR(__xludf.DUMMYFUNCTION("""COMPUTED_VALUE"""),"No")</f>
        <v>No</v>
      </c>
      <c r="AQ67" s="5" t="str">
        <f>IFERROR(__xludf.DUMMYFUNCTION("""COMPUTED_VALUE"""),"No")</f>
        <v>No</v>
      </c>
      <c r="AR67" s="5" t="str">
        <f>IFERROR(__xludf.DUMMYFUNCTION("""COMPUTED_VALUE"""),"No")</f>
        <v>No</v>
      </c>
      <c r="AS67" s="5" t="str">
        <f>IFERROR(__xludf.DUMMYFUNCTION("""COMPUTED_VALUE"""),"Yes")</f>
        <v>Yes</v>
      </c>
      <c r="AT67" s="5" t="str">
        <f>IFERROR(__xludf.DUMMYFUNCTION("""COMPUTED_VALUE"""),"No")</f>
        <v>No</v>
      </c>
      <c r="AU67" s="5"/>
      <c r="AV67" s="5" t="str">
        <f>IFERROR(__xludf.DUMMYFUNCTION("""COMPUTED_VALUE"""),"")</f>
        <v/>
      </c>
      <c r="AW67" s="5" t="str">
        <f>IFERROR(__xludf.DUMMYFUNCTION("""COMPUTED_VALUE"""),"")</f>
        <v/>
      </c>
      <c r="AX67" s="5" t="str">
        <f>IFERROR(__xludf.DUMMYFUNCTION("""COMPUTED_VALUE"""),"")</f>
        <v/>
      </c>
      <c r="AY67" s="5" t="str">
        <f>IFERROR(__xludf.DUMMYFUNCTION("""COMPUTED_VALUE"""),"")</f>
        <v/>
      </c>
      <c r="AZ67" s="5" t="str">
        <f>IFERROR(__xludf.DUMMYFUNCTION("""COMPUTED_VALUE"""),"")</f>
        <v/>
      </c>
      <c r="BA67" s="5" t="str">
        <f>IFERROR(__xludf.DUMMYFUNCTION("""COMPUTED_VALUE"""),"")</f>
        <v/>
      </c>
      <c r="BB67" s="5" t="str">
        <f>IFERROR(__xludf.DUMMYFUNCTION("""COMPUTED_VALUE"""),"")</f>
        <v/>
      </c>
    </row>
    <row r="68">
      <c r="A68" s="5" t="str">
        <f>IFERROR(__xludf.DUMMYFUNCTION("""COMPUTED_VALUE"""),"Redstone")</f>
        <v>Redstone</v>
      </c>
      <c r="B68" s="5" t="str">
        <f>IFERROR(__xludf.DUMMYFUNCTION("""COMPUTED_VALUE"""),"Volcano Hot")</f>
        <v>Volcano Hot</v>
      </c>
      <c r="C68" s="5" t="str">
        <f>IFERROR(__xludf.DUMMYFUNCTION("""COMPUTED_VALUE"""),"RedstoneVolcanoHot")</f>
        <v>RedstoneVolcanoHot</v>
      </c>
      <c r="D68" s="6">
        <f>IFERROR(__xludf.DUMMYFUNCTION("""COMPUTED_VALUE"""),45553.0)</f>
        <v>45553</v>
      </c>
      <c r="E68" s="5" t="str">
        <f>IFERROR(__xludf.DUMMYFUNCTION("""COMPUTED_VALUE"""),"Slot")</f>
        <v>Slot</v>
      </c>
      <c r="F68" s="5">
        <f>IFERROR(__xludf.DUMMYFUNCTION("""COMPUTED_VALUE"""),7.5)</f>
        <v>7.5</v>
      </c>
      <c r="G68" s="5" t="str">
        <f>IFERROR(__xludf.DUMMYFUNCTION("""COMPUTED_VALUE"""),"5x3")</f>
        <v>5x3</v>
      </c>
      <c r="H68" s="5">
        <f>IFERROR(__xludf.DUMMYFUNCTION("""COMPUTED_VALUE"""),20.0)</f>
        <v>20</v>
      </c>
      <c r="I68" s="5">
        <f>IFERROR(__xludf.DUMMYFUNCTION("""COMPUTED_VALUE"""),20.0)</f>
        <v>20</v>
      </c>
      <c r="J68" s="5" t="str">
        <f>IFERROR(__xludf.DUMMYFUNCTION("""COMPUTED_VALUE"""),"96.47%")</f>
        <v>96.47%</v>
      </c>
      <c r="K68" s="5" t="str">
        <f>IFERROR(__xludf.DUMMYFUNCTION("""COMPUTED_VALUE"""),"Medium")</f>
        <v>Medium</v>
      </c>
      <c r="L68" s="5" t="str">
        <f>IFERROR(__xludf.DUMMYFUNCTION("""COMPUTED_VALUE"""),"17.73%")</f>
        <v>17.73%</v>
      </c>
      <c r="M68" s="5" t="str">
        <f>IFERROR(__xludf.DUMMYFUNCTION("""COMPUTED_VALUE"""),"x1000")</f>
        <v>x1000</v>
      </c>
      <c r="N68" s="5" t="str">
        <f>IFERROR(__xludf.DUMMYFUNCTION("""COMPUTED_VALUE"""),"0.02/50")</f>
        <v>0.02/50</v>
      </c>
      <c r="O68" s="5" t="str">
        <f>IFERROR(__xludf.DUMMYFUNCTION("""COMPUTED_VALUE"""),"No")</f>
        <v>No</v>
      </c>
      <c r="P68" s="5" t="str">
        <f>IFERROR(__xludf.DUMMYFUNCTION("""COMPUTED_VALUE"""),"Scatter, Special Wild")</f>
        <v>Scatter, Special Wild</v>
      </c>
      <c r="Q68" s="7" t="str">
        <f>IFERROR(__xludf.DUMMYFUNCTION("""COMPUTED_VALUE"""),"https://static.redstone.rs/games/volcano-hot/")</f>
        <v>https://static.redstone.rs/games/volcano-hot/</v>
      </c>
      <c r="R68" s="5" t="str">
        <f>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S6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5" t="str">
        <f>IFERROR(__xludf.DUMMYFUNCTION("""COMPUTED_VALUE"""),"Yes")</f>
        <v>Yes</v>
      </c>
      <c r="U68" s="5" t="str">
        <f>IFERROR(__xludf.DUMMYFUNCTION("""COMPUTED_VALUE"""),"Yes")</f>
        <v>Yes</v>
      </c>
      <c r="V68" s="5" t="str">
        <f>IFERROR(__xludf.DUMMYFUNCTION("""COMPUTED_VALUE"""),"No")</f>
        <v>No</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IFERROR(__xludf.DUMMYFUNCTION("""COMPUTED_VALUE"""),"Yes")</f>
        <v>Yes</v>
      </c>
      <c r="AF68" s="5" t="str">
        <f>IFERROR(__xludf.DUMMYFUNCTION("""COMPUTED_VALUE"""),"Yes")</f>
        <v>Yes</v>
      </c>
      <c r="AG68" s="5" t="str">
        <f>IFERROR(__xludf.DUMMYFUNCTION("""COMPUTED_VALUE"""),"Yes")</f>
        <v>Yes</v>
      </c>
      <c r="AH68" s="5" t="str">
        <f>IFERROR(__xludf.DUMMYFUNCTION("""COMPUTED_VALUE"""),"Yes")</f>
        <v>Yes</v>
      </c>
      <c r="AI68" s="5" t="str">
        <f>IFERROR(__xludf.DUMMYFUNCTION("""COMPUTED_VALUE"""),"No")</f>
        <v>No</v>
      </c>
      <c r="AJ68" s="5" t="str">
        <f>IFERROR(__xludf.DUMMYFUNCTION("""COMPUTED_VALUE"""),"No")</f>
        <v>No</v>
      </c>
      <c r="AK68" s="5" t="str">
        <f>IFERROR(__xludf.DUMMYFUNCTION("""COMPUTED_VALUE"""),"No")</f>
        <v>No</v>
      </c>
      <c r="AL68" s="5" t="str">
        <f>IFERROR(__xludf.DUMMYFUNCTION("""COMPUTED_VALUE"""),"No")</f>
        <v>No</v>
      </c>
      <c r="AM68" s="5" t="str">
        <f>IFERROR(__xludf.DUMMYFUNCTION("""COMPUTED_VALUE"""),"No")</f>
        <v>No</v>
      </c>
      <c r="AN68" s="5" t="str">
        <f>IFERROR(__xludf.DUMMYFUNCTION("""COMPUTED_VALUE"""),"No")</f>
        <v>No</v>
      </c>
      <c r="AO68" s="5" t="str">
        <f>IFERROR(__xludf.DUMMYFUNCTION("""COMPUTED_VALUE"""),"Yes")</f>
        <v>Yes</v>
      </c>
      <c r="AP68" s="5" t="str">
        <f>IFERROR(__xludf.DUMMYFUNCTION("""COMPUTED_VALUE"""),"No")</f>
        <v>No</v>
      </c>
      <c r="AQ68" s="5" t="str">
        <f>IFERROR(__xludf.DUMMYFUNCTION("""COMPUTED_VALUE"""),"No")</f>
        <v>No</v>
      </c>
      <c r="AR68" s="5" t="str">
        <f>IFERROR(__xludf.DUMMYFUNCTION("""COMPUTED_VALUE"""),"No")</f>
        <v>No</v>
      </c>
      <c r="AS68" s="5" t="str">
        <f>IFERROR(__xludf.DUMMYFUNCTION("""COMPUTED_VALUE"""),"Yes")</f>
        <v>Yes</v>
      </c>
      <c r="AT68" s="5" t="str">
        <f>IFERROR(__xludf.DUMMYFUNCTION("""COMPUTED_VALUE"""),"No")</f>
        <v>No</v>
      </c>
      <c r="AU68" s="5"/>
      <c r="AV68" s="5" t="str">
        <f>IFERROR(__xludf.DUMMYFUNCTION("""COMPUTED_VALUE"""),"")</f>
        <v/>
      </c>
      <c r="AW68" s="5" t="str">
        <f>IFERROR(__xludf.DUMMYFUNCTION("""COMPUTED_VALUE"""),"")</f>
        <v/>
      </c>
      <c r="AX68" s="5" t="str">
        <f>IFERROR(__xludf.DUMMYFUNCTION("""COMPUTED_VALUE"""),"")</f>
        <v/>
      </c>
      <c r="AY68" s="5" t="str">
        <f>IFERROR(__xludf.DUMMYFUNCTION("""COMPUTED_VALUE"""),"")</f>
        <v/>
      </c>
      <c r="AZ68" s="5" t="str">
        <f>IFERROR(__xludf.DUMMYFUNCTION("""COMPUTED_VALUE"""),"")</f>
        <v/>
      </c>
      <c r="BA68" s="5" t="str">
        <f>IFERROR(__xludf.DUMMYFUNCTION("""COMPUTED_VALUE"""),"")</f>
        <v/>
      </c>
      <c r="BB68" s="5" t="str">
        <f>IFERROR(__xludf.DUMMYFUNCTION("""COMPUTED_VALUE"""),"")</f>
        <v/>
      </c>
    </row>
    <row r="69">
      <c r="A69" s="5" t="str">
        <f>IFERROR(__xludf.DUMMYFUNCTION("""COMPUTED_VALUE"""),"Redstone")</f>
        <v>Redstone</v>
      </c>
      <c r="B69" s="5" t="str">
        <f>IFERROR(__xludf.DUMMYFUNCTION("""COMPUTED_VALUE"""),"10 Clover Fire")</f>
        <v>10 Clover Fire</v>
      </c>
      <c r="C69" s="5" t="str">
        <f>IFERROR(__xludf.DUMMYFUNCTION("""COMPUTED_VALUE"""),"Redstone10CloverFire")</f>
        <v>Redstone10CloverFire</v>
      </c>
      <c r="D69" s="6">
        <f>IFERROR(__xludf.DUMMYFUNCTION("""COMPUTED_VALUE"""),45432.0)</f>
        <v>45432</v>
      </c>
      <c r="E69" s="5" t="str">
        <f>IFERROR(__xludf.DUMMYFUNCTION("""COMPUTED_VALUE"""),"Slot")</f>
        <v>Slot</v>
      </c>
      <c r="F69" s="5">
        <f>IFERROR(__xludf.DUMMYFUNCTION("""COMPUTED_VALUE"""),8.2)</f>
        <v>8.2</v>
      </c>
      <c r="G69" s="5" t="str">
        <f>IFERROR(__xludf.DUMMYFUNCTION("""COMPUTED_VALUE"""),"5x3")</f>
        <v>5x3</v>
      </c>
      <c r="H69" s="5">
        <f>IFERROR(__xludf.DUMMYFUNCTION("""COMPUTED_VALUE"""),10.0)</f>
        <v>10</v>
      </c>
      <c r="I69" s="5">
        <f>IFERROR(__xludf.DUMMYFUNCTION("""COMPUTED_VALUE"""),10.0)</f>
        <v>10</v>
      </c>
      <c r="J69" s="5" t="str">
        <f>IFERROR(__xludf.DUMMYFUNCTION("""COMPUTED_VALUE"""),"96.52%")</f>
        <v>96.52%</v>
      </c>
      <c r="K69" s="5" t="str">
        <f>IFERROR(__xludf.DUMMYFUNCTION("""COMPUTED_VALUE"""),"Medium")</f>
        <v>Medium</v>
      </c>
      <c r="L69" s="5" t="str">
        <f>IFERROR(__xludf.DUMMYFUNCTION("""COMPUTED_VALUE"""),"17.77%")</f>
        <v>17.77%</v>
      </c>
      <c r="M69" s="5" t="str">
        <f>IFERROR(__xludf.DUMMYFUNCTION("""COMPUTED_VALUE"""),"x944")</f>
        <v>x944</v>
      </c>
      <c r="N69" s="5" t="str">
        <f>IFERROR(__xludf.DUMMYFUNCTION("""COMPUTED_VALUE"""),"0.10/100")</f>
        <v>0.10/100</v>
      </c>
      <c r="O69" s="5" t="str">
        <f>IFERROR(__xludf.DUMMYFUNCTION("""COMPUTED_VALUE"""),"No")</f>
        <v>No</v>
      </c>
      <c r="P69" s="5" t="str">
        <f>IFERROR(__xludf.DUMMYFUNCTION("""COMPUTED_VALUE"""),"Expanding Wild, Scatter")</f>
        <v>Expanding Wild, Scatter</v>
      </c>
      <c r="Q69" s="7" t="str">
        <f>IFERROR(__xludf.DUMMYFUNCTION("""COMPUTED_VALUE"""),"https://static.redstone.rs/games/10-clover-fire/")</f>
        <v>https://static.redstone.rs/games/10-clover-fire/</v>
      </c>
      <c r="R69" s="5" t="str">
        <f>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S6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9" s="5" t="str">
        <f>IFERROR(__xludf.DUMMYFUNCTION("""COMPUTED_VALUE"""),"Yes")</f>
        <v>Yes</v>
      </c>
      <c r="U69" s="5" t="str">
        <f>IFERROR(__xludf.DUMMYFUNCTION("""COMPUTED_VALUE"""),"Yes")</f>
        <v>Yes</v>
      </c>
      <c r="V69" s="5" t="str">
        <f>IFERROR(__xludf.DUMMYFUNCTION("""COMPUTED_VALUE"""),"No")</f>
        <v>No</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IFERROR(__xludf.DUMMYFUNCTION("""COMPUTED_VALUE"""),"Yes")</f>
        <v>Yes</v>
      </c>
      <c r="AF69" s="5" t="str">
        <f>IFERROR(__xludf.DUMMYFUNCTION("""COMPUTED_VALUE"""),"Yes")</f>
        <v>Yes</v>
      </c>
      <c r="AG69" s="5" t="str">
        <f>IFERROR(__xludf.DUMMYFUNCTION("""COMPUTED_VALUE"""),"Yes")</f>
        <v>Yes</v>
      </c>
      <c r="AH69" s="5" t="str">
        <f>IFERROR(__xludf.DUMMYFUNCTION("""COMPUTED_VALUE"""),"Yes")</f>
        <v>Yes</v>
      </c>
      <c r="AI69" s="5" t="str">
        <f>IFERROR(__xludf.DUMMYFUNCTION("""COMPUTED_VALUE"""),"No")</f>
        <v>No</v>
      </c>
      <c r="AJ69" s="5" t="str">
        <f>IFERROR(__xludf.DUMMYFUNCTION("""COMPUTED_VALUE"""),"No")</f>
        <v>No</v>
      </c>
      <c r="AK69" s="5" t="str">
        <f>IFERROR(__xludf.DUMMYFUNCTION("""COMPUTED_VALUE"""),"No")</f>
        <v>No</v>
      </c>
      <c r="AL69" s="5" t="str">
        <f>IFERROR(__xludf.DUMMYFUNCTION("""COMPUTED_VALUE"""),"No")</f>
        <v>No</v>
      </c>
      <c r="AM69" s="5" t="str">
        <f>IFERROR(__xludf.DUMMYFUNCTION("""COMPUTED_VALUE"""),"No")</f>
        <v>No</v>
      </c>
      <c r="AN69" s="5" t="str">
        <f>IFERROR(__xludf.DUMMYFUNCTION("""COMPUTED_VALUE"""),"No")</f>
        <v>No</v>
      </c>
      <c r="AO69" s="5" t="str">
        <f>IFERROR(__xludf.DUMMYFUNCTION("""COMPUTED_VALUE"""),"Yes")</f>
        <v>Yes</v>
      </c>
      <c r="AP69" s="5" t="str">
        <f>IFERROR(__xludf.DUMMYFUNCTION("""COMPUTED_VALUE"""),"No")</f>
        <v>No</v>
      </c>
      <c r="AQ69" s="5" t="str">
        <f>IFERROR(__xludf.DUMMYFUNCTION("""COMPUTED_VALUE"""),"No")</f>
        <v>No</v>
      </c>
      <c r="AR69" s="5" t="str">
        <f>IFERROR(__xludf.DUMMYFUNCTION("""COMPUTED_VALUE"""),"No")</f>
        <v>No</v>
      </c>
      <c r="AS69" s="5" t="str">
        <f>IFERROR(__xludf.DUMMYFUNCTION("""COMPUTED_VALUE"""),"Yes")</f>
        <v>Yes</v>
      </c>
      <c r="AT69" s="5" t="str">
        <f>IFERROR(__xludf.DUMMYFUNCTION("""COMPUTED_VALUE"""),"No")</f>
        <v>No</v>
      </c>
      <c r="AU69" s="5"/>
      <c r="AV69" s="5" t="str">
        <f>IFERROR(__xludf.DUMMYFUNCTION("""COMPUTED_VALUE"""),"")</f>
        <v/>
      </c>
      <c r="AW69" s="5" t="str">
        <f>IFERROR(__xludf.DUMMYFUNCTION("""COMPUTED_VALUE"""),"")</f>
        <v/>
      </c>
      <c r="AX69" s="5" t="str">
        <f>IFERROR(__xludf.DUMMYFUNCTION("""COMPUTED_VALUE"""),"")</f>
        <v/>
      </c>
      <c r="AY69" s="5" t="str">
        <f>IFERROR(__xludf.DUMMYFUNCTION("""COMPUTED_VALUE"""),"")</f>
        <v/>
      </c>
      <c r="AZ69" s="5" t="str">
        <f>IFERROR(__xludf.DUMMYFUNCTION("""COMPUTED_VALUE"""),"")</f>
        <v/>
      </c>
      <c r="BA69" s="5" t="str">
        <f>IFERROR(__xludf.DUMMYFUNCTION("""COMPUTED_VALUE"""),"")</f>
        <v/>
      </c>
      <c r="BB69" s="5" t="str">
        <f>IFERROR(__xludf.DUMMYFUNCTION("""COMPUTED_VALUE"""),"")</f>
        <v/>
      </c>
    </row>
    <row r="70">
      <c r="A70" s="5" t="str">
        <f>IFERROR(__xludf.DUMMYFUNCTION("""COMPUTED_VALUE"""),"Redstone")</f>
        <v>Redstone</v>
      </c>
      <c r="B70" s="5" t="str">
        <f>IFERROR(__xludf.DUMMYFUNCTION("""COMPUTED_VALUE"""),"Cosmic Sevens")</f>
        <v>Cosmic Sevens</v>
      </c>
      <c r="C70" s="5" t="str">
        <f>IFERROR(__xludf.DUMMYFUNCTION("""COMPUTED_VALUE"""),"RedstoneCosmicSevens")</f>
        <v>RedstoneCosmicSevens</v>
      </c>
      <c r="D70" s="6">
        <f>IFERROR(__xludf.DUMMYFUNCTION("""COMPUTED_VALUE"""),45678.0)</f>
        <v>45678</v>
      </c>
      <c r="E70" s="5" t="str">
        <f>IFERROR(__xludf.DUMMYFUNCTION("""COMPUTED_VALUE"""),"Slot")</f>
        <v>Slot</v>
      </c>
      <c r="F70" s="5">
        <f>IFERROR(__xludf.DUMMYFUNCTION("""COMPUTED_VALUE"""),12.2)</f>
        <v>12.2</v>
      </c>
      <c r="G70" s="5" t="str">
        <f>IFERROR(__xludf.DUMMYFUNCTION("""COMPUTED_VALUE"""),"5x3")</f>
        <v>5x3</v>
      </c>
      <c r="H70" s="5">
        <f>IFERROR(__xludf.DUMMYFUNCTION("""COMPUTED_VALUE"""),10.0)</f>
        <v>10</v>
      </c>
      <c r="I70" s="5">
        <f>IFERROR(__xludf.DUMMYFUNCTION("""COMPUTED_VALUE"""),10.0)</f>
        <v>10</v>
      </c>
      <c r="J70" s="5" t="str">
        <f>IFERROR(__xludf.DUMMYFUNCTION("""COMPUTED_VALUE"""),"96.03%")</f>
        <v>96.03%</v>
      </c>
      <c r="K70" s="5" t="str">
        <f>IFERROR(__xludf.DUMMYFUNCTION("""COMPUTED_VALUE"""),"Medium")</f>
        <v>Medium</v>
      </c>
      <c r="L70" s="5" t="str">
        <f>IFERROR(__xludf.DUMMYFUNCTION("""COMPUTED_VALUE"""),"18.71%")</f>
        <v>18.71%</v>
      </c>
      <c r="M70" s="5" t="str">
        <f>IFERROR(__xludf.DUMMYFUNCTION("""COMPUTED_VALUE"""),"x3000")</f>
        <v>x3000</v>
      </c>
      <c r="N70" s="5" t="str">
        <f>IFERROR(__xludf.DUMMYFUNCTION("""COMPUTED_VALUE"""),"0.10/100")</f>
        <v>0.10/100</v>
      </c>
      <c r="O70" s="5" t="str">
        <f>IFERROR(__xludf.DUMMYFUNCTION("""COMPUTED_VALUE"""),"No")</f>
        <v>No</v>
      </c>
      <c r="P70" s="5" t="str">
        <f>IFERROR(__xludf.DUMMYFUNCTION("""COMPUTED_VALUE"""),"Expanding Wild, Scatter")</f>
        <v>Expanding Wild, Scatter</v>
      </c>
      <c r="Q70" s="7" t="str">
        <f>IFERROR(__xludf.DUMMYFUNCTION("""COMPUTED_VALUE"""),"https://static.redstone.rs/games/cosmic-sevens/")</f>
        <v>https://static.redstone.rs/games/cosmic-sevens/</v>
      </c>
      <c r="R70" s="5" t="str">
        <f>IFERROR(__xludf.DUMMYFUNCTION("""COMPUTED_VALUE"""),"Spin to the stars and beyond with Cosmic Sevens! Land a seven, expand the wilds and aim for a massive 3000x win!")</f>
        <v>Spin to the stars and beyond with Cosmic Sevens! Land a seven, expand the wilds and aim for a massive 3000x win!</v>
      </c>
      <c r="S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0" s="5" t="str">
        <f>IFERROR(__xludf.DUMMYFUNCTION("""COMPUTED_VALUE"""),"Yes")</f>
        <v>Yes</v>
      </c>
      <c r="U70" s="5" t="str">
        <f>IFERROR(__xludf.DUMMYFUNCTION("""COMPUTED_VALUE"""),"Yes")</f>
        <v>Yes</v>
      </c>
      <c r="V70" s="5" t="str">
        <f>IFERROR(__xludf.DUMMYFUNCTION("""COMPUTED_VALUE"""),"Yes")</f>
        <v>Yes</v>
      </c>
      <c r="W70" s="5" t="str">
        <f>IFERROR(__xludf.DUMMYFUNCTION("""COMPUTED_VALUE"""),"Yes")</f>
        <v>Yes</v>
      </c>
      <c r="X70" s="5" t="str">
        <f>IFERROR(__xludf.DUMMYFUNCTION("""COMPUTED_VALUE"""),"Yes")</f>
        <v>Yes</v>
      </c>
      <c r="Y70" s="5" t="str">
        <f>IFERROR(__xludf.DUMMYFUNCTION("""COMPUTED_VALUE"""),"Yes")</f>
        <v>Yes</v>
      </c>
      <c r="Z70" s="5" t="str">
        <f>IFERROR(__xludf.DUMMYFUNCTION("""COMPUTED_VALUE"""),"Yes")</f>
        <v>Yes</v>
      </c>
      <c r="AA70" s="5" t="str">
        <f>IFERROR(__xludf.DUMMYFUNCTION("""COMPUTED_VALUE"""),"Yes")</f>
        <v>Yes</v>
      </c>
      <c r="AB70" s="5" t="str">
        <f>IFERROR(__xludf.DUMMYFUNCTION("""COMPUTED_VALUE"""),"Yes")</f>
        <v>Yes</v>
      </c>
      <c r="AC70" s="5" t="str">
        <f>IFERROR(__xludf.DUMMYFUNCTION("""COMPUTED_VALUE"""),"Yes")</f>
        <v>Yes</v>
      </c>
      <c r="AD70" s="5" t="str">
        <f>IFERROR(__xludf.DUMMYFUNCTION("""COMPUTED_VALUE"""),"Yes")</f>
        <v>Yes</v>
      </c>
      <c r="AE70" s="5" t="str">
        <f>IFERROR(__xludf.DUMMYFUNCTION("""COMPUTED_VALUE"""),"Yes")</f>
        <v>Yes</v>
      </c>
      <c r="AF70" s="5" t="str">
        <f>IFERROR(__xludf.DUMMYFUNCTION("""COMPUTED_VALUE"""),"Yes")</f>
        <v>Yes</v>
      </c>
      <c r="AG70" s="5" t="str">
        <f>IFERROR(__xludf.DUMMYFUNCTION("""COMPUTED_VALUE"""),"Yes")</f>
        <v>Yes</v>
      </c>
      <c r="AH70" s="5" t="str">
        <f>IFERROR(__xludf.DUMMYFUNCTION("""COMPUTED_VALUE"""),"Yes")</f>
        <v>Yes</v>
      </c>
      <c r="AI70" s="5" t="str">
        <f>IFERROR(__xludf.DUMMYFUNCTION("""COMPUTED_VALUE"""),"Yes")</f>
        <v>Yes</v>
      </c>
      <c r="AJ70" s="5" t="str">
        <f>IFERROR(__xludf.DUMMYFUNCTION("""COMPUTED_VALUE"""),"Yes")</f>
        <v>Yes</v>
      </c>
      <c r="AK70" s="5" t="str">
        <f>IFERROR(__xludf.DUMMYFUNCTION("""COMPUTED_VALUE"""),"Yes")</f>
        <v>Yes</v>
      </c>
      <c r="AL70" s="5" t="str">
        <f>IFERROR(__xludf.DUMMYFUNCTION("""COMPUTED_VALUE"""),"Yes")</f>
        <v>Yes</v>
      </c>
      <c r="AM70" s="5"/>
      <c r="AN70" s="5"/>
      <c r="AO70" s="5"/>
      <c r="AP70" s="5"/>
      <c r="AQ70" s="5" t="str">
        <f>IFERROR(__xludf.DUMMYFUNCTION("""COMPUTED_VALUE"""),"Yes")</f>
        <v>Yes</v>
      </c>
      <c r="AR70" s="5"/>
      <c r="AS70" s="5"/>
      <c r="AT70" s="5"/>
      <c r="AU70" s="5"/>
      <c r="AV70" s="5" t="str">
        <f>IFERROR(__xludf.DUMMYFUNCTION("""COMPUTED_VALUE"""),"")</f>
        <v/>
      </c>
      <c r="AW70" s="5" t="str">
        <f>IFERROR(__xludf.DUMMYFUNCTION("""COMPUTED_VALUE"""),"")</f>
        <v/>
      </c>
      <c r="AX70" s="5" t="str">
        <f>IFERROR(__xludf.DUMMYFUNCTION("""COMPUTED_VALUE"""),"")</f>
        <v/>
      </c>
      <c r="AY70" s="5" t="str">
        <f>IFERROR(__xludf.DUMMYFUNCTION("""COMPUTED_VALUE"""),"")</f>
        <v/>
      </c>
      <c r="AZ70" s="5" t="str">
        <f>IFERROR(__xludf.DUMMYFUNCTION("""COMPUTED_VALUE"""),"")</f>
        <v/>
      </c>
      <c r="BA70" s="5" t="str">
        <f>IFERROR(__xludf.DUMMYFUNCTION("""COMPUTED_VALUE"""),"")</f>
        <v/>
      </c>
      <c r="BB70" s="5" t="str">
        <f>IFERROR(__xludf.DUMMYFUNCTION("""COMPUTED_VALUE"""),"")</f>
        <v/>
      </c>
    </row>
    <row r="71">
      <c r="A71" s="5" t="str">
        <f>IFERROR(__xludf.DUMMYFUNCTION("""COMPUTED_VALUE"""),"Redstone")</f>
        <v>Redstone</v>
      </c>
      <c r="B71" s="5" t="str">
        <f>IFERROR(__xludf.DUMMYFUNCTION("""COMPUTED_VALUE"""),"Clover Royale")</f>
        <v>Clover Royale</v>
      </c>
      <c r="C71" s="5" t="str">
        <f>IFERROR(__xludf.DUMMYFUNCTION("""COMPUTED_VALUE"""),"RedstoneCloverRoyale")</f>
        <v>RedstoneCloverRoyale</v>
      </c>
      <c r="D71" s="6">
        <f>IFERROR(__xludf.DUMMYFUNCTION("""COMPUTED_VALUE"""),45693.0)</f>
        <v>45693</v>
      </c>
      <c r="E71" s="5" t="str">
        <f>IFERROR(__xludf.DUMMYFUNCTION("""COMPUTED_VALUE"""),"Slot")</f>
        <v>Slot</v>
      </c>
      <c r="F71" s="5">
        <f>IFERROR(__xludf.DUMMYFUNCTION("""COMPUTED_VALUE"""),9.7)</f>
        <v>9.7</v>
      </c>
      <c r="G71" s="5" t="str">
        <f>IFERROR(__xludf.DUMMYFUNCTION("""COMPUTED_VALUE"""),"5x3")</f>
        <v>5x3</v>
      </c>
      <c r="H71" s="5">
        <f>IFERROR(__xludf.DUMMYFUNCTION("""COMPUTED_VALUE"""),5.0)</f>
        <v>5</v>
      </c>
      <c r="I71" s="5">
        <f>IFERROR(__xludf.DUMMYFUNCTION("""COMPUTED_VALUE"""),5.0)</f>
        <v>5</v>
      </c>
      <c r="J71" s="5" t="str">
        <f>IFERROR(__xludf.DUMMYFUNCTION("""COMPUTED_VALUE"""),"96.01%")</f>
        <v>96.01%</v>
      </c>
      <c r="K71" s="5" t="str">
        <f>IFERROR(__xludf.DUMMYFUNCTION("""COMPUTED_VALUE"""),"High")</f>
        <v>High</v>
      </c>
      <c r="L71" s="5" t="str">
        <f>IFERROR(__xludf.DUMMYFUNCTION("""COMPUTED_VALUE"""),"6.6%")</f>
        <v>6.6%</v>
      </c>
      <c r="M71" s="5" t="str">
        <f>IFERROR(__xludf.DUMMYFUNCTION("""COMPUTED_VALUE"""),"x3225")</f>
        <v>x3225</v>
      </c>
      <c r="N71" s="5" t="str">
        <f>IFERROR(__xludf.DUMMYFUNCTION("""COMPUTED_VALUE"""),"0.10/50")</f>
        <v>0.10/50</v>
      </c>
      <c r="O71" s="5" t="str">
        <f>IFERROR(__xludf.DUMMYFUNCTION("""COMPUTED_VALUE"""),"No")</f>
        <v>No</v>
      </c>
      <c r="P71" s="5" t="str">
        <f>IFERROR(__xludf.DUMMYFUNCTION("""COMPUTED_VALUE"""),"Win Multiplier")</f>
        <v>Win Multiplier</v>
      </c>
      <c r="Q71" s="7" t="str">
        <f>IFERROR(__xludf.DUMMYFUNCTION("""COMPUTED_VALUE"""),"https://static.redstone.rs/games/clover-royale/")</f>
        <v>https://static.redstone.rs/games/clover-royale/</v>
      </c>
      <c r="R71" s="5" t="str">
        <f>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S7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1" s="5" t="str">
        <f>IFERROR(__xludf.DUMMYFUNCTION("""COMPUTED_VALUE"""),"Yes")</f>
        <v>Yes</v>
      </c>
      <c r="U71" s="5" t="str">
        <f>IFERROR(__xludf.DUMMYFUNCTION("""COMPUTED_VALUE"""),"Yes")</f>
        <v>Yes</v>
      </c>
      <c r="V71" s="5" t="str">
        <f>IFERROR(__xludf.DUMMYFUNCTION("""COMPUTED_VALUE"""),"Yes")</f>
        <v>Yes</v>
      </c>
      <c r="W71" s="5" t="str">
        <f>IFERROR(__xludf.DUMMYFUNCTION("""COMPUTED_VALUE"""),"No")</f>
        <v>No</v>
      </c>
      <c r="X71" s="5" t="str">
        <f>IFERROR(__xludf.DUMMYFUNCTION("""COMPUTED_VALUE"""),"No")</f>
        <v>No</v>
      </c>
      <c r="Y71" s="5" t="str">
        <f>IFERROR(__xludf.DUMMYFUNCTION("""COMPUTED_VALUE"""),"No")</f>
        <v>No</v>
      </c>
      <c r="Z71" s="5" t="str">
        <f>IFERROR(__xludf.DUMMYFUNCTION("""COMPUTED_VALUE"""),"No")</f>
        <v>No</v>
      </c>
      <c r="AA71" s="5" t="str">
        <f>IFERROR(__xludf.DUMMYFUNCTION("""COMPUTED_VALUE"""),"No")</f>
        <v>No</v>
      </c>
      <c r="AB71" s="5" t="str">
        <f>IFERROR(__xludf.DUMMYFUNCTION("""COMPUTED_VALUE"""),"Yes")</f>
        <v>Yes</v>
      </c>
      <c r="AC71" s="5" t="str">
        <f>IFERROR(__xludf.DUMMYFUNCTION("""COMPUTED_VALUE"""),"Yes")</f>
        <v>Yes</v>
      </c>
      <c r="AD71" s="5" t="str">
        <f>IFERROR(__xludf.DUMMYFUNCTION("""COMPUTED_VALUE"""),"Yes")</f>
        <v>Yes</v>
      </c>
      <c r="AE71" s="5" t="str">
        <f>IFERROR(__xludf.DUMMYFUNCTION("""COMPUTED_VALUE"""),"Yes")</f>
        <v>Yes</v>
      </c>
      <c r="AF71" s="5" t="str">
        <f>IFERROR(__xludf.DUMMYFUNCTION("""COMPUTED_VALUE"""),"Yes")</f>
        <v>Yes</v>
      </c>
      <c r="AG71" s="5" t="str">
        <f>IFERROR(__xludf.DUMMYFUNCTION("""COMPUTED_VALUE"""),"No")</f>
        <v>No</v>
      </c>
      <c r="AH71" s="5" t="str">
        <f>IFERROR(__xludf.DUMMYFUNCTION("""COMPUTED_VALUE"""),"Yes")</f>
        <v>Yes</v>
      </c>
      <c r="AI71" s="5" t="str">
        <f>IFERROR(__xludf.DUMMYFUNCTION("""COMPUTED_VALUE"""),"No")</f>
        <v>No</v>
      </c>
      <c r="AJ71" s="5" t="str">
        <f>IFERROR(__xludf.DUMMYFUNCTION("""COMPUTED_VALUE"""),"No")</f>
        <v>No</v>
      </c>
      <c r="AK71" s="5" t="str">
        <f>IFERROR(__xludf.DUMMYFUNCTION("""COMPUTED_VALUE"""),"No")</f>
        <v>No</v>
      </c>
      <c r="AL71" s="5" t="str">
        <f>IFERROR(__xludf.DUMMYFUNCTION("""COMPUTED_VALUE"""),"No")</f>
        <v>No</v>
      </c>
      <c r="AM71" s="5"/>
      <c r="AN71" s="5"/>
      <c r="AO71" s="5" t="str">
        <f>IFERROR(__xludf.DUMMYFUNCTION("""COMPUTED_VALUE"""),"Yes")</f>
        <v>Yes</v>
      </c>
      <c r="AP71" s="5"/>
      <c r="AQ71" s="5" t="str">
        <f>IFERROR(__xludf.DUMMYFUNCTION("""COMPUTED_VALUE"""),"No")</f>
        <v>No</v>
      </c>
      <c r="AR71" s="5"/>
      <c r="AS71" s="5" t="str">
        <f>IFERROR(__xludf.DUMMYFUNCTION("""COMPUTED_VALUE"""),"Yes")</f>
        <v>Yes</v>
      </c>
      <c r="AT71" s="5" t="str">
        <f>IFERROR(__xludf.DUMMYFUNCTION("""COMPUTED_VALUE"""),"Yes")</f>
        <v>Yes</v>
      </c>
      <c r="AU71" s="5"/>
      <c r="AV71" s="5" t="str">
        <f>IFERROR(__xludf.DUMMYFUNCTION("""COMPUTED_VALUE"""),"")</f>
        <v/>
      </c>
      <c r="AW71" s="5" t="str">
        <f>IFERROR(__xludf.DUMMYFUNCTION("""COMPUTED_VALUE"""),"")</f>
        <v/>
      </c>
      <c r="AX71" s="5" t="str">
        <f>IFERROR(__xludf.DUMMYFUNCTION("""COMPUTED_VALUE"""),"")</f>
        <v/>
      </c>
      <c r="AY71" s="5" t="str">
        <f>IFERROR(__xludf.DUMMYFUNCTION("""COMPUTED_VALUE"""),"")</f>
        <v/>
      </c>
      <c r="AZ71" s="5" t="str">
        <f>IFERROR(__xludf.DUMMYFUNCTION("""COMPUTED_VALUE"""),"")</f>
        <v/>
      </c>
      <c r="BA71" s="5" t="str">
        <f>IFERROR(__xludf.DUMMYFUNCTION("""COMPUTED_VALUE"""),"")</f>
        <v/>
      </c>
      <c r="BB71" s="5" t="str">
        <f>IFERROR(__xludf.DUMMYFUNCTION("""COMPUTED_VALUE"""),"")</f>
        <v/>
      </c>
    </row>
    <row r="72">
      <c r="A72" s="5" t="str">
        <f>IFERROR(__xludf.DUMMYFUNCTION("""COMPUTED_VALUE"""),"Redstone")</f>
        <v>Redstone</v>
      </c>
      <c r="B72" s="5" t="str">
        <f>IFERROR(__xludf.DUMMYFUNCTION("""COMPUTED_VALUE"""),"Eternal Hearts 10")</f>
        <v>Eternal Hearts 10</v>
      </c>
      <c r="C72" s="5" t="str">
        <f>IFERROR(__xludf.DUMMYFUNCTION("""COMPUTED_VALUE"""),"RedstoneEternalHearts10")</f>
        <v>RedstoneEternalHearts10</v>
      </c>
      <c r="D72" s="6">
        <f>IFERROR(__xludf.DUMMYFUNCTION("""COMPUTED_VALUE"""),45698.0)</f>
        <v>45698</v>
      </c>
      <c r="E72" s="5" t="str">
        <f>IFERROR(__xludf.DUMMYFUNCTION("""COMPUTED_VALUE"""),"Slot")</f>
        <v>Slot</v>
      </c>
      <c r="F72" s="5">
        <f>IFERROR(__xludf.DUMMYFUNCTION("""COMPUTED_VALUE"""),12.7)</f>
        <v>12.7</v>
      </c>
      <c r="G72" s="5" t="str">
        <f>IFERROR(__xludf.DUMMYFUNCTION("""COMPUTED_VALUE"""),"5x3")</f>
        <v>5x3</v>
      </c>
      <c r="H72" s="5">
        <f>IFERROR(__xludf.DUMMYFUNCTION("""COMPUTED_VALUE"""),10.0)</f>
        <v>10</v>
      </c>
      <c r="I72" s="5">
        <f>IFERROR(__xludf.DUMMYFUNCTION("""COMPUTED_VALUE"""),10.0)</f>
        <v>10</v>
      </c>
      <c r="J72" s="5" t="str">
        <f>IFERROR(__xludf.DUMMYFUNCTION("""COMPUTED_VALUE"""),"96.05%")</f>
        <v>96.05%</v>
      </c>
      <c r="K72" s="5" t="str">
        <f>IFERROR(__xludf.DUMMYFUNCTION("""COMPUTED_VALUE"""),"Medium")</f>
        <v>Medium</v>
      </c>
      <c r="L72" s="5" t="str">
        <f>IFERROR(__xludf.DUMMYFUNCTION("""COMPUTED_VALUE"""),"14.29%")</f>
        <v>14.29%</v>
      </c>
      <c r="M72" s="5" t="str">
        <f>IFERROR(__xludf.DUMMYFUNCTION("""COMPUTED_VALUE"""),"x1250")</f>
        <v>x1250</v>
      </c>
      <c r="N72" s="5" t="str">
        <f>IFERROR(__xludf.DUMMYFUNCTION("""COMPUTED_VALUE"""),"0.05/100")</f>
        <v>0.05/100</v>
      </c>
      <c r="O72" s="5" t="str">
        <f>IFERROR(__xludf.DUMMYFUNCTION("""COMPUTED_VALUE"""),"No")</f>
        <v>No</v>
      </c>
      <c r="P72" s="5" t="str">
        <f>IFERROR(__xludf.DUMMYFUNCTION("""COMPUTED_VALUE"""),"Hold and Win, Special Wild")</f>
        <v>Hold and Win, Special Wild</v>
      </c>
      <c r="Q72" s="7" t="str">
        <f>IFERROR(__xludf.DUMMYFUNCTION("""COMPUTED_VALUE"""),"https://static.redstone.rs/games/eternal-hearts-10/")</f>
        <v>https://static.redstone.rs/games/eternal-hearts-10/</v>
      </c>
      <c r="R72" s="5" t="str">
        <f>IFERROR(__xludf.DUMMYFUNCTION("""COMPUTED_VALUE"""),"Can you gather all 15 hearts? In Eternal Hearts, the challenge leads to unforgettable rewards in the bonus round.")</f>
        <v>Can you gather all 15 hearts? In Eternal Hearts, the challenge leads to unforgettable rewards in the bonus round.</v>
      </c>
      <c r="S7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2" s="5" t="str">
        <f>IFERROR(__xludf.DUMMYFUNCTION("""COMPUTED_VALUE"""),"Yes")</f>
        <v>Yes</v>
      </c>
      <c r="U72" s="5" t="str">
        <f>IFERROR(__xludf.DUMMYFUNCTION("""COMPUTED_VALUE"""),"Yes")</f>
        <v>Yes</v>
      </c>
      <c r="V72" s="5" t="str">
        <f>IFERROR(__xludf.DUMMYFUNCTION("""COMPUTED_VALUE"""),"Yes")</f>
        <v>Yes</v>
      </c>
      <c r="W72" s="5" t="str">
        <f>IFERROR(__xludf.DUMMYFUNCTION("""COMPUTED_VALUE"""),"No")</f>
        <v>No</v>
      </c>
      <c r="X72" s="5" t="str">
        <f>IFERROR(__xludf.DUMMYFUNCTION("""COMPUTED_VALUE"""),"No")</f>
        <v>No</v>
      </c>
      <c r="Y72" s="5" t="str">
        <f>IFERROR(__xludf.DUMMYFUNCTION("""COMPUTED_VALUE"""),"No")</f>
        <v>No</v>
      </c>
      <c r="Z72" s="5" t="str">
        <f>IFERROR(__xludf.DUMMYFUNCTION("""COMPUTED_VALUE"""),"No")</f>
        <v>No</v>
      </c>
      <c r="AA72" s="5" t="str">
        <f>IFERROR(__xludf.DUMMYFUNCTION("""COMPUTED_VALUE"""),"No")</f>
        <v>No</v>
      </c>
      <c r="AB72" s="5" t="str">
        <f>IFERROR(__xludf.DUMMYFUNCTION("""COMPUTED_VALUE"""),"Yes")</f>
        <v>Yes</v>
      </c>
      <c r="AC72" s="5" t="str">
        <f>IFERROR(__xludf.DUMMYFUNCTION("""COMPUTED_VALUE"""),"Yes")</f>
        <v>Yes</v>
      </c>
      <c r="AD72" s="5" t="str">
        <f>IFERROR(__xludf.DUMMYFUNCTION("""COMPUTED_VALUE"""),"Yes")</f>
        <v>Yes</v>
      </c>
      <c r="AE72" s="5" t="str">
        <f>IFERROR(__xludf.DUMMYFUNCTION("""COMPUTED_VALUE"""),"Yes")</f>
        <v>Yes</v>
      </c>
      <c r="AF72" s="5" t="str">
        <f>IFERROR(__xludf.DUMMYFUNCTION("""COMPUTED_VALUE"""),"Yes")</f>
        <v>Yes</v>
      </c>
      <c r="AG72" s="5" t="str">
        <f>IFERROR(__xludf.DUMMYFUNCTION("""COMPUTED_VALUE"""),"No")</f>
        <v>No</v>
      </c>
      <c r="AH72" s="5" t="str">
        <f>IFERROR(__xludf.DUMMYFUNCTION("""COMPUTED_VALUE"""),"Yes")</f>
        <v>Yes</v>
      </c>
      <c r="AI72" s="5" t="str">
        <f>IFERROR(__xludf.DUMMYFUNCTION("""COMPUTED_VALUE"""),"No")</f>
        <v>No</v>
      </c>
      <c r="AJ72" s="5" t="str">
        <f>IFERROR(__xludf.DUMMYFUNCTION("""COMPUTED_VALUE"""),"No")</f>
        <v>No</v>
      </c>
      <c r="AK72" s="5" t="str">
        <f>IFERROR(__xludf.DUMMYFUNCTION("""COMPUTED_VALUE"""),"No")</f>
        <v>No</v>
      </c>
      <c r="AL72" s="5" t="str">
        <f>IFERROR(__xludf.DUMMYFUNCTION("""COMPUTED_VALUE"""),"No")</f>
        <v>No</v>
      </c>
      <c r="AM72" s="5"/>
      <c r="AN72" s="5"/>
      <c r="AO72" s="5" t="str">
        <f>IFERROR(__xludf.DUMMYFUNCTION("""COMPUTED_VALUE"""),"Yes")</f>
        <v>Yes</v>
      </c>
      <c r="AP72" s="5"/>
      <c r="AQ72" s="5" t="str">
        <f>IFERROR(__xludf.DUMMYFUNCTION("""COMPUTED_VALUE"""),"No")</f>
        <v>No</v>
      </c>
      <c r="AR72" s="5"/>
      <c r="AS72" s="5" t="str">
        <f>IFERROR(__xludf.DUMMYFUNCTION("""COMPUTED_VALUE"""),"Yes")</f>
        <v>Yes</v>
      </c>
      <c r="AT72" s="5" t="str">
        <f>IFERROR(__xludf.DUMMYFUNCTION("""COMPUTED_VALUE"""),"Yes")</f>
        <v>Yes</v>
      </c>
      <c r="AU72" s="5"/>
      <c r="AV72" s="5" t="str">
        <f>IFERROR(__xludf.DUMMYFUNCTION("""COMPUTED_VALUE"""),"")</f>
        <v/>
      </c>
      <c r="AW72" s="5" t="str">
        <f>IFERROR(__xludf.DUMMYFUNCTION("""COMPUTED_VALUE"""),"")</f>
        <v/>
      </c>
      <c r="AX72" s="5" t="str">
        <f>IFERROR(__xludf.DUMMYFUNCTION("""COMPUTED_VALUE"""),"")</f>
        <v/>
      </c>
      <c r="AY72" s="5" t="str">
        <f>IFERROR(__xludf.DUMMYFUNCTION("""COMPUTED_VALUE"""),"")</f>
        <v/>
      </c>
      <c r="AZ72" s="5" t="str">
        <f>IFERROR(__xludf.DUMMYFUNCTION("""COMPUTED_VALUE"""),"")</f>
        <v/>
      </c>
      <c r="BA72" s="5" t="str">
        <f>IFERROR(__xludf.DUMMYFUNCTION("""COMPUTED_VALUE"""),"")</f>
        <v/>
      </c>
      <c r="BB72" s="5" t="str">
        <f>IFERROR(__xludf.DUMMYFUNCTION("""COMPUTED_VALUE"""),"")</f>
        <v/>
      </c>
    </row>
    <row r="73">
      <c r="A73" s="5" t="str">
        <f>IFERROR(__xludf.DUMMYFUNCTION("""COMPUTED_VALUE"""),"Redstone")</f>
        <v>Redstone</v>
      </c>
      <c r="B73" s="5" t="str">
        <f>IFERROR(__xludf.DUMMYFUNCTION("""COMPUTED_VALUE"""),"Star Chaser")</f>
        <v>Star Chaser</v>
      </c>
      <c r="C73" s="5" t="str">
        <f>IFERROR(__xludf.DUMMYFUNCTION("""COMPUTED_VALUE"""),"RedstoneStarChaser")</f>
        <v>RedstoneStarChaser</v>
      </c>
      <c r="D73" s="6">
        <f>IFERROR(__xludf.DUMMYFUNCTION("""COMPUTED_VALUE"""),45707.0)</f>
        <v>45707</v>
      </c>
      <c r="E73" s="5" t="str">
        <f>IFERROR(__xludf.DUMMYFUNCTION("""COMPUTED_VALUE"""),"Slot")</f>
        <v>Slot</v>
      </c>
      <c r="F73" s="5">
        <f>IFERROR(__xludf.DUMMYFUNCTION("""COMPUTED_VALUE"""),8.0)</f>
        <v>8</v>
      </c>
      <c r="G73" s="5" t="str">
        <f>IFERROR(__xludf.DUMMYFUNCTION("""COMPUTED_VALUE"""),"5x3")</f>
        <v>5x3</v>
      </c>
      <c r="H73" s="5">
        <f>IFERROR(__xludf.DUMMYFUNCTION("""COMPUTED_VALUE"""),15.0)</f>
        <v>15</v>
      </c>
      <c r="I73" s="5">
        <f>IFERROR(__xludf.DUMMYFUNCTION("""COMPUTED_VALUE"""),15.0)</f>
        <v>15</v>
      </c>
      <c r="J73" s="5" t="str">
        <f>IFERROR(__xludf.DUMMYFUNCTION("""COMPUTED_VALUE"""),"96%")</f>
        <v>96%</v>
      </c>
      <c r="K73" s="5" t="str">
        <f>IFERROR(__xludf.DUMMYFUNCTION("""COMPUTED_VALUE"""),"High")</f>
        <v>High</v>
      </c>
      <c r="L73" s="5" t="str">
        <f>IFERROR(__xludf.DUMMYFUNCTION("""COMPUTED_VALUE"""),"5.67%")</f>
        <v>5.67%</v>
      </c>
      <c r="M73" s="5" t="str">
        <f>IFERROR(__xludf.DUMMYFUNCTION("""COMPUTED_VALUE"""),"x10000")</f>
        <v>x10000</v>
      </c>
      <c r="N73" s="5" t="str">
        <f>IFERROR(__xludf.DUMMYFUNCTION("""COMPUTED_VALUE"""),"0.10/50")</f>
        <v>0.10/50</v>
      </c>
      <c r="O73" s="5" t="str">
        <f>IFERROR(__xludf.DUMMYFUNCTION("""COMPUTED_VALUE"""),"No")</f>
        <v>No</v>
      </c>
      <c r="P73" s="5" t="str">
        <f>IFERROR(__xludf.DUMMYFUNCTION("""COMPUTED_VALUE"""),"Scatter")</f>
        <v>Scatter</v>
      </c>
      <c r="Q73" s="7" t="str">
        <f>IFERROR(__xludf.DUMMYFUNCTION("""COMPUTED_VALUE"""),"https://static.redstone.rs/games/star-chaser/")</f>
        <v>https://static.redstone.rs/games/star-chaser/</v>
      </c>
      <c r="R73" s="5" t="str">
        <f>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S7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3" s="5" t="str">
        <f>IFERROR(__xludf.DUMMYFUNCTION("""COMPUTED_VALUE"""),"Yes")</f>
        <v>Yes</v>
      </c>
      <c r="U73" s="5" t="str">
        <f>IFERROR(__xludf.DUMMYFUNCTION("""COMPUTED_VALUE"""),"Yes")</f>
        <v>Yes</v>
      </c>
      <c r="V73" s="5" t="str">
        <f>IFERROR(__xludf.DUMMYFUNCTION("""COMPUTED_VALUE"""),"No")</f>
        <v>No</v>
      </c>
      <c r="W73" s="5" t="str">
        <f>IFERROR(__xludf.DUMMYFUNCTION("""COMPUTED_VALUE"""),"Yes")</f>
        <v>Yes</v>
      </c>
      <c r="X73" s="5" t="str">
        <f>IFERROR(__xludf.DUMMYFUNCTION("""COMPUTED_VALUE"""),"Yes")</f>
        <v>Yes</v>
      </c>
      <c r="Y73" s="5" t="str">
        <f>IFERROR(__xludf.DUMMYFUNCTION("""COMPUTED_VALUE"""),"Yes")</f>
        <v>Yes</v>
      </c>
      <c r="Z73" s="5" t="str">
        <f>IFERROR(__xludf.DUMMYFUNCTION("""COMPUTED_VALUE"""),"Yes")</f>
        <v>Yes</v>
      </c>
      <c r="AA73" s="5" t="str">
        <f>IFERROR(__xludf.DUMMYFUNCTION("""COMPUTED_VALUE"""),"Yes")</f>
        <v>Yes</v>
      </c>
      <c r="AB73" s="5" t="str">
        <f>IFERROR(__xludf.DUMMYFUNCTION("""COMPUTED_VALUE"""),"Yes")</f>
        <v>Yes</v>
      </c>
      <c r="AC73" s="5" t="str">
        <f>IFERROR(__xludf.DUMMYFUNCTION("""COMPUTED_VALUE"""),"Yes")</f>
        <v>Yes</v>
      </c>
      <c r="AD73" s="5" t="str">
        <f>IFERROR(__xludf.DUMMYFUNCTION("""COMPUTED_VALUE"""),"Yes")</f>
        <v>Yes</v>
      </c>
      <c r="AE73" s="5" t="str">
        <f>IFERROR(__xludf.DUMMYFUNCTION("""COMPUTED_VALUE"""),"Yes")</f>
        <v>Yes</v>
      </c>
      <c r="AF73" s="5" t="str">
        <f>IFERROR(__xludf.DUMMYFUNCTION("""COMPUTED_VALUE"""),"Yes")</f>
        <v>Yes</v>
      </c>
      <c r="AG73" s="5" t="str">
        <f>IFERROR(__xludf.DUMMYFUNCTION("""COMPUTED_VALUE"""),"Yes")</f>
        <v>Yes</v>
      </c>
      <c r="AH73" s="5" t="str">
        <f>IFERROR(__xludf.DUMMYFUNCTION("""COMPUTED_VALUE"""),"Yes")</f>
        <v>Yes</v>
      </c>
      <c r="AI73" s="5" t="str">
        <f>IFERROR(__xludf.DUMMYFUNCTION("""COMPUTED_VALUE"""),"No")</f>
        <v>No</v>
      </c>
      <c r="AJ73" s="5" t="str">
        <f>IFERROR(__xludf.DUMMYFUNCTION("""COMPUTED_VALUE"""),"No")</f>
        <v>No</v>
      </c>
      <c r="AK73" s="5" t="str">
        <f>IFERROR(__xludf.DUMMYFUNCTION("""COMPUTED_VALUE"""),"No")</f>
        <v>No</v>
      </c>
      <c r="AL73" s="5" t="str">
        <f>IFERROR(__xludf.DUMMYFUNCTION("""COMPUTED_VALUE"""),"No")</f>
        <v>No</v>
      </c>
      <c r="AM73" s="5" t="str">
        <f>IFERROR(__xludf.DUMMYFUNCTION("""COMPUTED_VALUE"""),"No")</f>
        <v>No</v>
      </c>
      <c r="AN73" s="5" t="str">
        <f>IFERROR(__xludf.DUMMYFUNCTION("""COMPUTED_VALUE"""),"No")</f>
        <v>No</v>
      </c>
      <c r="AO73" s="5" t="str">
        <f>IFERROR(__xludf.DUMMYFUNCTION("""COMPUTED_VALUE"""),"Yes")</f>
        <v>Yes</v>
      </c>
      <c r="AP73" s="5" t="str">
        <f>IFERROR(__xludf.DUMMYFUNCTION("""COMPUTED_VALUE"""),"No")</f>
        <v>No</v>
      </c>
      <c r="AQ73" s="5" t="str">
        <f>IFERROR(__xludf.DUMMYFUNCTION("""COMPUTED_VALUE"""),"No")</f>
        <v>No</v>
      </c>
      <c r="AR73" s="5" t="str">
        <f>IFERROR(__xludf.DUMMYFUNCTION("""COMPUTED_VALUE"""),"No")</f>
        <v>No</v>
      </c>
      <c r="AS73" s="5" t="str">
        <f>IFERROR(__xludf.DUMMYFUNCTION("""COMPUTED_VALUE"""),"Yes")</f>
        <v>Yes</v>
      </c>
      <c r="AT73" s="5" t="str">
        <f>IFERROR(__xludf.DUMMYFUNCTION("""COMPUTED_VALUE"""),"No")</f>
        <v>No</v>
      </c>
      <c r="AU73" s="5"/>
      <c r="AV73" s="5" t="str">
        <f>IFERROR(__xludf.DUMMYFUNCTION("""COMPUTED_VALUE"""),"")</f>
        <v/>
      </c>
      <c r="AW73" s="5" t="str">
        <f>IFERROR(__xludf.DUMMYFUNCTION("""COMPUTED_VALUE"""),"")</f>
        <v/>
      </c>
      <c r="AX73" s="5" t="str">
        <f>IFERROR(__xludf.DUMMYFUNCTION("""COMPUTED_VALUE"""),"")</f>
        <v/>
      </c>
      <c r="AY73" s="5" t="str">
        <f>IFERROR(__xludf.DUMMYFUNCTION("""COMPUTED_VALUE"""),"")</f>
        <v/>
      </c>
      <c r="AZ73" s="5" t="str">
        <f>IFERROR(__xludf.DUMMYFUNCTION("""COMPUTED_VALUE"""),"")</f>
        <v/>
      </c>
      <c r="BA73" s="5" t="str">
        <f>IFERROR(__xludf.DUMMYFUNCTION("""COMPUTED_VALUE"""),"")</f>
        <v/>
      </c>
      <c r="BB73" s="5" t="str">
        <f>IFERROR(__xludf.DUMMYFUNCTION("""COMPUTED_VALUE"""),"")</f>
        <v/>
      </c>
    </row>
    <row r="74">
      <c r="A74" s="5" t="str">
        <f>IFERROR(__xludf.DUMMYFUNCTION("""COMPUTED_VALUE"""),"Redstone")</f>
        <v>Redstone</v>
      </c>
      <c r="B74" s="5" t="str">
        <f>IFERROR(__xludf.DUMMYFUNCTION("""COMPUTED_VALUE"""),"Multi Clover 10")</f>
        <v>Multi Clover 10</v>
      </c>
      <c r="C74" s="5" t="str">
        <f>IFERROR(__xludf.DUMMYFUNCTION("""COMPUTED_VALUE"""),"RedstoneMultiClover10")</f>
        <v>RedstoneMultiClover10</v>
      </c>
      <c r="D74" s="6">
        <f>IFERROR(__xludf.DUMMYFUNCTION("""COMPUTED_VALUE"""),45713.0)</f>
        <v>45713</v>
      </c>
      <c r="E74" s="5" t="str">
        <f>IFERROR(__xludf.DUMMYFUNCTION("""COMPUTED_VALUE"""),"Slot")</f>
        <v>Slot</v>
      </c>
      <c r="F74" s="5">
        <f>IFERROR(__xludf.DUMMYFUNCTION("""COMPUTED_VALUE"""),8.0)</f>
        <v>8</v>
      </c>
      <c r="G74" s="5" t="str">
        <f>IFERROR(__xludf.DUMMYFUNCTION("""COMPUTED_VALUE"""),"5x3")</f>
        <v>5x3</v>
      </c>
      <c r="H74" s="5">
        <f>IFERROR(__xludf.DUMMYFUNCTION("""COMPUTED_VALUE"""),10.0)</f>
        <v>10</v>
      </c>
      <c r="I74" s="5">
        <f>IFERROR(__xludf.DUMMYFUNCTION("""COMPUTED_VALUE"""),10.0)</f>
        <v>10</v>
      </c>
      <c r="J74" s="5" t="str">
        <f>IFERROR(__xludf.DUMMYFUNCTION("""COMPUTED_VALUE"""),"96.01%")</f>
        <v>96.01%</v>
      </c>
      <c r="K74" s="5" t="str">
        <f>IFERROR(__xludf.DUMMYFUNCTION("""COMPUTED_VALUE"""),"Medium")</f>
        <v>Medium</v>
      </c>
      <c r="L74" s="5" t="str">
        <f>IFERROR(__xludf.DUMMYFUNCTION("""COMPUTED_VALUE"""),"13.61%")</f>
        <v>13.61%</v>
      </c>
      <c r="M74" s="5" t="str">
        <f>IFERROR(__xludf.DUMMYFUNCTION("""COMPUTED_VALUE"""),"x1615")</f>
        <v>x1615</v>
      </c>
      <c r="N74" s="5" t="str">
        <f>IFERROR(__xludf.DUMMYFUNCTION("""COMPUTED_VALUE"""),"0.10/50")</f>
        <v>0.10/50</v>
      </c>
      <c r="O74" s="5" t="str">
        <f>IFERROR(__xludf.DUMMYFUNCTION("""COMPUTED_VALUE"""),"No")</f>
        <v>No</v>
      </c>
      <c r="P74" s="5" t="str">
        <f>IFERROR(__xludf.DUMMYFUNCTION("""COMPUTED_VALUE"""),"Expanding Wild, Win Multiplier")</f>
        <v>Expanding Wild, Win Multiplier</v>
      </c>
      <c r="Q74" s="7" t="str">
        <f>IFERROR(__xludf.DUMMYFUNCTION("""COMPUTED_VALUE"""),"https://static.redstone.rs/games/multi-clover-10/")</f>
        <v>https://static.redstone.rs/games/multi-clover-10/</v>
      </c>
      <c r="R74" s="5" t="str">
        <f>IFERROR(__xludf.DUMMYFUNCTION("""COMPUTED_VALUE"""),"Spin into a world of clovers and magic with Multi Clover 10. One clover can change everything - watch as expanding wilds boost your winnings with x2, x3 or x5 multipliers! ")</f>
        <v>Spin into a world of clovers and magic with Multi Clover 10. One clover can change everything - watch as expanding wilds boost your winnings with x2, x3 or x5 multipliers! </v>
      </c>
      <c r="S7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4" s="5" t="str">
        <f>IFERROR(__xludf.DUMMYFUNCTION("""COMPUTED_VALUE"""),"Yes")</f>
        <v>Yes</v>
      </c>
      <c r="U74" s="5" t="str">
        <f>IFERROR(__xludf.DUMMYFUNCTION("""COMPUTED_VALUE"""),"Yes")</f>
        <v>Yes</v>
      </c>
      <c r="V74" s="5" t="str">
        <f>IFERROR(__xludf.DUMMYFUNCTION("""COMPUTED_VALUE"""),"Yes")</f>
        <v>Yes</v>
      </c>
      <c r="W74" s="5" t="str">
        <f>IFERROR(__xludf.DUMMYFUNCTION("""COMPUTED_VALUE"""),"No")</f>
        <v>No</v>
      </c>
      <c r="X74" s="5" t="str">
        <f>IFERROR(__xludf.DUMMYFUNCTION("""COMPUTED_VALUE"""),"No")</f>
        <v>No</v>
      </c>
      <c r="Y74" s="5" t="str">
        <f>IFERROR(__xludf.DUMMYFUNCTION("""COMPUTED_VALUE"""),"No")</f>
        <v>No</v>
      </c>
      <c r="Z74" s="5" t="str">
        <f>IFERROR(__xludf.DUMMYFUNCTION("""COMPUTED_VALUE"""),"No")</f>
        <v>No</v>
      </c>
      <c r="AA74" s="5" t="str">
        <f>IFERROR(__xludf.DUMMYFUNCTION("""COMPUTED_VALUE"""),"No")</f>
        <v>No</v>
      </c>
      <c r="AB74" s="5" t="str">
        <f>IFERROR(__xludf.DUMMYFUNCTION("""COMPUTED_VALUE"""),"Yes")</f>
        <v>Yes</v>
      </c>
      <c r="AC74" s="5" t="str">
        <f>IFERROR(__xludf.DUMMYFUNCTION("""COMPUTED_VALUE"""),"Yes")</f>
        <v>Yes</v>
      </c>
      <c r="AD74" s="5" t="str">
        <f>IFERROR(__xludf.DUMMYFUNCTION("""COMPUTED_VALUE"""),"Yes")</f>
        <v>Yes</v>
      </c>
      <c r="AE74" s="5" t="str">
        <f>IFERROR(__xludf.DUMMYFUNCTION("""COMPUTED_VALUE"""),"Yes")</f>
        <v>Yes</v>
      </c>
      <c r="AF74" s="5" t="str">
        <f>IFERROR(__xludf.DUMMYFUNCTION("""COMPUTED_VALUE"""),"Yes")</f>
        <v>Yes</v>
      </c>
      <c r="AG74" s="5" t="str">
        <f>IFERROR(__xludf.DUMMYFUNCTION("""COMPUTED_VALUE"""),"No")</f>
        <v>No</v>
      </c>
      <c r="AH74" s="5" t="str">
        <f>IFERROR(__xludf.DUMMYFUNCTION("""COMPUTED_VALUE"""),"Yes")</f>
        <v>Yes</v>
      </c>
      <c r="AI74" s="5" t="str">
        <f>IFERROR(__xludf.DUMMYFUNCTION("""COMPUTED_VALUE"""),"No")</f>
        <v>No</v>
      </c>
      <c r="AJ74" s="5" t="str">
        <f>IFERROR(__xludf.DUMMYFUNCTION("""COMPUTED_VALUE"""),"No")</f>
        <v>No</v>
      </c>
      <c r="AK74" s="5" t="str">
        <f>IFERROR(__xludf.DUMMYFUNCTION("""COMPUTED_VALUE"""),"No")</f>
        <v>No</v>
      </c>
      <c r="AL74" s="5" t="str">
        <f>IFERROR(__xludf.DUMMYFUNCTION("""COMPUTED_VALUE"""),"No")</f>
        <v>No</v>
      </c>
      <c r="AM74" s="5"/>
      <c r="AN74" s="5"/>
      <c r="AO74" s="5" t="str">
        <f>IFERROR(__xludf.DUMMYFUNCTION("""COMPUTED_VALUE"""),"Yes")</f>
        <v>Yes</v>
      </c>
      <c r="AP74" s="5"/>
      <c r="AQ74" s="5" t="str">
        <f>IFERROR(__xludf.DUMMYFUNCTION("""COMPUTED_VALUE"""),"No")</f>
        <v>No</v>
      </c>
      <c r="AR74" s="5"/>
      <c r="AS74" s="5" t="str">
        <f>IFERROR(__xludf.DUMMYFUNCTION("""COMPUTED_VALUE"""),"Yes")</f>
        <v>Yes</v>
      </c>
      <c r="AT74" s="5" t="str">
        <f>IFERROR(__xludf.DUMMYFUNCTION("""COMPUTED_VALUE"""),"Yes")</f>
        <v>Yes</v>
      </c>
      <c r="AU74" s="5"/>
      <c r="AV74" s="5" t="str">
        <f>IFERROR(__xludf.DUMMYFUNCTION("""COMPUTED_VALUE"""),"")</f>
        <v/>
      </c>
      <c r="AW74" s="5" t="str">
        <f>IFERROR(__xludf.DUMMYFUNCTION("""COMPUTED_VALUE"""),"")</f>
        <v/>
      </c>
      <c r="AX74" s="5" t="str">
        <f>IFERROR(__xludf.DUMMYFUNCTION("""COMPUTED_VALUE"""),"")</f>
        <v/>
      </c>
      <c r="AY74" s="5" t="str">
        <f>IFERROR(__xludf.DUMMYFUNCTION("""COMPUTED_VALUE"""),"")</f>
        <v/>
      </c>
      <c r="AZ74" s="5" t="str">
        <f>IFERROR(__xludf.DUMMYFUNCTION("""COMPUTED_VALUE"""),"")</f>
        <v/>
      </c>
      <c r="BA74" s="5" t="str">
        <f>IFERROR(__xludf.DUMMYFUNCTION("""COMPUTED_VALUE"""),"")</f>
        <v/>
      </c>
      <c r="BB74" s="5" t="str">
        <f>IFERROR(__xludf.DUMMYFUNCTION("""COMPUTED_VALUE"""),"")</f>
        <v/>
      </c>
    </row>
    <row r="75">
      <c r="A75" s="5" t="str">
        <f>IFERROR(__xludf.DUMMYFUNCTION("""COMPUTED_VALUE"""),"Redstone")</f>
        <v>Redstone</v>
      </c>
      <c r="B75" s="5" t="str">
        <f>IFERROR(__xludf.DUMMYFUNCTION("""COMPUTED_VALUE"""),"REEL X5")</f>
        <v>REEL X5</v>
      </c>
      <c r="C75" s="5" t="str">
        <f>IFERROR(__xludf.DUMMYFUNCTION("""COMPUTED_VALUE"""),"RedstoneReelX5")</f>
        <v>RedstoneReelX5</v>
      </c>
      <c r="D75" s="6">
        <f>IFERROR(__xludf.DUMMYFUNCTION("""COMPUTED_VALUE"""),45720.0)</f>
        <v>45720</v>
      </c>
      <c r="E75" s="5" t="str">
        <f>IFERROR(__xludf.DUMMYFUNCTION("""COMPUTED_VALUE"""),"Slot")</f>
        <v>Slot</v>
      </c>
      <c r="F75" s="5">
        <f>IFERROR(__xludf.DUMMYFUNCTION("""COMPUTED_VALUE"""),8.5)</f>
        <v>8.5</v>
      </c>
      <c r="G75" s="5" t="str">
        <f>IFERROR(__xludf.DUMMYFUNCTION("""COMPUTED_VALUE"""),"3x3")</f>
        <v>3x3</v>
      </c>
      <c r="H75" s="5">
        <f>IFERROR(__xludf.DUMMYFUNCTION("""COMPUTED_VALUE"""),5.0)</f>
        <v>5</v>
      </c>
      <c r="I75" s="5">
        <f>IFERROR(__xludf.DUMMYFUNCTION("""COMPUTED_VALUE"""),5.0)</f>
        <v>5</v>
      </c>
      <c r="J75" s="5" t="str">
        <f>IFERROR(__xludf.DUMMYFUNCTION("""COMPUTED_VALUE"""),"96.03%")</f>
        <v>96.03%</v>
      </c>
      <c r="K75" s="5" t="str">
        <f>IFERROR(__xludf.DUMMYFUNCTION("""COMPUTED_VALUE"""),"Low")</f>
        <v>Low</v>
      </c>
      <c r="L75" s="5" t="str">
        <f>IFERROR(__xludf.DUMMYFUNCTION("""COMPUTED_VALUE"""),"8.98%")</f>
        <v>8.98%</v>
      </c>
      <c r="M75" s="5" t="str">
        <f>IFERROR(__xludf.DUMMYFUNCTION("""COMPUTED_VALUE"""),"x145")</f>
        <v>x145</v>
      </c>
      <c r="N75" s="5" t="str">
        <f>IFERROR(__xludf.DUMMYFUNCTION("""COMPUTED_VALUE"""),"0.10/50")</f>
        <v>0.10/50</v>
      </c>
      <c r="O75" s="5" t="str">
        <f>IFERROR(__xludf.DUMMYFUNCTION("""COMPUTED_VALUE"""),"No")</f>
        <v>No</v>
      </c>
      <c r="P75" s="5" t="str">
        <f>IFERROR(__xludf.DUMMYFUNCTION("""COMPUTED_VALUE"""),"Win Multiplier")</f>
        <v>Win Multiplier</v>
      </c>
      <c r="Q75" s="7" t="str">
        <f>IFERROR(__xludf.DUMMYFUNCTION("""COMPUTED_VALUE"""),"https://static.redstone.rs/games/reel-x5/")</f>
        <v>https://static.redstone.rs/games/reel-x5/</v>
      </c>
      <c r="R75" s="5" t="str">
        <f>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S7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5" s="5" t="str">
        <f>IFERROR(__xludf.DUMMYFUNCTION("""COMPUTED_VALUE"""),"Yes")</f>
        <v>Yes</v>
      </c>
      <c r="U75" s="5" t="str">
        <f>IFERROR(__xludf.DUMMYFUNCTION("""COMPUTED_VALUE"""),"Yes")</f>
        <v>Yes</v>
      </c>
      <c r="V75" s="5" t="str">
        <f>IFERROR(__xludf.DUMMYFUNCTION("""COMPUTED_VALUE"""),"No")</f>
        <v>No</v>
      </c>
      <c r="W75" s="5" t="str">
        <f>IFERROR(__xludf.DUMMYFUNCTION("""COMPUTED_VALUE"""),"Yes")</f>
        <v>Yes</v>
      </c>
      <c r="X75" s="5" t="str">
        <f>IFERROR(__xludf.DUMMYFUNCTION("""COMPUTED_VALUE"""),"Yes")</f>
        <v>Yes</v>
      </c>
      <c r="Y75" s="5" t="str">
        <f>IFERROR(__xludf.DUMMYFUNCTION("""COMPUTED_VALUE"""),"Yes")</f>
        <v>Yes</v>
      </c>
      <c r="Z75" s="5" t="str">
        <f>IFERROR(__xludf.DUMMYFUNCTION("""COMPUTED_VALUE"""),"Yes")</f>
        <v>Yes</v>
      </c>
      <c r="AA75" s="5" t="str">
        <f>IFERROR(__xludf.DUMMYFUNCTION("""COMPUTED_VALUE"""),"Yes")</f>
        <v>Yes</v>
      </c>
      <c r="AB75" s="5" t="str">
        <f>IFERROR(__xludf.DUMMYFUNCTION("""COMPUTED_VALUE"""),"Yes")</f>
        <v>Yes</v>
      </c>
      <c r="AC75" s="5" t="str">
        <f>IFERROR(__xludf.DUMMYFUNCTION("""COMPUTED_VALUE"""),"Yes")</f>
        <v>Yes</v>
      </c>
      <c r="AD75" s="5" t="str">
        <f>IFERROR(__xludf.DUMMYFUNCTION("""COMPUTED_VALUE"""),"Yes")</f>
        <v>Yes</v>
      </c>
      <c r="AE75" s="5" t="str">
        <f>IFERROR(__xludf.DUMMYFUNCTION("""COMPUTED_VALUE"""),"Yes")</f>
        <v>Yes</v>
      </c>
      <c r="AF75" s="5" t="str">
        <f>IFERROR(__xludf.DUMMYFUNCTION("""COMPUTED_VALUE"""),"Yes")</f>
        <v>Yes</v>
      </c>
      <c r="AG75" s="5" t="str">
        <f>IFERROR(__xludf.DUMMYFUNCTION("""COMPUTED_VALUE"""),"Yes")</f>
        <v>Yes</v>
      </c>
      <c r="AH75" s="5" t="str">
        <f>IFERROR(__xludf.DUMMYFUNCTION("""COMPUTED_VALUE"""),"Yes")</f>
        <v>Yes</v>
      </c>
      <c r="AI75" s="5" t="str">
        <f>IFERROR(__xludf.DUMMYFUNCTION("""COMPUTED_VALUE"""),"No")</f>
        <v>No</v>
      </c>
      <c r="AJ75" s="5" t="str">
        <f>IFERROR(__xludf.DUMMYFUNCTION("""COMPUTED_VALUE"""),"No")</f>
        <v>No</v>
      </c>
      <c r="AK75" s="5" t="str">
        <f>IFERROR(__xludf.DUMMYFUNCTION("""COMPUTED_VALUE"""),"No")</f>
        <v>No</v>
      </c>
      <c r="AL75" s="5" t="str">
        <f>IFERROR(__xludf.DUMMYFUNCTION("""COMPUTED_VALUE"""),"No")</f>
        <v>No</v>
      </c>
      <c r="AM75" s="5" t="str">
        <f>IFERROR(__xludf.DUMMYFUNCTION("""COMPUTED_VALUE"""),"No")</f>
        <v>No</v>
      </c>
      <c r="AN75" s="5" t="str">
        <f>IFERROR(__xludf.DUMMYFUNCTION("""COMPUTED_VALUE"""),"No")</f>
        <v>No</v>
      </c>
      <c r="AO75" s="5" t="str">
        <f>IFERROR(__xludf.DUMMYFUNCTION("""COMPUTED_VALUE"""),"Yes")</f>
        <v>Yes</v>
      </c>
      <c r="AP75" s="5" t="str">
        <f>IFERROR(__xludf.DUMMYFUNCTION("""COMPUTED_VALUE"""),"No")</f>
        <v>No</v>
      </c>
      <c r="AQ75" s="5" t="str">
        <f>IFERROR(__xludf.DUMMYFUNCTION("""COMPUTED_VALUE"""),"No")</f>
        <v>No</v>
      </c>
      <c r="AR75" s="5" t="str">
        <f>IFERROR(__xludf.DUMMYFUNCTION("""COMPUTED_VALUE"""),"No")</f>
        <v>No</v>
      </c>
      <c r="AS75" s="5" t="str">
        <f>IFERROR(__xludf.DUMMYFUNCTION("""COMPUTED_VALUE"""),"Yes")</f>
        <v>Yes</v>
      </c>
      <c r="AT75" s="5" t="str">
        <f>IFERROR(__xludf.DUMMYFUNCTION("""COMPUTED_VALUE"""),"No")</f>
        <v>No</v>
      </c>
      <c r="AU75" s="5"/>
      <c r="AV75" s="5" t="str">
        <f>IFERROR(__xludf.DUMMYFUNCTION("""COMPUTED_VALUE"""),"")</f>
        <v/>
      </c>
      <c r="AW75" s="5" t="str">
        <f>IFERROR(__xludf.DUMMYFUNCTION("""COMPUTED_VALUE"""),"")</f>
        <v/>
      </c>
      <c r="AX75" s="5" t="str">
        <f>IFERROR(__xludf.DUMMYFUNCTION("""COMPUTED_VALUE"""),"")</f>
        <v/>
      </c>
      <c r="AY75" s="5" t="str">
        <f>IFERROR(__xludf.DUMMYFUNCTION("""COMPUTED_VALUE"""),"")</f>
        <v/>
      </c>
      <c r="AZ75" s="5" t="str">
        <f>IFERROR(__xludf.DUMMYFUNCTION("""COMPUTED_VALUE"""),"")</f>
        <v/>
      </c>
      <c r="BA75" s="5" t="str">
        <f>IFERROR(__xludf.DUMMYFUNCTION("""COMPUTED_VALUE"""),"")</f>
        <v/>
      </c>
      <c r="BB75" s="5" t="str">
        <f>IFERROR(__xludf.DUMMYFUNCTION("""COMPUTED_VALUE"""),"")</f>
        <v/>
      </c>
    </row>
    <row r="76">
      <c r="A76" s="5" t="str">
        <f>IFERROR(__xludf.DUMMYFUNCTION("""COMPUTED_VALUE"""),"Redstone")</f>
        <v>Redstone</v>
      </c>
      <c r="B76" s="5" t="str">
        <f>IFERROR(__xludf.DUMMYFUNCTION("""COMPUTED_VALUE"""),"Farm Fiesta")</f>
        <v>Farm Fiesta</v>
      </c>
      <c r="C76" s="5" t="str">
        <f>IFERROR(__xludf.DUMMYFUNCTION("""COMPUTED_VALUE"""),"RedstoneFarmFiesta")</f>
        <v>RedstoneFarmFiesta</v>
      </c>
      <c r="D76" s="6">
        <f>IFERROR(__xludf.DUMMYFUNCTION("""COMPUTED_VALUE"""),45727.0)</f>
        <v>45727</v>
      </c>
      <c r="E76" s="5" t="str">
        <f>IFERROR(__xludf.DUMMYFUNCTION("""COMPUTED_VALUE"""),"Slot")</f>
        <v>Slot</v>
      </c>
      <c r="F76" s="5">
        <f>IFERROR(__xludf.DUMMYFUNCTION("""COMPUTED_VALUE"""),13.0)</f>
        <v>13</v>
      </c>
      <c r="G76" s="5" t="str">
        <f>IFERROR(__xludf.DUMMYFUNCTION("""COMPUTED_VALUE"""),"5x3")</f>
        <v>5x3</v>
      </c>
      <c r="H76" s="5">
        <f>IFERROR(__xludf.DUMMYFUNCTION("""COMPUTED_VALUE"""),20.0)</f>
        <v>20</v>
      </c>
      <c r="I76" s="5">
        <f>IFERROR(__xludf.DUMMYFUNCTION("""COMPUTED_VALUE"""),20.0)</f>
        <v>20</v>
      </c>
      <c r="J76" s="5" t="str">
        <f>IFERROR(__xludf.DUMMYFUNCTION("""COMPUTED_VALUE"""),"96%")</f>
        <v>96%</v>
      </c>
      <c r="K76" s="5" t="str">
        <f>IFERROR(__xludf.DUMMYFUNCTION("""COMPUTED_VALUE"""),"Medium")</f>
        <v>Medium</v>
      </c>
      <c r="L76" s="5" t="str">
        <f>IFERROR(__xludf.DUMMYFUNCTION("""COMPUTED_VALUE"""),"30%")</f>
        <v>30%</v>
      </c>
      <c r="M76" s="5" t="str">
        <f>IFERROR(__xludf.DUMMYFUNCTION("""COMPUTED_VALUE"""),"x2000")</f>
        <v>x2000</v>
      </c>
      <c r="N76" s="5" t="str">
        <f>IFERROR(__xludf.DUMMYFUNCTION("""COMPUTED_VALUE"""),"0.10/50")</f>
        <v>0.10/50</v>
      </c>
      <c r="O76" s="5" t="str">
        <f>IFERROR(__xludf.DUMMYFUNCTION("""COMPUTED_VALUE"""),"No")</f>
        <v>No</v>
      </c>
      <c r="P76" s="5" t="str">
        <f>IFERROR(__xludf.DUMMYFUNCTION("""COMPUTED_VALUE"""),"Scatter, Wild Symbol, Bonus Game with Free Spins, Bonus Game with Sticky Wild")</f>
        <v>Scatter, Wild Symbol, Bonus Game with Free Spins, Bonus Game with Sticky Wild</v>
      </c>
      <c r="Q76" s="7" t="str">
        <f>IFERROR(__xludf.DUMMYFUNCTION("""COMPUTED_VALUE"""),"https://static.redstone.rs/games/farm-fiesta/")</f>
        <v>https://static.redstone.rs/games/farm-fiesta/</v>
      </c>
      <c r="R76" s="5" t="str">
        <f>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S7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6" s="5" t="str">
        <f>IFERROR(__xludf.DUMMYFUNCTION("""COMPUTED_VALUE"""),"Yes")</f>
        <v>Yes</v>
      </c>
      <c r="U76" s="5" t="str">
        <f>IFERROR(__xludf.DUMMYFUNCTION("""COMPUTED_VALUE"""),"Yes")</f>
        <v>Yes</v>
      </c>
      <c r="V76" s="5" t="str">
        <f>IFERROR(__xludf.DUMMYFUNCTION("""COMPUTED_VALUE"""),"Yes")</f>
        <v>Yes</v>
      </c>
      <c r="W76" s="5" t="str">
        <f>IFERROR(__xludf.DUMMYFUNCTION("""COMPUTED_VALUE"""),"No")</f>
        <v>No</v>
      </c>
      <c r="X76" s="5" t="str">
        <f>IFERROR(__xludf.DUMMYFUNCTION("""COMPUTED_VALUE"""),"No")</f>
        <v>No</v>
      </c>
      <c r="Y76" s="5" t="str">
        <f>IFERROR(__xludf.DUMMYFUNCTION("""COMPUTED_VALUE"""),"No")</f>
        <v>No</v>
      </c>
      <c r="Z76" s="5" t="str">
        <f>IFERROR(__xludf.DUMMYFUNCTION("""COMPUTED_VALUE"""),"No")</f>
        <v>No</v>
      </c>
      <c r="AA76" s="5" t="str">
        <f>IFERROR(__xludf.DUMMYFUNCTION("""COMPUTED_VALUE"""),"No")</f>
        <v>No</v>
      </c>
      <c r="AB76" s="5" t="str">
        <f>IFERROR(__xludf.DUMMYFUNCTION("""COMPUTED_VALUE"""),"Yes")</f>
        <v>Yes</v>
      </c>
      <c r="AC76" s="5" t="str">
        <f>IFERROR(__xludf.DUMMYFUNCTION("""COMPUTED_VALUE"""),"Yes")</f>
        <v>Yes</v>
      </c>
      <c r="AD76" s="5" t="str">
        <f>IFERROR(__xludf.DUMMYFUNCTION("""COMPUTED_VALUE"""),"Yes")</f>
        <v>Yes</v>
      </c>
      <c r="AE76" s="5" t="str">
        <f>IFERROR(__xludf.DUMMYFUNCTION("""COMPUTED_VALUE"""),"Yes")</f>
        <v>Yes</v>
      </c>
      <c r="AF76" s="5" t="str">
        <f>IFERROR(__xludf.DUMMYFUNCTION("""COMPUTED_VALUE"""),"Yes")</f>
        <v>Yes</v>
      </c>
      <c r="AG76" s="5" t="str">
        <f>IFERROR(__xludf.DUMMYFUNCTION("""COMPUTED_VALUE"""),"No")</f>
        <v>No</v>
      </c>
      <c r="AH76" s="5" t="str">
        <f>IFERROR(__xludf.DUMMYFUNCTION("""COMPUTED_VALUE"""),"Yes")</f>
        <v>Yes</v>
      </c>
      <c r="AI76" s="5" t="str">
        <f>IFERROR(__xludf.DUMMYFUNCTION("""COMPUTED_VALUE"""),"No")</f>
        <v>No</v>
      </c>
      <c r="AJ76" s="5" t="str">
        <f>IFERROR(__xludf.DUMMYFUNCTION("""COMPUTED_VALUE"""),"No")</f>
        <v>No</v>
      </c>
      <c r="AK76" s="5" t="str">
        <f>IFERROR(__xludf.DUMMYFUNCTION("""COMPUTED_VALUE"""),"No")</f>
        <v>No</v>
      </c>
      <c r="AL76" s="5" t="str">
        <f>IFERROR(__xludf.DUMMYFUNCTION("""COMPUTED_VALUE"""),"No")</f>
        <v>No</v>
      </c>
      <c r="AM76" s="5"/>
      <c r="AN76" s="5"/>
      <c r="AO76" s="5" t="str">
        <f>IFERROR(__xludf.DUMMYFUNCTION("""COMPUTED_VALUE"""),"Yes")</f>
        <v>Yes</v>
      </c>
      <c r="AP76" s="5"/>
      <c r="AQ76" s="5" t="str">
        <f>IFERROR(__xludf.DUMMYFUNCTION("""COMPUTED_VALUE"""),"No")</f>
        <v>No</v>
      </c>
      <c r="AR76" s="5"/>
      <c r="AS76" s="5" t="str">
        <f>IFERROR(__xludf.DUMMYFUNCTION("""COMPUTED_VALUE"""),"Yes")</f>
        <v>Yes</v>
      </c>
      <c r="AT76" s="5" t="str">
        <f>IFERROR(__xludf.DUMMYFUNCTION("""COMPUTED_VALUE"""),"Yes")</f>
        <v>Yes</v>
      </c>
      <c r="AU76" s="5"/>
      <c r="AV76" s="5" t="str">
        <f>IFERROR(__xludf.DUMMYFUNCTION("""COMPUTED_VALUE"""),"")</f>
        <v/>
      </c>
      <c r="AW76" s="5" t="str">
        <f>IFERROR(__xludf.DUMMYFUNCTION("""COMPUTED_VALUE"""),"")</f>
        <v/>
      </c>
      <c r="AX76" s="5" t="str">
        <f>IFERROR(__xludf.DUMMYFUNCTION("""COMPUTED_VALUE"""),"")</f>
        <v/>
      </c>
      <c r="AY76" s="5" t="str">
        <f>IFERROR(__xludf.DUMMYFUNCTION("""COMPUTED_VALUE"""),"")</f>
        <v/>
      </c>
      <c r="AZ76" s="5" t="str">
        <f>IFERROR(__xludf.DUMMYFUNCTION("""COMPUTED_VALUE"""),"")</f>
        <v/>
      </c>
      <c r="BA76" s="5" t="str">
        <f>IFERROR(__xludf.DUMMYFUNCTION("""COMPUTED_VALUE"""),"")</f>
        <v/>
      </c>
      <c r="BB76" s="5" t="str">
        <f>IFERROR(__xludf.DUMMYFUNCTION("""COMPUTED_VALUE"""),"")</f>
        <v/>
      </c>
    </row>
    <row r="77">
      <c r="A77" s="5" t="str">
        <f>IFERROR(__xludf.DUMMYFUNCTION("""COMPUTED_VALUE"""),"Redstone")</f>
        <v>Redstone</v>
      </c>
      <c r="B77" s="5" t="str">
        <f>IFERROR(__xludf.DUMMYFUNCTION("""COMPUTED_VALUE"""),"Sweet Respins")</f>
        <v>Sweet Respins</v>
      </c>
      <c r="C77" s="5" t="str">
        <f>IFERROR(__xludf.DUMMYFUNCTION("""COMPUTED_VALUE"""),"RedstoneSweetRespins")</f>
        <v>RedstoneSweetRespins</v>
      </c>
      <c r="D77" s="6">
        <f>IFERROR(__xludf.DUMMYFUNCTION("""COMPUTED_VALUE"""),45734.0)</f>
        <v>45734</v>
      </c>
      <c r="E77" s="5" t="str">
        <f>IFERROR(__xludf.DUMMYFUNCTION("""COMPUTED_VALUE"""),"Slot")</f>
        <v>Slot</v>
      </c>
      <c r="F77" s="5">
        <f>IFERROR(__xludf.DUMMYFUNCTION("""COMPUTED_VALUE"""),10.5)</f>
        <v>10.5</v>
      </c>
      <c r="G77" s="5" t="str">
        <f>IFERROR(__xludf.DUMMYFUNCTION("""COMPUTED_VALUE"""),"5x3")</f>
        <v>5x3</v>
      </c>
      <c r="H77" s="5">
        <f>IFERROR(__xludf.DUMMYFUNCTION("""COMPUTED_VALUE"""),10.0)</f>
        <v>10</v>
      </c>
      <c r="I77" s="5">
        <f>IFERROR(__xludf.DUMMYFUNCTION("""COMPUTED_VALUE"""),10.0)</f>
        <v>10</v>
      </c>
      <c r="J77" s="5" t="str">
        <f>IFERROR(__xludf.DUMMYFUNCTION("""COMPUTED_VALUE"""),"96.05%")</f>
        <v>96.05%</v>
      </c>
      <c r="K77" s="5" t="str">
        <f>IFERROR(__xludf.DUMMYFUNCTION("""COMPUTED_VALUE"""),"High")</f>
        <v>High</v>
      </c>
      <c r="L77" s="5" t="str">
        <f>IFERROR(__xludf.DUMMYFUNCTION("""COMPUTED_VALUE"""),"19.5%")</f>
        <v>19.5%</v>
      </c>
      <c r="M77" s="5" t="str">
        <f>IFERROR(__xludf.DUMMYFUNCTION("""COMPUTED_VALUE"""),"x10000")</f>
        <v>x10000</v>
      </c>
      <c r="N77" s="5" t="str">
        <f>IFERROR(__xludf.DUMMYFUNCTION("""COMPUTED_VALUE"""),"0.10/50")</f>
        <v>0.10/50</v>
      </c>
      <c r="O77" s="5" t="str">
        <f>IFERROR(__xludf.DUMMYFUNCTION("""COMPUTED_VALUE"""),"No")</f>
        <v>No</v>
      </c>
      <c r="P77" s="5" t="str">
        <f>IFERROR(__xludf.DUMMYFUNCTION("""COMPUTED_VALUE"""),"Expanding Wild, Sticky Wild, Respin, Bothways, Scatter")</f>
        <v>Expanding Wild, Sticky Wild, Respin, Bothways, Scatter</v>
      </c>
      <c r="Q77" s="7" t="str">
        <f>IFERROR(__xludf.DUMMYFUNCTION("""COMPUTED_VALUE"""),"https://static.redstone.rs/games/sweet-respins/")</f>
        <v>https://static.redstone.rs/games/sweet-respins/</v>
      </c>
      <c r="R77" s="5" t="str">
        <f>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S7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7" s="5" t="str">
        <f>IFERROR(__xludf.DUMMYFUNCTION("""COMPUTED_VALUE"""),"Yes")</f>
        <v>Yes</v>
      </c>
      <c r="U77" s="5" t="str">
        <f>IFERROR(__xludf.DUMMYFUNCTION("""COMPUTED_VALUE"""),"Yes")</f>
        <v>Yes</v>
      </c>
      <c r="V77" s="5" t="str">
        <f>IFERROR(__xludf.DUMMYFUNCTION("""COMPUTED_VALUE"""),"Yes")</f>
        <v>Yes</v>
      </c>
      <c r="W77" s="5" t="str">
        <f>IFERROR(__xludf.DUMMYFUNCTION("""COMPUTED_VALUE"""),"No")</f>
        <v>No</v>
      </c>
      <c r="X77" s="5" t="str">
        <f>IFERROR(__xludf.DUMMYFUNCTION("""COMPUTED_VALUE"""),"No")</f>
        <v>No</v>
      </c>
      <c r="Y77" s="5" t="str">
        <f>IFERROR(__xludf.DUMMYFUNCTION("""COMPUTED_VALUE"""),"No")</f>
        <v>No</v>
      </c>
      <c r="Z77" s="5" t="str">
        <f>IFERROR(__xludf.DUMMYFUNCTION("""COMPUTED_VALUE"""),"No")</f>
        <v>No</v>
      </c>
      <c r="AA77" s="5" t="str">
        <f>IFERROR(__xludf.DUMMYFUNCTION("""COMPUTED_VALUE"""),"No")</f>
        <v>No</v>
      </c>
      <c r="AB77" s="5" t="str">
        <f>IFERROR(__xludf.DUMMYFUNCTION("""COMPUTED_VALUE"""),"Yes")</f>
        <v>Yes</v>
      </c>
      <c r="AC77" s="5" t="str">
        <f>IFERROR(__xludf.DUMMYFUNCTION("""COMPUTED_VALUE"""),"Yes")</f>
        <v>Yes</v>
      </c>
      <c r="AD77" s="5" t="str">
        <f>IFERROR(__xludf.DUMMYFUNCTION("""COMPUTED_VALUE"""),"Yes")</f>
        <v>Yes</v>
      </c>
      <c r="AE77" s="5" t="str">
        <f>IFERROR(__xludf.DUMMYFUNCTION("""COMPUTED_VALUE"""),"Yes")</f>
        <v>Yes</v>
      </c>
      <c r="AF77" s="5" t="str">
        <f>IFERROR(__xludf.DUMMYFUNCTION("""COMPUTED_VALUE"""),"Yes")</f>
        <v>Yes</v>
      </c>
      <c r="AG77" s="5" t="str">
        <f>IFERROR(__xludf.DUMMYFUNCTION("""COMPUTED_VALUE"""),"No")</f>
        <v>No</v>
      </c>
      <c r="AH77" s="5" t="str">
        <f>IFERROR(__xludf.DUMMYFUNCTION("""COMPUTED_VALUE"""),"Yes")</f>
        <v>Yes</v>
      </c>
      <c r="AI77" s="5" t="str">
        <f>IFERROR(__xludf.DUMMYFUNCTION("""COMPUTED_VALUE"""),"No")</f>
        <v>No</v>
      </c>
      <c r="AJ77" s="5" t="str">
        <f>IFERROR(__xludf.DUMMYFUNCTION("""COMPUTED_VALUE"""),"No")</f>
        <v>No</v>
      </c>
      <c r="AK77" s="5" t="str">
        <f>IFERROR(__xludf.DUMMYFUNCTION("""COMPUTED_VALUE"""),"No")</f>
        <v>No</v>
      </c>
      <c r="AL77" s="5" t="str">
        <f>IFERROR(__xludf.DUMMYFUNCTION("""COMPUTED_VALUE"""),"No")</f>
        <v>No</v>
      </c>
      <c r="AM77" s="5"/>
      <c r="AN77" s="5"/>
      <c r="AO77" s="5" t="str">
        <f>IFERROR(__xludf.DUMMYFUNCTION("""COMPUTED_VALUE"""),"Yes")</f>
        <v>Yes</v>
      </c>
      <c r="AP77" s="5"/>
      <c r="AQ77" s="5" t="str">
        <f>IFERROR(__xludf.DUMMYFUNCTION("""COMPUTED_VALUE"""),"No")</f>
        <v>No</v>
      </c>
      <c r="AR77" s="5"/>
      <c r="AS77" s="5" t="str">
        <f>IFERROR(__xludf.DUMMYFUNCTION("""COMPUTED_VALUE"""),"Yes")</f>
        <v>Yes</v>
      </c>
      <c r="AT77" s="5" t="str">
        <f>IFERROR(__xludf.DUMMYFUNCTION("""COMPUTED_VALUE"""),"Yes")</f>
        <v>Yes</v>
      </c>
      <c r="AU77" s="5"/>
      <c r="AV77" s="5" t="str">
        <f>IFERROR(__xludf.DUMMYFUNCTION("""COMPUTED_VALUE"""),"")</f>
        <v/>
      </c>
      <c r="AW77" s="5" t="str">
        <f>IFERROR(__xludf.DUMMYFUNCTION("""COMPUTED_VALUE"""),"")</f>
        <v/>
      </c>
      <c r="AX77" s="5" t="str">
        <f>IFERROR(__xludf.DUMMYFUNCTION("""COMPUTED_VALUE"""),"")</f>
        <v/>
      </c>
      <c r="AY77" s="5" t="str">
        <f>IFERROR(__xludf.DUMMYFUNCTION("""COMPUTED_VALUE"""),"")</f>
        <v/>
      </c>
      <c r="AZ77" s="5" t="str">
        <f>IFERROR(__xludf.DUMMYFUNCTION("""COMPUTED_VALUE"""),"")</f>
        <v/>
      </c>
      <c r="BA77" s="5" t="str">
        <f>IFERROR(__xludf.DUMMYFUNCTION("""COMPUTED_VALUE"""),"")</f>
        <v/>
      </c>
      <c r="BB77" s="5" t="str">
        <f>IFERROR(__xludf.DUMMYFUNCTION("""COMPUTED_VALUE"""),"")</f>
        <v/>
      </c>
    </row>
    <row r="78">
      <c r="A78" s="5" t="str">
        <f>IFERROR(__xludf.DUMMYFUNCTION("""COMPUTED_VALUE"""),"Redstone")</f>
        <v>Redstone</v>
      </c>
      <c r="B78" s="5" t="str">
        <f>IFERROR(__xludf.DUMMYFUNCTION("""COMPUTED_VALUE"""),"Sticky Tiki")</f>
        <v>Sticky Tiki</v>
      </c>
      <c r="C78" s="5" t="str">
        <f>IFERROR(__xludf.DUMMYFUNCTION("""COMPUTED_VALUE"""),"RedstoneStickyTiki")</f>
        <v>RedstoneStickyTiki</v>
      </c>
      <c r="D78" s="6">
        <f>IFERROR(__xludf.DUMMYFUNCTION("""COMPUTED_VALUE"""),45741.0)</f>
        <v>45741</v>
      </c>
      <c r="E78" s="5" t="str">
        <f>IFERROR(__xludf.DUMMYFUNCTION("""COMPUTED_VALUE"""),"Slot")</f>
        <v>Slot</v>
      </c>
      <c r="F78" s="5">
        <f>IFERROR(__xludf.DUMMYFUNCTION("""COMPUTED_VALUE"""),11.0)</f>
        <v>11</v>
      </c>
      <c r="G78" s="5" t="str">
        <f>IFERROR(__xludf.DUMMYFUNCTION("""COMPUTED_VALUE"""),"5x3")</f>
        <v>5x3</v>
      </c>
      <c r="H78" s="5">
        <f>IFERROR(__xludf.DUMMYFUNCTION("""COMPUTED_VALUE"""),10.0)</f>
        <v>10</v>
      </c>
      <c r="I78" s="5">
        <f>IFERROR(__xludf.DUMMYFUNCTION("""COMPUTED_VALUE"""),10.0)</f>
        <v>10</v>
      </c>
      <c r="J78" s="5" t="str">
        <f>IFERROR(__xludf.DUMMYFUNCTION("""COMPUTED_VALUE"""),"96.05%")</f>
        <v>96.05%</v>
      </c>
      <c r="K78" s="5" t="str">
        <f>IFERROR(__xludf.DUMMYFUNCTION("""COMPUTED_VALUE"""),"High")</f>
        <v>High</v>
      </c>
      <c r="L78" s="5" t="str">
        <f>IFERROR(__xludf.DUMMYFUNCTION("""COMPUTED_VALUE"""),"19.5%")</f>
        <v>19.5%</v>
      </c>
      <c r="M78" s="5" t="str">
        <f>IFERROR(__xludf.DUMMYFUNCTION("""COMPUTED_VALUE"""),"x10000")</f>
        <v>x10000</v>
      </c>
      <c r="N78" s="5" t="str">
        <f>IFERROR(__xludf.DUMMYFUNCTION("""COMPUTED_VALUE"""),"0.10/50")</f>
        <v>0.10/50</v>
      </c>
      <c r="O78" s="5" t="str">
        <f>IFERROR(__xludf.DUMMYFUNCTION("""COMPUTED_VALUE"""),"No")</f>
        <v>No</v>
      </c>
      <c r="P78" s="5" t="str">
        <f>IFERROR(__xludf.DUMMYFUNCTION("""COMPUTED_VALUE"""),"Expanding Wild, Sticky Wild, Scatter, Bothways, Respin")</f>
        <v>Expanding Wild, Sticky Wild, Scatter, Bothways, Respin</v>
      </c>
      <c r="Q78" s="7" t="str">
        <f>IFERROR(__xludf.DUMMYFUNCTION("""COMPUTED_VALUE"""),"https://static.redstone.rs/games/sticky-tiki/")</f>
        <v>https://static.redstone.rs/games/sticky-tiki/</v>
      </c>
      <c r="R78" s="5" t="str">
        <f>IFERROR(__xludf.DUMMYFUNCTION("""COMPUTED_VALUE"""),"Spin into a tropical adventure with Sticky Tiki, where sticky symbols lock in place and keep the wins rolling!")</f>
        <v>Spin into a tropical adventure with Sticky Tiki, where sticky symbols lock in place and keep the wins rolling!</v>
      </c>
      <c r="S7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5" t="str">
        <f>IFERROR(__xludf.DUMMYFUNCTION("""COMPUTED_VALUE"""),"Yes")</f>
        <v>Yes</v>
      </c>
      <c r="U78" s="5" t="str">
        <f>IFERROR(__xludf.DUMMYFUNCTION("""COMPUTED_VALUE"""),"Yes")</f>
        <v>Yes</v>
      </c>
      <c r="V78" s="5" t="str">
        <f>IFERROR(__xludf.DUMMYFUNCTION("""COMPUTED_VALUE"""),"Yes")</f>
        <v>Yes</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IFERROR(__xludf.DUMMYFUNCTION("""COMPUTED_VALUE"""),"Yes")</f>
        <v>Yes</v>
      </c>
      <c r="AC78" s="5" t="str">
        <f>IFERROR(__xludf.DUMMYFUNCTION("""COMPUTED_VALUE"""),"Yes")</f>
        <v>Yes</v>
      </c>
      <c r="AD78" s="5" t="str">
        <f>IFERROR(__xludf.DUMMYFUNCTION("""COMPUTED_VALUE"""),"Yes")</f>
        <v>Yes</v>
      </c>
      <c r="AE78" s="5" t="str">
        <f>IFERROR(__xludf.DUMMYFUNCTION("""COMPUTED_VALUE"""),"Yes")</f>
        <v>Yes</v>
      </c>
      <c r="AF78" s="5" t="str">
        <f>IFERROR(__xludf.DUMMYFUNCTION("""COMPUTED_VALUE"""),"Yes")</f>
        <v>Yes</v>
      </c>
      <c r="AG78" s="5" t="str">
        <f>IFERROR(__xludf.DUMMYFUNCTION("""COMPUTED_VALUE"""),"No")</f>
        <v>No</v>
      </c>
      <c r="AH78" s="5" t="str">
        <f>IFERROR(__xludf.DUMMYFUNCTION("""COMPUTED_VALUE"""),"Yes")</f>
        <v>Yes</v>
      </c>
      <c r="AI78" s="5" t="str">
        <f>IFERROR(__xludf.DUMMYFUNCTION("""COMPUTED_VALUE"""),"No")</f>
        <v>No</v>
      </c>
      <c r="AJ78" s="5" t="str">
        <f>IFERROR(__xludf.DUMMYFUNCTION("""COMPUTED_VALUE"""),"No")</f>
        <v>No</v>
      </c>
      <c r="AK78" s="5" t="str">
        <f>IFERROR(__xludf.DUMMYFUNCTION("""COMPUTED_VALUE"""),"No")</f>
        <v>No</v>
      </c>
      <c r="AL78" s="5" t="str">
        <f>IFERROR(__xludf.DUMMYFUNCTION("""COMPUTED_VALUE"""),"No")</f>
        <v>No</v>
      </c>
      <c r="AM78" s="5"/>
      <c r="AN78" s="5"/>
      <c r="AO78" s="5" t="str">
        <f>IFERROR(__xludf.DUMMYFUNCTION("""COMPUTED_VALUE"""),"Yes")</f>
        <v>Yes</v>
      </c>
      <c r="AP78" s="5"/>
      <c r="AQ78" s="5" t="str">
        <f>IFERROR(__xludf.DUMMYFUNCTION("""COMPUTED_VALUE"""),"No")</f>
        <v>No</v>
      </c>
      <c r="AR78" s="5"/>
      <c r="AS78" s="5" t="str">
        <f>IFERROR(__xludf.DUMMYFUNCTION("""COMPUTED_VALUE"""),"Yes")</f>
        <v>Yes</v>
      </c>
      <c r="AT78" s="5" t="str">
        <f>IFERROR(__xludf.DUMMYFUNCTION("""COMPUTED_VALUE"""),"Yes")</f>
        <v>Yes</v>
      </c>
      <c r="AU78" s="5"/>
      <c r="AV78" s="5" t="str">
        <f>IFERROR(__xludf.DUMMYFUNCTION("""COMPUTED_VALUE"""),"")</f>
        <v/>
      </c>
      <c r="AW78" s="5" t="str">
        <f>IFERROR(__xludf.DUMMYFUNCTION("""COMPUTED_VALUE"""),"")</f>
        <v/>
      </c>
      <c r="AX78" s="5" t="str">
        <f>IFERROR(__xludf.DUMMYFUNCTION("""COMPUTED_VALUE"""),"")</f>
        <v/>
      </c>
      <c r="AY78" s="5" t="str">
        <f>IFERROR(__xludf.DUMMYFUNCTION("""COMPUTED_VALUE"""),"")</f>
        <v/>
      </c>
      <c r="AZ78" s="5" t="str">
        <f>IFERROR(__xludf.DUMMYFUNCTION("""COMPUTED_VALUE"""),"")</f>
        <v/>
      </c>
      <c r="BA78" s="5" t="str">
        <f>IFERROR(__xludf.DUMMYFUNCTION("""COMPUTED_VALUE"""),"")</f>
        <v/>
      </c>
      <c r="BB78" s="5" t="str">
        <f>IFERROR(__xludf.DUMMYFUNCTION("""COMPUTED_VALUE"""),"")</f>
        <v/>
      </c>
    </row>
    <row r="79">
      <c r="A79" s="5" t="str">
        <f>IFERROR(__xludf.DUMMYFUNCTION("""COMPUTED_VALUE"""),"Redstone")</f>
        <v>Redstone</v>
      </c>
      <c r="B79" s="5" t="str">
        <f>IFERROR(__xludf.DUMMYFUNCTION("""COMPUTED_VALUE"""),"Hot Rush Triple Star")</f>
        <v>Hot Rush Triple Star</v>
      </c>
      <c r="C79" s="5" t="str">
        <f>IFERROR(__xludf.DUMMYFUNCTION("""COMPUTED_VALUE"""),"RedstoneHotRushTripleStar")</f>
        <v>RedstoneHotRushTripleStar</v>
      </c>
      <c r="D79" s="6">
        <f>IFERROR(__xludf.DUMMYFUNCTION("""COMPUTED_VALUE"""),45740.0)</f>
        <v>45740</v>
      </c>
      <c r="E79" s="5" t="str">
        <f>IFERROR(__xludf.DUMMYFUNCTION("""COMPUTED_VALUE"""),"Slot")</f>
        <v>Slot</v>
      </c>
      <c r="F79" s="5">
        <f>IFERROR(__xludf.DUMMYFUNCTION("""COMPUTED_VALUE"""),9.8)</f>
        <v>9.8</v>
      </c>
      <c r="G79" s="5" t="str">
        <f>IFERROR(__xludf.DUMMYFUNCTION("""COMPUTED_VALUE"""),"5x3")</f>
        <v>5x3</v>
      </c>
      <c r="H79" s="5">
        <f>IFERROR(__xludf.DUMMYFUNCTION("""COMPUTED_VALUE"""),5.0)</f>
        <v>5</v>
      </c>
      <c r="I79" s="5">
        <f>IFERROR(__xludf.DUMMYFUNCTION("""COMPUTED_VALUE"""),5.0)</f>
        <v>5</v>
      </c>
      <c r="J79" s="5" t="str">
        <f>IFERROR(__xludf.DUMMYFUNCTION("""COMPUTED_VALUE"""),"96%")</f>
        <v>96%</v>
      </c>
      <c r="K79" s="5" t="str">
        <f>IFERROR(__xludf.DUMMYFUNCTION("""COMPUTED_VALUE"""),"Medium")</f>
        <v>Medium</v>
      </c>
      <c r="L79" s="5" t="str">
        <f>IFERROR(__xludf.DUMMYFUNCTION("""COMPUTED_VALUE"""),"12.3%")</f>
        <v>12.3%</v>
      </c>
      <c r="M79" s="5" t="str">
        <f>IFERROR(__xludf.DUMMYFUNCTION("""COMPUTED_VALUE"""),"x1246")</f>
        <v>x1246</v>
      </c>
      <c r="N79" s="5" t="str">
        <f>IFERROR(__xludf.DUMMYFUNCTION("""COMPUTED_VALUE"""),"0.10/50")</f>
        <v>0.10/50</v>
      </c>
      <c r="O79" s="5" t="str">
        <f>IFERROR(__xludf.DUMMYFUNCTION("""COMPUTED_VALUE"""),"No")</f>
        <v>No</v>
      </c>
      <c r="P79" s="5" t="str">
        <f>IFERROR(__xludf.DUMMYFUNCTION("""COMPUTED_VALUE"""),"Expanding Wild, Scatter, Respin")</f>
        <v>Expanding Wild, Scatter, Respin</v>
      </c>
      <c r="Q79" s="7" t="str">
        <f>IFERROR(__xludf.DUMMYFUNCTION("""COMPUTED_VALUE"""),"https://static.redstone.rs/games/hot-rush-triple-star/")</f>
        <v>https://static.redstone.rs/games/hot-rush-triple-star/</v>
      </c>
      <c r="R79" s="5" t="str">
        <f>IFERROR(__xludf.DUMMYFUNCTION("""COMPUTED_VALUE"""),"Hot Rush Triple Star delivers wild excitement with expanding wilds that lock in place, triggering thrilling respins! ")</f>
        <v>Hot Rush Triple Star delivers wild excitement with expanding wilds that lock in place, triggering thrilling respins! </v>
      </c>
      <c r="S7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9" s="5" t="str">
        <f>IFERROR(__xludf.DUMMYFUNCTION("""COMPUTED_VALUE"""),"Yes")</f>
        <v>Yes</v>
      </c>
      <c r="U79" s="5" t="str">
        <f>IFERROR(__xludf.DUMMYFUNCTION("""COMPUTED_VALUE"""),"Yes")</f>
        <v>Yes</v>
      </c>
      <c r="V79" s="5" t="str">
        <f>IFERROR(__xludf.DUMMYFUNCTION("""COMPUTED_VALUE"""),"No")</f>
        <v>No</v>
      </c>
      <c r="W79" s="5" t="str">
        <f>IFERROR(__xludf.DUMMYFUNCTION("""COMPUTED_VALUE"""),"Yes")</f>
        <v>Yes</v>
      </c>
      <c r="X79" s="5" t="str">
        <f>IFERROR(__xludf.DUMMYFUNCTION("""COMPUTED_VALUE"""),"Yes")</f>
        <v>Yes</v>
      </c>
      <c r="Y79" s="5" t="str">
        <f>IFERROR(__xludf.DUMMYFUNCTION("""COMPUTED_VALUE"""),"Yes")</f>
        <v>Yes</v>
      </c>
      <c r="Z79" s="5" t="str">
        <f>IFERROR(__xludf.DUMMYFUNCTION("""COMPUTED_VALUE"""),"Yes")</f>
        <v>Yes</v>
      </c>
      <c r="AA79" s="5" t="str">
        <f>IFERROR(__xludf.DUMMYFUNCTION("""COMPUTED_VALUE"""),"Yes")</f>
        <v>Yes</v>
      </c>
      <c r="AB79" s="5" t="str">
        <f>IFERROR(__xludf.DUMMYFUNCTION("""COMPUTED_VALUE"""),"Yes")</f>
        <v>Yes</v>
      </c>
      <c r="AC79" s="5" t="str">
        <f>IFERROR(__xludf.DUMMYFUNCTION("""COMPUTED_VALUE"""),"Yes")</f>
        <v>Yes</v>
      </c>
      <c r="AD79" s="5" t="str">
        <f>IFERROR(__xludf.DUMMYFUNCTION("""COMPUTED_VALUE"""),"Yes")</f>
        <v>Yes</v>
      </c>
      <c r="AE79" s="5" t="str">
        <f>IFERROR(__xludf.DUMMYFUNCTION("""COMPUTED_VALUE"""),"Yes")</f>
        <v>Yes</v>
      </c>
      <c r="AF79" s="5" t="str">
        <f>IFERROR(__xludf.DUMMYFUNCTION("""COMPUTED_VALUE"""),"Yes")</f>
        <v>Yes</v>
      </c>
      <c r="AG79" s="5" t="str">
        <f>IFERROR(__xludf.DUMMYFUNCTION("""COMPUTED_VALUE"""),"Yes")</f>
        <v>Yes</v>
      </c>
      <c r="AH79" s="5" t="str">
        <f>IFERROR(__xludf.DUMMYFUNCTION("""COMPUTED_VALUE"""),"Yes")</f>
        <v>Yes</v>
      </c>
      <c r="AI79" s="5" t="str">
        <f>IFERROR(__xludf.DUMMYFUNCTION("""COMPUTED_VALUE"""),"No")</f>
        <v>No</v>
      </c>
      <c r="AJ79" s="5" t="str">
        <f>IFERROR(__xludf.DUMMYFUNCTION("""COMPUTED_VALUE"""),"No")</f>
        <v>No</v>
      </c>
      <c r="AK79" s="5" t="str">
        <f>IFERROR(__xludf.DUMMYFUNCTION("""COMPUTED_VALUE"""),"No")</f>
        <v>No</v>
      </c>
      <c r="AL79" s="5" t="str">
        <f>IFERROR(__xludf.DUMMYFUNCTION("""COMPUTED_VALUE"""),"No")</f>
        <v>No</v>
      </c>
      <c r="AM79" s="5" t="str">
        <f>IFERROR(__xludf.DUMMYFUNCTION("""COMPUTED_VALUE"""),"No")</f>
        <v>No</v>
      </c>
      <c r="AN79" s="5" t="str">
        <f>IFERROR(__xludf.DUMMYFUNCTION("""COMPUTED_VALUE"""),"No")</f>
        <v>No</v>
      </c>
      <c r="AO79" s="5" t="str">
        <f>IFERROR(__xludf.DUMMYFUNCTION("""COMPUTED_VALUE"""),"Yes")</f>
        <v>Yes</v>
      </c>
      <c r="AP79" s="5" t="str">
        <f>IFERROR(__xludf.DUMMYFUNCTION("""COMPUTED_VALUE"""),"No")</f>
        <v>No</v>
      </c>
      <c r="AQ79" s="5" t="str">
        <f>IFERROR(__xludf.DUMMYFUNCTION("""COMPUTED_VALUE"""),"No")</f>
        <v>No</v>
      </c>
      <c r="AR79" s="5" t="str">
        <f>IFERROR(__xludf.DUMMYFUNCTION("""COMPUTED_VALUE"""),"No")</f>
        <v>No</v>
      </c>
      <c r="AS79" s="5" t="str">
        <f>IFERROR(__xludf.DUMMYFUNCTION("""COMPUTED_VALUE"""),"Yes")</f>
        <v>Yes</v>
      </c>
      <c r="AT79" s="5" t="str">
        <f>IFERROR(__xludf.DUMMYFUNCTION("""COMPUTED_VALUE"""),"No")</f>
        <v>No</v>
      </c>
      <c r="AU79" s="5"/>
      <c r="AV79" s="5" t="str">
        <f>IFERROR(__xludf.DUMMYFUNCTION("""COMPUTED_VALUE"""),"")</f>
        <v/>
      </c>
      <c r="AW79" s="5" t="str">
        <f>IFERROR(__xludf.DUMMYFUNCTION("""COMPUTED_VALUE"""),"")</f>
        <v/>
      </c>
      <c r="AX79" s="5" t="str">
        <f>IFERROR(__xludf.DUMMYFUNCTION("""COMPUTED_VALUE"""),"")</f>
        <v/>
      </c>
      <c r="AY79" s="5" t="str">
        <f>IFERROR(__xludf.DUMMYFUNCTION("""COMPUTED_VALUE"""),"")</f>
        <v/>
      </c>
      <c r="AZ79" s="5" t="str">
        <f>IFERROR(__xludf.DUMMYFUNCTION("""COMPUTED_VALUE"""),"")</f>
        <v/>
      </c>
      <c r="BA79" s="5" t="str">
        <f>IFERROR(__xludf.DUMMYFUNCTION("""COMPUTED_VALUE"""),"")</f>
        <v/>
      </c>
      <c r="BB79" s="5" t="str">
        <f>IFERROR(__xludf.DUMMYFUNCTION("""COMPUTED_VALUE"""),"")</f>
        <v/>
      </c>
    </row>
    <row r="80">
      <c r="A80" s="5" t="str">
        <f>IFERROR(__xludf.DUMMYFUNCTION("""COMPUTED_VALUE"""),"Redstone")</f>
        <v>Redstone</v>
      </c>
      <c r="B80" s="5" t="str">
        <f>IFERROR(__xludf.DUMMYFUNCTION("""COMPUTED_VALUE"""),"Hot Rush Fruit Lines")</f>
        <v>Hot Rush Fruit Lines</v>
      </c>
      <c r="C80" s="5" t="str">
        <f>IFERROR(__xludf.DUMMYFUNCTION("""COMPUTED_VALUE"""),"RedstoneHotRushFruitLines")</f>
        <v>RedstoneHotRushFruitLines</v>
      </c>
      <c r="D80" s="6">
        <f>IFERROR(__xludf.DUMMYFUNCTION("""COMPUTED_VALUE"""),45434.0)</f>
        <v>45434</v>
      </c>
      <c r="E80" s="5" t="str">
        <f>IFERROR(__xludf.DUMMYFUNCTION("""COMPUTED_VALUE"""),"Slot")</f>
        <v>Slot</v>
      </c>
      <c r="F80" s="5">
        <f>IFERROR(__xludf.DUMMYFUNCTION("""COMPUTED_VALUE"""),6.3)</f>
        <v>6.3</v>
      </c>
      <c r="G80" s="5" t="str">
        <f>IFERROR(__xludf.DUMMYFUNCTION("""COMPUTED_VALUE"""),"5x3")</f>
        <v>5x3</v>
      </c>
      <c r="H80" s="5" t="str">
        <f>IFERROR(__xludf.DUMMYFUNCTION("""COMPUTED_VALUE"""),"5")</f>
        <v>5</v>
      </c>
      <c r="I80" s="5">
        <f>IFERROR(__xludf.DUMMYFUNCTION("""COMPUTED_VALUE"""),5.0)</f>
        <v>5</v>
      </c>
      <c r="J80" s="5" t="str">
        <f>IFERROR(__xludf.DUMMYFUNCTION("""COMPUTED_VALUE"""),"96.04%")</f>
        <v>96.04%</v>
      </c>
      <c r="K80" s="5" t="str">
        <f>IFERROR(__xludf.DUMMYFUNCTION("""COMPUTED_VALUE"""),"Low")</f>
        <v>Low</v>
      </c>
      <c r="L80" s="5" t="str">
        <f>IFERROR(__xludf.DUMMYFUNCTION("""COMPUTED_VALUE"""),"8.89%")</f>
        <v>8.89%</v>
      </c>
      <c r="M80" s="5" t="str">
        <f>IFERROR(__xludf.DUMMYFUNCTION("""COMPUTED_VALUE"""),"x1100")</f>
        <v>x1100</v>
      </c>
      <c r="N80" s="5" t="str">
        <f>IFERROR(__xludf.DUMMYFUNCTION("""COMPUTED_VALUE"""),"0.05/100")</f>
        <v>0.05/100</v>
      </c>
      <c r="O80" s="5" t="str">
        <f>IFERROR(__xludf.DUMMYFUNCTION("""COMPUTED_VALUE"""),"No")</f>
        <v>No</v>
      </c>
      <c r="P80" s="5"/>
      <c r="Q80" s="7" t="str">
        <f>IFERROR(__xludf.DUMMYFUNCTION("""COMPUTED_VALUE"""),"https://static.redstone.rs/games/hot-rush-fruit-lines/")</f>
        <v>https://static.redstone.rs/games/hot-rush-fruit-lines/</v>
      </c>
      <c r="R80" s="5" t="str">
        <f>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S8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5" t="str">
        <f>IFERROR(__xludf.DUMMYFUNCTION("""COMPUTED_VALUE"""),"Yes")</f>
        <v>Yes</v>
      </c>
      <c r="U80" s="5" t="str">
        <f>IFERROR(__xludf.DUMMYFUNCTION("""COMPUTED_VALUE"""),"Yes")</f>
        <v>Yes</v>
      </c>
      <c r="V80" s="5" t="str">
        <f>IFERROR(__xludf.DUMMYFUNCTION("""COMPUTED_VALUE"""),"Yes")</f>
        <v>Yes</v>
      </c>
      <c r="W80" s="5" t="str">
        <f>IFERROR(__xludf.DUMMYFUNCTION("""COMPUTED_VALUE"""),"No")</f>
        <v>No</v>
      </c>
      <c r="X80" s="5" t="str">
        <f>IFERROR(__xludf.DUMMYFUNCTION("""COMPUTED_VALUE"""),"No")</f>
        <v>No</v>
      </c>
      <c r="Y80" s="5" t="str">
        <f>IFERROR(__xludf.DUMMYFUNCTION("""COMPUTED_VALUE"""),"No")</f>
        <v>No</v>
      </c>
      <c r="Z80" s="5" t="str">
        <f>IFERROR(__xludf.DUMMYFUNCTION("""COMPUTED_VALUE"""),"No")</f>
        <v>No</v>
      </c>
      <c r="AA80" s="5" t="str">
        <f>IFERROR(__xludf.DUMMYFUNCTION("""COMPUTED_VALUE"""),"No")</f>
        <v>No</v>
      </c>
      <c r="AB80" s="5" t="str">
        <f>IFERROR(__xludf.DUMMYFUNCTION("""COMPUTED_VALUE"""),"Yes")</f>
        <v>Yes</v>
      </c>
      <c r="AC80" s="5" t="str">
        <f>IFERROR(__xludf.DUMMYFUNCTION("""COMPUTED_VALUE"""),"Yes")</f>
        <v>Yes</v>
      </c>
      <c r="AD80" s="5" t="str">
        <f>IFERROR(__xludf.DUMMYFUNCTION("""COMPUTED_VALUE"""),"Yes")</f>
        <v>Yes</v>
      </c>
      <c r="AE80" s="5" t="str">
        <f>IFERROR(__xludf.DUMMYFUNCTION("""COMPUTED_VALUE"""),"Yes")</f>
        <v>Yes</v>
      </c>
      <c r="AF80" s="5" t="str">
        <f>IFERROR(__xludf.DUMMYFUNCTION("""COMPUTED_VALUE"""),"Yes")</f>
        <v>Yes</v>
      </c>
      <c r="AG80" s="5" t="str">
        <f>IFERROR(__xludf.DUMMYFUNCTION("""COMPUTED_VALUE"""),"No")</f>
        <v>No</v>
      </c>
      <c r="AH80" s="5" t="str">
        <f>IFERROR(__xludf.DUMMYFUNCTION("""COMPUTED_VALUE"""),"Yes")</f>
        <v>Yes</v>
      </c>
      <c r="AI80" s="5" t="str">
        <f>IFERROR(__xludf.DUMMYFUNCTION("""COMPUTED_VALUE"""),"No")</f>
        <v>No</v>
      </c>
      <c r="AJ80" s="5" t="str">
        <f>IFERROR(__xludf.DUMMYFUNCTION("""COMPUTED_VALUE"""),"No")</f>
        <v>No</v>
      </c>
      <c r="AK80" s="5" t="str">
        <f>IFERROR(__xludf.DUMMYFUNCTION("""COMPUTED_VALUE"""),"No")</f>
        <v>No</v>
      </c>
      <c r="AL80" s="5" t="str">
        <f>IFERROR(__xludf.DUMMYFUNCTION("""COMPUTED_VALUE"""),"No")</f>
        <v>No</v>
      </c>
      <c r="AM80" s="5"/>
      <c r="AN80" s="5"/>
      <c r="AO80" s="5" t="str">
        <f>IFERROR(__xludf.DUMMYFUNCTION("""COMPUTED_VALUE"""),"Yes")</f>
        <v>Yes</v>
      </c>
      <c r="AP80" s="5"/>
      <c r="AQ80" s="5" t="str">
        <f>IFERROR(__xludf.DUMMYFUNCTION("""COMPUTED_VALUE"""),"No")</f>
        <v>No</v>
      </c>
      <c r="AR80" s="5"/>
      <c r="AS80" s="5" t="str">
        <f>IFERROR(__xludf.DUMMYFUNCTION("""COMPUTED_VALUE"""),"Yes")</f>
        <v>Yes</v>
      </c>
      <c r="AT80" s="5" t="str">
        <f>IFERROR(__xludf.DUMMYFUNCTION("""COMPUTED_VALUE"""),"Yes")</f>
        <v>Yes</v>
      </c>
      <c r="AU80" s="5"/>
      <c r="AV80" s="5" t="str">
        <f>IFERROR(__xludf.DUMMYFUNCTION("""COMPUTED_VALUE"""),"")</f>
        <v/>
      </c>
      <c r="AW80" s="5" t="str">
        <f>IFERROR(__xludf.DUMMYFUNCTION("""COMPUTED_VALUE"""),"")</f>
        <v/>
      </c>
      <c r="AX80" s="5" t="str">
        <f>IFERROR(__xludf.DUMMYFUNCTION("""COMPUTED_VALUE"""),"")</f>
        <v/>
      </c>
      <c r="AY80" s="5" t="str">
        <f>IFERROR(__xludf.DUMMYFUNCTION("""COMPUTED_VALUE"""),"")</f>
        <v/>
      </c>
      <c r="AZ80" s="5" t="str">
        <f>IFERROR(__xludf.DUMMYFUNCTION("""COMPUTED_VALUE"""),"")</f>
        <v/>
      </c>
      <c r="BA80" s="5" t="str">
        <f>IFERROR(__xludf.DUMMYFUNCTION("""COMPUTED_VALUE"""),"")</f>
        <v/>
      </c>
      <c r="BB80" s="5" t="str">
        <f>IFERROR(__xludf.DUMMYFUNCTION("""COMPUTED_VALUE"""),"")</f>
        <v/>
      </c>
    </row>
    <row r="81">
      <c r="A81" s="5" t="str">
        <f>IFERROR(__xludf.DUMMYFUNCTION("""COMPUTED_VALUE"""),"Redstone")</f>
        <v>Redstone</v>
      </c>
      <c r="B81" s="5" t="str">
        <f>IFERROR(__xludf.DUMMYFUNCTION("""COMPUTED_VALUE"""),"10 Wild Heart")</f>
        <v>10 Wild Heart</v>
      </c>
      <c r="C81" s="5" t="str">
        <f>IFERROR(__xludf.DUMMYFUNCTION("""COMPUTED_VALUE"""),"Redstone10WildHeart")</f>
        <v>Redstone10WildHeart</v>
      </c>
      <c r="D81" s="6">
        <f>IFERROR(__xludf.DUMMYFUNCTION("""COMPUTED_VALUE"""),45754.0)</f>
        <v>45754</v>
      </c>
      <c r="E81" s="5" t="str">
        <f>IFERROR(__xludf.DUMMYFUNCTION("""COMPUTED_VALUE"""),"Slot")</f>
        <v>Slot</v>
      </c>
      <c r="F81" s="5">
        <f>IFERROR(__xludf.DUMMYFUNCTION("""COMPUTED_VALUE"""),6.9)</f>
        <v>6.9</v>
      </c>
      <c r="G81" s="5" t="str">
        <f>IFERROR(__xludf.DUMMYFUNCTION("""COMPUTED_VALUE"""),"5x3")</f>
        <v>5x3</v>
      </c>
      <c r="H81" s="5">
        <f>IFERROR(__xludf.DUMMYFUNCTION("""COMPUTED_VALUE"""),10.0)</f>
        <v>10</v>
      </c>
      <c r="I81" s="5">
        <f>IFERROR(__xludf.DUMMYFUNCTION("""COMPUTED_VALUE"""),10.0)</f>
        <v>10</v>
      </c>
      <c r="J81" s="5" t="str">
        <f>IFERROR(__xludf.DUMMYFUNCTION("""COMPUTED_VALUE"""),"95.96%")</f>
        <v>95.96%</v>
      </c>
      <c r="K81" s="5" t="str">
        <f>IFERROR(__xludf.DUMMYFUNCTION("""COMPUTED_VALUE"""),"Medium")</f>
        <v>Medium</v>
      </c>
      <c r="L81" s="5" t="str">
        <f>IFERROR(__xludf.DUMMYFUNCTION("""COMPUTED_VALUE"""),"14.63%")</f>
        <v>14.63%</v>
      </c>
      <c r="M81" s="5" t="str">
        <f>IFERROR(__xludf.DUMMYFUNCTION("""COMPUTED_VALUE"""),"x1538")</f>
        <v>x1538</v>
      </c>
      <c r="N81" s="5" t="str">
        <f>IFERROR(__xludf.DUMMYFUNCTION("""COMPUTED_VALUE"""),"0.10/100")</f>
        <v>0.10/100</v>
      </c>
      <c r="O81" s="5" t="str">
        <f>IFERROR(__xludf.DUMMYFUNCTION("""COMPUTED_VALUE"""),"No")</f>
        <v>No</v>
      </c>
      <c r="P81" s="5" t="str">
        <f>IFERROR(__xludf.DUMMYFUNCTION("""COMPUTED_VALUE"""),"Expanding Wild, Ante Bet, Bonus Game with Free Spins, Scatter")</f>
        <v>Expanding Wild, Ante Bet, Bonus Game with Free Spins, Scatter</v>
      </c>
      <c r="Q81" s="7" t="str">
        <f>IFERROR(__xludf.DUMMYFUNCTION("""COMPUTED_VALUE"""),"https://static.redstone.rs/games/10-wild-heart/")</f>
        <v>https://static.redstone.rs/games/10-wild-heart/</v>
      </c>
      <c r="R81" s="5" t="str">
        <f>IFERROR(__xludf.DUMMYFUNCTION("""COMPUTED_VALUE"""),"With 10 Wild Heart, every spin brings you closer to exciting wins. Wilds bring the heat and with just a little luck, the payouts can be unforgettable! ")</f>
        <v>With 10 Wild Heart, every spin brings you closer to exciting wins. Wilds bring the heat and with just a little luck, the payouts can be unforgettable! </v>
      </c>
      <c r="S8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5" t="str">
        <f>IFERROR(__xludf.DUMMYFUNCTION("""COMPUTED_VALUE"""),"Yes")</f>
        <v>Yes</v>
      </c>
      <c r="U81" s="5" t="str">
        <f>IFERROR(__xludf.DUMMYFUNCTION("""COMPUTED_VALUE"""),"Yes")</f>
        <v>Yes</v>
      </c>
      <c r="V81" s="5" t="str">
        <f>IFERROR(__xludf.DUMMYFUNCTION("""COMPUTED_VALUE"""),"Yes")</f>
        <v>Yes</v>
      </c>
      <c r="W81" s="5" t="str">
        <f>IFERROR(__xludf.DUMMYFUNCTION("""COMPUTED_VALUE"""),"No")</f>
        <v>No</v>
      </c>
      <c r="X81" s="5" t="str">
        <f>IFERROR(__xludf.DUMMYFUNCTION("""COMPUTED_VALUE"""),"No")</f>
        <v>No</v>
      </c>
      <c r="Y81" s="5" t="str">
        <f>IFERROR(__xludf.DUMMYFUNCTION("""COMPUTED_VALUE"""),"No")</f>
        <v>No</v>
      </c>
      <c r="Z81" s="5" t="str">
        <f>IFERROR(__xludf.DUMMYFUNCTION("""COMPUTED_VALUE"""),"No")</f>
        <v>No</v>
      </c>
      <c r="AA81" s="5" t="str">
        <f>IFERROR(__xludf.DUMMYFUNCTION("""COMPUTED_VALUE"""),"No")</f>
        <v>No</v>
      </c>
      <c r="AB81" s="5" t="str">
        <f>IFERROR(__xludf.DUMMYFUNCTION("""COMPUTED_VALUE"""),"Yes")</f>
        <v>Yes</v>
      </c>
      <c r="AC81" s="5" t="str">
        <f>IFERROR(__xludf.DUMMYFUNCTION("""COMPUTED_VALUE"""),"Yes")</f>
        <v>Yes</v>
      </c>
      <c r="AD81" s="5" t="str">
        <f>IFERROR(__xludf.DUMMYFUNCTION("""COMPUTED_VALUE"""),"Yes")</f>
        <v>Yes</v>
      </c>
      <c r="AE81" s="5" t="str">
        <f>IFERROR(__xludf.DUMMYFUNCTION("""COMPUTED_VALUE"""),"Yes")</f>
        <v>Yes</v>
      </c>
      <c r="AF81" s="5" t="str">
        <f>IFERROR(__xludf.DUMMYFUNCTION("""COMPUTED_VALUE"""),"Yes")</f>
        <v>Yes</v>
      </c>
      <c r="AG81" s="5" t="str">
        <f>IFERROR(__xludf.DUMMYFUNCTION("""COMPUTED_VALUE"""),"No")</f>
        <v>No</v>
      </c>
      <c r="AH81" s="5" t="str">
        <f>IFERROR(__xludf.DUMMYFUNCTION("""COMPUTED_VALUE"""),"Yes")</f>
        <v>Yes</v>
      </c>
      <c r="AI81" s="5" t="str">
        <f>IFERROR(__xludf.DUMMYFUNCTION("""COMPUTED_VALUE"""),"No")</f>
        <v>No</v>
      </c>
      <c r="AJ81" s="5" t="str">
        <f>IFERROR(__xludf.DUMMYFUNCTION("""COMPUTED_VALUE"""),"No")</f>
        <v>No</v>
      </c>
      <c r="AK81" s="5" t="str">
        <f>IFERROR(__xludf.DUMMYFUNCTION("""COMPUTED_VALUE"""),"No")</f>
        <v>No</v>
      </c>
      <c r="AL81" s="5" t="str">
        <f>IFERROR(__xludf.DUMMYFUNCTION("""COMPUTED_VALUE"""),"No")</f>
        <v>No</v>
      </c>
      <c r="AM81" s="5"/>
      <c r="AN81" s="5"/>
      <c r="AO81" s="5" t="str">
        <f>IFERROR(__xludf.DUMMYFUNCTION("""COMPUTED_VALUE"""),"Yes")</f>
        <v>Yes</v>
      </c>
      <c r="AP81" s="5"/>
      <c r="AQ81" s="5" t="str">
        <f>IFERROR(__xludf.DUMMYFUNCTION("""COMPUTED_VALUE"""),"No")</f>
        <v>No</v>
      </c>
      <c r="AR81" s="5"/>
      <c r="AS81" s="5" t="str">
        <f>IFERROR(__xludf.DUMMYFUNCTION("""COMPUTED_VALUE"""),"Yes")</f>
        <v>Yes</v>
      </c>
      <c r="AT81" s="5" t="str">
        <f>IFERROR(__xludf.DUMMYFUNCTION("""COMPUTED_VALUE"""),"Yes")</f>
        <v>Yes</v>
      </c>
      <c r="AU81" s="5"/>
      <c r="AV81" s="5" t="str">
        <f>IFERROR(__xludf.DUMMYFUNCTION("""COMPUTED_VALUE"""),"")</f>
        <v/>
      </c>
      <c r="AW81" s="5" t="str">
        <f>IFERROR(__xludf.DUMMYFUNCTION("""COMPUTED_VALUE"""),"")</f>
        <v/>
      </c>
      <c r="AX81" s="5" t="str">
        <f>IFERROR(__xludf.DUMMYFUNCTION("""COMPUTED_VALUE"""),"")</f>
        <v/>
      </c>
      <c r="AY81" s="5" t="str">
        <f>IFERROR(__xludf.DUMMYFUNCTION("""COMPUTED_VALUE"""),"")</f>
        <v/>
      </c>
      <c r="AZ81" s="5" t="str">
        <f>IFERROR(__xludf.DUMMYFUNCTION("""COMPUTED_VALUE"""),"")</f>
        <v/>
      </c>
      <c r="BA81" s="5" t="str">
        <f>IFERROR(__xludf.DUMMYFUNCTION("""COMPUTED_VALUE"""),"")</f>
        <v/>
      </c>
      <c r="BB81" s="5" t="str">
        <f>IFERROR(__xludf.DUMMYFUNCTION("""COMPUTED_VALUE"""),"")</f>
        <v/>
      </c>
    </row>
    <row r="82">
      <c r="A82" s="5" t="str">
        <f>IFERROR(__xludf.DUMMYFUNCTION("""COMPUTED_VALUE"""),"Redstone")</f>
        <v>Redstone</v>
      </c>
      <c r="B82" s="5" t="str">
        <f>IFERROR(__xludf.DUMMYFUNCTION("""COMPUTED_VALUE"""),"40 Joker Fire")</f>
        <v>40 Joker Fire</v>
      </c>
      <c r="C82" s="5" t="str">
        <f>IFERROR(__xludf.DUMMYFUNCTION("""COMPUTED_VALUE"""),"Redstone40JokerFire")</f>
        <v>Redstone40JokerFire</v>
      </c>
      <c r="D82" s="6">
        <f>IFERROR(__xludf.DUMMYFUNCTION("""COMPUTED_VALUE"""),45762.0)</f>
        <v>45762</v>
      </c>
      <c r="E82" s="5" t="str">
        <f>IFERROR(__xludf.DUMMYFUNCTION("""COMPUTED_VALUE"""),"Slot")</f>
        <v>Slot</v>
      </c>
      <c r="F82" s="5">
        <f>IFERROR(__xludf.DUMMYFUNCTION("""COMPUTED_VALUE"""),7.0)</f>
        <v>7</v>
      </c>
      <c r="G82" s="5" t="str">
        <f>IFERROR(__xludf.DUMMYFUNCTION("""COMPUTED_VALUE"""),"5x4")</f>
        <v>5x4</v>
      </c>
      <c r="H82" s="5">
        <f>IFERROR(__xludf.DUMMYFUNCTION("""COMPUTED_VALUE"""),40.0)</f>
        <v>40</v>
      </c>
      <c r="I82" s="5">
        <f>IFERROR(__xludf.DUMMYFUNCTION("""COMPUTED_VALUE"""),40.0)</f>
        <v>40</v>
      </c>
      <c r="J82" s="5" t="str">
        <f>IFERROR(__xludf.DUMMYFUNCTION("""COMPUTED_VALUE"""),"96%")</f>
        <v>96%</v>
      </c>
      <c r="K82" s="5" t="str">
        <f>IFERROR(__xludf.DUMMYFUNCTION("""COMPUTED_VALUE"""),"Medium")</f>
        <v>Medium</v>
      </c>
      <c r="L82" s="5" t="str">
        <f>IFERROR(__xludf.DUMMYFUNCTION("""COMPUTED_VALUE"""),"20.25%")</f>
        <v>20.25%</v>
      </c>
      <c r="M82" s="5" t="str">
        <f>IFERROR(__xludf.DUMMYFUNCTION("""COMPUTED_VALUE"""),"x2000")</f>
        <v>x2000</v>
      </c>
      <c r="N82" s="5" t="str">
        <f>IFERROR(__xludf.DUMMYFUNCTION("""COMPUTED_VALUE"""),"0.12/100")</f>
        <v>0.12/100</v>
      </c>
      <c r="O82" s="5" t="str">
        <f>IFERROR(__xludf.DUMMYFUNCTION("""COMPUTED_VALUE"""),"No")</f>
        <v>No</v>
      </c>
      <c r="P82" s="5" t="str">
        <f>IFERROR(__xludf.DUMMYFUNCTION("""COMPUTED_VALUE"""),"Sticky Wild, Special Wild, Scatter")</f>
        <v>Sticky Wild, Special Wild, Scatter</v>
      </c>
      <c r="Q82" s="7" t="str">
        <f>IFERROR(__xludf.DUMMYFUNCTION("""COMPUTED_VALUE"""),"https://static.redstone.rs/games/40-joker-fire/")</f>
        <v>https://static.redstone.rs/games/40-joker-fire/</v>
      </c>
      <c r="R82" s="5" t="str">
        <f>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S82" s="5"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T82" s="5" t="str">
        <f>IFERROR(__xludf.DUMMYFUNCTION("""COMPUTED_VALUE"""),"Yes")</f>
        <v>Yes</v>
      </c>
      <c r="U82" s="5" t="str">
        <f>IFERROR(__xludf.DUMMYFUNCTION("""COMPUTED_VALUE"""),"Yes")</f>
        <v>Yes</v>
      </c>
      <c r="V82" s="5" t="str">
        <f>IFERROR(__xludf.DUMMYFUNCTION("""COMPUTED_VALUE"""),"Yes")</f>
        <v>Yes</v>
      </c>
      <c r="W82" s="5" t="str">
        <f>IFERROR(__xludf.DUMMYFUNCTION("""COMPUTED_VALUE"""),"No")</f>
        <v>No</v>
      </c>
      <c r="X82" s="5" t="str">
        <f>IFERROR(__xludf.DUMMYFUNCTION("""COMPUTED_VALUE"""),"No")</f>
        <v>No</v>
      </c>
      <c r="Y82" s="5" t="str">
        <f>IFERROR(__xludf.DUMMYFUNCTION("""COMPUTED_VALUE"""),"No")</f>
        <v>No</v>
      </c>
      <c r="Z82" s="5" t="str">
        <f>IFERROR(__xludf.DUMMYFUNCTION("""COMPUTED_VALUE"""),"No")</f>
        <v>No</v>
      </c>
      <c r="AA82" s="5" t="str">
        <f>IFERROR(__xludf.DUMMYFUNCTION("""COMPUTED_VALUE"""),"No")</f>
        <v>No</v>
      </c>
      <c r="AB82" s="5" t="str">
        <f>IFERROR(__xludf.DUMMYFUNCTION("""COMPUTED_VALUE"""),"Yes")</f>
        <v>Yes</v>
      </c>
      <c r="AC82" s="5" t="str">
        <f>IFERROR(__xludf.DUMMYFUNCTION("""COMPUTED_VALUE"""),"Yes")</f>
        <v>Yes</v>
      </c>
      <c r="AD82" s="5" t="str">
        <f>IFERROR(__xludf.DUMMYFUNCTION("""COMPUTED_VALUE"""),"Yes")</f>
        <v>Yes</v>
      </c>
      <c r="AE82" s="5" t="str">
        <f>IFERROR(__xludf.DUMMYFUNCTION("""COMPUTED_VALUE"""),"Yes")</f>
        <v>Yes</v>
      </c>
      <c r="AF82" s="5" t="str">
        <f>IFERROR(__xludf.DUMMYFUNCTION("""COMPUTED_VALUE"""),"Yes")</f>
        <v>Yes</v>
      </c>
      <c r="AG82" s="5" t="str">
        <f>IFERROR(__xludf.DUMMYFUNCTION("""COMPUTED_VALUE"""),"No")</f>
        <v>No</v>
      </c>
      <c r="AH82" s="5" t="str">
        <f>IFERROR(__xludf.DUMMYFUNCTION("""COMPUTED_VALUE"""),"Yes")</f>
        <v>Yes</v>
      </c>
      <c r="AI82" s="5" t="str">
        <f>IFERROR(__xludf.DUMMYFUNCTION("""COMPUTED_VALUE"""),"No")</f>
        <v>No</v>
      </c>
      <c r="AJ82" s="5" t="str">
        <f>IFERROR(__xludf.DUMMYFUNCTION("""COMPUTED_VALUE"""),"No")</f>
        <v>No</v>
      </c>
      <c r="AK82" s="5" t="str">
        <f>IFERROR(__xludf.DUMMYFUNCTION("""COMPUTED_VALUE"""),"No")</f>
        <v>No</v>
      </c>
      <c r="AL82" s="5" t="str">
        <f>IFERROR(__xludf.DUMMYFUNCTION("""COMPUTED_VALUE"""),"No")</f>
        <v>No</v>
      </c>
      <c r="AM82" s="5"/>
      <c r="AN82" s="5" t="str">
        <f>IFERROR(__xludf.DUMMYFUNCTION("""COMPUTED_VALUE"""),"Yes")</f>
        <v>Yes</v>
      </c>
      <c r="AO82" s="5" t="str">
        <f>IFERROR(__xludf.DUMMYFUNCTION("""COMPUTED_VALUE"""),"Yes")</f>
        <v>Yes</v>
      </c>
      <c r="AP82" s="5"/>
      <c r="AQ82" s="5" t="str">
        <f>IFERROR(__xludf.DUMMYFUNCTION("""COMPUTED_VALUE"""),"No")</f>
        <v>No</v>
      </c>
      <c r="AR82" s="5"/>
      <c r="AS82" s="5" t="str">
        <f>IFERROR(__xludf.DUMMYFUNCTION("""COMPUTED_VALUE"""),"Yes")</f>
        <v>Yes</v>
      </c>
      <c r="AT82" s="5"/>
      <c r="AU82" s="5"/>
      <c r="AV82" s="5" t="str">
        <f>IFERROR(__xludf.DUMMYFUNCTION("""COMPUTED_VALUE"""),"")</f>
        <v/>
      </c>
      <c r="AW82" s="5" t="str">
        <f>IFERROR(__xludf.DUMMYFUNCTION("""COMPUTED_VALUE"""),"")</f>
        <v/>
      </c>
      <c r="AX82" s="5" t="str">
        <f>IFERROR(__xludf.DUMMYFUNCTION("""COMPUTED_VALUE"""),"")</f>
        <v/>
      </c>
      <c r="AY82" s="5" t="str">
        <f>IFERROR(__xludf.DUMMYFUNCTION("""COMPUTED_VALUE"""),"")</f>
        <v/>
      </c>
      <c r="AZ82" s="5" t="str">
        <f>IFERROR(__xludf.DUMMYFUNCTION("""COMPUTED_VALUE"""),"")</f>
        <v/>
      </c>
      <c r="BA82" s="5" t="str">
        <f>IFERROR(__xludf.DUMMYFUNCTION("""COMPUTED_VALUE"""),"")</f>
        <v/>
      </c>
      <c r="BB82" s="5" t="str">
        <f>IFERROR(__xludf.DUMMYFUNCTION("""COMPUTED_VALUE"""),"")</f>
        <v/>
      </c>
    </row>
    <row r="83">
      <c r="A83" s="5" t="str">
        <f>IFERROR(__xludf.DUMMYFUNCTION("""COMPUTED_VALUE"""),"Redstone")</f>
        <v>Redstone</v>
      </c>
      <c r="B83" s="5" t="str">
        <f>IFERROR(__xludf.DUMMYFUNCTION("""COMPUTED_VALUE"""),"Bonus Stars")</f>
        <v>Bonus Stars</v>
      </c>
      <c r="C83" s="5" t="str">
        <f>IFERROR(__xludf.DUMMYFUNCTION("""COMPUTED_VALUE"""),"RedstoneBonusStars")</f>
        <v>RedstoneBonusStars</v>
      </c>
      <c r="D83" s="6">
        <f>IFERROR(__xludf.DUMMYFUNCTION("""COMPUTED_VALUE"""),45784.0)</f>
        <v>45784</v>
      </c>
      <c r="E83" s="5" t="str">
        <f>IFERROR(__xludf.DUMMYFUNCTION("""COMPUTED_VALUE"""),"Slot")</f>
        <v>Slot</v>
      </c>
      <c r="F83" s="5">
        <f>IFERROR(__xludf.DUMMYFUNCTION("""COMPUTED_VALUE"""),9.1)</f>
        <v>9.1</v>
      </c>
      <c r="G83" s="5" t="str">
        <f>IFERROR(__xludf.DUMMYFUNCTION("""COMPUTED_VALUE"""),"5x3")</f>
        <v>5x3</v>
      </c>
      <c r="H83" s="5">
        <f>IFERROR(__xludf.DUMMYFUNCTION("""COMPUTED_VALUE"""),30.0)</f>
        <v>30</v>
      </c>
      <c r="I83" s="5">
        <f>IFERROR(__xludf.DUMMYFUNCTION("""COMPUTED_VALUE"""),30.0)</f>
        <v>30</v>
      </c>
      <c r="J83" s="5" t="str">
        <f>IFERROR(__xludf.DUMMYFUNCTION("""COMPUTED_VALUE"""),"96%")</f>
        <v>96%</v>
      </c>
      <c r="K83" s="5" t="str">
        <f>IFERROR(__xludf.DUMMYFUNCTION("""COMPUTED_VALUE"""),"Medium")</f>
        <v>Medium</v>
      </c>
      <c r="L83" s="5" t="str">
        <f>IFERROR(__xludf.DUMMYFUNCTION("""COMPUTED_VALUE"""),"36%")</f>
        <v>36%</v>
      </c>
      <c r="M83" s="5" t="str">
        <f>IFERROR(__xludf.DUMMYFUNCTION("""COMPUTED_VALUE"""),"x2000")</f>
        <v>x2000</v>
      </c>
      <c r="N83" s="5" t="str">
        <f>IFERROR(__xludf.DUMMYFUNCTION("""COMPUTED_VALUE"""),"0.20/50")</f>
        <v>0.20/50</v>
      </c>
      <c r="O83" s="5" t="str">
        <f>IFERROR(__xludf.DUMMYFUNCTION("""COMPUTED_VALUE"""),"No")</f>
        <v>No</v>
      </c>
      <c r="P83" s="5" t="str">
        <f>IFERROR(__xludf.DUMMYFUNCTION("""COMPUTED_VALUE"""),"Wild Symbol, Scatter, Bonus Game with Free Spins")</f>
        <v>Wild Symbol, Scatter, Bonus Game with Free Spins</v>
      </c>
      <c r="Q83" s="7" t="str">
        <f>IFERROR(__xludf.DUMMYFUNCTION("""COMPUTED_VALUE"""),"https://static.redstone.rs/games/bonus-stars/")</f>
        <v>https://static.redstone.rs/games/bonus-stars/</v>
      </c>
      <c r="R83" s="5" t="str">
        <f>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S8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3" s="5" t="str">
        <f>IFERROR(__xludf.DUMMYFUNCTION("""COMPUTED_VALUE"""),"Yes")</f>
        <v>Yes</v>
      </c>
      <c r="U83" s="5" t="str">
        <f>IFERROR(__xludf.DUMMYFUNCTION("""COMPUTED_VALUE"""),"Yes")</f>
        <v>Yes</v>
      </c>
      <c r="V83" s="5" t="str">
        <f>IFERROR(__xludf.DUMMYFUNCTION("""COMPUTED_VALUE"""),"No")</f>
        <v>No</v>
      </c>
      <c r="W83" s="5" t="str">
        <f>IFERROR(__xludf.DUMMYFUNCTION("""COMPUTED_VALUE"""),"Yes")</f>
        <v>Yes</v>
      </c>
      <c r="X83" s="5" t="str">
        <f>IFERROR(__xludf.DUMMYFUNCTION("""COMPUTED_VALUE"""),"Yes")</f>
        <v>Yes</v>
      </c>
      <c r="Y83" s="5" t="str">
        <f>IFERROR(__xludf.DUMMYFUNCTION("""COMPUTED_VALUE"""),"Yes")</f>
        <v>Yes</v>
      </c>
      <c r="Z83" s="5" t="str">
        <f>IFERROR(__xludf.DUMMYFUNCTION("""COMPUTED_VALUE"""),"Yes")</f>
        <v>Yes</v>
      </c>
      <c r="AA83" s="5" t="str">
        <f>IFERROR(__xludf.DUMMYFUNCTION("""COMPUTED_VALUE"""),"Yes")</f>
        <v>Yes</v>
      </c>
      <c r="AB83" s="5" t="str">
        <f>IFERROR(__xludf.DUMMYFUNCTION("""COMPUTED_VALUE"""),"Yes")</f>
        <v>Yes</v>
      </c>
      <c r="AC83" s="5" t="str">
        <f>IFERROR(__xludf.DUMMYFUNCTION("""COMPUTED_VALUE"""),"Yes")</f>
        <v>Yes</v>
      </c>
      <c r="AD83" s="5" t="str">
        <f>IFERROR(__xludf.DUMMYFUNCTION("""COMPUTED_VALUE"""),"Yes")</f>
        <v>Yes</v>
      </c>
      <c r="AE83" s="5" t="str">
        <f>IFERROR(__xludf.DUMMYFUNCTION("""COMPUTED_VALUE"""),"Yes")</f>
        <v>Yes</v>
      </c>
      <c r="AF83" s="5" t="str">
        <f>IFERROR(__xludf.DUMMYFUNCTION("""COMPUTED_VALUE"""),"Yes")</f>
        <v>Yes</v>
      </c>
      <c r="AG83" s="5" t="str">
        <f>IFERROR(__xludf.DUMMYFUNCTION("""COMPUTED_VALUE"""),"Yes")</f>
        <v>Yes</v>
      </c>
      <c r="AH83" s="5" t="str">
        <f>IFERROR(__xludf.DUMMYFUNCTION("""COMPUTED_VALUE"""),"Yes")</f>
        <v>Yes</v>
      </c>
      <c r="AI83" s="5" t="str">
        <f>IFERROR(__xludf.DUMMYFUNCTION("""COMPUTED_VALUE"""),"No")</f>
        <v>No</v>
      </c>
      <c r="AJ83" s="5" t="str">
        <f>IFERROR(__xludf.DUMMYFUNCTION("""COMPUTED_VALUE"""),"No")</f>
        <v>No</v>
      </c>
      <c r="AK83" s="5" t="str">
        <f>IFERROR(__xludf.DUMMYFUNCTION("""COMPUTED_VALUE"""),"No")</f>
        <v>No</v>
      </c>
      <c r="AL83" s="5" t="str">
        <f>IFERROR(__xludf.DUMMYFUNCTION("""COMPUTED_VALUE"""),"No")</f>
        <v>No</v>
      </c>
      <c r="AM83" s="5" t="str">
        <f>IFERROR(__xludf.DUMMYFUNCTION("""COMPUTED_VALUE"""),"No")</f>
        <v>No</v>
      </c>
      <c r="AN83" s="5" t="str">
        <f>IFERROR(__xludf.DUMMYFUNCTION("""COMPUTED_VALUE"""),"No")</f>
        <v>No</v>
      </c>
      <c r="AO83" s="5" t="str">
        <f>IFERROR(__xludf.DUMMYFUNCTION("""COMPUTED_VALUE"""),"Yes")</f>
        <v>Yes</v>
      </c>
      <c r="AP83" s="5" t="str">
        <f>IFERROR(__xludf.DUMMYFUNCTION("""COMPUTED_VALUE"""),"No")</f>
        <v>No</v>
      </c>
      <c r="AQ83" s="5" t="str">
        <f>IFERROR(__xludf.DUMMYFUNCTION("""COMPUTED_VALUE"""),"No")</f>
        <v>No</v>
      </c>
      <c r="AR83" s="5" t="str">
        <f>IFERROR(__xludf.DUMMYFUNCTION("""COMPUTED_VALUE"""),"No")</f>
        <v>No</v>
      </c>
      <c r="AS83" s="5" t="str">
        <f>IFERROR(__xludf.DUMMYFUNCTION("""COMPUTED_VALUE"""),"Yes")</f>
        <v>Yes</v>
      </c>
      <c r="AT83" s="5" t="str">
        <f>IFERROR(__xludf.DUMMYFUNCTION("""COMPUTED_VALUE"""),"No")</f>
        <v>No</v>
      </c>
      <c r="AU83" s="5"/>
      <c r="AV83" s="5" t="str">
        <f>IFERROR(__xludf.DUMMYFUNCTION("""COMPUTED_VALUE"""),"")</f>
        <v/>
      </c>
      <c r="AW83" s="5" t="str">
        <f>IFERROR(__xludf.DUMMYFUNCTION("""COMPUTED_VALUE"""),"")</f>
        <v/>
      </c>
      <c r="AX83" s="5" t="str">
        <f>IFERROR(__xludf.DUMMYFUNCTION("""COMPUTED_VALUE"""),"")</f>
        <v/>
      </c>
      <c r="AY83" s="5" t="str">
        <f>IFERROR(__xludf.DUMMYFUNCTION("""COMPUTED_VALUE"""),"")</f>
        <v/>
      </c>
      <c r="AZ83" s="5" t="str">
        <f>IFERROR(__xludf.DUMMYFUNCTION("""COMPUTED_VALUE"""),"")</f>
        <v/>
      </c>
      <c r="BA83" s="5" t="str">
        <f>IFERROR(__xludf.DUMMYFUNCTION("""COMPUTED_VALUE"""),"")</f>
        <v/>
      </c>
      <c r="BB83" s="5" t="str">
        <f>IFERROR(__xludf.DUMMYFUNCTION("""COMPUTED_VALUE"""),"")</f>
        <v/>
      </c>
    </row>
    <row r="84">
      <c r="A84" s="5" t="str">
        <f>IFERROR(__xludf.DUMMYFUNCTION("""COMPUTED_VALUE"""),"Redstone")</f>
        <v>Redstone</v>
      </c>
      <c r="B84" s="5" t="str">
        <f>IFERROR(__xludf.DUMMYFUNCTION("""COMPUTED_VALUE"""),"5 Star Fire")</f>
        <v>5 Star Fire</v>
      </c>
      <c r="C84" s="5" t="str">
        <f>IFERROR(__xludf.DUMMYFUNCTION("""COMPUTED_VALUE"""),"Redstone5StarFire")</f>
        <v>Redstone5StarFire</v>
      </c>
      <c r="D84" s="6">
        <f>IFERROR(__xludf.DUMMYFUNCTION("""COMPUTED_VALUE"""),45790.0)</f>
        <v>45790</v>
      </c>
      <c r="E84" s="5" t="str">
        <f>IFERROR(__xludf.DUMMYFUNCTION("""COMPUTED_VALUE"""),"Slot")</f>
        <v>Slot</v>
      </c>
      <c r="F84" s="5">
        <f>IFERROR(__xludf.DUMMYFUNCTION("""COMPUTED_VALUE"""),9.2)</f>
        <v>9.2</v>
      </c>
      <c r="G84" s="5" t="str">
        <f>IFERROR(__xludf.DUMMYFUNCTION("""COMPUTED_VALUE"""),"5x3")</f>
        <v>5x3</v>
      </c>
      <c r="H84" s="5">
        <f>IFERROR(__xludf.DUMMYFUNCTION("""COMPUTED_VALUE"""),5.0)</f>
        <v>5</v>
      </c>
      <c r="I84" s="5">
        <f>IFERROR(__xludf.DUMMYFUNCTION("""COMPUTED_VALUE"""),5.0)</f>
        <v>5</v>
      </c>
      <c r="J84" s="5" t="str">
        <f>IFERROR(__xludf.DUMMYFUNCTION("""COMPUTED_VALUE"""),"96.45%")</f>
        <v>96.45%</v>
      </c>
      <c r="K84" s="5" t="str">
        <f>IFERROR(__xludf.DUMMYFUNCTION("""COMPUTED_VALUE"""),"Medium")</f>
        <v>Medium</v>
      </c>
      <c r="L84" s="5" t="str">
        <f>IFERROR(__xludf.DUMMYFUNCTION("""COMPUTED_VALUE"""),"14.5%")</f>
        <v>14.5%</v>
      </c>
      <c r="M84" s="5" t="str">
        <f>IFERROR(__xludf.DUMMYFUNCTION("""COMPUTED_VALUE"""),"x1222")</f>
        <v>x1222</v>
      </c>
      <c r="N84" s="5" t="str">
        <f>IFERROR(__xludf.DUMMYFUNCTION("""COMPUTED_VALUE"""),"0.05/30")</f>
        <v>0.05/30</v>
      </c>
      <c r="O84" s="5" t="str">
        <f>IFERROR(__xludf.DUMMYFUNCTION("""COMPUTED_VALUE"""),"No")</f>
        <v>No</v>
      </c>
      <c r="P84" s="5" t="str">
        <f>IFERROR(__xludf.DUMMYFUNCTION("""COMPUTED_VALUE"""),"Expanding Wild, Scatter")</f>
        <v>Expanding Wild, Scatter</v>
      </c>
      <c r="Q84" s="7" t="str">
        <f>IFERROR(__xludf.DUMMYFUNCTION("""COMPUTED_VALUE"""),"https://static.redstone.rs/games/5-star-fire/")</f>
        <v>https://static.redstone.rs/games/5-star-fire/</v>
      </c>
      <c r="R84" s="5" t="str">
        <f>IFERROR(__xludf.DUMMYFUNCTION("""COMPUTED_VALUE"""),"5 Star Fire is a five-line slot with clear mechanics, clear symbols and pure payouts. Spin, play, repeat!")</f>
        <v>5 Star Fire is a five-line slot with clear mechanics, clear symbols and pure payouts. Spin, play, repeat!</v>
      </c>
      <c r="S8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4" s="5" t="str">
        <f>IFERROR(__xludf.DUMMYFUNCTION("""COMPUTED_VALUE"""),"Yes")</f>
        <v>Yes</v>
      </c>
      <c r="U84" s="5" t="str">
        <f>IFERROR(__xludf.DUMMYFUNCTION("""COMPUTED_VALUE"""),"Yes")</f>
        <v>Yes</v>
      </c>
      <c r="V84" s="5" t="str">
        <f>IFERROR(__xludf.DUMMYFUNCTION("""COMPUTED_VALUE"""),"No")</f>
        <v>No</v>
      </c>
      <c r="W84" s="5" t="str">
        <f>IFERROR(__xludf.DUMMYFUNCTION("""COMPUTED_VALUE"""),"Yes")</f>
        <v>Yes</v>
      </c>
      <c r="X84" s="5" t="str">
        <f>IFERROR(__xludf.DUMMYFUNCTION("""COMPUTED_VALUE"""),"Yes")</f>
        <v>Yes</v>
      </c>
      <c r="Y84" s="5" t="str">
        <f>IFERROR(__xludf.DUMMYFUNCTION("""COMPUTED_VALUE"""),"Yes")</f>
        <v>Yes</v>
      </c>
      <c r="Z84" s="5" t="str">
        <f>IFERROR(__xludf.DUMMYFUNCTION("""COMPUTED_VALUE"""),"Yes")</f>
        <v>Yes</v>
      </c>
      <c r="AA84" s="5" t="str">
        <f>IFERROR(__xludf.DUMMYFUNCTION("""COMPUTED_VALUE"""),"Yes")</f>
        <v>Yes</v>
      </c>
      <c r="AB84" s="5" t="str">
        <f>IFERROR(__xludf.DUMMYFUNCTION("""COMPUTED_VALUE"""),"Yes")</f>
        <v>Yes</v>
      </c>
      <c r="AC84" s="5" t="str">
        <f>IFERROR(__xludf.DUMMYFUNCTION("""COMPUTED_VALUE"""),"Yes")</f>
        <v>Yes</v>
      </c>
      <c r="AD84" s="5" t="str">
        <f>IFERROR(__xludf.DUMMYFUNCTION("""COMPUTED_VALUE"""),"Yes")</f>
        <v>Yes</v>
      </c>
      <c r="AE84" s="5" t="str">
        <f>IFERROR(__xludf.DUMMYFUNCTION("""COMPUTED_VALUE"""),"Yes")</f>
        <v>Yes</v>
      </c>
      <c r="AF84" s="5" t="str">
        <f>IFERROR(__xludf.DUMMYFUNCTION("""COMPUTED_VALUE"""),"Yes")</f>
        <v>Yes</v>
      </c>
      <c r="AG84" s="5" t="str">
        <f>IFERROR(__xludf.DUMMYFUNCTION("""COMPUTED_VALUE"""),"Yes")</f>
        <v>Yes</v>
      </c>
      <c r="AH84" s="5" t="str">
        <f>IFERROR(__xludf.DUMMYFUNCTION("""COMPUTED_VALUE"""),"Yes")</f>
        <v>Yes</v>
      </c>
      <c r="AI84" s="5" t="str">
        <f>IFERROR(__xludf.DUMMYFUNCTION("""COMPUTED_VALUE"""),"No")</f>
        <v>No</v>
      </c>
      <c r="AJ84" s="5" t="str">
        <f>IFERROR(__xludf.DUMMYFUNCTION("""COMPUTED_VALUE"""),"No")</f>
        <v>No</v>
      </c>
      <c r="AK84" s="5" t="str">
        <f>IFERROR(__xludf.DUMMYFUNCTION("""COMPUTED_VALUE"""),"No")</f>
        <v>No</v>
      </c>
      <c r="AL84" s="5" t="str">
        <f>IFERROR(__xludf.DUMMYFUNCTION("""COMPUTED_VALUE"""),"No")</f>
        <v>No</v>
      </c>
      <c r="AM84" s="5" t="str">
        <f>IFERROR(__xludf.DUMMYFUNCTION("""COMPUTED_VALUE"""),"No")</f>
        <v>No</v>
      </c>
      <c r="AN84" s="5" t="str">
        <f>IFERROR(__xludf.DUMMYFUNCTION("""COMPUTED_VALUE"""),"No")</f>
        <v>No</v>
      </c>
      <c r="AO84" s="5" t="str">
        <f>IFERROR(__xludf.DUMMYFUNCTION("""COMPUTED_VALUE"""),"Yes")</f>
        <v>Yes</v>
      </c>
      <c r="AP84" s="5" t="str">
        <f>IFERROR(__xludf.DUMMYFUNCTION("""COMPUTED_VALUE"""),"No")</f>
        <v>No</v>
      </c>
      <c r="AQ84" s="5" t="str">
        <f>IFERROR(__xludf.DUMMYFUNCTION("""COMPUTED_VALUE"""),"No")</f>
        <v>No</v>
      </c>
      <c r="AR84" s="5" t="str">
        <f>IFERROR(__xludf.DUMMYFUNCTION("""COMPUTED_VALUE"""),"No")</f>
        <v>No</v>
      </c>
      <c r="AS84" s="5" t="str">
        <f>IFERROR(__xludf.DUMMYFUNCTION("""COMPUTED_VALUE"""),"Yes")</f>
        <v>Yes</v>
      </c>
      <c r="AT84" s="5" t="str">
        <f>IFERROR(__xludf.DUMMYFUNCTION("""COMPUTED_VALUE"""),"No")</f>
        <v>No</v>
      </c>
      <c r="AU84" s="5"/>
      <c r="AV84" s="5" t="str">
        <f>IFERROR(__xludf.DUMMYFUNCTION("""COMPUTED_VALUE"""),"")</f>
        <v/>
      </c>
      <c r="AW84" s="5" t="str">
        <f>IFERROR(__xludf.DUMMYFUNCTION("""COMPUTED_VALUE"""),"")</f>
        <v/>
      </c>
      <c r="AX84" s="5" t="str">
        <f>IFERROR(__xludf.DUMMYFUNCTION("""COMPUTED_VALUE"""),"")</f>
        <v/>
      </c>
      <c r="AY84" s="5" t="str">
        <f>IFERROR(__xludf.DUMMYFUNCTION("""COMPUTED_VALUE"""),"")</f>
        <v/>
      </c>
      <c r="AZ84" s="5" t="str">
        <f>IFERROR(__xludf.DUMMYFUNCTION("""COMPUTED_VALUE"""),"")</f>
        <v/>
      </c>
      <c r="BA84" s="5" t="str">
        <f>IFERROR(__xludf.DUMMYFUNCTION("""COMPUTED_VALUE"""),"")</f>
        <v/>
      </c>
      <c r="BB84" s="5" t="str">
        <f>IFERROR(__xludf.DUMMYFUNCTION("""COMPUTED_VALUE"""),"")</f>
        <v/>
      </c>
    </row>
    <row r="85">
      <c r="A85" s="5" t="str">
        <f>IFERROR(__xludf.DUMMYFUNCTION("""COMPUTED_VALUE"""),"Redstone")</f>
        <v>Redstone</v>
      </c>
      <c r="B85" s="5" t="str">
        <f>IFERROR(__xludf.DUMMYFUNCTION("""COMPUTED_VALUE"""),"Clover Drop")</f>
        <v>Clover Drop</v>
      </c>
      <c r="C85" s="5" t="str">
        <f>IFERROR(__xludf.DUMMYFUNCTION("""COMPUTED_VALUE"""),"RedstoneCloverDrop")</f>
        <v>RedstoneCloverDrop</v>
      </c>
      <c r="D85" s="6">
        <f>IFERROR(__xludf.DUMMYFUNCTION("""COMPUTED_VALUE"""),45798.0)</f>
        <v>45798</v>
      </c>
      <c r="E85" s="5" t="str">
        <f>IFERROR(__xludf.DUMMYFUNCTION("""COMPUTED_VALUE"""),"Slot")</f>
        <v>Slot</v>
      </c>
      <c r="F85" s="5">
        <f>IFERROR(__xludf.DUMMYFUNCTION("""COMPUTED_VALUE"""),9.0)</f>
        <v>9</v>
      </c>
      <c r="G85" s="5" t="str">
        <f>IFERROR(__xludf.DUMMYFUNCTION("""COMPUTED_VALUE"""),"5x5")</f>
        <v>5x5</v>
      </c>
      <c r="H85" s="5">
        <f>IFERROR(__xludf.DUMMYFUNCTION("""COMPUTED_VALUE"""),15.0)</f>
        <v>15</v>
      </c>
      <c r="I85" s="5">
        <f>IFERROR(__xludf.DUMMYFUNCTION("""COMPUTED_VALUE"""),15.0)</f>
        <v>15</v>
      </c>
      <c r="J85" s="5" t="str">
        <f>IFERROR(__xludf.DUMMYFUNCTION("""COMPUTED_VALUE"""),"96.08%")</f>
        <v>96.08%</v>
      </c>
      <c r="K85" s="5" t="str">
        <f>IFERROR(__xludf.DUMMYFUNCTION("""COMPUTED_VALUE"""),"Medium")</f>
        <v>Medium</v>
      </c>
      <c r="L85" s="5" t="str">
        <f>IFERROR(__xludf.DUMMYFUNCTION("""COMPUTED_VALUE"""),"16.62%")</f>
        <v>16.62%</v>
      </c>
      <c r="M85" s="5" t="str">
        <f>IFERROR(__xludf.DUMMYFUNCTION("""COMPUTED_VALUE"""),"x6100")</f>
        <v>x6100</v>
      </c>
      <c r="N85" s="5" t="str">
        <f>IFERROR(__xludf.DUMMYFUNCTION("""COMPUTED_VALUE"""),"2/50")</f>
        <v>2/50</v>
      </c>
      <c r="O85" s="5" t="str">
        <f>IFERROR(__xludf.DUMMYFUNCTION("""COMPUTED_VALUE"""),"No")</f>
        <v>No</v>
      </c>
      <c r="P85" s="5" t="str">
        <f>IFERROR(__xludf.DUMMYFUNCTION("""COMPUTED_VALUE"""),"Expanding Wild")</f>
        <v>Expanding Wild</v>
      </c>
      <c r="Q85" s="7" t="str">
        <f>IFERROR(__xludf.DUMMYFUNCTION("""COMPUTED_VALUE"""),"https://static.redstone.rs/games/clover-drop/")</f>
        <v>https://static.redstone.rs/games/clover-drop/</v>
      </c>
      <c r="R85" s="5" t="str">
        <f>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S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IFERROR(__xludf.DUMMYFUNCTION("""COMPUTED_VALUE"""),"Yes")</f>
        <v>Yes</v>
      </c>
      <c r="AA85" s="5" t="str">
        <f>IFERROR(__xludf.DUMMYFUNCTION("""COMPUTED_VALUE"""),"Yes")</f>
        <v>Yes</v>
      </c>
      <c r="AB85" s="5" t="str">
        <f>IFERROR(__xludf.DUMMYFUNCTION("""COMPUTED_VALUE"""),"Yes")</f>
        <v>Yes</v>
      </c>
      <c r="AC85" s="5" t="str">
        <f>IFERROR(__xludf.DUMMYFUNCTION("""COMPUTED_VALUE"""),"Yes")</f>
        <v>Yes</v>
      </c>
      <c r="AD85" s="5" t="str">
        <f>IFERROR(__xludf.DUMMYFUNCTION("""COMPUTED_VALUE"""),"Yes")</f>
        <v>Yes</v>
      </c>
      <c r="AE85" s="5" t="str">
        <f>IFERROR(__xludf.DUMMYFUNCTION("""COMPUTED_VALUE"""),"Yes")</f>
        <v>Yes</v>
      </c>
      <c r="AF85" s="5" t="str">
        <f>IFERROR(__xludf.DUMMYFUNCTION("""COMPUTED_VALUE"""),"Yes")</f>
        <v>Yes</v>
      </c>
      <c r="AG85" s="5" t="str">
        <f>IFERROR(__xludf.DUMMYFUNCTION("""COMPUTED_VALUE"""),"Yes")</f>
        <v>Yes</v>
      </c>
      <c r="AH85" s="5" t="str">
        <f>IFERROR(__xludf.DUMMYFUNCTION("""COMPUTED_VALUE"""),"Yes")</f>
        <v>Yes</v>
      </c>
      <c r="AI85" s="5" t="str">
        <f>IFERROR(__xludf.DUMMYFUNCTION("""COMPUTED_VALUE"""),"Yes")</f>
        <v>Yes</v>
      </c>
      <c r="AJ85" s="5" t="str">
        <f>IFERROR(__xludf.DUMMYFUNCTION("""COMPUTED_VALUE"""),"Yes")</f>
        <v>Yes</v>
      </c>
      <c r="AK85" s="5" t="str">
        <f>IFERROR(__xludf.DUMMYFUNCTION("""COMPUTED_VALUE"""),"Yes")</f>
        <v>Yes</v>
      </c>
      <c r="AL85" s="5" t="str">
        <f>IFERROR(__xludf.DUMMYFUNCTION("""COMPUTED_VALUE"""),"Yes")</f>
        <v>Yes</v>
      </c>
      <c r="AM85" s="5"/>
      <c r="AN85" s="5"/>
      <c r="AO85" s="5"/>
      <c r="AP85" s="5"/>
      <c r="AQ85" s="5" t="str">
        <f>IFERROR(__xludf.DUMMYFUNCTION("""COMPUTED_VALUE"""),"Yes")</f>
        <v>Yes</v>
      </c>
      <c r="AR85" s="5"/>
      <c r="AS85" s="5"/>
      <c r="AT85" s="5"/>
      <c r="AU85" s="5"/>
      <c r="AV85" s="5" t="str">
        <f>IFERROR(__xludf.DUMMYFUNCTION("""COMPUTED_VALUE"""),"")</f>
        <v/>
      </c>
      <c r="AW85" s="5" t="str">
        <f>IFERROR(__xludf.DUMMYFUNCTION("""COMPUTED_VALUE"""),"")</f>
        <v/>
      </c>
      <c r="AX85" s="5" t="str">
        <f>IFERROR(__xludf.DUMMYFUNCTION("""COMPUTED_VALUE"""),"")</f>
        <v/>
      </c>
      <c r="AY85" s="5" t="str">
        <f>IFERROR(__xludf.DUMMYFUNCTION("""COMPUTED_VALUE"""),"")</f>
        <v/>
      </c>
      <c r="AZ85" s="5" t="str">
        <f>IFERROR(__xludf.DUMMYFUNCTION("""COMPUTED_VALUE"""),"")</f>
        <v/>
      </c>
      <c r="BA85" s="5" t="str">
        <f>IFERROR(__xludf.DUMMYFUNCTION("""COMPUTED_VALUE"""),"")</f>
        <v/>
      </c>
      <c r="BB85" s="5" t="str">
        <f>IFERROR(__xludf.DUMMYFUNCTION("""COMPUTED_VALUE"""),"")</f>
        <v/>
      </c>
    </row>
    <row r="86">
      <c r="A86" s="5" t="str">
        <f>IFERROR(__xludf.DUMMYFUNCTION("""COMPUTED_VALUE"""),"Redstone")</f>
        <v>Redstone</v>
      </c>
      <c r="B86" s="5" t="str">
        <f>IFERROR(__xludf.DUMMYFUNCTION("""COMPUTED_VALUE"""),"Multi Crown 10")</f>
        <v>Multi Crown 10</v>
      </c>
      <c r="C86" s="5" t="str">
        <f>IFERROR(__xludf.DUMMYFUNCTION("""COMPUTED_VALUE"""),"RedstoneMultiCrown10")</f>
        <v>RedstoneMultiCrown10</v>
      </c>
      <c r="D86" s="6">
        <f>IFERROR(__xludf.DUMMYFUNCTION("""COMPUTED_VALUE"""),45804.0)</f>
        <v>45804</v>
      </c>
      <c r="E86" s="5" t="str">
        <f>IFERROR(__xludf.DUMMYFUNCTION("""COMPUTED_VALUE"""),"Slot")</f>
        <v>Slot</v>
      </c>
      <c r="F86" s="5">
        <f>IFERROR(__xludf.DUMMYFUNCTION("""COMPUTED_VALUE"""),9.0)</f>
        <v>9</v>
      </c>
      <c r="G86" s="5" t="str">
        <f>IFERROR(__xludf.DUMMYFUNCTION("""COMPUTED_VALUE"""),"5x3")</f>
        <v>5x3</v>
      </c>
      <c r="H86" s="5">
        <f>IFERROR(__xludf.DUMMYFUNCTION("""COMPUTED_VALUE"""),10.0)</f>
        <v>10</v>
      </c>
      <c r="I86" s="5">
        <f>IFERROR(__xludf.DUMMYFUNCTION("""COMPUTED_VALUE"""),10.0)</f>
        <v>10</v>
      </c>
      <c r="J86" s="5" t="str">
        <f>IFERROR(__xludf.DUMMYFUNCTION("""COMPUTED_VALUE"""),"96.01%")</f>
        <v>96.01%</v>
      </c>
      <c r="K86" s="5" t="str">
        <f>IFERROR(__xludf.DUMMYFUNCTION("""COMPUTED_VALUE"""),"Medium")</f>
        <v>Medium</v>
      </c>
      <c r="L86" s="5" t="str">
        <f>IFERROR(__xludf.DUMMYFUNCTION("""COMPUTED_VALUE"""),"13.61%")</f>
        <v>13.61%</v>
      </c>
      <c r="M86" s="5" t="str">
        <f>IFERROR(__xludf.DUMMYFUNCTION("""COMPUTED_VALUE"""),"x1615")</f>
        <v>x1615</v>
      </c>
      <c r="N86" s="5" t="str">
        <f>IFERROR(__xludf.DUMMYFUNCTION("""COMPUTED_VALUE"""),"0.10/50")</f>
        <v>0.10/50</v>
      </c>
      <c r="O86" s="5" t="str">
        <f>IFERROR(__xludf.DUMMYFUNCTION("""COMPUTED_VALUE"""),"No")</f>
        <v>No</v>
      </c>
      <c r="P86" s="5" t="str">
        <f>IFERROR(__xludf.DUMMYFUNCTION("""COMPUTED_VALUE"""),"Expanding Wild, Win Multiplier")</f>
        <v>Expanding Wild, Win Multiplier</v>
      </c>
      <c r="Q86" s="7" t="str">
        <f>IFERROR(__xludf.DUMMYFUNCTION("""COMPUTED_VALUE"""),"https://static.redstone.rs/games/multi-crown-10/")</f>
        <v>https://static.redstone.rs/games/multi-crown-10/</v>
      </c>
      <c r="R86" s="5" t="str">
        <f>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S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IFERROR(__xludf.DUMMYFUNCTION("""COMPUTED_VALUE"""),"Yes")</f>
        <v>Yes</v>
      </c>
      <c r="AA86" s="5" t="str">
        <f>IFERROR(__xludf.DUMMYFUNCTION("""COMPUTED_VALUE"""),"Yes")</f>
        <v>Yes</v>
      </c>
      <c r="AB86" s="5" t="str">
        <f>IFERROR(__xludf.DUMMYFUNCTION("""COMPUTED_VALUE"""),"Yes")</f>
        <v>Yes</v>
      </c>
      <c r="AC86" s="5" t="str">
        <f>IFERROR(__xludf.DUMMYFUNCTION("""COMPUTED_VALUE"""),"Yes")</f>
        <v>Yes</v>
      </c>
      <c r="AD86" s="5" t="str">
        <f>IFERROR(__xludf.DUMMYFUNCTION("""COMPUTED_VALUE"""),"Yes")</f>
        <v>Yes</v>
      </c>
      <c r="AE86" s="5" t="str">
        <f>IFERROR(__xludf.DUMMYFUNCTION("""COMPUTED_VALUE"""),"Yes")</f>
        <v>Yes</v>
      </c>
      <c r="AF86" s="5" t="str">
        <f>IFERROR(__xludf.DUMMYFUNCTION("""COMPUTED_VALUE"""),"Yes")</f>
        <v>Yes</v>
      </c>
      <c r="AG86" s="5" t="str">
        <f>IFERROR(__xludf.DUMMYFUNCTION("""COMPUTED_VALUE"""),"Yes")</f>
        <v>Yes</v>
      </c>
      <c r="AH86" s="5" t="str">
        <f>IFERROR(__xludf.DUMMYFUNCTION("""COMPUTED_VALUE"""),"Yes")</f>
        <v>Yes</v>
      </c>
      <c r="AI86" s="5" t="str">
        <f>IFERROR(__xludf.DUMMYFUNCTION("""COMPUTED_VALUE"""),"Yes")</f>
        <v>Yes</v>
      </c>
      <c r="AJ86" s="5" t="str">
        <f>IFERROR(__xludf.DUMMYFUNCTION("""COMPUTED_VALUE"""),"Yes")</f>
        <v>Yes</v>
      </c>
      <c r="AK86" s="5" t="str">
        <f>IFERROR(__xludf.DUMMYFUNCTION("""COMPUTED_VALUE"""),"Yes")</f>
        <v>Yes</v>
      </c>
      <c r="AL86" s="5" t="str">
        <f>IFERROR(__xludf.DUMMYFUNCTION("""COMPUTED_VALUE"""),"Yes")</f>
        <v>Yes</v>
      </c>
      <c r="AM86" s="5"/>
      <c r="AN86" s="5" t="str">
        <f>IFERROR(__xludf.DUMMYFUNCTION("""COMPUTED_VALUE"""),"Yes")</f>
        <v>Yes</v>
      </c>
      <c r="AO86" s="5"/>
      <c r="AP86" s="5"/>
      <c r="AQ86" s="5" t="str">
        <f>IFERROR(__xludf.DUMMYFUNCTION("""COMPUTED_VALUE"""),"Yes")</f>
        <v>Yes</v>
      </c>
      <c r="AR86" s="5"/>
      <c r="AS86" s="5"/>
      <c r="AT86" s="5"/>
      <c r="AU86" s="5"/>
      <c r="AV86" s="5" t="str">
        <f>IFERROR(__xludf.DUMMYFUNCTION("""COMPUTED_VALUE"""),"")</f>
        <v/>
      </c>
      <c r="AW86" s="5" t="str">
        <f>IFERROR(__xludf.DUMMYFUNCTION("""COMPUTED_VALUE"""),"")</f>
        <v/>
      </c>
      <c r="AX86" s="5" t="str">
        <f>IFERROR(__xludf.DUMMYFUNCTION("""COMPUTED_VALUE"""),"")</f>
        <v/>
      </c>
      <c r="AY86" s="5" t="str">
        <f>IFERROR(__xludf.DUMMYFUNCTION("""COMPUTED_VALUE"""),"")</f>
        <v/>
      </c>
      <c r="AZ86" s="5" t="str">
        <f>IFERROR(__xludf.DUMMYFUNCTION("""COMPUTED_VALUE"""),"")</f>
        <v/>
      </c>
      <c r="BA86" s="5" t="str">
        <f>IFERROR(__xludf.DUMMYFUNCTION("""COMPUTED_VALUE"""),"")</f>
        <v/>
      </c>
      <c r="BB86" s="5" t="str">
        <f>IFERROR(__xludf.DUMMYFUNCTION("""COMPUTED_VALUE"""),"")</f>
        <v/>
      </c>
    </row>
    <row r="87">
      <c r="A87" s="5" t="str">
        <f>IFERROR(__xludf.DUMMYFUNCTION("""COMPUTED_VALUE"""),"Redstone")</f>
        <v>Redstone</v>
      </c>
      <c r="B87" s="5" t="str">
        <f>IFERROR(__xludf.DUMMYFUNCTION("""COMPUTED_VALUE"""),"777: Expand")</f>
        <v>777: Expand</v>
      </c>
      <c r="C87" s="5" t="str">
        <f>IFERROR(__xludf.DUMMYFUNCTION("""COMPUTED_VALUE"""),"Redstone777Expand")</f>
        <v>Redstone777Expand</v>
      </c>
      <c r="D87" s="6">
        <f>IFERROR(__xludf.DUMMYFUNCTION("""COMPUTED_VALUE"""),45818.0)</f>
        <v>45818</v>
      </c>
      <c r="E87" s="5" t="str">
        <f>IFERROR(__xludf.DUMMYFUNCTION("""COMPUTED_VALUE"""),"Slot")</f>
        <v>Slot</v>
      </c>
      <c r="F87" s="5">
        <f>IFERROR(__xludf.DUMMYFUNCTION("""COMPUTED_VALUE"""),6.5)</f>
        <v>6.5</v>
      </c>
      <c r="G87" s="5" t="str">
        <f>IFERROR(__xludf.DUMMYFUNCTION("""COMPUTED_VALUE"""),"5x3")</f>
        <v>5x3</v>
      </c>
      <c r="H87" s="5">
        <f>IFERROR(__xludf.DUMMYFUNCTION("""COMPUTED_VALUE"""),10.0)</f>
        <v>10</v>
      </c>
      <c r="I87" s="5">
        <f>IFERROR(__xludf.DUMMYFUNCTION("""COMPUTED_VALUE"""),10.0)</f>
        <v>10</v>
      </c>
      <c r="J87" s="5" t="str">
        <f>IFERROR(__xludf.DUMMYFUNCTION("""COMPUTED_VALUE"""),"96.03%")</f>
        <v>96.03%</v>
      </c>
      <c r="K87" s="5" t="str">
        <f>IFERROR(__xludf.DUMMYFUNCTION("""COMPUTED_VALUE"""),"Medium")</f>
        <v>Medium</v>
      </c>
      <c r="L87" s="5" t="str">
        <f>IFERROR(__xludf.DUMMYFUNCTION("""COMPUTED_VALUE"""),"18.71%")</f>
        <v>18.71%</v>
      </c>
      <c r="M87" s="5" t="str">
        <f>IFERROR(__xludf.DUMMYFUNCTION("""COMPUTED_VALUE"""),"x3000")</f>
        <v>x3000</v>
      </c>
      <c r="N87" s="5" t="str">
        <f>IFERROR(__xludf.DUMMYFUNCTION("""COMPUTED_VALUE"""),"0.1/100")</f>
        <v>0.1/100</v>
      </c>
      <c r="O87" s="5" t="str">
        <f>IFERROR(__xludf.DUMMYFUNCTION("""COMPUTED_VALUE"""),"No")</f>
        <v>No</v>
      </c>
      <c r="P87" s="5" t="str">
        <f>IFERROR(__xludf.DUMMYFUNCTION("""COMPUTED_VALUE"""),"Expanding Wild, Scatter")</f>
        <v>Expanding Wild, Scatter</v>
      </c>
      <c r="Q87" s="7" t="str">
        <f>IFERROR(__xludf.DUMMYFUNCTION("""COMPUTED_VALUE"""),"https://static.redstone.rs/games/777-expand/")</f>
        <v>https://static.redstone.rs/games/777-expand/</v>
      </c>
      <c r="R87" s="5" t="str">
        <f>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S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87" s="5" t="str">
        <f>IFERROR(__xludf.DUMMYFUNCTION("""COMPUTED_VALUE"""),"Yes")</f>
        <v>Yes</v>
      </c>
      <c r="U87" s="5" t="str">
        <f>IFERROR(__xludf.DUMMYFUNCTION("""COMPUTED_VALUE"""),"Yes")</f>
        <v>Yes</v>
      </c>
      <c r="V87" s="5" t="str">
        <f>IFERROR(__xludf.DUMMYFUNCTION("""COMPUTED_VALUE"""),"Yes")</f>
        <v>Yes</v>
      </c>
      <c r="W87" s="5" t="str">
        <f>IFERROR(__xludf.DUMMYFUNCTION("""COMPUTED_VALUE"""),"Yes")</f>
        <v>Yes</v>
      </c>
      <c r="X87" s="5" t="str">
        <f>IFERROR(__xludf.DUMMYFUNCTION("""COMPUTED_VALUE"""),"Yes")</f>
        <v>Yes</v>
      </c>
      <c r="Y87" s="5" t="str">
        <f>IFERROR(__xludf.DUMMYFUNCTION("""COMPUTED_VALUE"""),"Yes")</f>
        <v>Yes</v>
      </c>
      <c r="Z87" s="5" t="str">
        <f>IFERROR(__xludf.DUMMYFUNCTION("""COMPUTED_VALUE"""),"Yes")</f>
        <v>Yes</v>
      </c>
      <c r="AA87" s="5" t="str">
        <f>IFERROR(__xludf.DUMMYFUNCTION("""COMPUTED_VALUE"""),"Yes")</f>
        <v>Yes</v>
      </c>
      <c r="AB87" s="5" t="str">
        <f>IFERROR(__xludf.DUMMYFUNCTION("""COMPUTED_VALUE"""),"Yes")</f>
        <v>Yes</v>
      </c>
      <c r="AC87" s="5" t="str">
        <f>IFERROR(__xludf.DUMMYFUNCTION("""COMPUTED_VALUE"""),"Yes")</f>
        <v>Yes</v>
      </c>
      <c r="AD87" s="5" t="str">
        <f>IFERROR(__xludf.DUMMYFUNCTION("""COMPUTED_VALUE"""),"Yes")</f>
        <v>Yes</v>
      </c>
      <c r="AE87" s="5" t="str">
        <f>IFERROR(__xludf.DUMMYFUNCTION("""COMPUTED_VALUE"""),"Yes")</f>
        <v>Yes</v>
      </c>
      <c r="AF87" s="5" t="str">
        <f>IFERROR(__xludf.DUMMYFUNCTION("""COMPUTED_VALUE"""),"Yes")</f>
        <v>Yes</v>
      </c>
      <c r="AG87" s="5" t="str">
        <f>IFERROR(__xludf.DUMMYFUNCTION("""COMPUTED_VALUE"""),"Yes")</f>
        <v>Yes</v>
      </c>
      <c r="AH87" s="5" t="str">
        <f>IFERROR(__xludf.DUMMYFUNCTION("""COMPUTED_VALUE"""),"Yes")</f>
        <v>Yes</v>
      </c>
      <c r="AI87" s="5" t="str">
        <f>IFERROR(__xludf.DUMMYFUNCTION("""COMPUTED_VALUE"""),"Yes")</f>
        <v>Yes</v>
      </c>
      <c r="AJ87" s="5" t="str">
        <f>IFERROR(__xludf.DUMMYFUNCTION("""COMPUTED_VALUE"""),"Yes")</f>
        <v>Yes</v>
      </c>
      <c r="AK87" s="5" t="str">
        <f>IFERROR(__xludf.DUMMYFUNCTION("""COMPUTED_VALUE"""),"Yes")</f>
        <v>Yes</v>
      </c>
      <c r="AL87" s="5" t="str">
        <f>IFERROR(__xludf.DUMMYFUNCTION("""COMPUTED_VALUE"""),"Yes")</f>
        <v>Yes</v>
      </c>
      <c r="AM87" s="5" t="str">
        <f>IFERROR(__xludf.DUMMYFUNCTION("""COMPUTED_VALUE"""),"Yes")</f>
        <v>Yes</v>
      </c>
      <c r="AN87" s="5" t="str">
        <f>IFERROR(__xludf.DUMMYFUNCTION("""COMPUTED_VALUE"""),"Yes")</f>
        <v>Yes</v>
      </c>
      <c r="AO87" s="5" t="str">
        <f>IFERROR(__xludf.DUMMYFUNCTION("""COMPUTED_VALUE"""),"Yes")</f>
        <v>Yes</v>
      </c>
      <c r="AP87" s="5" t="str">
        <f>IFERROR(__xludf.DUMMYFUNCTION("""COMPUTED_VALUE"""),"Yes")</f>
        <v>Yes</v>
      </c>
      <c r="AQ87" s="5" t="str">
        <f>IFERROR(__xludf.DUMMYFUNCTION("""COMPUTED_VALUE"""),"Yes")</f>
        <v>Yes</v>
      </c>
      <c r="AR87" s="5" t="str">
        <f>IFERROR(__xludf.DUMMYFUNCTION("""COMPUTED_VALUE"""),"Yes")</f>
        <v>Yes</v>
      </c>
      <c r="AS87" s="5" t="str">
        <f>IFERROR(__xludf.DUMMYFUNCTION("""COMPUTED_VALUE"""),"Yes")</f>
        <v>Yes</v>
      </c>
      <c r="AT87" s="5" t="str">
        <f>IFERROR(__xludf.DUMMYFUNCTION("""COMPUTED_VALUE"""),"Yes")</f>
        <v>Yes</v>
      </c>
      <c r="AU87" s="5"/>
      <c r="AV87" s="5" t="str">
        <f>IFERROR(__xludf.DUMMYFUNCTION("""COMPUTED_VALUE"""),"")</f>
        <v/>
      </c>
      <c r="AW87" s="5" t="str">
        <f>IFERROR(__xludf.DUMMYFUNCTION("""COMPUTED_VALUE"""),"")</f>
        <v/>
      </c>
      <c r="AX87" s="5" t="str">
        <f>IFERROR(__xludf.DUMMYFUNCTION("""COMPUTED_VALUE"""),"")</f>
        <v/>
      </c>
      <c r="AY87" s="5" t="str">
        <f>IFERROR(__xludf.DUMMYFUNCTION("""COMPUTED_VALUE"""),"")</f>
        <v/>
      </c>
      <c r="AZ87" s="5" t="str">
        <f>IFERROR(__xludf.DUMMYFUNCTION("""COMPUTED_VALUE"""),"")</f>
        <v/>
      </c>
      <c r="BA87" s="5" t="str">
        <f>IFERROR(__xludf.DUMMYFUNCTION("""COMPUTED_VALUE"""),"")</f>
        <v/>
      </c>
      <c r="BB87" s="5" t="str">
        <f>IFERROR(__xludf.DUMMYFUNCTION("""COMPUTED_VALUE"""),"")</f>
        <v/>
      </c>
    </row>
    <row r="88">
      <c r="A88" s="5" t="str">
        <f>IFERROR(__xludf.DUMMYFUNCTION("""COMPUTED_VALUE"""),"Redstone")</f>
        <v>Redstone</v>
      </c>
      <c r="B88" s="5" t="str">
        <f>IFERROR(__xludf.DUMMYFUNCTION("""COMPUTED_VALUE"""),"Double Wild Crown")</f>
        <v>Double Wild Crown</v>
      </c>
      <c r="C88" s="5" t="str">
        <f>IFERROR(__xludf.DUMMYFUNCTION("""COMPUTED_VALUE"""),"RedstoneDoubleWildCrown")</f>
        <v>RedstoneDoubleWildCrown</v>
      </c>
      <c r="D88" s="6">
        <f>IFERROR(__xludf.DUMMYFUNCTION("""COMPUTED_VALUE"""),45812.0)</f>
        <v>45812</v>
      </c>
      <c r="E88" s="5" t="str">
        <f>IFERROR(__xludf.DUMMYFUNCTION("""COMPUTED_VALUE"""),"Slot")</f>
        <v>Slot</v>
      </c>
      <c r="F88" s="5">
        <f>IFERROR(__xludf.DUMMYFUNCTION("""COMPUTED_VALUE"""),6.2)</f>
        <v>6.2</v>
      </c>
      <c r="G88" s="5" t="str">
        <f>IFERROR(__xludf.DUMMYFUNCTION("""COMPUTED_VALUE"""),"5x3")</f>
        <v>5x3</v>
      </c>
      <c r="H88" s="5">
        <f>IFERROR(__xludf.DUMMYFUNCTION("""COMPUTED_VALUE"""),5.0)</f>
        <v>5</v>
      </c>
      <c r="I88" s="5">
        <f>IFERROR(__xludf.DUMMYFUNCTION("""COMPUTED_VALUE"""),5.0)</f>
        <v>5</v>
      </c>
      <c r="J88" s="5" t="str">
        <f>IFERROR(__xludf.DUMMYFUNCTION("""COMPUTED_VALUE"""),"96.45%")</f>
        <v>96.45%</v>
      </c>
      <c r="K88" s="5" t="str">
        <f>IFERROR(__xludf.DUMMYFUNCTION("""COMPUTED_VALUE"""),"Medium")</f>
        <v>Medium</v>
      </c>
      <c r="L88" s="5" t="str">
        <f>IFERROR(__xludf.DUMMYFUNCTION("""COMPUTED_VALUE"""),"14.23%")</f>
        <v>14.23%</v>
      </c>
      <c r="M88" s="5" t="str">
        <f>IFERROR(__xludf.DUMMYFUNCTION("""COMPUTED_VALUE"""),"x2600")</f>
        <v>x2600</v>
      </c>
      <c r="N88" s="5" t="str">
        <f>IFERROR(__xludf.DUMMYFUNCTION("""COMPUTED_VALUE"""),"0.05/100")</f>
        <v>0.05/100</v>
      </c>
      <c r="O88" s="5" t="str">
        <f>IFERROR(__xludf.DUMMYFUNCTION("""COMPUTED_VALUE"""),"No")</f>
        <v>No</v>
      </c>
      <c r="P88" s="5" t="str">
        <f>IFERROR(__xludf.DUMMYFUNCTION("""COMPUTED_VALUE"""),"Expanding Wild, Scatter")</f>
        <v>Expanding Wild, Scatter</v>
      </c>
      <c r="Q88" s="7" t="str">
        <f>IFERROR(__xludf.DUMMYFUNCTION("""COMPUTED_VALUE"""),"https://static.redstone.rs/games/double-wild-crown/")</f>
        <v>https://static.redstone.rs/games/double-wild-crown/</v>
      </c>
      <c r="R88"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8" s="5" t="str">
        <f>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T88" s="5" t="str">
        <f>IFERROR(__xludf.DUMMYFUNCTION("""COMPUTED_VALUE"""),"Yes")</f>
        <v>Yes</v>
      </c>
      <c r="U88" s="5" t="str">
        <f>IFERROR(__xludf.DUMMYFUNCTION("""COMPUTED_VALUE"""),"Yes")</f>
        <v>Yes</v>
      </c>
      <c r="V88" s="5" t="str">
        <f>IFERROR(__xludf.DUMMYFUNCTION("""COMPUTED_VALUE"""),"No")</f>
        <v>No</v>
      </c>
      <c r="W88" s="5" t="str">
        <f>IFERROR(__xludf.DUMMYFUNCTION("""COMPUTED_VALUE"""),"Yes")</f>
        <v>Yes</v>
      </c>
      <c r="X88" s="5" t="str">
        <f>IFERROR(__xludf.DUMMYFUNCTION("""COMPUTED_VALUE"""),"Yes")</f>
        <v>Yes</v>
      </c>
      <c r="Y88" s="5" t="str">
        <f>IFERROR(__xludf.DUMMYFUNCTION("""COMPUTED_VALUE"""),"Yes")</f>
        <v>Yes</v>
      </c>
      <c r="Z88" s="5" t="str">
        <f>IFERROR(__xludf.DUMMYFUNCTION("""COMPUTED_VALUE"""),"Yes")</f>
        <v>Yes</v>
      </c>
      <c r="AA88" s="5" t="str">
        <f>IFERROR(__xludf.DUMMYFUNCTION("""COMPUTED_VALUE"""),"Yes")</f>
        <v>Yes</v>
      </c>
      <c r="AB88" s="5" t="str">
        <f>IFERROR(__xludf.DUMMYFUNCTION("""COMPUTED_VALUE"""),"Yes")</f>
        <v>Yes</v>
      </c>
      <c r="AC88" s="5" t="str">
        <f>IFERROR(__xludf.DUMMYFUNCTION("""COMPUTED_VALUE"""),"Yes")</f>
        <v>Yes</v>
      </c>
      <c r="AD88" s="5" t="str">
        <f>IFERROR(__xludf.DUMMYFUNCTION("""COMPUTED_VALUE"""),"Yes")</f>
        <v>Yes</v>
      </c>
      <c r="AE88" s="5" t="str">
        <f>IFERROR(__xludf.DUMMYFUNCTION("""COMPUTED_VALUE"""),"Yes")</f>
        <v>Yes</v>
      </c>
      <c r="AF88" s="5" t="str">
        <f>IFERROR(__xludf.DUMMYFUNCTION("""COMPUTED_VALUE"""),"Yes")</f>
        <v>Yes</v>
      </c>
      <c r="AG88" s="5" t="str">
        <f>IFERROR(__xludf.DUMMYFUNCTION("""COMPUTED_VALUE"""),"Yes")</f>
        <v>Yes</v>
      </c>
      <c r="AH88" s="5" t="str">
        <f>IFERROR(__xludf.DUMMYFUNCTION("""COMPUTED_VALUE"""),"Yes")</f>
        <v>Yes</v>
      </c>
      <c r="AI88" s="5" t="str">
        <f>IFERROR(__xludf.DUMMYFUNCTION("""COMPUTED_VALUE"""),"Yes")</f>
        <v>Yes</v>
      </c>
      <c r="AJ88" s="5" t="str">
        <f>IFERROR(__xludf.DUMMYFUNCTION("""COMPUTED_VALUE"""),"Yes")</f>
        <v>Yes</v>
      </c>
      <c r="AK88" s="5" t="str">
        <f>IFERROR(__xludf.DUMMYFUNCTION("""COMPUTED_VALUE"""),"No")</f>
        <v>No</v>
      </c>
      <c r="AL88" s="5" t="str">
        <f>IFERROR(__xludf.DUMMYFUNCTION("""COMPUTED_VALUE"""),"No")</f>
        <v>No</v>
      </c>
      <c r="AM88" s="5" t="str">
        <f>IFERROR(__xludf.DUMMYFUNCTION("""COMPUTED_VALUE"""),"No")</f>
        <v>No</v>
      </c>
      <c r="AN88" s="5" t="str">
        <f>IFERROR(__xludf.DUMMYFUNCTION("""COMPUTED_VALUE"""),"No")</f>
        <v>No</v>
      </c>
      <c r="AO88" s="5" t="str">
        <f>IFERROR(__xludf.DUMMYFUNCTION("""COMPUTED_VALUE"""),"Yes")</f>
        <v>Yes</v>
      </c>
      <c r="AP88" s="5" t="str">
        <f>IFERROR(__xludf.DUMMYFUNCTION("""COMPUTED_VALUE"""),"No")</f>
        <v>No</v>
      </c>
      <c r="AQ88" s="5" t="str">
        <f>IFERROR(__xludf.DUMMYFUNCTION("""COMPUTED_VALUE"""),"No")</f>
        <v>No</v>
      </c>
      <c r="AR88" s="5" t="str">
        <f>IFERROR(__xludf.DUMMYFUNCTION("""COMPUTED_VALUE"""),"No")</f>
        <v>No</v>
      </c>
      <c r="AS88" s="5" t="str">
        <f>IFERROR(__xludf.DUMMYFUNCTION("""COMPUTED_VALUE"""),"Yes")</f>
        <v>Yes</v>
      </c>
      <c r="AT88" s="5" t="str">
        <f>IFERROR(__xludf.DUMMYFUNCTION("""COMPUTED_VALUE"""),"No")</f>
        <v>No</v>
      </c>
      <c r="AU88" s="5"/>
      <c r="AV88" s="5" t="str">
        <f>IFERROR(__xludf.DUMMYFUNCTION("""COMPUTED_VALUE"""),"")</f>
        <v/>
      </c>
      <c r="AW88" s="5" t="str">
        <f>IFERROR(__xludf.DUMMYFUNCTION("""COMPUTED_VALUE"""),"")</f>
        <v/>
      </c>
      <c r="AX88" s="5" t="str">
        <f>IFERROR(__xludf.DUMMYFUNCTION("""COMPUTED_VALUE"""),"")</f>
        <v/>
      </c>
      <c r="AY88" s="5" t="str">
        <f>IFERROR(__xludf.DUMMYFUNCTION("""COMPUTED_VALUE"""),"")</f>
        <v/>
      </c>
      <c r="AZ88" s="5" t="str">
        <f>IFERROR(__xludf.DUMMYFUNCTION("""COMPUTED_VALUE"""),"")</f>
        <v/>
      </c>
      <c r="BA88" s="5" t="str">
        <f>IFERROR(__xludf.DUMMYFUNCTION("""COMPUTED_VALUE"""),"")</f>
        <v/>
      </c>
      <c r="BB88" s="5" t="str">
        <f>IFERROR(__xludf.DUMMYFUNCTION("""COMPUTED_VALUE"""),"")</f>
        <v/>
      </c>
    </row>
    <row r="89">
      <c r="A89" s="5" t="str">
        <f>IFERROR(__xludf.DUMMYFUNCTION("""COMPUTED_VALUE"""),"Redstone")</f>
        <v>Redstone</v>
      </c>
      <c r="B89" s="5" t="str">
        <f>IFERROR(__xludf.DUMMYFUNCTION("""COMPUTED_VALUE"""),"Double Wild Heart")</f>
        <v>Double Wild Heart</v>
      </c>
      <c r="C89" s="5" t="str">
        <f>IFERROR(__xludf.DUMMYFUNCTION("""COMPUTED_VALUE"""),"RedstoneDoubleWildHeart")</f>
        <v>RedstoneDoubleWildHeart</v>
      </c>
      <c r="D89" s="6">
        <f>IFERROR(__xludf.DUMMYFUNCTION("""COMPUTED_VALUE"""),45903.0)</f>
        <v>45903</v>
      </c>
      <c r="E89" s="5" t="str">
        <f>IFERROR(__xludf.DUMMYFUNCTION("""COMPUTED_VALUE"""),"Slot")</f>
        <v>Slot</v>
      </c>
      <c r="F89" s="5">
        <f>IFERROR(__xludf.DUMMYFUNCTION("""COMPUTED_VALUE"""),6.2)</f>
        <v>6.2</v>
      </c>
      <c r="G89" s="5" t="str">
        <f>IFERROR(__xludf.DUMMYFUNCTION("""COMPUTED_VALUE"""),"5x3")</f>
        <v>5x3</v>
      </c>
      <c r="H89" s="5">
        <f>IFERROR(__xludf.DUMMYFUNCTION("""COMPUTED_VALUE"""),5.0)</f>
        <v>5</v>
      </c>
      <c r="I89" s="5">
        <f>IFERROR(__xludf.DUMMYFUNCTION("""COMPUTED_VALUE"""),5.0)</f>
        <v>5</v>
      </c>
      <c r="J89" s="5" t="str">
        <f>IFERROR(__xludf.DUMMYFUNCTION("""COMPUTED_VALUE"""),"96.45%")</f>
        <v>96.45%</v>
      </c>
      <c r="K89" s="5" t="str">
        <f>IFERROR(__xludf.DUMMYFUNCTION("""COMPUTED_VALUE"""),"Medium")</f>
        <v>Medium</v>
      </c>
      <c r="L89" s="5" t="str">
        <f>IFERROR(__xludf.DUMMYFUNCTION("""COMPUTED_VALUE"""),"14.23%")</f>
        <v>14.23%</v>
      </c>
      <c r="M89" s="5" t="str">
        <f>IFERROR(__xludf.DUMMYFUNCTION("""COMPUTED_VALUE"""),"x2600")</f>
        <v>x2600</v>
      </c>
      <c r="N89" s="5" t="str">
        <f>IFERROR(__xludf.DUMMYFUNCTION("""COMPUTED_VALUE"""),"0.05/100")</f>
        <v>0.05/100</v>
      </c>
      <c r="O89" s="5" t="str">
        <f>IFERROR(__xludf.DUMMYFUNCTION("""COMPUTED_VALUE"""),"No")</f>
        <v>No</v>
      </c>
      <c r="P89" s="5" t="str">
        <f>IFERROR(__xludf.DUMMYFUNCTION("""COMPUTED_VALUE"""),"Expanding Wild, Scatter")</f>
        <v>Expanding Wild, Scatter</v>
      </c>
      <c r="Q89" s="7" t="str">
        <f>IFERROR(__xludf.DUMMYFUNCTION("""COMPUTED_VALUE"""),"https://static.redstone.rs/games/double-wild-crown/")</f>
        <v>https://static.redstone.rs/games/double-wild-crown/</v>
      </c>
      <c r="R89" s="5" t="str">
        <f>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9" s="5" t="str">
        <f>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T89" s="5" t="str">
        <f>IFERROR(__xludf.DUMMYFUNCTION("""COMPUTED_VALUE"""),"Yes")</f>
        <v>Yes</v>
      </c>
      <c r="U89" s="5" t="str">
        <f>IFERROR(__xludf.DUMMYFUNCTION("""COMPUTED_VALUE"""),"Yes")</f>
        <v>Yes</v>
      </c>
      <c r="V89" s="5" t="str">
        <f>IFERROR(__xludf.DUMMYFUNCTION("""COMPUTED_VALUE"""),"No")</f>
        <v>No</v>
      </c>
      <c r="W89" s="5" t="str">
        <f>IFERROR(__xludf.DUMMYFUNCTION("""COMPUTED_VALUE"""),"Yes")</f>
        <v>Yes</v>
      </c>
      <c r="X89" s="5" t="str">
        <f>IFERROR(__xludf.DUMMYFUNCTION("""COMPUTED_VALUE"""),"Yes")</f>
        <v>Yes</v>
      </c>
      <c r="Y89" s="5" t="str">
        <f>IFERROR(__xludf.DUMMYFUNCTION("""COMPUTED_VALUE"""),"Yes")</f>
        <v>Yes</v>
      </c>
      <c r="Z89" s="5" t="str">
        <f>IFERROR(__xludf.DUMMYFUNCTION("""COMPUTED_VALUE"""),"Yes")</f>
        <v>Yes</v>
      </c>
      <c r="AA89" s="5" t="str">
        <f>IFERROR(__xludf.DUMMYFUNCTION("""COMPUTED_VALUE"""),"Yes")</f>
        <v>Yes</v>
      </c>
      <c r="AB89" s="5" t="str">
        <f>IFERROR(__xludf.DUMMYFUNCTION("""COMPUTED_VALUE"""),"Yes")</f>
        <v>Yes</v>
      </c>
      <c r="AC89" s="5" t="str">
        <f>IFERROR(__xludf.DUMMYFUNCTION("""COMPUTED_VALUE"""),"Yes")</f>
        <v>Yes</v>
      </c>
      <c r="AD89" s="5" t="str">
        <f>IFERROR(__xludf.DUMMYFUNCTION("""COMPUTED_VALUE"""),"Yes")</f>
        <v>Yes</v>
      </c>
      <c r="AE89" s="5" t="str">
        <f>IFERROR(__xludf.DUMMYFUNCTION("""COMPUTED_VALUE"""),"Yes")</f>
        <v>Yes</v>
      </c>
      <c r="AF89" s="5" t="str">
        <f>IFERROR(__xludf.DUMMYFUNCTION("""COMPUTED_VALUE"""),"Yes")</f>
        <v>Yes</v>
      </c>
      <c r="AG89" s="5" t="str">
        <f>IFERROR(__xludf.DUMMYFUNCTION("""COMPUTED_VALUE"""),"Yes")</f>
        <v>Yes</v>
      </c>
      <c r="AH89" s="5" t="str">
        <f>IFERROR(__xludf.DUMMYFUNCTION("""COMPUTED_VALUE"""),"Yes")</f>
        <v>Yes</v>
      </c>
      <c r="AI89" s="5" t="str">
        <f>IFERROR(__xludf.DUMMYFUNCTION("""COMPUTED_VALUE"""),"No")</f>
        <v>No</v>
      </c>
      <c r="AJ89" s="5" t="str">
        <f>IFERROR(__xludf.DUMMYFUNCTION("""COMPUTED_VALUE"""),"No")</f>
        <v>No</v>
      </c>
      <c r="AK89" s="5" t="str">
        <f>IFERROR(__xludf.DUMMYFUNCTION("""COMPUTED_VALUE"""),"No")</f>
        <v>No</v>
      </c>
      <c r="AL89" s="5" t="str">
        <f>IFERROR(__xludf.DUMMYFUNCTION("""COMPUTED_VALUE"""),"No")</f>
        <v>No</v>
      </c>
      <c r="AM89" s="5" t="str">
        <f>IFERROR(__xludf.DUMMYFUNCTION("""COMPUTED_VALUE"""),"No")</f>
        <v>No</v>
      </c>
      <c r="AN89" s="5" t="str">
        <f>IFERROR(__xludf.DUMMYFUNCTION("""COMPUTED_VALUE"""),"Yes")</f>
        <v>Yes</v>
      </c>
      <c r="AO89" s="5" t="str">
        <f>IFERROR(__xludf.DUMMYFUNCTION("""COMPUTED_VALUE"""),"Yes")</f>
        <v>Yes</v>
      </c>
      <c r="AP89" s="5" t="str">
        <f>IFERROR(__xludf.DUMMYFUNCTION("""COMPUTED_VALUE"""),"No")</f>
        <v>No</v>
      </c>
      <c r="AQ89" s="5" t="str">
        <f>IFERROR(__xludf.DUMMYFUNCTION("""COMPUTED_VALUE"""),"No")</f>
        <v>No</v>
      </c>
      <c r="AR89" s="5" t="str">
        <f>IFERROR(__xludf.DUMMYFUNCTION("""COMPUTED_VALUE"""),"No")</f>
        <v>No</v>
      </c>
      <c r="AS89" s="5" t="str">
        <f>IFERROR(__xludf.DUMMYFUNCTION("""COMPUTED_VALUE"""),"Yes")</f>
        <v>Yes</v>
      </c>
      <c r="AT89" s="5" t="str">
        <f>IFERROR(__xludf.DUMMYFUNCTION("""COMPUTED_VALUE"""),"No")</f>
        <v>No</v>
      </c>
      <c r="AU89" s="5"/>
      <c r="AV89" s="5" t="str">
        <f>IFERROR(__xludf.DUMMYFUNCTION("""COMPUTED_VALUE"""),"")</f>
        <v/>
      </c>
      <c r="AW89" s="5" t="str">
        <f>IFERROR(__xludf.DUMMYFUNCTION("""COMPUTED_VALUE"""),"")</f>
        <v/>
      </c>
      <c r="AX89" s="5" t="str">
        <f>IFERROR(__xludf.DUMMYFUNCTION("""COMPUTED_VALUE"""),"")</f>
        <v/>
      </c>
      <c r="AY89" s="5" t="str">
        <f>IFERROR(__xludf.DUMMYFUNCTION("""COMPUTED_VALUE"""),"")</f>
        <v/>
      </c>
      <c r="AZ89" s="5" t="str">
        <f>IFERROR(__xludf.DUMMYFUNCTION("""COMPUTED_VALUE"""),"")</f>
        <v/>
      </c>
      <c r="BA89" s="5" t="str">
        <f>IFERROR(__xludf.DUMMYFUNCTION("""COMPUTED_VALUE"""),"")</f>
        <v/>
      </c>
      <c r="BB89" s="5" t="str">
        <f>IFERROR(__xludf.DUMMYFUNCTION("""COMPUTED_VALUE"""),"")</f>
        <v/>
      </c>
    </row>
    <row r="90">
      <c r="A90" s="5" t="str">
        <f>IFERROR(__xludf.DUMMYFUNCTION("""COMPUTED_VALUE"""),"Redstone")</f>
        <v>Redstone</v>
      </c>
      <c r="B90" s="5" t="str">
        <f>IFERROR(__xludf.DUMMYFUNCTION("""COMPUTED_VALUE"""),"40 Wild Crown")</f>
        <v>40 Wild Crown</v>
      </c>
      <c r="C90" s="5" t="str">
        <f>IFERROR(__xludf.DUMMYFUNCTION("""COMPUTED_VALUE"""),"Redstone40WildCrown")</f>
        <v>Redstone40WildCrown</v>
      </c>
      <c r="D90" s="6">
        <f>IFERROR(__xludf.DUMMYFUNCTION("""COMPUTED_VALUE"""),45840.0)</f>
        <v>45840</v>
      </c>
      <c r="E90" s="5" t="str">
        <f>IFERROR(__xludf.DUMMYFUNCTION("""COMPUTED_VALUE"""),"Slot")</f>
        <v>Slot</v>
      </c>
      <c r="F90" s="5">
        <f>IFERROR(__xludf.DUMMYFUNCTION("""COMPUTED_VALUE"""),8.0)</f>
        <v>8</v>
      </c>
      <c r="G90" s="5" t="str">
        <f>IFERROR(__xludf.DUMMYFUNCTION("""COMPUTED_VALUE"""),"5x4")</f>
        <v>5x4</v>
      </c>
      <c r="H90" s="5">
        <f>IFERROR(__xludf.DUMMYFUNCTION("""COMPUTED_VALUE"""),40.0)</f>
        <v>40</v>
      </c>
      <c r="I90" s="5">
        <f>IFERROR(__xludf.DUMMYFUNCTION("""COMPUTED_VALUE"""),40.0)</f>
        <v>40</v>
      </c>
      <c r="J90" s="5" t="str">
        <f>IFERROR(__xludf.DUMMYFUNCTION("""COMPUTED_VALUE"""),"95.98%")</f>
        <v>95.98%</v>
      </c>
      <c r="K90" s="5" t="str">
        <f>IFERROR(__xludf.DUMMYFUNCTION("""COMPUTED_VALUE"""),"Medium")</f>
        <v>Medium</v>
      </c>
      <c r="L90" s="5" t="str">
        <f>IFERROR(__xludf.DUMMYFUNCTION("""COMPUTED_VALUE"""),"22.12%")</f>
        <v>22.12%</v>
      </c>
      <c r="M90" s="5" t="str">
        <f>IFERROR(__xludf.DUMMYFUNCTION("""COMPUTED_VALUE"""),"x727.5")</f>
        <v>x727.5</v>
      </c>
      <c r="N90" s="5" t="str">
        <f>IFERROR(__xludf.DUMMYFUNCTION("""COMPUTED_VALUE"""),"0.04/50")</f>
        <v>0.04/50</v>
      </c>
      <c r="O90" s="5" t="str">
        <f>IFERROR(__xludf.DUMMYFUNCTION("""COMPUTED_VALUE"""),"No")</f>
        <v>No</v>
      </c>
      <c r="P90" s="5" t="str">
        <f>IFERROR(__xludf.DUMMYFUNCTION("""COMPUTED_VALUE"""),"Expanding Wild, Scatter")</f>
        <v>Expanding Wild, Scatter</v>
      </c>
      <c r="Q90" s="7" t="str">
        <f>IFERROR(__xludf.DUMMYFUNCTION("""COMPUTED_VALUE"""),"https://static.redstone.rs/games/40-wild-crown/")</f>
        <v>https://static.redstone.rs/games/40-wild-crown/</v>
      </c>
      <c r="R90" s="5" t="str">
        <f>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S90"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0" s="5" t="str">
        <f>IFERROR(__xludf.DUMMYFUNCTION("""COMPUTED_VALUE"""),"Yes")</f>
        <v>Yes</v>
      </c>
      <c r="U90" s="5" t="str">
        <f>IFERROR(__xludf.DUMMYFUNCTION("""COMPUTED_VALUE"""),"Yes")</f>
        <v>Yes</v>
      </c>
      <c r="V90" s="5" t="str">
        <f>IFERROR(__xludf.DUMMYFUNCTION("""COMPUTED_VALUE"""),"Yes")</f>
        <v>Yes</v>
      </c>
      <c r="W90" s="5" t="str">
        <f>IFERROR(__xludf.DUMMYFUNCTION("""COMPUTED_VALUE"""),"Yes")</f>
        <v>Yes</v>
      </c>
      <c r="X90" s="5" t="str">
        <f>IFERROR(__xludf.DUMMYFUNCTION("""COMPUTED_VALUE"""),"Yes")</f>
        <v>Yes</v>
      </c>
      <c r="Y90" s="5" t="str">
        <f>IFERROR(__xludf.DUMMYFUNCTION("""COMPUTED_VALUE"""),"Yes")</f>
        <v>Yes</v>
      </c>
      <c r="Z90" s="5" t="str">
        <f>IFERROR(__xludf.DUMMYFUNCTION("""COMPUTED_VALUE"""),"Yes")</f>
        <v>Yes</v>
      </c>
      <c r="AA90" s="5" t="str">
        <f>IFERROR(__xludf.DUMMYFUNCTION("""COMPUTED_VALUE"""),"Yes")</f>
        <v>Yes</v>
      </c>
      <c r="AB90" s="5" t="str">
        <f>IFERROR(__xludf.DUMMYFUNCTION("""COMPUTED_VALUE"""),"Yes")</f>
        <v>Yes</v>
      </c>
      <c r="AC90" s="5" t="str">
        <f>IFERROR(__xludf.DUMMYFUNCTION("""COMPUTED_VALUE"""),"Yes")</f>
        <v>Yes</v>
      </c>
      <c r="AD90" s="5" t="str">
        <f>IFERROR(__xludf.DUMMYFUNCTION("""COMPUTED_VALUE"""),"Yes")</f>
        <v>Yes</v>
      </c>
      <c r="AE90" s="5" t="str">
        <f>IFERROR(__xludf.DUMMYFUNCTION("""COMPUTED_VALUE"""),"Yes")</f>
        <v>Yes</v>
      </c>
      <c r="AF90" s="5" t="str">
        <f>IFERROR(__xludf.DUMMYFUNCTION("""COMPUTED_VALUE"""),"Yes")</f>
        <v>Yes</v>
      </c>
      <c r="AG90" s="5" t="str">
        <f>IFERROR(__xludf.DUMMYFUNCTION("""COMPUTED_VALUE"""),"Yes")</f>
        <v>Yes</v>
      </c>
      <c r="AH90" s="5" t="str">
        <f>IFERROR(__xludf.DUMMYFUNCTION("""COMPUTED_VALUE"""),"Yes")</f>
        <v>Yes</v>
      </c>
      <c r="AI90" s="5" t="str">
        <f>IFERROR(__xludf.DUMMYFUNCTION("""COMPUTED_VALUE"""),"No")</f>
        <v>No</v>
      </c>
      <c r="AJ90" s="5" t="str">
        <f>IFERROR(__xludf.DUMMYFUNCTION("""COMPUTED_VALUE"""),"No")</f>
        <v>No</v>
      </c>
      <c r="AK90" s="5" t="str">
        <f>IFERROR(__xludf.DUMMYFUNCTION("""COMPUTED_VALUE"""),"No")</f>
        <v>No</v>
      </c>
      <c r="AL90" s="5" t="str">
        <f>IFERROR(__xludf.DUMMYFUNCTION("""COMPUTED_VALUE"""),"No")</f>
        <v>No</v>
      </c>
      <c r="AM90" s="5" t="str">
        <f>IFERROR(__xludf.DUMMYFUNCTION("""COMPUTED_VALUE"""),"No")</f>
        <v>No</v>
      </c>
      <c r="AN90" s="5" t="str">
        <f>IFERROR(__xludf.DUMMYFUNCTION("""COMPUTED_VALUE"""),"No")</f>
        <v>No</v>
      </c>
      <c r="AO90" s="5" t="str">
        <f>IFERROR(__xludf.DUMMYFUNCTION("""COMPUTED_VALUE"""),"Yes")</f>
        <v>Yes</v>
      </c>
      <c r="AP90" s="5" t="str">
        <f>IFERROR(__xludf.DUMMYFUNCTION("""COMPUTED_VALUE"""),"No")</f>
        <v>No</v>
      </c>
      <c r="AQ90" s="5" t="str">
        <f>IFERROR(__xludf.DUMMYFUNCTION("""COMPUTED_VALUE"""),"No")</f>
        <v>No</v>
      </c>
      <c r="AR90" s="5" t="str">
        <f>IFERROR(__xludf.DUMMYFUNCTION("""COMPUTED_VALUE"""),"No")</f>
        <v>No</v>
      </c>
      <c r="AS90" s="5" t="str">
        <f>IFERROR(__xludf.DUMMYFUNCTION("""COMPUTED_VALUE"""),"Yes")</f>
        <v>Yes</v>
      </c>
      <c r="AT90" s="5" t="str">
        <f>IFERROR(__xludf.DUMMYFUNCTION("""COMPUTED_VALUE"""),"No")</f>
        <v>No</v>
      </c>
      <c r="AU90" s="5"/>
      <c r="AV90" s="5" t="str">
        <f>IFERROR(__xludf.DUMMYFUNCTION("""COMPUTED_VALUE"""),"")</f>
        <v/>
      </c>
      <c r="AW90" s="5" t="str">
        <f>IFERROR(__xludf.DUMMYFUNCTION("""COMPUTED_VALUE"""),"")</f>
        <v/>
      </c>
      <c r="AX90" s="5" t="str">
        <f>IFERROR(__xludf.DUMMYFUNCTION("""COMPUTED_VALUE"""),"")</f>
        <v/>
      </c>
      <c r="AY90" s="5" t="str">
        <f>IFERROR(__xludf.DUMMYFUNCTION("""COMPUTED_VALUE"""),"")</f>
        <v/>
      </c>
      <c r="AZ90" s="5" t="str">
        <f>IFERROR(__xludf.DUMMYFUNCTION("""COMPUTED_VALUE"""),"")</f>
        <v/>
      </c>
      <c r="BA90" s="5" t="str">
        <f>IFERROR(__xludf.DUMMYFUNCTION("""COMPUTED_VALUE"""),"")</f>
        <v/>
      </c>
      <c r="BB90" s="5" t="str">
        <f>IFERROR(__xludf.DUMMYFUNCTION("""COMPUTED_VALUE"""),"")</f>
        <v/>
      </c>
    </row>
    <row r="91">
      <c r="A91" s="5" t="str">
        <f>IFERROR(__xludf.DUMMYFUNCTION("""COMPUTED_VALUE"""),"Redstone")</f>
        <v>Redstone</v>
      </c>
      <c r="B91" s="5" t="str">
        <f>IFERROR(__xludf.DUMMYFUNCTION("""COMPUTED_VALUE"""),"Double Crown 5")</f>
        <v>Double Crown 5</v>
      </c>
      <c r="C91" s="5" t="str">
        <f>IFERROR(__xludf.DUMMYFUNCTION("""COMPUTED_VALUE"""),"RedstoneDoubleCrown5")</f>
        <v>RedstoneDoubleCrown5</v>
      </c>
      <c r="D91" s="6">
        <f>IFERROR(__xludf.DUMMYFUNCTION("""COMPUTED_VALUE"""),45846.0)</f>
        <v>45846</v>
      </c>
      <c r="E91" s="5" t="str">
        <f>IFERROR(__xludf.DUMMYFUNCTION("""COMPUTED_VALUE"""),"Slot")</f>
        <v>Slot</v>
      </c>
      <c r="F91" s="5">
        <f>IFERROR(__xludf.DUMMYFUNCTION("""COMPUTED_VALUE"""),10.0)</f>
        <v>10</v>
      </c>
      <c r="G91" s="5" t="str">
        <f>IFERROR(__xludf.DUMMYFUNCTION("""COMPUTED_VALUE"""),"3x3")</f>
        <v>3x3</v>
      </c>
      <c r="H91" s="5">
        <f>IFERROR(__xludf.DUMMYFUNCTION("""COMPUTED_VALUE"""),5.0)</f>
        <v>5</v>
      </c>
      <c r="I91" s="5">
        <f>IFERROR(__xludf.DUMMYFUNCTION("""COMPUTED_VALUE"""),5.0)</f>
        <v>5</v>
      </c>
      <c r="J91" s="5" t="str">
        <f>IFERROR(__xludf.DUMMYFUNCTION("""COMPUTED_VALUE"""),"96.12%")</f>
        <v>96.12%</v>
      </c>
      <c r="K91" s="5" t="str">
        <f>IFERROR(__xludf.DUMMYFUNCTION("""COMPUTED_VALUE"""),"Medium")</f>
        <v>Medium</v>
      </c>
      <c r="L91" s="5" t="str">
        <f>IFERROR(__xludf.DUMMYFUNCTION("""COMPUTED_VALUE"""),"12.28%")</f>
        <v>12.28%</v>
      </c>
      <c r="M91" s="5" t="str">
        <f>IFERROR(__xludf.DUMMYFUNCTION("""COMPUTED_VALUE"""),"x180")</f>
        <v>x180</v>
      </c>
      <c r="N91" s="5" t="str">
        <f>IFERROR(__xludf.DUMMYFUNCTION("""COMPUTED_VALUE"""),"0.10/50")</f>
        <v>0.10/50</v>
      </c>
      <c r="O91" s="5" t="str">
        <f>IFERROR(__xludf.DUMMYFUNCTION("""COMPUTED_VALUE"""),"No")</f>
        <v>No</v>
      </c>
      <c r="P91" s="5" t="str">
        <f>IFERROR(__xludf.DUMMYFUNCTION("""COMPUTED_VALUE"""),"Wild Symbol, Win Multiplier")</f>
        <v>Wild Symbol, Win Multiplier</v>
      </c>
      <c r="Q91" s="7" t="str">
        <f>IFERROR(__xludf.DUMMYFUNCTION("""COMPUTED_VALUE"""),"https://static.redstone.rs/games/double-crown-5/")</f>
        <v>https://static.redstone.rs/games/double-crown-5/</v>
      </c>
      <c r="R91" s="5" t="str">
        <f>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S9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1" s="5" t="str">
        <f>IFERROR(__xludf.DUMMYFUNCTION("""COMPUTED_VALUE"""),"Yes")</f>
        <v>Yes</v>
      </c>
      <c r="U91" s="5" t="str">
        <f>IFERROR(__xludf.DUMMYFUNCTION("""COMPUTED_VALUE"""),"Yes")</f>
        <v>Yes</v>
      </c>
      <c r="V91" s="5" t="str">
        <f>IFERROR(__xludf.DUMMYFUNCTION("""COMPUTED_VALUE"""),"Yes")</f>
        <v>Yes</v>
      </c>
      <c r="W91" s="5" t="str">
        <f>IFERROR(__xludf.DUMMYFUNCTION("""COMPUTED_VALUE"""),"Yes")</f>
        <v>Yes</v>
      </c>
      <c r="X91" s="5" t="str">
        <f>IFERROR(__xludf.DUMMYFUNCTION("""COMPUTED_VALUE"""),"Yes")</f>
        <v>Yes</v>
      </c>
      <c r="Y91" s="5" t="str">
        <f>IFERROR(__xludf.DUMMYFUNCTION("""COMPUTED_VALUE"""),"Yes")</f>
        <v>Yes</v>
      </c>
      <c r="Z91" s="5" t="str">
        <f>IFERROR(__xludf.DUMMYFUNCTION("""COMPUTED_VALUE"""),"Yes")</f>
        <v>Yes</v>
      </c>
      <c r="AA91" s="5" t="str">
        <f>IFERROR(__xludf.DUMMYFUNCTION("""COMPUTED_VALUE"""),"Yes")</f>
        <v>Yes</v>
      </c>
      <c r="AB91" s="5" t="str">
        <f>IFERROR(__xludf.DUMMYFUNCTION("""COMPUTED_VALUE"""),"Yes")</f>
        <v>Yes</v>
      </c>
      <c r="AC91" s="5" t="str">
        <f>IFERROR(__xludf.DUMMYFUNCTION("""COMPUTED_VALUE"""),"Yes")</f>
        <v>Yes</v>
      </c>
      <c r="AD91" s="5" t="str">
        <f>IFERROR(__xludf.DUMMYFUNCTION("""COMPUTED_VALUE"""),"Yes")</f>
        <v>Yes</v>
      </c>
      <c r="AE91" s="5" t="str">
        <f>IFERROR(__xludf.DUMMYFUNCTION("""COMPUTED_VALUE"""),"Yes")</f>
        <v>Yes</v>
      </c>
      <c r="AF91" s="5" t="str">
        <f>IFERROR(__xludf.DUMMYFUNCTION("""COMPUTED_VALUE"""),"Yes")</f>
        <v>Yes</v>
      </c>
      <c r="AG91" s="5" t="str">
        <f>IFERROR(__xludf.DUMMYFUNCTION("""COMPUTED_VALUE"""),"Yes")</f>
        <v>Yes</v>
      </c>
      <c r="AH91" s="5" t="str">
        <f>IFERROR(__xludf.DUMMYFUNCTION("""COMPUTED_VALUE"""),"Yes")</f>
        <v>Yes</v>
      </c>
      <c r="AI91" s="5" t="str">
        <f>IFERROR(__xludf.DUMMYFUNCTION("""COMPUTED_VALUE"""),"No")</f>
        <v>No</v>
      </c>
      <c r="AJ91" s="5" t="str">
        <f>IFERROR(__xludf.DUMMYFUNCTION("""COMPUTED_VALUE"""),"No")</f>
        <v>No</v>
      </c>
      <c r="AK91" s="5" t="str">
        <f>IFERROR(__xludf.DUMMYFUNCTION("""COMPUTED_VALUE"""),"No")</f>
        <v>No</v>
      </c>
      <c r="AL91" s="5" t="str">
        <f>IFERROR(__xludf.DUMMYFUNCTION("""COMPUTED_VALUE"""),"No")</f>
        <v>No</v>
      </c>
      <c r="AM91" s="5" t="str">
        <f>IFERROR(__xludf.DUMMYFUNCTION("""COMPUTED_VALUE"""),"No")</f>
        <v>No</v>
      </c>
      <c r="AN91" s="5" t="str">
        <f>IFERROR(__xludf.DUMMYFUNCTION("""COMPUTED_VALUE"""),"No")</f>
        <v>No</v>
      </c>
      <c r="AO91" s="5" t="str">
        <f>IFERROR(__xludf.DUMMYFUNCTION("""COMPUTED_VALUE"""),"Yes")</f>
        <v>Yes</v>
      </c>
      <c r="AP91" s="5" t="str">
        <f>IFERROR(__xludf.DUMMYFUNCTION("""COMPUTED_VALUE"""),"No")</f>
        <v>No</v>
      </c>
      <c r="AQ91" s="5" t="str">
        <f>IFERROR(__xludf.DUMMYFUNCTION("""COMPUTED_VALUE"""),"No")</f>
        <v>No</v>
      </c>
      <c r="AR91" s="5" t="str">
        <f>IFERROR(__xludf.DUMMYFUNCTION("""COMPUTED_VALUE"""),"No")</f>
        <v>No</v>
      </c>
      <c r="AS91" s="5" t="str">
        <f>IFERROR(__xludf.DUMMYFUNCTION("""COMPUTED_VALUE"""),"Yes")</f>
        <v>Yes</v>
      </c>
      <c r="AT91" s="5" t="str">
        <f>IFERROR(__xludf.DUMMYFUNCTION("""COMPUTED_VALUE"""),"No")</f>
        <v>No</v>
      </c>
      <c r="AU91" s="5"/>
      <c r="AV91" s="5" t="str">
        <f>IFERROR(__xludf.DUMMYFUNCTION("""COMPUTED_VALUE"""),"")</f>
        <v/>
      </c>
      <c r="AW91" s="5" t="str">
        <f>IFERROR(__xludf.DUMMYFUNCTION("""COMPUTED_VALUE"""),"")</f>
        <v/>
      </c>
      <c r="AX91" s="5" t="str">
        <f>IFERROR(__xludf.DUMMYFUNCTION("""COMPUTED_VALUE"""),"")</f>
        <v/>
      </c>
      <c r="AY91" s="5" t="str">
        <f>IFERROR(__xludf.DUMMYFUNCTION("""COMPUTED_VALUE"""),"")</f>
        <v/>
      </c>
      <c r="AZ91" s="5" t="str">
        <f>IFERROR(__xludf.DUMMYFUNCTION("""COMPUTED_VALUE"""),"")</f>
        <v/>
      </c>
      <c r="BA91" s="5" t="str">
        <f>IFERROR(__xludf.DUMMYFUNCTION("""COMPUTED_VALUE"""),"")</f>
        <v/>
      </c>
      <c r="BB91" s="5" t="str">
        <f>IFERROR(__xludf.DUMMYFUNCTION("""COMPUTED_VALUE"""),"")</f>
        <v/>
      </c>
    </row>
    <row r="92">
      <c r="A92" s="5" t="str">
        <f>IFERROR(__xludf.DUMMYFUNCTION("""COMPUTED_VALUE"""),"Redstone")</f>
        <v>Redstone</v>
      </c>
      <c r="B92" s="5" t="str">
        <f>IFERROR(__xludf.DUMMYFUNCTION("""COMPUTED_VALUE"""),"Heart Royale ")</f>
        <v>Heart Royale </v>
      </c>
      <c r="C92" s="5" t="str">
        <f>IFERROR(__xludf.DUMMYFUNCTION("""COMPUTED_VALUE"""),"RedstoneHeartRoyale")</f>
        <v>RedstoneHeartRoyale</v>
      </c>
      <c r="D92" s="6">
        <f>IFERROR(__xludf.DUMMYFUNCTION("""COMPUTED_VALUE"""),45854.0)</f>
        <v>45854</v>
      </c>
      <c r="E92" s="5" t="str">
        <f>IFERROR(__xludf.DUMMYFUNCTION("""COMPUTED_VALUE"""),"Slot")</f>
        <v>Slot</v>
      </c>
      <c r="F92" s="5">
        <f>IFERROR(__xludf.DUMMYFUNCTION("""COMPUTED_VALUE"""),9.3)</f>
        <v>9.3</v>
      </c>
      <c r="G92" s="5" t="str">
        <f>IFERROR(__xludf.DUMMYFUNCTION("""COMPUTED_VALUE"""),"5x3")</f>
        <v>5x3</v>
      </c>
      <c r="H92" s="5">
        <f>IFERROR(__xludf.DUMMYFUNCTION("""COMPUTED_VALUE"""),5.0)</f>
        <v>5</v>
      </c>
      <c r="I92" s="5">
        <f>IFERROR(__xludf.DUMMYFUNCTION("""COMPUTED_VALUE"""),5.0)</f>
        <v>5</v>
      </c>
      <c r="J92" s="5" t="str">
        <f>IFERROR(__xludf.DUMMYFUNCTION("""COMPUTED_VALUE"""),"95.99%")</f>
        <v>95.99%</v>
      </c>
      <c r="K92" s="5" t="str">
        <f>IFERROR(__xludf.DUMMYFUNCTION("""COMPUTED_VALUE"""),"Medium")</f>
        <v>Medium</v>
      </c>
      <c r="L92" s="5" t="str">
        <f>IFERROR(__xludf.DUMMYFUNCTION("""COMPUTED_VALUE"""),"10.37%")</f>
        <v>10.37%</v>
      </c>
      <c r="M92" s="5" t="str">
        <f>IFERROR(__xludf.DUMMYFUNCTION("""COMPUTED_VALUE"""),"x6150")</f>
        <v>x6150</v>
      </c>
      <c r="N92" s="5" t="str">
        <f>IFERROR(__xludf.DUMMYFUNCTION("""COMPUTED_VALUE"""),"0.01/50")</f>
        <v>0.01/50</v>
      </c>
      <c r="O92" s="5" t="str">
        <f>IFERROR(__xludf.DUMMYFUNCTION("""COMPUTED_VALUE"""),"No")</f>
        <v>No</v>
      </c>
      <c r="P92" s="5" t="str">
        <f>IFERROR(__xludf.DUMMYFUNCTION("""COMPUTED_VALUE"""),"Wild Multiplier, Expanding Wild")</f>
        <v>Wild Multiplier, Expanding Wild</v>
      </c>
      <c r="Q92" s="7" t="str">
        <f>IFERROR(__xludf.DUMMYFUNCTION("""COMPUTED_VALUE"""),"https://static.redstone.rs/games/heart-royale/")</f>
        <v>https://static.redstone.rs/games/heart-royale/</v>
      </c>
      <c r="R92" s="5" t="str">
        <f>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S9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2" s="5" t="str">
        <f>IFERROR(__xludf.DUMMYFUNCTION("""COMPUTED_VALUE"""),"Yes")</f>
        <v>Yes</v>
      </c>
      <c r="U92" s="5" t="str">
        <f>IFERROR(__xludf.DUMMYFUNCTION("""COMPUTED_VALUE"""),"Yes")</f>
        <v>Yes</v>
      </c>
      <c r="V92" s="5" t="str">
        <f>IFERROR(__xludf.DUMMYFUNCTION("""COMPUTED_VALUE"""),"No")</f>
        <v>No</v>
      </c>
      <c r="W92" s="5" t="str">
        <f>IFERROR(__xludf.DUMMYFUNCTION("""COMPUTED_VALUE"""),"Yes")</f>
        <v>Yes</v>
      </c>
      <c r="X92" s="5" t="str">
        <f>IFERROR(__xludf.DUMMYFUNCTION("""COMPUTED_VALUE"""),"Yes")</f>
        <v>Yes</v>
      </c>
      <c r="Y92" s="5" t="str">
        <f>IFERROR(__xludf.DUMMYFUNCTION("""COMPUTED_VALUE"""),"Yes")</f>
        <v>Yes</v>
      </c>
      <c r="Z92" s="5" t="str">
        <f>IFERROR(__xludf.DUMMYFUNCTION("""COMPUTED_VALUE"""),"Yes")</f>
        <v>Yes</v>
      </c>
      <c r="AA92" s="5" t="str">
        <f>IFERROR(__xludf.DUMMYFUNCTION("""COMPUTED_VALUE"""),"Yes")</f>
        <v>Yes</v>
      </c>
      <c r="AB92" s="5" t="str">
        <f>IFERROR(__xludf.DUMMYFUNCTION("""COMPUTED_VALUE"""),"Yes")</f>
        <v>Yes</v>
      </c>
      <c r="AC92" s="5" t="str">
        <f>IFERROR(__xludf.DUMMYFUNCTION("""COMPUTED_VALUE"""),"Yes")</f>
        <v>Yes</v>
      </c>
      <c r="AD92" s="5" t="str">
        <f>IFERROR(__xludf.DUMMYFUNCTION("""COMPUTED_VALUE"""),"Yes")</f>
        <v>Yes</v>
      </c>
      <c r="AE92" s="5" t="str">
        <f>IFERROR(__xludf.DUMMYFUNCTION("""COMPUTED_VALUE"""),"Yes")</f>
        <v>Yes</v>
      </c>
      <c r="AF92" s="5" t="str">
        <f>IFERROR(__xludf.DUMMYFUNCTION("""COMPUTED_VALUE"""),"Yes")</f>
        <v>Yes</v>
      </c>
      <c r="AG92" s="5" t="str">
        <f>IFERROR(__xludf.DUMMYFUNCTION("""COMPUTED_VALUE"""),"Yes")</f>
        <v>Yes</v>
      </c>
      <c r="AH92" s="5" t="str">
        <f>IFERROR(__xludf.DUMMYFUNCTION("""COMPUTED_VALUE"""),"Yes")</f>
        <v>Yes</v>
      </c>
      <c r="AI92" s="5" t="str">
        <f>IFERROR(__xludf.DUMMYFUNCTION("""COMPUTED_VALUE"""),"No")</f>
        <v>No</v>
      </c>
      <c r="AJ92" s="5" t="str">
        <f>IFERROR(__xludf.DUMMYFUNCTION("""COMPUTED_VALUE"""),"No")</f>
        <v>No</v>
      </c>
      <c r="AK92" s="5" t="str">
        <f>IFERROR(__xludf.DUMMYFUNCTION("""COMPUTED_VALUE"""),"No")</f>
        <v>No</v>
      </c>
      <c r="AL92" s="5" t="str">
        <f>IFERROR(__xludf.DUMMYFUNCTION("""COMPUTED_VALUE"""),"No")</f>
        <v>No</v>
      </c>
      <c r="AM92" s="5" t="str">
        <f>IFERROR(__xludf.DUMMYFUNCTION("""COMPUTED_VALUE"""),"No")</f>
        <v>No</v>
      </c>
      <c r="AN92" s="5" t="str">
        <f>IFERROR(__xludf.DUMMYFUNCTION("""COMPUTED_VALUE"""),"No")</f>
        <v>No</v>
      </c>
      <c r="AO92" s="5" t="str">
        <f>IFERROR(__xludf.DUMMYFUNCTION("""COMPUTED_VALUE"""),"Yes")</f>
        <v>Yes</v>
      </c>
      <c r="AP92" s="5" t="str">
        <f>IFERROR(__xludf.DUMMYFUNCTION("""COMPUTED_VALUE"""),"No")</f>
        <v>No</v>
      </c>
      <c r="AQ92" s="5" t="str">
        <f>IFERROR(__xludf.DUMMYFUNCTION("""COMPUTED_VALUE"""),"No")</f>
        <v>No</v>
      </c>
      <c r="AR92" s="5" t="str">
        <f>IFERROR(__xludf.DUMMYFUNCTION("""COMPUTED_VALUE"""),"No")</f>
        <v>No</v>
      </c>
      <c r="AS92" s="5" t="str">
        <f>IFERROR(__xludf.DUMMYFUNCTION("""COMPUTED_VALUE"""),"Yes")</f>
        <v>Yes</v>
      </c>
      <c r="AT92" s="5" t="str">
        <f>IFERROR(__xludf.DUMMYFUNCTION("""COMPUTED_VALUE"""),"No")</f>
        <v>No</v>
      </c>
      <c r="AU92" s="5"/>
      <c r="AV92" s="5" t="str">
        <f>IFERROR(__xludf.DUMMYFUNCTION("""COMPUTED_VALUE"""),"")</f>
        <v/>
      </c>
      <c r="AW92" s="5" t="str">
        <f>IFERROR(__xludf.DUMMYFUNCTION("""COMPUTED_VALUE"""),"")</f>
        <v/>
      </c>
      <c r="AX92" s="5" t="str">
        <f>IFERROR(__xludf.DUMMYFUNCTION("""COMPUTED_VALUE"""),"")</f>
        <v/>
      </c>
      <c r="AY92" s="5" t="str">
        <f>IFERROR(__xludf.DUMMYFUNCTION("""COMPUTED_VALUE"""),"")</f>
        <v/>
      </c>
      <c r="AZ92" s="5" t="str">
        <f>IFERROR(__xludf.DUMMYFUNCTION("""COMPUTED_VALUE"""),"")</f>
        <v/>
      </c>
      <c r="BA92" s="5" t="str">
        <f>IFERROR(__xludf.DUMMYFUNCTION("""COMPUTED_VALUE"""),"")</f>
        <v/>
      </c>
      <c r="BB92" s="5" t="str">
        <f>IFERROR(__xludf.DUMMYFUNCTION("""COMPUTED_VALUE"""),"")</f>
        <v/>
      </c>
    </row>
    <row r="93">
      <c r="A93" s="5" t="str">
        <f>IFERROR(__xludf.DUMMYFUNCTION("""COMPUTED_VALUE"""),"Redstone")</f>
        <v>Redstone</v>
      </c>
      <c r="B93" s="5" t="str">
        <f>IFERROR(__xludf.DUMMYFUNCTION("""COMPUTED_VALUE"""),"Reel X5: 27 Ways")</f>
        <v>Reel X5: 27 Ways</v>
      </c>
      <c r="C93" s="5" t="str">
        <f>IFERROR(__xludf.DUMMYFUNCTION("""COMPUTED_VALUE"""),"RedstoneReelX527Ways")</f>
        <v>RedstoneReelX527Ways</v>
      </c>
      <c r="D93" s="6">
        <f>IFERROR(__xludf.DUMMYFUNCTION("""COMPUTED_VALUE"""),45860.0)</f>
        <v>45860</v>
      </c>
      <c r="E93" s="5" t="str">
        <f>IFERROR(__xludf.DUMMYFUNCTION("""COMPUTED_VALUE"""),"Slot")</f>
        <v>Slot</v>
      </c>
      <c r="F93" s="5">
        <f>IFERROR(__xludf.DUMMYFUNCTION("""COMPUTED_VALUE"""),6.7)</f>
        <v>6.7</v>
      </c>
      <c r="G93" s="5" t="str">
        <f>IFERROR(__xludf.DUMMYFUNCTION("""COMPUTED_VALUE"""),"3x3")</f>
        <v>3x3</v>
      </c>
      <c r="H93" s="5">
        <f>IFERROR(__xludf.DUMMYFUNCTION("""COMPUTED_VALUE"""),27.0)</f>
        <v>27</v>
      </c>
      <c r="I93" s="5">
        <f>IFERROR(__xludf.DUMMYFUNCTION("""COMPUTED_VALUE"""),27.0)</f>
        <v>27</v>
      </c>
      <c r="J93" s="5" t="str">
        <f>IFERROR(__xludf.DUMMYFUNCTION("""COMPUTED_VALUE"""),"96%")</f>
        <v>96%</v>
      </c>
      <c r="K93" s="5" t="str">
        <f>IFERROR(__xludf.DUMMYFUNCTION("""COMPUTED_VALUE"""),"Low")</f>
        <v>Low</v>
      </c>
      <c r="L93" s="5" t="str">
        <f>IFERROR(__xludf.DUMMYFUNCTION("""COMPUTED_VALUE"""),"11.92%")</f>
        <v>11.92%</v>
      </c>
      <c r="M93" s="5" t="str">
        <f>IFERROR(__xludf.DUMMYFUNCTION("""COMPUTED_VALUE"""),"x450")</f>
        <v>x450</v>
      </c>
      <c r="N93" s="5" t="str">
        <f>IFERROR(__xludf.DUMMYFUNCTION("""COMPUTED_VALUE"""),"0.10/50")</f>
        <v>0.10/50</v>
      </c>
      <c r="O93" s="5" t="str">
        <f>IFERROR(__xludf.DUMMYFUNCTION("""COMPUTED_VALUE"""),"No")</f>
        <v>No</v>
      </c>
      <c r="P93" s="5" t="str">
        <f>IFERROR(__xludf.DUMMYFUNCTION("""COMPUTED_VALUE"""),"Win Multiplier")</f>
        <v>Win Multiplier</v>
      </c>
      <c r="Q93" s="7" t="str">
        <f>IFERROR(__xludf.DUMMYFUNCTION("""COMPUTED_VALUE"""),"https://static.redstone.rs/games/reel-x5-27-ways/")</f>
        <v>https://static.redstone.rs/games/reel-x5-27-ways/</v>
      </c>
      <c r="R93" s="5" t="str">
        <f>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S9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3" s="5" t="str">
        <f>IFERROR(__xludf.DUMMYFUNCTION("""COMPUTED_VALUE"""),"Yes")</f>
        <v>Yes</v>
      </c>
      <c r="U93" s="5" t="str">
        <f>IFERROR(__xludf.DUMMYFUNCTION("""COMPUTED_VALUE"""),"Yes")</f>
        <v>Yes</v>
      </c>
      <c r="V93" s="5" t="str">
        <f>IFERROR(__xludf.DUMMYFUNCTION("""COMPUTED_VALUE"""),"No")</f>
        <v>No</v>
      </c>
      <c r="W93" s="5" t="str">
        <f>IFERROR(__xludf.DUMMYFUNCTION("""COMPUTED_VALUE"""),"Yes")</f>
        <v>Yes</v>
      </c>
      <c r="X93" s="5" t="str">
        <f>IFERROR(__xludf.DUMMYFUNCTION("""COMPUTED_VALUE"""),"Yes")</f>
        <v>Yes</v>
      </c>
      <c r="Y93" s="5" t="str">
        <f>IFERROR(__xludf.DUMMYFUNCTION("""COMPUTED_VALUE"""),"Yes")</f>
        <v>Yes</v>
      </c>
      <c r="Z93" s="5" t="str">
        <f>IFERROR(__xludf.DUMMYFUNCTION("""COMPUTED_VALUE"""),"Yes")</f>
        <v>Yes</v>
      </c>
      <c r="AA93" s="5" t="str">
        <f>IFERROR(__xludf.DUMMYFUNCTION("""COMPUTED_VALUE"""),"Yes")</f>
        <v>Yes</v>
      </c>
      <c r="AB93" s="5" t="str">
        <f>IFERROR(__xludf.DUMMYFUNCTION("""COMPUTED_VALUE"""),"Yes")</f>
        <v>Yes</v>
      </c>
      <c r="AC93" s="5" t="str">
        <f>IFERROR(__xludf.DUMMYFUNCTION("""COMPUTED_VALUE"""),"Yes")</f>
        <v>Yes</v>
      </c>
      <c r="AD93" s="5" t="str">
        <f>IFERROR(__xludf.DUMMYFUNCTION("""COMPUTED_VALUE"""),"Yes")</f>
        <v>Yes</v>
      </c>
      <c r="AE93" s="5" t="str">
        <f>IFERROR(__xludf.DUMMYFUNCTION("""COMPUTED_VALUE"""),"Yes")</f>
        <v>Yes</v>
      </c>
      <c r="AF93" s="5" t="str">
        <f>IFERROR(__xludf.DUMMYFUNCTION("""COMPUTED_VALUE"""),"Yes")</f>
        <v>Yes</v>
      </c>
      <c r="AG93" s="5" t="str">
        <f>IFERROR(__xludf.DUMMYFUNCTION("""COMPUTED_VALUE"""),"Yes")</f>
        <v>Yes</v>
      </c>
      <c r="AH93" s="5" t="str">
        <f>IFERROR(__xludf.DUMMYFUNCTION("""COMPUTED_VALUE"""),"Yes")</f>
        <v>Yes</v>
      </c>
      <c r="AI93" s="5" t="str">
        <f>IFERROR(__xludf.DUMMYFUNCTION("""COMPUTED_VALUE"""),"No")</f>
        <v>No</v>
      </c>
      <c r="AJ93" s="5" t="str">
        <f>IFERROR(__xludf.DUMMYFUNCTION("""COMPUTED_VALUE"""),"No")</f>
        <v>No</v>
      </c>
      <c r="AK93" s="5" t="str">
        <f>IFERROR(__xludf.DUMMYFUNCTION("""COMPUTED_VALUE"""),"No")</f>
        <v>No</v>
      </c>
      <c r="AL93" s="5" t="str">
        <f>IFERROR(__xludf.DUMMYFUNCTION("""COMPUTED_VALUE"""),"No")</f>
        <v>No</v>
      </c>
      <c r="AM93" s="5" t="str">
        <f>IFERROR(__xludf.DUMMYFUNCTION("""COMPUTED_VALUE"""),"No")</f>
        <v>No</v>
      </c>
      <c r="AN93" s="5" t="str">
        <f>IFERROR(__xludf.DUMMYFUNCTION("""COMPUTED_VALUE"""),"No")</f>
        <v>No</v>
      </c>
      <c r="AO93" s="5" t="str">
        <f>IFERROR(__xludf.DUMMYFUNCTION("""COMPUTED_VALUE"""),"Yes")</f>
        <v>Yes</v>
      </c>
      <c r="AP93" s="5" t="str">
        <f>IFERROR(__xludf.DUMMYFUNCTION("""COMPUTED_VALUE"""),"No")</f>
        <v>No</v>
      </c>
      <c r="AQ93" s="5" t="str">
        <f>IFERROR(__xludf.DUMMYFUNCTION("""COMPUTED_VALUE"""),"No")</f>
        <v>No</v>
      </c>
      <c r="AR93" s="5" t="str">
        <f>IFERROR(__xludf.DUMMYFUNCTION("""COMPUTED_VALUE"""),"No")</f>
        <v>No</v>
      </c>
      <c r="AS93" s="5" t="str">
        <f>IFERROR(__xludf.DUMMYFUNCTION("""COMPUTED_VALUE"""),"Yes")</f>
        <v>Yes</v>
      </c>
      <c r="AT93" s="5" t="str">
        <f>IFERROR(__xludf.DUMMYFUNCTION("""COMPUTED_VALUE"""),"No")</f>
        <v>No</v>
      </c>
      <c r="AU93" s="5"/>
      <c r="AV93" s="5" t="str">
        <f>IFERROR(__xludf.DUMMYFUNCTION("""COMPUTED_VALUE"""),"")</f>
        <v/>
      </c>
      <c r="AW93" s="5" t="str">
        <f>IFERROR(__xludf.DUMMYFUNCTION("""COMPUTED_VALUE"""),"")</f>
        <v/>
      </c>
      <c r="AX93" s="5" t="str">
        <f>IFERROR(__xludf.DUMMYFUNCTION("""COMPUTED_VALUE"""),"")</f>
        <v/>
      </c>
      <c r="AY93" s="5" t="str">
        <f>IFERROR(__xludf.DUMMYFUNCTION("""COMPUTED_VALUE"""),"")</f>
        <v/>
      </c>
      <c r="AZ93" s="5" t="str">
        <f>IFERROR(__xludf.DUMMYFUNCTION("""COMPUTED_VALUE"""),"")</f>
        <v/>
      </c>
      <c r="BA93" s="5" t="str">
        <f>IFERROR(__xludf.DUMMYFUNCTION("""COMPUTED_VALUE"""),"")</f>
        <v/>
      </c>
      <c r="BB93" s="5" t="str">
        <f>IFERROR(__xludf.DUMMYFUNCTION("""COMPUTED_VALUE"""),"")</f>
        <v/>
      </c>
    </row>
    <row r="94">
      <c r="A94" s="5" t="str">
        <f>IFERROR(__xludf.DUMMYFUNCTION("""COMPUTED_VALUE"""),"Redstone")</f>
        <v>Redstone</v>
      </c>
      <c r="B94" s="5" t="str">
        <f>IFERROR(__xludf.DUMMYFUNCTION("""COMPUTED_VALUE"""),"Crown Drop")</f>
        <v>Crown Drop</v>
      </c>
      <c r="C94" s="5" t="str">
        <f>IFERROR(__xludf.DUMMYFUNCTION("""COMPUTED_VALUE"""),"RedstoneCrownDrop")</f>
        <v>RedstoneCrownDrop</v>
      </c>
      <c r="D94" s="6">
        <f>IFERROR(__xludf.DUMMYFUNCTION("""COMPUTED_VALUE"""),45866.0)</f>
        <v>45866</v>
      </c>
      <c r="E94" s="5" t="str">
        <f>IFERROR(__xludf.DUMMYFUNCTION("""COMPUTED_VALUE"""),"Slot")</f>
        <v>Slot</v>
      </c>
      <c r="F94" s="5">
        <f>IFERROR(__xludf.DUMMYFUNCTION("""COMPUTED_VALUE"""),7.8)</f>
        <v>7.8</v>
      </c>
      <c r="G94" s="5" t="str">
        <f>IFERROR(__xludf.DUMMYFUNCTION("""COMPUTED_VALUE"""),"5x5")</f>
        <v>5x5</v>
      </c>
      <c r="H94" s="5">
        <f>IFERROR(__xludf.DUMMYFUNCTION("""COMPUTED_VALUE"""),20.0)</f>
        <v>20</v>
      </c>
      <c r="I94" s="5">
        <f>IFERROR(__xludf.DUMMYFUNCTION("""COMPUTED_VALUE"""),20.0)</f>
        <v>20</v>
      </c>
      <c r="J94" s="5" t="str">
        <f>IFERROR(__xludf.DUMMYFUNCTION("""COMPUTED_VALUE"""),"96.02%")</f>
        <v>96.02%</v>
      </c>
      <c r="K94" s="5" t="str">
        <f>IFERROR(__xludf.DUMMYFUNCTION("""COMPUTED_VALUE"""),"Medium")</f>
        <v>Medium</v>
      </c>
      <c r="L94" s="5" t="str">
        <f>IFERROR(__xludf.DUMMYFUNCTION("""COMPUTED_VALUE"""),"19.8%")</f>
        <v>19.8%</v>
      </c>
      <c r="M94" s="5" t="str">
        <f>IFERROR(__xludf.DUMMYFUNCTION("""COMPUTED_VALUE"""),"x916.5")</f>
        <v>x916.5</v>
      </c>
      <c r="N94" s="5" t="str">
        <f>IFERROR(__xludf.DUMMYFUNCTION("""COMPUTED_VALUE"""),"0.02/50")</f>
        <v>0.02/50</v>
      </c>
      <c r="O94" s="5" t="str">
        <f>IFERROR(__xludf.DUMMYFUNCTION("""COMPUTED_VALUE"""),"No")</f>
        <v>No</v>
      </c>
      <c r="P94" s="5" t="str">
        <f>IFERROR(__xludf.DUMMYFUNCTION("""COMPUTED_VALUE"""),"Expanding Wild, Scatter")</f>
        <v>Expanding Wild, Scatter</v>
      </c>
      <c r="Q94" s="7" t="str">
        <f>IFERROR(__xludf.DUMMYFUNCTION("""COMPUTED_VALUE"""),"https://static.redstone.rs/games/crown-drop/")</f>
        <v>https://static.redstone.rs/games/crown-drop/</v>
      </c>
      <c r="R94" s="5" t="str">
        <f>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S9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4" s="5" t="str">
        <f>IFERROR(__xludf.DUMMYFUNCTION("""COMPUTED_VALUE"""),"Yes")</f>
        <v>Yes</v>
      </c>
      <c r="U94" s="5" t="str">
        <f>IFERROR(__xludf.DUMMYFUNCTION("""COMPUTED_VALUE"""),"Yes")</f>
        <v>Yes</v>
      </c>
      <c r="V94" s="5" t="str">
        <f>IFERROR(__xludf.DUMMYFUNCTION("""COMPUTED_VALUE"""),"No")</f>
        <v>No</v>
      </c>
      <c r="W94" s="5" t="str">
        <f>IFERROR(__xludf.DUMMYFUNCTION("""COMPUTED_VALUE"""),"Yes")</f>
        <v>Yes</v>
      </c>
      <c r="X94" s="5" t="str">
        <f>IFERROR(__xludf.DUMMYFUNCTION("""COMPUTED_VALUE"""),"Yes")</f>
        <v>Yes</v>
      </c>
      <c r="Y94" s="5" t="str">
        <f>IFERROR(__xludf.DUMMYFUNCTION("""COMPUTED_VALUE"""),"Yes")</f>
        <v>Yes</v>
      </c>
      <c r="Z94" s="5" t="str">
        <f>IFERROR(__xludf.DUMMYFUNCTION("""COMPUTED_VALUE"""),"Yes")</f>
        <v>Yes</v>
      </c>
      <c r="AA94" s="5" t="str">
        <f>IFERROR(__xludf.DUMMYFUNCTION("""COMPUTED_VALUE"""),"Yes")</f>
        <v>Yes</v>
      </c>
      <c r="AB94" s="5" t="str">
        <f>IFERROR(__xludf.DUMMYFUNCTION("""COMPUTED_VALUE"""),"Yes")</f>
        <v>Yes</v>
      </c>
      <c r="AC94" s="5" t="str">
        <f>IFERROR(__xludf.DUMMYFUNCTION("""COMPUTED_VALUE"""),"Yes")</f>
        <v>Yes</v>
      </c>
      <c r="AD94" s="5" t="str">
        <f>IFERROR(__xludf.DUMMYFUNCTION("""COMPUTED_VALUE"""),"Yes")</f>
        <v>Yes</v>
      </c>
      <c r="AE94" s="5" t="str">
        <f>IFERROR(__xludf.DUMMYFUNCTION("""COMPUTED_VALUE"""),"Yes")</f>
        <v>Yes</v>
      </c>
      <c r="AF94" s="5" t="str">
        <f>IFERROR(__xludf.DUMMYFUNCTION("""COMPUTED_VALUE"""),"Yes")</f>
        <v>Yes</v>
      </c>
      <c r="AG94" s="5" t="str">
        <f>IFERROR(__xludf.DUMMYFUNCTION("""COMPUTED_VALUE"""),"Yes")</f>
        <v>Yes</v>
      </c>
      <c r="AH94" s="5" t="str">
        <f>IFERROR(__xludf.DUMMYFUNCTION("""COMPUTED_VALUE"""),"Yes")</f>
        <v>Yes</v>
      </c>
      <c r="AI94" s="5" t="str">
        <f>IFERROR(__xludf.DUMMYFUNCTION("""COMPUTED_VALUE"""),"No")</f>
        <v>No</v>
      </c>
      <c r="AJ94" s="5" t="str">
        <f>IFERROR(__xludf.DUMMYFUNCTION("""COMPUTED_VALUE"""),"No")</f>
        <v>No</v>
      </c>
      <c r="AK94" s="5" t="str">
        <f>IFERROR(__xludf.DUMMYFUNCTION("""COMPUTED_VALUE"""),"No")</f>
        <v>No</v>
      </c>
      <c r="AL94" s="5" t="str">
        <f>IFERROR(__xludf.DUMMYFUNCTION("""COMPUTED_VALUE"""),"No")</f>
        <v>No</v>
      </c>
      <c r="AM94" s="5" t="str">
        <f>IFERROR(__xludf.DUMMYFUNCTION("""COMPUTED_VALUE"""),"No")</f>
        <v>No</v>
      </c>
      <c r="AN94" s="5" t="str">
        <f>IFERROR(__xludf.DUMMYFUNCTION("""COMPUTED_VALUE"""),"No")</f>
        <v>No</v>
      </c>
      <c r="AO94" s="5" t="str">
        <f>IFERROR(__xludf.DUMMYFUNCTION("""COMPUTED_VALUE"""),"Yes")</f>
        <v>Yes</v>
      </c>
      <c r="AP94" s="5" t="str">
        <f>IFERROR(__xludf.DUMMYFUNCTION("""COMPUTED_VALUE"""),"No")</f>
        <v>No</v>
      </c>
      <c r="AQ94" s="5" t="str">
        <f>IFERROR(__xludf.DUMMYFUNCTION("""COMPUTED_VALUE"""),"No")</f>
        <v>No</v>
      </c>
      <c r="AR94" s="5" t="str">
        <f>IFERROR(__xludf.DUMMYFUNCTION("""COMPUTED_VALUE"""),"No")</f>
        <v>No</v>
      </c>
      <c r="AS94" s="5" t="str">
        <f>IFERROR(__xludf.DUMMYFUNCTION("""COMPUTED_VALUE"""),"Yes")</f>
        <v>Yes</v>
      </c>
      <c r="AT94" s="5" t="str">
        <f>IFERROR(__xludf.DUMMYFUNCTION("""COMPUTED_VALUE"""),"No")</f>
        <v>No</v>
      </c>
      <c r="AU94" s="5"/>
      <c r="AV94" s="5" t="str">
        <f>IFERROR(__xludf.DUMMYFUNCTION("""COMPUTED_VALUE"""),"")</f>
        <v/>
      </c>
      <c r="AW94" s="5" t="str">
        <f>IFERROR(__xludf.DUMMYFUNCTION("""COMPUTED_VALUE"""),"")</f>
        <v/>
      </c>
      <c r="AX94" s="5" t="str">
        <f>IFERROR(__xludf.DUMMYFUNCTION("""COMPUTED_VALUE"""),"")</f>
        <v/>
      </c>
      <c r="AY94" s="5" t="str">
        <f>IFERROR(__xludf.DUMMYFUNCTION("""COMPUTED_VALUE"""),"")</f>
        <v/>
      </c>
      <c r="AZ94" s="5" t="str">
        <f>IFERROR(__xludf.DUMMYFUNCTION("""COMPUTED_VALUE"""),"")</f>
        <v/>
      </c>
      <c r="BA94" s="5" t="str">
        <f>IFERROR(__xludf.DUMMYFUNCTION("""COMPUTED_VALUE"""),"")</f>
        <v/>
      </c>
      <c r="BB94" s="5" t="str">
        <f>IFERROR(__xludf.DUMMYFUNCTION("""COMPUTED_VALUE"""),"")</f>
        <v/>
      </c>
    </row>
    <row r="95">
      <c r="A95" s="5" t="str">
        <f>IFERROR(__xludf.DUMMYFUNCTION("""COMPUTED_VALUE"""),"Redstone")</f>
        <v>Redstone</v>
      </c>
      <c r="B95" s="5" t="str">
        <f>IFERROR(__xludf.DUMMYFUNCTION("""COMPUTED_VALUE"""),"5 Clover Fire 6 Reels")</f>
        <v>5 Clover Fire 6 Reels</v>
      </c>
      <c r="C95" s="5" t="str">
        <f>IFERROR(__xludf.DUMMYFUNCTION("""COMPUTED_VALUE"""),"Redstone5CloverFire6Reels")</f>
        <v>Redstone5CloverFire6Reels</v>
      </c>
      <c r="D95" s="6">
        <f>IFERROR(__xludf.DUMMYFUNCTION("""COMPUTED_VALUE"""),45875.0)</f>
        <v>45875</v>
      </c>
      <c r="E95" s="5" t="str">
        <f>IFERROR(__xludf.DUMMYFUNCTION("""COMPUTED_VALUE"""),"Slot")</f>
        <v>Slot</v>
      </c>
      <c r="F95" s="5">
        <f>IFERROR(__xludf.DUMMYFUNCTION("""COMPUTED_VALUE"""),7.6)</f>
        <v>7.6</v>
      </c>
      <c r="G95" s="5" t="str">
        <f>IFERROR(__xludf.DUMMYFUNCTION("""COMPUTED_VALUE"""),"6x3")</f>
        <v>6x3</v>
      </c>
      <c r="H95" s="5">
        <f>IFERROR(__xludf.DUMMYFUNCTION("""COMPUTED_VALUE"""),5.0)</f>
        <v>5</v>
      </c>
      <c r="I95" s="5">
        <f>IFERROR(__xludf.DUMMYFUNCTION("""COMPUTED_VALUE"""),5.0)</f>
        <v>5</v>
      </c>
      <c r="J95" s="5" t="str">
        <f>IFERROR(__xludf.DUMMYFUNCTION("""COMPUTED_VALUE"""),"95.95%")</f>
        <v>95.95%</v>
      </c>
      <c r="K95" s="5" t="str">
        <f>IFERROR(__xludf.DUMMYFUNCTION("""COMPUTED_VALUE"""),"Medium")</f>
        <v>Medium</v>
      </c>
      <c r="L95" s="5" t="str">
        <f>IFERROR(__xludf.DUMMYFUNCTION("""COMPUTED_VALUE"""),"19.58%")</f>
        <v>19.58%</v>
      </c>
      <c r="M95" s="5" t="str">
        <f>IFERROR(__xludf.DUMMYFUNCTION("""COMPUTED_VALUE"""),"x1245")</f>
        <v>x1245</v>
      </c>
      <c r="N95" s="5" t="str">
        <f>IFERROR(__xludf.DUMMYFUNCTION("""COMPUTED_VALUE"""),"0.02/50")</f>
        <v>0.02/50</v>
      </c>
      <c r="O95" s="5" t="str">
        <f>IFERROR(__xludf.DUMMYFUNCTION("""COMPUTED_VALUE"""),"No")</f>
        <v>No</v>
      </c>
      <c r="P95" s="5" t="str">
        <f>IFERROR(__xludf.DUMMYFUNCTION("""COMPUTED_VALUE"""),"Expanding Wild, Scatter")</f>
        <v>Expanding Wild, Scatter</v>
      </c>
      <c r="Q95" s="7" t="str">
        <f>IFERROR(__xludf.DUMMYFUNCTION("""COMPUTED_VALUE"""),"https://static.redstone.rs/games/5-clover-fire-6-reels/")</f>
        <v>https://static.redstone.rs/games/5-clover-fire-6-reels/</v>
      </c>
      <c r="R95" s="5" t="str">
        <f>IFERROR(__xludf.DUMMYFUNCTION("""COMPUTED_VALUE"""),"More clovers, more fire, more ways to win! 5 Clover Fire 6 Reels delivers even more thrills on every spin.")</f>
        <v>More clovers, more fire, more ways to win! 5 Clover Fire 6 Reels delivers even more thrills on every spin.</v>
      </c>
      <c r="S9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5" s="5" t="str">
        <f>IFERROR(__xludf.DUMMYFUNCTION("""COMPUTED_VALUE"""),"Yes")</f>
        <v>Yes</v>
      </c>
      <c r="U95" s="5" t="str">
        <f>IFERROR(__xludf.DUMMYFUNCTION("""COMPUTED_VALUE"""),"Yes")</f>
        <v>Yes</v>
      </c>
      <c r="V95" s="5" t="str">
        <f>IFERROR(__xludf.DUMMYFUNCTION("""COMPUTED_VALUE"""),"No")</f>
        <v>No</v>
      </c>
      <c r="W95" s="5" t="str">
        <f>IFERROR(__xludf.DUMMYFUNCTION("""COMPUTED_VALUE"""),"Yes")</f>
        <v>Yes</v>
      </c>
      <c r="X95" s="5" t="str">
        <f>IFERROR(__xludf.DUMMYFUNCTION("""COMPUTED_VALUE"""),"Yes")</f>
        <v>Yes</v>
      </c>
      <c r="Y95" s="5" t="str">
        <f>IFERROR(__xludf.DUMMYFUNCTION("""COMPUTED_VALUE"""),"Yes")</f>
        <v>Yes</v>
      </c>
      <c r="Z95" s="5" t="str">
        <f>IFERROR(__xludf.DUMMYFUNCTION("""COMPUTED_VALUE"""),"Yes")</f>
        <v>Yes</v>
      </c>
      <c r="AA95" s="5" t="str">
        <f>IFERROR(__xludf.DUMMYFUNCTION("""COMPUTED_VALUE"""),"Yes")</f>
        <v>Yes</v>
      </c>
      <c r="AB95" s="5" t="str">
        <f>IFERROR(__xludf.DUMMYFUNCTION("""COMPUTED_VALUE"""),"Yes")</f>
        <v>Yes</v>
      </c>
      <c r="AC95" s="5" t="str">
        <f>IFERROR(__xludf.DUMMYFUNCTION("""COMPUTED_VALUE"""),"Yes")</f>
        <v>Yes</v>
      </c>
      <c r="AD95" s="5" t="str">
        <f>IFERROR(__xludf.DUMMYFUNCTION("""COMPUTED_VALUE"""),"Yes")</f>
        <v>Yes</v>
      </c>
      <c r="AE95" s="5" t="str">
        <f>IFERROR(__xludf.DUMMYFUNCTION("""COMPUTED_VALUE"""),"Yes")</f>
        <v>Yes</v>
      </c>
      <c r="AF95" s="5" t="str">
        <f>IFERROR(__xludf.DUMMYFUNCTION("""COMPUTED_VALUE"""),"Yes")</f>
        <v>Yes</v>
      </c>
      <c r="AG95" s="5" t="str">
        <f>IFERROR(__xludf.DUMMYFUNCTION("""COMPUTED_VALUE"""),"Yes")</f>
        <v>Yes</v>
      </c>
      <c r="AH95" s="5" t="str">
        <f>IFERROR(__xludf.DUMMYFUNCTION("""COMPUTED_VALUE"""),"Yes")</f>
        <v>Yes</v>
      </c>
      <c r="AI95" s="5" t="str">
        <f>IFERROR(__xludf.DUMMYFUNCTION("""COMPUTED_VALUE"""),"No")</f>
        <v>No</v>
      </c>
      <c r="AJ95" s="5" t="str">
        <f>IFERROR(__xludf.DUMMYFUNCTION("""COMPUTED_VALUE"""),"No")</f>
        <v>No</v>
      </c>
      <c r="AK95" s="5" t="str">
        <f>IFERROR(__xludf.DUMMYFUNCTION("""COMPUTED_VALUE"""),"No")</f>
        <v>No</v>
      </c>
      <c r="AL95" s="5" t="str">
        <f>IFERROR(__xludf.DUMMYFUNCTION("""COMPUTED_VALUE"""),"No")</f>
        <v>No</v>
      </c>
      <c r="AM95" s="5" t="str">
        <f>IFERROR(__xludf.DUMMYFUNCTION("""COMPUTED_VALUE"""),"No")</f>
        <v>No</v>
      </c>
      <c r="AN95" s="5" t="str">
        <f>IFERROR(__xludf.DUMMYFUNCTION("""COMPUTED_VALUE"""),"No")</f>
        <v>No</v>
      </c>
      <c r="AO95" s="5" t="str">
        <f>IFERROR(__xludf.DUMMYFUNCTION("""COMPUTED_VALUE"""),"Yes")</f>
        <v>Yes</v>
      </c>
      <c r="AP95" s="5" t="str">
        <f>IFERROR(__xludf.DUMMYFUNCTION("""COMPUTED_VALUE"""),"No")</f>
        <v>No</v>
      </c>
      <c r="AQ95" s="5" t="str">
        <f>IFERROR(__xludf.DUMMYFUNCTION("""COMPUTED_VALUE"""),"No")</f>
        <v>No</v>
      </c>
      <c r="AR95" s="5" t="str">
        <f>IFERROR(__xludf.DUMMYFUNCTION("""COMPUTED_VALUE"""),"No")</f>
        <v>No</v>
      </c>
      <c r="AS95" s="5" t="str">
        <f>IFERROR(__xludf.DUMMYFUNCTION("""COMPUTED_VALUE"""),"Yes")</f>
        <v>Yes</v>
      </c>
      <c r="AT95" s="5" t="str">
        <f>IFERROR(__xludf.DUMMYFUNCTION("""COMPUTED_VALUE"""),"No")</f>
        <v>No</v>
      </c>
      <c r="AU95" s="5"/>
      <c r="AV95" s="5" t="str">
        <f>IFERROR(__xludf.DUMMYFUNCTION("""COMPUTED_VALUE"""),"")</f>
        <v/>
      </c>
      <c r="AW95" s="5" t="str">
        <f>IFERROR(__xludf.DUMMYFUNCTION("""COMPUTED_VALUE"""),"")</f>
        <v/>
      </c>
      <c r="AX95" s="5" t="str">
        <f>IFERROR(__xludf.DUMMYFUNCTION("""COMPUTED_VALUE"""),"")</f>
        <v/>
      </c>
      <c r="AY95" s="5" t="str">
        <f>IFERROR(__xludf.DUMMYFUNCTION("""COMPUTED_VALUE"""),"")</f>
        <v/>
      </c>
      <c r="AZ95" s="5" t="str">
        <f>IFERROR(__xludf.DUMMYFUNCTION("""COMPUTED_VALUE"""),"")</f>
        <v/>
      </c>
      <c r="BA95" s="5" t="str">
        <f>IFERROR(__xludf.DUMMYFUNCTION("""COMPUTED_VALUE"""),"")</f>
        <v/>
      </c>
      <c r="BB95" s="5" t="str">
        <f>IFERROR(__xludf.DUMMYFUNCTION("""COMPUTED_VALUE"""),"")</f>
        <v/>
      </c>
    </row>
    <row r="96">
      <c r="A96" s="5" t="str">
        <f>IFERROR(__xludf.DUMMYFUNCTION("""COMPUTED_VALUE"""),"Redstone")</f>
        <v>Redstone</v>
      </c>
      <c r="B96" s="5" t="str">
        <f>IFERROR(__xludf.DUMMYFUNCTION("""COMPUTED_VALUE"""),"10 Extra Bank")</f>
        <v>10 Extra Bank</v>
      </c>
      <c r="C96" s="5" t="str">
        <f>IFERROR(__xludf.DUMMYFUNCTION("""COMPUTED_VALUE"""),"Redstone10ExtraBank")</f>
        <v>Redstone10ExtraBank</v>
      </c>
      <c r="D96" s="6">
        <f>IFERROR(__xludf.DUMMYFUNCTION("""COMPUTED_VALUE"""),45880.0)</f>
        <v>45880</v>
      </c>
      <c r="E96" s="5" t="str">
        <f>IFERROR(__xludf.DUMMYFUNCTION("""COMPUTED_VALUE"""),"Slot")</f>
        <v>Slot</v>
      </c>
      <c r="F96" s="5">
        <f>IFERROR(__xludf.DUMMYFUNCTION("""COMPUTED_VALUE"""),6.3)</f>
        <v>6.3</v>
      </c>
      <c r="G96" s="5" t="str">
        <f>IFERROR(__xludf.DUMMYFUNCTION("""COMPUTED_VALUE"""),"5x3")</f>
        <v>5x3</v>
      </c>
      <c r="H96" s="5">
        <f>IFERROR(__xludf.DUMMYFUNCTION("""COMPUTED_VALUE"""),10.0)</f>
        <v>10</v>
      </c>
      <c r="I96" s="5">
        <f>IFERROR(__xludf.DUMMYFUNCTION("""COMPUTED_VALUE"""),10.0)</f>
        <v>10</v>
      </c>
      <c r="J96" s="5" t="str">
        <f>IFERROR(__xludf.DUMMYFUNCTION("""COMPUTED_VALUE"""),"96.25%")</f>
        <v>96.25%</v>
      </c>
      <c r="K96" s="5" t="str">
        <f>IFERROR(__xludf.DUMMYFUNCTION("""COMPUTED_VALUE"""),"High")</f>
        <v>High</v>
      </c>
      <c r="L96" s="5" t="str">
        <f>IFERROR(__xludf.DUMMYFUNCTION("""COMPUTED_VALUE"""),"14.44%")</f>
        <v>14.44%</v>
      </c>
      <c r="M96" s="5" t="str">
        <f>IFERROR(__xludf.DUMMYFUNCTION("""COMPUTED_VALUE"""),"x17500")</f>
        <v>x17500</v>
      </c>
      <c r="N96" s="5" t="str">
        <f>IFERROR(__xludf.DUMMYFUNCTION("""COMPUTED_VALUE"""),"0.01/50")</f>
        <v>0.01/50</v>
      </c>
      <c r="O96" s="5" t="str">
        <f>IFERROR(__xludf.DUMMYFUNCTION("""COMPUTED_VALUE"""),"No")</f>
        <v>No</v>
      </c>
      <c r="P96" s="5" t="str">
        <f>IFERROR(__xludf.DUMMYFUNCTION("""COMPUTED_VALUE"""),"Scatter, Wild Symbol, Win Multiplier")</f>
        <v>Scatter, Wild Symbol, Win Multiplier</v>
      </c>
      <c r="Q96" s="7" t="str">
        <f>IFERROR(__xludf.DUMMYFUNCTION("""COMPUTED_VALUE"""),"https://static.redstone.rs/games/10-extra-bank/")</f>
        <v>https://static.redstone.rs/games/10-extra-bank/</v>
      </c>
      <c r="R96" s="5" t="str">
        <f>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S9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6" s="5" t="str">
        <f>IFERROR(__xludf.DUMMYFUNCTION("""COMPUTED_VALUE"""),"Yes")</f>
        <v>Yes</v>
      </c>
      <c r="U96" s="5" t="str">
        <f>IFERROR(__xludf.DUMMYFUNCTION("""COMPUTED_VALUE"""),"Yes")</f>
        <v>Yes</v>
      </c>
      <c r="V96" s="5" t="str">
        <f>IFERROR(__xludf.DUMMYFUNCTION("""COMPUTED_VALUE"""),"No")</f>
        <v>No</v>
      </c>
      <c r="W96" s="5" t="str">
        <f>IFERROR(__xludf.DUMMYFUNCTION("""COMPUTED_VALUE"""),"Yes")</f>
        <v>Yes</v>
      </c>
      <c r="X96" s="5" t="str">
        <f>IFERROR(__xludf.DUMMYFUNCTION("""COMPUTED_VALUE"""),"Yes")</f>
        <v>Yes</v>
      </c>
      <c r="Y96" s="5" t="str">
        <f>IFERROR(__xludf.DUMMYFUNCTION("""COMPUTED_VALUE"""),"Yes")</f>
        <v>Yes</v>
      </c>
      <c r="Z96" s="5" t="str">
        <f>IFERROR(__xludf.DUMMYFUNCTION("""COMPUTED_VALUE"""),"Yes")</f>
        <v>Yes</v>
      </c>
      <c r="AA96" s="5" t="str">
        <f>IFERROR(__xludf.DUMMYFUNCTION("""COMPUTED_VALUE"""),"Yes")</f>
        <v>Yes</v>
      </c>
      <c r="AB96" s="5" t="str">
        <f>IFERROR(__xludf.DUMMYFUNCTION("""COMPUTED_VALUE"""),"Yes")</f>
        <v>Yes</v>
      </c>
      <c r="AC96" s="5" t="str">
        <f>IFERROR(__xludf.DUMMYFUNCTION("""COMPUTED_VALUE"""),"Yes")</f>
        <v>Yes</v>
      </c>
      <c r="AD96" s="5" t="str">
        <f>IFERROR(__xludf.DUMMYFUNCTION("""COMPUTED_VALUE"""),"Yes")</f>
        <v>Yes</v>
      </c>
      <c r="AE96" s="5" t="str">
        <f>IFERROR(__xludf.DUMMYFUNCTION("""COMPUTED_VALUE"""),"Yes")</f>
        <v>Yes</v>
      </c>
      <c r="AF96" s="5" t="str">
        <f>IFERROR(__xludf.DUMMYFUNCTION("""COMPUTED_VALUE"""),"Yes")</f>
        <v>Yes</v>
      </c>
      <c r="AG96" s="5" t="str">
        <f>IFERROR(__xludf.DUMMYFUNCTION("""COMPUTED_VALUE"""),"Yes")</f>
        <v>Yes</v>
      </c>
      <c r="AH96" s="5" t="str">
        <f>IFERROR(__xludf.DUMMYFUNCTION("""COMPUTED_VALUE"""),"Yes")</f>
        <v>Yes</v>
      </c>
      <c r="AI96" s="5" t="str">
        <f>IFERROR(__xludf.DUMMYFUNCTION("""COMPUTED_VALUE"""),"No")</f>
        <v>No</v>
      </c>
      <c r="AJ96" s="5" t="str">
        <f>IFERROR(__xludf.DUMMYFUNCTION("""COMPUTED_VALUE"""),"No")</f>
        <v>No</v>
      </c>
      <c r="AK96" s="5" t="str">
        <f>IFERROR(__xludf.DUMMYFUNCTION("""COMPUTED_VALUE"""),"No")</f>
        <v>No</v>
      </c>
      <c r="AL96" s="5" t="str">
        <f>IFERROR(__xludf.DUMMYFUNCTION("""COMPUTED_VALUE"""),"No")</f>
        <v>No</v>
      </c>
      <c r="AM96" s="5" t="str">
        <f>IFERROR(__xludf.DUMMYFUNCTION("""COMPUTED_VALUE"""),"No")</f>
        <v>No</v>
      </c>
      <c r="AN96" s="5" t="str">
        <f>IFERROR(__xludf.DUMMYFUNCTION("""COMPUTED_VALUE"""),"No")</f>
        <v>No</v>
      </c>
      <c r="AO96" s="5" t="str">
        <f>IFERROR(__xludf.DUMMYFUNCTION("""COMPUTED_VALUE"""),"Yes")</f>
        <v>Yes</v>
      </c>
      <c r="AP96" s="5" t="str">
        <f>IFERROR(__xludf.DUMMYFUNCTION("""COMPUTED_VALUE"""),"No")</f>
        <v>No</v>
      </c>
      <c r="AQ96" s="5" t="str">
        <f>IFERROR(__xludf.DUMMYFUNCTION("""COMPUTED_VALUE"""),"No")</f>
        <v>No</v>
      </c>
      <c r="AR96" s="5" t="str">
        <f>IFERROR(__xludf.DUMMYFUNCTION("""COMPUTED_VALUE"""),"No")</f>
        <v>No</v>
      </c>
      <c r="AS96" s="5" t="str">
        <f>IFERROR(__xludf.DUMMYFUNCTION("""COMPUTED_VALUE"""),"Yes")</f>
        <v>Yes</v>
      </c>
      <c r="AT96" s="5" t="str">
        <f>IFERROR(__xludf.DUMMYFUNCTION("""COMPUTED_VALUE"""),"No")</f>
        <v>No</v>
      </c>
      <c r="AU96" s="5"/>
      <c r="AV96" s="5" t="str">
        <f>IFERROR(__xludf.DUMMYFUNCTION("""COMPUTED_VALUE"""),"")</f>
        <v/>
      </c>
      <c r="AW96" s="5" t="str">
        <f>IFERROR(__xludf.DUMMYFUNCTION("""COMPUTED_VALUE"""),"")</f>
        <v/>
      </c>
      <c r="AX96" s="5" t="str">
        <f>IFERROR(__xludf.DUMMYFUNCTION("""COMPUTED_VALUE"""),"")</f>
        <v/>
      </c>
      <c r="AY96" s="5" t="str">
        <f>IFERROR(__xludf.DUMMYFUNCTION("""COMPUTED_VALUE"""),"")</f>
        <v/>
      </c>
      <c r="AZ96" s="5" t="str">
        <f>IFERROR(__xludf.DUMMYFUNCTION("""COMPUTED_VALUE"""),"")</f>
        <v/>
      </c>
      <c r="BA96" s="5" t="str">
        <f>IFERROR(__xludf.DUMMYFUNCTION("""COMPUTED_VALUE"""),"")</f>
        <v/>
      </c>
      <c r="BB96" s="5" t="str">
        <f>IFERROR(__xludf.DUMMYFUNCTION("""COMPUTED_VALUE"""),"")</f>
        <v/>
      </c>
    </row>
    <row r="97">
      <c r="A97" s="5" t="str">
        <f>IFERROR(__xludf.DUMMYFUNCTION("""COMPUTED_VALUE"""),"Redstone")</f>
        <v>Redstone</v>
      </c>
      <c r="B97" s="5" t="str">
        <f>IFERROR(__xludf.DUMMYFUNCTION("""COMPUTED_VALUE"""),"Sevens Heaven")</f>
        <v>Sevens Heaven</v>
      </c>
      <c r="C97" s="5" t="str">
        <f>IFERROR(__xludf.DUMMYFUNCTION("""COMPUTED_VALUE"""),"RedstoneSevensHeaven")</f>
        <v>RedstoneSevensHeaven</v>
      </c>
      <c r="D97" s="6">
        <f>IFERROR(__xludf.DUMMYFUNCTION("""COMPUTED_VALUE"""),45889.0)</f>
        <v>45889</v>
      </c>
      <c r="E97" s="5" t="str">
        <f>IFERROR(__xludf.DUMMYFUNCTION("""COMPUTED_VALUE"""),"Slot")</f>
        <v>Slot</v>
      </c>
      <c r="F97" s="5">
        <f>IFERROR(__xludf.DUMMYFUNCTION("""COMPUTED_VALUE"""),9.3)</f>
        <v>9.3</v>
      </c>
      <c r="G97" s="5"/>
      <c r="H97" s="5">
        <f>IFERROR(__xludf.DUMMYFUNCTION("""COMPUTED_VALUE"""),5.0)</f>
        <v>5</v>
      </c>
      <c r="I97" s="5">
        <f>IFERROR(__xludf.DUMMYFUNCTION("""COMPUTED_VALUE"""),5.0)</f>
        <v>5</v>
      </c>
      <c r="J97" s="5" t="str">
        <f>IFERROR(__xludf.DUMMYFUNCTION("""COMPUTED_VALUE"""),"95.99%")</f>
        <v>95.99%</v>
      </c>
      <c r="K97" s="5" t="str">
        <f>IFERROR(__xludf.DUMMYFUNCTION("""COMPUTED_VALUE"""),"Medium")</f>
        <v>Medium</v>
      </c>
      <c r="L97" s="5" t="str">
        <f>IFERROR(__xludf.DUMMYFUNCTION("""COMPUTED_VALUE"""),"8.61%")</f>
        <v>8.61%</v>
      </c>
      <c r="M97" s="5" t="str">
        <f>IFERROR(__xludf.DUMMYFUNCTION("""COMPUTED_VALUE"""),"x1202")</f>
        <v>x1202</v>
      </c>
      <c r="N97" s="5" t="str">
        <f>IFERROR(__xludf.DUMMYFUNCTION("""COMPUTED_VALUE"""),"0.01/50")</f>
        <v>0.01/50</v>
      </c>
      <c r="O97" s="5" t="str">
        <f>IFERROR(__xludf.DUMMYFUNCTION("""COMPUTED_VALUE"""),"No")</f>
        <v>No</v>
      </c>
      <c r="P97" s="5" t="str">
        <f>IFERROR(__xludf.DUMMYFUNCTION("""COMPUTED_VALUE"""),"Bonus Game with Free Spins, Buy Bonus, Wild Symbol, Special Wild")</f>
        <v>Bonus Game with Free Spins, Buy Bonus, Wild Symbol, Special Wild</v>
      </c>
      <c r="Q97" s="7" t="str">
        <f>IFERROR(__xludf.DUMMYFUNCTION("""COMPUTED_VALUE"""),"https://static.redstone.rs/games/sevens-heaven/")</f>
        <v>https://static.redstone.rs/games/sevens-heaven/</v>
      </c>
      <c r="R97" s="5" t="str">
        <f>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S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7" s="5" t="str">
        <f>IFERROR(__xludf.DUMMYFUNCTION("""COMPUTED_VALUE"""),"Yes")</f>
        <v>Yes</v>
      </c>
      <c r="U97" s="5" t="str">
        <f>IFERROR(__xludf.DUMMYFUNCTION("""COMPUTED_VALUE"""),"Yes")</f>
        <v>Yes</v>
      </c>
      <c r="V97" s="5" t="str">
        <f>IFERROR(__xludf.DUMMYFUNCTION("""COMPUTED_VALUE"""),"Yes")</f>
        <v>Yes</v>
      </c>
      <c r="W97" s="5" t="str">
        <f>IFERROR(__xludf.DUMMYFUNCTION("""COMPUTED_VALUE"""),"Yes")</f>
        <v>Yes</v>
      </c>
      <c r="X97" s="5" t="str">
        <f>IFERROR(__xludf.DUMMYFUNCTION("""COMPUTED_VALUE"""),"Yes")</f>
        <v>Yes</v>
      </c>
      <c r="Y97" s="5" t="str">
        <f>IFERROR(__xludf.DUMMYFUNCTION("""COMPUTED_VALUE"""),"Yes")</f>
        <v>Yes</v>
      </c>
      <c r="Z97" s="5" t="str">
        <f>IFERROR(__xludf.DUMMYFUNCTION("""COMPUTED_VALUE"""),"Yes")</f>
        <v>Yes</v>
      </c>
      <c r="AA97" s="5" t="str">
        <f>IFERROR(__xludf.DUMMYFUNCTION("""COMPUTED_VALUE"""),"Yes")</f>
        <v>Yes</v>
      </c>
      <c r="AB97" s="5" t="str">
        <f>IFERROR(__xludf.DUMMYFUNCTION("""COMPUTED_VALUE"""),"Yes")</f>
        <v>Yes</v>
      </c>
      <c r="AC97" s="5" t="str">
        <f>IFERROR(__xludf.DUMMYFUNCTION("""COMPUTED_VALUE"""),"Yes")</f>
        <v>Yes</v>
      </c>
      <c r="AD97" s="5" t="str">
        <f>IFERROR(__xludf.DUMMYFUNCTION("""COMPUTED_VALUE"""),"Yes")</f>
        <v>Yes</v>
      </c>
      <c r="AE97" s="5" t="str">
        <f>IFERROR(__xludf.DUMMYFUNCTION("""COMPUTED_VALUE"""),"Yes")</f>
        <v>Yes</v>
      </c>
      <c r="AF97" s="5" t="str">
        <f>IFERROR(__xludf.DUMMYFUNCTION("""COMPUTED_VALUE"""),"Yes")</f>
        <v>Yes</v>
      </c>
      <c r="AG97" s="5" t="str">
        <f>IFERROR(__xludf.DUMMYFUNCTION("""COMPUTED_VALUE"""),"Yes")</f>
        <v>Yes</v>
      </c>
      <c r="AH97" s="5" t="str">
        <f>IFERROR(__xludf.DUMMYFUNCTION("""COMPUTED_VALUE"""),"Yes")</f>
        <v>Yes</v>
      </c>
      <c r="AI97" s="5" t="str">
        <f>IFERROR(__xludf.DUMMYFUNCTION("""COMPUTED_VALUE"""),"Yes")</f>
        <v>Yes</v>
      </c>
      <c r="AJ97" s="5" t="str">
        <f>IFERROR(__xludf.DUMMYFUNCTION("""COMPUTED_VALUE"""),"Yes")</f>
        <v>Yes</v>
      </c>
      <c r="AK97" s="5" t="str">
        <f>IFERROR(__xludf.DUMMYFUNCTION("""COMPUTED_VALUE"""),"Yes")</f>
        <v>Yes</v>
      </c>
      <c r="AL97" s="5" t="str">
        <f>IFERROR(__xludf.DUMMYFUNCTION("""COMPUTED_VALUE"""),"Yes")</f>
        <v>Yes</v>
      </c>
      <c r="AM97" s="5"/>
      <c r="AN97" s="5"/>
      <c r="AO97" s="5"/>
      <c r="AP97" s="5"/>
      <c r="AQ97" s="5" t="str">
        <f>IFERROR(__xludf.DUMMYFUNCTION("""COMPUTED_VALUE"""),"Yes")</f>
        <v>Yes</v>
      </c>
      <c r="AR97" s="5"/>
      <c r="AS97" s="5"/>
      <c r="AT97" s="5"/>
      <c r="AU97" s="5"/>
      <c r="AV97" s="5" t="str">
        <f>IFERROR(__xludf.DUMMYFUNCTION("""COMPUTED_VALUE"""),"")</f>
        <v/>
      </c>
      <c r="AW97" s="5" t="str">
        <f>IFERROR(__xludf.DUMMYFUNCTION("""COMPUTED_VALUE"""),"")</f>
        <v/>
      </c>
      <c r="AX97" s="5" t="str">
        <f>IFERROR(__xludf.DUMMYFUNCTION("""COMPUTED_VALUE"""),"")</f>
        <v/>
      </c>
      <c r="AY97" s="5" t="str">
        <f>IFERROR(__xludf.DUMMYFUNCTION("""COMPUTED_VALUE"""),"")</f>
        <v/>
      </c>
      <c r="AZ97" s="5" t="str">
        <f>IFERROR(__xludf.DUMMYFUNCTION("""COMPUTED_VALUE"""),"")</f>
        <v/>
      </c>
      <c r="BA97" s="5" t="str">
        <f>IFERROR(__xludf.DUMMYFUNCTION("""COMPUTED_VALUE"""),"")</f>
        <v/>
      </c>
      <c r="BB97" s="5" t="str">
        <f>IFERROR(__xludf.DUMMYFUNCTION("""COMPUTED_VALUE"""),"")</f>
        <v/>
      </c>
    </row>
    <row r="98">
      <c r="A98" s="5" t="str">
        <f>IFERROR(__xludf.DUMMYFUNCTION("""COMPUTED_VALUE"""),"Redstone")</f>
        <v>Redstone</v>
      </c>
      <c r="B98" s="5" t="str">
        <f>IFERROR(__xludf.DUMMYFUNCTION("""COMPUTED_VALUE"""),"777: Extra Chance")</f>
        <v>777: Extra Chance</v>
      </c>
      <c r="C98" s="5" t="str">
        <f>IFERROR(__xludf.DUMMYFUNCTION("""COMPUTED_VALUE"""),"Redstone777ExtraChance")</f>
        <v>Redstone777ExtraChance</v>
      </c>
      <c r="D98" s="6">
        <f>IFERROR(__xludf.DUMMYFUNCTION("""COMPUTED_VALUE"""),45895.0)</f>
        <v>45895</v>
      </c>
      <c r="E98" s="5" t="str">
        <f>IFERROR(__xludf.DUMMYFUNCTION("""COMPUTED_VALUE"""),"Slot")</f>
        <v>Slot</v>
      </c>
      <c r="F98" s="5">
        <f>IFERROR(__xludf.DUMMYFUNCTION("""COMPUTED_VALUE"""),10.0)</f>
        <v>10</v>
      </c>
      <c r="G98" s="5" t="str">
        <f>IFERROR(__xludf.DUMMYFUNCTION("""COMPUTED_VALUE"""),"5x3")</f>
        <v>5x3</v>
      </c>
      <c r="H98" s="5">
        <f>IFERROR(__xludf.DUMMYFUNCTION("""COMPUTED_VALUE"""),5.0)</f>
        <v>5</v>
      </c>
      <c r="I98" s="5">
        <f>IFERROR(__xludf.DUMMYFUNCTION("""COMPUTED_VALUE"""),5.0)</f>
        <v>5</v>
      </c>
      <c r="J98" s="5" t="str">
        <f>IFERROR(__xludf.DUMMYFUNCTION("""COMPUTED_VALUE"""),"96%")</f>
        <v>96%</v>
      </c>
      <c r="K98" s="5" t="str">
        <f>IFERROR(__xludf.DUMMYFUNCTION("""COMPUTED_VALUE"""),"Medium")</f>
        <v>Medium</v>
      </c>
      <c r="L98" s="5" t="str">
        <f>IFERROR(__xludf.DUMMYFUNCTION("""COMPUTED_VALUE"""),"9.07%")</f>
        <v>9.07%</v>
      </c>
      <c r="M98" s="5" t="str">
        <f>IFERROR(__xludf.DUMMYFUNCTION("""COMPUTED_VALUE"""),"x1000")</f>
        <v>x1000</v>
      </c>
      <c r="N98" s="5" t="str">
        <f>IFERROR(__xludf.DUMMYFUNCTION("""COMPUTED_VALUE"""),"0.01/50")</f>
        <v>0.01/50</v>
      </c>
      <c r="O98" s="5" t="str">
        <f>IFERROR(__xludf.DUMMYFUNCTION("""COMPUTED_VALUE"""),"No")</f>
        <v>No</v>
      </c>
      <c r="P98" s="5" t="str">
        <f>IFERROR(__xludf.DUMMYFUNCTION("""COMPUTED_VALUE"""),"Respin")</f>
        <v>Respin</v>
      </c>
      <c r="Q98" s="7" t="str">
        <f>IFERROR(__xludf.DUMMYFUNCTION("""COMPUTED_VALUE"""),"https://static.redstone.rs/games/777-extra-chance/")</f>
        <v>https://static.redstone.rs/games/777-extra-chance/</v>
      </c>
      <c r="R98" s="5" t="str">
        <f>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S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8" s="5" t="str">
        <f>IFERROR(__xludf.DUMMYFUNCTION("""COMPUTED_VALUE"""),"Yes")</f>
        <v>Yes</v>
      </c>
      <c r="U98" s="5" t="str">
        <f>IFERROR(__xludf.DUMMYFUNCTION("""COMPUTED_VALUE"""),"Yes")</f>
        <v>Yes</v>
      </c>
      <c r="V98" s="5" t="str">
        <f>IFERROR(__xludf.DUMMYFUNCTION("""COMPUTED_VALUE"""),"Yes")</f>
        <v>Yes</v>
      </c>
      <c r="W98" s="5" t="str">
        <f>IFERROR(__xludf.DUMMYFUNCTION("""COMPUTED_VALUE"""),"Yes")</f>
        <v>Yes</v>
      </c>
      <c r="X98" s="5" t="str">
        <f>IFERROR(__xludf.DUMMYFUNCTION("""COMPUTED_VALUE"""),"Yes")</f>
        <v>Yes</v>
      </c>
      <c r="Y98" s="5" t="str">
        <f>IFERROR(__xludf.DUMMYFUNCTION("""COMPUTED_VALUE"""),"Yes")</f>
        <v>Yes</v>
      </c>
      <c r="Z98" s="5" t="str">
        <f>IFERROR(__xludf.DUMMYFUNCTION("""COMPUTED_VALUE"""),"Yes")</f>
        <v>Yes</v>
      </c>
      <c r="AA98" s="5" t="str">
        <f>IFERROR(__xludf.DUMMYFUNCTION("""COMPUTED_VALUE"""),"Yes")</f>
        <v>Yes</v>
      </c>
      <c r="AB98" s="5" t="str">
        <f>IFERROR(__xludf.DUMMYFUNCTION("""COMPUTED_VALUE"""),"Yes")</f>
        <v>Yes</v>
      </c>
      <c r="AC98" s="5" t="str">
        <f>IFERROR(__xludf.DUMMYFUNCTION("""COMPUTED_VALUE"""),"Yes")</f>
        <v>Yes</v>
      </c>
      <c r="AD98" s="5" t="str">
        <f>IFERROR(__xludf.DUMMYFUNCTION("""COMPUTED_VALUE"""),"Yes")</f>
        <v>Yes</v>
      </c>
      <c r="AE98" s="5" t="str">
        <f>IFERROR(__xludf.DUMMYFUNCTION("""COMPUTED_VALUE"""),"Yes")</f>
        <v>Yes</v>
      </c>
      <c r="AF98" s="5" t="str">
        <f>IFERROR(__xludf.DUMMYFUNCTION("""COMPUTED_VALUE"""),"Yes")</f>
        <v>Yes</v>
      </c>
      <c r="AG98" s="5" t="str">
        <f>IFERROR(__xludf.DUMMYFUNCTION("""COMPUTED_VALUE"""),"Yes")</f>
        <v>Yes</v>
      </c>
      <c r="AH98" s="5" t="str">
        <f>IFERROR(__xludf.DUMMYFUNCTION("""COMPUTED_VALUE"""),"Yes")</f>
        <v>Yes</v>
      </c>
      <c r="AI98" s="5" t="str">
        <f>IFERROR(__xludf.DUMMYFUNCTION("""COMPUTED_VALUE"""),"Yes")</f>
        <v>Yes</v>
      </c>
      <c r="AJ98" s="5" t="str">
        <f>IFERROR(__xludf.DUMMYFUNCTION("""COMPUTED_VALUE"""),"Yes")</f>
        <v>Yes</v>
      </c>
      <c r="AK98" s="5" t="str">
        <f>IFERROR(__xludf.DUMMYFUNCTION("""COMPUTED_VALUE"""),"Yes")</f>
        <v>Yes</v>
      </c>
      <c r="AL98" s="5" t="str">
        <f>IFERROR(__xludf.DUMMYFUNCTION("""COMPUTED_VALUE"""),"Yes")</f>
        <v>Yes</v>
      </c>
      <c r="AM98" s="5"/>
      <c r="AN98" s="5"/>
      <c r="AO98" s="5"/>
      <c r="AP98" s="5"/>
      <c r="AQ98" s="5" t="str">
        <f>IFERROR(__xludf.DUMMYFUNCTION("""COMPUTED_VALUE"""),"Yes")</f>
        <v>Yes</v>
      </c>
      <c r="AR98" s="5"/>
      <c r="AS98" s="5"/>
      <c r="AT98" s="5"/>
      <c r="AU98" s="5"/>
      <c r="AV98" s="5" t="str">
        <f>IFERROR(__xludf.DUMMYFUNCTION("""COMPUTED_VALUE"""),"")</f>
        <v/>
      </c>
      <c r="AW98" s="5" t="str">
        <f>IFERROR(__xludf.DUMMYFUNCTION("""COMPUTED_VALUE"""),"")</f>
        <v/>
      </c>
      <c r="AX98" s="5" t="str">
        <f>IFERROR(__xludf.DUMMYFUNCTION("""COMPUTED_VALUE"""),"")</f>
        <v/>
      </c>
      <c r="AY98" s="5" t="str">
        <f>IFERROR(__xludf.DUMMYFUNCTION("""COMPUTED_VALUE"""),"")</f>
        <v/>
      </c>
      <c r="AZ98" s="5" t="str">
        <f>IFERROR(__xludf.DUMMYFUNCTION("""COMPUTED_VALUE"""),"")</f>
        <v/>
      </c>
      <c r="BA98" s="5" t="str">
        <f>IFERROR(__xludf.DUMMYFUNCTION("""COMPUTED_VALUE"""),"")</f>
        <v/>
      </c>
      <c r="BB98" s="5" t="str">
        <f>IFERROR(__xludf.DUMMYFUNCTION("""COMPUTED_VALUE"""),"")</f>
        <v/>
      </c>
    </row>
    <row r="99">
      <c r="A99" s="5" t="str">
        <f>IFERROR(__xludf.DUMMYFUNCTION("""COMPUTED_VALUE"""),"Redstone")</f>
        <v>Redstone</v>
      </c>
      <c r="B99" s="5" t="str">
        <f>IFERROR(__xludf.DUMMYFUNCTION("""COMPUTED_VALUE"""),"Divine Strike")</f>
        <v>Divine Strike</v>
      </c>
      <c r="C99" s="5" t="str">
        <f>IFERROR(__xludf.DUMMYFUNCTION("""COMPUTED_VALUE"""),"RedstoneDivineStrike")</f>
        <v>RedstoneDivineStrike</v>
      </c>
      <c r="D99" s="6">
        <f>IFERROR(__xludf.DUMMYFUNCTION("""COMPUTED_VALUE"""),45721.0)</f>
        <v>45721</v>
      </c>
      <c r="E99" s="5" t="str">
        <f>IFERROR(__xludf.DUMMYFUNCTION("""COMPUTED_VALUE"""),"Slot")</f>
        <v>Slot</v>
      </c>
      <c r="F99" s="5">
        <f>IFERROR(__xludf.DUMMYFUNCTION("""COMPUTED_VALUE"""),13.9)</f>
        <v>13.9</v>
      </c>
      <c r="G99" s="5" t="str">
        <f>IFERROR(__xludf.DUMMYFUNCTION("""COMPUTED_VALUE"""),"5x4")</f>
        <v>5x4</v>
      </c>
      <c r="H99" s="5">
        <f>IFERROR(__xludf.DUMMYFUNCTION("""COMPUTED_VALUE"""),40.0)</f>
        <v>40</v>
      </c>
      <c r="I99" s="5">
        <f>IFERROR(__xludf.DUMMYFUNCTION("""COMPUTED_VALUE"""),40.0)</f>
        <v>40</v>
      </c>
      <c r="J99" s="5" t="str">
        <f>IFERROR(__xludf.DUMMYFUNCTION("""COMPUTED_VALUE"""),"95.32%")</f>
        <v>95.32%</v>
      </c>
      <c r="K99" s="5" t="str">
        <f>IFERROR(__xludf.DUMMYFUNCTION("""COMPUTED_VALUE"""),"Medium")</f>
        <v>Medium</v>
      </c>
      <c r="L99" s="5" t="str">
        <f>IFERROR(__xludf.DUMMYFUNCTION("""COMPUTED_VALUE"""),"12.34%")</f>
        <v>12.34%</v>
      </c>
      <c r="M99" s="5" t="str">
        <f>IFERROR(__xludf.DUMMYFUNCTION("""COMPUTED_VALUE"""),"x2000")</f>
        <v>x2000</v>
      </c>
      <c r="N99" s="5" t="str">
        <f>IFERROR(__xludf.DUMMYFUNCTION("""COMPUTED_VALUE"""),"0.40/60")</f>
        <v>0.40/60</v>
      </c>
      <c r="O99" s="5" t="str">
        <f>IFERROR(__xludf.DUMMYFUNCTION("""COMPUTED_VALUE"""),"No")</f>
        <v>No</v>
      </c>
      <c r="P99" s="5" t="str">
        <f>IFERROR(__xludf.DUMMYFUNCTION("""COMPUTED_VALUE"""),"Buy Bonus, Ante Bet, Bonus Game with Free Spins, Special Wild")</f>
        <v>Buy Bonus, Ante Bet, Bonus Game with Free Spins, Special Wild</v>
      </c>
      <c r="Q99" s="7" t="str">
        <f>IFERROR(__xludf.DUMMYFUNCTION("""COMPUTED_VALUE"""),"https://static.redstone.rs/games/divine-strike/")</f>
        <v>https://static.redstone.rs/games/divine-strike/</v>
      </c>
      <c r="R99" s="5" t="str">
        <f>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S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9" s="5" t="str">
        <f>IFERROR(__xludf.DUMMYFUNCTION("""COMPUTED_VALUE"""),"Yes")</f>
        <v>Yes</v>
      </c>
      <c r="U99" s="5" t="str">
        <f>IFERROR(__xludf.DUMMYFUNCTION("""COMPUTED_VALUE"""),"Yes")</f>
        <v>Yes</v>
      </c>
      <c r="V99" s="5" t="str">
        <f>IFERROR(__xludf.DUMMYFUNCTION("""COMPUTED_VALUE"""),"Yes")</f>
        <v>Yes</v>
      </c>
      <c r="W99" s="5" t="str">
        <f>IFERROR(__xludf.DUMMYFUNCTION("""COMPUTED_VALUE"""),"Yes")</f>
        <v>Yes</v>
      </c>
      <c r="X99" s="5" t="str">
        <f>IFERROR(__xludf.DUMMYFUNCTION("""COMPUTED_VALUE"""),"Yes")</f>
        <v>Yes</v>
      </c>
      <c r="Y99" s="5" t="str">
        <f>IFERROR(__xludf.DUMMYFUNCTION("""COMPUTED_VALUE"""),"Yes")</f>
        <v>Yes</v>
      </c>
      <c r="Z99" s="5" t="str">
        <f>IFERROR(__xludf.DUMMYFUNCTION("""COMPUTED_VALUE"""),"Yes")</f>
        <v>Yes</v>
      </c>
      <c r="AA99" s="5" t="str">
        <f>IFERROR(__xludf.DUMMYFUNCTION("""COMPUTED_VALUE"""),"Yes")</f>
        <v>Yes</v>
      </c>
      <c r="AB99" s="5" t="str">
        <f>IFERROR(__xludf.DUMMYFUNCTION("""COMPUTED_VALUE"""),"Yes")</f>
        <v>Yes</v>
      </c>
      <c r="AC99" s="5" t="str">
        <f>IFERROR(__xludf.DUMMYFUNCTION("""COMPUTED_VALUE"""),"Yes")</f>
        <v>Yes</v>
      </c>
      <c r="AD99" s="5" t="str">
        <f>IFERROR(__xludf.DUMMYFUNCTION("""COMPUTED_VALUE"""),"Yes")</f>
        <v>Yes</v>
      </c>
      <c r="AE99" s="5" t="str">
        <f>IFERROR(__xludf.DUMMYFUNCTION("""COMPUTED_VALUE"""),"Yes")</f>
        <v>Yes</v>
      </c>
      <c r="AF99" s="5" t="str">
        <f>IFERROR(__xludf.DUMMYFUNCTION("""COMPUTED_VALUE"""),"Yes")</f>
        <v>Yes</v>
      </c>
      <c r="AG99" s="5" t="str">
        <f>IFERROR(__xludf.DUMMYFUNCTION("""COMPUTED_VALUE"""),"Yes")</f>
        <v>Yes</v>
      </c>
      <c r="AH99" s="5" t="str">
        <f>IFERROR(__xludf.DUMMYFUNCTION("""COMPUTED_VALUE"""),"Yes")</f>
        <v>Yes</v>
      </c>
      <c r="AI99" s="5" t="str">
        <f>IFERROR(__xludf.DUMMYFUNCTION("""COMPUTED_VALUE"""),"Yes")</f>
        <v>Yes</v>
      </c>
      <c r="AJ99" s="5" t="str">
        <f>IFERROR(__xludf.DUMMYFUNCTION("""COMPUTED_VALUE"""),"Yes")</f>
        <v>Yes</v>
      </c>
      <c r="AK99" s="5" t="str">
        <f>IFERROR(__xludf.DUMMYFUNCTION("""COMPUTED_VALUE"""),"Yes")</f>
        <v>Yes</v>
      </c>
      <c r="AL99" s="5" t="str">
        <f>IFERROR(__xludf.DUMMYFUNCTION("""COMPUTED_VALUE"""),"Yes")</f>
        <v>Yes</v>
      </c>
      <c r="AM99" s="5"/>
      <c r="AN99" s="5"/>
      <c r="AO99" s="5"/>
      <c r="AP99" s="5"/>
      <c r="AQ99" s="5" t="str">
        <f>IFERROR(__xludf.DUMMYFUNCTION("""COMPUTED_VALUE"""),"Yes")</f>
        <v>Yes</v>
      </c>
      <c r="AR99" s="5"/>
      <c r="AS99" s="5"/>
      <c r="AT99" s="5"/>
      <c r="AU99" s="5"/>
      <c r="AV99" s="5" t="str">
        <f>IFERROR(__xludf.DUMMYFUNCTION("""COMPUTED_VALUE"""),"")</f>
        <v/>
      </c>
      <c r="AW99" s="5" t="str">
        <f>IFERROR(__xludf.DUMMYFUNCTION("""COMPUTED_VALUE"""),"")</f>
        <v/>
      </c>
      <c r="AX99" s="5" t="str">
        <f>IFERROR(__xludf.DUMMYFUNCTION("""COMPUTED_VALUE"""),"")</f>
        <v/>
      </c>
      <c r="AY99" s="5" t="str">
        <f>IFERROR(__xludf.DUMMYFUNCTION("""COMPUTED_VALUE"""),"")</f>
        <v/>
      </c>
      <c r="AZ99" s="5" t="str">
        <f>IFERROR(__xludf.DUMMYFUNCTION("""COMPUTED_VALUE"""),"")</f>
        <v/>
      </c>
      <c r="BA99" s="5" t="str">
        <f>IFERROR(__xludf.DUMMYFUNCTION("""COMPUTED_VALUE"""),"")</f>
        <v/>
      </c>
      <c r="BB99" s="5" t="str">
        <f>IFERROR(__xludf.DUMMYFUNCTION("""COMPUTED_VALUE"""),"")</f>
        <v/>
      </c>
    </row>
    <row r="100">
      <c r="A100" s="5" t="str">
        <f>IFERROR(__xludf.DUMMYFUNCTION("""COMPUTED_VALUE"""),"Redstone")</f>
        <v>Redstone</v>
      </c>
      <c r="B100" s="5" t="str">
        <f>IFERROR(__xludf.DUMMYFUNCTION("""COMPUTED_VALUE"""),"10 Wild Crown Halloween")</f>
        <v>10 Wild Crown Halloween</v>
      </c>
      <c r="C100" s="5" t="str">
        <f>IFERROR(__xludf.DUMMYFUNCTION("""COMPUTED_VALUE"""),"Redstone10WildCrownHalloween")</f>
        <v>Redstone10WildCrownHalloween</v>
      </c>
      <c r="D100" s="6">
        <f>IFERROR(__xludf.DUMMYFUNCTION("""COMPUTED_VALUE"""),45924.0)</f>
        <v>45924</v>
      </c>
      <c r="E100" s="5" t="str">
        <f>IFERROR(__xludf.DUMMYFUNCTION("""COMPUTED_VALUE"""),"Slot")</f>
        <v>Slot</v>
      </c>
      <c r="F100" s="5">
        <f>IFERROR(__xludf.DUMMYFUNCTION("""COMPUTED_VALUE"""),6.5)</f>
        <v>6.5</v>
      </c>
      <c r="G100" s="5" t="str">
        <f>IFERROR(__xludf.DUMMYFUNCTION("""COMPUTED_VALUE"""),"5x3")</f>
        <v>5x3</v>
      </c>
      <c r="H100" s="5">
        <f>IFERROR(__xludf.DUMMYFUNCTION("""COMPUTED_VALUE"""),10.0)</f>
        <v>10</v>
      </c>
      <c r="I100" s="5">
        <f>IFERROR(__xludf.DUMMYFUNCTION("""COMPUTED_VALUE"""),10.0)</f>
        <v>10</v>
      </c>
      <c r="J100" s="5" t="str">
        <f>IFERROR(__xludf.DUMMYFUNCTION("""COMPUTED_VALUE"""),"95.96%")</f>
        <v>95.96%</v>
      </c>
      <c r="K100" s="5" t="str">
        <f>IFERROR(__xludf.DUMMYFUNCTION("""COMPUTED_VALUE"""),"Medium")</f>
        <v>Medium</v>
      </c>
      <c r="L100" s="5" t="str">
        <f>IFERROR(__xludf.DUMMYFUNCTION("""COMPUTED_VALUE"""),"14.63%")</f>
        <v>14.63%</v>
      </c>
      <c r="M100" s="5" t="str">
        <f>IFERROR(__xludf.DUMMYFUNCTION("""COMPUTED_VALUE"""),"x1538")</f>
        <v>x1538</v>
      </c>
      <c r="N100" s="5" t="str">
        <f>IFERROR(__xludf.DUMMYFUNCTION("""COMPUTED_VALUE"""),"0.10/40")</f>
        <v>0.10/40</v>
      </c>
      <c r="O100" s="5" t="str">
        <f>IFERROR(__xludf.DUMMYFUNCTION("""COMPUTED_VALUE"""),"No")</f>
        <v>No</v>
      </c>
      <c r="P100" s="5" t="str">
        <f>IFERROR(__xludf.DUMMYFUNCTION("""COMPUTED_VALUE"""),"Expanding Wild, Scatter")</f>
        <v>Expanding Wild, Scatter</v>
      </c>
      <c r="Q100" s="7" t="str">
        <f>IFERROR(__xludf.DUMMYFUNCTION("""COMPUTED_VALUE"""),"https://static.redstone.rs/games/10-wild-crown-halloween/")</f>
        <v>https://static.redstone.rs/games/10-wild-crown-halloween/</v>
      </c>
      <c r="R100" s="5" t="str">
        <f>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S1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T100" s="5" t="str">
        <f>IFERROR(__xludf.DUMMYFUNCTION("""COMPUTED_VALUE"""),"Yes")</f>
        <v>Yes</v>
      </c>
      <c r="U100" s="5" t="str">
        <f>IFERROR(__xludf.DUMMYFUNCTION("""COMPUTED_VALUE"""),"Yes")</f>
        <v>Yes</v>
      </c>
      <c r="V100" s="5" t="str">
        <f>IFERROR(__xludf.DUMMYFUNCTION("""COMPUTED_VALUE"""),"Yes")</f>
        <v>Yes</v>
      </c>
      <c r="W100" s="5" t="str">
        <f>IFERROR(__xludf.DUMMYFUNCTION("""COMPUTED_VALUE"""),"Yes")</f>
        <v>Yes</v>
      </c>
      <c r="X100" s="5" t="str">
        <f>IFERROR(__xludf.DUMMYFUNCTION("""COMPUTED_VALUE"""),"Yes")</f>
        <v>Yes</v>
      </c>
      <c r="Y100" s="5" t="str">
        <f>IFERROR(__xludf.DUMMYFUNCTION("""COMPUTED_VALUE"""),"Yes")</f>
        <v>Yes</v>
      </c>
      <c r="Z100" s="5" t="str">
        <f>IFERROR(__xludf.DUMMYFUNCTION("""COMPUTED_VALUE"""),"Yes")</f>
        <v>Yes</v>
      </c>
      <c r="AA100" s="5" t="str">
        <f>IFERROR(__xludf.DUMMYFUNCTION("""COMPUTED_VALUE"""),"Yes")</f>
        <v>Yes</v>
      </c>
      <c r="AB100" s="5" t="str">
        <f>IFERROR(__xludf.DUMMYFUNCTION("""COMPUTED_VALUE"""),"Yes")</f>
        <v>Yes</v>
      </c>
      <c r="AC100" s="5" t="str">
        <f>IFERROR(__xludf.DUMMYFUNCTION("""COMPUTED_VALUE"""),"Yes")</f>
        <v>Yes</v>
      </c>
      <c r="AD100" s="5" t="str">
        <f>IFERROR(__xludf.DUMMYFUNCTION("""COMPUTED_VALUE"""),"Yes")</f>
        <v>Yes</v>
      </c>
      <c r="AE100" s="5" t="str">
        <f>IFERROR(__xludf.DUMMYFUNCTION("""COMPUTED_VALUE"""),"Yes")</f>
        <v>Yes</v>
      </c>
      <c r="AF100" s="5" t="str">
        <f>IFERROR(__xludf.DUMMYFUNCTION("""COMPUTED_VALUE"""),"Yes")</f>
        <v>Yes</v>
      </c>
      <c r="AG100" s="5" t="str">
        <f>IFERROR(__xludf.DUMMYFUNCTION("""COMPUTED_VALUE"""),"Yes")</f>
        <v>Yes</v>
      </c>
      <c r="AH100" s="5" t="str">
        <f>IFERROR(__xludf.DUMMYFUNCTION("""COMPUTED_VALUE"""),"Yes")</f>
        <v>Yes</v>
      </c>
      <c r="AI100" s="5" t="str">
        <f>IFERROR(__xludf.DUMMYFUNCTION("""COMPUTED_VALUE"""),"Yes")</f>
        <v>Yes</v>
      </c>
      <c r="AJ100" s="5" t="str">
        <f>IFERROR(__xludf.DUMMYFUNCTION("""COMPUTED_VALUE"""),"Yes")</f>
        <v>Yes</v>
      </c>
      <c r="AK100" s="5" t="str">
        <f>IFERROR(__xludf.DUMMYFUNCTION("""COMPUTED_VALUE"""),"Yes")</f>
        <v>Yes</v>
      </c>
      <c r="AL100" s="5" t="str">
        <f>IFERROR(__xludf.DUMMYFUNCTION("""COMPUTED_VALUE"""),"Yes")</f>
        <v>Yes</v>
      </c>
      <c r="AM100" s="5"/>
      <c r="AN100" s="5"/>
      <c r="AO100" s="5"/>
      <c r="AP100" s="5"/>
      <c r="AQ100" s="5" t="str">
        <f>IFERROR(__xludf.DUMMYFUNCTION("""COMPUTED_VALUE"""),"Yes")</f>
        <v>Yes</v>
      </c>
      <c r="AR100" s="5"/>
      <c r="AS100" s="5" t="str">
        <f>IFERROR(__xludf.DUMMYFUNCTION("""COMPUTED_VALUE"""),"Yes")</f>
        <v>Yes</v>
      </c>
      <c r="AT100" s="5"/>
      <c r="AU100" s="5"/>
      <c r="AV100" s="5" t="str">
        <f>IFERROR(__xludf.DUMMYFUNCTION("""COMPUTED_VALUE"""),"")</f>
        <v/>
      </c>
      <c r="AW100" s="5" t="str">
        <f>IFERROR(__xludf.DUMMYFUNCTION("""COMPUTED_VALUE"""),"")</f>
        <v/>
      </c>
      <c r="AX100" s="5" t="str">
        <f>IFERROR(__xludf.DUMMYFUNCTION("""COMPUTED_VALUE"""),"")</f>
        <v/>
      </c>
      <c r="AY100" s="5" t="str">
        <f>IFERROR(__xludf.DUMMYFUNCTION("""COMPUTED_VALUE"""),"")</f>
        <v/>
      </c>
      <c r="AZ100" s="5" t="str">
        <f>IFERROR(__xludf.DUMMYFUNCTION("""COMPUTED_VALUE"""),"")</f>
        <v/>
      </c>
      <c r="BA100" s="5" t="str">
        <f>IFERROR(__xludf.DUMMYFUNCTION("""COMPUTED_VALUE"""),"")</f>
        <v/>
      </c>
      <c r="BB100" s="5" t="str">
        <f>IFERROR(__xludf.DUMMYFUNCTION("""COMPUTED_VALUE"""),"")</f>
        <v/>
      </c>
    </row>
    <row r="101">
      <c r="A101" s="5" t="str">
        <f>IFERROR(__xludf.DUMMYFUNCTION("""COMPUTED_VALUE"""),"Redstone")</f>
        <v>Redstone</v>
      </c>
      <c r="B101" s="5" t="str">
        <f>IFERROR(__xludf.DUMMYFUNCTION("""COMPUTED_VALUE"""),"5 Clover Fire Halloween")</f>
        <v>5 Clover Fire Halloween</v>
      </c>
      <c r="C101" s="5" t="str">
        <f>IFERROR(__xludf.DUMMYFUNCTION("""COMPUTED_VALUE"""),"Redstone5CloverFireHalloween")</f>
        <v>Redstone5CloverFireHalloween</v>
      </c>
      <c r="D101" s="6">
        <f>IFERROR(__xludf.DUMMYFUNCTION("""COMPUTED_VALUE"""),45917.0)</f>
        <v>45917</v>
      </c>
      <c r="E101" s="5" t="str">
        <f>IFERROR(__xludf.DUMMYFUNCTION("""COMPUTED_VALUE"""),"Slot")</f>
        <v>Slot</v>
      </c>
      <c r="F101" s="5">
        <f>IFERROR(__xludf.DUMMYFUNCTION("""COMPUTED_VALUE"""),6.6)</f>
        <v>6.6</v>
      </c>
      <c r="G101" s="5" t="str">
        <f>IFERROR(__xludf.DUMMYFUNCTION("""COMPUTED_VALUE"""),"5x3")</f>
        <v>5x3</v>
      </c>
      <c r="H101" s="5">
        <f>IFERROR(__xludf.DUMMYFUNCTION("""COMPUTED_VALUE"""),5.0)</f>
        <v>5</v>
      </c>
      <c r="I101" s="5">
        <f>IFERROR(__xludf.DUMMYFUNCTION("""COMPUTED_VALUE"""),5.0)</f>
        <v>5</v>
      </c>
      <c r="J101" s="5" t="str">
        <f>IFERROR(__xludf.DUMMYFUNCTION("""COMPUTED_VALUE"""),"96.45%")</f>
        <v>96.45%</v>
      </c>
      <c r="K101" s="5" t="str">
        <f>IFERROR(__xludf.DUMMYFUNCTION("""COMPUTED_VALUE"""),"Medium")</f>
        <v>Medium</v>
      </c>
      <c r="L101" s="5" t="str">
        <f>IFERROR(__xludf.DUMMYFUNCTION("""COMPUTED_VALUE"""),"14.5%")</f>
        <v>14.5%</v>
      </c>
      <c r="M101" s="5" t="str">
        <f>IFERROR(__xludf.DUMMYFUNCTION("""COMPUTED_VALUE"""),"x1222")</f>
        <v>x1222</v>
      </c>
      <c r="N101" s="5" t="str">
        <f>IFERROR(__xludf.DUMMYFUNCTION("""COMPUTED_VALUE"""),"0.05/30")</f>
        <v>0.05/30</v>
      </c>
      <c r="O101" s="5" t="str">
        <f>IFERROR(__xludf.DUMMYFUNCTION("""COMPUTED_VALUE"""),"No")</f>
        <v>No</v>
      </c>
      <c r="P101" s="5" t="str">
        <f>IFERROR(__xludf.DUMMYFUNCTION("""COMPUTED_VALUE"""),"Expanding Wild, Scatter")</f>
        <v>Expanding Wild, Scatter</v>
      </c>
      <c r="Q101" s="7" t="str">
        <f>IFERROR(__xludf.DUMMYFUNCTION("""COMPUTED_VALUE"""),"https://static.redstone.rs/games/5-clover-fire-halloween/")</f>
        <v>https://static.redstone.rs/games/5-clover-fire-halloween/</v>
      </c>
      <c r="R101" s="5" t="str">
        <f>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S1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T101" s="5" t="str">
        <f>IFERROR(__xludf.DUMMYFUNCTION("""COMPUTED_VALUE"""),"Yes")</f>
        <v>Yes</v>
      </c>
      <c r="U101" s="5" t="str">
        <f>IFERROR(__xludf.DUMMYFUNCTION("""COMPUTED_VALUE"""),"Yes")</f>
        <v>Yes</v>
      </c>
      <c r="V101" s="5" t="str">
        <f>IFERROR(__xludf.DUMMYFUNCTION("""COMPUTED_VALUE"""),"Yes")</f>
        <v>Yes</v>
      </c>
      <c r="W101" s="5" t="str">
        <f>IFERROR(__xludf.DUMMYFUNCTION("""COMPUTED_VALUE"""),"Yes")</f>
        <v>Yes</v>
      </c>
      <c r="X101" s="5" t="str">
        <f>IFERROR(__xludf.DUMMYFUNCTION("""COMPUTED_VALUE"""),"Yes")</f>
        <v>Yes</v>
      </c>
      <c r="Y101" s="5" t="str">
        <f>IFERROR(__xludf.DUMMYFUNCTION("""COMPUTED_VALUE"""),"Yes")</f>
        <v>Yes</v>
      </c>
      <c r="Z101" s="5" t="str">
        <f>IFERROR(__xludf.DUMMYFUNCTION("""COMPUTED_VALUE"""),"Yes")</f>
        <v>Yes</v>
      </c>
      <c r="AA101" s="5" t="str">
        <f>IFERROR(__xludf.DUMMYFUNCTION("""COMPUTED_VALUE"""),"Yes")</f>
        <v>Yes</v>
      </c>
      <c r="AB101" s="5" t="str">
        <f>IFERROR(__xludf.DUMMYFUNCTION("""COMPUTED_VALUE"""),"Yes")</f>
        <v>Yes</v>
      </c>
      <c r="AC101" s="5" t="str">
        <f>IFERROR(__xludf.DUMMYFUNCTION("""COMPUTED_VALUE"""),"Yes")</f>
        <v>Yes</v>
      </c>
      <c r="AD101" s="5" t="str">
        <f>IFERROR(__xludf.DUMMYFUNCTION("""COMPUTED_VALUE"""),"Yes")</f>
        <v>Yes</v>
      </c>
      <c r="AE101" s="5" t="str">
        <f>IFERROR(__xludf.DUMMYFUNCTION("""COMPUTED_VALUE"""),"Yes")</f>
        <v>Yes</v>
      </c>
      <c r="AF101" s="5" t="str">
        <f>IFERROR(__xludf.DUMMYFUNCTION("""COMPUTED_VALUE"""),"Yes")</f>
        <v>Yes</v>
      </c>
      <c r="AG101" s="5" t="str">
        <f>IFERROR(__xludf.DUMMYFUNCTION("""COMPUTED_VALUE"""),"Yes")</f>
        <v>Yes</v>
      </c>
      <c r="AH101" s="5" t="str">
        <f>IFERROR(__xludf.DUMMYFUNCTION("""COMPUTED_VALUE"""),"Yes")</f>
        <v>Yes</v>
      </c>
      <c r="AI101" s="5" t="str">
        <f>IFERROR(__xludf.DUMMYFUNCTION("""COMPUTED_VALUE"""),"Yes")</f>
        <v>Yes</v>
      </c>
      <c r="AJ101" s="5" t="str">
        <f>IFERROR(__xludf.DUMMYFUNCTION("""COMPUTED_VALUE"""),"Yes")</f>
        <v>Yes</v>
      </c>
      <c r="AK101" s="5" t="str">
        <f>IFERROR(__xludf.DUMMYFUNCTION("""COMPUTED_VALUE"""),"Yes")</f>
        <v>Yes</v>
      </c>
      <c r="AL101" s="5" t="str">
        <f>IFERROR(__xludf.DUMMYFUNCTION("""COMPUTED_VALUE"""),"Yes")</f>
        <v>Yes</v>
      </c>
      <c r="AM101" s="5" t="str">
        <f>IFERROR(__xludf.DUMMYFUNCTION("""COMPUTED_VALUE"""),"Yes")</f>
        <v>Yes</v>
      </c>
      <c r="AN101" s="5" t="str">
        <f>IFERROR(__xludf.DUMMYFUNCTION("""COMPUTED_VALUE"""),"Yes")</f>
        <v>Yes</v>
      </c>
      <c r="AO101" s="5"/>
      <c r="AP101" s="5"/>
      <c r="AQ101" s="5" t="str">
        <f>IFERROR(__xludf.DUMMYFUNCTION("""COMPUTED_VALUE"""),"Yes")</f>
        <v>Yes</v>
      </c>
      <c r="AR101" s="5"/>
      <c r="AS101" s="5" t="str">
        <f>IFERROR(__xludf.DUMMYFUNCTION("""COMPUTED_VALUE"""),"Yes")</f>
        <v>Yes</v>
      </c>
      <c r="AT101" s="5"/>
      <c r="AU101" s="5"/>
      <c r="AV101" s="5" t="str">
        <f>IFERROR(__xludf.DUMMYFUNCTION("""COMPUTED_VALUE"""),"")</f>
        <v/>
      </c>
      <c r="AW101" s="5" t="str">
        <f>IFERROR(__xludf.DUMMYFUNCTION("""COMPUTED_VALUE"""),"")</f>
        <v/>
      </c>
      <c r="AX101" s="5" t="str">
        <f>IFERROR(__xludf.DUMMYFUNCTION("""COMPUTED_VALUE"""),"")</f>
        <v/>
      </c>
      <c r="AY101" s="5" t="str">
        <f>IFERROR(__xludf.DUMMYFUNCTION("""COMPUTED_VALUE"""),"")</f>
        <v/>
      </c>
      <c r="AZ101" s="5" t="str">
        <f>IFERROR(__xludf.DUMMYFUNCTION("""COMPUTED_VALUE"""),"")</f>
        <v/>
      </c>
      <c r="BA101" s="5" t="str">
        <f>IFERROR(__xludf.DUMMYFUNCTION("""COMPUTED_VALUE"""),"")</f>
        <v/>
      </c>
      <c r="BB101" s="5" t="str">
        <f>IFERROR(__xludf.DUMMYFUNCTION("""COMPUTED_VALUE"""),"")</f>
        <v/>
      </c>
    </row>
    <row r="102">
      <c r="A102" s="5" t="str">
        <f>IFERROR(__xludf.DUMMYFUNCTION("""COMPUTED_VALUE"""),"Redstone")</f>
        <v>Redstone</v>
      </c>
      <c r="B102" s="5" t="str">
        <f>IFERROR(__xludf.DUMMYFUNCTION("""COMPUTED_VALUE"""),"Clover Field 40")</f>
        <v>Clover Field 40</v>
      </c>
      <c r="C102" s="5" t="str">
        <f>IFERROR(__xludf.DUMMYFUNCTION("""COMPUTED_VALUE"""),"Redstone40CloverField")</f>
        <v>Redstone40CloverField</v>
      </c>
      <c r="D102" s="6">
        <f>IFERROR(__xludf.DUMMYFUNCTION("""COMPUTED_VALUE"""),45933.0)</f>
        <v>45933</v>
      </c>
      <c r="E102" s="5" t="str">
        <f>IFERROR(__xludf.DUMMYFUNCTION("""COMPUTED_VALUE"""),"Slot")</f>
        <v>Slot</v>
      </c>
      <c r="F102" s="5">
        <f>IFERROR(__xludf.DUMMYFUNCTION("""COMPUTED_VALUE"""),6.5)</f>
        <v>6.5</v>
      </c>
      <c r="G102" s="5" t="str">
        <f>IFERROR(__xludf.DUMMYFUNCTION("""COMPUTED_VALUE"""),"5x4")</f>
        <v>5x4</v>
      </c>
      <c r="H102" s="5">
        <f>IFERROR(__xludf.DUMMYFUNCTION("""COMPUTED_VALUE"""),40.0)</f>
        <v>40</v>
      </c>
      <c r="I102" s="5">
        <f>IFERROR(__xludf.DUMMYFUNCTION("""COMPUTED_VALUE"""),40.0)</f>
        <v>40</v>
      </c>
      <c r="J102" s="5" t="str">
        <f>IFERROR(__xludf.DUMMYFUNCTION("""COMPUTED_VALUE"""),"96.27%")</f>
        <v>96.27%</v>
      </c>
      <c r="K102" s="5" t="str">
        <f>IFERROR(__xludf.DUMMYFUNCTION("""COMPUTED_VALUE"""),"Medium")</f>
        <v>Medium</v>
      </c>
      <c r="L102" s="5" t="str">
        <f>IFERROR(__xludf.DUMMYFUNCTION("""COMPUTED_VALUE"""),"13.88%")</f>
        <v>13.88%</v>
      </c>
      <c r="M102" s="5" t="str">
        <f>IFERROR(__xludf.DUMMYFUNCTION("""COMPUTED_VALUE"""),"x1000")</f>
        <v>x1000</v>
      </c>
      <c r="N102" s="5" t="str">
        <f>IFERROR(__xludf.DUMMYFUNCTION("""COMPUTED_VALUE"""),"0.04/50")</f>
        <v>0.04/50</v>
      </c>
      <c r="O102" s="5" t="str">
        <f>IFERROR(__xludf.DUMMYFUNCTION("""COMPUTED_VALUE"""),"No")</f>
        <v>No</v>
      </c>
      <c r="P102" s="5" t="str">
        <f>IFERROR(__xludf.DUMMYFUNCTION("""COMPUTED_VALUE"""),"Exploding Wild, Scatter")</f>
        <v>Exploding Wild, Scatter</v>
      </c>
      <c r="Q102" s="7" t="str">
        <f>IFERROR(__xludf.DUMMYFUNCTION("""COMPUTED_VALUE"""),"https://static.redstone.rs/games/clover-field-40/")</f>
        <v>https://static.redstone.rs/games/clover-field-40/</v>
      </c>
      <c r="R102" s="5" t="str">
        <f>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S102" s="5"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IFERROR(__xludf.DUMMYFUNCTION("""COMPUTED_VALUE"""),"Yes")</f>
        <v>Yes</v>
      </c>
      <c r="AA102" s="5" t="str">
        <f>IFERROR(__xludf.DUMMYFUNCTION("""COMPUTED_VALUE"""),"Yes")</f>
        <v>Yes</v>
      </c>
      <c r="AB102" s="5" t="str">
        <f>IFERROR(__xludf.DUMMYFUNCTION("""COMPUTED_VALUE"""),"Yes")</f>
        <v>Yes</v>
      </c>
      <c r="AC102" s="5" t="str">
        <f>IFERROR(__xludf.DUMMYFUNCTION("""COMPUTED_VALUE"""),"Yes")</f>
        <v>Yes</v>
      </c>
      <c r="AD102" s="5" t="str">
        <f>IFERROR(__xludf.DUMMYFUNCTION("""COMPUTED_VALUE"""),"Yes")</f>
        <v>Yes</v>
      </c>
      <c r="AE102" s="5" t="str">
        <f>IFERROR(__xludf.DUMMYFUNCTION("""COMPUTED_VALUE"""),"Yes")</f>
        <v>Yes</v>
      </c>
      <c r="AF102" s="5" t="str">
        <f>IFERROR(__xludf.DUMMYFUNCTION("""COMPUTED_VALUE"""),"Yes")</f>
        <v>Yes</v>
      </c>
      <c r="AG102" s="5" t="str">
        <f>IFERROR(__xludf.DUMMYFUNCTION("""COMPUTED_VALUE"""),"Yes")</f>
        <v>Yes</v>
      </c>
      <c r="AH102" s="5" t="str">
        <f>IFERROR(__xludf.DUMMYFUNCTION("""COMPUTED_VALUE"""),"Yes")</f>
        <v>Yes</v>
      </c>
      <c r="AI102" s="5" t="str">
        <f>IFERROR(__xludf.DUMMYFUNCTION("""COMPUTED_VALUE"""),"Yes")</f>
        <v>Yes</v>
      </c>
      <c r="AJ102" s="5" t="str">
        <f>IFERROR(__xludf.DUMMYFUNCTION("""COMPUTED_VALUE"""),"Yes")</f>
        <v>Yes</v>
      </c>
      <c r="AK102" s="5" t="str">
        <f>IFERROR(__xludf.DUMMYFUNCTION("""COMPUTED_VALUE"""),"No")</f>
        <v>No</v>
      </c>
      <c r="AL102" s="5" t="str">
        <f>IFERROR(__xludf.DUMMYFUNCTION("""COMPUTED_VALUE"""),"No")</f>
        <v>No</v>
      </c>
      <c r="AM102" s="5" t="str">
        <f>IFERROR(__xludf.DUMMYFUNCTION("""COMPUTED_VALUE"""),"No")</f>
        <v>No</v>
      </c>
      <c r="AN102" s="5" t="str">
        <f>IFERROR(__xludf.DUMMYFUNCTION("""COMPUTED_VALUE"""),"No")</f>
        <v>No</v>
      </c>
      <c r="AO102" s="5" t="str">
        <f>IFERROR(__xludf.DUMMYFUNCTION("""COMPUTED_VALUE"""),"Yes")</f>
        <v>Yes</v>
      </c>
      <c r="AP102" s="5" t="str">
        <f>IFERROR(__xludf.DUMMYFUNCTION("""COMPUTED_VALUE"""),"No")</f>
        <v>No</v>
      </c>
      <c r="AQ102" s="5" t="str">
        <f>IFERROR(__xludf.DUMMYFUNCTION("""COMPUTED_VALUE"""),"No")</f>
        <v>No</v>
      </c>
      <c r="AR102" s="5" t="str">
        <f>IFERROR(__xludf.DUMMYFUNCTION("""COMPUTED_VALUE"""),"No")</f>
        <v>No</v>
      </c>
      <c r="AS102" s="5" t="str">
        <f>IFERROR(__xludf.DUMMYFUNCTION("""COMPUTED_VALUE"""),"Yes")</f>
        <v>Yes</v>
      </c>
      <c r="AT102" s="5" t="str">
        <f>IFERROR(__xludf.DUMMYFUNCTION("""COMPUTED_VALUE"""),"No")</f>
        <v>No</v>
      </c>
      <c r="AU102" s="5"/>
      <c r="AV102" s="5" t="str">
        <f>IFERROR(__xludf.DUMMYFUNCTION("""COMPUTED_VALUE"""),"")</f>
        <v/>
      </c>
      <c r="AW102" s="5" t="str">
        <f>IFERROR(__xludf.DUMMYFUNCTION("""COMPUTED_VALUE"""),"")</f>
        <v/>
      </c>
      <c r="AX102" s="5" t="str">
        <f>IFERROR(__xludf.DUMMYFUNCTION("""COMPUTED_VALUE"""),"")</f>
        <v/>
      </c>
      <c r="AY102" s="5" t="str">
        <f>IFERROR(__xludf.DUMMYFUNCTION("""COMPUTED_VALUE"""),"")</f>
        <v/>
      </c>
      <c r="AZ102" s="5" t="str">
        <f>IFERROR(__xludf.DUMMYFUNCTION("""COMPUTED_VALUE"""),"")</f>
        <v/>
      </c>
      <c r="BA102" s="5" t="str">
        <f>IFERROR(__xludf.DUMMYFUNCTION("""COMPUTED_VALUE"""),"")</f>
        <v/>
      </c>
      <c r="BB102" s="5" t="str">
        <f>IFERROR(__xludf.DUMMYFUNCTION("""COMPUTED_VALUE"""),"")</f>
        <v/>
      </c>
    </row>
    <row r="103">
      <c r="A103" s="5" t="str">
        <f>IFERROR(__xludf.DUMMYFUNCTION("""COMPUTED_VALUE"""),"Redstone")</f>
        <v>Redstone</v>
      </c>
      <c r="B103" s="5" t="str">
        <f>IFERROR(__xludf.DUMMYFUNCTION("""COMPUTED_VALUE"""),"Multi Heart 5")</f>
        <v>Multi Heart 5</v>
      </c>
      <c r="C103" s="5" t="str">
        <f>IFERROR(__xludf.DUMMYFUNCTION("""COMPUTED_VALUE"""),"RedstoneMultiHeart5")</f>
        <v>RedstoneMultiHeart5</v>
      </c>
      <c r="D103" s="6">
        <f>IFERROR(__xludf.DUMMYFUNCTION("""COMPUTED_VALUE"""),45937.0)</f>
        <v>45937</v>
      </c>
      <c r="E103" s="5" t="str">
        <f>IFERROR(__xludf.DUMMYFUNCTION("""COMPUTED_VALUE"""),"Slot")</f>
        <v>Slot</v>
      </c>
      <c r="F103" s="5">
        <f>IFERROR(__xludf.DUMMYFUNCTION("""COMPUTED_VALUE"""),8.7)</f>
        <v>8.7</v>
      </c>
      <c r="G103" s="5" t="str">
        <f>IFERROR(__xludf.DUMMYFUNCTION("""COMPUTED_VALUE"""),"5x3")</f>
        <v>5x3</v>
      </c>
      <c r="H103" s="5">
        <f>IFERROR(__xludf.DUMMYFUNCTION("""COMPUTED_VALUE"""),5.0)</f>
        <v>5</v>
      </c>
      <c r="I103" s="5">
        <f>IFERROR(__xludf.DUMMYFUNCTION("""COMPUTED_VALUE"""),5.0)</f>
        <v>5</v>
      </c>
      <c r="J103" s="5" t="str">
        <f>IFERROR(__xludf.DUMMYFUNCTION("""COMPUTED_VALUE"""),"95.96%")</f>
        <v>95.96%</v>
      </c>
      <c r="K103" s="5" t="str">
        <f>IFERROR(__xludf.DUMMYFUNCTION("""COMPUTED_VALUE"""),"Medium")</f>
        <v>Medium</v>
      </c>
      <c r="L103" s="5" t="str">
        <f>IFERROR(__xludf.DUMMYFUNCTION("""COMPUTED_VALUE"""),"10.7%")</f>
        <v>10.7%</v>
      </c>
      <c r="M103" s="5" t="str">
        <f>IFERROR(__xludf.DUMMYFUNCTION("""COMPUTED_VALUE"""),"x2150")</f>
        <v>x2150</v>
      </c>
      <c r="N103" s="5" t="str">
        <f>IFERROR(__xludf.DUMMYFUNCTION("""COMPUTED_VALUE"""),"0.05/30")</f>
        <v>0.05/30</v>
      </c>
      <c r="O103" s="5" t="str">
        <f>IFERROR(__xludf.DUMMYFUNCTION("""COMPUTED_VALUE"""),"No")</f>
        <v>No</v>
      </c>
      <c r="P103" s="5" t="str">
        <f>IFERROR(__xludf.DUMMYFUNCTION("""COMPUTED_VALUE"""),"Expanding Wild, Wild Multiplier")</f>
        <v>Expanding Wild, Wild Multiplier</v>
      </c>
      <c r="Q103" s="7" t="str">
        <f>IFERROR(__xludf.DUMMYFUNCTION("""COMPUTED_VALUE"""),"https://static.redstone.rs/games/multi-heart-5/")</f>
        <v>https://static.redstone.rs/games/multi-heart-5/</v>
      </c>
      <c r="R103" s="5" t="str">
        <f>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S10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IFERROR(__xludf.DUMMYFUNCTION("""COMPUTED_VALUE"""),"Yes")</f>
        <v>Yes</v>
      </c>
      <c r="AA103" s="5" t="str">
        <f>IFERROR(__xludf.DUMMYFUNCTION("""COMPUTED_VALUE"""),"Yes")</f>
        <v>Yes</v>
      </c>
      <c r="AB103" s="5" t="str">
        <f>IFERROR(__xludf.DUMMYFUNCTION("""COMPUTED_VALUE"""),"Yes")</f>
        <v>Yes</v>
      </c>
      <c r="AC103" s="5" t="str">
        <f>IFERROR(__xludf.DUMMYFUNCTION("""COMPUTED_VALUE"""),"Yes")</f>
        <v>Yes</v>
      </c>
      <c r="AD103" s="5" t="str">
        <f>IFERROR(__xludf.DUMMYFUNCTION("""COMPUTED_VALUE"""),"Yes")</f>
        <v>Yes</v>
      </c>
      <c r="AE103" s="5" t="str">
        <f>IFERROR(__xludf.DUMMYFUNCTION("""COMPUTED_VALUE"""),"Yes")</f>
        <v>Yes</v>
      </c>
      <c r="AF103" s="5" t="str">
        <f>IFERROR(__xludf.DUMMYFUNCTION("""COMPUTED_VALUE"""),"Yes")</f>
        <v>Yes</v>
      </c>
      <c r="AG103" s="5" t="str">
        <f>IFERROR(__xludf.DUMMYFUNCTION("""COMPUTED_VALUE"""),"Yes")</f>
        <v>Yes</v>
      </c>
      <c r="AH103" s="5" t="str">
        <f>IFERROR(__xludf.DUMMYFUNCTION("""COMPUTED_VALUE"""),"Yes")</f>
        <v>Yes</v>
      </c>
      <c r="AI103" s="5" t="str">
        <f>IFERROR(__xludf.DUMMYFUNCTION("""COMPUTED_VALUE"""),"No")</f>
        <v>No</v>
      </c>
      <c r="AJ103" s="5" t="str">
        <f>IFERROR(__xludf.DUMMYFUNCTION("""COMPUTED_VALUE"""),"No")</f>
        <v>No</v>
      </c>
      <c r="AK103" s="5" t="str">
        <f>IFERROR(__xludf.DUMMYFUNCTION("""COMPUTED_VALUE"""),"No")</f>
        <v>No</v>
      </c>
      <c r="AL103" s="5" t="str">
        <f>IFERROR(__xludf.DUMMYFUNCTION("""COMPUTED_VALUE"""),"No")</f>
        <v>No</v>
      </c>
      <c r="AM103" s="5" t="str">
        <f>IFERROR(__xludf.DUMMYFUNCTION("""COMPUTED_VALUE"""),"No")</f>
        <v>No</v>
      </c>
      <c r="AN103" s="5" t="str">
        <f>IFERROR(__xludf.DUMMYFUNCTION("""COMPUTED_VALUE"""),"No")</f>
        <v>No</v>
      </c>
      <c r="AO103" s="5" t="str">
        <f>IFERROR(__xludf.DUMMYFUNCTION("""COMPUTED_VALUE"""),"Yes")</f>
        <v>Yes</v>
      </c>
      <c r="AP103" s="5" t="str">
        <f>IFERROR(__xludf.DUMMYFUNCTION("""COMPUTED_VALUE"""),"No")</f>
        <v>No</v>
      </c>
      <c r="AQ103" s="5" t="str">
        <f>IFERROR(__xludf.DUMMYFUNCTION("""COMPUTED_VALUE"""),"No")</f>
        <v>No</v>
      </c>
      <c r="AR103" s="5" t="str">
        <f>IFERROR(__xludf.DUMMYFUNCTION("""COMPUTED_VALUE"""),"No")</f>
        <v>No</v>
      </c>
      <c r="AS103" s="5" t="str">
        <f>IFERROR(__xludf.DUMMYFUNCTION("""COMPUTED_VALUE"""),"Yes")</f>
        <v>Yes</v>
      </c>
      <c r="AT103" s="5" t="str">
        <f>IFERROR(__xludf.DUMMYFUNCTION("""COMPUTED_VALUE"""),"No")</f>
        <v>No</v>
      </c>
      <c r="AU103" s="5"/>
      <c r="AV103" s="5" t="str">
        <f>IFERROR(__xludf.DUMMYFUNCTION("""COMPUTED_VALUE"""),"")</f>
        <v/>
      </c>
      <c r="AW103" s="5" t="str">
        <f>IFERROR(__xludf.DUMMYFUNCTION("""COMPUTED_VALUE"""),"")</f>
        <v/>
      </c>
      <c r="AX103" s="5" t="str">
        <f>IFERROR(__xludf.DUMMYFUNCTION("""COMPUTED_VALUE"""),"")</f>
        <v/>
      </c>
      <c r="AY103" s="5" t="str">
        <f>IFERROR(__xludf.DUMMYFUNCTION("""COMPUTED_VALUE"""),"")</f>
        <v/>
      </c>
      <c r="AZ103" s="5" t="str">
        <f>IFERROR(__xludf.DUMMYFUNCTION("""COMPUTED_VALUE"""),"")</f>
        <v/>
      </c>
      <c r="BA103" s="5" t="str">
        <f>IFERROR(__xludf.DUMMYFUNCTION("""COMPUTED_VALUE"""),"")</f>
        <v/>
      </c>
      <c r="BB103" s="5" t="str">
        <f>IFERROR(__xludf.DUMMYFUNCTION("""COMPUTED_VALUE"""),"")</f>
        <v/>
      </c>
    </row>
    <row r="104">
      <c r="A104" s="5" t="str">
        <f>IFERROR(__xludf.DUMMYFUNCTION("""COMPUTED_VALUE"""),"Redstone")</f>
        <v>Redstone</v>
      </c>
      <c r="B104" s="5" t="str">
        <f>IFERROR(__xludf.DUMMYFUNCTION("""COMPUTED_VALUE"""),"Chilli Hot 40")</f>
        <v>Chilli Hot 40</v>
      </c>
      <c r="C104" s="5" t="str">
        <f>IFERROR(__xludf.DUMMYFUNCTION("""COMPUTED_VALUE"""),"RedstoneChilliHot40")</f>
        <v>RedstoneChilliHot40</v>
      </c>
      <c r="D104" s="6">
        <f>IFERROR(__xludf.DUMMYFUNCTION("""COMPUTED_VALUE"""),45954.0)</f>
        <v>45954</v>
      </c>
      <c r="E104" s="5" t="str">
        <f>IFERROR(__xludf.DUMMYFUNCTION("""COMPUTED_VALUE"""),"Slot")</f>
        <v>Slot</v>
      </c>
      <c r="F104" s="5">
        <f>IFERROR(__xludf.DUMMYFUNCTION("""COMPUTED_VALUE"""),6.6)</f>
        <v>6.6</v>
      </c>
      <c r="G104" s="5" t="str">
        <f>IFERROR(__xludf.DUMMYFUNCTION("""COMPUTED_VALUE"""),"5x")</f>
        <v>5x</v>
      </c>
      <c r="H104" s="5">
        <f>IFERROR(__xludf.DUMMYFUNCTION("""COMPUTED_VALUE"""),40.0)</f>
        <v>40</v>
      </c>
      <c r="I104" s="5">
        <f>IFERROR(__xludf.DUMMYFUNCTION("""COMPUTED_VALUE"""),40.0)</f>
        <v>40</v>
      </c>
      <c r="J104" s="5" t="str">
        <f>IFERROR(__xludf.DUMMYFUNCTION("""COMPUTED_VALUE"""),"95.98%")</f>
        <v>95.98%</v>
      </c>
      <c r="K104" s="5" t="str">
        <f>IFERROR(__xludf.DUMMYFUNCTION("""COMPUTED_VALUE"""),"Medium")</f>
        <v>Medium</v>
      </c>
      <c r="L104" s="5" t="str">
        <f>IFERROR(__xludf.DUMMYFUNCTION("""COMPUTED_VALUE"""),"21.92%")</f>
        <v>21.92%</v>
      </c>
      <c r="M104" s="5" t="str">
        <f>IFERROR(__xludf.DUMMYFUNCTION("""COMPUTED_VALUE"""),"x727.5")</f>
        <v>x727.5</v>
      </c>
      <c r="N104" s="5" t="str">
        <f>IFERROR(__xludf.DUMMYFUNCTION("""COMPUTED_VALUE"""),"0.04/50")</f>
        <v>0.04/50</v>
      </c>
      <c r="O104" s="5" t="str">
        <f>IFERROR(__xludf.DUMMYFUNCTION("""COMPUTED_VALUE"""),"No")</f>
        <v>No</v>
      </c>
      <c r="P104" s="5" t="str">
        <f>IFERROR(__xludf.DUMMYFUNCTION("""COMPUTED_VALUE"""),"Expanding Wild, Scatter")</f>
        <v>Expanding Wild, Scatter</v>
      </c>
      <c r="Q104" s="7" t="str">
        <f>IFERROR(__xludf.DUMMYFUNCTION("""COMPUTED_VALUE"""),"https://static.redstone.rs/games/chilli-hot-40/")</f>
        <v>https://static.redstone.rs/games/chilli-hot-40/</v>
      </c>
      <c r="R104" s="5" t="str">
        <f>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S10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4" s="5" t="str">
        <f>IFERROR(__xludf.DUMMYFUNCTION("""COMPUTED_VALUE"""),"Yes")</f>
        <v>Yes</v>
      </c>
      <c r="U104" s="5" t="str">
        <f>IFERROR(__xludf.DUMMYFUNCTION("""COMPUTED_VALUE"""),"Yes")</f>
        <v>Yes</v>
      </c>
      <c r="V104" s="5" t="str">
        <f>IFERROR(__xludf.DUMMYFUNCTION("""COMPUTED_VALUE"""),"No")</f>
        <v>No</v>
      </c>
      <c r="W104" s="5" t="str">
        <f>IFERROR(__xludf.DUMMYFUNCTION("""COMPUTED_VALUE"""),"Yes")</f>
        <v>Yes</v>
      </c>
      <c r="X104" s="5" t="str">
        <f>IFERROR(__xludf.DUMMYFUNCTION("""COMPUTED_VALUE"""),"Yes")</f>
        <v>Yes</v>
      </c>
      <c r="Y104" s="5" t="str">
        <f>IFERROR(__xludf.DUMMYFUNCTION("""COMPUTED_VALUE"""),"Yes")</f>
        <v>Yes</v>
      </c>
      <c r="Z104" s="5" t="str">
        <f>IFERROR(__xludf.DUMMYFUNCTION("""COMPUTED_VALUE"""),"Yes")</f>
        <v>Yes</v>
      </c>
      <c r="AA104" s="5" t="str">
        <f>IFERROR(__xludf.DUMMYFUNCTION("""COMPUTED_VALUE"""),"Yes")</f>
        <v>Yes</v>
      </c>
      <c r="AB104" s="5" t="str">
        <f>IFERROR(__xludf.DUMMYFUNCTION("""COMPUTED_VALUE"""),"Yes")</f>
        <v>Yes</v>
      </c>
      <c r="AC104" s="5" t="str">
        <f>IFERROR(__xludf.DUMMYFUNCTION("""COMPUTED_VALUE"""),"Yes")</f>
        <v>Yes</v>
      </c>
      <c r="AD104" s="5" t="str">
        <f>IFERROR(__xludf.DUMMYFUNCTION("""COMPUTED_VALUE"""),"Yes")</f>
        <v>Yes</v>
      </c>
      <c r="AE104" s="5" t="str">
        <f>IFERROR(__xludf.DUMMYFUNCTION("""COMPUTED_VALUE"""),"Yes")</f>
        <v>Yes</v>
      </c>
      <c r="AF104" s="5" t="str">
        <f>IFERROR(__xludf.DUMMYFUNCTION("""COMPUTED_VALUE"""),"Yes")</f>
        <v>Yes</v>
      </c>
      <c r="AG104" s="5" t="str">
        <f>IFERROR(__xludf.DUMMYFUNCTION("""COMPUTED_VALUE"""),"Yes")</f>
        <v>Yes</v>
      </c>
      <c r="AH104" s="5" t="str">
        <f>IFERROR(__xludf.DUMMYFUNCTION("""COMPUTED_VALUE"""),"Yes")</f>
        <v>Yes</v>
      </c>
      <c r="AI104" s="5" t="str">
        <f>IFERROR(__xludf.DUMMYFUNCTION("""COMPUTED_VALUE"""),"No")</f>
        <v>No</v>
      </c>
      <c r="AJ104" s="5" t="str">
        <f>IFERROR(__xludf.DUMMYFUNCTION("""COMPUTED_VALUE"""),"No")</f>
        <v>No</v>
      </c>
      <c r="AK104" s="5" t="str">
        <f>IFERROR(__xludf.DUMMYFUNCTION("""COMPUTED_VALUE"""),"No")</f>
        <v>No</v>
      </c>
      <c r="AL104" s="5" t="str">
        <f>IFERROR(__xludf.DUMMYFUNCTION("""COMPUTED_VALUE"""),"No")</f>
        <v>No</v>
      </c>
      <c r="AM104" s="5" t="str">
        <f>IFERROR(__xludf.DUMMYFUNCTION("""COMPUTED_VALUE"""),"No")</f>
        <v>No</v>
      </c>
      <c r="AN104" s="5" t="str">
        <f>IFERROR(__xludf.DUMMYFUNCTION("""COMPUTED_VALUE"""),"No")</f>
        <v>No</v>
      </c>
      <c r="AO104" s="5" t="str">
        <f>IFERROR(__xludf.DUMMYFUNCTION("""COMPUTED_VALUE"""),"Yes")</f>
        <v>Yes</v>
      </c>
      <c r="AP104" s="5" t="str">
        <f>IFERROR(__xludf.DUMMYFUNCTION("""COMPUTED_VALUE"""),"No")</f>
        <v>No</v>
      </c>
      <c r="AQ104" s="5" t="str">
        <f>IFERROR(__xludf.DUMMYFUNCTION("""COMPUTED_VALUE"""),"No")</f>
        <v>No</v>
      </c>
      <c r="AR104" s="5" t="str">
        <f>IFERROR(__xludf.DUMMYFUNCTION("""COMPUTED_VALUE"""),"No")</f>
        <v>No</v>
      </c>
      <c r="AS104" s="5" t="str">
        <f>IFERROR(__xludf.DUMMYFUNCTION("""COMPUTED_VALUE"""),"Yes")</f>
        <v>Yes</v>
      </c>
      <c r="AT104" s="5" t="str">
        <f>IFERROR(__xludf.DUMMYFUNCTION("""COMPUTED_VALUE"""),"No")</f>
        <v>No</v>
      </c>
      <c r="AU104" s="5"/>
      <c r="AV104" s="5" t="str">
        <f>IFERROR(__xludf.DUMMYFUNCTION("""COMPUTED_VALUE"""),"")</f>
        <v/>
      </c>
      <c r="AW104" s="5" t="str">
        <f>IFERROR(__xludf.DUMMYFUNCTION("""COMPUTED_VALUE"""),"")</f>
        <v/>
      </c>
      <c r="AX104" s="5" t="str">
        <f>IFERROR(__xludf.DUMMYFUNCTION("""COMPUTED_VALUE"""),"")</f>
        <v/>
      </c>
      <c r="AY104" s="5" t="str">
        <f>IFERROR(__xludf.DUMMYFUNCTION("""COMPUTED_VALUE"""),"")</f>
        <v/>
      </c>
      <c r="AZ104" s="5" t="str">
        <f>IFERROR(__xludf.DUMMYFUNCTION("""COMPUTED_VALUE"""),"")</f>
        <v/>
      </c>
      <c r="BA104" s="5" t="str">
        <f>IFERROR(__xludf.DUMMYFUNCTION("""COMPUTED_VALUE"""),"")</f>
        <v/>
      </c>
      <c r="BB104" s="5" t="str">
        <f>IFERROR(__xludf.DUMMYFUNCTION("""COMPUTED_VALUE"""),"")</f>
        <v/>
      </c>
    </row>
    <row r="105">
      <c r="A105" s="5" t="str">
        <f>IFERROR(__xludf.DUMMYFUNCTION("""COMPUTED_VALUE"""),"Redstone")</f>
        <v>Redstone</v>
      </c>
      <c r="B105" s="5" t="str">
        <f>IFERROR(__xludf.DUMMYFUNCTION("""COMPUTED_VALUE"""),"Inferno Hot 20")</f>
        <v>Inferno Hot 20</v>
      </c>
      <c r="C105" s="5" t="str">
        <f>IFERROR(__xludf.DUMMYFUNCTION("""COMPUTED_VALUE"""),"RedstoneInfernoHot20")</f>
        <v>RedstoneInfernoHot20</v>
      </c>
      <c r="D105" s="6">
        <f>IFERROR(__xludf.DUMMYFUNCTION("""COMPUTED_VALUE"""),45964.0)</f>
        <v>45964</v>
      </c>
      <c r="E105" s="5" t="str">
        <f>IFERROR(__xludf.DUMMYFUNCTION("""COMPUTED_VALUE"""),"Slot")</f>
        <v>Slot</v>
      </c>
      <c r="F105" s="5">
        <f>IFERROR(__xludf.DUMMYFUNCTION("""COMPUTED_VALUE"""),13.2)</f>
        <v>13.2</v>
      </c>
      <c r="G105" s="5" t="str">
        <f>IFERROR(__xludf.DUMMYFUNCTION("""COMPUTED_VALUE"""),"5x3")</f>
        <v>5x3</v>
      </c>
      <c r="H105" s="5">
        <f>IFERROR(__xludf.DUMMYFUNCTION("""COMPUTED_VALUE"""),20.0)</f>
        <v>20</v>
      </c>
      <c r="I105" s="5"/>
      <c r="J105" s="5" t="str">
        <f>IFERROR(__xludf.DUMMYFUNCTION("""COMPUTED_VALUE"""),"95.98%")</f>
        <v>95.98%</v>
      </c>
      <c r="K105" s="5" t="str">
        <f>IFERROR(__xludf.DUMMYFUNCTION("""COMPUTED_VALUE"""),"Medium")</f>
        <v>Medium</v>
      </c>
      <c r="L105" s="5" t="str">
        <f>IFERROR(__xludf.DUMMYFUNCTION("""COMPUTED_VALUE"""),"15.99%")</f>
        <v>15.99%</v>
      </c>
      <c r="M105" s="5" t="str">
        <f>IFERROR(__xludf.DUMMYFUNCTION("""COMPUTED_VALUE"""),"x1000")</f>
        <v>x1000</v>
      </c>
      <c r="N105" s="5" t="str">
        <f>IFERROR(__xludf.DUMMYFUNCTION("""COMPUTED_VALUE"""),"0.04/60")</f>
        <v>0.04/60</v>
      </c>
      <c r="O105" s="5" t="str">
        <f>IFERROR(__xludf.DUMMYFUNCTION("""COMPUTED_VALUE"""),"No")</f>
        <v>No</v>
      </c>
      <c r="P105" s="5" t="str">
        <f>IFERROR(__xludf.DUMMYFUNCTION("""COMPUTED_VALUE"""),"Special Wild, Bonus Game with Free Spins, Scatter")</f>
        <v>Special Wild, Bonus Game with Free Spins, Scatter</v>
      </c>
      <c r="Q105" s="7" t="str">
        <f>IFERROR(__xludf.DUMMYFUNCTION("""COMPUTED_VALUE"""),"https://static.redstone.rs/games/inferno-hot-20/")</f>
        <v>https://static.redstone.rs/games/inferno-hot-20/</v>
      </c>
      <c r="R105" s="5" t="str">
        <f>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S10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IFERROR(__xludf.DUMMYFUNCTION("""COMPUTED_VALUE"""),"Yes")</f>
        <v>Yes</v>
      </c>
      <c r="AA105" s="5" t="str">
        <f>IFERROR(__xludf.DUMMYFUNCTION("""COMPUTED_VALUE"""),"Yes")</f>
        <v>Yes</v>
      </c>
      <c r="AB105" s="5" t="str">
        <f>IFERROR(__xludf.DUMMYFUNCTION("""COMPUTED_VALUE"""),"Yes")</f>
        <v>Yes</v>
      </c>
      <c r="AC105" s="5" t="str">
        <f>IFERROR(__xludf.DUMMYFUNCTION("""COMPUTED_VALUE"""),"Yes")</f>
        <v>Yes</v>
      </c>
      <c r="AD105" s="5" t="str">
        <f>IFERROR(__xludf.DUMMYFUNCTION("""COMPUTED_VALUE"""),"Yes")</f>
        <v>Yes</v>
      </c>
      <c r="AE105" s="5" t="str">
        <f>IFERROR(__xludf.DUMMYFUNCTION("""COMPUTED_VALUE"""),"Yes")</f>
        <v>Yes</v>
      </c>
      <c r="AF105" s="5" t="str">
        <f>IFERROR(__xludf.DUMMYFUNCTION("""COMPUTED_VALUE"""),"Yes")</f>
        <v>Yes</v>
      </c>
      <c r="AG105" s="5" t="str">
        <f>IFERROR(__xludf.DUMMYFUNCTION("""COMPUTED_VALUE"""),"Yes")</f>
        <v>Yes</v>
      </c>
      <c r="AH105" s="5" t="str">
        <f>IFERROR(__xludf.DUMMYFUNCTION("""COMPUTED_VALUE"""),"Yes")</f>
        <v>Yes</v>
      </c>
      <c r="AI105" s="5" t="str">
        <f>IFERROR(__xludf.DUMMYFUNCTION("""COMPUTED_VALUE"""),"No")</f>
        <v>No</v>
      </c>
      <c r="AJ105" s="5" t="str">
        <f>IFERROR(__xludf.DUMMYFUNCTION("""COMPUTED_VALUE"""),"No")</f>
        <v>No</v>
      </c>
      <c r="AK105" s="5" t="str">
        <f>IFERROR(__xludf.DUMMYFUNCTION("""COMPUTED_VALUE"""),"No")</f>
        <v>No</v>
      </c>
      <c r="AL105" s="5" t="str">
        <f>IFERROR(__xludf.DUMMYFUNCTION("""COMPUTED_VALUE"""),"No")</f>
        <v>No</v>
      </c>
      <c r="AM105" s="5" t="str">
        <f>IFERROR(__xludf.DUMMYFUNCTION("""COMPUTED_VALUE"""),"No")</f>
        <v>No</v>
      </c>
      <c r="AN105" s="5" t="str">
        <f>IFERROR(__xludf.DUMMYFUNCTION("""COMPUTED_VALUE"""),"No")</f>
        <v>No</v>
      </c>
      <c r="AO105" s="5" t="str">
        <f>IFERROR(__xludf.DUMMYFUNCTION("""COMPUTED_VALUE"""),"Yes")</f>
        <v>Yes</v>
      </c>
      <c r="AP105" s="5" t="str">
        <f>IFERROR(__xludf.DUMMYFUNCTION("""COMPUTED_VALUE"""),"No")</f>
        <v>No</v>
      </c>
      <c r="AQ105" s="5" t="str">
        <f>IFERROR(__xludf.DUMMYFUNCTION("""COMPUTED_VALUE"""),"No")</f>
        <v>No</v>
      </c>
      <c r="AR105" s="5" t="str">
        <f>IFERROR(__xludf.DUMMYFUNCTION("""COMPUTED_VALUE"""),"No")</f>
        <v>No</v>
      </c>
      <c r="AS105" s="5" t="str">
        <f>IFERROR(__xludf.DUMMYFUNCTION("""COMPUTED_VALUE"""),"Yes")</f>
        <v>Yes</v>
      </c>
      <c r="AT105" s="5" t="str">
        <f>IFERROR(__xludf.DUMMYFUNCTION("""COMPUTED_VALUE"""),"No")</f>
        <v>No</v>
      </c>
      <c r="AU105" s="5"/>
      <c r="AV105" s="5" t="str">
        <f>IFERROR(__xludf.DUMMYFUNCTION("""COMPUTED_VALUE"""),"")</f>
        <v/>
      </c>
      <c r="AW105" s="5" t="str">
        <f>IFERROR(__xludf.DUMMYFUNCTION("""COMPUTED_VALUE"""),"")</f>
        <v/>
      </c>
      <c r="AX105" s="5" t="str">
        <f>IFERROR(__xludf.DUMMYFUNCTION("""COMPUTED_VALUE"""),"")</f>
        <v/>
      </c>
      <c r="AY105" s="5" t="str">
        <f>IFERROR(__xludf.DUMMYFUNCTION("""COMPUTED_VALUE"""),"")</f>
        <v/>
      </c>
      <c r="AZ105" s="5" t="str">
        <f>IFERROR(__xludf.DUMMYFUNCTION("""COMPUTED_VALUE"""),"")</f>
        <v/>
      </c>
      <c r="BA105" s="5" t="str">
        <f>IFERROR(__xludf.DUMMYFUNCTION("""COMPUTED_VALUE"""),"")</f>
        <v/>
      </c>
      <c r="BB105" s="5" t="str">
        <f>IFERROR(__xludf.DUMMYFUNCTION("""COMPUTED_VALUE"""),"")</f>
        <v/>
      </c>
    </row>
    <row r="106">
      <c r="A106" s="5" t="str">
        <f>IFERROR(__xludf.DUMMYFUNCTION("""COMPUTED_VALUE"""),"Redstone")</f>
        <v>Redstone</v>
      </c>
      <c r="B106" s="5" t="str">
        <f>IFERROR(__xludf.DUMMYFUNCTION("""COMPUTED_VALUE"""),"Crown Blast 40")</f>
        <v>Crown Blast 40</v>
      </c>
      <c r="C106" s="5" t="str">
        <f>IFERROR(__xludf.DUMMYFUNCTION("""COMPUTED_VALUE"""),"RedstoneCrownBlast40")</f>
        <v>RedstoneCrownBlast40</v>
      </c>
      <c r="D106" s="6">
        <f>IFERROR(__xludf.DUMMYFUNCTION("""COMPUTED_VALUE"""),45971.0)</f>
        <v>45971</v>
      </c>
      <c r="E106" s="5" t="str">
        <f>IFERROR(__xludf.DUMMYFUNCTION("""COMPUTED_VALUE"""),"Slot")</f>
        <v>Slot</v>
      </c>
      <c r="F106" s="5">
        <f>IFERROR(__xludf.DUMMYFUNCTION("""COMPUTED_VALUE"""),9.0)</f>
        <v>9</v>
      </c>
      <c r="G106" s="5" t="str">
        <f>IFERROR(__xludf.DUMMYFUNCTION("""COMPUTED_VALUE"""),"5x4")</f>
        <v>5x4</v>
      </c>
      <c r="H106" s="5">
        <f>IFERROR(__xludf.DUMMYFUNCTION("""COMPUTED_VALUE"""),40.0)</f>
        <v>40</v>
      </c>
      <c r="I106" s="5">
        <f>IFERROR(__xludf.DUMMYFUNCTION("""COMPUTED_VALUE"""),40.0)</f>
        <v>40</v>
      </c>
      <c r="J106" s="5" t="str">
        <f>IFERROR(__xludf.DUMMYFUNCTION("""COMPUTED_VALUE"""),"96.27%")</f>
        <v>96.27%</v>
      </c>
      <c r="K106" s="5" t="str">
        <f>IFERROR(__xludf.DUMMYFUNCTION("""COMPUTED_VALUE"""),"Medium")</f>
        <v>Medium</v>
      </c>
      <c r="L106" s="5" t="str">
        <f>IFERROR(__xludf.DUMMYFUNCTION("""COMPUTED_VALUE"""),"13.88%")</f>
        <v>13.88%</v>
      </c>
      <c r="M106" s="5" t="str">
        <f>IFERROR(__xludf.DUMMYFUNCTION("""COMPUTED_VALUE"""),"x1000")</f>
        <v>x1000</v>
      </c>
      <c r="N106" s="5" t="str">
        <f>IFERROR(__xludf.DUMMYFUNCTION("""COMPUTED_VALUE"""),"0.04/50")</f>
        <v>0.04/50</v>
      </c>
      <c r="O106" s="5" t="str">
        <f>IFERROR(__xludf.DUMMYFUNCTION("""COMPUTED_VALUE"""),"No")</f>
        <v>No</v>
      </c>
      <c r="P106" s="5" t="str">
        <f>IFERROR(__xludf.DUMMYFUNCTION("""COMPUTED_VALUE"""),"Exploding Wild, Scatter")</f>
        <v>Exploding Wild, Scatter</v>
      </c>
      <c r="Q106" s="7" t="str">
        <f>IFERROR(__xludf.DUMMYFUNCTION("""COMPUTED_VALUE"""),"https://static.redstone.rs/games/crown-blast-40/")</f>
        <v>https://static.redstone.rs/games/crown-blast-40/</v>
      </c>
      <c r="R106" s="5" t="str">
        <f>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S10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6" s="5" t="str">
        <f>IFERROR(__xludf.DUMMYFUNCTION("""COMPUTED_VALUE"""),"Yes")</f>
        <v>Yes</v>
      </c>
      <c r="U106" s="5" t="str">
        <f>IFERROR(__xludf.DUMMYFUNCTION("""COMPUTED_VALUE"""),"Yes")</f>
        <v>Yes</v>
      </c>
      <c r="V106" s="5" t="str">
        <f>IFERROR(__xludf.DUMMYFUNCTION("""COMPUTED_VALUE"""),"No")</f>
        <v>No</v>
      </c>
      <c r="W106" s="5" t="str">
        <f>IFERROR(__xludf.DUMMYFUNCTION("""COMPUTED_VALUE"""),"Yes")</f>
        <v>Yes</v>
      </c>
      <c r="X106" s="5" t="str">
        <f>IFERROR(__xludf.DUMMYFUNCTION("""COMPUTED_VALUE"""),"Yes")</f>
        <v>Yes</v>
      </c>
      <c r="Y106" s="5" t="str">
        <f>IFERROR(__xludf.DUMMYFUNCTION("""COMPUTED_VALUE"""),"Yes")</f>
        <v>Yes</v>
      </c>
      <c r="Z106" s="5" t="str">
        <f>IFERROR(__xludf.DUMMYFUNCTION("""COMPUTED_VALUE"""),"Yes")</f>
        <v>Yes</v>
      </c>
      <c r="AA106" s="5" t="str">
        <f>IFERROR(__xludf.DUMMYFUNCTION("""COMPUTED_VALUE"""),"Yes")</f>
        <v>Yes</v>
      </c>
      <c r="AB106" s="5" t="str">
        <f>IFERROR(__xludf.DUMMYFUNCTION("""COMPUTED_VALUE"""),"Yes")</f>
        <v>Yes</v>
      </c>
      <c r="AC106" s="5" t="str">
        <f>IFERROR(__xludf.DUMMYFUNCTION("""COMPUTED_VALUE"""),"Yes")</f>
        <v>Yes</v>
      </c>
      <c r="AD106" s="5" t="str">
        <f>IFERROR(__xludf.DUMMYFUNCTION("""COMPUTED_VALUE"""),"Yes")</f>
        <v>Yes</v>
      </c>
      <c r="AE106" s="5" t="str">
        <f>IFERROR(__xludf.DUMMYFUNCTION("""COMPUTED_VALUE"""),"Yes")</f>
        <v>Yes</v>
      </c>
      <c r="AF106" s="5" t="str">
        <f>IFERROR(__xludf.DUMMYFUNCTION("""COMPUTED_VALUE"""),"Yes")</f>
        <v>Yes</v>
      </c>
      <c r="AG106" s="5" t="str">
        <f>IFERROR(__xludf.DUMMYFUNCTION("""COMPUTED_VALUE"""),"Yes")</f>
        <v>Yes</v>
      </c>
      <c r="AH106" s="5" t="str">
        <f>IFERROR(__xludf.DUMMYFUNCTION("""COMPUTED_VALUE"""),"Yes")</f>
        <v>Yes</v>
      </c>
      <c r="AI106" s="5" t="str">
        <f>IFERROR(__xludf.DUMMYFUNCTION("""COMPUTED_VALUE"""),"No")</f>
        <v>No</v>
      </c>
      <c r="AJ106" s="5" t="str">
        <f>IFERROR(__xludf.DUMMYFUNCTION("""COMPUTED_VALUE"""),"No")</f>
        <v>No</v>
      </c>
      <c r="AK106" s="5" t="str">
        <f>IFERROR(__xludf.DUMMYFUNCTION("""COMPUTED_VALUE"""),"No")</f>
        <v>No</v>
      </c>
      <c r="AL106" s="5" t="str">
        <f>IFERROR(__xludf.DUMMYFUNCTION("""COMPUTED_VALUE"""),"No")</f>
        <v>No</v>
      </c>
      <c r="AM106" s="5" t="str">
        <f>IFERROR(__xludf.DUMMYFUNCTION("""COMPUTED_VALUE"""),"No")</f>
        <v>No</v>
      </c>
      <c r="AN106" s="5" t="str">
        <f>IFERROR(__xludf.DUMMYFUNCTION("""COMPUTED_VALUE"""),"No")</f>
        <v>No</v>
      </c>
      <c r="AO106" s="5" t="str">
        <f>IFERROR(__xludf.DUMMYFUNCTION("""COMPUTED_VALUE"""),"Yes")</f>
        <v>Yes</v>
      </c>
      <c r="AP106" s="5" t="str">
        <f>IFERROR(__xludf.DUMMYFUNCTION("""COMPUTED_VALUE"""),"No")</f>
        <v>No</v>
      </c>
      <c r="AQ106" s="5" t="str">
        <f>IFERROR(__xludf.DUMMYFUNCTION("""COMPUTED_VALUE"""),"No")</f>
        <v>No</v>
      </c>
      <c r="AR106" s="5" t="str">
        <f>IFERROR(__xludf.DUMMYFUNCTION("""COMPUTED_VALUE"""),"No")</f>
        <v>No</v>
      </c>
      <c r="AS106" s="5" t="str">
        <f>IFERROR(__xludf.DUMMYFUNCTION("""COMPUTED_VALUE"""),"Yes")</f>
        <v>Yes</v>
      </c>
      <c r="AT106" s="5" t="str">
        <f>IFERROR(__xludf.DUMMYFUNCTION("""COMPUTED_VALUE"""),"No")</f>
        <v>No</v>
      </c>
      <c r="AU106" s="5"/>
      <c r="AV106" s="5" t="str">
        <f>IFERROR(__xludf.DUMMYFUNCTION("""COMPUTED_VALUE"""),"")</f>
        <v/>
      </c>
      <c r="AW106" s="5" t="str">
        <f>IFERROR(__xludf.DUMMYFUNCTION("""COMPUTED_VALUE"""),"")</f>
        <v/>
      </c>
      <c r="AX106" s="5" t="str">
        <f>IFERROR(__xludf.DUMMYFUNCTION("""COMPUTED_VALUE"""),"")</f>
        <v/>
      </c>
      <c r="AY106" s="5" t="str">
        <f>IFERROR(__xludf.DUMMYFUNCTION("""COMPUTED_VALUE"""),"")</f>
        <v/>
      </c>
      <c r="AZ106" s="5" t="str">
        <f>IFERROR(__xludf.DUMMYFUNCTION("""COMPUTED_VALUE"""),"")</f>
        <v/>
      </c>
      <c r="BA106" s="5" t="str">
        <f>IFERROR(__xludf.DUMMYFUNCTION("""COMPUTED_VALUE"""),"")</f>
        <v/>
      </c>
      <c r="BB106" s="5" t="str">
        <f>IFERROR(__xludf.DUMMYFUNCTION("""COMPUTED_VALUE"""),"")</f>
        <v/>
      </c>
    </row>
    <row r="107">
      <c r="A107" s="5" t="str">
        <f>IFERROR(__xludf.DUMMYFUNCTION("""COMPUTED_VALUE"""),"Redstone")</f>
        <v>Redstone</v>
      </c>
      <c r="B107" s="5" t="str">
        <f>IFERROR(__xludf.DUMMYFUNCTION("""COMPUTED_VALUE"""),"Chilli Double 40")</f>
        <v>Chilli Double 40</v>
      </c>
      <c r="C107" s="5" t="str">
        <f>IFERROR(__xludf.DUMMYFUNCTION("""COMPUTED_VALUE"""),"RedstoneChilliDouble40")</f>
        <v>RedstoneChilliDouble40</v>
      </c>
      <c r="D107" s="6">
        <f>IFERROR(__xludf.DUMMYFUNCTION("""COMPUTED_VALUE"""),45986.0)</f>
        <v>45986</v>
      </c>
      <c r="E107" s="5" t="str">
        <f>IFERROR(__xludf.DUMMYFUNCTION("""COMPUTED_VALUE"""),"Slot")</f>
        <v>Slot</v>
      </c>
      <c r="F107" s="5">
        <f>IFERROR(__xludf.DUMMYFUNCTION("""COMPUTED_VALUE"""),7.4)</f>
        <v>7.4</v>
      </c>
      <c r="G107" s="5" t="str">
        <f>IFERROR(__xludf.DUMMYFUNCTION("""COMPUTED_VALUE"""),"5x3")</f>
        <v>5x3</v>
      </c>
      <c r="H107" s="5">
        <f>IFERROR(__xludf.DUMMYFUNCTION("""COMPUTED_VALUE"""),40.0)</f>
        <v>40</v>
      </c>
      <c r="I107" s="5">
        <f>IFERROR(__xludf.DUMMYFUNCTION("""COMPUTED_VALUE"""),40.0)</f>
        <v>40</v>
      </c>
      <c r="J107" s="5" t="str">
        <f>IFERROR(__xludf.DUMMYFUNCTION("""COMPUTED_VALUE"""),"95.99%")</f>
        <v>95.99%</v>
      </c>
      <c r="K107" s="5" t="str">
        <f>IFERROR(__xludf.DUMMYFUNCTION("""COMPUTED_VALUE"""),"Medium")</f>
        <v>Medium</v>
      </c>
      <c r="L107" s="5" t="str">
        <f>IFERROR(__xludf.DUMMYFUNCTION("""COMPUTED_VALUE"""),"19.73%")</f>
        <v>19.73%</v>
      </c>
      <c r="M107" s="5" t="str">
        <f>IFERROR(__xludf.DUMMYFUNCTION("""COMPUTED_VALUE"""),"x1290")</f>
        <v>x1290</v>
      </c>
      <c r="N107" s="5" t="str">
        <f>IFERROR(__xludf.DUMMYFUNCTION("""COMPUTED_VALUE"""),"0.04/50")</f>
        <v>0.04/50</v>
      </c>
      <c r="O107" s="5" t="str">
        <f>IFERROR(__xludf.DUMMYFUNCTION("""COMPUTED_VALUE"""),"No")</f>
        <v>No</v>
      </c>
      <c r="P107" s="5" t="str">
        <f>IFERROR(__xludf.DUMMYFUNCTION("""COMPUTED_VALUE"""),"Expanding Wild, Scatter")</f>
        <v>Expanding Wild, Scatter</v>
      </c>
      <c r="Q107" s="7" t="str">
        <f>IFERROR(__xludf.DUMMYFUNCTION("""COMPUTED_VALUE"""),"https://static.redstone.rs/games/chilli-double-40/")</f>
        <v>https://static.redstone.rs/games/chilli-double-40/</v>
      </c>
      <c r="R107" s="5" t="str">
        <f>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S10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7" s="5" t="str">
        <f>IFERROR(__xludf.DUMMYFUNCTION("""COMPUTED_VALUE"""),"Yes")</f>
        <v>Yes</v>
      </c>
      <c r="U107" s="5" t="str">
        <f>IFERROR(__xludf.DUMMYFUNCTION("""COMPUTED_VALUE"""),"Yes")</f>
        <v>Yes</v>
      </c>
      <c r="V107" s="5" t="str">
        <f>IFERROR(__xludf.DUMMYFUNCTION("""COMPUTED_VALUE"""),"No")</f>
        <v>No</v>
      </c>
      <c r="W107" s="5" t="str">
        <f>IFERROR(__xludf.DUMMYFUNCTION("""COMPUTED_VALUE"""),"Yes")</f>
        <v>Yes</v>
      </c>
      <c r="X107" s="5" t="str">
        <f>IFERROR(__xludf.DUMMYFUNCTION("""COMPUTED_VALUE"""),"Yes")</f>
        <v>Yes</v>
      </c>
      <c r="Y107" s="5" t="str">
        <f>IFERROR(__xludf.DUMMYFUNCTION("""COMPUTED_VALUE"""),"Yes")</f>
        <v>Yes</v>
      </c>
      <c r="Z107" s="5" t="str">
        <f>IFERROR(__xludf.DUMMYFUNCTION("""COMPUTED_VALUE"""),"Yes")</f>
        <v>Yes</v>
      </c>
      <c r="AA107" s="5" t="str">
        <f>IFERROR(__xludf.DUMMYFUNCTION("""COMPUTED_VALUE"""),"Yes")</f>
        <v>Yes</v>
      </c>
      <c r="AB107" s="5" t="str">
        <f>IFERROR(__xludf.DUMMYFUNCTION("""COMPUTED_VALUE"""),"Yes")</f>
        <v>Yes</v>
      </c>
      <c r="AC107" s="5" t="str">
        <f>IFERROR(__xludf.DUMMYFUNCTION("""COMPUTED_VALUE"""),"Yes")</f>
        <v>Yes</v>
      </c>
      <c r="AD107" s="5" t="str">
        <f>IFERROR(__xludf.DUMMYFUNCTION("""COMPUTED_VALUE"""),"Yes")</f>
        <v>Yes</v>
      </c>
      <c r="AE107" s="5" t="str">
        <f>IFERROR(__xludf.DUMMYFUNCTION("""COMPUTED_VALUE"""),"Yes")</f>
        <v>Yes</v>
      </c>
      <c r="AF107" s="5" t="str">
        <f>IFERROR(__xludf.DUMMYFUNCTION("""COMPUTED_VALUE"""),"Yes")</f>
        <v>Yes</v>
      </c>
      <c r="AG107" s="5" t="str">
        <f>IFERROR(__xludf.DUMMYFUNCTION("""COMPUTED_VALUE"""),"Yes")</f>
        <v>Yes</v>
      </c>
      <c r="AH107" s="5" t="str">
        <f>IFERROR(__xludf.DUMMYFUNCTION("""COMPUTED_VALUE"""),"Yes")</f>
        <v>Yes</v>
      </c>
      <c r="AI107" s="5" t="str">
        <f>IFERROR(__xludf.DUMMYFUNCTION("""COMPUTED_VALUE"""),"No")</f>
        <v>No</v>
      </c>
      <c r="AJ107" s="5" t="str">
        <f>IFERROR(__xludf.DUMMYFUNCTION("""COMPUTED_VALUE"""),"No")</f>
        <v>No</v>
      </c>
      <c r="AK107" s="5" t="str">
        <f>IFERROR(__xludf.DUMMYFUNCTION("""COMPUTED_VALUE"""),"No")</f>
        <v>No</v>
      </c>
      <c r="AL107" s="5" t="str">
        <f>IFERROR(__xludf.DUMMYFUNCTION("""COMPUTED_VALUE"""),"No")</f>
        <v>No</v>
      </c>
      <c r="AM107" s="5" t="str">
        <f>IFERROR(__xludf.DUMMYFUNCTION("""COMPUTED_VALUE"""),"No")</f>
        <v>No</v>
      </c>
      <c r="AN107" s="5" t="str">
        <f>IFERROR(__xludf.DUMMYFUNCTION("""COMPUTED_VALUE"""),"No")</f>
        <v>No</v>
      </c>
      <c r="AO107" s="5" t="str">
        <f>IFERROR(__xludf.DUMMYFUNCTION("""COMPUTED_VALUE"""),"Yes")</f>
        <v>Yes</v>
      </c>
      <c r="AP107" s="5" t="str">
        <f>IFERROR(__xludf.DUMMYFUNCTION("""COMPUTED_VALUE"""),"No")</f>
        <v>No</v>
      </c>
      <c r="AQ107" s="5" t="str">
        <f>IFERROR(__xludf.DUMMYFUNCTION("""COMPUTED_VALUE"""),"No")</f>
        <v>No</v>
      </c>
      <c r="AR107" s="5" t="str">
        <f>IFERROR(__xludf.DUMMYFUNCTION("""COMPUTED_VALUE"""),"No")</f>
        <v>No</v>
      </c>
      <c r="AS107" s="5" t="str">
        <f>IFERROR(__xludf.DUMMYFUNCTION("""COMPUTED_VALUE"""),"Yes")</f>
        <v>Yes</v>
      </c>
      <c r="AT107" s="5" t="str">
        <f>IFERROR(__xludf.DUMMYFUNCTION("""COMPUTED_VALUE"""),"No")</f>
        <v>No</v>
      </c>
      <c r="AU107" s="5"/>
      <c r="AV107" s="5" t="str">
        <f>IFERROR(__xludf.DUMMYFUNCTION("""COMPUTED_VALUE"""),"")</f>
        <v/>
      </c>
      <c r="AW107" s="5" t="str">
        <f>IFERROR(__xludf.DUMMYFUNCTION("""COMPUTED_VALUE"""),"")</f>
        <v/>
      </c>
      <c r="AX107" s="5" t="str">
        <f>IFERROR(__xludf.DUMMYFUNCTION("""COMPUTED_VALUE"""),"")</f>
        <v/>
      </c>
      <c r="AY107" s="5" t="str">
        <f>IFERROR(__xludf.DUMMYFUNCTION("""COMPUTED_VALUE"""),"")</f>
        <v/>
      </c>
      <c r="AZ107" s="5" t="str">
        <f>IFERROR(__xludf.DUMMYFUNCTION("""COMPUTED_VALUE"""),"")</f>
        <v/>
      </c>
      <c r="BA107" s="5" t="str">
        <f>IFERROR(__xludf.DUMMYFUNCTION("""COMPUTED_VALUE"""),"")</f>
        <v/>
      </c>
      <c r="BB107" s="5" t="str">
        <f>IFERROR(__xludf.DUMMYFUNCTION("""COMPUTED_VALUE"""),"")</f>
        <v/>
      </c>
    </row>
    <row r="108">
      <c r="A108" s="5" t="str">
        <f>IFERROR(__xludf.DUMMYFUNCTION("""COMPUTED_VALUE"""),"Redstone")</f>
        <v>Redstone</v>
      </c>
      <c r="B108" s="5" t="str">
        <f>IFERROR(__xludf.DUMMYFUNCTION("""COMPUTED_VALUE"""),"Respin Gems")</f>
        <v>Respin Gems</v>
      </c>
      <c r="C108" s="5" t="str">
        <f>IFERROR(__xludf.DUMMYFUNCTION("""COMPUTED_VALUE"""),"RedstoneRespinGems")</f>
        <v>RedstoneRespinGems</v>
      </c>
      <c r="D108" s="6">
        <f>IFERROR(__xludf.DUMMYFUNCTION("""COMPUTED_VALUE"""),45992.0)</f>
        <v>45992</v>
      </c>
      <c r="E108" s="5" t="str">
        <f>IFERROR(__xludf.DUMMYFUNCTION("""COMPUTED_VALUE"""),"Slot")</f>
        <v>Slot</v>
      </c>
      <c r="F108" s="5">
        <f>IFERROR(__xludf.DUMMYFUNCTION("""COMPUTED_VALUE"""),9.8)</f>
        <v>9.8</v>
      </c>
      <c r="G108" s="5" t="str">
        <f>IFERROR(__xludf.DUMMYFUNCTION("""COMPUTED_VALUE"""),"5x3")</f>
        <v>5x3</v>
      </c>
      <c r="H108" s="5">
        <f>IFERROR(__xludf.DUMMYFUNCTION("""COMPUTED_VALUE"""),5.0)</f>
        <v>5</v>
      </c>
      <c r="I108" s="5">
        <f>IFERROR(__xludf.DUMMYFUNCTION("""COMPUTED_VALUE"""),5.0)</f>
        <v>5</v>
      </c>
      <c r="J108" s="5" t="str">
        <f>IFERROR(__xludf.DUMMYFUNCTION("""COMPUTED_VALUE"""),"95.96%")</f>
        <v>95.96%</v>
      </c>
      <c r="K108" s="5" t="str">
        <f>IFERROR(__xludf.DUMMYFUNCTION("""COMPUTED_VALUE"""),"Medium")</f>
        <v>Medium</v>
      </c>
      <c r="L108" s="5" t="str">
        <f>IFERROR(__xludf.DUMMYFUNCTION("""COMPUTED_VALUE"""),"11.39%")</f>
        <v>11.39%</v>
      </c>
      <c r="M108" s="5" t="str">
        <f>IFERROR(__xludf.DUMMYFUNCTION("""COMPUTED_VALUE"""),"x1222")</f>
        <v>x1222</v>
      </c>
      <c r="N108" s="5" t="str">
        <f>IFERROR(__xludf.DUMMYFUNCTION("""COMPUTED_VALUE"""),"0.02/60")</f>
        <v>0.02/60</v>
      </c>
      <c r="O108" s="5" t="str">
        <f>IFERROR(__xludf.DUMMYFUNCTION("""COMPUTED_VALUE"""),"No")</f>
        <v>No</v>
      </c>
      <c r="P108" s="5" t="str">
        <f>IFERROR(__xludf.DUMMYFUNCTION("""COMPUTED_VALUE"""),"Expanding Wild, Scatter, Sticky Wild")</f>
        <v>Expanding Wild, Scatter, Sticky Wild</v>
      </c>
      <c r="Q108" s="7" t="str">
        <f>IFERROR(__xludf.DUMMYFUNCTION("""COMPUTED_VALUE"""),"https://static.redstone.rs/games/respin-gems/")</f>
        <v>https://static.redstone.rs/games/respin-gems/</v>
      </c>
      <c r="R108" s="5" t="str">
        <f>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S10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8" s="5" t="str">
        <f>IFERROR(__xludf.DUMMYFUNCTION("""COMPUTED_VALUE"""),"Yes")</f>
        <v>Yes</v>
      </c>
      <c r="U108" s="5" t="str">
        <f>IFERROR(__xludf.DUMMYFUNCTION("""COMPUTED_VALUE"""),"Yes")</f>
        <v>Yes</v>
      </c>
      <c r="V108" s="5" t="str">
        <f>IFERROR(__xludf.DUMMYFUNCTION("""COMPUTED_VALUE"""),"No")</f>
        <v>No</v>
      </c>
      <c r="W108" s="5" t="str">
        <f>IFERROR(__xludf.DUMMYFUNCTION("""COMPUTED_VALUE"""),"Yes")</f>
        <v>Yes</v>
      </c>
      <c r="X108" s="5" t="str">
        <f>IFERROR(__xludf.DUMMYFUNCTION("""COMPUTED_VALUE"""),"Yes")</f>
        <v>Yes</v>
      </c>
      <c r="Y108" s="5" t="str">
        <f>IFERROR(__xludf.DUMMYFUNCTION("""COMPUTED_VALUE"""),"Yes")</f>
        <v>Yes</v>
      </c>
      <c r="Z108" s="5" t="str">
        <f>IFERROR(__xludf.DUMMYFUNCTION("""COMPUTED_VALUE"""),"Yes")</f>
        <v>Yes</v>
      </c>
      <c r="AA108" s="5" t="str">
        <f>IFERROR(__xludf.DUMMYFUNCTION("""COMPUTED_VALUE"""),"Yes")</f>
        <v>Yes</v>
      </c>
      <c r="AB108" s="5" t="str">
        <f>IFERROR(__xludf.DUMMYFUNCTION("""COMPUTED_VALUE"""),"Yes")</f>
        <v>Yes</v>
      </c>
      <c r="AC108" s="5" t="str">
        <f>IFERROR(__xludf.DUMMYFUNCTION("""COMPUTED_VALUE"""),"Yes")</f>
        <v>Yes</v>
      </c>
      <c r="AD108" s="5" t="str">
        <f>IFERROR(__xludf.DUMMYFUNCTION("""COMPUTED_VALUE"""),"Yes")</f>
        <v>Yes</v>
      </c>
      <c r="AE108" s="5" t="str">
        <f>IFERROR(__xludf.DUMMYFUNCTION("""COMPUTED_VALUE"""),"Yes")</f>
        <v>Yes</v>
      </c>
      <c r="AF108" s="5" t="str">
        <f>IFERROR(__xludf.DUMMYFUNCTION("""COMPUTED_VALUE"""),"Yes")</f>
        <v>Yes</v>
      </c>
      <c r="AG108" s="5" t="str">
        <f>IFERROR(__xludf.DUMMYFUNCTION("""COMPUTED_VALUE"""),"Yes")</f>
        <v>Yes</v>
      </c>
      <c r="AH108" s="5" t="str">
        <f>IFERROR(__xludf.DUMMYFUNCTION("""COMPUTED_VALUE"""),"Yes")</f>
        <v>Yes</v>
      </c>
      <c r="AI108" s="5" t="str">
        <f>IFERROR(__xludf.DUMMYFUNCTION("""COMPUTED_VALUE"""),"No")</f>
        <v>No</v>
      </c>
      <c r="AJ108" s="5" t="str">
        <f>IFERROR(__xludf.DUMMYFUNCTION("""COMPUTED_VALUE"""),"No")</f>
        <v>No</v>
      </c>
      <c r="AK108" s="5" t="str">
        <f>IFERROR(__xludf.DUMMYFUNCTION("""COMPUTED_VALUE"""),"No")</f>
        <v>No</v>
      </c>
      <c r="AL108" s="5" t="str">
        <f>IFERROR(__xludf.DUMMYFUNCTION("""COMPUTED_VALUE"""),"No")</f>
        <v>No</v>
      </c>
      <c r="AM108" s="5" t="str">
        <f>IFERROR(__xludf.DUMMYFUNCTION("""COMPUTED_VALUE"""),"No")</f>
        <v>No</v>
      </c>
      <c r="AN108" s="5" t="str">
        <f>IFERROR(__xludf.DUMMYFUNCTION("""COMPUTED_VALUE"""),"No")</f>
        <v>No</v>
      </c>
      <c r="AO108" s="5" t="str">
        <f>IFERROR(__xludf.DUMMYFUNCTION("""COMPUTED_VALUE"""),"Yes")</f>
        <v>Yes</v>
      </c>
      <c r="AP108" s="5" t="str">
        <f>IFERROR(__xludf.DUMMYFUNCTION("""COMPUTED_VALUE"""),"No")</f>
        <v>No</v>
      </c>
      <c r="AQ108" s="5" t="str">
        <f>IFERROR(__xludf.DUMMYFUNCTION("""COMPUTED_VALUE"""),"No")</f>
        <v>No</v>
      </c>
      <c r="AR108" s="5" t="str">
        <f>IFERROR(__xludf.DUMMYFUNCTION("""COMPUTED_VALUE"""),"No")</f>
        <v>No</v>
      </c>
      <c r="AS108" s="5" t="str">
        <f>IFERROR(__xludf.DUMMYFUNCTION("""COMPUTED_VALUE"""),"Yes")</f>
        <v>Yes</v>
      </c>
      <c r="AT108" s="5" t="str">
        <f>IFERROR(__xludf.DUMMYFUNCTION("""COMPUTED_VALUE"""),"No")</f>
        <v>No</v>
      </c>
      <c r="AU108" s="5"/>
      <c r="AV108" s="5" t="str">
        <f>IFERROR(__xludf.DUMMYFUNCTION("""COMPUTED_VALUE"""),"")</f>
        <v/>
      </c>
      <c r="AW108" s="5" t="str">
        <f>IFERROR(__xludf.DUMMYFUNCTION("""COMPUTED_VALUE"""),"")</f>
        <v/>
      </c>
      <c r="AX108" s="5" t="str">
        <f>IFERROR(__xludf.DUMMYFUNCTION("""COMPUTED_VALUE"""),"")</f>
        <v/>
      </c>
      <c r="AY108" s="5" t="str">
        <f>IFERROR(__xludf.DUMMYFUNCTION("""COMPUTED_VALUE"""),"")</f>
        <v/>
      </c>
      <c r="AZ108" s="5" t="str">
        <f>IFERROR(__xludf.DUMMYFUNCTION("""COMPUTED_VALUE"""),"")</f>
        <v/>
      </c>
      <c r="BA108" s="5" t="str">
        <f>IFERROR(__xludf.DUMMYFUNCTION("""COMPUTED_VALUE"""),"")</f>
        <v/>
      </c>
      <c r="BB108" s="5" t="str">
        <f>IFERROR(__xludf.DUMMYFUNCTION("""COMPUTED_VALUE"""),"")</f>
        <v/>
      </c>
    </row>
    <row r="109">
      <c r="A109" s="5" t="str">
        <f>IFERROR(__xludf.DUMMYFUNCTION("""COMPUTED_VALUE"""),"Redstone")</f>
        <v>Redstone</v>
      </c>
      <c r="B109" s="5" t="str">
        <f>IFERROR(__xludf.DUMMYFUNCTION("""COMPUTED_VALUE"""),"9 of a Kind")</f>
        <v>9 of a Kind</v>
      </c>
      <c r="C109" s="5" t="str">
        <f>IFERROR(__xludf.DUMMYFUNCTION("""COMPUTED_VALUE"""),"Redstone9ofaKind")</f>
        <v>Redstone9ofaKind</v>
      </c>
      <c r="D109" s="6">
        <f>IFERROR(__xludf.DUMMYFUNCTION("""COMPUTED_VALUE"""),45993.0)</f>
        <v>45993</v>
      </c>
      <c r="E109" s="5" t="str">
        <f>IFERROR(__xludf.DUMMYFUNCTION("""COMPUTED_VALUE"""),"Slot")</f>
        <v>Slot</v>
      </c>
      <c r="F109" s="5">
        <f>IFERROR(__xludf.DUMMYFUNCTION("""COMPUTED_VALUE"""),13.0)</f>
        <v>13</v>
      </c>
      <c r="G109" s="5" t="str">
        <f>IFERROR(__xludf.DUMMYFUNCTION("""COMPUTED_VALUE"""),"3x3")</f>
        <v>3x3</v>
      </c>
      <c r="H109" s="5">
        <f>IFERROR(__xludf.DUMMYFUNCTION("""COMPUTED_VALUE"""),5.0)</f>
        <v>5</v>
      </c>
      <c r="I109" s="5">
        <f>IFERROR(__xludf.DUMMYFUNCTION("""COMPUTED_VALUE"""),5.0)</f>
        <v>5</v>
      </c>
      <c r="J109" s="5" t="str">
        <f>IFERROR(__xludf.DUMMYFUNCTION("""COMPUTED_VALUE"""),"96.15%")</f>
        <v>96.15%</v>
      </c>
      <c r="K109" s="5" t="str">
        <f>IFERROR(__xludf.DUMMYFUNCTION("""COMPUTED_VALUE"""),"Medium")</f>
        <v>Medium</v>
      </c>
      <c r="L109" s="5" t="str">
        <f>IFERROR(__xludf.DUMMYFUNCTION("""COMPUTED_VALUE"""),"6.86%")</f>
        <v>6.86%</v>
      </c>
      <c r="M109" s="5" t="str">
        <f>IFERROR(__xludf.DUMMYFUNCTION("""COMPUTED_VALUE"""),"x500")</f>
        <v>x500</v>
      </c>
      <c r="N109" s="5" t="str">
        <f>IFERROR(__xludf.DUMMYFUNCTION("""COMPUTED_VALUE"""),"0.04/50")</f>
        <v>0.04/50</v>
      </c>
      <c r="O109" s="5" t="str">
        <f>IFERROR(__xludf.DUMMYFUNCTION("""COMPUTED_VALUE"""),"No")</f>
        <v>No</v>
      </c>
      <c r="P109" s="5" t="str">
        <f>IFERROR(__xludf.DUMMYFUNCTION("""COMPUTED_VALUE"""),"Wild Multiplier")</f>
        <v>Wild Multiplier</v>
      </c>
      <c r="Q109" s="7" t="str">
        <f>IFERROR(__xludf.DUMMYFUNCTION("""COMPUTED_VALUE"""),"https://static.redstone.rs/games/9-of-a-kind/")</f>
        <v>https://static.redstone.rs/games/9-of-a-kind/</v>
      </c>
      <c r="R109" s="5" t="str">
        <f>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S10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IFERROR(__xludf.DUMMYFUNCTION("""COMPUTED_VALUE"""),"Yes")</f>
        <v>Yes</v>
      </c>
      <c r="AA109" s="5" t="str">
        <f>IFERROR(__xludf.DUMMYFUNCTION("""COMPUTED_VALUE"""),"Yes")</f>
        <v>Yes</v>
      </c>
      <c r="AB109" s="5" t="str">
        <f>IFERROR(__xludf.DUMMYFUNCTION("""COMPUTED_VALUE"""),"Yes")</f>
        <v>Yes</v>
      </c>
      <c r="AC109" s="5" t="str">
        <f>IFERROR(__xludf.DUMMYFUNCTION("""COMPUTED_VALUE"""),"Yes")</f>
        <v>Yes</v>
      </c>
      <c r="AD109" s="5" t="str">
        <f>IFERROR(__xludf.DUMMYFUNCTION("""COMPUTED_VALUE"""),"Yes")</f>
        <v>Yes</v>
      </c>
      <c r="AE109" s="5" t="str">
        <f>IFERROR(__xludf.DUMMYFUNCTION("""COMPUTED_VALUE"""),"Yes")</f>
        <v>Yes</v>
      </c>
      <c r="AF109" s="5" t="str">
        <f>IFERROR(__xludf.DUMMYFUNCTION("""COMPUTED_VALUE"""),"Yes")</f>
        <v>Yes</v>
      </c>
      <c r="AG109" s="5" t="str">
        <f>IFERROR(__xludf.DUMMYFUNCTION("""COMPUTED_VALUE"""),"Yes")</f>
        <v>Yes</v>
      </c>
      <c r="AH109" s="5" t="str">
        <f>IFERROR(__xludf.DUMMYFUNCTION("""COMPUTED_VALUE"""),"Yes")</f>
        <v>Yes</v>
      </c>
      <c r="AI109" s="5" t="str">
        <f>IFERROR(__xludf.DUMMYFUNCTION("""COMPUTED_VALUE"""),"No")</f>
        <v>No</v>
      </c>
      <c r="AJ109" s="5" t="str">
        <f>IFERROR(__xludf.DUMMYFUNCTION("""COMPUTED_VALUE"""),"No")</f>
        <v>No</v>
      </c>
      <c r="AK109" s="5" t="str">
        <f>IFERROR(__xludf.DUMMYFUNCTION("""COMPUTED_VALUE"""),"No")</f>
        <v>No</v>
      </c>
      <c r="AL109" s="5" t="str">
        <f>IFERROR(__xludf.DUMMYFUNCTION("""COMPUTED_VALUE"""),"No")</f>
        <v>No</v>
      </c>
      <c r="AM109" s="5" t="str">
        <f>IFERROR(__xludf.DUMMYFUNCTION("""COMPUTED_VALUE"""),"No")</f>
        <v>No</v>
      </c>
      <c r="AN109" s="5" t="str">
        <f>IFERROR(__xludf.DUMMYFUNCTION("""COMPUTED_VALUE"""),"No")</f>
        <v>No</v>
      </c>
      <c r="AO109" s="5" t="str">
        <f>IFERROR(__xludf.DUMMYFUNCTION("""COMPUTED_VALUE"""),"Yes")</f>
        <v>Yes</v>
      </c>
      <c r="AP109" s="5" t="str">
        <f>IFERROR(__xludf.DUMMYFUNCTION("""COMPUTED_VALUE"""),"No")</f>
        <v>No</v>
      </c>
      <c r="AQ109" s="5" t="str">
        <f>IFERROR(__xludf.DUMMYFUNCTION("""COMPUTED_VALUE"""),"No")</f>
        <v>No</v>
      </c>
      <c r="AR109" s="5" t="str">
        <f>IFERROR(__xludf.DUMMYFUNCTION("""COMPUTED_VALUE"""),"No")</f>
        <v>No</v>
      </c>
      <c r="AS109" s="5" t="str">
        <f>IFERROR(__xludf.DUMMYFUNCTION("""COMPUTED_VALUE"""),"Yes")</f>
        <v>Yes</v>
      </c>
      <c r="AT109" s="5" t="str">
        <f>IFERROR(__xludf.DUMMYFUNCTION("""COMPUTED_VALUE"""),"No")</f>
        <v>No</v>
      </c>
      <c r="AU109" s="5"/>
      <c r="AV109" s="5" t="str">
        <f>IFERROR(__xludf.DUMMYFUNCTION("""COMPUTED_VALUE"""),"")</f>
        <v/>
      </c>
      <c r="AW109" s="5" t="str">
        <f>IFERROR(__xludf.DUMMYFUNCTION("""COMPUTED_VALUE"""),"")</f>
        <v/>
      </c>
      <c r="AX109" s="5" t="str">
        <f>IFERROR(__xludf.DUMMYFUNCTION("""COMPUTED_VALUE"""),"")</f>
        <v/>
      </c>
      <c r="AY109" s="5" t="str">
        <f>IFERROR(__xludf.DUMMYFUNCTION("""COMPUTED_VALUE"""),"")</f>
        <v/>
      </c>
      <c r="AZ109" s="5" t="str">
        <f>IFERROR(__xludf.DUMMYFUNCTION("""COMPUTED_VALUE"""),"")</f>
        <v/>
      </c>
      <c r="BA109" s="5" t="str">
        <f>IFERROR(__xludf.DUMMYFUNCTION("""COMPUTED_VALUE"""),"")</f>
        <v/>
      </c>
      <c r="BB109" s="5" t="str">
        <f>IFERROR(__xludf.DUMMYFUNCTION("""COMPUTED_VALUE"""),"")</f>
        <v/>
      </c>
    </row>
    <row r="110">
      <c r="A110" s="5" t="str">
        <f>IFERROR(__xludf.DUMMYFUNCTION("""COMPUTED_VALUE"""),"Redstone")</f>
        <v>Redstone</v>
      </c>
      <c r="B110" s="5" t="str">
        <f>IFERROR(__xludf.DUMMYFUNCTION("""COMPUTED_VALUE"""),"5 Wild Diamond")</f>
        <v>5 Wild Diamond</v>
      </c>
      <c r="C110" s="5" t="str">
        <f>IFERROR(__xludf.DUMMYFUNCTION("""COMPUTED_VALUE"""),"Redstone5WildDiamond")</f>
        <v>Redstone5WildDiamond</v>
      </c>
      <c r="D110" s="6">
        <f>IFERROR(__xludf.DUMMYFUNCTION("""COMPUTED_VALUE"""),46000.0)</f>
        <v>46000</v>
      </c>
      <c r="E110" s="5" t="str">
        <f>IFERROR(__xludf.DUMMYFUNCTION("""COMPUTED_VALUE"""),"Slot")</f>
        <v>Slot</v>
      </c>
      <c r="F110" s="5">
        <f>IFERROR(__xludf.DUMMYFUNCTION("""COMPUTED_VALUE"""),4.9)</f>
        <v>4.9</v>
      </c>
      <c r="G110" s="5" t="str">
        <f>IFERROR(__xludf.DUMMYFUNCTION("""COMPUTED_VALUE"""),"96,45")</f>
        <v>96,45</v>
      </c>
      <c r="H110" s="5">
        <f>IFERROR(__xludf.DUMMYFUNCTION("""COMPUTED_VALUE"""),5.0)</f>
        <v>5</v>
      </c>
      <c r="I110" s="5">
        <f>IFERROR(__xludf.DUMMYFUNCTION("""COMPUTED_VALUE"""),5.0)</f>
        <v>5</v>
      </c>
      <c r="J110" s="5" t="str">
        <f>IFERROR(__xludf.DUMMYFUNCTION("""COMPUTED_VALUE"""),"96.45%")</f>
        <v>96.45%</v>
      </c>
      <c r="K110" s="5" t="str">
        <f>IFERROR(__xludf.DUMMYFUNCTION("""COMPUTED_VALUE"""),"Medium")</f>
        <v>Medium</v>
      </c>
      <c r="L110" s="5" t="str">
        <f>IFERROR(__xludf.DUMMYFUNCTION("""COMPUTED_VALUE"""),"14.5%")</f>
        <v>14.5%</v>
      </c>
      <c r="M110" s="5" t="str">
        <f>IFERROR(__xludf.DUMMYFUNCTION("""COMPUTED_VALUE"""),"x1222")</f>
        <v>x1222</v>
      </c>
      <c r="N110" s="5" t="str">
        <f>IFERROR(__xludf.DUMMYFUNCTION("""COMPUTED_VALUE"""),"0.05/30")</f>
        <v>0.05/30</v>
      </c>
      <c r="O110" s="5" t="str">
        <f>IFERROR(__xludf.DUMMYFUNCTION("""COMPUTED_VALUE"""),"No")</f>
        <v>No</v>
      </c>
      <c r="P110" s="5" t="str">
        <f>IFERROR(__xludf.DUMMYFUNCTION("""COMPUTED_VALUE"""),"Scatter, Expanding Wild")</f>
        <v>Scatter, Expanding Wild</v>
      </c>
      <c r="Q110" s="7" t="str">
        <f>IFERROR(__xludf.DUMMYFUNCTION("""COMPUTED_VALUE"""),"https://static.redstone.rs/games/5-wild-diamond/")</f>
        <v>https://static.redstone.rs/games/5-wild-diamond/</v>
      </c>
      <c r="R110" s="5" t="str">
        <f>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S110"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IFERROR(__xludf.DUMMYFUNCTION("""COMPUTED_VALUE"""),"Yes")</f>
        <v>Yes</v>
      </c>
      <c r="AA110" s="5" t="str">
        <f>IFERROR(__xludf.DUMMYFUNCTION("""COMPUTED_VALUE"""),"Yes")</f>
        <v>Yes</v>
      </c>
      <c r="AB110" s="5" t="str">
        <f>IFERROR(__xludf.DUMMYFUNCTION("""COMPUTED_VALUE"""),"Yes")</f>
        <v>Yes</v>
      </c>
      <c r="AC110" s="5" t="str">
        <f>IFERROR(__xludf.DUMMYFUNCTION("""COMPUTED_VALUE"""),"Yes")</f>
        <v>Yes</v>
      </c>
      <c r="AD110" s="5" t="str">
        <f>IFERROR(__xludf.DUMMYFUNCTION("""COMPUTED_VALUE"""),"Yes")</f>
        <v>Yes</v>
      </c>
      <c r="AE110" s="5" t="str">
        <f>IFERROR(__xludf.DUMMYFUNCTION("""COMPUTED_VALUE"""),"Yes")</f>
        <v>Yes</v>
      </c>
      <c r="AF110" s="5" t="str">
        <f>IFERROR(__xludf.DUMMYFUNCTION("""COMPUTED_VALUE"""),"Yes")</f>
        <v>Yes</v>
      </c>
      <c r="AG110" s="5" t="str">
        <f>IFERROR(__xludf.DUMMYFUNCTION("""COMPUTED_VALUE"""),"Yes")</f>
        <v>Yes</v>
      </c>
      <c r="AH110" s="5" t="str">
        <f>IFERROR(__xludf.DUMMYFUNCTION("""COMPUTED_VALUE"""),"Yes")</f>
        <v>Yes</v>
      </c>
      <c r="AI110" s="5" t="str">
        <f>IFERROR(__xludf.DUMMYFUNCTION("""COMPUTED_VALUE"""),"No")</f>
        <v>No</v>
      </c>
      <c r="AJ110" s="5" t="str">
        <f>IFERROR(__xludf.DUMMYFUNCTION("""COMPUTED_VALUE"""),"No")</f>
        <v>No</v>
      </c>
      <c r="AK110" s="5" t="str">
        <f>IFERROR(__xludf.DUMMYFUNCTION("""COMPUTED_VALUE"""),"No")</f>
        <v>No</v>
      </c>
      <c r="AL110" s="5" t="str">
        <f>IFERROR(__xludf.DUMMYFUNCTION("""COMPUTED_VALUE"""),"No")</f>
        <v>No</v>
      </c>
      <c r="AM110" s="5" t="str">
        <f>IFERROR(__xludf.DUMMYFUNCTION("""COMPUTED_VALUE"""),"No")</f>
        <v>No</v>
      </c>
      <c r="AN110" s="5" t="str">
        <f>IFERROR(__xludf.DUMMYFUNCTION("""COMPUTED_VALUE"""),"No")</f>
        <v>No</v>
      </c>
      <c r="AO110" s="5" t="str">
        <f>IFERROR(__xludf.DUMMYFUNCTION("""COMPUTED_VALUE"""),"Yes")</f>
        <v>Yes</v>
      </c>
      <c r="AP110" s="5" t="str">
        <f>IFERROR(__xludf.DUMMYFUNCTION("""COMPUTED_VALUE"""),"No")</f>
        <v>No</v>
      </c>
      <c r="AQ110" s="5" t="str">
        <f>IFERROR(__xludf.DUMMYFUNCTION("""COMPUTED_VALUE"""),"No")</f>
        <v>No</v>
      </c>
      <c r="AR110" s="5" t="str">
        <f>IFERROR(__xludf.DUMMYFUNCTION("""COMPUTED_VALUE"""),"No")</f>
        <v>No</v>
      </c>
      <c r="AS110" s="5" t="str">
        <f>IFERROR(__xludf.DUMMYFUNCTION("""COMPUTED_VALUE"""),"Yes")</f>
        <v>Yes</v>
      </c>
      <c r="AT110" s="5" t="str">
        <f>IFERROR(__xludf.DUMMYFUNCTION("""COMPUTED_VALUE"""),"No")</f>
        <v>No</v>
      </c>
      <c r="AU110" s="5"/>
      <c r="AV110" s="5" t="str">
        <f>IFERROR(__xludf.DUMMYFUNCTION("""COMPUTED_VALUE"""),"")</f>
        <v/>
      </c>
      <c r="AW110" s="5" t="str">
        <f>IFERROR(__xludf.DUMMYFUNCTION("""COMPUTED_VALUE"""),"")</f>
        <v/>
      </c>
      <c r="AX110" s="5" t="str">
        <f>IFERROR(__xludf.DUMMYFUNCTION("""COMPUTED_VALUE"""),"")</f>
        <v/>
      </c>
      <c r="AY110" s="5" t="str">
        <f>IFERROR(__xludf.DUMMYFUNCTION("""COMPUTED_VALUE"""),"")</f>
        <v/>
      </c>
      <c r="AZ110" s="5" t="str">
        <f>IFERROR(__xludf.DUMMYFUNCTION("""COMPUTED_VALUE"""),"")</f>
        <v/>
      </c>
      <c r="BA110" s="5" t="str">
        <f>IFERROR(__xludf.DUMMYFUNCTION("""COMPUTED_VALUE"""),"")</f>
        <v/>
      </c>
      <c r="BB110" s="5" t="str">
        <f>IFERROR(__xludf.DUMMYFUNCTION("""COMPUTED_VALUE"""),"")</f>
        <v/>
      </c>
    </row>
    <row r="111">
      <c r="A111" s="5" t="str">
        <f>IFERROR(__xludf.DUMMYFUNCTION("""COMPUTED_VALUE"""),"Redstone")</f>
        <v>Redstone</v>
      </c>
      <c r="B111" s="5" t="str">
        <f>IFERROR(__xludf.DUMMYFUNCTION("""COMPUTED_VALUE"""),"Inferno Hot 40")</f>
        <v>Inferno Hot 40</v>
      </c>
      <c r="C111" s="5" t="str">
        <f>IFERROR(__xludf.DUMMYFUNCTION("""COMPUTED_VALUE"""),"RedstoneInfernoHot40")</f>
        <v>RedstoneInfernoHot40</v>
      </c>
      <c r="D111" s="6">
        <f>IFERROR(__xludf.DUMMYFUNCTION("""COMPUTED_VALUE"""),46035.0)</f>
        <v>46035</v>
      </c>
      <c r="E111" s="5" t="str">
        <f>IFERROR(__xludf.DUMMYFUNCTION("""COMPUTED_VALUE"""),"Slot")</f>
        <v>Slot</v>
      </c>
      <c r="F111" s="5">
        <f>IFERROR(__xludf.DUMMYFUNCTION("""COMPUTED_VALUE"""),16.0)</f>
        <v>16</v>
      </c>
      <c r="G111" s="5" t="str">
        <f>IFERROR(__xludf.DUMMYFUNCTION("""COMPUTED_VALUE"""),"5x3")</f>
        <v>5x3</v>
      </c>
      <c r="H111" s="5">
        <f>IFERROR(__xludf.DUMMYFUNCTION("""COMPUTED_VALUE"""),40.0)</f>
        <v>40</v>
      </c>
      <c r="I111" s="5">
        <f>IFERROR(__xludf.DUMMYFUNCTION("""COMPUTED_VALUE"""),40.0)</f>
        <v>40</v>
      </c>
      <c r="J111" s="5" t="str">
        <f>IFERROR(__xludf.DUMMYFUNCTION("""COMPUTED_VALUE"""),"96.13%")</f>
        <v>96.13%</v>
      </c>
      <c r="K111" s="5" t="str">
        <f>IFERROR(__xludf.DUMMYFUNCTION("""COMPUTED_VALUE"""),"Medium")</f>
        <v>Medium</v>
      </c>
      <c r="L111" s="5" t="str">
        <f>IFERROR(__xludf.DUMMYFUNCTION("""COMPUTED_VALUE"""),"14.4%")</f>
        <v>14.4%</v>
      </c>
      <c r="M111" s="5" t="str">
        <f>IFERROR(__xludf.DUMMYFUNCTION("""COMPUTED_VALUE"""),"x1000")</f>
        <v>x1000</v>
      </c>
      <c r="N111" s="5" t="str">
        <f>IFERROR(__xludf.DUMMYFUNCTION("""COMPUTED_VALUE"""),"0.04/50")</f>
        <v>0.04/50</v>
      </c>
      <c r="O111" s="5" t="str">
        <f>IFERROR(__xludf.DUMMYFUNCTION("""COMPUTED_VALUE"""),"No")</f>
        <v>No</v>
      </c>
      <c r="P111" s="5" t="str">
        <f>IFERROR(__xludf.DUMMYFUNCTION("""COMPUTED_VALUE"""),"Special Wild, Scatter, Bonus Game with Free Spins")</f>
        <v>Special Wild, Scatter, Bonus Game with Free Spins</v>
      </c>
      <c r="Q111" s="7" t="str">
        <f>IFERROR(__xludf.DUMMYFUNCTION("""COMPUTED_VALUE"""),"https://static.redstone.rs/games/inferno-hot-40/")</f>
        <v>https://static.redstone.rs/games/inferno-hot-40/</v>
      </c>
      <c r="R111" s="5" t="str">
        <f>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S11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IFERROR(__xludf.DUMMYFUNCTION("""COMPUTED_VALUE"""),"Yes")</f>
        <v>Yes</v>
      </c>
      <c r="AA111" s="5" t="str">
        <f>IFERROR(__xludf.DUMMYFUNCTION("""COMPUTED_VALUE"""),"Yes")</f>
        <v>Yes</v>
      </c>
      <c r="AB111" s="5" t="str">
        <f>IFERROR(__xludf.DUMMYFUNCTION("""COMPUTED_VALUE"""),"Yes")</f>
        <v>Yes</v>
      </c>
      <c r="AC111" s="5" t="str">
        <f>IFERROR(__xludf.DUMMYFUNCTION("""COMPUTED_VALUE"""),"Yes")</f>
        <v>Yes</v>
      </c>
      <c r="AD111" s="5" t="str">
        <f>IFERROR(__xludf.DUMMYFUNCTION("""COMPUTED_VALUE"""),"Yes")</f>
        <v>Yes</v>
      </c>
      <c r="AE111" s="5" t="str">
        <f>IFERROR(__xludf.DUMMYFUNCTION("""COMPUTED_VALUE"""),"Yes")</f>
        <v>Yes</v>
      </c>
      <c r="AF111" s="5" t="str">
        <f>IFERROR(__xludf.DUMMYFUNCTION("""COMPUTED_VALUE"""),"Yes")</f>
        <v>Yes</v>
      </c>
      <c r="AG111" s="5" t="str">
        <f>IFERROR(__xludf.DUMMYFUNCTION("""COMPUTED_VALUE"""),"Yes")</f>
        <v>Yes</v>
      </c>
      <c r="AH111" s="5" t="str">
        <f>IFERROR(__xludf.DUMMYFUNCTION("""COMPUTED_VALUE"""),"Yes")</f>
        <v>Yes</v>
      </c>
      <c r="AI111" s="5" t="str">
        <f>IFERROR(__xludf.DUMMYFUNCTION("""COMPUTED_VALUE"""),"No")</f>
        <v>No</v>
      </c>
      <c r="AJ111" s="5" t="str">
        <f>IFERROR(__xludf.DUMMYFUNCTION("""COMPUTED_VALUE"""),"No")</f>
        <v>No</v>
      </c>
      <c r="AK111" s="5" t="str">
        <f>IFERROR(__xludf.DUMMYFUNCTION("""COMPUTED_VALUE"""),"No")</f>
        <v>No</v>
      </c>
      <c r="AL111" s="5" t="str">
        <f>IFERROR(__xludf.DUMMYFUNCTION("""COMPUTED_VALUE"""),"No")</f>
        <v>No</v>
      </c>
      <c r="AM111" s="5" t="str">
        <f>IFERROR(__xludf.DUMMYFUNCTION("""COMPUTED_VALUE"""),"No")</f>
        <v>No</v>
      </c>
      <c r="AN111" s="5" t="str">
        <f>IFERROR(__xludf.DUMMYFUNCTION("""COMPUTED_VALUE"""),"No")</f>
        <v>No</v>
      </c>
      <c r="AO111" s="5" t="str">
        <f>IFERROR(__xludf.DUMMYFUNCTION("""COMPUTED_VALUE"""),"Yes")</f>
        <v>Yes</v>
      </c>
      <c r="AP111" s="5" t="str">
        <f>IFERROR(__xludf.DUMMYFUNCTION("""COMPUTED_VALUE"""),"No")</f>
        <v>No</v>
      </c>
      <c r="AQ111" s="5" t="str">
        <f>IFERROR(__xludf.DUMMYFUNCTION("""COMPUTED_VALUE"""),"No")</f>
        <v>No</v>
      </c>
      <c r="AR111" s="5" t="str">
        <f>IFERROR(__xludf.DUMMYFUNCTION("""COMPUTED_VALUE"""),"No")</f>
        <v>No</v>
      </c>
      <c r="AS111" s="5" t="str">
        <f>IFERROR(__xludf.DUMMYFUNCTION("""COMPUTED_VALUE"""),"Yes")</f>
        <v>Yes</v>
      </c>
      <c r="AT111" s="5" t="str">
        <f>IFERROR(__xludf.DUMMYFUNCTION("""COMPUTED_VALUE"""),"No")</f>
        <v>No</v>
      </c>
      <c r="AU111" s="5"/>
      <c r="AV111" s="5" t="str">
        <f>IFERROR(__xludf.DUMMYFUNCTION("""COMPUTED_VALUE"""),"")</f>
        <v/>
      </c>
      <c r="AW111" s="5" t="str">
        <f>IFERROR(__xludf.DUMMYFUNCTION("""COMPUTED_VALUE"""),"")</f>
        <v/>
      </c>
      <c r="AX111" s="5" t="str">
        <f>IFERROR(__xludf.DUMMYFUNCTION("""COMPUTED_VALUE"""),"")</f>
        <v/>
      </c>
      <c r="AY111" s="5" t="str">
        <f>IFERROR(__xludf.DUMMYFUNCTION("""COMPUTED_VALUE"""),"")</f>
        <v/>
      </c>
      <c r="AZ111" s="5" t="str">
        <f>IFERROR(__xludf.DUMMYFUNCTION("""COMPUTED_VALUE"""),"")</f>
        <v/>
      </c>
      <c r="BA111" s="5" t="str">
        <f>IFERROR(__xludf.DUMMYFUNCTION("""COMPUTED_VALUE"""),"")</f>
        <v/>
      </c>
      <c r="BB111" s="5" t="str">
        <f>IFERROR(__xludf.DUMMYFUNCTION("""COMPUTED_VALUE"""),"")</f>
        <v/>
      </c>
    </row>
    <row r="112">
      <c r="A112" s="5" t="str">
        <f>IFERROR(__xludf.DUMMYFUNCTION("""COMPUTED_VALUE"""),"Redstone")</f>
        <v>Redstone</v>
      </c>
      <c r="B112" s="5" t="str">
        <f>IFERROR(__xludf.DUMMYFUNCTION("""COMPUTED_VALUE"""),"Rolling Hearts 10")</f>
        <v>Rolling Hearts 10</v>
      </c>
      <c r="C112" s="5" t="str">
        <f>IFERROR(__xludf.DUMMYFUNCTION("""COMPUTED_VALUE"""),"RedstoneRollingHearts10")</f>
        <v>RedstoneRollingHearts10</v>
      </c>
      <c r="D112" s="6">
        <f>IFERROR(__xludf.DUMMYFUNCTION("""COMPUTED_VALUE"""),46041.0)</f>
        <v>46041</v>
      </c>
      <c r="E112" s="5" t="str">
        <f>IFERROR(__xludf.DUMMYFUNCTION("""COMPUTED_VALUE"""),"Slot")</f>
        <v>Slot</v>
      </c>
      <c r="F112" s="5">
        <f>IFERROR(__xludf.DUMMYFUNCTION("""COMPUTED_VALUE"""),7.3)</f>
        <v>7.3</v>
      </c>
      <c r="G112" s="5" t="str">
        <f>IFERROR(__xludf.DUMMYFUNCTION("""COMPUTED_VALUE"""),"5x3")</f>
        <v>5x3</v>
      </c>
      <c r="H112" s="5">
        <f>IFERROR(__xludf.DUMMYFUNCTION("""COMPUTED_VALUE"""),10.0)</f>
        <v>10</v>
      </c>
      <c r="I112" s="5">
        <f>IFERROR(__xludf.DUMMYFUNCTION("""COMPUTED_VALUE"""),10.0)</f>
        <v>10</v>
      </c>
      <c r="J112" s="5" t="str">
        <f>IFERROR(__xludf.DUMMYFUNCTION("""COMPUTED_VALUE"""),"96.33%")</f>
        <v>96.33%</v>
      </c>
      <c r="K112" s="5" t="str">
        <f>IFERROR(__xludf.DUMMYFUNCTION("""COMPUTED_VALUE"""),"Medium")</f>
        <v>Medium</v>
      </c>
      <c r="L112" s="5" t="str">
        <f>IFERROR(__xludf.DUMMYFUNCTION("""COMPUTED_VALUE"""),"12.5%")</f>
        <v>12.5%</v>
      </c>
      <c r="M112" s="5" t="str">
        <f>IFERROR(__xludf.DUMMYFUNCTION("""COMPUTED_VALUE"""),"x950")</f>
        <v>x950</v>
      </c>
      <c r="N112" s="5" t="str">
        <f>IFERROR(__xludf.DUMMYFUNCTION("""COMPUTED_VALUE"""),"0.02/50")</f>
        <v>0.02/50</v>
      </c>
      <c r="O112" s="5" t="str">
        <f>IFERROR(__xludf.DUMMYFUNCTION("""COMPUTED_VALUE"""),"No")</f>
        <v>No</v>
      </c>
      <c r="P112" s="5" t="str">
        <f>IFERROR(__xludf.DUMMYFUNCTION("""COMPUTED_VALUE"""),"Scatter, Exploding Wild")</f>
        <v>Scatter, Exploding Wild</v>
      </c>
      <c r="Q112" s="7" t="str">
        <f>IFERROR(__xludf.DUMMYFUNCTION("""COMPUTED_VALUE"""),"https://static.redstone.rs/games/rolling-hearts-10/")</f>
        <v>https://static.redstone.rs/games/rolling-hearts-10/</v>
      </c>
      <c r="R112" s="5" t="str">
        <f>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S112"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2" s="5" t="str">
        <f>IFERROR(__xludf.DUMMYFUNCTION("""COMPUTED_VALUE"""),"Yes")</f>
        <v>Yes</v>
      </c>
      <c r="U112" s="5" t="str">
        <f>IFERROR(__xludf.DUMMYFUNCTION("""COMPUTED_VALUE"""),"Yes")</f>
        <v>Yes</v>
      </c>
      <c r="V112" s="5" t="str">
        <f>IFERROR(__xludf.DUMMYFUNCTION("""COMPUTED_VALUE"""),"Yes")</f>
        <v>Yes</v>
      </c>
      <c r="W112" s="5"/>
      <c r="X112" s="5" t="str">
        <f>IFERROR(__xludf.DUMMYFUNCTION("""COMPUTED_VALUE"""),"Yes")</f>
        <v>Yes</v>
      </c>
      <c r="Y112" s="5"/>
      <c r="Z112" s="5"/>
      <c r="AA112" s="5"/>
      <c r="AB112" s="5" t="str">
        <f>IFERROR(__xludf.DUMMYFUNCTION("""COMPUTED_VALUE"""),"Yes")</f>
        <v>Yes</v>
      </c>
      <c r="AC112" s="5" t="str">
        <f>IFERROR(__xludf.DUMMYFUNCTION("""COMPUTED_VALUE"""),"Yes")</f>
        <v>Yes</v>
      </c>
      <c r="AD112" s="5" t="str">
        <f>IFERROR(__xludf.DUMMYFUNCTION("""COMPUTED_VALUE"""),"Yes")</f>
        <v>Yes</v>
      </c>
      <c r="AE112" s="5" t="str">
        <f>IFERROR(__xludf.DUMMYFUNCTION("""COMPUTED_VALUE"""),"Yes")</f>
        <v>Yes</v>
      </c>
      <c r="AF112" s="5" t="str">
        <f>IFERROR(__xludf.DUMMYFUNCTION("""COMPUTED_VALUE"""),"Yes")</f>
        <v>Yes</v>
      </c>
      <c r="AG112" s="5"/>
      <c r="AH112" s="5" t="str">
        <f>IFERROR(__xludf.DUMMYFUNCTION("""COMPUTED_VALUE"""),"Yes")</f>
        <v>Yes</v>
      </c>
      <c r="AI112" s="5"/>
      <c r="AJ112" s="5"/>
      <c r="AK112" s="5"/>
      <c r="AL112" s="5"/>
      <c r="AM112" s="5"/>
      <c r="AN112" s="5"/>
      <c r="AO112" s="5" t="str">
        <f>IFERROR(__xludf.DUMMYFUNCTION("""COMPUTED_VALUE"""),"Yes")</f>
        <v>Yes</v>
      </c>
      <c r="AP112" s="5"/>
      <c r="AQ112" s="5"/>
      <c r="AR112" s="5"/>
      <c r="AS112" s="5" t="str">
        <f>IFERROR(__xludf.DUMMYFUNCTION("""COMPUTED_VALUE"""),"Yes")</f>
        <v>Yes</v>
      </c>
      <c r="AT112" s="5" t="str">
        <f>IFERROR(__xludf.DUMMYFUNCTION("""COMPUTED_VALUE"""),"Yes")</f>
        <v>Yes</v>
      </c>
      <c r="AU112" s="5"/>
      <c r="AV112" s="5" t="str">
        <f>IFERROR(__xludf.DUMMYFUNCTION("""COMPUTED_VALUE"""),"")</f>
        <v/>
      </c>
      <c r="AW112" s="5" t="str">
        <f>IFERROR(__xludf.DUMMYFUNCTION("""COMPUTED_VALUE"""),"")</f>
        <v/>
      </c>
      <c r="AX112" s="5" t="str">
        <f>IFERROR(__xludf.DUMMYFUNCTION("""COMPUTED_VALUE"""),"")</f>
        <v/>
      </c>
      <c r="AY112" s="5" t="str">
        <f>IFERROR(__xludf.DUMMYFUNCTION("""COMPUTED_VALUE"""),"")</f>
        <v/>
      </c>
      <c r="AZ112" s="5" t="str">
        <f>IFERROR(__xludf.DUMMYFUNCTION("""COMPUTED_VALUE"""),"")</f>
        <v/>
      </c>
      <c r="BA112" s="5" t="str">
        <f>IFERROR(__xludf.DUMMYFUNCTION("""COMPUTED_VALUE"""),"")</f>
        <v/>
      </c>
      <c r="BB112" s="5" t="str">
        <f>IFERROR(__xludf.DUMMYFUNCTION("""COMPUTED_VALUE"""),"")</f>
        <v/>
      </c>
    </row>
    <row r="113">
      <c r="A113" s="5" t="str">
        <f>IFERROR(__xludf.DUMMYFUNCTION("""COMPUTED_VALUE"""),"Redstone")</f>
        <v>Redstone</v>
      </c>
      <c r="B113" s="5" t="str">
        <f>IFERROR(__xludf.DUMMYFUNCTION("""COMPUTED_VALUE"""),"Cupid's Wild Hearts")</f>
        <v>Cupid's Wild Hearts</v>
      </c>
      <c r="C113" s="5" t="str">
        <f>IFERROR(__xludf.DUMMYFUNCTION("""COMPUTED_VALUE"""),"RedstoneCupidsWildHearts")</f>
        <v>RedstoneCupidsWildHearts</v>
      </c>
      <c r="D113" s="6">
        <f>IFERROR(__xludf.DUMMYFUNCTION("""COMPUTED_VALUE"""),46049.0)</f>
        <v>46049</v>
      </c>
      <c r="E113" s="5" t="str">
        <f>IFERROR(__xludf.DUMMYFUNCTION("""COMPUTED_VALUE"""),"Slot")</f>
        <v>Slot</v>
      </c>
      <c r="F113" s="5">
        <f>IFERROR(__xludf.DUMMYFUNCTION("""COMPUTED_VALUE"""),9.5)</f>
        <v>9.5</v>
      </c>
      <c r="G113" s="5" t="str">
        <f>IFERROR(__xludf.DUMMYFUNCTION("""COMPUTED_VALUE"""),"5x3")</f>
        <v>5x3</v>
      </c>
      <c r="H113" s="5">
        <f>IFERROR(__xludf.DUMMYFUNCTION("""COMPUTED_VALUE"""),5.0)</f>
        <v>5</v>
      </c>
      <c r="I113" s="5">
        <f>IFERROR(__xludf.DUMMYFUNCTION("""COMPUTED_VALUE"""),5.0)</f>
        <v>5</v>
      </c>
      <c r="J113" s="5" t="str">
        <f>IFERROR(__xludf.DUMMYFUNCTION("""COMPUTED_VALUE"""),"96.03%")</f>
        <v>96.03%</v>
      </c>
      <c r="K113" s="5" t="str">
        <f>IFERROR(__xludf.DUMMYFUNCTION("""COMPUTED_VALUE"""),"Medium")</f>
        <v>Medium</v>
      </c>
      <c r="L113" s="5" t="str">
        <f>IFERROR(__xludf.DUMMYFUNCTION("""COMPUTED_VALUE"""),"14.62%")</f>
        <v>14.62%</v>
      </c>
      <c r="M113" s="5" t="str">
        <f>IFERROR(__xludf.DUMMYFUNCTION("""COMPUTED_VALUE"""),"x2624")</f>
        <v>x2624</v>
      </c>
      <c r="N113" s="5" t="str">
        <f>IFERROR(__xludf.DUMMYFUNCTION("""COMPUTED_VALUE"""),"0.05/50")</f>
        <v>0.05/50</v>
      </c>
      <c r="O113" s="5" t="str">
        <f>IFERROR(__xludf.DUMMYFUNCTION("""COMPUTED_VALUE"""),"No")</f>
        <v>No</v>
      </c>
      <c r="P113" s="5" t="str">
        <f>IFERROR(__xludf.DUMMYFUNCTION("""COMPUTED_VALUE"""),"Wild Multiplier, Expanding Wild")</f>
        <v>Wild Multiplier, Expanding Wild</v>
      </c>
      <c r="Q113" s="7" t="str">
        <f>IFERROR(__xludf.DUMMYFUNCTION("""COMPUTED_VALUE"""),"https://static.redstone.rs/games/cupids-wild-hearts/")</f>
        <v>https://static.redstone.rs/games/cupids-wild-hearts/</v>
      </c>
      <c r="R113" s="5" t="str">
        <f>IFERROR(__xludf.DUMMYFUNCTION("""COMPUTED_VALUE"""),"Let Cupid guide your spin in Cupid's Wild Heart. Follow the arrow and see where the Wild appears! ")</f>
        <v>Let Cupid guide your spin in Cupid's Wild Heart. Follow the arrow and see where the Wild appears! </v>
      </c>
      <c r="S113"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3" s="5" t="str">
        <f>IFERROR(__xludf.DUMMYFUNCTION("""COMPUTED_VALUE"""),"Yes")</f>
        <v>Yes</v>
      </c>
      <c r="U113" s="5" t="str">
        <f>IFERROR(__xludf.DUMMYFUNCTION("""COMPUTED_VALUE"""),"Yes")</f>
        <v>Yes</v>
      </c>
      <c r="V113" s="5" t="str">
        <f>IFERROR(__xludf.DUMMYFUNCTION("""COMPUTED_VALUE"""),"Yes")</f>
        <v>Yes</v>
      </c>
      <c r="W113" s="5" t="str">
        <f>IFERROR(__xludf.DUMMYFUNCTION("""COMPUTED_VALUE"""),"No")</f>
        <v>No</v>
      </c>
      <c r="X113" s="5" t="str">
        <f>IFERROR(__xludf.DUMMYFUNCTION("""COMPUTED_VALUE"""),"Yes")</f>
        <v>Yes</v>
      </c>
      <c r="Y113" s="5" t="str">
        <f>IFERROR(__xludf.DUMMYFUNCTION("""COMPUTED_VALUE"""),"No")</f>
        <v>No</v>
      </c>
      <c r="Z113" s="5" t="str">
        <f>IFERROR(__xludf.DUMMYFUNCTION("""COMPUTED_VALUE"""),"No")</f>
        <v>No</v>
      </c>
      <c r="AA113" s="5" t="str">
        <f>IFERROR(__xludf.DUMMYFUNCTION("""COMPUTED_VALUE"""),"No")</f>
        <v>No</v>
      </c>
      <c r="AB113" s="5" t="str">
        <f>IFERROR(__xludf.DUMMYFUNCTION("""COMPUTED_VALUE"""),"Yes")</f>
        <v>Yes</v>
      </c>
      <c r="AC113" s="5" t="str">
        <f>IFERROR(__xludf.DUMMYFUNCTION("""COMPUTED_VALUE"""),"Yes")</f>
        <v>Yes</v>
      </c>
      <c r="AD113" s="5" t="str">
        <f>IFERROR(__xludf.DUMMYFUNCTION("""COMPUTED_VALUE"""),"Yes")</f>
        <v>Yes</v>
      </c>
      <c r="AE113" s="5" t="str">
        <f>IFERROR(__xludf.DUMMYFUNCTION("""COMPUTED_VALUE"""),"Yes")</f>
        <v>Yes</v>
      </c>
      <c r="AF113" s="5" t="str">
        <f>IFERROR(__xludf.DUMMYFUNCTION("""COMPUTED_VALUE"""),"Yes")</f>
        <v>Yes</v>
      </c>
      <c r="AG113" s="5" t="str">
        <f>IFERROR(__xludf.DUMMYFUNCTION("""COMPUTED_VALUE"""),"No")</f>
        <v>No</v>
      </c>
      <c r="AH113" s="5" t="str">
        <f>IFERROR(__xludf.DUMMYFUNCTION("""COMPUTED_VALUE"""),"Yes")</f>
        <v>Yes</v>
      </c>
      <c r="AI113" s="5" t="str">
        <f>IFERROR(__xludf.DUMMYFUNCTION("""COMPUTED_VALUE"""),"No")</f>
        <v>No</v>
      </c>
      <c r="AJ113" s="5" t="str">
        <f>IFERROR(__xludf.DUMMYFUNCTION("""COMPUTED_VALUE"""),"No")</f>
        <v>No</v>
      </c>
      <c r="AK113" s="5" t="str">
        <f>IFERROR(__xludf.DUMMYFUNCTION("""COMPUTED_VALUE"""),"No")</f>
        <v>No</v>
      </c>
      <c r="AL113" s="5" t="str">
        <f>IFERROR(__xludf.DUMMYFUNCTION("""COMPUTED_VALUE"""),"No")</f>
        <v>No</v>
      </c>
      <c r="AM113" s="5" t="str">
        <f>IFERROR(__xludf.DUMMYFUNCTION("""COMPUTED_VALUE"""),"No")</f>
        <v>No</v>
      </c>
      <c r="AN113" s="5" t="str">
        <f>IFERROR(__xludf.DUMMYFUNCTION("""COMPUTED_VALUE"""),"No")</f>
        <v>No</v>
      </c>
      <c r="AO113" s="5" t="str">
        <f>IFERROR(__xludf.DUMMYFUNCTION("""COMPUTED_VALUE"""),"Yes")</f>
        <v>Yes</v>
      </c>
      <c r="AP113" s="5" t="str">
        <f>IFERROR(__xludf.DUMMYFUNCTION("""COMPUTED_VALUE"""),"No")</f>
        <v>No</v>
      </c>
      <c r="AQ113" s="5" t="str">
        <f>IFERROR(__xludf.DUMMYFUNCTION("""COMPUTED_VALUE"""),"No")</f>
        <v>No</v>
      </c>
      <c r="AR113" s="5" t="str">
        <f>IFERROR(__xludf.DUMMYFUNCTION("""COMPUTED_VALUE"""),"No")</f>
        <v>No</v>
      </c>
      <c r="AS113" s="5" t="str">
        <f>IFERROR(__xludf.DUMMYFUNCTION("""COMPUTED_VALUE"""),"Yes")</f>
        <v>Yes</v>
      </c>
      <c r="AT113" s="5" t="str">
        <f>IFERROR(__xludf.DUMMYFUNCTION("""COMPUTED_VALUE"""),"Yes")</f>
        <v>Yes</v>
      </c>
      <c r="AU113" s="5"/>
      <c r="AV113" s="5" t="str">
        <f>IFERROR(__xludf.DUMMYFUNCTION("""COMPUTED_VALUE"""),"")</f>
        <v/>
      </c>
      <c r="AW113" s="5" t="str">
        <f>IFERROR(__xludf.DUMMYFUNCTION("""COMPUTED_VALUE"""),"")</f>
        <v/>
      </c>
      <c r="AX113" s="5" t="str">
        <f>IFERROR(__xludf.DUMMYFUNCTION("""COMPUTED_VALUE"""),"")</f>
        <v/>
      </c>
      <c r="AY113" s="5" t="str">
        <f>IFERROR(__xludf.DUMMYFUNCTION("""COMPUTED_VALUE"""),"")</f>
        <v/>
      </c>
      <c r="AZ113" s="5" t="str">
        <f>IFERROR(__xludf.DUMMYFUNCTION("""COMPUTED_VALUE"""),"")</f>
        <v/>
      </c>
      <c r="BA113" s="5" t="str">
        <f>IFERROR(__xludf.DUMMYFUNCTION("""COMPUTED_VALUE"""),"")</f>
        <v/>
      </c>
      <c r="BB113" s="5" t="str">
        <f>IFERROR(__xludf.DUMMYFUNCTION("""COMPUTED_VALUE"""),"")</f>
        <v/>
      </c>
    </row>
    <row r="114">
      <c r="A114" s="5" t="str">
        <f>IFERROR(__xludf.DUMMYFUNCTION("""COMPUTED_VALUE"""),"Redstone")</f>
        <v>Redstone</v>
      </c>
      <c r="B114" s="5" t="str">
        <f>IFERROR(__xludf.DUMMYFUNCTION("""COMPUTED_VALUE"""),"Double Wild Diamond")</f>
        <v>Double Wild Diamond</v>
      </c>
      <c r="C114" s="5" t="str">
        <f>IFERROR(__xludf.DUMMYFUNCTION("""COMPUTED_VALUE"""),"RedstoneDoubleWildDiamond")</f>
        <v>RedstoneDoubleWildDiamond</v>
      </c>
      <c r="D114" s="6">
        <f>IFERROR(__xludf.DUMMYFUNCTION("""COMPUTED_VALUE"""),46058.0)</f>
        <v>46058</v>
      </c>
      <c r="E114" s="5" t="str">
        <f>IFERROR(__xludf.DUMMYFUNCTION("""COMPUTED_VALUE"""),"Slot")</f>
        <v>Slot</v>
      </c>
      <c r="F114" s="5">
        <f>IFERROR(__xludf.DUMMYFUNCTION("""COMPUTED_VALUE"""),5.1)</f>
        <v>5.1</v>
      </c>
      <c r="G114" s="5" t="str">
        <f>IFERROR(__xludf.DUMMYFUNCTION("""COMPUTED_VALUE"""),"5x3")</f>
        <v>5x3</v>
      </c>
      <c r="H114" s="5">
        <f>IFERROR(__xludf.DUMMYFUNCTION("""COMPUTED_VALUE"""),5.0)</f>
        <v>5</v>
      </c>
      <c r="I114" s="5">
        <f>IFERROR(__xludf.DUMMYFUNCTION("""COMPUTED_VALUE"""),5.0)</f>
        <v>5</v>
      </c>
      <c r="J114" s="5" t="str">
        <f>IFERROR(__xludf.DUMMYFUNCTION("""COMPUTED_VALUE"""),"96.45%")</f>
        <v>96.45%</v>
      </c>
      <c r="K114" s="5" t="str">
        <f>IFERROR(__xludf.DUMMYFUNCTION("""COMPUTED_VALUE"""),"Medium")</f>
        <v>Medium</v>
      </c>
      <c r="L114" s="5" t="str">
        <f>IFERROR(__xludf.DUMMYFUNCTION("""COMPUTED_VALUE"""),"14.23%")</f>
        <v>14.23%</v>
      </c>
      <c r="M114" s="5" t="str">
        <f>IFERROR(__xludf.DUMMYFUNCTION("""COMPUTED_VALUE"""),"x2624")</f>
        <v>x2624</v>
      </c>
      <c r="N114" s="5" t="str">
        <f>IFERROR(__xludf.DUMMYFUNCTION("""COMPUTED_VALUE"""),"0.05/100")</f>
        <v>0.05/100</v>
      </c>
      <c r="O114" s="5" t="str">
        <f>IFERROR(__xludf.DUMMYFUNCTION("""COMPUTED_VALUE"""),"No")</f>
        <v>No</v>
      </c>
      <c r="P114" s="5" t="str">
        <f>IFERROR(__xludf.DUMMYFUNCTION("""COMPUTED_VALUE"""),"Scatter, Expanding Wild, Wild Multiplier")</f>
        <v>Scatter, Expanding Wild, Wild Multiplier</v>
      </c>
      <c r="Q114" s="7" t="str">
        <f>IFERROR(__xludf.DUMMYFUNCTION("""COMPUTED_VALUE"""),"https://static.redstone.rs/games/double-wild-diamond/")</f>
        <v>https://static.redstone.rs/games/double-wild-diamond/</v>
      </c>
      <c r="R114" s="5" t="str">
        <f>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S11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4" s="5" t="str">
        <f>IFERROR(__xludf.DUMMYFUNCTION("""COMPUTED_VALUE"""),"Yes")</f>
        <v>Yes</v>
      </c>
      <c r="U114" s="5" t="str">
        <f>IFERROR(__xludf.DUMMYFUNCTION("""COMPUTED_VALUE"""),"Yes")</f>
        <v>Yes</v>
      </c>
      <c r="V114" s="5" t="str">
        <f>IFERROR(__xludf.DUMMYFUNCTION("""COMPUTED_VALUE"""),"No")</f>
        <v>No</v>
      </c>
      <c r="W114" s="5" t="str">
        <f>IFERROR(__xludf.DUMMYFUNCTION("""COMPUTED_VALUE"""),"Yes")</f>
        <v>Yes</v>
      </c>
      <c r="X114" s="5" t="str">
        <f>IFERROR(__xludf.DUMMYFUNCTION("""COMPUTED_VALUE"""),"Yes")</f>
        <v>Yes</v>
      </c>
      <c r="Y114" s="5" t="str">
        <f>IFERROR(__xludf.DUMMYFUNCTION("""COMPUTED_VALUE"""),"Yes")</f>
        <v>Yes</v>
      </c>
      <c r="Z114" s="5" t="str">
        <f>IFERROR(__xludf.DUMMYFUNCTION("""COMPUTED_VALUE"""),"Yes")</f>
        <v>Yes</v>
      </c>
      <c r="AA114" s="5" t="str">
        <f>IFERROR(__xludf.DUMMYFUNCTION("""COMPUTED_VALUE"""),"Yes")</f>
        <v>Yes</v>
      </c>
      <c r="AB114" s="5" t="str">
        <f>IFERROR(__xludf.DUMMYFUNCTION("""COMPUTED_VALUE"""),"Yes")</f>
        <v>Yes</v>
      </c>
      <c r="AC114" s="5" t="str">
        <f>IFERROR(__xludf.DUMMYFUNCTION("""COMPUTED_VALUE"""),"Yes")</f>
        <v>Yes</v>
      </c>
      <c r="AD114" s="5" t="str">
        <f>IFERROR(__xludf.DUMMYFUNCTION("""COMPUTED_VALUE"""),"Yes")</f>
        <v>Yes</v>
      </c>
      <c r="AE114" s="5" t="str">
        <f>IFERROR(__xludf.DUMMYFUNCTION("""COMPUTED_VALUE"""),"Yes")</f>
        <v>Yes</v>
      </c>
      <c r="AF114" s="5" t="str">
        <f>IFERROR(__xludf.DUMMYFUNCTION("""COMPUTED_VALUE"""),"Yes")</f>
        <v>Yes</v>
      </c>
      <c r="AG114" s="5" t="str">
        <f>IFERROR(__xludf.DUMMYFUNCTION("""COMPUTED_VALUE"""),"Yes")</f>
        <v>Yes</v>
      </c>
      <c r="AH114" s="5" t="str">
        <f>IFERROR(__xludf.DUMMYFUNCTION("""COMPUTED_VALUE"""),"Yes")</f>
        <v>Yes</v>
      </c>
      <c r="AI114" s="5" t="str">
        <f>IFERROR(__xludf.DUMMYFUNCTION("""COMPUTED_VALUE"""),"No")</f>
        <v>No</v>
      </c>
      <c r="AJ114" s="5" t="str">
        <f>IFERROR(__xludf.DUMMYFUNCTION("""COMPUTED_VALUE"""),"No")</f>
        <v>No</v>
      </c>
      <c r="AK114" s="5" t="str">
        <f>IFERROR(__xludf.DUMMYFUNCTION("""COMPUTED_VALUE"""),"No")</f>
        <v>No</v>
      </c>
      <c r="AL114" s="5" t="str">
        <f>IFERROR(__xludf.DUMMYFUNCTION("""COMPUTED_VALUE"""),"No")</f>
        <v>No</v>
      </c>
      <c r="AM114" s="5" t="str">
        <f>IFERROR(__xludf.DUMMYFUNCTION("""COMPUTED_VALUE"""),"No")</f>
        <v>No</v>
      </c>
      <c r="AN114" s="5" t="str">
        <f>IFERROR(__xludf.DUMMYFUNCTION("""COMPUTED_VALUE"""),"No")</f>
        <v>No</v>
      </c>
      <c r="AO114" s="5" t="str">
        <f>IFERROR(__xludf.DUMMYFUNCTION("""COMPUTED_VALUE"""),"Yes")</f>
        <v>Yes</v>
      </c>
      <c r="AP114" s="5" t="str">
        <f>IFERROR(__xludf.DUMMYFUNCTION("""COMPUTED_VALUE"""),"No")</f>
        <v>No</v>
      </c>
      <c r="AQ114" s="5" t="str">
        <f>IFERROR(__xludf.DUMMYFUNCTION("""COMPUTED_VALUE"""),"No")</f>
        <v>No</v>
      </c>
      <c r="AR114" s="5" t="str">
        <f>IFERROR(__xludf.DUMMYFUNCTION("""COMPUTED_VALUE"""),"No")</f>
        <v>No</v>
      </c>
      <c r="AS114" s="5" t="str">
        <f>IFERROR(__xludf.DUMMYFUNCTION("""COMPUTED_VALUE"""),"Yes")</f>
        <v>Yes</v>
      </c>
      <c r="AT114" s="5" t="str">
        <f>IFERROR(__xludf.DUMMYFUNCTION("""COMPUTED_VALUE"""),"No")</f>
        <v>No</v>
      </c>
      <c r="AU114" s="5"/>
      <c r="AV114" s="5" t="str">
        <f>IFERROR(__xludf.DUMMYFUNCTION("""COMPUTED_VALUE"""),"")</f>
        <v/>
      </c>
      <c r="AW114" s="5" t="str">
        <f>IFERROR(__xludf.DUMMYFUNCTION("""COMPUTED_VALUE"""),"")</f>
        <v/>
      </c>
      <c r="AX114" s="5" t="str">
        <f>IFERROR(__xludf.DUMMYFUNCTION("""COMPUTED_VALUE"""),"")</f>
        <v/>
      </c>
      <c r="AY114" s="5" t="str">
        <f>IFERROR(__xludf.DUMMYFUNCTION("""COMPUTED_VALUE"""),"")</f>
        <v/>
      </c>
      <c r="AZ114" s="5" t="str">
        <f>IFERROR(__xludf.DUMMYFUNCTION("""COMPUTED_VALUE"""),"")</f>
        <v/>
      </c>
      <c r="BA114" s="5" t="str">
        <f>IFERROR(__xludf.DUMMYFUNCTION("""COMPUTED_VALUE"""),"")</f>
        <v/>
      </c>
      <c r="BB114" s="5" t="str">
        <f>IFERROR(__xludf.DUMMYFUNCTION("""COMPUTED_VALUE"""),"")</f>
        <v/>
      </c>
    </row>
    <row r="115">
      <c r="A115" s="5" t="str">
        <f>IFERROR(__xludf.DUMMYFUNCTION("""COMPUTED_VALUE"""),"Redstone")</f>
        <v>Redstone</v>
      </c>
      <c r="B115" s="5" t="str">
        <f>IFERROR(__xludf.DUMMYFUNCTION("""COMPUTED_VALUE"""),"Respin Fortune")</f>
        <v>Respin Fortune</v>
      </c>
      <c r="C115" s="5" t="str">
        <f>IFERROR(__xludf.DUMMYFUNCTION("""COMPUTED_VALUE"""),"RedstoneRespinFortune")</f>
        <v>RedstoneRespinFortune</v>
      </c>
      <c r="D115" s="6">
        <f>IFERROR(__xludf.DUMMYFUNCTION("""COMPUTED_VALUE"""),46064.0)</f>
        <v>46064</v>
      </c>
      <c r="E115" s="5" t="str">
        <f>IFERROR(__xludf.DUMMYFUNCTION("""COMPUTED_VALUE"""),"Slot")</f>
        <v>Slot</v>
      </c>
      <c r="F115" s="5">
        <f>IFERROR(__xludf.DUMMYFUNCTION("""COMPUTED_VALUE"""),9.0)</f>
        <v>9</v>
      </c>
      <c r="G115" s="5" t="str">
        <f>IFERROR(__xludf.DUMMYFUNCTION("""COMPUTED_VALUE"""),"5x3")</f>
        <v>5x3</v>
      </c>
      <c r="H115" s="5">
        <f>IFERROR(__xludf.DUMMYFUNCTION("""COMPUTED_VALUE"""),5.0)</f>
        <v>5</v>
      </c>
      <c r="I115" s="5">
        <f>IFERROR(__xludf.DUMMYFUNCTION("""COMPUTED_VALUE"""),5.0)</f>
        <v>5</v>
      </c>
      <c r="J115" s="5" t="str">
        <f>IFERROR(__xludf.DUMMYFUNCTION("""COMPUTED_VALUE"""),"96.51%")</f>
        <v>96.51%</v>
      </c>
      <c r="K115" s="5" t="str">
        <f>IFERROR(__xludf.DUMMYFUNCTION("""COMPUTED_VALUE"""),"Medium")</f>
        <v>Medium</v>
      </c>
      <c r="L115" s="5" t="str">
        <f>IFERROR(__xludf.DUMMYFUNCTION("""COMPUTED_VALUE"""),"15.16%")</f>
        <v>15.16%</v>
      </c>
      <c r="M115" s="5" t="str">
        <f>IFERROR(__xludf.DUMMYFUNCTION("""COMPUTED_VALUE"""),"x1312")</f>
        <v>x1312</v>
      </c>
      <c r="N115" s="5" t="str">
        <f>IFERROR(__xludf.DUMMYFUNCTION("""COMPUTED_VALUE"""),"0.05/50")</f>
        <v>0.05/50</v>
      </c>
      <c r="O115" s="5" t="str">
        <f>IFERROR(__xludf.DUMMYFUNCTION("""COMPUTED_VALUE"""),"No")</f>
        <v>No</v>
      </c>
      <c r="P115" s="5" t="str">
        <f>IFERROR(__xludf.DUMMYFUNCTION("""COMPUTED_VALUE"""),"Expanding Wild, Scatter")</f>
        <v>Expanding Wild, Scatter</v>
      </c>
      <c r="Q115" s="7" t="str">
        <f>IFERROR(__xludf.DUMMYFUNCTION("""COMPUTED_VALUE"""),"https://static.redstone.rs/games/respin-fortune/")</f>
        <v>https://static.redstone.rs/games/respin-fortune/</v>
      </c>
      <c r="R115" s="5" t="str">
        <f>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S11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IFERROR(__xludf.DUMMYFUNCTION("""COMPUTED_VALUE"""),"Yes")</f>
        <v>Yes</v>
      </c>
      <c r="AA115" s="5" t="str">
        <f>IFERROR(__xludf.DUMMYFUNCTION("""COMPUTED_VALUE"""),"Yes")</f>
        <v>Yes</v>
      </c>
      <c r="AB115" s="5" t="str">
        <f>IFERROR(__xludf.DUMMYFUNCTION("""COMPUTED_VALUE"""),"Yes")</f>
        <v>Yes</v>
      </c>
      <c r="AC115" s="5" t="str">
        <f>IFERROR(__xludf.DUMMYFUNCTION("""COMPUTED_VALUE"""),"Yes")</f>
        <v>Yes</v>
      </c>
      <c r="AD115" s="5" t="str">
        <f>IFERROR(__xludf.DUMMYFUNCTION("""COMPUTED_VALUE"""),"Yes")</f>
        <v>Yes</v>
      </c>
      <c r="AE115" s="5" t="str">
        <f>IFERROR(__xludf.DUMMYFUNCTION("""COMPUTED_VALUE"""),"Yes")</f>
        <v>Yes</v>
      </c>
      <c r="AF115" s="5" t="str">
        <f>IFERROR(__xludf.DUMMYFUNCTION("""COMPUTED_VALUE"""),"Yes")</f>
        <v>Yes</v>
      </c>
      <c r="AG115" s="5" t="str">
        <f>IFERROR(__xludf.DUMMYFUNCTION("""COMPUTED_VALUE"""),"Yes")</f>
        <v>Yes</v>
      </c>
      <c r="AH115" s="5" t="str">
        <f>IFERROR(__xludf.DUMMYFUNCTION("""COMPUTED_VALUE"""),"Yes")</f>
        <v>Yes</v>
      </c>
      <c r="AI115" s="5" t="str">
        <f>IFERROR(__xludf.DUMMYFUNCTION("""COMPUTED_VALUE"""),"No")</f>
        <v>No</v>
      </c>
      <c r="AJ115" s="5" t="str">
        <f>IFERROR(__xludf.DUMMYFUNCTION("""COMPUTED_VALUE"""),"No")</f>
        <v>No</v>
      </c>
      <c r="AK115" s="5" t="str">
        <f>IFERROR(__xludf.DUMMYFUNCTION("""COMPUTED_VALUE"""),"No")</f>
        <v>No</v>
      </c>
      <c r="AL115" s="5" t="str">
        <f>IFERROR(__xludf.DUMMYFUNCTION("""COMPUTED_VALUE"""),"No")</f>
        <v>No</v>
      </c>
      <c r="AM115" s="5" t="str">
        <f>IFERROR(__xludf.DUMMYFUNCTION("""COMPUTED_VALUE"""),"No")</f>
        <v>No</v>
      </c>
      <c r="AN115" s="5" t="str">
        <f>IFERROR(__xludf.DUMMYFUNCTION("""COMPUTED_VALUE"""),"No")</f>
        <v>No</v>
      </c>
      <c r="AO115" s="5" t="str">
        <f>IFERROR(__xludf.DUMMYFUNCTION("""COMPUTED_VALUE"""),"Yes")</f>
        <v>Yes</v>
      </c>
      <c r="AP115" s="5" t="str">
        <f>IFERROR(__xludf.DUMMYFUNCTION("""COMPUTED_VALUE"""),"No")</f>
        <v>No</v>
      </c>
      <c r="AQ115" s="5" t="str">
        <f>IFERROR(__xludf.DUMMYFUNCTION("""COMPUTED_VALUE"""),"No")</f>
        <v>No</v>
      </c>
      <c r="AR115" s="5" t="str">
        <f>IFERROR(__xludf.DUMMYFUNCTION("""COMPUTED_VALUE"""),"No")</f>
        <v>No</v>
      </c>
      <c r="AS115" s="5" t="str">
        <f>IFERROR(__xludf.DUMMYFUNCTION("""COMPUTED_VALUE"""),"Yes")</f>
        <v>Yes</v>
      </c>
      <c r="AT115" s="5" t="str">
        <f>IFERROR(__xludf.DUMMYFUNCTION("""COMPUTED_VALUE"""),"No")</f>
        <v>No</v>
      </c>
      <c r="AU115" s="5"/>
      <c r="AV115" s="5" t="str">
        <f>IFERROR(__xludf.DUMMYFUNCTION("""COMPUTED_VALUE"""),"")</f>
        <v/>
      </c>
      <c r="AW115" s="5" t="str">
        <f>IFERROR(__xludf.DUMMYFUNCTION("""COMPUTED_VALUE"""),"")</f>
        <v/>
      </c>
      <c r="AX115" s="5" t="str">
        <f>IFERROR(__xludf.DUMMYFUNCTION("""COMPUTED_VALUE"""),"")</f>
        <v/>
      </c>
      <c r="AY115" s="5" t="str">
        <f>IFERROR(__xludf.DUMMYFUNCTION("""COMPUTED_VALUE"""),"")</f>
        <v/>
      </c>
      <c r="AZ115" s="5" t="str">
        <f>IFERROR(__xludf.DUMMYFUNCTION("""COMPUTED_VALUE"""),"")</f>
        <v/>
      </c>
      <c r="BA115" s="5" t="str">
        <f>IFERROR(__xludf.DUMMYFUNCTION("""COMPUTED_VALUE"""),"")</f>
        <v/>
      </c>
      <c r="BB115" s="5" t="str">
        <f>IFERROR(__xludf.DUMMYFUNCTION("""COMPUTED_VALUE"""),"")</f>
        <v/>
      </c>
    </row>
    <row r="116">
      <c r="A116" s="5" t="str">
        <f>IFERROR(__xludf.DUMMYFUNCTION("""COMPUTED_VALUE"""),"Redstone")</f>
        <v>Redstone</v>
      </c>
      <c r="B116" s="5" t="str">
        <f>IFERROR(__xludf.DUMMYFUNCTION("""COMPUTED_VALUE"""),"Multi Clover 5")</f>
        <v>Multi Clover 5</v>
      </c>
      <c r="C116" s="5" t="str">
        <f>IFERROR(__xludf.DUMMYFUNCTION("""COMPUTED_VALUE"""),"RedstoneMultiClover5")</f>
        <v>RedstoneMultiClover5</v>
      </c>
      <c r="D116" s="6">
        <f>IFERROR(__xludf.DUMMYFUNCTION("""COMPUTED_VALUE"""),46066.0)</f>
        <v>46066</v>
      </c>
      <c r="E116" s="5" t="str">
        <f>IFERROR(__xludf.DUMMYFUNCTION("""COMPUTED_VALUE"""),"Slot")</f>
        <v>Slot</v>
      </c>
      <c r="F116" s="5">
        <f>IFERROR(__xludf.DUMMYFUNCTION("""COMPUTED_VALUE"""),9.0)</f>
        <v>9</v>
      </c>
      <c r="G116" s="5" t="str">
        <f>IFERROR(__xludf.DUMMYFUNCTION("""COMPUTED_VALUE"""),"5x3")</f>
        <v>5x3</v>
      </c>
      <c r="H116" s="5">
        <f>IFERROR(__xludf.DUMMYFUNCTION("""COMPUTED_VALUE"""),5.0)</f>
        <v>5</v>
      </c>
      <c r="I116" s="5">
        <f>IFERROR(__xludf.DUMMYFUNCTION("""COMPUTED_VALUE"""),5.0)</f>
        <v>5</v>
      </c>
      <c r="J116" s="5" t="str">
        <f>IFERROR(__xludf.DUMMYFUNCTION("""COMPUTED_VALUE"""),"96.96%")</f>
        <v>96.96%</v>
      </c>
      <c r="K116" s="5" t="str">
        <f>IFERROR(__xludf.DUMMYFUNCTION("""COMPUTED_VALUE"""),"Medium")</f>
        <v>Medium</v>
      </c>
      <c r="L116" s="5" t="str">
        <f>IFERROR(__xludf.DUMMYFUNCTION("""COMPUTED_VALUE"""),"10.7%")</f>
        <v>10.7%</v>
      </c>
      <c r="M116" s="5" t="str">
        <f>IFERROR(__xludf.DUMMYFUNCTION("""COMPUTED_VALUE"""),"x2150")</f>
        <v>x2150</v>
      </c>
      <c r="N116" s="5" t="str">
        <f>IFERROR(__xludf.DUMMYFUNCTION("""COMPUTED_VALUE"""),"0.05/30")</f>
        <v>0.05/30</v>
      </c>
      <c r="O116" s="5" t="str">
        <f>IFERROR(__xludf.DUMMYFUNCTION("""COMPUTED_VALUE"""),"No")</f>
        <v>No</v>
      </c>
      <c r="P116" s="5" t="str">
        <f>IFERROR(__xludf.DUMMYFUNCTION("""COMPUTED_VALUE"""),"Expanding Wild, Wild Multiplier")</f>
        <v>Expanding Wild, Wild Multiplier</v>
      </c>
      <c r="Q116" s="7" t="str">
        <f>IFERROR(__xludf.DUMMYFUNCTION("""COMPUTED_VALUE"""),"https://static.redstone.rs/games/multi-clover-5/")</f>
        <v>https://static.redstone.rs/games/multi-clover-5/</v>
      </c>
      <c r="R116" s="5" t="str">
        <f>IFERROR(__xludf.DUMMYFUNCTION("""COMPUTED_VALUE"""),"Spin into a world of clovers and magic with Multi Clover 5. One clover can change everything - watch as expanding wilds boost your winnings with x2, x3 or x5 multipliers! ")</f>
        <v>Spin into a world of clovers and magic with Multi Clover 5. One clover can change everything - watch as expanding wilds boost your winnings with x2, x3 or x5 multipliers! </v>
      </c>
      <c r="S11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6" s="5" t="str">
        <f>IFERROR(__xludf.DUMMYFUNCTION("""COMPUTED_VALUE"""),"Yes")</f>
        <v>Yes</v>
      </c>
      <c r="U116" s="5" t="str">
        <f>IFERROR(__xludf.DUMMYFUNCTION("""COMPUTED_VALUE"""),"Yes")</f>
        <v>Yes</v>
      </c>
      <c r="V116" s="5" t="str">
        <f>IFERROR(__xludf.DUMMYFUNCTION("""COMPUTED_VALUE"""),"No")</f>
        <v>No</v>
      </c>
      <c r="W116" s="5" t="str">
        <f>IFERROR(__xludf.DUMMYFUNCTION("""COMPUTED_VALUE"""),"Yes")</f>
        <v>Yes</v>
      </c>
      <c r="X116" s="5" t="str">
        <f>IFERROR(__xludf.DUMMYFUNCTION("""COMPUTED_VALUE"""),"Yes")</f>
        <v>Yes</v>
      </c>
      <c r="Y116" s="5" t="str">
        <f>IFERROR(__xludf.DUMMYFUNCTION("""COMPUTED_VALUE"""),"Yes")</f>
        <v>Yes</v>
      </c>
      <c r="Z116" s="5" t="str">
        <f>IFERROR(__xludf.DUMMYFUNCTION("""COMPUTED_VALUE"""),"Yes")</f>
        <v>Yes</v>
      </c>
      <c r="AA116" s="5" t="str">
        <f>IFERROR(__xludf.DUMMYFUNCTION("""COMPUTED_VALUE"""),"Yes")</f>
        <v>Yes</v>
      </c>
      <c r="AB116" s="5" t="str">
        <f>IFERROR(__xludf.DUMMYFUNCTION("""COMPUTED_VALUE"""),"Yes")</f>
        <v>Yes</v>
      </c>
      <c r="AC116" s="5" t="str">
        <f>IFERROR(__xludf.DUMMYFUNCTION("""COMPUTED_VALUE"""),"Yes")</f>
        <v>Yes</v>
      </c>
      <c r="AD116" s="5" t="str">
        <f>IFERROR(__xludf.DUMMYFUNCTION("""COMPUTED_VALUE"""),"Yes")</f>
        <v>Yes</v>
      </c>
      <c r="AE116" s="5" t="str">
        <f>IFERROR(__xludf.DUMMYFUNCTION("""COMPUTED_VALUE"""),"Yes")</f>
        <v>Yes</v>
      </c>
      <c r="AF116" s="5" t="str">
        <f>IFERROR(__xludf.DUMMYFUNCTION("""COMPUTED_VALUE"""),"Yes")</f>
        <v>Yes</v>
      </c>
      <c r="AG116" s="5" t="str">
        <f>IFERROR(__xludf.DUMMYFUNCTION("""COMPUTED_VALUE"""),"Yes")</f>
        <v>Yes</v>
      </c>
      <c r="AH116" s="5" t="str">
        <f>IFERROR(__xludf.DUMMYFUNCTION("""COMPUTED_VALUE"""),"Yes")</f>
        <v>Yes</v>
      </c>
      <c r="AI116" s="5" t="str">
        <f>IFERROR(__xludf.DUMMYFUNCTION("""COMPUTED_VALUE"""),"No")</f>
        <v>No</v>
      </c>
      <c r="AJ116" s="5" t="str">
        <f>IFERROR(__xludf.DUMMYFUNCTION("""COMPUTED_VALUE"""),"No")</f>
        <v>No</v>
      </c>
      <c r="AK116" s="5" t="str">
        <f>IFERROR(__xludf.DUMMYFUNCTION("""COMPUTED_VALUE"""),"No")</f>
        <v>No</v>
      </c>
      <c r="AL116" s="5" t="str">
        <f>IFERROR(__xludf.DUMMYFUNCTION("""COMPUTED_VALUE"""),"No")</f>
        <v>No</v>
      </c>
      <c r="AM116" s="5" t="str">
        <f>IFERROR(__xludf.DUMMYFUNCTION("""COMPUTED_VALUE"""),"No")</f>
        <v>No</v>
      </c>
      <c r="AN116" s="5" t="str">
        <f>IFERROR(__xludf.DUMMYFUNCTION("""COMPUTED_VALUE"""),"No")</f>
        <v>No</v>
      </c>
      <c r="AO116" s="5" t="str">
        <f>IFERROR(__xludf.DUMMYFUNCTION("""COMPUTED_VALUE"""),"Yes")</f>
        <v>Yes</v>
      </c>
      <c r="AP116" s="5" t="str">
        <f>IFERROR(__xludf.DUMMYFUNCTION("""COMPUTED_VALUE"""),"No")</f>
        <v>No</v>
      </c>
      <c r="AQ116" s="5" t="str">
        <f>IFERROR(__xludf.DUMMYFUNCTION("""COMPUTED_VALUE"""),"No")</f>
        <v>No</v>
      </c>
      <c r="AR116" s="5" t="str">
        <f>IFERROR(__xludf.DUMMYFUNCTION("""COMPUTED_VALUE"""),"No")</f>
        <v>No</v>
      </c>
      <c r="AS116" s="5" t="str">
        <f>IFERROR(__xludf.DUMMYFUNCTION("""COMPUTED_VALUE"""),"Yes")</f>
        <v>Yes</v>
      </c>
      <c r="AT116" s="5" t="str">
        <f>IFERROR(__xludf.DUMMYFUNCTION("""COMPUTED_VALUE"""),"No")</f>
        <v>No</v>
      </c>
      <c r="AU116" s="5"/>
      <c r="AV116" s="5" t="str">
        <f>IFERROR(__xludf.DUMMYFUNCTION("""COMPUTED_VALUE"""),"")</f>
        <v/>
      </c>
      <c r="AW116" s="5" t="str">
        <f>IFERROR(__xludf.DUMMYFUNCTION("""COMPUTED_VALUE"""),"")</f>
        <v/>
      </c>
      <c r="AX116" s="5" t="str">
        <f>IFERROR(__xludf.DUMMYFUNCTION("""COMPUTED_VALUE"""),"")</f>
        <v/>
      </c>
      <c r="AY116" s="5" t="str">
        <f>IFERROR(__xludf.DUMMYFUNCTION("""COMPUTED_VALUE"""),"")</f>
        <v/>
      </c>
      <c r="AZ116" s="5" t="str">
        <f>IFERROR(__xludf.DUMMYFUNCTION("""COMPUTED_VALUE"""),"")</f>
        <v/>
      </c>
      <c r="BA116" s="5" t="str">
        <f>IFERROR(__xludf.DUMMYFUNCTION("""COMPUTED_VALUE"""),"")</f>
        <v/>
      </c>
      <c r="BB116" s="5" t="str">
        <f>IFERROR(__xludf.DUMMYFUNCTION("""COMPUTED_VALUE"""),"")</f>
        <v/>
      </c>
    </row>
    <row r="117">
      <c r="A117" s="5" t="str">
        <f>IFERROR(__xludf.DUMMYFUNCTION("""COMPUTED_VALUE"""),"Redstone")</f>
        <v>Redstone</v>
      </c>
      <c r="B117" s="5" t="str">
        <f>IFERROR(__xludf.DUMMYFUNCTION("""COMPUTED_VALUE"""),"Joker X5")</f>
        <v>Joker X5</v>
      </c>
      <c r="C117" s="5" t="str">
        <f>IFERROR(__xludf.DUMMYFUNCTION("""COMPUTED_VALUE"""),"RedstoneJokerX5")</f>
        <v>RedstoneJokerX5</v>
      </c>
      <c r="D117" s="6">
        <f>IFERROR(__xludf.DUMMYFUNCTION("""COMPUTED_VALUE"""),46076.0)</f>
        <v>46076</v>
      </c>
      <c r="E117" s="5" t="str">
        <f>IFERROR(__xludf.DUMMYFUNCTION("""COMPUTED_VALUE"""),"Slot")</f>
        <v>Slot</v>
      </c>
      <c r="F117" s="5">
        <f>IFERROR(__xludf.DUMMYFUNCTION("""COMPUTED_VALUE"""),8.0)</f>
        <v>8</v>
      </c>
      <c r="G117" s="5" t="str">
        <f>IFERROR(__xludf.DUMMYFUNCTION("""COMPUTED_VALUE"""),"3x3")</f>
        <v>3x3</v>
      </c>
      <c r="H117" s="5">
        <f>IFERROR(__xludf.DUMMYFUNCTION("""COMPUTED_VALUE"""),5.0)</f>
        <v>5</v>
      </c>
      <c r="I117" s="5">
        <f>IFERROR(__xludf.DUMMYFUNCTION("""COMPUTED_VALUE"""),5.0)</f>
        <v>5</v>
      </c>
      <c r="J117" s="5" t="str">
        <f>IFERROR(__xludf.DUMMYFUNCTION("""COMPUTED_VALUE"""),"96.53%")</f>
        <v>96.53%</v>
      </c>
      <c r="K117" s="5" t="str">
        <f>IFERROR(__xludf.DUMMYFUNCTION("""COMPUTED_VALUE"""),"Medium")</f>
        <v>Medium</v>
      </c>
      <c r="L117" s="5" t="str">
        <f>IFERROR(__xludf.DUMMYFUNCTION("""COMPUTED_VALUE"""),"16.49%")</f>
        <v>16.49%</v>
      </c>
      <c r="M117" s="5" t="str">
        <f>IFERROR(__xludf.DUMMYFUNCTION("""COMPUTED_VALUE"""),"x900")</f>
        <v>x900</v>
      </c>
      <c r="N117" s="5" t="str">
        <f>IFERROR(__xludf.DUMMYFUNCTION("""COMPUTED_VALUE"""),"0.10/50")</f>
        <v>0.10/50</v>
      </c>
      <c r="O117" s="5" t="str">
        <f>IFERROR(__xludf.DUMMYFUNCTION("""COMPUTED_VALUE"""),"No")</f>
        <v>No</v>
      </c>
      <c r="P117" s="5" t="str">
        <f>IFERROR(__xludf.DUMMYFUNCTION("""COMPUTED_VALUE"""),"Expanding Wild, Wild Multiplier")</f>
        <v>Expanding Wild, Wild Multiplier</v>
      </c>
      <c r="Q117" s="7" t="str">
        <f>IFERROR(__xludf.DUMMYFUNCTION("""COMPUTED_VALUE"""),"https://static.redstone.rs/games/joker-x5/")</f>
        <v>https://static.redstone.rs/games/joker-x5/</v>
      </c>
      <c r="R117" s="5" t="str">
        <f>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S11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IFERROR(__xludf.DUMMYFUNCTION("""COMPUTED_VALUE"""),"Yes")</f>
        <v>Yes</v>
      </c>
      <c r="AA117" s="5" t="str">
        <f>IFERROR(__xludf.DUMMYFUNCTION("""COMPUTED_VALUE"""),"Yes")</f>
        <v>Yes</v>
      </c>
      <c r="AB117" s="5" t="str">
        <f>IFERROR(__xludf.DUMMYFUNCTION("""COMPUTED_VALUE"""),"Yes")</f>
        <v>Yes</v>
      </c>
      <c r="AC117" s="5" t="str">
        <f>IFERROR(__xludf.DUMMYFUNCTION("""COMPUTED_VALUE"""),"Yes")</f>
        <v>Yes</v>
      </c>
      <c r="AD117" s="5" t="str">
        <f>IFERROR(__xludf.DUMMYFUNCTION("""COMPUTED_VALUE"""),"Yes")</f>
        <v>Yes</v>
      </c>
      <c r="AE117" s="5" t="str">
        <f>IFERROR(__xludf.DUMMYFUNCTION("""COMPUTED_VALUE"""),"Yes")</f>
        <v>Yes</v>
      </c>
      <c r="AF117" s="5" t="str">
        <f>IFERROR(__xludf.DUMMYFUNCTION("""COMPUTED_VALUE"""),"Yes")</f>
        <v>Yes</v>
      </c>
      <c r="AG117" s="5" t="str">
        <f>IFERROR(__xludf.DUMMYFUNCTION("""COMPUTED_VALUE"""),"Yes")</f>
        <v>Yes</v>
      </c>
      <c r="AH117" s="5" t="str">
        <f>IFERROR(__xludf.DUMMYFUNCTION("""COMPUTED_VALUE"""),"Yes")</f>
        <v>Yes</v>
      </c>
      <c r="AI117" s="5" t="str">
        <f>IFERROR(__xludf.DUMMYFUNCTION("""COMPUTED_VALUE"""),"No")</f>
        <v>No</v>
      </c>
      <c r="AJ117" s="5" t="str">
        <f>IFERROR(__xludf.DUMMYFUNCTION("""COMPUTED_VALUE"""),"No")</f>
        <v>No</v>
      </c>
      <c r="AK117" s="5" t="str">
        <f>IFERROR(__xludf.DUMMYFUNCTION("""COMPUTED_VALUE"""),"No")</f>
        <v>No</v>
      </c>
      <c r="AL117" s="5" t="str">
        <f>IFERROR(__xludf.DUMMYFUNCTION("""COMPUTED_VALUE"""),"No")</f>
        <v>No</v>
      </c>
      <c r="AM117" s="5" t="str">
        <f>IFERROR(__xludf.DUMMYFUNCTION("""COMPUTED_VALUE"""),"No")</f>
        <v>No</v>
      </c>
      <c r="AN117" s="5" t="str">
        <f>IFERROR(__xludf.DUMMYFUNCTION("""COMPUTED_VALUE"""),"No")</f>
        <v>No</v>
      </c>
      <c r="AO117" s="5" t="str">
        <f>IFERROR(__xludf.DUMMYFUNCTION("""COMPUTED_VALUE"""),"Yes")</f>
        <v>Yes</v>
      </c>
      <c r="AP117" s="5" t="str">
        <f>IFERROR(__xludf.DUMMYFUNCTION("""COMPUTED_VALUE"""),"No")</f>
        <v>No</v>
      </c>
      <c r="AQ117" s="5" t="str">
        <f>IFERROR(__xludf.DUMMYFUNCTION("""COMPUTED_VALUE"""),"No")</f>
        <v>No</v>
      </c>
      <c r="AR117" s="5" t="str">
        <f>IFERROR(__xludf.DUMMYFUNCTION("""COMPUTED_VALUE"""),"No")</f>
        <v>No</v>
      </c>
      <c r="AS117" s="5" t="str">
        <f>IFERROR(__xludf.DUMMYFUNCTION("""COMPUTED_VALUE"""),"Yes")</f>
        <v>Yes</v>
      </c>
      <c r="AT117" s="5" t="str">
        <f>IFERROR(__xludf.DUMMYFUNCTION("""COMPUTED_VALUE"""),"No")</f>
        <v>No</v>
      </c>
      <c r="AU117" s="5"/>
      <c r="AV117" s="5" t="str">
        <f>IFERROR(__xludf.DUMMYFUNCTION("""COMPUTED_VALUE"""),"")</f>
        <v/>
      </c>
      <c r="AW117" s="5" t="str">
        <f>IFERROR(__xludf.DUMMYFUNCTION("""COMPUTED_VALUE"""),"")</f>
        <v/>
      </c>
      <c r="AX117" s="5" t="str">
        <f>IFERROR(__xludf.DUMMYFUNCTION("""COMPUTED_VALUE"""),"")</f>
        <v/>
      </c>
      <c r="AY117" s="5" t="str">
        <f>IFERROR(__xludf.DUMMYFUNCTION("""COMPUTED_VALUE"""),"")</f>
        <v/>
      </c>
      <c r="AZ117" s="5" t="str">
        <f>IFERROR(__xludf.DUMMYFUNCTION("""COMPUTED_VALUE"""),"")</f>
        <v/>
      </c>
      <c r="BA117" s="5" t="str">
        <f>IFERROR(__xludf.DUMMYFUNCTION("""COMPUTED_VALUE"""),"")</f>
        <v/>
      </c>
      <c r="BB117" s="5" t="str">
        <f>IFERROR(__xludf.DUMMYFUNCTION("""COMPUTED_VALUE"""),"")</f>
        <v/>
      </c>
    </row>
    <row r="118">
      <c r="A118" s="5" t="str">
        <f>IFERROR(__xludf.DUMMYFUNCTION("""COMPUTED_VALUE"""),"Redstone")</f>
        <v>Redstone</v>
      </c>
      <c r="B118" s="5" t="str">
        <f>IFERROR(__xludf.DUMMYFUNCTION("""COMPUTED_VALUE"""),"Clover Rush 5")</f>
        <v>Clover Rush 5</v>
      </c>
      <c r="C118" s="5" t="str">
        <f>IFERROR(__xludf.DUMMYFUNCTION("""COMPUTED_VALUE"""),"RedstoneCloverRush5")</f>
        <v>RedstoneCloverRush5</v>
      </c>
      <c r="D118" s="6">
        <f>IFERROR(__xludf.DUMMYFUNCTION("""COMPUTED_VALUE"""),46086.0)</f>
        <v>46086</v>
      </c>
      <c r="E118" s="5" t="str">
        <f>IFERROR(__xludf.DUMMYFUNCTION("""COMPUTED_VALUE"""),"Slot")</f>
        <v>Slot</v>
      </c>
      <c r="F118" s="5">
        <f>IFERROR(__xludf.DUMMYFUNCTION("""COMPUTED_VALUE"""),10.0)</f>
        <v>10</v>
      </c>
      <c r="G118" s="5" t="str">
        <f>IFERROR(__xludf.DUMMYFUNCTION("""COMPUTED_VALUE"""),"5x3")</f>
        <v>5x3</v>
      </c>
      <c r="H118" s="5">
        <f>IFERROR(__xludf.DUMMYFUNCTION("""COMPUTED_VALUE"""),5.0)</f>
        <v>5</v>
      </c>
      <c r="I118" s="5">
        <f>IFERROR(__xludf.DUMMYFUNCTION("""COMPUTED_VALUE"""),5.0)</f>
        <v>5</v>
      </c>
      <c r="J118" s="5" t="str">
        <f>IFERROR(__xludf.DUMMYFUNCTION("""COMPUTED_VALUE"""),"96.35%")</f>
        <v>96.35%</v>
      </c>
      <c r="K118" s="5" t="str">
        <f>IFERROR(__xludf.DUMMYFUNCTION("""COMPUTED_VALUE"""),"Medium")</f>
        <v>Medium</v>
      </c>
      <c r="L118" s="5" t="str">
        <f>IFERROR(__xludf.DUMMYFUNCTION("""COMPUTED_VALUE"""),"11.36%")</f>
        <v>11.36%</v>
      </c>
      <c r="M118" s="5" t="str">
        <f>IFERROR(__xludf.DUMMYFUNCTION("""COMPUTED_VALUE"""),"x2000")</f>
        <v>x2000</v>
      </c>
      <c r="N118" s="5" t="str">
        <f>IFERROR(__xludf.DUMMYFUNCTION("""COMPUTED_VALUE"""),"0.10/50")</f>
        <v>0.10/50</v>
      </c>
      <c r="O118" s="5" t="str">
        <f>IFERROR(__xludf.DUMMYFUNCTION("""COMPUTED_VALUE"""),"No")</f>
        <v>No</v>
      </c>
      <c r="P118" s="5" t="str">
        <f>IFERROR(__xludf.DUMMYFUNCTION("""COMPUTED_VALUE"""),"Win Multiplier, Expanding Wild")</f>
        <v>Win Multiplier, Expanding Wild</v>
      </c>
      <c r="Q118" s="7" t="str">
        <f>IFERROR(__xludf.DUMMYFUNCTION("""COMPUTED_VALUE"""),"https://static.redstone.rs/games/clover-rush-5/")</f>
        <v>https://static.redstone.rs/games/clover-rush-5/</v>
      </c>
      <c r="R118" s="5" t="str">
        <f>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S11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8" s="5" t="str">
        <f>IFERROR(__xludf.DUMMYFUNCTION("""COMPUTED_VALUE"""),"Yes")</f>
        <v>Yes</v>
      </c>
      <c r="U118" s="5" t="str">
        <f>IFERROR(__xludf.DUMMYFUNCTION("""COMPUTED_VALUE"""),"Yes")</f>
        <v>Yes</v>
      </c>
      <c r="V118" s="5" t="str">
        <f>IFERROR(__xludf.DUMMYFUNCTION("""COMPUTED_VALUE"""),"No")</f>
        <v>No</v>
      </c>
      <c r="W118" s="5" t="str">
        <f>IFERROR(__xludf.DUMMYFUNCTION("""COMPUTED_VALUE"""),"Yes")</f>
        <v>Yes</v>
      </c>
      <c r="X118" s="5" t="str">
        <f>IFERROR(__xludf.DUMMYFUNCTION("""COMPUTED_VALUE"""),"Yes")</f>
        <v>Yes</v>
      </c>
      <c r="Y118" s="5" t="str">
        <f>IFERROR(__xludf.DUMMYFUNCTION("""COMPUTED_VALUE"""),"Yes")</f>
        <v>Yes</v>
      </c>
      <c r="Z118" s="5" t="str">
        <f>IFERROR(__xludf.DUMMYFUNCTION("""COMPUTED_VALUE"""),"Yes")</f>
        <v>Yes</v>
      </c>
      <c r="AA118" s="5" t="str">
        <f>IFERROR(__xludf.DUMMYFUNCTION("""COMPUTED_VALUE"""),"Yes")</f>
        <v>Yes</v>
      </c>
      <c r="AB118" s="5" t="str">
        <f>IFERROR(__xludf.DUMMYFUNCTION("""COMPUTED_VALUE"""),"Yes")</f>
        <v>Yes</v>
      </c>
      <c r="AC118" s="5" t="str">
        <f>IFERROR(__xludf.DUMMYFUNCTION("""COMPUTED_VALUE"""),"Yes")</f>
        <v>Yes</v>
      </c>
      <c r="AD118" s="5" t="str">
        <f>IFERROR(__xludf.DUMMYFUNCTION("""COMPUTED_VALUE"""),"Yes")</f>
        <v>Yes</v>
      </c>
      <c r="AE118" s="5" t="str">
        <f>IFERROR(__xludf.DUMMYFUNCTION("""COMPUTED_VALUE"""),"Yes")</f>
        <v>Yes</v>
      </c>
      <c r="AF118" s="5" t="str">
        <f>IFERROR(__xludf.DUMMYFUNCTION("""COMPUTED_VALUE"""),"Yes")</f>
        <v>Yes</v>
      </c>
      <c r="AG118" s="5" t="str">
        <f>IFERROR(__xludf.DUMMYFUNCTION("""COMPUTED_VALUE"""),"Yes")</f>
        <v>Yes</v>
      </c>
      <c r="AH118" s="5" t="str">
        <f>IFERROR(__xludf.DUMMYFUNCTION("""COMPUTED_VALUE"""),"Yes")</f>
        <v>Yes</v>
      </c>
      <c r="AI118" s="5" t="str">
        <f>IFERROR(__xludf.DUMMYFUNCTION("""COMPUTED_VALUE"""),"No")</f>
        <v>No</v>
      </c>
      <c r="AJ118" s="5" t="str">
        <f>IFERROR(__xludf.DUMMYFUNCTION("""COMPUTED_VALUE"""),"No")</f>
        <v>No</v>
      </c>
      <c r="AK118" s="5" t="str">
        <f>IFERROR(__xludf.DUMMYFUNCTION("""COMPUTED_VALUE"""),"No")</f>
        <v>No</v>
      </c>
      <c r="AL118" s="5" t="str">
        <f>IFERROR(__xludf.DUMMYFUNCTION("""COMPUTED_VALUE"""),"No")</f>
        <v>No</v>
      </c>
      <c r="AM118" s="5" t="str">
        <f>IFERROR(__xludf.DUMMYFUNCTION("""COMPUTED_VALUE"""),"No")</f>
        <v>No</v>
      </c>
      <c r="AN118" s="5" t="str">
        <f>IFERROR(__xludf.DUMMYFUNCTION("""COMPUTED_VALUE"""),"No")</f>
        <v>No</v>
      </c>
      <c r="AO118" s="5" t="str">
        <f>IFERROR(__xludf.DUMMYFUNCTION("""COMPUTED_VALUE"""),"Yes")</f>
        <v>Yes</v>
      </c>
      <c r="AP118" s="5" t="str">
        <f>IFERROR(__xludf.DUMMYFUNCTION("""COMPUTED_VALUE"""),"No")</f>
        <v>No</v>
      </c>
      <c r="AQ118" s="5" t="str">
        <f>IFERROR(__xludf.DUMMYFUNCTION("""COMPUTED_VALUE"""),"No")</f>
        <v>No</v>
      </c>
      <c r="AR118" s="5" t="str">
        <f>IFERROR(__xludf.DUMMYFUNCTION("""COMPUTED_VALUE"""),"No")</f>
        <v>No</v>
      </c>
      <c r="AS118" s="5" t="str">
        <f>IFERROR(__xludf.DUMMYFUNCTION("""COMPUTED_VALUE"""),"Yes")</f>
        <v>Yes</v>
      </c>
      <c r="AT118" s="5" t="str">
        <f>IFERROR(__xludf.DUMMYFUNCTION("""COMPUTED_VALUE"""),"No")</f>
        <v>No</v>
      </c>
      <c r="AU118" s="5"/>
      <c r="AV118" s="5" t="str">
        <f>IFERROR(__xludf.DUMMYFUNCTION("""COMPUTED_VALUE"""),"")</f>
        <v/>
      </c>
      <c r="AW118" s="5" t="str">
        <f>IFERROR(__xludf.DUMMYFUNCTION("""COMPUTED_VALUE"""),"")</f>
        <v/>
      </c>
      <c r="AX118" s="5" t="str">
        <f>IFERROR(__xludf.DUMMYFUNCTION("""COMPUTED_VALUE"""),"")</f>
        <v/>
      </c>
      <c r="AY118" s="5" t="str">
        <f>IFERROR(__xludf.DUMMYFUNCTION("""COMPUTED_VALUE"""),"")</f>
        <v/>
      </c>
      <c r="AZ118" s="5" t="str">
        <f>IFERROR(__xludf.DUMMYFUNCTION("""COMPUTED_VALUE"""),"")</f>
        <v/>
      </c>
      <c r="BA118" s="5" t="str">
        <f>IFERROR(__xludf.DUMMYFUNCTION("""COMPUTED_VALUE"""),"")</f>
        <v/>
      </c>
      <c r="BB118" s="5" t="str">
        <f>IFERROR(__xludf.DUMMYFUNCTION("""COMPUTED_VALUE"""),"")</f>
        <v/>
      </c>
    </row>
    <row r="119">
      <c r="A119" s="5" t="str">
        <f>IFERROR(__xludf.DUMMYFUNCTION("""COMPUTED_VALUE"""),"Redstone")</f>
        <v>Redstone</v>
      </c>
      <c r="B119" s="5" t="str">
        <f>IFERROR(__xludf.DUMMYFUNCTION("""COMPUTED_VALUE"""),"5 Bell Fire")</f>
        <v>5 Bell Fire</v>
      </c>
      <c r="C119" s="5" t="str">
        <f>IFERROR(__xludf.DUMMYFUNCTION("""COMPUTED_VALUE"""),"Redstone5BellFire")</f>
        <v>Redstone5BellFire</v>
      </c>
      <c r="D119" s="6">
        <f>IFERROR(__xludf.DUMMYFUNCTION("""COMPUTED_VALUE"""),46091.0)</f>
        <v>46091</v>
      </c>
      <c r="E119" s="5" t="str">
        <f>IFERROR(__xludf.DUMMYFUNCTION("""COMPUTED_VALUE"""),"Slot")</f>
        <v>Slot</v>
      </c>
      <c r="F119" s="5">
        <f>IFERROR(__xludf.DUMMYFUNCTION("""COMPUTED_VALUE"""),8.8)</f>
        <v>8.8</v>
      </c>
      <c r="G119" s="5" t="str">
        <f>IFERROR(__xludf.DUMMYFUNCTION("""COMPUTED_VALUE"""),"5x3")</f>
        <v>5x3</v>
      </c>
      <c r="H119" s="5">
        <f>IFERROR(__xludf.DUMMYFUNCTION("""COMPUTED_VALUE"""),5.0)</f>
        <v>5</v>
      </c>
      <c r="I119" s="5">
        <f>IFERROR(__xludf.DUMMYFUNCTION("""COMPUTED_VALUE"""),5.0)</f>
        <v>5</v>
      </c>
      <c r="J119" s="5" t="str">
        <f>IFERROR(__xludf.DUMMYFUNCTION("""COMPUTED_VALUE"""),"96.45%")</f>
        <v>96.45%</v>
      </c>
      <c r="K119" s="5" t="str">
        <f>IFERROR(__xludf.DUMMYFUNCTION("""COMPUTED_VALUE"""),"Medium")</f>
        <v>Medium</v>
      </c>
      <c r="L119" s="5" t="str">
        <f>IFERROR(__xludf.DUMMYFUNCTION("""COMPUTED_VALUE"""),"14.5%")</f>
        <v>14.5%</v>
      </c>
      <c r="M119" s="5" t="str">
        <f>IFERROR(__xludf.DUMMYFUNCTION("""COMPUTED_VALUE"""),"x1222")</f>
        <v>x1222</v>
      </c>
      <c r="N119" s="5" t="str">
        <f>IFERROR(__xludf.DUMMYFUNCTION("""COMPUTED_VALUE"""),"0.05/30")</f>
        <v>0.05/30</v>
      </c>
      <c r="O119" s="5" t="str">
        <f>IFERROR(__xludf.DUMMYFUNCTION("""COMPUTED_VALUE"""),"No")</f>
        <v>No</v>
      </c>
      <c r="P119" s="5" t="str">
        <f>IFERROR(__xludf.DUMMYFUNCTION("""COMPUTED_VALUE"""),"Expanding Wild, Scatter")</f>
        <v>Expanding Wild, Scatter</v>
      </c>
      <c r="Q119" s="7" t="str">
        <f>IFERROR(__xludf.DUMMYFUNCTION("""COMPUTED_VALUE"""),"https://static.redstone.rs/games/5-bell-fire/")</f>
        <v>https://static.redstone.rs/games/5-bell-fire/</v>
      </c>
      <c r="R119" s="5" t="str">
        <f>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S11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9" s="5" t="str">
        <f>IFERROR(__xludf.DUMMYFUNCTION("""COMPUTED_VALUE"""),"Yes")</f>
        <v>Yes</v>
      </c>
      <c r="U119" s="5" t="str">
        <f>IFERROR(__xludf.DUMMYFUNCTION("""COMPUTED_VALUE"""),"Yes")</f>
        <v>Yes</v>
      </c>
      <c r="V119" s="5" t="str">
        <f>IFERROR(__xludf.DUMMYFUNCTION("""COMPUTED_VALUE"""),"No")</f>
        <v>No</v>
      </c>
      <c r="W119" s="5" t="str">
        <f>IFERROR(__xludf.DUMMYFUNCTION("""COMPUTED_VALUE"""),"Yes")</f>
        <v>Yes</v>
      </c>
      <c r="X119" s="5" t="str">
        <f>IFERROR(__xludf.DUMMYFUNCTION("""COMPUTED_VALUE"""),"Yes")</f>
        <v>Yes</v>
      </c>
      <c r="Y119" s="5" t="str">
        <f>IFERROR(__xludf.DUMMYFUNCTION("""COMPUTED_VALUE"""),"Yes")</f>
        <v>Yes</v>
      </c>
      <c r="Z119" s="5" t="str">
        <f>IFERROR(__xludf.DUMMYFUNCTION("""COMPUTED_VALUE"""),"Yes")</f>
        <v>Yes</v>
      </c>
      <c r="AA119" s="5" t="str">
        <f>IFERROR(__xludf.DUMMYFUNCTION("""COMPUTED_VALUE"""),"Yes")</f>
        <v>Yes</v>
      </c>
      <c r="AB119" s="5" t="str">
        <f>IFERROR(__xludf.DUMMYFUNCTION("""COMPUTED_VALUE"""),"Yes")</f>
        <v>Yes</v>
      </c>
      <c r="AC119" s="5" t="str">
        <f>IFERROR(__xludf.DUMMYFUNCTION("""COMPUTED_VALUE"""),"Yes")</f>
        <v>Yes</v>
      </c>
      <c r="AD119" s="5" t="str">
        <f>IFERROR(__xludf.DUMMYFUNCTION("""COMPUTED_VALUE"""),"Yes")</f>
        <v>Yes</v>
      </c>
      <c r="AE119" s="5" t="str">
        <f>IFERROR(__xludf.DUMMYFUNCTION("""COMPUTED_VALUE"""),"Yes")</f>
        <v>Yes</v>
      </c>
      <c r="AF119" s="5" t="str">
        <f>IFERROR(__xludf.DUMMYFUNCTION("""COMPUTED_VALUE"""),"Yes")</f>
        <v>Yes</v>
      </c>
      <c r="AG119" s="5" t="str">
        <f>IFERROR(__xludf.DUMMYFUNCTION("""COMPUTED_VALUE"""),"Yes")</f>
        <v>Yes</v>
      </c>
      <c r="AH119" s="5" t="str">
        <f>IFERROR(__xludf.DUMMYFUNCTION("""COMPUTED_VALUE"""),"Yes")</f>
        <v>Yes</v>
      </c>
      <c r="AI119" s="5" t="str">
        <f>IFERROR(__xludf.DUMMYFUNCTION("""COMPUTED_VALUE"""),"No")</f>
        <v>No</v>
      </c>
      <c r="AJ119" s="5" t="str">
        <f>IFERROR(__xludf.DUMMYFUNCTION("""COMPUTED_VALUE"""),"No")</f>
        <v>No</v>
      </c>
      <c r="AK119" s="5" t="str">
        <f>IFERROR(__xludf.DUMMYFUNCTION("""COMPUTED_VALUE"""),"No")</f>
        <v>No</v>
      </c>
      <c r="AL119" s="5" t="str">
        <f>IFERROR(__xludf.DUMMYFUNCTION("""COMPUTED_VALUE"""),"No")</f>
        <v>No</v>
      </c>
      <c r="AM119" s="5" t="str">
        <f>IFERROR(__xludf.DUMMYFUNCTION("""COMPUTED_VALUE"""),"No")</f>
        <v>No</v>
      </c>
      <c r="AN119" s="5" t="str">
        <f>IFERROR(__xludf.DUMMYFUNCTION("""COMPUTED_VALUE"""),"No")</f>
        <v>No</v>
      </c>
      <c r="AO119" s="5" t="str">
        <f>IFERROR(__xludf.DUMMYFUNCTION("""COMPUTED_VALUE"""),"Yes")</f>
        <v>Yes</v>
      </c>
      <c r="AP119" s="5" t="str">
        <f>IFERROR(__xludf.DUMMYFUNCTION("""COMPUTED_VALUE"""),"No")</f>
        <v>No</v>
      </c>
      <c r="AQ119" s="5" t="str">
        <f>IFERROR(__xludf.DUMMYFUNCTION("""COMPUTED_VALUE"""),"No")</f>
        <v>No</v>
      </c>
      <c r="AR119" s="5" t="str">
        <f>IFERROR(__xludf.DUMMYFUNCTION("""COMPUTED_VALUE"""),"No")</f>
        <v>No</v>
      </c>
      <c r="AS119" s="5" t="str">
        <f>IFERROR(__xludf.DUMMYFUNCTION("""COMPUTED_VALUE"""),"Yes")</f>
        <v>Yes</v>
      </c>
      <c r="AT119" s="5" t="str">
        <f>IFERROR(__xludf.DUMMYFUNCTION("""COMPUTED_VALUE"""),"No")</f>
        <v>No</v>
      </c>
      <c r="AU119" s="5"/>
      <c r="AV119" s="5" t="str">
        <f>IFERROR(__xludf.DUMMYFUNCTION("""COMPUTED_VALUE"""),"")</f>
        <v/>
      </c>
      <c r="AW119" s="5" t="str">
        <f>IFERROR(__xludf.DUMMYFUNCTION("""COMPUTED_VALUE"""),"")</f>
        <v/>
      </c>
      <c r="AX119" s="5" t="str">
        <f>IFERROR(__xludf.DUMMYFUNCTION("""COMPUTED_VALUE"""),"")</f>
        <v/>
      </c>
      <c r="AY119" s="5" t="str">
        <f>IFERROR(__xludf.DUMMYFUNCTION("""COMPUTED_VALUE"""),"")</f>
        <v/>
      </c>
      <c r="AZ119" s="5" t="str">
        <f>IFERROR(__xludf.DUMMYFUNCTION("""COMPUTED_VALUE"""),"")</f>
        <v/>
      </c>
      <c r="BA119" s="5" t="str">
        <f>IFERROR(__xludf.DUMMYFUNCTION("""COMPUTED_VALUE"""),"")</f>
        <v/>
      </c>
      <c r="BB119" s="5" t="str">
        <f>IFERROR(__xludf.DUMMYFUNCTION("""COMPUTED_VALUE"""),"")</f>
        <v/>
      </c>
    </row>
    <row r="120">
      <c r="A120" s="5" t="str">
        <f>IFERROR(__xludf.DUMMYFUNCTION("""COMPUTED_VALUE"""),"Redstone")</f>
        <v>Redstone</v>
      </c>
      <c r="B120" s="5" t="str">
        <f>IFERROR(__xludf.DUMMYFUNCTION("""COMPUTED_VALUE"""),"Dice Drop 10")</f>
        <v>Dice Drop 10</v>
      </c>
      <c r="C120" s="5" t="str">
        <f>IFERROR(__xludf.DUMMYFUNCTION("""COMPUTED_VALUE"""),"RedstoneDiceDrop10")</f>
        <v>RedstoneDiceDrop10</v>
      </c>
      <c r="D120" s="6">
        <f>IFERROR(__xludf.DUMMYFUNCTION("""COMPUTED_VALUE"""),46100.0)</f>
        <v>46100</v>
      </c>
      <c r="E120" s="5" t="str">
        <f>IFERROR(__xludf.DUMMYFUNCTION("""COMPUTED_VALUE"""),"Slot")</f>
        <v>Slot</v>
      </c>
      <c r="F120" s="5">
        <f>IFERROR(__xludf.DUMMYFUNCTION("""COMPUTED_VALUE"""),7.0)</f>
        <v>7</v>
      </c>
      <c r="G120" s="5" t="str">
        <f>IFERROR(__xludf.DUMMYFUNCTION("""COMPUTED_VALUE"""),"5x3")</f>
        <v>5x3</v>
      </c>
      <c r="H120" s="5">
        <f>IFERROR(__xludf.DUMMYFUNCTION("""COMPUTED_VALUE"""),10.0)</f>
        <v>10</v>
      </c>
      <c r="I120" s="5">
        <f>IFERROR(__xludf.DUMMYFUNCTION("""COMPUTED_VALUE"""),10.0)</f>
        <v>10</v>
      </c>
      <c r="J120" s="5" t="str">
        <f>IFERROR(__xludf.DUMMYFUNCTION("""COMPUTED_VALUE"""),"96.33%")</f>
        <v>96.33%</v>
      </c>
      <c r="K120" s="5" t="str">
        <f>IFERROR(__xludf.DUMMYFUNCTION("""COMPUTED_VALUE"""),"Medium")</f>
        <v>Medium</v>
      </c>
      <c r="L120" s="5" t="str">
        <f>IFERROR(__xludf.DUMMYFUNCTION("""COMPUTED_VALUE"""),"12.5%")</f>
        <v>12.5%</v>
      </c>
      <c r="M120" s="5" t="str">
        <f>IFERROR(__xludf.DUMMYFUNCTION("""COMPUTED_VALUE"""),"x950")</f>
        <v>x950</v>
      </c>
      <c r="N120" s="5" t="str">
        <f>IFERROR(__xludf.DUMMYFUNCTION("""COMPUTED_VALUE"""),"0.10/50")</f>
        <v>0.10/50</v>
      </c>
      <c r="O120" s="5" t="str">
        <f>IFERROR(__xludf.DUMMYFUNCTION("""COMPUTED_VALUE"""),"No")</f>
        <v>No</v>
      </c>
      <c r="P120" s="5" t="str">
        <f>IFERROR(__xludf.DUMMYFUNCTION("""COMPUTED_VALUE"""),"Scatter, Exploding Wild")</f>
        <v>Scatter, Exploding Wild</v>
      </c>
      <c r="Q120" s="7" t="str">
        <f>IFERROR(__xludf.DUMMYFUNCTION("""COMPUTED_VALUE"""),"https://static.redstone.rs/games/dice-drop-10/")</f>
        <v>https://static.redstone.rs/games/dice-drop-10/</v>
      </c>
      <c r="R120" s="5" t="str">
        <f>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S12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0" s="5" t="str">
        <f>IFERROR(__xludf.DUMMYFUNCTION("""COMPUTED_VALUE"""),"Yes")</f>
        <v>Yes</v>
      </c>
      <c r="U120" s="5" t="str">
        <f>IFERROR(__xludf.DUMMYFUNCTION("""COMPUTED_VALUE"""),"Yes")</f>
        <v>Yes</v>
      </c>
      <c r="V120" s="5" t="str">
        <f>IFERROR(__xludf.DUMMYFUNCTION("""COMPUTED_VALUE"""),"No")</f>
        <v>No</v>
      </c>
      <c r="W120" s="5" t="str">
        <f>IFERROR(__xludf.DUMMYFUNCTION("""COMPUTED_VALUE"""),"Yes")</f>
        <v>Yes</v>
      </c>
      <c r="X120" s="5" t="str">
        <f>IFERROR(__xludf.DUMMYFUNCTION("""COMPUTED_VALUE"""),"Yes")</f>
        <v>Yes</v>
      </c>
      <c r="Y120" s="5" t="str">
        <f>IFERROR(__xludf.DUMMYFUNCTION("""COMPUTED_VALUE"""),"Yes")</f>
        <v>Yes</v>
      </c>
      <c r="Z120" s="5" t="str">
        <f>IFERROR(__xludf.DUMMYFUNCTION("""COMPUTED_VALUE"""),"Yes")</f>
        <v>Yes</v>
      </c>
      <c r="AA120" s="5" t="str">
        <f>IFERROR(__xludf.DUMMYFUNCTION("""COMPUTED_VALUE"""),"Yes")</f>
        <v>Yes</v>
      </c>
      <c r="AB120" s="5" t="str">
        <f>IFERROR(__xludf.DUMMYFUNCTION("""COMPUTED_VALUE"""),"Yes")</f>
        <v>Yes</v>
      </c>
      <c r="AC120" s="5" t="str">
        <f>IFERROR(__xludf.DUMMYFUNCTION("""COMPUTED_VALUE"""),"Yes")</f>
        <v>Yes</v>
      </c>
      <c r="AD120" s="5" t="str">
        <f>IFERROR(__xludf.DUMMYFUNCTION("""COMPUTED_VALUE"""),"Yes")</f>
        <v>Yes</v>
      </c>
      <c r="AE120" s="5" t="str">
        <f>IFERROR(__xludf.DUMMYFUNCTION("""COMPUTED_VALUE"""),"Yes")</f>
        <v>Yes</v>
      </c>
      <c r="AF120" s="5" t="str">
        <f>IFERROR(__xludf.DUMMYFUNCTION("""COMPUTED_VALUE"""),"Yes")</f>
        <v>Yes</v>
      </c>
      <c r="AG120" s="5" t="str">
        <f>IFERROR(__xludf.DUMMYFUNCTION("""COMPUTED_VALUE"""),"Yes")</f>
        <v>Yes</v>
      </c>
      <c r="AH120" s="5" t="str">
        <f>IFERROR(__xludf.DUMMYFUNCTION("""COMPUTED_VALUE"""),"Yes")</f>
        <v>Yes</v>
      </c>
      <c r="AI120" s="5" t="str">
        <f>IFERROR(__xludf.DUMMYFUNCTION("""COMPUTED_VALUE"""),"No")</f>
        <v>No</v>
      </c>
      <c r="AJ120" s="5" t="str">
        <f>IFERROR(__xludf.DUMMYFUNCTION("""COMPUTED_VALUE"""),"No")</f>
        <v>No</v>
      </c>
      <c r="AK120" s="5" t="str">
        <f>IFERROR(__xludf.DUMMYFUNCTION("""COMPUTED_VALUE"""),"No")</f>
        <v>No</v>
      </c>
      <c r="AL120" s="5" t="str">
        <f>IFERROR(__xludf.DUMMYFUNCTION("""COMPUTED_VALUE"""),"No")</f>
        <v>No</v>
      </c>
      <c r="AM120" s="5" t="str">
        <f>IFERROR(__xludf.DUMMYFUNCTION("""COMPUTED_VALUE"""),"No")</f>
        <v>No</v>
      </c>
      <c r="AN120" s="5" t="str">
        <f>IFERROR(__xludf.DUMMYFUNCTION("""COMPUTED_VALUE"""),"No")</f>
        <v>No</v>
      </c>
      <c r="AO120" s="5" t="str">
        <f>IFERROR(__xludf.DUMMYFUNCTION("""COMPUTED_VALUE"""),"Yes")</f>
        <v>Yes</v>
      </c>
      <c r="AP120" s="5" t="str">
        <f>IFERROR(__xludf.DUMMYFUNCTION("""COMPUTED_VALUE"""),"No")</f>
        <v>No</v>
      </c>
      <c r="AQ120" s="5" t="str">
        <f>IFERROR(__xludf.DUMMYFUNCTION("""COMPUTED_VALUE"""),"No")</f>
        <v>No</v>
      </c>
      <c r="AR120" s="5" t="str">
        <f>IFERROR(__xludf.DUMMYFUNCTION("""COMPUTED_VALUE"""),"No")</f>
        <v>No</v>
      </c>
      <c r="AS120" s="5" t="str">
        <f>IFERROR(__xludf.DUMMYFUNCTION("""COMPUTED_VALUE"""),"Yes")</f>
        <v>Yes</v>
      </c>
      <c r="AT120" s="5" t="str">
        <f>IFERROR(__xludf.DUMMYFUNCTION("""COMPUTED_VALUE"""),"No")</f>
        <v>No</v>
      </c>
      <c r="AU120" s="5"/>
      <c r="AV120" s="5" t="str">
        <f>IFERROR(__xludf.DUMMYFUNCTION("""COMPUTED_VALUE"""),"")</f>
        <v/>
      </c>
      <c r="AW120" s="5" t="str">
        <f>IFERROR(__xludf.DUMMYFUNCTION("""COMPUTED_VALUE"""),"")</f>
        <v/>
      </c>
      <c r="AX120" s="5" t="str">
        <f>IFERROR(__xludf.DUMMYFUNCTION("""COMPUTED_VALUE"""),"")</f>
        <v/>
      </c>
      <c r="AY120" s="5" t="str">
        <f>IFERROR(__xludf.DUMMYFUNCTION("""COMPUTED_VALUE"""),"")</f>
        <v/>
      </c>
      <c r="AZ120" s="5" t="str">
        <f>IFERROR(__xludf.DUMMYFUNCTION("""COMPUTED_VALUE"""),"")</f>
        <v/>
      </c>
      <c r="BA120" s="5" t="str">
        <f>IFERROR(__xludf.DUMMYFUNCTION("""COMPUTED_VALUE"""),"")</f>
        <v/>
      </c>
      <c r="BB120" s="5" t="str">
        <f>IFERROR(__xludf.DUMMYFUNCTION("""COMPUTED_VALUE"""),"")</f>
        <v/>
      </c>
    </row>
    <row r="121">
      <c r="A121" s="5" t="str">
        <f>IFERROR(__xludf.DUMMYFUNCTION("""COMPUTED_VALUE"""),"Redstone")</f>
        <v>Redstone</v>
      </c>
      <c r="B121" s="5" t="str">
        <f>IFERROR(__xludf.DUMMYFUNCTION("""COMPUTED_VALUE"""),"5 Clover Fire Blast")</f>
        <v>5 Clover Fire Blast</v>
      </c>
      <c r="C121" s="5" t="str">
        <f>IFERROR(__xludf.DUMMYFUNCTION("""COMPUTED_VALUE"""),"Redstone5CloverFireBlast")</f>
        <v>Redstone5CloverFireBlast</v>
      </c>
      <c r="D121" s="6">
        <f>IFERROR(__xludf.DUMMYFUNCTION("""COMPUTED_VALUE"""),46111.0)</f>
        <v>46111</v>
      </c>
      <c r="E121" s="5" t="str">
        <f>IFERROR(__xludf.DUMMYFUNCTION("""COMPUTED_VALUE"""),"Slot")</f>
        <v>Slot</v>
      </c>
      <c r="F121" s="5">
        <f>IFERROR(__xludf.DUMMYFUNCTION("""COMPUTED_VALUE"""),8.3)</f>
        <v>8.3</v>
      </c>
      <c r="G121" s="5" t="str">
        <f>IFERROR(__xludf.DUMMYFUNCTION("""COMPUTED_VALUE"""),"5x3")</f>
        <v>5x3</v>
      </c>
      <c r="H121" s="5">
        <f>IFERROR(__xludf.DUMMYFUNCTION("""COMPUTED_VALUE"""),5.0)</f>
        <v>5</v>
      </c>
      <c r="I121" s="5">
        <f>IFERROR(__xludf.DUMMYFUNCTION("""COMPUTED_VALUE"""),5.0)</f>
        <v>5</v>
      </c>
      <c r="J121" s="5" t="str">
        <f>IFERROR(__xludf.DUMMYFUNCTION("""COMPUTED_VALUE"""),"96.17%")</f>
        <v>96.17%</v>
      </c>
      <c r="K121" s="5" t="str">
        <f>IFERROR(__xludf.DUMMYFUNCTION("""COMPUTED_VALUE"""),"Medium")</f>
        <v>Medium</v>
      </c>
      <c r="L121" s="5" t="str">
        <f>IFERROR(__xludf.DUMMYFUNCTION("""COMPUTED_VALUE"""),"9.8%")</f>
        <v>9.8%</v>
      </c>
      <c r="M121" s="5" t="str">
        <f>IFERROR(__xludf.DUMMYFUNCTION("""COMPUTED_VALUE"""),"x950")</f>
        <v>x950</v>
      </c>
      <c r="N121" s="5" t="str">
        <f>IFERROR(__xludf.DUMMYFUNCTION("""COMPUTED_VALUE"""),"0.10/50")</f>
        <v>0.10/50</v>
      </c>
      <c r="O121" s="5" t="str">
        <f>IFERROR(__xludf.DUMMYFUNCTION("""COMPUTED_VALUE"""),"No")</f>
        <v>No</v>
      </c>
      <c r="P121" s="5" t="str">
        <f>IFERROR(__xludf.DUMMYFUNCTION("""COMPUTED_VALUE"""),"Expanding Wild, Scatter")</f>
        <v>Expanding Wild, Scatter</v>
      </c>
      <c r="Q121" s="7" t="str">
        <f>IFERROR(__xludf.DUMMYFUNCTION("""COMPUTED_VALUE"""),"https://static.redstone.rs/games/5-clover-fire-blast/")</f>
        <v>https://static.redstone.rs/games/5-clover-fire-blast/</v>
      </c>
      <c r="R121" s="5" t="str">
        <f>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S12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1" s="5" t="str">
        <f>IFERROR(__xludf.DUMMYFUNCTION("""COMPUTED_VALUE"""),"Yes")</f>
        <v>Yes</v>
      </c>
      <c r="U121" s="5" t="str">
        <f>IFERROR(__xludf.DUMMYFUNCTION("""COMPUTED_VALUE"""),"Yes")</f>
        <v>Yes</v>
      </c>
      <c r="V121" s="5" t="str">
        <f>IFERROR(__xludf.DUMMYFUNCTION("""COMPUTED_VALUE"""),"No")</f>
        <v>No</v>
      </c>
      <c r="W121" s="5" t="str">
        <f>IFERROR(__xludf.DUMMYFUNCTION("""COMPUTED_VALUE"""),"Yes")</f>
        <v>Yes</v>
      </c>
      <c r="X121" s="5" t="str">
        <f>IFERROR(__xludf.DUMMYFUNCTION("""COMPUTED_VALUE"""),"Yes")</f>
        <v>Yes</v>
      </c>
      <c r="Y121" s="5" t="str">
        <f>IFERROR(__xludf.DUMMYFUNCTION("""COMPUTED_VALUE"""),"Yes")</f>
        <v>Yes</v>
      </c>
      <c r="Z121" s="5" t="str">
        <f>IFERROR(__xludf.DUMMYFUNCTION("""COMPUTED_VALUE"""),"Yes")</f>
        <v>Yes</v>
      </c>
      <c r="AA121" s="5" t="str">
        <f>IFERROR(__xludf.DUMMYFUNCTION("""COMPUTED_VALUE"""),"Yes")</f>
        <v>Yes</v>
      </c>
      <c r="AB121" s="5" t="str">
        <f>IFERROR(__xludf.DUMMYFUNCTION("""COMPUTED_VALUE"""),"Yes")</f>
        <v>Yes</v>
      </c>
      <c r="AC121" s="5" t="str">
        <f>IFERROR(__xludf.DUMMYFUNCTION("""COMPUTED_VALUE"""),"Yes")</f>
        <v>Yes</v>
      </c>
      <c r="AD121" s="5" t="str">
        <f>IFERROR(__xludf.DUMMYFUNCTION("""COMPUTED_VALUE"""),"Yes")</f>
        <v>Yes</v>
      </c>
      <c r="AE121" s="5" t="str">
        <f>IFERROR(__xludf.DUMMYFUNCTION("""COMPUTED_VALUE"""),"Yes")</f>
        <v>Yes</v>
      </c>
      <c r="AF121" s="5" t="str">
        <f>IFERROR(__xludf.DUMMYFUNCTION("""COMPUTED_VALUE"""),"Yes")</f>
        <v>Yes</v>
      </c>
      <c r="AG121" s="5" t="str">
        <f>IFERROR(__xludf.DUMMYFUNCTION("""COMPUTED_VALUE"""),"Yes")</f>
        <v>Yes</v>
      </c>
      <c r="AH121" s="5" t="str">
        <f>IFERROR(__xludf.DUMMYFUNCTION("""COMPUTED_VALUE"""),"Yes")</f>
        <v>Yes</v>
      </c>
      <c r="AI121" s="5" t="str">
        <f>IFERROR(__xludf.DUMMYFUNCTION("""COMPUTED_VALUE"""),"No")</f>
        <v>No</v>
      </c>
      <c r="AJ121" s="5" t="str">
        <f>IFERROR(__xludf.DUMMYFUNCTION("""COMPUTED_VALUE"""),"No")</f>
        <v>No</v>
      </c>
      <c r="AK121" s="5" t="str">
        <f>IFERROR(__xludf.DUMMYFUNCTION("""COMPUTED_VALUE"""),"No")</f>
        <v>No</v>
      </c>
      <c r="AL121" s="5" t="str">
        <f>IFERROR(__xludf.DUMMYFUNCTION("""COMPUTED_VALUE"""),"No")</f>
        <v>No</v>
      </c>
      <c r="AM121" s="5" t="str">
        <f>IFERROR(__xludf.DUMMYFUNCTION("""COMPUTED_VALUE"""),"No")</f>
        <v>No</v>
      </c>
      <c r="AN121" s="5" t="str">
        <f>IFERROR(__xludf.DUMMYFUNCTION("""COMPUTED_VALUE"""),"No")</f>
        <v>No</v>
      </c>
      <c r="AO121" s="5" t="str">
        <f>IFERROR(__xludf.DUMMYFUNCTION("""COMPUTED_VALUE"""),"Yes")</f>
        <v>Yes</v>
      </c>
      <c r="AP121" s="5" t="str">
        <f>IFERROR(__xludf.DUMMYFUNCTION("""COMPUTED_VALUE"""),"No")</f>
        <v>No</v>
      </c>
      <c r="AQ121" s="5" t="str">
        <f>IFERROR(__xludf.DUMMYFUNCTION("""COMPUTED_VALUE"""),"No")</f>
        <v>No</v>
      </c>
      <c r="AR121" s="5" t="str">
        <f>IFERROR(__xludf.DUMMYFUNCTION("""COMPUTED_VALUE"""),"No")</f>
        <v>No</v>
      </c>
      <c r="AS121" s="5" t="str">
        <f>IFERROR(__xludf.DUMMYFUNCTION("""COMPUTED_VALUE"""),"Yes")</f>
        <v>Yes</v>
      </c>
      <c r="AT121" s="5" t="str">
        <f>IFERROR(__xludf.DUMMYFUNCTION("""COMPUTED_VALUE"""),"No")</f>
        <v>No</v>
      </c>
      <c r="AU121" s="5"/>
      <c r="AV121" s="5" t="str">
        <f>IFERROR(__xludf.DUMMYFUNCTION("""COMPUTED_VALUE"""),"")</f>
        <v/>
      </c>
      <c r="AW121" s="5" t="str">
        <f>IFERROR(__xludf.DUMMYFUNCTION("""COMPUTED_VALUE"""),"")</f>
        <v/>
      </c>
      <c r="AX121" s="5" t="str">
        <f>IFERROR(__xludf.DUMMYFUNCTION("""COMPUTED_VALUE"""),"")</f>
        <v/>
      </c>
      <c r="AY121" s="5" t="str">
        <f>IFERROR(__xludf.DUMMYFUNCTION("""COMPUTED_VALUE"""),"")</f>
        <v/>
      </c>
      <c r="AZ121" s="5" t="str">
        <f>IFERROR(__xludf.DUMMYFUNCTION("""COMPUTED_VALUE"""),"")</f>
        <v/>
      </c>
      <c r="BA121" s="5" t="str">
        <f>IFERROR(__xludf.DUMMYFUNCTION("""COMPUTED_VALUE"""),"")</f>
        <v/>
      </c>
      <c r="BB121" s="5" t="str">
        <f>IFERROR(__xludf.DUMMYFUNCTION("""COMPUTED_VALUE"""),"")</f>
        <v/>
      </c>
    </row>
    <row r="122">
      <c r="A122" s="5" t="str">
        <f>IFERROR(__xludf.DUMMYFUNCTION("""COMPUTED_VALUE"""),"Redstone")</f>
        <v>Redstone</v>
      </c>
      <c r="B122" s="5" t="str">
        <f>IFERROR(__xludf.DUMMYFUNCTION("""COMPUTED_VALUE"""),"Fruit Fire")</f>
        <v>Fruit Fire</v>
      </c>
      <c r="C122" s="5" t="str">
        <f>IFERROR(__xludf.DUMMYFUNCTION("""COMPUTED_VALUE"""),"RedstoneFruitFire")</f>
        <v>RedstoneFruitFire</v>
      </c>
      <c r="D122" s="6">
        <f>IFERROR(__xludf.DUMMYFUNCTION("""COMPUTED_VALUE"""),46128.0)</f>
        <v>46128</v>
      </c>
      <c r="E122" s="5" t="str">
        <f>IFERROR(__xludf.DUMMYFUNCTION("""COMPUTED_VALUE"""),"Slot")</f>
        <v>Slot</v>
      </c>
      <c r="F122" s="5">
        <f>IFERROR(__xludf.DUMMYFUNCTION("""COMPUTED_VALUE"""),8.7)</f>
        <v>8.7</v>
      </c>
      <c r="G122" s="5" t="str">
        <f>IFERROR(__xludf.DUMMYFUNCTION("""COMPUTED_VALUE"""),"5x3")</f>
        <v>5x3</v>
      </c>
      <c r="H122" s="5">
        <f>IFERROR(__xludf.DUMMYFUNCTION("""COMPUTED_VALUE"""),5.0)</f>
        <v>5</v>
      </c>
      <c r="I122" s="5">
        <f>IFERROR(__xludf.DUMMYFUNCTION("""COMPUTED_VALUE"""),5.0)</f>
        <v>5</v>
      </c>
      <c r="J122" s="5" t="str">
        <f>IFERROR(__xludf.DUMMYFUNCTION("""COMPUTED_VALUE"""),"96.5%")</f>
        <v>96.5%</v>
      </c>
      <c r="K122" s="5" t="str">
        <f>IFERROR(__xludf.DUMMYFUNCTION("""COMPUTED_VALUE"""),"Low")</f>
        <v>Low</v>
      </c>
      <c r="L122" s="5" t="str">
        <f>IFERROR(__xludf.DUMMYFUNCTION("""COMPUTED_VALUE"""),"10.45%")</f>
        <v>10.45%</v>
      </c>
      <c r="M122" s="5" t="str">
        <f>IFERROR(__xludf.DUMMYFUNCTION("""COMPUTED_VALUE"""),"x1040")</f>
        <v>x1040</v>
      </c>
      <c r="N122" s="5" t="str">
        <f>IFERROR(__xludf.DUMMYFUNCTION("""COMPUTED_VALUE"""),"0.10/50")</f>
        <v>0.10/50</v>
      </c>
      <c r="O122" s="5" t="str">
        <f>IFERROR(__xludf.DUMMYFUNCTION("""COMPUTED_VALUE"""),"No")</f>
        <v>No</v>
      </c>
      <c r="P122" s="5"/>
      <c r="Q122" s="7" t="str">
        <f>IFERROR(__xludf.DUMMYFUNCTION("""COMPUTED_VALUE"""),"https://static.redstone.rs/games/fruit-fire/")</f>
        <v>https://static.redstone.rs/games/fruit-fire/</v>
      </c>
      <c r="R122" s="5" t="str">
        <f>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S122"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IFERROR(__xludf.DUMMYFUNCTION("""COMPUTED_VALUE"""),"Yes")</f>
        <v>Yes</v>
      </c>
      <c r="AA122" s="5" t="str">
        <f>IFERROR(__xludf.DUMMYFUNCTION("""COMPUTED_VALUE"""),"Yes")</f>
        <v>Yes</v>
      </c>
      <c r="AB122" s="5" t="str">
        <f>IFERROR(__xludf.DUMMYFUNCTION("""COMPUTED_VALUE"""),"Yes")</f>
        <v>Yes</v>
      </c>
      <c r="AC122" s="5" t="str">
        <f>IFERROR(__xludf.DUMMYFUNCTION("""COMPUTED_VALUE"""),"Yes")</f>
        <v>Yes</v>
      </c>
      <c r="AD122" s="5" t="str">
        <f>IFERROR(__xludf.DUMMYFUNCTION("""COMPUTED_VALUE"""),"Yes")</f>
        <v>Yes</v>
      </c>
      <c r="AE122" s="5" t="str">
        <f>IFERROR(__xludf.DUMMYFUNCTION("""COMPUTED_VALUE"""),"Yes")</f>
        <v>Yes</v>
      </c>
      <c r="AF122" s="5" t="str">
        <f>IFERROR(__xludf.DUMMYFUNCTION("""COMPUTED_VALUE"""),"Yes")</f>
        <v>Yes</v>
      </c>
      <c r="AG122" s="5" t="str">
        <f>IFERROR(__xludf.DUMMYFUNCTION("""COMPUTED_VALUE"""),"Yes")</f>
        <v>Yes</v>
      </c>
      <c r="AH122" s="5" t="str">
        <f>IFERROR(__xludf.DUMMYFUNCTION("""COMPUTED_VALUE"""),"Yes")</f>
        <v>Yes</v>
      </c>
      <c r="AI122" s="5" t="str">
        <f>IFERROR(__xludf.DUMMYFUNCTION("""COMPUTED_VALUE"""),"No")</f>
        <v>No</v>
      </c>
      <c r="AJ122" s="5" t="str">
        <f>IFERROR(__xludf.DUMMYFUNCTION("""COMPUTED_VALUE"""),"No")</f>
        <v>No</v>
      </c>
      <c r="AK122" s="5" t="str">
        <f>IFERROR(__xludf.DUMMYFUNCTION("""COMPUTED_VALUE"""),"No")</f>
        <v>No</v>
      </c>
      <c r="AL122" s="5" t="str">
        <f>IFERROR(__xludf.DUMMYFUNCTION("""COMPUTED_VALUE"""),"No")</f>
        <v>No</v>
      </c>
      <c r="AM122" s="5" t="str">
        <f>IFERROR(__xludf.DUMMYFUNCTION("""COMPUTED_VALUE"""),"No")</f>
        <v>No</v>
      </c>
      <c r="AN122" s="5" t="str">
        <f>IFERROR(__xludf.DUMMYFUNCTION("""COMPUTED_VALUE"""),"No")</f>
        <v>No</v>
      </c>
      <c r="AO122" s="5" t="str">
        <f>IFERROR(__xludf.DUMMYFUNCTION("""COMPUTED_VALUE"""),"Yes")</f>
        <v>Yes</v>
      </c>
      <c r="AP122" s="5" t="str">
        <f>IFERROR(__xludf.DUMMYFUNCTION("""COMPUTED_VALUE"""),"No")</f>
        <v>No</v>
      </c>
      <c r="AQ122" s="5" t="str">
        <f>IFERROR(__xludf.DUMMYFUNCTION("""COMPUTED_VALUE"""),"No")</f>
        <v>No</v>
      </c>
      <c r="AR122" s="5" t="str">
        <f>IFERROR(__xludf.DUMMYFUNCTION("""COMPUTED_VALUE"""),"No")</f>
        <v>No</v>
      </c>
      <c r="AS122" s="5" t="str">
        <f>IFERROR(__xludf.DUMMYFUNCTION("""COMPUTED_VALUE"""),"Yes")</f>
        <v>Yes</v>
      </c>
      <c r="AT122" s="5" t="str">
        <f>IFERROR(__xludf.DUMMYFUNCTION("""COMPUTED_VALUE"""),"No")</f>
        <v>No</v>
      </c>
      <c r="AU122" s="5"/>
      <c r="AV122" s="5" t="str">
        <f>IFERROR(__xludf.DUMMYFUNCTION("""COMPUTED_VALUE"""),"")</f>
        <v/>
      </c>
      <c r="AW122" s="5" t="str">
        <f>IFERROR(__xludf.DUMMYFUNCTION("""COMPUTED_VALUE"""),"")</f>
        <v/>
      </c>
      <c r="AX122" s="5" t="str">
        <f>IFERROR(__xludf.DUMMYFUNCTION("""COMPUTED_VALUE"""),"")</f>
        <v/>
      </c>
      <c r="AY122" s="5" t="str">
        <f>IFERROR(__xludf.DUMMYFUNCTION("""COMPUTED_VALUE"""),"")</f>
        <v/>
      </c>
      <c r="AZ122" s="5" t="str">
        <f>IFERROR(__xludf.DUMMYFUNCTION("""COMPUTED_VALUE"""),"")</f>
        <v/>
      </c>
      <c r="BA122" s="5" t="str">
        <f>IFERROR(__xludf.DUMMYFUNCTION("""COMPUTED_VALUE"""),"")</f>
        <v/>
      </c>
      <c r="BB122" s="5" t="str">
        <f>IFERROR(__xludf.DUMMYFUNCTION("""COMPUTED_VALUE"""),"")</f>
        <v/>
      </c>
    </row>
    <row r="123">
      <c r="A123" s="5" t="str">
        <f>IFERROR(__xludf.DUMMYFUNCTION("""COMPUTED_VALUE"""),"Redstone")</f>
        <v>Redstone</v>
      </c>
      <c r="B123" s="5" t="str">
        <f>IFERROR(__xludf.DUMMYFUNCTION("""COMPUTED_VALUE"""),"X Clover Fire")</f>
        <v>X Clover Fire</v>
      </c>
      <c r="C123" s="5" t="str">
        <f>IFERROR(__xludf.DUMMYFUNCTION("""COMPUTED_VALUE"""),"RedstoneXCloverFire")</f>
        <v>RedstoneXCloverFire</v>
      </c>
      <c r="D123" s="6">
        <f>IFERROR(__xludf.DUMMYFUNCTION("""COMPUTED_VALUE"""),46118.0)</f>
        <v>46118</v>
      </c>
      <c r="E123" s="5" t="str">
        <f>IFERROR(__xludf.DUMMYFUNCTION("""COMPUTED_VALUE"""),"Slot")</f>
        <v>Slot</v>
      </c>
      <c r="F123" s="5">
        <f>IFERROR(__xludf.DUMMYFUNCTION("""COMPUTED_VALUE"""),7.0)</f>
        <v>7</v>
      </c>
      <c r="G123" s="5" t="str">
        <f>IFERROR(__xludf.DUMMYFUNCTION("""COMPUTED_VALUE"""),"5x3")</f>
        <v>5x3</v>
      </c>
      <c r="H123" s="5">
        <f>IFERROR(__xludf.DUMMYFUNCTION("""COMPUTED_VALUE"""),5.0)</f>
        <v>5</v>
      </c>
      <c r="I123" s="5">
        <f>IFERROR(__xludf.DUMMYFUNCTION("""COMPUTED_VALUE"""),5.0)</f>
        <v>5</v>
      </c>
      <c r="J123" s="5" t="str">
        <f>IFERROR(__xludf.DUMMYFUNCTION("""COMPUTED_VALUE"""),"95.96%")</f>
        <v>95.96%</v>
      </c>
      <c r="K123" s="5" t="str">
        <f>IFERROR(__xludf.DUMMYFUNCTION("""COMPUTED_VALUE"""),"Low")</f>
        <v>Low</v>
      </c>
      <c r="L123" s="5" t="str">
        <f>IFERROR(__xludf.DUMMYFUNCTION("""COMPUTED_VALUE"""),"10.7%")</f>
        <v>10.7%</v>
      </c>
      <c r="M123" s="5" t="str">
        <f>IFERROR(__xludf.DUMMYFUNCTION("""COMPUTED_VALUE"""),"x2150")</f>
        <v>x2150</v>
      </c>
      <c r="N123" s="5" t="str">
        <f>IFERROR(__xludf.DUMMYFUNCTION("""COMPUTED_VALUE"""),"0.10/50")</f>
        <v>0.10/50</v>
      </c>
      <c r="O123" s="5" t="str">
        <f>IFERROR(__xludf.DUMMYFUNCTION("""COMPUTED_VALUE"""),"No")</f>
        <v>No</v>
      </c>
      <c r="P123" s="5" t="str">
        <f>IFERROR(__xludf.DUMMYFUNCTION("""COMPUTED_VALUE"""),"Expanding Wild, Wild Multiplier")</f>
        <v>Expanding Wild, Wild Multiplier</v>
      </c>
      <c r="Q123" s="7" t="str">
        <f>IFERROR(__xludf.DUMMYFUNCTION("""COMPUTED_VALUE"""),"https://static.redstone.rs/games/x-clover-fire/")</f>
        <v>https://static.redstone.rs/games/x-clover-fire/</v>
      </c>
      <c r="R123" s="5" t="str">
        <f>IFERROR(__xludf.DUMMYFUNCTION("""COMPUTED_VALUE"""),"In X Clover Fire, everything revolves around the Clover. Land it and your win multiplies instantly, hit more across the reels and the payout keeps climbing.
")</f>
        <v>In X Clover Fire, everything revolves around the Clover. Land it and your win multiplies instantly, hit more across the reels and the payout keeps climbing.
</v>
      </c>
      <c r="S12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3" s="5" t="str">
        <f>IFERROR(__xludf.DUMMYFUNCTION("""COMPUTED_VALUE"""),"Yes")</f>
        <v>Yes</v>
      </c>
      <c r="U123" s="5" t="str">
        <f>IFERROR(__xludf.DUMMYFUNCTION("""COMPUTED_VALUE"""),"Yes")</f>
        <v>Yes</v>
      </c>
      <c r="V123" s="5" t="str">
        <f>IFERROR(__xludf.DUMMYFUNCTION("""COMPUTED_VALUE"""),"No")</f>
        <v>No</v>
      </c>
      <c r="W123" s="5" t="str">
        <f>IFERROR(__xludf.DUMMYFUNCTION("""COMPUTED_VALUE"""),"Yes")</f>
        <v>Yes</v>
      </c>
      <c r="X123" s="5" t="str">
        <f>IFERROR(__xludf.DUMMYFUNCTION("""COMPUTED_VALUE"""),"Yes")</f>
        <v>Yes</v>
      </c>
      <c r="Y123" s="5" t="str">
        <f>IFERROR(__xludf.DUMMYFUNCTION("""COMPUTED_VALUE"""),"Yes")</f>
        <v>Yes</v>
      </c>
      <c r="Z123" s="5" t="str">
        <f>IFERROR(__xludf.DUMMYFUNCTION("""COMPUTED_VALUE"""),"Yes")</f>
        <v>Yes</v>
      </c>
      <c r="AA123" s="5" t="str">
        <f>IFERROR(__xludf.DUMMYFUNCTION("""COMPUTED_VALUE"""),"Yes")</f>
        <v>Yes</v>
      </c>
      <c r="AB123" s="5" t="str">
        <f>IFERROR(__xludf.DUMMYFUNCTION("""COMPUTED_VALUE"""),"Yes")</f>
        <v>Yes</v>
      </c>
      <c r="AC123" s="5" t="str">
        <f>IFERROR(__xludf.DUMMYFUNCTION("""COMPUTED_VALUE"""),"Yes")</f>
        <v>Yes</v>
      </c>
      <c r="AD123" s="5" t="str">
        <f>IFERROR(__xludf.DUMMYFUNCTION("""COMPUTED_VALUE"""),"Yes")</f>
        <v>Yes</v>
      </c>
      <c r="AE123" s="5" t="str">
        <f>IFERROR(__xludf.DUMMYFUNCTION("""COMPUTED_VALUE"""),"Yes")</f>
        <v>Yes</v>
      </c>
      <c r="AF123" s="5" t="str">
        <f>IFERROR(__xludf.DUMMYFUNCTION("""COMPUTED_VALUE"""),"Yes")</f>
        <v>Yes</v>
      </c>
      <c r="AG123" s="5" t="str">
        <f>IFERROR(__xludf.DUMMYFUNCTION("""COMPUTED_VALUE"""),"Yes")</f>
        <v>Yes</v>
      </c>
      <c r="AH123" s="5" t="str">
        <f>IFERROR(__xludf.DUMMYFUNCTION("""COMPUTED_VALUE"""),"Yes")</f>
        <v>Yes</v>
      </c>
      <c r="AI123" s="5" t="str">
        <f>IFERROR(__xludf.DUMMYFUNCTION("""COMPUTED_VALUE"""),"No")</f>
        <v>No</v>
      </c>
      <c r="AJ123" s="5" t="str">
        <f>IFERROR(__xludf.DUMMYFUNCTION("""COMPUTED_VALUE"""),"No")</f>
        <v>No</v>
      </c>
      <c r="AK123" s="5" t="str">
        <f>IFERROR(__xludf.DUMMYFUNCTION("""COMPUTED_VALUE"""),"No")</f>
        <v>No</v>
      </c>
      <c r="AL123" s="5" t="str">
        <f>IFERROR(__xludf.DUMMYFUNCTION("""COMPUTED_VALUE"""),"No")</f>
        <v>No</v>
      </c>
      <c r="AM123" s="5" t="str">
        <f>IFERROR(__xludf.DUMMYFUNCTION("""COMPUTED_VALUE"""),"No")</f>
        <v>No</v>
      </c>
      <c r="AN123" s="5" t="str">
        <f>IFERROR(__xludf.DUMMYFUNCTION("""COMPUTED_VALUE"""),"No")</f>
        <v>No</v>
      </c>
      <c r="AO123" s="5" t="str">
        <f>IFERROR(__xludf.DUMMYFUNCTION("""COMPUTED_VALUE"""),"Yes")</f>
        <v>Yes</v>
      </c>
      <c r="AP123" s="5" t="str">
        <f>IFERROR(__xludf.DUMMYFUNCTION("""COMPUTED_VALUE"""),"No")</f>
        <v>No</v>
      </c>
      <c r="AQ123" s="5" t="str">
        <f>IFERROR(__xludf.DUMMYFUNCTION("""COMPUTED_VALUE"""),"No")</f>
        <v>No</v>
      </c>
      <c r="AR123" s="5" t="str">
        <f>IFERROR(__xludf.DUMMYFUNCTION("""COMPUTED_VALUE"""),"No")</f>
        <v>No</v>
      </c>
      <c r="AS123" s="5" t="str">
        <f>IFERROR(__xludf.DUMMYFUNCTION("""COMPUTED_VALUE"""),"Yes")</f>
        <v>Yes</v>
      </c>
      <c r="AT123" s="5" t="str">
        <f>IFERROR(__xludf.DUMMYFUNCTION("""COMPUTED_VALUE"""),"No")</f>
        <v>No</v>
      </c>
      <c r="AU123" s="5"/>
      <c r="AV123" s="5" t="str">
        <f>IFERROR(__xludf.DUMMYFUNCTION("""COMPUTED_VALUE"""),"")</f>
        <v/>
      </c>
      <c r="AW123" s="5" t="str">
        <f>IFERROR(__xludf.DUMMYFUNCTION("""COMPUTED_VALUE"""),"")</f>
        <v/>
      </c>
      <c r="AX123" s="5" t="str">
        <f>IFERROR(__xludf.DUMMYFUNCTION("""COMPUTED_VALUE"""),"")</f>
        <v/>
      </c>
      <c r="AY123" s="5" t="str">
        <f>IFERROR(__xludf.DUMMYFUNCTION("""COMPUTED_VALUE"""),"")</f>
        <v/>
      </c>
      <c r="AZ123" s="5" t="str">
        <f>IFERROR(__xludf.DUMMYFUNCTION("""COMPUTED_VALUE"""),"")</f>
        <v/>
      </c>
      <c r="BA123" s="5" t="str">
        <f>IFERROR(__xludf.DUMMYFUNCTION("""COMPUTED_VALUE"""),"")</f>
        <v/>
      </c>
      <c r="BB123" s="5" t="str">
        <f>IFERROR(__xludf.DUMMYFUNCTION("""COMPUTED_VALUE"""),"")</f>
        <v/>
      </c>
    </row>
    <row r="124">
      <c r="A124" s="5" t="str">
        <f>IFERROR(__xludf.DUMMYFUNCTION("""COMPUTED_VALUE"""),"Redstone")</f>
        <v>Redstone</v>
      </c>
      <c r="B124" s="5" t="str">
        <f>IFERROR(__xludf.DUMMYFUNCTION("""COMPUTED_VALUE"""),"5 Heart Deluxe")</f>
        <v>5 Heart Deluxe</v>
      </c>
      <c r="C124" s="5" t="str">
        <f>IFERROR(__xludf.DUMMYFUNCTION("""COMPUTED_VALUE"""),"Redstone5HeartDeluxe")</f>
        <v>Redstone5HeartDeluxe</v>
      </c>
      <c r="D124" s="6">
        <f>IFERROR(__xludf.DUMMYFUNCTION("""COMPUTED_VALUE"""),46133.0)</f>
        <v>46133</v>
      </c>
      <c r="E124" s="5" t="str">
        <f>IFERROR(__xludf.DUMMYFUNCTION("""COMPUTED_VALUE"""),"Slot")</f>
        <v>Slot</v>
      </c>
      <c r="F124" s="5">
        <f>IFERROR(__xludf.DUMMYFUNCTION("""COMPUTED_VALUE"""),8.6)</f>
        <v>8.6</v>
      </c>
      <c r="G124" s="5" t="str">
        <f>IFERROR(__xludf.DUMMYFUNCTION("""COMPUTED_VALUE"""),"5x3")</f>
        <v>5x3</v>
      </c>
      <c r="H124" s="5">
        <f>IFERROR(__xludf.DUMMYFUNCTION("""COMPUTED_VALUE"""),5.0)</f>
        <v>5</v>
      </c>
      <c r="I124" s="5">
        <f>IFERROR(__xludf.DUMMYFUNCTION("""COMPUTED_VALUE"""),5.0)</f>
        <v>5</v>
      </c>
      <c r="J124" s="5" t="str">
        <f>IFERROR(__xludf.DUMMYFUNCTION("""COMPUTED_VALUE"""),"96.45%")</f>
        <v>96.45%</v>
      </c>
      <c r="K124" s="5" t="str">
        <f>IFERROR(__xludf.DUMMYFUNCTION("""COMPUTED_VALUE"""),"Low")</f>
        <v>Low</v>
      </c>
      <c r="L124" s="5" t="str">
        <f>IFERROR(__xludf.DUMMYFUNCTION("""COMPUTED_VALUE"""),"14.5%")</f>
        <v>14.5%</v>
      </c>
      <c r="M124" s="5" t="str">
        <f>IFERROR(__xludf.DUMMYFUNCTION("""COMPUTED_VALUE"""),"x1222")</f>
        <v>x1222</v>
      </c>
      <c r="N124" s="5" t="str">
        <f>IFERROR(__xludf.DUMMYFUNCTION("""COMPUTED_VALUE"""),"0.05/30")</f>
        <v>0.05/30</v>
      </c>
      <c r="O124" s="5" t="str">
        <f>IFERROR(__xludf.DUMMYFUNCTION("""COMPUTED_VALUE"""),"No")</f>
        <v>No</v>
      </c>
      <c r="P124" s="5" t="str">
        <f>IFERROR(__xludf.DUMMYFUNCTION("""COMPUTED_VALUE"""),"Expanding Wild, Scatter")</f>
        <v>Expanding Wild, Scatter</v>
      </c>
      <c r="Q124" s="7" t="str">
        <f>IFERROR(__xludf.DUMMYFUNCTION("""COMPUTED_VALUE"""),"https://static.redstone.rs/games/5-heart-deluxe/")</f>
        <v>https://static.redstone.rs/games/5-heart-deluxe/</v>
      </c>
      <c r="R124" s="5" t="str">
        <f>IFERROR(__xludf.DUMMYFUNCTION("""COMPUTED_VALUE"""),"Take your spin in 5 Heart Deluxe and play it your way! Fast spins, clear hits, and a classic feel that never gets old.")</f>
        <v>Take your spin in 5 Heart Deluxe and play it your way! Fast spins, clear hits, and a classic feel that never gets old.</v>
      </c>
      <c r="S12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4" s="5" t="str">
        <f>IFERROR(__xludf.DUMMYFUNCTION("""COMPUTED_VALUE"""),"Yes")</f>
        <v>Yes</v>
      </c>
      <c r="U124" s="5" t="str">
        <f>IFERROR(__xludf.DUMMYFUNCTION("""COMPUTED_VALUE"""),"Yes")</f>
        <v>Yes</v>
      </c>
      <c r="V124" s="5" t="str">
        <f>IFERROR(__xludf.DUMMYFUNCTION("""COMPUTED_VALUE"""),"No")</f>
        <v>No</v>
      </c>
      <c r="W124" s="5" t="str">
        <f>IFERROR(__xludf.DUMMYFUNCTION("""COMPUTED_VALUE"""),"Yes")</f>
        <v>Yes</v>
      </c>
      <c r="X124" s="5" t="str">
        <f>IFERROR(__xludf.DUMMYFUNCTION("""COMPUTED_VALUE"""),"Yes")</f>
        <v>Yes</v>
      </c>
      <c r="Y124" s="5" t="str">
        <f>IFERROR(__xludf.DUMMYFUNCTION("""COMPUTED_VALUE"""),"Yes")</f>
        <v>Yes</v>
      </c>
      <c r="Z124" s="5" t="str">
        <f>IFERROR(__xludf.DUMMYFUNCTION("""COMPUTED_VALUE"""),"Yes")</f>
        <v>Yes</v>
      </c>
      <c r="AA124" s="5" t="str">
        <f>IFERROR(__xludf.DUMMYFUNCTION("""COMPUTED_VALUE"""),"Yes")</f>
        <v>Yes</v>
      </c>
      <c r="AB124" s="5" t="str">
        <f>IFERROR(__xludf.DUMMYFUNCTION("""COMPUTED_VALUE"""),"Yes")</f>
        <v>Yes</v>
      </c>
      <c r="AC124" s="5" t="str">
        <f>IFERROR(__xludf.DUMMYFUNCTION("""COMPUTED_VALUE"""),"Yes")</f>
        <v>Yes</v>
      </c>
      <c r="AD124" s="5" t="str">
        <f>IFERROR(__xludf.DUMMYFUNCTION("""COMPUTED_VALUE"""),"Yes")</f>
        <v>Yes</v>
      </c>
      <c r="AE124" s="5" t="str">
        <f>IFERROR(__xludf.DUMMYFUNCTION("""COMPUTED_VALUE"""),"Yes")</f>
        <v>Yes</v>
      </c>
      <c r="AF124" s="5" t="str">
        <f>IFERROR(__xludf.DUMMYFUNCTION("""COMPUTED_VALUE"""),"Yes")</f>
        <v>Yes</v>
      </c>
      <c r="AG124" s="5" t="str">
        <f>IFERROR(__xludf.DUMMYFUNCTION("""COMPUTED_VALUE"""),"Yes")</f>
        <v>Yes</v>
      </c>
      <c r="AH124" s="5" t="str">
        <f>IFERROR(__xludf.DUMMYFUNCTION("""COMPUTED_VALUE"""),"Yes")</f>
        <v>Yes</v>
      </c>
      <c r="AI124" s="5" t="str">
        <f>IFERROR(__xludf.DUMMYFUNCTION("""COMPUTED_VALUE"""),"No")</f>
        <v>No</v>
      </c>
      <c r="AJ124" s="5" t="str">
        <f>IFERROR(__xludf.DUMMYFUNCTION("""COMPUTED_VALUE"""),"No")</f>
        <v>No</v>
      </c>
      <c r="AK124" s="5" t="str">
        <f>IFERROR(__xludf.DUMMYFUNCTION("""COMPUTED_VALUE"""),"No")</f>
        <v>No</v>
      </c>
      <c r="AL124" s="5" t="str">
        <f>IFERROR(__xludf.DUMMYFUNCTION("""COMPUTED_VALUE"""),"No")</f>
        <v>No</v>
      </c>
      <c r="AM124" s="5" t="str">
        <f>IFERROR(__xludf.DUMMYFUNCTION("""COMPUTED_VALUE"""),"No")</f>
        <v>No</v>
      </c>
      <c r="AN124" s="5" t="str">
        <f>IFERROR(__xludf.DUMMYFUNCTION("""COMPUTED_VALUE"""),"No")</f>
        <v>No</v>
      </c>
      <c r="AO124" s="5" t="str">
        <f>IFERROR(__xludf.DUMMYFUNCTION("""COMPUTED_VALUE"""),"Yes")</f>
        <v>Yes</v>
      </c>
      <c r="AP124" s="5" t="str">
        <f>IFERROR(__xludf.DUMMYFUNCTION("""COMPUTED_VALUE"""),"No")</f>
        <v>No</v>
      </c>
      <c r="AQ124" s="5" t="str">
        <f>IFERROR(__xludf.DUMMYFUNCTION("""COMPUTED_VALUE"""),"No")</f>
        <v>No</v>
      </c>
      <c r="AR124" s="5" t="str">
        <f>IFERROR(__xludf.DUMMYFUNCTION("""COMPUTED_VALUE"""),"No")</f>
        <v>No</v>
      </c>
      <c r="AS124" s="5" t="str">
        <f>IFERROR(__xludf.DUMMYFUNCTION("""COMPUTED_VALUE"""),"Yes")</f>
        <v>Yes</v>
      </c>
      <c r="AT124" s="5" t="str">
        <f>IFERROR(__xludf.DUMMYFUNCTION("""COMPUTED_VALUE"""),"No")</f>
        <v>No</v>
      </c>
      <c r="AU124" s="5"/>
      <c r="AV124" s="5" t="str">
        <f>IFERROR(__xludf.DUMMYFUNCTION("""COMPUTED_VALUE"""),"")</f>
        <v/>
      </c>
      <c r="AW124" s="5" t="str">
        <f>IFERROR(__xludf.DUMMYFUNCTION("""COMPUTED_VALUE"""),"")</f>
        <v/>
      </c>
      <c r="AX124" s="5" t="str">
        <f>IFERROR(__xludf.DUMMYFUNCTION("""COMPUTED_VALUE"""),"")</f>
        <v/>
      </c>
      <c r="AY124" s="5" t="str">
        <f>IFERROR(__xludf.DUMMYFUNCTION("""COMPUTED_VALUE"""),"")</f>
        <v/>
      </c>
      <c r="AZ124" s="5" t="str">
        <f>IFERROR(__xludf.DUMMYFUNCTION("""COMPUTED_VALUE"""),"")</f>
        <v/>
      </c>
      <c r="BA124" s="5" t="str">
        <f>IFERROR(__xludf.DUMMYFUNCTION("""COMPUTED_VALUE"""),"")</f>
        <v/>
      </c>
      <c r="BB124" s="5" t="str">
        <f>IFERROR(__xludf.DUMMYFUNCTION("""COMPUTED_VALUE"""),"")</f>
        <v/>
      </c>
    </row>
    <row r="125">
      <c r="A125" s="5" t="str">
        <f>IFERROR(__xludf.DUMMYFUNCTION("""COMPUTED_VALUE"""),"Redstone")</f>
        <v>Redstone</v>
      </c>
      <c r="B125" s="5" t="str">
        <f>IFERROR(__xludf.DUMMYFUNCTION("""COMPUTED_VALUE"""),"Clover Deluxe 2X")</f>
        <v>Clover Deluxe 2X</v>
      </c>
      <c r="C125" s="5" t="str">
        <f>IFERROR(__xludf.DUMMYFUNCTION("""COMPUTED_VALUE"""),"RedstoneCloverDeluxe2X")</f>
        <v>RedstoneCloverDeluxe2X</v>
      </c>
      <c r="D125" s="6">
        <f>IFERROR(__xludf.DUMMYFUNCTION("""COMPUTED_VALUE"""),46139.0)</f>
        <v>46139</v>
      </c>
      <c r="E125" s="5" t="str">
        <f>IFERROR(__xludf.DUMMYFUNCTION("""COMPUTED_VALUE"""),"Slot")</f>
        <v>Slot</v>
      </c>
      <c r="F125" s="5">
        <f>IFERROR(__xludf.DUMMYFUNCTION("""COMPUTED_VALUE"""),8.5)</f>
        <v>8.5</v>
      </c>
      <c r="G125" s="5" t="str">
        <f>IFERROR(__xludf.DUMMYFUNCTION("""COMPUTED_VALUE"""),"5x3")</f>
        <v>5x3</v>
      </c>
      <c r="H125" s="5">
        <f>IFERROR(__xludf.DUMMYFUNCTION("""COMPUTED_VALUE"""),5.0)</f>
        <v>5</v>
      </c>
      <c r="I125" s="5">
        <f>IFERROR(__xludf.DUMMYFUNCTION("""COMPUTED_VALUE"""),5.0)</f>
        <v>5</v>
      </c>
      <c r="J125" s="5" t="str">
        <f>IFERROR(__xludf.DUMMYFUNCTION("""COMPUTED_VALUE"""),"96.45%")</f>
        <v>96.45%</v>
      </c>
      <c r="K125" s="5" t="str">
        <f>IFERROR(__xludf.DUMMYFUNCTION("""COMPUTED_VALUE"""),"Low")</f>
        <v>Low</v>
      </c>
      <c r="L125" s="5" t="str">
        <f>IFERROR(__xludf.DUMMYFUNCTION("""COMPUTED_VALUE"""),"14.23%")</f>
        <v>14.23%</v>
      </c>
      <c r="M125" s="5" t="str">
        <f>IFERROR(__xludf.DUMMYFUNCTION("""COMPUTED_VALUE"""),"x2624")</f>
        <v>x2624</v>
      </c>
      <c r="N125" s="5" t="str">
        <f>IFERROR(__xludf.DUMMYFUNCTION("""COMPUTED_VALUE"""),"0.10/50")</f>
        <v>0.10/50</v>
      </c>
      <c r="O125" s="5" t="str">
        <f>IFERROR(__xludf.DUMMYFUNCTION("""COMPUTED_VALUE"""),"No")</f>
        <v>No</v>
      </c>
      <c r="P125" s="5" t="str">
        <f>IFERROR(__xludf.DUMMYFUNCTION("""COMPUTED_VALUE"""),"Expanding Wild, Scatter")</f>
        <v>Expanding Wild, Scatter</v>
      </c>
      <c r="Q125" s="7" t="str">
        <f>IFERROR(__xludf.DUMMYFUNCTION("""COMPUTED_VALUE"""),"https://static.redstone.rs/games/heart-deluxe-2x/")</f>
        <v>https://static.redstone.rs/games/heart-deluxe-2x/</v>
      </c>
      <c r="R125"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IFERROR(__xludf.DUMMYFUNCTION("""COMPUTED_VALUE"""),"Yes")</f>
        <v>Yes</v>
      </c>
      <c r="AA125" s="5" t="str">
        <f>IFERROR(__xludf.DUMMYFUNCTION("""COMPUTED_VALUE"""),"Yes")</f>
        <v>Yes</v>
      </c>
      <c r="AB125" s="5" t="str">
        <f>IFERROR(__xludf.DUMMYFUNCTION("""COMPUTED_VALUE"""),"Yes")</f>
        <v>Yes</v>
      </c>
      <c r="AC125" s="5" t="str">
        <f>IFERROR(__xludf.DUMMYFUNCTION("""COMPUTED_VALUE"""),"Yes")</f>
        <v>Yes</v>
      </c>
      <c r="AD125" s="5" t="str">
        <f>IFERROR(__xludf.DUMMYFUNCTION("""COMPUTED_VALUE"""),"Yes")</f>
        <v>Yes</v>
      </c>
      <c r="AE125" s="5" t="str">
        <f>IFERROR(__xludf.DUMMYFUNCTION("""COMPUTED_VALUE"""),"Yes")</f>
        <v>Yes</v>
      </c>
      <c r="AF125" s="5" t="str">
        <f>IFERROR(__xludf.DUMMYFUNCTION("""COMPUTED_VALUE"""),"Yes")</f>
        <v>Yes</v>
      </c>
      <c r="AG125" s="5" t="str">
        <f>IFERROR(__xludf.DUMMYFUNCTION("""COMPUTED_VALUE"""),"Yes")</f>
        <v>Yes</v>
      </c>
      <c r="AH125" s="5" t="str">
        <f>IFERROR(__xludf.DUMMYFUNCTION("""COMPUTED_VALUE"""),"Yes")</f>
        <v>Yes</v>
      </c>
      <c r="AI125" s="5" t="str">
        <f>IFERROR(__xludf.DUMMYFUNCTION("""COMPUTED_VALUE"""),"No")</f>
        <v>No</v>
      </c>
      <c r="AJ125" s="5" t="str">
        <f>IFERROR(__xludf.DUMMYFUNCTION("""COMPUTED_VALUE"""),"No")</f>
        <v>No</v>
      </c>
      <c r="AK125" s="5" t="str">
        <f>IFERROR(__xludf.DUMMYFUNCTION("""COMPUTED_VALUE"""),"No")</f>
        <v>No</v>
      </c>
      <c r="AL125" s="5" t="str">
        <f>IFERROR(__xludf.DUMMYFUNCTION("""COMPUTED_VALUE"""),"No")</f>
        <v>No</v>
      </c>
      <c r="AM125" s="5" t="str">
        <f>IFERROR(__xludf.DUMMYFUNCTION("""COMPUTED_VALUE"""),"No")</f>
        <v>No</v>
      </c>
      <c r="AN125" s="5" t="str">
        <f>IFERROR(__xludf.DUMMYFUNCTION("""COMPUTED_VALUE"""),"No")</f>
        <v>No</v>
      </c>
      <c r="AO125" s="5" t="str">
        <f>IFERROR(__xludf.DUMMYFUNCTION("""COMPUTED_VALUE"""),"Yes")</f>
        <v>Yes</v>
      </c>
      <c r="AP125" s="5" t="str">
        <f>IFERROR(__xludf.DUMMYFUNCTION("""COMPUTED_VALUE"""),"No")</f>
        <v>No</v>
      </c>
      <c r="AQ125" s="5" t="str">
        <f>IFERROR(__xludf.DUMMYFUNCTION("""COMPUTED_VALUE"""),"No")</f>
        <v>No</v>
      </c>
      <c r="AR125" s="5" t="str">
        <f>IFERROR(__xludf.DUMMYFUNCTION("""COMPUTED_VALUE"""),"No")</f>
        <v>No</v>
      </c>
      <c r="AS125" s="5" t="str">
        <f>IFERROR(__xludf.DUMMYFUNCTION("""COMPUTED_VALUE"""),"Yes")</f>
        <v>Yes</v>
      </c>
      <c r="AT125" s="5" t="str">
        <f>IFERROR(__xludf.DUMMYFUNCTION("""COMPUTED_VALUE"""),"No")</f>
        <v>No</v>
      </c>
      <c r="AU125" s="5"/>
      <c r="AV125" s="5" t="str">
        <f>IFERROR(__xludf.DUMMYFUNCTION("""COMPUTED_VALUE"""),"")</f>
        <v/>
      </c>
      <c r="AW125" s="5" t="str">
        <f>IFERROR(__xludf.DUMMYFUNCTION("""COMPUTED_VALUE"""),"")</f>
        <v/>
      </c>
      <c r="AX125" s="5" t="str">
        <f>IFERROR(__xludf.DUMMYFUNCTION("""COMPUTED_VALUE"""),"")</f>
        <v/>
      </c>
      <c r="AY125" s="5" t="str">
        <f>IFERROR(__xludf.DUMMYFUNCTION("""COMPUTED_VALUE"""),"")</f>
        <v/>
      </c>
      <c r="AZ125" s="5" t="str">
        <f>IFERROR(__xludf.DUMMYFUNCTION("""COMPUTED_VALUE"""),"")</f>
        <v/>
      </c>
      <c r="BA125" s="5" t="str">
        <f>IFERROR(__xludf.DUMMYFUNCTION("""COMPUTED_VALUE"""),"")</f>
        <v/>
      </c>
      <c r="BB125" s="5" t="str">
        <f>IFERROR(__xludf.DUMMYFUNCTION("""COMPUTED_VALUE"""),"")</f>
        <v/>
      </c>
    </row>
    <row r="126">
      <c r="A126" s="5" t="str">
        <f>IFERROR(__xludf.DUMMYFUNCTION("""COMPUTED_VALUE"""),"Redstone")</f>
        <v>Redstone</v>
      </c>
      <c r="B126" s="5" t="str">
        <f>IFERROR(__xludf.DUMMYFUNCTION("""COMPUTED_VALUE"""),"Pure Hot 5")</f>
        <v>Pure Hot 5</v>
      </c>
      <c r="C126" s="5" t="str">
        <f>IFERROR(__xludf.DUMMYFUNCTION("""COMPUTED_VALUE"""),"RedstonePureHot5")</f>
        <v>RedstonePureHot5</v>
      </c>
      <c r="D126" s="6">
        <f>IFERROR(__xludf.DUMMYFUNCTION("""COMPUTED_VALUE"""),46149.0)</f>
        <v>46149</v>
      </c>
      <c r="E126" s="5" t="str">
        <f>IFERROR(__xludf.DUMMYFUNCTION("""COMPUTED_VALUE"""),"Slot")</f>
        <v>Slot</v>
      </c>
      <c r="F126" s="5">
        <f>IFERROR(__xludf.DUMMYFUNCTION("""COMPUTED_VALUE"""),8.1)</f>
        <v>8.1</v>
      </c>
      <c r="G126" s="5" t="str">
        <f>IFERROR(__xludf.DUMMYFUNCTION("""COMPUTED_VALUE"""),"5x3")</f>
        <v>5x3</v>
      </c>
      <c r="H126" s="5">
        <f>IFERROR(__xludf.DUMMYFUNCTION("""COMPUTED_VALUE"""),5.0)</f>
        <v>5</v>
      </c>
      <c r="I126" s="5">
        <f>IFERROR(__xludf.DUMMYFUNCTION("""COMPUTED_VALUE"""),5.0)</f>
        <v>5</v>
      </c>
      <c r="J126" s="5" t="str">
        <f>IFERROR(__xludf.DUMMYFUNCTION("""COMPUTED_VALUE"""),"96.5%")</f>
        <v>96.5%</v>
      </c>
      <c r="K126" s="5" t="str">
        <f>IFERROR(__xludf.DUMMYFUNCTION("""COMPUTED_VALUE"""),"Low")</f>
        <v>Low</v>
      </c>
      <c r="L126" s="5" t="str">
        <f>IFERROR(__xludf.DUMMYFUNCTION("""COMPUTED_VALUE"""),"10.45%")</f>
        <v>10.45%</v>
      </c>
      <c r="M126" s="5" t="str">
        <f>IFERROR(__xludf.DUMMYFUNCTION("""COMPUTED_VALUE"""),"x1040")</f>
        <v>x1040</v>
      </c>
      <c r="N126" s="5" t="str">
        <f>IFERROR(__xludf.DUMMYFUNCTION("""COMPUTED_VALUE"""),"0.10/50")</f>
        <v>0.10/50</v>
      </c>
      <c r="O126" s="5" t="str">
        <f>IFERROR(__xludf.DUMMYFUNCTION("""COMPUTED_VALUE"""),"No")</f>
        <v>No</v>
      </c>
      <c r="P126" s="5"/>
      <c r="Q126" s="7" t="str">
        <f>IFERROR(__xludf.DUMMYFUNCTION("""COMPUTED_VALUE"""),"https://static.redstone.rs/games/pure-hot-5/")</f>
        <v>https://static.redstone.rs/games/pure-hot-5/</v>
      </c>
      <c r="R126" s="5" t="str">
        <f>IFERROR(__xludf.DUMMYFUNCTION("""COMPUTED_VALUE"""),"Heat up the reels in Pure Hot 5 and stay in the run. Fast action, clear hits, and a flow that keeps you chasing more.")</f>
        <v>Heat up the reels in Pure Hot 5 and stay in the run. Fast action, clear hits, and a flow that keeps you chasing more.</v>
      </c>
      <c r="S12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IFERROR(__xludf.DUMMYFUNCTION("""COMPUTED_VALUE"""),"Yes")</f>
        <v>Yes</v>
      </c>
      <c r="AA126" s="5" t="str">
        <f>IFERROR(__xludf.DUMMYFUNCTION("""COMPUTED_VALUE"""),"Yes")</f>
        <v>Yes</v>
      </c>
      <c r="AB126" s="5" t="str">
        <f>IFERROR(__xludf.DUMMYFUNCTION("""COMPUTED_VALUE"""),"Yes")</f>
        <v>Yes</v>
      </c>
      <c r="AC126" s="5" t="str">
        <f>IFERROR(__xludf.DUMMYFUNCTION("""COMPUTED_VALUE"""),"Yes")</f>
        <v>Yes</v>
      </c>
      <c r="AD126" s="5" t="str">
        <f>IFERROR(__xludf.DUMMYFUNCTION("""COMPUTED_VALUE"""),"Yes")</f>
        <v>Yes</v>
      </c>
      <c r="AE126" s="5" t="str">
        <f>IFERROR(__xludf.DUMMYFUNCTION("""COMPUTED_VALUE"""),"Yes")</f>
        <v>Yes</v>
      </c>
      <c r="AF126" s="5" t="str">
        <f>IFERROR(__xludf.DUMMYFUNCTION("""COMPUTED_VALUE"""),"Yes")</f>
        <v>Yes</v>
      </c>
      <c r="AG126" s="5" t="str">
        <f>IFERROR(__xludf.DUMMYFUNCTION("""COMPUTED_VALUE"""),"Yes")</f>
        <v>Yes</v>
      </c>
      <c r="AH126" s="5" t="str">
        <f>IFERROR(__xludf.DUMMYFUNCTION("""COMPUTED_VALUE"""),"Yes")</f>
        <v>Yes</v>
      </c>
      <c r="AI126" s="5" t="str">
        <f>IFERROR(__xludf.DUMMYFUNCTION("""COMPUTED_VALUE"""),"No")</f>
        <v>No</v>
      </c>
      <c r="AJ126" s="5" t="str">
        <f>IFERROR(__xludf.DUMMYFUNCTION("""COMPUTED_VALUE"""),"No")</f>
        <v>No</v>
      </c>
      <c r="AK126" s="5" t="str">
        <f>IFERROR(__xludf.DUMMYFUNCTION("""COMPUTED_VALUE"""),"No")</f>
        <v>No</v>
      </c>
      <c r="AL126" s="5" t="str">
        <f>IFERROR(__xludf.DUMMYFUNCTION("""COMPUTED_VALUE"""),"No")</f>
        <v>No</v>
      </c>
      <c r="AM126" s="5" t="str">
        <f>IFERROR(__xludf.DUMMYFUNCTION("""COMPUTED_VALUE"""),"No")</f>
        <v>No</v>
      </c>
      <c r="AN126" s="5" t="str">
        <f>IFERROR(__xludf.DUMMYFUNCTION("""COMPUTED_VALUE"""),"No")</f>
        <v>No</v>
      </c>
      <c r="AO126" s="5" t="str">
        <f>IFERROR(__xludf.DUMMYFUNCTION("""COMPUTED_VALUE"""),"Yes")</f>
        <v>Yes</v>
      </c>
      <c r="AP126" s="5" t="str">
        <f>IFERROR(__xludf.DUMMYFUNCTION("""COMPUTED_VALUE"""),"No")</f>
        <v>No</v>
      </c>
      <c r="AQ126" s="5" t="str">
        <f>IFERROR(__xludf.DUMMYFUNCTION("""COMPUTED_VALUE"""),"No")</f>
        <v>No</v>
      </c>
      <c r="AR126" s="5" t="str">
        <f>IFERROR(__xludf.DUMMYFUNCTION("""COMPUTED_VALUE"""),"No")</f>
        <v>No</v>
      </c>
      <c r="AS126" s="5" t="str">
        <f>IFERROR(__xludf.DUMMYFUNCTION("""COMPUTED_VALUE"""),"Yes")</f>
        <v>Yes</v>
      </c>
      <c r="AT126" s="5" t="str">
        <f>IFERROR(__xludf.DUMMYFUNCTION("""COMPUTED_VALUE"""),"No")</f>
        <v>No</v>
      </c>
      <c r="AU126" s="5"/>
      <c r="AV126" s="5" t="str">
        <f>IFERROR(__xludf.DUMMYFUNCTION("""COMPUTED_VALUE"""),"")</f>
        <v/>
      </c>
      <c r="AW126" s="5" t="str">
        <f>IFERROR(__xludf.DUMMYFUNCTION("""COMPUTED_VALUE"""),"")</f>
        <v/>
      </c>
      <c r="AX126" s="5" t="str">
        <f>IFERROR(__xludf.DUMMYFUNCTION("""COMPUTED_VALUE"""),"")</f>
        <v/>
      </c>
      <c r="AY126" s="5" t="str">
        <f>IFERROR(__xludf.DUMMYFUNCTION("""COMPUTED_VALUE"""),"")</f>
        <v/>
      </c>
      <c r="AZ126" s="5" t="str">
        <f>IFERROR(__xludf.DUMMYFUNCTION("""COMPUTED_VALUE"""),"")</f>
        <v/>
      </c>
      <c r="BA126" s="5" t="str">
        <f>IFERROR(__xludf.DUMMYFUNCTION("""COMPUTED_VALUE"""),"")</f>
        <v/>
      </c>
      <c r="BB126" s="5" t="str">
        <f>IFERROR(__xludf.DUMMYFUNCTION("""COMPUTED_VALUE"""),"")</f>
        <v/>
      </c>
    </row>
    <row r="127">
      <c r="A127" s="5" t="str">
        <f>IFERROR(__xludf.DUMMYFUNCTION("""COMPUTED_VALUE"""),"Redstone")</f>
        <v>Redstone</v>
      </c>
      <c r="B127" s="5" t="str">
        <f>IFERROR(__xludf.DUMMYFUNCTION("""COMPUTED_VALUE"""),"X Wild Crown")</f>
        <v>X Wild Crown</v>
      </c>
      <c r="C127" s="5" t="str">
        <f>IFERROR(__xludf.DUMMYFUNCTION("""COMPUTED_VALUE"""),"RedstoneXWildCrown")</f>
        <v>RedstoneXWildCrown</v>
      </c>
      <c r="D127" s="6">
        <f>IFERROR(__xludf.DUMMYFUNCTION("""COMPUTED_VALUE"""),46153.0)</f>
        <v>46153</v>
      </c>
      <c r="E127" s="5" t="str">
        <f>IFERROR(__xludf.DUMMYFUNCTION("""COMPUTED_VALUE"""),"Slot")</f>
        <v>Slot</v>
      </c>
      <c r="F127" s="5">
        <f>IFERROR(__xludf.DUMMYFUNCTION("""COMPUTED_VALUE"""),6.9)</f>
        <v>6.9</v>
      </c>
      <c r="G127" s="5" t="str">
        <f>IFERROR(__xludf.DUMMYFUNCTION("""COMPUTED_VALUE"""),"5x3")</f>
        <v>5x3</v>
      </c>
      <c r="H127" s="5">
        <f>IFERROR(__xludf.DUMMYFUNCTION("""COMPUTED_VALUE"""),5.0)</f>
        <v>5</v>
      </c>
      <c r="I127" s="5">
        <f>IFERROR(__xludf.DUMMYFUNCTION("""COMPUTED_VALUE"""),5.0)</f>
        <v>5</v>
      </c>
      <c r="J127" s="5" t="str">
        <f>IFERROR(__xludf.DUMMYFUNCTION("""COMPUTED_VALUE"""),"95.96%")</f>
        <v>95.96%</v>
      </c>
      <c r="K127" s="5" t="str">
        <f>IFERROR(__xludf.DUMMYFUNCTION("""COMPUTED_VALUE"""),"Low")</f>
        <v>Low</v>
      </c>
      <c r="L127" s="5" t="str">
        <f>IFERROR(__xludf.DUMMYFUNCTION("""COMPUTED_VALUE"""),"10.7%")</f>
        <v>10.7%</v>
      </c>
      <c r="M127" s="5" t="str">
        <f>IFERROR(__xludf.DUMMYFUNCTION("""COMPUTED_VALUE"""),"x2150")</f>
        <v>x2150</v>
      </c>
      <c r="N127" s="5" t="str">
        <f>IFERROR(__xludf.DUMMYFUNCTION("""COMPUTED_VALUE"""),"0.10/50")</f>
        <v>0.10/50</v>
      </c>
      <c r="O127" s="5" t="str">
        <f>IFERROR(__xludf.DUMMYFUNCTION("""COMPUTED_VALUE"""),"No")</f>
        <v>No</v>
      </c>
      <c r="P127" s="5" t="str">
        <f>IFERROR(__xludf.DUMMYFUNCTION("""COMPUTED_VALUE"""),"Expanding Wild, Wild Multiplier")</f>
        <v>Expanding Wild, Wild Multiplier</v>
      </c>
      <c r="Q127" s="7" t="str">
        <f>IFERROR(__xludf.DUMMYFUNCTION("""COMPUTED_VALUE"""),"https://static.redstone.rs/games/x-wild-crown/")</f>
        <v>https://static.redstone.rs/games/x-wild-crown/</v>
      </c>
      <c r="R127" s="5" t="str">
        <f>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S12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IFERROR(__xludf.DUMMYFUNCTION("""COMPUTED_VALUE"""),"Yes")</f>
        <v>Yes</v>
      </c>
      <c r="AA127" s="5" t="str">
        <f>IFERROR(__xludf.DUMMYFUNCTION("""COMPUTED_VALUE"""),"Yes")</f>
        <v>Yes</v>
      </c>
      <c r="AB127" s="5" t="str">
        <f>IFERROR(__xludf.DUMMYFUNCTION("""COMPUTED_VALUE"""),"Yes")</f>
        <v>Yes</v>
      </c>
      <c r="AC127" s="5" t="str">
        <f>IFERROR(__xludf.DUMMYFUNCTION("""COMPUTED_VALUE"""),"Yes")</f>
        <v>Yes</v>
      </c>
      <c r="AD127" s="5" t="str">
        <f>IFERROR(__xludf.DUMMYFUNCTION("""COMPUTED_VALUE"""),"Yes")</f>
        <v>Yes</v>
      </c>
      <c r="AE127" s="5" t="str">
        <f>IFERROR(__xludf.DUMMYFUNCTION("""COMPUTED_VALUE"""),"Yes")</f>
        <v>Yes</v>
      </c>
      <c r="AF127" s="5" t="str">
        <f>IFERROR(__xludf.DUMMYFUNCTION("""COMPUTED_VALUE"""),"Yes")</f>
        <v>Yes</v>
      </c>
      <c r="AG127" s="5" t="str">
        <f>IFERROR(__xludf.DUMMYFUNCTION("""COMPUTED_VALUE"""),"Yes")</f>
        <v>Yes</v>
      </c>
      <c r="AH127" s="5" t="str">
        <f>IFERROR(__xludf.DUMMYFUNCTION("""COMPUTED_VALUE"""),"Yes")</f>
        <v>Yes</v>
      </c>
      <c r="AI127" s="5" t="str">
        <f>IFERROR(__xludf.DUMMYFUNCTION("""COMPUTED_VALUE"""),"No")</f>
        <v>No</v>
      </c>
      <c r="AJ127" s="5" t="str">
        <f>IFERROR(__xludf.DUMMYFUNCTION("""COMPUTED_VALUE"""),"No")</f>
        <v>No</v>
      </c>
      <c r="AK127" s="5" t="str">
        <f>IFERROR(__xludf.DUMMYFUNCTION("""COMPUTED_VALUE"""),"No")</f>
        <v>No</v>
      </c>
      <c r="AL127" s="5" t="str">
        <f>IFERROR(__xludf.DUMMYFUNCTION("""COMPUTED_VALUE"""),"No")</f>
        <v>No</v>
      </c>
      <c r="AM127" s="5" t="str">
        <f>IFERROR(__xludf.DUMMYFUNCTION("""COMPUTED_VALUE"""),"No")</f>
        <v>No</v>
      </c>
      <c r="AN127" s="5" t="str">
        <f>IFERROR(__xludf.DUMMYFUNCTION("""COMPUTED_VALUE"""),"No")</f>
        <v>No</v>
      </c>
      <c r="AO127" s="5" t="str">
        <f>IFERROR(__xludf.DUMMYFUNCTION("""COMPUTED_VALUE"""),"Yes")</f>
        <v>Yes</v>
      </c>
      <c r="AP127" s="5" t="str">
        <f>IFERROR(__xludf.DUMMYFUNCTION("""COMPUTED_VALUE"""),"No")</f>
        <v>No</v>
      </c>
      <c r="AQ127" s="5" t="str">
        <f>IFERROR(__xludf.DUMMYFUNCTION("""COMPUTED_VALUE"""),"No")</f>
        <v>No</v>
      </c>
      <c r="AR127" s="5" t="str">
        <f>IFERROR(__xludf.DUMMYFUNCTION("""COMPUTED_VALUE"""),"No")</f>
        <v>No</v>
      </c>
      <c r="AS127" s="5" t="str">
        <f>IFERROR(__xludf.DUMMYFUNCTION("""COMPUTED_VALUE"""),"Yes")</f>
        <v>Yes</v>
      </c>
      <c r="AT127" s="5" t="str">
        <f>IFERROR(__xludf.DUMMYFUNCTION("""COMPUTED_VALUE"""),"No")</f>
        <v>No</v>
      </c>
      <c r="AU127" s="5"/>
      <c r="AV127" s="5" t="str">
        <f>IFERROR(__xludf.DUMMYFUNCTION("""COMPUTED_VALUE"""),"")</f>
        <v/>
      </c>
      <c r="AW127" s="5" t="str">
        <f>IFERROR(__xludf.DUMMYFUNCTION("""COMPUTED_VALUE"""),"")</f>
        <v/>
      </c>
      <c r="AX127" s="5" t="str">
        <f>IFERROR(__xludf.DUMMYFUNCTION("""COMPUTED_VALUE"""),"")</f>
        <v/>
      </c>
      <c r="AY127" s="5" t="str">
        <f>IFERROR(__xludf.DUMMYFUNCTION("""COMPUTED_VALUE"""),"")</f>
        <v/>
      </c>
      <c r="AZ127" s="5" t="str">
        <f>IFERROR(__xludf.DUMMYFUNCTION("""COMPUTED_VALUE"""),"")</f>
        <v/>
      </c>
      <c r="BA127" s="5" t="str">
        <f>IFERROR(__xludf.DUMMYFUNCTION("""COMPUTED_VALUE"""),"")</f>
        <v/>
      </c>
      <c r="BB127" s="5" t="str">
        <f>IFERROR(__xludf.DUMMYFUNCTION("""COMPUTED_VALUE"""),"")</f>
        <v/>
      </c>
    </row>
    <row r="128">
      <c r="A128" s="5" t="str">
        <f>IFERROR(__xludf.DUMMYFUNCTION("""COMPUTED_VALUE"""),"Redstone")</f>
        <v>Redstone</v>
      </c>
      <c r="B128" s="5" t="str">
        <f>IFERROR(__xludf.DUMMYFUNCTION("""COMPUTED_VALUE"""),"5 Clover Deluxe")</f>
        <v>5 Clover Deluxe</v>
      </c>
      <c r="C128" s="5" t="str">
        <f>IFERROR(__xludf.DUMMYFUNCTION("""COMPUTED_VALUE"""),"Redstone5CloverDeluxe")</f>
        <v>Redstone5CloverDeluxe</v>
      </c>
      <c r="D128" s="6">
        <f>IFERROR(__xludf.DUMMYFUNCTION("""COMPUTED_VALUE"""),46160.0)</f>
        <v>46160</v>
      </c>
      <c r="E128" s="5" t="str">
        <f>IFERROR(__xludf.DUMMYFUNCTION("""COMPUTED_VALUE"""),"Slot")</f>
        <v>Slot</v>
      </c>
      <c r="F128" s="5">
        <f>IFERROR(__xludf.DUMMYFUNCTION("""COMPUTED_VALUE"""),8.3)</f>
        <v>8.3</v>
      </c>
      <c r="G128" s="5" t="str">
        <f>IFERROR(__xludf.DUMMYFUNCTION("""COMPUTED_VALUE"""),"5x3")</f>
        <v>5x3</v>
      </c>
      <c r="H128" s="5">
        <f>IFERROR(__xludf.DUMMYFUNCTION("""COMPUTED_VALUE"""),5.0)</f>
        <v>5</v>
      </c>
      <c r="I128" s="5">
        <f>IFERROR(__xludf.DUMMYFUNCTION("""COMPUTED_VALUE"""),5.0)</f>
        <v>5</v>
      </c>
      <c r="J128" s="5" t="str">
        <f>IFERROR(__xludf.DUMMYFUNCTION("""COMPUTED_VALUE"""),"96.45%")</f>
        <v>96.45%</v>
      </c>
      <c r="K128" s="5" t="str">
        <f>IFERROR(__xludf.DUMMYFUNCTION("""COMPUTED_VALUE"""),"Low")</f>
        <v>Low</v>
      </c>
      <c r="L128" s="5" t="str">
        <f>IFERROR(__xludf.DUMMYFUNCTION("""COMPUTED_VALUE"""),"14.5%")</f>
        <v>14.5%</v>
      </c>
      <c r="M128" s="5" t="str">
        <f>IFERROR(__xludf.DUMMYFUNCTION("""COMPUTED_VALUE"""),"x1222")</f>
        <v>x1222</v>
      </c>
      <c r="N128" s="5" t="str">
        <f>IFERROR(__xludf.DUMMYFUNCTION("""COMPUTED_VALUE"""),"0.10/50")</f>
        <v>0.10/50</v>
      </c>
      <c r="O128" s="5" t="str">
        <f>IFERROR(__xludf.DUMMYFUNCTION("""COMPUTED_VALUE"""),"No")</f>
        <v>No</v>
      </c>
      <c r="P128" s="5" t="str">
        <f>IFERROR(__xludf.DUMMYFUNCTION("""COMPUTED_VALUE"""),"Expanding Wild, Scatter")</f>
        <v>Expanding Wild, Scatter</v>
      </c>
      <c r="Q128" s="7" t="str">
        <f>IFERROR(__xludf.DUMMYFUNCTION("""COMPUTED_VALUE"""),"https://static.redstone.rs/games/5-clover-deluxe/")</f>
        <v>https://static.redstone.rs/games/5-clover-deluxe/</v>
      </c>
      <c r="R128" s="5" t="str">
        <f>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S12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8" s="5" t="str">
        <f>IFERROR(__xludf.DUMMYFUNCTION("""COMPUTED_VALUE"""),"Yes")</f>
        <v>Yes</v>
      </c>
      <c r="U128" s="5" t="str">
        <f>IFERROR(__xludf.DUMMYFUNCTION("""COMPUTED_VALUE"""),"Yes")</f>
        <v>Yes</v>
      </c>
      <c r="V128" s="5" t="str">
        <f>IFERROR(__xludf.DUMMYFUNCTION("""COMPUTED_VALUE"""),"No")</f>
        <v>No</v>
      </c>
      <c r="W128" s="5" t="str">
        <f>IFERROR(__xludf.DUMMYFUNCTION("""COMPUTED_VALUE"""),"Yes")</f>
        <v>Yes</v>
      </c>
      <c r="X128" s="5" t="str">
        <f>IFERROR(__xludf.DUMMYFUNCTION("""COMPUTED_VALUE"""),"Yes")</f>
        <v>Yes</v>
      </c>
      <c r="Y128" s="5" t="str">
        <f>IFERROR(__xludf.DUMMYFUNCTION("""COMPUTED_VALUE"""),"Yes")</f>
        <v>Yes</v>
      </c>
      <c r="Z128" s="5" t="str">
        <f>IFERROR(__xludf.DUMMYFUNCTION("""COMPUTED_VALUE"""),"Yes")</f>
        <v>Yes</v>
      </c>
      <c r="AA128" s="5" t="str">
        <f>IFERROR(__xludf.DUMMYFUNCTION("""COMPUTED_VALUE"""),"Yes")</f>
        <v>Yes</v>
      </c>
      <c r="AB128" s="5" t="str">
        <f>IFERROR(__xludf.DUMMYFUNCTION("""COMPUTED_VALUE"""),"Yes")</f>
        <v>Yes</v>
      </c>
      <c r="AC128" s="5" t="str">
        <f>IFERROR(__xludf.DUMMYFUNCTION("""COMPUTED_VALUE"""),"Yes")</f>
        <v>Yes</v>
      </c>
      <c r="AD128" s="5" t="str">
        <f>IFERROR(__xludf.DUMMYFUNCTION("""COMPUTED_VALUE"""),"Yes")</f>
        <v>Yes</v>
      </c>
      <c r="AE128" s="5" t="str">
        <f>IFERROR(__xludf.DUMMYFUNCTION("""COMPUTED_VALUE"""),"Yes")</f>
        <v>Yes</v>
      </c>
      <c r="AF128" s="5" t="str">
        <f>IFERROR(__xludf.DUMMYFUNCTION("""COMPUTED_VALUE"""),"Yes")</f>
        <v>Yes</v>
      </c>
      <c r="AG128" s="5" t="str">
        <f>IFERROR(__xludf.DUMMYFUNCTION("""COMPUTED_VALUE"""),"Yes")</f>
        <v>Yes</v>
      </c>
      <c r="AH128" s="5" t="str">
        <f>IFERROR(__xludf.DUMMYFUNCTION("""COMPUTED_VALUE"""),"Yes")</f>
        <v>Yes</v>
      </c>
      <c r="AI128" s="5" t="str">
        <f>IFERROR(__xludf.DUMMYFUNCTION("""COMPUTED_VALUE"""),"No")</f>
        <v>No</v>
      </c>
      <c r="AJ128" s="5" t="str">
        <f>IFERROR(__xludf.DUMMYFUNCTION("""COMPUTED_VALUE"""),"No")</f>
        <v>No</v>
      </c>
      <c r="AK128" s="5" t="str">
        <f>IFERROR(__xludf.DUMMYFUNCTION("""COMPUTED_VALUE"""),"No")</f>
        <v>No</v>
      </c>
      <c r="AL128" s="5" t="str">
        <f>IFERROR(__xludf.DUMMYFUNCTION("""COMPUTED_VALUE"""),"No")</f>
        <v>No</v>
      </c>
      <c r="AM128" s="5" t="str">
        <f>IFERROR(__xludf.DUMMYFUNCTION("""COMPUTED_VALUE"""),"No")</f>
        <v>No</v>
      </c>
      <c r="AN128" s="5" t="str">
        <f>IFERROR(__xludf.DUMMYFUNCTION("""COMPUTED_VALUE"""),"No")</f>
        <v>No</v>
      </c>
      <c r="AO128" s="5" t="str">
        <f>IFERROR(__xludf.DUMMYFUNCTION("""COMPUTED_VALUE"""),"Yes")</f>
        <v>Yes</v>
      </c>
      <c r="AP128" s="5" t="str">
        <f>IFERROR(__xludf.DUMMYFUNCTION("""COMPUTED_VALUE"""),"No")</f>
        <v>No</v>
      </c>
      <c r="AQ128" s="5" t="str">
        <f>IFERROR(__xludf.DUMMYFUNCTION("""COMPUTED_VALUE"""),"No")</f>
        <v>No</v>
      </c>
      <c r="AR128" s="5" t="str">
        <f>IFERROR(__xludf.DUMMYFUNCTION("""COMPUTED_VALUE"""),"No")</f>
        <v>No</v>
      </c>
      <c r="AS128" s="5" t="str">
        <f>IFERROR(__xludf.DUMMYFUNCTION("""COMPUTED_VALUE"""),"Yes")</f>
        <v>Yes</v>
      </c>
      <c r="AT128" s="5" t="str">
        <f>IFERROR(__xludf.DUMMYFUNCTION("""COMPUTED_VALUE"""),"No")</f>
        <v>No</v>
      </c>
      <c r="AU128" s="5"/>
      <c r="AV128" s="5" t="str">
        <f>IFERROR(__xludf.DUMMYFUNCTION("""COMPUTED_VALUE"""),"")</f>
        <v/>
      </c>
      <c r="AW128" s="5" t="str">
        <f>IFERROR(__xludf.DUMMYFUNCTION("""COMPUTED_VALUE"""),"")</f>
        <v/>
      </c>
      <c r="AX128" s="5" t="str">
        <f>IFERROR(__xludf.DUMMYFUNCTION("""COMPUTED_VALUE"""),"")</f>
        <v/>
      </c>
      <c r="AY128" s="5" t="str">
        <f>IFERROR(__xludf.DUMMYFUNCTION("""COMPUTED_VALUE"""),"")</f>
        <v/>
      </c>
      <c r="AZ128" s="5" t="str">
        <f>IFERROR(__xludf.DUMMYFUNCTION("""COMPUTED_VALUE"""),"")</f>
        <v/>
      </c>
      <c r="BA128" s="5" t="str">
        <f>IFERROR(__xludf.DUMMYFUNCTION("""COMPUTED_VALUE"""),"")</f>
        <v/>
      </c>
      <c r="BB128" s="5" t="str">
        <f>IFERROR(__xludf.DUMMYFUNCTION("""COMPUTED_VALUE"""),"")</f>
        <v/>
      </c>
    </row>
    <row r="129">
      <c r="A129" s="5" t="str">
        <f>IFERROR(__xludf.DUMMYFUNCTION("""COMPUTED_VALUE"""),"Redstone")</f>
        <v>Redstone</v>
      </c>
      <c r="B129" s="5" t="str">
        <f>IFERROR(__xludf.DUMMYFUNCTION("""COMPUTED_VALUE"""),"Heart Deluxe 2X")</f>
        <v>Heart Deluxe 2X</v>
      </c>
      <c r="C129" s="5" t="str">
        <f>IFERROR(__xludf.DUMMYFUNCTION("""COMPUTED_VALUE"""),"RedstoneHeartDeluxe2X")</f>
        <v>RedstoneHeartDeluxe2X</v>
      </c>
      <c r="D129" s="6">
        <f>IFERROR(__xludf.DUMMYFUNCTION("""COMPUTED_VALUE"""),46168.0)</f>
        <v>46168</v>
      </c>
      <c r="E129" s="5" t="str">
        <f>IFERROR(__xludf.DUMMYFUNCTION("""COMPUTED_VALUE"""),"Slot")</f>
        <v>Slot</v>
      </c>
      <c r="F129" s="5">
        <f>IFERROR(__xludf.DUMMYFUNCTION("""COMPUTED_VALUE"""),8.5)</f>
        <v>8.5</v>
      </c>
      <c r="G129" s="5" t="str">
        <f>IFERROR(__xludf.DUMMYFUNCTION("""COMPUTED_VALUE"""),"5x3")</f>
        <v>5x3</v>
      </c>
      <c r="H129" s="5">
        <f>IFERROR(__xludf.DUMMYFUNCTION("""COMPUTED_VALUE"""),5.0)</f>
        <v>5</v>
      </c>
      <c r="I129" s="5">
        <f>IFERROR(__xludf.DUMMYFUNCTION("""COMPUTED_VALUE"""),5.0)</f>
        <v>5</v>
      </c>
      <c r="J129" s="5" t="str">
        <f>IFERROR(__xludf.DUMMYFUNCTION("""COMPUTED_VALUE"""),"96.45%")</f>
        <v>96.45%</v>
      </c>
      <c r="K129" s="5" t="str">
        <f>IFERROR(__xludf.DUMMYFUNCTION("""COMPUTED_VALUE"""),"Low")</f>
        <v>Low</v>
      </c>
      <c r="L129" s="5" t="str">
        <f>IFERROR(__xludf.DUMMYFUNCTION("""COMPUTED_VALUE"""),"14.23%")</f>
        <v>14.23%</v>
      </c>
      <c r="M129" s="5" t="str">
        <f>IFERROR(__xludf.DUMMYFUNCTION("""COMPUTED_VALUE"""),"x2624")</f>
        <v>x2624</v>
      </c>
      <c r="N129" s="5" t="str">
        <f>IFERROR(__xludf.DUMMYFUNCTION("""COMPUTED_VALUE"""),"0.10/50")</f>
        <v>0.10/50</v>
      </c>
      <c r="O129" s="5" t="str">
        <f>IFERROR(__xludf.DUMMYFUNCTION("""COMPUTED_VALUE"""),"No")</f>
        <v>No</v>
      </c>
      <c r="P129" s="5" t="str">
        <f>IFERROR(__xludf.DUMMYFUNCTION("""COMPUTED_VALUE"""),"Scatter, Expanding Wild")</f>
        <v>Scatter, Expanding Wild</v>
      </c>
      <c r="Q129" s="7" t="str">
        <f>IFERROR(__xludf.DUMMYFUNCTION("""COMPUTED_VALUE"""),"https://static.redstone.rs/games/heart-deluxe-2x/")</f>
        <v>https://static.redstone.rs/games/heart-deluxe-2x/</v>
      </c>
      <c r="R129" s="5" t="str">
        <f>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9" s="5" t="str">
        <f>IFERROR(__xludf.DUMMYFUNCTION("""COMPUTED_VALUE"""),"Yes")</f>
        <v>Yes</v>
      </c>
      <c r="U129" s="5" t="str">
        <f>IFERROR(__xludf.DUMMYFUNCTION("""COMPUTED_VALUE"""),"Yes")</f>
        <v>Yes</v>
      </c>
      <c r="V129" s="5" t="str">
        <f>IFERROR(__xludf.DUMMYFUNCTION("""COMPUTED_VALUE"""),"No")</f>
        <v>No</v>
      </c>
      <c r="W129" s="5" t="str">
        <f>IFERROR(__xludf.DUMMYFUNCTION("""COMPUTED_VALUE"""),"Yes")</f>
        <v>Yes</v>
      </c>
      <c r="X129" s="5" t="str">
        <f>IFERROR(__xludf.DUMMYFUNCTION("""COMPUTED_VALUE"""),"Yes")</f>
        <v>Yes</v>
      </c>
      <c r="Y129" s="5" t="str">
        <f>IFERROR(__xludf.DUMMYFUNCTION("""COMPUTED_VALUE"""),"Yes")</f>
        <v>Yes</v>
      </c>
      <c r="Z129" s="5" t="str">
        <f>IFERROR(__xludf.DUMMYFUNCTION("""COMPUTED_VALUE"""),"Yes")</f>
        <v>Yes</v>
      </c>
      <c r="AA129" s="5" t="str">
        <f>IFERROR(__xludf.DUMMYFUNCTION("""COMPUTED_VALUE"""),"Yes")</f>
        <v>Yes</v>
      </c>
      <c r="AB129" s="5" t="str">
        <f>IFERROR(__xludf.DUMMYFUNCTION("""COMPUTED_VALUE"""),"Yes")</f>
        <v>Yes</v>
      </c>
      <c r="AC129" s="5" t="str">
        <f>IFERROR(__xludf.DUMMYFUNCTION("""COMPUTED_VALUE"""),"Yes")</f>
        <v>Yes</v>
      </c>
      <c r="AD129" s="5" t="str">
        <f>IFERROR(__xludf.DUMMYFUNCTION("""COMPUTED_VALUE"""),"Yes")</f>
        <v>Yes</v>
      </c>
      <c r="AE129" s="5" t="str">
        <f>IFERROR(__xludf.DUMMYFUNCTION("""COMPUTED_VALUE"""),"Yes")</f>
        <v>Yes</v>
      </c>
      <c r="AF129" s="5" t="str">
        <f>IFERROR(__xludf.DUMMYFUNCTION("""COMPUTED_VALUE"""),"Yes")</f>
        <v>Yes</v>
      </c>
      <c r="AG129" s="5" t="str">
        <f>IFERROR(__xludf.DUMMYFUNCTION("""COMPUTED_VALUE"""),"Yes")</f>
        <v>Yes</v>
      </c>
      <c r="AH129" s="5" t="str">
        <f>IFERROR(__xludf.DUMMYFUNCTION("""COMPUTED_VALUE"""),"Yes")</f>
        <v>Yes</v>
      </c>
      <c r="AI129" s="5" t="str">
        <f>IFERROR(__xludf.DUMMYFUNCTION("""COMPUTED_VALUE"""),"No")</f>
        <v>No</v>
      </c>
      <c r="AJ129" s="5" t="str">
        <f>IFERROR(__xludf.DUMMYFUNCTION("""COMPUTED_VALUE"""),"No")</f>
        <v>No</v>
      </c>
      <c r="AK129" s="5" t="str">
        <f>IFERROR(__xludf.DUMMYFUNCTION("""COMPUTED_VALUE"""),"No")</f>
        <v>No</v>
      </c>
      <c r="AL129" s="5" t="str">
        <f>IFERROR(__xludf.DUMMYFUNCTION("""COMPUTED_VALUE"""),"No")</f>
        <v>No</v>
      </c>
      <c r="AM129" s="5" t="str">
        <f>IFERROR(__xludf.DUMMYFUNCTION("""COMPUTED_VALUE"""),"No")</f>
        <v>No</v>
      </c>
      <c r="AN129" s="5" t="str">
        <f>IFERROR(__xludf.DUMMYFUNCTION("""COMPUTED_VALUE"""),"No")</f>
        <v>No</v>
      </c>
      <c r="AO129" s="5" t="str">
        <f>IFERROR(__xludf.DUMMYFUNCTION("""COMPUTED_VALUE"""),"Yes")</f>
        <v>Yes</v>
      </c>
      <c r="AP129" s="5" t="str">
        <f>IFERROR(__xludf.DUMMYFUNCTION("""COMPUTED_VALUE"""),"No")</f>
        <v>No</v>
      </c>
      <c r="AQ129" s="5" t="str">
        <f>IFERROR(__xludf.DUMMYFUNCTION("""COMPUTED_VALUE"""),"No")</f>
        <v>No</v>
      </c>
      <c r="AR129" s="5" t="str">
        <f>IFERROR(__xludf.DUMMYFUNCTION("""COMPUTED_VALUE"""),"No")</f>
        <v>No</v>
      </c>
      <c r="AS129" s="5" t="str">
        <f>IFERROR(__xludf.DUMMYFUNCTION("""COMPUTED_VALUE"""),"Yes")</f>
        <v>Yes</v>
      </c>
      <c r="AT129" s="5" t="str">
        <f>IFERROR(__xludf.DUMMYFUNCTION("""COMPUTED_VALUE"""),"No")</f>
        <v>No</v>
      </c>
      <c r="AU129" s="5"/>
      <c r="AV129" s="5" t="str">
        <f>IFERROR(__xludf.DUMMYFUNCTION("""COMPUTED_VALUE"""),"")</f>
        <v/>
      </c>
      <c r="AW129" s="5" t="str">
        <f>IFERROR(__xludf.DUMMYFUNCTION("""COMPUTED_VALUE"""),"")</f>
        <v/>
      </c>
      <c r="AX129" s="5" t="str">
        <f>IFERROR(__xludf.DUMMYFUNCTION("""COMPUTED_VALUE"""),"")</f>
        <v/>
      </c>
      <c r="AY129" s="5" t="str">
        <f>IFERROR(__xludf.DUMMYFUNCTION("""COMPUTED_VALUE"""),"")</f>
        <v/>
      </c>
      <c r="AZ129" s="5" t="str">
        <f>IFERROR(__xludf.DUMMYFUNCTION("""COMPUTED_VALUE"""),"")</f>
        <v/>
      </c>
      <c r="BA129" s="5" t="str">
        <f>IFERROR(__xludf.DUMMYFUNCTION("""COMPUTED_VALUE"""),"")</f>
        <v/>
      </c>
      <c r="BB129" s="5" t="str">
        <f>IFERROR(__xludf.DUMMYFUNCTION("""COMPUTED_VALUE"""),"")</f>
        <v/>
      </c>
    </row>
    <row r="130">
      <c r="A130" s="5" t="str">
        <f>IFERROR(__xludf.DUMMYFUNCTION("""COMPUTED_VALUE"""),"Redstone")</f>
        <v>Redstone</v>
      </c>
      <c r="B130" s="5" t="str">
        <f>IFERROR(__xludf.DUMMYFUNCTION("""COMPUTED_VALUE"""),"Cosmic Fruits")</f>
        <v>Cosmic Fruits</v>
      </c>
      <c r="C130" s="5" t="str">
        <f>IFERROR(__xludf.DUMMYFUNCTION("""COMPUTED_VALUE"""),"RedstoneCosmicFruits")</f>
        <v>RedstoneCosmicFruits</v>
      </c>
      <c r="D130" s="6">
        <f>IFERROR(__xludf.DUMMYFUNCTION("""COMPUTED_VALUE"""),46177.0)</f>
        <v>46177</v>
      </c>
      <c r="E130" s="5" t="str">
        <f>IFERROR(__xludf.DUMMYFUNCTION("""COMPUTED_VALUE"""),"Slot")</f>
        <v>Slot</v>
      </c>
      <c r="F130" s="5">
        <f>IFERROR(__xludf.DUMMYFUNCTION("""COMPUTED_VALUE"""),7.8)</f>
        <v>7.8</v>
      </c>
      <c r="G130" s="5" t="str">
        <f>IFERROR(__xludf.DUMMYFUNCTION("""COMPUTED_VALUE"""),"5x3")</f>
        <v>5x3</v>
      </c>
      <c r="H130" s="5">
        <f>IFERROR(__xludf.DUMMYFUNCTION("""COMPUTED_VALUE"""),5.0)</f>
        <v>5</v>
      </c>
      <c r="I130" s="5">
        <f>IFERROR(__xludf.DUMMYFUNCTION("""COMPUTED_VALUE"""),5.0)</f>
        <v>5</v>
      </c>
      <c r="J130" s="5" t="str">
        <f>IFERROR(__xludf.DUMMYFUNCTION("""COMPUTED_VALUE"""),"96.5%")</f>
        <v>96.5%</v>
      </c>
      <c r="K130" s="5" t="str">
        <f>IFERROR(__xludf.DUMMYFUNCTION("""COMPUTED_VALUE"""),"Low")</f>
        <v>Low</v>
      </c>
      <c r="L130" s="5" t="str">
        <f>IFERROR(__xludf.DUMMYFUNCTION("""COMPUTED_VALUE"""),"10.45%")</f>
        <v>10.45%</v>
      </c>
      <c r="M130" s="5" t="str">
        <f>IFERROR(__xludf.DUMMYFUNCTION("""COMPUTED_VALUE"""),"x1040")</f>
        <v>x1040</v>
      </c>
      <c r="N130" s="5" t="str">
        <f>IFERROR(__xludf.DUMMYFUNCTION("""COMPUTED_VALUE"""),"0.10/50")</f>
        <v>0.10/50</v>
      </c>
      <c r="O130" s="5" t="str">
        <f>IFERROR(__xludf.DUMMYFUNCTION("""COMPUTED_VALUE"""),"No")</f>
        <v>No</v>
      </c>
      <c r="P130" s="5"/>
      <c r="Q130" s="7" t="str">
        <f>IFERROR(__xludf.DUMMYFUNCTION("""COMPUTED_VALUE"""),"https://static.redstone.rs/games/cosmic-fruits/")</f>
        <v>https://static.redstone.rs/games/cosmic-fruits/</v>
      </c>
      <c r="R130" s="5" t="str">
        <f>IFERROR(__xludf.DUMMYFUNCTION("""COMPUTED_VALUE"""),"Get into Cosmic Fruits and keep it moving. Quick spins, colorful hits, and a flow that doesn’t let go.")</f>
        <v>Get into Cosmic Fruits and keep it moving. Quick spins, colorful hits, and a flow that doesn’t let go.</v>
      </c>
      <c r="S13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0" s="5" t="str">
        <f>IFERROR(__xludf.DUMMYFUNCTION("""COMPUTED_VALUE"""),"Yes")</f>
        <v>Yes</v>
      </c>
      <c r="U130" s="5" t="str">
        <f>IFERROR(__xludf.DUMMYFUNCTION("""COMPUTED_VALUE"""),"Yes")</f>
        <v>Yes</v>
      </c>
      <c r="V130" s="5" t="str">
        <f>IFERROR(__xludf.DUMMYFUNCTION("""COMPUTED_VALUE"""),"No")</f>
        <v>No</v>
      </c>
      <c r="W130" s="5" t="str">
        <f>IFERROR(__xludf.DUMMYFUNCTION("""COMPUTED_VALUE"""),"Yes")</f>
        <v>Yes</v>
      </c>
      <c r="X130" s="5" t="str">
        <f>IFERROR(__xludf.DUMMYFUNCTION("""COMPUTED_VALUE"""),"Yes")</f>
        <v>Yes</v>
      </c>
      <c r="Y130" s="5" t="str">
        <f>IFERROR(__xludf.DUMMYFUNCTION("""COMPUTED_VALUE"""),"Yes")</f>
        <v>Yes</v>
      </c>
      <c r="Z130" s="5" t="str">
        <f>IFERROR(__xludf.DUMMYFUNCTION("""COMPUTED_VALUE"""),"Yes")</f>
        <v>Yes</v>
      </c>
      <c r="AA130" s="5" t="str">
        <f>IFERROR(__xludf.DUMMYFUNCTION("""COMPUTED_VALUE"""),"Yes")</f>
        <v>Yes</v>
      </c>
      <c r="AB130" s="5" t="str">
        <f>IFERROR(__xludf.DUMMYFUNCTION("""COMPUTED_VALUE"""),"Yes")</f>
        <v>Yes</v>
      </c>
      <c r="AC130" s="5" t="str">
        <f>IFERROR(__xludf.DUMMYFUNCTION("""COMPUTED_VALUE"""),"Yes")</f>
        <v>Yes</v>
      </c>
      <c r="AD130" s="5" t="str">
        <f>IFERROR(__xludf.DUMMYFUNCTION("""COMPUTED_VALUE"""),"Yes")</f>
        <v>Yes</v>
      </c>
      <c r="AE130" s="5" t="str">
        <f>IFERROR(__xludf.DUMMYFUNCTION("""COMPUTED_VALUE"""),"Yes")</f>
        <v>Yes</v>
      </c>
      <c r="AF130" s="5" t="str">
        <f>IFERROR(__xludf.DUMMYFUNCTION("""COMPUTED_VALUE"""),"Yes")</f>
        <v>Yes</v>
      </c>
      <c r="AG130" s="5" t="str">
        <f>IFERROR(__xludf.DUMMYFUNCTION("""COMPUTED_VALUE"""),"Yes")</f>
        <v>Yes</v>
      </c>
      <c r="AH130" s="5" t="str">
        <f>IFERROR(__xludf.DUMMYFUNCTION("""COMPUTED_VALUE"""),"Yes")</f>
        <v>Yes</v>
      </c>
      <c r="AI130" s="5" t="str">
        <f>IFERROR(__xludf.DUMMYFUNCTION("""COMPUTED_VALUE"""),"No")</f>
        <v>No</v>
      </c>
      <c r="AJ130" s="5" t="str">
        <f>IFERROR(__xludf.DUMMYFUNCTION("""COMPUTED_VALUE"""),"No")</f>
        <v>No</v>
      </c>
      <c r="AK130" s="5" t="str">
        <f>IFERROR(__xludf.DUMMYFUNCTION("""COMPUTED_VALUE"""),"No")</f>
        <v>No</v>
      </c>
      <c r="AL130" s="5" t="str">
        <f>IFERROR(__xludf.DUMMYFUNCTION("""COMPUTED_VALUE"""),"No")</f>
        <v>No</v>
      </c>
      <c r="AM130" s="5" t="str">
        <f>IFERROR(__xludf.DUMMYFUNCTION("""COMPUTED_VALUE"""),"No")</f>
        <v>No</v>
      </c>
      <c r="AN130" s="5" t="str">
        <f>IFERROR(__xludf.DUMMYFUNCTION("""COMPUTED_VALUE"""),"No")</f>
        <v>No</v>
      </c>
      <c r="AO130" s="5" t="str">
        <f>IFERROR(__xludf.DUMMYFUNCTION("""COMPUTED_VALUE"""),"Yes")</f>
        <v>Yes</v>
      </c>
      <c r="AP130" s="5" t="str">
        <f>IFERROR(__xludf.DUMMYFUNCTION("""COMPUTED_VALUE"""),"No")</f>
        <v>No</v>
      </c>
      <c r="AQ130" s="5" t="str">
        <f>IFERROR(__xludf.DUMMYFUNCTION("""COMPUTED_VALUE"""),"No")</f>
        <v>No</v>
      </c>
      <c r="AR130" s="5" t="str">
        <f>IFERROR(__xludf.DUMMYFUNCTION("""COMPUTED_VALUE"""),"No")</f>
        <v>No</v>
      </c>
      <c r="AS130" s="5" t="str">
        <f>IFERROR(__xludf.DUMMYFUNCTION("""COMPUTED_VALUE"""),"Yes")</f>
        <v>Yes</v>
      </c>
      <c r="AT130" s="5" t="str">
        <f>IFERROR(__xludf.DUMMYFUNCTION("""COMPUTED_VALUE"""),"No")</f>
        <v>No</v>
      </c>
      <c r="AU130" s="5"/>
      <c r="AV130" s="5" t="str">
        <f>IFERROR(__xludf.DUMMYFUNCTION("""COMPUTED_VALUE"""),"")</f>
        <v/>
      </c>
      <c r="AW130" s="5" t="str">
        <f>IFERROR(__xludf.DUMMYFUNCTION("""COMPUTED_VALUE"""),"")</f>
        <v/>
      </c>
      <c r="AX130" s="5" t="str">
        <f>IFERROR(__xludf.DUMMYFUNCTION("""COMPUTED_VALUE"""),"")</f>
        <v/>
      </c>
      <c r="AY130" s="5" t="str">
        <f>IFERROR(__xludf.DUMMYFUNCTION("""COMPUTED_VALUE"""),"")</f>
        <v/>
      </c>
      <c r="AZ130" s="5" t="str">
        <f>IFERROR(__xludf.DUMMYFUNCTION("""COMPUTED_VALUE"""),"")</f>
        <v/>
      </c>
      <c r="BA130" s="5" t="str">
        <f>IFERROR(__xludf.DUMMYFUNCTION("""COMPUTED_VALUE"""),"")</f>
        <v/>
      </c>
      <c r="BB130" s="5" t="str">
        <f>IFERROR(__xludf.DUMMYFUNCTION("""COMPUTED_VALUE"""),"")</f>
        <v/>
      </c>
    </row>
    <row r="131">
      <c r="A131" s="5" t="str">
        <f>IFERROR(__xludf.DUMMYFUNCTION("""COMPUTED_VALUE"""),"Redstone")</f>
        <v>Redstone</v>
      </c>
      <c r="B131" s="5" t="str">
        <f>IFERROR(__xludf.DUMMYFUNCTION("""COMPUTED_VALUE"""),"X Wild Heart")</f>
        <v>X Wild Heart</v>
      </c>
      <c r="C131" s="5" t="str">
        <f>IFERROR(__xludf.DUMMYFUNCTION("""COMPUTED_VALUE"""),"RedstoneXWildHeart")</f>
        <v>RedstoneXWildHeart</v>
      </c>
      <c r="D131" s="6">
        <f>IFERROR(__xludf.DUMMYFUNCTION("""COMPUTED_VALUE"""),46189.0)</f>
        <v>46189</v>
      </c>
      <c r="E131" s="5" t="str">
        <f>IFERROR(__xludf.DUMMYFUNCTION("""COMPUTED_VALUE"""),"Slot")</f>
        <v>Slot</v>
      </c>
      <c r="F131" s="5">
        <f>IFERROR(__xludf.DUMMYFUNCTION("""COMPUTED_VALUE"""),7.1)</f>
        <v>7.1</v>
      </c>
      <c r="G131" s="5" t="str">
        <f>IFERROR(__xludf.DUMMYFUNCTION("""COMPUTED_VALUE"""),"5x3")</f>
        <v>5x3</v>
      </c>
      <c r="H131" s="5">
        <f>IFERROR(__xludf.DUMMYFUNCTION("""COMPUTED_VALUE"""),5.0)</f>
        <v>5</v>
      </c>
      <c r="I131" s="5">
        <f>IFERROR(__xludf.DUMMYFUNCTION("""COMPUTED_VALUE"""),5.0)</f>
        <v>5</v>
      </c>
      <c r="J131" s="5" t="str">
        <f>IFERROR(__xludf.DUMMYFUNCTION("""COMPUTED_VALUE"""),"95.96%")</f>
        <v>95.96%</v>
      </c>
      <c r="K131" s="5" t="str">
        <f>IFERROR(__xludf.DUMMYFUNCTION("""COMPUTED_VALUE"""),"Low")</f>
        <v>Low</v>
      </c>
      <c r="L131" s="5" t="str">
        <f>IFERROR(__xludf.DUMMYFUNCTION("""COMPUTED_VALUE"""),"10.7%")</f>
        <v>10.7%</v>
      </c>
      <c r="M131" s="5" t="str">
        <f>IFERROR(__xludf.DUMMYFUNCTION("""COMPUTED_VALUE"""),"x2150")</f>
        <v>x2150</v>
      </c>
      <c r="N131" s="5" t="str">
        <f>IFERROR(__xludf.DUMMYFUNCTION("""COMPUTED_VALUE"""),"0.10/50")</f>
        <v>0.10/50</v>
      </c>
      <c r="O131" s="5" t="str">
        <f>IFERROR(__xludf.DUMMYFUNCTION("""COMPUTED_VALUE"""),"No")</f>
        <v>No</v>
      </c>
      <c r="P131" s="5" t="str">
        <f>IFERROR(__xludf.DUMMYFUNCTION("""COMPUTED_VALUE"""),"Expanding Wild, Wild Multiplier")</f>
        <v>Expanding Wild, Wild Multiplier</v>
      </c>
      <c r="Q131" s="7" t="str">
        <f>IFERROR(__xludf.DUMMYFUNCTION("""COMPUTED_VALUE"""),"https://static.redstone.rs/games/x-wild-heart/")</f>
        <v>https://static.redstone.rs/games/x-wild-heart/</v>
      </c>
      <c r="R131" s="5" t="str">
        <f>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S13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1" s="5" t="str">
        <f>IFERROR(__xludf.DUMMYFUNCTION("""COMPUTED_VALUE"""),"Yes")</f>
        <v>Yes</v>
      </c>
      <c r="U131" s="5" t="str">
        <f>IFERROR(__xludf.DUMMYFUNCTION("""COMPUTED_VALUE"""),"Yes")</f>
        <v>Yes</v>
      </c>
      <c r="V131" s="5" t="str">
        <f>IFERROR(__xludf.DUMMYFUNCTION("""COMPUTED_VALUE"""),"No")</f>
        <v>No</v>
      </c>
      <c r="W131" s="5" t="str">
        <f>IFERROR(__xludf.DUMMYFUNCTION("""COMPUTED_VALUE"""),"Yes")</f>
        <v>Yes</v>
      </c>
      <c r="X131" s="5" t="str">
        <f>IFERROR(__xludf.DUMMYFUNCTION("""COMPUTED_VALUE"""),"Yes")</f>
        <v>Yes</v>
      </c>
      <c r="Y131" s="5" t="str">
        <f>IFERROR(__xludf.DUMMYFUNCTION("""COMPUTED_VALUE"""),"Yes")</f>
        <v>Yes</v>
      </c>
      <c r="Z131" s="5" t="str">
        <f>IFERROR(__xludf.DUMMYFUNCTION("""COMPUTED_VALUE"""),"Yes")</f>
        <v>Yes</v>
      </c>
      <c r="AA131" s="5" t="str">
        <f>IFERROR(__xludf.DUMMYFUNCTION("""COMPUTED_VALUE"""),"Yes")</f>
        <v>Yes</v>
      </c>
      <c r="AB131" s="5" t="str">
        <f>IFERROR(__xludf.DUMMYFUNCTION("""COMPUTED_VALUE"""),"Yes")</f>
        <v>Yes</v>
      </c>
      <c r="AC131" s="5" t="str">
        <f>IFERROR(__xludf.DUMMYFUNCTION("""COMPUTED_VALUE"""),"Yes")</f>
        <v>Yes</v>
      </c>
      <c r="AD131" s="5" t="str">
        <f>IFERROR(__xludf.DUMMYFUNCTION("""COMPUTED_VALUE"""),"Yes")</f>
        <v>Yes</v>
      </c>
      <c r="AE131" s="5" t="str">
        <f>IFERROR(__xludf.DUMMYFUNCTION("""COMPUTED_VALUE"""),"Yes")</f>
        <v>Yes</v>
      </c>
      <c r="AF131" s="5" t="str">
        <f>IFERROR(__xludf.DUMMYFUNCTION("""COMPUTED_VALUE"""),"Yes")</f>
        <v>Yes</v>
      </c>
      <c r="AG131" s="5" t="str">
        <f>IFERROR(__xludf.DUMMYFUNCTION("""COMPUTED_VALUE"""),"Yes")</f>
        <v>Yes</v>
      </c>
      <c r="AH131" s="5" t="str">
        <f>IFERROR(__xludf.DUMMYFUNCTION("""COMPUTED_VALUE"""),"Yes")</f>
        <v>Yes</v>
      </c>
      <c r="AI131" s="5" t="str">
        <f>IFERROR(__xludf.DUMMYFUNCTION("""COMPUTED_VALUE"""),"No")</f>
        <v>No</v>
      </c>
      <c r="AJ131" s="5" t="str">
        <f>IFERROR(__xludf.DUMMYFUNCTION("""COMPUTED_VALUE"""),"No")</f>
        <v>No</v>
      </c>
      <c r="AK131" s="5" t="str">
        <f>IFERROR(__xludf.DUMMYFUNCTION("""COMPUTED_VALUE"""),"No")</f>
        <v>No</v>
      </c>
      <c r="AL131" s="5" t="str">
        <f>IFERROR(__xludf.DUMMYFUNCTION("""COMPUTED_VALUE"""),"No")</f>
        <v>No</v>
      </c>
      <c r="AM131" s="5" t="str">
        <f>IFERROR(__xludf.DUMMYFUNCTION("""COMPUTED_VALUE"""),"No")</f>
        <v>No</v>
      </c>
      <c r="AN131" s="5" t="str">
        <f>IFERROR(__xludf.DUMMYFUNCTION("""COMPUTED_VALUE"""),"No")</f>
        <v>No</v>
      </c>
      <c r="AO131" s="5" t="str">
        <f>IFERROR(__xludf.DUMMYFUNCTION("""COMPUTED_VALUE"""),"Yes")</f>
        <v>Yes</v>
      </c>
      <c r="AP131" s="5" t="str">
        <f>IFERROR(__xludf.DUMMYFUNCTION("""COMPUTED_VALUE"""),"No")</f>
        <v>No</v>
      </c>
      <c r="AQ131" s="5" t="str">
        <f>IFERROR(__xludf.DUMMYFUNCTION("""COMPUTED_VALUE"""),"No")</f>
        <v>No</v>
      </c>
      <c r="AR131" s="5" t="str">
        <f>IFERROR(__xludf.DUMMYFUNCTION("""COMPUTED_VALUE"""),"No")</f>
        <v>No</v>
      </c>
      <c r="AS131" s="5" t="str">
        <f>IFERROR(__xludf.DUMMYFUNCTION("""COMPUTED_VALUE"""),"Yes")</f>
        <v>Yes</v>
      </c>
      <c r="AT131" s="5" t="str">
        <f>IFERROR(__xludf.DUMMYFUNCTION("""COMPUTED_VALUE"""),"No")</f>
        <v>No</v>
      </c>
      <c r="AU131" s="5"/>
      <c r="AV131" s="5" t="str">
        <f>IFERROR(__xludf.DUMMYFUNCTION("""COMPUTED_VALUE"""),"")</f>
        <v/>
      </c>
      <c r="AW131" s="5" t="str">
        <f>IFERROR(__xludf.DUMMYFUNCTION("""COMPUTED_VALUE"""),"")</f>
        <v/>
      </c>
      <c r="AX131" s="5" t="str">
        <f>IFERROR(__xludf.DUMMYFUNCTION("""COMPUTED_VALUE"""),"")</f>
        <v/>
      </c>
      <c r="AY131" s="5" t="str">
        <f>IFERROR(__xludf.DUMMYFUNCTION("""COMPUTED_VALUE"""),"")</f>
        <v/>
      </c>
      <c r="AZ131" s="5" t="str">
        <f>IFERROR(__xludf.DUMMYFUNCTION("""COMPUTED_VALUE"""),"")</f>
        <v/>
      </c>
      <c r="BA131" s="5" t="str">
        <f>IFERROR(__xludf.DUMMYFUNCTION("""COMPUTED_VALUE"""),"")</f>
        <v/>
      </c>
      <c r="BB131" s="5" t="str">
        <f>IFERROR(__xludf.DUMMYFUNCTION("""COMPUTED_VALUE"""),"")</f>
        <v/>
      </c>
    </row>
    <row r="132">
      <c r="A132" s="5" t="str">
        <f>IFERROR(__xludf.DUMMYFUNCTION("""COMPUTED_VALUE"""),"Redstone")</f>
        <v>Redstone</v>
      </c>
      <c r="B132" s="5" t="str">
        <f>IFERROR(__xludf.DUMMYFUNCTION("""COMPUTED_VALUE"""),"5 Crown Deluxe")</f>
        <v>5 Crown Deluxe</v>
      </c>
      <c r="C132" s="5" t="str">
        <f>IFERROR(__xludf.DUMMYFUNCTION("""COMPUTED_VALUE"""),"Redstone5CrownDeluxe")</f>
        <v>Redstone5CrownDeluxe</v>
      </c>
      <c r="D132" s="6">
        <f>IFERROR(__xludf.DUMMYFUNCTION("""COMPUTED_VALUE"""),46195.0)</f>
        <v>46195</v>
      </c>
      <c r="E132" s="5" t="str">
        <f>IFERROR(__xludf.DUMMYFUNCTION("""COMPUTED_VALUE"""),"Slot")</f>
        <v>Slot</v>
      </c>
      <c r="F132" s="5">
        <f>IFERROR(__xludf.DUMMYFUNCTION("""COMPUTED_VALUE"""),8.3)</f>
        <v>8.3</v>
      </c>
      <c r="G132" s="5" t="str">
        <f>IFERROR(__xludf.DUMMYFUNCTION("""COMPUTED_VALUE"""),"5x3")</f>
        <v>5x3</v>
      </c>
      <c r="H132" s="5">
        <f>IFERROR(__xludf.DUMMYFUNCTION("""COMPUTED_VALUE"""),5.0)</f>
        <v>5</v>
      </c>
      <c r="I132" s="5">
        <f>IFERROR(__xludf.DUMMYFUNCTION("""COMPUTED_VALUE"""),5.0)</f>
        <v>5</v>
      </c>
      <c r="J132" s="5" t="str">
        <f>IFERROR(__xludf.DUMMYFUNCTION("""COMPUTED_VALUE"""),"96.45%")</f>
        <v>96.45%</v>
      </c>
      <c r="K132" s="5" t="str">
        <f>IFERROR(__xludf.DUMMYFUNCTION("""COMPUTED_VALUE"""),"Low")</f>
        <v>Low</v>
      </c>
      <c r="L132" s="5" t="str">
        <f>IFERROR(__xludf.DUMMYFUNCTION("""COMPUTED_VALUE"""),"14.5%")</f>
        <v>14.5%</v>
      </c>
      <c r="M132" s="5" t="str">
        <f>IFERROR(__xludf.DUMMYFUNCTION("""COMPUTED_VALUE"""),"x1222")</f>
        <v>x1222</v>
      </c>
      <c r="N132" s="5" t="str">
        <f>IFERROR(__xludf.DUMMYFUNCTION("""COMPUTED_VALUE"""),"0.10/50")</f>
        <v>0.10/50</v>
      </c>
      <c r="O132" s="5" t="str">
        <f>IFERROR(__xludf.DUMMYFUNCTION("""COMPUTED_VALUE"""),"No")</f>
        <v>No</v>
      </c>
      <c r="P132" s="5" t="str">
        <f>IFERROR(__xludf.DUMMYFUNCTION("""COMPUTED_VALUE"""),"Expanding Wild, Scatter")</f>
        <v>Expanding Wild, Scatter</v>
      </c>
      <c r="Q132" s="7" t="str">
        <f>IFERROR(__xludf.DUMMYFUNCTION("""COMPUTED_VALUE"""),"https://static.redstone.rs/games/5-crown-deluxe/")</f>
        <v>https://static.redstone.rs/games/5-crown-deluxe/</v>
      </c>
      <c r="R132" s="5" t="str">
        <f>IFERROR(__xludf.DUMMYFUNCTION("""COMPUTED_VALUE"""),"Take your spin in 5 Crown Deluxe and play it your way! Fast spins, clear hits, and a classic feel that never gets old.")</f>
        <v>Take your spin in 5 Crown Deluxe and play it your way! Fast spins, clear hits, and a classic feel that never gets old.</v>
      </c>
      <c r="S13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2" s="5" t="str">
        <f>IFERROR(__xludf.DUMMYFUNCTION("""COMPUTED_VALUE"""),"Yes")</f>
        <v>Yes</v>
      </c>
      <c r="U132" s="5" t="str">
        <f>IFERROR(__xludf.DUMMYFUNCTION("""COMPUTED_VALUE"""),"Yes")</f>
        <v>Yes</v>
      </c>
      <c r="V132" s="5" t="str">
        <f>IFERROR(__xludf.DUMMYFUNCTION("""COMPUTED_VALUE"""),"No")</f>
        <v>No</v>
      </c>
      <c r="W132" s="5" t="str">
        <f>IFERROR(__xludf.DUMMYFUNCTION("""COMPUTED_VALUE"""),"Yes")</f>
        <v>Yes</v>
      </c>
      <c r="X132" s="5" t="str">
        <f>IFERROR(__xludf.DUMMYFUNCTION("""COMPUTED_VALUE"""),"Yes")</f>
        <v>Yes</v>
      </c>
      <c r="Y132" s="5" t="str">
        <f>IFERROR(__xludf.DUMMYFUNCTION("""COMPUTED_VALUE"""),"Yes")</f>
        <v>Yes</v>
      </c>
      <c r="Z132" s="5" t="str">
        <f>IFERROR(__xludf.DUMMYFUNCTION("""COMPUTED_VALUE"""),"Yes")</f>
        <v>Yes</v>
      </c>
      <c r="AA132" s="5" t="str">
        <f>IFERROR(__xludf.DUMMYFUNCTION("""COMPUTED_VALUE"""),"Yes")</f>
        <v>Yes</v>
      </c>
      <c r="AB132" s="5" t="str">
        <f>IFERROR(__xludf.DUMMYFUNCTION("""COMPUTED_VALUE"""),"Yes")</f>
        <v>Yes</v>
      </c>
      <c r="AC132" s="5" t="str">
        <f>IFERROR(__xludf.DUMMYFUNCTION("""COMPUTED_VALUE"""),"Yes")</f>
        <v>Yes</v>
      </c>
      <c r="AD132" s="5" t="str">
        <f>IFERROR(__xludf.DUMMYFUNCTION("""COMPUTED_VALUE"""),"Yes")</f>
        <v>Yes</v>
      </c>
      <c r="AE132" s="5" t="str">
        <f>IFERROR(__xludf.DUMMYFUNCTION("""COMPUTED_VALUE"""),"Yes")</f>
        <v>Yes</v>
      </c>
      <c r="AF132" s="5" t="str">
        <f>IFERROR(__xludf.DUMMYFUNCTION("""COMPUTED_VALUE"""),"Yes")</f>
        <v>Yes</v>
      </c>
      <c r="AG132" s="5" t="str">
        <f>IFERROR(__xludf.DUMMYFUNCTION("""COMPUTED_VALUE"""),"Yes")</f>
        <v>Yes</v>
      </c>
      <c r="AH132" s="5" t="str">
        <f>IFERROR(__xludf.DUMMYFUNCTION("""COMPUTED_VALUE"""),"Yes")</f>
        <v>Yes</v>
      </c>
      <c r="AI132" s="5" t="str">
        <f>IFERROR(__xludf.DUMMYFUNCTION("""COMPUTED_VALUE"""),"No")</f>
        <v>No</v>
      </c>
      <c r="AJ132" s="5" t="str">
        <f>IFERROR(__xludf.DUMMYFUNCTION("""COMPUTED_VALUE"""),"No")</f>
        <v>No</v>
      </c>
      <c r="AK132" s="5" t="str">
        <f>IFERROR(__xludf.DUMMYFUNCTION("""COMPUTED_VALUE"""),"No")</f>
        <v>No</v>
      </c>
      <c r="AL132" s="5" t="str">
        <f>IFERROR(__xludf.DUMMYFUNCTION("""COMPUTED_VALUE"""),"No")</f>
        <v>No</v>
      </c>
      <c r="AM132" s="5" t="str">
        <f>IFERROR(__xludf.DUMMYFUNCTION("""COMPUTED_VALUE"""),"No")</f>
        <v>No</v>
      </c>
      <c r="AN132" s="5" t="str">
        <f>IFERROR(__xludf.DUMMYFUNCTION("""COMPUTED_VALUE"""),"No")</f>
        <v>No</v>
      </c>
      <c r="AO132" s="5" t="str">
        <f>IFERROR(__xludf.DUMMYFUNCTION("""COMPUTED_VALUE"""),"Yes")</f>
        <v>Yes</v>
      </c>
      <c r="AP132" s="5" t="str">
        <f>IFERROR(__xludf.DUMMYFUNCTION("""COMPUTED_VALUE"""),"No")</f>
        <v>No</v>
      </c>
      <c r="AQ132" s="5" t="str">
        <f>IFERROR(__xludf.DUMMYFUNCTION("""COMPUTED_VALUE"""),"No")</f>
        <v>No</v>
      </c>
      <c r="AR132" s="5" t="str">
        <f>IFERROR(__xludf.DUMMYFUNCTION("""COMPUTED_VALUE"""),"No")</f>
        <v>No</v>
      </c>
      <c r="AS132" s="5" t="str">
        <f>IFERROR(__xludf.DUMMYFUNCTION("""COMPUTED_VALUE"""),"Yes")</f>
        <v>Yes</v>
      </c>
      <c r="AT132" s="5" t="str">
        <f>IFERROR(__xludf.DUMMYFUNCTION("""COMPUTED_VALUE"""),"No")</f>
        <v>No</v>
      </c>
      <c r="AU132" s="5"/>
      <c r="AV132" s="5" t="str">
        <f>IFERROR(__xludf.DUMMYFUNCTION("""COMPUTED_VALUE"""),"")</f>
        <v/>
      </c>
      <c r="AW132" s="5" t="str">
        <f>IFERROR(__xludf.DUMMYFUNCTION("""COMPUTED_VALUE"""),"")</f>
        <v/>
      </c>
      <c r="AX132" s="5" t="str">
        <f>IFERROR(__xludf.DUMMYFUNCTION("""COMPUTED_VALUE"""),"")</f>
        <v/>
      </c>
      <c r="AY132" s="5" t="str">
        <f>IFERROR(__xludf.DUMMYFUNCTION("""COMPUTED_VALUE"""),"")</f>
        <v/>
      </c>
      <c r="AZ132" s="5" t="str">
        <f>IFERROR(__xludf.DUMMYFUNCTION("""COMPUTED_VALUE"""),"")</f>
        <v/>
      </c>
      <c r="BA132" s="5" t="str">
        <f>IFERROR(__xludf.DUMMYFUNCTION("""COMPUTED_VALUE"""),"")</f>
        <v/>
      </c>
      <c r="BB132" s="5" t="str">
        <f>IFERROR(__xludf.DUMMYFUNCTION("""COMPUTED_VALUE"""),"")</f>
        <v/>
      </c>
    </row>
    <row r="133">
      <c r="A133" s="5" t="str">
        <f>IFERROR(__xludf.DUMMYFUNCTION("""COMPUTED_VALUE"""),"Redstone")</f>
        <v>Redstone</v>
      </c>
      <c r="B133" s="5" t="str">
        <f>IFERROR(__xludf.DUMMYFUNCTION("""COMPUTED_VALUE"""),"Crown Deluxe 2X")</f>
        <v>Crown Deluxe 2X</v>
      </c>
      <c r="C133" s="5" t="str">
        <f>IFERROR(__xludf.DUMMYFUNCTION("""COMPUTED_VALUE"""),"RedstoneCrownDeluxe2X")</f>
        <v>RedstoneCrownDeluxe2X</v>
      </c>
      <c r="D133" s="6">
        <f>IFERROR(__xludf.DUMMYFUNCTION("""COMPUTED_VALUE"""),46203.0)</f>
        <v>46203</v>
      </c>
      <c r="E133" s="5" t="str">
        <f>IFERROR(__xludf.DUMMYFUNCTION("""COMPUTED_VALUE"""),"Slot")</f>
        <v>Slot</v>
      </c>
      <c r="F133" s="5">
        <f>IFERROR(__xludf.DUMMYFUNCTION("""COMPUTED_VALUE"""),8.7)</f>
        <v>8.7</v>
      </c>
      <c r="G133" s="5" t="str">
        <f>IFERROR(__xludf.DUMMYFUNCTION("""COMPUTED_VALUE"""),"5x3")</f>
        <v>5x3</v>
      </c>
      <c r="H133" s="5">
        <f>IFERROR(__xludf.DUMMYFUNCTION("""COMPUTED_VALUE"""),5.0)</f>
        <v>5</v>
      </c>
      <c r="I133" s="5">
        <f>IFERROR(__xludf.DUMMYFUNCTION("""COMPUTED_VALUE"""),5.0)</f>
        <v>5</v>
      </c>
      <c r="J133" s="5" t="str">
        <f>IFERROR(__xludf.DUMMYFUNCTION("""COMPUTED_VALUE"""),"96.45%")</f>
        <v>96.45%</v>
      </c>
      <c r="K133" s="5" t="str">
        <f>IFERROR(__xludf.DUMMYFUNCTION("""COMPUTED_VALUE"""),"Low")</f>
        <v>Low</v>
      </c>
      <c r="L133" s="5" t="str">
        <f>IFERROR(__xludf.DUMMYFUNCTION("""COMPUTED_VALUE"""),"14.23%")</f>
        <v>14.23%</v>
      </c>
      <c r="M133" s="5" t="str">
        <f>IFERROR(__xludf.DUMMYFUNCTION("""COMPUTED_VALUE"""),"x2624")</f>
        <v>x2624</v>
      </c>
      <c r="N133" s="5" t="str">
        <f>IFERROR(__xludf.DUMMYFUNCTION("""COMPUTED_VALUE"""),"0.10/50")</f>
        <v>0.10/50</v>
      </c>
      <c r="O133" s="5" t="str">
        <f>IFERROR(__xludf.DUMMYFUNCTION("""COMPUTED_VALUE"""),"No")</f>
        <v>No</v>
      </c>
      <c r="P133" s="5" t="str">
        <f>IFERROR(__xludf.DUMMYFUNCTION("""COMPUTED_VALUE"""),"Expanding Wild, Scatter")</f>
        <v>Expanding Wild, Scatter</v>
      </c>
      <c r="Q133" s="7" t="str">
        <f>IFERROR(__xludf.DUMMYFUNCTION("""COMPUTED_VALUE"""),"https://static.redstone.rs/games/crown-deluxe-2x/")</f>
        <v>https://static.redstone.rs/games/crown-deluxe-2x/</v>
      </c>
      <c r="R133" s="5" t="str">
        <f>IFERROR(__xludf.DUMMYFUNCTION("""COMPUTED_VALUE"""),"Keep spinning and wait for the crown to land. In Crown Deluxe 2X, one moment is enough to double your win instantly.")</f>
        <v>Keep spinning and wait for the crown to land. In Crown Deluxe 2X, one moment is enough to double your win instantly.</v>
      </c>
      <c r="S13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3" s="5" t="str">
        <f>IFERROR(__xludf.DUMMYFUNCTION("""COMPUTED_VALUE"""),"Yes")</f>
        <v>Yes</v>
      </c>
      <c r="U133" s="5" t="str">
        <f>IFERROR(__xludf.DUMMYFUNCTION("""COMPUTED_VALUE"""),"Yes")</f>
        <v>Yes</v>
      </c>
      <c r="V133" s="5" t="str">
        <f>IFERROR(__xludf.DUMMYFUNCTION("""COMPUTED_VALUE"""),"No")</f>
        <v>No</v>
      </c>
      <c r="W133" s="5" t="str">
        <f>IFERROR(__xludf.DUMMYFUNCTION("""COMPUTED_VALUE"""),"Yes")</f>
        <v>Yes</v>
      </c>
      <c r="X133" s="5" t="str">
        <f>IFERROR(__xludf.DUMMYFUNCTION("""COMPUTED_VALUE"""),"Yes")</f>
        <v>Yes</v>
      </c>
      <c r="Y133" s="5" t="str">
        <f>IFERROR(__xludf.DUMMYFUNCTION("""COMPUTED_VALUE"""),"Yes")</f>
        <v>Yes</v>
      </c>
      <c r="Z133" s="5" t="str">
        <f>IFERROR(__xludf.DUMMYFUNCTION("""COMPUTED_VALUE"""),"Yes")</f>
        <v>Yes</v>
      </c>
      <c r="AA133" s="5" t="str">
        <f>IFERROR(__xludf.DUMMYFUNCTION("""COMPUTED_VALUE"""),"Yes")</f>
        <v>Yes</v>
      </c>
      <c r="AB133" s="5" t="str">
        <f>IFERROR(__xludf.DUMMYFUNCTION("""COMPUTED_VALUE"""),"Yes")</f>
        <v>Yes</v>
      </c>
      <c r="AC133" s="5" t="str">
        <f>IFERROR(__xludf.DUMMYFUNCTION("""COMPUTED_VALUE"""),"Yes")</f>
        <v>Yes</v>
      </c>
      <c r="AD133" s="5" t="str">
        <f>IFERROR(__xludf.DUMMYFUNCTION("""COMPUTED_VALUE"""),"Yes")</f>
        <v>Yes</v>
      </c>
      <c r="AE133" s="5" t="str">
        <f>IFERROR(__xludf.DUMMYFUNCTION("""COMPUTED_VALUE"""),"Yes")</f>
        <v>Yes</v>
      </c>
      <c r="AF133" s="5" t="str">
        <f>IFERROR(__xludf.DUMMYFUNCTION("""COMPUTED_VALUE"""),"Yes")</f>
        <v>Yes</v>
      </c>
      <c r="AG133" s="5" t="str">
        <f>IFERROR(__xludf.DUMMYFUNCTION("""COMPUTED_VALUE"""),"Yes")</f>
        <v>Yes</v>
      </c>
      <c r="AH133" s="5" t="str">
        <f>IFERROR(__xludf.DUMMYFUNCTION("""COMPUTED_VALUE"""),"Yes")</f>
        <v>Yes</v>
      </c>
      <c r="AI133" s="5" t="str">
        <f>IFERROR(__xludf.DUMMYFUNCTION("""COMPUTED_VALUE"""),"No")</f>
        <v>No</v>
      </c>
      <c r="AJ133" s="5" t="str">
        <f>IFERROR(__xludf.DUMMYFUNCTION("""COMPUTED_VALUE"""),"No")</f>
        <v>No</v>
      </c>
      <c r="AK133" s="5" t="str">
        <f>IFERROR(__xludf.DUMMYFUNCTION("""COMPUTED_VALUE"""),"No")</f>
        <v>No</v>
      </c>
      <c r="AL133" s="5" t="str">
        <f>IFERROR(__xludf.DUMMYFUNCTION("""COMPUTED_VALUE"""),"No")</f>
        <v>No</v>
      </c>
      <c r="AM133" s="5" t="str">
        <f>IFERROR(__xludf.DUMMYFUNCTION("""COMPUTED_VALUE"""),"No")</f>
        <v>No</v>
      </c>
      <c r="AN133" s="5" t="str">
        <f>IFERROR(__xludf.DUMMYFUNCTION("""COMPUTED_VALUE"""),"No")</f>
        <v>No</v>
      </c>
      <c r="AO133" s="5" t="str">
        <f>IFERROR(__xludf.DUMMYFUNCTION("""COMPUTED_VALUE"""),"Yes")</f>
        <v>Yes</v>
      </c>
      <c r="AP133" s="5" t="str">
        <f>IFERROR(__xludf.DUMMYFUNCTION("""COMPUTED_VALUE"""),"No")</f>
        <v>No</v>
      </c>
      <c r="AQ133" s="5" t="str">
        <f>IFERROR(__xludf.DUMMYFUNCTION("""COMPUTED_VALUE"""),"No")</f>
        <v>No</v>
      </c>
      <c r="AR133" s="5" t="str">
        <f>IFERROR(__xludf.DUMMYFUNCTION("""COMPUTED_VALUE"""),"No")</f>
        <v>No</v>
      </c>
      <c r="AS133" s="5" t="str">
        <f>IFERROR(__xludf.DUMMYFUNCTION("""COMPUTED_VALUE"""),"Yes")</f>
        <v>Yes</v>
      </c>
      <c r="AT133" s="5" t="str">
        <f>IFERROR(__xludf.DUMMYFUNCTION("""COMPUTED_VALUE"""),"No")</f>
        <v>No</v>
      </c>
      <c r="AU133" s="5"/>
      <c r="AV133" s="5" t="str">
        <f>IFERROR(__xludf.DUMMYFUNCTION("""COMPUTED_VALUE"""),"")</f>
        <v/>
      </c>
      <c r="AW133" s="5" t="str">
        <f>IFERROR(__xludf.DUMMYFUNCTION("""COMPUTED_VALUE"""),"")</f>
        <v/>
      </c>
      <c r="AX133" s="5" t="str">
        <f>IFERROR(__xludf.DUMMYFUNCTION("""COMPUTED_VALUE"""),"")</f>
        <v/>
      </c>
      <c r="AY133" s="5" t="str">
        <f>IFERROR(__xludf.DUMMYFUNCTION("""COMPUTED_VALUE"""),"")</f>
        <v/>
      </c>
      <c r="AZ133" s="5" t="str">
        <f>IFERROR(__xludf.DUMMYFUNCTION("""COMPUTED_VALUE"""),"")</f>
        <v/>
      </c>
      <c r="BA133" s="5" t="str">
        <f>IFERROR(__xludf.DUMMYFUNCTION("""COMPUTED_VALUE"""),"")</f>
        <v/>
      </c>
      <c r="BB133" s="5" t="str">
        <f>IFERROR(__xludf.DUMMYFUNCTION("""COMPUTED_VALUE"""),"")</f>
        <v/>
      </c>
    </row>
    <row r="134">
      <c r="A134" s="5" t="str">
        <f>IFERROR(__xludf.DUMMYFUNCTION("""COMPUTED_VALUE"""),"Redstone")</f>
        <v>Redstone</v>
      </c>
      <c r="B134" s="5" t="str">
        <f>IFERROR(__xludf.DUMMYFUNCTION("""COMPUTED_VALUE"""),"X Chilli Hot")</f>
        <v>X Chilli Hot</v>
      </c>
      <c r="C134" s="5" t="str">
        <f>IFERROR(__xludf.DUMMYFUNCTION("""COMPUTED_VALUE"""),"RedstoneXChilliHot")</f>
        <v>RedstoneXChilliHot</v>
      </c>
      <c r="D134" s="6">
        <f>IFERROR(__xludf.DUMMYFUNCTION("""COMPUTED_VALUE"""),46224.0)</f>
        <v>46224</v>
      </c>
      <c r="E134" s="5" t="str">
        <f>IFERROR(__xludf.DUMMYFUNCTION("""COMPUTED_VALUE"""),"Slot")</f>
        <v>Slot</v>
      </c>
      <c r="F134" s="5">
        <f>IFERROR(__xludf.DUMMYFUNCTION("""COMPUTED_VALUE"""),7.3)</f>
        <v>7.3</v>
      </c>
      <c r="G134" s="5" t="str">
        <f>IFERROR(__xludf.DUMMYFUNCTION("""COMPUTED_VALUE"""),"5x3")</f>
        <v>5x3</v>
      </c>
      <c r="H134" s="5">
        <f>IFERROR(__xludf.DUMMYFUNCTION("""COMPUTED_VALUE"""),5.0)</f>
        <v>5</v>
      </c>
      <c r="I134" s="5">
        <f>IFERROR(__xludf.DUMMYFUNCTION("""COMPUTED_VALUE"""),5.0)</f>
        <v>5</v>
      </c>
      <c r="J134" s="5" t="str">
        <f>IFERROR(__xludf.DUMMYFUNCTION("""COMPUTED_VALUE"""),"95.96%")</f>
        <v>95.96%</v>
      </c>
      <c r="K134" s="5" t="str">
        <f>IFERROR(__xludf.DUMMYFUNCTION("""COMPUTED_VALUE"""),"Low")</f>
        <v>Low</v>
      </c>
      <c r="L134" s="5" t="str">
        <f>IFERROR(__xludf.DUMMYFUNCTION("""COMPUTED_VALUE"""),"10.7%")</f>
        <v>10.7%</v>
      </c>
      <c r="M134" s="5" t="str">
        <f>IFERROR(__xludf.DUMMYFUNCTION("""COMPUTED_VALUE"""),"x2150")</f>
        <v>x2150</v>
      </c>
      <c r="N134" s="5" t="str">
        <f>IFERROR(__xludf.DUMMYFUNCTION("""COMPUTED_VALUE"""),"0.10/50")</f>
        <v>0.10/50</v>
      </c>
      <c r="O134" s="5" t="str">
        <f>IFERROR(__xludf.DUMMYFUNCTION("""COMPUTED_VALUE"""),"No")</f>
        <v>No</v>
      </c>
      <c r="P134" s="5" t="str">
        <f>IFERROR(__xludf.DUMMYFUNCTION("""COMPUTED_VALUE"""),"Expanding Wild, Scatter")</f>
        <v>Expanding Wild, Scatter</v>
      </c>
      <c r="Q134" s="7" t="str">
        <f>IFERROR(__xludf.DUMMYFUNCTION("""COMPUTED_VALUE"""),"https://static.redstone.rs/games/x-chilli-hot/")</f>
        <v>https://static.redstone.rs/games/x-chilli-hot/</v>
      </c>
      <c r="R134" s="5" t="str">
        <f>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S13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IFERROR(__xludf.DUMMYFUNCTION("""COMPUTED_VALUE"""),"Yes")</f>
        <v>Yes</v>
      </c>
      <c r="AA134" s="5" t="str">
        <f>IFERROR(__xludf.DUMMYFUNCTION("""COMPUTED_VALUE"""),"Yes")</f>
        <v>Yes</v>
      </c>
      <c r="AB134" s="5" t="str">
        <f>IFERROR(__xludf.DUMMYFUNCTION("""COMPUTED_VALUE"""),"Yes")</f>
        <v>Yes</v>
      </c>
      <c r="AC134" s="5" t="str">
        <f>IFERROR(__xludf.DUMMYFUNCTION("""COMPUTED_VALUE"""),"Yes")</f>
        <v>Yes</v>
      </c>
      <c r="AD134" s="5" t="str">
        <f>IFERROR(__xludf.DUMMYFUNCTION("""COMPUTED_VALUE"""),"Yes")</f>
        <v>Yes</v>
      </c>
      <c r="AE134" s="5" t="str">
        <f>IFERROR(__xludf.DUMMYFUNCTION("""COMPUTED_VALUE"""),"Yes")</f>
        <v>Yes</v>
      </c>
      <c r="AF134" s="5" t="str">
        <f>IFERROR(__xludf.DUMMYFUNCTION("""COMPUTED_VALUE"""),"Yes")</f>
        <v>Yes</v>
      </c>
      <c r="AG134" s="5" t="str">
        <f>IFERROR(__xludf.DUMMYFUNCTION("""COMPUTED_VALUE"""),"Yes")</f>
        <v>Yes</v>
      </c>
      <c r="AH134" s="5" t="str">
        <f>IFERROR(__xludf.DUMMYFUNCTION("""COMPUTED_VALUE"""),"Yes")</f>
        <v>Yes</v>
      </c>
      <c r="AI134" s="5" t="str">
        <f>IFERROR(__xludf.DUMMYFUNCTION("""COMPUTED_VALUE"""),"No")</f>
        <v>No</v>
      </c>
      <c r="AJ134" s="5" t="str">
        <f>IFERROR(__xludf.DUMMYFUNCTION("""COMPUTED_VALUE"""),"No")</f>
        <v>No</v>
      </c>
      <c r="AK134" s="5" t="str">
        <f>IFERROR(__xludf.DUMMYFUNCTION("""COMPUTED_VALUE"""),"No")</f>
        <v>No</v>
      </c>
      <c r="AL134" s="5" t="str">
        <f>IFERROR(__xludf.DUMMYFUNCTION("""COMPUTED_VALUE"""),"No")</f>
        <v>No</v>
      </c>
      <c r="AM134" s="5" t="str">
        <f>IFERROR(__xludf.DUMMYFUNCTION("""COMPUTED_VALUE"""),"No")</f>
        <v>No</v>
      </c>
      <c r="AN134" s="5" t="str">
        <f>IFERROR(__xludf.DUMMYFUNCTION("""COMPUTED_VALUE"""),"No")</f>
        <v>No</v>
      </c>
      <c r="AO134" s="5" t="str">
        <f>IFERROR(__xludf.DUMMYFUNCTION("""COMPUTED_VALUE"""),"Yes")</f>
        <v>Yes</v>
      </c>
      <c r="AP134" s="5" t="str">
        <f>IFERROR(__xludf.DUMMYFUNCTION("""COMPUTED_VALUE"""),"No")</f>
        <v>No</v>
      </c>
      <c r="AQ134" s="5" t="str">
        <f>IFERROR(__xludf.DUMMYFUNCTION("""COMPUTED_VALUE"""),"No")</f>
        <v>No</v>
      </c>
      <c r="AR134" s="5" t="str">
        <f>IFERROR(__xludf.DUMMYFUNCTION("""COMPUTED_VALUE"""),"No")</f>
        <v>No</v>
      </c>
      <c r="AS134" s="5" t="str">
        <f>IFERROR(__xludf.DUMMYFUNCTION("""COMPUTED_VALUE"""),"Yes")</f>
        <v>Yes</v>
      </c>
      <c r="AT134" s="5" t="str">
        <f>IFERROR(__xludf.DUMMYFUNCTION("""COMPUTED_VALUE"""),"No")</f>
        <v>No</v>
      </c>
      <c r="AU134" s="5"/>
      <c r="AV134" s="5" t="str">
        <f>IFERROR(__xludf.DUMMYFUNCTION("""COMPUTED_VALUE"""),"")</f>
        <v/>
      </c>
      <c r="AW134" s="5" t="str">
        <f>IFERROR(__xludf.DUMMYFUNCTION("""COMPUTED_VALUE"""),"")</f>
        <v/>
      </c>
      <c r="AX134" s="5" t="str">
        <f>IFERROR(__xludf.DUMMYFUNCTION("""COMPUTED_VALUE"""),"")</f>
        <v/>
      </c>
      <c r="AY134" s="5" t="str">
        <f>IFERROR(__xludf.DUMMYFUNCTION("""COMPUTED_VALUE"""),"")</f>
        <v/>
      </c>
      <c r="AZ134" s="5" t="str">
        <f>IFERROR(__xludf.DUMMYFUNCTION("""COMPUTED_VALUE"""),"")</f>
        <v/>
      </c>
      <c r="BA134" s="5" t="str">
        <f>IFERROR(__xludf.DUMMYFUNCTION("""COMPUTED_VALUE"""),"")</f>
        <v/>
      </c>
      <c r="BB134" s="5" t="str">
        <f>IFERROR(__xludf.DUMMYFUNCTION("""COMPUTED_VALUE"""),"")</f>
        <v/>
      </c>
    </row>
    <row r="135">
      <c r="A135" s="5" t="str">
        <f>IFERROR(__xludf.DUMMYFUNCTION("""COMPUTED_VALUE"""),"Redstone")</f>
        <v>Redstone</v>
      </c>
      <c r="B135" s="5" t="str">
        <f>IFERROR(__xludf.DUMMYFUNCTION("""COMPUTED_VALUE"""),"X Crown Fire")</f>
        <v>X Crown Fire</v>
      </c>
      <c r="C135" s="5" t="str">
        <f>IFERROR(__xludf.DUMMYFUNCTION("""COMPUTED_VALUE"""),"RedstoneXCrownFire")</f>
        <v>RedstoneXCrownFire</v>
      </c>
      <c r="D135" s="6">
        <f>IFERROR(__xludf.DUMMYFUNCTION("""COMPUTED_VALUE"""),46240.0)</f>
        <v>46240</v>
      </c>
      <c r="E135" s="5" t="str">
        <f>IFERROR(__xludf.DUMMYFUNCTION("""COMPUTED_VALUE"""),"Slot")</f>
        <v>Slot</v>
      </c>
      <c r="F135" s="5">
        <f>IFERROR(__xludf.DUMMYFUNCTION("""COMPUTED_VALUE"""),7.1)</f>
        <v>7.1</v>
      </c>
      <c r="G135" s="5" t="str">
        <f>IFERROR(__xludf.DUMMYFUNCTION("""COMPUTED_VALUE"""),"5x3")</f>
        <v>5x3</v>
      </c>
      <c r="H135" s="5">
        <f>IFERROR(__xludf.DUMMYFUNCTION("""COMPUTED_VALUE"""),5.0)</f>
        <v>5</v>
      </c>
      <c r="I135" s="5">
        <f>IFERROR(__xludf.DUMMYFUNCTION("""COMPUTED_VALUE"""),5.0)</f>
        <v>5</v>
      </c>
      <c r="J135" s="5" t="str">
        <f>IFERROR(__xludf.DUMMYFUNCTION("""COMPUTED_VALUE"""),"95.96%")</f>
        <v>95.96%</v>
      </c>
      <c r="K135" s="5" t="str">
        <f>IFERROR(__xludf.DUMMYFUNCTION("""COMPUTED_VALUE"""),"Low")</f>
        <v>Low</v>
      </c>
      <c r="L135" s="5" t="str">
        <f>IFERROR(__xludf.DUMMYFUNCTION("""COMPUTED_VALUE"""),"10.7%")</f>
        <v>10.7%</v>
      </c>
      <c r="M135" s="5" t="str">
        <f>IFERROR(__xludf.DUMMYFUNCTION("""COMPUTED_VALUE"""),"x2150")</f>
        <v>x2150</v>
      </c>
      <c r="N135" s="5" t="str">
        <f>IFERROR(__xludf.DUMMYFUNCTION("""COMPUTED_VALUE"""),"0.10/50")</f>
        <v>0.10/50</v>
      </c>
      <c r="O135" s="5" t="str">
        <f>IFERROR(__xludf.DUMMYFUNCTION("""COMPUTED_VALUE"""),"No")</f>
        <v>No</v>
      </c>
      <c r="P135" s="5" t="str">
        <f>IFERROR(__xludf.DUMMYFUNCTION("""COMPUTED_VALUE"""),"Expanding Wild, Scatter")</f>
        <v>Expanding Wild, Scatter</v>
      </c>
      <c r="Q135" s="7" t="str">
        <f>IFERROR(__xludf.DUMMYFUNCTION("""COMPUTED_VALUE"""),"https://static.redstone.rs/games/x-crown-fire/")</f>
        <v>https://static.redstone.rs/games/x-crown-fire/</v>
      </c>
      <c r="R135" s="5" t="str">
        <f>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S13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IFERROR(__xludf.DUMMYFUNCTION("""COMPUTED_VALUE"""),"Yes")</f>
        <v>Yes</v>
      </c>
      <c r="AF135" s="5" t="str">
        <f>IFERROR(__xludf.DUMMYFUNCTION("""COMPUTED_VALUE"""),"Yes")</f>
        <v>Yes</v>
      </c>
      <c r="AG135" s="5" t="str">
        <f>IFERROR(__xludf.DUMMYFUNCTION("""COMPUTED_VALUE"""),"Yes")</f>
        <v>Yes</v>
      </c>
      <c r="AH135" s="5" t="str">
        <f>IFERROR(__xludf.DUMMYFUNCTION("""COMPUTED_VALUE"""),"Yes")</f>
        <v>Yes</v>
      </c>
      <c r="AI135" s="5" t="str">
        <f>IFERROR(__xludf.DUMMYFUNCTION("""COMPUTED_VALUE"""),"No")</f>
        <v>No</v>
      </c>
      <c r="AJ135" s="5" t="str">
        <f>IFERROR(__xludf.DUMMYFUNCTION("""COMPUTED_VALUE"""),"No")</f>
        <v>No</v>
      </c>
      <c r="AK135" s="5" t="str">
        <f>IFERROR(__xludf.DUMMYFUNCTION("""COMPUTED_VALUE"""),"No")</f>
        <v>No</v>
      </c>
      <c r="AL135" s="5" t="str">
        <f>IFERROR(__xludf.DUMMYFUNCTION("""COMPUTED_VALUE"""),"No")</f>
        <v>No</v>
      </c>
      <c r="AM135" s="5" t="str">
        <f>IFERROR(__xludf.DUMMYFUNCTION("""COMPUTED_VALUE"""),"No")</f>
        <v>No</v>
      </c>
      <c r="AN135" s="5" t="str">
        <f>IFERROR(__xludf.DUMMYFUNCTION("""COMPUTED_VALUE"""),"No")</f>
        <v>No</v>
      </c>
      <c r="AO135" s="5" t="str">
        <f>IFERROR(__xludf.DUMMYFUNCTION("""COMPUTED_VALUE"""),"Yes")</f>
        <v>Yes</v>
      </c>
      <c r="AP135" s="5" t="str">
        <f>IFERROR(__xludf.DUMMYFUNCTION("""COMPUTED_VALUE"""),"No")</f>
        <v>No</v>
      </c>
      <c r="AQ135" s="5" t="str">
        <f>IFERROR(__xludf.DUMMYFUNCTION("""COMPUTED_VALUE"""),"No")</f>
        <v>No</v>
      </c>
      <c r="AR135" s="5" t="str">
        <f>IFERROR(__xludf.DUMMYFUNCTION("""COMPUTED_VALUE"""),"No")</f>
        <v>No</v>
      </c>
      <c r="AS135" s="5" t="str">
        <f>IFERROR(__xludf.DUMMYFUNCTION("""COMPUTED_VALUE"""),"Yes")</f>
        <v>Yes</v>
      </c>
      <c r="AT135" s="5" t="str">
        <f>IFERROR(__xludf.DUMMYFUNCTION("""COMPUTED_VALUE"""),"No")</f>
        <v>No</v>
      </c>
      <c r="AU135" s="5"/>
      <c r="AV135" s="5" t="str">
        <f>IFERROR(__xludf.DUMMYFUNCTION("""COMPUTED_VALUE"""),"")</f>
        <v/>
      </c>
      <c r="AW135" s="5" t="str">
        <f>IFERROR(__xludf.DUMMYFUNCTION("""COMPUTED_VALUE"""),"")</f>
        <v/>
      </c>
      <c r="AX135" s="5" t="str">
        <f>IFERROR(__xludf.DUMMYFUNCTION("""COMPUTED_VALUE"""),"")</f>
        <v/>
      </c>
      <c r="AY135" s="5" t="str">
        <f>IFERROR(__xludf.DUMMYFUNCTION("""COMPUTED_VALUE"""),"")</f>
        <v/>
      </c>
      <c r="AZ135" s="5" t="str">
        <f>IFERROR(__xludf.DUMMYFUNCTION("""COMPUTED_VALUE"""),"")</f>
        <v/>
      </c>
      <c r="BA135" s="5" t="str">
        <f>IFERROR(__xludf.DUMMYFUNCTION("""COMPUTED_VALUE"""),"")</f>
        <v/>
      </c>
      <c r="BB135" s="5" t="str">
        <f>IFERROR(__xludf.DUMMYFUNCTION("""COMPUTED_VALUE"""),"")</f>
        <v/>
      </c>
    </row>
    <row r="136">
      <c r="A136" s="5" t="str">
        <f>IFERROR(__xludf.DUMMYFUNCTION("""COMPUTED_VALUE"""),"Redstone")</f>
        <v>Redstone</v>
      </c>
      <c r="B136" s="5" t="str">
        <f>IFERROR(__xludf.DUMMYFUNCTION("""COMPUTED_VALUE"""),"10 Clover Deluxe")</f>
        <v>10 Clover Deluxe</v>
      </c>
      <c r="C136" s="5" t="str">
        <f>IFERROR(__xludf.DUMMYFUNCTION("""COMPUTED_VALUE"""),"Redstone10CloverDeluxe")</f>
        <v>Redstone10CloverDeluxe</v>
      </c>
      <c r="D136" s="6">
        <f>IFERROR(__xludf.DUMMYFUNCTION("""COMPUTED_VALUE"""),46212.0)</f>
        <v>46212</v>
      </c>
      <c r="E136" s="5" t="str">
        <f>IFERROR(__xludf.DUMMYFUNCTION("""COMPUTED_VALUE"""),"Slot")</f>
        <v>Slot</v>
      </c>
      <c r="F136" s="5">
        <f>IFERROR(__xludf.DUMMYFUNCTION("""COMPUTED_VALUE"""),7.9)</f>
        <v>7.9</v>
      </c>
      <c r="G136" s="5" t="str">
        <f>IFERROR(__xludf.DUMMYFUNCTION("""COMPUTED_VALUE"""),"5x3")</f>
        <v>5x3</v>
      </c>
      <c r="H136" s="5">
        <f>IFERROR(__xludf.DUMMYFUNCTION("""COMPUTED_VALUE"""),10.0)</f>
        <v>10</v>
      </c>
      <c r="I136" s="5">
        <f>IFERROR(__xludf.DUMMYFUNCTION("""COMPUTED_VALUE"""),10.0)</f>
        <v>10</v>
      </c>
      <c r="J136" s="5" t="str">
        <f>IFERROR(__xludf.DUMMYFUNCTION("""COMPUTED_VALUE"""),"95.96%")</f>
        <v>95.96%</v>
      </c>
      <c r="K136" s="5" t="str">
        <f>IFERROR(__xludf.DUMMYFUNCTION("""COMPUTED_VALUE"""),"Medium")</f>
        <v>Medium</v>
      </c>
      <c r="L136" s="5" t="str">
        <f>IFERROR(__xludf.DUMMYFUNCTION("""COMPUTED_VALUE"""),"14.63%")</f>
        <v>14.63%</v>
      </c>
      <c r="M136" s="5" t="str">
        <f>IFERROR(__xludf.DUMMYFUNCTION("""COMPUTED_VALUE"""),"x1538")</f>
        <v>x1538</v>
      </c>
      <c r="N136" s="5" t="str">
        <f>IFERROR(__xludf.DUMMYFUNCTION("""COMPUTED_VALUE"""),"0.10/50")</f>
        <v>0.10/50</v>
      </c>
      <c r="O136" s="5" t="str">
        <f>IFERROR(__xludf.DUMMYFUNCTION("""COMPUTED_VALUE"""),"No")</f>
        <v>No</v>
      </c>
      <c r="P136" s="5" t="str">
        <f>IFERROR(__xludf.DUMMYFUNCTION("""COMPUTED_VALUE"""),"Expanding Wild, Scatter")</f>
        <v>Expanding Wild, Scatter</v>
      </c>
      <c r="Q136" s="7" t="str">
        <f>IFERROR(__xludf.DUMMYFUNCTION("""COMPUTED_VALUE"""),"https://static.redstone.rs/games/10-clover-deluxe/")</f>
        <v>https://static.redstone.rs/games/10-clover-deluxe/</v>
      </c>
      <c r="R136" s="5" t="str">
        <f>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S13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IFERROR(__xludf.DUMMYFUNCTION("""COMPUTED_VALUE"""),"Yes")</f>
        <v>Yes</v>
      </c>
      <c r="AF136" s="5" t="str">
        <f>IFERROR(__xludf.DUMMYFUNCTION("""COMPUTED_VALUE"""),"Yes")</f>
        <v>Yes</v>
      </c>
      <c r="AG136" s="5" t="str">
        <f>IFERROR(__xludf.DUMMYFUNCTION("""COMPUTED_VALUE"""),"Yes")</f>
        <v>Yes</v>
      </c>
      <c r="AH136" s="5" t="str">
        <f>IFERROR(__xludf.DUMMYFUNCTION("""COMPUTED_VALUE"""),"Yes")</f>
        <v>Yes</v>
      </c>
      <c r="AI136" s="5" t="str">
        <f>IFERROR(__xludf.DUMMYFUNCTION("""COMPUTED_VALUE"""),"No")</f>
        <v>No</v>
      </c>
      <c r="AJ136" s="5" t="str">
        <f>IFERROR(__xludf.DUMMYFUNCTION("""COMPUTED_VALUE"""),"No")</f>
        <v>No</v>
      </c>
      <c r="AK136" s="5" t="str">
        <f>IFERROR(__xludf.DUMMYFUNCTION("""COMPUTED_VALUE"""),"No")</f>
        <v>No</v>
      </c>
      <c r="AL136" s="5" t="str">
        <f>IFERROR(__xludf.DUMMYFUNCTION("""COMPUTED_VALUE"""),"No")</f>
        <v>No</v>
      </c>
      <c r="AM136" s="5" t="str">
        <f>IFERROR(__xludf.DUMMYFUNCTION("""COMPUTED_VALUE"""),"No")</f>
        <v>No</v>
      </c>
      <c r="AN136" s="5" t="str">
        <f>IFERROR(__xludf.DUMMYFUNCTION("""COMPUTED_VALUE"""),"No")</f>
        <v>No</v>
      </c>
      <c r="AO136" s="5" t="str">
        <f>IFERROR(__xludf.DUMMYFUNCTION("""COMPUTED_VALUE"""),"Yes")</f>
        <v>Yes</v>
      </c>
      <c r="AP136" s="5" t="str">
        <f>IFERROR(__xludf.DUMMYFUNCTION("""COMPUTED_VALUE"""),"No")</f>
        <v>No</v>
      </c>
      <c r="AQ136" s="5" t="str">
        <f>IFERROR(__xludf.DUMMYFUNCTION("""COMPUTED_VALUE"""),"No")</f>
        <v>No</v>
      </c>
      <c r="AR136" s="5" t="str">
        <f>IFERROR(__xludf.DUMMYFUNCTION("""COMPUTED_VALUE"""),"No")</f>
        <v>No</v>
      </c>
      <c r="AS136" s="5" t="str">
        <f>IFERROR(__xludf.DUMMYFUNCTION("""COMPUTED_VALUE"""),"Yes")</f>
        <v>Yes</v>
      </c>
      <c r="AT136" s="5" t="str">
        <f>IFERROR(__xludf.DUMMYFUNCTION("""COMPUTED_VALUE"""),"No")</f>
        <v>No</v>
      </c>
      <c r="AU136" s="5"/>
      <c r="AV136" s="5" t="str">
        <f>IFERROR(__xludf.DUMMYFUNCTION("""COMPUTED_VALUE"""),"")</f>
        <v/>
      </c>
      <c r="AW136" s="5" t="str">
        <f>IFERROR(__xludf.DUMMYFUNCTION("""COMPUTED_VALUE"""),"")</f>
        <v/>
      </c>
      <c r="AX136" s="5" t="str">
        <f>IFERROR(__xludf.DUMMYFUNCTION("""COMPUTED_VALUE"""),"")</f>
        <v/>
      </c>
      <c r="AY136" s="5" t="str">
        <f>IFERROR(__xludf.DUMMYFUNCTION("""COMPUTED_VALUE"""),"")</f>
        <v/>
      </c>
      <c r="AZ136" s="5" t="str">
        <f>IFERROR(__xludf.DUMMYFUNCTION("""COMPUTED_VALUE"""),"")</f>
        <v/>
      </c>
      <c r="BA136" s="5" t="str">
        <f>IFERROR(__xludf.DUMMYFUNCTION("""COMPUTED_VALUE"""),"")</f>
        <v/>
      </c>
      <c r="BB136" s="5" t="str">
        <f>IFERROR(__xludf.DUMMYFUNCTION("""COMPUTED_VALUE"""),"")</f>
        <v/>
      </c>
    </row>
    <row r="137">
      <c r="A137" s="5" t="str">
        <f>IFERROR(__xludf.DUMMYFUNCTION("""COMPUTED_VALUE"""),"Redstone")</f>
        <v>Redstone</v>
      </c>
      <c r="B137" s="5" t="str">
        <f>IFERROR(__xludf.DUMMYFUNCTION("""COMPUTED_VALUE"""),"10 Crown Deluxe")</f>
        <v>10 Crown Deluxe</v>
      </c>
      <c r="C137" s="5" t="str">
        <f>IFERROR(__xludf.DUMMYFUNCTION("""COMPUTED_VALUE"""),"Redstone10CrownDeluxe")</f>
        <v>Redstone10CrownDeluxe</v>
      </c>
      <c r="D137" s="6">
        <f>IFERROR(__xludf.DUMMYFUNCTION("""COMPUTED_VALUE"""),46266.0)</f>
        <v>46266</v>
      </c>
      <c r="E137" s="5" t="str">
        <f>IFERROR(__xludf.DUMMYFUNCTION("""COMPUTED_VALUE"""),"Slot")</f>
        <v>Slot</v>
      </c>
      <c r="F137" s="5">
        <f>IFERROR(__xludf.DUMMYFUNCTION("""COMPUTED_VALUE"""),7.8)</f>
        <v>7.8</v>
      </c>
      <c r="G137" s="5" t="str">
        <f>IFERROR(__xludf.DUMMYFUNCTION("""COMPUTED_VALUE"""),"5x3")</f>
        <v>5x3</v>
      </c>
      <c r="H137" s="5">
        <f>IFERROR(__xludf.DUMMYFUNCTION("""COMPUTED_VALUE"""),10.0)</f>
        <v>10</v>
      </c>
      <c r="I137" s="5">
        <f>IFERROR(__xludf.DUMMYFUNCTION("""COMPUTED_VALUE"""),10.0)</f>
        <v>10</v>
      </c>
      <c r="J137" s="5" t="str">
        <f>IFERROR(__xludf.DUMMYFUNCTION("""COMPUTED_VALUE"""),"95.96%")</f>
        <v>95.96%</v>
      </c>
      <c r="K137" s="5" t="str">
        <f>IFERROR(__xludf.DUMMYFUNCTION("""COMPUTED_VALUE"""),"Medium")</f>
        <v>Medium</v>
      </c>
      <c r="L137" s="5" t="str">
        <f>IFERROR(__xludf.DUMMYFUNCTION("""COMPUTED_VALUE"""),"14.63%")</f>
        <v>14.63%</v>
      </c>
      <c r="M137" s="5" t="str">
        <f>IFERROR(__xludf.DUMMYFUNCTION("""COMPUTED_VALUE"""),"x1538")</f>
        <v>x1538</v>
      </c>
      <c r="N137" s="5" t="str">
        <f>IFERROR(__xludf.DUMMYFUNCTION("""COMPUTED_VALUE"""),"0.10/50")</f>
        <v>0.10/50</v>
      </c>
      <c r="O137" s="5" t="str">
        <f>IFERROR(__xludf.DUMMYFUNCTION("""COMPUTED_VALUE"""),"No")</f>
        <v>No</v>
      </c>
      <c r="P137" s="5" t="str">
        <f>IFERROR(__xludf.DUMMYFUNCTION("""COMPUTED_VALUE"""),"Expanding Wild, Scatter")</f>
        <v>Expanding Wild, Scatter</v>
      </c>
      <c r="Q137" s="7" t="str">
        <f>IFERROR(__xludf.DUMMYFUNCTION("""COMPUTED_VALUE"""),"https://static.redstone.rs/games/10-crown-deluxe/")</f>
        <v>https://static.redstone.rs/games/10-crown-deluxe/</v>
      </c>
      <c r="R137" s="5" t="str">
        <f>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S13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IFERROR(__xludf.DUMMYFUNCTION("""COMPUTED_VALUE"""),"Yes")</f>
        <v>Yes</v>
      </c>
      <c r="AA137" s="5" t="str">
        <f>IFERROR(__xludf.DUMMYFUNCTION("""COMPUTED_VALUE"""),"Yes")</f>
        <v>Yes</v>
      </c>
      <c r="AB137" s="5" t="str">
        <f>IFERROR(__xludf.DUMMYFUNCTION("""COMPUTED_VALUE"""),"Yes")</f>
        <v>Yes</v>
      </c>
      <c r="AC137" s="5" t="str">
        <f>IFERROR(__xludf.DUMMYFUNCTION("""COMPUTED_VALUE"""),"Yes")</f>
        <v>Yes</v>
      </c>
      <c r="AD137" s="5" t="str">
        <f>IFERROR(__xludf.DUMMYFUNCTION("""COMPUTED_VALUE"""),"Yes")</f>
        <v>Yes</v>
      </c>
      <c r="AE137" s="5" t="str">
        <f>IFERROR(__xludf.DUMMYFUNCTION("""COMPUTED_VALUE"""),"Yes")</f>
        <v>Yes</v>
      </c>
      <c r="AF137" s="5" t="str">
        <f>IFERROR(__xludf.DUMMYFUNCTION("""COMPUTED_VALUE"""),"Yes")</f>
        <v>Yes</v>
      </c>
      <c r="AG137" s="5" t="str">
        <f>IFERROR(__xludf.DUMMYFUNCTION("""COMPUTED_VALUE"""),"Yes")</f>
        <v>Yes</v>
      </c>
      <c r="AH137" s="5" t="str">
        <f>IFERROR(__xludf.DUMMYFUNCTION("""COMPUTED_VALUE"""),"Yes")</f>
        <v>Yes</v>
      </c>
      <c r="AI137" s="5" t="str">
        <f>IFERROR(__xludf.DUMMYFUNCTION("""COMPUTED_VALUE"""),"No")</f>
        <v>No</v>
      </c>
      <c r="AJ137" s="5" t="str">
        <f>IFERROR(__xludf.DUMMYFUNCTION("""COMPUTED_VALUE"""),"No")</f>
        <v>No</v>
      </c>
      <c r="AK137" s="5" t="str">
        <f>IFERROR(__xludf.DUMMYFUNCTION("""COMPUTED_VALUE"""),"No")</f>
        <v>No</v>
      </c>
      <c r="AL137" s="5" t="str">
        <f>IFERROR(__xludf.DUMMYFUNCTION("""COMPUTED_VALUE"""),"No")</f>
        <v>No</v>
      </c>
      <c r="AM137" s="5" t="str">
        <f>IFERROR(__xludf.DUMMYFUNCTION("""COMPUTED_VALUE"""),"No")</f>
        <v>No</v>
      </c>
      <c r="AN137" s="5" t="str">
        <f>IFERROR(__xludf.DUMMYFUNCTION("""COMPUTED_VALUE"""),"No")</f>
        <v>No</v>
      </c>
      <c r="AO137" s="5" t="str">
        <f>IFERROR(__xludf.DUMMYFUNCTION("""COMPUTED_VALUE"""),"Yes")</f>
        <v>Yes</v>
      </c>
      <c r="AP137" s="5" t="str">
        <f>IFERROR(__xludf.DUMMYFUNCTION("""COMPUTED_VALUE"""),"No")</f>
        <v>No</v>
      </c>
      <c r="AQ137" s="5" t="str">
        <f>IFERROR(__xludf.DUMMYFUNCTION("""COMPUTED_VALUE"""),"No")</f>
        <v>No</v>
      </c>
      <c r="AR137" s="5" t="str">
        <f>IFERROR(__xludf.DUMMYFUNCTION("""COMPUTED_VALUE"""),"No")</f>
        <v>No</v>
      </c>
      <c r="AS137" s="5" t="str">
        <f>IFERROR(__xludf.DUMMYFUNCTION("""COMPUTED_VALUE"""),"Yes")</f>
        <v>Yes</v>
      </c>
      <c r="AT137" s="5" t="str">
        <f>IFERROR(__xludf.DUMMYFUNCTION("""COMPUTED_VALUE"""),"No")</f>
        <v>No</v>
      </c>
      <c r="AU137" s="5"/>
      <c r="AV137" s="5" t="str">
        <f>IFERROR(__xludf.DUMMYFUNCTION("""COMPUTED_VALUE"""),"")</f>
        <v/>
      </c>
      <c r="AW137" s="5" t="str">
        <f>IFERROR(__xludf.DUMMYFUNCTION("""COMPUTED_VALUE"""),"")</f>
        <v/>
      </c>
      <c r="AX137" s="5" t="str">
        <f>IFERROR(__xludf.DUMMYFUNCTION("""COMPUTED_VALUE"""),"")</f>
        <v/>
      </c>
      <c r="AY137" s="5" t="str">
        <f>IFERROR(__xludf.DUMMYFUNCTION("""COMPUTED_VALUE"""),"")</f>
        <v/>
      </c>
      <c r="AZ137" s="5" t="str">
        <f>IFERROR(__xludf.DUMMYFUNCTION("""COMPUTED_VALUE"""),"")</f>
        <v/>
      </c>
      <c r="BA137" s="5" t="str">
        <f>IFERROR(__xludf.DUMMYFUNCTION("""COMPUTED_VALUE"""),"")</f>
        <v/>
      </c>
      <c r="BB137" s="5" t="str">
        <f>IFERROR(__xludf.DUMMYFUNCTION("""COMPUTED_VALUE"""),"")</f>
        <v/>
      </c>
    </row>
    <row r="138">
      <c r="A138" s="5" t="str">
        <f>IFERROR(__xludf.DUMMYFUNCTION("""COMPUTED_VALUE"""),"Redstone")</f>
        <v>Redstone</v>
      </c>
      <c r="B138" s="5" t="str">
        <f>IFERROR(__xludf.DUMMYFUNCTION("""COMPUTED_VALUE"""),"10 Heart Deluxe")</f>
        <v>10 Heart Deluxe</v>
      </c>
      <c r="C138" s="5" t="str">
        <f>IFERROR(__xludf.DUMMYFUNCTION("""COMPUTED_VALUE"""),"Redstone10HeartDeluxe")</f>
        <v>Redstone10HeartDeluxe</v>
      </c>
      <c r="D138" s="6">
        <f>IFERROR(__xludf.DUMMYFUNCTION("""COMPUTED_VALUE"""),46254.0)</f>
        <v>46254</v>
      </c>
      <c r="E138" s="5" t="str">
        <f>IFERROR(__xludf.DUMMYFUNCTION("""COMPUTED_VALUE"""),"Slot")</f>
        <v>Slot</v>
      </c>
      <c r="F138" s="5">
        <f>IFERROR(__xludf.DUMMYFUNCTION("""COMPUTED_VALUE"""),8.2)</f>
        <v>8.2</v>
      </c>
      <c r="G138" s="5" t="str">
        <f>IFERROR(__xludf.DUMMYFUNCTION("""COMPUTED_VALUE"""),"5x3")</f>
        <v>5x3</v>
      </c>
      <c r="H138" s="5">
        <f>IFERROR(__xludf.DUMMYFUNCTION("""COMPUTED_VALUE"""),10.0)</f>
        <v>10</v>
      </c>
      <c r="I138" s="5">
        <f>IFERROR(__xludf.DUMMYFUNCTION("""COMPUTED_VALUE"""),10.0)</f>
        <v>10</v>
      </c>
      <c r="J138" s="5" t="str">
        <f>IFERROR(__xludf.DUMMYFUNCTION("""COMPUTED_VALUE"""),"95.96%")</f>
        <v>95.96%</v>
      </c>
      <c r="K138" s="5" t="str">
        <f>IFERROR(__xludf.DUMMYFUNCTION("""COMPUTED_VALUE"""),"Medium")</f>
        <v>Medium</v>
      </c>
      <c r="L138" s="5" t="str">
        <f>IFERROR(__xludf.DUMMYFUNCTION("""COMPUTED_VALUE"""),"14.63%")</f>
        <v>14.63%</v>
      </c>
      <c r="M138" s="5" t="str">
        <f>IFERROR(__xludf.DUMMYFUNCTION("""COMPUTED_VALUE"""),"x1538")</f>
        <v>x1538</v>
      </c>
      <c r="N138" s="5" t="str">
        <f>IFERROR(__xludf.DUMMYFUNCTION("""COMPUTED_VALUE"""),"0.10/50")</f>
        <v>0.10/50</v>
      </c>
      <c r="O138" s="5" t="str">
        <f>IFERROR(__xludf.DUMMYFUNCTION("""COMPUTED_VALUE"""),"No")</f>
        <v>No</v>
      </c>
      <c r="P138" s="5" t="str">
        <f>IFERROR(__xludf.DUMMYFUNCTION("""COMPUTED_VALUE"""),"Expanding Wild, Scatter")</f>
        <v>Expanding Wild, Scatter</v>
      </c>
      <c r="Q138" s="7" t="str">
        <f>IFERROR(__xludf.DUMMYFUNCTION("""COMPUTED_VALUE"""),"https://static.redstone.rs/games/10-heart-deluxe/")</f>
        <v>https://static.redstone.rs/games/10-heart-deluxe/</v>
      </c>
      <c r="R138" s="5" t="str">
        <f>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S138"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IFERROR(__xludf.DUMMYFUNCTION("""COMPUTED_VALUE"""),"Yes")</f>
        <v>Yes</v>
      </c>
      <c r="AA138" s="5" t="str">
        <f>IFERROR(__xludf.DUMMYFUNCTION("""COMPUTED_VALUE"""),"Yes")</f>
        <v>Yes</v>
      </c>
      <c r="AB138" s="5" t="str">
        <f>IFERROR(__xludf.DUMMYFUNCTION("""COMPUTED_VALUE"""),"Yes")</f>
        <v>Yes</v>
      </c>
      <c r="AC138" s="5" t="str">
        <f>IFERROR(__xludf.DUMMYFUNCTION("""COMPUTED_VALUE"""),"Yes")</f>
        <v>Yes</v>
      </c>
      <c r="AD138" s="5" t="str">
        <f>IFERROR(__xludf.DUMMYFUNCTION("""COMPUTED_VALUE"""),"Yes")</f>
        <v>Yes</v>
      </c>
      <c r="AE138" s="5" t="str">
        <f>IFERROR(__xludf.DUMMYFUNCTION("""COMPUTED_VALUE"""),"Yes")</f>
        <v>Yes</v>
      </c>
      <c r="AF138" s="5" t="str">
        <f>IFERROR(__xludf.DUMMYFUNCTION("""COMPUTED_VALUE"""),"Yes")</f>
        <v>Yes</v>
      </c>
      <c r="AG138" s="5" t="str">
        <f>IFERROR(__xludf.DUMMYFUNCTION("""COMPUTED_VALUE"""),"Yes")</f>
        <v>Yes</v>
      </c>
      <c r="AH138" s="5" t="str">
        <f>IFERROR(__xludf.DUMMYFUNCTION("""COMPUTED_VALUE"""),"Yes")</f>
        <v>Yes</v>
      </c>
      <c r="AI138" s="5" t="str">
        <f>IFERROR(__xludf.DUMMYFUNCTION("""COMPUTED_VALUE"""),"No")</f>
        <v>No</v>
      </c>
      <c r="AJ138" s="5" t="str">
        <f>IFERROR(__xludf.DUMMYFUNCTION("""COMPUTED_VALUE"""),"No")</f>
        <v>No</v>
      </c>
      <c r="AK138" s="5" t="str">
        <f>IFERROR(__xludf.DUMMYFUNCTION("""COMPUTED_VALUE"""),"No")</f>
        <v>No</v>
      </c>
      <c r="AL138" s="5" t="str">
        <f>IFERROR(__xludf.DUMMYFUNCTION("""COMPUTED_VALUE"""),"No")</f>
        <v>No</v>
      </c>
      <c r="AM138" s="5" t="str">
        <f>IFERROR(__xludf.DUMMYFUNCTION("""COMPUTED_VALUE"""),"No")</f>
        <v>No</v>
      </c>
      <c r="AN138" s="5" t="str">
        <f>IFERROR(__xludf.DUMMYFUNCTION("""COMPUTED_VALUE"""),"No")</f>
        <v>No</v>
      </c>
      <c r="AO138" s="5" t="str">
        <f>IFERROR(__xludf.DUMMYFUNCTION("""COMPUTED_VALUE"""),"Yes")</f>
        <v>Yes</v>
      </c>
      <c r="AP138" s="5" t="str">
        <f>IFERROR(__xludf.DUMMYFUNCTION("""COMPUTED_VALUE"""),"No")</f>
        <v>No</v>
      </c>
      <c r="AQ138" s="5" t="str">
        <f>IFERROR(__xludf.DUMMYFUNCTION("""COMPUTED_VALUE"""),"No")</f>
        <v>No</v>
      </c>
      <c r="AR138" s="5" t="str">
        <f>IFERROR(__xludf.DUMMYFUNCTION("""COMPUTED_VALUE"""),"No")</f>
        <v>No</v>
      </c>
      <c r="AS138" s="5" t="str">
        <f>IFERROR(__xludf.DUMMYFUNCTION("""COMPUTED_VALUE"""),"Yes")</f>
        <v>Yes</v>
      </c>
      <c r="AT138" s="5" t="str">
        <f>IFERROR(__xludf.DUMMYFUNCTION("""COMPUTED_VALUE"""),"No")</f>
        <v>No</v>
      </c>
      <c r="AU138" s="5"/>
      <c r="AV138" s="5" t="str">
        <f>IFERROR(__xludf.DUMMYFUNCTION("""COMPUTED_VALUE"""),"")</f>
        <v/>
      </c>
      <c r="AW138" s="5" t="str">
        <f>IFERROR(__xludf.DUMMYFUNCTION("""COMPUTED_VALUE"""),"")</f>
        <v/>
      </c>
      <c r="AX138" s="5" t="str">
        <f>IFERROR(__xludf.DUMMYFUNCTION("""COMPUTED_VALUE"""),"")</f>
        <v/>
      </c>
      <c r="AY138" s="5" t="str">
        <f>IFERROR(__xludf.DUMMYFUNCTION("""COMPUTED_VALUE"""),"")</f>
        <v/>
      </c>
      <c r="AZ138" s="5" t="str">
        <f>IFERROR(__xludf.DUMMYFUNCTION("""COMPUTED_VALUE"""),"")</f>
        <v/>
      </c>
      <c r="BA138" s="5" t="str">
        <f>IFERROR(__xludf.DUMMYFUNCTION("""COMPUTED_VALUE"""),"")</f>
        <v/>
      </c>
      <c r="BB138" s="5" t="str">
        <f>IFERROR(__xludf.DUMMYFUNCTION("""COMPUTED_VALUE"""),"")</f>
        <v/>
      </c>
    </row>
    <row r="139">
      <c r="A139" s="5" t="str">
        <f>IFERROR(__xludf.DUMMYFUNCTION("""COMPUTED_VALUE"""),"Redstone")</f>
        <v>Redstone</v>
      </c>
      <c r="B139" s="5" t="str">
        <f>IFERROR(__xludf.DUMMYFUNCTION("""COMPUTED_VALUE"""),"Multi Heart 10")</f>
        <v>Multi Heart 10</v>
      </c>
      <c r="C139" s="5" t="str">
        <f>IFERROR(__xludf.DUMMYFUNCTION("""COMPUTED_VALUE"""),"RedstoneMultiHeart10")</f>
        <v>RedstoneMultiHeart10</v>
      </c>
      <c r="D139" s="6">
        <f>IFERROR(__xludf.DUMMYFUNCTION("""COMPUTED_VALUE"""),46282.0)</f>
        <v>46282</v>
      </c>
      <c r="E139" s="5" t="str">
        <f>IFERROR(__xludf.DUMMYFUNCTION("""COMPUTED_VALUE"""),"Slot")</f>
        <v>Slot</v>
      </c>
      <c r="F139" s="5">
        <f>IFERROR(__xludf.DUMMYFUNCTION("""COMPUTED_VALUE"""),8.3)</f>
        <v>8.3</v>
      </c>
      <c r="G139" s="5" t="str">
        <f>IFERROR(__xludf.DUMMYFUNCTION("""COMPUTED_VALUE"""),"5x3")</f>
        <v>5x3</v>
      </c>
      <c r="H139" s="5">
        <f>IFERROR(__xludf.DUMMYFUNCTION("""COMPUTED_VALUE"""),10.0)</f>
        <v>10</v>
      </c>
      <c r="I139" s="5">
        <f>IFERROR(__xludf.DUMMYFUNCTION("""COMPUTED_VALUE"""),10.0)</f>
        <v>10</v>
      </c>
      <c r="J139" s="5" t="str">
        <f>IFERROR(__xludf.DUMMYFUNCTION("""COMPUTED_VALUE"""),"96.01%")</f>
        <v>96.01%</v>
      </c>
      <c r="K139" s="5" t="str">
        <f>IFERROR(__xludf.DUMMYFUNCTION("""COMPUTED_VALUE"""),"Medium")</f>
        <v>Medium</v>
      </c>
      <c r="L139" s="5" t="str">
        <f>IFERROR(__xludf.DUMMYFUNCTION("""COMPUTED_VALUE"""),"12.61%")</f>
        <v>12.61%</v>
      </c>
      <c r="M139" s="5" t="str">
        <f>IFERROR(__xludf.DUMMYFUNCTION("""COMPUTED_VALUE"""),"x1615")</f>
        <v>x1615</v>
      </c>
      <c r="N139" s="5" t="str">
        <f>IFERROR(__xludf.DUMMYFUNCTION("""COMPUTED_VALUE"""),"0.10/50")</f>
        <v>0.10/50</v>
      </c>
      <c r="O139" s="5" t="str">
        <f>IFERROR(__xludf.DUMMYFUNCTION("""COMPUTED_VALUE"""),"No")</f>
        <v>No</v>
      </c>
      <c r="P139" s="5" t="str">
        <f>IFERROR(__xludf.DUMMYFUNCTION("""COMPUTED_VALUE"""),"Expanding Wild, Win Multiplier")</f>
        <v>Expanding Wild, Win Multiplier</v>
      </c>
      <c r="Q139" s="7" t="str">
        <f>IFERROR(__xludf.DUMMYFUNCTION("""COMPUTED_VALUE"""),"https://static.redstone.rs/games/multi-heart-10/")</f>
        <v>https://static.redstone.rs/games/multi-heart-10/</v>
      </c>
      <c r="R139" s="5" t="str">
        <f>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S13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IFERROR(__xludf.DUMMYFUNCTION("""COMPUTED_VALUE"""),"Yes")</f>
        <v>Yes</v>
      </c>
      <c r="AA139" s="5" t="str">
        <f>IFERROR(__xludf.DUMMYFUNCTION("""COMPUTED_VALUE"""),"Yes")</f>
        <v>Yes</v>
      </c>
      <c r="AB139" s="5" t="str">
        <f>IFERROR(__xludf.DUMMYFUNCTION("""COMPUTED_VALUE"""),"Yes")</f>
        <v>Yes</v>
      </c>
      <c r="AC139" s="5" t="str">
        <f>IFERROR(__xludf.DUMMYFUNCTION("""COMPUTED_VALUE"""),"Yes")</f>
        <v>Yes</v>
      </c>
      <c r="AD139" s="5" t="str">
        <f>IFERROR(__xludf.DUMMYFUNCTION("""COMPUTED_VALUE"""),"Yes")</f>
        <v>Yes</v>
      </c>
      <c r="AE139" s="5" t="str">
        <f>IFERROR(__xludf.DUMMYFUNCTION("""COMPUTED_VALUE"""),"Yes")</f>
        <v>Yes</v>
      </c>
      <c r="AF139" s="5" t="str">
        <f>IFERROR(__xludf.DUMMYFUNCTION("""COMPUTED_VALUE"""),"Yes")</f>
        <v>Yes</v>
      </c>
      <c r="AG139" s="5" t="str">
        <f>IFERROR(__xludf.DUMMYFUNCTION("""COMPUTED_VALUE"""),"Yes")</f>
        <v>Yes</v>
      </c>
      <c r="AH139" s="5" t="str">
        <f>IFERROR(__xludf.DUMMYFUNCTION("""COMPUTED_VALUE"""),"Yes")</f>
        <v>Yes</v>
      </c>
      <c r="AI139" s="5" t="str">
        <f>IFERROR(__xludf.DUMMYFUNCTION("""COMPUTED_VALUE"""),"No")</f>
        <v>No</v>
      </c>
      <c r="AJ139" s="5" t="str">
        <f>IFERROR(__xludf.DUMMYFUNCTION("""COMPUTED_VALUE"""),"No")</f>
        <v>No</v>
      </c>
      <c r="AK139" s="5" t="str">
        <f>IFERROR(__xludf.DUMMYFUNCTION("""COMPUTED_VALUE"""),"No")</f>
        <v>No</v>
      </c>
      <c r="AL139" s="5" t="str">
        <f>IFERROR(__xludf.DUMMYFUNCTION("""COMPUTED_VALUE"""),"No")</f>
        <v>No</v>
      </c>
      <c r="AM139" s="5" t="str">
        <f>IFERROR(__xludf.DUMMYFUNCTION("""COMPUTED_VALUE"""),"No")</f>
        <v>No</v>
      </c>
      <c r="AN139" s="5" t="str">
        <f>IFERROR(__xludf.DUMMYFUNCTION("""COMPUTED_VALUE"""),"No")</f>
        <v>No</v>
      </c>
      <c r="AO139" s="5" t="str">
        <f>IFERROR(__xludf.DUMMYFUNCTION("""COMPUTED_VALUE"""),"Yes")</f>
        <v>Yes</v>
      </c>
      <c r="AP139" s="5" t="str">
        <f>IFERROR(__xludf.DUMMYFUNCTION("""COMPUTED_VALUE"""),"No")</f>
        <v>No</v>
      </c>
      <c r="AQ139" s="5" t="str">
        <f>IFERROR(__xludf.DUMMYFUNCTION("""COMPUTED_VALUE"""),"No")</f>
        <v>No</v>
      </c>
      <c r="AR139" s="5" t="str">
        <f>IFERROR(__xludf.DUMMYFUNCTION("""COMPUTED_VALUE"""),"No")</f>
        <v>No</v>
      </c>
      <c r="AS139" s="5" t="str">
        <f>IFERROR(__xludf.DUMMYFUNCTION("""COMPUTED_VALUE"""),"Yes")</f>
        <v>Yes</v>
      </c>
      <c r="AT139" s="5" t="str">
        <f>IFERROR(__xludf.DUMMYFUNCTION("""COMPUTED_VALUE"""),"No")</f>
        <v>No</v>
      </c>
      <c r="AU139" s="5"/>
      <c r="AV139" s="5" t="str">
        <f>IFERROR(__xludf.DUMMYFUNCTION("""COMPUTED_VALUE"""),"")</f>
        <v/>
      </c>
      <c r="AW139" s="5" t="str">
        <f>IFERROR(__xludf.DUMMYFUNCTION("""COMPUTED_VALUE"""),"")</f>
        <v/>
      </c>
      <c r="AX139" s="5" t="str">
        <f>IFERROR(__xludf.DUMMYFUNCTION("""COMPUTED_VALUE"""),"")</f>
        <v/>
      </c>
      <c r="AY139" s="5" t="str">
        <f>IFERROR(__xludf.DUMMYFUNCTION("""COMPUTED_VALUE"""),"")</f>
        <v/>
      </c>
      <c r="AZ139" s="5" t="str">
        <f>IFERROR(__xludf.DUMMYFUNCTION("""COMPUTED_VALUE"""),"")</f>
        <v/>
      </c>
      <c r="BA139" s="5" t="str">
        <f>IFERROR(__xludf.DUMMYFUNCTION("""COMPUTED_VALUE"""),"")</f>
        <v/>
      </c>
      <c r="BB139" s="5" t="str">
        <f>IFERROR(__xludf.DUMMYFUNCTION("""COMPUTED_VALUE"""),"")</f>
        <v/>
      </c>
    </row>
    <row r="140">
      <c r="A140" s="5" t="str">
        <f>IFERROR(__xludf.DUMMYFUNCTION("""COMPUTED_VALUE"""),"Redstone")</f>
        <v>Redstone</v>
      </c>
      <c r="B140" s="5" t="str">
        <f>IFERROR(__xludf.DUMMYFUNCTION("""COMPUTED_VALUE"""),"Lucky Lucky Bells")</f>
        <v>Lucky Lucky Bells</v>
      </c>
      <c r="C140" s="5" t="str">
        <f>IFERROR(__xludf.DUMMYFUNCTION("""COMPUTED_VALUE"""),"RedstoneLuckyLuckyBells")</f>
        <v>RedstoneLuckyLuckyBells</v>
      </c>
      <c r="D140" s="6">
        <f>IFERROR(__xludf.DUMMYFUNCTION("""COMPUTED_VALUE"""),46233.0)</f>
        <v>46233</v>
      </c>
      <c r="E140" s="5" t="str">
        <f>IFERROR(__xludf.DUMMYFUNCTION("""COMPUTED_VALUE"""),"Slot")</f>
        <v>Slot</v>
      </c>
      <c r="F140" s="5">
        <f>IFERROR(__xludf.DUMMYFUNCTION("""COMPUTED_VALUE"""),12.3)</f>
        <v>12.3</v>
      </c>
      <c r="G140" s="5" t="str">
        <f>IFERROR(__xludf.DUMMYFUNCTION("""COMPUTED_VALUE"""),"3x3")</f>
        <v>3x3</v>
      </c>
      <c r="H140" s="5">
        <f>IFERROR(__xludf.DUMMYFUNCTION("""COMPUTED_VALUE"""),5.0)</f>
        <v>5</v>
      </c>
      <c r="I140" s="5">
        <f>IFERROR(__xludf.DUMMYFUNCTION("""COMPUTED_VALUE"""),5.0)</f>
        <v>5</v>
      </c>
      <c r="J140" s="5" t="str">
        <f>IFERROR(__xludf.DUMMYFUNCTION("""COMPUTED_VALUE"""),"96.64%")</f>
        <v>96.64%</v>
      </c>
      <c r="K140" s="5" t="str">
        <f>IFERROR(__xludf.DUMMYFUNCTION("""COMPUTED_VALUE"""),"Low")</f>
        <v>Low</v>
      </c>
      <c r="L140" s="5" t="str">
        <f>IFERROR(__xludf.DUMMYFUNCTION("""COMPUTED_VALUE"""),"10.5%")</f>
        <v>10.5%</v>
      </c>
      <c r="M140" s="5" t="str">
        <f>IFERROR(__xludf.DUMMYFUNCTION("""COMPUTED_VALUE"""),"x1003")</f>
        <v>x1003</v>
      </c>
      <c r="N140" s="5" t="str">
        <f>IFERROR(__xludf.DUMMYFUNCTION("""COMPUTED_VALUE"""),"0.10/50")</f>
        <v>0.10/50</v>
      </c>
      <c r="O140" s="5" t="str">
        <f>IFERROR(__xludf.DUMMYFUNCTION("""COMPUTED_VALUE"""),"No")</f>
        <v>No</v>
      </c>
      <c r="P140" s="5" t="str">
        <f>IFERROR(__xludf.DUMMYFUNCTION("""COMPUTED_VALUE"""),"Wild Symbol, Scatter")</f>
        <v>Wild Symbol, Scatter</v>
      </c>
      <c r="Q140" s="7" t="str">
        <f>IFERROR(__xludf.DUMMYFUNCTION("""COMPUTED_VALUE"""),"https://static.redstone.rs/games/lucky-lucky-bells/")</f>
        <v>https://static.redstone.rs/games/lucky-lucky-bells/</v>
      </c>
      <c r="R140" s="5" t="str">
        <f>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S140" s="5" t="str">
        <f>IFERROR(__xludf.DUMMYFUNCTION("""COMPUTED_VALUE"""),"")</f>
        <v/>
      </c>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t="str">
        <f>IFERROR(__xludf.DUMMYFUNCTION("""COMPUTED_VALUE"""),"")</f>
        <v/>
      </c>
      <c r="AW140" s="5" t="str">
        <f>IFERROR(__xludf.DUMMYFUNCTION("""COMPUTED_VALUE"""),"")</f>
        <v/>
      </c>
      <c r="AX140" s="5" t="str">
        <f>IFERROR(__xludf.DUMMYFUNCTION("""COMPUTED_VALUE"""),"")</f>
        <v/>
      </c>
      <c r="AY140" s="5" t="str">
        <f>IFERROR(__xludf.DUMMYFUNCTION("""COMPUTED_VALUE"""),"")</f>
        <v/>
      </c>
      <c r="AZ140" s="5" t="str">
        <f>IFERROR(__xludf.DUMMYFUNCTION("""COMPUTED_VALUE"""),"")</f>
        <v/>
      </c>
      <c r="BA140" s="5" t="str">
        <f>IFERROR(__xludf.DUMMYFUNCTION("""COMPUTED_VALUE"""),"")</f>
        <v/>
      </c>
      <c r="BB140" s="5" t="str">
        <f>IFERROR(__xludf.DUMMYFUNCTION("""COMPUTED_VALUE"""),"")</f>
        <v/>
      </c>
    </row>
    <row r="141">
      <c r="A141" s="5" t="str">
        <f>IFERROR(__xludf.DUMMYFUNCTION("""COMPUTED_VALUE"""),"Redstone")</f>
        <v>Redstone</v>
      </c>
      <c r="B141" s="5" t="str">
        <f>IFERROR(__xludf.DUMMYFUNCTION("""COMPUTED_VALUE"""),"Clover Fire 1000")</f>
        <v>Clover Fire 1000</v>
      </c>
      <c r="C141" s="5" t="str">
        <f>IFERROR(__xludf.DUMMYFUNCTION("""COMPUTED_VALUE"""),"RedstoneCloverFire1000")</f>
        <v>RedstoneCloverFire1000</v>
      </c>
      <c r="D141" s="6">
        <f>IFERROR(__xludf.DUMMYFUNCTION("""COMPUTED_VALUE"""),46244.0)</f>
        <v>46244</v>
      </c>
      <c r="E141" s="5" t="str">
        <f>IFERROR(__xludf.DUMMYFUNCTION("""COMPUTED_VALUE"""),"Slot")</f>
        <v>Slot</v>
      </c>
      <c r="F141" s="5">
        <f>IFERROR(__xludf.DUMMYFUNCTION("""COMPUTED_VALUE"""),8.8)</f>
        <v>8.8</v>
      </c>
      <c r="G141" s="5" t="str">
        <f>IFERROR(__xludf.DUMMYFUNCTION("""COMPUTED_VALUE"""),"5x3")</f>
        <v>5x3</v>
      </c>
      <c r="H141" s="5">
        <f>IFERROR(__xludf.DUMMYFUNCTION("""COMPUTED_VALUE"""),5.0)</f>
        <v>5</v>
      </c>
      <c r="I141" s="5">
        <f>IFERROR(__xludf.DUMMYFUNCTION("""COMPUTED_VALUE"""),5.0)</f>
        <v>5</v>
      </c>
      <c r="J141" s="5" t="str">
        <f>IFERROR(__xludf.DUMMYFUNCTION("""COMPUTED_VALUE"""),"96.03%")</f>
        <v>96.03%</v>
      </c>
      <c r="K141" s="5" t="str">
        <f>IFERROR(__xludf.DUMMYFUNCTION("""COMPUTED_VALUE"""),"Medium")</f>
        <v>Medium</v>
      </c>
      <c r="L141" s="5" t="str">
        <f>IFERROR(__xludf.DUMMYFUNCTION("""COMPUTED_VALUE"""),"13.54%")</f>
        <v>13.54%</v>
      </c>
      <c r="M141" s="5" t="str">
        <f>IFERROR(__xludf.DUMMYFUNCTION("""COMPUTED_VALUE"""),"x1000")</f>
        <v>x1000</v>
      </c>
      <c r="N141" s="5" t="str">
        <f>IFERROR(__xludf.DUMMYFUNCTION("""COMPUTED_VALUE"""),"0.10/50")</f>
        <v>0.10/50</v>
      </c>
      <c r="O141" s="5" t="str">
        <f>IFERROR(__xludf.DUMMYFUNCTION("""COMPUTED_VALUE"""),"No")</f>
        <v>No</v>
      </c>
      <c r="P141" s="5" t="str">
        <f>IFERROR(__xludf.DUMMYFUNCTION("""COMPUTED_VALUE"""),"Expanding Wild, Scatter")</f>
        <v>Expanding Wild, Scatter</v>
      </c>
      <c r="Q141" s="7" t="str">
        <f>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R141" s="5" t="str">
        <f>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S14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IFERROR(__xludf.DUMMYFUNCTION("""COMPUTED_VALUE"""),"Yes")</f>
        <v>Yes</v>
      </c>
      <c r="AA141" s="5" t="str">
        <f>IFERROR(__xludf.DUMMYFUNCTION("""COMPUTED_VALUE"""),"Yes")</f>
        <v>Yes</v>
      </c>
      <c r="AB141" s="5" t="str">
        <f>IFERROR(__xludf.DUMMYFUNCTION("""COMPUTED_VALUE"""),"Yes")</f>
        <v>Yes</v>
      </c>
      <c r="AC141" s="5" t="str">
        <f>IFERROR(__xludf.DUMMYFUNCTION("""COMPUTED_VALUE"""),"Yes")</f>
        <v>Yes</v>
      </c>
      <c r="AD141" s="5" t="str">
        <f>IFERROR(__xludf.DUMMYFUNCTION("""COMPUTED_VALUE"""),"Yes")</f>
        <v>Yes</v>
      </c>
      <c r="AE141" s="5" t="str">
        <f>IFERROR(__xludf.DUMMYFUNCTION("""COMPUTED_VALUE"""),"Yes")</f>
        <v>Yes</v>
      </c>
      <c r="AF141" s="5" t="str">
        <f>IFERROR(__xludf.DUMMYFUNCTION("""COMPUTED_VALUE"""),"Yes")</f>
        <v>Yes</v>
      </c>
      <c r="AG141" s="5" t="str">
        <f>IFERROR(__xludf.DUMMYFUNCTION("""COMPUTED_VALUE"""),"Yes")</f>
        <v>Yes</v>
      </c>
      <c r="AH141" s="5" t="str">
        <f>IFERROR(__xludf.DUMMYFUNCTION("""COMPUTED_VALUE"""),"Yes")</f>
        <v>Yes</v>
      </c>
      <c r="AI141" s="5" t="str">
        <f>IFERROR(__xludf.DUMMYFUNCTION("""COMPUTED_VALUE"""),"No")</f>
        <v>No</v>
      </c>
      <c r="AJ141" s="5" t="str">
        <f>IFERROR(__xludf.DUMMYFUNCTION("""COMPUTED_VALUE"""),"No")</f>
        <v>No</v>
      </c>
      <c r="AK141" s="5" t="str">
        <f>IFERROR(__xludf.DUMMYFUNCTION("""COMPUTED_VALUE"""),"No")</f>
        <v>No</v>
      </c>
      <c r="AL141" s="5" t="str">
        <f>IFERROR(__xludf.DUMMYFUNCTION("""COMPUTED_VALUE"""),"No")</f>
        <v>No</v>
      </c>
      <c r="AM141" s="5" t="str">
        <f>IFERROR(__xludf.DUMMYFUNCTION("""COMPUTED_VALUE"""),"No")</f>
        <v>No</v>
      </c>
      <c r="AN141" s="5" t="str">
        <f>IFERROR(__xludf.DUMMYFUNCTION("""COMPUTED_VALUE"""),"No")</f>
        <v>No</v>
      </c>
      <c r="AO141" s="5" t="str">
        <f>IFERROR(__xludf.DUMMYFUNCTION("""COMPUTED_VALUE"""),"Yes")</f>
        <v>Yes</v>
      </c>
      <c r="AP141" s="5" t="str">
        <f>IFERROR(__xludf.DUMMYFUNCTION("""COMPUTED_VALUE"""),"No")</f>
        <v>No</v>
      </c>
      <c r="AQ141" s="5" t="str">
        <f>IFERROR(__xludf.DUMMYFUNCTION("""COMPUTED_VALUE"""),"No")</f>
        <v>No</v>
      </c>
      <c r="AR141" s="5" t="str">
        <f>IFERROR(__xludf.DUMMYFUNCTION("""COMPUTED_VALUE"""),"No")</f>
        <v>No</v>
      </c>
      <c r="AS141" s="5" t="str">
        <f>IFERROR(__xludf.DUMMYFUNCTION("""COMPUTED_VALUE"""),"Yes")</f>
        <v>Yes</v>
      </c>
      <c r="AT141" s="5" t="str">
        <f>IFERROR(__xludf.DUMMYFUNCTION("""COMPUTED_VALUE"""),"No")</f>
        <v>No</v>
      </c>
      <c r="AU141" s="5"/>
      <c r="AV141" s="5" t="str">
        <f>IFERROR(__xludf.DUMMYFUNCTION("""COMPUTED_VALUE"""),"")</f>
        <v/>
      </c>
      <c r="AW141" s="5" t="str">
        <f>IFERROR(__xludf.DUMMYFUNCTION("""COMPUTED_VALUE"""),"")</f>
        <v/>
      </c>
      <c r="AX141" s="5" t="str">
        <f>IFERROR(__xludf.DUMMYFUNCTION("""COMPUTED_VALUE"""),"")</f>
        <v/>
      </c>
      <c r="AY141" s="5" t="str">
        <f>IFERROR(__xludf.DUMMYFUNCTION("""COMPUTED_VALUE"""),"")</f>
        <v/>
      </c>
      <c r="AZ141" s="5" t="str">
        <f>IFERROR(__xludf.DUMMYFUNCTION("""COMPUTED_VALUE"""),"")</f>
        <v/>
      </c>
      <c r="BA141" s="5" t="str">
        <f>IFERROR(__xludf.DUMMYFUNCTION("""COMPUTED_VALUE"""),"")</f>
        <v/>
      </c>
      <c r="BB141" s="5" t="str">
        <f>IFERROR(__xludf.DUMMYFUNCTION("""COMPUTED_VALUE"""),"")</f>
        <v/>
      </c>
    </row>
    <row r="142">
      <c r="A142" s="5" t="str">
        <f>IFERROR(__xludf.DUMMYFUNCTION("""COMPUTED_VALUE"""),"Redstone")</f>
        <v>Redstone</v>
      </c>
      <c r="B142" s="5" t="str">
        <f>IFERROR(__xludf.DUMMYFUNCTION("""COMPUTED_VALUE"""),"Wild Heart 1000")</f>
        <v>Wild Heart 1000</v>
      </c>
      <c r="C142" s="5" t="str">
        <f>IFERROR(__xludf.DUMMYFUNCTION("""COMPUTED_VALUE"""),"RedstoneWildHeart1000")</f>
        <v>RedstoneWildHeart1000</v>
      </c>
      <c r="D142" s="6">
        <f>IFERROR(__xludf.DUMMYFUNCTION("""COMPUTED_VALUE"""),46259.0)</f>
        <v>46259</v>
      </c>
      <c r="E142" s="5" t="str">
        <f>IFERROR(__xludf.DUMMYFUNCTION("""COMPUTED_VALUE"""),"Slot")</f>
        <v>Slot</v>
      </c>
      <c r="F142" s="5">
        <f>IFERROR(__xludf.DUMMYFUNCTION("""COMPUTED_VALUE"""),8.7)</f>
        <v>8.7</v>
      </c>
      <c r="G142" s="5" t="str">
        <f>IFERROR(__xludf.DUMMYFUNCTION("""COMPUTED_VALUE"""),"5x3")</f>
        <v>5x3</v>
      </c>
      <c r="H142" s="5">
        <f>IFERROR(__xludf.DUMMYFUNCTION("""COMPUTED_VALUE"""),5.0)</f>
        <v>5</v>
      </c>
      <c r="I142" s="5">
        <f>IFERROR(__xludf.DUMMYFUNCTION("""COMPUTED_VALUE"""),5.0)</f>
        <v>5</v>
      </c>
      <c r="J142" s="5" t="str">
        <f>IFERROR(__xludf.DUMMYFUNCTION("""COMPUTED_VALUE"""),"96.03%")</f>
        <v>96.03%</v>
      </c>
      <c r="K142" s="5" t="str">
        <f>IFERROR(__xludf.DUMMYFUNCTION("""COMPUTED_VALUE"""),"Medium")</f>
        <v>Medium</v>
      </c>
      <c r="L142" s="5" t="str">
        <f>IFERROR(__xludf.DUMMYFUNCTION("""COMPUTED_VALUE"""),"13.54%")</f>
        <v>13.54%</v>
      </c>
      <c r="M142" s="5" t="str">
        <f>IFERROR(__xludf.DUMMYFUNCTION("""COMPUTED_VALUE"""),"x1000")</f>
        <v>x1000</v>
      </c>
      <c r="N142" s="5" t="str">
        <f>IFERROR(__xludf.DUMMYFUNCTION("""COMPUTED_VALUE"""),"0.10/50")</f>
        <v>0.10/50</v>
      </c>
      <c r="O142" s="5" t="str">
        <f>IFERROR(__xludf.DUMMYFUNCTION("""COMPUTED_VALUE"""),"No")</f>
        <v>No</v>
      </c>
      <c r="P142" s="5" t="str">
        <f>IFERROR(__xludf.DUMMYFUNCTION("""COMPUTED_VALUE"""),"Expanding Wild, Scatter")</f>
        <v>Expanding Wild, Scatter</v>
      </c>
      <c r="Q142" s="7" t="str">
        <f>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R142" s="5" t="str">
        <f>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S142"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t="str">
        <f>IFERROR(__xludf.DUMMYFUNCTION("""COMPUTED_VALUE"""),"Yes")</f>
        <v>Yes</v>
      </c>
      <c r="AA142" s="5" t="str">
        <f>IFERROR(__xludf.DUMMYFUNCTION("""COMPUTED_VALUE"""),"Yes")</f>
        <v>Yes</v>
      </c>
      <c r="AB142" s="5" t="str">
        <f>IFERROR(__xludf.DUMMYFUNCTION("""COMPUTED_VALUE"""),"Yes")</f>
        <v>Yes</v>
      </c>
      <c r="AC142" s="5" t="str">
        <f>IFERROR(__xludf.DUMMYFUNCTION("""COMPUTED_VALUE"""),"Yes")</f>
        <v>Yes</v>
      </c>
      <c r="AD142" s="5" t="str">
        <f>IFERROR(__xludf.DUMMYFUNCTION("""COMPUTED_VALUE"""),"Yes")</f>
        <v>Yes</v>
      </c>
      <c r="AE142" s="5" t="str">
        <f>IFERROR(__xludf.DUMMYFUNCTION("""COMPUTED_VALUE"""),"Yes")</f>
        <v>Yes</v>
      </c>
      <c r="AF142" s="5" t="str">
        <f>IFERROR(__xludf.DUMMYFUNCTION("""COMPUTED_VALUE"""),"Yes")</f>
        <v>Yes</v>
      </c>
      <c r="AG142" s="5" t="str">
        <f>IFERROR(__xludf.DUMMYFUNCTION("""COMPUTED_VALUE"""),"Yes")</f>
        <v>Yes</v>
      </c>
      <c r="AH142" s="5" t="str">
        <f>IFERROR(__xludf.DUMMYFUNCTION("""COMPUTED_VALUE"""),"Yes")</f>
        <v>Yes</v>
      </c>
      <c r="AI142" s="5" t="str">
        <f>IFERROR(__xludf.DUMMYFUNCTION("""COMPUTED_VALUE"""),"No")</f>
        <v>No</v>
      </c>
      <c r="AJ142" s="5" t="str">
        <f>IFERROR(__xludf.DUMMYFUNCTION("""COMPUTED_VALUE"""),"No")</f>
        <v>No</v>
      </c>
      <c r="AK142" s="5" t="str">
        <f>IFERROR(__xludf.DUMMYFUNCTION("""COMPUTED_VALUE"""),"No")</f>
        <v>No</v>
      </c>
      <c r="AL142" s="5" t="str">
        <f>IFERROR(__xludf.DUMMYFUNCTION("""COMPUTED_VALUE"""),"No")</f>
        <v>No</v>
      </c>
      <c r="AM142" s="5" t="str">
        <f>IFERROR(__xludf.DUMMYFUNCTION("""COMPUTED_VALUE"""),"No")</f>
        <v>No</v>
      </c>
      <c r="AN142" s="5" t="str">
        <f>IFERROR(__xludf.DUMMYFUNCTION("""COMPUTED_VALUE"""),"No")</f>
        <v>No</v>
      </c>
      <c r="AO142" s="5" t="str">
        <f>IFERROR(__xludf.DUMMYFUNCTION("""COMPUTED_VALUE"""),"Yes")</f>
        <v>Yes</v>
      </c>
      <c r="AP142" s="5" t="str">
        <f>IFERROR(__xludf.DUMMYFUNCTION("""COMPUTED_VALUE"""),"No")</f>
        <v>No</v>
      </c>
      <c r="AQ142" s="5" t="str">
        <f>IFERROR(__xludf.DUMMYFUNCTION("""COMPUTED_VALUE"""),"No")</f>
        <v>No</v>
      </c>
      <c r="AR142" s="5" t="str">
        <f>IFERROR(__xludf.DUMMYFUNCTION("""COMPUTED_VALUE"""),"No")</f>
        <v>No</v>
      </c>
      <c r="AS142" s="5" t="str">
        <f>IFERROR(__xludf.DUMMYFUNCTION("""COMPUTED_VALUE"""),"Yes")</f>
        <v>Yes</v>
      </c>
      <c r="AT142" s="5" t="str">
        <f>IFERROR(__xludf.DUMMYFUNCTION("""COMPUTED_VALUE"""),"No")</f>
        <v>No</v>
      </c>
      <c r="AU142" s="5"/>
      <c r="AV142" s="5" t="str">
        <f>IFERROR(__xludf.DUMMYFUNCTION("""COMPUTED_VALUE"""),"")</f>
        <v/>
      </c>
      <c r="AW142" s="5" t="str">
        <f>IFERROR(__xludf.DUMMYFUNCTION("""COMPUTED_VALUE"""),"")</f>
        <v/>
      </c>
      <c r="AX142" s="5" t="str">
        <f>IFERROR(__xludf.DUMMYFUNCTION("""COMPUTED_VALUE"""),"")</f>
        <v/>
      </c>
      <c r="AY142" s="5" t="str">
        <f>IFERROR(__xludf.DUMMYFUNCTION("""COMPUTED_VALUE"""),"")</f>
        <v/>
      </c>
      <c r="AZ142" s="5" t="str">
        <f>IFERROR(__xludf.DUMMYFUNCTION("""COMPUTED_VALUE"""),"")</f>
        <v/>
      </c>
      <c r="BA142" s="5" t="str">
        <f>IFERROR(__xludf.DUMMYFUNCTION("""COMPUTED_VALUE"""),"")</f>
        <v/>
      </c>
      <c r="BB142" s="5" t="str">
        <f>IFERROR(__xludf.DUMMYFUNCTION("""COMPUTED_VALUE"""),"")</f>
        <v/>
      </c>
    </row>
    <row r="143">
      <c r="A143" s="5" t="str">
        <f>IFERROR(__xludf.DUMMYFUNCTION("""COMPUTED_VALUE"""),"Redstone")</f>
        <v>Redstone</v>
      </c>
      <c r="B143" s="5" t="str">
        <f>IFERROR(__xludf.DUMMYFUNCTION("""COMPUTED_VALUE"""),"Wild Crown 1000")</f>
        <v>Wild Crown 1000</v>
      </c>
      <c r="C143" s="5" t="str">
        <f>IFERROR(__xludf.DUMMYFUNCTION("""COMPUTED_VALUE"""),"RedstoneWildCrown1000")</f>
        <v>RedstoneWildCrown1000</v>
      </c>
      <c r="D143" s="6">
        <f>IFERROR(__xludf.DUMMYFUNCTION("""COMPUTED_VALUE"""),46287.0)</f>
        <v>46287</v>
      </c>
      <c r="E143" s="5" t="str">
        <f>IFERROR(__xludf.DUMMYFUNCTION("""COMPUTED_VALUE"""),"Slot")</f>
        <v>Slot</v>
      </c>
      <c r="F143" s="5">
        <f>IFERROR(__xludf.DUMMYFUNCTION("""COMPUTED_VALUE"""),8.7)</f>
        <v>8.7</v>
      </c>
      <c r="G143" s="5" t="str">
        <f>IFERROR(__xludf.DUMMYFUNCTION("""COMPUTED_VALUE"""),"5x3")</f>
        <v>5x3</v>
      </c>
      <c r="H143" s="5">
        <f>IFERROR(__xludf.DUMMYFUNCTION("""COMPUTED_VALUE"""),5.0)</f>
        <v>5</v>
      </c>
      <c r="I143" s="5">
        <f>IFERROR(__xludf.DUMMYFUNCTION("""COMPUTED_VALUE"""),5.0)</f>
        <v>5</v>
      </c>
      <c r="J143" s="5" t="str">
        <f>IFERROR(__xludf.DUMMYFUNCTION("""COMPUTED_VALUE"""),"96.03%")</f>
        <v>96.03%</v>
      </c>
      <c r="K143" s="5" t="str">
        <f>IFERROR(__xludf.DUMMYFUNCTION("""COMPUTED_VALUE"""),"Medium")</f>
        <v>Medium</v>
      </c>
      <c r="L143" s="5" t="str">
        <f>IFERROR(__xludf.DUMMYFUNCTION("""COMPUTED_VALUE"""),"13.54%")</f>
        <v>13.54%</v>
      </c>
      <c r="M143" s="5" t="str">
        <f>IFERROR(__xludf.DUMMYFUNCTION("""COMPUTED_VALUE"""),"x1000")</f>
        <v>x1000</v>
      </c>
      <c r="N143" s="5" t="str">
        <f>IFERROR(__xludf.DUMMYFUNCTION("""COMPUTED_VALUE"""),"0.10/50")</f>
        <v>0.10/50</v>
      </c>
      <c r="O143" s="5" t="str">
        <f>IFERROR(__xludf.DUMMYFUNCTION("""COMPUTED_VALUE"""),"No")</f>
        <v>No</v>
      </c>
      <c r="P143" s="5" t="str">
        <f>IFERROR(__xludf.DUMMYFUNCTION("""COMPUTED_VALUE"""),"Expanding Wild, Scatter")</f>
        <v>Expanding Wild, Scatter</v>
      </c>
      <c r="Q143" s="7" t="str">
        <f>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R143" s="5" t="str">
        <f>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S14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IFERROR(__xludf.DUMMYFUNCTION("""COMPUTED_VALUE"""),"Yes")</f>
        <v>Yes</v>
      </c>
      <c r="AA143" s="5" t="str">
        <f>IFERROR(__xludf.DUMMYFUNCTION("""COMPUTED_VALUE"""),"Yes")</f>
        <v>Yes</v>
      </c>
      <c r="AB143" s="5" t="str">
        <f>IFERROR(__xludf.DUMMYFUNCTION("""COMPUTED_VALUE"""),"Yes")</f>
        <v>Yes</v>
      </c>
      <c r="AC143" s="5" t="str">
        <f>IFERROR(__xludf.DUMMYFUNCTION("""COMPUTED_VALUE"""),"Yes")</f>
        <v>Yes</v>
      </c>
      <c r="AD143" s="5" t="str">
        <f>IFERROR(__xludf.DUMMYFUNCTION("""COMPUTED_VALUE"""),"Yes")</f>
        <v>Yes</v>
      </c>
      <c r="AE143" s="5" t="str">
        <f>IFERROR(__xludf.DUMMYFUNCTION("""COMPUTED_VALUE"""),"Yes")</f>
        <v>Yes</v>
      </c>
      <c r="AF143" s="5" t="str">
        <f>IFERROR(__xludf.DUMMYFUNCTION("""COMPUTED_VALUE"""),"Yes")</f>
        <v>Yes</v>
      </c>
      <c r="AG143" s="5" t="str">
        <f>IFERROR(__xludf.DUMMYFUNCTION("""COMPUTED_VALUE"""),"Yes")</f>
        <v>Yes</v>
      </c>
      <c r="AH143" s="5" t="str">
        <f>IFERROR(__xludf.DUMMYFUNCTION("""COMPUTED_VALUE"""),"Yes")</f>
        <v>Yes</v>
      </c>
      <c r="AI143" s="5" t="str">
        <f>IFERROR(__xludf.DUMMYFUNCTION("""COMPUTED_VALUE"""),"No")</f>
        <v>No</v>
      </c>
      <c r="AJ143" s="5" t="str">
        <f>IFERROR(__xludf.DUMMYFUNCTION("""COMPUTED_VALUE"""),"No")</f>
        <v>No</v>
      </c>
      <c r="AK143" s="5" t="str">
        <f>IFERROR(__xludf.DUMMYFUNCTION("""COMPUTED_VALUE"""),"No")</f>
        <v>No</v>
      </c>
      <c r="AL143" s="5" t="str">
        <f>IFERROR(__xludf.DUMMYFUNCTION("""COMPUTED_VALUE"""),"No")</f>
        <v>No</v>
      </c>
      <c r="AM143" s="5" t="str">
        <f>IFERROR(__xludf.DUMMYFUNCTION("""COMPUTED_VALUE"""),"No")</f>
        <v>No</v>
      </c>
      <c r="AN143" s="5" t="str">
        <f>IFERROR(__xludf.DUMMYFUNCTION("""COMPUTED_VALUE"""),"No")</f>
        <v>No</v>
      </c>
      <c r="AO143" s="5" t="str">
        <f>IFERROR(__xludf.DUMMYFUNCTION("""COMPUTED_VALUE"""),"Yes")</f>
        <v>Yes</v>
      </c>
      <c r="AP143" s="5" t="str">
        <f>IFERROR(__xludf.DUMMYFUNCTION("""COMPUTED_VALUE"""),"No")</f>
        <v>No</v>
      </c>
      <c r="AQ143" s="5" t="str">
        <f>IFERROR(__xludf.DUMMYFUNCTION("""COMPUTED_VALUE"""),"No")</f>
        <v>No</v>
      </c>
      <c r="AR143" s="5" t="str">
        <f>IFERROR(__xludf.DUMMYFUNCTION("""COMPUTED_VALUE"""),"No")</f>
        <v>No</v>
      </c>
      <c r="AS143" s="5" t="str">
        <f>IFERROR(__xludf.DUMMYFUNCTION("""COMPUTED_VALUE"""),"Yes")</f>
        <v>Yes</v>
      </c>
      <c r="AT143" s="5" t="str">
        <f>IFERROR(__xludf.DUMMYFUNCTION("""COMPUTED_VALUE"""),"No")</f>
        <v>No</v>
      </c>
      <c r="AU143" s="5"/>
      <c r="AV143" s="5" t="str">
        <f>IFERROR(__xludf.DUMMYFUNCTION("""COMPUTED_VALUE"""),"")</f>
        <v/>
      </c>
      <c r="AW143" s="5" t="str">
        <f>IFERROR(__xludf.DUMMYFUNCTION("""COMPUTED_VALUE"""),"")</f>
        <v/>
      </c>
      <c r="AX143" s="5" t="str">
        <f>IFERROR(__xludf.DUMMYFUNCTION("""COMPUTED_VALUE"""),"")</f>
        <v/>
      </c>
      <c r="AY143" s="5" t="str">
        <f>IFERROR(__xludf.DUMMYFUNCTION("""COMPUTED_VALUE"""),"")</f>
        <v/>
      </c>
      <c r="AZ143" s="5" t="str">
        <f>IFERROR(__xludf.DUMMYFUNCTION("""COMPUTED_VALUE"""),"")</f>
        <v/>
      </c>
      <c r="BA143" s="5" t="str">
        <f>IFERROR(__xludf.DUMMYFUNCTION("""COMPUTED_VALUE"""),"")</f>
        <v/>
      </c>
      <c r="BB143" s="5" t="str">
        <f>IFERROR(__xludf.DUMMYFUNCTION("""COMPUTED_VALUE"""),"")</f>
        <v/>
      </c>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s>
  <drawing r:id="rId14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""Playnet"",
  all_rows, IFERROR(FILTER(AllGames_Games!A2:AZ1001, (AllGames_Games!AQ2:AQ1001 = TRUE) + (AllGames_Games!AQ2:AQ1001 = ""TRUE"")), """"),
  base_games, IFERROR(FILTER(all_rows, IF(studio_filter = """", 1, CHOOSECOLS(a"&amp;"ll_rows, 3) = studio_filter)), """"),
  IF(INDEX(base_games, 1, 1) = """", ""Nema rezultata za filter"",
    LET(
      gamename_keys, CHOOSECOLS(base_games, 4),
      gameid_keys, CHOOSECOLS(base_games, 6),
      studio, VSTACK(""GameStudio"", "&amp;"CHOOSECOLS(base_games, 3)),
      name, VSTACK(""GameName"", gamename_keys),
      gameID, VSTACK(""GameID"", gameid_keys),
      release, VSTACK(""ReleaseDate"", CHOOSECOLS(base_games, 19)),
      category, VSTACK(""GameCategoryID"", CHOOSECOLS(base_game"&amp;"s, 11)),
      size, VSTACK(""GameSize"", CHOOSECOLS(base_games, 16)),
      reels, VSTACK(""ReelsAndRows"", CHOOSECOLS(base_games, 21)),
      lines, VSTACK(""Paylines"", CHOOSECOLS(base_games, 22)),
      payLines, VSTACK(""PayableLines"", CHOOSECOLS(ba"&amp;"se_games, 23)),
      rtp, VSTACK(""RTP%"", ARRAYFORMULA(IF(CHOOSECOLS(base_games, 24)="""", """", CHOOSECOLS(base_games, 24) &amp; ""%""))),
      volatility, VSTACK(""VolatilityID"", CHOOSECOLS(base_games, 25)),
      hit, VSTACK(""HitFrequency%"", ARRAYFOR"&amp;"MULA(IF(CHOOSECOLS(base_games, 26)="""", """", CHOOSECOLS(base_games, 26) &amp; ""%""))),
      exposure, VSTACK(""MaxExposure"", ARRAYFORMULA(IF(CHOOSECOLS(base_games, 27)="""", """", ""x"" &amp; CHOOSECOLS(base_games, 27)))),
      bet, VSTACK(""MinandMaxBet(EU"&amp;"R)"", CHOOSECOLS(base_games, 30)),
      jackpot, VSTACK(""Jackpot"", CHOOSECOLS(base_games, 38)),
      features, VSTACK(""Features"", CHOOSECOLS(base_games, 29)),
      demo, VSTACK(""DemoLink"", CHOOSECOLS(base_games, 40)),
      promo, VSTACK(""PromoT"&amp;"ext"", CHOOSECOLS(base_games, 45)),
      part1, HSTACK(studio, name, gameID, release, category, size, reels, lines, payLines, rtp, volatility, hit, exposure, bet, jackpot, features, demo, promo),
      lang_headers, GameLanguages_za_CA!B1:A"&amp;"D1,
      lang_data, ARRAYFORMULA(IFERROR(VLOOKUP(gameid_keys, GameLanguages_za_CA!A:AD, SEQUENCE(1, COLUMNS(lang_headers), 2), 0), """")),
      part2, VSTACK(lang_headers, lang_data),
      jur_headers, FILTER(Jurisdiction_report!B1:BY1, Jurisdic"&amp;"tion_report!B1:BY1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Avai"&amp;"lable)"", """"))),
        LET(
          filtered_headers, CHOOSECOLS(jur_headers, valid_col_indices),
          filtered_data_raw, CHOOSECOLS(jur_data_raw, valid_col_indices),
          filtered_data, ARRAYFORMULA(IF(filtered_data_raw = ""Available"", "&amp;"""Available"",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IFERROR(__xludf.DUMMYFUNCTION("""COMPUTED_VALUE"""),"Jurisdictions (None Available)")</f>
        <v>Jurisdictions (None Available)</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IFERROR(__xludf.DUMMYFUNCTION("""COMPUTED_VALUE"""),"Playnet")</f>
        <v>Playnet</v>
      </c>
      <c r="B3" s="5" t="str">
        <f>IFERROR(__xludf.DUMMYFUNCTION("""COMPUTED_VALUE"""),"Fortune Clover 5")</f>
        <v>Fortune Clover 5</v>
      </c>
      <c r="C3" s="5" t="str">
        <f>IFERROR(__xludf.DUMMYFUNCTION("""COMPUTED_VALUE"""),"FortuneClover5")</f>
        <v>FortuneClover5</v>
      </c>
      <c r="D3" s="6">
        <f>IFERROR(__xludf.DUMMYFUNCTION("""COMPUTED_VALUE"""),45460.0)</f>
        <v>45460</v>
      </c>
      <c r="E3" s="5" t="str">
        <f>IFERROR(__xludf.DUMMYFUNCTION("""COMPUTED_VALUE"""),"Slot")</f>
        <v>Slot</v>
      </c>
      <c r="F3" s="5">
        <f>IFERROR(__xludf.DUMMYFUNCTION("""COMPUTED_VALUE"""),7.1)</f>
        <v>7.1</v>
      </c>
      <c r="G3" s="5" t="str">
        <f>IFERROR(__xludf.DUMMYFUNCTION("""COMPUTED_VALUE"""),"5x3")</f>
        <v>5x3</v>
      </c>
      <c r="H3" s="5">
        <f>IFERROR(__xludf.DUMMYFUNCTION("""COMPUTED_VALUE"""),5.0)</f>
        <v>5</v>
      </c>
      <c r="I3" s="5">
        <f>IFERROR(__xludf.DUMMYFUNCTION("""COMPUTED_VALUE"""),5.0)</f>
        <v>5</v>
      </c>
      <c r="J3" s="5" t="str">
        <f>IFERROR(__xludf.DUMMYFUNCTION("""COMPUTED_VALUE"""),"96.447%")</f>
        <v>96.447%</v>
      </c>
      <c r="K3" s="5" t="str">
        <f>IFERROR(__xludf.DUMMYFUNCTION("""COMPUTED_VALUE"""),"Medium")</f>
        <v>Medium</v>
      </c>
      <c r="L3" s="5" t="str">
        <f>IFERROR(__xludf.DUMMYFUNCTION("""COMPUTED_VALUE"""),"14.505%")</f>
        <v>14.505%</v>
      </c>
      <c r="M3" s="5" t="str">
        <f>IFERROR(__xludf.DUMMYFUNCTION("""COMPUTED_VALUE"""),"x1222")</f>
        <v>x1222</v>
      </c>
      <c r="N3" s="5" t="str">
        <f>IFERROR(__xludf.DUMMYFUNCTION("""COMPUTED_VALUE"""),"0.05/50")</f>
        <v>0.05/50</v>
      </c>
      <c r="O3" s="5" t="str">
        <f>IFERROR(__xludf.DUMMYFUNCTION("""COMPUTED_VALUE"""),"No")</f>
        <v>No</v>
      </c>
      <c r="P3" s="5" t="str">
        <f>IFERROR(__xludf.DUMMYFUNCTION("""COMPUTED_VALUE"""),"Expanding Wild, Scatter")</f>
        <v>Expanding Wild, Scatter</v>
      </c>
      <c r="Q3" s="7" t="str">
        <f>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R3" s="5" t="str">
        <f>IFERROR(__xludf.DUMMYFUNCTION("""COMPUTED_VALUE"""),"Feeling Lucky? Play the Fortune Clover 5 now for a chance to win big! Spin to find fortune among the clovers!")</f>
        <v>Feeling Lucky? Play the Fortune Clover 5 now for a chance to win big! Spin to find fortune among the clovers!</v>
      </c>
      <c r="S3"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3" s="5" t="str">
        <f>IFERROR(__xludf.DUMMYFUNCTION("""COMPUTED_VALUE"""),"Yes")</f>
        <v>Yes</v>
      </c>
      <c r="U3" s="5" t="str">
        <f>IFERROR(__xludf.DUMMYFUNCTION("""COMPUTED_VALUE"""),"Yes")</f>
        <v>Yes</v>
      </c>
      <c r="V3" s="5" t="str">
        <f>IFERROR(__xludf.DUMMYFUNCTION("""COMPUTED_VALUE"""),"No")</f>
        <v>No</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IFERROR(__xludf.DUMMYFUNCTION("""COMPUTED_VALUE"""),"No")</f>
        <v>No</v>
      </c>
      <c r="AH3" s="5" t="str">
        <f>IFERROR(__xludf.DUMMYFUNCTION("""COMPUTED_VALUE"""),"Yes")</f>
        <v>Yes</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t="str">
        <f>IFERROR(__xludf.DUMMYFUNCTION("""COMPUTED_VALUE"""),"No")</f>
        <v>No</v>
      </c>
      <c r="AN3" s="5" t="str">
        <f>IFERROR(__xludf.DUMMYFUNCTION("""COMPUTED_VALUE"""),"No")</f>
        <v>No</v>
      </c>
      <c r="AO3" s="5" t="str">
        <f>IFERROR(__xludf.DUMMYFUNCTION("""COMPUTED_VALUE"""),"No")</f>
        <v>No</v>
      </c>
      <c r="AP3" s="5" t="str">
        <f>IFERROR(__xludf.DUMMYFUNCTION("""COMPUTED_VALUE"""),"No")</f>
        <v>No</v>
      </c>
      <c r="AQ3" s="5" t="str">
        <f>IFERROR(__xludf.DUMMYFUNCTION("""COMPUTED_VALUE"""),"No")</f>
        <v>No</v>
      </c>
      <c r="AR3" s="5" t="str">
        <f>IFERROR(__xludf.DUMMYFUNCTION("""COMPUTED_VALUE"""),"No")</f>
        <v>No</v>
      </c>
      <c r="AS3" s="5" t="str">
        <f>IFERROR(__xludf.DUMMYFUNCTION("""COMPUTED_VALUE"""),"Yes")</f>
        <v>Yes</v>
      </c>
      <c r="AT3" s="5" t="str">
        <f>IFERROR(__xludf.DUMMYFUNCTION("""COMPUTED_VALUE"""),"No")</f>
        <v>No</v>
      </c>
      <c r="AU3" s="5"/>
      <c r="AV3" s="5" t="str">
        <f>IFERROR(__xludf.DUMMYFUNCTION("""COMPUTED_VALUE"""),"")</f>
        <v/>
      </c>
    </row>
    <row r="4">
      <c r="A4" s="5" t="str">
        <f>IFERROR(__xludf.DUMMYFUNCTION("""COMPUTED_VALUE"""),"Playnet")</f>
        <v>Playnet</v>
      </c>
      <c r="B4" s="5" t="str">
        <f>IFERROR(__xludf.DUMMYFUNCTION("""COMPUTED_VALUE"""),"Majestic Crown 10")</f>
        <v>Majestic Crown 10</v>
      </c>
      <c r="C4" s="5" t="str">
        <f>IFERROR(__xludf.DUMMYFUNCTION("""COMPUTED_VALUE"""),"MajesticCrown10")</f>
        <v>MajesticCrown10</v>
      </c>
      <c r="D4" s="6">
        <f>IFERROR(__xludf.DUMMYFUNCTION("""COMPUTED_VALUE"""),45470.0)</f>
        <v>45470</v>
      </c>
      <c r="E4" s="5" t="str">
        <f>IFERROR(__xludf.DUMMYFUNCTION("""COMPUTED_VALUE"""),"Slot")</f>
        <v>Slot</v>
      </c>
      <c r="F4" s="5">
        <f>IFERROR(__xludf.DUMMYFUNCTION("""COMPUTED_VALUE"""),7.1)</f>
        <v>7.1</v>
      </c>
      <c r="G4" s="5" t="str">
        <f>IFERROR(__xludf.DUMMYFUNCTION("""COMPUTED_VALUE"""),"5x3")</f>
        <v>5x3</v>
      </c>
      <c r="H4" s="5">
        <f>IFERROR(__xludf.DUMMYFUNCTION("""COMPUTED_VALUE"""),10.0)</f>
        <v>10</v>
      </c>
      <c r="I4" s="5">
        <f>IFERROR(__xludf.DUMMYFUNCTION("""COMPUTED_VALUE"""),10.0)</f>
        <v>10</v>
      </c>
      <c r="J4" s="5" t="str">
        <f>IFERROR(__xludf.DUMMYFUNCTION("""COMPUTED_VALUE"""),"95.962%")</f>
        <v>95.962%</v>
      </c>
      <c r="K4" s="5" t="str">
        <f>IFERROR(__xludf.DUMMYFUNCTION("""COMPUTED_VALUE"""),"Medium")</f>
        <v>Medium</v>
      </c>
      <c r="L4" s="5" t="str">
        <f>IFERROR(__xludf.DUMMYFUNCTION("""COMPUTED_VALUE"""),"14.634%")</f>
        <v>14.634%</v>
      </c>
      <c r="M4" s="5" t="str">
        <f>IFERROR(__xludf.DUMMYFUNCTION("""COMPUTED_VALUE"""),"x1538")</f>
        <v>x1538</v>
      </c>
      <c r="N4" s="5" t="str">
        <f>IFERROR(__xludf.DUMMYFUNCTION("""COMPUTED_VALUE"""),"0.01/50")</f>
        <v>0.01/50</v>
      </c>
      <c r="O4" s="5" t="str">
        <f>IFERROR(__xludf.DUMMYFUNCTION("""COMPUTED_VALUE"""),"No")</f>
        <v>No</v>
      </c>
      <c r="P4" s="5" t="str">
        <f>IFERROR(__xludf.DUMMYFUNCTION("""COMPUTED_VALUE"""),"Scatter, Expanding Wild")</f>
        <v>Scatter, Expanding Wild</v>
      </c>
      <c r="Q4" s="7" t="str">
        <f>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R4" s="5" t="str">
        <f>IFERROR(__xludf.DUMMYFUNCTION("""COMPUTED_VALUE"""),"Spin to uncover royal treasures and watch as expanding wilds adorn your reels!")</f>
        <v>Spin to uncover royal treasures and watch as expanding wilds adorn your reels!</v>
      </c>
      <c r="S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c r="AN4" s="5"/>
      <c r="AO4" s="5"/>
      <c r="AP4" s="5"/>
      <c r="AQ4" s="5" t="str">
        <f>IFERROR(__xludf.DUMMYFUNCTION("""COMPUTED_VALUE"""),"No")</f>
        <v>No</v>
      </c>
      <c r="AR4" s="5"/>
      <c r="AS4" s="5" t="str">
        <f>IFERROR(__xludf.DUMMYFUNCTION("""COMPUTED_VALUE"""),"Yes")</f>
        <v>Yes</v>
      </c>
      <c r="AT4" s="5"/>
      <c r="AU4" s="5"/>
      <c r="AV4" s="5" t="str">
        <f>IFERROR(__xludf.DUMMYFUNCTION("""COMPUTED_VALUE"""),"")</f>
        <v/>
      </c>
    </row>
    <row r="5">
      <c r="A5" s="5" t="str">
        <f>IFERROR(__xludf.DUMMYFUNCTION("""COMPUTED_VALUE"""),"Playnet")</f>
        <v>Playnet</v>
      </c>
      <c r="B5" s="5" t="str">
        <f>IFERROR(__xludf.DUMMYFUNCTION("""COMPUTED_VALUE"""),"Fortune Clover 40")</f>
        <v>Fortune Clover 40</v>
      </c>
      <c r="C5" s="5" t="str">
        <f>IFERROR(__xludf.DUMMYFUNCTION("""COMPUTED_VALUE"""),"PlayNetFortuneClover40")</f>
        <v>PlayNetFortuneClover40</v>
      </c>
      <c r="D5" s="6">
        <f>IFERROR(__xludf.DUMMYFUNCTION("""COMPUTED_VALUE"""),45502.0)</f>
        <v>45502</v>
      </c>
      <c r="E5" s="5" t="str">
        <f>IFERROR(__xludf.DUMMYFUNCTION("""COMPUTED_VALUE"""),"Slot")</f>
        <v>Slot</v>
      </c>
      <c r="F5" s="5">
        <f>IFERROR(__xludf.DUMMYFUNCTION("""COMPUTED_VALUE"""),7.1)</f>
        <v>7.1</v>
      </c>
      <c r="G5" s="5" t="str">
        <f>IFERROR(__xludf.DUMMYFUNCTION("""COMPUTED_VALUE"""),"5x3")</f>
        <v>5x3</v>
      </c>
      <c r="H5" s="5">
        <f>IFERROR(__xludf.DUMMYFUNCTION("""COMPUTED_VALUE"""),40.0)</f>
        <v>40</v>
      </c>
      <c r="I5" s="5">
        <f>IFERROR(__xludf.DUMMYFUNCTION("""COMPUTED_VALUE"""),40.0)</f>
        <v>40</v>
      </c>
      <c r="J5" s="5" t="str">
        <f>IFERROR(__xludf.DUMMYFUNCTION("""COMPUTED_VALUE"""),"96.53%")</f>
        <v>96.53%</v>
      </c>
      <c r="K5" s="5" t="str">
        <f>IFERROR(__xludf.DUMMYFUNCTION("""COMPUTED_VALUE"""),"Low")</f>
        <v>Low</v>
      </c>
      <c r="L5" s="5" t="str">
        <f>IFERROR(__xludf.DUMMYFUNCTION("""COMPUTED_VALUE"""),"23.377%")</f>
        <v>23.377%</v>
      </c>
      <c r="M5" s="5" t="str">
        <f>IFERROR(__xludf.DUMMYFUNCTION("""COMPUTED_VALUE"""),"x876.75")</f>
        <v>x876.75</v>
      </c>
      <c r="N5" s="5" t="str">
        <f>IFERROR(__xludf.DUMMYFUNCTION("""COMPUTED_VALUE"""),"0.40/60")</f>
        <v>0.40/60</v>
      </c>
      <c r="O5" s="5" t="str">
        <f>IFERROR(__xludf.DUMMYFUNCTION("""COMPUTED_VALUE"""),"No")</f>
        <v>No</v>
      </c>
      <c r="P5" s="5" t="str">
        <f>IFERROR(__xludf.DUMMYFUNCTION("""COMPUTED_VALUE"""),"Scatter, Expanding Wild")</f>
        <v>Scatter, Expanding Wild</v>
      </c>
      <c r="Q5" s="7" t="str">
        <f>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R5" s="5" t="str">
        <f>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S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IFERROR(__xludf.DUMMYFUNCTION("""COMPUTED_VALUE"""),"Yes")</f>
        <v>Yes</v>
      </c>
      <c r="AH5" s="5" t="str">
        <f>IFERROR(__xludf.DUMMYFUNCTION("""COMPUTED_VALUE"""),"Yes")</f>
        <v>Yes</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t="str">
        <f>IFERROR(__xludf.DUMMYFUNCTION("""COMPUTED_VALUE"""),"No")</f>
        <v>No</v>
      </c>
      <c r="AN5" s="5" t="str">
        <f>IFERROR(__xludf.DUMMYFUNCTION("""COMPUTED_VALUE"""),"No")</f>
        <v>No</v>
      </c>
      <c r="AO5" s="5" t="str">
        <f>IFERROR(__xludf.DUMMYFUNCTION("""COMPUTED_VALUE"""),"No")</f>
        <v>No</v>
      </c>
      <c r="AP5" s="5" t="str">
        <f>IFERROR(__xludf.DUMMYFUNCTION("""COMPUTED_VALUE"""),"No")</f>
        <v>No</v>
      </c>
      <c r="AQ5" s="5" t="str">
        <f>IFERROR(__xludf.DUMMYFUNCTION("""COMPUTED_VALUE"""),"No")</f>
        <v>No</v>
      </c>
      <c r="AR5" s="5" t="str">
        <f>IFERROR(__xludf.DUMMYFUNCTION("""COMPUTED_VALUE"""),"No")</f>
        <v>No</v>
      </c>
      <c r="AS5" s="5" t="str">
        <f>IFERROR(__xludf.DUMMYFUNCTION("""COMPUTED_VALUE"""),"Yes")</f>
        <v>Yes</v>
      </c>
      <c r="AT5" s="5" t="str">
        <f>IFERROR(__xludf.DUMMYFUNCTION("""COMPUTED_VALUE"""),"No")</f>
        <v>No</v>
      </c>
      <c r="AU5" s="5"/>
      <c r="AV5" s="5" t="str">
        <f>IFERROR(__xludf.DUMMYFUNCTION("""COMPUTED_VALUE"""),"")</f>
        <v/>
      </c>
    </row>
    <row r="6">
      <c r="A6" s="5" t="str">
        <f>IFERROR(__xludf.DUMMYFUNCTION("""COMPUTED_VALUE"""),"Playnet")</f>
        <v>Playnet</v>
      </c>
      <c r="B6" s="5" t="str">
        <f>IFERROR(__xludf.DUMMYFUNCTION("""COMPUTED_VALUE"""),"Diamond Heart 5")</f>
        <v>Diamond Heart 5</v>
      </c>
      <c r="C6" s="5" t="str">
        <f>IFERROR(__xludf.DUMMYFUNCTION("""COMPUTED_VALUE"""),"PlayNetDiamondHeart5")</f>
        <v>PlayNetDiamondHeart5</v>
      </c>
      <c r="D6" s="6">
        <f>IFERROR(__xludf.DUMMYFUNCTION("""COMPUTED_VALUE"""),45492.0)</f>
        <v>45492</v>
      </c>
      <c r="E6" s="5" t="str">
        <f>IFERROR(__xludf.DUMMYFUNCTION("""COMPUTED_VALUE"""),"Slot")</f>
        <v>Slot</v>
      </c>
      <c r="F6" s="5">
        <f>IFERROR(__xludf.DUMMYFUNCTION("""COMPUTED_VALUE"""),7.1)</f>
        <v>7.1</v>
      </c>
      <c r="G6" s="5" t="str">
        <f>IFERROR(__xludf.DUMMYFUNCTION("""COMPUTED_VALUE"""),"5x3")</f>
        <v>5x3</v>
      </c>
      <c r="H6" s="5">
        <f>IFERROR(__xludf.DUMMYFUNCTION("""COMPUTED_VALUE"""),5.0)</f>
        <v>5</v>
      </c>
      <c r="I6" s="5">
        <f>IFERROR(__xludf.DUMMYFUNCTION("""COMPUTED_VALUE"""),5.0)</f>
        <v>5</v>
      </c>
      <c r="J6" s="5" t="str">
        <f>IFERROR(__xludf.DUMMYFUNCTION("""COMPUTED_VALUE"""),"96.447%")</f>
        <v>96.447%</v>
      </c>
      <c r="K6" s="5" t="str">
        <f>IFERROR(__xludf.DUMMYFUNCTION("""COMPUTED_VALUE"""),"Medium")</f>
        <v>Medium</v>
      </c>
      <c r="L6" s="5" t="str">
        <f>IFERROR(__xludf.DUMMYFUNCTION("""COMPUTED_VALUE"""),"14.505%")</f>
        <v>14.505%</v>
      </c>
      <c r="M6" s="5" t="str">
        <f>IFERROR(__xludf.DUMMYFUNCTION("""COMPUTED_VALUE"""),"x1222")</f>
        <v>x1222</v>
      </c>
      <c r="N6" s="5" t="str">
        <f>IFERROR(__xludf.DUMMYFUNCTION("""COMPUTED_VALUE"""),"0.05/30")</f>
        <v>0.05/30</v>
      </c>
      <c r="O6" s="5" t="str">
        <f>IFERROR(__xludf.DUMMYFUNCTION("""COMPUTED_VALUE"""),"No")</f>
        <v>No</v>
      </c>
      <c r="P6" s="5" t="str">
        <f>IFERROR(__xludf.DUMMYFUNCTION("""COMPUTED_VALUE"""),"Scatter, Expanding Wild")</f>
        <v>Scatter, Expanding Wild</v>
      </c>
      <c r="Q6" s="7" t="str">
        <f>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R6" s="5" t="str">
        <f>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S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6" s="5" t="str">
        <f>IFERROR(__xludf.DUMMYFUNCTION("""COMPUTED_VALUE"""),"Yes")</f>
        <v>Yes</v>
      </c>
      <c r="U6" s="5" t="str">
        <f>IFERROR(__xludf.DUMMYFUNCTION("""COMPUTED_VALUE"""),"Yes")</f>
        <v>Yes</v>
      </c>
      <c r="V6" s="5" t="str">
        <f>IFERROR(__xludf.DUMMYFUNCTION("""COMPUTED_VALUE"""),"Yes")</f>
        <v>Yes</v>
      </c>
      <c r="W6" s="5" t="str">
        <f>IFERROR(__xludf.DUMMYFUNCTION("""COMPUTED_VALUE"""),"Yes")</f>
        <v>Yes</v>
      </c>
      <c r="X6" s="5" t="str">
        <f>IFERROR(__xludf.DUMMYFUNCTION("""COMPUTED_VALUE"""),"Yes")</f>
        <v>Yes</v>
      </c>
      <c r="Y6" s="5" t="str">
        <f>IFERROR(__xludf.DUMMYFUNCTION("""COMPUTED_VALUE"""),"Yes")</f>
        <v>Yes</v>
      </c>
      <c r="Z6" s="5" t="str">
        <f>IFERROR(__xludf.DUMMYFUNCTION("""COMPUTED_VALUE"""),"Yes")</f>
        <v>Yes</v>
      </c>
      <c r="AA6" s="5" t="str">
        <f>IFERROR(__xludf.DUMMYFUNCTION("""COMPUTED_VALUE"""),"Yes")</f>
        <v>Yes</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IFERROR(__xludf.DUMMYFUNCTION("""COMPUTED_VALUE"""),"Yes")</f>
        <v>Yes</v>
      </c>
      <c r="AH6" s="5" t="str">
        <f>IFERROR(__xludf.DUMMYFUNCTION("""COMPUTED_VALUE"""),"Yes")</f>
        <v>Yes</v>
      </c>
      <c r="AI6" s="5" t="str">
        <f>IFERROR(__xludf.DUMMYFUNCTION("""COMPUTED_VALUE"""),"No")</f>
        <v>No</v>
      </c>
      <c r="AJ6" s="5" t="str">
        <f>IFERROR(__xludf.DUMMYFUNCTION("""COMPUTED_VALUE"""),"No")</f>
        <v>No</v>
      </c>
      <c r="AK6" s="5" t="str">
        <f>IFERROR(__xludf.DUMMYFUNCTION("""COMPUTED_VALUE"""),"No")</f>
        <v>No</v>
      </c>
      <c r="AL6" s="5" t="str">
        <f>IFERROR(__xludf.DUMMYFUNCTION("""COMPUTED_VALUE"""),"No")</f>
        <v>No</v>
      </c>
      <c r="AM6" s="5"/>
      <c r="AN6" s="5"/>
      <c r="AO6" s="5"/>
      <c r="AP6" s="5"/>
      <c r="AQ6" s="5" t="str">
        <f>IFERROR(__xludf.DUMMYFUNCTION("""COMPUTED_VALUE"""),"No")</f>
        <v>No</v>
      </c>
      <c r="AR6" s="5"/>
      <c r="AS6" s="5" t="str">
        <f>IFERROR(__xludf.DUMMYFUNCTION("""COMPUTED_VALUE"""),"Yes")</f>
        <v>Yes</v>
      </c>
      <c r="AT6" s="5"/>
      <c r="AU6" s="5"/>
      <c r="AV6" s="5" t="str">
        <f>IFERROR(__xludf.DUMMYFUNCTION("""COMPUTED_VALUE"""),"")</f>
        <v/>
      </c>
    </row>
    <row r="7">
      <c r="A7" s="5" t="str">
        <f>IFERROR(__xludf.DUMMYFUNCTION("""COMPUTED_VALUE"""),"Playnet")</f>
        <v>Playnet</v>
      </c>
      <c r="B7" s="5" t="str">
        <f>IFERROR(__xludf.DUMMYFUNCTION("""COMPUTED_VALUE"""),"Majestic Crown 20")</f>
        <v>Majestic Crown 20</v>
      </c>
      <c r="C7" s="5" t="str">
        <f>IFERROR(__xludf.DUMMYFUNCTION("""COMPUTED_VALUE"""),"PlayNetMajesticCrown20")</f>
        <v>PlayNetMajesticCrown20</v>
      </c>
      <c r="D7" s="6">
        <f>IFERROR(__xludf.DUMMYFUNCTION("""COMPUTED_VALUE"""),45520.0)</f>
        <v>45520</v>
      </c>
      <c r="E7" s="5" t="str">
        <f>IFERROR(__xludf.DUMMYFUNCTION("""COMPUTED_VALUE"""),"Slot")</f>
        <v>Slot</v>
      </c>
      <c r="F7" s="5">
        <f>IFERROR(__xludf.DUMMYFUNCTION("""COMPUTED_VALUE"""),7.0)</f>
        <v>7</v>
      </c>
      <c r="G7" s="5" t="str">
        <f>IFERROR(__xludf.DUMMYFUNCTION("""COMPUTED_VALUE"""),"5x3")</f>
        <v>5x3</v>
      </c>
      <c r="H7" s="5">
        <f>IFERROR(__xludf.DUMMYFUNCTION("""COMPUTED_VALUE"""),20.0)</f>
        <v>20</v>
      </c>
      <c r="I7" s="5">
        <f>IFERROR(__xludf.DUMMYFUNCTION("""COMPUTED_VALUE"""),20.0)</f>
        <v>20</v>
      </c>
      <c r="J7" s="5" t="str">
        <f>IFERROR(__xludf.DUMMYFUNCTION("""COMPUTED_VALUE"""),"96.5%")</f>
        <v>96.5%</v>
      </c>
      <c r="K7" s="5" t="str">
        <f>IFERROR(__xludf.DUMMYFUNCTION("""COMPUTED_VALUE"""),"Medium")</f>
        <v>Medium</v>
      </c>
      <c r="L7" s="5" t="str">
        <f>IFERROR(__xludf.DUMMYFUNCTION("""COMPUTED_VALUE"""),"21.75%")</f>
        <v>21.75%</v>
      </c>
      <c r="M7" s="5" t="str">
        <f>IFERROR(__xludf.DUMMYFUNCTION("""COMPUTED_VALUE"""),"x1200")</f>
        <v>x1200</v>
      </c>
      <c r="N7" s="5" t="str">
        <f>IFERROR(__xludf.DUMMYFUNCTION("""COMPUTED_VALUE"""),"0.20/100")</f>
        <v>0.20/100</v>
      </c>
      <c r="O7" s="5" t="str">
        <f>IFERROR(__xludf.DUMMYFUNCTION("""COMPUTED_VALUE"""),"No")</f>
        <v>No</v>
      </c>
      <c r="P7" s="5" t="str">
        <f>IFERROR(__xludf.DUMMYFUNCTION("""COMPUTED_VALUE"""),"Scatter, Expanding Wild")</f>
        <v>Scatter, Expanding Wild</v>
      </c>
      <c r="Q7" s="7" t="str">
        <f>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R7" s="5" t="str">
        <f>IFERROR(__xludf.DUMMYFUNCTION("""COMPUTED_VALUE"""),"Step into royalty with Majestic Crown 20! Spin the reels and reign over 20 majestic ways to win!")</f>
        <v>Step into royalty with Majestic Crown 20! Spin the reels and reign over 20 majestic ways to win!</v>
      </c>
      <c r="S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IFERROR(__xludf.DUMMYFUNCTION("""COMPUTED_VALUE"""),"No")</f>
        <v>No</v>
      </c>
      <c r="AJ7" s="5" t="str">
        <f>IFERROR(__xludf.DUMMYFUNCTION("""COMPUTED_VALUE"""),"No")</f>
        <v>No</v>
      </c>
      <c r="AK7" s="5" t="str">
        <f>IFERROR(__xludf.DUMMYFUNCTION("""COMPUTED_VALUE"""),"No")</f>
        <v>No</v>
      </c>
      <c r="AL7" s="5" t="str">
        <f>IFERROR(__xludf.DUMMYFUNCTION("""COMPUTED_VALUE"""),"No")</f>
        <v>No</v>
      </c>
      <c r="AM7" s="5"/>
      <c r="AN7" s="5"/>
      <c r="AO7" s="5"/>
      <c r="AP7" s="5"/>
      <c r="AQ7" s="5" t="str">
        <f>IFERROR(__xludf.DUMMYFUNCTION("""COMPUTED_VALUE"""),"No")</f>
        <v>No</v>
      </c>
      <c r="AR7" s="5"/>
      <c r="AS7" s="5" t="str">
        <f>IFERROR(__xludf.DUMMYFUNCTION("""COMPUTED_VALUE"""),"Yes")</f>
        <v>Yes</v>
      </c>
      <c r="AT7" s="5"/>
      <c r="AU7" s="5"/>
      <c r="AV7" s="5" t="str">
        <f>IFERROR(__xludf.DUMMYFUNCTION("""COMPUTED_VALUE"""),"")</f>
        <v/>
      </c>
    </row>
    <row r="8">
      <c r="A8" s="5" t="str">
        <f>IFERROR(__xludf.DUMMYFUNCTION("""COMPUTED_VALUE"""),"Playnet")</f>
        <v>Playnet</v>
      </c>
      <c r="B8" s="5" t="str">
        <f>IFERROR(__xludf.DUMMYFUNCTION("""COMPUTED_VALUE"""),"Diamond Heart 40")</f>
        <v>Diamond Heart 40</v>
      </c>
      <c r="C8" s="5" t="str">
        <f>IFERROR(__xludf.DUMMYFUNCTION("""COMPUTED_VALUE"""),"PlayNetDiamondHeart40")</f>
        <v>PlayNetDiamondHeart40</v>
      </c>
      <c r="D8" s="6">
        <f>IFERROR(__xludf.DUMMYFUNCTION("""COMPUTED_VALUE"""),45530.0)</f>
        <v>45530</v>
      </c>
      <c r="E8" s="5" t="str">
        <f>IFERROR(__xludf.DUMMYFUNCTION("""COMPUTED_VALUE"""),"Slot")</f>
        <v>Slot</v>
      </c>
      <c r="F8" s="5">
        <f>IFERROR(__xludf.DUMMYFUNCTION("""COMPUTED_VALUE"""),7.0)</f>
        <v>7</v>
      </c>
      <c r="G8" s="5" t="str">
        <f>IFERROR(__xludf.DUMMYFUNCTION("""COMPUTED_VALUE"""),"5x3")</f>
        <v>5x3</v>
      </c>
      <c r="H8" s="5">
        <f>IFERROR(__xludf.DUMMYFUNCTION("""COMPUTED_VALUE"""),40.0)</f>
        <v>40</v>
      </c>
      <c r="I8" s="5">
        <f>IFERROR(__xludf.DUMMYFUNCTION("""COMPUTED_VALUE"""),40.0)</f>
        <v>40</v>
      </c>
      <c r="J8" s="5" t="str">
        <f>IFERROR(__xludf.DUMMYFUNCTION("""COMPUTED_VALUE"""),"96.53%")</f>
        <v>96.53%</v>
      </c>
      <c r="K8" s="5" t="str">
        <f>IFERROR(__xludf.DUMMYFUNCTION("""COMPUTED_VALUE"""),"Low")</f>
        <v>Low</v>
      </c>
      <c r="L8" s="5" t="str">
        <f>IFERROR(__xludf.DUMMYFUNCTION("""COMPUTED_VALUE"""),"23.337%")</f>
        <v>23.337%</v>
      </c>
      <c r="M8" s="5" t="str">
        <f>IFERROR(__xludf.DUMMYFUNCTION("""COMPUTED_VALUE"""),"x876.75")</f>
        <v>x876.75</v>
      </c>
      <c r="N8" s="5" t="str">
        <f>IFERROR(__xludf.DUMMYFUNCTION("""COMPUTED_VALUE"""),"0.40/60")</f>
        <v>0.40/60</v>
      </c>
      <c r="O8" s="5" t="str">
        <f>IFERROR(__xludf.DUMMYFUNCTION("""COMPUTED_VALUE"""),"No")</f>
        <v>No</v>
      </c>
      <c r="P8" s="5" t="str">
        <f>IFERROR(__xludf.DUMMYFUNCTION("""COMPUTED_VALUE"""),"Scatter, Expanding Wild")</f>
        <v>Scatter, Expanding Wild</v>
      </c>
      <c r="Q8" s="7" t="str">
        <f>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R8" s="5" t="str">
        <f>IFERROR(__xludf.DUMMYFUNCTION("""COMPUTED_VALUE"""),"Let your heart shine with every spin! Spin the reels and discover 40 ways to win!")</f>
        <v>Let your heart shine with every spin! Spin the reels and discover 40 ways to win!</v>
      </c>
      <c r="S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8" s="5" t="str">
        <f>IFERROR(__xludf.DUMMYFUNCTION("""COMPUTED_VALUE"""),"Yes")</f>
        <v>Yes</v>
      </c>
      <c r="U8" s="5" t="str">
        <f>IFERROR(__xludf.DUMMYFUNCTION("""COMPUTED_VALUE"""),"Yes")</f>
        <v>Yes</v>
      </c>
      <c r="V8" s="5" t="str">
        <f>IFERROR(__xludf.DUMMYFUNCTION("""COMPUTED_VALUE"""),"Yes")</f>
        <v>Yes</v>
      </c>
      <c r="W8" s="5" t="str">
        <f>IFERROR(__xludf.DUMMYFUNCTION("""COMPUTED_VALUE"""),"No")</f>
        <v>No</v>
      </c>
      <c r="X8" s="5" t="str">
        <f>IFERROR(__xludf.DUMMYFUNCTION("""COMPUTED_VALUE"""),"No")</f>
        <v>No</v>
      </c>
      <c r="Y8" s="5" t="str">
        <f>IFERROR(__xludf.DUMMYFUNCTION("""COMPUTED_VALUE"""),"No")</f>
        <v>No</v>
      </c>
      <c r="Z8" s="5" t="str">
        <f>IFERROR(__xludf.DUMMYFUNCTION("""COMPUTED_VALUE"""),"No")</f>
        <v>No</v>
      </c>
      <c r="AA8" s="5" t="str">
        <f>IFERROR(__xludf.DUMMYFUNCTION("""COMPUTED_VALUE"""),"No")</f>
        <v>No</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IFERROR(__xludf.DUMMYFUNCTION("""COMPUTED_VALUE"""),"No")</f>
        <v>No</v>
      </c>
      <c r="AH8" s="5" t="str">
        <f>IFERROR(__xludf.DUMMYFUNCTION("""COMPUTED_VALUE"""),"Yes")</f>
        <v>Yes</v>
      </c>
      <c r="AI8" s="5" t="str">
        <f>IFERROR(__xludf.DUMMYFUNCTION("""COMPUTED_VALUE"""),"No")</f>
        <v>No</v>
      </c>
      <c r="AJ8" s="5" t="str">
        <f>IFERROR(__xludf.DUMMYFUNCTION("""COMPUTED_VALUE"""),"No")</f>
        <v>No</v>
      </c>
      <c r="AK8" s="5" t="str">
        <f>IFERROR(__xludf.DUMMYFUNCTION("""COMPUTED_VALUE"""),"No")</f>
        <v>No</v>
      </c>
      <c r="AL8" s="5" t="str">
        <f>IFERROR(__xludf.DUMMYFUNCTION("""COMPUTED_VALUE"""),"No")</f>
        <v>No</v>
      </c>
      <c r="AM8" s="5"/>
      <c r="AN8" s="5"/>
      <c r="AO8" s="5"/>
      <c r="AP8" s="5"/>
      <c r="AQ8" s="5" t="str">
        <f>IFERROR(__xludf.DUMMYFUNCTION("""COMPUTED_VALUE"""),"No")</f>
        <v>No</v>
      </c>
      <c r="AR8" s="5"/>
      <c r="AS8" s="5"/>
      <c r="AT8" s="5"/>
      <c r="AU8" s="5"/>
      <c r="AV8" s="5" t="str">
        <f>IFERROR(__xludf.DUMMYFUNCTION("""COMPUTED_VALUE"""),"")</f>
        <v/>
      </c>
    </row>
    <row r="9">
      <c r="A9" s="5" t="str">
        <f>IFERROR(__xludf.DUMMYFUNCTION("""COMPUTED_VALUE"""),"Playnet")</f>
        <v>Playnet</v>
      </c>
      <c r="B9" s="5" t="str">
        <f>IFERROR(__xludf.DUMMYFUNCTION("""COMPUTED_VALUE"""),"27 Wild Stacks")</f>
        <v>27 Wild Stacks</v>
      </c>
      <c r="C9" s="5" t="str">
        <f>IFERROR(__xludf.DUMMYFUNCTION("""COMPUTED_VALUE"""),"PlayNet27WildStacks")</f>
        <v>PlayNet27WildStacks</v>
      </c>
      <c r="D9" s="6">
        <f>IFERROR(__xludf.DUMMYFUNCTION("""COMPUTED_VALUE"""),45548.0)</f>
        <v>45548</v>
      </c>
      <c r="E9" s="5" t="str">
        <f>IFERROR(__xludf.DUMMYFUNCTION("""COMPUTED_VALUE"""),"Slot")</f>
        <v>Slot</v>
      </c>
      <c r="F9" s="5">
        <f>IFERROR(__xludf.DUMMYFUNCTION("""COMPUTED_VALUE"""),5.4)</f>
        <v>5.4</v>
      </c>
      <c r="G9" s="5" t="str">
        <f>IFERROR(__xludf.DUMMYFUNCTION("""COMPUTED_VALUE"""),"3x3")</f>
        <v>3x3</v>
      </c>
      <c r="H9" s="5">
        <f>IFERROR(__xludf.DUMMYFUNCTION("""COMPUTED_VALUE"""),27.0)</f>
        <v>27</v>
      </c>
      <c r="I9" s="5">
        <f>IFERROR(__xludf.DUMMYFUNCTION("""COMPUTED_VALUE"""),27.0)</f>
        <v>27</v>
      </c>
      <c r="J9" s="5" t="str">
        <f>IFERROR(__xludf.DUMMYFUNCTION("""COMPUTED_VALUE"""),"96.24%")</f>
        <v>96.24%</v>
      </c>
      <c r="K9" s="5" t="str">
        <f>IFERROR(__xludf.DUMMYFUNCTION("""COMPUTED_VALUE"""),"Low")</f>
        <v>Low</v>
      </c>
      <c r="L9" s="5" t="str">
        <f>IFERROR(__xludf.DUMMYFUNCTION("""COMPUTED_VALUE"""),"6.58%")</f>
        <v>6.58%</v>
      </c>
      <c r="M9" s="5" t="str">
        <f>IFERROR(__xludf.DUMMYFUNCTION("""COMPUTED_VALUE"""),"x108")</f>
        <v>x108</v>
      </c>
      <c r="N9" s="5" t="str">
        <f>IFERROR(__xludf.DUMMYFUNCTION("""COMPUTED_VALUE"""),"0.01/50")</f>
        <v>0.01/50</v>
      </c>
      <c r="O9" s="5" t="str">
        <f>IFERROR(__xludf.DUMMYFUNCTION("""COMPUTED_VALUE"""),"No")</f>
        <v>No</v>
      </c>
      <c r="P9" s="5" t="str">
        <f>IFERROR(__xludf.DUMMYFUNCTION("""COMPUTED_VALUE"""),"Win Multiplier")</f>
        <v>Win Multiplier</v>
      </c>
      <c r="Q9" s="7" t="str">
        <f>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R9" s="5" t="str">
        <f>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S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9" s="5" t="str">
        <f>IFERROR(__xludf.DUMMYFUNCTION("""COMPUTED_VALUE"""),"Yes")</f>
        <v>Yes</v>
      </c>
      <c r="U9" s="5" t="str">
        <f>IFERROR(__xludf.DUMMYFUNCTION("""COMPUTED_VALUE"""),"Yes")</f>
        <v>Yes</v>
      </c>
      <c r="V9" s="5" t="str">
        <f>IFERROR(__xludf.DUMMYFUNCTION("""COMPUTED_VALUE"""),"Yes")</f>
        <v>Yes</v>
      </c>
      <c r="W9" s="5" t="str">
        <f>IFERROR(__xludf.DUMMYFUNCTION("""COMPUTED_VALUE"""),"Yes")</f>
        <v>Yes</v>
      </c>
      <c r="X9" s="5" t="str">
        <f>IFERROR(__xludf.DUMMYFUNCTION("""COMPUTED_VALUE"""),"Yes")</f>
        <v>Yes</v>
      </c>
      <c r="Y9" s="5" t="str">
        <f>IFERROR(__xludf.DUMMYFUNCTION("""COMPUTED_VALUE"""),"Yes")</f>
        <v>Yes</v>
      </c>
      <c r="Z9" s="5" t="str">
        <f>IFERROR(__xludf.DUMMYFUNCTION("""COMPUTED_VALUE"""),"Yes")</f>
        <v>Yes</v>
      </c>
      <c r="AA9" s="5" t="str">
        <f>IFERROR(__xludf.DUMMYFUNCTION("""COMPUTED_VALUE"""),"Yes")</f>
        <v>Yes</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IFERROR(__xludf.DUMMYFUNCTION("""COMPUTED_VALUE"""),"Yes")</f>
        <v>Yes</v>
      </c>
      <c r="AH9" s="5" t="str">
        <f>IFERROR(__xludf.DUMMYFUNCTION("""COMPUTED_VALUE"""),"Yes")</f>
        <v>Yes</v>
      </c>
      <c r="AI9" s="5" t="str">
        <f>IFERROR(__xludf.DUMMYFUNCTION("""COMPUTED_VALUE"""),"No")</f>
        <v>No</v>
      </c>
      <c r="AJ9" s="5" t="str">
        <f>IFERROR(__xludf.DUMMYFUNCTION("""COMPUTED_VALUE"""),"No")</f>
        <v>No</v>
      </c>
      <c r="AK9" s="5" t="str">
        <f>IFERROR(__xludf.DUMMYFUNCTION("""COMPUTED_VALUE"""),"No")</f>
        <v>No</v>
      </c>
      <c r="AL9" s="5" t="str">
        <f>IFERROR(__xludf.DUMMYFUNCTION("""COMPUTED_VALUE"""),"No")</f>
        <v>No</v>
      </c>
      <c r="AM9" s="5"/>
      <c r="AN9" s="5"/>
      <c r="AO9" s="5"/>
      <c r="AP9" s="5"/>
      <c r="AQ9" s="5" t="str">
        <f>IFERROR(__xludf.DUMMYFUNCTION("""COMPUTED_VALUE"""),"No")</f>
        <v>No</v>
      </c>
      <c r="AR9" s="5"/>
      <c r="AS9" s="5" t="str">
        <f>IFERROR(__xludf.DUMMYFUNCTION("""COMPUTED_VALUE"""),"Yes")</f>
        <v>Yes</v>
      </c>
      <c r="AT9" s="5"/>
      <c r="AU9" s="5"/>
      <c r="AV9" s="5" t="str">
        <f>IFERROR(__xludf.DUMMYFUNCTION("""COMPUTED_VALUE"""),"")</f>
        <v/>
      </c>
    </row>
    <row r="10">
      <c r="A10" s="5" t="str">
        <f>IFERROR(__xludf.DUMMYFUNCTION("""COMPUTED_VALUE"""),"Playnet")</f>
        <v>Playnet</v>
      </c>
      <c r="B10" s="5" t="str">
        <f>IFERROR(__xludf.DUMMYFUNCTION("""COMPUTED_VALUE"""),"Dashing Hot 5")</f>
        <v>Dashing Hot 5</v>
      </c>
      <c r="C10" s="5" t="str">
        <f>IFERROR(__xludf.DUMMYFUNCTION("""COMPUTED_VALUE"""),"PlayNetDashingHot5")</f>
        <v>PlayNetDashingHot5</v>
      </c>
      <c r="D10" s="6">
        <f>IFERROR(__xludf.DUMMYFUNCTION("""COMPUTED_VALUE"""),45555.0)</f>
        <v>45555</v>
      </c>
      <c r="E10" s="5" t="str">
        <f>IFERROR(__xludf.DUMMYFUNCTION("""COMPUTED_VALUE"""),"Slot")</f>
        <v>Slot</v>
      </c>
      <c r="F10" s="5">
        <f>IFERROR(__xludf.DUMMYFUNCTION("""COMPUTED_VALUE"""),6.1)</f>
        <v>6.1</v>
      </c>
      <c r="G10" s="5" t="str">
        <f>IFERROR(__xludf.DUMMYFUNCTION("""COMPUTED_VALUE"""),"5x3")</f>
        <v>5x3</v>
      </c>
      <c r="H10" s="5">
        <f>IFERROR(__xludf.DUMMYFUNCTION("""COMPUTED_VALUE"""),5.0)</f>
        <v>5</v>
      </c>
      <c r="I10" s="5">
        <f>IFERROR(__xludf.DUMMYFUNCTION("""COMPUTED_VALUE"""),5.0)</f>
        <v>5</v>
      </c>
      <c r="J10" s="5" t="str">
        <f>IFERROR(__xludf.DUMMYFUNCTION("""COMPUTED_VALUE"""),"95.656%")</f>
        <v>95.656%</v>
      </c>
      <c r="K10" s="5" t="str">
        <f>IFERROR(__xludf.DUMMYFUNCTION("""COMPUTED_VALUE"""),"Medium")</f>
        <v>Medium</v>
      </c>
      <c r="L10" s="5" t="str">
        <f>IFERROR(__xludf.DUMMYFUNCTION("""COMPUTED_VALUE"""),"12.489%")</f>
        <v>12.489%</v>
      </c>
      <c r="M10" s="5" t="str">
        <f>IFERROR(__xludf.DUMMYFUNCTION("""COMPUTED_VALUE"""),"x1000")</f>
        <v>x1000</v>
      </c>
      <c r="N10" s="5" t="str">
        <f>IFERROR(__xludf.DUMMYFUNCTION("""COMPUTED_VALUE"""),"0.05/30")</f>
        <v>0.05/30</v>
      </c>
      <c r="O10" s="5" t="str">
        <f>IFERROR(__xludf.DUMMYFUNCTION("""COMPUTED_VALUE"""),"No")</f>
        <v>No</v>
      </c>
      <c r="P10" s="5" t="str">
        <f>IFERROR(__xludf.DUMMYFUNCTION("""COMPUTED_VALUE"""),"Scatter")</f>
        <v>Scatter</v>
      </c>
      <c r="Q10" s="7" t="str">
        <f>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R10" s="5" t="str">
        <f>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S1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5" t="str">
        <f>IFERROR(__xludf.DUMMYFUNCTION("""COMPUTED_VALUE"""),"Yes")</f>
        <v>Yes</v>
      </c>
      <c r="U10" s="5" t="str">
        <f>IFERROR(__xludf.DUMMYFUNCTION("""COMPUTED_VALUE"""),"Yes")</f>
        <v>Yes</v>
      </c>
      <c r="V10" s="5" t="str">
        <f>IFERROR(__xludf.DUMMYFUNCTION("""COMPUTED_VALUE"""),"Yes")</f>
        <v>Yes</v>
      </c>
      <c r="W10" s="5" t="str">
        <f>IFERROR(__xludf.DUMMYFUNCTION("""COMPUTED_VALUE"""),"No")</f>
        <v>No</v>
      </c>
      <c r="X10" s="5" t="str">
        <f>IFERROR(__xludf.DUMMYFUNCTION("""COMPUTED_VALUE"""),"No")</f>
        <v>No</v>
      </c>
      <c r="Y10" s="5" t="str">
        <f>IFERROR(__xludf.DUMMYFUNCTION("""COMPUTED_VALUE"""),"No")</f>
        <v>No</v>
      </c>
      <c r="Z10" s="5" t="str">
        <f>IFERROR(__xludf.DUMMYFUNCTION("""COMPUTED_VALUE"""),"No")</f>
        <v>No</v>
      </c>
      <c r="AA10" s="5" t="str">
        <f>IFERROR(__xludf.DUMMYFUNCTION("""COMPUTED_VALUE"""),"No")</f>
        <v>No</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IFERROR(__xludf.DUMMYFUNCTION("""COMPUTED_VALUE"""),"No")</f>
        <v>No</v>
      </c>
      <c r="AH10" s="5" t="str">
        <f>IFERROR(__xludf.DUMMYFUNCTION("""COMPUTED_VALUE"""),"Yes")</f>
        <v>Yes</v>
      </c>
      <c r="AI10" s="5" t="str">
        <f>IFERROR(__xludf.DUMMYFUNCTION("""COMPUTED_VALUE"""),"No")</f>
        <v>No</v>
      </c>
      <c r="AJ10" s="5" t="str">
        <f>IFERROR(__xludf.DUMMYFUNCTION("""COMPUTED_VALUE"""),"No")</f>
        <v>No</v>
      </c>
      <c r="AK10" s="5" t="str">
        <f>IFERROR(__xludf.DUMMYFUNCTION("""COMPUTED_VALUE"""),"No")</f>
        <v>No</v>
      </c>
      <c r="AL10" s="5" t="str">
        <f>IFERROR(__xludf.DUMMYFUNCTION("""COMPUTED_VALUE"""),"No")</f>
        <v>No</v>
      </c>
      <c r="AM10" s="5"/>
      <c r="AN10" s="5"/>
      <c r="AO10" s="5"/>
      <c r="AP10" s="5"/>
      <c r="AQ10" s="5" t="str">
        <f>IFERROR(__xludf.DUMMYFUNCTION("""COMPUTED_VALUE"""),"No")</f>
        <v>No</v>
      </c>
      <c r="AR10" s="5"/>
      <c r="AS10" s="5"/>
      <c r="AT10" s="5"/>
      <c r="AU10" s="5"/>
      <c r="AV10" s="5" t="str">
        <f>IFERROR(__xludf.DUMMYFUNCTION("""COMPUTED_VALUE"""),"")</f>
        <v/>
      </c>
    </row>
    <row r="11">
      <c r="A11" s="5" t="str">
        <f>IFERROR(__xludf.DUMMYFUNCTION("""COMPUTED_VALUE"""),"Playnet")</f>
        <v>Playnet</v>
      </c>
      <c r="B11" s="5" t="str">
        <f>IFERROR(__xludf.DUMMYFUNCTION("""COMPUTED_VALUE"""),"Wild Forties")</f>
        <v>Wild Forties</v>
      </c>
      <c r="C11" s="5" t="str">
        <f>IFERROR(__xludf.DUMMYFUNCTION("""COMPUTED_VALUE"""),"PlayNetWildForties")</f>
        <v>PlayNetWildForties</v>
      </c>
      <c r="D11" s="6">
        <f>IFERROR(__xludf.DUMMYFUNCTION("""COMPUTED_VALUE"""),45572.0)</f>
        <v>45572</v>
      </c>
      <c r="E11" s="5" t="str">
        <f>IFERROR(__xludf.DUMMYFUNCTION("""COMPUTED_VALUE"""),"Slot")</f>
        <v>Slot</v>
      </c>
      <c r="F11" s="5">
        <f>IFERROR(__xludf.DUMMYFUNCTION("""COMPUTED_VALUE"""),4.4)</f>
        <v>4.4</v>
      </c>
      <c r="G11" s="5" t="str">
        <f>IFERROR(__xludf.DUMMYFUNCTION("""COMPUTED_VALUE"""),"5x4")</f>
        <v>5x4</v>
      </c>
      <c r="H11" s="5">
        <f>IFERROR(__xludf.DUMMYFUNCTION("""COMPUTED_VALUE"""),40.0)</f>
        <v>40</v>
      </c>
      <c r="I11" s="5">
        <f>IFERROR(__xludf.DUMMYFUNCTION("""COMPUTED_VALUE"""),40.0)</f>
        <v>40</v>
      </c>
      <c r="J11" s="5" t="str">
        <f>IFERROR(__xludf.DUMMYFUNCTION("""COMPUTED_VALUE"""),"96.382%")</f>
        <v>96.382%</v>
      </c>
      <c r="K11" s="5" t="str">
        <f>IFERROR(__xludf.DUMMYFUNCTION("""COMPUTED_VALUE"""),"Medium")</f>
        <v>Medium</v>
      </c>
      <c r="L11" s="5" t="str">
        <f>IFERROR(__xludf.DUMMYFUNCTION("""COMPUTED_VALUE"""),"14.89%")</f>
        <v>14.89%</v>
      </c>
      <c r="M11" s="5" t="str">
        <f>IFERROR(__xludf.DUMMYFUNCTION("""COMPUTED_VALUE"""),"x1000")</f>
        <v>x1000</v>
      </c>
      <c r="N11" s="5" t="str">
        <f>IFERROR(__xludf.DUMMYFUNCTION("""COMPUTED_VALUE"""),"0.4/40")</f>
        <v>0.4/40</v>
      </c>
      <c r="O11" s="5" t="str">
        <f>IFERROR(__xludf.DUMMYFUNCTION("""COMPUTED_VALUE"""),"No")</f>
        <v>No</v>
      </c>
      <c r="P11" s="5" t="str">
        <f>IFERROR(__xludf.DUMMYFUNCTION("""COMPUTED_VALUE"""),"Wild Symbol, Scatter")</f>
        <v>Wild Symbol, Scatter</v>
      </c>
      <c r="Q11" s="7" t="str">
        <f>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R11" s="5" t="str">
        <f>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S1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 s="5" t="str">
        <f>IFERROR(__xludf.DUMMYFUNCTION("""COMPUTED_VALUE"""),"Yes")</f>
        <v>Yes</v>
      </c>
      <c r="U11" s="5" t="str">
        <f>IFERROR(__xludf.DUMMYFUNCTION("""COMPUTED_VALUE"""),"Yes")</f>
        <v>Yes</v>
      </c>
      <c r="V11" s="5" t="str">
        <f>IFERROR(__xludf.DUMMYFUNCTION("""COMPUTED_VALUE"""),"No")</f>
        <v>No</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IFERROR(__xludf.DUMMYFUNCTION("""COMPUTED_VALUE"""),"Yes")</f>
        <v>Yes</v>
      </c>
      <c r="AH11" s="5" t="str">
        <f>IFERROR(__xludf.DUMMYFUNCTION("""COMPUTED_VALUE"""),"Yes")</f>
        <v>Yes</v>
      </c>
      <c r="AI11" s="5" t="str">
        <f>IFERROR(__xludf.DUMMYFUNCTION("""COMPUTED_VALUE"""),"No")</f>
        <v>No</v>
      </c>
      <c r="AJ11" s="5" t="str">
        <f>IFERROR(__xludf.DUMMYFUNCTION("""COMPUTED_VALUE"""),"No")</f>
        <v>No</v>
      </c>
      <c r="AK11" s="5" t="str">
        <f>IFERROR(__xludf.DUMMYFUNCTION("""COMPUTED_VALUE"""),"No")</f>
        <v>No</v>
      </c>
      <c r="AL11" s="5" t="str">
        <f>IFERROR(__xludf.DUMMYFUNCTION("""COMPUTED_VALUE"""),"No")</f>
        <v>No</v>
      </c>
      <c r="AM11" s="5" t="str">
        <f>IFERROR(__xludf.DUMMYFUNCTION("""COMPUTED_VALUE"""),"No")</f>
        <v>No</v>
      </c>
      <c r="AN11" s="5" t="str">
        <f>IFERROR(__xludf.DUMMYFUNCTION("""COMPUTED_VALUE"""),"No")</f>
        <v>No</v>
      </c>
      <c r="AO11" s="5" t="str">
        <f>IFERROR(__xludf.DUMMYFUNCTION("""COMPUTED_VALUE"""),"No")</f>
        <v>No</v>
      </c>
      <c r="AP11" s="5" t="str">
        <f>IFERROR(__xludf.DUMMYFUNCTION("""COMPUTED_VALUE"""),"No")</f>
        <v>No</v>
      </c>
      <c r="AQ11" s="5" t="str">
        <f>IFERROR(__xludf.DUMMYFUNCTION("""COMPUTED_VALUE"""),"No")</f>
        <v>No</v>
      </c>
      <c r="AR11" s="5" t="str">
        <f>IFERROR(__xludf.DUMMYFUNCTION("""COMPUTED_VALUE"""),"No")</f>
        <v>No</v>
      </c>
      <c r="AS11" s="5" t="str">
        <f>IFERROR(__xludf.DUMMYFUNCTION("""COMPUTED_VALUE"""),"Yes")</f>
        <v>Yes</v>
      </c>
      <c r="AT11" s="5" t="str">
        <f>IFERROR(__xludf.DUMMYFUNCTION("""COMPUTED_VALUE"""),"No")</f>
        <v>No</v>
      </c>
      <c r="AU11" s="5"/>
      <c r="AV11" s="5" t="str">
        <f>IFERROR(__xludf.DUMMYFUNCTION("""COMPUTED_VALUE"""),"")</f>
        <v/>
      </c>
    </row>
    <row r="12">
      <c r="A12" s="5" t="str">
        <f>IFERROR(__xludf.DUMMYFUNCTION("""COMPUTED_VALUE"""),"Playnet")</f>
        <v>Playnet</v>
      </c>
      <c r="B12" s="5" t="str">
        <f>IFERROR(__xludf.DUMMYFUNCTION("""COMPUTED_VALUE"""),"Book Of Amun")</f>
        <v>Book Of Amun</v>
      </c>
      <c r="C12" s="5" t="str">
        <f>IFERROR(__xludf.DUMMYFUNCTION("""COMPUTED_VALUE"""),"PlayNetBookOfAmun")</f>
        <v>PlayNetBookOfAmun</v>
      </c>
      <c r="D12" s="6">
        <f>IFERROR(__xludf.DUMMYFUNCTION("""COMPUTED_VALUE"""),45590.0)</f>
        <v>45590</v>
      </c>
      <c r="E12" s="5" t="str">
        <f>IFERROR(__xludf.DUMMYFUNCTION("""COMPUTED_VALUE"""),"Slot")</f>
        <v>Slot</v>
      </c>
      <c r="F12" s="5">
        <f>IFERROR(__xludf.DUMMYFUNCTION("""COMPUTED_VALUE"""),10.0)</f>
        <v>10</v>
      </c>
      <c r="G12" s="5" t="str">
        <f>IFERROR(__xludf.DUMMYFUNCTION("""COMPUTED_VALUE"""),"5x3")</f>
        <v>5x3</v>
      </c>
      <c r="H12" s="5">
        <f>IFERROR(__xludf.DUMMYFUNCTION("""COMPUTED_VALUE"""),10.0)</f>
        <v>10</v>
      </c>
      <c r="I12" s="5">
        <f>IFERROR(__xludf.DUMMYFUNCTION("""COMPUTED_VALUE"""),10.0)</f>
        <v>10</v>
      </c>
      <c r="J12" s="5" t="str">
        <f>IFERROR(__xludf.DUMMYFUNCTION("""COMPUTED_VALUE"""),"96.064%")</f>
        <v>96.064%</v>
      </c>
      <c r="K12" s="5" t="str">
        <f>IFERROR(__xludf.DUMMYFUNCTION("""COMPUTED_VALUE"""),"High")</f>
        <v>High</v>
      </c>
      <c r="L12" s="5" t="str">
        <f>IFERROR(__xludf.DUMMYFUNCTION("""COMPUTED_VALUE"""),"31.467%")</f>
        <v>31.467%</v>
      </c>
      <c r="M12" s="5" t="str">
        <f>IFERROR(__xludf.DUMMYFUNCTION("""COMPUTED_VALUE"""),"x5512")</f>
        <v>x5512</v>
      </c>
      <c r="N12" s="5" t="str">
        <f>IFERROR(__xludf.DUMMYFUNCTION("""COMPUTED_VALUE"""),"0.01/40")</f>
        <v>0.01/40</v>
      </c>
      <c r="O12" s="5" t="str">
        <f>IFERROR(__xludf.DUMMYFUNCTION("""COMPUTED_VALUE"""),"No")</f>
        <v>No</v>
      </c>
      <c r="P12" s="5" t="str">
        <f>IFERROR(__xludf.DUMMYFUNCTION("""COMPUTED_VALUE"""),"Bonus Game with Free Spins, Book Of Game, Wild Symbol, Scatter")</f>
        <v>Bonus Game with Free Spins, Book Of Game, Wild Symbol, Scatter</v>
      </c>
      <c r="Q12" s="7" t="str">
        <f>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R12" s="5" t="str">
        <f>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S1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IFERROR(__xludf.DUMMYFUNCTION("""COMPUTED_VALUE"""),"No")</f>
        <v>No</v>
      </c>
      <c r="AJ12" s="5" t="str">
        <f>IFERROR(__xludf.DUMMYFUNCTION("""COMPUTED_VALUE"""),"No")</f>
        <v>No</v>
      </c>
      <c r="AK12" s="5" t="str">
        <f>IFERROR(__xludf.DUMMYFUNCTION("""COMPUTED_VALUE"""),"No")</f>
        <v>No</v>
      </c>
      <c r="AL12" s="5" t="str">
        <f>IFERROR(__xludf.DUMMYFUNCTION("""COMPUTED_VALUE"""),"No")</f>
        <v>No</v>
      </c>
      <c r="AM12" s="5"/>
      <c r="AN12" s="5"/>
      <c r="AO12" s="5"/>
      <c r="AP12" s="5"/>
      <c r="AQ12" s="5" t="str">
        <f>IFERROR(__xludf.DUMMYFUNCTION("""COMPUTED_VALUE"""),"No")</f>
        <v>No</v>
      </c>
      <c r="AR12" s="5"/>
      <c r="AS12" s="5" t="str">
        <f>IFERROR(__xludf.DUMMYFUNCTION("""COMPUTED_VALUE"""),"Yes")</f>
        <v>Yes</v>
      </c>
      <c r="AT12" s="5"/>
      <c r="AU12" s="5"/>
      <c r="AV12" s="5" t="str">
        <f>IFERROR(__xludf.DUMMYFUNCTION("""COMPUTED_VALUE"""),"")</f>
        <v/>
      </c>
    </row>
    <row r="13">
      <c r="A13" s="5" t="str">
        <f>IFERROR(__xludf.DUMMYFUNCTION("""COMPUTED_VALUE"""),"Playnet")</f>
        <v>Playnet</v>
      </c>
      <c r="B13" s="5" t="str">
        <f>IFERROR(__xludf.DUMMYFUNCTION("""COMPUTED_VALUE"""),"27 Wild Stacks Xmas")</f>
        <v>27 Wild Stacks Xmas</v>
      </c>
      <c r="C13" s="5" t="str">
        <f>IFERROR(__xludf.DUMMYFUNCTION("""COMPUTED_VALUE"""),"PlayNet27WildStacksXmas")</f>
        <v>PlayNet27WildStacksXmas</v>
      </c>
      <c r="D13" s="6">
        <f>IFERROR(__xludf.DUMMYFUNCTION("""COMPUTED_VALUE"""),45617.0)</f>
        <v>45617</v>
      </c>
      <c r="E13" s="5" t="str">
        <f>IFERROR(__xludf.DUMMYFUNCTION("""COMPUTED_VALUE"""),"Slot")</f>
        <v>Slot</v>
      </c>
      <c r="F13" s="5">
        <f>IFERROR(__xludf.DUMMYFUNCTION("""COMPUTED_VALUE"""),6.3)</f>
        <v>6.3</v>
      </c>
      <c r="G13" s="5" t="str">
        <f>IFERROR(__xludf.DUMMYFUNCTION("""COMPUTED_VALUE"""),"3x3")</f>
        <v>3x3</v>
      </c>
      <c r="H13" s="5">
        <f>IFERROR(__xludf.DUMMYFUNCTION("""COMPUTED_VALUE"""),27.0)</f>
        <v>27</v>
      </c>
      <c r="I13" s="5">
        <f>IFERROR(__xludf.DUMMYFUNCTION("""COMPUTED_VALUE"""),27.0)</f>
        <v>27</v>
      </c>
      <c r="J13" s="5" t="str">
        <f>IFERROR(__xludf.DUMMYFUNCTION("""COMPUTED_VALUE"""),"96.24%")</f>
        <v>96.24%</v>
      </c>
      <c r="K13" s="5" t="str">
        <f>IFERROR(__xludf.DUMMYFUNCTION("""COMPUTED_VALUE"""),"Low")</f>
        <v>Low</v>
      </c>
      <c r="L13" s="5" t="str">
        <f>IFERROR(__xludf.DUMMYFUNCTION("""COMPUTED_VALUE"""),"6.58%")</f>
        <v>6.58%</v>
      </c>
      <c r="M13" s="5" t="str">
        <f>IFERROR(__xludf.DUMMYFUNCTION("""COMPUTED_VALUE"""),"x108")</f>
        <v>x108</v>
      </c>
      <c r="N13" s="5" t="str">
        <f>IFERROR(__xludf.DUMMYFUNCTION("""COMPUTED_VALUE"""),"0.01/50")</f>
        <v>0.01/50</v>
      </c>
      <c r="O13" s="5" t="str">
        <f>IFERROR(__xludf.DUMMYFUNCTION("""COMPUTED_VALUE"""),"No")</f>
        <v>No</v>
      </c>
      <c r="P13" s="5" t="str">
        <f>IFERROR(__xludf.DUMMYFUNCTION("""COMPUTED_VALUE"""),"Win Multiplier")</f>
        <v>Win Multiplier</v>
      </c>
      <c r="Q13" s="7" t="str">
        <f>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R13" s="5" t="str">
        <f>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S1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3" s="5" t="str">
        <f>IFERROR(__xludf.DUMMYFUNCTION("""COMPUTED_VALUE"""),"Yes")</f>
        <v>Yes</v>
      </c>
      <c r="U13" s="5" t="str">
        <f>IFERROR(__xludf.DUMMYFUNCTION("""COMPUTED_VALUE"""),"Yes")</f>
        <v>Yes</v>
      </c>
      <c r="V13" s="5" t="str">
        <f>IFERROR(__xludf.DUMMYFUNCTION("""COMPUTED_VALUE"""),"Yes")</f>
        <v>Yes</v>
      </c>
      <c r="W13" s="5" t="str">
        <f>IFERROR(__xludf.DUMMYFUNCTION("""COMPUTED_VALUE"""),"Yes")</f>
        <v>Yes</v>
      </c>
      <c r="X13" s="5" t="str">
        <f>IFERROR(__xludf.DUMMYFUNCTION("""COMPUTED_VALUE"""),"Yes")</f>
        <v>Yes</v>
      </c>
      <c r="Y13" s="5" t="str">
        <f>IFERROR(__xludf.DUMMYFUNCTION("""COMPUTED_VALUE"""),"Yes")</f>
        <v>Yes</v>
      </c>
      <c r="Z13" s="5" t="str">
        <f>IFERROR(__xludf.DUMMYFUNCTION("""COMPUTED_VALUE"""),"Yes")</f>
        <v>Yes</v>
      </c>
      <c r="AA13" s="5" t="str">
        <f>IFERROR(__xludf.DUMMYFUNCTION("""COMPUTED_VALUE"""),"Yes")</f>
        <v>Yes</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IFERROR(__xludf.DUMMYFUNCTION("""COMPUTED_VALUE"""),"Yes")</f>
        <v>Yes</v>
      </c>
      <c r="AH13" s="5" t="str">
        <f>IFERROR(__xludf.DUMMYFUNCTION("""COMPUTED_VALUE"""),"Yes")</f>
        <v>Yes</v>
      </c>
      <c r="AI13" s="5" t="str">
        <f>IFERROR(__xludf.DUMMYFUNCTION("""COMPUTED_VALUE"""),"No")</f>
        <v>No</v>
      </c>
      <c r="AJ13" s="5" t="str">
        <f>IFERROR(__xludf.DUMMYFUNCTION("""COMPUTED_VALUE"""),"No")</f>
        <v>No</v>
      </c>
      <c r="AK13" s="5" t="str">
        <f>IFERROR(__xludf.DUMMYFUNCTION("""COMPUTED_VALUE"""),"No")</f>
        <v>No</v>
      </c>
      <c r="AL13" s="5" t="str">
        <f>IFERROR(__xludf.DUMMYFUNCTION("""COMPUTED_VALUE"""),"No")</f>
        <v>No</v>
      </c>
      <c r="AM13" s="5" t="str">
        <f>IFERROR(__xludf.DUMMYFUNCTION("""COMPUTED_VALUE"""),"No")</f>
        <v>No</v>
      </c>
      <c r="AN13" s="5" t="str">
        <f>IFERROR(__xludf.DUMMYFUNCTION("""COMPUTED_VALUE"""),"No")</f>
        <v>No</v>
      </c>
      <c r="AO13" s="5" t="str">
        <f>IFERROR(__xludf.DUMMYFUNCTION("""COMPUTED_VALUE"""),"No")</f>
        <v>No</v>
      </c>
      <c r="AP13" s="5" t="str">
        <f>IFERROR(__xludf.DUMMYFUNCTION("""COMPUTED_VALUE"""),"No")</f>
        <v>No</v>
      </c>
      <c r="AQ13" s="5" t="str">
        <f>IFERROR(__xludf.DUMMYFUNCTION("""COMPUTED_VALUE"""),"No")</f>
        <v>No</v>
      </c>
      <c r="AR13" s="5" t="str">
        <f>IFERROR(__xludf.DUMMYFUNCTION("""COMPUTED_VALUE"""),"No")</f>
        <v>No</v>
      </c>
      <c r="AS13" s="5" t="str">
        <f>IFERROR(__xludf.DUMMYFUNCTION("""COMPUTED_VALUE"""),"Yes")</f>
        <v>Yes</v>
      </c>
      <c r="AT13" s="5" t="str">
        <f>IFERROR(__xludf.DUMMYFUNCTION("""COMPUTED_VALUE"""),"No")</f>
        <v>No</v>
      </c>
      <c r="AU13" s="5"/>
      <c r="AV13" s="5" t="str">
        <f>IFERROR(__xludf.DUMMYFUNCTION("""COMPUTED_VALUE"""),"")</f>
        <v/>
      </c>
    </row>
    <row r="14">
      <c r="A14" s="5" t="str">
        <f>IFERROR(__xludf.DUMMYFUNCTION("""COMPUTED_VALUE"""),"Playnet")</f>
        <v>Playnet</v>
      </c>
      <c r="B14" s="5" t="str">
        <f>IFERROR(__xludf.DUMMYFUNCTION("""COMPUTED_VALUE"""),"Majestic Crown 20 Xmas")</f>
        <v>Majestic Crown 20 Xmas</v>
      </c>
      <c r="C14" s="5" t="str">
        <f>IFERROR(__xludf.DUMMYFUNCTION("""COMPUTED_VALUE"""),"PlayNetMajesticCrown20Xmas")</f>
        <v>PlayNetMajesticCrown20Xmas</v>
      </c>
      <c r="D14" s="6">
        <f>IFERROR(__xludf.DUMMYFUNCTION("""COMPUTED_VALUE"""),45629.0)</f>
        <v>45629</v>
      </c>
      <c r="E14" s="5" t="str">
        <f>IFERROR(__xludf.DUMMYFUNCTION("""COMPUTED_VALUE"""),"Slot")</f>
        <v>Slot</v>
      </c>
      <c r="F14" s="5">
        <f>IFERROR(__xludf.DUMMYFUNCTION("""COMPUTED_VALUE"""),7.5)</f>
        <v>7.5</v>
      </c>
      <c r="G14" s="5" t="str">
        <f>IFERROR(__xludf.DUMMYFUNCTION("""COMPUTED_VALUE"""),"5x3")</f>
        <v>5x3</v>
      </c>
      <c r="H14" s="5">
        <f>IFERROR(__xludf.DUMMYFUNCTION("""COMPUTED_VALUE"""),20.0)</f>
        <v>20</v>
      </c>
      <c r="I14" s="5">
        <f>IFERROR(__xludf.DUMMYFUNCTION("""COMPUTED_VALUE"""),20.0)</f>
        <v>20</v>
      </c>
      <c r="J14" s="5" t="str">
        <f>IFERROR(__xludf.DUMMYFUNCTION("""COMPUTED_VALUE"""),"96.5%")</f>
        <v>96.5%</v>
      </c>
      <c r="K14" s="5" t="str">
        <f>IFERROR(__xludf.DUMMYFUNCTION("""COMPUTED_VALUE"""),"Medium")</f>
        <v>Medium</v>
      </c>
      <c r="L14" s="5" t="str">
        <f>IFERROR(__xludf.DUMMYFUNCTION("""COMPUTED_VALUE"""),"21.75%")</f>
        <v>21.75%</v>
      </c>
      <c r="M14" s="5" t="str">
        <f>IFERROR(__xludf.DUMMYFUNCTION("""COMPUTED_VALUE"""),"x1200")</f>
        <v>x1200</v>
      </c>
      <c r="N14" s="5" t="str">
        <f>IFERROR(__xludf.DUMMYFUNCTION("""COMPUTED_VALUE"""),"0.20/100")</f>
        <v>0.20/100</v>
      </c>
      <c r="O14" s="5" t="str">
        <f>IFERROR(__xludf.DUMMYFUNCTION("""COMPUTED_VALUE"""),"No")</f>
        <v>No</v>
      </c>
      <c r="P14" s="5" t="str">
        <f>IFERROR(__xludf.DUMMYFUNCTION("""COMPUTED_VALUE"""),"Expanding Wild, Scatter")</f>
        <v>Expanding Wild, Scatter</v>
      </c>
      <c r="Q14" s="7" t="str">
        <f>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R14" s="5" t="str">
        <f>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S14"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IFERROR(__xludf.DUMMYFUNCTION("""COMPUTED_VALUE"""),"No")</f>
        <v>No</v>
      </c>
      <c r="AH14" s="5" t="str">
        <f>IFERROR(__xludf.DUMMYFUNCTION("""COMPUTED_VALUE"""),"Yes")</f>
        <v>Yes</v>
      </c>
      <c r="AI14" s="5" t="str">
        <f>IFERROR(__xludf.DUMMYFUNCTION("""COMPUTED_VALUE"""),"No")</f>
        <v>No</v>
      </c>
      <c r="AJ14" s="5" t="str">
        <f>IFERROR(__xludf.DUMMYFUNCTION("""COMPUTED_VALUE"""),"No")</f>
        <v>No</v>
      </c>
      <c r="AK14" s="5" t="str">
        <f>IFERROR(__xludf.DUMMYFUNCTION("""COMPUTED_VALUE"""),"No")</f>
        <v>No</v>
      </c>
      <c r="AL14" s="5" t="str">
        <f>IFERROR(__xludf.DUMMYFUNCTION("""COMPUTED_VALUE"""),"No")</f>
        <v>No</v>
      </c>
      <c r="AM14" s="5"/>
      <c r="AN14" s="5"/>
      <c r="AO14" s="5" t="str">
        <f>IFERROR(__xludf.DUMMYFUNCTION("""COMPUTED_VALUE"""),"No")</f>
        <v>No</v>
      </c>
      <c r="AP14" s="5"/>
      <c r="AQ14" s="5" t="str">
        <f>IFERROR(__xludf.DUMMYFUNCTION("""COMPUTED_VALUE"""),"No")</f>
        <v>No</v>
      </c>
      <c r="AR14" s="5"/>
      <c r="AS14" s="5" t="str">
        <f>IFERROR(__xludf.DUMMYFUNCTION("""COMPUTED_VALUE"""),"Yes")</f>
        <v>Yes</v>
      </c>
      <c r="AT14" s="5" t="str">
        <f>IFERROR(__xludf.DUMMYFUNCTION("""COMPUTED_VALUE"""),"Yes")</f>
        <v>Yes</v>
      </c>
      <c r="AU14" s="5"/>
      <c r="AV14" s="5" t="str">
        <f>IFERROR(__xludf.DUMMYFUNCTION("""COMPUTED_VALUE"""),"")</f>
        <v/>
      </c>
    </row>
    <row r="15">
      <c r="A15" s="5" t="str">
        <f>IFERROR(__xludf.DUMMYFUNCTION("""COMPUTED_VALUE"""),"Playnet")</f>
        <v>Playnet</v>
      </c>
      <c r="B15" s="5" t="str">
        <f>IFERROR(__xludf.DUMMYFUNCTION("""COMPUTED_VALUE"""),"Wild Forties Xmas")</f>
        <v>Wild Forties Xmas</v>
      </c>
      <c r="C15" s="5" t="str">
        <f>IFERROR(__xludf.DUMMYFUNCTION("""COMPUTED_VALUE"""),"PlayNetWildFortiesXmas")</f>
        <v>PlayNetWildFortiesXmas</v>
      </c>
      <c r="D15" s="6">
        <f>IFERROR(__xludf.DUMMYFUNCTION("""COMPUTED_VALUE"""),45645.0)</f>
        <v>45645</v>
      </c>
      <c r="E15" s="5" t="str">
        <f>IFERROR(__xludf.DUMMYFUNCTION("""COMPUTED_VALUE"""),"Slot")</f>
        <v>Slot</v>
      </c>
      <c r="F15" s="5">
        <f>IFERROR(__xludf.DUMMYFUNCTION("""COMPUTED_VALUE"""),6.8)</f>
        <v>6.8</v>
      </c>
      <c r="G15" s="5" t="str">
        <f>IFERROR(__xludf.DUMMYFUNCTION("""COMPUTED_VALUE"""),"5x4")</f>
        <v>5x4</v>
      </c>
      <c r="H15" s="5">
        <f>IFERROR(__xludf.DUMMYFUNCTION("""COMPUTED_VALUE"""),40.0)</f>
        <v>40</v>
      </c>
      <c r="I15" s="5">
        <f>IFERROR(__xludf.DUMMYFUNCTION("""COMPUTED_VALUE"""),40.0)</f>
        <v>40</v>
      </c>
      <c r="J15" s="5" t="str">
        <f>IFERROR(__xludf.DUMMYFUNCTION("""COMPUTED_VALUE"""),"96.382%")</f>
        <v>96.382%</v>
      </c>
      <c r="K15" s="5" t="str">
        <f>IFERROR(__xludf.DUMMYFUNCTION("""COMPUTED_VALUE"""),"Medium")</f>
        <v>Medium</v>
      </c>
      <c r="L15" s="5" t="str">
        <f>IFERROR(__xludf.DUMMYFUNCTION("""COMPUTED_VALUE"""),"14.89%")</f>
        <v>14.89%</v>
      </c>
      <c r="M15" s="5" t="str">
        <f>IFERROR(__xludf.DUMMYFUNCTION("""COMPUTED_VALUE"""),"x1000")</f>
        <v>x1000</v>
      </c>
      <c r="N15" s="5" t="str">
        <f>IFERROR(__xludf.DUMMYFUNCTION("""COMPUTED_VALUE"""),"0.4/40")</f>
        <v>0.4/40</v>
      </c>
      <c r="O15" s="5" t="str">
        <f>IFERROR(__xludf.DUMMYFUNCTION("""COMPUTED_VALUE"""),"No")</f>
        <v>No</v>
      </c>
      <c r="P15" s="5" t="str">
        <f>IFERROR(__xludf.DUMMYFUNCTION("""COMPUTED_VALUE"""),"Wild Symbol, Scatter")</f>
        <v>Wild Symbol, Scatter</v>
      </c>
      <c r="Q15" s="7" t="str">
        <f>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R15" s="5" t="str">
        <f>IFERROR(__xludf.DUMMYFUNCTION("""COMPUTED_VALUE"""),"Spin the reels and unwrap timeless fun, where every spin brings you closer to festive surprises and juicy rewards!")</f>
        <v>Spin the reels and unwrap timeless fun, where every spin brings you closer to festive surprises and juicy rewards!</v>
      </c>
      <c r="S15"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IFERROR(__xludf.DUMMYFUNCTION("""COMPUTED_VALUE"""),"No")</f>
        <v>No</v>
      </c>
      <c r="AH15" s="5" t="str">
        <f>IFERROR(__xludf.DUMMYFUNCTION("""COMPUTED_VALUE"""),"Yes")</f>
        <v>Yes</v>
      </c>
      <c r="AI15" s="5" t="str">
        <f>IFERROR(__xludf.DUMMYFUNCTION("""COMPUTED_VALUE"""),"No")</f>
        <v>No</v>
      </c>
      <c r="AJ15" s="5" t="str">
        <f>IFERROR(__xludf.DUMMYFUNCTION("""COMPUTED_VALUE"""),"No")</f>
        <v>No</v>
      </c>
      <c r="AK15" s="5" t="str">
        <f>IFERROR(__xludf.DUMMYFUNCTION("""COMPUTED_VALUE"""),"No")</f>
        <v>No</v>
      </c>
      <c r="AL15" s="5" t="str">
        <f>IFERROR(__xludf.DUMMYFUNCTION("""COMPUTED_VALUE"""),"No")</f>
        <v>No</v>
      </c>
      <c r="AM15" s="5"/>
      <c r="AN15" s="5"/>
      <c r="AO15" s="5" t="str">
        <f>IFERROR(__xludf.DUMMYFUNCTION("""COMPUTED_VALUE"""),"No")</f>
        <v>No</v>
      </c>
      <c r="AP15" s="5"/>
      <c r="AQ15" s="5" t="str">
        <f>IFERROR(__xludf.DUMMYFUNCTION("""COMPUTED_VALUE"""),"No")</f>
        <v>No</v>
      </c>
      <c r="AR15" s="5"/>
      <c r="AS15" s="5" t="str">
        <f>IFERROR(__xludf.DUMMYFUNCTION("""COMPUTED_VALUE"""),"Yes")</f>
        <v>Yes</v>
      </c>
      <c r="AT15" s="5" t="str">
        <f>IFERROR(__xludf.DUMMYFUNCTION("""COMPUTED_VALUE"""),"Yes")</f>
        <v>Yes</v>
      </c>
      <c r="AU15" s="5"/>
      <c r="AV15" s="5" t="str">
        <f>IFERROR(__xludf.DUMMYFUNCTION("""COMPUTED_VALUE"""),"")</f>
        <v/>
      </c>
    </row>
    <row r="16">
      <c r="A16" s="5" t="str">
        <f>IFERROR(__xludf.DUMMYFUNCTION("""COMPUTED_VALUE"""),"Playnet")</f>
        <v>Playnet</v>
      </c>
      <c r="B16" s="5" t="str">
        <f>IFERROR(__xludf.DUMMYFUNCTION("""COMPUTED_VALUE"""),"Fortune Clover x2")</f>
        <v>Fortune Clover x2</v>
      </c>
      <c r="C16" s="5" t="str">
        <f>IFERROR(__xludf.DUMMYFUNCTION("""COMPUTED_VALUE"""),"PlayNetFortuneCloverX2")</f>
        <v>PlayNetFortuneCloverX2</v>
      </c>
      <c r="D16" s="6">
        <f>IFERROR(__xludf.DUMMYFUNCTION("""COMPUTED_VALUE"""),45685.0)</f>
        <v>45685</v>
      </c>
      <c r="E16" s="5" t="str">
        <f>IFERROR(__xludf.DUMMYFUNCTION("""COMPUTED_VALUE"""),"Slot")</f>
        <v>Slot</v>
      </c>
      <c r="F16" s="5">
        <f>IFERROR(__xludf.DUMMYFUNCTION("""COMPUTED_VALUE"""),7.0)</f>
        <v>7</v>
      </c>
      <c r="G16" s="5" t="str">
        <f>IFERROR(__xludf.DUMMYFUNCTION("""COMPUTED_VALUE"""),"5x3")</f>
        <v>5x3</v>
      </c>
      <c r="H16" s="5">
        <f>IFERROR(__xludf.DUMMYFUNCTION("""COMPUTED_VALUE"""),5.0)</f>
        <v>5</v>
      </c>
      <c r="I16" s="5">
        <f>IFERROR(__xludf.DUMMYFUNCTION("""COMPUTED_VALUE"""),5.0)</f>
        <v>5</v>
      </c>
      <c r="J16" s="5" t="str">
        <f>IFERROR(__xludf.DUMMYFUNCTION("""COMPUTED_VALUE"""),"96.453%")</f>
        <v>96.453%</v>
      </c>
      <c r="K16" s="5" t="str">
        <f>IFERROR(__xludf.DUMMYFUNCTION("""COMPUTED_VALUE"""),"Medium")</f>
        <v>Medium</v>
      </c>
      <c r="L16" s="5" t="str">
        <f>IFERROR(__xludf.DUMMYFUNCTION("""COMPUTED_VALUE"""),"14.234%")</f>
        <v>14.234%</v>
      </c>
      <c r="M16" s="5" t="str">
        <f>IFERROR(__xludf.DUMMYFUNCTION("""COMPUTED_VALUE"""),"x2624")</f>
        <v>x2624</v>
      </c>
      <c r="N16" s="5" t="str">
        <f>IFERROR(__xludf.DUMMYFUNCTION("""COMPUTED_VALUE"""),"0.05/30")</f>
        <v>0.05/30</v>
      </c>
      <c r="O16" s="5" t="str">
        <f>IFERROR(__xludf.DUMMYFUNCTION("""COMPUTED_VALUE"""),"No")</f>
        <v>No</v>
      </c>
      <c r="P16" s="5" t="str">
        <f>IFERROR(__xludf.DUMMYFUNCTION("""COMPUTED_VALUE"""),"Wild Multiplier, Expanding Wild, Scatter")</f>
        <v>Wild Multiplier, Expanding Wild, Scatter</v>
      </c>
      <c r="Q16" s="7" t="str">
        <f>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R16" s="5" t="str">
        <f>IFERROR(__xludf.DUMMYFUNCTION("""COMPUTED_VALUE"""),"Double the excitement with Fortune Clover x2! Land the special clover symbol and see how far your luck can take you!")</f>
        <v>Double the excitement with Fortune Clover x2! Land the special clover symbol and see how far your luck can take you!</v>
      </c>
      <c r="S1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t="str">
        <f>IFERROR(__xludf.DUMMYFUNCTION("""COMPUTED_VALUE"""),"Yes")</f>
        <v>Yes</v>
      </c>
      <c r="Z16" s="5" t="str">
        <f>IFERROR(__xludf.DUMMYFUNCTION("""COMPUTED_VALUE"""),"Yes")</f>
        <v>Yes</v>
      </c>
      <c r="AA16" s="5" t="str">
        <f>IFERROR(__xludf.DUMMYFUNCTION("""COMPUTED_VALUE"""),"Yes")</f>
        <v>Yes</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IFERROR(__xludf.DUMMYFUNCTION("""COMPUTED_VALUE"""),"Yes")</f>
        <v>Yes</v>
      </c>
      <c r="AH16" s="5" t="str">
        <f>IFERROR(__xludf.DUMMYFUNCTION("""COMPUTED_VALUE"""),"Yes")</f>
        <v>Yes</v>
      </c>
      <c r="AI16" s="5" t="str">
        <f>IFERROR(__xludf.DUMMYFUNCTION("""COMPUTED_VALUE"""),"No")</f>
        <v>No</v>
      </c>
      <c r="AJ16" s="5" t="str">
        <f>IFERROR(__xludf.DUMMYFUNCTION("""COMPUTED_VALUE"""),"No")</f>
        <v>No</v>
      </c>
      <c r="AK16" s="5" t="str">
        <f>IFERROR(__xludf.DUMMYFUNCTION("""COMPUTED_VALUE"""),"No")</f>
        <v>No</v>
      </c>
      <c r="AL16" s="5" t="str">
        <f>IFERROR(__xludf.DUMMYFUNCTION("""COMPUTED_VALUE"""),"No")</f>
        <v>No</v>
      </c>
      <c r="AM16" s="5"/>
      <c r="AN16" s="5"/>
      <c r="AO16" s="5"/>
      <c r="AP16" s="5"/>
      <c r="AQ16" s="5" t="str">
        <f>IFERROR(__xludf.DUMMYFUNCTION("""COMPUTED_VALUE"""),"No")</f>
        <v>No</v>
      </c>
      <c r="AR16" s="5"/>
      <c r="AS16" s="5" t="str">
        <f>IFERROR(__xludf.DUMMYFUNCTION("""COMPUTED_VALUE"""),"Yes")</f>
        <v>Yes</v>
      </c>
      <c r="AT16" s="5"/>
      <c r="AU16" s="5"/>
      <c r="AV16" s="5" t="str">
        <f>IFERROR(__xludf.DUMMYFUNCTION("""COMPUTED_VALUE"""),"")</f>
        <v/>
      </c>
    </row>
    <row r="17">
      <c r="A17" s="5" t="str">
        <f>IFERROR(__xludf.DUMMYFUNCTION("""COMPUTED_VALUE"""),"Playnet")</f>
        <v>Playnet</v>
      </c>
      <c r="B17" s="5" t="str">
        <f>IFERROR(__xludf.DUMMYFUNCTION("""COMPUTED_VALUE"""),"Diamond Heart X2")</f>
        <v>Diamond Heart X2</v>
      </c>
      <c r="C17" s="5" t="str">
        <f>IFERROR(__xludf.DUMMYFUNCTION("""COMPUTED_VALUE"""),"PlayNetDiamondHeartX2")</f>
        <v>PlayNetDiamondHeartX2</v>
      </c>
      <c r="D17" s="6">
        <f>IFERROR(__xludf.DUMMYFUNCTION("""COMPUTED_VALUE"""),45692.0)</f>
        <v>45692</v>
      </c>
      <c r="E17" s="5" t="str">
        <f>IFERROR(__xludf.DUMMYFUNCTION("""COMPUTED_VALUE"""),"Slot")</f>
        <v>Slot</v>
      </c>
      <c r="F17" s="5">
        <f>IFERROR(__xludf.DUMMYFUNCTION("""COMPUTED_VALUE"""),7.1)</f>
        <v>7.1</v>
      </c>
      <c r="G17" s="5" t="str">
        <f>IFERROR(__xludf.DUMMYFUNCTION("""COMPUTED_VALUE"""),"5x3")</f>
        <v>5x3</v>
      </c>
      <c r="H17" s="5">
        <f>IFERROR(__xludf.DUMMYFUNCTION("""COMPUTED_VALUE"""),5.0)</f>
        <v>5</v>
      </c>
      <c r="I17" s="5">
        <f>IFERROR(__xludf.DUMMYFUNCTION("""COMPUTED_VALUE"""),5.0)</f>
        <v>5</v>
      </c>
      <c r="J17" s="5" t="str">
        <f>IFERROR(__xludf.DUMMYFUNCTION("""COMPUTED_VALUE"""),"96.453%")</f>
        <v>96.453%</v>
      </c>
      <c r="K17" s="5" t="str">
        <f>IFERROR(__xludf.DUMMYFUNCTION("""COMPUTED_VALUE"""),"Medium")</f>
        <v>Medium</v>
      </c>
      <c r="L17" s="5" t="str">
        <f>IFERROR(__xludf.DUMMYFUNCTION("""COMPUTED_VALUE"""),"14.234%")</f>
        <v>14.234%</v>
      </c>
      <c r="M17" s="5" t="str">
        <f>IFERROR(__xludf.DUMMYFUNCTION("""COMPUTED_VALUE"""),"x2624")</f>
        <v>x2624</v>
      </c>
      <c r="N17" s="5" t="str">
        <f>IFERROR(__xludf.DUMMYFUNCTION("""COMPUTED_VALUE"""),"0.05/30")</f>
        <v>0.05/30</v>
      </c>
      <c r="O17" s="5" t="str">
        <f>IFERROR(__xludf.DUMMYFUNCTION("""COMPUTED_VALUE"""),"No")</f>
        <v>No</v>
      </c>
      <c r="P17" s="5" t="str">
        <f>IFERROR(__xludf.DUMMYFUNCTION("""COMPUTED_VALUE"""),"Wild Multiplier, Expanding Wild, Scatter")</f>
        <v>Wild Multiplier, Expanding Wild, Scatter</v>
      </c>
      <c r="Q17" s="7" t="str">
        <f>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R17" s="5" t="str">
        <f>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S17" s="5" t="str">
        <f>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IFERROR(__xludf.DUMMYFUNCTION("""COMPUTED_VALUE"""),"Yes")</f>
        <v>Yes</v>
      </c>
      <c r="AH17" s="5" t="str">
        <f>IFERROR(__xludf.DUMMYFUNCTION("""COMPUTED_VALUE"""),"Yes")</f>
        <v>Yes</v>
      </c>
      <c r="AI17" s="5" t="str">
        <f>IFERROR(__xludf.DUMMYFUNCTION("""COMPUTED_VALUE"""),"No")</f>
        <v>No</v>
      </c>
      <c r="AJ17" s="5" t="str">
        <f>IFERROR(__xludf.DUMMYFUNCTION("""COMPUTED_VALUE"""),"No")</f>
        <v>No</v>
      </c>
      <c r="AK17" s="5" t="str">
        <f>IFERROR(__xludf.DUMMYFUNCTION("""COMPUTED_VALUE"""),"No")</f>
        <v>No</v>
      </c>
      <c r="AL17" s="5" t="str">
        <f>IFERROR(__xludf.DUMMYFUNCTION("""COMPUTED_VALUE"""),"No")</f>
        <v>No</v>
      </c>
      <c r="AM17" s="5" t="str">
        <f>IFERROR(__xludf.DUMMYFUNCTION("""COMPUTED_VALUE"""),"No")</f>
        <v>No</v>
      </c>
      <c r="AN17" s="5" t="str">
        <f>IFERROR(__xludf.DUMMYFUNCTION("""COMPUTED_VALUE"""),"Yes")</f>
        <v>Yes</v>
      </c>
      <c r="AO17" s="5"/>
      <c r="AP17" s="5" t="str">
        <f>IFERROR(__xludf.DUMMYFUNCTION("""COMPUTED_VALUE"""),"No")</f>
        <v>No</v>
      </c>
      <c r="AQ17" s="5" t="str">
        <f>IFERROR(__xludf.DUMMYFUNCTION("""COMPUTED_VALUE"""),"No")</f>
        <v>No</v>
      </c>
      <c r="AR17" s="5"/>
      <c r="AS17" s="5" t="str">
        <f>IFERROR(__xludf.DUMMYFUNCTION("""COMPUTED_VALUE"""),"Yes")</f>
        <v>Yes</v>
      </c>
      <c r="AT17" s="5"/>
      <c r="AU17" s="5"/>
      <c r="AV17" s="5" t="str">
        <f>IFERROR(__xludf.DUMMYFUNCTION("""COMPUTED_VALUE"""),"")</f>
        <v/>
      </c>
    </row>
    <row r="18">
      <c r="A18" s="5" t="str">
        <f>IFERROR(__xludf.DUMMYFUNCTION("""COMPUTED_VALUE"""),"Playnet")</f>
        <v>Playnet</v>
      </c>
      <c r="B18" s="5" t="str">
        <f>IFERROR(__xludf.DUMMYFUNCTION("""COMPUTED_VALUE"""),"Fortune Clover 100")</f>
        <v>Fortune Clover 100</v>
      </c>
      <c r="C18" s="5" t="str">
        <f>IFERROR(__xludf.DUMMYFUNCTION("""COMPUTED_VALUE"""),"PlayNetFortuneClover100")</f>
        <v>PlayNetFortuneClover100</v>
      </c>
      <c r="D18" s="6">
        <f>IFERROR(__xludf.DUMMYFUNCTION("""COMPUTED_VALUE"""),45712.0)</f>
        <v>45712</v>
      </c>
      <c r="E18" s="5" t="str">
        <f>IFERROR(__xludf.DUMMYFUNCTION("""COMPUTED_VALUE"""),"Slot")</f>
        <v>Slot</v>
      </c>
      <c r="F18" s="5">
        <f>IFERROR(__xludf.DUMMYFUNCTION("""COMPUTED_VALUE"""),7.3)</f>
        <v>7.3</v>
      </c>
      <c r="G18" s="5" t="str">
        <f>IFERROR(__xludf.DUMMYFUNCTION("""COMPUTED_VALUE"""),"5x4")</f>
        <v>5x4</v>
      </c>
      <c r="H18" s="5">
        <f>IFERROR(__xludf.DUMMYFUNCTION("""COMPUTED_VALUE"""),100.0)</f>
        <v>100</v>
      </c>
      <c r="I18" s="5">
        <f>IFERROR(__xludf.DUMMYFUNCTION("""COMPUTED_VALUE"""),100.0)</f>
        <v>100</v>
      </c>
      <c r="J18" s="5" t="str">
        <f>IFERROR(__xludf.DUMMYFUNCTION("""COMPUTED_VALUE"""),"96.502%")</f>
        <v>96.502%</v>
      </c>
      <c r="K18" s="5" t="str">
        <f>IFERROR(__xludf.DUMMYFUNCTION("""COMPUTED_VALUE"""),"Medium")</f>
        <v>Medium</v>
      </c>
      <c r="L18" s="5" t="str">
        <f>IFERROR(__xludf.DUMMYFUNCTION("""COMPUTED_VALUE"""),"13.309%")</f>
        <v>13.309%</v>
      </c>
      <c r="M18" s="5" t="str">
        <f>IFERROR(__xludf.DUMMYFUNCTION("""COMPUTED_VALUE"""),"x3000")</f>
        <v>x3000</v>
      </c>
      <c r="N18" s="5" t="str">
        <f>IFERROR(__xludf.DUMMYFUNCTION("""COMPUTED_VALUE"""),"1/100")</f>
        <v>1/100</v>
      </c>
      <c r="O18" s="5" t="str">
        <f>IFERROR(__xludf.DUMMYFUNCTION("""COMPUTED_VALUE"""),"No")</f>
        <v>No</v>
      </c>
      <c r="P18" s="5" t="str">
        <f>IFERROR(__xludf.DUMMYFUNCTION("""COMPUTED_VALUE"""),"Expanding Wild, Scatter")</f>
        <v>Expanding Wild, Scatter</v>
      </c>
      <c r="Q18" s="7" t="str">
        <f>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R18" s="5" t="str">
        <f>IFERROR(__xludf.DUMMYFUNCTION("""COMPUTED_VALUE"""),"With 100 active lines, Fortune Clover 100 is packed with action. Let the clovers guide you to incredible rewards!")</f>
        <v>With 100 active lines, Fortune Clover 100 is packed with action. Let the clovers guide you to incredible rewards!</v>
      </c>
      <c r="S1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IFERROR(__xludf.DUMMYFUNCTION("""COMPUTED_VALUE"""),"Yes")</f>
        <v>Yes</v>
      </c>
      <c r="AH18" s="5" t="str">
        <f>IFERROR(__xludf.DUMMYFUNCTION("""COMPUTED_VALUE"""),"Yes")</f>
        <v>Yes</v>
      </c>
      <c r="AI18" s="5" t="str">
        <f>IFERROR(__xludf.DUMMYFUNCTION("""COMPUTED_VALUE"""),"No")</f>
        <v>No</v>
      </c>
      <c r="AJ18" s="5" t="str">
        <f>IFERROR(__xludf.DUMMYFUNCTION("""COMPUTED_VALUE"""),"No")</f>
        <v>No</v>
      </c>
      <c r="AK18" s="5" t="str">
        <f>IFERROR(__xludf.DUMMYFUNCTION("""COMPUTED_VALUE"""),"No")</f>
        <v>No</v>
      </c>
      <c r="AL18" s="5" t="str">
        <f>IFERROR(__xludf.DUMMYFUNCTION("""COMPUTED_VALUE"""),"No")</f>
        <v>No</v>
      </c>
      <c r="AM18" s="5"/>
      <c r="AN18" s="5"/>
      <c r="AO18" s="5"/>
      <c r="AP18" s="5"/>
      <c r="AQ18" s="5" t="str">
        <f>IFERROR(__xludf.DUMMYFUNCTION("""COMPUTED_VALUE"""),"No")</f>
        <v>No</v>
      </c>
      <c r="AR18" s="5"/>
      <c r="AS18" s="5" t="str">
        <f>IFERROR(__xludf.DUMMYFUNCTION("""COMPUTED_VALUE"""),"Yes")</f>
        <v>Yes</v>
      </c>
      <c r="AT18" s="5"/>
      <c r="AU18" s="5"/>
      <c r="AV18" s="5" t="str">
        <f>IFERROR(__xludf.DUMMYFUNCTION("""COMPUTED_VALUE"""),"")</f>
        <v/>
      </c>
    </row>
    <row r="19">
      <c r="A19" s="5" t="str">
        <f>IFERROR(__xludf.DUMMYFUNCTION("""COMPUTED_VALUE"""),"Playnet")</f>
        <v>Playnet</v>
      </c>
      <c r="B19" s="5" t="str">
        <f>IFERROR(__xludf.DUMMYFUNCTION("""COMPUTED_VALUE"""),"Crown Stacks 40")</f>
        <v>Crown Stacks 40</v>
      </c>
      <c r="C19" s="5" t="str">
        <f>IFERROR(__xludf.DUMMYFUNCTION("""COMPUTED_VALUE"""),"PlayNetCrownStacks40")</f>
        <v>PlayNetCrownStacks40</v>
      </c>
      <c r="D19" s="6">
        <f>IFERROR(__xludf.DUMMYFUNCTION("""COMPUTED_VALUE"""),45720.0)</f>
        <v>45720</v>
      </c>
      <c r="E19" s="5" t="str">
        <f>IFERROR(__xludf.DUMMYFUNCTION("""COMPUTED_VALUE"""),"Slot")</f>
        <v>Slot</v>
      </c>
      <c r="F19" s="5">
        <f>IFERROR(__xludf.DUMMYFUNCTION("""COMPUTED_VALUE"""),6.3)</f>
        <v>6.3</v>
      </c>
      <c r="G19" s="5" t="str">
        <f>IFERROR(__xludf.DUMMYFUNCTION("""COMPUTED_VALUE"""),"5x4")</f>
        <v>5x4</v>
      </c>
      <c r="H19" s="5">
        <f>IFERROR(__xludf.DUMMYFUNCTION("""COMPUTED_VALUE"""),40.0)</f>
        <v>40</v>
      </c>
      <c r="I19" s="5">
        <f>IFERROR(__xludf.DUMMYFUNCTION("""COMPUTED_VALUE"""),40.0)</f>
        <v>40</v>
      </c>
      <c r="J19" s="5" t="str">
        <f>IFERROR(__xludf.DUMMYFUNCTION("""COMPUTED_VALUE"""),"95.479%")</f>
        <v>95.479%</v>
      </c>
      <c r="K19" s="5" t="str">
        <f>IFERROR(__xludf.DUMMYFUNCTION("""COMPUTED_VALUE"""),"Medium")</f>
        <v>Medium</v>
      </c>
      <c r="L19" s="5" t="str">
        <f>IFERROR(__xludf.DUMMYFUNCTION("""COMPUTED_VALUE"""),"14.8%")</f>
        <v>14.8%</v>
      </c>
      <c r="M19" s="5" t="str">
        <f>IFERROR(__xludf.DUMMYFUNCTION("""COMPUTED_VALUE"""),"x1000")</f>
        <v>x1000</v>
      </c>
      <c r="N19" s="5" t="str">
        <f>IFERROR(__xludf.DUMMYFUNCTION("""COMPUTED_VALUE"""),"0.4/60")</f>
        <v>0.4/60</v>
      </c>
      <c r="O19" s="5" t="str">
        <f>IFERROR(__xludf.DUMMYFUNCTION("""COMPUTED_VALUE"""),"No")</f>
        <v>No</v>
      </c>
      <c r="P19" s="5" t="str">
        <f>IFERROR(__xludf.DUMMYFUNCTION("""COMPUTED_VALUE"""),"Wild Symbol, Scatter")</f>
        <v>Wild Symbol, Scatter</v>
      </c>
      <c r="Q19" s="7" t="str">
        <f>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R19" s="5" t="str">
        <f>IFERROR(__xludf.DUMMYFUNCTION("""COMPUTED_VALUE"""),"Crown Stacks 40 delivers royal wins with perfectly stacked crown symbols across 40 paylines - your throne awaits!")</f>
        <v>Crown Stacks 40 delivers royal wins with perfectly stacked crown symbols across 40 paylines - your throne awaits!</v>
      </c>
      <c r="S19" s="5" t="str">
        <f>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IFERROR(__xludf.DUMMYFUNCTION("""COMPUTED_VALUE"""),"No")</f>
        <v>No</v>
      </c>
      <c r="AH19" s="5" t="str">
        <f>IFERROR(__xludf.DUMMYFUNCTION("""COMPUTED_VALUE"""),"Yes")</f>
        <v>Yes</v>
      </c>
      <c r="AI19" s="5" t="str">
        <f>IFERROR(__xludf.DUMMYFUNCTION("""COMPUTED_VALUE"""),"No")</f>
        <v>No</v>
      </c>
      <c r="AJ19" s="5" t="str">
        <f>IFERROR(__xludf.DUMMYFUNCTION("""COMPUTED_VALUE"""),"No")</f>
        <v>No</v>
      </c>
      <c r="AK19" s="5" t="str">
        <f>IFERROR(__xludf.DUMMYFUNCTION("""COMPUTED_VALUE"""),"No")</f>
        <v>No</v>
      </c>
      <c r="AL19" s="5" t="str">
        <f>IFERROR(__xludf.DUMMYFUNCTION("""COMPUTED_VALUE"""),"No")</f>
        <v>No</v>
      </c>
      <c r="AM19" s="5"/>
      <c r="AN19" s="5"/>
      <c r="AO19" s="5" t="str">
        <f>IFERROR(__xludf.DUMMYFUNCTION("""COMPUTED_VALUE"""),"No")</f>
        <v>No</v>
      </c>
      <c r="AP19" s="5"/>
      <c r="AQ19" s="5" t="str">
        <f>IFERROR(__xludf.DUMMYFUNCTION("""COMPUTED_VALUE"""),"No")</f>
        <v>No</v>
      </c>
      <c r="AR19" s="5"/>
      <c r="AS19" s="5" t="str">
        <f>IFERROR(__xludf.DUMMYFUNCTION("""COMPUTED_VALUE"""),"Yes")</f>
        <v>Yes</v>
      </c>
      <c r="AT19" s="5"/>
      <c r="AU19" s="5"/>
      <c r="AV19" s="5" t="str">
        <f>IFERROR(__xludf.DUMMYFUNCTION("""COMPUTED_VALUE"""),"")</f>
        <v/>
      </c>
    </row>
    <row r="20">
      <c r="A20" s="5" t="str">
        <f>IFERROR(__xludf.DUMMYFUNCTION("""COMPUTED_VALUE"""),"Playnet")</f>
        <v>Playnet</v>
      </c>
      <c r="B20" s="5" t="str">
        <f>IFERROR(__xludf.DUMMYFUNCTION("""COMPUTED_VALUE"""),"Wild Spread 40")</f>
        <v>Wild Spread 40</v>
      </c>
      <c r="C20" s="5" t="str">
        <f>IFERROR(__xludf.DUMMYFUNCTION("""COMPUTED_VALUE"""),"PlayNetWildSpread40")</f>
        <v>PlayNetWildSpread40</v>
      </c>
      <c r="D20" s="6">
        <f>IFERROR(__xludf.DUMMYFUNCTION("""COMPUTED_VALUE"""),45728.0)</f>
        <v>45728</v>
      </c>
      <c r="E20" s="5" t="str">
        <f>IFERROR(__xludf.DUMMYFUNCTION("""COMPUTED_VALUE"""),"Slot")</f>
        <v>Slot</v>
      </c>
      <c r="F20" s="5">
        <f>IFERROR(__xludf.DUMMYFUNCTION("""COMPUTED_VALUE"""),6.7)</f>
        <v>6.7</v>
      </c>
      <c r="G20" s="5" t="str">
        <f>IFERROR(__xludf.DUMMYFUNCTION("""COMPUTED_VALUE"""),"5x4")</f>
        <v>5x4</v>
      </c>
      <c r="H20" s="5">
        <f>IFERROR(__xludf.DUMMYFUNCTION("""COMPUTED_VALUE"""),40.0)</f>
        <v>40</v>
      </c>
      <c r="I20" s="5">
        <f>IFERROR(__xludf.DUMMYFUNCTION("""COMPUTED_VALUE"""),40.0)</f>
        <v>40</v>
      </c>
      <c r="J20" s="5" t="str">
        <f>IFERROR(__xludf.DUMMYFUNCTION("""COMPUTED_VALUE"""),"96.268%")</f>
        <v>96.268%</v>
      </c>
      <c r="K20" s="5" t="str">
        <f>IFERROR(__xludf.DUMMYFUNCTION("""COMPUTED_VALUE"""),"Medium")</f>
        <v>Medium</v>
      </c>
      <c r="L20" s="5" t="str">
        <f>IFERROR(__xludf.DUMMYFUNCTION("""COMPUTED_VALUE"""),"13.875%")</f>
        <v>13.875%</v>
      </c>
      <c r="M20" s="5" t="str">
        <f>IFERROR(__xludf.DUMMYFUNCTION("""COMPUTED_VALUE"""),"x1000")</f>
        <v>x1000</v>
      </c>
      <c r="N20" s="5" t="str">
        <f>IFERROR(__xludf.DUMMYFUNCTION("""COMPUTED_VALUE"""),"0.4/60")</f>
        <v>0.4/60</v>
      </c>
      <c r="O20" s="5" t="str">
        <f>IFERROR(__xludf.DUMMYFUNCTION("""COMPUTED_VALUE"""),"No")</f>
        <v>No</v>
      </c>
      <c r="P20" s="5" t="str">
        <f>IFERROR(__xludf.DUMMYFUNCTION("""COMPUTED_VALUE"""),"Scatter, Exploding Wild")</f>
        <v>Scatter, Exploding Wild</v>
      </c>
      <c r="Q20" s="7" t="str">
        <f>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R20" s="5" t="str">
        <f>IFERROR(__xludf.DUMMYFUNCTION("""COMPUTED_VALUE"""),"One wild is all it takes! In Wild Spread 40 every wild expands to cover more space, bringing bigger chances to win!")</f>
        <v>One wild is all it takes! In Wild Spread 40 every wild expands to cover more space, bringing bigger chances to win!</v>
      </c>
      <c r="S20" s="5"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IFERROR(__xludf.DUMMYFUNCTION("""COMPUTED_VALUE"""),"No")</f>
        <v>No</v>
      </c>
      <c r="AJ20" s="5" t="str">
        <f>IFERROR(__xludf.DUMMYFUNCTION("""COMPUTED_VALUE"""),"No")</f>
        <v>No</v>
      </c>
      <c r="AK20" s="5" t="str">
        <f>IFERROR(__xludf.DUMMYFUNCTION("""COMPUTED_VALUE"""),"No")</f>
        <v>No</v>
      </c>
      <c r="AL20" s="5" t="str">
        <f>IFERROR(__xludf.DUMMYFUNCTION("""COMPUTED_VALUE"""),"No")</f>
        <v>No</v>
      </c>
      <c r="AM20" s="5"/>
      <c r="AN20" s="5" t="str">
        <f>IFERROR(__xludf.DUMMYFUNCTION("""COMPUTED_VALUE"""),"Yes")</f>
        <v>Yes</v>
      </c>
      <c r="AO20" s="5"/>
      <c r="AP20" s="5"/>
      <c r="AQ20" s="5" t="str">
        <f>IFERROR(__xludf.DUMMYFUNCTION("""COMPUTED_VALUE"""),"No")</f>
        <v>No</v>
      </c>
      <c r="AR20" s="5"/>
      <c r="AS20" s="5" t="str">
        <f>IFERROR(__xludf.DUMMYFUNCTION("""COMPUTED_VALUE"""),"No")</f>
        <v>No</v>
      </c>
      <c r="AT20" s="5"/>
      <c r="AU20" s="5"/>
      <c r="AV20" s="5" t="str">
        <f>IFERROR(__xludf.DUMMYFUNCTION("""COMPUTED_VALUE"""),"")</f>
        <v/>
      </c>
    </row>
    <row r="21">
      <c r="A21" s="5" t="str">
        <f>IFERROR(__xludf.DUMMYFUNCTION("""COMPUTED_VALUE"""),"Playnet")</f>
        <v>Playnet</v>
      </c>
      <c r="B21" s="5" t="str">
        <f>IFERROR(__xludf.DUMMYFUNCTION("""COMPUTED_VALUE"""),"Crown Spread 40")</f>
        <v>Crown Spread 40</v>
      </c>
      <c r="C21" s="5" t="str">
        <f>IFERROR(__xludf.DUMMYFUNCTION("""COMPUTED_VALUE"""),"PlayNetCrownSpread40")</f>
        <v>PlayNetCrownSpread40</v>
      </c>
      <c r="D21" s="6">
        <f>IFERROR(__xludf.DUMMYFUNCTION("""COMPUTED_VALUE"""),45748.0)</f>
        <v>45748</v>
      </c>
      <c r="E21" s="5" t="str">
        <f>IFERROR(__xludf.DUMMYFUNCTION("""COMPUTED_VALUE"""),"Slot")</f>
        <v>Slot</v>
      </c>
      <c r="F21" s="5">
        <f>IFERROR(__xludf.DUMMYFUNCTION("""COMPUTED_VALUE"""),6.7)</f>
        <v>6.7</v>
      </c>
      <c r="G21" s="5" t="str">
        <f>IFERROR(__xludf.DUMMYFUNCTION("""COMPUTED_VALUE"""),"5x4")</f>
        <v>5x4</v>
      </c>
      <c r="H21" s="5">
        <f>IFERROR(__xludf.DUMMYFUNCTION("""COMPUTED_VALUE"""),40.0)</f>
        <v>40</v>
      </c>
      <c r="I21" s="5">
        <f>IFERROR(__xludf.DUMMYFUNCTION("""COMPUTED_VALUE"""),40.0)</f>
        <v>40</v>
      </c>
      <c r="J21" s="5" t="str">
        <f>IFERROR(__xludf.DUMMYFUNCTION("""COMPUTED_VALUE"""),"96.268%")</f>
        <v>96.268%</v>
      </c>
      <c r="K21" s="5" t="str">
        <f>IFERROR(__xludf.DUMMYFUNCTION("""COMPUTED_VALUE"""),"Medium")</f>
        <v>Medium</v>
      </c>
      <c r="L21" s="5" t="str">
        <f>IFERROR(__xludf.DUMMYFUNCTION("""COMPUTED_VALUE"""),"13.875%")</f>
        <v>13.875%</v>
      </c>
      <c r="M21" s="5" t="str">
        <f>IFERROR(__xludf.DUMMYFUNCTION("""COMPUTED_VALUE"""),"x1000")</f>
        <v>x1000</v>
      </c>
      <c r="N21" s="5" t="str">
        <f>IFERROR(__xludf.DUMMYFUNCTION("""COMPUTED_VALUE"""),"0.4/60")</f>
        <v>0.4/60</v>
      </c>
      <c r="O21" s="5" t="str">
        <f>IFERROR(__xludf.DUMMYFUNCTION("""COMPUTED_VALUE"""),"No")</f>
        <v>No</v>
      </c>
      <c r="P21" s="5" t="str">
        <f>IFERROR(__xludf.DUMMYFUNCTION("""COMPUTED_VALUE"""),"Scatter, Exploding Wild")</f>
        <v>Scatter, Exploding Wild</v>
      </c>
      <c r="Q21" s="7" t="str">
        <f>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R21" s="5" t="str">
        <f>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S21" s="5"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IFERROR(__xludf.DUMMYFUNCTION("""COMPUTED_VALUE"""),"Yes")</f>
        <v>Yes</v>
      </c>
      <c r="AH21" s="5" t="str">
        <f>IFERROR(__xludf.DUMMYFUNCTION("""COMPUTED_VALUE"""),"Yes")</f>
        <v>Yes</v>
      </c>
      <c r="AI21" s="5" t="str">
        <f>IFERROR(__xludf.DUMMYFUNCTION("""COMPUTED_VALUE"""),"No")</f>
        <v>No</v>
      </c>
      <c r="AJ21" s="5" t="str">
        <f>IFERROR(__xludf.DUMMYFUNCTION("""COMPUTED_VALUE"""),"No")</f>
        <v>No</v>
      </c>
      <c r="AK21" s="5" t="str">
        <f>IFERROR(__xludf.DUMMYFUNCTION("""COMPUTED_VALUE"""),"No")</f>
        <v>No</v>
      </c>
      <c r="AL21" s="5" t="str">
        <f>IFERROR(__xludf.DUMMYFUNCTION("""COMPUTED_VALUE"""),"No")</f>
        <v>No</v>
      </c>
      <c r="AM21" s="5"/>
      <c r="AN21" s="5" t="str">
        <f>IFERROR(__xludf.DUMMYFUNCTION("""COMPUTED_VALUE"""),"Yes")</f>
        <v>Yes</v>
      </c>
      <c r="AO21" s="5"/>
      <c r="AP21" s="5"/>
      <c r="AQ21" s="5" t="str">
        <f>IFERROR(__xludf.DUMMYFUNCTION("""COMPUTED_VALUE"""),"Yes")</f>
        <v>Yes</v>
      </c>
      <c r="AR21" s="5"/>
      <c r="AS21" s="5" t="str">
        <f>IFERROR(__xludf.DUMMYFUNCTION("""COMPUTED_VALUE"""),"Yes")</f>
        <v>Yes</v>
      </c>
      <c r="AT21" s="5"/>
      <c r="AU21" s="5"/>
      <c r="AV21" s="5" t="str">
        <f>IFERROR(__xludf.DUMMYFUNCTION("""COMPUTED_VALUE"""),"")</f>
        <v/>
      </c>
    </row>
    <row r="22">
      <c r="A22" s="5" t="str">
        <f>IFERROR(__xludf.DUMMYFUNCTION("""COMPUTED_VALUE"""),"Playnet")</f>
        <v>Playnet</v>
      </c>
      <c r="B22" s="5" t="str">
        <f>IFERROR(__xludf.DUMMYFUNCTION("""COMPUTED_VALUE"""),"Clover Spread 40")</f>
        <v>Clover Spread 40</v>
      </c>
      <c r="C22" s="5" t="str">
        <f>IFERROR(__xludf.DUMMYFUNCTION("""COMPUTED_VALUE"""),"PlayNetCloverSpread40")</f>
        <v>PlayNetCloverSpread40</v>
      </c>
      <c r="D22" s="6">
        <f>IFERROR(__xludf.DUMMYFUNCTION("""COMPUTED_VALUE"""),45763.0)</f>
        <v>45763</v>
      </c>
      <c r="E22" s="5" t="str">
        <f>IFERROR(__xludf.DUMMYFUNCTION("""COMPUTED_VALUE"""),"Slot")</f>
        <v>Slot</v>
      </c>
      <c r="F22" s="5">
        <f>IFERROR(__xludf.DUMMYFUNCTION("""COMPUTED_VALUE"""),6.7)</f>
        <v>6.7</v>
      </c>
      <c r="G22" s="5" t="str">
        <f>IFERROR(__xludf.DUMMYFUNCTION("""COMPUTED_VALUE"""),"5x4")</f>
        <v>5x4</v>
      </c>
      <c r="H22" s="5">
        <f>IFERROR(__xludf.DUMMYFUNCTION("""COMPUTED_VALUE"""),40.0)</f>
        <v>40</v>
      </c>
      <c r="I22" s="5">
        <f>IFERROR(__xludf.DUMMYFUNCTION("""COMPUTED_VALUE"""),40.0)</f>
        <v>40</v>
      </c>
      <c r="J22" s="5" t="str">
        <f>IFERROR(__xludf.DUMMYFUNCTION("""COMPUTED_VALUE"""),"96.268%")</f>
        <v>96.268%</v>
      </c>
      <c r="K22" s="5" t="str">
        <f>IFERROR(__xludf.DUMMYFUNCTION("""COMPUTED_VALUE"""),"Medium")</f>
        <v>Medium</v>
      </c>
      <c r="L22" s="5" t="str">
        <f>IFERROR(__xludf.DUMMYFUNCTION("""COMPUTED_VALUE"""),"13.875%")</f>
        <v>13.875%</v>
      </c>
      <c r="M22" s="5" t="str">
        <f>IFERROR(__xludf.DUMMYFUNCTION("""COMPUTED_VALUE"""),"x1000")</f>
        <v>x1000</v>
      </c>
      <c r="N22" s="5" t="str">
        <f>IFERROR(__xludf.DUMMYFUNCTION("""COMPUTED_VALUE"""),"0.4/60")</f>
        <v>0.4/60</v>
      </c>
      <c r="O22" s="5" t="str">
        <f>IFERROR(__xludf.DUMMYFUNCTION("""COMPUTED_VALUE"""),"No")</f>
        <v>No</v>
      </c>
      <c r="P22" s="5" t="str">
        <f>IFERROR(__xludf.DUMMYFUNCTION("""COMPUTED_VALUE"""),"Scatter, Exploding Wild")</f>
        <v>Scatter, Exploding Wild</v>
      </c>
      <c r="Q22" s="7" t="str">
        <f>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R22" s="5" t="str">
        <f>IFERROR(__xludf.DUMMYFUNCTION("""COMPUTED_VALUE"""),"One wild is all it takes! In Clover Spread 40 every wild expands to cover more space, bringing bigger chances to win!")</f>
        <v>One wild is all it takes! In Clover Spread 40 every wild expands to cover more space, bringing bigger chances to win!</v>
      </c>
      <c r="S2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2" s="5" t="str">
        <f>IFERROR(__xludf.DUMMYFUNCTION("""COMPUTED_VALUE"""),"Yes")</f>
        <v>Yes</v>
      </c>
      <c r="U22" s="5" t="str">
        <f>IFERROR(__xludf.DUMMYFUNCTION("""COMPUTED_VALUE"""),"Yes")</f>
        <v>Yes</v>
      </c>
      <c r="V22" s="5" t="str">
        <f>IFERROR(__xludf.DUMMYFUNCTION("""COMPUTED_VALUE"""),"No")</f>
        <v>No</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IFERROR(__xludf.DUMMYFUNCTION("""COMPUTED_VALUE"""),"Yes")</f>
        <v>Yes</v>
      </c>
      <c r="AH22" s="5" t="str">
        <f>IFERROR(__xludf.DUMMYFUNCTION("""COMPUTED_VALUE"""),"Yes")</f>
        <v>Yes</v>
      </c>
      <c r="AI22" s="5" t="str">
        <f>IFERROR(__xludf.DUMMYFUNCTION("""COMPUTED_VALUE"""),"No")</f>
        <v>No</v>
      </c>
      <c r="AJ22" s="5" t="str">
        <f>IFERROR(__xludf.DUMMYFUNCTION("""COMPUTED_VALUE"""),"No")</f>
        <v>No</v>
      </c>
      <c r="AK22" s="5" t="str">
        <f>IFERROR(__xludf.DUMMYFUNCTION("""COMPUTED_VALUE"""),"No")</f>
        <v>No</v>
      </c>
      <c r="AL22" s="5" t="str">
        <f>IFERROR(__xludf.DUMMYFUNCTION("""COMPUTED_VALUE"""),"No")</f>
        <v>No</v>
      </c>
      <c r="AM22" s="5" t="str">
        <f>IFERROR(__xludf.DUMMYFUNCTION("""COMPUTED_VALUE"""),"No")</f>
        <v>No</v>
      </c>
      <c r="AN22" s="5" t="str">
        <f>IFERROR(__xludf.DUMMYFUNCTION("""COMPUTED_VALUE"""),"No")</f>
        <v>No</v>
      </c>
      <c r="AO22" s="5" t="str">
        <f>IFERROR(__xludf.DUMMYFUNCTION("""COMPUTED_VALUE"""),"No")</f>
        <v>No</v>
      </c>
      <c r="AP22" s="5" t="str">
        <f>IFERROR(__xludf.DUMMYFUNCTION("""COMPUTED_VALUE"""),"No")</f>
        <v>No</v>
      </c>
      <c r="AQ22" s="5" t="str">
        <f>IFERROR(__xludf.DUMMYFUNCTION("""COMPUTED_VALUE"""),"No")</f>
        <v>No</v>
      </c>
      <c r="AR22" s="5" t="str">
        <f>IFERROR(__xludf.DUMMYFUNCTION("""COMPUTED_VALUE"""),"No")</f>
        <v>No</v>
      </c>
      <c r="AS22" s="5" t="str">
        <f>IFERROR(__xludf.DUMMYFUNCTION("""COMPUTED_VALUE"""),"Yes")</f>
        <v>Yes</v>
      </c>
      <c r="AT22" s="5" t="str">
        <f>IFERROR(__xludf.DUMMYFUNCTION("""COMPUTED_VALUE"""),"No")</f>
        <v>No</v>
      </c>
      <c r="AU22" s="5"/>
      <c r="AV22" s="5" t="str">
        <f>IFERROR(__xludf.DUMMYFUNCTION("""COMPUTED_VALUE"""),"")</f>
        <v/>
      </c>
    </row>
    <row r="23">
      <c r="A23" s="5" t="str">
        <f>IFERROR(__xludf.DUMMYFUNCTION("""COMPUTED_VALUE"""),"Playnet")</f>
        <v>Playnet</v>
      </c>
      <c r="B23" s="5" t="str">
        <f>IFERROR(__xludf.DUMMYFUNCTION("""COMPUTED_VALUE"""),"Majestic Crown x2")</f>
        <v>Majestic Crown x2</v>
      </c>
      <c r="C23" s="5" t="str">
        <f>IFERROR(__xludf.DUMMYFUNCTION("""COMPUTED_VALUE"""),"PlayNetMajesticCrownX2")</f>
        <v>PlayNetMajesticCrownX2</v>
      </c>
      <c r="D23" s="6">
        <f>IFERROR(__xludf.DUMMYFUNCTION("""COMPUTED_VALUE"""),45777.0)</f>
        <v>45777</v>
      </c>
      <c r="E23" s="5" t="str">
        <f>IFERROR(__xludf.DUMMYFUNCTION("""COMPUTED_VALUE"""),"Slot")</f>
        <v>Slot</v>
      </c>
      <c r="F23" s="5">
        <f>IFERROR(__xludf.DUMMYFUNCTION("""COMPUTED_VALUE"""),7.1)</f>
        <v>7.1</v>
      </c>
      <c r="G23" s="5" t="str">
        <f>IFERROR(__xludf.DUMMYFUNCTION("""COMPUTED_VALUE"""),"5x3")</f>
        <v>5x3</v>
      </c>
      <c r="H23" s="5">
        <f>IFERROR(__xludf.DUMMYFUNCTION("""COMPUTED_VALUE"""),5.0)</f>
        <v>5</v>
      </c>
      <c r="I23" s="5">
        <f>IFERROR(__xludf.DUMMYFUNCTION("""COMPUTED_VALUE"""),5.0)</f>
        <v>5</v>
      </c>
      <c r="J23" s="5" t="str">
        <f>IFERROR(__xludf.DUMMYFUNCTION("""COMPUTED_VALUE"""),"96.453%")</f>
        <v>96.453%</v>
      </c>
      <c r="K23" s="5" t="str">
        <f>IFERROR(__xludf.DUMMYFUNCTION("""COMPUTED_VALUE"""),"Medium")</f>
        <v>Medium</v>
      </c>
      <c r="L23" s="5" t="str">
        <f>IFERROR(__xludf.DUMMYFUNCTION("""COMPUTED_VALUE"""),"14.234%")</f>
        <v>14.234%</v>
      </c>
      <c r="M23" s="5" t="str">
        <f>IFERROR(__xludf.DUMMYFUNCTION("""COMPUTED_VALUE"""),"x2624")</f>
        <v>x2624</v>
      </c>
      <c r="N23" s="5" t="str">
        <f>IFERROR(__xludf.DUMMYFUNCTION("""COMPUTED_VALUE"""),"0.05/30")</f>
        <v>0.05/30</v>
      </c>
      <c r="O23" s="5" t="str">
        <f>IFERROR(__xludf.DUMMYFUNCTION("""COMPUTED_VALUE"""),"No")</f>
        <v>No</v>
      </c>
      <c r="P23" s="5" t="str">
        <f>IFERROR(__xludf.DUMMYFUNCTION("""COMPUTED_VALUE"""),"Wild Multiplier, Expanding Wild, Scatter")</f>
        <v>Wild Multiplier, Expanding Wild, Scatter</v>
      </c>
      <c r="Q23" s="7" t="str">
        <f>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R23" s="5" t="str">
        <f>IFERROR(__xludf.DUMMYFUNCTION("""COMPUTED_VALUE"""),"Double the excitement with Majestic Crown X2! Land the special Crown symbol and see how far your luck can take you!")</f>
        <v>Double the excitement with Majestic Crown X2! Land the special Crown symbol and see how far your luck can take you!</v>
      </c>
      <c r="S2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IFERROR(__xludf.DUMMYFUNCTION("""COMPUTED_VALUE"""),"No")</f>
        <v>No</v>
      </c>
      <c r="AJ23" s="5" t="str">
        <f>IFERROR(__xludf.DUMMYFUNCTION("""COMPUTED_VALUE"""),"No")</f>
        <v>No</v>
      </c>
      <c r="AK23" s="5" t="str">
        <f>IFERROR(__xludf.DUMMYFUNCTION("""COMPUTED_VALUE"""),"No")</f>
        <v>No</v>
      </c>
      <c r="AL23" s="5" t="str">
        <f>IFERROR(__xludf.DUMMYFUNCTION("""COMPUTED_VALUE"""),"No")</f>
        <v>No</v>
      </c>
      <c r="AM23" s="5"/>
      <c r="AN23" s="5"/>
      <c r="AO23" s="5"/>
      <c r="AP23" s="5"/>
      <c r="AQ23" s="5" t="str">
        <f>IFERROR(__xludf.DUMMYFUNCTION("""COMPUTED_VALUE"""),"No")</f>
        <v>No</v>
      </c>
      <c r="AR23" s="5"/>
      <c r="AS23" s="5" t="str">
        <f>IFERROR(__xludf.DUMMYFUNCTION("""COMPUTED_VALUE"""),"Yes")</f>
        <v>Yes</v>
      </c>
      <c r="AT23" s="5"/>
      <c r="AU23" s="5"/>
      <c r="AV23" s="5" t="str">
        <f>IFERROR(__xludf.DUMMYFUNCTION("""COMPUTED_VALUE"""),"")</f>
        <v/>
      </c>
    </row>
    <row r="24">
      <c r="A24" s="5" t="str">
        <f>IFERROR(__xludf.DUMMYFUNCTION("""COMPUTED_VALUE"""),"Playnet")</f>
        <v>Playnet</v>
      </c>
      <c r="B24" s="5" t="str">
        <f>IFERROR(__xludf.DUMMYFUNCTION("""COMPUTED_VALUE"""),"Bit Slot")</f>
        <v>Bit Slot</v>
      </c>
      <c r="C24" s="5" t="str">
        <f>IFERROR(__xludf.DUMMYFUNCTION("""COMPUTED_VALUE"""),"PlayNetBitSlot")</f>
        <v>PlayNetBitSlot</v>
      </c>
      <c r="D24" s="6">
        <f>IFERROR(__xludf.DUMMYFUNCTION("""COMPUTED_VALUE"""),45818.0)</f>
        <v>45818</v>
      </c>
      <c r="E24" s="5" t="str">
        <f>IFERROR(__xludf.DUMMYFUNCTION("""COMPUTED_VALUE"""),"Slot")</f>
        <v>Slot</v>
      </c>
      <c r="F24" s="5">
        <f>IFERROR(__xludf.DUMMYFUNCTION("""COMPUTED_VALUE"""),6.7)</f>
        <v>6.7</v>
      </c>
      <c r="G24" s="5" t="str">
        <f>IFERROR(__xludf.DUMMYFUNCTION("""COMPUTED_VALUE"""),"5x4")</f>
        <v>5x4</v>
      </c>
      <c r="H24" s="5">
        <f>IFERROR(__xludf.DUMMYFUNCTION("""COMPUTED_VALUE"""),40.0)</f>
        <v>40</v>
      </c>
      <c r="I24" s="5">
        <f>IFERROR(__xludf.DUMMYFUNCTION("""COMPUTED_VALUE"""),40.0)</f>
        <v>40</v>
      </c>
      <c r="J24" s="5" t="str">
        <f>IFERROR(__xludf.DUMMYFUNCTION("""COMPUTED_VALUE"""),"96.268%")</f>
        <v>96.268%</v>
      </c>
      <c r="K24" s="5" t="str">
        <f>IFERROR(__xludf.DUMMYFUNCTION("""COMPUTED_VALUE"""),"Medium")</f>
        <v>Medium</v>
      </c>
      <c r="L24" s="5" t="str">
        <f>IFERROR(__xludf.DUMMYFUNCTION("""COMPUTED_VALUE"""),"13.875%")</f>
        <v>13.875%</v>
      </c>
      <c r="M24" s="5" t="str">
        <f>IFERROR(__xludf.DUMMYFUNCTION("""COMPUTED_VALUE"""),"x1000")</f>
        <v>x1000</v>
      </c>
      <c r="N24" s="5" t="str">
        <f>IFERROR(__xludf.DUMMYFUNCTION("""COMPUTED_VALUE"""),"0.4/60")</f>
        <v>0.4/60</v>
      </c>
      <c r="O24" s="5" t="str">
        <f>IFERROR(__xludf.DUMMYFUNCTION("""COMPUTED_VALUE"""),"No")</f>
        <v>No</v>
      </c>
      <c r="P24" s="5" t="str">
        <f>IFERROR(__xludf.DUMMYFUNCTION("""COMPUTED_VALUE"""),"Expanding Wild, Scatter")</f>
        <v>Expanding Wild, Scatter</v>
      </c>
      <c r="Q24" s="7" t="str">
        <f>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R24" s="5" t="str">
        <f>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S24" s="5" t="str">
        <f>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T24" s="5" t="str">
        <f>IFERROR(__xludf.DUMMYFUNCTION("""COMPUTED_VALUE"""),"Yes")</f>
        <v>Yes</v>
      </c>
      <c r="U24" s="5" t="str">
        <f>IFERROR(__xludf.DUMMYFUNCTION("""COMPUTED_VALUE"""),"Yes")</f>
        <v>Yes</v>
      </c>
      <c r="V24" s="5" t="str">
        <f>IFERROR(__xludf.DUMMYFUNCTION("""COMPUTED_VALUE"""),"Yes")</f>
        <v>Yes</v>
      </c>
      <c r="W24" s="5" t="str">
        <f>IFERROR(__xludf.DUMMYFUNCTION("""COMPUTED_VALUE"""),"Yes")</f>
        <v>Yes</v>
      </c>
      <c r="X24" s="5" t="str">
        <f>IFERROR(__xludf.DUMMYFUNCTION("""COMPUTED_VALUE"""),"Yes")</f>
        <v>Yes</v>
      </c>
      <c r="Y24" s="5" t="str">
        <f>IFERROR(__xludf.DUMMYFUNCTION("""COMPUTED_VALUE"""),"Yes")</f>
        <v>Yes</v>
      </c>
      <c r="Z24" s="5" t="str">
        <f>IFERROR(__xludf.DUMMYFUNCTION("""COMPUTED_VALUE"""),"Yes")</f>
        <v>Yes</v>
      </c>
      <c r="AA24" s="5" t="str">
        <f>IFERROR(__xludf.DUMMYFUNCTION("""COMPUTED_VALUE"""),"Yes")</f>
        <v>Yes</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IFERROR(__xludf.DUMMYFUNCTION("""COMPUTED_VALUE"""),"Yes")</f>
        <v>Yes</v>
      </c>
      <c r="AH24" s="5" t="str">
        <f>IFERROR(__xludf.DUMMYFUNCTION("""COMPUTED_VALUE"""),"Yes")</f>
        <v>Yes</v>
      </c>
      <c r="AI24" s="5" t="str">
        <f>IFERROR(__xludf.DUMMYFUNCTION("""COMPUTED_VALUE"""),"No")</f>
        <v>No</v>
      </c>
      <c r="AJ24" s="5" t="str">
        <f>IFERROR(__xludf.DUMMYFUNCTION("""COMPUTED_VALUE"""),"No")</f>
        <v>No</v>
      </c>
      <c r="AK24" s="5" t="str">
        <f>IFERROR(__xludf.DUMMYFUNCTION("""COMPUTED_VALUE"""),"No")</f>
        <v>No</v>
      </c>
      <c r="AL24" s="5" t="str">
        <f>IFERROR(__xludf.DUMMYFUNCTION("""COMPUTED_VALUE"""),"No")</f>
        <v>No</v>
      </c>
      <c r="AM24" s="5"/>
      <c r="AN24" s="5"/>
      <c r="AO24" s="5"/>
      <c r="AP24" s="5"/>
      <c r="AQ24" s="5" t="str">
        <f>IFERROR(__xludf.DUMMYFUNCTION("""COMPUTED_VALUE"""),"Yes")</f>
        <v>Yes</v>
      </c>
      <c r="AR24" s="5"/>
      <c r="AS24" s="5" t="str">
        <f>IFERROR(__xludf.DUMMYFUNCTION("""COMPUTED_VALUE"""),"Yes")</f>
        <v>Yes</v>
      </c>
      <c r="AT24" s="5"/>
      <c r="AU24" s="5"/>
      <c r="AV24" s="5" t="str">
        <f>IFERROR(__xludf.DUMMYFUNCTION("""COMPUTED_VALUE"""),"")</f>
        <v/>
      </c>
    </row>
    <row r="25">
      <c r="A25" s="5" t="str">
        <f>IFERROR(__xludf.DUMMYFUNCTION("""COMPUTED_VALUE"""),"Playnet")</f>
        <v>Playnet</v>
      </c>
      <c r="B25" s="5" t="str">
        <f>IFERROR(__xludf.DUMMYFUNCTION("""COMPUTED_VALUE"""),"Fortune Clover 10")</f>
        <v>Fortune Clover 10</v>
      </c>
      <c r="C25" s="5" t="str">
        <f>IFERROR(__xludf.DUMMYFUNCTION("""COMPUTED_VALUE"""),"PlayNetFortuneClover10")</f>
        <v>PlayNetFortuneClover10</v>
      </c>
      <c r="D25" s="6">
        <f>IFERROR(__xludf.DUMMYFUNCTION("""COMPUTED_VALUE"""),45796.0)</f>
        <v>45796</v>
      </c>
      <c r="E25" s="5" t="str">
        <f>IFERROR(__xludf.DUMMYFUNCTION("""COMPUTED_VALUE"""),"Slot")</f>
        <v>Slot</v>
      </c>
      <c r="F25" s="5">
        <f>IFERROR(__xludf.DUMMYFUNCTION("""COMPUTED_VALUE"""),7.1)</f>
        <v>7.1</v>
      </c>
      <c r="G25" s="5" t="str">
        <f>IFERROR(__xludf.DUMMYFUNCTION("""COMPUTED_VALUE"""),"5x3")</f>
        <v>5x3</v>
      </c>
      <c r="H25" s="5">
        <f>IFERROR(__xludf.DUMMYFUNCTION("""COMPUTED_VALUE"""),10.0)</f>
        <v>10</v>
      </c>
      <c r="I25" s="5">
        <f>IFERROR(__xludf.DUMMYFUNCTION("""COMPUTED_VALUE"""),10.0)</f>
        <v>10</v>
      </c>
      <c r="J25" s="5" t="str">
        <f>IFERROR(__xludf.DUMMYFUNCTION("""COMPUTED_VALUE"""),"95.962%")</f>
        <v>95.962%</v>
      </c>
      <c r="K25" s="5" t="str">
        <f>IFERROR(__xludf.DUMMYFUNCTION("""COMPUTED_VALUE"""),"Medium")</f>
        <v>Medium</v>
      </c>
      <c r="L25" s="5" t="str">
        <f>IFERROR(__xludf.DUMMYFUNCTION("""COMPUTED_VALUE"""),"14.634%")</f>
        <v>14.634%</v>
      </c>
      <c r="M25" s="5" t="str">
        <f>IFERROR(__xludf.DUMMYFUNCTION("""COMPUTED_VALUE"""),"x1538")</f>
        <v>x1538</v>
      </c>
      <c r="N25" s="5" t="str">
        <f>IFERROR(__xludf.DUMMYFUNCTION("""COMPUTED_VALUE"""),"0.01/50")</f>
        <v>0.01/50</v>
      </c>
      <c r="O25" s="5" t="str">
        <f>IFERROR(__xludf.DUMMYFUNCTION("""COMPUTED_VALUE"""),"No")</f>
        <v>No</v>
      </c>
      <c r="P25" s="5" t="str">
        <f>IFERROR(__xludf.DUMMYFUNCTION("""COMPUTED_VALUE"""),"Expanding Wild, Scatter")</f>
        <v>Expanding Wild, Scatter</v>
      </c>
      <c r="Q25" s="7" t="str">
        <f>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R25" s="5" t="str">
        <f>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S2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IFERROR(__xludf.DUMMYFUNCTION("""COMPUTED_VALUE"""),"No")</f>
        <v>No</v>
      </c>
      <c r="AJ25" s="5" t="str">
        <f>IFERROR(__xludf.DUMMYFUNCTION("""COMPUTED_VALUE"""),"No")</f>
        <v>No</v>
      </c>
      <c r="AK25" s="5" t="str">
        <f>IFERROR(__xludf.DUMMYFUNCTION("""COMPUTED_VALUE"""),"No")</f>
        <v>No</v>
      </c>
      <c r="AL25" s="5" t="str">
        <f>IFERROR(__xludf.DUMMYFUNCTION("""COMPUTED_VALUE"""),"No")</f>
        <v>No</v>
      </c>
      <c r="AM25" s="5" t="str">
        <f>IFERROR(__xludf.DUMMYFUNCTION("""COMPUTED_VALUE"""),"No")</f>
        <v>No</v>
      </c>
      <c r="AN25" s="5" t="str">
        <f>IFERROR(__xludf.DUMMYFUNCTION("""COMPUTED_VALUE"""),"No")</f>
        <v>No</v>
      </c>
      <c r="AO25" s="5" t="str">
        <f>IFERROR(__xludf.DUMMYFUNCTION("""COMPUTED_VALUE"""),"No")</f>
        <v>No</v>
      </c>
      <c r="AP25" s="5" t="str">
        <f>IFERROR(__xludf.DUMMYFUNCTION("""COMPUTED_VALUE"""),"No")</f>
        <v>No</v>
      </c>
      <c r="AQ25" s="5" t="str">
        <f>IFERROR(__xludf.DUMMYFUNCTION("""COMPUTED_VALUE"""),"No")</f>
        <v>No</v>
      </c>
      <c r="AR25" s="5" t="str">
        <f>IFERROR(__xludf.DUMMYFUNCTION("""COMPUTED_VALUE"""),"No")</f>
        <v>No</v>
      </c>
      <c r="AS25" s="5" t="str">
        <f>IFERROR(__xludf.DUMMYFUNCTION("""COMPUTED_VALUE"""),"Yes")</f>
        <v>Yes</v>
      </c>
      <c r="AT25" s="5" t="str">
        <f>IFERROR(__xludf.DUMMYFUNCTION("""COMPUTED_VALUE"""),"No")</f>
        <v>No</v>
      </c>
      <c r="AU25" s="5"/>
      <c r="AV25" s="5" t="str">
        <f>IFERROR(__xludf.DUMMYFUNCTION("""COMPUTED_VALUE"""),"")</f>
        <v/>
      </c>
    </row>
    <row r="26">
      <c r="A26" s="5" t="str">
        <f>IFERROR(__xludf.DUMMYFUNCTION("""COMPUTED_VALUE"""),"Playnet")</f>
        <v>Playnet</v>
      </c>
      <c r="B26" s="5" t="str">
        <f>IFERROR(__xludf.DUMMYFUNCTION("""COMPUTED_VALUE"""),"Majestic Crown 100")</f>
        <v>Majestic Crown 100</v>
      </c>
      <c r="C26" s="5" t="str">
        <f>IFERROR(__xludf.DUMMYFUNCTION("""COMPUTED_VALUE"""),"PlayNetMajesticCrown100")</f>
        <v>PlayNetMajesticCrown100</v>
      </c>
      <c r="D26" s="6">
        <f>IFERROR(__xludf.DUMMYFUNCTION("""COMPUTED_VALUE"""),45810.0)</f>
        <v>45810</v>
      </c>
      <c r="E26" s="5" t="str">
        <f>IFERROR(__xludf.DUMMYFUNCTION("""COMPUTED_VALUE"""),"Slot")</f>
        <v>Slot</v>
      </c>
      <c r="F26" s="5">
        <f>IFERROR(__xludf.DUMMYFUNCTION("""COMPUTED_VALUE"""),7.0)</f>
        <v>7</v>
      </c>
      <c r="G26" s="5" t="str">
        <f>IFERROR(__xludf.DUMMYFUNCTION("""COMPUTED_VALUE"""),"5x4")</f>
        <v>5x4</v>
      </c>
      <c r="H26" s="5">
        <f>IFERROR(__xludf.DUMMYFUNCTION("""COMPUTED_VALUE"""),100.0)</f>
        <v>100</v>
      </c>
      <c r="I26" s="5">
        <f>IFERROR(__xludf.DUMMYFUNCTION("""COMPUTED_VALUE"""),100.0)</f>
        <v>100</v>
      </c>
      <c r="J26" s="5" t="str">
        <f>IFERROR(__xludf.DUMMYFUNCTION("""COMPUTED_VALUE"""),"96.502%")</f>
        <v>96.502%</v>
      </c>
      <c r="K26" s="5" t="str">
        <f>IFERROR(__xludf.DUMMYFUNCTION("""COMPUTED_VALUE"""),"Medium")</f>
        <v>Medium</v>
      </c>
      <c r="L26" s="5" t="str">
        <f>IFERROR(__xludf.DUMMYFUNCTION("""COMPUTED_VALUE"""),"13.309%")</f>
        <v>13.309%</v>
      </c>
      <c r="M26" s="5" t="str">
        <f>IFERROR(__xludf.DUMMYFUNCTION("""COMPUTED_VALUE"""),"x3000")</f>
        <v>x3000</v>
      </c>
      <c r="N26" s="5" t="str">
        <f>IFERROR(__xludf.DUMMYFUNCTION("""COMPUTED_VALUE"""),"1/100")</f>
        <v>1/100</v>
      </c>
      <c r="O26" s="5" t="str">
        <f>IFERROR(__xludf.DUMMYFUNCTION("""COMPUTED_VALUE"""),"No")</f>
        <v>No</v>
      </c>
      <c r="P26" s="5" t="str">
        <f>IFERROR(__xludf.DUMMYFUNCTION("""COMPUTED_VALUE"""),"Scatter, Expanding Wild")</f>
        <v>Scatter, Expanding Wild</v>
      </c>
      <c r="Q26" s="7" t="str">
        <f>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R26" s="5" t="str">
        <f>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S2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IFERROR(__xludf.DUMMYFUNCTION("""COMPUTED_VALUE"""),"Yes")</f>
        <v>Yes</v>
      </c>
      <c r="AA26" s="5" t="str">
        <f>IFERROR(__xludf.DUMMYFUNCTION("""COMPUTED_VALUE"""),"Yes")</f>
        <v>Yes</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IFERROR(__xludf.DUMMYFUNCTION("""COMPUTED_VALUE"""),"Yes")</f>
        <v>Yes</v>
      </c>
      <c r="AH26" s="5" t="str">
        <f>IFERROR(__xludf.DUMMYFUNCTION("""COMPUTED_VALUE"""),"Yes")</f>
        <v>Yes</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c r="AN26" s="5"/>
      <c r="AO26" s="5"/>
      <c r="AP26" s="5"/>
      <c r="AQ26" s="5" t="str">
        <f>IFERROR(__xludf.DUMMYFUNCTION("""COMPUTED_VALUE"""),"No")</f>
        <v>No</v>
      </c>
      <c r="AR26" s="5"/>
      <c r="AS26" s="5" t="str">
        <f>IFERROR(__xludf.DUMMYFUNCTION("""COMPUTED_VALUE"""),"Yes")</f>
        <v>Yes</v>
      </c>
      <c r="AT26" s="5"/>
      <c r="AU26" s="5"/>
      <c r="AV26" s="5" t="str">
        <f>IFERROR(__xludf.DUMMYFUNCTION("""COMPUTED_VALUE"""),"")</f>
        <v/>
      </c>
    </row>
    <row r="27">
      <c r="A27" s="5" t="str">
        <f>IFERROR(__xludf.DUMMYFUNCTION("""COMPUTED_VALUE"""),"Playnet")</f>
        <v>Playnet</v>
      </c>
      <c r="B27" s="5" t="str">
        <f>IFERROR(__xludf.DUMMYFUNCTION("""COMPUTED_VALUE"""),"Fortune Clover 20")</f>
        <v>Fortune Clover 20</v>
      </c>
      <c r="C27" s="5" t="str">
        <f>IFERROR(__xludf.DUMMYFUNCTION("""COMPUTED_VALUE"""),"PlayNetFortuneClover20")</f>
        <v>PlayNetFortuneClover20</v>
      </c>
      <c r="D27" s="6">
        <f>IFERROR(__xludf.DUMMYFUNCTION("""COMPUTED_VALUE"""),45826.0)</f>
        <v>45826</v>
      </c>
      <c r="E27" s="5" t="str">
        <f>IFERROR(__xludf.DUMMYFUNCTION("""COMPUTED_VALUE"""),"Slot")</f>
        <v>Slot</v>
      </c>
      <c r="F27" s="5">
        <f>IFERROR(__xludf.DUMMYFUNCTION("""COMPUTED_VALUE"""),7.2)</f>
        <v>7.2</v>
      </c>
      <c r="G27" s="5" t="str">
        <f>IFERROR(__xludf.DUMMYFUNCTION("""COMPUTED_VALUE"""),"5x3")</f>
        <v>5x3</v>
      </c>
      <c r="H27" s="5">
        <f>IFERROR(__xludf.DUMMYFUNCTION("""COMPUTED_VALUE"""),20.0)</f>
        <v>20</v>
      </c>
      <c r="I27" s="5">
        <f>IFERROR(__xludf.DUMMYFUNCTION("""COMPUTED_VALUE"""),20.0)</f>
        <v>20</v>
      </c>
      <c r="J27" s="5" t="str">
        <f>IFERROR(__xludf.DUMMYFUNCTION("""COMPUTED_VALUE"""),"96.504%")</f>
        <v>96.504%</v>
      </c>
      <c r="K27" s="5" t="str">
        <f>IFERROR(__xludf.DUMMYFUNCTION("""COMPUTED_VALUE"""),"Medium")</f>
        <v>Medium</v>
      </c>
      <c r="L27" s="5" t="str">
        <f>IFERROR(__xludf.DUMMYFUNCTION("""COMPUTED_VALUE"""),"21.751%")</f>
        <v>21.751%</v>
      </c>
      <c r="M27" s="5" t="str">
        <f>IFERROR(__xludf.DUMMYFUNCTION("""COMPUTED_VALUE"""),"x1231.5")</f>
        <v>x1231.5</v>
      </c>
      <c r="N27" s="5" t="str">
        <f>IFERROR(__xludf.DUMMYFUNCTION("""COMPUTED_VALUE"""),"0.2/50")</f>
        <v>0.2/50</v>
      </c>
      <c r="O27" s="5" t="str">
        <f>IFERROR(__xludf.DUMMYFUNCTION("""COMPUTED_VALUE"""),"No")</f>
        <v>No</v>
      </c>
      <c r="P27" s="5" t="str">
        <f>IFERROR(__xludf.DUMMYFUNCTION("""COMPUTED_VALUE"""),"Scatter, Expanding Wild")</f>
        <v>Scatter, Expanding Wild</v>
      </c>
      <c r="Q27" s="7" t="str">
        <f>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R27" s="5" t="str">
        <f>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S2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t="str">
        <f>IFERROR(__xludf.DUMMYFUNCTION("""COMPUTED_VALUE"""),"Yes")</f>
        <v>Yes</v>
      </c>
      <c r="Z27" s="5" t="str">
        <f>IFERROR(__xludf.DUMMYFUNCTION("""COMPUTED_VALUE"""),"Yes")</f>
        <v>Yes</v>
      </c>
      <c r="AA27" s="5" t="str">
        <f>IFERROR(__xludf.DUMMYFUNCTION("""COMPUTED_VALUE"""),"Yes")</f>
        <v>Yes</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IFERROR(__xludf.DUMMYFUNCTION("""COMPUTED_VALUE"""),"Yes")</f>
        <v>Yes</v>
      </c>
      <c r="AH27" s="5" t="str">
        <f>IFERROR(__xludf.DUMMYFUNCTION("""COMPUTED_VALUE"""),"Yes")</f>
        <v>Yes</v>
      </c>
      <c r="AI27" s="5" t="str">
        <f>IFERROR(__xludf.DUMMYFUNCTION("""COMPUTED_VALUE"""),"No")</f>
        <v>No</v>
      </c>
      <c r="AJ27" s="5" t="str">
        <f>IFERROR(__xludf.DUMMYFUNCTION("""COMPUTED_VALUE"""),"No")</f>
        <v>No</v>
      </c>
      <c r="AK27" s="5" t="str">
        <f>IFERROR(__xludf.DUMMYFUNCTION("""COMPUTED_VALUE"""),"No")</f>
        <v>No</v>
      </c>
      <c r="AL27" s="5" t="str">
        <f>IFERROR(__xludf.DUMMYFUNCTION("""COMPUTED_VALUE"""),"No")</f>
        <v>No</v>
      </c>
      <c r="AM27" s="5"/>
      <c r="AN27" s="5"/>
      <c r="AO27" s="5"/>
      <c r="AP27" s="5"/>
      <c r="AQ27" s="5" t="str">
        <f>IFERROR(__xludf.DUMMYFUNCTION("""COMPUTED_VALUE"""),"No")</f>
        <v>No</v>
      </c>
      <c r="AR27" s="5"/>
      <c r="AS27" s="5" t="str">
        <f>IFERROR(__xludf.DUMMYFUNCTION("""COMPUTED_VALUE"""),"Yes")</f>
        <v>Yes</v>
      </c>
      <c r="AT27" s="5"/>
      <c r="AU27" s="5"/>
      <c r="AV27" s="5" t="str">
        <f>IFERROR(__xludf.DUMMYFUNCTION("""COMPUTED_VALUE"""),"")</f>
        <v/>
      </c>
    </row>
    <row r="28">
      <c r="A28" s="5" t="str">
        <f>IFERROR(__xludf.DUMMYFUNCTION("""COMPUTED_VALUE"""),"Playnet")</f>
        <v>Playnet</v>
      </c>
      <c r="B28" s="5" t="str">
        <f>IFERROR(__xludf.DUMMYFUNCTION("""COMPUTED_VALUE"""),"Majestic Crown 5")</f>
        <v>Majestic Crown 5</v>
      </c>
      <c r="C28" s="5" t="str">
        <f>IFERROR(__xludf.DUMMYFUNCTION("""COMPUTED_VALUE"""),"PlayNetMajesticCrown5")</f>
        <v>PlayNetMajesticCrown5</v>
      </c>
      <c r="D28" s="6">
        <f>IFERROR(__xludf.DUMMYFUNCTION("""COMPUTED_VALUE"""),45839.0)</f>
        <v>45839</v>
      </c>
      <c r="E28" s="5" t="str">
        <f>IFERROR(__xludf.DUMMYFUNCTION("""COMPUTED_VALUE"""),"Slot")</f>
        <v>Slot</v>
      </c>
      <c r="F28" s="5">
        <f>IFERROR(__xludf.DUMMYFUNCTION("""COMPUTED_VALUE"""),7.2)</f>
        <v>7.2</v>
      </c>
      <c r="G28" s="5" t="str">
        <f>IFERROR(__xludf.DUMMYFUNCTION("""COMPUTED_VALUE"""),"5x3")</f>
        <v>5x3</v>
      </c>
      <c r="H28" s="5">
        <f>IFERROR(__xludf.DUMMYFUNCTION("""COMPUTED_VALUE"""),5.0)</f>
        <v>5</v>
      </c>
      <c r="I28" s="5">
        <f>IFERROR(__xludf.DUMMYFUNCTION("""COMPUTED_VALUE"""),5.0)</f>
        <v>5</v>
      </c>
      <c r="J28" s="5" t="str">
        <f>IFERROR(__xludf.DUMMYFUNCTION("""COMPUTED_VALUE"""),"96.962%")</f>
        <v>96.962%</v>
      </c>
      <c r="K28" s="5" t="str">
        <f>IFERROR(__xludf.DUMMYFUNCTION("""COMPUTED_VALUE"""),"Medium")</f>
        <v>Medium</v>
      </c>
      <c r="L28" s="5" t="str">
        <f>IFERROR(__xludf.DUMMYFUNCTION("""COMPUTED_VALUE"""),"12.259%")</f>
        <v>12.259%</v>
      </c>
      <c r="M28" s="5" t="str">
        <f>IFERROR(__xludf.DUMMYFUNCTION("""COMPUTED_VALUE"""),"x2018")</f>
        <v>x2018</v>
      </c>
      <c r="N28" s="5" t="str">
        <f>IFERROR(__xludf.DUMMYFUNCTION("""COMPUTED_VALUE"""),"0.05/30")</f>
        <v>0.05/30</v>
      </c>
      <c r="O28" s="5" t="str">
        <f>IFERROR(__xludf.DUMMYFUNCTION("""COMPUTED_VALUE"""),"No")</f>
        <v>No</v>
      </c>
      <c r="P28" s="5" t="str">
        <f>IFERROR(__xludf.DUMMYFUNCTION("""COMPUTED_VALUE"""),"Scatter, Expanding Wild")</f>
        <v>Scatter, Expanding Wild</v>
      </c>
      <c r="Q28" s="7" t="str">
        <f>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R28" s="5" t="str">
        <f>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S2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8" s="5" t="str">
        <f>IFERROR(__xludf.DUMMYFUNCTION("""COMPUTED_VALUE"""),"Yes")</f>
        <v>Yes</v>
      </c>
      <c r="U28" s="5" t="str">
        <f>IFERROR(__xludf.DUMMYFUNCTION("""COMPUTED_VALUE"""),"Yes")</f>
        <v>Yes</v>
      </c>
      <c r="V28" s="5" t="str">
        <f>IFERROR(__xludf.DUMMYFUNCTION("""COMPUTED_VALUE"""),"Yes")</f>
        <v>Yes</v>
      </c>
      <c r="W28" s="5" t="str">
        <f>IFERROR(__xludf.DUMMYFUNCTION("""COMPUTED_VALUE"""),"Yes")</f>
        <v>Yes</v>
      </c>
      <c r="X28" s="5" t="str">
        <f>IFERROR(__xludf.DUMMYFUNCTION("""COMPUTED_VALUE"""),"Yes")</f>
        <v>Yes</v>
      </c>
      <c r="Y28" s="5" t="str">
        <f>IFERROR(__xludf.DUMMYFUNCTION("""COMPUTED_VALUE"""),"Yes")</f>
        <v>Yes</v>
      </c>
      <c r="Z28" s="5" t="str">
        <f>IFERROR(__xludf.DUMMYFUNCTION("""COMPUTED_VALUE"""),"Yes")</f>
        <v>Yes</v>
      </c>
      <c r="AA28" s="5" t="str">
        <f>IFERROR(__xludf.DUMMYFUNCTION("""COMPUTED_VALUE"""),"Yes")</f>
        <v>Yes</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IFERROR(__xludf.DUMMYFUNCTION("""COMPUTED_VALUE"""),"Yes")</f>
        <v>Yes</v>
      </c>
      <c r="AH28" s="5" t="str">
        <f>IFERROR(__xludf.DUMMYFUNCTION("""COMPUTED_VALUE"""),"Yes")</f>
        <v>Yes</v>
      </c>
      <c r="AI28" s="5" t="str">
        <f>IFERROR(__xludf.DUMMYFUNCTION("""COMPUTED_VALUE"""),"No")</f>
        <v>No</v>
      </c>
      <c r="AJ28" s="5" t="str">
        <f>IFERROR(__xludf.DUMMYFUNCTION("""COMPUTED_VALUE"""),"No")</f>
        <v>No</v>
      </c>
      <c r="AK28" s="5" t="str">
        <f>IFERROR(__xludf.DUMMYFUNCTION("""COMPUTED_VALUE"""),"No")</f>
        <v>No</v>
      </c>
      <c r="AL28" s="5" t="str">
        <f>IFERROR(__xludf.DUMMYFUNCTION("""COMPUTED_VALUE"""),"No")</f>
        <v>No</v>
      </c>
      <c r="AM28" s="5"/>
      <c r="AN28" s="5"/>
      <c r="AO28" s="5"/>
      <c r="AP28" s="5"/>
      <c r="AQ28" s="5" t="str">
        <f>IFERROR(__xludf.DUMMYFUNCTION("""COMPUTED_VALUE"""),"No")</f>
        <v>No</v>
      </c>
      <c r="AR28" s="5"/>
      <c r="AS28" s="5" t="str">
        <f>IFERROR(__xludf.DUMMYFUNCTION("""COMPUTED_VALUE"""),"Yes")</f>
        <v>Yes</v>
      </c>
      <c r="AT28" s="5"/>
      <c r="AU28" s="5"/>
      <c r="AV28" s="5" t="str">
        <f>IFERROR(__xludf.DUMMYFUNCTION("""COMPUTED_VALUE"""),"")</f>
        <v/>
      </c>
    </row>
    <row r="29">
      <c r="A29" s="5" t="str">
        <f>IFERROR(__xludf.DUMMYFUNCTION("""COMPUTED_VALUE"""),"Playnet")</f>
        <v>Playnet</v>
      </c>
      <c r="B29" s="5" t="str">
        <f>IFERROR(__xludf.DUMMYFUNCTION("""COMPUTED_VALUE"""),"Diamond Heart 100")</f>
        <v>Diamond Heart 100</v>
      </c>
      <c r="C29" s="5" t="str">
        <f>IFERROR(__xludf.DUMMYFUNCTION("""COMPUTED_VALUE"""),"PlayNetDiamondHeart100")</f>
        <v>PlayNetDiamondHeart100</v>
      </c>
      <c r="D29" s="6">
        <f>IFERROR(__xludf.DUMMYFUNCTION("""COMPUTED_VALUE"""),45874.0)</f>
        <v>45874</v>
      </c>
      <c r="E29" s="5" t="str">
        <f>IFERROR(__xludf.DUMMYFUNCTION("""COMPUTED_VALUE"""),"Slot")</f>
        <v>Slot</v>
      </c>
      <c r="F29" s="5">
        <f>IFERROR(__xludf.DUMMYFUNCTION("""COMPUTED_VALUE"""),7.3)</f>
        <v>7.3</v>
      </c>
      <c r="G29" s="5" t="str">
        <f>IFERROR(__xludf.DUMMYFUNCTION("""COMPUTED_VALUE"""),"5x4")</f>
        <v>5x4</v>
      </c>
      <c r="H29" s="5">
        <f>IFERROR(__xludf.DUMMYFUNCTION("""COMPUTED_VALUE"""),100.0)</f>
        <v>100</v>
      </c>
      <c r="I29" s="5">
        <f>IFERROR(__xludf.DUMMYFUNCTION("""COMPUTED_VALUE"""),100.0)</f>
        <v>100</v>
      </c>
      <c r="J29" s="5" t="str">
        <f>IFERROR(__xludf.DUMMYFUNCTION("""COMPUTED_VALUE"""),"96.502%")</f>
        <v>96.502%</v>
      </c>
      <c r="K29" s="5" t="str">
        <f>IFERROR(__xludf.DUMMYFUNCTION("""COMPUTED_VALUE"""),"Medium")</f>
        <v>Medium</v>
      </c>
      <c r="L29" s="5" t="str">
        <f>IFERROR(__xludf.DUMMYFUNCTION("""COMPUTED_VALUE"""),"13.309%")</f>
        <v>13.309%</v>
      </c>
      <c r="M29" s="5" t="str">
        <f>IFERROR(__xludf.DUMMYFUNCTION("""COMPUTED_VALUE"""),"x3000")</f>
        <v>x3000</v>
      </c>
      <c r="N29" s="5" t="str">
        <f>IFERROR(__xludf.DUMMYFUNCTION("""COMPUTED_VALUE"""),"1/100")</f>
        <v>1/100</v>
      </c>
      <c r="O29" s="5" t="str">
        <f>IFERROR(__xludf.DUMMYFUNCTION("""COMPUTED_VALUE"""),"No")</f>
        <v>No</v>
      </c>
      <c r="P29" s="5" t="str">
        <f>IFERROR(__xludf.DUMMYFUNCTION("""COMPUTED_VALUE"""),"Scatter, Expanding Wild")</f>
        <v>Scatter, Expanding Wild</v>
      </c>
      <c r="Q29" s="7" t="str">
        <f>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R29" s="5" t="str">
        <f>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S2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IFERROR(__xludf.DUMMYFUNCTION("""COMPUTED_VALUE"""),"No")</f>
        <v>No</v>
      </c>
      <c r="AJ29" s="5" t="str">
        <f>IFERROR(__xludf.DUMMYFUNCTION("""COMPUTED_VALUE"""),"No")</f>
        <v>No</v>
      </c>
      <c r="AK29" s="5" t="str">
        <f>IFERROR(__xludf.DUMMYFUNCTION("""COMPUTED_VALUE"""),"No")</f>
        <v>No</v>
      </c>
      <c r="AL29" s="5" t="str">
        <f>IFERROR(__xludf.DUMMYFUNCTION("""COMPUTED_VALUE"""),"No")</f>
        <v>No</v>
      </c>
      <c r="AM29" s="5"/>
      <c r="AN29" s="5" t="str">
        <f>IFERROR(__xludf.DUMMYFUNCTION("""COMPUTED_VALUE"""),"No")</f>
        <v>No</v>
      </c>
      <c r="AO29" s="5" t="str">
        <f>IFERROR(__xludf.DUMMYFUNCTION("""COMPUTED_VALUE"""),"No")</f>
        <v>No</v>
      </c>
      <c r="AP29" s="5" t="str">
        <f>IFERROR(__xludf.DUMMYFUNCTION("""COMPUTED_VALUE"""),"No")</f>
        <v>No</v>
      </c>
      <c r="AQ29" s="5" t="str">
        <f>IFERROR(__xludf.DUMMYFUNCTION("""COMPUTED_VALUE"""),"No")</f>
        <v>No</v>
      </c>
      <c r="AR29" s="5" t="str">
        <f>IFERROR(__xludf.DUMMYFUNCTION("""COMPUTED_VALUE"""),"No")</f>
        <v>No</v>
      </c>
      <c r="AS29" s="5" t="str">
        <f>IFERROR(__xludf.DUMMYFUNCTION("""COMPUTED_VALUE"""),"Yes")</f>
        <v>Yes</v>
      </c>
      <c r="AT29" s="5"/>
      <c r="AU29" s="5"/>
      <c r="AV29" s="5" t="str">
        <f>IFERROR(__xludf.DUMMYFUNCTION("""COMPUTED_VALUE"""),"")</f>
        <v/>
      </c>
    </row>
    <row r="30">
      <c r="A30" s="5" t="str">
        <f>IFERROR(__xludf.DUMMYFUNCTION("""COMPUTED_VALUE"""),"Playnet")</f>
        <v>Playnet</v>
      </c>
      <c r="B30" s="5" t="str">
        <f>IFERROR(__xludf.DUMMYFUNCTION("""COMPUTED_VALUE"""),"Golden Getsby")</f>
        <v>Golden Getsby</v>
      </c>
      <c r="C30" s="5" t="str">
        <f>IFERROR(__xludf.DUMMYFUNCTION("""COMPUTED_VALUE"""),"PlayNetGoldenGetsby")</f>
        <v>PlayNetGoldenGetsby</v>
      </c>
      <c r="D30" s="6">
        <f>IFERROR(__xludf.DUMMYFUNCTION("""COMPUTED_VALUE"""),45951.0)</f>
        <v>45951</v>
      </c>
      <c r="E30" s="5" t="str">
        <f>IFERROR(__xludf.DUMMYFUNCTION("""COMPUTED_VALUE"""),"Slot")</f>
        <v>Slot</v>
      </c>
      <c r="F30" s="5">
        <f>IFERROR(__xludf.DUMMYFUNCTION("""COMPUTED_VALUE"""),7.3)</f>
        <v>7.3</v>
      </c>
      <c r="G30" s="5" t="str">
        <f>IFERROR(__xludf.DUMMYFUNCTION("""COMPUTED_VALUE"""),"3x3")</f>
        <v>3x3</v>
      </c>
      <c r="H30" s="5">
        <f>IFERROR(__xludf.DUMMYFUNCTION("""COMPUTED_VALUE"""),5.0)</f>
        <v>5</v>
      </c>
      <c r="I30" s="5">
        <f>IFERROR(__xludf.DUMMYFUNCTION("""COMPUTED_VALUE"""),5.0)</f>
        <v>5</v>
      </c>
      <c r="J30" s="5" t="str">
        <f>IFERROR(__xludf.DUMMYFUNCTION("""COMPUTED_VALUE"""),"95.513%")</f>
        <v>95.513%</v>
      </c>
      <c r="K30" s="5" t="str">
        <f>IFERROR(__xludf.DUMMYFUNCTION("""COMPUTED_VALUE"""),"Low")</f>
        <v>Low</v>
      </c>
      <c r="L30" s="5" t="str">
        <f>IFERROR(__xludf.DUMMYFUNCTION("""COMPUTED_VALUE"""),"6.513%")</f>
        <v>6.513%</v>
      </c>
      <c r="M30" s="5" t="str">
        <f>IFERROR(__xludf.DUMMYFUNCTION("""COMPUTED_VALUE"""),"x60")</f>
        <v>x60</v>
      </c>
      <c r="N30" s="5" t="str">
        <f>IFERROR(__xludf.DUMMYFUNCTION("""COMPUTED_VALUE"""),"0.05/30")</f>
        <v>0.05/30</v>
      </c>
      <c r="O30" s="5" t="str">
        <f>IFERROR(__xludf.DUMMYFUNCTION("""COMPUTED_VALUE"""),"No")</f>
        <v>No</v>
      </c>
      <c r="P30" s="5" t="str">
        <f>IFERROR(__xludf.DUMMYFUNCTION("""COMPUTED_VALUE"""),"Win Multiplier")</f>
        <v>Win Multiplier</v>
      </c>
      <c r="Q30" s="7" t="str">
        <f>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R30" s="5" t="str">
        <f>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S3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IFERROR(__xludf.DUMMYFUNCTION("""COMPUTED_VALUE"""),"Yes")</f>
        <v>Yes</v>
      </c>
      <c r="AH30" s="5" t="str">
        <f>IFERROR(__xludf.DUMMYFUNCTION("""COMPUTED_VALUE"""),"Yes")</f>
        <v>Yes</v>
      </c>
      <c r="AI30" s="5" t="str">
        <f>IFERROR(__xludf.DUMMYFUNCTION("""COMPUTED_VALUE"""),"No")</f>
        <v>No</v>
      </c>
      <c r="AJ30" s="5" t="str">
        <f>IFERROR(__xludf.DUMMYFUNCTION("""COMPUTED_VALUE"""),"No")</f>
        <v>No</v>
      </c>
      <c r="AK30" s="5" t="str">
        <f>IFERROR(__xludf.DUMMYFUNCTION("""COMPUTED_VALUE"""),"No")</f>
        <v>No</v>
      </c>
      <c r="AL30" s="5" t="str">
        <f>IFERROR(__xludf.DUMMYFUNCTION("""COMPUTED_VALUE"""),"No")</f>
        <v>No</v>
      </c>
      <c r="AM30" s="5"/>
      <c r="AN30" s="5" t="str">
        <f>IFERROR(__xludf.DUMMYFUNCTION("""COMPUTED_VALUE"""),"No")</f>
        <v>No</v>
      </c>
      <c r="AO30" s="5" t="str">
        <f>IFERROR(__xludf.DUMMYFUNCTION("""COMPUTED_VALUE"""),"No")</f>
        <v>No</v>
      </c>
      <c r="AP30" s="5" t="str">
        <f>IFERROR(__xludf.DUMMYFUNCTION("""COMPUTED_VALUE"""),"No")</f>
        <v>No</v>
      </c>
      <c r="AQ30" s="5" t="str">
        <f>IFERROR(__xludf.DUMMYFUNCTION("""COMPUTED_VALUE"""),"No")</f>
        <v>No</v>
      </c>
      <c r="AR30" s="5" t="str">
        <f>IFERROR(__xludf.DUMMYFUNCTION("""COMPUTED_VALUE"""),"No")</f>
        <v>No</v>
      </c>
      <c r="AS30" s="5" t="str">
        <f>IFERROR(__xludf.DUMMYFUNCTION("""COMPUTED_VALUE"""),"Yes")</f>
        <v>Yes</v>
      </c>
      <c r="AT30" s="5"/>
      <c r="AU30" s="5"/>
      <c r="AV30" s="5" t="str">
        <f>IFERROR(__xludf.DUMMYFUNCTION("""COMPUTED_VALUE"""),"")</f>
        <v/>
      </c>
    </row>
    <row r="31">
      <c r="A31" s="5" t="str">
        <f>IFERROR(__xludf.DUMMYFUNCTION("""COMPUTED_VALUE"""),"Playnet")</f>
        <v>Playnet</v>
      </c>
      <c r="B31" s="5" t="str">
        <f>IFERROR(__xludf.DUMMYFUNCTION("""COMPUTED_VALUE"""),"Dashing Hot 20")</f>
        <v>Dashing Hot 20</v>
      </c>
      <c r="C31" s="5" t="str">
        <f>IFERROR(__xludf.DUMMYFUNCTION("""COMPUTED_VALUE"""),"PlayNetDashingHot20")</f>
        <v>PlayNetDashingHot20</v>
      </c>
      <c r="D31" s="6">
        <f>IFERROR(__xludf.DUMMYFUNCTION("""COMPUTED_VALUE"""),45929.0)</f>
        <v>45929</v>
      </c>
      <c r="E31" s="5" t="str">
        <f>IFERROR(__xludf.DUMMYFUNCTION("""COMPUTED_VALUE"""),"Slot")</f>
        <v>Slot</v>
      </c>
      <c r="F31" s="5">
        <f>IFERROR(__xludf.DUMMYFUNCTION("""COMPUTED_VALUE"""),7.3)</f>
        <v>7.3</v>
      </c>
      <c r="G31" s="5" t="str">
        <f>IFERROR(__xludf.DUMMYFUNCTION("""COMPUTED_VALUE"""),"5x3")</f>
        <v>5x3</v>
      </c>
      <c r="H31" s="5">
        <f>IFERROR(__xludf.DUMMYFUNCTION("""COMPUTED_VALUE"""),20.0)</f>
        <v>20</v>
      </c>
      <c r="I31" s="5">
        <f>IFERROR(__xludf.DUMMYFUNCTION("""COMPUTED_VALUE"""),20.0)</f>
        <v>20</v>
      </c>
      <c r="J31" s="5" t="str">
        <f>IFERROR(__xludf.DUMMYFUNCTION("""COMPUTED_VALUE"""),"95.79%")</f>
        <v>95.79%</v>
      </c>
      <c r="K31" s="5" t="str">
        <f>IFERROR(__xludf.DUMMYFUNCTION("""COMPUTED_VALUE"""),"Low")</f>
        <v>Low</v>
      </c>
      <c r="L31" s="5" t="str">
        <f>IFERROR(__xludf.DUMMYFUNCTION("""COMPUTED_VALUE"""),"4.856%")</f>
        <v>4.856%</v>
      </c>
      <c r="M31" s="5" t="str">
        <f>IFERROR(__xludf.DUMMYFUNCTION("""COMPUTED_VALUE"""),"x1000")</f>
        <v>x1000</v>
      </c>
      <c r="N31" s="5" t="str">
        <f>IFERROR(__xludf.DUMMYFUNCTION("""COMPUTED_VALUE"""),"0.01/50")</f>
        <v>0.01/50</v>
      </c>
      <c r="O31" s="5" t="str">
        <f>IFERROR(__xludf.DUMMYFUNCTION("""COMPUTED_VALUE"""),"No")</f>
        <v>No</v>
      </c>
      <c r="P31" s="5" t="str">
        <f>IFERROR(__xludf.DUMMYFUNCTION("""COMPUTED_VALUE"""),"Wild Symbol, Scatter")</f>
        <v>Wild Symbol, Scatter</v>
      </c>
      <c r="Q31" s="7" t="str">
        <f>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R31" s="5" t="str">
        <f>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S31"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IFERROR(__xludf.DUMMYFUNCTION("""COMPUTED_VALUE"""),"Yes")</f>
        <v>Yes</v>
      </c>
      <c r="AH31" s="5" t="str">
        <f>IFERROR(__xludf.DUMMYFUNCTION("""COMPUTED_VALUE"""),"Yes")</f>
        <v>Yes</v>
      </c>
      <c r="AI31" s="5" t="str">
        <f>IFERROR(__xludf.DUMMYFUNCTION("""COMPUTED_VALUE"""),"No")</f>
        <v>No</v>
      </c>
      <c r="AJ31" s="5" t="str">
        <f>IFERROR(__xludf.DUMMYFUNCTION("""COMPUTED_VALUE"""),"No")</f>
        <v>No</v>
      </c>
      <c r="AK31" s="5" t="str">
        <f>IFERROR(__xludf.DUMMYFUNCTION("""COMPUTED_VALUE"""),"No")</f>
        <v>No</v>
      </c>
      <c r="AL31" s="5" t="str">
        <f>IFERROR(__xludf.DUMMYFUNCTION("""COMPUTED_VALUE"""),"No")</f>
        <v>No</v>
      </c>
      <c r="AM31" s="5"/>
      <c r="AN31" s="5"/>
      <c r="AO31" s="5"/>
      <c r="AP31" s="5"/>
      <c r="AQ31" s="5" t="str">
        <f>IFERROR(__xludf.DUMMYFUNCTION("""COMPUTED_VALUE"""),"No")</f>
        <v>No</v>
      </c>
      <c r="AR31" s="5"/>
      <c r="AS31" s="5" t="str">
        <f>IFERROR(__xludf.DUMMYFUNCTION("""COMPUTED_VALUE"""),"Yes")</f>
        <v>Yes</v>
      </c>
      <c r="AT31" s="5" t="str">
        <f>IFERROR(__xludf.DUMMYFUNCTION("""COMPUTED_VALUE"""),"Yes")</f>
        <v>Yes</v>
      </c>
      <c r="AU31" s="5"/>
      <c r="AV31" s="5" t="str">
        <f>IFERROR(__xludf.DUMMYFUNCTION("""COMPUTED_VALUE"""),"")</f>
        <v/>
      </c>
    </row>
    <row r="32">
      <c r="A32" s="5" t="str">
        <f>IFERROR(__xludf.DUMMYFUNCTION("""COMPUTED_VALUE"""),"Playnet")</f>
        <v>Playnet</v>
      </c>
      <c r="B32" s="5" t="str">
        <f>IFERROR(__xludf.DUMMYFUNCTION("""COMPUTED_VALUE"""),"Dark Temptress")</f>
        <v>Dark Temptress</v>
      </c>
      <c r="C32" s="5" t="str">
        <f>IFERROR(__xludf.DUMMYFUNCTION("""COMPUTED_VALUE"""),"PlayNetDarkTemptress")</f>
        <v>PlayNetDarkTemptress</v>
      </c>
      <c r="D32" s="6">
        <f>IFERROR(__xludf.DUMMYFUNCTION("""COMPUTED_VALUE"""),45922.0)</f>
        <v>45922</v>
      </c>
      <c r="E32" s="5" t="str">
        <f>IFERROR(__xludf.DUMMYFUNCTION("""COMPUTED_VALUE"""),"Slot")</f>
        <v>Slot</v>
      </c>
      <c r="F32" s="5">
        <f>IFERROR(__xludf.DUMMYFUNCTION("""COMPUTED_VALUE"""),7.3)</f>
        <v>7.3</v>
      </c>
      <c r="G32" s="5" t="str">
        <f>IFERROR(__xludf.DUMMYFUNCTION("""COMPUTED_VALUE"""),"5x4")</f>
        <v>5x4</v>
      </c>
      <c r="H32" s="5">
        <f>IFERROR(__xludf.DUMMYFUNCTION("""COMPUTED_VALUE"""),40.0)</f>
        <v>40</v>
      </c>
      <c r="I32" s="5">
        <f>IFERROR(__xludf.DUMMYFUNCTION("""COMPUTED_VALUE"""),40.0)</f>
        <v>40</v>
      </c>
      <c r="J32" s="5" t="str">
        <f>IFERROR(__xludf.DUMMYFUNCTION("""COMPUTED_VALUE"""),"96.502%")</f>
        <v>96.502%</v>
      </c>
      <c r="K32" s="5" t="str">
        <f>IFERROR(__xludf.DUMMYFUNCTION("""COMPUTED_VALUE"""),"Medium")</f>
        <v>Medium</v>
      </c>
      <c r="L32" s="5" t="str">
        <f>IFERROR(__xludf.DUMMYFUNCTION("""COMPUTED_VALUE"""),"11.601%")</f>
        <v>11.601%</v>
      </c>
      <c r="M32" s="5" t="str">
        <f>IFERROR(__xludf.DUMMYFUNCTION("""COMPUTED_VALUE"""),"x3000")</f>
        <v>x3000</v>
      </c>
      <c r="N32" s="5" t="str">
        <f>IFERROR(__xludf.DUMMYFUNCTION("""COMPUTED_VALUE"""),"0.4/60")</f>
        <v>0.4/60</v>
      </c>
      <c r="O32" s="5" t="str">
        <f>IFERROR(__xludf.DUMMYFUNCTION("""COMPUTED_VALUE"""),"No")</f>
        <v>No</v>
      </c>
      <c r="P32" s="5" t="str">
        <f>IFERROR(__xludf.DUMMYFUNCTION("""COMPUTED_VALUE"""),"Scatter, Expanding Wild")</f>
        <v>Scatter, Expanding Wild</v>
      </c>
      <c r="Q32" s="7" t="str">
        <f>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R32" s="5" t="str">
        <f>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S32"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IFERROR(__xludf.DUMMYFUNCTION("""COMPUTED_VALUE"""),"No")</f>
        <v>No</v>
      </c>
      <c r="AJ32" s="5" t="str">
        <f>IFERROR(__xludf.DUMMYFUNCTION("""COMPUTED_VALUE"""),"No")</f>
        <v>No</v>
      </c>
      <c r="AK32" s="5" t="str">
        <f>IFERROR(__xludf.DUMMYFUNCTION("""COMPUTED_VALUE"""),"No")</f>
        <v>No</v>
      </c>
      <c r="AL32" s="5" t="str">
        <f>IFERROR(__xludf.DUMMYFUNCTION("""COMPUTED_VALUE"""),"No")</f>
        <v>No</v>
      </c>
      <c r="AM32" s="5"/>
      <c r="AN32" s="5"/>
      <c r="AO32" s="5"/>
      <c r="AP32" s="5"/>
      <c r="AQ32" s="5" t="str">
        <f>IFERROR(__xludf.DUMMYFUNCTION("""COMPUTED_VALUE"""),"No")</f>
        <v>No</v>
      </c>
      <c r="AR32" s="5"/>
      <c r="AS32" s="5" t="str">
        <f>IFERROR(__xludf.DUMMYFUNCTION("""COMPUTED_VALUE"""),"Yes")</f>
        <v>Yes</v>
      </c>
      <c r="AT32" s="5" t="str">
        <f>IFERROR(__xludf.DUMMYFUNCTION("""COMPUTED_VALUE"""),"Yes")</f>
        <v>Yes</v>
      </c>
      <c r="AU32" s="5"/>
      <c r="AV32" s="5" t="str">
        <f>IFERROR(__xludf.DUMMYFUNCTION("""COMPUTED_VALUE"""),"")</f>
        <v/>
      </c>
    </row>
    <row r="33">
      <c r="A33" s="5" t="str">
        <f>IFERROR(__xludf.DUMMYFUNCTION("""COMPUTED_VALUE"""),"Playnet")</f>
        <v>Playnet</v>
      </c>
      <c r="B33" s="5" t="str">
        <f>IFERROR(__xludf.DUMMYFUNCTION("""COMPUTED_VALUE"""),"NOVAPIXEL - Wheel of Joker")</f>
        <v>NOVAPIXEL - Wheel of Joker</v>
      </c>
      <c r="C33" s="5" t="str">
        <f>IFERROR(__xludf.DUMMYFUNCTION("""COMPUTED_VALUE"""),"NovaPixelWheelOfJoker")</f>
        <v>NovaPixelWheelOfJoker</v>
      </c>
      <c r="D33" s="6">
        <f>IFERROR(__xludf.DUMMYFUNCTION("""COMPUTED_VALUE"""),45894.0)</f>
        <v>45894</v>
      </c>
      <c r="E33" s="5" t="str">
        <f>IFERROR(__xludf.DUMMYFUNCTION("""COMPUTED_VALUE"""),"Slot")</f>
        <v>Slot</v>
      </c>
      <c r="F33" s="5">
        <f>IFERROR(__xludf.DUMMYFUNCTION("""COMPUTED_VALUE"""),26.4)</f>
        <v>26.4</v>
      </c>
      <c r="G33" s="5" t="str">
        <f>IFERROR(__xludf.DUMMYFUNCTION("""COMPUTED_VALUE"""),"3x3")</f>
        <v>3x3</v>
      </c>
      <c r="H33" s="5">
        <f>IFERROR(__xludf.DUMMYFUNCTION("""COMPUTED_VALUE"""),5.0)</f>
        <v>5</v>
      </c>
      <c r="I33" s="5">
        <f>IFERROR(__xludf.DUMMYFUNCTION("""COMPUTED_VALUE"""),5.0)</f>
        <v>5</v>
      </c>
      <c r="J33" s="5" t="str">
        <f>IFERROR(__xludf.DUMMYFUNCTION("""COMPUTED_VALUE"""),"96.23%")</f>
        <v>96.23%</v>
      </c>
      <c r="K33" s="5" t="str">
        <f>IFERROR(__xludf.DUMMYFUNCTION("""COMPUTED_VALUE"""),"Medium")</f>
        <v>Medium</v>
      </c>
      <c r="L33" s="5" t="str">
        <f>IFERROR(__xludf.DUMMYFUNCTION("""COMPUTED_VALUE"""),"20.12%")</f>
        <v>20.12%</v>
      </c>
      <c r="M33" s="5" t="str">
        <f>IFERROR(__xludf.DUMMYFUNCTION("""COMPUTED_VALUE"""),"x800")</f>
        <v>x800</v>
      </c>
      <c r="N33" s="5" t="str">
        <f>IFERROR(__xludf.DUMMYFUNCTION("""COMPUTED_VALUE"""),"0.10/50")</f>
        <v>0.10/50</v>
      </c>
      <c r="O33" s="5" t="str">
        <f>IFERROR(__xludf.DUMMYFUNCTION("""COMPUTED_VALUE"""),"No")</f>
        <v>No</v>
      </c>
      <c r="P33" s="5" t="str">
        <f>IFERROR(__xludf.DUMMYFUNCTION("""COMPUTED_VALUE"""),"Wild Symbol, Win Multiplier")</f>
        <v>Wild Symbol, Win Multiplier</v>
      </c>
      <c r="Q33" s="7" t="str">
        <f>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R33" s="5" t="str">
        <f>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S33" s="5"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T33" s="5" t="str">
        <f>IFERROR(__xludf.DUMMYFUNCTION("""COMPUTED_VALUE"""),"Yes")</f>
        <v>Yes</v>
      </c>
      <c r="U33" s="5" t="str">
        <f>IFERROR(__xludf.DUMMYFUNCTION("""COMPUTED_VALUE"""),"Yes")</f>
        <v>Yes</v>
      </c>
      <c r="V33" s="5" t="str">
        <f>IFERROR(__xludf.DUMMYFUNCTION("""COMPUTED_VALUE"""),"No")</f>
        <v>No</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t="str">
        <f>IFERROR(__xludf.DUMMYFUNCTION("""COMPUTED_VALUE"""),"No")</f>
        <v>No</v>
      </c>
      <c r="AN33" s="5" t="str">
        <f>IFERROR(__xludf.DUMMYFUNCTION("""COMPUTED_VALUE"""),"No")</f>
        <v>No</v>
      </c>
      <c r="AO33" s="5" t="str">
        <f>IFERROR(__xludf.DUMMYFUNCTION("""COMPUTED_VALUE"""),"Yes")</f>
        <v>Yes</v>
      </c>
      <c r="AP33" s="5" t="str">
        <f>IFERROR(__xludf.DUMMYFUNCTION("""COMPUTED_VALUE"""),"No")</f>
        <v>No</v>
      </c>
      <c r="AQ33" s="5" t="str">
        <f>IFERROR(__xludf.DUMMYFUNCTION("""COMPUTED_VALUE"""),"Yes")</f>
        <v>Yes</v>
      </c>
      <c r="AR33" s="5" t="str">
        <f>IFERROR(__xludf.DUMMYFUNCTION("""COMPUTED_VALUE"""),"No")</f>
        <v>No</v>
      </c>
      <c r="AS33" s="5" t="str">
        <f>IFERROR(__xludf.DUMMYFUNCTION("""COMPUTED_VALUE"""),"Yes")</f>
        <v>Yes</v>
      </c>
      <c r="AT33" s="5" t="str">
        <f>IFERROR(__xludf.DUMMYFUNCTION("""COMPUTED_VALUE"""),"No")</f>
        <v>No</v>
      </c>
      <c r="AU33" s="5"/>
      <c r="AV33" s="5" t="str">
        <f>IFERROR(__xludf.DUMMYFUNCTION("""COMPUTED_VALUE"""),"")</f>
        <v/>
      </c>
    </row>
    <row r="34">
      <c r="A34" s="5" t="str">
        <f>IFERROR(__xludf.DUMMYFUNCTION("""COMPUTED_VALUE"""),"Playnet")</f>
        <v>Playnet</v>
      </c>
      <c r="B34" s="5" t="str">
        <f>IFERROR(__xludf.DUMMYFUNCTION("""COMPUTED_VALUE"""),"Brewmaster's Bank")</f>
        <v>Brewmaster's Bank</v>
      </c>
      <c r="C34" s="5" t="str">
        <f>IFERROR(__xludf.DUMMYFUNCTION("""COMPUTED_VALUE"""),"PlayNetBrewmastersBank")</f>
        <v>PlayNetBrewmastersBank</v>
      </c>
      <c r="D34" s="6">
        <f>IFERROR(__xludf.DUMMYFUNCTION("""COMPUTED_VALUE"""),45919.0)</f>
        <v>45919</v>
      </c>
      <c r="E34" s="5" t="str">
        <f>IFERROR(__xludf.DUMMYFUNCTION("""COMPUTED_VALUE"""),"Slot")</f>
        <v>Slot</v>
      </c>
      <c r="F34" s="5">
        <f>IFERROR(__xludf.DUMMYFUNCTION("""COMPUTED_VALUE"""),7.3)</f>
        <v>7.3</v>
      </c>
      <c r="G34" s="5" t="str">
        <f>IFERROR(__xludf.DUMMYFUNCTION("""COMPUTED_VALUE"""),"5x3")</f>
        <v>5x3</v>
      </c>
      <c r="H34" s="5">
        <f>IFERROR(__xludf.DUMMYFUNCTION("""COMPUTED_VALUE"""),5.0)</f>
        <v>5</v>
      </c>
      <c r="I34" s="5">
        <f>IFERROR(__xludf.DUMMYFUNCTION("""COMPUTED_VALUE"""),5.0)</f>
        <v>5</v>
      </c>
      <c r="J34" s="5" t="str">
        <f>IFERROR(__xludf.DUMMYFUNCTION("""COMPUTED_VALUE"""),"96.447%")</f>
        <v>96.447%</v>
      </c>
      <c r="K34" s="5" t="str">
        <f>IFERROR(__xludf.DUMMYFUNCTION("""COMPUTED_VALUE"""),"Medium")</f>
        <v>Medium</v>
      </c>
      <c r="L34" s="5" t="str">
        <f>IFERROR(__xludf.DUMMYFUNCTION("""COMPUTED_VALUE"""),"14.505%")</f>
        <v>14.505%</v>
      </c>
      <c r="M34" s="5" t="str">
        <f>IFERROR(__xludf.DUMMYFUNCTION("""COMPUTED_VALUE"""),"x1222")</f>
        <v>x1222</v>
      </c>
      <c r="N34" s="5" t="str">
        <f>IFERROR(__xludf.DUMMYFUNCTION("""COMPUTED_VALUE"""),"0.05/30")</f>
        <v>0.05/30</v>
      </c>
      <c r="O34" s="5" t="str">
        <f>IFERROR(__xludf.DUMMYFUNCTION("""COMPUTED_VALUE"""),"No")</f>
        <v>No</v>
      </c>
      <c r="P34" s="5" t="str">
        <f>IFERROR(__xludf.DUMMYFUNCTION("""COMPUTED_VALUE"""),"Expanding Wild, Scatter")</f>
        <v>Expanding Wild, Scatter</v>
      </c>
      <c r="Q34" s="7" t="str">
        <f>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R34" s="5" t="str">
        <f>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S34" s="5" t="str">
        <f>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T34" s="5" t="str">
        <f>IFERROR(__xludf.DUMMYFUNCTION("""COMPUTED_VALUE"""),"Yes")</f>
        <v>Yes</v>
      </c>
      <c r="U34" s="5" t="str">
        <f>IFERROR(__xludf.DUMMYFUNCTION("""COMPUTED_VALUE"""),"Yes")</f>
        <v>Yes</v>
      </c>
      <c r="V34" s="5"/>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c r="AI34" s="5"/>
      <c r="AJ34" s="5"/>
      <c r="AK34" s="5"/>
      <c r="AL34" s="5"/>
      <c r="AM34" s="5"/>
      <c r="AN34" s="5"/>
      <c r="AO34" s="5"/>
      <c r="AP34" s="5"/>
      <c r="AQ34" s="5"/>
      <c r="AR34" s="5"/>
      <c r="AS34" s="5" t="str">
        <f>IFERROR(__xludf.DUMMYFUNCTION("""COMPUTED_VALUE"""),"Yes")</f>
        <v>Yes</v>
      </c>
      <c r="AT34" s="5"/>
      <c r="AU34" s="5"/>
      <c r="AV34" s="5" t="str">
        <f>IFERROR(__xludf.DUMMYFUNCTION("""COMPUTED_VALUE"""),"")</f>
        <v/>
      </c>
    </row>
    <row r="35">
      <c r="A35" s="5" t="str">
        <f>IFERROR(__xludf.DUMMYFUNCTION("""COMPUTED_VALUE"""),"Playnet")</f>
        <v>Playnet</v>
      </c>
      <c r="B35" s="5" t="str">
        <f>IFERROR(__xludf.DUMMYFUNCTION("""COMPUTED_VALUE"""),"Majestic Crown 40")</f>
        <v>Majestic Crown 40</v>
      </c>
      <c r="C35" s="5" t="str">
        <f>IFERROR(__xludf.DUMMYFUNCTION("""COMPUTED_VALUE"""),"PlayNetMajesticCrown40")</f>
        <v>PlayNetMajesticCrown40</v>
      </c>
      <c r="D35" s="6">
        <f>IFERROR(__xludf.DUMMYFUNCTION("""COMPUTED_VALUE"""),45936.0)</f>
        <v>45936</v>
      </c>
      <c r="E35" s="5" t="str">
        <f>IFERROR(__xludf.DUMMYFUNCTION("""COMPUTED_VALUE"""),"Slot")</f>
        <v>Slot</v>
      </c>
      <c r="F35" s="5">
        <f>IFERROR(__xludf.DUMMYFUNCTION("""COMPUTED_VALUE"""),7.2)</f>
        <v>7.2</v>
      </c>
      <c r="G35" s="5" t="str">
        <f>IFERROR(__xludf.DUMMYFUNCTION("""COMPUTED_VALUE"""),"5x3")</f>
        <v>5x3</v>
      </c>
      <c r="H35" s="5">
        <f>IFERROR(__xludf.DUMMYFUNCTION("""COMPUTED_VALUE"""),40.0)</f>
        <v>40</v>
      </c>
      <c r="I35" s="5">
        <f>IFERROR(__xludf.DUMMYFUNCTION("""COMPUTED_VALUE"""),40.0)</f>
        <v>40</v>
      </c>
      <c r="J35" s="5" t="str">
        <f>IFERROR(__xludf.DUMMYFUNCTION("""COMPUTED_VALUE"""),"95.962%")</f>
        <v>95.962%</v>
      </c>
      <c r="K35" s="5" t="str">
        <f>IFERROR(__xludf.DUMMYFUNCTION("""COMPUTED_VALUE"""),"Medium")</f>
        <v>Medium</v>
      </c>
      <c r="L35" s="5" t="str">
        <f>IFERROR(__xludf.DUMMYFUNCTION("""COMPUTED_VALUE"""),"18.351%")</f>
        <v>18.351%</v>
      </c>
      <c r="M35" s="5" t="str">
        <f>IFERROR(__xludf.DUMMYFUNCTION("""COMPUTED_VALUE"""),"x1421")</f>
        <v>x1421</v>
      </c>
      <c r="N35" s="5" t="str">
        <f>IFERROR(__xludf.DUMMYFUNCTION("""COMPUTED_VALUE"""),"0.2/50")</f>
        <v>0.2/50</v>
      </c>
      <c r="O35" s="5" t="str">
        <f>IFERROR(__xludf.DUMMYFUNCTION("""COMPUTED_VALUE"""),"No")</f>
        <v>No</v>
      </c>
      <c r="P35" s="5" t="str">
        <f>IFERROR(__xludf.DUMMYFUNCTION("""COMPUTED_VALUE"""),"Scatter, Expanding Wild")</f>
        <v>Scatter, Expanding Wild</v>
      </c>
      <c r="Q35" s="7" t="str">
        <f>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R35" s="5" t="str">
        <f>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S35" s="5"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IFERROR(__xludf.DUMMYFUNCTION("""COMPUTED_VALUE"""),"Yes")</f>
        <v>Yes</v>
      </c>
      <c r="AH35" s="5" t="str">
        <f>IFERROR(__xludf.DUMMYFUNCTION("""COMPUTED_VALUE"""),"Yes")</f>
        <v>Yes</v>
      </c>
      <c r="AI35" s="5"/>
      <c r="AJ35" s="5"/>
      <c r="AK35" s="5"/>
      <c r="AL35" s="5"/>
      <c r="AM35" s="5"/>
      <c r="AN35" s="5"/>
      <c r="AO35" s="5" t="str">
        <f>IFERROR(__xludf.DUMMYFUNCTION("""COMPUTED_VALUE"""),"Yes")</f>
        <v>Yes</v>
      </c>
      <c r="AP35" s="5"/>
      <c r="AQ35" s="5"/>
      <c r="AR35" s="5"/>
      <c r="AS35" s="5" t="str">
        <f>IFERROR(__xludf.DUMMYFUNCTION("""COMPUTED_VALUE"""),"Yes")</f>
        <v>Yes</v>
      </c>
      <c r="AT35" s="5" t="str">
        <f>IFERROR(__xludf.DUMMYFUNCTION("""COMPUTED_VALUE"""),"Yes")</f>
        <v>Yes</v>
      </c>
      <c r="AU35" s="5"/>
      <c r="AV35" s="5" t="str">
        <f>IFERROR(__xludf.DUMMYFUNCTION("""COMPUTED_VALUE"""),"")</f>
        <v/>
      </c>
    </row>
    <row r="36">
      <c r="A36" s="5" t="str">
        <f>IFERROR(__xludf.DUMMYFUNCTION("""COMPUTED_VALUE"""),"Playnet")</f>
        <v>Playnet</v>
      </c>
      <c r="B36" s="5" t="str">
        <f>IFERROR(__xludf.DUMMYFUNCTION("""COMPUTED_VALUE"""),"Neptune's Jewels")</f>
        <v>Neptune's Jewels</v>
      </c>
      <c r="C36" s="5" t="str">
        <f>IFERROR(__xludf.DUMMYFUNCTION("""COMPUTED_VALUE"""),"PlayNetNeptunesJewels")</f>
        <v>PlayNetNeptunesJewels</v>
      </c>
      <c r="D36" s="6">
        <f>IFERROR(__xludf.DUMMYFUNCTION("""COMPUTED_VALUE"""),46048.0)</f>
        <v>46048</v>
      </c>
      <c r="E36" s="5" t="str">
        <f>IFERROR(__xludf.DUMMYFUNCTION("""COMPUTED_VALUE"""),"Slot")</f>
        <v>Slot</v>
      </c>
      <c r="F36" s="5">
        <f>IFERROR(__xludf.DUMMYFUNCTION("""COMPUTED_VALUE"""),7.2)</f>
        <v>7.2</v>
      </c>
      <c r="G36" s="5" t="str">
        <f>IFERROR(__xludf.DUMMYFUNCTION("""COMPUTED_VALUE"""),"5x4")</f>
        <v>5x4</v>
      </c>
      <c r="H36" s="5">
        <f>IFERROR(__xludf.DUMMYFUNCTION("""COMPUTED_VALUE"""),40.0)</f>
        <v>40</v>
      </c>
      <c r="I36" s="5">
        <f>IFERROR(__xludf.DUMMYFUNCTION("""COMPUTED_VALUE"""),40.0)</f>
        <v>40</v>
      </c>
      <c r="J36" s="5" t="str">
        <f>IFERROR(__xludf.DUMMYFUNCTION("""COMPUTED_VALUE"""),"96.291%")</f>
        <v>96.291%</v>
      </c>
      <c r="K36" s="5" t="str">
        <f>IFERROR(__xludf.DUMMYFUNCTION("""COMPUTED_VALUE"""),"Medium")</f>
        <v>Medium</v>
      </c>
      <c r="L36" s="5" t="str">
        <f>IFERROR(__xludf.DUMMYFUNCTION("""COMPUTED_VALUE"""),"12.67%")</f>
        <v>12.67%</v>
      </c>
      <c r="M36" s="5" t="str">
        <f>IFERROR(__xludf.DUMMYFUNCTION("""COMPUTED_VALUE"""),"x1043")</f>
        <v>x1043</v>
      </c>
      <c r="N36" s="5" t="str">
        <f>IFERROR(__xludf.DUMMYFUNCTION("""COMPUTED_VALUE"""),"0.1/60")</f>
        <v>0.1/60</v>
      </c>
      <c r="O36" s="5" t="str">
        <f>IFERROR(__xludf.DUMMYFUNCTION("""COMPUTED_VALUE"""),"No")</f>
        <v>No</v>
      </c>
      <c r="P36" s="5" t="str">
        <f>IFERROR(__xludf.DUMMYFUNCTION("""COMPUTED_VALUE"""),"Bonus Game with Free Spins, Wild Symbol, Scatter, Special Wild")</f>
        <v>Bonus Game with Free Spins, Wild Symbol, Scatter, Special Wild</v>
      </c>
      <c r="Q36" s="7" t="str">
        <f>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R36" s="5" t="str">
        <f>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S36" s="5" t="str">
        <f>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T36" s="5" t="str">
        <f>IFERROR(__xludf.DUMMYFUNCTION("""COMPUTED_VALUE"""),"Yes")</f>
        <v>Yes</v>
      </c>
      <c r="U36" s="5" t="str">
        <f>IFERROR(__xludf.DUMMYFUNCTION("""COMPUTED_VALUE"""),"Yes")</f>
        <v>Yes</v>
      </c>
      <c r="V36" s="5" t="str">
        <f>IFERROR(__xludf.DUMMYFUNCTION("""COMPUTED_VALUE"""),"No")</f>
        <v>No</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c r="AJ36" s="5"/>
      <c r="AK36" s="5"/>
      <c r="AL36" s="5"/>
      <c r="AM36" s="5"/>
      <c r="AN36" s="5"/>
      <c r="AO36" s="5" t="str">
        <f>IFERROR(__xludf.DUMMYFUNCTION("""COMPUTED_VALUE"""),"Yes")</f>
        <v>Yes</v>
      </c>
      <c r="AP36" s="5"/>
      <c r="AQ36" s="5"/>
      <c r="AR36" s="5"/>
      <c r="AS36" s="5" t="str">
        <f>IFERROR(__xludf.DUMMYFUNCTION("""COMPUTED_VALUE"""),"Yes")</f>
        <v>Yes</v>
      </c>
      <c r="AT36" s="5" t="str">
        <f>IFERROR(__xludf.DUMMYFUNCTION("""COMPUTED_VALUE"""),"Yes")</f>
        <v>Yes</v>
      </c>
      <c r="AU36" s="5"/>
      <c r="AV36" s="5" t="str">
        <f>IFERROR(__xludf.DUMMYFUNCTION("""COMPUTED_VALUE"""),"")</f>
        <v/>
      </c>
    </row>
    <row r="37">
      <c r="A37" s="5" t="str">
        <f>IFERROR(__xludf.DUMMYFUNCTION("""COMPUTED_VALUE"""),"Playnet")</f>
        <v>Playnet</v>
      </c>
      <c r="B37" s="5" t="str">
        <f>IFERROR(__xludf.DUMMYFUNCTION("""COMPUTED_VALUE"""),"81 Magic Stars")</f>
        <v>81 Magic Stars</v>
      </c>
      <c r="C37" s="5" t="str">
        <f>IFERROR(__xludf.DUMMYFUNCTION("""COMPUTED_VALUE"""),"PlayNet81MagicStars")</f>
        <v>PlayNet81MagicStars</v>
      </c>
      <c r="D37" s="6">
        <f>IFERROR(__xludf.DUMMYFUNCTION("""COMPUTED_VALUE"""),45958.0)</f>
        <v>45958</v>
      </c>
      <c r="E37" s="5" t="str">
        <f>IFERROR(__xludf.DUMMYFUNCTION("""COMPUTED_VALUE"""),"Slot")</f>
        <v>Slot</v>
      </c>
      <c r="F37" s="5">
        <f>IFERROR(__xludf.DUMMYFUNCTION("""COMPUTED_VALUE"""),7.2)</f>
        <v>7.2</v>
      </c>
      <c r="G37" s="5" t="str">
        <f>IFERROR(__xludf.DUMMYFUNCTION("""COMPUTED_VALUE"""),"4x3")</f>
        <v>4x3</v>
      </c>
      <c r="H37" s="5">
        <f>IFERROR(__xludf.DUMMYFUNCTION("""COMPUTED_VALUE"""),81.0)</f>
        <v>81</v>
      </c>
      <c r="I37" s="5">
        <f>IFERROR(__xludf.DUMMYFUNCTION("""COMPUTED_VALUE"""),81.0)</f>
        <v>81</v>
      </c>
      <c r="J37" s="5" t="str">
        <f>IFERROR(__xludf.DUMMYFUNCTION("""COMPUTED_VALUE"""),"96.55%")</f>
        <v>96.55%</v>
      </c>
      <c r="K37" s="5" t="str">
        <f>IFERROR(__xludf.DUMMYFUNCTION("""COMPUTED_VALUE"""),"High")</f>
        <v>High</v>
      </c>
      <c r="L37" s="5" t="str">
        <f>IFERROR(__xludf.DUMMYFUNCTION("""COMPUTED_VALUE"""),"5.1%")</f>
        <v>5.1%</v>
      </c>
      <c r="M37" s="5" t="str">
        <f>IFERROR(__xludf.DUMMYFUNCTION("""COMPUTED_VALUE"""),"x3200")</f>
        <v>x3200</v>
      </c>
      <c r="N37" s="5" t="str">
        <f>IFERROR(__xludf.DUMMYFUNCTION("""COMPUTED_VALUE"""),"0.1/50")</f>
        <v>0.1/50</v>
      </c>
      <c r="O37" s="5" t="str">
        <f>IFERROR(__xludf.DUMMYFUNCTION("""COMPUTED_VALUE"""),"No")</f>
        <v>No</v>
      </c>
      <c r="P37" s="5" t="str">
        <f>IFERROR(__xludf.DUMMYFUNCTION("""COMPUTED_VALUE"""),"Wild Multiplier, Mystery symbol")</f>
        <v>Wild Multiplier, Mystery symbol</v>
      </c>
      <c r="Q37" s="7" t="str">
        <f>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R37" s="5" t="str">
        <f>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S37" s="5" t="str">
        <f>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T37" s="5" t="str">
        <f>IFERROR(__xludf.DUMMYFUNCTION("""COMPUTED_VALUE"""),"Yes")</f>
        <v>Yes</v>
      </c>
      <c r="U37" s="5" t="str">
        <f>IFERROR(__xludf.DUMMYFUNCTION("""COMPUTED_VALUE"""),"Yes")</f>
        <v>Yes</v>
      </c>
      <c r="V37" s="5" t="str">
        <f>IFERROR(__xludf.DUMMYFUNCTION("""COMPUTED_VALUE"""),"No")</f>
        <v>No</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c r="AJ37" s="5"/>
      <c r="AK37" s="5"/>
      <c r="AL37" s="5"/>
      <c r="AM37" s="5"/>
      <c r="AN37" s="5"/>
      <c r="AO37" s="5" t="str">
        <f>IFERROR(__xludf.DUMMYFUNCTION("""COMPUTED_VALUE"""),"No")</f>
        <v>No</v>
      </c>
      <c r="AP37" s="5"/>
      <c r="AQ37" s="5"/>
      <c r="AR37" s="5"/>
      <c r="AS37" s="5" t="str">
        <f>IFERROR(__xludf.DUMMYFUNCTION("""COMPUTED_VALUE"""),"Yes")</f>
        <v>Yes</v>
      </c>
      <c r="AT37" s="5" t="str">
        <f>IFERROR(__xludf.DUMMYFUNCTION("""COMPUTED_VALUE"""),"Yes")</f>
        <v>Yes</v>
      </c>
      <c r="AU37" s="5"/>
      <c r="AV37" s="5" t="str">
        <f>IFERROR(__xludf.DUMMYFUNCTION("""COMPUTED_VALUE"""),"")</f>
        <v/>
      </c>
    </row>
    <row r="38">
      <c r="A38" s="5" t="str">
        <f>IFERROR(__xludf.DUMMYFUNCTION("""COMPUTED_VALUE"""),"Playnet")</f>
        <v>Playnet</v>
      </c>
      <c r="B38" s="5" t="str">
        <f>IFERROR(__xludf.DUMMYFUNCTION("""COMPUTED_VALUE"""),"Elf &amp; Roll")</f>
        <v>Elf &amp; Roll</v>
      </c>
      <c r="C38" s="5" t="str">
        <f>IFERROR(__xludf.DUMMYFUNCTION("""COMPUTED_VALUE"""),"PlayNetElfAndRoll")</f>
        <v>PlayNetElfAndRoll</v>
      </c>
      <c r="D38" s="6">
        <f>IFERROR(__xludf.DUMMYFUNCTION("""COMPUTED_VALUE"""),45965.0)</f>
        <v>45965</v>
      </c>
      <c r="E38" s="5" t="str">
        <f>IFERROR(__xludf.DUMMYFUNCTION("""COMPUTED_VALUE"""),"Slot")</f>
        <v>Slot</v>
      </c>
      <c r="F38" s="5">
        <f>IFERROR(__xludf.DUMMYFUNCTION("""COMPUTED_VALUE"""),7.2)</f>
        <v>7.2</v>
      </c>
      <c r="G38" s="5" t="str">
        <f>IFERROR(__xludf.DUMMYFUNCTION("""COMPUTED_VALUE"""),"5x3")</f>
        <v>5x3</v>
      </c>
      <c r="H38" s="5">
        <f>IFERROR(__xludf.DUMMYFUNCTION("""COMPUTED_VALUE"""),10.0)</f>
        <v>10</v>
      </c>
      <c r="I38" s="5">
        <f>IFERROR(__xludf.DUMMYFUNCTION("""COMPUTED_VALUE"""),10.0)</f>
        <v>10</v>
      </c>
      <c r="J38" s="5" t="str">
        <f>IFERROR(__xludf.DUMMYFUNCTION("""COMPUTED_VALUE"""),"95.962%")</f>
        <v>95.962%</v>
      </c>
      <c r="K38" s="5" t="str">
        <f>IFERROR(__xludf.DUMMYFUNCTION("""COMPUTED_VALUE"""),"Medium")</f>
        <v>Medium</v>
      </c>
      <c r="L38" s="5" t="str">
        <f>IFERROR(__xludf.DUMMYFUNCTION("""COMPUTED_VALUE"""),"14.634%")</f>
        <v>14.634%</v>
      </c>
      <c r="M38" s="5" t="str">
        <f>IFERROR(__xludf.DUMMYFUNCTION("""COMPUTED_VALUE"""),"x1538")</f>
        <v>x1538</v>
      </c>
      <c r="N38" s="5" t="str">
        <f>IFERROR(__xludf.DUMMYFUNCTION("""COMPUTED_VALUE"""),"0.1/40")</f>
        <v>0.1/40</v>
      </c>
      <c r="O38" s="5" t="str">
        <f>IFERROR(__xludf.DUMMYFUNCTION("""COMPUTED_VALUE"""),"No")</f>
        <v>No</v>
      </c>
      <c r="P38" s="5" t="str">
        <f>IFERROR(__xludf.DUMMYFUNCTION("""COMPUTED_VALUE"""),"Scatter, Expanding Wild")</f>
        <v>Scatter, Expanding Wild</v>
      </c>
      <c r="Q38" s="7" t="str">
        <f>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R38" s="5" t="str">
        <f>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S3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5" t="str">
        <f>IFERROR(__xludf.DUMMYFUNCTION("""COMPUTED_VALUE"""),"Yes")</f>
        <v>Yes</v>
      </c>
      <c r="U38" s="5" t="str">
        <f>IFERROR(__xludf.DUMMYFUNCTION("""COMPUTED_VALUE"""),"Yes")</f>
        <v>Yes</v>
      </c>
      <c r="V38" s="5" t="str">
        <f>IFERROR(__xludf.DUMMYFUNCTION("""COMPUTED_VALUE"""),"No")</f>
        <v>No</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IFERROR(__xludf.DUMMYFUNCTION("""COMPUTED_VALUE"""),"Yes")</f>
        <v>Yes</v>
      </c>
      <c r="AH38" s="5" t="str">
        <f>IFERROR(__xludf.DUMMYFUNCTION("""COMPUTED_VALUE"""),"Yes")</f>
        <v>Yes</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t="str">
        <f>IFERROR(__xludf.DUMMYFUNCTION("""COMPUTED_VALUE"""),"No")</f>
        <v>No</v>
      </c>
      <c r="AN38" s="5" t="str">
        <f>IFERROR(__xludf.DUMMYFUNCTION("""COMPUTED_VALUE"""),"No")</f>
        <v>No</v>
      </c>
      <c r="AO38" s="5" t="str">
        <f>IFERROR(__xludf.DUMMYFUNCTION("""COMPUTED_VALUE"""),"No")</f>
        <v>No</v>
      </c>
      <c r="AP38" s="5" t="str">
        <f>IFERROR(__xludf.DUMMYFUNCTION("""COMPUTED_VALUE"""),"No")</f>
        <v>No</v>
      </c>
      <c r="AQ38" s="5" t="str">
        <f>IFERROR(__xludf.DUMMYFUNCTION("""COMPUTED_VALUE"""),"No")</f>
        <v>No</v>
      </c>
      <c r="AR38" s="5" t="str">
        <f>IFERROR(__xludf.DUMMYFUNCTION("""COMPUTED_VALUE"""),"No")</f>
        <v>No</v>
      </c>
      <c r="AS38" s="5" t="str">
        <f>IFERROR(__xludf.DUMMYFUNCTION("""COMPUTED_VALUE"""),"Yes")</f>
        <v>Yes</v>
      </c>
      <c r="AT38" s="5" t="str">
        <f>IFERROR(__xludf.DUMMYFUNCTION("""COMPUTED_VALUE"""),"No")</f>
        <v>No</v>
      </c>
      <c r="AU38" s="5"/>
      <c r="AV38" s="5" t="str">
        <f>IFERROR(__xludf.DUMMYFUNCTION("""COMPUTED_VALUE"""),"")</f>
        <v/>
      </c>
    </row>
    <row r="39">
      <c r="A39" s="5" t="str">
        <f>IFERROR(__xludf.DUMMYFUNCTION("""COMPUTED_VALUE"""),"Playnet")</f>
        <v>Playnet</v>
      </c>
      <c r="B39" s="5" t="str">
        <f>IFERROR(__xludf.DUMMYFUNCTION("""COMPUTED_VALUE"""),"Gears of Fortune")</f>
        <v>Gears of Fortune</v>
      </c>
      <c r="C39" s="5" t="str">
        <f>IFERROR(__xludf.DUMMYFUNCTION("""COMPUTED_VALUE""")," PlayNetGearsOfFortune")</f>
        <v> PlayNetGearsOfFortune</v>
      </c>
      <c r="D39" s="6">
        <f>IFERROR(__xludf.DUMMYFUNCTION("""COMPUTED_VALUE"""),46006.0)</f>
        <v>46006</v>
      </c>
      <c r="E39" s="5" t="str">
        <f>IFERROR(__xludf.DUMMYFUNCTION("""COMPUTED_VALUE"""),"Slot")</f>
        <v>Slot</v>
      </c>
      <c r="F39" s="5">
        <f>IFERROR(__xludf.DUMMYFUNCTION("""COMPUTED_VALUE"""),7.2)</f>
        <v>7.2</v>
      </c>
      <c r="G39" s="5" t="str">
        <f>IFERROR(__xludf.DUMMYFUNCTION("""COMPUTED_VALUE"""),"5x4")</f>
        <v>5x4</v>
      </c>
      <c r="H39" s="5">
        <f>IFERROR(__xludf.DUMMYFUNCTION("""COMPUTED_VALUE"""),40.0)</f>
        <v>40</v>
      </c>
      <c r="I39" s="5">
        <f>IFERROR(__xludf.DUMMYFUNCTION("""COMPUTED_VALUE"""),40.0)</f>
        <v>40</v>
      </c>
      <c r="J39" s="5" t="str">
        <f>IFERROR(__xludf.DUMMYFUNCTION("""COMPUTED_VALUE"""),"96.584%")</f>
        <v>96.584%</v>
      </c>
      <c r="K39" s="5" t="str">
        <f>IFERROR(__xludf.DUMMYFUNCTION("""COMPUTED_VALUE"""),"Low")</f>
        <v>Low</v>
      </c>
      <c r="L39" s="5" t="str">
        <f>IFERROR(__xludf.DUMMYFUNCTION("""COMPUTED_VALUE"""),"16.725%")</f>
        <v>16.725%</v>
      </c>
      <c r="M39" s="5" t="str">
        <f>IFERROR(__xludf.DUMMYFUNCTION("""COMPUTED_VALUE"""),"x1000")</f>
        <v>x1000</v>
      </c>
      <c r="N39" s="5" t="str">
        <f>IFERROR(__xludf.DUMMYFUNCTION("""COMPUTED_VALUE"""),"0.40/60")</f>
        <v>0.40/60</v>
      </c>
      <c r="O39" s="5" t="str">
        <f>IFERROR(__xludf.DUMMYFUNCTION("""COMPUTED_VALUE"""),"No")</f>
        <v>No</v>
      </c>
      <c r="P39" s="5" t="str">
        <f>IFERROR(__xludf.DUMMYFUNCTION("""COMPUTED_VALUE"""),"Scatter, Wild Symbol")</f>
        <v>Scatter, Wild Symbol</v>
      </c>
      <c r="Q39" s="5" t="str">
        <f>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R39" s="5" t="str">
        <f>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S3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5" t="str">
        <f>IFERROR(__xludf.DUMMYFUNCTION("""COMPUTED_VALUE"""),"Yes")</f>
        <v>Yes</v>
      </c>
      <c r="U39" s="5" t="str">
        <f>IFERROR(__xludf.DUMMYFUNCTION("""COMPUTED_VALUE"""),"Yes")</f>
        <v>Yes</v>
      </c>
      <c r="V39" s="5" t="str">
        <f>IFERROR(__xludf.DUMMYFUNCTION("""COMPUTED_VALUE"""),"No")</f>
        <v>No</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IFERROR(__xludf.DUMMYFUNCTION("""COMPUTED_VALUE"""),"Yes")</f>
        <v>Yes</v>
      </c>
      <c r="AD39" s="5" t="str">
        <f>IFERROR(__xludf.DUMMYFUNCTION("""COMPUTED_VALUE"""),"Yes")</f>
        <v>Yes</v>
      </c>
      <c r="AE39" s="5" t="str">
        <f>IFERROR(__xludf.DUMMYFUNCTION("""COMPUTED_VALUE"""),"Yes")</f>
        <v>Yes</v>
      </c>
      <c r="AF39" s="5" t="str">
        <f>IFERROR(__xludf.DUMMYFUNCTION("""COMPUTED_VALUE"""),"Yes")</f>
        <v>Yes</v>
      </c>
      <c r="AG39" s="5" t="str">
        <f>IFERROR(__xludf.DUMMYFUNCTION("""COMPUTED_VALUE"""),"Yes")</f>
        <v>Yes</v>
      </c>
      <c r="AH39" s="5" t="str">
        <f>IFERROR(__xludf.DUMMYFUNCTION("""COMPUTED_VALUE"""),"Yes")</f>
        <v>Yes</v>
      </c>
      <c r="AI39" s="5" t="str">
        <f>IFERROR(__xludf.DUMMYFUNCTION("""COMPUTED_VALUE"""),"No")</f>
        <v>No</v>
      </c>
      <c r="AJ39" s="5" t="str">
        <f>IFERROR(__xludf.DUMMYFUNCTION("""COMPUTED_VALUE"""),"No")</f>
        <v>No</v>
      </c>
      <c r="AK39" s="5" t="str">
        <f>IFERROR(__xludf.DUMMYFUNCTION("""COMPUTED_VALUE"""),"No")</f>
        <v>No</v>
      </c>
      <c r="AL39" s="5" t="str">
        <f>IFERROR(__xludf.DUMMYFUNCTION("""COMPUTED_VALUE"""),"No")</f>
        <v>No</v>
      </c>
      <c r="AM39" s="5" t="str">
        <f>IFERROR(__xludf.DUMMYFUNCTION("""COMPUTED_VALUE"""),"No")</f>
        <v>No</v>
      </c>
      <c r="AN39" s="5" t="str">
        <f>IFERROR(__xludf.DUMMYFUNCTION("""COMPUTED_VALUE"""),"No")</f>
        <v>No</v>
      </c>
      <c r="AO39" s="5" t="str">
        <f>IFERROR(__xludf.DUMMYFUNCTION("""COMPUTED_VALUE"""),"No")</f>
        <v>No</v>
      </c>
      <c r="AP39" s="5" t="str">
        <f>IFERROR(__xludf.DUMMYFUNCTION("""COMPUTED_VALUE"""),"No")</f>
        <v>No</v>
      </c>
      <c r="AQ39" s="5" t="str">
        <f>IFERROR(__xludf.DUMMYFUNCTION("""COMPUTED_VALUE"""),"No")</f>
        <v>No</v>
      </c>
      <c r="AR39" s="5" t="str">
        <f>IFERROR(__xludf.DUMMYFUNCTION("""COMPUTED_VALUE"""),"No")</f>
        <v>No</v>
      </c>
      <c r="AS39" s="5" t="str">
        <f>IFERROR(__xludf.DUMMYFUNCTION("""COMPUTED_VALUE"""),"Yes")</f>
        <v>Yes</v>
      </c>
      <c r="AT39" s="5" t="str">
        <f>IFERROR(__xludf.DUMMYFUNCTION("""COMPUTED_VALUE"""),"No")</f>
        <v>No</v>
      </c>
      <c r="AU39" s="5"/>
      <c r="AV39" s="5" t="str">
        <f>IFERROR(__xludf.DUMMYFUNCTION("""COMPUTED_VALUE"""),"")</f>
        <v/>
      </c>
    </row>
    <row r="40">
      <c r="A40" s="5" t="str">
        <f>IFERROR(__xludf.DUMMYFUNCTION("""COMPUTED_VALUE"""),"Playnet")</f>
        <v>Playnet</v>
      </c>
      <c r="B40" s="5" t="str">
        <f>IFERROR(__xludf.DUMMYFUNCTION("""COMPUTED_VALUE"""),"Diamond Heart 10")</f>
        <v>Diamond Heart 10</v>
      </c>
      <c r="C40" s="5" t="str">
        <f>IFERROR(__xludf.DUMMYFUNCTION("""COMPUTED_VALUE"""),"PlayNetDiamondHeart10")</f>
        <v>PlayNetDiamondHeart10</v>
      </c>
      <c r="D40" s="6">
        <f>IFERROR(__xludf.DUMMYFUNCTION("""COMPUTED_VALUE"""),46042.0)</f>
        <v>46042</v>
      </c>
      <c r="E40" s="5" t="str">
        <f>IFERROR(__xludf.DUMMYFUNCTION("""COMPUTED_VALUE"""),"Slot")</f>
        <v>Slot</v>
      </c>
      <c r="F40" s="5">
        <f>IFERROR(__xludf.DUMMYFUNCTION("""COMPUTED_VALUE"""),15.0)</f>
        <v>15</v>
      </c>
      <c r="G40" s="5" t="str">
        <f>IFERROR(__xludf.DUMMYFUNCTION("""COMPUTED_VALUE"""),"5x3")</f>
        <v>5x3</v>
      </c>
      <c r="H40" s="5">
        <f>IFERROR(__xludf.DUMMYFUNCTION("""COMPUTED_VALUE"""),10.0)</f>
        <v>10</v>
      </c>
      <c r="I40" s="5">
        <f>IFERROR(__xludf.DUMMYFUNCTION("""COMPUTED_VALUE"""),10.0)</f>
        <v>10</v>
      </c>
      <c r="J40" s="5" t="str">
        <f>IFERROR(__xludf.DUMMYFUNCTION("""COMPUTED_VALUE"""),"95.962%")</f>
        <v>95.962%</v>
      </c>
      <c r="K40" s="5" t="str">
        <f>IFERROR(__xludf.DUMMYFUNCTION("""COMPUTED_VALUE"""),"Medium")</f>
        <v>Medium</v>
      </c>
      <c r="L40" s="5" t="str">
        <f>IFERROR(__xludf.DUMMYFUNCTION("""COMPUTED_VALUE"""),"14.634%")</f>
        <v>14.634%</v>
      </c>
      <c r="M40" s="5" t="str">
        <f>IFERROR(__xludf.DUMMYFUNCTION("""COMPUTED_VALUE"""),"x1538")</f>
        <v>x1538</v>
      </c>
      <c r="N40" s="5" t="str">
        <f>IFERROR(__xludf.DUMMYFUNCTION("""COMPUTED_VALUE"""),"0.1/40")</f>
        <v>0.1/40</v>
      </c>
      <c r="O40" s="5" t="str">
        <f>IFERROR(__xludf.DUMMYFUNCTION("""COMPUTED_VALUE"""),"No")</f>
        <v>No</v>
      </c>
      <c r="P40" s="5" t="str">
        <f>IFERROR(__xludf.DUMMYFUNCTION("""COMPUTED_VALUE"""),"Expanding Wild, Scatter")</f>
        <v>Expanding Wild, Scatter</v>
      </c>
      <c r="Q40" s="7" t="str">
        <f>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R40" s="5" t="str">
        <f>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IFERROR(__xludf.DUMMYFUNCTION("""COMPUTED_VALUE"""),"Yes")</f>
        <v>Yes</v>
      </c>
      <c r="AH40" s="5" t="str">
        <f>IFERROR(__xludf.DUMMYFUNCTION("""COMPUTED_VALUE"""),"Yes")</f>
        <v>Yes</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t="str">
        <f>IFERROR(__xludf.DUMMYFUNCTION("""COMPUTED_VALUE"""),"No")</f>
        <v>No</v>
      </c>
      <c r="AN40" s="5" t="str">
        <f>IFERROR(__xludf.DUMMYFUNCTION("""COMPUTED_VALUE"""),"No")</f>
        <v>No</v>
      </c>
      <c r="AO40" s="5" t="str">
        <f>IFERROR(__xludf.DUMMYFUNCTION("""COMPUTED_VALUE"""),"No")</f>
        <v>No</v>
      </c>
      <c r="AP40" s="5" t="str">
        <f>IFERROR(__xludf.DUMMYFUNCTION("""COMPUTED_VALUE"""),"No")</f>
        <v>No</v>
      </c>
      <c r="AQ40" s="5" t="str">
        <f>IFERROR(__xludf.DUMMYFUNCTION("""COMPUTED_VALUE"""),"No")</f>
        <v>No</v>
      </c>
      <c r="AR40" s="5" t="str">
        <f>IFERROR(__xludf.DUMMYFUNCTION("""COMPUTED_VALUE"""),"No")</f>
        <v>No</v>
      </c>
      <c r="AS40" s="5" t="str">
        <f>IFERROR(__xludf.DUMMYFUNCTION("""COMPUTED_VALUE"""),"Yes")</f>
        <v>Yes</v>
      </c>
      <c r="AT40" s="5" t="str">
        <f>IFERROR(__xludf.DUMMYFUNCTION("""COMPUTED_VALUE"""),"No")</f>
        <v>No</v>
      </c>
      <c r="AU40" s="5"/>
      <c r="AV40" s="5" t="str">
        <f>IFERROR(__xludf.DUMMYFUNCTION("""COMPUTED_VALUE"""),"")</f>
        <v/>
      </c>
    </row>
    <row r="41">
      <c r="A41" s="5" t="str">
        <f>IFERROR(__xludf.DUMMYFUNCTION("""COMPUTED_VALUE"""),"Playnet")</f>
        <v>Playnet</v>
      </c>
      <c r="B41" s="5" t="str">
        <f>IFERROR(__xludf.DUMMYFUNCTION("""COMPUTED_VALUE"""),"Leprechaun's Fortune Clover")</f>
        <v>Leprechaun's Fortune Clover</v>
      </c>
      <c r="C41" s="5" t="str">
        <f>IFERROR(__xludf.DUMMYFUNCTION("""COMPUTED_VALUE"""),"PlayNetLeprechaunsFortuneClover")</f>
        <v>PlayNetLeprechaunsFortuneClover</v>
      </c>
      <c r="D41" s="6">
        <f>IFERROR(__xludf.DUMMYFUNCTION("""COMPUTED_VALUE"""),46057.0)</f>
        <v>46057</v>
      </c>
      <c r="E41" s="5" t="str">
        <f>IFERROR(__xludf.DUMMYFUNCTION("""COMPUTED_VALUE"""),"Slot")</f>
        <v>Slot</v>
      </c>
      <c r="F41" s="5">
        <f>IFERROR(__xludf.DUMMYFUNCTION("""COMPUTED_VALUE"""),15.0)</f>
        <v>15</v>
      </c>
      <c r="G41" s="5" t="str">
        <f>IFERROR(__xludf.DUMMYFUNCTION("""COMPUTED_VALUE"""),"5x3")</f>
        <v>5x3</v>
      </c>
      <c r="H41" s="5">
        <f>IFERROR(__xludf.DUMMYFUNCTION("""COMPUTED_VALUE"""),5.0)</f>
        <v>5</v>
      </c>
      <c r="I41" s="5">
        <f>IFERROR(__xludf.DUMMYFUNCTION("""COMPUTED_VALUE"""),5.0)</f>
        <v>5</v>
      </c>
      <c r="J41" s="5" t="str">
        <f>IFERROR(__xludf.DUMMYFUNCTION("""COMPUTED_VALUE"""),"96.453%")</f>
        <v>96.453%</v>
      </c>
      <c r="K41" s="5" t="str">
        <f>IFERROR(__xludf.DUMMYFUNCTION("""COMPUTED_VALUE"""),"Medium")</f>
        <v>Medium</v>
      </c>
      <c r="L41" s="5" t="str">
        <f>IFERROR(__xludf.DUMMYFUNCTION("""COMPUTED_VALUE"""),"14.234%")</f>
        <v>14.234%</v>
      </c>
      <c r="M41" s="5" t="str">
        <f>IFERROR(__xludf.DUMMYFUNCTION("""COMPUTED_VALUE"""),"x2624")</f>
        <v>x2624</v>
      </c>
      <c r="N41" s="5" t="str">
        <f>IFERROR(__xludf.DUMMYFUNCTION("""COMPUTED_VALUE"""),"0.05/30")</f>
        <v>0.05/30</v>
      </c>
      <c r="O41" s="5" t="str">
        <f>IFERROR(__xludf.DUMMYFUNCTION("""COMPUTED_VALUE"""),"No")</f>
        <v>No</v>
      </c>
      <c r="P41" s="5" t="str">
        <f>IFERROR(__xludf.DUMMYFUNCTION("""COMPUTED_VALUE"""),"Scatter, Expanding Wild, Wild Multiplier")</f>
        <v>Scatter, Expanding Wild, Wild Multiplier</v>
      </c>
      <c r="Q41" s="7" t="str">
        <f>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R41" s="5" t="str">
        <f>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S4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IFERROR(__xludf.DUMMYFUNCTION("""COMPUTED_VALUE"""),"Yes")</f>
        <v>Yes</v>
      </c>
      <c r="AH41" s="5" t="str">
        <f>IFERROR(__xludf.DUMMYFUNCTION("""COMPUTED_VALUE"""),"Yes")</f>
        <v>Yes</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t="str">
        <f>IFERROR(__xludf.DUMMYFUNCTION("""COMPUTED_VALUE"""),"No")</f>
        <v>No</v>
      </c>
      <c r="AN41" s="5" t="str">
        <f>IFERROR(__xludf.DUMMYFUNCTION("""COMPUTED_VALUE"""),"No")</f>
        <v>No</v>
      </c>
      <c r="AO41" s="5" t="str">
        <f>IFERROR(__xludf.DUMMYFUNCTION("""COMPUTED_VALUE"""),"No")</f>
        <v>No</v>
      </c>
      <c r="AP41" s="5" t="str">
        <f>IFERROR(__xludf.DUMMYFUNCTION("""COMPUTED_VALUE"""),"No")</f>
        <v>No</v>
      </c>
      <c r="AQ41" s="5" t="str">
        <f>IFERROR(__xludf.DUMMYFUNCTION("""COMPUTED_VALUE"""),"No")</f>
        <v>No</v>
      </c>
      <c r="AR41" s="5" t="str">
        <f>IFERROR(__xludf.DUMMYFUNCTION("""COMPUTED_VALUE"""),"No")</f>
        <v>No</v>
      </c>
      <c r="AS41" s="5" t="str">
        <f>IFERROR(__xludf.DUMMYFUNCTION("""COMPUTED_VALUE"""),"Yes")</f>
        <v>Yes</v>
      </c>
      <c r="AT41" s="5" t="str">
        <f>IFERROR(__xludf.DUMMYFUNCTION("""COMPUTED_VALUE"""),"No")</f>
        <v>No</v>
      </c>
      <c r="AU41" s="5"/>
      <c r="AV41" s="5" t="str">
        <f>IFERROR(__xludf.DUMMYFUNCTION("""COMPUTED_VALUE"""),"")</f>
        <v/>
      </c>
    </row>
    <row r="42">
      <c r="A42" s="5" t="str">
        <f>IFERROR(__xludf.DUMMYFUNCTION("""COMPUTED_VALUE"""),"Playnet")</f>
        <v>Playnet</v>
      </c>
      <c r="B42" s="5" t="str">
        <f>IFERROR(__xludf.DUMMYFUNCTION("""COMPUTED_VALUE"""),"Empress Of Flame")</f>
        <v>Empress Of Flame</v>
      </c>
      <c r="C42" s="5" t="str">
        <f>IFERROR(__xludf.DUMMYFUNCTION("""COMPUTED_VALUE"""),"PlayNetEmpressOfFlame")</f>
        <v>PlayNetEmpressOfFlame</v>
      </c>
      <c r="D42" s="6">
        <f>IFERROR(__xludf.DUMMYFUNCTION("""COMPUTED_VALUE"""),46129.0)</f>
        <v>46129</v>
      </c>
      <c r="E42" s="5" t="str">
        <f>IFERROR(__xludf.DUMMYFUNCTION("""COMPUTED_VALUE"""),"Slot")</f>
        <v>Slot</v>
      </c>
      <c r="F42" s="5">
        <f>IFERROR(__xludf.DUMMYFUNCTION("""COMPUTED_VALUE"""),17.0)</f>
        <v>17</v>
      </c>
      <c r="G42" s="5" t="str">
        <f>IFERROR(__xludf.DUMMYFUNCTION("""COMPUTED_VALUE"""),"5x3")</f>
        <v>5x3</v>
      </c>
      <c r="H42" s="5">
        <f>IFERROR(__xludf.DUMMYFUNCTION("""COMPUTED_VALUE"""),10.0)</f>
        <v>10</v>
      </c>
      <c r="I42" s="5">
        <f>IFERROR(__xludf.DUMMYFUNCTION("""COMPUTED_VALUE"""),10.0)</f>
        <v>10</v>
      </c>
      <c r="J42" s="5" t="str">
        <f>IFERROR(__xludf.DUMMYFUNCTION("""COMPUTED_VALUE"""),"95.544%")</f>
        <v>95.544%</v>
      </c>
      <c r="K42" s="5" t="str">
        <f>IFERROR(__xludf.DUMMYFUNCTION("""COMPUTED_VALUE"""),"Medium")</f>
        <v>Medium</v>
      </c>
      <c r="L42" s="5" t="str">
        <f>IFERROR(__xludf.DUMMYFUNCTION("""COMPUTED_VALUE"""),"13.022%")</f>
        <v>13.022%</v>
      </c>
      <c r="M42" s="5" t="str">
        <f>IFERROR(__xludf.DUMMYFUNCTION("""COMPUTED_VALUE"""),"x1611")</f>
        <v>x1611</v>
      </c>
      <c r="N42" s="5" t="str">
        <f>IFERROR(__xludf.DUMMYFUNCTION("""COMPUTED_VALUE"""),"0.1/40")</f>
        <v>0.1/40</v>
      </c>
      <c r="O42" s="5" t="str">
        <f>IFERROR(__xludf.DUMMYFUNCTION("""COMPUTED_VALUE"""),"No")</f>
        <v>No</v>
      </c>
      <c r="P42" s="5" t="str">
        <f>IFERROR(__xludf.DUMMYFUNCTION("""COMPUTED_VALUE"""),"Expanding Wild")</f>
        <v>Expanding Wild</v>
      </c>
      <c r="Q42" s="7" t="str">
        <f>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R42" s="5" t="str">
        <f>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S4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IFERROR(__xludf.DUMMYFUNCTION("""COMPUTED_VALUE"""),"No")</f>
        <v>No</v>
      </c>
      <c r="AJ42" s="5" t="str">
        <f>IFERROR(__xludf.DUMMYFUNCTION("""COMPUTED_VALUE"""),"No")</f>
        <v>No</v>
      </c>
      <c r="AK42" s="5" t="str">
        <f>IFERROR(__xludf.DUMMYFUNCTION("""COMPUTED_VALUE"""),"No")</f>
        <v>No</v>
      </c>
      <c r="AL42" s="5" t="str">
        <f>IFERROR(__xludf.DUMMYFUNCTION("""COMPUTED_VALUE"""),"No")</f>
        <v>No</v>
      </c>
      <c r="AM42" s="5" t="str">
        <f>IFERROR(__xludf.DUMMYFUNCTION("""COMPUTED_VALUE"""),"No")</f>
        <v>No</v>
      </c>
      <c r="AN42" s="5" t="str">
        <f>IFERROR(__xludf.DUMMYFUNCTION("""COMPUTED_VALUE"""),"No")</f>
        <v>No</v>
      </c>
      <c r="AO42" s="5" t="str">
        <f>IFERROR(__xludf.DUMMYFUNCTION("""COMPUTED_VALUE"""),"No")</f>
        <v>No</v>
      </c>
      <c r="AP42" s="5" t="str">
        <f>IFERROR(__xludf.DUMMYFUNCTION("""COMPUTED_VALUE"""),"No")</f>
        <v>No</v>
      </c>
      <c r="AQ42" s="5" t="str">
        <f>IFERROR(__xludf.DUMMYFUNCTION("""COMPUTED_VALUE"""),"No")</f>
        <v>No</v>
      </c>
      <c r="AR42" s="5" t="str">
        <f>IFERROR(__xludf.DUMMYFUNCTION("""COMPUTED_VALUE"""),"No")</f>
        <v>No</v>
      </c>
      <c r="AS42" s="5" t="str">
        <f>IFERROR(__xludf.DUMMYFUNCTION("""COMPUTED_VALUE"""),"Yes")</f>
        <v>Yes</v>
      </c>
      <c r="AT42" s="5" t="str">
        <f>IFERROR(__xludf.DUMMYFUNCTION("""COMPUTED_VALUE"""),"No")</f>
        <v>No</v>
      </c>
      <c r="AU42" s="5"/>
      <c r="AV42" s="5" t="str">
        <f>IFERROR(__xludf.DUMMYFUNCTION("""COMPUTED_VALUE"""),"")</f>
        <v/>
      </c>
    </row>
    <row r="43">
      <c r="A43" s="5" t="str">
        <f>IFERROR(__xludf.DUMMYFUNCTION("""COMPUTED_VALUE"""),"Playnet")</f>
        <v>Playnet</v>
      </c>
      <c r="B43" s="5" t="str">
        <f>IFERROR(__xludf.DUMMYFUNCTION("""COMPUTED_VALUE"""),"Majestic Crown Easter")</f>
        <v>Majestic Crown Easter</v>
      </c>
      <c r="C43" s="5" t="str">
        <f>IFERROR(__xludf.DUMMYFUNCTION("""COMPUTED_VALUE"""),"PlayNetMajesticCrownEaster")</f>
        <v>PlayNetMajesticCrownEaster</v>
      </c>
      <c r="D43" s="6">
        <f>IFERROR(__xludf.DUMMYFUNCTION("""COMPUTED_VALUE"""),46097.0)</f>
        <v>46097</v>
      </c>
      <c r="E43" s="5" t="str">
        <f>IFERROR(__xludf.DUMMYFUNCTION("""COMPUTED_VALUE"""),"Slot")</f>
        <v>Slot</v>
      </c>
      <c r="F43" s="5">
        <f>IFERROR(__xludf.DUMMYFUNCTION("""COMPUTED_VALUE"""),15.0)</f>
        <v>15</v>
      </c>
      <c r="G43" s="5" t="str">
        <f>IFERROR(__xludf.DUMMYFUNCTION("""COMPUTED_VALUE"""),"5x3")</f>
        <v>5x3</v>
      </c>
      <c r="H43" s="5">
        <f>IFERROR(__xludf.DUMMYFUNCTION("""COMPUTED_VALUE"""),5.0)</f>
        <v>5</v>
      </c>
      <c r="I43" s="5">
        <f>IFERROR(__xludf.DUMMYFUNCTION("""COMPUTED_VALUE"""),5.0)</f>
        <v>5</v>
      </c>
      <c r="J43" s="5" t="str">
        <f>IFERROR(__xludf.DUMMYFUNCTION("""COMPUTED_VALUE"""),"96.453%")</f>
        <v>96.453%</v>
      </c>
      <c r="K43" s="5" t="str">
        <f>IFERROR(__xludf.DUMMYFUNCTION("""COMPUTED_VALUE"""),"Medium")</f>
        <v>Medium</v>
      </c>
      <c r="L43" s="5" t="str">
        <f>IFERROR(__xludf.DUMMYFUNCTION("""COMPUTED_VALUE"""),"14.234%")</f>
        <v>14.234%</v>
      </c>
      <c r="M43" s="5" t="str">
        <f>IFERROR(__xludf.DUMMYFUNCTION("""COMPUTED_VALUE"""),"x2624")</f>
        <v>x2624</v>
      </c>
      <c r="N43" s="5" t="str">
        <f>IFERROR(__xludf.DUMMYFUNCTION("""COMPUTED_VALUE"""),"0.05/30")</f>
        <v>0.05/30</v>
      </c>
      <c r="O43" s="5" t="str">
        <f>IFERROR(__xludf.DUMMYFUNCTION("""COMPUTED_VALUE"""),"No")</f>
        <v>No</v>
      </c>
      <c r="P43" s="5" t="str">
        <f>IFERROR(__xludf.DUMMYFUNCTION("""COMPUTED_VALUE"""),"Scatter, Expanding Wild, Wild Multiplier")</f>
        <v>Scatter, Expanding Wild, Wild Multiplier</v>
      </c>
      <c r="Q43" s="7" t="str">
        <f>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R43" s="5" t="str">
        <f>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S4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IFERROR(__xludf.DUMMYFUNCTION("""COMPUTED_VALUE"""),"No")</f>
        <v>No</v>
      </c>
      <c r="AJ43" s="5" t="str">
        <f>IFERROR(__xludf.DUMMYFUNCTION("""COMPUTED_VALUE"""),"No")</f>
        <v>No</v>
      </c>
      <c r="AK43" s="5" t="str">
        <f>IFERROR(__xludf.DUMMYFUNCTION("""COMPUTED_VALUE"""),"No")</f>
        <v>No</v>
      </c>
      <c r="AL43" s="5" t="str">
        <f>IFERROR(__xludf.DUMMYFUNCTION("""COMPUTED_VALUE"""),"No")</f>
        <v>No</v>
      </c>
      <c r="AM43" s="5" t="str">
        <f>IFERROR(__xludf.DUMMYFUNCTION("""COMPUTED_VALUE"""),"No")</f>
        <v>No</v>
      </c>
      <c r="AN43" s="5" t="str">
        <f>IFERROR(__xludf.DUMMYFUNCTION("""COMPUTED_VALUE"""),"No")</f>
        <v>No</v>
      </c>
      <c r="AO43" s="5" t="str">
        <f>IFERROR(__xludf.DUMMYFUNCTION("""COMPUTED_VALUE"""),"Yes")</f>
        <v>Yes</v>
      </c>
      <c r="AP43" s="5" t="str">
        <f>IFERROR(__xludf.DUMMYFUNCTION("""COMPUTED_VALUE"""),"No")</f>
        <v>No</v>
      </c>
      <c r="AQ43" s="5" t="str">
        <f>IFERROR(__xludf.DUMMYFUNCTION("""COMPUTED_VALUE"""),"No")</f>
        <v>No</v>
      </c>
      <c r="AR43" s="5" t="str">
        <f>IFERROR(__xludf.DUMMYFUNCTION("""COMPUTED_VALUE"""),"No")</f>
        <v>No</v>
      </c>
      <c r="AS43" s="5" t="str">
        <f>IFERROR(__xludf.DUMMYFUNCTION("""COMPUTED_VALUE"""),"Yes")</f>
        <v>Yes</v>
      </c>
      <c r="AT43" s="5" t="str">
        <f>IFERROR(__xludf.DUMMYFUNCTION("""COMPUTED_VALUE"""),"No")</f>
        <v>No</v>
      </c>
      <c r="AU43" s="5"/>
      <c r="AV43" s="5" t="str">
        <f>IFERROR(__xludf.DUMMYFUNCTION("""COMPUTED_VALUE"""),"")</f>
        <v/>
      </c>
    </row>
    <row r="44">
      <c r="A44" s="5" t="str">
        <f>IFERROR(__xludf.DUMMYFUNCTION("""COMPUTED_VALUE"""),"Playnet")</f>
        <v>Playnet</v>
      </c>
      <c r="B44" s="5" t="str">
        <f>IFERROR(__xludf.DUMMYFUNCTION("""COMPUTED_VALUE"""),"Tropic Twist")</f>
        <v>Tropic Twist</v>
      </c>
      <c r="C44" s="5" t="str">
        <f>IFERROR(__xludf.DUMMYFUNCTION("""COMPUTED_VALUE"""),"PlayNetTropicTwist")</f>
        <v>PlayNetTropicTwist</v>
      </c>
      <c r="D44" s="6">
        <f>IFERROR(__xludf.DUMMYFUNCTION("""COMPUTED_VALUE"""),46105.0)</f>
        <v>46105</v>
      </c>
      <c r="E44" s="5" t="str">
        <f>IFERROR(__xludf.DUMMYFUNCTION("""COMPUTED_VALUE"""),"Slot")</f>
        <v>Slot</v>
      </c>
      <c r="F44" s="5">
        <f>IFERROR(__xludf.DUMMYFUNCTION("""COMPUTED_VALUE"""),7.2)</f>
        <v>7.2</v>
      </c>
      <c r="G44" s="5" t="str">
        <f>IFERROR(__xludf.DUMMYFUNCTION("""COMPUTED_VALUE"""),"3x3")</f>
        <v>3x3</v>
      </c>
      <c r="H44" s="5">
        <f>IFERROR(__xludf.DUMMYFUNCTION("""COMPUTED_VALUE"""),27.0)</f>
        <v>27</v>
      </c>
      <c r="I44" s="5">
        <f>IFERROR(__xludf.DUMMYFUNCTION("""COMPUTED_VALUE"""),27.0)</f>
        <v>27</v>
      </c>
      <c r="J44" s="5" t="str">
        <f>IFERROR(__xludf.DUMMYFUNCTION("""COMPUTED_VALUE"""),"96.24%")</f>
        <v>96.24%</v>
      </c>
      <c r="K44" s="5" t="str">
        <f>IFERROR(__xludf.DUMMYFUNCTION("""COMPUTED_VALUE"""),"Low")</f>
        <v>Low</v>
      </c>
      <c r="L44" s="5" t="str">
        <f>IFERROR(__xludf.DUMMYFUNCTION("""COMPUTED_VALUE"""),"6.58%")</f>
        <v>6.58%</v>
      </c>
      <c r="M44" s="5" t="str">
        <f>IFERROR(__xludf.DUMMYFUNCTION("""COMPUTED_VALUE"""),"x108")</f>
        <v>x108</v>
      </c>
      <c r="N44" s="5" t="str">
        <f>IFERROR(__xludf.DUMMYFUNCTION("""COMPUTED_VALUE"""),"0.01/50")</f>
        <v>0.01/50</v>
      </c>
      <c r="O44" s="5" t="str">
        <f>IFERROR(__xludf.DUMMYFUNCTION("""COMPUTED_VALUE"""),"No")</f>
        <v>No</v>
      </c>
      <c r="P44" s="5" t="str">
        <f>IFERROR(__xludf.DUMMYFUNCTION("""COMPUTED_VALUE"""),"Win Multiplier")</f>
        <v>Win Multiplier</v>
      </c>
      <c r="Q44" s="7" t="str">
        <f>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R44" s="5" t="str">
        <f>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S4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c r="AJ44" s="5"/>
      <c r="AK44" s="5"/>
      <c r="AL44" s="5"/>
      <c r="AM44" s="5"/>
      <c r="AN44" s="5"/>
      <c r="AO44" s="5"/>
      <c r="AP44" s="5"/>
      <c r="AQ44" s="5"/>
      <c r="AR44" s="5"/>
      <c r="AS44" s="5" t="str">
        <f>IFERROR(__xludf.DUMMYFUNCTION("""COMPUTED_VALUE"""),"Yes")</f>
        <v>Yes</v>
      </c>
      <c r="AT44" s="5"/>
      <c r="AU44" s="5"/>
      <c r="AV44" s="5" t="str">
        <f>IFERROR(__xludf.DUMMYFUNCTION("""COMPUTED_VALUE"""),"")</f>
        <v/>
      </c>
    </row>
    <row r="45">
      <c r="A45" s="5" t="str">
        <f>IFERROR(__xludf.DUMMYFUNCTION("""COMPUTED_VALUE"""),"Playnet")</f>
        <v>Playnet</v>
      </c>
      <c r="B45" s="5" t="str">
        <f>IFERROR(__xludf.DUMMYFUNCTION("""COMPUTED_VALUE"""),"Royal Flame 40")</f>
        <v>Royal Flame 40</v>
      </c>
      <c r="C45" s="5" t="str">
        <f>IFERROR(__xludf.DUMMYFUNCTION("""COMPUTED_VALUE"""),"PlayNetRoyalFlame40")</f>
        <v>PlayNetRoyalFlame40</v>
      </c>
      <c r="D45" s="6">
        <f>IFERROR(__xludf.DUMMYFUNCTION("""COMPUTED_VALUE"""),46114.0)</f>
        <v>46114</v>
      </c>
      <c r="E45" s="5" t="str">
        <f>IFERROR(__xludf.DUMMYFUNCTION("""COMPUTED_VALUE"""),"Slot")</f>
        <v>Slot</v>
      </c>
      <c r="F45" s="5">
        <f>IFERROR(__xludf.DUMMYFUNCTION("""COMPUTED_VALUE"""),15.0)</f>
        <v>15</v>
      </c>
      <c r="G45" s="5" t="str">
        <f>IFERROR(__xludf.DUMMYFUNCTION("""COMPUTED_VALUE"""),"5x3")</f>
        <v>5x3</v>
      </c>
      <c r="H45" s="5">
        <f>IFERROR(__xludf.DUMMYFUNCTION("""COMPUTED_VALUE"""),40.0)</f>
        <v>40</v>
      </c>
      <c r="I45" s="5">
        <f>IFERROR(__xludf.DUMMYFUNCTION("""COMPUTED_VALUE"""),40.0)</f>
        <v>40</v>
      </c>
      <c r="J45" s="5" t="str">
        <f>IFERROR(__xludf.DUMMYFUNCTION("""COMPUTED_VALUE"""),"95.962%")</f>
        <v>95.962%</v>
      </c>
      <c r="K45" s="5" t="str">
        <f>IFERROR(__xludf.DUMMYFUNCTION("""COMPUTED_VALUE"""),"Medium")</f>
        <v>Medium</v>
      </c>
      <c r="L45" s="5" t="str">
        <f>IFERROR(__xludf.DUMMYFUNCTION("""COMPUTED_VALUE"""),"18.351%")</f>
        <v>18.351%</v>
      </c>
      <c r="M45" s="5" t="str">
        <f>IFERROR(__xludf.DUMMYFUNCTION("""COMPUTED_VALUE"""),"x1421")</f>
        <v>x1421</v>
      </c>
      <c r="N45" s="5" t="str">
        <f>IFERROR(__xludf.DUMMYFUNCTION("""COMPUTED_VALUE"""),"0.2/50")</f>
        <v>0.2/50</v>
      </c>
      <c r="O45" s="5" t="str">
        <f>IFERROR(__xludf.DUMMYFUNCTION("""COMPUTED_VALUE"""),"No")</f>
        <v>No</v>
      </c>
      <c r="P45" s="5" t="str">
        <f>IFERROR(__xludf.DUMMYFUNCTION("""COMPUTED_VALUE"""),"Scatter, Expanding Wild")</f>
        <v>Scatter, Expanding Wild</v>
      </c>
      <c r="Q45" s="7" t="str">
        <f>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R45" s="5" t="str">
        <f>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S4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IFERROR(__xludf.DUMMYFUNCTION("""COMPUTED_VALUE"""),"No")</f>
        <v>No</v>
      </c>
      <c r="AJ45" s="5" t="str">
        <f>IFERROR(__xludf.DUMMYFUNCTION("""COMPUTED_VALUE"""),"No")</f>
        <v>No</v>
      </c>
      <c r="AK45" s="5" t="str">
        <f>IFERROR(__xludf.DUMMYFUNCTION("""COMPUTED_VALUE"""),"No")</f>
        <v>No</v>
      </c>
      <c r="AL45" s="5" t="str">
        <f>IFERROR(__xludf.DUMMYFUNCTION("""COMPUTED_VALUE"""),"No")</f>
        <v>No</v>
      </c>
      <c r="AM45" s="5" t="str">
        <f>IFERROR(__xludf.DUMMYFUNCTION("""COMPUTED_VALUE"""),"No")</f>
        <v>No</v>
      </c>
      <c r="AN45" s="5" t="str">
        <f>IFERROR(__xludf.DUMMYFUNCTION("""COMPUTED_VALUE"""),"No")</f>
        <v>No</v>
      </c>
      <c r="AO45" s="5" t="str">
        <f>IFERROR(__xludf.DUMMYFUNCTION("""COMPUTED_VALUE"""),"No")</f>
        <v>No</v>
      </c>
      <c r="AP45" s="5" t="str">
        <f>IFERROR(__xludf.DUMMYFUNCTION("""COMPUTED_VALUE"""),"No")</f>
        <v>No</v>
      </c>
      <c r="AQ45" s="5" t="str">
        <f>IFERROR(__xludf.DUMMYFUNCTION("""COMPUTED_VALUE"""),"No")</f>
        <v>No</v>
      </c>
      <c r="AR45" s="5" t="str">
        <f>IFERROR(__xludf.DUMMYFUNCTION("""COMPUTED_VALUE"""),"No")</f>
        <v>No</v>
      </c>
      <c r="AS45" s="5" t="str">
        <f>IFERROR(__xludf.DUMMYFUNCTION("""COMPUTED_VALUE"""),"Yes")</f>
        <v>Yes</v>
      </c>
      <c r="AT45" s="5" t="str">
        <f>IFERROR(__xludf.DUMMYFUNCTION("""COMPUTED_VALUE"""),"No")</f>
        <v>No</v>
      </c>
      <c r="AU45" s="5"/>
      <c r="AV45" s="5" t="str">
        <f>IFERROR(__xludf.DUMMYFUNCTION("""COMPUTED_VALUE"""),"")</f>
        <v/>
      </c>
    </row>
    <row r="46">
      <c r="A46" s="5" t="str">
        <f>IFERROR(__xludf.DUMMYFUNCTION("""COMPUTED_VALUE"""),"Playnet")</f>
        <v>Playnet</v>
      </c>
      <c r="B46" s="5" t="str">
        <f>IFERROR(__xludf.DUMMYFUNCTION("""COMPUTED_VALUE"""),"Fruit JackPot x10.000")</f>
        <v>Fruit JackPot x10.000</v>
      </c>
      <c r="C46" s="5" t="str">
        <f>IFERROR(__xludf.DUMMYFUNCTION("""COMPUTED_VALUE"""),"PlayNetFruitJackPotx10000")</f>
        <v>PlayNetFruitJackPotx10000</v>
      </c>
      <c r="D46" s="6">
        <f>IFERROR(__xludf.DUMMYFUNCTION("""COMPUTED_VALUE"""),46132.0)</f>
        <v>46132</v>
      </c>
      <c r="E46" s="5" t="str">
        <f>IFERROR(__xludf.DUMMYFUNCTION("""COMPUTED_VALUE"""),"Slot")</f>
        <v>Slot</v>
      </c>
      <c r="F46" s="5">
        <f>IFERROR(__xludf.DUMMYFUNCTION("""COMPUTED_VALUE"""),10.0)</f>
        <v>10</v>
      </c>
      <c r="G46" s="5" t="str">
        <f>IFERROR(__xludf.DUMMYFUNCTION("""COMPUTED_VALUE"""),"5x4")</f>
        <v>5x4</v>
      </c>
      <c r="H46" s="5">
        <f>IFERROR(__xludf.DUMMYFUNCTION("""COMPUTED_VALUE"""),40.0)</f>
        <v>40</v>
      </c>
      <c r="I46" s="5">
        <f>IFERROR(__xludf.DUMMYFUNCTION("""COMPUTED_VALUE"""),40.0)</f>
        <v>40</v>
      </c>
      <c r="J46" s="5" t="str">
        <f>IFERROR(__xludf.DUMMYFUNCTION("""COMPUTED_VALUE"""),"96.474%")</f>
        <v>96.474%</v>
      </c>
      <c r="K46" s="5" t="str">
        <f>IFERROR(__xludf.DUMMYFUNCTION("""COMPUTED_VALUE"""),"High")</f>
        <v>High</v>
      </c>
      <c r="L46" s="5" t="str">
        <f>IFERROR(__xludf.DUMMYFUNCTION("""COMPUTED_VALUE"""),"10.421%")</f>
        <v>10.421%</v>
      </c>
      <c r="M46" s="5" t="str">
        <f>IFERROR(__xludf.DUMMYFUNCTION("""COMPUTED_VALUE"""),"x10145.5")</f>
        <v>x10145.5</v>
      </c>
      <c r="N46" s="5" t="str">
        <f>IFERROR(__xludf.DUMMYFUNCTION("""COMPUTED_VALUE"""),"0.04/40")</f>
        <v>0.04/40</v>
      </c>
      <c r="O46" s="5" t="str">
        <f>IFERROR(__xludf.DUMMYFUNCTION("""COMPUTED_VALUE"""),"No")</f>
        <v>No</v>
      </c>
      <c r="P46" s="5" t="str">
        <f>IFERROR(__xludf.DUMMYFUNCTION("""COMPUTED_VALUE"""),"Scatter, Wild Symbol")</f>
        <v>Scatter, Wild Symbol</v>
      </c>
      <c r="Q46" s="7" t="str">
        <f>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R46" s="5" t="str">
        <f>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S4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IFERROR(__xludf.DUMMYFUNCTION("""COMPUTED_VALUE"""),"Yes")</f>
        <v>Yes</v>
      </c>
      <c r="AH46" s="5" t="str">
        <f>IFERROR(__xludf.DUMMYFUNCTION("""COMPUTED_VALUE"""),"Yes")</f>
        <v>Yes</v>
      </c>
      <c r="AI46" s="5" t="str">
        <f>IFERROR(__xludf.DUMMYFUNCTION("""COMPUTED_VALUE"""),"No")</f>
        <v>No</v>
      </c>
      <c r="AJ46" s="5" t="str">
        <f>IFERROR(__xludf.DUMMYFUNCTION("""COMPUTED_VALUE"""),"No")</f>
        <v>No</v>
      </c>
      <c r="AK46" s="5"/>
      <c r="AL46" s="5"/>
      <c r="AM46" s="5"/>
      <c r="AN46" s="5"/>
      <c r="AO46" s="5"/>
      <c r="AP46" s="5"/>
      <c r="AQ46" s="5"/>
      <c r="AR46" s="5"/>
      <c r="AS46" s="5" t="str">
        <f>IFERROR(__xludf.DUMMYFUNCTION("""COMPUTED_VALUE"""),"Yes")</f>
        <v>Yes</v>
      </c>
      <c r="AT46" s="5"/>
      <c r="AU46" s="5"/>
      <c r="AV46" s="5" t="str">
        <f>IFERROR(__xludf.DUMMYFUNCTION("""COMPUTED_VALUE"""),"")</f>
        <v/>
      </c>
    </row>
    <row r="47">
      <c r="A47" s="5" t="str">
        <f>IFERROR(__xludf.DUMMYFUNCTION("""COMPUTED_VALUE"""),"Playnet")</f>
        <v>Playnet</v>
      </c>
      <c r="B47" s="5" t="str">
        <f>IFERROR(__xludf.DUMMYFUNCTION("""COMPUTED_VALUE"""),"27 Lucky Fruits")</f>
        <v>27 Lucky Fruits</v>
      </c>
      <c r="C47" s="5" t="str">
        <f>IFERROR(__xludf.DUMMYFUNCTION("""COMPUTED_VALUE"""),"PlayNet27LuckyFruits")</f>
        <v>PlayNet27LuckyFruits</v>
      </c>
      <c r="D47" s="6">
        <f>IFERROR(__xludf.DUMMYFUNCTION("""COMPUTED_VALUE"""),46140.0)</f>
        <v>46140</v>
      </c>
      <c r="E47" s="5" t="str">
        <f>IFERROR(__xludf.DUMMYFUNCTION("""COMPUTED_VALUE"""),"Slot")</f>
        <v>Slot</v>
      </c>
      <c r="F47" s="5">
        <f>IFERROR(__xludf.DUMMYFUNCTION("""COMPUTED_VALUE"""),15.0)</f>
        <v>15</v>
      </c>
      <c r="G47" s="5" t="str">
        <f>IFERROR(__xludf.DUMMYFUNCTION("""COMPUTED_VALUE"""),"3x3")</f>
        <v>3x3</v>
      </c>
      <c r="H47" s="5">
        <f>IFERROR(__xludf.DUMMYFUNCTION("""COMPUTED_VALUE"""),27.0)</f>
        <v>27</v>
      </c>
      <c r="I47" s="5">
        <f>IFERROR(__xludf.DUMMYFUNCTION("""COMPUTED_VALUE"""),27.0)</f>
        <v>27</v>
      </c>
      <c r="J47" s="5" t="str">
        <f>IFERROR(__xludf.DUMMYFUNCTION("""COMPUTED_VALUE"""),"96.24%")</f>
        <v>96.24%</v>
      </c>
      <c r="K47" s="5" t="str">
        <f>IFERROR(__xludf.DUMMYFUNCTION("""COMPUTED_VALUE"""),"Low")</f>
        <v>Low</v>
      </c>
      <c r="L47" s="5" t="str">
        <f>IFERROR(__xludf.DUMMYFUNCTION("""COMPUTED_VALUE"""),"6.58%")</f>
        <v>6.58%</v>
      </c>
      <c r="M47" s="5" t="str">
        <f>IFERROR(__xludf.DUMMYFUNCTION("""COMPUTED_VALUE"""),"x108")</f>
        <v>x108</v>
      </c>
      <c r="N47" s="5" t="str">
        <f>IFERROR(__xludf.DUMMYFUNCTION("""COMPUTED_VALUE"""),"0.01/50")</f>
        <v>0.01/50</v>
      </c>
      <c r="O47" s="5" t="str">
        <f>IFERROR(__xludf.DUMMYFUNCTION("""COMPUTED_VALUE"""),"No")</f>
        <v>No</v>
      </c>
      <c r="P47" s="5" t="str">
        <f>IFERROR(__xludf.DUMMYFUNCTION("""COMPUTED_VALUE"""),"Win Multiplier")</f>
        <v>Win Multiplier</v>
      </c>
      <c r="Q47" s="7" t="str">
        <f>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R47" s="5" t="str">
        <f>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S4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IFERROR(__xludf.DUMMYFUNCTION("""COMPUTED_VALUE"""),"No")</f>
        <v>No</v>
      </c>
      <c r="AJ47" s="5" t="str">
        <f>IFERROR(__xludf.DUMMYFUNCTION("""COMPUTED_VALUE"""),"No")</f>
        <v>No</v>
      </c>
      <c r="AK47" s="5" t="str">
        <f>IFERROR(__xludf.DUMMYFUNCTION("""COMPUTED_VALUE"""),"No")</f>
        <v>No</v>
      </c>
      <c r="AL47" s="5" t="str">
        <f>IFERROR(__xludf.DUMMYFUNCTION("""COMPUTED_VALUE"""),"No")</f>
        <v>No</v>
      </c>
      <c r="AM47" s="5" t="str">
        <f>IFERROR(__xludf.DUMMYFUNCTION("""COMPUTED_VALUE"""),"No")</f>
        <v>No</v>
      </c>
      <c r="AN47" s="5" t="str">
        <f>IFERROR(__xludf.DUMMYFUNCTION("""COMPUTED_VALUE"""),"No")</f>
        <v>No</v>
      </c>
      <c r="AO47" s="5" t="str">
        <f>IFERROR(__xludf.DUMMYFUNCTION("""COMPUTED_VALUE"""),"Yes")</f>
        <v>Yes</v>
      </c>
      <c r="AP47" s="5" t="str">
        <f>IFERROR(__xludf.DUMMYFUNCTION("""COMPUTED_VALUE"""),"No")</f>
        <v>No</v>
      </c>
      <c r="AQ47" s="5" t="str">
        <f>IFERROR(__xludf.DUMMYFUNCTION("""COMPUTED_VALUE"""),"No")</f>
        <v>No</v>
      </c>
      <c r="AR47" s="5" t="str">
        <f>IFERROR(__xludf.DUMMYFUNCTION("""COMPUTED_VALUE"""),"No")</f>
        <v>No</v>
      </c>
      <c r="AS47" s="5" t="str">
        <f>IFERROR(__xludf.DUMMYFUNCTION("""COMPUTED_VALUE"""),"Yes")</f>
        <v>Yes</v>
      </c>
      <c r="AT47" s="5" t="str">
        <f>IFERROR(__xludf.DUMMYFUNCTION("""COMPUTED_VALUE"""),"No")</f>
        <v>No</v>
      </c>
      <c r="AU47" s="5"/>
      <c r="AV47" s="5" t="str">
        <f>IFERROR(__xludf.DUMMYFUNCTION("""COMPUTED_VALUE"""),"")</f>
        <v/>
      </c>
    </row>
    <row r="48">
      <c r="A48" s="5" t="str">
        <f>IFERROR(__xludf.DUMMYFUNCTION("""COMPUTED_VALUE"""),"Playnet")</f>
        <v>Playnet</v>
      </c>
      <c r="B48" s="5" t="str">
        <f>IFERROR(__xludf.DUMMYFUNCTION("""COMPUTED_VALUE"""),"Shadow Hunt 10")</f>
        <v>Shadow Hunt 10</v>
      </c>
      <c r="C48" s="5" t="str">
        <f>IFERROR(__xludf.DUMMYFUNCTION("""COMPUTED_VALUE"""),"PlayNetShadowHunt10")</f>
        <v>PlayNetShadowHunt10</v>
      </c>
      <c r="D48" s="6">
        <f>IFERROR(__xludf.DUMMYFUNCTION("""COMPUTED_VALUE"""),46146.0)</f>
        <v>46146</v>
      </c>
      <c r="E48" s="5" t="str">
        <f>IFERROR(__xludf.DUMMYFUNCTION("""COMPUTED_VALUE"""),"Slot")</f>
        <v>Slot</v>
      </c>
      <c r="F48" s="5">
        <f>IFERROR(__xludf.DUMMYFUNCTION("""COMPUTED_VALUE"""),15.0)</f>
        <v>15</v>
      </c>
      <c r="G48" s="5" t="str">
        <f>IFERROR(__xludf.DUMMYFUNCTION("""COMPUTED_VALUE"""),"5x3")</f>
        <v>5x3</v>
      </c>
      <c r="H48" s="5">
        <f>IFERROR(__xludf.DUMMYFUNCTION("""COMPUTED_VALUE"""),10.0)</f>
        <v>10</v>
      </c>
      <c r="I48" s="5">
        <f>IFERROR(__xludf.DUMMYFUNCTION("""COMPUTED_VALUE"""),10.0)</f>
        <v>10</v>
      </c>
      <c r="J48" s="5" t="str">
        <f>IFERROR(__xludf.DUMMYFUNCTION("""COMPUTED_VALUE"""),"96.475%")</f>
        <v>96.475%</v>
      </c>
      <c r="K48" s="5" t="str">
        <f>IFERROR(__xludf.DUMMYFUNCTION("""COMPUTED_VALUE"""),"High")</f>
        <v>High</v>
      </c>
      <c r="L48" s="5" t="str">
        <f>IFERROR(__xludf.DUMMYFUNCTION("""COMPUTED_VALUE"""),"5.934%")</f>
        <v>5.934%</v>
      </c>
      <c r="M48" s="5" t="str">
        <f>IFERROR(__xludf.DUMMYFUNCTION("""COMPUTED_VALUE"""),"x1500")</f>
        <v>x1500</v>
      </c>
      <c r="N48" s="5" t="str">
        <f>IFERROR(__xludf.DUMMYFUNCTION("""COMPUTED_VALUE"""),"0.1/40")</f>
        <v>0.1/40</v>
      </c>
      <c r="O48" s="5" t="str">
        <f>IFERROR(__xludf.DUMMYFUNCTION("""COMPUTED_VALUE"""),"No")</f>
        <v>No</v>
      </c>
      <c r="P48" s="5" t="str">
        <f>IFERROR(__xludf.DUMMYFUNCTION("""COMPUTED_VALUE"""),"Win Multiplier")</f>
        <v>Win Multiplier</v>
      </c>
      <c r="Q48" s="7" t="str">
        <f>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R48" s="5" t="str">
        <f>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S4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IFERROR(__xludf.DUMMYFUNCTION("""COMPUTED_VALUE"""),"Yes")</f>
        <v>Yes</v>
      </c>
      <c r="AH48" s="5" t="str">
        <f>IFERROR(__xludf.DUMMYFUNCTION("""COMPUTED_VALUE"""),"Yes")</f>
        <v>Yes</v>
      </c>
      <c r="AI48" s="5"/>
      <c r="AJ48" s="5"/>
      <c r="AK48" s="5"/>
      <c r="AL48" s="5"/>
      <c r="AM48" s="5"/>
      <c r="AN48" s="5"/>
      <c r="AO48" s="5"/>
      <c r="AP48" s="5"/>
      <c r="AQ48" s="5"/>
      <c r="AR48" s="5"/>
      <c r="AS48" s="5" t="str">
        <f>IFERROR(__xludf.DUMMYFUNCTION("""COMPUTED_VALUE"""),"Yes")</f>
        <v>Yes</v>
      </c>
      <c r="AT48" s="5"/>
      <c r="AU48" s="5"/>
      <c r="AV48" s="5" t="str">
        <f>IFERROR(__xludf.DUMMYFUNCTION("""COMPUTED_VALUE"""),"")</f>
        <v/>
      </c>
    </row>
    <row r="49">
      <c r="A49" s="5" t="str">
        <f>IFERROR(__xludf.DUMMYFUNCTION("""COMPUTED_VALUE"""),"Playnet")</f>
        <v>Playnet</v>
      </c>
      <c r="B49" s="5" t="str">
        <f>IFERROR(__xludf.DUMMYFUNCTION("""COMPUTED_VALUE"""),"Diamond Heart 20")</f>
        <v>Diamond Heart 20</v>
      </c>
      <c r="C49" s="5" t="str">
        <f>IFERROR(__xludf.DUMMYFUNCTION("""COMPUTED_VALUE"""),"PlayNetDiamondHeart20")</f>
        <v>PlayNetDiamondHeart20</v>
      </c>
      <c r="D49" s="6">
        <f>IFERROR(__xludf.DUMMYFUNCTION("""COMPUTED_VALUE"""),46154.0)</f>
        <v>46154</v>
      </c>
      <c r="E49" s="5" t="str">
        <f>IFERROR(__xludf.DUMMYFUNCTION("""COMPUTED_VALUE"""),"Slot")</f>
        <v>Slot</v>
      </c>
      <c r="F49" s="5">
        <f>IFERROR(__xludf.DUMMYFUNCTION("""COMPUTED_VALUE"""),13.0)</f>
        <v>13</v>
      </c>
      <c r="G49" s="5" t="str">
        <f>IFERROR(__xludf.DUMMYFUNCTION("""COMPUTED_VALUE"""),"5x3")</f>
        <v>5x3</v>
      </c>
      <c r="H49" s="5">
        <f>IFERROR(__xludf.DUMMYFUNCTION("""COMPUTED_VALUE"""),20.0)</f>
        <v>20</v>
      </c>
      <c r="I49" s="5">
        <f>IFERROR(__xludf.DUMMYFUNCTION("""COMPUTED_VALUE"""),20.0)</f>
        <v>20</v>
      </c>
      <c r="J49" s="5" t="str">
        <f>IFERROR(__xludf.DUMMYFUNCTION("""COMPUTED_VALUE"""),"96.504%")</f>
        <v>96.504%</v>
      </c>
      <c r="K49" s="5" t="str">
        <f>IFERROR(__xludf.DUMMYFUNCTION("""COMPUTED_VALUE"""),"Medium")</f>
        <v>Medium</v>
      </c>
      <c r="L49" s="5" t="str">
        <f>IFERROR(__xludf.DUMMYFUNCTION("""COMPUTED_VALUE"""),"21.751%")</f>
        <v>21.751%</v>
      </c>
      <c r="M49" s="5" t="str">
        <f>IFERROR(__xludf.DUMMYFUNCTION("""COMPUTED_VALUE"""),"x1231.5")</f>
        <v>x1231.5</v>
      </c>
      <c r="N49" s="5" t="str">
        <f>IFERROR(__xludf.DUMMYFUNCTION("""COMPUTED_VALUE"""),"0.2/50")</f>
        <v>0.2/50</v>
      </c>
      <c r="O49" s="5" t="str">
        <f>IFERROR(__xludf.DUMMYFUNCTION("""COMPUTED_VALUE"""),"No")</f>
        <v>No</v>
      </c>
      <c r="P49" s="5" t="str">
        <f>IFERROR(__xludf.DUMMYFUNCTION("""COMPUTED_VALUE"""),"Expanding Wild, Scatter")</f>
        <v>Expanding Wild, Scatter</v>
      </c>
      <c r="Q49" s="7" t="str">
        <f>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R49" s="5" t="str">
        <f>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c r="AJ49" s="5"/>
      <c r="AK49" s="5"/>
      <c r="AL49" s="5"/>
      <c r="AM49" s="5"/>
      <c r="AN49" s="5"/>
      <c r="AO49" s="5"/>
      <c r="AP49" s="5"/>
      <c r="AQ49" s="5"/>
      <c r="AR49" s="5"/>
      <c r="AS49" s="5" t="str">
        <f>IFERROR(__xludf.DUMMYFUNCTION("""COMPUTED_VALUE"""),"Yes")</f>
        <v>Yes</v>
      </c>
      <c r="AT49" s="5"/>
      <c r="AU49" s="5"/>
      <c r="AV49" s="5" t="str">
        <f>IFERROR(__xludf.DUMMYFUNCTION("""COMPUTED_VALUE"""),"")</f>
        <v/>
      </c>
    </row>
    <row r="50">
      <c r="A50" s="5" t="str">
        <f>IFERROR(__xludf.DUMMYFUNCTION("""COMPUTED_VALUE"""),"Playnet")</f>
        <v>Playnet</v>
      </c>
      <c r="B50" s="5" t="str">
        <f>IFERROR(__xludf.DUMMYFUNCTION("""COMPUTED_VALUE"""),"Bit Queen")</f>
        <v>Bit Queen</v>
      </c>
      <c r="C50" s="5" t="str">
        <f>IFERROR(__xludf.DUMMYFUNCTION("""COMPUTED_VALUE"""),"PlayNetBitQueen")</f>
        <v>PlayNetBitQueen</v>
      </c>
      <c r="D50" s="6">
        <f>IFERROR(__xludf.DUMMYFUNCTION("""COMPUTED_VALUE"""),46167.0)</f>
        <v>46167</v>
      </c>
      <c r="E50" s="5" t="str">
        <f>IFERROR(__xludf.DUMMYFUNCTION("""COMPUTED_VALUE"""),"Slot")</f>
        <v>Slot</v>
      </c>
      <c r="F50" s="5">
        <f>IFERROR(__xludf.DUMMYFUNCTION("""COMPUTED_VALUE"""),15.0)</f>
        <v>15</v>
      </c>
      <c r="G50" s="5" t="str">
        <f>IFERROR(__xludf.DUMMYFUNCTION("""COMPUTED_VALUE"""),"5x4")</f>
        <v>5x4</v>
      </c>
      <c r="H50" s="5">
        <f>IFERROR(__xludf.DUMMYFUNCTION("""COMPUTED_VALUE"""),40.0)</f>
        <v>40</v>
      </c>
      <c r="I50" s="5">
        <f>IFERROR(__xludf.DUMMYFUNCTION("""COMPUTED_VALUE"""),40.0)</f>
        <v>40</v>
      </c>
      <c r="J50" s="5" t="str">
        <f>IFERROR(__xludf.DUMMYFUNCTION("""COMPUTED_VALUE"""),"96.291%")</f>
        <v>96.291%</v>
      </c>
      <c r="K50" s="5" t="str">
        <f>IFERROR(__xludf.DUMMYFUNCTION("""COMPUTED_VALUE"""),"Medium")</f>
        <v>Medium</v>
      </c>
      <c r="L50" s="5" t="str">
        <f>IFERROR(__xludf.DUMMYFUNCTION("""COMPUTED_VALUE"""),"12.67%")</f>
        <v>12.67%</v>
      </c>
      <c r="M50" s="5" t="str">
        <f>IFERROR(__xludf.DUMMYFUNCTION("""COMPUTED_VALUE"""),"x1043")</f>
        <v>x1043</v>
      </c>
      <c r="N50" s="5" t="str">
        <f>IFERROR(__xludf.DUMMYFUNCTION("""COMPUTED_VALUE"""),"0.1/60")</f>
        <v>0.1/60</v>
      </c>
      <c r="O50" s="5" t="str">
        <f>IFERROR(__xludf.DUMMYFUNCTION("""COMPUTED_VALUE"""),"No")</f>
        <v>No</v>
      </c>
      <c r="P50" s="5" t="str">
        <f>IFERROR(__xludf.DUMMYFUNCTION("""COMPUTED_VALUE"""),"Bonus Game with Free Spins, Scatter, Special Wild")</f>
        <v>Bonus Game with Free Spins, Scatter, Special Wild</v>
      </c>
      <c r="Q50" s="7" t="str">
        <f>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R50" s="5" t="str">
        <f>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S5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IFERROR(__xludf.DUMMYFUNCTION("""COMPUTED_VALUE"""),"Yes")</f>
        <v>Yes</v>
      </c>
      <c r="AH50" s="5" t="str">
        <f>IFERROR(__xludf.DUMMYFUNCTION("""COMPUTED_VALUE"""),"Yes")</f>
        <v>Yes</v>
      </c>
      <c r="AI50" s="5"/>
      <c r="AJ50" s="5"/>
      <c r="AK50" s="5"/>
      <c r="AL50" s="5"/>
      <c r="AM50" s="5"/>
      <c r="AN50" s="5"/>
      <c r="AO50" s="5"/>
      <c r="AP50" s="5"/>
      <c r="AQ50" s="5"/>
      <c r="AR50" s="5"/>
      <c r="AS50" s="5" t="str">
        <f>IFERROR(__xludf.DUMMYFUNCTION("""COMPUTED_VALUE"""),"Yes")</f>
        <v>Yes</v>
      </c>
      <c r="AT50" s="5"/>
      <c r="AU50" s="5"/>
      <c r="AV50" s="5" t="str">
        <f>IFERROR(__xludf.DUMMYFUNCTION("""COMPUTED_VALUE"""),"")</f>
        <v/>
      </c>
    </row>
    <row r="51">
      <c r="A51" s="5" t="str">
        <f>IFERROR(__xludf.DUMMYFUNCTION("""COMPUTED_VALUE"""),"Playnet")</f>
        <v>Playnet</v>
      </c>
      <c r="B51" s="5" t="str">
        <f>IFERROR(__xludf.DUMMYFUNCTION("""COMPUTED_VALUE"""),"Dashing Hot 40")</f>
        <v>Dashing Hot 40</v>
      </c>
      <c r="C51" s="5" t="str">
        <f>IFERROR(__xludf.DUMMYFUNCTION("""COMPUTED_VALUE"""),"PlayNetDashingHot40")</f>
        <v>PlayNetDashingHot40</v>
      </c>
      <c r="D51" s="6">
        <f>IFERROR(__xludf.DUMMYFUNCTION("""COMPUTED_VALUE"""),46182.0)</f>
        <v>46182</v>
      </c>
      <c r="E51" s="5" t="str">
        <f>IFERROR(__xludf.DUMMYFUNCTION("""COMPUTED_VALUE"""),"Slot")</f>
        <v>Slot</v>
      </c>
      <c r="F51" s="5">
        <f>IFERROR(__xludf.DUMMYFUNCTION("""COMPUTED_VALUE"""),13.0)</f>
        <v>13</v>
      </c>
      <c r="G51" s="5" t="str">
        <f>IFERROR(__xludf.DUMMYFUNCTION("""COMPUTED_VALUE"""),"5x4")</f>
        <v>5x4</v>
      </c>
      <c r="H51" s="5">
        <f>IFERROR(__xludf.DUMMYFUNCTION("""COMPUTED_VALUE"""),40.0)</f>
        <v>40</v>
      </c>
      <c r="I51" s="5">
        <f>IFERROR(__xludf.DUMMYFUNCTION("""COMPUTED_VALUE"""),40.0)</f>
        <v>40</v>
      </c>
      <c r="J51" s="5" t="str">
        <f>IFERROR(__xludf.DUMMYFUNCTION("""COMPUTED_VALUE"""),"96.584%")</f>
        <v>96.584%</v>
      </c>
      <c r="K51" s="5" t="str">
        <f>IFERROR(__xludf.DUMMYFUNCTION("""COMPUTED_VALUE"""),"Low")</f>
        <v>Low</v>
      </c>
      <c r="L51" s="5" t="str">
        <f>IFERROR(__xludf.DUMMYFUNCTION("""COMPUTED_VALUE"""),"16.725%")</f>
        <v>16.725%</v>
      </c>
      <c r="M51" s="5" t="str">
        <f>IFERROR(__xludf.DUMMYFUNCTION("""COMPUTED_VALUE"""),"x1000")</f>
        <v>x1000</v>
      </c>
      <c r="N51" s="5" t="str">
        <f>IFERROR(__xludf.DUMMYFUNCTION("""COMPUTED_VALUE"""),"0.40/60")</f>
        <v>0.40/60</v>
      </c>
      <c r="O51" s="5" t="str">
        <f>IFERROR(__xludf.DUMMYFUNCTION("""COMPUTED_VALUE"""),"No")</f>
        <v>No</v>
      </c>
      <c r="P51" s="5" t="str">
        <f>IFERROR(__xludf.DUMMYFUNCTION("""COMPUTED_VALUE"""),"Scatter, Wild Symbol")</f>
        <v>Scatter, Wild Symbol</v>
      </c>
      <c r="Q51" s="7" t="str">
        <f>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R51" s="5" t="str">
        <f>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S5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1" s="5" t="str">
        <f>IFERROR(__xludf.DUMMYFUNCTION("""COMPUTED_VALUE"""),"Yes")</f>
        <v>Yes</v>
      </c>
      <c r="U51" s="5" t="str">
        <f>IFERROR(__xludf.DUMMYFUNCTION("""COMPUTED_VALUE"""),"Yes")</f>
        <v>Yes</v>
      </c>
      <c r="V51" s="5" t="str">
        <f>IFERROR(__xludf.DUMMYFUNCTION("""COMPUTED_VALUE"""),"Yes")</f>
        <v>Yes</v>
      </c>
      <c r="W51" s="5" t="str">
        <f>IFERROR(__xludf.DUMMYFUNCTION("""COMPUTED_VALUE"""),"Yes")</f>
        <v>Yes</v>
      </c>
      <c r="X51" s="5" t="str">
        <f>IFERROR(__xludf.DUMMYFUNCTION("""COMPUTED_VALUE"""),"Yes")</f>
        <v>Yes</v>
      </c>
      <c r="Y51" s="5" t="str">
        <f>IFERROR(__xludf.DUMMYFUNCTION("""COMPUTED_VALUE"""),"Yes")</f>
        <v>Yes</v>
      </c>
      <c r="Z51" s="5" t="str">
        <f>IFERROR(__xludf.DUMMYFUNCTION("""COMPUTED_VALUE"""),"Yes")</f>
        <v>Yes</v>
      </c>
      <c r="AA51" s="5" t="str">
        <f>IFERROR(__xludf.DUMMYFUNCTION("""COMPUTED_VALUE"""),"Yes")</f>
        <v>Yes</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IFERROR(__xludf.DUMMYFUNCTION("""COMPUTED_VALUE"""),"Yes")</f>
        <v>Yes</v>
      </c>
      <c r="AH51" s="5" t="str">
        <f>IFERROR(__xludf.DUMMYFUNCTION("""COMPUTED_VALUE"""),"Yes")</f>
        <v>Yes</v>
      </c>
      <c r="AI51" s="5"/>
      <c r="AJ51" s="5"/>
      <c r="AK51" s="5"/>
      <c r="AL51" s="5"/>
      <c r="AM51" s="5"/>
      <c r="AN51" s="5"/>
      <c r="AO51" s="5"/>
      <c r="AP51" s="5"/>
      <c r="AQ51" s="5"/>
      <c r="AR51" s="5"/>
      <c r="AS51" s="5" t="str">
        <f>IFERROR(__xludf.DUMMYFUNCTION("""COMPUTED_VALUE"""),"Yes")</f>
        <v>Yes</v>
      </c>
      <c r="AT51" s="5"/>
      <c r="AU51" s="5"/>
      <c r="AV51" s="5" t="str">
        <f>IFERROR(__xludf.DUMMYFUNCTION("""COMPUTED_VALUE"""),"")</f>
        <v/>
      </c>
    </row>
    <row r="52">
      <c r="A52" s="5" t="str">
        <f>IFERROR(__xludf.DUMMYFUNCTION("""COMPUTED_VALUE"""),"Playnet")</f>
        <v>Playnet</v>
      </c>
      <c r="B52" s="5" t="str">
        <f>IFERROR(__xludf.DUMMYFUNCTION("""COMPUTED_VALUE"""),"Dark Temptress 100")</f>
        <v>Dark Temptress 100</v>
      </c>
      <c r="C52" s="5" t="str">
        <f>IFERROR(__xludf.DUMMYFUNCTION("""COMPUTED_VALUE"""),"PlayNetDarkTemptress100")</f>
        <v>PlayNetDarkTemptress100</v>
      </c>
      <c r="D52" s="6">
        <f>IFERROR(__xludf.DUMMYFUNCTION("""COMPUTED_VALUE"""),46196.0)</f>
        <v>46196</v>
      </c>
      <c r="E52" s="5" t="str">
        <f>IFERROR(__xludf.DUMMYFUNCTION("""COMPUTED_VALUE"""),"Slot")</f>
        <v>Slot</v>
      </c>
      <c r="F52" s="5">
        <f>IFERROR(__xludf.DUMMYFUNCTION("""COMPUTED_VALUE"""),15.0)</f>
        <v>15</v>
      </c>
      <c r="G52" s="5" t="str">
        <f>IFERROR(__xludf.DUMMYFUNCTION("""COMPUTED_VALUE"""),"5x4")</f>
        <v>5x4</v>
      </c>
      <c r="H52" s="5">
        <f>IFERROR(__xludf.DUMMYFUNCTION("""COMPUTED_VALUE"""),100.0)</f>
        <v>100</v>
      </c>
      <c r="I52" s="5">
        <f>IFERROR(__xludf.DUMMYFUNCTION("""COMPUTED_VALUE"""),100.0)</f>
        <v>100</v>
      </c>
      <c r="J52" s="5" t="str">
        <f>IFERROR(__xludf.DUMMYFUNCTION("""COMPUTED_VALUE"""),"96.502%")</f>
        <v>96.502%</v>
      </c>
      <c r="K52" s="5" t="str">
        <f>IFERROR(__xludf.DUMMYFUNCTION("""COMPUTED_VALUE"""),"Medium")</f>
        <v>Medium</v>
      </c>
      <c r="L52" s="5" t="str">
        <f>IFERROR(__xludf.DUMMYFUNCTION("""COMPUTED_VALUE"""),"13.309%")</f>
        <v>13.309%</v>
      </c>
      <c r="M52" s="5" t="str">
        <f>IFERROR(__xludf.DUMMYFUNCTION("""COMPUTED_VALUE"""),"x3000")</f>
        <v>x3000</v>
      </c>
      <c r="N52" s="5" t="str">
        <f>IFERROR(__xludf.DUMMYFUNCTION("""COMPUTED_VALUE"""),"1/100")</f>
        <v>1/100</v>
      </c>
      <c r="O52" s="5" t="str">
        <f>IFERROR(__xludf.DUMMYFUNCTION("""COMPUTED_VALUE"""),"No")</f>
        <v>No</v>
      </c>
      <c r="P52" s="5" t="str">
        <f>IFERROR(__xludf.DUMMYFUNCTION("""COMPUTED_VALUE"""),"Scatter, Expanding Wild")</f>
        <v>Scatter, Expanding Wild</v>
      </c>
      <c r="Q52" s="7" t="str">
        <f>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R52" s="5" t="str">
        <f>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S5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2" s="5" t="str">
        <f>IFERROR(__xludf.DUMMYFUNCTION("""COMPUTED_VALUE"""),"Yes")</f>
        <v>Yes</v>
      </c>
      <c r="U52" s="5" t="str">
        <f>IFERROR(__xludf.DUMMYFUNCTION("""COMPUTED_VALUE"""),"Yes")</f>
        <v>Yes</v>
      </c>
      <c r="V52" s="5" t="str">
        <f>IFERROR(__xludf.DUMMYFUNCTION("""COMPUTED_VALUE"""),"Yes")</f>
        <v>Yes</v>
      </c>
      <c r="W52" s="5" t="str">
        <f>IFERROR(__xludf.DUMMYFUNCTION("""COMPUTED_VALUE"""),"Yes")</f>
        <v>Yes</v>
      </c>
      <c r="X52" s="5" t="str">
        <f>IFERROR(__xludf.DUMMYFUNCTION("""COMPUTED_VALUE"""),"Yes")</f>
        <v>Yes</v>
      </c>
      <c r="Y52" s="5" t="str">
        <f>IFERROR(__xludf.DUMMYFUNCTION("""COMPUTED_VALUE"""),"Yes")</f>
        <v>Yes</v>
      </c>
      <c r="Z52" s="5" t="str">
        <f>IFERROR(__xludf.DUMMYFUNCTION("""COMPUTED_VALUE"""),"Yes")</f>
        <v>Yes</v>
      </c>
      <c r="AA52" s="5" t="str">
        <f>IFERROR(__xludf.DUMMYFUNCTION("""COMPUTED_VALUE"""),"Yes")</f>
        <v>Yes</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IFERROR(__xludf.DUMMYFUNCTION("""COMPUTED_VALUE"""),"Yes")</f>
        <v>Yes</v>
      </c>
      <c r="AH52" s="5" t="str">
        <f>IFERROR(__xludf.DUMMYFUNCTION("""COMPUTED_VALUE"""),"Yes")</f>
        <v>Yes</v>
      </c>
      <c r="AI52" s="5"/>
      <c r="AJ52" s="5"/>
      <c r="AK52" s="5"/>
      <c r="AL52" s="5"/>
      <c r="AM52" s="5"/>
      <c r="AN52" s="5"/>
      <c r="AO52" s="5"/>
      <c r="AP52" s="5"/>
      <c r="AQ52" s="5"/>
      <c r="AR52" s="5"/>
      <c r="AS52" s="5" t="str">
        <f>IFERROR(__xludf.DUMMYFUNCTION("""COMPUTED_VALUE"""),"Yes")</f>
        <v>Yes</v>
      </c>
      <c r="AT52" s="5"/>
      <c r="AU52" s="5"/>
      <c r="AV52" s="5" t="str">
        <f>IFERROR(__xludf.DUMMYFUNCTION("""COMPUTED_VALUE"""),"")</f>
        <v/>
      </c>
    </row>
    <row r="53">
      <c r="A53" s="5" t="str">
        <f>IFERROR(__xludf.DUMMYFUNCTION("""COMPUTED_VALUE"""),"Playnet")</f>
        <v>Playnet</v>
      </c>
      <c r="B53" s="5" t="str">
        <f>IFERROR(__xludf.DUMMYFUNCTION("""COMPUTED_VALUE"""),"Barkin' Riches")</f>
        <v>Barkin' Riches</v>
      </c>
      <c r="C53" s="5" t="str">
        <f>IFERROR(__xludf.DUMMYFUNCTION("""COMPUTED_VALUE"""),"PlayNetBarkinRiches")</f>
        <v>PlayNetBarkinRiches</v>
      </c>
      <c r="D53" s="6">
        <f>IFERROR(__xludf.DUMMYFUNCTION("""COMPUTED_VALUE"""),46202.0)</f>
        <v>46202</v>
      </c>
      <c r="E53" s="5" t="str">
        <f>IFERROR(__xludf.DUMMYFUNCTION("""COMPUTED_VALUE"""),"Slot")</f>
        <v>Slot</v>
      </c>
      <c r="F53" s="5">
        <f>IFERROR(__xludf.DUMMYFUNCTION("""COMPUTED_VALUE"""),13.0)</f>
        <v>13</v>
      </c>
      <c r="G53" s="5" t="str">
        <f>IFERROR(__xludf.DUMMYFUNCTION("""COMPUTED_VALUE"""),"5x4")</f>
        <v>5x4</v>
      </c>
      <c r="H53" s="5">
        <f>IFERROR(__xludf.DUMMYFUNCTION("""COMPUTED_VALUE"""),40.0)</f>
        <v>40</v>
      </c>
      <c r="I53" s="5">
        <f>IFERROR(__xludf.DUMMYFUNCTION("""COMPUTED_VALUE"""),40.0)</f>
        <v>40</v>
      </c>
      <c r="J53" s="5" t="str">
        <f>IFERROR(__xludf.DUMMYFUNCTION("""COMPUTED_VALUE"""),"96.584%")</f>
        <v>96.584%</v>
      </c>
      <c r="K53" s="5" t="str">
        <f>IFERROR(__xludf.DUMMYFUNCTION("""COMPUTED_VALUE"""),"Low")</f>
        <v>Low</v>
      </c>
      <c r="L53" s="5" t="str">
        <f>IFERROR(__xludf.DUMMYFUNCTION("""COMPUTED_VALUE"""),"16.725%")</f>
        <v>16.725%</v>
      </c>
      <c r="M53" s="5" t="str">
        <f>IFERROR(__xludf.DUMMYFUNCTION("""COMPUTED_VALUE"""),"x1000")</f>
        <v>x1000</v>
      </c>
      <c r="N53" s="5" t="str">
        <f>IFERROR(__xludf.DUMMYFUNCTION("""COMPUTED_VALUE"""),"0.4/60")</f>
        <v>0.4/60</v>
      </c>
      <c r="O53" s="5" t="str">
        <f>IFERROR(__xludf.DUMMYFUNCTION("""COMPUTED_VALUE"""),"No")</f>
        <v>No</v>
      </c>
      <c r="P53" s="5" t="str">
        <f>IFERROR(__xludf.DUMMYFUNCTION("""COMPUTED_VALUE"""),"Scatter, Wild Symbol")</f>
        <v>Scatter, Wild Symbol</v>
      </c>
      <c r="Q53" s="7" t="str">
        <f>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R53" s="5" t="str">
        <f>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S5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IFERROR(__xludf.DUMMYFUNCTION("""COMPUTED_VALUE"""),"Yes")</f>
        <v>Yes</v>
      </c>
      <c r="AH53" s="5" t="str">
        <f>IFERROR(__xludf.DUMMYFUNCTION("""COMPUTED_VALUE"""),"Yes")</f>
        <v>Yes</v>
      </c>
      <c r="AI53" s="5"/>
      <c r="AJ53" s="5"/>
      <c r="AK53" s="5"/>
      <c r="AL53" s="5"/>
      <c r="AM53" s="5"/>
      <c r="AN53" s="5"/>
      <c r="AO53" s="5"/>
      <c r="AP53" s="5"/>
      <c r="AQ53" s="5"/>
      <c r="AR53" s="5"/>
      <c r="AS53" s="5" t="str">
        <f>IFERROR(__xludf.DUMMYFUNCTION("""COMPUTED_VALUE"""),"Yes")</f>
        <v>Yes</v>
      </c>
      <c r="AT53" s="5"/>
      <c r="AU53" s="5"/>
      <c r="AV53" s="5" t="str">
        <f>IFERROR(__xludf.DUMMYFUNCTION("""COMPUTED_VALUE"""),"")</f>
        <v/>
      </c>
    </row>
    <row r="54">
      <c r="A54" s="5" t="str">
        <f>IFERROR(__xludf.DUMMYFUNCTION("""COMPUTED_VALUE"""),"Playnet")</f>
        <v>Playnet</v>
      </c>
      <c r="B54" s="5" t="str">
        <f>IFERROR(__xludf.DUMMYFUNCTION("""COMPUTED_VALUE"""),"Joker's Crown x2")</f>
        <v>Joker's Crown x2</v>
      </c>
      <c r="C54" s="5" t="str">
        <f>IFERROR(__xludf.DUMMYFUNCTION("""COMPUTED_VALUE"""),"PlayNetJokersCrownX2")</f>
        <v>PlayNetJokersCrownX2</v>
      </c>
      <c r="D54" s="6">
        <f>IFERROR(__xludf.DUMMYFUNCTION("""COMPUTED_VALUE"""),46210.0)</f>
        <v>46210</v>
      </c>
      <c r="E54" s="5" t="str">
        <f>IFERROR(__xludf.DUMMYFUNCTION("""COMPUTED_VALUE"""),"Slot")</f>
        <v>Slot</v>
      </c>
      <c r="F54" s="5">
        <f>IFERROR(__xludf.DUMMYFUNCTION("""COMPUTED_VALUE"""),15.0)</f>
        <v>15</v>
      </c>
      <c r="G54" s="5" t="str">
        <f>IFERROR(__xludf.DUMMYFUNCTION("""COMPUTED_VALUE"""),"5x3")</f>
        <v>5x3</v>
      </c>
      <c r="H54" s="5">
        <f>IFERROR(__xludf.DUMMYFUNCTION("""COMPUTED_VALUE"""),5.0)</f>
        <v>5</v>
      </c>
      <c r="I54" s="5">
        <f>IFERROR(__xludf.DUMMYFUNCTION("""COMPUTED_VALUE"""),5.0)</f>
        <v>5</v>
      </c>
      <c r="J54" s="5" t="str">
        <f>IFERROR(__xludf.DUMMYFUNCTION("""COMPUTED_VALUE"""),"96.453%")</f>
        <v>96.453%</v>
      </c>
      <c r="K54" s="5" t="str">
        <f>IFERROR(__xludf.DUMMYFUNCTION("""COMPUTED_VALUE"""),"Medium")</f>
        <v>Medium</v>
      </c>
      <c r="L54" s="5" t="str">
        <f>IFERROR(__xludf.DUMMYFUNCTION("""COMPUTED_VALUE"""),"14.234%")</f>
        <v>14.234%</v>
      </c>
      <c r="M54" s="5" t="str">
        <f>IFERROR(__xludf.DUMMYFUNCTION("""COMPUTED_VALUE"""),"x2642")</f>
        <v>x2642</v>
      </c>
      <c r="N54" s="5" t="str">
        <f>IFERROR(__xludf.DUMMYFUNCTION("""COMPUTED_VALUE"""),"0.05/30")</f>
        <v>0.05/30</v>
      </c>
      <c r="O54" s="5" t="str">
        <f>IFERROR(__xludf.DUMMYFUNCTION("""COMPUTED_VALUE"""),"No")</f>
        <v>No</v>
      </c>
      <c r="P54" s="5" t="str">
        <f>IFERROR(__xludf.DUMMYFUNCTION("""COMPUTED_VALUE"""),"Scatter, Expanding Wild, Wild Multiplier")</f>
        <v>Scatter, Expanding Wild, Wild Multiplier</v>
      </c>
      <c r="Q54" s="7" t="str">
        <f>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R54" s="5" t="str">
        <f>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S5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4" s="5" t="str">
        <f>IFERROR(__xludf.DUMMYFUNCTION("""COMPUTED_VALUE"""),"Yes")</f>
        <v>Yes</v>
      </c>
      <c r="U54" s="5" t="str">
        <f>IFERROR(__xludf.DUMMYFUNCTION("""COMPUTED_VALUE"""),"Yes")</f>
        <v>Yes</v>
      </c>
      <c r="V54" s="5" t="str">
        <f>IFERROR(__xludf.DUMMYFUNCTION("""COMPUTED_VALUE"""),"No")</f>
        <v>No</v>
      </c>
      <c r="W54" s="5" t="str">
        <f>IFERROR(__xludf.DUMMYFUNCTION("""COMPUTED_VALUE"""),"Yes")</f>
        <v>Yes</v>
      </c>
      <c r="X54" s="5" t="str">
        <f>IFERROR(__xludf.DUMMYFUNCTION("""COMPUTED_VALUE"""),"Yes")</f>
        <v>Yes</v>
      </c>
      <c r="Y54" s="5" t="str">
        <f>IFERROR(__xludf.DUMMYFUNCTION("""COMPUTED_VALUE"""),"Yes")</f>
        <v>Yes</v>
      </c>
      <c r="Z54" s="5" t="str">
        <f>IFERROR(__xludf.DUMMYFUNCTION("""COMPUTED_VALUE"""),"Yes")</f>
        <v>Yes</v>
      </c>
      <c r="AA54" s="5" t="str">
        <f>IFERROR(__xludf.DUMMYFUNCTION("""COMPUTED_VALUE"""),"Yes")</f>
        <v>Yes</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IFERROR(__xludf.DUMMYFUNCTION("""COMPUTED_VALUE"""),"Yes")</f>
        <v>Yes</v>
      </c>
      <c r="AH54" s="5" t="str">
        <f>IFERROR(__xludf.DUMMYFUNCTION("""COMPUTED_VALUE"""),"Yes")</f>
        <v>Yes</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t="str">
        <f>IFERROR(__xludf.DUMMYFUNCTION("""COMPUTED_VALUE"""),"No")</f>
        <v>No</v>
      </c>
      <c r="AN54" s="5" t="str">
        <f>IFERROR(__xludf.DUMMYFUNCTION("""COMPUTED_VALUE"""),"No")</f>
        <v>No</v>
      </c>
      <c r="AO54" s="5" t="str">
        <f>IFERROR(__xludf.DUMMYFUNCTION("""COMPUTED_VALUE"""),"No")</f>
        <v>No</v>
      </c>
      <c r="AP54" s="5" t="str">
        <f>IFERROR(__xludf.DUMMYFUNCTION("""COMPUTED_VALUE"""),"No")</f>
        <v>No</v>
      </c>
      <c r="AQ54" s="5" t="str">
        <f>IFERROR(__xludf.DUMMYFUNCTION("""COMPUTED_VALUE"""),"No")</f>
        <v>No</v>
      </c>
      <c r="AR54" s="5" t="str">
        <f>IFERROR(__xludf.DUMMYFUNCTION("""COMPUTED_VALUE"""),"No")</f>
        <v>No</v>
      </c>
      <c r="AS54" s="5" t="str">
        <f>IFERROR(__xludf.DUMMYFUNCTION("""COMPUTED_VALUE"""),"Yes")</f>
        <v>Yes</v>
      </c>
      <c r="AT54" s="5" t="str">
        <f>IFERROR(__xludf.DUMMYFUNCTION("""COMPUTED_VALUE"""),"No")</f>
        <v>No</v>
      </c>
      <c r="AU54" s="5"/>
      <c r="AV54" s="5" t="str">
        <f>IFERROR(__xludf.DUMMYFUNCTION("""COMPUTED_VALUE"""),"")</f>
        <v/>
      </c>
    </row>
    <row r="55">
      <c r="A55" s="5" t="str">
        <f>IFERROR(__xludf.DUMMYFUNCTION("""COMPUTED_VALUE"""),"Playnet")</f>
        <v>Playnet</v>
      </c>
      <c r="B55" s="5" t="str">
        <f>IFERROR(__xludf.DUMMYFUNCTION("""COMPUTED_VALUE"""),"Roxy: Undercover")</f>
        <v>Roxy: Undercover</v>
      </c>
      <c r="C55" s="5" t="str">
        <f>IFERROR(__xludf.DUMMYFUNCTION("""COMPUTED_VALUE"""),"PlayNetRoxyUndercover")</f>
        <v>PlayNetRoxyUndercover</v>
      </c>
      <c r="D55" s="6">
        <f>IFERROR(__xludf.DUMMYFUNCTION("""COMPUTED_VALUE"""),46216.0)</f>
        <v>46216</v>
      </c>
      <c r="E55" s="5" t="str">
        <f>IFERROR(__xludf.DUMMYFUNCTION("""COMPUTED_VALUE"""),"Slot")</f>
        <v>Slot</v>
      </c>
      <c r="F55" s="5">
        <f>IFERROR(__xludf.DUMMYFUNCTION("""COMPUTED_VALUE"""),15.0)</f>
        <v>15</v>
      </c>
      <c r="G55" s="5" t="str">
        <f>IFERROR(__xludf.DUMMYFUNCTION("""COMPUTED_VALUE"""),"5x4")</f>
        <v>5x4</v>
      </c>
      <c r="H55" s="5">
        <f>IFERROR(__xludf.DUMMYFUNCTION("""COMPUTED_VALUE"""),40.0)</f>
        <v>40</v>
      </c>
      <c r="I55" s="5">
        <f>IFERROR(__xludf.DUMMYFUNCTION("""COMPUTED_VALUE"""),40.0)</f>
        <v>40</v>
      </c>
      <c r="J55" s="5" t="str">
        <f>IFERROR(__xludf.DUMMYFUNCTION("""COMPUTED_VALUE"""),"95.479%")</f>
        <v>95.479%</v>
      </c>
      <c r="K55" s="5" t="str">
        <f>IFERROR(__xludf.DUMMYFUNCTION("""COMPUTED_VALUE"""),"Medium")</f>
        <v>Medium</v>
      </c>
      <c r="L55" s="5" t="str">
        <f>IFERROR(__xludf.DUMMYFUNCTION("""COMPUTED_VALUE"""),"14.804%")</f>
        <v>14.804%</v>
      </c>
      <c r="M55" s="5" t="str">
        <f>IFERROR(__xludf.DUMMYFUNCTION("""COMPUTED_VALUE"""),"x1000")</f>
        <v>x1000</v>
      </c>
      <c r="N55" s="5" t="str">
        <f>IFERROR(__xludf.DUMMYFUNCTION("""COMPUTED_VALUE"""),"0.4/60")</f>
        <v>0.4/60</v>
      </c>
      <c r="O55" s="5" t="str">
        <f>IFERROR(__xludf.DUMMYFUNCTION("""COMPUTED_VALUE"""),"No")</f>
        <v>No</v>
      </c>
      <c r="P55" s="5" t="str">
        <f>IFERROR(__xludf.DUMMYFUNCTION("""COMPUTED_VALUE"""),"Scatter, Wild Symbol")</f>
        <v>Scatter, Wild Symbol</v>
      </c>
      <c r="Q55" s="7" t="str">
        <f>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R55" s="5" t="str">
        <f>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S5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IFERROR(__xludf.DUMMYFUNCTION("""COMPUTED_VALUE"""),"Yes")</f>
        <v>Yes</v>
      </c>
      <c r="AH55" s="5" t="str">
        <f>IFERROR(__xludf.DUMMYFUNCTION("""COMPUTED_VALUE"""),"Yes")</f>
        <v>Yes</v>
      </c>
      <c r="AI55" s="5"/>
      <c r="AJ55" s="5"/>
      <c r="AK55" s="5"/>
      <c r="AL55" s="5"/>
      <c r="AM55" s="5"/>
      <c r="AN55" s="5"/>
      <c r="AO55" s="5"/>
      <c r="AP55" s="5"/>
      <c r="AQ55" s="5"/>
      <c r="AR55" s="5"/>
      <c r="AS55" s="5" t="str">
        <f>IFERROR(__xludf.DUMMYFUNCTION("""COMPUTED_VALUE"""),"Yes")</f>
        <v>Yes</v>
      </c>
      <c r="AT55" s="5"/>
      <c r="AU55" s="5"/>
      <c r="AV55" s="5" t="str">
        <f>IFERROR(__xludf.DUMMYFUNCTION("""COMPUTED_VALUE"""),"")</f>
        <v/>
      </c>
    </row>
    <row r="56">
      <c r="A56" s="5" t="str">
        <f>IFERROR(__xludf.DUMMYFUNCTION("""COMPUTED_VALUE"""),"Playnet")</f>
        <v>Playnet</v>
      </c>
      <c r="B56" s="5" t="str">
        <f>IFERROR(__xludf.DUMMYFUNCTION("""COMPUTED_VALUE"""),"Heart Gem 100")</f>
        <v>Heart Gem 100</v>
      </c>
      <c r="C56" s="5" t="str">
        <f>IFERROR(__xludf.DUMMYFUNCTION("""COMPUTED_VALUE"""),"PlayNetHeartGem100")</f>
        <v>PlayNetHeartGem100</v>
      </c>
      <c r="D56" s="6">
        <f>IFERROR(__xludf.DUMMYFUNCTION("""COMPUTED_VALUE"""),46223.0)</f>
        <v>46223</v>
      </c>
      <c r="E56" s="5" t="str">
        <f>IFERROR(__xludf.DUMMYFUNCTION("""COMPUTED_VALUE"""),"Slot")</f>
        <v>Slot</v>
      </c>
      <c r="F56" s="5">
        <f>IFERROR(__xludf.DUMMYFUNCTION("""COMPUTED_VALUE"""),15.0)</f>
        <v>15</v>
      </c>
      <c r="G56" s="5" t="str">
        <f>IFERROR(__xludf.DUMMYFUNCTION("""COMPUTED_VALUE"""),"5x4")</f>
        <v>5x4</v>
      </c>
      <c r="H56" s="5">
        <f>IFERROR(__xludf.DUMMYFUNCTION("""COMPUTED_VALUE"""),100.0)</f>
        <v>100</v>
      </c>
      <c r="I56" s="5">
        <f>IFERROR(__xludf.DUMMYFUNCTION("""COMPUTED_VALUE"""),100.0)</f>
        <v>100</v>
      </c>
      <c r="J56" s="5" t="str">
        <f>IFERROR(__xludf.DUMMYFUNCTION("""COMPUTED_VALUE"""),"96.502%")</f>
        <v>96.502%</v>
      </c>
      <c r="K56" s="5" t="str">
        <f>IFERROR(__xludf.DUMMYFUNCTION("""COMPUTED_VALUE"""),"Medium")</f>
        <v>Medium</v>
      </c>
      <c r="L56" s="5" t="str">
        <f>IFERROR(__xludf.DUMMYFUNCTION("""COMPUTED_VALUE"""),"13.309%")</f>
        <v>13.309%</v>
      </c>
      <c r="M56" s="5" t="str">
        <f>IFERROR(__xludf.DUMMYFUNCTION("""COMPUTED_VALUE"""),"x3000")</f>
        <v>x3000</v>
      </c>
      <c r="N56" s="5" t="str">
        <f>IFERROR(__xludf.DUMMYFUNCTION("""COMPUTED_VALUE"""),"1/100")</f>
        <v>1/100</v>
      </c>
      <c r="O56" s="5" t="str">
        <f>IFERROR(__xludf.DUMMYFUNCTION("""COMPUTED_VALUE"""),"No")</f>
        <v>No</v>
      </c>
      <c r="P56" s="5" t="str">
        <f>IFERROR(__xludf.DUMMYFUNCTION("""COMPUTED_VALUE"""),"Scatter, Expanding Wild")</f>
        <v>Scatter, Expanding Wild</v>
      </c>
      <c r="Q56" s="7" t="str">
        <f>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R56" s="5" t="str">
        <f>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S5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c r="AJ56" s="5"/>
      <c r="AK56" s="5"/>
      <c r="AL56" s="5"/>
      <c r="AM56" s="5"/>
      <c r="AN56" s="5"/>
      <c r="AO56" s="5"/>
      <c r="AP56" s="5"/>
      <c r="AQ56" s="5"/>
      <c r="AR56" s="5"/>
      <c r="AS56" s="5" t="str">
        <f>IFERROR(__xludf.DUMMYFUNCTION("""COMPUTED_VALUE"""),"Yes")</f>
        <v>Yes</v>
      </c>
      <c r="AT56" s="5"/>
      <c r="AU56" s="5"/>
      <c r="AV56" s="5" t="str">
        <f>IFERROR(__xludf.DUMMYFUNCTION("""COMPUTED_VALUE"""),"")</f>
        <v/>
      </c>
    </row>
    <row r="57">
      <c r="A57" s="5" t="str">
        <f>IFERROR(__xludf.DUMMYFUNCTION("""COMPUTED_VALUE"""),"Playnet")</f>
        <v>Playnet</v>
      </c>
      <c r="B57" s="5" t="str">
        <f>IFERROR(__xludf.DUMMYFUNCTION("""COMPUTED_VALUE"""),"Crown Treasure 10")</f>
        <v>Crown Treasure 10</v>
      </c>
      <c r="C57" s="5" t="str">
        <f>IFERROR(__xludf.DUMMYFUNCTION("""COMPUTED_VALUE"""),"PlayNetCrownTreasure10")</f>
        <v>PlayNetCrownTreasure10</v>
      </c>
      <c r="D57" s="6">
        <f>IFERROR(__xludf.DUMMYFUNCTION("""COMPUTED_VALUE"""),46230.0)</f>
        <v>46230</v>
      </c>
      <c r="E57" s="5" t="str">
        <f>IFERROR(__xludf.DUMMYFUNCTION("""COMPUTED_VALUE"""),"Slot")</f>
        <v>Slot</v>
      </c>
      <c r="F57" s="5">
        <f>IFERROR(__xludf.DUMMYFUNCTION("""COMPUTED_VALUE"""),15.0)</f>
        <v>15</v>
      </c>
      <c r="G57" s="5" t="str">
        <f>IFERROR(__xludf.DUMMYFUNCTION("""COMPUTED_VALUE"""),"5x3")</f>
        <v>5x3</v>
      </c>
      <c r="H57" s="5">
        <f>IFERROR(__xludf.DUMMYFUNCTION("""COMPUTED_VALUE"""),10.0)</f>
        <v>10</v>
      </c>
      <c r="I57" s="5">
        <f>IFERROR(__xludf.DUMMYFUNCTION("""COMPUTED_VALUE"""),10.0)</f>
        <v>10</v>
      </c>
      <c r="J57" s="5" t="str">
        <f>IFERROR(__xludf.DUMMYFUNCTION("""COMPUTED_VALUE"""),"95.962%")</f>
        <v>95.962%</v>
      </c>
      <c r="K57" s="5" t="str">
        <f>IFERROR(__xludf.DUMMYFUNCTION("""COMPUTED_VALUE"""),"Medium")</f>
        <v>Medium</v>
      </c>
      <c r="L57" s="5" t="str">
        <f>IFERROR(__xludf.DUMMYFUNCTION("""COMPUTED_VALUE"""),"14.634%")</f>
        <v>14.634%</v>
      </c>
      <c r="M57" s="5" t="str">
        <f>IFERROR(__xludf.DUMMYFUNCTION("""COMPUTED_VALUE"""),"x1538")</f>
        <v>x1538</v>
      </c>
      <c r="N57" s="5" t="str">
        <f>IFERROR(__xludf.DUMMYFUNCTION("""COMPUTED_VALUE"""),"0.1/40")</f>
        <v>0.1/40</v>
      </c>
      <c r="O57" s="5" t="str">
        <f>IFERROR(__xludf.DUMMYFUNCTION("""COMPUTED_VALUE"""),"No")</f>
        <v>No</v>
      </c>
      <c r="P57" s="5" t="str">
        <f>IFERROR(__xludf.DUMMYFUNCTION("""COMPUTED_VALUE"""),"Scatter, Expanding Wild")</f>
        <v>Scatter, Expanding Wild</v>
      </c>
      <c r="Q57" s="7" t="str">
        <f>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R57" s="5" t="str">
        <f>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S5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IFERROR(__xludf.DUMMYFUNCTION("""COMPUTED_VALUE"""),"Yes")</f>
        <v>Yes</v>
      </c>
      <c r="AH57" s="5" t="str">
        <f>IFERROR(__xludf.DUMMYFUNCTION("""COMPUTED_VALUE"""),"Yes")</f>
        <v>Yes</v>
      </c>
      <c r="AI57" s="5" t="str">
        <f>IFERROR(__xludf.DUMMYFUNCTION("""COMPUTED_VALUE"""),"No")</f>
        <v>No</v>
      </c>
      <c r="AJ57" s="5" t="str">
        <f>IFERROR(__xludf.DUMMYFUNCTION("""COMPUTED_VALUE"""),"No")</f>
        <v>No</v>
      </c>
      <c r="AK57" s="5" t="str">
        <f>IFERROR(__xludf.DUMMYFUNCTION("""COMPUTED_VALUE"""),"No")</f>
        <v>No</v>
      </c>
      <c r="AL57" s="5" t="str">
        <f>IFERROR(__xludf.DUMMYFUNCTION("""COMPUTED_VALUE"""),"No")</f>
        <v>No</v>
      </c>
      <c r="AM57" s="5" t="str">
        <f>IFERROR(__xludf.DUMMYFUNCTION("""COMPUTED_VALUE"""),"No")</f>
        <v>No</v>
      </c>
      <c r="AN57" s="5" t="str">
        <f>IFERROR(__xludf.DUMMYFUNCTION("""COMPUTED_VALUE"""),"No")</f>
        <v>No</v>
      </c>
      <c r="AO57" s="5" t="str">
        <f>IFERROR(__xludf.DUMMYFUNCTION("""COMPUTED_VALUE"""),"No")</f>
        <v>No</v>
      </c>
      <c r="AP57" s="5" t="str">
        <f>IFERROR(__xludf.DUMMYFUNCTION("""COMPUTED_VALUE"""),"No")</f>
        <v>No</v>
      </c>
      <c r="AQ57" s="5" t="str">
        <f>IFERROR(__xludf.DUMMYFUNCTION("""COMPUTED_VALUE"""),"No")</f>
        <v>No</v>
      </c>
      <c r="AR57" s="5" t="str">
        <f>IFERROR(__xludf.DUMMYFUNCTION("""COMPUTED_VALUE"""),"No")</f>
        <v>No</v>
      </c>
      <c r="AS57" s="5" t="str">
        <f>IFERROR(__xludf.DUMMYFUNCTION("""COMPUTED_VALUE"""),"Yes")</f>
        <v>Yes</v>
      </c>
      <c r="AT57" s="5" t="str">
        <f>IFERROR(__xludf.DUMMYFUNCTION("""COMPUTED_VALUE"""),"No")</f>
        <v>No</v>
      </c>
      <c r="AU57" s="5"/>
      <c r="AV57" s="5" t="str">
        <f>IFERROR(__xludf.DUMMYFUNCTION("""COMPUTED_VALUE"""),"")</f>
        <v/>
      </c>
    </row>
    <row r="58">
      <c r="A58" s="5" t="str">
        <f>IFERROR(__xludf.DUMMYFUNCTION("""COMPUTED_VALUE"""),"Playnet")</f>
        <v>Playnet</v>
      </c>
      <c r="B58" s="5" t="str">
        <f>IFERROR(__xludf.DUMMYFUNCTION("""COMPUTED_VALUE"""),"Tropic Twist Extreme")</f>
        <v>Tropic Twist Extreme</v>
      </c>
      <c r="C58" s="5" t="str">
        <f>IFERROR(__xludf.DUMMYFUNCTION("""COMPUTED_VALUE"""),"PlayNetTropicTwistExtreme")</f>
        <v>PlayNetTropicTwistExtreme</v>
      </c>
      <c r="D58" s="6">
        <f>IFERROR(__xludf.DUMMYFUNCTION("""COMPUTED_VALUE"""),46237.0)</f>
        <v>46237</v>
      </c>
      <c r="E58" s="5" t="str">
        <f>IFERROR(__xludf.DUMMYFUNCTION("""COMPUTED_VALUE"""),"Slot")</f>
        <v>Slot</v>
      </c>
      <c r="F58" s="5">
        <f>IFERROR(__xludf.DUMMYFUNCTION("""COMPUTED_VALUE"""),14.0)</f>
        <v>14</v>
      </c>
      <c r="G58" s="5" t="str">
        <f>IFERROR(__xludf.DUMMYFUNCTION("""COMPUTED_VALUE"""),"3x3")</f>
        <v>3x3</v>
      </c>
      <c r="H58" s="5">
        <f>IFERROR(__xludf.DUMMYFUNCTION("""COMPUTED_VALUE"""),27.0)</f>
        <v>27</v>
      </c>
      <c r="I58" s="5">
        <f>IFERROR(__xludf.DUMMYFUNCTION("""COMPUTED_VALUE"""),27.0)</f>
        <v>27</v>
      </c>
      <c r="J58" s="5" t="str">
        <f>IFERROR(__xludf.DUMMYFUNCTION("""COMPUTED_VALUE"""),"96.516%")</f>
        <v>96.516%</v>
      </c>
      <c r="K58" s="5" t="str">
        <f>IFERROR(__xludf.DUMMYFUNCTION("""COMPUTED_VALUE"""),"High")</f>
        <v>High</v>
      </c>
      <c r="L58" s="5" t="str">
        <f>IFERROR(__xludf.DUMMYFUNCTION("""COMPUTED_VALUE"""),"6.72%")</f>
        <v>6.72%</v>
      </c>
      <c r="M58" s="5" t="str">
        <f>IFERROR(__xludf.DUMMYFUNCTION("""COMPUTED_VALUE"""),"x3240")</f>
        <v>x3240</v>
      </c>
      <c r="N58" s="5" t="str">
        <f>IFERROR(__xludf.DUMMYFUNCTION("""COMPUTED_VALUE"""),"0.1/50")</f>
        <v>0.1/50</v>
      </c>
      <c r="O58" s="5" t="str">
        <f>IFERROR(__xludf.DUMMYFUNCTION("""COMPUTED_VALUE"""),"No")</f>
        <v>No</v>
      </c>
      <c r="P58" s="5" t="str">
        <f>IFERROR(__xludf.DUMMYFUNCTION("""COMPUTED_VALUE"""),"Win Multiplier")</f>
        <v>Win Multiplier</v>
      </c>
      <c r="Q58" s="7" t="str">
        <f>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R58" s="5" t="str">
        <f>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S5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IFERROR(__xludf.DUMMYFUNCTION("""COMPUTED_VALUE"""),"Yes")</f>
        <v>Yes</v>
      </c>
      <c r="U58" s="5" t="str">
        <f>IFERROR(__xludf.DUMMYFUNCTION("""COMPUTED_VALUE"""),"Yes")</f>
        <v>Yes</v>
      </c>
      <c r="V58" s="5" t="str">
        <f>IFERROR(__xludf.DUMMYFUNCTION("""COMPUTED_VALUE"""),"No")</f>
        <v>No</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t="str">
        <f>IFERROR(__xludf.DUMMYFUNCTION("""COMPUTED_VALUE"""),"No")</f>
        <v>No</v>
      </c>
      <c r="AN58" s="5" t="str">
        <f>IFERROR(__xludf.DUMMYFUNCTION("""COMPUTED_VALUE"""),"No")</f>
        <v>No</v>
      </c>
      <c r="AO58" s="5" t="str">
        <f>IFERROR(__xludf.DUMMYFUNCTION("""COMPUTED_VALUE"""),"No")</f>
        <v>No</v>
      </c>
      <c r="AP58" s="5" t="str">
        <f>IFERROR(__xludf.DUMMYFUNCTION("""COMPUTED_VALUE"""),"No")</f>
        <v>No</v>
      </c>
      <c r="AQ58" s="5" t="str">
        <f>IFERROR(__xludf.DUMMYFUNCTION("""COMPUTED_VALUE"""),"No")</f>
        <v>No</v>
      </c>
      <c r="AR58" s="5" t="str">
        <f>IFERROR(__xludf.DUMMYFUNCTION("""COMPUTED_VALUE"""),"No")</f>
        <v>No</v>
      </c>
      <c r="AS58" s="5" t="str">
        <f>IFERROR(__xludf.DUMMYFUNCTION("""COMPUTED_VALUE"""),"Yes")</f>
        <v>Yes</v>
      </c>
      <c r="AT58" s="5" t="str">
        <f>IFERROR(__xludf.DUMMYFUNCTION("""COMPUTED_VALUE"""),"No")</f>
        <v>No</v>
      </c>
      <c r="AU58" s="5"/>
      <c r="AV58" s="5" t="str">
        <f>IFERROR(__xludf.DUMMYFUNCTION("""COMPUTED_VALUE"""),"")</f>
        <v/>
      </c>
    </row>
    <row r="59">
      <c r="A59" s="5" t="str">
        <f>IFERROR(__xludf.DUMMYFUNCTION("""COMPUTED_VALUE"""),"Playnet")</f>
        <v>Playnet</v>
      </c>
      <c r="B59" s="5" t="str">
        <f>IFERROR(__xludf.DUMMYFUNCTION("""COMPUTED_VALUE"""),"Clover Wealth 5")</f>
        <v>Clover Wealth 5</v>
      </c>
      <c r="C59" s="5" t="str">
        <f>IFERROR(__xludf.DUMMYFUNCTION("""COMPUTED_VALUE"""),"PlayNetCloverWealth5")</f>
        <v>PlayNetCloverWealth5</v>
      </c>
      <c r="D59" s="6">
        <f>IFERROR(__xludf.DUMMYFUNCTION("""COMPUTED_VALUE"""),46247.0)</f>
        <v>46247</v>
      </c>
      <c r="E59" s="5" t="str">
        <f>IFERROR(__xludf.DUMMYFUNCTION("""COMPUTED_VALUE"""),"Slot")</f>
        <v>Slot</v>
      </c>
      <c r="F59" s="5">
        <f>IFERROR(__xludf.DUMMYFUNCTION("""COMPUTED_VALUE"""),15.0)</f>
        <v>15</v>
      </c>
      <c r="G59" s="5" t="str">
        <f>IFERROR(__xludf.DUMMYFUNCTION("""COMPUTED_VALUE"""),"5x3")</f>
        <v>5x3</v>
      </c>
      <c r="H59" s="5">
        <f>IFERROR(__xludf.DUMMYFUNCTION("""COMPUTED_VALUE"""),5.0)</f>
        <v>5</v>
      </c>
      <c r="I59" s="5">
        <f>IFERROR(__xludf.DUMMYFUNCTION("""COMPUTED_VALUE"""),5.0)</f>
        <v>5</v>
      </c>
      <c r="J59" s="5" t="str">
        <f>IFERROR(__xludf.DUMMYFUNCTION("""COMPUTED_VALUE"""),"96.447%")</f>
        <v>96.447%</v>
      </c>
      <c r="K59" s="5" t="str">
        <f>IFERROR(__xludf.DUMMYFUNCTION("""COMPUTED_VALUE"""),"Medium")</f>
        <v>Medium</v>
      </c>
      <c r="L59" s="5" t="str">
        <f>IFERROR(__xludf.DUMMYFUNCTION("""COMPUTED_VALUE"""),"14.505%")</f>
        <v>14.505%</v>
      </c>
      <c r="M59" s="5" t="str">
        <f>IFERROR(__xludf.DUMMYFUNCTION("""COMPUTED_VALUE"""),"x1222")</f>
        <v>x1222</v>
      </c>
      <c r="N59" s="5" t="str">
        <f>IFERROR(__xludf.DUMMYFUNCTION("""COMPUTED_VALUE"""),"0.05/30")</f>
        <v>0.05/30</v>
      </c>
      <c r="O59" s="5" t="str">
        <f>IFERROR(__xludf.DUMMYFUNCTION("""COMPUTED_VALUE"""),"No")</f>
        <v>No</v>
      </c>
      <c r="P59" s="5" t="str">
        <f>IFERROR(__xludf.DUMMYFUNCTION("""COMPUTED_VALUE"""),"Expanding Wild, Scatter")</f>
        <v>Expanding Wild, Scatter</v>
      </c>
      <c r="Q59" s="7" t="str">
        <f>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R59" s="5" t="str">
        <f>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S5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9" s="5" t="str">
        <f>IFERROR(__xludf.DUMMYFUNCTION("""COMPUTED_VALUE"""),"Yes")</f>
        <v>Yes</v>
      </c>
      <c r="U59" s="5" t="str">
        <f>IFERROR(__xludf.DUMMYFUNCTION("""COMPUTED_VALUE"""),"Yes")</f>
        <v>Yes</v>
      </c>
      <c r="V59" s="5" t="str">
        <f>IFERROR(__xludf.DUMMYFUNCTION("""COMPUTED_VALUE"""),"No")</f>
        <v>No</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IFERROR(__xludf.DUMMYFUNCTION("""COMPUTED_VALUE"""),"No")</f>
        <v>No</v>
      </c>
      <c r="AJ59" s="5" t="str">
        <f>IFERROR(__xludf.DUMMYFUNCTION("""COMPUTED_VALUE"""),"No")</f>
        <v>No</v>
      </c>
      <c r="AK59" s="5" t="str">
        <f>IFERROR(__xludf.DUMMYFUNCTION("""COMPUTED_VALUE"""),"No")</f>
        <v>No</v>
      </c>
      <c r="AL59" s="5" t="str">
        <f>IFERROR(__xludf.DUMMYFUNCTION("""COMPUTED_VALUE"""),"No")</f>
        <v>No</v>
      </c>
      <c r="AM59" s="5" t="str">
        <f>IFERROR(__xludf.DUMMYFUNCTION("""COMPUTED_VALUE"""),"No")</f>
        <v>No</v>
      </c>
      <c r="AN59" s="5" t="str">
        <f>IFERROR(__xludf.DUMMYFUNCTION("""COMPUTED_VALUE"""),"No")</f>
        <v>No</v>
      </c>
      <c r="AO59" s="5" t="str">
        <f>IFERROR(__xludf.DUMMYFUNCTION("""COMPUTED_VALUE"""),"No")</f>
        <v>No</v>
      </c>
      <c r="AP59" s="5" t="str">
        <f>IFERROR(__xludf.DUMMYFUNCTION("""COMPUTED_VALUE"""),"No")</f>
        <v>No</v>
      </c>
      <c r="AQ59" s="5" t="str">
        <f>IFERROR(__xludf.DUMMYFUNCTION("""COMPUTED_VALUE"""),"No")</f>
        <v>No</v>
      </c>
      <c r="AR59" s="5" t="str">
        <f>IFERROR(__xludf.DUMMYFUNCTION("""COMPUTED_VALUE"""),"No")</f>
        <v>No</v>
      </c>
      <c r="AS59" s="5" t="str">
        <f>IFERROR(__xludf.DUMMYFUNCTION("""COMPUTED_VALUE"""),"Yes")</f>
        <v>Yes</v>
      </c>
      <c r="AT59" s="5" t="str">
        <f>IFERROR(__xludf.DUMMYFUNCTION("""COMPUTED_VALUE"""),"No")</f>
        <v>No</v>
      </c>
      <c r="AU59" s="5"/>
      <c r="AV59" s="5" t="str">
        <f>IFERROR(__xludf.DUMMYFUNCTION("""COMPUTED_VALUE"""),"")</f>
        <v/>
      </c>
    </row>
    <row r="60">
      <c r="A60" s="5" t="str">
        <f>IFERROR(__xludf.DUMMYFUNCTION("""COMPUTED_VALUE"""),"Playnet")</f>
        <v>Playnet</v>
      </c>
      <c r="B60" s="5" t="str">
        <f>IFERROR(__xludf.DUMMYFUNCTION("""COMPUTED_VALUE"""),"27 Lucky Crown")</f>
        <v>27 Lucky Crown</v>
      </c>
      <c r="C60" s="5" t="str">
        <f>IFERROR(__xludf.DUMMYFUNCTION("""COMPUTED_VALUE"""),"PlayNet27LuckyCrown")</f>
        <v>PlayNet27LuckyCrown</v>
      </c>
      <c r="D60" s="6">
        <f>IFERROR(__xludf.DUMMYFUNCTION("""COMPUTED_VALUE"""),46251.0)</f>
        <v>46251</v>
      </c>
      <c r="E60" s="5" t="str">
        <f>IFERROR(__xludf.DUMMYFUNCTION("""COMPUTED_VALUE"""),"Slot")</f>
        <v>Slot</v>
      </c>
      <c r="F60" s="5">
        <f>IFERROR(__xludf.DUMMYFUNCTION("""COMPUTED_VALUE"""),13.0)</f>
        <v>13</v>
      </c>
      <c r="G60" s="5" t="str">
        <f>IFERROR(__xludf.DUMMYFUNCTION("""COMPUTED_VALUE"""),"3x3")</f>
        <v>3x3</v>
      </c>
      <c r="H60" s="5">
        <f>IFERROR(__xludf.DUMMYFUNCTION("""COMPUTED_VALUE"""),27.0)</f>
        <v>27</v>
      </c>
      <c r="I60" s="5">
        <f>IFERROR(__xludf.DUMMYFUNCTION("""COMPUTED_VALUE"""),27.0)</f>
        <v>27</v>
      </c>
      <c r="J60" s="5" t="str">
        <f>IFERROR(__xludf.DUMMYFUNCTION("""COMPUTED_VALUE"""),"96.516%")</f>
        <v>96.516%</v>
      </c>
      <c r="K60" s="5" t="str">
        <f>IFERROR(__xludf.DUMMYFUNCTION("""COMPUTED_VALUE"""),"High")</f>
        <v>High</v>
      </c>
      <c r="L60" s="5" t="str">
        <f>IFERROR(__xludf.DUMMYFUNCTION("""COMPUTED_VALUE"""),"6.72%")</f>
        <v>6.72%</v>
      </c>
      <c r="M60" s="5" t="str">
        <f>IFERROR(__xludf.DUMMYFUNCTION("""COMPUTED_VALUE"""),"x3240")</f>
        <v>x3240</v>
      </c>
      <c r="N60" s="5" t="str">
        <f>IFERROR(__xludf.DUMMYFUNCTION("""COMPUTED_VALUE"""),"0.1/50")</f>
        <v>0.1/50</v>
      </c>
      <c r="O60" s="5" t="str">
        <f>IFERROR(__xludf.DUMMYFUNCTION("""COMPUTED_VALUE"""),"No")</f>
        <v>No</v>
      </c>
      <c r="P60" s="5" t="str">
        <f>IFERROR(__xludf.DUMMYFUNCTION("""COMPUTED_VALUE"""),"Win Multiplier")</f>
        <v>Win Multiplier</v>
      </c>
      <c r="Q60" s="7" t="str">
        <f>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R60" s="5" t="str">
        <f>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S6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0" s="5" t="str">
        <f>IFERROR(__xludf.DUMMYFUNCTION("""COMPUTED_VALUE"""),"Yes")</f>
        <v>Yes</v>
      </c>
      <c r="U60" s="5" t="str">
        <f>IFERROR(__xludf.DUMMYFUNCTION("""COMPUTED_VALUE"""),"Yes")</f>
        <v>Yes</v>
      </c>
      <c r="V60" s="5" t="str">
        <f>IFERROR(__xludf.DUMMYFUNCTION("""COMPUTED_VALUE"""),"No")</f>
        <v>No</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IFERROR(__xludf.DUMMYFUNCTION("""COMPUTED_VALUE"""),"Yes")</f>
        <v>Yes</v>
      </c>
      <c r="AH60" s="5" t="str">
        <f>IFERROR(__xludf.DUMMYFUNCTION("""COMPUTED_VALUE"""),"Yes")</f>
        <v>Yes</v>
      </c>
      <c r="AI60" s="5" t="str">
        <f>IFERROR(__xludf.DUMMYFUNCTION("""COMPUTED_VALUE"""),"No")</f>
        <v>No</v>
      </c>
      <c r="AJ60" s="5" t="str">
        <f>IFERROR(__xludf.DUMMYFUNCTION("""COMPUTED_VALUE"""),"No")</f>
        <v>No</v>
      </c>
      <c r="AK60" s="5" t="str">
        <f>IFERROR(__xludf.DUMMYFUNCTION("""COMPUTED_VALUE"""),"No")</f>
        <v>No</v>
      </c>
      <c r="AL60" s="5" t="str">
        <f>IFERROR(__xludf.DUMMYFUNCTION("""COMPUTED_VALUE"""),"No")</f>
        <v>No</v>
      </c>
      <c r="AM60" s="5" t="str">
        <f>IFERROR(__xludf.DUMMYFUNCTION("""COMPUTED_VALUE"""),"No")</f>
        <v>No</v>
      </c>
      <c r="AN60" s="5" t="str">
        <f>IFERROR(__xludf.DUMMYFUNCTION("""COMPUTED_VALUE"""),"No")</f>
        <v>No</v>
      </c>
      <c r="AO60" s="5" t="str">
        <f>IFERROR(__xludf.DUMMYFUNCTION("""COMPUTED_VALUE"""),"No")</f>
        <v>No</v>
      </c>
      <c r="AP60" s="5" t="str">
        <f>IFERROR(__xludf.DUMMYFUNCTION("""COMPUTED_VALUE"""),"No")</f>
        <v>No</v>
      </c>
      <c r="AQ60" s="5" t="str">
        <f>IFERROR(__xludf.DUMMYFUNCTION("""COMPUTED_VALUE"""),"No")</f>
        <v>No</v>
      </c>
      <c r="AR60" s="5" t="str">
        <f>IFERROR(__xludf.DUMMYFUNCTION("""COMPUTED_VALUE"""),"No")</f>
        <v>No</v>
      </c>
      <c r="AS60" s="5" t="str">
        <f>IFERROR(__xludf.DUMMYFUNCTION("""COMPUTED_VALUE"""),"Yes")</f>
        <v>Yes</v>
      </c>
      <c r="AT60" s="5" t="str">
        <f>IFERROR(__xludf.DUMMYFUNCTION("""COMPUTED_VALUE"""),"No")</f>
        <v>No</v>
      </c>
      <c r="AU60" s="5"/>
      <c r="AV60" s="5" t="str">
        <f>IFERROR(__xludf.DUMMYFUNCTION("""COMPUTED_VALUE"""),"")</f>
        <v/>
      </c>
    </row>
    <row r="61">
      <c r="A61" s="5" t="str">
        <f>IFERROR(__xludf.DUMMYFUNCTION("""COMPUTED_VALUE"""),"Playnet")</f>
        <v>Playnet</v>
      </c>
      <c r="B61" s="5" t="str">
        <f>IFERROR(__xludf.DUMMYFUNCTION("""COMPUTED_VALUE"""),"Royal Flame x2")</f>
        <v>Royal Flame x2</v>
      </c>
      <c r="C61" s="5" t="str">
        <f>IFERROR(__xludf.DUMMYFUNCTION("""COMPUTED_VALUE"""),"PlayNetRoyalFlameX2")</f>
        <v>PlayNetRoyalFlameX2</v>
      </c>
      <c r="D61" s="6">
        <f>IFERROR(__xludf.DUMMYFUNCTION("""COMPUTED_VALUE"""),46258.0)</f>
        <v>46258</v>
      </c>
      <c r="E61" s="5" t="str">
        <f>IFERROR(__xludf.DUMMYFUNCTION("""COMPUTED_VALUE"""),"Slot")</f>
        <v>Slot</v>
      </c>
      <c r="F61" s="5">
        <f>IFERROR(__xludf.DUMMYFUNCTION("""COMPUTED_VALUE"""),15.0)</f>
        <v>15</v>
      </c>
      <c r="G61" s="5" t="str">
        <f>IFERROR(__xludf.DUMMYFUNCTION("""COMPUTED_VALUE"""),"5x3")</f>
        <v>5x3</v>
      </c>
      <c r="H61" s="5">
        <f>IFERROR(__xludf.DUMMYFUNCTION("""COMPUTED_VALUE"""),10.0)</f>
        <v>10</v>
      </c>
      <c r="I61" s="5">
        <f>IFERROR(__xludf.DUMMYFUNCTION("""COMPUTED_VALUE"""),10.0)</f>
        <v>10</v>
      </c>
      <c r="J61" s="5" t="str">
        <f>IFERROR(__xludf.DUMMYFUNCTION("""COMPUTED_VALUE"""),"96.535%")</f>
        <v>96.535%</v>
      </c>
      <c r="K61" s="5" t="str">
        <f>IFERROR(__xludf.DUMMYFUNCTION("""COMPUTED_VALUE"""),"Medium")</f>
        <v>Medium</v>
      </c>
      <c r="L61" s="5" t="str">
        <f>IFERROR(__xludf.DUMMYFUNCTION("""COMPUTED_VALUE"""),"14.28%")</f>
        <v>14.28%</v>
      </c>
      <c r="M61" s="5" t="str">
        <f>IFERROR(__xludf.DUMMYFUNCTION("""COMPUTED_VALUE"""),"x3076")</f>
        <v>x3076</v>
      </c>
      <c r="N61" s="5" t="str">
        <f>IFERROR(__xludf.DUMMYFUNCTION("""COMPUTED_VALUE"""),"0.1/50")</f>
        <v>0.1/50</v>
      </c>
      <c r="O61" s="5" t="str">
        <f>IFERROR(__xludf.DUMMYFUNCTION("""COMPUTED_VALUE"""),"No")</f>
        <v>No</v>
      </c>
      <c r="P61" s="5" t="str">
        <f>IFERROR(__xludf.DUMMYFUNCTION("""COMPUTED_VALUE"""),"Scatter, Expanding Wild, Wild Multiplier")</f>
        <v>Scatter, Expanding Wild, Wild Multiplier</v>
      </c>
      <c r="Q61" s="7" t="str">
        <f>IFERROR(__xludf.DUMMYFUNCTION("""COMPUTED_VALUE"""),"https://onlinegamespromo.fazi.rs/Home/IntegrationGameLaunch?moneyType=0&amp;gameName=PlayNetRoyalFlameX2&amp;platform=desktop&amp;languageCode=eng&amp;currency=EUR")</f>
        <v>https://onlinegamespromo.fazi.rs/Home/IntegrationGameLaunch?moneyType=0&amp;gameName=PlayNetRoyalFlameX2&amp;platform=desktop&amp;languageCode=eng&amp;currency=EUR</v>
      </c>
      <c r="R61" s="5" t="str">
        <f>IFERROR(__xludf.DUMMYFUNCTION("""COMPUTED_VALUE"""),"Royal Flame X2 brings a bold new energy to the timeless fruit slot formula - with a royal upgrade. When the Queen of Fire appears, she doesn’t just rule the reels – she replaces all symbols except scatter and turns the heat all the way up. Meanwhile, the "&amp;"special Queen appears on reel 3, expanding just the same while instantly doubling any winning combination it completes. Expect vibrant visuals, smooth gameplay, and a fiery twist on familiar favorites. Are you ready to play with fire?")</f>
        <v>Royal Flame X2 brings a bold new energy to the timeless fruit slot formula - with a royal upgrade. When the Queen of Fire appears, she doesn’t just rule the reels – she replaces all symbols except scatter and turns the heat all the way up. Meanwhile, the special Queen appears on reel 3, expanding just the same while instantly doubling any winning combination it completes. Expect vibrant visuals, smooth gameplay, and a fiery twist on familiar favorites. Are you ready to play with fire?</v>
      </c>
      <c r="S6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1" s="5" t="str">
        <f>IFERROR(__xludf.DUMMYFUNCTION("""COMPUTED_VALUE"""),"Yes")</f>
        <v>Yes</v>
      </c>
      <c r="U61" s="5" t="str">
        <f>IFERROR(__xludf.DUMMYFUNCTION("""COMPUTED_VALUE"""),"Yes")</f>
        <v>Yes</v>
      </c>
      <c r="V61" s="5" t="str">
        <f>IFERROR(__xludf.DUMMYFUNCTION("""COMPUTED_VALUE"""),"No")</f>
        <v>No</v>
      </c>
      <c r="W61" s="5" t="str">
        <f>IFERROR(__xludf.DUMMYFUNCTION("""COMPUTED_VALUE"""),"Yes")</f>
        <v>Yes</v>
      </c>
      <c r="X61" s="5" t="str">
        <f>IFERROR(__xludf.DUMMYFUNCTION("""COMPUTED_VALUE"""),"Yes")</f>
        <v>Yes</v>
      </c>
      <c r="Y61" s="5" t="str">
        <f>IFERROR(__xludf.DUMMYFUNCTION("""COMPUTED_VALUE"""),"Yes")</f>
        <v>Yes</v>
      </c>
      <c r="Z61" s="5" t="str">
        <f>IFERROR(__xludf.DUMMYFUNCTION("""COMPUTED_VALUE"""),"Yes")</f>
        <v>Yes</v>
      </c>
      <c r="AA61" s="5" t="str">
        <f>IFERROR(__xludf.DUMMYFUNCTION("""COMPUTED_VALUE"""),"Yes")</f>
        <v>Yes</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IFERROR(__xludf.DUMMYFUNCTION("""COMPUTED_VALUE"""),"Yes")</f>
        <v>Yes</v>
      </c>
      <c r="AH61" s="5" t="str">
        <f>IFERROR(__xludf.DUMMYFUNCTION("""COMPUTED_VALUE"""),"Yes")</f>
        <v>Yes</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t="str">
        <f>IFERROR(__xludf.DUMMYFUNCTION("""COMPUTED_VALUE"""),"No")</f>
        <v>No</v>
      </c>
      <c r="AN61" s="5" t="str">
        <f>IFERROR(__xludf.DUMMYFUNCTION("""COMPUTED_VALUE"""),"No")</f>
        <v>No</v>
      </c>
      <c r="AO61" s="5" t="str">
        <f>IFERROR(__xludf.DUMMYFUNCTION("""COMPUTED_VALUE"""),"No")</f>
        <v>No</v>
      </c>
      <c r="AP61" s="5" t="str">
        <f>IFERROR(__xludf.DUMMYFUNCTION("""COMPUTED_VALUE"""),"No")</f>
        <v>No</v>
      </c>
      <c r="AQ61" s="5" t="str">
        <f>IFERROR(__xludf.DUMMYFUNCTION("""COMPUTED_VALUE"""),"No")</f>
        <v>No</v>
      </c>
      <c r="AR61" s="5" t="str">
        <f>IFERROR(__xludf.DUMMYFUNCTION("""COMPUTED_VALUE"""),"No")</f>
        <v>No</v>
      </c>
      <c r="AS61" s="5" t="str">
        <f>IFERROR(__xludf.DUMMYFUNCTION("""COMPUTED_VALUE"""),"Yes")</f>
        <v>Yes</v>
      </c>
      <c r="AT61" s="5" t="str">
        <f>IFERROR(__xludf.DUMMYFUNCTION("""COMPUTED_VALUE"""),"No")</f>
        <v>No</v>
      </c>
      <c r="AU61" s="5"/>
      <c r="AV61" s="5" t="str">
        <f>IFERROR(__xludf.DUMMYFUNCTION("""COMPUTED_VALUE"""),"")</f>
        <v/>
      </c>
    </row>
    <row r="62">
      <c r="A62" s="5" t="str">
        <f>IFERROR(__xludf.DUMMYFUNCTION("""COMPUTED_VALUE"""),"Playnet")</f>
        <v>Playnet</v>
      </c>
      <c r="B62" s="5" t="str">
        <f>IFERROR(__xludf.DUMMYFUNCTION("""COMPUTED_VALUE"""),"Heart Gem 5")</f>
        <v>Heart Gem 5</v>
      </c>
      <c r="C62" s="5" t="str">
        <f>IFERROR(__xludf.DUMMYFUNCTION("""COMPUTED_VALUE"""),"PlayNetHeartGem5")</f>
        <v>PlayNetHeartGem5</v>
      </c>
      <c r="D62" s="6">
        <f>IFERROR(__xludf.DUMMYFUNCTION("""COMPUTED_VALUE"""),46286.0)</f>
        <v>46286</v>
      </c>
      <c r="E62" s="5" t="str">
        <f>IFERROR(__xludf.DUMMYFUNCTION("""COMPUTED_VALUE"""),"Slot")</f>
        <v>Slot</v>
      </c>
      <c r="F62" s="5">
        <f>IFERROR(__xludf.DUMMYFUNCTION("""COMPUTED_VALUE"""),15.0)</f>
        <v>15</v>
      </c>
      <c r="G62" s="5" t="str">
        <f>IFERROR(__xludf.DUMMYFUNCTION("""COMPUTED_VALUE"""),"5x3")</f>
        <v>5x3</v>
      </c>
      <c r="H62" s="5">
        <f>IFERROR(__xludf.DUMMYFUNCTION("""COMPUTED_VALUE"""),5.0)</f>
        <v>5</v>
      </c>
      <c r="I62" s="5">
        <f>IFERROR(__xludf.DUMMYFUNCTION("""COMPUTED_VALUE"""),5.0)</f>
        <v>5</v>
      </c>
      <c r="J62" s="5" t="str">
        <f>IFERROR(__xludf.DUMMYFUNCTION("""COMPUTED_VALUE"""),"96.447%")</f>
        <v>96.447%</v>
      </c>
      <c r="K62" s="5" t="str">
        <f>IFERROR(__xludf.DUMMYFUNCTION("""COMPUTED_VALUE"""),"Medium")</f>
        <v>Medium</v>
      </c>
      <c r="L62" s="5" t="str">
        <f>IFERROR(__xludf.DUMMYFUNCTION("""COMPUTED_VALUE"""),"14.505%")</f>
        <v>14.505%</v>
      </c>
      <c r="M62" s="5" t="str">
        <f>IFERROR(__xludf.DUMMYFUNCTION("""COMPUTED_VALUE"""),"x1222")</f>
        <v>x1222</v>
      </c>
      <c r="N62" s="5" t="str">
        <f>IFERROR(__xludf.DUMMYFUNCTION("""COMPUTED_VALUE"""),"0.05/30")</f>
        <v>0.05/30</v>
      </c>
      <c r="O62" s="5" t="str">
        <f>IFERROR(__xludf.DUMMYFUNCTION("""COMPUTED_VALUE"""),"No")</f>
        <v>No</v>
      </c>
      <c r="P62" s="5" t="str">
        <f>IFERROR(__xludf.DUMMYFUNCTION("""COMPUTED_VALUE"""),"Scatter, Expanding Wild")</f>
        <v>Scatter, Expanding Wild</v>
      </c>
      <c r="Q62" s="7" t="str">
        <f>IFERROR(__xludf.DUMMYFUNCTION("""COMPUTED_VALUE"""),"https://onlinegamespromo.fazi.rs/Home/IntegrationGameLaunch?moneyType=0&amp;gameName=PlayNetHeartGem5&amp;platform=desktop&amp;languageCode=eng&amp;currency=EUR")</f>
        <v>https://onlinegamespromo.fazi.rs/Home/IntegrationGameLaunch?moneyType=0&amp;gameName=PlayNetHeartGem5&amp;platform=desktop&amp;languageCode=eng&amp;currency=EUR</v>
      </c>
      <c r="R62" s="5" t="str">
        <f>IFERROR(__xludf.DUMMYFUNCTION("""COMPUTED_VALUE"""),"Five lines. One Wild. And a Heart that shows up when you need it most. Heart Gem 5 doesn't try to impress you with complexity. It wins you over spin by spin - with two Scatters landing on reels 1, 3, and 5, and a Heart Gem Wild ready to flip your luck on "&amp;"reels 2, 3, and 4. The kind of slot you open for a quick spin and forget to stop. Heart Gem 5. You'll know why after the first spin.")</f>
        <v>Five lines. One Wild. And a Heart that shows up when you need it most. Heart Gem 5 doesn't try to impress you with complexity. It wins you over spin by spin - with two Scatters landing on reels 1, 3, and 5, and a Heart Gem Wild ready to flip your luck on reels 2, 3, and 4. The kind of slot you open for a quick spin and forget to stop. Heart Gem 5. You'll know why after the first spin.</v>
      </c>
      <c r="S6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2" s="5" t="str">
        <f>IFERROR(__xludf.DUMMYFUNCTION("""COMPUTED_VALUE"""),"Yes")</f>
        <v>Yes</v>
      </c>
      <c r="U62" s="5" t="str">
        <f>IFERROR(__xludf.DUMMYFUNCTION("""COMPUTED_VALUE"""),"Yes")</f>
        <v>Yes</v>
      </c>
      <c r="V62" s="5" t="str">
        <f>IFERROR(__xludf.DUMMYFUNCTION("""COMPUTED_VALUE"""),"No")</f>
        <v>No</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IFERROR(__xludf.DUMMYFUNCTION("""COMPUTED_VALUE"""),"No")</f>
        <v>No</v>
      </c>
      <c r="AJ62" s="5" t="str">
        <f>IFERROR(__xludf.DUMMYFUNCTION("""COMPUTED_VALUE"""),"No")</f>
        <v>No</v>
      </c>
      <c r="AK62" s="5" t="str">
        <f>IFERROR(__xludf.DUMMYFUNCTION("""COMPUTED_VALUE"""),"No")</f>
        <v>No</v>
      </c>
      <c r="AL62" s="5" t="str">
        <f>IFERROR(__xludf.DUMMYFUNCTION("""COMPUTED_VALUE"""),"No")</f>
        <v>No</v>
      </c>
      <c r="AM62" s="5" t="str">
        <f>IFERROR(__xludf.DUMMYFUNCTION("""COMPUTED_VALUE"""),"No")</f>
        <v>No</v>
      </c>
      <c r="AN62" s="5" t="str">
        <f>IFERROR(__xludf.DUMMYFUNCTION("""COMPUTED_VALUE"""),"No")</f>
        <v>No</v>
      </c>
      <c r="AO62" s="5" t="str">
        <f>IFERROR(__xludf.DUMMYFUNCTION("""COMPUTED_VALUE"""),"No")</f>
        <v>No</v>
      </c>
      <c r="AP62" s="5" t="str">
        <f>IFERROR(__xludf.DUMMYFUNCTION("""COMPUTED_VALUE"""),"No")</f>
        <v>No</v>
      </c>
      <c r="AQ62" s="5" t="str">
        <f>IFERROR(__xludf.DUMMYFUNCTION("""COMPUTED_VALUE"""),"No")</f>
        <v>No</v>
      </c>
      <c r="AR62" s="5" t="str">
        <f>IFERROR(__xludf.DUMMYFUNCTION("""COMPUTED_VALUE"""),"No")</f>
        <v>No</v>
      </c>
      <c r="AS62" s="5" t="str">
        <f>IFERROR(__xludf.DUMMYFUNCTION("""COMPUTED_VALUE"""),"Yes")</f>
        <v>Yes</v>
      </c>
      <c r="AT62" s="5" t="str">
        <f>IFERROR(__xludf.DUMMYFUNCTION("""COMPUTED_VALUE"""),"No")</f>
        <v>No</v>
      </c>
      <c r="AU62" s="5"/>
      <c r="AV62" s="5" t="str">
        <f>IFERROR(__xludf.DUMMYFUNCTION("""COMPUTED_VALUE"""),"")</f>
        <v/>
      </c>
    </row>
    <row r="63">
      <c r="A63" s="5" t="str">
        <f>IFERROR(__xludf.DUMMYFUNCTION("""COMPUTED_VALUE"""),"Playnet")</f>
        <v>Playnet</v>
      </c>
      <c r="B63" s="5" t="str">
        <f>IFERROR(__xludf.DUMMYFUNCTION("""COMPUTED_VALUE"""),"Empress of Flame 20")</f>
        <v>Empress of Flame 20</v>
      </c>
      <c r="C63" s="5" t="str">
        <f>IFERROR(__xludf.DUMMYFUNCTION("""COMPUTED_VALUE"""),"PlayNetEmpressOfFlame20")</f>
        <v>PlayNetEmpressOfFlame20</v>
      </c>
      <c r="D63" s="6">
        <f>IFERROR(__xludf.DUMMYFUNCTION("""COMPUTED_VALUE"""),46272.0)</f>
        <v>46272</v>
      </c>
      <c r="E63" s="5" t="str">
        <f>IFERROR(__xludf.DUMMYFUNCTION("""COMPUTED_VALUE"""),"Slot")</f>
        <v>Slot</v>
      </c>
      <c r="F63" s="5">
        <f>IFERROR(__xludf.DUMMYFUNCTION("""COMPUTED_VALUE"""),15.0)</f>
        <v>15</v>
      </c>
      <c r="G63" s="5" t="str">
        <f>IFERROR(__xludf.DUMMYFUNCTION("""COMPUTED_VALUE"""),"5x3")</f>
        <v>5x3</v>
      </c>
      <c r="H63" s="5">
        <f>IFERROR(__xludf.DUMMYFUNCTION("""COMPUTED_VALUE"""),20.0)</f>
        <v>20</v>
      </c>
      <c r="I63" s="5">
        <f>IFERROR(__xludf.DUMMYFUNCTION("""COMPUTED_VALUE"""),20.0)</f>
        <v>20</v>
      </c>
      <c r="J63" s="5" t="str">
        <f>IFERROR(__xludf.DUMMYFUNCTION("""COMPUTED_VALUE"""),"95.544%")</f>
        <v>95.544%</v>
      </c>
      <c r="K63" s="5" t="str">
        <f>IFERROR(__xludf.DUMMYFUNCTION("""COMPUTED_VALUE"""),"Medium")</f>
        <v>Medium</v>
      </c>
      <c r="L63" s="5" t="str">
        <f>IFERROR(__xludf.DUMMYFUNCTION("""COMPUTED_VALUE"""),"16.508%")</f>
        <v>16.508%</v>
      </c>
      <c r="M63" s="5" t="str">
        <f>IFERROR(__xludf.DUMMYFUNCTION("""COMPUTED_VALUE"""),"x1700")</f>
        <v>x1700</v>
      </c>
      <c r="N63" s="5" t="str">
        <f>IFERROR(__xludf.DUMMYFUNCTION("""COMPUTED_VALUE"""),"0.2/50")</f>
        <v>0.2/50</v>
      </c>
      <c r="O63" s="5" t="str">
        <f>IFERROR(__xludf.DUMMYFUNCTION("""COMPUTED_VALUE"""),"No")</f>
        <v>No</v>
      </c>
      <c r="P63" s="5" t="str">
        <f>IFERROR(__xludf.DUMMYFUNCTION("""COMPUTED_VALUE"""),"Expanding Wild")</f>
        <v>Expanding Wild</v>
      </c>
      <c r="Q63" s="7" t="str">
        <f>IFERROR(__xludf.DUMMYFUNCTION("""COMPUTED_VALUE"""),"https://onlinegamespromo.fazi.rs/Home/IntegrationGameLaunch?moneyType=0&amp;gameName=PlayNetEmpressOfFlame20&amp;platform=desktop&amp;languageCode=eng&amp;currency=EUR")</f>
        <v>https://onlinegamespromo.fazi.rs/Home/IntegrationGameLaunch?moneyType=0&amp;gameName=PlayNetEmpressOfFlame20&amp;platform=desktop&amp;languageCode=eng&amp;currency=EUR</v>
      </c>
      <c r="R63" s="5" t="str">
        <f>IFERROR(__xludf.DUMMYFUNCTION("""COMPUTED_VALUE"""),"Enter the fiery realm of the Empress of Flame with 20 paylines, where mystical dragon eggs, golden gongs, and elegant fans hold the secrets of treasure. The Golden Dragon appears, expands to cover the reel, and awards a Respin, increasing your chances for"&amp;" big wins. With its combination of traditional Eastern aesthetics and thrilling slot mechanics, Empress of Flame 20 ignites every spin with excitement!")</f>
        <v>Enter the fiery realm of the Empress of Flame with 20 paylines,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20 ignites every spin with excitement!</v>
      </c>
      <c r="S6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3" s="5" t="str">
        <f>IFERROR(__xludf.DUMMYFUNCTION("""COMPUTED_VALUE"""),"Yes")</f>
        <v>Yes</v>
      </c>
      <c r="U63" s="5" t="str">
        <f>IFERROR(__xludf.DUMMYFUNCTION("""COMPUTED_VALUE"""),"Yes")</f>
        <v>Yes</v>
      </c>
      <c r="V63" s="5" t="str">
        <f>IFERROR(__xludf.DUMMYFUNCTION("""COMPUTED_VALUE"""),"No")</f>
        <v>No</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IFERROR(__xludf.DUMMYFUNCTION("""COMPUTED_VALUE"""),"Yes")</f>
        <v>Yes</v>
      </c>
      <c r="AH63" s="5" t="str">
        <f>IFERROR(__xludf.DUMMYFUNCTION("""COMPUTED_VALUE"""),"Yes")</f>
        <v>Yes</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t="str">
        <f>IFERROR(__xludf.DUMMYFUNCTION("""COMPUTED_VALUE"""),"No")</f>
        <v>No</v>
      </c>
      <c r="AN63" s="5" t="str">
        <f>IFERROR(__xludf.DUMMYFUNCTION("""COMPUTED_VALUE"""),"No")</f>
        <v>No</v>
      </c>
      <c r="AO63" s="5" t="str">
        <f>IFERROR(__xludf.DUMMYFUNCTION("""COMPUTED_VALUE"""),"No")</f>
        <v>No</v>
      </c>
      <c r="AP63" s="5" t="str">
        <f>IFERROR(__xludf.DUMMYFUNCTION("""COMPUTED_VALUE"""),"No")</f>
        <v>No</v>
      </c>
      <c r="AQ63" s="5" t="str">
        <f>IFERROR(__xludf.DUMMYFUNCTION("""COMPUTED_VALUE"""),"No")</f>
        <v>No</v>
      </c>
      <c r="AR63" s="5" t="str">
        <f>IFERROR(__xludf.DUMMYFUNCTION("""COMPUTED_VALUE"""),"No")</f>
        <v>No</v>
      </c>
      <c r="AS63" s="5" t="str">
        <f>IFERROR(__xludf.DUMMYFUNCTION("""COMPUTED_VALUE"""),"Yes")</f>
        <v>Yes</v>
      </c>
      <c r="AT63" s="5" t="str">
        <f>IFERROR(__xludf.DUMMYFUNCTION("""COMPUTED_VALUE"""),"No")</f>
        <v>No</v>
      </c>
      <c r="AU63" s="5"/>
      <c r="AV63" s="5" t="str">
        <f>IFERROR(__xludf.DUMMYFUNCTION("""COMPUTED_VALUE"""),"")</f>
        <v/>
      </c>
    </row>
    <row r="64">
      <c r="A64" s="5" t="str">
        <f>IFERROR(__xludf.DUMMYFUNCTION("""COMPUTED_VALUE"""),"Playnet")</f>
        <v>Playnet</v>
      </c>
      <c r="B64" s="5" t="str">
        <f>IFERROR(__xludf.DUMMYFUNCTION("""COMPUTED_VALUE"""),"Shadow Hunt 20")</f>
        <v>Shadow Hunt 20</v>
      </c>
      <c r="C64" s="5" t="str">
        <f>IFERROR(__xludf.DUMMYFUNCTION("""COMPUTED_VALUE"""),"PlayNetShadowHunt20")</f>
        <v>PlayNetShadowHunt20</v>
      </c>
      <c r="D64" s="6">
        <f>IFERROR(__xludf.DUMMYFUNCTION("""COMPUTED_VALUE"""),46279.0)</f>
        <v>46279</v>
      </c>
      <c r="E64" s="5" t="str">
        <f>IFERROR(__xludf.DUMMYFUNCTION("""COMPUTED_VALUE"""),"Slot")</f>
        <v>Slot</v>
      </c>
      <c r="F64" s="5">
        <f>IFERROR(__xludf.DUMMYFUNCTION("""COMPUTED_VALUE"""),15.0)</f>
        <v>15</v>
      </c>
      <c r="G64" s="5" t="str">
        <f>IFERROR(__xludf.DUMMYFUNCTION("""COMPUTED_VALUE"""),"5x3")</f>
        <v>5x3</v>
      </c>
      <c r="H64" s="5">
        <f>IFERROR(__xludf.DUMMYFUNCTION("""COMPUTED_VALUE"""),20.0)</f>
        <v>20</v>
      </c>
      <c r="I64" s="5">
        <f>IFERROR(__xludf.DUMMYFUNCTION("""COMPUTED_VALUE"""),20.0)</f>
        <v>20</v>
      </c>
      <c r="J64" s="5" t="str">
        <f>IFERROR(__xludf.DUMMYFUNCTION("""COMPUTED_VALUE"""),"96.475%")</f>
        <v>96.475%</v>
      </c>
      <c r="K64" s="5" t="str">
        <f>IFERROR(__xludf.DUMMYFUNCTION("""COMPUTED_VALUE"""),"High")</f>
        <v>High</v>
      </c>
      <c r="L64" s="5" t="str">
        <f>IFERROR(__xludf.DUMMYFUNCTION("""COMPUTED_VALUE"""),"7.13%")</f>
        <v>7.13%</v>
      </c>
      <c r="M64" s="5" t="str">
        <f>IFERROR(__xludf.DUMMYFUNCTION("""COMPUTED_VALUE"""),"x1500")</f>
        <v>x1500</v>
      </c>
      <c r="N64" s="5" t="str">
        <f>IFERROR(__xludf.DUMMYFUNCTION("""COMPUTED_VALUE"""),"0.2/50")</f>
        <v>0.2/50</v>
      </c>
      <c r="O64" s="5" t="str">
        <f>IFERROR(__xludf.DUMMYFUNCTION("""COMPUTED_VALUE"""),"No")</f>
        <v>No</v>
      </c>
      <c r="P64" s="5" t="str">
        <f>IFERROR(__xludf.DUMMYFUNCTION("""COMPUTED_VALUE"""),"Win Multiplier")</f>
        <v>Win Multiplier</v>
      </c>
      <c r="Q64" s="7" t="str">
        <f>IFERROR(__xludf.DUMMYFUNCTION("""COMPUTED_VALUE"""),"https://onlinegamespromo.fazi.rs/Home/IntegrationGameLaunch?moneyType=0&amp;gameName=PlayNetShadowHunt20&amp;platform=desktop&amp;languageCode=eng&amp;currency=EUR")</f>
        <v>https://onlinegamespromo.fazi.rs/Home/IntegrationGameLaunch?moneyType=0&amp;gameName=PlayNetShadowHunt20&amp;platform=desktop&amp;languageCode=eng&amp;currency=EUR</v>
      </c>
      <c r="R64" s="5" t="str">
        <f>IFERROR(__xludf.DUMMYFUNCTION("""COMPUTED_VALUE"""),"Step into the dark forest where ancient spirits guide your fate. Shadow Hunt with 20 paylines and one mechanic that makes every spin matter, brings players into a mystical hunt under the moonlight, with glowing animal guardians and enchanted symbols. Spec"&amp;"ial win multipliers of x3, x4, and x5 amplify the thrill, rewarding daring hunters with legendary wins.")</f>
        <v>Step into the dark forest where ancient spirits guide your fate. Shadow Hunt with 20 paylines and one mechanic that makes every spin matter, brings players into a mystical hunt under the moonlight, with glowing animal guardians and enchanted symbols. Special win multipliers of x3, x4, and x5 amplify the thrill, rewarding daring hunters with legendary wins.</v>
      </c>
      <c r="S6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4" s="5" t="str">
        <f>IFERROR(__xludf.DUMMYFUNCTION("""COMPUTED_VALUE"""),"Yes")</f>
        <v>Yes</v>
      </c>
      <c r="U64" s="5" t="str">
        <f>IFERROR(__xludf.DUMMYFUNCTION("""COMPUTED_VALUE"""),"Yes")</f>
        <v>Yes</v>
      </c>
      <c r="V64" s="5" t="str">
        <f>IFERROR(__xludf.DUMMYFUNCTION("""COMPUTED_VALUE"""),"No")</f>
        <v>No</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IFERROR(__xludf.DUMMYFUNCTION("""COMPUTED_VALUE"""),"Yes")</f>
        <v>Yes</v>
      </c>
      <c r="AH64" s="5" t="str">
        <f>IFERROR(__xludf.DUMMYFUNCTION("""COMPUTED_VALUE"""),"Yes")</f>
        <v>Yes</v>
      </c>
      <c r="AI64" s="5" t="str">
        <f>IFERROR(__xludf.DUMMYFUNCTION("""COMPUTED_VALUE"""),"No")</f>
        <v>No</v>
      </c>
      <c r="AJ64" s="5" t="str">
        <f>IFERROR(__xludf.DUMMYFUNCTION("""COMPUTED_VALUE"""),"No")</f>
        <v>No</v>
      </c>
      <c r="AK64" s="5" t="str">
        <f>IFERROR(__xludf.DUMMYFUNCTION("""COMPUTED_VALUE"""),"No")</f>
        <v>No</v>
      </c>
      <c r="AL64" s="5" t="str">
        <f>IFERROR(__xludf.DUMMYFUNCTION("""COMPUTED_VALUE"""),"No")</f>
        <v>No</v>
      </c>
      <c r="AM64" s="5" t="str">
        <f>IFERROR(__xludf.DUMMYFUNCTION("""COMPUTED_VALUE"""),"No")</f>
        <v>No</v>
      </c>
      <c r="AN64" s="5" t="str">
        <f>IFERROR(__xludf.DUMMYFUNCTION("""COMPUTED_VALUE"""),"No")</f>
        <v>No</v>
      </c>
      <c r="AO64" s="5" t="str">
        <f>IFERROR(__xludf.DUMMYFUNCTION("""COMPUTED_VALUE"""),"No")</f>
        <v>No</v>
      </c>
      <c r="AP64" s="5" t="str">
        <f>IFERROR(__xludf.DUMMYFUNCTION("""COMPUTED_VALUE"""),"No")</f>
        <v>No</v>
      </c>
      <c r="AQ64" s="5" t="str">
        <f>IFERROR(__xludf.DUMMYFUNCTION("""COMPUTED_VALUE"""),"No")</f>
        <v>No</v>
      </c>
      <c r="AR64" s="5" t="str">
        <f>IFERROR(__xludf.DUMMYFUNCTION("""COMPUTED_VALUE"""),"No")</f>
        <v>No</v>
      </c>
      <c r="AS64" s="5" t="str">
        <f>IFERROR(__xludf.DUMMYFUNCTION("""COMPUTED_VALUE"""),"Yes")</f>
        <v>Yes</v>
      </c>
      <c r="AT64" s="5" t="str">
        <f>IFERROR(__xludf.DUMMYFUNCTION("""COMPUTED_VALUE"""),"No")</f>
        <v>No</v>
      </c>
      <c r="AU64" s="5"/>
      <c r="AV64" s="5" t="str">
        <f>IFERROR(__xludf.DUMMYFUNCTION("""COMPUTED_VALUE"""),"")</f>
        <v/>
      </c>
    </row>
    <row r="65">
      <c r="A65" s="5" t="str">
        <f>IFERROR(__xludf.DUMMYFUNCTION("""COMPUTED_VALUE"""),"Playnet")</f>
        <v>Playnet</v>
      </c>
      <c r="B65" s="5" t="str">
        <f>IFERROR(__xludf.DUMMYFUNCTION("""COMPUTED_VALUE"""),"27 Wild Stacks Extreme")</f>
        <v>27 Wild Stacks Extreme</v>
      </c>
      <c r="C65" s="5" t="str">
        <f>IFERROR(__xludf.DUMMYFUNCTION("""COMPUTED_VALUE"""),"PlayNet27WildStacksExtreme")</f>
        <v>PlayNet27WildStacksExtreme</v>
      </c>
      <c r="D65" s="6">
        <f>IFERROR(__xludf.DUMMYFUNCTION("""COMPUTED_VALUE"""),46267.0)</f>
        <v>46267</v>
      </c>
      <c r="E65" s="5" t="str">
        <f>IFERROR(__xludf.DUMMYFUNCTION("""COMPUTED_VALUE"""),"Slot")</f>
        <v>Slot</v>
      </c>
      <c r="F65" s="5">
        <f>IFERROR(__xludf.DUMMYFUNCTION("""COMPUTED_VALUE"""),15.0)</f>
        <v>15</v>
      </c>
      <c r="G65" s="5" t="str">
        <f>IFERROR(__xludf.DUMMYFUNCTION("""COMPUTED_VALUE"""),"3x3")</f>
        <v>3x3</v>
      </c>
      <c r="H65" s="5">
        <f>IFERROR(__xludf.DUMMYFUNCTION("""COMPUTED_VALUE"""),27.0)</f>
        <v>27</v>
      </c>
      <c r="I65" s="5">
        <f>IFERROR(__xludf.DUMMYFUNCTION("""COMPUTED_VALUE"""),27.0)</f>
        <v>27</v>
      </c>
      <c r="J65" s="5" t="str">
        <f>IFERROR(__xludf.DUMMYFUNCTION("""COMPUTED_VALUE"""),"96.516%")</f>
        <v>96.516%</v>
      </c>
      <c r="K65" s="5" t="str">
        <f>IFERROR(__xludf.DUMMYFUNCTION("""COMPUTED_VALUE"""),"High")</f>
        <v>High</v>
      </c>
      <c r="L65" s="5" t="str">
        <f>IFERROR(__xludf.DUMMYFUNCTION("""COMPUTED_VALUE"""),"6.72%")</f>
        <v>6.72%</v>
      </c>
      <c r="M65" s="5" t="str">
        <f>IFERROR(__xludf.DUMMYFUNCTION("""COMPUTED_VALUE"""),"x3240")</f>
        <v>x3240</v>
      </c>
      <c r="N65" s="5" t="str">
        <f>IFERROR(__xludf.DUMMYFUNCTION("""COMPUTED_VALUE"""),"0.1/50")</f>
        <v>0.1/50</v>
      </c>
      <c r="O65" s="5" t="str">
        <f>IFERROR(__xludf.DUMMYFUNCTION("""COMPUTED_VALUE"""),"No")</f>
        <v>No</v>
      </c>
      <c r="P65" s="5" t="str">
        <f>IFERROR(__xludf.DUMMYFUNCTION("""COMPUTED_VALUE"""),"Win Multiplier")</f>
        <v>Win Multiplier</v>
      </c>
      <c r="Q65" s="7" t="str">
        <f>IFERROR(__xludf.DUMMYFUNCTION("""COMPUTED_VALUE"""),"https://onlinegamespromo.fazi.rs/Home/IntegrationGameLaunch?moneyType=0&amp;gameName=PlayNet27WildStacksExtreme&amp;platform=desktop&amp;languageCode=eng&amp;currency=EUR")</f>
        <v>https://onlinegamespromo.fazi.rs/Home/IntegrationGameLaunch?moneyType=0&amp;gameName=PlayNet27WildStacksExtreme&amp;platform=desktop&amp;languageCode=eng&amp;currency=EUR</v>
      </c>
      <c r="R65" s="5" t="str">
        <f>IFERROR(__xludf.DUMMYFUNCTION("""COMPUTED_VALUE"""),"27 Wild Stacks Extreme brings a bold new energy to the classic 3x3 fruit slot formula - with an extreme upgrade! 3x3 fruit slot with 27 paylines and one mechanic that makes every spin matter. Fill all 9 positions with the same symbol and the game rewards "&amp;"you with an instant x2 multiplier on your total win.")</f>
        <v>27 Wild Stacks Extreme brings a bold new energy to the classic 3x3 fruit slot formula - with an extreme upgrade! 3x3 fruit slot with 27 paylines and one mechanic that makes every spin matter. Fill all 9 positions with the same symbol and the game rewards you with an instant x2 multiplier on your total win.</v>
      </c>
      <c r="S6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5" s="5" t="str">
        <f>IFERROR(__xludf.DUMMYFUNCTION("""COMPUTED_VALUE"""),"Yes")</f>
        <v>Yes</v>
      </c>
      <c r="U65" s="5" t="str">
        <f>IFERROR(__xludf.DUMMYFUNCTION("""COMPUTED_VALUE"""),"Yes")</f>
        <v>Yes</v>
      </c>
      <c r="V65" s="5" t="str">
        <f>IFERROR(__xludf.DUMMYFUNCTION("""COMPUTED_VALUE"""),"No")</f>
        <v>No</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t="str">
        <f>IFERROR(__xludf.DUMMYFUNCTION("""COMPUTED_VALUE"""),"No")</f>
        <v>No</v>
      </c>
      <c r="AN65" s="5" t="str">
        <f>IFERROR(__xludf.DUMMYFUNCTION("""COMPUTED_VALUE"""),"No")</f>
        <v>No</v>
      </c>
      <c r="AO65" s="5" t="str">
        <f>IFERROR(__xludf.DUMMYFUNCTION("""COMPUTED_VALUE"""),"No")</f>
        <v>No</v>
      </c>
      <c r="AP65" s="5" t="str">
        <f>IFERROR(__xludf.DUMMYFUNCTION("""COMPUTED_VALUE"""),"No")</f>
        <v>No</v>
      </c>
      <c r="AQ65" s="5" t="str">
        <f>IFERROR(__xludf.DUMMYFUNCTION("""COMPUTED_VALUE"""),"No")</f>
        <v>No</v>
      </c>
      <c r="AR65" s="5" t="str">
        <f>IFERROR(__xludf.DUMMYFUNCTION("""COMPUTED_VALUE"""),"No")</f>
        <v>No</v>
      </c>
      <c r="AS65" s="5" t="str">
        <f>IFERROR(__xludf.DUMMYFUNCTION("""COMPUTED_VALUE"""),"Yes")</f>
        <v>Yes</v>
      </c>
      <c r="AT65" s="5" t="str">
        <f>IFERROR(__xludf.DUMMYFUNCTION("""COMPUTED_VALUE"""),"No")</f>
        <v>No</v>
      </c>
      <c r="AU65" s="5"/>
      <c r="AV65" s="5" t="str">
        <f>IFERROR(__xludf.DUMMYFUNCTION("""COMPUTED_VALUE"""),"")</f>
        <v/>
      </c>
    </row>
    <row r="66">
      <c r="D66" s="6"/>
    </row>
    <row r="67">
      <c r="D67" s="6"/>
    </row>
    <row r="68">
      <c r="D68" s="6"/>
    </row>
    <row r="69">
      <c r="D69" s="6"/>
    </row>
    <row r="70">
      <c r="D70" s="6"/>
    </row>
    <row r="71">
      <c r="D71" s="6"/>
    </row>
    <row r="72">
      <c r="D72" s="6"/>
    </row>
    <row r="73">
      <c r="D73" s="6"/>
    </row>
    <row r="74">
      <c r="D74" s="6"/>
    </row>
    <row r="75">
      <c r="D75" s="6"/>
    </row>
    <row r="76">
      <c r="D76" s="6"/>
    </row>
    <row r="77">
      <c r="D77" s="6"/>
    </row>
    <row r="78">
      <c r="D78" s="6"/>
    </row>
    <row r="79">
      <c r="D79" s="6"/>
    </row>
    <row r="80">
      <c r="D80" s="6"/>
    </row>
    <row r="81">
      <c r="D81" s="6"/>
    </row>
    <row r="82">
      <c r="D82" s="6"/>
    </row>
    <row r="83">
      <c r="D83" s="6"/>
    </row>
    <row r="84">
      <c r="D84" s="6"/>
    </row>
    <row r="85">
      <c r="D85" s="6"/>
    </row>
    <row r="86">
      <c r="D86" s="6"/>
    </row>
    <row r="87">
      <c r="D87" s="6"/>
    </row>
    <row r="88">
      <c r="D88" s="6"/>
    </row>
    <row r="89">
      <c r="D89" s="6"/>
    </row>
    <row r="90">
      <c r="D90" s="6"/>
    </row>
    <row r="91">
      <c r="D91" s="6"/>
    </row>
    <row r="92">
      <c r="D92" s="6"/>
    </row>
    <row r="93">
      <c r="D93" s="6"/>
    </row>
    <row r="94">
      <c r="D94" s="6"/>
    </row>
    <row r="95">
      <c r="D95" s="6"/>
    </row>
    <row r="96">
      <c r="D96" s="6"/>
    </row>
    <row r="97">
      <c r="D97" s="6"/>
    </row>
    <row r="98">
      <c r="D98" s="6"/>
    </row>
    <row r="99">
      <c r="D99" s="6"/>
    </row>
    <row r="100">
      <c r="D100" s="6"/>
    </row>
    <row r="101">
      <c r="D101" s="6"/>
    </row>
    <row r="102">
      <c r="D102" s="6"/>
    </row>
    <row r="103">
      <c r="D103" s="6"/>
    </row>
    <row r="104">
      <c r="D104" s="6"/>
    </row>
    <row r="105">
      <c r="D105" s="6"/>
    </row>
    <row r="106">
      <c r="D106" s="6"/>
    </row>
    <row r="107">
      <c r="D107" s="6"/>
    </row>
    <row r="108">
      <c r="D108" s="6"/>
    </row>
    <row r="109">
      <c r="D109" s="6"/>
    </row>
    <row r="110">
      <c r="D110" s="6"/>
    </row>
    <row r="111">
      <c r="D111" s="6"/>
    </row>
    <row r="112">
      <c r="D112" s="6"/>
    </row>
    <row r="113">
      <c r="D113" s="6"/>
    </row>
    <row r="114">
      <c r="D114" s="6"/>
    </row>
    <row r="115">
      <c r="D115" s="6"/>
    </row>
    <row r="116">
      <c r="D116" s="6"/>
    </row>
    <row r="117">
      <c r="D117" s="6"/>
    </row>
    <row r="118">
      <c r="D118" s="6"/>
    </row>
    <row r="119">
      <c r="D119" s="6"/>
    </row>
    <row r="120">
      <c r="D120" s="6"/>
    </row>
    <row r="121">
      <c r="D121" s="6"/>
    </row>
    <row r="122">
      <c r="D122" s="6"/>
    </row>
    <row r="123">
      <c r="D123" s="6"/>
    </row>
    <row r="124">
      <c r="D124" s="6"/>
    </row>
    <row r="125">
      <c r="D125" s="6"/>
    </row>
    <row r="126">
      <c r="D126" s="6"/>
    </row>
    <row r="127">
      <c r="D127" s="6"/>
    </row>
    <row r="128">
      <c r="D128" s="6"/>
    </row>
    <row r="129">
      <c r="D129" s="6"/>
    </row>
    <row r="130">
      <c r="D130" s="6"/>
    </row>
    <row r="131">
      <c r="D131" s="6"/>
    </row>
    <row r="132">
      <c r="D132" s="6"/>
    </row>
    <row r="133">
      <c r="D133" s="6"/>
    </row>
    <row r="134">
      <c r="D134" s="6"/>
    </row>
    <row r="135">
      <c r="D135" s="6"/>
    </row>
    <row r="136">
      <c r="D136" s="6"/>
    </row>
    <row r="137">
      <c r="D137" s="6"/>
    </row>
    <row r="138">
      <c r="D138" s="6"/>
    </row>
    <row r="139">
      <c r="D139" s="6"/>
    </row>
    <row r="140">
      <c r="D140" s="6"/>
    </row>
    <row r="141">
      <c r="D141" s="6"/>
    </row>
    <row r="142">
      <c r="D142" s="6"/>
    </row>
    <row r="143">
      <c r="D143" s="6"/>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40"/>
    <hyperlink r:id="rId38" ref="Q41"/>
    <hyperlink r:id="rId39" ref="Q42"/>
    <hyperlink r:id="rId40" ref="Q43"/>
    <hyperlink r:id="rId41" ref="Q44"/>
    <hyperlink r:id="rId42" ref="Q45"/>
    <hyperlink r:id="rId43" ref="Q46"/>
    <hyperlink r:id="rId44" ref="Q47"/>
    <hyperlink r:id="rId45" ref="Q48"/>
    <hyperlink r:id="rId46" ref="Q49"/>
    <hyperlink r:id="rId47" ref="Q50"/>
    <hyperlink r:id="rId48" ref="Q51"/>
    <hyperlink r:id="rId49" ref="Q52"/>
    <hyperlink r:id="rId50" ref="Q53"/>
    <hyperlink r:id="rId51" ref="Q54"/>
    <hyperlink r:id="rId52" ref="Q55"/>
    <hyperlink r:id="rId53" ref="Q56"/>
    <hyperlink r:id="rId54" ref="Q57"/>
    <hyperlink r:id="rId55" ref="Q58"/>
    <hyperlink r:id="rId56" ref="Q59"/>
    <hyperlink r:id="rId57" ref="Q60"/>
    <hyperlink r:id="rId58" ref="Q61"/>
    <hyperlink r:id="rId59" ref="Q62"/>
    <hyperlink r:id="rId60" ref="Q63"/>
    <hyperlink r:id="rId61" ref="Q64"/>
    <hyperlink r:id="rId62" ref="Q65"/>
  </hyperlinks>
  <drawing r:id="rId6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""TipTop"",
  all_rows, IFERROR(FILTER(AllGames_Games!A2:AZ1001, (AllGames_Games!AQ2:AQ1001 = TRUE) + (AllGames_Games!AQ2:AQ1001 = ""TRUE"")), """"),
  base_games, IFERROR(FILTER(all_rows, IF(studio_filter = """", 1, CHOOSECOLS(al"&amp;"l_rows, 3) = studio_filter)), """"),
  IF(INDEX(base_games, 1, 1) = """", ""Nema rezultata za filter"",
    LET(
      gamename_keys, CHOOSECOLS(base_games, 4),
      gameid_keys, CHOOSECOLS(base_games, 6),
      studio, VSTACK(""GameStudio"", C"&amp;"HOOSECOLS(base_games, 3)),
      name, VSTACK(""GameName"", gamename_keys),
      gameID, VSTACK(""GameID"", gameid_keys),
      release, VSTACK(""ReleaseDate"", CHOOSECOLS(base_games, 19)),
      category, VSTACK(""GameCategoryID"", CHOOSECOLS(base_games"&amp;", 11)),
      size, VSTACK(""GameSize"", CHOOSECOLS(base_games, 16)),
      reels, VSTACK(""ReelsAndRows"", CHOOSECOLS(base_games, 21)),
      lines, VSTACK(""Paylines"", CHOOSECOLS(base_games, 22)),
      payLines, VSTACK(""PayableLines"", CHOOSECOLS(bas"&amp;"e_games, 23)),
      rtp, VSTACK(""RTP%"", ARRAYFORMULA(IF(CHOOSECOLS(base_games, 24)="""", """", CHOOSECOLS(base_games, 24) &amp; ""%""))),
      volatility, VSTACK(""VolatilityID"", CHOOSECOLS(base_games, 25)),
      hit, VSTACK(""HitFrequency%"", ARRAYFORM"&amp;"ULA(IF(CHOOSECOLS(base_games,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40)),
      promo, VSTACK(""PromoTe"&amp;"xt"", CHOOSECOLS(base_games, 45)),
      part1, HSTACK(studio, name, gameID, release, category, size, reels, lines, payLines, rtp, volatility, hit, exposure, bet, jackpot, features, demo, promo),
      lang_headers, GameLanguages_za_CA!B1:AD"&amp;"1,
      lang_data, ARRAYFORMULA(IFERROR(VLOOKUP(gameid_keys, GameLanguages_za_CA!A:AD, SEQUENCE(1, COLUMNS(lang_headers), 2), 0), """")),
      part2, VSTACK(lang_headers, lang_data),
      jur_headers, FILTER(Jurisdiction_report!B1:BY1, Jurisdict"&amp;"ion_report!B1:BY1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Avail"&amp;"able)"", """"))),
        LET(
          filtered_headers, CHOOSECOLS(jur_headers, valid_col_indices),
          filtered_data_raw, CHOOSECOLS(jur_data_raw, valid_col_indices),
          filtered_data, ARRAYFORMULA(IF(filtered_data_raw = ""Available"", """&amp;"Available"",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IFERROR(__xludf.DUMMYFUNCTION("""COMPUTED_VALUE"""),"Croatia")</f>
        <v>Croatia</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IFERROR(__xludf.DUMMYFUNCTION("""COMPUTED_VALUE"""),"Tiptop")</f>
        <v>Tiptop</v>
      </c>
      <c r="B3" s="5" t="str">
        <f>IFERROR(__xludf.DUMMYFUNCTION("""COMPUTED_VALUE"""),"Vegas Dice")</f>
        <v>Vegas Dice</v>
      </c>
      <c r="C3" s="5" t="str">
        <f>IFERROR(__xludf.DUMMYFUNCTION("""COMPUTED_VALUE"""),"UnicornVegasDice")</f>
        <v>UnicornVegasDice</v>
      </c>
      <c r="D3" s="6">
        <f>IFERROR(__xludf.DUMMYFUNCTION("""COMPUTED_VALUE"""),44371.0)</f>
        <v>44371</v>
      </c>
      <c r="E3" s="5" t="str">
        <f>IFERROR(__xludf.DUMMYFUNCTION("""COMPUTED_VALUE"""),"Dice Slots")</f>
        <v>Dice Slots</v>
      </c>
      <c r="F3" s="5">
        <f>IFERROR(__xludf.DUMMYFUNCTION("""COMPUTED_VALUE"""),15.5)</f>
        <v>15.5</v>
      </c>
      <c r="G3" s="5" t="str">
        <f>IFERROR(__xludf.DUMMYFUNCTION("""COMPUTED_VALUE"""),"5x3")</f>
        <v>5x3</v>
      </c>
      <c r="H3" s="5" t="str">
        <f>IFERROR(__xludf.DUMMYFUNCTION("""COMPUTED_VALUE"""),"5")</f>
        <v>5</v>
      </c>
      <c r="I3" s="5" t="str">
        <f>IFERROR(__xludf.DUMMYFUNCTION("""COMPUTED_VALUE"""),"5")</f>
        <v>5</v>
      </c>
      <c r="J3" s="5" t="str">
        <f>IFERROR(__xludf.DUMMYFUNCTION("""COMPUTED_VALUE"""),"96%")</f>
        <v>96%</v>
      </c>
      <c r="K3" s="5" t="str">
        <f>IFERROR(__xludf.DUMMYFUNCTION("""COMPUTED_VALUE"""),"Low")</f>
        <v>Low</v>
      </c>
      <c r="L3" s="5" t="str">
        <f>IFERROR(__xludf.DUMMYFUNCTION("""COMPUTED_VALUE"""),"10.5%")</f>
        <v>10.5%</v>
      </c>
      <c r="M3" s="5" t="str">
        <f>IFERROR(__xludf.DUMMYFUNCTION("""COMPUTED_VALUE"""),"x1000")</f>
        <v>x1000</v>
      </c>
      <c r="N3" s="5" t="str">
        <f>IFERROR(__xludf.DUMMYFUNCTION("""COMPUTED_VALUE"""),"0.05/40")</f>
        <v>0.05/40</v>
      </c>
      <c r="O3" s="5" t="str">
        <f>IFERROR(__xludf.DUMMYFUNCTION("""COMPUTED_VALUE"""),"No")</f>
        <v>No</v>
      </c>
      <c r="P3" s="5"/>
      <c r="Q3" s="7" t="str">
        <f>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R3" s="5" t="str">
        <f>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S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 s="5" t="str">
        <f>IFERROR(__xludf.DUMMYFUNCTION("""COMPUTED_VALUE"""),"Yes")</f>
        <v>Yes</v>
      </c>
      <c r="U3" s="5" t="str">
        <f>IFERROR(__xludf.DUMMYFUNCTION("""COMPUTED_VALUE"""),"Yes")</f>
        <v>Yes</v>
      </c>
      <c r="V3" s="5" t="str">
        <f>IFERROR(__xludf.DUMMYFUNCTION("""COMPUTED_VALUE"""),"Yes")</f>
        <v>Yes</v>
      </c>
      <c r="W3" s="5" t="str">
        <f>IFERROR(__xludf.DUMMYFUNCTION("""COMPUTED_VALUE"""),"No")</f>
        <v>No</v>
      </c>
      <c r="X3" s="5" t="str">
        <f>IFERROR(__xludf.DUMMYFUNCTION("""COMPUTED_VALUE"""),"No")</f>
        <v>No</v>
      </c>
      <c r="Y3" s="5" t="str">
        <f>IFERROR(__xludf.DUMMYFUNCTION("""COMPUTED_VALUE"""),"No")</f>
        <v>No</v>
      </c>
      <c r="Z3" s="5" t="str">
        <f>IFERROR(__xludf.DUMMYFUNCTION("""COMPUTED_VALUE"""),"No")</f>
        <v>No</v>
      </c>
      <c r="AA3" s="5" t="str">
        <f>IFERROR(__xludf.DUMMYFUNCTION("""COMPUTED_VALUE"""),"No")</f>
        <v>No</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IFERROR(__xludf.DUMMYFUNCTION("""COMPUTED_VALUE"""),"No")</f>
        <v>No</v>
      </c>
      <c r="AH3" s="5" t="str">
        <f>IFERROR(__xludf.DUMMYFUNCTION("""COMPUTED_VALUE"""),"Yes")</f>
        <v>Yes</v>
      </c>
      <c r="AI3" s="5" t="str">
        <f>IFERROR(__xludf.DUMMYFUNCTION("""COMPUTED_VALUE"""),"No")</f>
        <v>No</v>
      </c>
      <c r="AJ3" s="5" t="str">
        <f>IFERROR(__xludf.DUMMYFUNCTION("""COMPUTED_VALUE"""),"No")</f>
        <v>No</v>
      </c>
      <c r="AK3" s="5" t="str">
        <f>IFERROR(__xludf.DUMMYFUNCTION("""COMPUTED_VALUE"""),"No")</f>
        <v>No</v>
      </c>
      <c r="AL3" s="5" t="str">
        <f>IFERROR(__xludf.DUMMYFUNCTION("""COMPUTED_VALUE"""),"No")</f>
        <v>No</v>
      </c>
      <c r="AM3" s="5" t="str">
        <f>IFERROR(__xludf.DUMMYFUNCTION("""COMPUTED_VALUE"""),"No")</f>
        <v>No</v>
      </c>
      <c r="AN3" s="5"/>
      <c r="AO3" s="5" t="str">
        <f>IFERROR(__xludf.DUMMYFUNCTION("""COMPUTED_VALUE"""),"No")</f>
        <v>No</v>
      </c>
      <c r="AP3" s="5"/>
      <c r="AQ3" s="5" t="str">
        <f>IFERROR(__xludf.DUMMYFUNCTION("""COMPUTED_VALUE"""),"No")</f>
        <v>No</v>
      </c>
      <c r="AR3" s="5"/>
      <c r="AS3" s="5" t="str">
        <f>IFERROR(__xludf.DUMMYFUNCTION("""COMPUTED_VALUE"""),"No")</f>
        <v>No</v>
      </c>
      <c r="AT3" s="5" t="str">
        <f>IFERROR(__xludf.DUMMYFUNCTION("""COMPUTED_VALUE"""),"No")</f>
        <v>No</v>
      </c>
      <c r="AU3" s="5"/>
      <c r="AV3" s="5" t="str">
        <f>IFERROR(__xludf.DUMMYFUNCTION("""COMPUTED_VALUE"""),"")</f>
        <v/>
      </c>
    </row>
    <row r="4">
      <c r="A4" s="5" t="str">
        <f>IFERROR(__xludf.DUMMYFUNCTION("""COMPUTED_VALUE"""),"Tiptop")</f>
        <v>Tiptop</v>
      </c>
      <c r="B4" s="5" t="str">
        <f>IFERROR(__xludf.DUMMYFUNCTION("""COMPUTED_VALUE"""),"Reel Dice")</f>
        <v>Reel Dice</v>
      </c>
      <c r="C4" s="5" t="str">
        <f>IFERROR(__xludf.DUMMYFUNCTION("""COMPUTED_VALUE"""),"UnicornReelDice")</f>
        <v>UnicornReelDice</v>
      </c>
      <c r="D4" s="6">
        <f>IFERROR(__xludf.DUMMYFUNCTION("""COMPUTED_VALUE"""),44371.0)</f>
        <v>44371</v>
      </c>
      <c r="E4" s="5" t="str">
        <f>IFERROR(__xludf.DUMMYFUNCTION("""COMPUTED_VALUE"""),"Dice Slots")</f>
        <v>Dice Slots</v>
      </c>
      <c r="F4" s="5">
        <f>IFERROR(__xludf.DUMMYFUNCTION("""COMPUTED_VALUE"""),15.6)</f>
        <v>15.6</v>
      </c>
      <c r="G4" s="5" t="str">
        <f>IFERROR(__xludf.DUMMYFUNCTION("""COMPUTED_VALUE"""),"5x3")</f>
        <v>5x3</v>
      </c>
      <c r="H4" s="5" t="str">
        <f>IFERROR(__xludf.DUMMYFUNCTION("""COMPUTED_VALUE"""),"5")</f>
        <v>5</v>
      </c>
      <c r="I4" s="5" t="str">
        <f>IFERROR(__xludf.DUMMYFUNCTION("""COMPUTED_VALUE"""),"5")</f>
        <v>5</v>
      </c>
      <c r="J4" s="5" t="str">
        <f>IFERROR(__xludf.DUMMYFUNCTION("""COMPUTED_VALUE"""),"96%")</f>
        <v>96%</v>
      </c>
      <c r="K4" s="5" t="str">
        <f>IFERROR(__xludf.DUMMYFUNCTION("""COMPUTED_VALUE"""),"Low")</f>
        <v>Low</v>
      </c>
      <c r="L4" s="5" t="str">
        <f>IFERROR(__xludf.DUMMYFUNCTION("""COMPUTED_VALUE"""),"9.2%")</f>
        <v>9.2%</v>
      </c>
      <c r="M4" s="5" t="str">
        <f>IFERROR(__xludf.DUMMYFUNCTION("""COMPUTED_VALUE"""),"x1000")</f>
        <v>x1000</v>
      </c>
      <c r="N4" s="5" t="str">
        <f>IFERROR(__xludf.DUMMYFUNCTION("""COMPUTED_VALUE"""),"0.05/100")</f>
        <v>0.05/100</v>
      </c>
      <c r="O4" s="5" t="str">
        <f>IFERROR(__xludf.DUMMYFUNCTION("""COMPUTED_VALUE"""),"No")</f>
        <v>No</v>
      </c>
      <c r="P4" s="5"/>
      <c r="Q4" s="7" t="str">
        <f>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R4" s="5" t="str">
        <f>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S4" s="5" t="str">
        <f>IFERROR(__xludf.DUMMYFUNCTION("""COMPUTED_VALUE"""),"English(""eng"")")</f>
        <v>English("eng")</v>
      </c>
      <c r="T4" s="5" t="str">
        <f>IFERROR(__xludf.DUMMYFUNCTION("""COMPUTED_VALUE"""),"Yes")</f>
        <v>Yes</v>
      </c>
      <c r="U4" s="5" t="str">
        <f>IFERROR(__xludf.DUMMYFUNCTION("""COMPUTED_VALUE"""),"No")</f>
        <v>No</v>
      </c>
      <c r="V4" s="5" t="str">
        <f>IFERROR(__xludf.DUMMYFUNCTION("""COMPUTED_VALUE"""),"No")</f>
        <v>No</v>
      </c>
      <c r="W4" s="5" t="str">
        <f>IFERROR(__xludf.DUMMYFUNCTION("""COMPUTED_VALUE"""),"No")</f>
        <v>No</v>
      </c>
      <c r="X4" s="5" t="str">
        <f>IFERROR(__xludf.DUMMYFUNCTION("""COMPUTED_VALUE"""),"No")</f>
        <v>No</v>
      </c>
      <c r="Y4" s="5" t="str">
        <f>IFERROR(__xludf.DUMMYFUNCTION("""COMPUTED_VALUE"""),"No")</f>
        <v>No</v>
      </c>
      <c r="Z4" s="5" t="str">
        <f>IFERROR(__xludf.DUMMYFUNCTION("""COMPUTED_VALUE"""),"No")</f>
        <v>No</v>
      </c>
      <c r="AA4" s="5" t="str">
        <f>IFERROR(__xludf.DUMMYFUNCTION("""COMPUTED_VALUE"""),"No")</f>
        <v>No</v>
      </c>
      <c r="AB4" s="5" t="str">
        <f>IFERROR(__xludf.DUMMYFUNCTION("""COMPUTED_VALUE"""),"No")</f>
        <v>No</v>
      </c>
      <c r="AC4" s="5" t="str">
        <f>IFERROR(__xludf.DUMMYFUNCTION("""COMPUTED_VALUE"""),"No")</f>
        <v>No</v>
      </c>
      <c r="AD4" s="5" t="str">
        <f>IFERROR(__xludf.DUMMYFUNCTION("""COMPUTED_VALUE"""),"No")</f>
        <v>No</v>
      </c>
      <c r="AE4" s="5" t="str">
        <f>IFERROR(__xludf.DUMMYFUNCTION("""COMPUTED_VALUE"""),"No")</f>
        <v>No</v>
      </c>
      <c r="AF4" s="5" t="str">
        <f>IFERROR(__xludf.DUMMYFUNCTION("""COMPUTED_VALUE"""),"No")</f>
        <v>No</v>
      </c>
      <c r="AG4" s="5" t="str">
        <f>IFERROR(__xludf.DUMMYFUNCTION("""COMPUTED_VALUE"""),"No")</f>
        <v>No</v>
      </c>
      <c r="AH4" s="5" t="str">
        <f>IFERROR(__xludf.DUMMYFUNCTION("""COMPUTED_VALUE"""),"No")</f>
        <v>No</v>
      </c>
      <c r="AI4" s="5" t="str">
        <f>IFERROR(__xludf.DUMMYFUNCTION("""COMPUTED_VALUE"""),"No")</f>
        <v>No</v>
      </c>
      <c r="AJ4" s="5" t="str">
        <f>IFERROR(__xludf.DUMMYFUNCTION("""COMPUTED_VALUE"""),"No")</f>
        <v>No</v>
      </c>
      <c r="AK4" s="5" t="str">
        <f>IFERROR(__xludf.DUMMYFUNCTION("""COMPUTED_VALUE"""),"No")</f>
        <v>No</v>
      </c>
      <c r="AL4" s="5" t="str">
        <f>IFERROR(__xludf.DUMMYFUNCTION("""COMPUTED_VALUE"""),"No")</f>
        <v>No</v>
      </c>
      <c r="AM4" s="5" t="str">
        <f>IFERROR(__xludf.DUMMYFUNCTION("""COMPUTED_VALUE"""),"No")</f>
        <v>No</v>
      </c>
      <c r="AN4" s="5" t="str">
        <f>IFERROR(__xludf.DUMMYFUNCTION("""COMPUTED_VALUE"""),"No")</f>
        <v>No</v>
      </c>
      <c r="AO4" s="5" t="str">
        <f>IFERROR(__xludf.DUMMYFUNCTION("""COMPUTED_VALUE"""),"No")</f>
        <v>No</v>
      </c>
      <c r="AP4" s="5" t="str">
        <f>IFERROR(__xludf.DUMMYFUNCTION("""COMPUTED_VALUE"""),"No")</f>
        <v>No</v>
      </c>
      <c r="AQ4" s="5" t="str">
        <f>IFERROR(__xludf.DUMMYFUNCTION("""COMPUTED_VALUE"""),"No")</f>
        <v>No</v>
      </c>
      <c r="AR4" s="5" t="str">
        <f>IFERROR(__xludf.DUMMYFUNCTION("""COMPUTED_VALUE"""),"No")</f>
        <v>No</v>
      </c>
      <c r="AS4" s="5" t="str">
        <f>IFERROR(__xludf.DUMMYFUNCTION("""COMPUTED_VALUE"""),"No")</f>
        <v>No</v>
      </c>
      <c r="AT4" s="5" t="str">
        <f>IFERROR(__xludf.DUMMYFUNCTION("""COMPUTED_VALUE"""),"No")</f>
        <v>No</v>
      </c>
      <c r="AU4" s="5"/>
      <c r="AV4" s="5" t="str">
        <f>IFERROR(__xludf.DUMMYFUNCTION("""COMPUTED_VALUE"""),"")</f>
        <v/>
      </c>
    </row>
    <row r="5">
      <c r="A5" s="5" t="str">
        <f>IFERROR(__xludf.DUMMYFUNCTION("""COMPUTED_VALUE"""),"Tiptop")</f>
        <v>Tiptop</v>
      </c>
      <c r="B5" s="5" t="str">
        <f>IFERROR(__xludf.DUMMYFUNCTION("""COMPUTED_VALUE"""),"Fruit Island")</f>
        <v>Fruit Island</v>
      </c>
      <c r="C5" s="5" t="str">
        <f>IFERROR(__xludf.DUMMYFUNCTION("""COMPUTED_VALUE"""),"UnicornFruitIsland")</f>
        <v>UnicornFruitIsland</v>
      </c>
      <c r="D5" s="6">
        <f>IFERROR(__xludf.DUMMYFUNCTION("""COMPUTED_VALUE"""),44343.0)</f>
        <v>44343</v>
      </c>
      <c r="E5" s="5" t="str">
        <f>IFERROR(__xludf.DUMMYFUNCTION("""COMPUTED_VALUE"""),"Slot")</f>
        <v>Slot</v>
      </c>
      <c r="F5" s="5">
        <f>IFERROR(__xludf.DUMMYFUNCTION("""COMPUTED_VALUE"""),13.7)</f>
        <v>13.7</v>
      </c>
      <c r="G5" s="5" t="str">
        <f>IFERROR(__xludf.DUMMYFUNCTION("""COMPUTED_VALUE"""),"5x3")</f>
        <v>5x3</v>
      </c>
      <c r="H5" s="5" t="str">
        <f>IFERROR(__xludf.DUMMYFUNCTION("""COMPUTED_VALUE"""),"5")</f>
        <v>5</v>
      </c>
      <c r="I5" s="5" t="str">
        <f>IFERROR(__xludf.DUMMYFUNCTION("""COMPUTED_VALUE"""),"5")</f>
        <v>5</v>
      </c>
      <c r="J5" s="5" t="str">
        <f>IFERROR(__xludf.DUMMYFUNCTION("""COMPUTED_VALUE"""),"96%")</f>
        <v>96%</v>
      </c>
      <c r="K5" s="5" t="str">
        <f>IFERROR(__xludf.DUMMYFUNCTION("""COMPUTED_VALUE"""),"Low")</f>
        <v>Low</v>
      </c>
      <c r="L5" s="5" t="str">
        <f>IFERROR(__xludf.DUMMYFUNCTION("""COMPUTED_VALUE"""),"10.5%")</f>
        <v>10.5%</v>
      </c>
      <c r="M5" s="5" t="str">
        <f>IFERROR(__xludf.DUMMYFUNCTION("""COMPUTED_VALUE"""),"x1000")</f>
        <v>x1000</v>
      </c>
      <c r="N5" s="5" t="str">
        <f>IFERROR(__xludf.DUMMYFUNCTION("""COMPUTED_VALUE"""),"0.05/40")</f>
        <v>0.05/40</v>
      </c>
      <c r="O5" s="5" t="str">
        <f>IFERROR(__xludf.DUMMYFUNCTION("""COMPUTED_VALUE"""),"No")</f>
        <v>No</v>
      </c>
      <c r="P5" s="5"/>
      <c r="Q5" s="7" t="str">
        <f>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R5" s="5" t="str">
        <f>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S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 s="5" t="str">
        <f>IFERROR(__xludf.DUMMYFUNCTION("""COMPUTED_VALUE"""),"Yes")</f>
        <v>Yes</v>
      </c>
      <c r="U5" s="5" t="str">
        <f>IFERROR(__xludf.DUMMYFUNCTION("""COMPUTED_VALUE"""),"Yes")</f>
        <v>Yes</v>
      </c>
      <c r="V5" s="5" t="str">
        <f>IFERROR(__xludf.DUMMYFUNCTION("""COMPUTED_VALUE"""),"Yes")</f>
        <v>Yes</v>
      </c>
      <c r="W5" s="5" t="str">
        <f>IFERROR(__xludf.DUMMYFUNCTION("""COMPUTED_VALUE"""),"No")</f>
        <v>No</v>
      </c>
      <c r="X5" s="5" t="str">
        <f>IFERROR(__xludf.DUMMYFUNCTION("""COMPUTED_VALUE"""),"No")</f>
        <v>No</v>
      </c>
      <c r="Y5" s="5" t="str">
        <f>IFERROR(__xludf.DUMMYFUNCTION("""COMPUTED_VALUE"""),"No")</f>
        <v>No</v>
      </c>
      <c r="Z5" s="5" t="str">
        <f>IFERROR(__xludf.DUMMYFUNCTION("""COMPUTED_VALUE"""),"No")</f>
        <v>No</v>
      </c>
      <c r="AA5" s="5" t="str">
        <f>IFERROR(__xludf.DUMMYFUNCTION("""COMPUTED_VALUE"""),"No")</f>
        <v>No</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IFERROR(__xludf.DUMMYFUNCTION("""COMPUTED_VALUE"""),"No")</f>
        <v>No</v>
      </c>
      <c r="AH5" s="5" t="str">
        <f>IFERROR(__xludf.DUMMYFUNCTION("""COMPUTED_VALUE"""),"Yes")</f>
        <v>Yes</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t="str">
        <f>IFERROR(__xludf.DUMMYFUNCTION("""COMPUTED_VALUE"""),"No")</f>
        <v>No</v>
      </c>
      <c r="AN5" s="5"/>
      <c r="AO5" s="5"/>
      <c r="AP5" s="5"/>
      <c r="AQ5" s="5" t="str">
        <f>IFERROR(__xludf.DUMMYFUNCTION("""COMPUTED_VALUE"""),"No")</f>
        <v>No</v>
      </c>
      <c r="AR5" s="5"/>
      <c r="AS5" s="5"/>
      <c r="AT5" s="5"/>
      <c r="AU5" s="5"/>
      <c r="AV5" s="5" t="str">
        <f>IFERROR(__xludf.DUMMYFUNCTION("""COMPUTED_VALUE"""),"")</f>
        <v/>
      </c>
    </row>
    <row r="6">
      <c r="A6" s="5" t="str">
        <f>IFERROR(__xludf.DUMMYFUNCTION("""COMPUTED_VALUE"""),"Tiptop")</f>
        <v>Tiptop</v>
      </c>
      <c r="B6" s="5" t="str">
        <f>IFERROR(__xludf.DUMMYFUNCTION("""COMPUTED_VALUE"""),"Wild Paradice")</f>
        <v>Wild Paradice</v>
      </c>
      <c r="C6" s="5" t="str">
        <f>IFERROR(__xludf.DUMMYFUNCTION("""COMPUTED_VALUE"""),"UnicornWildParadise")</f>
        <v>UnicornWildParadise</v>
      </c>
      <c r="D6" s="6">
        <f>IFERROR(__xludf.DUMMYFUNCTION("""COMPUTED_VALUE"""),44585.0)</f>
        <v>44585</v>
      </c>
      <c r="E6" s="5" t="str">
        <f>IFERROR(__xludf.DUMMYFUNCTION("""COMPUTED_VALUE"""),"Dice Slots")</f>
        <v>Dice Slots</v>
      </c>
      <c r="F6" s="5">
        <f>IFERROR(__xludf.DUMMYFUNCTION("""COMPUTED_VALUE"""),11.1)</f>
        <v>11.1</v>
      </c>
      <c r="G6" s="5" t="str">
        <f>IFERROR(__xludf.DUMMYFUNCTION("""COMPUTED_VALUE"""),"5X3")</f>
        <v>5X3</v>
      </c>
      <c r="H6" s="5" t="str">
        <f>IFERROR(__xludf.DUMMYFUNCTION("""COMPUTED_VALUE"""),"10")</f>
        <v>10</v>
      </c>
      <c r="I6" s="5" t="str">
        <f>IFERROR(__xludf.DUMMYFUNCTION("""COMPUTED_VALUE"""),"10")</f>
        <v>10</v>
      </c>
      <c r="J6" s="5" t="str">
        <f>IFERROR(__xludf.DUMMYFUNCTION("""COMPUTED_VALUE"""),"96%")</f>
        <v>96%</v>
      </c>
      <c r="K6" s="5" t="str">
        <f>IFERROR(__xludf.DUMMYFUNCTION("""COMPUTED_VALUE"""),"Low")</f>
        <v>Low</v>
      </c>
      <c r="L6" s="5" t="str">
        <f>IFERROR(__xludf.DUMMYFUNCTION("""COMPUTED_VALUE"""),"26.12%")</f>
        <v>26.12%</v>
      </c>
      <c r="M6" s="5" t="str">
        <f>IFERROR(__xludf.DUMMYFUNCTION("""COMPUTED_VALUE"""),"x1060")</f>
        <v>x1060</v>
      </c>
      <c r="N6" s="5" t="str">
        <f>IFERROR(__xludf.DUMMYFUNCTION("""COMPUTED_VALUE"""),"0.1/100")</f>
        <v>0.1/100</v>
      </c>
      <c r="O6" s="5" t="str">
        <f>IFERROR(__xludf.DUMMYFUNCTION("""COMPUTED_VALUE"""),"No")</f>
        <v>No</v>
      </c>
      <c r="P6" s="5" t="str">
        <f>IFERROR(__xludf.DUMMYFUNCTION("""COMPUTED_VALUE"""),"Expanding Wild")</f>
        <v>Expanding Wild</v>
      </c>
      <c r="Q6" s="7" t="str">
        <f>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R6" s="5" t="str">
        <f>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S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 s="5" t="str">
        <f>IFERROR(__xludf.DUMMYFUNCTION("""COMPUTED_VALUE"""),"Yes")</f>
        <v>Yes</v>
      </c>
      <c r="U6" s="5" t="str">
        <f>IFERROR(__xludf.DUMMYFUNCTION("""COMPUTED_VALUE"""),"Yes")</f>
        <v>Yes</v>
      </c>
      <c r="V6" s="5" t="str">
        <f>IFERROR(__xludf.DUMMYFUNCTION("""COMPUTED_VALUE"""),"Yes")</f>
        <v>Yes</v>
      </c>
      <c r="W6" s="5" t="str">
        <f>IFERROR(__xludf.DUMMYFUNCTION("""COMPUTED_VALUE"""),"No")</f>
        <v>No</v>
      </c>
      <c r="X6" s="5" t="str">
        <f>IFERROR(__xludf.DUMMYFUNCTION("""COMPUTED_VALUE"""),"No")</f>
        <v>No</v>
      </c>
      <c r="Y6" s="5" t="str">
        <f>IFERROR(__xludf.DUMMYFUNCTION("""COMPUTED_VALUE"""),"No")</f>
        <v>No</v>
      </c>
      <c r="Z6" s="5" t="str">
        <f>IFERROR(__xludf.DUMMYFUNCTION("""COMPUTED_VALUE"""),"No")</f>
        <v>No</v>
      </c>
      <c r="AA6" s="5" t="str">
        <f>IFERROR(__xludf.DUMMYFUNCTION("""COMPUTED_VALUE"""),"No")</f>
        <v>No</v>
      </c>
      <c r="AB6" s="5" t="str">
        <f>IFERROR(__xludf.DUMMYFUNCTION("""COMPUTED_VALUE"""),"Yes")</f>
        <v>Yes</v>
      </c>
      <c r="AC6" s="5" t="str">
        <f>IFERROR(__xludf.DUMMYFUNCTION("""COMPUTED_VALUE"""),"Yes")</f>
        <v>Yes</v>
      </c>
      <c r="AD6" s="5" t="str">
        <f>IFERROR(__xludf.DUMMYFUNCTION("""COMPUTED_VALUE"""),"Yes")</f>
        <v>Yes</v>
      </c>
      <c r="AE6" s="5" t="str">
        <f>IFERROR(__xludf.DUMMYFUNCTION("""COMPUTED_VALUE"""),"Yes")</f>
        <v>Yes</v>
      </c>
      <c r="AF6" s="5" t="str">
        <f>IFERROR(__xludf.DUMMYFUNCTION("""COMPUTED_VALUE"""),"Yes")</f>
        <v>Yes</v>
      </c>
      <c r="AG6" s="5" t="str">
        <f>IFERROR(__xludf.DUMMYFUNCTION("""COMPUTED_VALUE"""),"No")</f>
        <v>No</v>
      </c>
      <c r="AH6" s="5" t="str">
        <f>IFERROR(__xludf.DUMMYFUNCTION("""COMPUTED_VALUE"""),"Yes")</f>
        <v>Yes</v>
      </c>
      <c r="AI6" s="5" t="str">
        <f>IFERROR(__xludf.DUMMYFUNCTION("""COMPUTED_VALUE"""),"No")</f>
        <v>No</v>
      </c>
      <c r="AJ6" s="5" t="str">
        <f>IFERROR(__xludf.DUMMYFUNCTION("""COMPUTED_VALUE"""),"No")</f>
        <v>No</v>
      </c>
      <c r="AK6" s="5" t="str">
        <f>IFERROR(__xludf.DUMMYFUNCTION("""COMPUTED_VALUE"""),"No")</f>
        <v>No</v>
      </c>
      <c r="AL6" s="5" t="str">
        <f>IFERROR(__xludf.DUMMYFUNCTION("""COMPUTED_VALUE"""),"No")</f>
        <v>No</v>
      </c>
      <c r="AM6" s="5" t="str">
        <f>IFERROR(__xludf.DUMMYFUNCTION("""COMPUTED_VALUE"""),"No")</f>
        <v>No</v>
      </c>
      <c r="AN6" s="5"/>
      <c r="AO6" s="5"/>
      <c r="AP6" s="5"/>
      <c r="AQ6" s="5" t="str">
        <f>IFERROR(__xludf.DUMMYFUNCTION("""COMPUTED_VALUE"""),"No")</f>
        <v>No</v>
      </c>
      <c r="AR6" s="5"/>
      <c r="AS6" s="5"/>
      <c r="AT6" s="5"/>
      <c r="AU6" s="5"/>
      <c r="AV6" s="5" t="str">
        <f>IFERROR(__xludf.DUMMYFUNCTION("""COMPUTED_VALUE"""),"")</f>
        <v/>
      </c>
    </row>
    <row r="7">
      <c r="A7" s="5" t="str">
        <f>IFERROR(__xludf.DUMMYFUNCTION("""COMPUTED_VALUE"""),"Tiptop")</f>
        <v>Tiptop</v>
      </c>
      <c r="B7" s="5" t="str">
        <f>IFERROR(__xludf.DUMMYFUNCTION("""COMPUTED_VALUE"""),"Rainbow Sevens")</f>
        <v>Rainbow Sevens</v>
      </c>
      <c r="C7" s="5" t="str">
        <f>IFERROR(__xludf.DUMMYFUNCTION("""COMPUTED_VALUE"""),"UnicornRainbowSevens")</f>
        <v>UnicornRainbowSevens</v>
      </c>
      <c r="D7" s="6">
        <f>IFERROR(__xludf.DUMMYFUNCTION("""COMPUTED_VALUE"""),44396.0)</f>
        <v>44396</v>
      </c>
      <c r="E7" s="5" t="str">
        <f>IFERROR(__xludf.DUMMYFUNCTION("""COMPUTED_VALUE"""),"Slot")</f>
        <v>Slot</v>
      </c>
      <c r="F7" s="5">
        <f>IFERROR(__xludf.DUMMYFUNCTION("""COMPUTED_VALUE"""),14.9)</f>
        <v>14.9</v>
      </c>
      <c r="G7" s="5" t="str">
        <f>IFERROR(__xludf.DUMMYFUNCTION("""COMPUTED_VALUE"""),"5X3")</f>
        <v>5X3</v>
      </c>
      <c r="H7" s="5" t="str">
        <f>IFERROR(__xludf.DUMMYFUNCTION("""COMPUTED_VALUE"""),"5")</f>
        <v>5</v>
      </c>
      <c r="I7" s="5" t="str">
        <f>IFERROR(__xludf.DUMMYFUNCTION("""COMPUTED_VALUE"""),"5")</f>
        <v>5</v>
      </c>
      <c r="J7" s="5" t="str">
        <f>IFERROR(__xludf.DUMMYFUNCTION("""COMPUTED_VALUE"""),"96%")</f>
        <v>96%</v>
      </c>
      <c r="K7" s="5" t="str">
        <f>IFERROR(__xludf.DUMMYFUNCTION("""COMPUTED_VALUE"""),"Low")</f>
        <v>Low</v>
      </c>
      <c r="L7" s="5" t="str">
        <f>IFERROR(__xludf.DUMMYFUNCTION("""COMPUTED_VALUE"""),"9.2%")</f>
        <v>9.2%</v>
      </c>
      <c r="M7" s="5" t="str">
        <f>IFERROR(__xludf.DUMMYFUNCTION("""COMPUTED_VALUE"""),"x1000")</f>
        <v>x1000</v>
      </c>
      <c r="N7" s="5" t="str">
        <f>IFERROR(__xludf.DUMMYFUNCTION("""COMPUTED_VALUE"""),"0.05/100")</f>
        <v>0.05/100</v>
      </c>
      <c r="O7" s="5" t="str">
        <f>IFERROR(__xludf.DUMMYFUNCTION("""COMPUTED_VALUE"""),"No")</f>
        <v>No</v>
      </c>
      <c r="P7" s="5"/>
      <c r="Q7" s="7" t="str">
        <f>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R7" s="5" t="str">
        <f>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S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7" s="5" t="str">
        <f>IFERROR(__xludf.DUMMYFUNCTION("""COMPUTED_VALUE"""),"Yes")</f>
        <v>Yes</v>
      </c>
      <c r="U7" s="5" t="str">
        <f>IFERROR(__xludf.DUMMYFUNCTION("""COMPUTED_VALUE"""),"Yes")</f>
        <v>Yes</v>
      </c>
      <c r="V7" s="5" t="str">
        <f>IFERROR(__xludf.DUMMYFUNCTION("""COMPUTED_VALUE"""),"Yes")</f>
        <v>Yes</v>
      </c>
      <c r="W7" s="5" t="str">
        <f>IFERROR(__xludf.DUMMYFUNCTION("""COMPUTED_VALUE"""),"No")</f>
        <v>No</v>
      </c>
      <c r="X7" s="5" t="str">
        <f>IFERROR(__xludf.DUMMYFUNCTION("""COMPUTED_VALUE"""),"No")</f>
        <v>No</v>
      </c>
      <c r="Y7" s="5" t="str">
        <f>IFERROR(__xludf.DUMMYFUNCTION("""COMPUTED_VALUE"""),"No")</f>
        <v>No</v>
      </c>
      <c r="Z7" s="5" t="str">
        <f>IFERROR(__xludf.DUMMYFUNCTION("""COMPUTED_VALUE"""),"No")</f>
        <v>No</v>
      </c>
      <c r="AA7" s="5" t="str">
        <f>IFERROR(__xludf.DUMMYFUNCTION("""COMPUTED_VALUE"""),"No")</f>
        <v>No</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IFERROR(__xludf.DUMMYFUNCTION("""COMPUTED_VALUE"""),"No")</f>
        <v>No</v>
      </c>
      <c r="AH7" s="5" t="str">
        <f>IFERROR(__xludf.DUMMYFUNCTION("""COMPUTED_VALUE"""),"Yes")</f>
        <v>Yes</v>
      </c>
      <c r="AI7" s="5" t="str">
        <f>IFERROR(__xludf.DUMMYFUNCTION("""COMPUTED_VALUE"""),"No")</f>
        <v>No</v>
      </c>
      <c r="AJ7" s="5" t="str">
        <f>IFERROR(__xludf.DUMMYFUNCTION("""COMPUTED_VALUE"""),"No")</f>
        <v>No</v>
      </c>
      <c r="AK7" s="5" t="str">
        <f>IFERROR(__xludf.DUMMYFUNCTION("""COMPUTED_VALUE"""),"No")</f>
        <v>No</v>
      </c>
      <c r="AL7" s="5" t="str">
        <f>IFERROR(__xludf.DUMMYFUNCTION("""COMPUTED_VALUE"""),"No")</f>
        <v>No</v>
      </c>
      <c r="AM7" s="5" t="str">
        <f>IFERROR(__xludf.DUMMYFUNCTION("""COMPUTED_VALUE"""),"No")</f>
        <v>No</v>
      </c>
      <c r="AN7" s="5"/>
      <c r="AO7" s="5"/>
      <c r="AP7" s="5"/>
      <c r="AQ7" s="5" t="str">
        <f>IFERROR(__xludf.DUMMYFUNCTION("""COMPUTED_VALUE"""),"No")</f>
        <v>No</v>
      </c>
      <c r="AR7" s="5"/>
      <c r="AS7" s="5"/>
      <c r="AT7" s="5"/>
      <c r="AU7" s="5"/>
      <c r="AV7" s="5" t="str">
        <f>IFERROR(__xludf.DUMMYFUNCTION("""COMPUTED_VALUE"""),"")</f>
        <v/>
      </c>
    </row>
    <row r="8">
      <c r="A8" s="5" t="str">
        <f>IFERROR(__xludf.DUMMYFUNCTION("""COMPUTED_VALUE"""),"Tiptop")</f>
        <v>Tiptop</v>
      </c>
      <c r="B8" s="5" t="str">
        <f>IFERROR(__xludf.DUMMYFUNCTION("""COMPUTED_VALUE"""),"Havana Dice")</f>
        <v>Havana Dice</v>
      </c>
      <c r="C8" s="5" t="str">
        <f>IFERROR(__xludf.DUMMYFUNCTION("""COMPUTED_VALUE"""),"UnicornHavanaDice")</f>
        <v>UnicornHavanaDice</v>
      </c>
      <c r="D8" s="6">
        <f>IFERROR(__xludf.DUMMYFUNCTION("""COMPUTED_VALUE"""),44606.0)</f>
        <v>44606</v>
      </c>
      <c r="E8" s="5" t="str">
        <f>IFERROR(__xludf.DUMMYFUNCTION("""COMPUTED_VALUE"""),"Dice Slots")</f>
        <v>Dice Slots</v>
      </c>
      <c r="F8" s="5">
        <f>IFERROR(__xludf.DUMMYFUNCTION("""COMPUTED_VALUE"""),11.5)</f>
        <v>11.5</v>
      </c>
      <c r="G8" s="5" t="str">
        <f>IFERROR(__xludf.DUMMYFUNCTION("""COMPUTED_VALUE"""),"5X3")</f>
        <v>5X3</v>
      </c>
      <c r="H8" s="5" t="str">
        <f>IFERROR(__xludf.DUMMYFUNCTION("""COMPUTED_VALUE"""),"10")</f>
        <v>10</v>
      </c>
      <c r="I8" s="5" t="str">
        <f>IFERROR(__xludf.DUMMYFUNCTION("""COMPUTED_VALUE"""),"10")</f>
        <v>10</v>
      </c>
      <c r="J8" s="5" t="str">
        <f>IFERROR(__xludf.DUMMYFUNCTION("""COMPUTED_VALUE"""),"96%")</f>
        <v>96%</v>
      </c>
      <c r="K8" s="5" t="str">
        <f>IFERROR(__xludf.DUMMYFUNCTION("""COMPUTED_VALUE"""),"Low")</f>
        <v>Low</v>
      </c>
      <c r="L8" s="5" t="str">
        <f>IFERROR(__xludf.DUMMYFUNCTION("""COMPUTED_VALUE"""),"12.79%")</f>
        <v>12.79%</v>
      </c>
      <c r="M8" s="5" t="str">
        <f>IFERROR(__xludf.DUMMYFUNCTION("""COMPUTED_VALUE"""),"x2000")</f>
        <v>x2000</v>
      </c>
      <c r="N8" s="5" t="str">
        <f>IFERROR(__xludf.DUMMYFUNCTION("""COMPUTED_VALUE"""),"0.1/100")</f>
        <v>0.1/100</v>
      </c>
      <c r="O8" s="5" t="str">
        <f>IFERROR(__xludf.DUMMYFUNCTION("""COMPUTED_VALUE"""),"No")</f>
        <v>No</v>
      </c>
      <c r="P8" s="5" t="str">
        <f>IFERROR(__xludf.DUMMYFUNCTION("""COMPUTED_VALUE"""),"Wild Symbol")</f>
        <v>Wild Symbol</v>
      </c>
      <c r="Q8" s="7" t="str">
        <f>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R8" s="5" t="str">
        <f>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S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8" s="5" t="str">
        <f>IFERROR(__xludf.DUMMYFUNCTION("""COMPUTED_VALUE"""),"Yes")</f>
        <v>Yes</v>
      </c>
      <c r="U8" s="5" t="str">
        <f>IFERROR(__xludf.DUMMYFUNCTION("""COMPUTED_VALUE"""),"Yes")</f>
        <v>Yes</v>
      </c>
      <c r="V8" s="5" t="str">
        <f>IFERROR(__xludf.DUMMYFUNCTION("""COMPUTED_VALUE"""),"Yes")</f>
        <v>Yes</v>
      </c>
      <c r="W8" s="5" t="str">
        <f>IFERROR(__xludf.DUMMYFUNCTION("""COMPUTED_VALUE"""),"No")</f>
        <v>No</v>
      </c>
      <c r="X8" s="5" t="str">
        <f>IFERROR(__xludf.DUMMYFUNCTION("""COMPUTED_VALUE"""),"No")</f>
        <v>No</v>
      </c>
      <c r="Y8" s="5" t="str">
        <f>IFERROR(__xludf.DUMMYFUNCTION("""COMPUTED_VALUE"""),"No")</f>
        <v>No</v>
      </c>
      <c r="Z8" s="5" t="str">
        <f>IFERROR(__xludf.DUMMYFUNCTION("""COMPUTED_VALUE"""),"No")</f>
        <v>No</v>
      </c>
      <c r="AA8" s="5" t="str">
        <f>IFERROR(__xludf.DUMMYFUNCTION("""COMPUTED_VALUE"""),"No")</f>
        <v>No</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IFERROR(__xludf.DUMMYFUNCTION("""COMPUTED_VALUE"""),"No")</f>
        <v>No</v>
      </c>
      <c r="AH8" s="5" t="str">
        <f>IFERROR(__xludf.DUMMYFUNCTION("""COMPUTED_VALUE"""),"Yes")</f>
        <v>Yes</v>
      </c>
      <c r="AI8" s="5" t="str">
        <f>IFERROR(__xludf.DUMMYFUNCTION("""COMPUTED_VALUE"""),"No")</f>
        <v>No</v>
      </c>
      <c r="AJ8" s="5" t="str">
        <f>IFERROR(__xludf.DUMMYFUNCTION("""COMPUTED_VALUE"""),"No")</f>
        <v>No</v>
      </c>
      <c r="AK8" s="5" t="str">
        <f>IFERROR(__xludf.DUMMYFUNCTION("""COMPUTED_VALUE"""),"No")</f>
        <v>No</v>
      </c>
      <c r="AL8" s="5" t="str">
        <f>IFERROR(__xludf.DUMMYFUNCTION("""COMPUTED_VALUE"""),"No")</f>
        <v>No</v>
      </c>
      <c r="AM8" s="5" t="str">
        <f>IFERROR(__xludf.DUMMYFUNCTION("""COMPUTED_VALUE"""),"No")</f>
        <v>No</v>
      </c>
      <c r="AN8" s="5"/>
      <c r="AO8" s="5"/>
      <c r="AP8" s="5"/>
      <c r="AQ8" s="5" t="str">
        <f>IFERROR(__xludf.DUMMYFUNCTION("""COMPUTED_VALUE"""),"No")</f>
        <v>No</v>
      </c>
      <c r="AR8" s="5"/>
      <c r="AS8" s="5"/>
      <c r="AT8" s="5"/>
      <c r="AU8" s="5"/>
      <c r="AV8" s="5" t="str">
        <f>IFERROR(__xludf.DUMMYFUNCTION("""COMPUTED_VALUE"""),"")</f>
        <v/>
      </c>
    </row>
    <row r="9">
      <c r="A9" s="5" t="str">
        <f>IFERROR(__xludf.DUMMYFUNCTION("""COMPUTED_VALUE"""),"Tiptop")</f>
        <v>Tiptop</v>
      </c>
      <c r="B9" s="5" t="str">
        <f>IFERROR(__xludf.DUMMYFUNCTION("""COMPUTED_VALUE"""),"Casino Fruits")</f>
        <v>Casino Fruits</v>
      </c>
      <c r="C9" s="5" t="str">
        <f>IFERROR(__xludf.DUMMYFUNCTION("""COMPUTED_VALUE"""),"UnicornCasinoFruits")</f>
        <v>UnicornCasinoFruits</v>
      </c>
      <c r="D9" s="6">
        <f>IFERROR(__xludf.DUMMYFUNCTION("""COMPUTED_VALUE"""),44462.0)</f>
        <v>44462</v>
      </c>
      <c r="E9" s="5" t="str">
        <f>IFERROR(__xludf.DUMMYFUNCTION("""COMPUTED_VALUE"""),"Slot")</f>
        <v>Slot</v>
      </c>
      <c r="F9" s="5">
        <f>IFERROR(__xludf.DUMMYFUNCTION("""COMPUTED_VALUE"""),12.7)</f>
        <v>12.7</v>
      </c>
      <c r="G9" s="5" t="str">
        <f>IFERROR(__xludf.DUMMYFUNCTION("""COMPUTED_VALUE"""),"5X3")</f>
        <v>5X3</v>
      </c>
      <c r="H9" s="5" t="str">
        <f>IFERROR(__xludf.DUMMYFUNCTION("""COMPUTED_VALUE"""),"10")</f>
        <v>10</v>
      </c>
      <c r="I9" s="5" t="str">
        <f>IFERROR(__xludf.DUMMYFUNCTION("""COMPUTED_VALUE"""),"10")</f>
        <v>10</v>
      </c>
      <c r="J9" s="5" t="str">
        <f>IFERROR(__xludf.DUMMYFUNCTION("""COMPUTED_VALUE"""),"96%")</f>
        <v>96%</v>
      </c>
      <c r="K9" s="5" t="str">
        <f>IFERROR(__xludf.DUMMYFUNCTION("""COMPUTED_VALUE"""),"Low")</f>
        <v>Low</v>
      </c>
      <c r="L9" s="5" t="str">
        <f>IFERROR(__xludf.DUMMYFUNCTION("""COMPUTED_VALUE"""),"12.79%")</f>
        <v>12.79%</v>
      </c>
      <c r="M9" s="5" t="str">
        <f>IFERROR(__xludf.DUMMYFUNCTION("""COMPUTED_VALUE"""),"x2000")</f>
        <v>x2000</v>
      </c>
      <c r="N9" s="5" t="str">
        <f>IFERROR(__xludf.DUMMYFUNCTION("""COMPUTED_VALUE"""),"0.1/100")</f>
        <v>0.1/100</v>
      </c>
      <c r="O9" s="5" t="str">
        <f>IFERROR(__xludf.DUMMYFUNCTION("""COMPUTED_VALUE"""),"No")</f>
        <v>No</v>
      </c>
      <c r="P9" s="5" t="str">
        <f>IFERROR(__xludf.DUMMYFUNCTION("""COMPUTED_VALUE"""),"Wild Symbol")</f>
        <v>Wild Symbol</v>
      </c>
      <c r="Q9" s="7" t="str">
        <f>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R9" s="5" t="str">
        <f>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S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9" s="5" t="str">
        <f>IFERROR(__xludf.DUMMYFUNCTION("""COMPUTED_VALUE"""),"Yes")</f>
        <v>Yes</v>
      </c>
      <c r="U9" s="5" t="str">
        <f>IFERROR(__xludf.DUMMYFUNCTION("""COMPUTED_VALUE"""),"Yes")</f>
        <v>Yes</v>
      </c>
      <c r="V9" s="5" t="str">
        <f>IFERROR(__xludf.DUMMYFUNCTION("""COMPUTED_VALUE"""),"Yes")</f>
        <v>Yes</v>
      </c>
      <c r="W9" s="5" t="str">
        <f>IFERROR(__xludf.DUMMYFUNCTION("""COMPUTED_VALUE"""),"No")</f>
        <v>No</v>
      </c>
      <c r="X9" s="5" t="str">
        <f>IFERROR(__xludf.DUMMYFUNCTION("""COMPUTED_VALUE"""),"No")</f>
        <v>No</v>
      </c>
      <c r="Y9" s="5" t="str">
        <f>IFERROR(__xludf.DUMMYFUNCTION("""COMPUTED_VALUE"""),"No")</f>
        <v>No</v>
      </c>
      <c r="Z9" s="5" t="str">
        <f>IFERROR(__xludf.DUMMYFUNCTION("""COMPUTED_VALUE"""),"No")</f>
        <v>No</v>
      </c>
      <c r="AA9" s="5" t="str">
        <f>IFERROR(__xludf.DUMMYFUNCTION("""COMPUTED_VALUE"""),"No")</f>
        <v>No</v>
      </c>
      <c r="AB9" s="5" t="str">
        <f>IFERROR(__xludf.DUMMYFUNCTION("""COMPUTED_VALUE"""),"Yes")</f>
        <v>Yes</v>
      </c>
      <c r="AC9" s="5" t="str">
        <f>IFERROR(__xludf.DUMMYFUNCTION("""COMPUTED_VALUE"""),"Yes")</f>
        <v>Yes</v>
      </c>
      <c r="AD9" s="5" t="str">
        <f>IFERROR(__xludf.DUMMYFUNCTION("""COMPUTED_VALUE"""),"Yes")</f>
        <v>Yes</v>
      </c>
      <c r="AE9" s="5" t="str">
        <f>IFERROR(__xludf.DUMMYFUNCTION("""COMPUTED_VALUE"""),"Yes")</f>
        <v>Yes</v>
      </c>
      <c r="AF9" s="5" t="str">
        <f>IFERROR(__xludf.DUMMYFUNCTION("""COMPUTED_VALUE"""),"Yes")</f>
        <v>Yes</v>
      </c>
      <c r="AG9" s="5" t="str">
        <f>IFERROR(__xludf.DUMMYFUNCTION("""COMPUTED_VALUE"""),"No")</f>
        <v>No</v>
      </c>
      <c r="AH9" s="5" t="str">
        <f>IFERROR(__xludf.DUMMYFUNCTION("""COMPUTED_VALUE"""),"Yes")</f>
        <v>Yes</v>
      </c>
      <c r="AI9" s="5" t="str">
        <f>IFERROR(__xludf.DUMMYFUNCTION("""COMPUTED_VALUE"""),"No")</f>
        <v>No</v>
      </c>
      <c r="AJ9" s="5" t="str">
        <f>IFERROR(__xludf.DUMMYFUNCTION("""COMPUTED_VALUE"""),"No")</f>
        <v>No</v>
      </c>
      <c r="AK9" s="5" t="str">
        <f>IFERROR(__xludf.DUMMYFUNCTION("""COMPUTED_VALUE"""),"No")</f>
        <v>No</v>
      </c>
      <c r="AL9" s="5" t="str">
        <f>IFERROR(__xludf.DUMMYFUNCTION("""COMPUTED_VALUE"""),"No")</f>
        <v>No</v>
      </c>
      <c r="AM9" s="5" t="str">
        <f>IFERROR(__xludf.DUMMYFUNCTION("""COMPUTED_VALUE"""),"No")</f>
        <v>No</v>
      </c>
      <c r="AN9" s="5"/>
      <c r="AO9" s="5"/>
      <c r="AP9" s="5"/>
      <c r="AQ9" s="5" t="str">
        <f>IFERROR(__xludf.DUMMYFUNCTION("""COMPUTED_VALUE"""),"No")</f>
        <v>No</v>
      </c>
      <c r="AR9" s="5"/>
      <c r="AS9" s="5"/>
      <c r="AT9" s="5"/>
      <c r="AU9" s="5"/>
      <c r="AV9" s="5" t="str">
        <f>IFERROR(__xludf.DUMMYFUNCTION("""COMPUTED_VALUE"""),"")</f>
        <v/>
      </c>
    </row>
    <row r="10">
      <c r="A10" s="5" t="str">
        <f>IFERROR(__xludf.DUMMYFUNCTION("""COMPUTED_VALUE"""),"Tiptop")</f>
        <v>Tiptop</v>
      </c>
      <c r="B10" s="5" t="str">
        <f>IFERROR(__xludf.DUMMYFUNCTION("""COMPUTED_VALUE"""),"The Crown Fruit")</f>
        <v>The Crown Fruit</v>
      </c>
      <c r="C10" s="5" t="str">
        <f>IFERROR(__xludf.DUMMYFUNCTION("""COMPUTED_VALUE"""),"UnicornTheCrownFruit")</f>
        <v>UnicornTheCrownFruit</v>
      </c>
      <c r="D10" s="6">
        <f>IFERROR(__xludf.DUMMYFUNCTION("""COMPUTED_VALUE"""),44421.0)</f>
        <v>44421</v>
      </c>
      <c r="E10" s="5" t="str">
        <f>IFERROR(__xludf.DUMMYFUNCTION("""COMPUTED_VALUE"""),"Slot")</f>
        <v>Slot</v>
      </c>
      <c r="F10" s="5">
        <f>IFERROR(__xludf.DUMMYFUNCTION("""COMPUTED_VALUE"""),12.7)</f>
        <v>12.7</v>
      </c>
      <c r="G10" s="5" t="str">
        <f>IFERROR(__xludf.DUMMYFUNCTION("""COMPUTED_VALUE"""),"5X3")</f>
        <v>5X3</v>
      </c>
      <c r="H10" s="5" t="str">
        <f>IFERROR(__xludf.DUMMYFUNCTION("""COMPUTED_VALUE"""),"10")</f>
        <v>10</v>
      </c>
      <c r="I10" s="5" t="str">
        <f>IFERROR(__xludf.DUMMYFUNCTION("""COMPUTED_VALUE"""),"10")</f>
        <v>10</v>
      </c>
      <c r="J10" s="5" t="str">
        <f>IFERROR(__xludf.DUMMYFUNCTION("""COMPUTED_VALUE"""),"96%")</f>
        <v>96%</v>
      </c>
      <c r="K10" s="5" t="str">
        <f>IFERROR(__xludf.DUMMYFUNCTION("""COMPUTED_VALUE"""),"Low")</f>
        <v>Low</v>
      </c>
      <c r="L10" s="5" t="str">
        <f>IFERROR(__xludf.DUMMYFUNCTION("""COMPUTED_VALUE"""),"26.12%")</f>
        <v>26.12%</v>
      </c>
      <c r="M10" s="5" t="str">
        <f>IFERROR(__xludf.DUMMYFUNCTION("""COMPUTED_VALUE"""),"x1060")</f>
        <v>x1060</v>
      </c>
      <c r="N10" s="5" t="str">
        <f>IFERROR(__xludf.DUMMYFUNCTION("""COMPUTED_VALUE"""),"0.1/100")</f>
        <v>0.1/100</v>
      </c>
      <c r="O10" s="5" t="str">
        <f>IFERROR(__xludf.DUMMYFUNCTION("""COMPUTED_VALUE"""),"No")</f>
        <v>No</v>
      </c>
      <c r="P10" s="5" t="str">
        <f>IFERROR(__xludf.DUMMYFUNCTION("""COMPUTED_VALUE"""),"Expanding Wild")</f>
        <v>Expanding Wild</v>
      </c>
      <c r="Q10" s="7" t="str">
        <f>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R10" s="5" t="str">
        <f>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S1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5" t="str">
        <f>IFERROR(__xludf.DUMMYFUNCTION("""COMPUTED_VALUE"""),"Yes")</f>
        <v>Yes</v>
      </c>
      <c r="U10" s="5" t="str">
        <f>IFERROR(__xludf.DUMMYFUNCTION("""COMPUTED_VALUE"""),"Yes")</f>
        <v>Yes</v>
      </c>
      <c r="V10" s="5" t="str">
        <f>IFERROR(__xludf.DUMMYFUNCTION("""COMPUTED_VALUE"""),"Yes")</f>
        <v>Yes</v>
      </c>
      <c r="W10" s="5" t="str">
        <f>IFERROR(__xludf.DUMMYFUNCTION("""COMPUTED_VALUE"""),"No")</f>
        <v>No</v>
      </c>
      <c r="X10" s="5" t="str">
        <f>IFERROR(__xludf.DUMMYFUNCTION("""COMPUTED_VALUE"""),"No")</f>
        <v>No</v>
      </c>
      <c r="Y10" s="5" t="str">
        <f>IFERROR(__xludf.DUMMYFUNCTION("""COMPUTED_VALUE"""),"No")</f>
        <v>No</v>
      </c>
      <c r="Z10" s="5" t="str">
        <f>IFERROR(__xludf.DUMMYFUNCTION("""COMPUTED_VALUE"""),"No")</f>
        <v>No</v>
      </c>
      <c r="AA10" s="5" t="str">
        <f>IFERROR(__xludf.DUMMYFUNCTION("""COMPUTED_VALUE"""),"No")</f>
        <v>No</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IFERROR(__xludf.DUMMYFUNCTION("""COMPUTED_VALUE"""),"No")</f>
        <v>No</v>
      </c>
      <c r="AH10" s="5" t="str">
        <f>IFERROR(__xludf.DUMMYFUNCTION("""COMPUTED_VALUE"""),"Yes")</f>
        <v>Yes</v>
      </c>
      <c r="AI10" s="5" t="str">
        <f>IFERROR(__xludf.DUMMYFUNCTION("""COMPUTED_VALUE"""),"No")</f>
        <v>No</v>
      </c>
      <c r="AJ10" s="5" t="str">
        <f>IFERROR(__xludf.DUMMYFUNCTION("""COMPUTED_VALUE"""),"No")</f>
        <v>No</v>
      </c>
      <c r="AK10" s="5" t="str">
        <f>IFERROR(__xludf.DUMMYFUNCTION("""COMPUTED_VALUE"""),"No")</f>
        <v>No</v>
      </c>
      <c r="AL10" s="5" t="str">
        <f>IFERROR(__xludf.DUMMYFUNCTION("""COMPUTED_VALUE"""),"No")</f>
        <v>No</v>
      </c>
      <c r="AM10" s="5" t="str">
        <f>IFERROR(__xludf.DUMMYFUNCTION("""COMPUTED_VALUE"""),"No")</f>
        <v>No</v>
      </c>
      <c r="AN10" s="5"/>
      <c r="AO10" s="5"/>
      <c r="AP10" s="5"/>
      <c r="AQ10" s="5" t="str">
        <f>IFERROR(__xludf.DUMMYFUNCTION("""COMPUTED_VALUE"""),"No")</f>
        <v>No</v>
      </c>
      <c r="AR10" s="5"/>
      <c r="AS10" s="5"/>
      <c r="AT10" s="5"/>
      <c r="AU10" s="5"/>
      <c r="AV10" s="5" t="str">
        <f>IFERROR(__xludf.DUMMYFUNCTION("""COMPUTED_VALUE"""),"")</f>
        <v/>
      </c>
    </row>
    <row r="11">
      <c r="A11" s="5" t="str">
        <f>IFERROR(__xludf.DUMMYFUNCTION("""COMPUTED_VALUE"""),"Tiptop")</f>
        <v>Tiptop</v>
      </c>
      <c r="B11" s="5" t="str">
        <f>IFERROR(__xludf.DUMMYFUNCTION("""COMPUTED_VALUE"""),"Twenty Fruits")</f>
        <v>Twenty Fruits</v>
      </c>
      <c r="C11" s="5" t="str">
        <f>IFERROR(__xludf.DUMMYFUNCTION("""COMPUTED_VALUE"""),"UnicornTwentyFruits")</f>
        <v>UnicornTwentyFruits</v>
      </c>
      <c r="D11" s="6">
        <f>IFERROR(__xludf.DUMMYFUNCTION("""COMPUTED_VALUE"""),44519.0)</f>
        <v>44519</v>
      </c>
      <c r="E11" s="5" t="str">
        <f>IFERROR(__xludf.DUMMYFUNCTION("""COMPUTED_VALUE"""),"Slot")</f>
        <v>Slot</v>
      </c>
      <c r="F11" s="5">
        <f>IFERROR(__xludf.DUMMYFUNCTION("""COMPUTED_VALUE"""),9.0)</f>
        <v>9</v>
      </c>
      <c r="G11" s="5" t="str">
        <f>IFERROR(__xludf.DUMMYFUNCTION("""COMPUTED_VALUE"""),"5x4")</f>
        <v>5x4</v>
      </c>
      <c r="H11" s="5" t="str">
        <f>IFERROR(__xludf.DUMMYFUNCTION("""COMPUTED_VALUE"""),"20")</f>
        <v>20</v>
      </c>
      <c r="I11" s="5" t="str">
        <f>IFERROR(__xludf.DUMMYFUNCTION("""COMPUTED_VALUE"""),"20")</f>
        <v>20</v>
      </c>
      <c r="J11" s="5" t="str">
        <f>IFERROR(__xludf.DUMMYFUNCTION("""COMPUTED_VALUE"""),"96%")</f>
        <v>96%</v>
      </c>
      <c r="K11" s="5" t="str">
        <f>IFERROR(__xludf.DUMMYFUNCTION("""COMPUTED_VALUE"""),"Low")</f>
        <v>Low</v>
      </c>
      <c r="L11" s="5" t="str">
        <f>IFERROR(__xludf.DUMMYFUNCTION("""COMPUTED_VALUE"""),"11.7%")</f>
        <v>11.7%</v>
      </c>
      <c r="M11" s="5" t="str">
        <f>IFERROR(__xludf.DUMMYFUNCTION("""COMPUTED_VALUE"""),"x5000")</f>
        <v>x5000</v>
      </c>
      <c r="N11" s="5" t="str">
        <f>IFERROR(__xludf.DUMMYFUNCTION("""COMPUTED_VALUE"""),"0.2/100")</f>
        <v>0.2/100</v>
      </c>
      <c r="O11" s="5" t="str">
        <f>IFERROR(__xludf.DUMMYFUNCTION("""COMPUTED_VALUE"""),"No")</f>
        <v>No</v>
      </c>
      <c r="P11" s="5"/>
      <c r="Q11" s="7" t="str">
        <f>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R11" s="5" t="str">
        <f>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S1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1" s="5" t="str">
        <f>IFERROR(__xludf.DUMMYFUNCTION("""COMPUTED_VALUE"""),"Yes")</f>
        <v>Yes</v>
      </c>
      <c r="U11" s="5" t="str">
        <f>IFERROR(__xludf.DUMMYFUNCTION("""COMPUTED_VALUE"""),"Yes")</f>
        <v>Yes</v>
      </c>
      <c r="V11" s="5" t="str">
        <f>IFERROR(__xludf.DUMMYFUNCTION("""COMPUTED_VALUE"""),"Yes")</f>
        <v>Yes</v>
      </c>
      <c r="W11" s="5" t="str">
        <f>IFERROR(__xludf.DUMMYFUNCTION("""COMPUTED_VALUE"""),"No")</f>
        <v>No</v>
      </c>
      <c r="X11" s="5" t="str">
        <f>IFERROR(__xludf.DUMMYFUNCTION("""COMPUTED_VALUE"""),"No")</f>
        <v>No</v>
      </c>
      <c r="Y11" s="5" t="str">
        <f>IFERROR(__xludf.DUMMYFUNCTION("""COMPUTED_VALUE"""),"No")</f>
        <v>No</v>
      </c>
      <c r="Z11" s="5" t="str">
        <f>IFERROR(__xludf.DUMMYFUNCTION("""COMPUTED_VALUE"""),"No")</f>
        <v>No</v>
      </c>
      <c r="AA11" s="5" t="str">
        <f>IFERROR(__xludf.DUMMYFUNCTION("""COMPUTED_VALUE"""),"No")</f>
        <v>No</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IFERROR(__xludf.DUMMYFUNCTION("""COMPUTED_VALUE"""),"No")</f>
        <v>No</v>
      </c>
      <c r="AH11" s="5" t="str">
        <f>IFERROR(__xludf.DUMMYFUNCTION("""COMPUTED_VALUE"""),"Yes")</f>
        <v>Yes</v>
      </c>
      <c r="AI11" s="5" t="str">
        <f>IFERROR(__xludf.DUMMYFUNCTION("""COMPUTED_VALUE"""),"No")</f>
        <v>No</v>
      </c>
      <c r="AJ11" s="5" t="str">
        <f>IFERROR(__xludf.DUMMYFUNCTION("""COMPUTED_VALUE"""),"No")</f>
        <v>No</v>
      </c>
      <c r="AK11" s="5" t="str">
        <f>IFERROR(__xludf.DUMMYFUNCTION("""COMPUTED_VALUE"""),"No")</f>
        <v>No</v>
      </c>
      <c r="AL11" s="5" t="str">
        <f>IFERROR(__xludf.DUMMYFUNCTION("""COMPUTED_VALUE"""),"No")</f>
        <v>No</v>
      </c>
      <c r="AM11" s="5" t="str">
        <f>IFERROR(__xludf.DUMMYFUNCTION("""COMPUTED_VALUE"""),"No")</f>
        <v>No</v>
      </c>
      <c r="AN11" s="5"/>
      <c r="AO11" s="5"/>
      <c r="AP11" s="5"/>
      <c r="AQ11" s="5" t="str">
        <f>IFERROR(__xludf.DUMMYFUNCTION("""COMPUTED_VALUE"""),"No")</f>
        <v>No</v>
      </c>
      <c r="AR11" s="5"/>
      <c r="AS11" s="5"/>
      <c r="AT11" s="5"/>
      <c r="AU11" s="5"/>
      <c r="AV11" s="5" t="str">
        <f>IFERROR(__xludf.DUMMYFUNCTION("""COMPUTED_VALUE"""),"")</f>
        <v/>
      </c>
    </row>
    <row r="12">
      <c r="A12" s="5" t="str">
        <f>IFERROR(__xludf.DUMMYFUNCTION("""COMPUTED_VALUE"""),"Tiptop")</f>
        <v>Tiptop</v>
      </c>
      <c r="B12" s="5" t="str">
        <f>IFERROR(__xludf.DUMMYFUNCTION("""COMPUTED_VALUE"""),"Twenty Dice")</f>
        <v>Twenty Dice</v>
      </c>
      <c r="C12" s="5" t="str">
        <f>IFERROR(__xludf.DUMMYFUNCTION("""COMPUTED_VALUE"""),"UnicornTwentyDice")</f>
        <v>UnicornTwentyDice</v>
      </c>
      <c r="D12" s="6">
        <f>IFERROR(__xludf.DUMMYFUNCTION("""COMPUTED_VALUE"""),44519.0)</f>
        <v>44519</v>
      </c>
      <c r="E12" s="5" t="str">
        <f>IFERROR(__xludf.DUMMYFUNCTION("""COMPUTED_VALUE"""),"Dice Slots")</f>
        <v>Dice Slots</v>
      </c>
      <c r="F12" s="5">
        <f>IFERROR(__xludf.DUMMYFUNCTION("""COMPUTED_VALUE"""),9.0)</f>
        <v>9</v>
      </c>
      <c r="G12" s="5" t="str">
        <f>IFERROR(__xludf.DUMMYFUNCTION("""COMPUTED_VALUE"""),"5x4")</f>
        <v>5x4</v>
      </c>
      <c r="H12" s="5" t="str">
        <f>IFERROR(__xludf.DUMMYFUNCTION("""COMPUTED_VALUE"""),"20")</f>
        <v>20</v>
      </c>
      <c r="I12" s="5" t="str">
        <f>IFERROR(__xludf.DUMMYFUNCTION("""COMPUTED_VALUE"""),"20")</f>
        <v>20</v>
      </c>
      <c r="J12" s="5" t="str">
        <f>IFERROR(__xludf.DUMMYFUNCTION("""COMPUTED_VALUE"""),"96%")</f>
        <v>96%</v>
      </c>
      <c r="K12" s="5" t="str">
        <f>IFERROR(__xludf.DUMMYFUNCTION("""COMPUTED_VALUE"""),"Low")</f>
        <v>Low</v>
      </c>
      <c r="L12" s="5" t="str">
        <f>IFERROR(__xludf.DUMMYFUNCTION("""COMPUTED_VALUE"""),"11.7%")</f>
        <v>11.7%</v>
      </c>
      <c r="M12" s="5" t="str">
        <f>IFERROR(__xludf.DUMMYFUNCTION("""COMPUTED_VALUE"""),"x5000")</f>
        <v>x5000</v>
      </c>
      <c r="N12" s="5" t="str">
        <f>IFERROR(__xludf.DUMMYFUNCTION("""COMPUTED_VALUE"""),"0.2/100")</f>
        <v>0.2/100</v>
      </c>
      <c r="O12" s="5" t="str">
        <f>IFERROR(__xludf.DUMMYFUNCTION("""COMPUTED_VALUE"""),"No")</f>
        <v>No</v>
      </c>
      <c r="P12" s="5"/>
      <c r="Q12" s="7" t="str">
        <f>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R12" s="5" t="str">
        <f>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S1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2" s="5" t="str">
        <f>IFERROR(__xludf.DUMMYFUNCTION("""COMPUTED_VALUE"""),"Yes")</f>
        <v>Yes</v>
      </c>
      <c r="U12" s="5" t="str">
        <f>IFERROR(__xludf.DUMMYFUNCTION("""COMPUTED_VALUE"""),"Yes")</f>
        <v>Yes</v>
      </c>
      <c r="V12" s="5" t="str">
        <f>IFERROR(__xludf.DUMMYFUNCTION("""COMPUTED_VALUE"""),"Yes")</f>
        <v>Yes</v>
      </c>
      <c r="W12" s="5" t="str">
        <f>IFERROR(__xludf.DUMMYFUNCTION("""COMPUTED_VALUE"""),"No")</f>
        <v>No</v>
      </c>
      <c r="X12" s="5" t="str">
        <f>IFERROR(__xludf.DUMMYFUNCTION("""COMPUTED_VALUE"""),"No")</f>
        <v>No</v>
      </c>
      <c r="Y12" s="5" t="str">
        <f>IFERROR(__xludf.DUMMYFUNCTION("""COMPUTED_VALUE"""),"No")</f>
        <v>No</v>
      </c>
      <c r="Z12" s="5" t="str">
        <f>IFERROR(__xludf.DUMMYFUNCTION("""COMPUTED_VALUE"""),"No")</f>
        <v>No</v>
      </c>
      <c r="AA12" s="5" t="str">
        <f>IFERROR(__xludf.DUMMYFUNCTION("""COMPUTED_VALUE"""),"No")</f>
        <v>No</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IFERROR(__xludf.DUMMYFUNCTION("""COMPUTED_VALUE"""),"No")</f>
        <v>No</v>
      </c>
      <c r="AH12" s="5" t="str">
        <f>IFERROR(__xludf.DUMMYFUNCTION("""COMPUTED_VALUE"""),"Yes")</f>
        <v>Yes</v>
      </c>
      <c r="AI12" s="5" t="str">
        <f>IFERROR(__xludf.DUMMYFUNCTION("""COMPUTED_VALUE"""),"No")</f>
        <v>No</v>
      </c>
      <c r="AJ12" s="5" t="str">
        <f>IFERROR(__xludf.DUMMYFUNCTION("""COMPUTED_VALUE"""),"No")</f>
        <v>No</v>
      </c>
      <c r="AK12" s="5" t="str">
        <f>IFERROR(__xludf.DUMMYFUNCTION("""COMPUTED_VALUE"""),"No")</f>
        <v>No</v>
      </c>
      <c r="AL12" s="5" t="str">
        <f>IFERROR(__xludf.DUMMYFUNCTION("""COMPUTED_VALUE"""),"No")</f>
        <v>No</v>
      </c>
      <c r="AM12" s="5" t="str">
        <f>IFERROR(__xludf.DUMMYFUNCTION("""COMPUTED_VALUE"""),"No")</f>
        <v>No</v>
      </c>
      <c r="AN12" s="5"/>
      <c r="AO12" s="5"/>
      <c r="AP12" s="5"/>
      <c r="AQ12" s="5" t="str">
        <f>IFERROR(__xludf.DUMMYFUNCTION("""COMPUTED_VALUE"""),"No")</f>
        <v>No</v>
      </c>
      <c r="AR12" s="5"/>
      <c r="AS12" s="5"/>
      <c r="AT12" s="5"/>
      <c r="AU12" s="5"/>
      <c r="AV12" s="5" t="str">
        <f>IFERROR(__xludf.DUMMYFUNCTION("""COMPUTED_VALUE"""),"")</f>
        <v/>
      </c>
    </row>
    <row r="13">
      <c r="A13" s="5" t="str">
        <f>IFERROR(__xludf.DUMMYFUNCTION("""COMPUTED_VALUE"""),"Tiptop")</f>
        <v>Tiptop</v>
      </c>
      <c r="B13" s="5" t="str">
        <f>IFERROR(__xludf.DUMMYFUNCTION("""COMPUTED_VALUE"""),"Island Respins")</f>
        <v>Island Respins</v>
      </c>
      <c r="C13" s="5" t="str">
        <f>IFERROR(__xludf.DUMMYFUNCTION("""COMPUTED_VALUE"""),"UnicornIslandRespins")</f>
        <v>UnicornIslandRespins</v>
      </c>
      <c r="D13" s="6">
        <f>IFERROR(__xludf.DUMMYFUNCTION("""COMPUTED_VALUE"""),44796.0)</f>
        <v>44796</v>
      </c>
      <c r="E13" s="5" t="str">
        <f>IFERROR(__xludf.DUMMYFUNCTION("""COMPUTED_VALUE"""),"Slot")</f>
        <v>Slot</v>
      </c>
      <c r="F13" s="5">
        <f>IFERROR(__xludf.DUMMYFUNCTION("""COMPUTED_VALUE"""),12.4)</f>
        <v>12.4</v>
      </c>
      <c r="G13" s="5" t="str">
        <f>IFERROR(__xludf.DUMMYFUNCTION("""COMPUTED_VALUE"""),"5X3")</f>
        <v>5X3</v>
      </c>
      <c r="H13" s="5" t="str">
        <f>IFERROR(__xludf.DUMMYFUNCTION("""COMPUTED_VALUE"""),"10")</f>
        <v>10</v>
      </c>
      <c r="I13" s="5" t="str">
        <f>IFERROR(__xludf.DUMMYFUNCTION("""COMPUTED_VALUE"""),"10")</f>
        <v>10</v>
      </c>
      <c r="J13" s="5" t="str">
        <f>IFERROR(__xludf.DUMMYFUNCTION("""COMPUTED_VALUE"""),"96%")</f>
        <v>96%</v>
      </c>
      <c r="K13" s="5" t="str">
        <f>IFERROR(__xludf.DUMMYFUNCTION("""COMPUTED_VALUE"""),"Medium")</f>
        <v>Medium</v>
      </c>
      <c r="L13" s="5" t="str">
        <f>IFERROR(__xludf.DUMMYFUNCTION("""COMPUTED_VALUE"""),"12.55%")</f>
        <v>12.55%</v>
      </c>
      <c r="M13" s="5" t="str">
        <f>IFERROR(__xludf.DUMMYFUNCTION("""COMPUTED_VALUE"""),"x5000")</f>
        <v>x5000</v>
      </c>
      <c r="N13" s="5" t="str">
        <f>IFERROR(__xludf.DUMMYFUNCTION("""COMPUTED_VALUE"""),"0.1/100")</f>
        <v>0.1/100</v>
      </c>
      <c r="O13" s="5" t="str">
        <f>IFERROR(__xludf.DUMMYFUNCTION("""COMPUTED_VALUE"""),"No")</f>
        <v>No</v>
      </c>
      <c r="P13" s="5" t="str">
        <f>IFERROR(__xludf.DUMMYFUNCTION("""COMPUTED_VALUE"""),"Respin, TipTop Feature - Island Respins")</f>
        <v>Respin, TipTop Feature - Island Respins</v>
      </c>
      <c r="Q13" s="7" t="str">
        <f>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R13" s="5" t="str">
        <f>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S1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3" s="5" t="str">
        <f>IFERROR(__xludf.DUMMYFUNCTION("""COMPUTED_VALUE"""),"Yes")</f>
        <v>Yes</v>
      </c>
      <c r="U13" s="5" t="str">
        <f>IFERROR(__xludf.DUMMYFUNCTION("""COMPUTED_VALUE"""),"Yes")</f>
        <v>Yes</v>
      </c>
      <c r="V13" s="5" t="str">
        <f>IFERROR(__xludf.DUMMYFUNCTION("""COMPUTED_VALUE"""),"Yes")</f>
        <v>Yes</v>
      </c>
      <c r="W13" s="5" t="str">
        <f>IFERROR(__xludf.DUMMYFUNCTION("""COMPUTED_VALUE"""),"No")</f>
        <v>No</v>
      </c>
      <c r="X13" s="5" t="str">
        <f>IFERROR(__xludf.DUMMYFUNCTION("""COMPUTED_VALUE"""),"No")</f>
        <v>No</v>
      </c>
      <c r="Y13" s="5" t="str">
        <f>IFERROR(__xludf.DUMMYFUNCTION("""COMPUTED_VALUE"""),"No")</f>
        <v>No</v>
      </c>
      <c r="Z13" s="5" t="str">
        <f>IFERROR(__xludf.DUMMYFUNCTION("""COMPUTED_VALUE"""),"No")</f>
        <v>No</v>
      </c>
      <c r="AA13" s="5" t="str">
        <f>IFERROR(__xludf.DUMMYFUNCTION("""COMPUTED_VALUE"""),"No")</f>
        <v>No</v>
      </c>
      <c r="AB13" s="5" t="str">
        <f>IFERROR(__xludf.DUMMYFUNCTION("""COMPUTED_VALUE"""),"Yes")</f>
        <v>Yes</v>
      </c>
      <c r="AC13" s="5" t="str">
        <f>IFERROR(__xludf.DUMMYFUNCTION("""COMPUTED_VALUE"""),"Yes")</f>
        <v>Yes</v>
      </c>
      <c r="AD13" s="5" t="str">
        <f>IFERROR(__xludf.DUMMYFUNCTION("""COMPUTED_VALUE"""),"Yes")</f>
        <v>Yes</v>
      </c>
      <c r="AE13" s="5" t="str">
        <f>IFERROR(__xludf.DUMMYFUNCTION("""COMPUTED_VALUE"""),"Yes")</f>
        <v>Yes</v>
      </c>
      <c r="AF13" s="5" t="str">
        <f>IFERROR(__xludf.DUMMYFUNCTION("""COMPUTED_VALUE"""),"Yes")</f>
        <v>Yes</v>
      </c>
      <c r="AG13" s="5" t="str">
        <f>IFERROR(__xludf.DUMMYFUNCTION("""COMPUTED_VALUE"""),"No")</f>
        <v>No</v>
      </c>
      <c r="AH13" s="5" t="str">
        <f>IFERROR(__xludf.DUMMYFUNCTION("""COMPUTED_VALUE"""),"Yes")</f>
        <v>Yes</v>
      </c>
      <c r="AI13" s="5" t="str">
        <f>IFERROR(__xludf.DUMMYFUNCTION("""COMPUTED_VALUE"""),"No")</f>
        <v>No</v>
      </c>
      <c r="AJ13" s="5" t="str">
        <f>IFERROR(__xludf.DUMMYFUNCTION("""COMPUTED_VALUE"""),"No")</f>
        <v>No</v>
      </c>
      <c r="AK13" s="5" t="str">
        <f>IFERROR(__xludf.DUMMYFUNCTION("""COMPUTED_VALUE"""),"No")</f>
        <v>No</v>
      </c>
      <c r="AL13" s="5" t="str">
        <f>IFERROR(__xludf.DUMMYFUNCTION("""COMPUTED_VALUE"""),"No")</f>
        <v>No</v>
      </c>
      <c r="AM13" s="5" t="str">
        <f>IFERROR(__xludf.DUMMYFUNCTION("""COMPUTED_VALUE"""),"No")</f>
        <v>No</v>
      </c>
      <c r="AN13" s="5"/>
      <c r="AO13" s="5"/>
      <c r="AP13" s="5"/>
      <c r="AQ13" s="5" t="str">
        <f>IFERROR(__xludf.DUMMYFUNCTION("""COMPUTED_VALUE"""),"No")</f>
        <v>No</v>
      </c>
      <c r="AR13" s="5"/>
      <c r="AS13" s="5"/>
      <c r="AT13" s="5"/>
      <c r="AU13" s="5"/>
      <c r="AV13" s="5" t="str">
        <f>IFERROR(__xludf.DUMMYFUNCTION("""COMPUTED_VALUE"""),"")</f>
        <v/>
      </c>
    </row>
    <row r="14">
      <c r="A14" s="5" t="str">
        <f>IFERROR(__xludf.DUMMYFUNCTION("""COMPUTED_VALUE"""),"Tiptop")</f>
        <v>Tiptop</v>
      </c>
      <c r="B14" s="5" t="str">
        <f>IFERROR(__xludf.DUMMYFUNCTION("""COMPUTED_VALUE"""),"Great Whale")</f>
        <v>Great Whale</v>
      </c>
      <c r="C14" s="5" t="str">
        <f>IFERROR(__xludf.DUMMYFUNCTION("""COMPUTED_VALUE"""),"UnicornGreatWhale")</f>
        <v>UnicornGreatWhale</v>
      </c>
      <c r="D14" s="6">
        <f>IFERROR(__xludf.DUMMYFUNCTION("""COMPUTED_VALUE"""),44670.0)</f>
        <v>44670</v>
      </c>
      <c r="E14" s="5" t="str">
        <f>IFERROR(__xludf.DUMMYFUNCTION("""COMPUTED_VALUE"""),"Slot")</f>
        <v>Slot</v>
      </c>
      <c r="F14" s="5">
        <f>IFERROR(__xludf.DUMMYFUNCTION("""COMPUTED_VALUE"""),23.7)</f>
        <v>23.7</v>
      </c>
      <c r="G14" s="5" t="str">
        <f>IFERROR(__xludf.DUMMYFUNCTION("""COMPUTED_VALUE"""),"5X3")</f>
        <v>5X3</v>
      </c>
      <c r="H14" s="5" t="str">
        <f>IFERROR(__xludf.DUMMYFUNCTION("""COMPUTED_VALUE"""),"5")</f>
        <v>5</v>
      </c>
      <c r="I14" s="5" t="str">
        <f>IFERROR(__xludf.DUMMYFUNCTION("""COMPUTED_VALUE"""),"5")</f>
        <v>5</v>
      </c>
      <c r="J14" s="5" t="str">
        <f>IFERROR(__xludf.DUMMYFUNCTION("""COMPUTED_VALUE"""),"96%")</f>
        <v>96%</v>
      </c>
      <c r="K14" s="5" t="str">
        <f>IFERROR(__xludf.DUMMYFUNCTION("""COMPUTED_VALUE"""),"High")</f>
        <v>High</v>
      </c>
      <c r="L14" s="5" t="str">
        <f>IFERROR(__xludf.DUMMYFUNCTION("""COMPUTED_VALUE"""),"19.8%")</f>
        <v>19.8%</v>
      </c>
      <c r="M14" s="5" t="str">
        <f>IFERROR(__xludf.DUMMYFUNCTION("""COMPUTED_VALUE"""),"x7500")</f>
        <v>x7500</v>
      </c>
      <c r="N14" s="5" t="str">
        <f>IFERROR(__xludf.DUMMYFUNCTION("""COMPUTED_VALUE"""),"0.05/100")</f>
        <v>0.05/100</v>
      </c>
      <c r="O14" s="5" t="str">
        <f>IFERROR(__xludf.DUMMYFUNCTION("""COMPUTED_VALUE"""),"No")</f>
        <v>No</v>
      </c>
      <c r="P14" s="5" t="str">
        <f>IFERROR(__xludf.DUMMYFUNCTION("""COMPUTED_VALUE"""),"Bonus Game with Sticky Wild")</f>
        <v>Bonus Game with Sticky Wild</v>
      </c>
      <c r="Q14" s="7" t="str">
        <f>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R14" s="5" t="str">
        <f>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S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IFERROR(__xludf.DUMMYFUNCTION("""COMPUTED_VALUE"""),"Yes")</f>
        <v>Yes</v>
      </c>
      <c r="AD14" s="5" t="str">
        <f>IFERROR(__xludf.DUMMYFUNCTION("""COMPUTED_VALUE"""),"Yes")</f>
        <v>Yes</v>
      </c>
      <c r="AE14" s="5" t="str">
        <f>IFERROR(__xludf.DUMMYFUNCTION("""COMPUTED_VALUE"""),"Yes")</f>
        <v>Yes</v>
      </c>
      <c r="AF14" s="5" t="str">
        <f>IFERROR(__xludf.DUMMYFUNCTION("""COMPUTED_VALUE"""),"Yes")</f>
        <v>Yes</v>
      </c>
      <c r="AG14" s="5" t="str">
        <f>IFERROR(__xludf.DUMMYFUNCTION("""COMPUTED_VALUE"""),"Yes")</f>
        <v>Yes</v>
      </c>
      <c r="AH14" s="5" t="str">
        <f>IFERROR(__xludf.DUMMYFUNCTION("""COMPUTED_VALUE"""),"Yes")</f>
        <v>Yes</v>
      </c>
      <c r="AI14" s="5" t="str">
        <f>IFERROR(__xludf.DUMMYFUNCTION("""COMPUTED_VALUE"""),"Yes")</f>
        <v>Yes</v>
      </c>
      <c r="AJ14" s="5" t="str">
        <f>IFERROR(__xludf.DUMMYFUNCTION("""COMPUTED_VALUE"""),"Yes")</f>
        <v>Yes</v>
      </c>
      <c r="AK14" s="5" t="str">
        <f>IFERROR(__xludf.DUMMYFUNCTION("""COMPUTED_VALUE"""),"Yes")</f>
        <v>Yes</v>
      </c>
      <c r="AL14" s="5" t="str">
        <f>IFERROR(__xludf.DUMMYFUNCTION("""COMPUTED_VALUE"""),"Yes")</f>
        <v>Yes</v>
      </c>
      <c r="AM14" s="5" t="str">
        <f>IFERROR(__xludf.DUMMYFUNCTION("""COMPUTED_VALUE"""),"Yes")</f>
        <v>Yes</v>
      </c>
      <c r="AN14" s="5" t="str">
        <f>IFERROR(__xludf.DUMMYFUNCTION("""COMPUTED_VALUE"""),"Yes")</f>
        <v>Yes</v>
      </c>
      <c r="AO14" s="5" t="str">
        <f>IFERROR(__xludf.DUMMYFUNCTION("""COMPUTED_VALUE"""),"Yes")</f>
        <v>Yes</v>
      </c>
      <c r="AP14" s="5" t="str">
        <f>IFERROR(__xludf.DUMMYFUNCTION("""COMPUTED_VALUE"""),"Yes")</f>
        <v>Yes</v>
      </c>
      <c r="AQ14" s="5" t="str">
        <f>IFERROR(__xludf.DUMMYFUNCTION("""COMPUTED_VALUE"""),"Yes")</f>
        <v>Yes</v>
      </c>
      <c r="AR14" s="5" t="str">
        <f>IFERROR(__xludf.DUMMYFUNCTION("""COMPUTED_VALUE"""),"Yes")</f>
        <v>Yes</v>
      </c>
      <c r="AS14" s="5" t="str">
        <f>IFERROR(__xludf.DUMMYFUNCTION("""COMPUTED_VALUE"""),"Yes")</f>
        <v>Yes</v>
      </c>
      <c r="AT14" s="5"/>
      <c r="AU14" s="5"/>
      <c r="AV14" s="5" t="str">
        <f>IFERROR(__xludf.DUMMYFUNCTION("""COMPUTED_VALUE"""),"")</f>
        <v/>
      </c>
    </row>
    <row r="15">
      <c r="A15" s="5" t="str">
        <f>IFERROR(__xludf.DUMMYFUNCTION("""COMPUTED_VALUE"""),"Tiptop")</f>
        <v>Tiptop</v>
      </c>
      <c r="B15" s="5" t="str">
        <f>IFERROR(__xludf.DUMMYFUNCTION("""COMPUTED_VALUE"""),"20 Mega Flames")</f>
        <v>20 Mega Flames</v>
      </c>
      <c r="C15" s="5" t="str">
        <f>IFERROR(__xludf.DUMMYFUNCTION("""COMPUTED_VALUE"""),"Unicorn20MegaFlames")</f>
        <v>Unicorn20MegaFlames</v>
      </c>
      <c r="D15" s="6">
        <f>IFERROR(__xludf.DUMMYFUNCTION("""COMPUTED_VALUE"""),44649.0)</f>
        <v>44649</v>
      </c>
      <c r="E15" s="5" t="str">
        <f>IFERROR(__xludf.DUMMYFUNCTION("""COMPUTED_VALUE"""),"Slot")</f>
        <v>Slot</v>
      </c>
      <c r="F15" s="5">
        <f>IFERROR(__xludf.DUMMYFUNCTION("""COMPUTED_VALUE"""),22.2)</f>
        <v>22.2</v>
      </c>
      <c r="G15" s="5" t="str">
        <f>IFERROR(__xludf.DUMMYFUNCTION("""COMPUTED_VALUE"""),"5X3")</f>
        <v>5X3</v>
      </c>
      <c r="H15" s="5" t="str">
        <f>IFERROR(__xludf.DUMMYFUNCTION("""COMPUTED_VALUE"""),"20")</f>
        <v>20</v>
      </c>
      <c r="I15" s="5" t="str">
        <f>IFERROR(__xludf.DUMMYFUNCTION("""COMPUTED_VALUE"""),"20")</f>
        <v>20</v>
      </c>
      <c r="J15" s="5" t="str">
        <f>IFERROR(__xludf.DUMMYFUNCTION("""COMPUTED_VALUE"""),"96%")</f>
        <v>96%</v>
      </c>
      <c r="K15" s="5" t="str">
        <f>IFERROR(__xludf.DUMMYFUNCTION("""COMPUTED_VALUE"""),"Low")</f>
        <v>Low</v>
      </c>
      <c r="L15" s="5" t="str">
        <f>IFERROR(__xludf.DUMMYFUNCTION("""COMPUTED_VALUE"""),"30.07%")</f>
        <v>30.07%</v>
      </c>
      <c r="M15" s="5" t="str">
        <f>IFERROR(__xludf.DUMMYFUNCTION("""COMPUTED_VALUE"""),"x200")</f>
        <v>x200</v>
      </c>
      <c r="N15" s="5" t="str">
        <f>IFERROR(__xludf.DUMMYFUNCTION("""COMPUTED_VALUE"""),"0.2/100")</f>
        <v>0.2/100</v>
      </c>
      <c r="O15" s="5" t="str">
        <f>IFERROR(__xludf.DUMMYFUNCTION("""COMPUTED_VALUE"""),"No")</f>
        <v>No</v>
      </c>
      <c r="P15" s="5"/>
      <c r="Q15" s="7" t="str">
        <f>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R15" s="5" t="str">
        <f>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S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IFERROR(__xludf.DUMMYFUNCTION("""COMPUTED_VALUE"""),"Yes")</f>
        <v>Yes</v>
      </c>
      <c r="AD15" s="5" t="str">
        <f>IFERROR(__xludf.DUMMYFUNCTION("""COMPUTED_VALUE"""),"Yes")</f>
        <v>Yes</v>
      </c>
      <c r="AE15" s="5" t="str">
        <f>IFERROR(__xludf.DUMMYFUNCTION("""COMPUTED_VALUE"""),"Yes")</f>
        <v>Yes</v>
      </c>
      <c r="AF15" s="5" t="str">
        <f>IFERROR(__xludf.DUMMYFUNCTION("""COMPUTED_VALUE"""),"Yes")</f>
        <v>Yes</v>
      </c>
      <c r="AG15" s="5" t="str">
        <f>IFERROR(__xludf.DUMMYFUNCTION("""COMPUTED_VALUE"""),"Yes")</f>
        <v>Yes</v>
      </c>
      <c r="AH15" s="5" t="str">
        <f>IFERROR(__xludf.DUMMYFUNCTION("""COMPUTED_VALUE"""),"Yes")</f>
        <v>Yes</v>
      </c>
      <c r="AI15" s="5" t="str">
        <f>IFERROR(__xludf.DUMMYFUNCTION("""COMPUTED_VALUE"""),"Yes")</f>
        <v>Yes</v>
      </c>
      <c r="AJ15" s="5" t="str">
        <f>IFERROR(__xludf.DUMMYFUNCTION("""COMPUTED_VALUE"""),"Yes")</f>
        <v>Yes</v>
      </c>
      <c r="AK15" s="5" t="str">
        <f>IFERROR(__xludf.DUMMYFUNCTION("""COMPUTED_VALUE"""),"Yes")</f>
        <v>Yes</v>
      </c>
      <c r="AL15" s="5" t="str">
        <f>IFERROR(__xludf.DUMMYFUNCTION("""COMPUTED_VALUE"""),"Yes")</f>
        <v>Yes</v>
      </c>
      <c r="AM15" s="5" t="str">
        <f>IFERROR(__xludf.DUMMYFUNCTION("""COMPUTED_VALUE"""),"Yes")</f>
        <v>Yes</v>
      </c>
      <c r="AN15" s="5"/>
      <c r="AO15" s="5"/>
      <c r="AP15" s="5"/>
      <c r="AQ15" s="5" t="str">
        <f>IFERROR(__xludf.DUMMYFUNCTION("""COMPUTED_VALUE"""),"Yes")</f>
        <v>Yes</v>
      </c>
      <c r="AR15" s="5"/>
      <c r="AS15" s="5"/>
      <c r="AT15" s="5"/>
      <c r="AU15" s="5"/>
      <c r="AV15" s="5" t="str">
        <f>IFERROR(__xludf.DUMMYFUNCTION("""COMPUTED_VALUE"""),"")</f>
        <v/>
      </c>
    </row>
    <row r="16">
      <c r="A16" s="5" t="str">
        <f>IFERROR(__xludf.DUMMYFUNCTION("""COMPUTED_VALUE"""),"Tiptop")</f>
        <v>Tiptop</v>
      </c>
      <c r="B16" s="5" t="str">
        <f>IFERROR(__xludf.DUMMYFUNCTION("""COMPUTED_VALUE"""),"Da Vinci's Fruits")</f>
        <v>Da Vinci's Fruits</v>
      </c>
      <c r="C16" s="5" t="str">
        <f>IFERROR(__xludf.DUMMYFUNCTION("""COMPUTED_VALUE"""),"UnicornDaVincisFruits")</f>
        <v>UnicornDaVincisFruits</v>
      </c>
      <c r="D16" s="6">
        <f>IFERROR(__xludf.DUMMYFUNCTION("""COMPUTED_VALUE"""),44707.0)</f>
        <v>44707</v>
      </c>
      <c r="E16" s="5" t="str">
        <f>IFERROR(__xludf.DUMMYFUNCTION("""COMPUTED_VALUE"""),"Slot")</f>
        <v>Slot</v>
      </c>
      <c r="F16" s="5">
        <f>IFERROR(__xludf.DUMMYFUNCTION("""COMPUTED_VALUE"""),14.7)</f>
        <v>14.7</v>
      </c>
      <c r="G16" s="5" t="str">
        <f>IFERROR(__xludf.DUMMYFUNCTION("""COMPUTED_VALUE"""),"5X3")</f>
        <v>5X3</v>
      </c>
      <c r="H16" s="5" t="str">
        <f>IFERROR(__xludf.DUMMYFUNCTION("""COMPUTED_VALUE"""),"5")</f>
        <v>5</v>
      </c>
      <c r="I16" s="5" t="str">
        <f>IFERROR(__xludf.DUMMYFUNCTION("""COMPUTED_VALUE"""),"5")</f>
        <v>5</v>
      </c>
      <c r="J16" s="5" t="str">
        <f>IFERROR(__xludf.DUMMYFUNCTION("""COMPUTED_VALUE"""),"96%")</f>
        <v>96%</v>
      </c>
      <c r="K16" s="5" t="str">
        <f>IFERROR(__xludf.DUMMYFUNCTION("""COMPUTED_VALUE"""),"Low")</f>
        <v>Low</v>
      </c>
      <c r="L16" s="5" t="str">
        <f>IFERROR(__xludf.DUMMYFUNCTION("""COMPUTED_VALUE"""),"10.5%")</f>
        <v>10.5%</v>
      </c>
      <c r="M16" s="5" t="str">
        <f>IFERROR(__xludf.DUMMYFUNCTION("""COMPUTED_VALUE"""),"x1000")</f>
        <v>x1000</v>
      </c>
      <c r="N16" s="5" t="str">
        <f>IFERROR(__xludf.DUMMYFUNCTION("""COMPUTED_VALUE"""),"0.05/100")</f>
        <v>0.05/100</v>
      </c>
      <c r="O16" s="5" t="str">
        <f>IFERROR(__xludf.DUMMYFUNCTION("""COMPUTED_VALUE"""),"No")</f>
        <v>No</v>
      </c>
      <c r="P16" s="5"/>
      <c r="Q16" s="7" t="str">
        <f>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R16" s="5" t="str">
        <f>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S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5" t="str">
        <f>IFERROR(__xludf.DUMMYFUNCTION("""COMPUTED_VALUE"""),"Yes")</f>
        <v>Yes</v>
      </c>
      <c r="U16" s="5" t="str">
        <f>IFERROR(__xludf.DUMMYFUNCTION("""COMPUTED_VALUE"""),"Yes")</f>
        <v>Yes</v>
      </c>
      <c r="V16" s="5" t="str">
        <f>IFERROR(__xludf.DUMMYFUNCTION("""COMPUTED_VALUE"""),"Yes")</f>
        <v>Yes</v>
      </c>
      <c r="W16" s="5" t="str">
        <f>IFERROR(__xludf.DUMMYFUNCTION("""COMPUTED_VALUE"""),"Yes")</f>
        <v>Yes</v>
      </c>
      <c r="X16" s="5" t="str">
        <f>IFERROR(__xludf.DUMMYFUNCTION("""COMPUTED_VALUE"""),"Yes")</f>
        <v>Yes</v>
      </c>
      <c r="Y16" s="5" t="str">
        <f>IFERROR(__xludf.DUMMYFUNCTION("""COMPUTED_VALUE"""),"Yes")</f>
        <v>Yes</v>
      </c>
      <c r="Z16" s="5" t="str">
        <f>IFERROR(__xludf.DUMMYFUNCTION("""COMPUTED_VALUE"""),"Yes")</f>
        <v>Yes</v>
      </c>
      <c r="AA16" s="5" t="str">
        <f>IFERROR(__xludf.DUMMYFUNCTION("""COMPUTED_VALUE"""),"Yes")</f>
        <v>Yes</v>
      </c>
      <c r="AB16" s="5" t="str">
        <f>IFERROR(__xludf.DUMMYFUNCTION("""COMPUTED_VALUE"""),"Yes")</f>
        <v>Yes</v>
      </c>
      <c r="AC16" s="5" t="str">
        <f>IFERROR(__xludf.DUMMYFUNCTION("""COMPUTED_VALUE"""),"Yes")</f>
        <v>Yes</v>
      </c>
      <c r="AD16" s="5" t="str">
        <f>IFERROR(__xludf.DUMMYFUNCTION("""COMPUTED_VALUE"""),"Yes")</f>
        <v>Yes</v>
      </c>
      <c r="AE16" s="5" t="str">
        <f>IFERROR(__xludf.DUMMYFUNCTION("""COMPUTED_VALUE"""),"Yes")</f>
        <v>Yes</v>
      </c>
      <c r="AF16" s="5" t="str">
        <f>IFERROR(__xludf.DUMMYFUNCTION("""COMPUTED_VALUE"""),"Yes")</f>
        <v>Yes</v>
      </c>
      <c r="AG16" s="5" t="str">
        <f>IFERROR(__xludf.DUMMYFUNCTION("""COMPUTED_VALUE"""),"Yes")</f>
        <v>Yes</v>
      </c>
      <c r="AH16" s="5" t="str">
        <f>IFERROR(__xludf.DUMMYFUNCTION("""COMPUTED_VALUE"""),"Yes")</f>
        <v>Yes</v>
      </c>
      <c r="AI16" s="5" t="str">
        <f>IFERROR(__xludf.DUMMYFUNCTION("""COMPUTED_VALUE"""),"Yes")</f>
        <v>Yes</v>
      </c>
      <c r="AJ16" s="5" t="str">
        <f>IFERROR(__xludf.DUMMYFUNCTION("""COMPUTED_VALUE"""),"Yes")</f>
        <v>Yes</v>
      </c>
      <c r="AK16" s="5" t="str">
        <f>IFERROR(__xludf.DUMMYFUNCTION("""COMPUTED_VALUE"""),"Yes")</f>
        <v>Yes</v>
      </c>
      <c r="AL16" s="5" t="str">
        <f>IFERROR(__xludf.DUMMYFUNCTION("""COMPUTED_VALUE"""),"Yes")</f>
        <v>Yes</v>
      </c>
      <c r="AM16" s="5" t="str">
        <f>IFERROR(__xludf.DUMMYFUNCTION("""COMPUTED_VALUE"""),"Yes")</f>
        <v>Yes</v>
      </c>
      <c r="AN16" s="5" t="str">
        <f>IFERROR(__xludf.DUMMYFUNCTION("""COMPUTED_VALUE"""),"Yes")</f>
        <v>Yes</v>
      </c>
      <c r="AO16" s="5" t="str">
        <f>IFERROR(__xludf.DUMMYFUNCTION("""COMPUTED_VALUE"""),"Yes")</f>
        <v>Yes</v>
      </c>
      <c r="AP16" s="5" t="str">
        <f>IFERROR(__xludf.DUMMYFUNCTION("""COMPUTED_VALUE"""),"Yes")</f>
        <v>Yes</v>
      </c>
      <c r="AQ16" s="5" t="str">
        <f>IFERROR(__xludf.DUMMYFUNCTION("""COMPUTED_VALUE"""),"Yes")</f>
        <v>Yes</v>
      </c>
      <c r="AR16" s="5" t="str">
        <f>IFERROR(__xludf.DUMMYFUNCTION("""COMPUTED_VALUE"""),"Yes")</f>
        <v>Yes</v>
      </c>
      <c r="AS16" s="5" t="str">
        <f>IFERROR(__xludf.DUMMYFUNCTION("""COMPUTED_VALUE"""),"Yes")</f>
        <v>Yes</v>
      </c>
      <c r="AT16" s="5"/>
      <c r="AU16" s="5"/>
      <c r="AV16" s="5" t="str">
        <f>IFERROR(__xludf.DUMMYFUNCTION("""COMPUTED_VALUE"""),"")</f>
        <v/>
      </c>
    </row>
    <row r="17">
      <c r="A17" s="5" t="str">
        <f>IFERROR(__xludf.DUMMYFUNCTION("""COMPUTED_VALUE"""),"Tiptop")</f>
        <v>Tiptop</v>
      </c>
      <c r="B17" s="5" t="str">
        <f>IFERROR(__xludf.DUMMYFUNCTION("""COMPUTED_VALUE"""),"Fruit Magic")</f>
        <v>Fruit Magic</v>
      </c>
      <c r="C17" s="5" t="str">
        <f>IFERROR(__xludf.DUMMYFUNCTION("""COMPUTED_VALUE"""),"UnicornFruitMagic")</f>
        <v>UnicornFruitMagic</v>
      </c>
      <c r="D17" s="6">
        <f>IFERROR(__xludf.DUMMYFUNCTION("""COMPUTED_VALUE"""),44726.0)</f>
        <v>44726</v>
      </c>
      <c r="E17" s="5" t="str">
        <f>IFERROR(__xludf.DUMMYFUNCTION("""COMPUTED_VALUE"""),"Slot")</f>
        <v>Slot</v>
      </c>
      <c r="F17" s="5">
        <f>IFERROR(__xludf.DUMMYFUNCTION("""COMPUTED_VALUE"""),12.4)</f>
        <v>12.4</v>
      </c>
      <c r="G17" s="5" t="str">
        <f>IFERROR(__xludf.DUMMYFUNCTION("""COMPUTED_VALUE"""),"5X3")</f>
        <v>5X3</v>
      </c>
      <c r="H17" s="5" t="str">
        <f>IFERROR(__xludf.DUMMYFUNCTION("""COMPUTED_VALUE"""),"10")</f>
        <v>10</v>
      </c>
      <c r="I17" s="5" t="str">
        <f>IFERROR(__xludf.DUMMYFUNCTION("""COMPUTED_VALUE"""),"10")</f>
        <v>10</v>
      </c>
      <c r="J17" s="5" t="str">
        <f>IFERROR(__xludf.DUMMYFUNCTION("""COMPUTED_VALUE"""),"96%")</f>
        <v>96%</v>
      </c>
      <c r="K17" s="5" t="str">
        <f>IFERROR(__xludf.DUMMYFUNCTION("""COMPUTED_VALUE"""),"Low")</f>
        <v>Low</v>
      </c>
      <c r="L17" s="5" t="str">
        <f>IFERROR(__xludf.DUMMYFUNCTION("""COMPUTED_VALUE"""),"26.12%")</f>
        <v>26.12%</v>
      </c>
      <c r="M17" s="5" t="str">
        <f>IFERROR(__xludf.DUMMYFUNCTION("""COMPUTED_VALUE"""),"x1060")</f>
        <v>x1060</v>
      </c>
      <c r="N17" s="5" t="str">
        <f>IFERROR(__xludf.DUMMYFUNCTION("""COMPUTED_VALUE"""),"0.1/100")</f>
        <v>0.1/100</v>
      </c>
      <c r="O17" s="5" t="str">
        <f>IFERROR(__xludf.DUMMYFUNCTION("""COMPUTED_VALUE"""),"No")</f>
        <v>No</v>
      </c>
      <c r="P17" s="5" t="str">
        <f>IFERROR(__xludf.DUMMYFUNCTION("""COMPUTED_VALUE"""),"Expanding Wild")</f>
        <v>Expanding Wild</v>
      </c>
      <c r="Q17" s="7" t="str">
        <f>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R17" s="5" t="str">
        <f>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S1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7" s="5" t="str">
        <f>IFERROR(__xludf.DUMMYFUNCTION("""COMPUTED_VALUE"""),"Yes")</f>
        <v>Yes</v>
      </c>
      <c r="U17" s="5" t="str">
        <f>IFERROR(__xludf.DUMMYFUNCTION("""COMPUTED_VALUE"""),"Yes")</f>
        <v>Yes</v>
      </c>
      <c r="V17" s="5" t="str">
        <f>IFERROR(__xludf.DUMMYFUNCTION("""COMPUTED_VALUE"""),"Yes")</f>
        <v>Yes</v>
      </c>
      <c r="W17" s="5" t="str">
        <f>IFERROR(__xludf.DUMMYFUNCTION("""COMPUTED_VALUE"""),"No")</f>
        <v>No</v>
      </c>
      <c r="X17" s="5" t="str">
        <f>IFERROR(__xludf.DUMMYFUNCTION("""COMPUTED_VALUE"""),"No")</f>
        <v>No</v>
      </c>
      <c r="Y17" s="5" t="str">
        <f>IFERROR(__xludf.DUMMYFUNCTION("""COMPUTED_VALUE"""),"No")</f>
        <v>No</v>
      </c>
      <c r="Z17" s="5" t="str">
        <f>IFERROR(__xludf.DUMMYFUNCTION("""COMPUTED_VALUE"""),"No")</f>
        <v>No</v>
      </c>
      <c r="AA17" s="5" t="str">
        <f>IFERROR(__xludf.DUMMYFUNCTION("""COMPUTED_VALUE"""),"No")</f>
        <v>No</v>
      </c>
      <c r="AB17" s="5" t="str">
        <f>IFERROR(__xludf.DUMMYFUNCTION("""COMPUTED_VALUE"""),"Yes")</f>
        <v>Yes</v>
      </c>
      <c r="AC17" s="5" t="str">
        <f>IFERROR(__xludf.DUMMYFUNCTION("""COMPUTED_VALUE"""),"Yes")</f>
        <v>Yes</v>
      </c>
      <c r="AD17" s="5" t="str">
        <f>IFERROR(__xludf.DUMMYFUNCTION("""COMPUTED_VALUE"""),"Yes")</f>
        <v>Yes</v>
      </c>
      <c r="AE17" s="5" t="str">
        <f>IFERROR(__xludf.DUMMYFUNCTION("""COMPUTED_VALUE"""),"Yes")</f>
        <v>Yes</v>
      </c>
      <c r="AF17" s="5" t="str">
        <f>IFERROR(__xludf.DUMMYFUNCTION("""COMPUTED_VALUE"""),"Yes")</f>
        <v>Yes</v>
      </c>
      <c r="AG17" s="5" t="str">
        <f>IFERROR(__xludf.DUMMYFUNCTION("""COMPUTED_VALUE"""),"No")</f>
        <v>No</v>
      </c>
      <c r="AH17" s="5" t="str">
        <f>IFERROR(__xludf.DUMMYFUNCTION("""COMPUTED_VALUE"""),"Yes")</f>
        <v>Yes</v>
      </c>
      <c r="AI17" s="5" t="str">
        <f>IFERROR(__xludf.DUMMYFUNCTION("""COMPUTED_VALUE"""),"No")</f>
        <v>No</v>
      </c>
      <c r="AJ17" s="5" t="str">
        <f>IFERROR(__xludf.DUMMYFUNCTION("""COMPUTED_VALUE"""),"No")</f>
        <v>No</v>
      </c>
      <c r="AK17" s="5" t="str">
        <f>IFERROR(__xludf.DUMMYFUNCTION("""COMPUTED_VALUE"""),"No")</f>
        <v>No</v>
      </c>
      <c r="AL17" s="5" t="str">
        <f>IFERROR(__xludf.DUMMYFUNCTION("""COMPUTED_VALUE"""),"No")</f>
        <v>No</v>
      </c>
      <c r="AM17" s="5" t="str">
        <f>IFERROR(__xludf.DUMMYFUNCTION("""COMPUTED_VALUE"""),"No")</f>
        <v>No</v>
      </c>
      <c r="AN17" s="5"/>
      <c r="AO17" s="5"/>
      <c r="AP17" s="5"/>
      <c r="AQ17" s="5" t="str">
        <f>IFERROR(__xludf.DUMMYFUNCTION("""COMPUTED_VALUE"""),"No")</f>
        <v>No</v>
      </c>
      <c r="AR17" s="5"/>
      <c r="AS17" s="5"/>
      <c r="AT17" s="5"/>
      <c r="AU17" s="5"/>
      <c r="AV17" s="5" t="str">
        <f>IFERROR(__xludf.DUMMYFUNCTION("""COMPUTED_VALUE"""),"")</f>
        <v/>
      </c>
    </row>
    <row r="18">
      <c r="A18" s="5" t="str">
        <f>IFERROR(__xludf.DUMMYFUNCTION("""COMPUTED_VALUE"""),"Tiptop")</f>
        <v>Tiptop</v>
      </c>
      <c r="B18" s="5" t="str">
        <f>IFERROR(__xludf.DUMMYFUNCTION("""COMPUTED_VALUE"""),"Money Standard")</f>
        <v>Money Standard</v>
      </c>
      <c r="C18" s="5" t="str">
        <f>IFERROR(__xludf.DUMMYFUNCTION("""COMPUTED_VALUE"""),"UnicornMoneyStandard")</f>
        <v>UnicornMoneyStandard</v>
      </c>
      <c r="D18" s="6">
        <f>IFERROR(__xludf.DUMMYFUNCTION("""COMPUTED_VALUE"""),44747.0)</f>
        <v>44747</v>
      </c>
      <c r="E18" s="5" t="str">
        <f>IFERROR(__xludf.DUMMYFUNCTION("""COMPUTED_VALUE"""),"Slot")</f>
        <v>Slot</v>
      </c>
      <c r="F18" s="5">
        <f>IFERROR(__xludf.DUMMYFUNCTION("""COMPUTED_VALUE"""),9.5)</f>
        <v>9.5</v>
      </c>
      <c r="G18" s="5" t="str">
        <f>IFERROR(__xludf.DUMMYFUNCTION("""COMPUTED_VALUE"""),"5X4")</f>
        <v>5X4</v>
      </c>
      <c r="H18" s="5" t="str">
        <f>IFERROR(__xludf.DUMMYFUNCTION("""COMPUTED_VALUE"""),"20")</f>
        <v>20</v>
      </c>
      <c r="I18" s="5" t="str">
        <f>IFERROR(__xludf.DUMMYFUNCTION("""COMPUTED_VALUE"""),"20")</f>
        <v>20</v>
      </c>
      <c r="J18" s="5" t="str">
        <f>IFERROR(__xludf.DUMMYFUNCTION("""COMPUTED_VALUE"""),"96%")</f>
        <v>96%</v>
      </c>
      <c r="K18" s="5" t="str">
        <f>IFERROR(__xludf.DUMMYFUNCTION("""COMPUTED_VALUE"""),"Low")</f>
        <v>Low</v>
      </c>
      <c r="L18" s="5" t="str">
        <f>IFERROR(__xludf.DUMMYFUNCTION("""COMPUTED_VALUE"""),"11.7%")</f>
        <v>11.7%</v>
      </c>
      <c r="M18" s="5" t="str">
        <f>IFERROR(__xludf.DUMMYFUNCTION("""COMPUTED_VALUE"""),"x5000")</f>
        <v>x5000</v>
      </c>
      <c r="N18" s="5" t="str">
        <f>IFERROR(__xludf.DUMMYFUNCTION("""COMPUTED_VALUE"""),"0.2/100")</f>
        <v>0.2/100</v>
      </c>
      <c r="O18" s="5" t="str">
        <f>IFERROR(__xludf.DUMMYFUNCTION("""COMPUTED_VALUE"""),"No")</f>
        <v>No</v>
      </c>
      <c r="P18" s="5"/>
      <c r="Q18" s="7" t="str">
        <f>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R18" s="5" t="str">
        <f>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S1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18" s="5" t="str">
        <f>IFERROR(__xludf.DUMMYFUNCTION("""COMPUTED_VALUE"""),"Yes")</f>
        <v>Yes</v>
      </c>
      <c r="U18" s="5" t="str">
        <f>IFERROR(__xludf.DUMMYFUNCTION("""COMPUTED_VALUE"""),"Yes")</f>
        <v>Yes</v>
      </c>
      <c r="V18" s="5" t="str">
        <f>IFERROR(__xludf.DUMMYFUNCTION("""COMPUTED_VALUE"""),"Yes")</f>
        <v>Yes</v>
      </c>
      <c r="W18" s="5" t="str">
        <f>IFERROR(__xludf.DUMMYFUNCTION("""COMPUTED_VALUE"""),"No")</f>
        <v>No</v>
      </c>
      <c r="X18" s="5" t="str">
        <f>IFERROR(__xludf.DUMMYFUNCTION("""COMPUTED_VALUE"""),"No")</f>
        <v>No</v>
      </c>
      <c r="Y18" s="5" t="str">
        <f>IFERROR(__xludf.DUMMYFUNCTION("""COMPUTED_VALUE"""),"No")</f>
        <v>No</v>
      </c>
      <c r="Z18" s="5" t="str">
        <f>IFERROR(__xludf.DUMMYFUNCTION("""COMPUTED_VALUE"""),"No")</f>
        <v>No</v>
      </c>
      <c r="AA18" s="5" t="str">
        <f>IFERROR(__xludf.DUMMYFUNCTION("""COMPUTED_VALUE"""),"No")</f>
        <v>No</v>
      </c>
      <c r="AB18" s="5" t="str">
        <f>IFERROR(__xludf.DUMMYFUNCTION("""COMPUTED_VALUE"""),"Yes")</f>
        <v>Yes</v>
      </c>
      <c r="AC18" s="5" t="str">
        <f>IFERROR(__xludf.DUMMYFUNCTION("""COMPUTED_VALUE"""),"Yes")</f>
        <v>Yes</v>
      </c>
      <c r="AD18" s="5" t="str">
        <f>IFERROR(__xludf.DUMMYFUNCTION("""COMPUTED_VALUE"""),"Yes")</f>
        <v>Yes</v>
      </c>
      <c r="AE18" s="5" t="str">
        <f>IFERROR(__xludf.DUMMYFUNCTION("""COMPUTED_VALUE"""),"Yes")</f>
        <v>Yes</v>
      </c>
      <c r="AF18" s="5" t="str">
        <f>IFERROR(__xludf.DUMMYFUNCTION("""COMPUTED_VALUE"""),"Yes")</f>
        <v>Yes</v>
      </c>
      <c r="AG18" s="5" t="str">
        <f>IFERROR(__xludf.DUMMYFUNCTION("""COMPUTED_VALUE"""),"No")</f>
        <v>No</v>
      </c>
      <c r="AH18" s="5" t="str">
        <f>IFERROR(__xludf.DUMMYFUNCTION("""COMPUTED_VALUE"""),"Yes")</f>
        <v>Yes</v>
      </c>
      <c r="AI18" s="5" t="str">
        <f>IFERROR(__xludf.DUMMYFUNCTION("""COMPUTED_VALUE"""),"No")</f>
        <v>No</v>
      </c>
      <c r="AJ18" s="5" t="str">
        <f>IFERROR(__xludf.DUMMYFUNCTION("""COMPUTED_VALUE"""),"No")</f>
        <v>No</v>
      </c>
      <c r="AK18" s="5" t="str">
        <f>IFERROR(__xludf.DUMMYFUNCTION("""COMPUTED_VALUE"""),"No")</f>
        <v>No</v>
      </c>
      <c r="AL18" s="5" t="str">
        <f>IFERROR(__xludf.DUMMYFUNCTION("""COMPUTED_VALUE"""),"No")</f>
        <v>No</v>
      </c>
      <c r="AM18" s="5" t="str">
        <f>IFERROR(__xludf.DUMMYFUNCTION("""COMPUTED_VALUE"""),"No")</f>
        <v>No</v>
      </c>
      <c r="AN18" s="5"/>
      <c r="AO18" s="5"/>
      <c r="AP18" s="5"/>
      <c r="AQ18" s="5" t="str">
        <f>IFERROR(__xludf.DUMMYFUNCTION("""COMPUTED_VALUE"""),"No")</f>
        <v>No</v>
      </c>
      <c r="AR18" s="5"/>
      <c r="AS18" s="5"/>
      <c r="AT18" s="5"/>
      <c r="AU18" s="5"/>
      <c r="AV18" s="5" t="str">
        <f>IFERROR(__xludf.DUMMYFUNCTION("""COMPUTED_VALUE"""),"")</f>
        <v/>
      </c>
    </row>
    <row r="19">
      <c r="A19" s="5" t="str">
        <f>IFERROR(__xludf.DUMMYFUNCTION("""COMPUTED_VALUE"""),"Tiptop")</f>
        <v>Tiptop</v>
      </c>
      <c r="B19" s="5" t="str">
        <f>IFERROR(__xludf.DUMMYFUNCTION("""COMPUTED_VALUE"""),"Mini Mega Cash")</f>
        <v>Mini Mega Cash</v>
      </c>
      <c r="C19" s="5" t="str">
        <f>IFERROR(__xludf.DUMMYFUNCTION("""COMPUTED_VALUE"""),"UnicornMiniMegaCash")</f>
        <v>UnicornMiniMegaCash</v>
      </c>
      <c r="D19" s="6">
        <f>IFERROR(__xludf.DUMMYFUNCTION("""COMPUTED_VALUE"""),44768.0)</f>
        <v>44768</v>
      </c>
      <c r="E19" s="5" t="str">
        <f>IFERROR(__xludf.DUMMYFUNCTION("""COMPUTED_VALUE"""),"Slot")</f>
        <v>Slot</v>
      </c>
      <c r="F19" s="5">
        <f>IFERROR(__xludf.DUMMYFUNCTION("""COMPUTED_VALUE"""),11.9)</f>
        <v>11.9</v>
      </c>
      <c r="G19" s="5" t="str">
        <f>IFERROR(__xludf.DUMMYFUNCTION("""COMPUTED_VALUE"""),"5X3")</f>
        <v>5X3</v>
      </c>
      <c r="H19" s="5" t="str">
        <f>IFERROR(__xludf.DUMMYFUNCTION("""COMPUTED_VALUE"""),"10")</f>
        <v>10</v>
      </c>
      <c r="I19" s="5" t="str">
        <f>IFERROR(__xludf.DUMMYFUNCTION("""COMPUTED_VALUE"""),"10")</f>
        <v>10</v>
      </c>
      <c r="J19" s="5" t="str">
        <f>IFERROR(__xludf.DUMMYFUNCTION("""COMPUTED_VALUE"""),"96%")</f>
        <v>96%</v>
      </c>
      <c r="K19" s="5" t="str">
        <f>IFERROR(__xludf.DUMMYFUNCTION("""COMPUTED_VALUE"""),"Low")</f>
        <v>Low</v>
      </c>
      <c r="L19" s="5" t="str">
        <f>IFERROR(__xludf.DUMMYFUNCTION("""COMPUTED_VALUE"""),"21.22%")</f>
        <v>21.22%</v>
      </c>
      <c r="M19" s="5" t="str">
        <f>IFERROR(__xludf.DUMMYFUNCTION("""COMPUTED_VALUE"""),"x5000")</f>
        <v>x5000</v>
      </c>
      <c r="N19" s="5" t="str">
        <f>IFERROR(__xludf.DUMMYFUNCTION("""COMPUTED_VALUE"""),"0.1/100")</f>
        <v>0.1/100</v>
      </c>
      <c r="O19" s="5" t="str">
        <f>IFERROR(__xludf.DUMMYFUNCTION("""COMPUTED_VALUE"""),"No")</f>
        <v>No</v>
      </c>
      <c r="P19" s="5" t="str">
        <f>IFERROR(__xludf.DUMMYFUNCTION("""COMPUTED_VALUE"""),"Scatter")</f>
        <v>Scatter</v>
      </c>
      <c r="Q19" s="7" t="str">
        <f>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R19" s="5" t="str">
        <f>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S1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9" s="5" t="str">
        <f>IFERROR(__xludf.DUMMYFUNCTION("""COMPUTED_VALUE"""),"Yes")</f>
        <v>Yes</v>
      </c>
      <c r="U19" s="5" t="str">
        <f>IFERROR(__xludf.DUMMYFUNCTION("""COMPUTED_VALUE"""),"Yes")</f>
        <v>Yes</v>
      </c>
      <c r="V19" s="5" t="str">
        <f>IFERROR(__xludf.DUMMYFUNCTION("""COMPUTED_VALUE"""),"No")</f>
        <v>No</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IFERROR(__xludf.DUMMYFUNCTION("""COMPUTED_VALUE"""),"Yes")</f>
        <v>Yes</v>
      </c>
      <c r="AD19" s="5" t="str">
        <f>IFERROR(__xludf.DUMMYFUNCTION("""COMPUTED_VALUE"""),"Yes")</f>
        <v>Yes</v>
      </c>
      <c r="AE19" s="5" t="str">
        <f>IFERROR(__xludf.DUMMYFUNCTION("""COMPUTED_VALUE"""),"Yes")</f>
        <v>Yes</v>
      </c>
      <c r="AF19" s="5" t="str">
        <f>IFERROR(__xludf.DUMMYFUNCTION("""COMPUTED_VALUE"""),"Yes")</f>
        <v>Yes</v>
      </c>
      <c r="AG19" s="5" t="str">
        <f>IFERROR(__xludf.DUMMYFUNCTION("""COMPUTED_VALUE"""),"Yes")</f>
        <v>Yes</v>
      </c>
      <c r="AH19" s="5" t="str">
        <f>IFERROR(__xludf.DUMMYFUNCTION("""COMPUTED_VALUE"""),"Yes")</f>
        <v>Yes</v>
      </c>
      <c r="AI19" s="5" t="str">
        <f>IFERROR(__xludf.DUMMYFUNCTION("""COMPUTED_VALUE"""),"No")</f>
        <v>No</v>
      </c>
      <c r="AJ19" s="5" t="str">
        <f>IFERROR(__xludf.DUMMYFUNCTION("""COMPUTED_VALUE"""),"No")</f>
        <v>No</v>
      </c>
      <c r="AK19" s="5" t="str">
        <f>IFERROR(__xludf.DUMMYFUNCTION("""COMPUTED_VALUE"""),"No")</f>
        <v>No</v>
      </c>
      <c r="AL19" s="5" t="str">
        <f>IFERROR(__xludf.DUMMYFUNCTION("""COMPUTED_VALUE"""),"No")</f>
        <v>No</v>
      </c>
      <c r="AM19" s="5" t="str">
        <f>IFERROR(__xludf.DUMMYFUNCTION("""COMPUTED_VALUE"""),"No")</f>
        <v>No</v>
      </c>
      <c r="AN19" s="5" t="str">
        <f>IFERROR(__xludf.DUMMYFUNCTION("""COMPUTED_VALUE"""),"No")</f>
        <v>No</v>
      </c>
      <c r="AO19" s="5" t="str">
        <f>IFERROR(__xludf.DUMMYFUNCTION("""COMPUTED_VALUE"""),"No")</f>
        <v>No</v>
      </c>
      <c r="AP19" s="5" t="str">
        <f>IFERROR(__xludf.DUMMYFUNCTION("""COMPUTED_VALUE"""),"No")</f>
        <v>No</v>
      </c>
      <c r="AQ19" s="5" t="str">
        <f>IFERROR(__xludf.DUMMYFUNCTION("""COMPUTED_VALUE"""),"No")</f>
        <v>No</v>
      </c>
      <c r="AR19" s="5" t="str">
        <f>IFERROR(__xludf.DUMMYFUNCTION("""COMPUTED_VALUE"""),"No")</f>
        <v>No</v>
      </c>
      <c r="AS19" s="5" t="str">
        <f>IFERROR(__xludf.DUMMYFUNCTION("""COMPUTED_VALUE"""),"Yes")</f>
        <v>Yes</v>
      </c>
      <c r="AT19" s="5" t="str">
        <f>IFERROR(__xludf.DUMMYFUNCTION("""COMPUTED_VALUE"""),"No")</f>
        <v>No</v>
      </c>
      <c r="AU19" s="5"/>
      <c r="AV19" s="5" t="str">
        <f>IFERROR(__xludf.DUMMYFUNCTION("""COMPUTED_VALUE"""),"")</f>
        <v/>
      </c>
    </row>
    <row r="20">
      <c r="A20" s="5" t="str">
        <f>IFERROR(__xludf.DUMMYFUNCTION("""COMPUTED_VALUE"""),"Tiptop")</f>
        <v>Tiptop</v>
      </c>
      <c r="B20" s="5" t="str">
        <f>IFERROR(__xludf.DUMMYFUNCTION("""COMPUTED_VALUE"""),"20 Dice Flames")</f>
        <v>20 Dice Flames</v>
      </c>
      <c r="C20" s="5" t="str">
        <f>IFERROR(__xludf.DUMMYFUNCTION("""COMPUTED_VALUE"""),"Unicorn20DiceFlames")</f>
        <v>Unicorn20DiceFlames</v>
      </c>
      <c r="D20" s="6">
        <f>IFERROR(__xludf.DUMMYFUNCTION("""COMPUTED_VALUE"""),44735.0)</f>
        <v>44735</v>
      </c>
      <c r="E20" s="5" t="str">
        <f>IFERROR(__xludf.DUMMYFUNCTION("""COMPUTED_VALUE"""),"Dice Slots")</f>
        <v>Dice Slots</v>
      </c>
      <c r="F20" s="5">
        <f>IFERROR(__xludf.DUMMYFUNCTION("""COMPUTED_VALUE"""),13.2)</f>
        <v>13.2</v>
      </c>
      <c r="G20" s="5" t="str">
        <f>IFERROR(__xludf.DUMMYFUNCTION("""COMPUTED_VALUE"""),"5X3")</f>
        <v>5X3</v>
      </c>
      <c r="H20" s="5" t="str">
        <f>IFERROR(__xludf.DUMMYFUNCTION("""COMPUTED_VALUE"""),"20")</f>
        <v>20</v>
      </c>
      <c r="I20" s="5" t="str">
        <f>IFERROR(__xludf.DUMMYFUNCTION("""COMPUTED_VALUE"""),"20")</f>
        <v>20</v>
      </c>
      <c r="J20" s="5" t="str">
        <f>IFERROR(__xludf.DUMMYFUNCTION("""COMPUTED_VALUE"""),"96%")</f>
        <v>96%</v>
      </c>
      <c r="K20" s="5" t="str">
        <f>IFERROR(__xludf.DUMMYFUNCTION("""COMPUTED_VALUE"""),"Low")</f>
        <v>Low</v>
      </c>
      <c r="L20" s="5" t="str">
        <f>IFERROR(__xludf.DUMMYFUNCTION("""COMPUTED_VALUE"""),"30.07%")</f>
        <v>30.07%</v>
      </c>
      <c r="M20" s="5" t="str">
        <f>IFERROR(__xludf.DUMMYFUNCTION("""COMPUTED_VALUE"""),"x200")</f>
        <v>x200</v>
      </c>
      <c r="N20" s="5" t="str">
        <f>IFERROR(__xludf.DUMMYFUNCTION("""COMPUTED_VALUE"""),"0.2/100")</f>
        <v>0.2/100</v>
      </c>
      <c r="O20" s="5" t="str">
        <f>IFERROR(__xludf.DUMMYFUNCTION("""COMPUTED_VALUE"""),"No")</f>
        <v>No</v>
      </c>
      <c r="P20" s="5"/>
      <c r="Q20" s="7" t="str">
        <f>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R20" s="5" t="str">
        <f>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S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IFERROR(__xludf.DUMMYFUNCTION("""COMPUTED_VALUE"""),"Yes")</f>
        <v>Yes</v>
      </c>
      <c r="AD20" s="5" t="str">
        <f>IFERROR(__xludf.DUMMYFUNCTION("""COMPUTED_VALUE"""),"Yes")</f>
        <v>Yes</v>
      </c>
      <c r="AE20" s="5" t="str">
        <f>IFERROR(__xludf.DUMMYFUNCTION("""COMPUTED_VALUE"""),"Yes")</f>
        <v>Yes</v>
      </c>
      <c r="AF20" s="5" t="str">
        <f>IFERROR(__xludf.DUMMYFUNCTION("""COMPUTED_VALUE"""),"Yes")</f>
        <v>Yes</v>
      </c>
      <c r="AG20" s="5" t="str">
        <f>IFERROR(__xludf.DUMMYFUNCTION("""COMPUTED_VALUE"""),"Yes")</f>
        <v>Yes</v>
      </c>
      <c r="AH20" s="5" t="str">
        <f>IFERROR(__xludf.DUMMYFUNCTION("""COMPUTED_VALUE"""),"Yes")</f>
        <v>Yes</v>
      </c>
      <c r="AI20" s="5" t="str">
        <f>IFERROR(__xludf.DUMMYFUNCTION("""COMPUTED_VALUE"""),"Yes")</f>
        <v>Yes</v>
      </c>
      <c r="AJ20" s="5" t="str">
        <f>IFERROR(__xludf.DUMMYFUNCTION("""COMPUTED_VALUE"""),"Yes")</f>
        <v>Yes</v>
      </c>
      <c r="AK20" s="5" t="str">
        <f>IFERROR(__xludf.DUMMYFUNCTION("""COMPUTED_VALUE"""),"Yes")</f>
        <v>Yes</v>
      </c>
      <c r="AL20" s="5" t="str">
        <f>IFERROR(__xludf.DUMMYFUNCTION("""COMPUTED_VALUE"""),"Yes")</f>
        <v>Yes</v>
      </c>
      <c r="AM20" s="5" t="str">
        <f>IFERROR(__xludf.DUMMYFUNCTION("""COMPUTED_VALUE"""),"Yes")</f>
        <v>Yes</v>
      </c>
      <c r="AN20" s="5" t="str">
        <f>IFERROR(__xludf.DUMMYFUNCTION("""COMPUTED_VALUE"""),"Yes")</f>
        <v>Yes</v>
      </c>
      <c r="AO20" s="5" t="str">
        <f>IFERROR(__xludf.DUMMYFUNCTION("""COMPUTED_VALUE"""),"Yes")</f>
        <v>Yes</v>
      </c>
      <c r="AP20" s="5" t="str">
        <f>IFERROR(__xludf.DUMMYFUNCTION("""COMPUTED_VALUE"""),"Yes")</f>
        <v>Yes</v>
      </c>
      <c r="AQ20" s="5" t="str">
        <f>IFERROR(__xludf.DUMMYFUNCTION("""COMPUTED_VALUE"""),"Yes")</f>
        <v>Yes</v>
      </c>
      <c r="AR20" s="5" t="str">
        <f>IFERROR(__xludf.DUMMYFUNCTION("""COMPUTED_VALUE"""),"Yes")</f>
        <v>Yes</v>
      </c>
      <c r="AS20" s="5" t="str">
        <f>IFERROR(__xludf.DUMMYFUNCTION("""COMPUTED_VALUE"""),"Yes")</f>
        <v>Yes</v>
      </c>
      <c r="AT20" s="5"/>
      <c r="AU20" s="5"/>
      <c r="AV20" s="5" t="str">
        <f>IFERROR(__xludf.DUMMYFUNCTION("""COMPUTED_VALUE"""),"")</f>
        <v/>
      </c>
    </row>
    <row r="21">
      <c r="A21" s="5" t="str">
        <f>IFERROR(__xludf.DUMMYFUNCTION("""COMPUTED_VALUE"""),"Tiptop")</f>
        <v>Tiptop</v>
      </c>
      <c r="B21" s="5" t="str">
        <f>IFERROR(__xludf.DUMMYFUNCTION("""COMPUTED_VALUE"""),"40 Mega Flames")</f>
        <v>40 Mega Flames</v>
      </c>
      <c r="C21" s="5" t="str">
        <f>IFERROR(__xludf.DUMMYFUNCTION("""COMPUTED_VALUE"""),"Unicorn40MegaFlames")</f>
        <v>Unicorn40MegaFlames</v>
      </c>
      <c r="D21" s="6">
        <f>IFERROR(__xludf.DUMMYFUNCTION("""COMPUTED_VALUE"""),44824.0)</f>
        <v>44824</v>
      </c>
      <c r="E21" s="5" t="str">
        <f>IFERROR(__xludf.DUMMYFUNCTION("""COMPUTED_VALUE"""),"Slot")</f>
        <v>Slot</v>
      </c>
      <c r="F21" s="5">
        <f>IFERROR(__xludf.DUMMYFUNCTION("""COMPUTED_VALUE"""),12.9)</f>
        <v>12.9</v>
      </c>
      <c r="G21" s="5" t="str">
        <f>IFERROR(__xludf.DUMMYFUNCTION("""COMPUTED_VALUE"""),"5X4")</f>
        <v>5X4</v>
      </c>
      <c r="H21" s="5" t="str">
        <f>IFERROR(__xludf.DUMMYFUNCTION("""COMPUTED_VALUE"""),"40")</f>
        <v>40</v>
      </c>
      <c r="I21" s="5" t="str">
        <f>IFERROR(__xludf.DUMMYFUNCTION("""COMPUTED_VALUE"""),"40")</f>
        <v>40</v>
      </c>
      <c r="J21" s="5" t="str">
        <f>IFERROR(__xludf.DUMMYFUNCTION("""COMPUTED_VALUE"""),"96%")</f>
        <v>96%</v>
      </c>
      <c r="K21" s="5" t="str">
        <f>IFERROR(__xludf.DUMMYFUNCTION("""COMPUTED_VALUE"""),"Low")</f>
        <v>Low</v>
      </c>
      <c r="L21" s="5" t="str">
        <f>IFERROR(__xludf.DUMMYFUNCTION("""COMPUTED_VALUE"""),"21.4%")</f>
        <v>21.4%</v>
      </c>
      <c r="M21" s="5" t="str">
        <f>IFERROR(__xludf.DUMMYFUNCTION("""COMPUTED_VALUE"""),"x2000")</f>
        <v>x2000</v>
      </c>
      <c r="N21" s="5" t="str">
        <f>IFERROR(__xludf.DUMMYFUNCTION("""COMPUTED_VALUE"""),"0.4/100")</f>
        <v>0.4/100</v>
      </c>
      <c r="O21" s="5" t="str">
        <f>IFERROR(__xludf.DUMMYFUNCTION("""COMPUTED_VALUE"""),"No")</f>
        <v>No</v>
      </c>
      <c r="P21" s="5" t="str">
        <f>IFERROR(__xludf.DUMMYFUNCTION("""COMPUTED_VALUE"""),"Scatter")</f>
        <v>Scatter</v>
      </c>
      <c r="Q21" s="7" t="str">
        <f>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R21" s="5" t="str">
        <f>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S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IFERROR(__xludf.DUMMYFUNCTION("""COMPUTED_VALUE"""),"Yes")</f>
        <v>Yes</v>
      </c>
      <c r="AD21" s="5" t="str">
        <f>IFERROR(__xludf.DUMMYFUNCTION("""COMPUTED_VALUE"""),"Yes")</f>
        <v>Yes</v>
      </c>
      <c r="AE21" s="5" t="str">
        <f>IFERROR(__xludf.DUMMYFUNCTION("""COMPUTED_VALUE"""),"Yes")</f>
        <v>Yes</v>
      </c>
      <c r="AF21" s="5" t="str">
        <f>IFERROR(__xludf.DUMMYFUNCTION("""COMPUTED_VALUE"""),"Yes")</f>
        <v>Yes</v>
      </c>
      <c r="AG21" s="5" t="str">
        <f>IFERROR(__xludf.DUMMYFUNCTION("""COMPUTED_VALUE"""),"Yes")</f>
        <v>Yes</v>
      </c>
      <c r="AH21" s="5" t="str">
        <f>IFERROR(__xludf.DUMMYFUNCTION("""COMPUTED_VALUE"""),"Yes")</f>
        <v>Yes</v>
      </c>
      <c r="AI21" s="5" t="str">
        <f>IFERROR(__xludf.DUMMYFUNCTION("""COMPUTED_VALUE"""),"Yes")</f>
        <v>Yes</v>
      </c>
      <c r="AJ21" s="5" t="str">
        <f>IFERROR(__xludf.DUMMYFUNCTION("""COMPUTED_VALUE"""),"Yes")</f>
        <v>Yes</v>
      </c>
      <c r="AK21" s="5" t="str">
        <f>IFERROR(__xludf.DUMMYFUNCTION("""COMPUTED_VALUE"""),"Yes")</f>
        <v>Yes</v>
      </c>
      <c r="AL21" s="5" t="str">
        <f>IFERROR(__xludf.DUMMYFUNCTION("""COMPUTED_VALUE"""),"Yes")</f>
        <v>Yes</v>
      </c>
      <c r="AM21" s="5" t="str">
        <f>IFERROR(__xludf.DUMMYFUNCTION("""COMPUTED_VALUE"""),"Yes")</f>
        <v>Yes</v>
      </c>
      <c r="AN21" s="5" t="str">
        <f>IFERROR(__xludf.DUMMYFUNCTION("""COMPUTED_VALUE"""),"Yes")</f>
        <v>Yes</v>
      </c>
      <c r="AO21" s="5" t="str">
        <f>IFERROR(__xludf.DUMMYFUNCTION("""COMPUTED_VALUE"""),"Yes")</f>
        <v>Yes</v>
      </c>
      <c r="AP21" s="5" t="str">
        <f>IFERROR(__xludf.DUMMYFUNCTION("""COMPUTED_VALUE"""),"Yes")</f>
        <v>Yes</v>
      </c>
      <c r="AQ21" s="5" t="str">
        <f>IFERROR(__xludf.DUMMYFUNCTION("""COMPUTED_VALUE"""),"Yes")</f>
        <v>Yes</v>
      </c>
      <c r="AR21" s="5" t="str">
        <f>IFERROR(__xludf.DUMMYFUNCTION("""COMPUTED_VALUE"""),"Yes")</f>
        <v>Yes</v>
      </c>
      <c r="AS21" s="5" t="str">
        <f>IFERROR(__xludf.DUMMYFUNCTION("""COMPUTED_VALUE"""),"Yes")</f>
        <v>Yes</v>
      </c>
      <c r="AT21" s="5"/>
      <c r="AU21" s="5"/>
      <c r="AV21" s="5" t="str">
        <f>IFERROR(__xludf.DUMMYFUNCTION("""COMPUTED_VALUE"""),"")</f>
        <v/>
      </c>
    </row>
    <row r="22">
      <c r="A22" s="5" t="str">
        <f>IFERROR(__xludf.DUMMYFUNCTION("""COMPUTED_VALUE"""),"Tiptop")</f>
        <v>Tiptop</v>
      </c>
      <c r="B22" s="5" t="str">
        <f>IFERROR(__xludf.DUMMYFUNCTION("""COMPUTED_VALUE"""),"40 Dice Flames")</f>
        <v>40 Dice Flames</v>
      </c>
      <c r="C22" s="5" t="str">
        <f>IFERROR(__xludf.DUMMYFUNCTION("""COMPUTED_VALUE"""),"Unicorn40DiceFlames")</f>
        <v>Unicorn40DiceFlames</v>
      </c>
      <c r="D22" s="6">
        <f>IFERROR(__xludf.DUMMYFUNCTION("""COMPUTED_VALUE"""),44859.0)</f>
        <v>44859</v>
      </c>
      <c r="E22" s="5" t="str">
        <f>IFERROR(__xludf.DUMMYFUNCTION("""COMPUTED_VALUE"""),"Dice Slots")</f>
        <v>Dice Slots</v>
      </c>
      <c r="F22" s="5">
        <f>IFERROR(__xludf.DUMMYFUNCTION("""COMPUTED_VALUE"""),13.6)</f>
        <v>13.6</v>
      </c>
      <c r="G22" s="5" t="str">
        <f>IFERROR(__xludf.DUMMYFUNCTION("""COMPUTED_VALUE"""),"5X4")</f>
        <v>5X4</v>
      </c>
      <c r="H22" s="5" t="str">
        <f>IFERROR(__xludf.DUMMYFUNCTION("""COMPUTED_VALUE"""),"40")</f>
        <v>40</v>
      </c>
      <c r="I22" s="5" t="str">
        <f>IFERROR(__xludf.DUMMYFUNCTION("""COMPUTED_VALUE"""),"40")</f>
        <v>40</v>
      </c>
      <c r="J22" s="5" t="str">
        <f>IFERROR(__xludf.DUMMYFUNCTION("""COMPUTED_VALUE"""),"96%")</f>
        <v>96%</v>
      </c>
      <c r="K22" s="5" t="str">
        <f>IFERROR(__xludf.DUMMYFUNCTION("""COMPUTED_VALUE"""),"Low")</f>
        <v>Low</v>
      </c>
      <c r="L22" s="5" t="str">
        <f>IFERROR(__xludf.DUMMYFUNCTION("""COMPUTED_VALUE"""),"21.4%")</f>
        <v>21.4%</v>
      </c>
      <c r="M22" s="5" t="str">
        <f>IFERROR(__xludf.DUMMYFUNCTION("""COMPUTED_VALUE"""),"x2000")</f>
        <v>x2000</v>
      </c>
      <c r="N22" s="5" t="str">
        <f>IFERROR(__xludf.DUMMYFUNCTION("""COMPUTED_VALUE"""),"0.4/100")</f>
        <v>0.4/100</v>
      </c>
      <c r="O22" s="5" t="str">
        <f>IFERROR(__xludf.DUMMYFUNCTION("""COMPUTED_VALUE"""),"No")</f>
        <v>No</v>
      </c>
      <c r="P22" s="5" t="str">
        <f>IFERROR(__xludf.DUMMYFUNCTION("""COMPUTED_VALUE"""),"Scatter")</f>
        <v>Scatter</v>
      </c>
      <c r="Q22" s="7" t="str">
        <f>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R22" s="5" t="str">
        <f>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S2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2" s="5" t="str">
        <f>IFERROR(__xludf.DUMMYFUNCTION("""COMPUTED_VALUE"""),"Yes")</f>
        <v>Yes</v>
      </c>
      <c r="U22" s="5" t="str">
        <f>IFERROR(__xludf.DUMMYFUNCTION("""COMPUTED_VALUE"""),"Yes")</f>
        <v>Yes</v>
      </c>
      <c r="V22" s="5" t="str">
        <f>IFERROR(__xludf.DUMMYFUNCTION("""COMPUTED_VALUE"""),"Yes")</f>
        <v>Yes</v>
      </c>
      <c r="W22" s="5" t="str">
        <f>IFERROR(__xludf.DUMMYFUNCTION("""COMPUTED_VALUE"""),"No")</f>
        <v>No</v>
      </c>
      <c r="X22" s="5" t="str">
        <f>IFERROR(__xludf.DUMMYFUNCTION("""COMPUTED_VALUE"""),"No")</f>
        <v>No</v>
      </c>
      <c r="Y22" s="5" t="str">
        <f>IFERROR(__xludf.DUMMYFUNCTION("""COMPUTED_VALUE"""),"No")</f>
        <v>No</v>
      </c>
      <c r="Z22" s="5" t="str">
        <f>IFERROR(__xludf.DUMMYFUNCTION("""COMPUTED_VALUE"""),"No")</f>
        <v>No</v>
      </c>
      <c r="AA22" s="5" t="str">
        <f>IFERROR(__xludf.DUMMYFUNCTION("""COMPUTED_VALUE"""),"No")</f>
        <v>No</v>
      </c>
      <c r="AB22" s="5" t="str">
        <f>IFERROR(__xludf.DUMMYFUNCTION("""COMPUTED_VALUE"""),"Yes")</f>
        <v>Yes</v>
      </c>
      <c r="AC22" s="5" t="str">
        <f>IFERROR(__xludf.DUMMYFUNCTION("""COMPUTED_VALUE"""),"Yes")</f>
        <v>Yes</v>
      </c>
      <c r="AD22" s="5" t="str">
        <f>IFERROR(__xludf.DUMMYFUNCTION("""COMPUTED_VALUE"""),"Yes")</f>
        <v>Yes</v>
      </c>
      <c r="AE22" s="5" t="str">
        <f>IFERROR(__xludf.DUMMYFUNCTION("""COMPUTED_VALUE"""),"Yes")</f>
        <v>Yes</v>
      </c>
      <c r="AF22" s="5" t="str">
        <f>IFERROR(__xludf.DUMMYFUNCTION("""COMPUTED_VALUE"""),"Yes")</f>
        <v>Yes</v>
      </c>
      <c r="AG22" s="5" t="str">
        <f>IFERROR(__xludf.DUMMYFUNCTION("""COMPUTED_VALUE"""),"No")</f>
        <v>No</v>
      </c>
      <c r="AH22" s="5" t="str">
        <f>IFERROR(__xludf.DUMMYFUNCTION("""COMPUTED_VALUE"""),"Yes")</f>
        <v>Yes</v>
      </c>
      <c r="AI22" s="5" t="str">
        <f>IFERROR(__xludf.DUMMYFUNCTION("""COMPUTED_VALUE"""),"No")</f>
        <v>No</v>
      </c>
      <c r="AJ22" s="5" t="str">
        <f>IFERROR(__xludf.DUMMYFUNCTION("""COMPUTED_VALUE"""),"No")</f>
        <v>No</v>
      </c>
      <c r="AK22" s="5" t="str">
        <f>IFERROR(__xludf.DUMMYFUNCTION("""COMPUTED_VALUE"""),"No")</f>
        <v>No</v>
      </c>
      <c r="AL22" s="5" t="str">
        <f>IFERROR(__xludf.DUMMYFUNCTION("""COMPUTED_VALUE"""),"No")</f>
        <v>No</v>
      </c>
      <c r="AM22" s="5" t="str">
        <f>IFERROR(__xludf.DUMMYFUNCTION("""COMPUTED_VALUE"""),"No")</f>
        <v>No</v>
      </c>
      <c r="AN22" s="5"/>
      <c r="AO22" s="5"/>
      <c r="AP22" s="5"/>
      <c r="AQ22" s="5" t="str">
        <f>IFERROR(__xludf.DUMMYFUNCTION("""COMPUTED_VALUE"""),"No")</f>
        <v>No</v>
      </c>
      <c r="AR22" s="5"/>
      <c r="AS22" s="5"/>
      <c r="AT22" s="5"/>
      <c r="AU22" s="5"/>
      <c r="AV22" s="5" t="str">
        <f>IFERROR(__xludf.DUMMYFUNCTION("""COMPUTED_VALUE"""),"")</f>
        <v/>
      </c>
    </row>
    <row r="23">
      <c r="A23" s="5" t="str">
        <f>IFERROR(__xludf.DUMMYFUNCTION("""COMPUTED_VALUE"""),"Tiptop")</f>
        <v>Tiptop</v>
      </c>
      <c r="B23" s="5" t="str">
        <f>IFERROR(__xludf.DUMMYFUNCTION("""COMPUTED_VALUE"""),"Da Vinci's Dice")</f>
        <v>Da Vinci's Dice</v>
      </c>
      <c r="C23" s="5" t="str">
        <f>IFERROR(__xludf.DUMMYFUNCTION("""COMPUTED_VALUE"""),"UnicornDaVincisDice")</f>
        <v>UnicornDaVincisDice</v>
      </c>
      <c r="D23" s="6">
        <f>IFERROR(__xludf.DUMMYFUNCTION("""COMPUTED_VALUE"""),44845.0)</f>
        <v>44845</v>
      </c>
      <c r="E23" s="5" t="str">
        <f>IFERROR(__xludf.DUMMYFUNCTION("""COMPUTED_VALUE"""),"Dice Slots")</f>
        <v>Dice Slots</v>
      </c>
      <c r="F23" s="5">
        <f>IFERROR(__xludf.DUMMYFUNCTION("""COMPUTED_VALUE"""),10.7)</f>
        <v>10.7</v>
      </c>
      <c r="G23" s="5" t="str">
        <f>IFERROR(__xludf.DUMMYFUNCTION("""COMPUTED_VALUE"""),"5X3")</f>
        <v>5X3</v>
      </c>
      <c r="H23" s="5" t="str">
        <f>IFERROR(__xludf.DUMMYFUNCTION("""COMPUTED_VALUE"""),"5")</f>
        <v>5</v>
      </c>
      <c r="I23" s="5" t="str">
        <f>IFERROR(__xludf.DUMMYFUNCTION("""COMPUTED_VALUE"""),"5")</f>
        <v>5</v>
      </c>
      <c r="J23" s="5" t="str">
        <f>IFERROR(__xludf.DUMMYFUNCTION("""COMPUTED_VALUE"""),"96%")</f>
        <v>96%</v>
      </c>
      <c r="K23" s="5" t="str">
        <f>IFERROR(__xludf.DUMMYFUNCTION("""COMPUTED_VALUE"""),"Low")</f>
        <v>Low</v>
      </c>
      <c r="L23" s="5" t="str">
        <f>IFERROR(__xludf.DUMMYFUNCTION("""COMPUTED_VALUE"""),"10.5%")</f>
        <v>10.5%</v>
      </c>
      <c r="M23" s="5" t="str">
        <f>IFERROR(__xludf.DUMMYFUNCTION("""COMPUTED_VALUE"""),"x1000")</f>
        <v>x1000</v>
      </c>
      <c r="N23" s="5" t="str">
        <f>IFERROR(__xludf.DUMMYFUNCTION("""COMPUTED_VALUE"""),"0.1/100")</f>
        <v>0.1/100</v>
      </c>
      <c r="O23" s="5" t="str">
        <f>IFERROR(__xludf.DUMMYFUNCTION("""COMPUTED_VALUE"""),"No")</f>
        <v>No</v>
      </c>
      <c r="P23" s="5"/>
      <c r="Q23" s="7" t="str">
        <f>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R23" s="5" t="str">
        <f>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S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IFERROR(__xludf.DUMMYFUNCTION("""COMPUTED_VALUE"""),"Yes")</f>
        <v>Yes</v>
      </c>
      <c r="AD23" s="5" t="str">
        <f>IFERROR(__xludf.DUMMYFUNCTION("""COMPUTED_VALUE"""),"Yes")</f>
        <v>Yes</v>
      </c>
      <c r="AE23" s="5" t="str">
        <f>IFERROR(__xludf.DUMMYFUNCTION("""COMPUTED_VALUE"""),"Yes")</f>
        <v>Yes</v>
      </c>
      <c r="AF23" s="5" t="str">
        <f>IFERROR(__xludf.DUMMYFUNCTION("""COMPUTED_VALUE"""),"Yes")</f>
        <v>Yes</v>
      </c>
      <c r="AG23" s="5" t="str">
        <f>IFERROR(__xludf.DUMMYFUNCTION("""COMPUTED_VALUE"""),"Yes")</f>
        <v>Yes</v>
      </c>
      <c r="AH23" s="5" t="str">
        <f>IFERROR(__xludf.DUMMYFUNCTION("""COMPUTED_VALUE"""),"Yes")</f>
        <v>Yes</v>
      </c>
      <c r="AI23" s="5" t="str">
        <f>IFERROR(__xludf.DUMMYFUNCTION("""COMPUTED_VALUE"""),"Yes")</f>
        <v>Yes</v>
      </c>
      <c r="AJ23" s="5" t="str">
        <f>IFERROR(__xludf.DUMMYFUNCTION("""COMPUTED_VALUE"""),"Yes")</f>
        <v>Yes</v>
      </c>
      <c r="AK23" s="5" t="str">
        <f>IFERROR(__xludf.DUMMYFUNCTION("""COMPUTED_VALUE"""),"Yes")</f>
        <v>Yes</v>
      </c>
      <c r="AL23" s="5" t="str">
        <f>IFERROR(__xludf.DUMMYFUNCTION("""COMPUTED_VALUE"""),"Yes")</f>
        <v>Yes</v>
      </c>
      <c r="AM23" s="5" t="str">
        <f>IFERROR(__xludf.DUMMYFUNCTION("""COMPUTED_VALUE"""),"Yes")</f>
        <v>Yes</v>
      </c>
      <c r="AN23" s="5" t="str">
        <f>IFERROR(__xludf.DUMMYFUNCTION("""COMPUTED_VALUE"""),"Yes")</f>
        <v>Yes</v>
      </c>
      <c r="AO23" s="5" t="str">
        <f>IFERROR(__xludf.DUMMYFUNCTION("""COMPUTED_VALUE"""),"Yes")</f>
        <v>Yes</v>
      </c>
      <c r="AP23" s="5" t="str">
        <f>IFERROR(__xludf.DUMMYFUNCTION("""COMPUTED_VALUE"""),"Yes")</f>
        <v>Yes</v>
      </c>
      <c r="AQ23" s="5" t="str">
        <f>IFERROR(__xludf.DUMMYFUNCTION("""COMPUTED_VALUE"""),"Yes")</f>
        <v>Yes</v>
      </c>
      <c r="AR23" s="5" t="str">
        <f>IFERROR(__xludf.DUMMYFUNCTION("""COMPUTED_VALUE"""),"Yes")</f>
        <v>Yes</v>
      </c>
      <c r="AS23" s="5" t="str">
        <f>IFERROR(__xludf.DUMMYFUNCTION("""COMPUTED_VALUE"""),"Yes")</f>
        <v>Yes</v>
      </c>
      <c r="AT23" s="5"/>
      <c r="AU23" s="5"/>
      <c r="AV23" s="5" t="str">
        <f>IFERROR(__xludf.DUMMYFUNCTION("""COMPUTED_VALUE"""),"")</f>
        <v/>
      </c>
    </row>
    <row r="24">
      <c r="A24" s="5" t="str">
        <f>IFERROR(__xludf.DUMMYFUNCTION("""COMPUTED_VALUE"""),"Tiptop")</f>
        <v>Tiptop</v>
      </c>
      <c r="B24" s="5" t="str">
        <f>IFERROR(__xludf.DUMMYFUNCTION("""COMPUTED_VALUE"""),"Winter Fruits")</f>
        <v>Winter Fruits</v>
      </c>
      <c r="C24" s="5" t="str">
        <f>IFERROR(__xludf.DUMMYFUNCTION("""COMPUTED_VALUE"""),"UnicornWinterFruits")</f>
        <v>UnicornWinterFruits</v>
      </c>
      <c r="D24" s="6">
        <f>IFERROR(__xludf.DUMMYFUNCTION("""COMPUTED_VALUE"""),44873.0)</f>
        <v>44873</v>
      </c>
      <c r="E24" s="5" t="str">
        <f>IFERROR(__xludf.DUMMYFUNCTION("""COMPUTED_VALUE"""),"Slot")</f>
        <v>Slot</v>
      </c>
      <c r="F24" s="5">
        <f>IFERROR(__xludf.DUMMYFUNCTION("""COMPUTED_VALUE"""),12.3)</f>
        <v>12.3</v>
      </c>
      <c r="G24" s="5" t="str">
        <f>IFERROR(__xludf.DUMMYFUNCTION("""COMPUTED_VALUE"""),"5X4")</f>
        <v>5X4</v>
      </c>
      <c r="H24" s="5" t="str">
        <f>IFERROR(__xludf.DUMMYFUNCTION("""COMPUTED_VALUE"""),"40")</f>
        <v>40</v>
      </c>
      <c r="I24" s="5" t="str">
        <f>IFERROR(__xludf.DUMMYFUNCTION("""COMPUTED_VALUE"""),"40")</f>
        <v>40</v>
      </c>
      <c r="J24" s="5" t="str">
        <f>IFERROR(__xludf.DUMMYFUNCTION("""COMPUTED_VALUE"""),"96%")</f>
        <v>96%</v>
      </c>
      <c r="K24" s="5" t="str">
        <f>IFERROR(__xludf.DUMMYFUNCTION("""COMPUTED_VALUE"""),"Low")</f>
        <v>Low</v>
      </c>
      <c r="L24" s="5" t="str">
        <f>IFERROR(__xludf.DUMMYFUNCTION("""COMPUTED_VALUE"""),"11.91%")</f>
        <v>11.91%</v>
      </c>
      <c r="M24" s="5" t="str">
        <f>IFERROR(__xludf.DUMMYFUNCTION("""COMPUTED_VALUE"""),"x1000")</f>
        <v>x1000</v>
      </c>
      <c r="N24" s="5" t="str">
        <f>IFERROR(__xludf.DUMMYFUNCTION("""COMPUTED_VALUE"""),"0.4/100")</f>
        <v>0.4/100</v>
      </c>
      <c r="O24" s="5" t="str">
        <f>IFERROR(__xludf.DUMMYFUNCTION("""COMPUTED_VALUE"""),"No")</f>
        <v>No</v>
      </c>
      <c r="P24" s="5" t="str">
        <f>IFERROR(__xludf.DUMMYFUNCTION("""COMPUTED_VALUE"""),"Wild Symbol, Scatter")</f>
        <v>Wild Symbol, Scatter</v>
      </c>
      <c r="Q24" s="7" t="str">
        <f>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R24" s="5" t="str">
        <f>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S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4" s="5" t="str">
        <f>IFERROR(__xludf.DUMMYFUNCTION("""COMPUTED_VALUE"""),"Yes")</f>
        <v>Yes</v>
      </c>
      <c r="U24" s="5" t="str">
        <f>IFERROR(__xludf.DUMMYFUNCTION("""COMPUTED_VALUE"""),"Yes")</f>
        <v>Yes</v>
      </c>
      <c r="V24" s="5" t="str">
        <f>IFERROR(__xludf.DUMMYFUNCTION("""COMPUTED_VALUE"""),"Yes")</f>
        <v>Yes</v>
      </c>
      <c r="W24" s="5" t="str">
        <f>IFERROR(__xludf.DUMMYFUNCTION("""COMPUTED_VALUE"""),"No")</f>
        <v>No</v>
      </c>
      <c r="X24" s="5" t="str">
        <f>IFERROR(__xludf.DUMMYFUNCTION("""COMPUTED_VALUE"""),"No")</f>
        <v>No</v>
      </c>
      <c r="Y24" s="5" t="str">
        <f>IFERROR(__xludf.DUMMYFUNCTION("""COMPUTED_VALUE"""),"No")</f>
        <v>No</v>
      </c>
      <c r="Z24" s="5" t="str">
        <f>IFERROR(__xludf.DUMMYFUNCTION("""COMPUTED_VALUE"""),"No")</f>
        <v>No</v>
      </c>
      <c r="AA24" s="5" t="str">
        <f>IFERROR(__xludf.DUMMYFUNCTION("""COMPUTED_VALUE"""),"No")</f>
        <v>No</v>
      </c>
      <c r="AB24" s="5" t="str">
        <f>IFERROR(__xludf.DUMMYFUNCTION("""COMPUTED_VALUE"""),"Yes")</f>
        <v>Yes</v>
      </c>
      <c r="AC24" s="5" t="str">
        <f>IFERROR(__xludf.DUMMYFUNCTION("""COMPUTED_VALUE"""),"Yes")</f>
        <v>Yes</v>
      </c>
      <c r="AD24" s="5" t="str">
        <f>IFERROR(__xludf.DUMMYFUNCTION("""COMPUTED_VALUE"""),"Yes")</f>
        <v>Yes</v>
      </c>
      <c r="AE24" s="5" t="str">
        <f>IFERROR(__xludf.DUMMYFUNCTION("""COMPUTED_VALUE"""),"Yes")</f>
        <v>Yes</v>
      </c>
      <c r="AF24" s="5" t="str">
        <f>IFERROR(__xludf.DUMMYFUNCTION("""COMPUTED_VALUE"""),"Yes")</f>
        <v>Yes</v>
      </c>
      <c r="AG24" s="5" t="str">
        <f>IFERROR(__xludf.DUMMYFUNCTION("""COMPUTED_VALUE"""),"No")</f>
        <v>No</v>
      </c>
      <c r="AH24" s="5" t="str">
        <f>IFERROR(__xludf.DUMMYFUNCTION("""COMPUTED_VALUE"""),"Yes")</f>
        <v>Yes</v>
      </c>
      <c r="AI24" s="5" t="str">
        <f>IFERROR(__xludf.DUMMYFUNCTION("""COMPUTED_VALUE"""),"No")</f>
        <v>No</v>
      </c>
      <c r="AJ24" s="5" t="str">
        <f>IFERROR(__xludf.DUMMYFUNCTION("""COMPUTED_VALUE"""),"No")</f>
        <v>No</v>
      </c>
      <c r="AK24" s="5" t="str">
        <f>IFERROR(__xludf.DUMMYFUNCTION("""COMPUTED_VALUE"""),"No")</f>
        <v>No</v>
      </c>
      <c r="AL24" s="5" t="str">
        <f>IFERROR(__xludf.DUMMYFUNCTION("""COMPUTED_VALUE"""),"No")</f>
        <v>No</v>
      </c>
      <c r="AM24" s="5" t="str">
        <f>IFERROR(__xludf.DUMMYFUNCTION("""COMPUTED_VALUE"""),"No")</f>
        <v>No</v>
      </c>
      <c r="AN24" s="5"/>
      <c r="AO24" s="5"/>
      <c r="AP24" s="5"/>
      <c r="AQ24" s="5" t="str">
        <f>IFERROR(__xludf.DUMMYFUNCTION("""COMPUTED_VALUE"""),"No")</f>
        <v>No</v>
      </c>
      <c r="AR24" s="5"/>
      <c r="AS24" s="5"/>
      <c r="AT24" s="5"/>
      <c r="AU24" s="5"/>
      <c r="AV24" s="5" t="str">
        <f>IFERROR(__xludf.DUMMYFUNCTION("""COMPUTED_VALUE"""),"")</f>
        <v/>
      </c>
    </row>
    <row r="25">
      <c r="A25" s="5" t="str">
        <f>IFERROR(__xludf.DUMMYFUNCTION("""COMPUTED_VALUE"""),"Tiptop")</f>
        <v>Tiptop</v>
      </c>
      <c r="B25" s="5" t="str">
        <f>IFERROR(__xludf.DUMMYFUNCTION("""COMPUTED_VALUE"""),"Fast Fruits")</f>
        <v>Fast Fruits</v>
      </c>
      <c r="C25" s="5" t="str">
        <f>IFERROR(__xludf.DUMMYFUNCTION("""COMPUTED_VALUE"""),"UnicornFastFruits")</f>
        <v>UnicornFastFruits</v>
      </c>
      <c r="D25" s="6">
        <f>IFERROR(__xludf.DUMMYFUNCTION("""COMPUTED_VALUE"""),44887.0)</f>
        <v>44887</v>
      </c>
      <c r="E25" s="5" t="str">
        <f>IFERROR(__xludf.DUMMYFUNCTION("""COMPUTED_VALUE"""),"Slot")</f>
        <v>Slot</v>
      </c>
      <c r="F25" s="5">
        <f>IFERROR(__xludf.DUMMYFUNCTION("""COMPUTED_VALUE"""),13.4)</f>
        <v>13.4</v>
      </c>
      <c r="G25" s="5" t="str">
        <f>IFERROR(__xludf.DUMMYFUNCTION("""COMPUTED_VALUE"""),"5X3")</f>
        <v>5X3</v>
      </c>
      <c r="H25" s="5" t="str">
        <f>IFERROR(__xludf.DUMMYFUNCTION("""COMPUTED_VALUE"""),"10")</f>
        <v>10</v>
      </c>
      <c r="I25" s="5" t="str">
        <f>IFERROR(__xludf.DUMMYFUNCTION("""COMPUTED_VALUE"""),"10")</f>
        <v>10</v>
      </c>
      <c r="J25" s="5" t="str">
        <f>IFERROR(__xludf.DUMMYFUNCTION("""COMPUTED_VALUE"""),"96%")</f>
        <v>96%</v>
      </c>
      <c r="K25" s="5" t="str">
        <f>IFERROR(__xludf.DUMMYFUNCTION("""COMPUTED_VALUE"""),"Low")</f>
        <v>Low</v>
      </c>
      <c r="L25" s="5" t="str">
        <f>IFERROR(__xludf.DUMMYFUNCTION("""COMPUTED_VALUE"""),"10.24%")</f>
        <v>10.24%</v>
      </c>
      <c r="M25" s="5" t="str">
        <f>IFERROR(__xludf.DUMMYFUNCTION("""COMPUTED_VALUE"""),"x1000")</f>
        <v>x1000</v>
      </c>
      <c r="N25" s="5" t="str">
        <f>IFERROR(__xludf.DUMMYFUNCTION("""COMPUTED_VALUE"""),"0.1/100")</f>
        <v>0.1/100</v>
      </c>
      <c r="O25" s="5" t="str">
        <f>IFERROR(__xludf.DUMMYFUNCTION("""COMPUTED_VALUE"""),"No")</f>
        <v>No</v>
      </c>
      <c r="P25" s="5"/>
      <c r="Q25" s="7" t="str">
        <f>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R25" s="5" t="str">
        <f>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S2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5" s="5" t="str">
        <f>IFERROR(__xludf.DUMMYFUNCTION("""COMPUTED_VALUE"""),"Yes")</f>
        <v>Yes</v>
      </c>
      <c r="U25" s="5" t="str">
        <f>IFERROR(__xludf.DUMMYFUNCTION("""COMPUTED_VALUE"""),"Yes")</f>
        <v>Yes</v>
      </c>
      <c r="V25" s="5" t="str">
        <f>IFERROR(__xludf.DUMMYFUNCTION("""COMPUTED_VALUE"""),"No")</f>
        <v>No</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IFERROR(__xludf.DUMMYFUNCTION("""COMPUTED_VALUE"""),"Yes")</f>
        <v>Yes</v>
      </c>
      <c r="AD25" s="5" t="str">
        <f>IFERROR(__xludf.DUMMYFUNCTION("""COMPUTED_VALUE"""),"Yes")</f>
        <v>Yes</v>
      </c>
      <c r="AE25" s="5" t="str">
        <f>IFERROR(__xludf.DUMMYFUNCTION("""COMPUTED_VALUE"""),"Yes")</f>
        <v>Yes</v>
      </c>
      <c r="AF25" s="5" t="str">
        <f>IFERROR(__xludf.DUMMYFUNCTION("""COMPUTED_VALUE"""),"Yes")</f>
        <v>Yes</v>
      </c>
      <c r="AG25" s="5" t="str">
        <f>IFERROR(__xludf.DUMMYFUNCTION("""COMPUTED_VALUE"""),"Yes")</f>
        <v>Yes</v>
      </c>
      <c r="AH25" s="5" t="str">
        <f>IFERROR(__xludf.DUMMYFUNCTION("""COMPUTED_VALUE"""),"Yes")</f>
        <v>Yes</v>
      </c>
      <c r="AI25" s="5" t="str">
        <f>IFERROR(__xludf.DUMMYFUNCTION("""COMPUTED_VALUE"""),"No")</f>
        <v>No</v>
      </c>
      <c r="AJ25" s="5" t="str">
        <f>IFERROR(__xludf.DUMMYFUNCTION("""COMPUTED_VALUE"""),"No")</f>
        <v>No</v>
      </c>
      <c r="AK25" s="5" t="str">
        <f>IFERROR(__xludf.DUMMYFUNCTION("""COMPUTED_VALUE"""),"No")</f>
        <v>No</v>
      </c>
      <c r="AL25" s="5" t="str">
        <f>IFERROR(__xludf.DUMMYFUNCTION("""COMPUTED_VALUE"""),"No")</f>
        <v>No</v>
      </c>
      <c r="AM25" s="5" t="str">
        <f>IFERROR(__xludf.DUMMYFUNCTION("""COMPUTED_VALUE"""),"No")</f>
        <v>No</v>
      </c>
      <c r="AN25" s="5" t="str">
        <f>IFERROR(__xludf.DUMMYFUNCTION("""COMPUTED_VALUE"""),"No")</f>
        <v>No</v>
      </c>
      <c r="AO25" s="5" t="str">
        <f>IFERROR(__xludf.DUMMYFUNCTION("""COMPUTED_VALUE"""),"No")</f>
        <v>No</v>
      </c>
      <c r="AP25" s="5" t="str">
        <f>IFERROR(__xludf.DUMMYFUNCTION("""COMPUTED_VALUE"""),"No")</f>
        <v>No</v>
      </c>
      <c r="AQ25" s="5" t="str">
        <f>IFERROR(__xludf.DUMMYFUNCTION("""COMPUTED_VALUE"""),"No")</f>
        <v>No</v>
      </c>
      <c r="AR25" s="5" t="str">
        <f>IFERROR(__xludf.DUMMYFUNCTION("""COMPUTED_VALUE"""),"No")</f>
        <v>No</v>
      </c>
      <c r="AS25" s="5" t="str">
        <f>IFERROR(__xludf.DUMMYFUNCTION("""COMPUTED_VALUE"""),"Yes")</f>
        <v>Yes</v>
      </c>
      <c r="AT25" s="5" t="str">
        <f>IFERROR(__xludf.DUMMYFUNCTION("""COMPUTED_VALUE"""),"No")</f>
        <v>No</v>
      </c>
      <c r="AU25" s="5"/>
      <c r="AV25" s="5" t="str">
        <f>IFERROR(__xludf.DUMMYFUNCTION("""COMPUTED_VALUE"""),"")</f>
        <v/>
      </c>
    </row>
    <row r="26">
      <c r="A26" s="5" t="str">
        <f>IFERROR(__xludf.DUMMYFUNCTION("""COMPUTED_VALUE"""),"Tiptop")</f>
        <v>Tiptop</v>
      </c>
      <c r="B26" s="5" t="str">
        <f>IFERROR(__xludf.DUMMYFUNCTION("""COMPUTED_VALUE"""),"Money Standard Wild")</f>
        <v>Money Standard Wild</v>
      </c>
      <c r="C26" s="5" t="str">
        <f>IFERROR(__xludf.DUMMYFUNCTION("""COMPUTED_VALUE"""),"UnicornMoneyStandardWild")</f>
        <v>UnicornMoneyStandardWild</v>
      </c>
      <c r="D26" s="6">
        <f>IFERROR(__xludf.DUMMYFUNCTION("""COMPUTED_VALUE"""),44901.0)</f>
        <v>44901</v>
      </c>
      <c r="E26" s="5" t="str">
        <f>IFERROR(__xludf.DUMMYFUNCTION("""COMPUTED_VALUE"""),"Slot")</f>
        <v>Slot</v>
      </c>
      <c r="F26" s="5">
        <f>IFERROR(__xludf.DUMMYFUNCTION("""COMPUTED_VALUE"""),14.6)</f>
        <v>14.6</v>
      </c>
      <c r="G26" s="5" t="str">
        <f>IFERROR(__xludf.DUMMYFUNCTION("""COMPUTED_VALUE"""),"5X4")</f>
        <v>5X4</v>
      </c>
      <c r="H26" s="5" t="str">
        <f>IFERROR(__xludf.DUMMYFUNCTION("""COMPUTED_VALUE"""),"20")</f>
        <v>20</v>
      </c>
      <c r="I26" s="5" t="str">
        <f>IFERROR(__xludf.DUMMYFUNCTION("""COMPUTED_VALUE"""),"20")</f>
        <v>20</v>
      </c>
      <c r="J26" s="5" t="str">
        <f>IFERROR(__xludf.DUMMYFUNCTION("""COMPUTED_VALUE"""),"96%")</f>
        <v>96%</v>
      </c>
      <c r="K26" s="5" t="str">
        <f>IFERROR(__xludf.DUMMYFUNCTION("""COMPUTED_VALUE"""),"Medium")</f>
        <v>Medium</v>
      </c>
      <c r="L26" s="5" t="str">
        <f>IFERROR(__xludf.DUMMYFUNCTION("""COMPUTED_VALUE"""),"10.94%")</f>
        <v>10.94%</v>
      </c>
      <c r="M26" s="5" t="str">
        <f>IFERROR(__xludf.DUMMYFUNCTION("""COMPUTED_VALUE"""),"x5000")</f>
        <v>x5000</v>
      </c>
      <c r="N26" s="5" t="str">
        <f>IFERROR(__xludf.DUMMYFUNCTION("""COMPUTED_VALUE"""),"0.2/100")</f>
        <v>0.2/100</v>
      </c>
      <c r="O26" s="5" t="str">
        <f>IFERROR(__xludf.DUMMYFUNCTION("""COMPUTED_VALUE"""),"No")</f>
        <v>No</v>
      </c>
      <c r="P26" s="5" t="str">
        <f>IFERROR(__xludf.DUMMYFUNCTION("""COMPUTED_VALUE"""),"Wild Symbol")</f>
        <v>Wild Symbol</v>
      </c>
      <c r="Q26" s="7" t="str">
        <f>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R26" s="5" t="str">
        <f>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S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5" t="str">
        <f>IFERROR(__xludf.DUMMYFUNCTION("""COMPUTED_VALUE"""),"Yes")</f>
        <v>Yes</v>
      </c>
      <c r="U26" s="5" t="str">
        <f>IFERROR(__xludf.DUMMYFUNCTION("""COMPUTED_VALUE"""),"Yes")</f>
        <v>Yes</v>
      </c>
      <c r="V26" s="5" t="str">
        <f>IFERROR(__xludf.DUMMYFUNCTION("""COMPUTED_VALUE"""),"Yes")</f>
        <v>Yes</v>
      </c>
      <c r="W26" s="5" t="str">
        <f>IFERROR(__xludf.DUMMYFUNCTION("""COMPUTED_VALUE"""),"No")</f>
        <v>No</v>
      </c>
      <c r="X26" s="5" t="str">
        <f>IFERROR(__xludf.DUMMYFUNCTION("""COMPUTED_VALUE"""),"No")</f>
        <v>No</v>
      </c>
      <c r="Y26" s="5" t="str">
        <f>IFERROR(__xludf.DUMMYFUNCTION("""COMPUTED_VALUE"""),"No")</f>
        <v>No</v>
      </c>
      <c r="Z26" s="5" t="str">
        <f>IFERROR(__xludf.DUMMYFUNCTION("""COMPUTED_VALUE"""),"No")</f>
        <v>No</v>
      </c>
      <c r="AA26" s="5" t="str">
        <f>IFERROR(__xludf.DUMMYFUNCTION("""COMPUTED_VALUE"""),"No")</f>
        <v>No</v>
      </c>
      <c r="AB26" s="5" t="str">
        <f>IFERROR(__xludf.DUMMYFUNCTION("""COMPUTED_VALUE"""),"Yes")</f>
        <v>Yes</v>
      </c>
      <c r="AC26" s="5" t="str">
        <f>IFERROR(__xludf.DUMMYFUNCTION("""COMPUTED_VALUE"""),"Yes")</f>
        <v>Yes</v>
      </c>
      <c r="AD26" s="5" t="str">
        <f>IFERROR(__xludf.DUMMYFUNCTION("""COMPUTED_VALUE"""),"Yes")</f>
        <v>Yes</v>
      </c>
      <c r="AE26" s="5" t="str">
        <f>IFERROR(__xludf.DUMMYFUNCTION("""COMPUTED_VALUE"""),"Yes")</f>
        <v>Yes</v>
      </c>
      <c r="AF26" s="5" t="str">
        <f>IFERROR(__xludf.DUMMYFUNCTION("""COMPUTED_VALUE"""),"Yes")</f>
        <v>Yes</v>
      </c>
      <c r="AG26" s="5" t="str">
        <f>IFERROR(__xludf.DUMMYFUNCTION("""COMPUTED_VALUE"""),"No")</f>
        <v>No</v>
      </c>
      <c r="AH26" s="5" t="str">
        <f>IFERROR(__xludf.DUMMYFUNCTION("""COMPUTED_VALUE"""),"Yes")</f>
        <v>Yes</v>
      </c>
      <c r="AI26" s="5" t="str">
        <f>IFERROR(__xludf.DUMMYFUNCTION("""COMPUTED_VALUE"""),"No")</f>
        <v>No</v>
      </c>
      <c r="AJ26" s="5" t="str">
        <f>IFERROR(__xludf.DUMMYFUNCTION("""COMPUTED_VALUE"""),"No")</f>
        <v>No</v>
      </c>
      <c r="AK26" s="5" t="str">
        <f>IFERROR(__xludf.DUMMYFUNCTION("""COMPUTED_VALUE"""),"No")</f>
        <v>No</v>
      </c>
      <c r="AL26" s="5" t="str">
        <f>IFERROR(__xludf.DUMMYFUNCTION("""COMPUTED_VALUE"""),"No")</f>
        <v>No</v>
      </c>
      <c r="AM26" s="5" t="str">
        <f>IFERROR(__xludf.DUMMYFUNCTION("""COMPUTED_VALUE"""),"No")</f>
        <v>No</v>
      </c>
      <c r="AN26" s="5"/>
      <c r="AO26" s="5"/>
      <c r="AP26" s="5"/>
      <c r="AQ26" s="5" t="str">
        <f>IFERROR(__xludf.DUMMYFUNCTION("""COMPUTED_VALUE"""),"No")</f>
        <v>No</v>
      </c>
      <c r="AR26" s="5"/>
      <c r="AS26" s="5"/>
      <c r="AT26" s="5"/>
      <c r="AU26" s="5"/>
      <c r="AV26" s="5" t="str">
        <f>IFERROR(__xludf.DUMMYFUNCTION("""COMPUTED_VALUE"""),"")</f>
        <v/>
      </c>
    </row>
    <row r="27">
      <c r="A27" s="5" t="str">
        <f>IFERROR(__xludf.DUMMYFUNCTION("""COMPUTED_VALUE"""),"Tiptop")</f>
        <v>Tiptop</v>
      </c>
      <c r="B27" s="5" t="str">
        <f>IFERROR(__xludf.DUMMYFUNCTION("""COMPUTED_VALUE"""),"Dice Mega Cash")</f>
        <v>Dice Mega Cash</v>
      </c>
      <c r="C27" s="5" t="str">
        <f>IFERROR(__xludf.DUMMYFUNCTION("""COMPUTED_VALUE"""),"UnicornDiceMegaCash")</f>
        <v>UnicornDiceMegaCash</v>
      </c>
      <c r="D27" s="6">
        <f>IFERROR(__xludf.DUMMYFUNCTION("""COMPUTED_VALUE"""),44950.0)</f>
        <v>44950</v>
      </c>
      <c r="E27" s="5" t="str">
        <f>IFERROR(__xludf.DUMMYFUNCTION("""COMPUTED_VALUE"""),"Dice Slots")</f>
        <v>Dice Slots</v>
      </c>
      <c r="F27" s="5">
        <f>IFERROR(__xludf.DUMMYFUNCTION("""COMPUTED_VALUE"""),12.7)</f>
        <v>12.7</v>
      </c>
      <c r="G27" s="5" t="str">
        <f>IFERROR(__xludf.DUMMYFUNCTION("""COMPUTED_VALUE"""),"5X3")</f>
        <v>5X3</v>
      </c>
      <c r="H27" s="5" t="str">
        <f>IFERROR(__xludf.DUMMYFUNCTION("""COMPUTED_VALUE"""),"10")</f>
        <v>10</v>
      </c>
      <c r="I27" s="5" t="str">
        <f>IFERROR(__xludf.DUMMYFUNCTION("""COMPUTED_VALUE"""),"10")</f>
        <v>10</v>
      </c>
      <c r="J27" s="5" t="str">
        <f>IFERROR(__xludf.DUMMYFUNCTION("""COMPUTED_VALUE"""),"96%")</f>
        <v>96%</v>
      </c>
      <c r="K27" s="5" t="str">
        <f>IFERROR(__xludf.DUMMYFUNCTION("""COMPUTED_VALUE"""),"Low")</f>
        <v>Low</v>
      </c>
      <c r="L27" s="5" t="str">
        <f>IFERROR(__xludf.DUMMYFUNCTION("""COMPUTED_VALUE"""),"21.22%")</f>
        <v>21.22%</v>
      </c>
      <c r="M27" s="5" t="str">
        <f>IFERROR(__xludf.DUMMYFUNCTION("""COMPUTED_VALUE"""),"x5000")</f>
        <v>x5000</v>
      </c>
      <c r="N27" s="5" t="str">
        <f>IFERROR(__xludf.DUMMYFUNCTION("""COMPUTED_VALUE"""),"0.1/100")</f>
        <v>0.1/100</v>
      </c>
      <c r="O27" s="5" t="str">
        <f>IFERROR(__xludf.DUMMYFUNCTION("""COMPUTED_VALUE"""),"No")</f>
        <v>No</v>
      </c>
      <c r="P27" s="5" t="str">
        <f>IFERROR(__xludf.DUMMYFUNCTION("""COMPUTED_VALUE"""),"Scatter")</f>
        <v>Scatter</v>
      </c>
      <c r="Q27" s="7" t="str">
        <f>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R27" s="5" t="str">
        <f>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S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5" t="str">
        <f>IFERROR(__xludf.DUMMYFUNCTION("""COMPUTED_VALUE"""),"Yes")</f>
        <v>Yes</v>
      </c>
      <c r="U27" s="5" t="str">
        <f>IFERROR(__xludf.DUMMYFUNCTION("""COMPUTED_VALUE"""),"Yes")</f>
        <v>Yes</v>
      </c>
      <c r="V27" s="5" t="str">
        <f>IFERROR(__xludf.DUMMYFUNCTION("""COMPUTED_VALUE"""),"Yes")</f>
        <v>Yes</v>
      </c>
      <c r="W27" s="5" t="str">
        <f>IFERROR(__xludf.DUMMYFUNCTION("""COMPUTED_VALUE"""),"Yes")</f>
        <v>Yes</v>
      </c>
      <c r="X27" s="5" t="str">
        <f>IFERROR(__xludf.DUMMYFUNCTION("""COMPUTED_VALUE"""),"Yes")</f>
        <v>Yes</v>
      </c>
      <c r="Y27" s="5" t="str">
        <f>IFERROR(__xludf.DUMMYFUNCTION("""COMPUTED_VALUE"""),"Yes")</f>
        <v>Yes</v>
      </c>
      <c r="Z27" s="5" t="str">
        <f>IFERROR(__xludf.DUMMYFUNCTION("""COMPUTED_VALUE"""),"Yes")</f>
        <v>Yes</v>
      </c>
      <c r="AA27" s="5" t="str">
        <f>IFERROR(__xludf.DUMMYFUNCTION("""COMPUTED_VALUE"""),"Yes")</f>
        <v>Yes</v>
      </c>
      <c r="AB27" s="5" t="str">
        <f>IFERROR(__xludf.DUMMYFUNCTION("""COMPUTED_VALUE"""),"Yes")</f>
        <v>Yes</v>
      </c>
      <c r="AC27" s="5" t="str">
        <f>IFERROR(__xludf.DUMMYFUNCTION("""COMPUTED_VALUE"""),"Yes")</f>
        <v>Yes</v>
      </c>
      <c r="AD27" s="5" t="str">
        <f>IFERROR(__xludf.DUMMYFUNCTION("""COMPUTED_VALUE"""),"Yes")</f>
        <v>Yes</v>
      </c>
      <c r="AE27" s="5" t="str">
        <f>IFERROR(__xludf.DUMMYFUNCTION("""COMPUTED_VALUE"""),"Yes")</f>
        <v>Yes</v>
      </c>
      <c r="AF27" s="5" t="str">
        <f>IFERROR(__xludf.DUMMYFUNCTION("""COMPUTED_VALUE"""),"Yes")</f>
        <v>Yes</v>
      </c>
      <c r="AG27" s="5" t="str">
        <f>IFERROR(__xludf.DUMMYFUNCTION("""COMPUTED_VALUE"""),"Yes")</f>
        <v>Yes</v>
      </c>
      <c r="AH27" s="5" t="str">
        <f>IFERROR(__xludf.DUMMYFUNCTION("""COMPUTED_VALUE"""),"Yes")</f>
        <v>Yes</v>
      </c>
      <c r="AI27" s="5" t="str">
        <f>IFERROR(__xludf.DUMMYFUNCTION("""COMPUTED_VALUE"""),"Yes")</f>
        <v>Yes</v>
      </c>
      <c r="AJ27" s="5" t="str">
        <f>IFERROR(__xludf.DUMMYFUNCTION("""COMPUTED_VALUE"""),"Yes")</f>
        <v>Yes</v>
      </c>
      <c r="AK27" s="5" t="str">
        <f>IFERROR(__xludf.DUMMYFUNCTION("""COMPUTED_VALUE"""),"Yes")</f>
        <v>Yes</v>
      </c>
      <c r="AL27" s="5" t="str">
        <f>IFERROR(__xludf.DUMMYFUNCTION("""COMPUTED_VALUE"""),"Yes")</f>
        <v>Yes</v>
      </c>
      <c r="AM27" s="5" t="str">
        <f>IFERROR(__xludf.DUMMYFUNCTION("""COMPUTED_VALUE"""),"Yes")</f>
        <v>Yes</v>
      </c>
      <c r="AN27" s="5" t="str">
        <f>IFERROR(__xludf.DUMMYFUNCTION("""COMPUTED_VALUE"""),"Yes")</f>
        <v>Yes</v>
      </c>
      <c r="AO27" s="5" t="str">
        <f>IFERROR(__xludf.DUMMYFUNCTION("""COMPUTED_VALUE"""),"Yes")</f>
        <v>Yes</v>
      </c>
      <c r="AP27" s="5" t="str">
        <f>IFERROR(__xludf.DUMMYFUNCTION("""COMPUTED_VALUE"""),"Yes")</f>
        <v>Yes</v>
      </c>
      <c r="AQ27" s="5" t="str">
        <f>IFERROR(__xludf.DUMMYFUNCTION("""COMPUTED_VALUE"""),"Yes")</f>
        <v>Yes</v>
      </c>
      <c r="AR27" s="5" t="str">
        <f>IFERROR(__xludf.DUMMYFUNCTION("""COMPUTED_VALUE"""),"Yes")</f>
        <v>Yes</v>
      </c>
      <c r="AS27" s="5" t="str">
        <f>IFERROR(__xludf.DUMMYFUNCTION("""COMPUTED_VALUE"""),"Yes")</f>
        <v>Yes</v>
      </c>
      <c r="AT27" s="5"/>
      <c r="AU27" s="5"/>
      <c r="AV27" s="5" t="str">
        <f>IFERROR(__xludf.DUMMYFUNCTION("""COMPUTED_VALUE"""),"")</f>
        <v/>
      </c>
    </row>
    <row r="28">
      <c r="A28" s="5" t="str">
        <f>IFERROR(__xludf.DUMMYFUNCTION("""COMPUTED_VALUE"""),"Tiptop")</f>
        <v>Tiptop</v>
      </c>
      <c r="B28" s="5" t="str">
        <f>IFERROR(__xludf.DUMMYFUNCTION("""COMPUTED_VALUE"""),"40 Hot Strike")</f>
        <v>40 Hot Strike</v>
      </c>
      <c r="C28" s="5" t="str">
        <f>IFERROR(__xludf.DUMMYFUNCTION("""COMPUTED_VALUE"""),"Unicorn40HotStrike")</f>
        <v>Unicorn40HotStrike</v>
      </c>
      <c r="D28" s="6">
        <f>IFERROR(__xludf.DUMMYFUNCTION("""COMPUTED_VALUE"""),44957.0)</f>
        <v>44957</v>
      </c>
      <c r="E28" s="5" t="str">
        <f>IFERROR(__xludf.DUMMYFUNCTION("""COMPUTED_VALUE"""),"Slot")</f>
        <v>Slot</v>
      </c>
      <c r="F28" s="5">
        <f>IFERROR(__xludf.DUMMYFUNCTION("""COMPUTED_VALUE"""),12.8)</f>
        <v>12.8</v>
      </c>
      <c r="G28" s="5" t="str">
        <f>IFERROR(__xludf.DUMMYFUNCTION("""COMPUTED_VALUE"""),"5X4")</f>
        <v>5X4</v>
      </c>
      <c r="H28" s="5" t="str">
        <f>IFERROR(__xludf.DUMMYFUNCTION("""COMPUTED_VALUE"""),"40")</f>
        <v>40</v>
      </c>
      <c r="I28" s="5" t="str">
        <f>IFERROR(__xludf.DUMMYFUNCTION("""COMPUTED_VALUE"""),"40")</f>
        <v>40</v>
      </c>
      <c r="J28" s="5" t="str">
        <f>IFERROR(__xludf.DUMMYFUNCTION("""COMPUTED_VALUE"""),"96%")</f>
        <v>96%</v>
      </c>
      <c r="K28" s="5" t="str">
        <f>IFERROR(__xludf.DUMMYFUNCTION("""COMPUTED_VALUE"""),"Low")</f>
        <v>Low</v>
      </c>
      <c r="L28" s="5" t="str">
        <f>IFERROR(__xludf.DUMMYFUNCTION("""COMPUTED_VALUE"""),"11.91%")</f>
        <v>11.91%</v>
      </c>
      <c r="M28" s="5" t="str">
        <f>IFERROR(__xludf.DUMMYFUNCTION("""COMPUTED_VALUE"""),"x1000")</f>
        <v>x1000</v>
      </c>
      <c r="N28" s="5" t="str">
        <f>IFERROR(__xludf.DUMMYFUNCTION("""COMPUTED_VALUE"""),"0.4/100")</f>
        <v>0.4/100</v>
      </c>
      <c r="O28" s="5" t="str">
        <f>IFERROR(__xludf.DUMMYFUNCTION("""COMPUTED_VALUE"""),"No")</f>
        <v>No</v>
      </c>
      <c r="P28" s="5" t="str">
        <f>IFERROR(__xludf.DUMMYFUNCTION("""COMPUTED_VALUE"""),"Wild Symbol, Scatter")</f>
        <v>Wild Symbol, Scatter</v>
      </c>
      <c r="Q28" s="7" t="str">
        <f>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R28" s="5" t="str">
        <f>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S2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28" s="5" t="str">
        <f>IFERROR(__xludf.DUMMYFUNCTION("""COMPUTED_VALUE"""),"Yes")</f>
        <v>Yes</v>
      </c>
      <c r="U28" s="5" t="str">
        <f>IFERROR(__xludf.DUMMYFUNCTION("""COMPUTED_VALUE"""),"Yes")</f>
        <v>Yes</v>
      </c>
      <c r="V28" s="5" t="str">
        <f>IFERROR(__xludf.DUMMYFUNCTION("""COMPUTED_VALUE"""),"Yes")</f>
        <v>Yes</v>
      </c>
      <c r="W28" s="5" t="str">
        <f>IFERROR(__xludf.DUMMYFUNCTION("""COMPUTED_VALUE"""),"No")</f>
        <v>No</v>
      </c>
      <c r="X28" s="5" t="str">
        <f>IFERROR(__xludf.DUMMYFUNCTION("""COMPUTED_VALUE"""),"No")</f>
        <v>No</v>
      </c>
      <c r="Y28" s="5" t="str">
        <f>IFERROR(__xludf.DUMMYFUNCTION("""COMPUTED_VALUE"""),"No")</f>
        <v>No</v>
      </c>
      <c r="Z28" s="5" t="str">
        <f>IFERROR(__xludf.DUMMYFUNCTION("""COMPUTED_VALUE"""),"No")</f>
        <v>No</v>
      </c>
      <c r="AA28" s="5" t="str">
        <f>IFERROR(__xludf.DUMMYFUNCTION("""COMPUTED_VALUE"""),"No")</f>
        <v>No</v>
      </c>
      <c r="AB28" s="5" t="str">
        <f>IFERROR(__xludf.DUMMYFUNCTION("""COMPUTED_VALUE"""),"Yes")</f>
        <v>Yes</v>
      </c>
      <c r="AC28" s="5" t="str">
        <f>IFERROR(__xludf.DUMMYFUNCTION("""COMPUTED_VALUE"""),"Yes")</f>
        <v>Yes</v>
      </c>
      <c r="AD28" s="5" t="str">
        <f>IFERROR(__xludf.DUMMYFUNCTION("""COMPUTED_VALUE"""),"Yes")</f>
        <v>Yes</v>
      </c>
      <c r="AE28" s="5" t="str">
        <f>IFERROR(__xludf.DUMMYFUNCTION("""COMPUTED_VALUE"""),"Yes")</f>
        <v>Yes</v>
      </c>
      <c r="AF28" s="5" t="str">
        <f>IFERROR(__xludf.DUMMYFUNCTION("""COMPUTED_VALUE"""),"Yes")</f>
        <v>Yes</v>
      </c>
      <c r="AG28" s="5" t="str">
        <f>IFERROR(__xludf.DUMMYFUNCTION("""COMPUTED_VALUE"""),"No")</f>
        <v>No</v>
      </c>
      <c r="AH28" s="5" t="str">
        <f>IFERROR(__xludf.DUMMYFUNCTION("""COMPUTED_VALUE"""),"Yes")</f>
        <v>Yes</v>
      </c>
      <c r="AI28" s="5" t="str">
        <f>IFERROR(__xludf.DUMMYFUNCTION("""COMPUTED_VALUE"""),"No")</f>
        <v>No</v>
      </c>
      <c r="AJ28" s="5" t="str">
        <f>IFERROR(__xludf.DUMMYFUNCTION("""COMPUTED_VALUE"""),"No")</f>
        <v>No</v>
      </c>
      <c r="AK28" s="5" t="str">
        <f>IFERROR(__xludf.DUMMYFUNCTION("""COMPUTED_VALUE"""),"No")</f>
        <v>No</v>
      </c>
      <c r="AL28" s="5" t="str">
        <f>IFERROR(__xludf.DUMMYFUNCTION("""COMPUTED_VALUE"""),"No")</f>
        <v>No</v>
      </c>
      <c r="AM28" s="5" t="str">
        <f>IFERROR(__xludf.DUMMYFUNCTION("""COMPUTED_VALUE"""),"No")</f>
        <v>No</v>
      </c>
      <c r="AN28" s="5"/>
      <c r="AO28" s="5"/>
      <c r="AP28" s="5"/>
      <c r="AQ28" s="5" t="str">
        <f>IFERROR(__xludf.DUMMYFUNCTION("""COMPUTED_VALUE"""),"No")</f>
        <v>No</v>
      </c>
      <c r="AR28" s="5"/>
      <c r="AS28" s="5"/>
      <c r="AT28" s="5"/>
      <c r="AU28" s="5"/>
      <c r="AV28" s="5" t="str">
        <f>IFERROR(__xludf.DUMMYFUNCTION("""COMPUTED_VALUE"""),"")</f>
        <v/>
      </c>
    </row>
    <row r="29">
      <c r="A29" s="5" t="str">
        <f>IFERROR(__xludf.DUMMYFUNCTION("""COMPUTED_VALUE"""),"Tiptop")</f>
        <v>Tiptop</v>
      </c>
      <c r="B29" s="5" t="str">
        <f>IFERROR(__xludf.DUMMYFUNCTION("""COMPUTED_VALUE"""),"40 Hot Strike Dice")</f>
        <v>40 Hot Strike Dice</v>
      </c>
      <c r="C29" s="5" t="str">
        <f>IFERROR(__xludf.DUMMYFUNCTION("""COMPUTED_VALUE"""),"Unicorn40HotStrikeDice")</f>
        <v>Unicorn40HotStrikeDice</v>
      </c>
      <c r="D29" s="6">
        <f>IFERROR(__xludf.DUMMYFUNCTION("""COMPUTED_VALUE"""),44980.0)</f>
        <v>44980</v>
      </c>
      <c r="E29" s="5" t="str">
        <f>IFERROR(__xludf.DUMMYFUNCTION("""COMPUTED_VALUE"""),"Dice Slots")</f>
        <v>Dice Slots</v>
      </c>
      <c r="F29" s="5">
        <f>IFERROR(__xludf.DUMMYFUNCTION("""COMPUTED_VALUE"""),11.8)</f>
        <v>11.8</v>
      </c>
      <c r="G29" s="5" t="str">
        <f>IFERROR(__xludf.DUMMYFUNCTION("""COMPUTED_VALUE"""),"5X4")</f>
        <v>5X4</v>
      </c>
      <c r="H29" s="5" t="str">
        <f>IFERROR(__xludf.DUMMYFUNCTION("""COMPUTED_VALUE"""),"40")</f>
        <v>40</v>
      </c>
      <c r="I29" s="5" t="str">
        <f>IFERROR(__xludf.DUMMYFUNCTION("""COMPUTED_VALUE"""),"40")</f>
        <v>40</v>
      </c>
      <c r="J29" s="5" t="str">
        <f>IFERROR(__xludf.DUMMYFUNCTION("""COMPUTED_VALUE"""),"96%")</f>
        <v>96%</v>
      </c>
      <c r="K29" s="5" t="str">
        <f>IFERROR(__xludf.DUMMYFUNCTION("""COMPUTED_VALUE"""),"Low")</f>
        <v>Low</v>
      </c>
      <c r="L29" s="5" t="str">
        <f>IFERROR(__xludf.DUMMYFUNCTION("""COMPUTED_VALUE"""),"11.91%")</f>
        <v>11.91%</v>
      </c>
      <c r="M29" s="5" t="str">
        <f>IFERROR(__xludf.DUMMYFUNCTION("""COMPUTED_VALUE"""),"x1000")</f>
        <v>x1000</v>
      </c>
      <c r="N29" s="5" t="str">
        <f>IFERROR(__xludf.DUMMYFUNCTION("""COMPUTED_VALUE"""),"0.4/100")</f>
        <v>0.4/100</v>
      </c>
      <c r="O29" s="5" t="str">
        <f>IFERROR(__xludf.DUMMYFUNCTION("""COMPUTED_VALUE"""),"No")</f>
        <v>No</v>
      </c>
      <c r="P29" s="5" t="str">
        <f>IFERROR(__xludf.DUMMYFUNCTION("""COMPUTED_VALUE"""),"Wild Symbol, Scatter")</f>
        <v>Wild Symbol, Scatter</v>
      </c>
      <c r="Q29" s="7" t="str">
        <f>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R29" s="5" t="str">
        <f>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S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IFERROR(__xludf.DUMMYFUNCTION("""COMPUTED_VALUE"""),"Yes")</f>
        <v>Yes</v>
      </c>
      <c r="AD29" s="5" t="str">
        <f>IFERROR(__xludf.DUMMYFUNCTION("""COMPUTED_VALUE"""),"Yes")</f>
        <v>Yes</v>
      </c>
      <c r="AE29" s="5" t="str">
        <f>IFERROR(__xludf.DUMMYFUNCTION("""COMPUTED_VALUE"""),"Yes")</f>
        <v>Yes</v>
      </c>
      <c r="AF29" s="5" t="str">
        <f>IFERROR(__xludf.DUMMYFUNCTION("""COMPUTED_VALUE"""),"Yes")</f>
        <v>Yes</v>
      </c>
      <c r="AG29" s="5" t="str">
        <f>IFERROR(__xludf.DUMMYFUNCTION("""COMPUTED_VALUE"""),"Yes")</f>
        <v>Yes</v>
      </c>
      <c r="AH29" s="5" t="str">
        <f>IFERROR(__xludf.DUMMYFUNCTION("""COMPUTED_VALUE"""),"Yes")</f>
        <v>Yes</v>
      </c>
      <c r="AI29" s="5" t="str">
        <f>IFERROR(__xludf.DUMMYFUNCTION("""COMPUTED_VALUE"""),"Yes")</f>
        <v>Yes</v>
      </c>
      <c r="AJ29" s="5" t="str">
        <f>IFERROR(__xludf.DUMMYFUNCTION("""COMPUTED_VALUE"""),"Yes")</f>
        <v>Yes</v>
      </c>
      <c r="AK29" s="5" t="str">
        <f>IFERROR(__xludf.DUMMYFUNCTION("""COMPUTED_VALUE"""),"Yes")</f>
        <v>Yes</v>
      </c>
      <c r="AL29" s="5" t="str">
        <f>IFERROR(__xludf.DUMMYFUNCTION("""COMPUTED_VALUE"""),"Yes")</f>
        <v>Yes</v>
      </c>
      <c r="AM29" s="5" t="str">
        <f>IFERROR(__xludf.DUMMYFUNCTION("""COMPUTED_VALUE"""),"Yes")</f>
        <v>Yes</v>
      </c>
      <c r="AN29" s="5" t="str">
        <f>IFERROR(__xludf.DUMMYFUNCTION("""COMPUTED_VALUE"""),"Yes")</f>
        <v>Yes</v>
      </c>
      <c r="AO29" s="5" t="str">
        <f>IFERROR(__xludf.DUMMYFUNCTION("""COMPUTED_VALUE"""),"Yes")</f>
        <v>Yes</v>
      </c>
      <c r="AP29" s="5" t="str">
        <f>IFERROR(__xludf.DUMMYFUNCTION("""COMPUTED_VALUE"""),"Yes")</f>
        <v>Yes</v>
      </c>
      <c r="AQ29" s="5" t="str">
        <f>IFERROR(__xludf.DUMMYFUNCTION("""COMPUTED_VALUE"""),"Yes")</f>
        <v>Yes</v>
      </c>
      <c r="AR29" s="5" t="str">
        <f>IFERROR(__xludf.DUMMYFUNCTION("""COMPUTED_VALUE"""),"Yes")</f>
        <v>Yes</v>
      </c>
      <c r="AS29" s="5" t="str">
        <f>IFERROR(__xludf.DUMMYFUNCTION("""COMPUTED_VALUE"""),"Yes")</f>
        <v>Yes</v>
      </c>
      <c r="AT29" s="5"/>
      <c r="AU29" s="5"/>
      <c r="AV29" s="5" t="str">
        <f>IFERROR(__xludf.DUMMYFUNCTION("""COMPUTED_VALUE"""),"")</f>
        <v/>
      </c>
    </row>
    <row r="30">
      <c r="A30" s="5" t="str">
        <f>IFERROR(__xludf.DUMMYFUNCTION("""COMPUTED_VALUE"""),"Tiptop")</f>
        <v>Tiptop</v>
      </c>
      <c r="B30" s="5" t="str">
        <f>IFERROR(__xludf.DUMMYFUNCTION("""COMPUTED_VALUE"""),"20 Hot Strike")</f>
        <v>20 Hot Strike</v>
      </c>
      <c r="C30" s="5" t="str">
        <f>IFERROR(__xludf.DUMMYFUNCTION("""COMPUTED_VALUE"""),"Unicorn20HotStrike")</f>
        <v>Unicorn20HotStrike</v>
      </c>
      <c r="D30" s="6">
        <f>IFERROR(__xludf.DUMMYFUNCTION("""COMPUTED_VALUE"""),44985.0)</f>
        <v>44985</v>
      </c>
      <c r="E30" s="5" t="str">
        <f>IFERROR(__xludf.DUMMYFUNCTION("""COMPUTED_VALUE"""),"Slot")</f>
        <v>Slot</v>
      </c>
      <c r="F30" s="5">
        <f>IFERROR(__xludf.DUMMYFUNCTION("""COMPUTED_VALUE"""),13.2)</f>
        <v>13.2</v>
      </c>
      <c r="G30" s="5" t="str">
        <f>IFERROR(__xludf.DUMMYFUNCTION("""COMPUTED_VALUE"""),"5X3")</f>
        <v>5X3</v>
      </c>
      <c r="H30" s="5" t="str">
        <f>IFERROR(__xludf.DUMMYFUNCTION("""COMPUTED_VALUE"""),"20")</f>
        <v>20</v>
      </c>
      <c r="I30" s="5" t="str">
        <f>IFERROR(__xludf.DUMMYFUNCTION("""COMPUTED_VALUE"""),"20")</f>
        <v>20</v>
      </c>
      <c r="J30" s="5" t="str">
        <f>IFERROR(__xludf.DUMMYFUNCTION("""COMPUTED_VALUE"""),"96%")</f>
        <v>96%</v>
      </c>
      <c r="K30" s="5" t="str">
        <f>IFERROR(__xludf.DUMMYFUNCTION("""COMPUTED_VALUE"""),"Low")</f>
        <v>Low</v>
      </c>
      <c r="L30" s="5" t="str">
        <f>IFERROR(__xludf.DUMMYFUNCTION("""COMPUTED_VALUE"""),"14.62%")</f>
        <v>14.62%</v>
      </c>
      <c r="M30" s="5" t="str">
        <f>IFERROR(__xludf.DUMMYFUNCTION("""COMPUTED_VALUE"""),"x800")</f>
        <v>x800</v>
      </c>
      <c r="N30" s="5" t="str">
        <f>IFERROR(__xludf.DUMMYFUNCTION("""COMPUTED_VALUE"""),"0.2/100")</f>
        <v>0.2/100</v>
      </c>
      <c r="O30" s="5" t="str">
        <f>IFERROR(__xludf.DUMMYFUNCTION("""COMPUTED_VALUE"""),"No")</f>
        <v>No</v>
      </c>
      <c r="P30" s="5" t="str">
        <f>IFERROR(__xludf.DUMMYFUNCTION("""COMPUTED_VALUE"""),"Wild Symbol, Scatter")</f>
        <v>Wild Symbol, Scatter</v>
      </c>
      <c r="Q30" s="7" t="str">
        <f>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R30" s="5" t="str">
        <f>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S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0" s="5" t="str">
        <f>IFERROR(__xludf.DUMMYFUNCTION("""COMPUTED_VALUE"""),"Yes")</f>
        <v>Yes</v>
      </c>
      <c r="U30" s="5" t="str">
        <f>IFERROR(__xludf.DUMMYFUNCTION("""COMPUTED_VALUE"""),"Yes")</f>
        <v>Yes</v>
      </c>
      <c r="V30" s="5" t="str">
        <f>IFERROR(__xludf.DUMMYFUNCTION("""COMPUTED_VALUE"""),"Yes")</f>
        <v>Yes</v>
      </c>
      <c r="W30" s="5" t="str">
        <f>IFERROR(__xludf.DUMMYFUNCTION("""COMPUTED_VALUE"""),"No")</f>
        <v>No</v>
      </c>
      <c r="X30" s="5" t="str">
        <f>IFERROR(__xludf.DUMMYFUNCTION("""COMPUTED_VALUE"""),"No")</f>
        <v>No</v>
      </c>
      <c r="Y30" s="5" t="str">
        <f>IFERROR(__xludf.DUMMYFUNCTION("""COMPUTED_VALUE"""),"No")</f>
        <v>No</v>
      </c>
      <c r="Z30" s="5" t="str">
        <f>IFERROR(__xludf.DUMMYFUNCTION("""COMPUTED_VALUE"""),"No")</f>
        <v>No</v>
      </c>
      <c r="AA30" s="5" t="str">
        <f>IFERROR(__xludf.DUMMYFUNCTION("""COMPUTED_VALUE"""),"No")</f>
        <v>No</v>
      </c>
      <c r="AB30" s="5" t="str">
        <f>IFERROR(__xludf.DUMMYFUNCTION("""COMPUTED_VALUE"""),"Yes")</f>
        <v>Yes</v>
      </c>
      <c r="AC30" s="5" t="str">
        <f>IFERROR(__xludf.DUMMYFUNCTION("""COMPUTED_VALUE"""),"Yes")</f>
        <v>Yes</v>
      </c>
      <c r="AD30" s="5" t="str">
        <f>IFERROR(__xludf.DUMMYFUNCTION("""COMPUTED_VALUE"""),"Yes")</f>
        <v>Yes</v>
      </c>
      <c r="AE30" s="5" t="str">
        <f>IFERROR(__xludf.DUMMYFUNCTION("""COMPUTED_VALUE"""),"Yes")</f>
        <v>Yes</v>
      </c>
      <c r="AF30" s="5" t="str">
        <f>IFERROR(__xludf.DUMMYFUNCTION("""COMPUTED_VALUE"""),"Yes")</f>
        <v>Yes</v>
      </c>
      <c r="AG30" s="5" t="str">
        <f>IFERROR(__xludf.DUMMYFUNCTION("""COMPUTED_VALUE"""),"No")</f>
        <v>No</v>
      </c>
      <c r="AH30" s="5" t="str">
        <f>IFERROR(__xludf.DUMMYFUNCTION("""COMPUTED_VALUE"""),"Yes")</f>
        <v>Yes</v>
      </c>
      <c r="AI30" s="5" t="str">
        <f>IFERROR(__xludf.DUMMYFUNCTION("""COMPUTED_VALUE"""),"No")</f>
        <v>No</v>
      </c>
      <c r="AJ30" s="5" t="str">
        <f>IFERROR(__xludf.DUMMYFUNCTION("""COMPUTED_VALUE"""),"No")</f>
        <v>No</v>
      </c>
      <c r="AK30" s="5" t="str">
        <f>IFERROR(__xludf.DUMMYFUNCTION("""COMPUTED_VALUE"""),"No")</f>
        <v>No</v>
      </c>
      <c r="AL30" s="5" t="str">
        <f>IFERROR(__xludf.DUMMYFUNCTION("""COMPUTED_VALUE"""),"No")</f>
        <v>No</v>
      </c>
      <c r="AM30" s="5" t="str">
        <f>IFERROR(__xludf.DUMMYFUNCTION("""COMPUTED_VALUE"""),"No")</f>
        <v>No</v>
      </c>
      <c r="AN30" s="5"/>
      <c r="AO30" s="5"/>
      <c r="AP30" s="5"/>
      <c r="AQ30" s="5" t="str">
        <f>IFERROR(__xludf.DUMMYFUNCTION("""COMPUTED_VALUE"""),"No")</f>
        <v>No</v>
      </c>
      <c r="AR30" s="5"/>
      <c r="AS30" s="5"/>
      <c r="AT30" s="5"/>
      <c r="AU30" s="5"/>
      <c r="AV30" s="5" t="str">
        <f>IFERROR(__xludf.DUMMYFUNCTION("""COMPUTED_VALUE"""),"")</f>
        <v/>
      </c>
    </row>
    <row r="31">
      <c r="A31" s="5" t="str">
        <f>IFERROR(__xludf.DUMMYFUNCTION("""COMPUTED_VALUE"""),"Tiptop")</f>
        <v>Tiptop</v>
      </c>
      <c r="B31" s="5" t="str">
        <f>IFERROR(__xludf.DUMMYFUNCTION("""COMPUTED_VALUE"""),"Coyote Sevens")</f>
        <v>Coyote Sevens</v>
      </c>
      <c r="C31" s="5" t="str">
        <f>IFERROR(__xludf.DUMMYFUNCTION("""COMPUTED_VALUE"""),"UnicornCoyoteSevens")</f>
        <v>UnicornCoyoteSevens</v>
      </c>
      <c r="D31" s="6">
        <f>IFERROR(__xludf.DUMMYFUNCTION("""COMPUTED_VALUE"""),44971.0)</f>
        <v>44971</v>
      </c>
      <c r="E31" s="5" t="str">
        <f>IFERROR(__xludf.DUMMYFUNCTION("""COMPUTED_VALUE"""),"Slot")</f>
        <v>Slot</v>
      </c>
      <c r="F31" s="5">
        <f>IFERROR(__xludf.DUMMYFUNCTION("""COMPUTED_VALUE"""),11.1)</f>
        <v>11.1</v>
      </c>
      <c r="G31" s="5" t="str">
        <f>IFERROR(__xludf.DUMMYFUNCTION("""COMPUTED_VALUE"""),"5X3")</f>
        <v>5X3</v>
      </c>
      <c r="H31" s="5" t="str">
        <f>IFERROR(__xludf.DUMMYFUNCTION("""COMPUTED_VALUE"""),"5")</f>
        <v>5</v>
      </c>
      <c r="I31" s="5" t="str">
        <f>IFERROR(__xludf.DUMMYFUNCTION("""COMPUTED_VALUE"""),"5")</f>
        <v>5</v>
      </c>
      <c r="J31" s="5" t="str">
        <f>IFERROR(__xludf.DUMMYFUNCTION("""COMPUTED_VALUE"""),"96%")</f>
        <v>96%</v>
      </c>
      <c r="K31" s="5" t="str">
        <f>IFERROR(__xludf.DUMMYFUNCTION("""COMPUTED_VALUE"""),"Medium")</f>
        <v>Medium</v>
      </c>
      <c r="L31" s="5" t="str">
        <f>IFERROR(__xludf.DUMMYFUNCTION("""COMPUTED_VALUE"""),"10.1%")</f>
        <v>10.1%</v>
      </c>
      <c r="M31" s="5" t="str">
        <f>IFERROR(__xludf.DUMMYFUNCTION("""COMPUTED_VALUE"""),"x1000")</f>
        <v>x1000</v>
      </c>
      <c r="N31" s="5" t="str">
        <f>IFERROR(__xludf.DUMMYFUNCTION("""COMPUTED_VALUE"""),"0.05/100")</f>
        <v>0.05/100</v>
      </c>
      <c r="O31" s="5" t="str">
        <f>IFERROR(__xludf.DUMMYFUNCTION("""COMPUTED_VALUE"""),"No")</f>
        <v>No</v>
      </c>
      <c r="P31" s="5"/>
      <c r="Q31" s="7" t="str">
        <f>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R31" s="5" t="str">
        <f>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S31" s="5" t="str">
        <f>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T31" s="5" t="str">
        <f>IFERROR(__xludf.DUMMYFUNCTION("""COMPUTED_VALUE"""),"Yes")</f>
        <v>Yes</v>
      </c>
      <c r="U31" s="5" t="str">
        <f>IFERROR(__xludf.DUMMYFUNCTION("""COMPUTED_VALUE"""),"Yes")</f>
        <v>Yes</v>
      </c>
      <c r="V31" s="5" t="str">
        <f>IFERROR(__xludf.DUMMYFUNCTION("""COMPUTED_VALUE"""),"No")</f>
        <v>No</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IFERROR(__xludf.DUMMYFUNCTION("""COMPUTED_VALUE"""),"Yes")</f>
        <v>Yes</v>
      </c>
      <c r="AD31" s="5" t="str">
        <f>IFERROR(__xludf.DUMMYFUNCTION("""COMPUTED_VALUE"""),"Yes")</f>
        <v>Yes</v>
      </c>
      <c r="AE31" s="5" t="str">
        <f>IFERROR(__xludf.DUMMYFUNCTION("""COMPUTED_VALUE"""),"Yes")</f>
        <v>Yes</v>
      </c>
      <c r="AF31" s="5" t="str">
        <f>IFERROR(__xludf.DUMMYFUNCTION("""COMPUTED_VALUE"""),"Yes")</f>
        <v>Yes</v>
      </c>
      <c r="AG31" s="5" t="str">
        <f>IFERROR(__xludf.DUMMYFUNCTION("""COMPUTED_VALUE"""),"Yes")</f>
        <v>Yes</v>
      </c>
      <c r="AH31" s="5" t="str">
        <f>IFERROR(__xludf.DUMMYFUNCTION("""COMPUTED_VALUE"""),"Yes")</f>
        <v>Yes</v>
      </c>
      <c r="AI31" s="5" t="str">
        <f>IFERROR(__xludf.DUMMYFUNCTION("""COMPUTED_VALUE"""),"Yes")</f>
        <v>Yes</v>
      </c>
      <c r="AJ31" s="5" t="str">
        <f>IFERROR(__xludf.DUMMYFUNCTION("""COMPUTED_VALUE"""),"Yes")</f>
        <v>Yes</v>
      </c>
      <c r="AK31" s="5" t="str">
        <f>IFERROR(__xludf.DUMMYFUNCTION("""COMPUTED_VALUE"""),"No")</f>
        <v>No</v>
      </c>
      <c r="AL31" s="5" t="str">
        <f>IFERROR(__xludf.DUMMYFUNCTION("""COMPUTED_VALUE"""),"No")</f>
        <v>No</v>
      </c>
      <c r="AM31" s="5" t="str">
        <f>IFERROR(__xludf.DUMMYFUNCTION("""COMPUTED_VALUE"""),"No")</f>
        <v>No</v>
      </c>
      <c r="AN31" s="5" t="str">
        <f>IFERROR(__xludf.DUMMYFUNCTION("""COMPUTED_VALUE"""),"No")</f>
        <v>No</v>
      </c>
      <c r="AO31" s="5" t="str">
        <f>IFERROR(__xludf.DUMMYFUNCTION("""COMPUTED_VALUE"""),"No")</f>
        <v>No</v>
      </c>
      <c r="AP31" s="5" t="str">
        <f>IFERROR(__xludf.DUMMYFUNCTION("""COMPUTED_VALUE"""),"No")</f>
        <v>No</v>
      </c>
      <c r="AQ31" s="5" t="str">
        <f>IFERROR(__xludf.DUMMYFUNCTION("""COMPUTED_VALUE"""),"No")</f>
        <v>No</v>
      </c>
      <c r="AR31" s="5" t="str">
        <f>IFERROR(__xludf.DUMMYFUNCTION("""COMPUTED_VALUE"""),"No")</f>
        <v>No</v>
      </c>
      <c r="AS31" s="5" t="str">
        <f>IFERROR(__xludf.DUMMYFUNCTION("""COMPUTED_VALUE"""),"Yes")</f>
        <v>Yes</v>
      </c>
      <c r="AT31" s="5" t="str">
        <f>IFERROR(__xludf.DUMMYFUNCTION("""COMPUTED_VALUE"""),"No")</f>
        <v>No</v>
      </c>
      <c r="AU31" s="5"/>
      <c r="AV31" s="5" t="str">
        <f>IFERROR(__xludf.DUMMYFUNCTION("""COMPUTED_VALUE"""),"")</f>
        <v/>
      </c>
    </row>
    <row r="32">
      <c r="A32" s="5" t="str">
        <f>IFERROR(__xludf.DUMMYFUNCTION("""COMPUTED_VALUE"""),"Tiptop")</f>
        <v>Tiptop</v>
      </c>
      <c r="B32" s="5" t="str">
        <f>IFERROR(__xludf.DUMMYFUNCTION("""COMPUTED_VALUE"""),"Coyote Dice")</f>
        <v>Coyote Dice</v>
      </c>
      <c r="C32" s="5" t="str">
        <f>IFERROR(__xludf.DUMMYFUNCTION("""COMPUTED_VALUE"""),"UnicornCoyoteDice")</f>
        <v>UnicornCoyoteDice</v>
      </c>
      <c r="D32" s="6">
        <f>IFERROR(__xludf.DUMMYFUNCTION("""COMPUTED_VALUE"""),44999.0)</f>
        <v>44999</v>
      </c>
      <c r="E32" s="5" t="str">
        <f>IFERROR(__xludf.DUMMYFUNCTION("""COMPUTED_VALUE"""),"Dice Slots")</f>
        <v>Dice Slots</v>
      </c>
      <c r="F32" s="5">
        <f>IFERROR(__xludf.DUMMYFUNCTION("""COMPUTED_VALUE"""),11.1)</f>
        <v>11.1</v>
      </c>
      <c r="G32" s="5" t="str">
        <f>IFERROR(__xludf.DUMMYFUNCTION("""COMPUTED_VALUE"""),"5X3")</f>
        <v>5X3</v>
      </c>
      <c r="H32" s="5" t="str">
        <f>IFERROR(__xludf.DUMMYFUNCTION("""COMPUTED_VALUE"""),"5")</f>
        <v>5</v>
      </c>
      <c r="I32" s="5" t="str">
        <f>IFERROR(__xludf.DUMMYFUNCTION("""COMPUTED_VALUE"""),"5")</f>
        <v>5</v>
      </c>
      <c r="J32" s="5" t="str">
        <f>IFERROR(__xludf.DUMMYFUNCTION("""COMPUTED_VALUE"""),"96%")</f>
        <v>96%</v>
      </c>
      <c r="K32" s="5" t="str">
        <f>IFERROR(__xludf.DUMMYFUNCTION("""COMPUTED_VALUE"""),"Medium")</f>
        <v>Medium</v>
      </c>
      <c r="L32" s="5" t="str">
        <f>IFERROR(__xludf.DUMMYFUNCTION("""COMPUTED_VALUE"""),"10.1%")</f>
        <v>10.1%</v>
      </c>
      <c r="M32" s="5" t="str">
        <f>IFERROR(__xludf.DUMMYFUNCTION("""COMPUTED_VALUE"""),"x1000")</f>
        <v>x1000</v>
      </c>
      <c r="N32" s="5" t="str">
        <f>IFERROR(__xludf.DUMMYFUNCTION("""COMPUTED_VALUE"""),"0.05/100")</f>
        <v>0.05/100</v>
      </c>
      <c r="O32" s="5" t="str">
        <f>IFERROR(__xludf.DUMMYFUNCTION("""COMPUTED_VALUE"""),"No")</f>
        <v>No</v>
      </c>
      <c r="P32" s="5"/>
      <c r="Q32" s="7" t="str">
        <f>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R32" s="5" t="str">
        <f>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S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IFERROR(__xludf.DUMMYFUNCTION("""COMPUTED_VALUE"""),"Yes")</f>
        <v>Yes</v>
      </c>
      <c r="AD32" s="5" t="str">
        <f>IFERROR(__xludf.DUMMYFUNCTION("""COMPUTED_VALUE"""),"Yes")</f>
        <v>Yes</v>
      </c>
      <c r="AE32" s="5" t="str">
        <f>IFERROR(__xludf.DUMMYFUNCTION("""COMPUTED_VALUE"""),"Yes")</f>
        <v>Yes</v>
      </c>
      <c r="AF32" s="5" t="str">
        <f>IFERROR(__xludf.DUMMYFUNCTION("""COMPUTED_VALUE"""),"Yes")</f>
        <v>Yes</v>
      </c>
      <c r="AG32" s="5" t="str">
        <f>IFERROR(__xludf.DUMMYFUNCTION("""COMPUTED_VALUE"""),"Yes")</f>
        <v>Yes</v>
      </c>
      <c r="AH32" s="5" t="str">
        <f>IFERROR(__xludf.DUMMYFUNCTION("""COMPUTED_VALUE"""),"Yes")</f>
        <v>Yes</v>
      </c>
      <c r="AI32" s="5" t="str">
        <f>IFERROR(__xludf.DUMMYFUNCTION("""COMPUTED_VALUE"""),"Yes")</f>
        <v>Yes</v>
      </c>
      <c r="AJ32" s="5" t="str">
        <f>IFERROR(__xludf.DUMMYFUNCTION("""COMPUTED_VALUE"""),"Yes")</f>
        <v>Yes</v>
      </c>
      <c r="AK32" s="5" t="str">
        <f>IFERROR(__xludf.DUMMYFUNCTION("""COMPUTED_VALUE"""),"Yes")</f>
        <v>Yes</v>
      </c>
      <c r="AL32" s="5" t="str">
        <f>IFERROR(__xludf.DUMMYFUNCTION("""COMPUTED_VALUE"""),"Yes")</f>
        <v>Yes</v>
      </c>
      <c r="AM32" s="5" t="str">
        <f>IFERROR(__xludf.DUMMYFUNCTION("""COMPUTED_VALUE"""),"Yes")</f>
        <v>Yes</v>
      </c>
      <c r="AN32" s="5" t="str">
        <f>IFERROR(__xludf.DUMMYFUNCTION("""COMPUTED_VALUE"""),"Yes")</f>
        <v>Yes</v>
      </c>
      <c r="AO32" s="5" t="str">
        <f>IFERROR(__xludf.DUMMYFUNCTION("""COMPUTED_VALUE"""),"Yes")</f>
        <v>Yes</v>
      </c>
      <c r="AP32" s="5" t="str">
        <f>IFERROR(__xludf.DUMMYFUNCTION("""COMPUTED_VALUE"""),"Yes")</f>
        <v>Yes</v>
      </c>
      <c r="AQ32" s="5" t="str">
        <f>IFERROR(__xludf.DUMMYFUNCTION("""COMPUTED_VALUE"""),"Yes")</f>
        <v>Yes</v>
      </c>
      <c r="AR32" s="5" t="str">
        <f>IFERROR(__xludf.DUMMYFUNCTION("""COMPUTED_VALUE"""),"Yes")</f>
        <v>Yes</v>
      </c>
      <c r="AS32" s="5" t="str">
        <f>IFERROR(__xludf.DUMMYFUNCTION("""COMPUTED_VALUE"""),"Yes")</f>
        <v>Yes</v>
      </c>
      <c r="AT32" s="5"/>
      <c r="AU32" s="5"/>
      <c r="AV32" s="5" t="str">
        <f>IFERROR(__xludf.DUMMYFUNCTION("""COMPUTED_VALUE"""),"")</f>
        <v/>
      </c>
    </row>
    <row r="33">
      <c r="A33" s="5" t="str">
        <f>IFERROR(__xludf.DUMMYFUNCTION("""COMPUTED_VALUE"""),"Tiptop")</f>
        <v>Tiptop</v>
      </c>
      <c r="B33" s="5" t="str">
        <f>IFERROR(__xludf.DUMMYFUNCTION("""COMPUTED_VALUE"""),"Fruit Wild Lines")</f>
        <v>Fruit Wild Lines</v>
      </c>
      <c r="C33" s="5" t="str">
        <f>IFERROR(__xludf.DUMMYFUNCTION("""COMPUTED_VALUE"""),"UnicornFruitWildLines")</f>
        <v>UnicornFruitWildLines</v>
      </c>
      <c r="D33" s="6">
        <f>IFERROR(__xludf.DUMMYFUNCTION("""COMPUTED_VALUE"""),45076.0)</f>
        <v>45076</v>
      </c>
      <c r="E33" s="5" t="str">
        <f>IFERROR(__xludf.DUMMYFUNCTION("""COMPUTED_VALUE"""),"Slot")</f>
        <v>Slot</v>
      </c>
      <c r="F33" s="5">
        <f>IFERROR(__xludf.DUMMYFUNCTION("""COMPUTED_VALUE"""),13.9)</f>
        <v>13.9</v>
      </c>
      <c r="G33" s="5" t="str">
        <f>IFERROR(__xludf.DUMMYFUNCTION("""COMPUTED_VALUE"""),"5X3")</f>
        <v>5X3</v>
      </c>
      <c r="H33" s="5" t="str">
        <f>IFERROR(__xludf.DUMMYFUNCTION("""COMPUTED_VALUE"""),"10")</f>
        <v>10</v>
      </c>
      <c r="I33" s="5" t="str">
        <f>IFERROR(__xludf.DUMMYFUNCTION("""COMPUTED_VALUE"""),"10")</f>
        <v>10</v>
      </c>
      <c r="J33" s="5" t="str">
        <f>IFERROR(__xludf.DUMMYFUNCTION("""COMPUTED_VALUE"""),"96%")</f>
        <v>96%</v>
      </c>
      <c r="K33" s="5" t="str">
        <f>IFERROR(__xludf.DUMMYFUNCTION("""COMPUTED_VALUE"""),"High")</f>
        <v>High</v>
      </c>
      <c r="L33" s="5" t="str">
        <f>IFERROR(__xludf.DUMMYFUNCTION("""COMPUTED_VALUE"""),"9.46%")</f>
        <v>9.46%</v>
      </c>
      <c r="M33" s="5" t="str">
        <f>IFERROR(__xludf.DUMMYFUNCTION("""COMPUTED_VALUE"""),"x1000")</f>
        <v>x1000</v>
      </c>
      <c r="N33" s="5" t="str">
        <f>IFERROR(__xludf.DUMMYFUNCTION("""COMPUTED_VALUE"""),"0.1/100")</f>
        <v>0.1/100</v>
      </c>
      <c r="O33" s="5" t="str">
        <f>IFERROR(__xludf.DUMMYFUNCTION("""COMPUTED_VALUE"""),"No")</f>
        <v>No</v>
      </c>
      <c r="P33" s="5" t="str">
        <f>IFERROR(__xludf.DUMMYFUNCTION("""COMPUTED_VALUE"""),"Converting Wild")</f>
        <v>Converting Wild</v>
      </c>
      <c r="Q33" s="7" t="str">
        <f>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R33" s="5" t="str">
        <f>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S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IFERROR(__xludf.DUMMYFUNCTION("""COMPUTED_VALUE"""),"Yes")</f>
        <v>Yes</v>
      </c>
      <c r="AD33" s="5" t="str">
        <f>IFERROR(__xludf.DUMMYFUNCTION("""COMPUTED_VALUE"""),"Yes")</f>
        <v>Yes</v>
      </c>
      <c r="AE33" s="5" t="str">
        <f>IFERROR(__xludf.DUMMYFUNCTION("""COMPUTED_VALUE"""),"Yes")</f>
        <v>Yes</v>
      </c>
      <c r="AF33" s="5" t="str">
        <f>IFERROR(__xludf.DUMMYFUNCTION("""COMPUTED_VALUE"""),"Yes")</f>
        <v>Yes</v>
      </c>
      <c r="AG33" s="5" t="str">
        <f>IFERROR(__xludf.DUMMYFUNCTION("""COMPUTED_VALUE"""),"Yes")</f>
        <v>Yes</v>
      </c>
      <c r="AH33" s="5" t="str">
        <f>IFERROR(__xludf.DUMMYFUNCTION("""COMPUTED_VALUE"""),"Yes")</f>
        <v>Yes</v>
      </c>
      <c r="AI33" s="5" t="str">
        <f>IFERROR(__xludf.DUMMYFUNCTION("""COMPUTED_VALUE"""),"Yes")</f>
        <v>Yes</v>
      </c>
      <c r="AJ33" s="5" t="str">
        <f>IFERROR(__xludf.DUMMYFUNCTION("""COMPUTED_VALUE"""),"Yes")</f>
        <v>Yes</v>
      </c>
      <c r="AK33" s="5" t="str">
        <f>IFERROR(__xludf.DUMMYFUNCTION("""COMPUTED_VALUE"""),"Yes")</f>
        <v>Yes</v>
      </c>
      <c r="AL33" s="5" t="str">
        <f>IFERROR(__xludf.DUMMYFUNCTION("""COMPUTED_VALUE"""),"Yes")</f>
        <v>Yes</v>
      </c>
      <c r="AM33" s="5" t="str">
        <f>IFERROR(__xludf.DUMMYFUNCTION("""COMPUTED_VALUE"""),"Yes")</f>
        <v>Yes</v>
      </c>
      <c r="AN33" s="5" t="str">
        <f>IFERROR(__xludf.DUMMYFUNCTION("""COMPUTED_VALUE"""),"Yes")</f>
        <v>Yes</v>
      </c>
      <c r="AO33" s="5"/>
      <c r="AP33" s="5"/>
      <c r="AQ33" s="5" t="str">
        <f>IFERROR(__xludf.DUMMYFUNCTION("""COMPUTED_VALUE"""),"Yes")</f>
        <v>Yes</v>
      </c>
      <c r="AR33" s="5"/>
      <c r="AS33" s="5"/>
      <c r="AT33" s="5"/>
      <c r="AU33" s="5"/>
      <c r="AV33" s="5" t="str">
        <f>IFERROR(__xludf.DUMMYFUNCTION("""COMPUTED_VALUE"""),"")</f>
        <v/>
      </c>
    </row>
    <row r="34">
      <c r="A34" s="5" t="str">
        <f>IFERROR(__xludf.DUMMYFUNCTION("""COMPUTED_VALUE"""),"Tiptop")</f>
        <v>Tiptop</v>
      </c>
      <c r="B34" s="5" t="str">
        <f>IFERROR(__xludf.DUMMYFUNCTION("""COMPUTED_VALUE"""),"Money Standard Dice")</f>
        <v>Money Standard Dice</v>
      </c>
      <c r="C34" s="5" t="str">
        <f>IFERROR(__xludf.DUMMYFUNCTION("""COMPUTED_VALUE"""),"UnicornMoneyStandardDice")</f>
        <v>UnicornMoneyStandardDice</v>
      </c>
      <c r="D34" s="6">
        <f>IFERROR(__xludf.DUMMYFUNCTION("""COMPUTED_VALUE"""),45041.0)</f>
        <v>45041</v>
      </c>
      <c r="E34" s="5" t="str">
        <f>IFERROR(__xludf.DUMMYFUNCTION("""COMPUTED_VALUE"""),"Dice Slots")</f>
        <v>Dice Slots</v>
      </c>
      <c r="F34" s="5">
        <f>IFERROR(__xludf.DUMMYFUNCTION("""COMPUTED_VALUE"""),14.8)</f>
        <v>14.8</v>
      </c>
      <c r="G34" s="5" t="str">
        <f>IFERROR(__xludf.DUMMYFUNCTION("""COMPUTED_VALUE"""),"5X4")</f>
        <v>5X4</v>
      </c>
      <c r="H34" s="5" t="str">
        <f>IFERROR(__xludf.DUMMYFUNCTION("""COMPUTED_VALUE"""),"20")</f>
        <v>20</v>
      </c>
      <c r="I34" s="5" t="str">
        <f>IFERROR(__xludf.DUMMYFUNCTION("""COMPUTED_VALUE"""),"20")</f>
        <v>20</v>
      </c>
      <c r="J34" s="5" t="str">
        <f>IFERROR(__xludf.DUMMYFUNCTION("""COMPUTED_VALUE"""),"96%")</f>
        <v>96%</v>
      </c>
      <c r="K34" s="5" t="str">
        <f>IFERROR(__xludf.DUMMYFUNCTION("""COMPUTED_VALUE"""),"Low")</f>
        <v>Low</v>
      </c>
      <c r="L34" s="5" t="str">
        <f>IFERROR(__xludf.DUMMYFUNCTION("""COMPUTED_VALUE"""),"11.7%")</f>
        <v>11.7%</v>
      </c>
      <c r="M34" s="5" t="str">
        <f>IFERROR(__xludf.DUMMYFUNCTION("""COMPUTED_VALUE"""),"x5000")</f>
        <v>x5000</v>
      </c>
      <c r="N34" s="5" t="str">
        <f>IFERROR(__xludf.DUMMYFUNCTION("""COMPUTED_VALUE"""),"0.2/100")</f>
        <v>0.2/100</v>
      </c>
      <c r="O34" s="5" t="str">
        <f>IFERROR(__xludf.DUMMYFUNCTION("""COMPUTED_VALUE"""),"No")</f>
        <v>No</v>
      </c>
      <c r="P34" s="5"/>
      <c r="Q34" s="7" t="str">
        <f>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R34" s="5" t="str">
        <f>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S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IFERROR(__xludf.DUMMYFUNCTION("""COMPUTED_VALUE"""),"Yes")</f>
        <v>Yes</v>
      </c>
      <c r="AD34" s="5" t="str">
        <f>IFERROR(__xludf.DUMMYFUNCTION("""COMPUTED_VALUE"""),"Yes")</f>
        <v>Yes</v>
      </c>
      <c r="AE34" s="5" t="str">
        <f>IFERROR(__xludf.DUMMYFUNCTION("""COMPUTED_VALUE"""),"Yes")</f>
        <v>Yes</v>
      </c>
      <c r="AF34" s="5" t="str">
        <f>IFERROR(__xludf.DUMMYFUNCTION("""COMPUTED_VALUE"""),"Yes")</f>
        <v>Yes</v>
      </c>
      <c r="AG34" s="5" t="str">
        <f>IFERROR(__xludf.DUMMYFUNCTION("""COMPUTED_VALUE"""),"Yes")</f>
        <v>Yes</v>
      </c>
      <c r="AH34" s="5" t="str">
        <f>IFERROR(__xludf.DUMMYFUNCTION("""COMPUTED_VALUE"""),"Yes")</f>
        <v>Yes</v>
      </c>
      <c r="AI34" s="5" t="str">
        <f>IFERROR(__xludf.DUMMYFUNCTION("""COMPUTED_VALUE"""),"Yes")</f>
        <v>Yes</v>
      </c>
      <c r="AJ34" s="5" t="str">
        <f>IFERROR(__xludf.DUMMYFUNCTION("""COMPUTED_VALUE"""),"Yes")</f>
        <v>Yes</v>
      </c>
      <c r="AK34" s="5" t="str">
        <f>IFERROR(__xludf.DUMMYFUNCTION("""COMPUTED_VALUE"""),"Yes")</f>
        <v>Yes</v>
      </c>
      <c r="AL34" s="5" t="str">
        <f>IFERROR(__xludf.DUMMYFUNCTION("""COMPUTED_VALUE"""),"Yes")</f>
        <v>Yes</v>
      </c>
      <c r="AM34" s="5" t="str">
        <f>IFERROR(__xludf.DUMMYFUNCTION("""COMPUTED_VALUE"""),"Yes")</f>
        <v>Yes</v>
      </c>
      <c r="AN34" s="5" t="str">
        <f>IFERROR(__xludf.DUMMYFUNCTION("""COMPUTED_VALUE"""),"Yes")</f>
        <v>Yes</v>
      </c>
      <c r="AO34" s="5" t="str">
        <f>IFERROR(__xludf.DUMMYFUNCTION("""COMPUTED_VALUE"""),"Yes")</f>
        <v>Yes</v>
      </c>
      <c r="AP34" s="5" t="str">
        <f>IFERROR(__xludf.DUMMYFUNCTION("""COMPUTED_VALUE"""),"Yes")</f>
        <v>Yes</v>
      </c>
      <c r="AQ34" s="5" t="str">
        <f>IFERROR(__xludf.DUMMYFUNCTION("""COMPUTED_VALUE"""),"Yes")</f>
        <v>Yes</v>
      </c>
      <c r="AR34" s="5" t="str">
        <f>IFERROR(__xludf.DUMMYFUNCTION("""COMPUTED_VALUE"""),"Yes")</f>
        <v>Yes</v>
      </c>
      <c r="AS34" s="5" t="str">
        <f>IFERROR(__xludf.DUMMYFUNCTION("""COMPUTED_VALUE"""),"Yes")</f>
        <v>Yes</v>
      </c>
      <c r="AT34" s="5"/>
      <c r="AU34" s="5"/>
      <c r="AV34" s="5" t="str">
        <f>IFERROR(__xludf.DUMMYFUNCTION("""COMPUTED_VALUE"""),"")</f>
        <v/>
      </c>
    </row>
    <row r="35">
      <c r="A35" s="5" t="str">
        <f>IFERROR(__xludf.DUMMYFUNCTION("""COMPUTED_VALUE"""),"Tiptop")</f>
        <v>Tiptop</v>
      </c>
      <c r="B35" s="5" t="str">
        <f>IFERROR(__xludf.DUMMYFUNCTION("""COMPUTED_VALUE"""),"Double Wild Dice")</f>
        <v>Double Wild Dice</v>
      </c>
      <c r="C35" s="5" t="str">
        <f>IFERROR(__xludf.DUMMYFUNCTION("""COMPUTED_VALUE"""),"UnicornDoubleWildDice")</f>
        <v>UnicornDoubleWildDice</v>
      </c>
      <c r="D35" s="6">
        <f>IFERROR(__xludf.DUMMYFUNCTION("""COMPUTED_VALUE"""),45085.0)</f>
        <v>45085</v>
      </c>
      <c r="E35" s="5" t="str">
        <f>IFERROR(__xludf.DUMMYFUNCTION("""COMPUTED_VALUE"""),"Dice Slots")</f>
        <v>Dice Slots</v>
      </c>
      <c r="F35" s="5">
        <f>IFERROR(__xludf.DUMMYFUNCTION("""COMPUTED_VALUE"""),10.3)</f>
        <v>10.3</v>
      </c>
      <c r="G35" s="5" t="str">
        <f>IFERROR(__xludf.DUMMYFUNCTION("""COMPUTED_VALUE"""),"5X3")</f>
        <v>5X3</v>
      </c>
      <c r="H35" s="5" t="str">
        <f>IFERROR(__xludf.DUMMYFUNCTION("""COMPUTED_VALUE"""),"20")</f>
        <v>20</v>
      </c>
      <c r="I35" s="5" t="str">
        <f>IFERROR(__xludf.DUMMYFUNCTION("""COMPUTED_VALUE"""),"20")</f>
        <v>20</v>
      </c>
      <c r="J35" s="5" t="str">
        <f>IFERROR(__xludf.DUMMYFUNCTION("""COMPUTED_VALUE"""),"96%")</f>
        <v>96%</v>
      </c>
      <c r="K35" s="5" t="str">
        <f>IFERROR(__xludf.DUMMYFUNCTION("""COMPUTED_VALUE"""),"Low")</f>
        <v>Low</v>
      </c>
      <c r="L35" s="5" t="str">
        <f>IFERROR(__xludf.DUMMYFUNCTION("""COMPUTED_VALUE"""),"14.62%")</f>
        <v>14.62%</v>
      </c>
      <c r="M35" s="5" t="str">
        <f>IFERROR(__xludf.DUMMYFUNCTION("""COMPUTED_VALUE"""),"x800")</f>
        <v>x800</v>
      </c>
      <c r="N35" s="5" t="str">
        <f>IFERROR(__xludf.DUMMYFUNCTION("""COMPUTED_VALUE"""),"0.2/100")</f>
        <v>0.2/100</v>
      </c>
      <c r="O35" s="5" t="str">
        <f>IFERROR(__xludf.DUMMYFUNCTION("""COMPUTED_VALUE"""),"No")</f>
        <v>No</v>
      </c>
      <c r="P35" s="5" t="str">
        <f>IFERROR(__xludf.DUMMYFUNCTION("""COMPUTED_VALUE"""),"Wild Symbol, Scatter")</f>
        <v>Wild Symbol, Scatter</v>
      </c>
      <c r="Q35" s="7" t="str">
        <f>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R35" s="5" t="str">
        <f>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S3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5" s="5" t="str">
        <f>IFERROR(__xludf.DUMMYFUNCTION("""COMPUTED_VALUE"""),"Yes")</f>
        <v>Yes</v>
      </c>
      <c r="U35" s="5" t="str">
        <f>IFERROR(__xludf.DUMMYFUNCTION("""COMPUTED_VALUE"""),"Yes")</f>
        <v>Yes</v>
      </c>
      <c r="V35" s="5" t="str">
        <f>IFERROR(__xludf.DUMMYFUNCTION("""COMPUTED_VALUE"""),"Yes")</f>
        <v>Yes</v>
      </c>
      <c r="W35" s="5" t="str">
        <f>IFERROR(__xludf.DUMMYFUNCTION("""COMPUTED_VALUE"""),"No")</f>
        <v>No</v>
      </c>
      <c r="X35" s="5" t="str">
        <f>IFERROR(__xludf.DUMMYFUNCTION("""COMPUTED_VALUE"""),"No")</f>
        <v>No</v>
      </c>
      <c r="Y35" s="5" t="str">
        <f>IFERROR(__xludf.DUMMYFUNCTION("""COMPUTED_VALUE"""),"No")</f>
        <v>No</v>
      </c>
      <c r="Z35" s="5" t="str">
        <f>IFERROR(__xludf.DUMMYFUNCTION("""COMPUTED_VALUE"""),"No")</f>
        <v>No</v>
      </c>
      <c r="AA35" s="5" t="str">
        <f>IFERROR(__xludf.DUMMYFUNCTION("""COMPUTED_VALUE"""),"No")</f>
        <v>No</v>
      </c>
      <c r="AB35" s="5" t="str">
        <f>IFERROR(__xludf.DUMMYFUNCTION("""COMPUTED_VALUE"""),"Yes")</f>
        <v>Yes</v>
      </c>
      <c r="AC35" s="5" t="str">
        <f>IFERROR(__xludf.DUMMYFUNCTION("""COMPUTED_VALUE"""),"Yes")</f>
        <v>Yes</v>
      </c>
      <c r="AD35" s="5" t="str">
        <f>IFERROR(__xludf.DUMMYFUNCTION("""COMPUTED_VALUE"""),"Yes")</f>
        <v>Yes</v>
      </c>
      <c r="AE35" s="5" t="str">
        <f>IFERROR(__xludf.DUMMYFUNCTION("""COMPUTED_VALUE"""),"Yes")</f>
        <v>Yes</v>
      </c>
      <c r="AF35" s="5" t="str">
        <f>IFERROR(__xludf.DUMMYFUNCTION("""COMPUTED_VALUE"""),"Yes")</f>
        <v>Yes</v>
      </c>
      <c r="AG35" s="5" t="str">
        <f>IFERROR(__xludf.DUMMYFUNCTION("""COMPUTED_VALUE"""),"No")</f>
        <v>No</v>
      </c>
      <c r="AH35" s="5" t="str">
        <f>IFERROR(__xludf.DUMMYFUNCTION("""COMPUTED_VALUE"""),"Yes")</f>
        <v>Yes</v>
      </c>
      <c r="AI35" s="5" t="str">
        <f>IFERROR(__xludf.DUMMYFUNCTION("""COMPUTED_VALUE"""),"No")</f>
        <v>No</v>
      </c>
      <c r="AJ35" s="5" t="str">
        <f>IFERROR(__xludf.DUMMYFUNCTION("""COMPUTED_VALUE"""),"No")</f>
        <v>No</v>
      </c>
      <c r="AK35" s="5" t="str">
        <f>IFERROR(__xludf.DUMMYFUNCTION("""COMPUTED_VALUE"""),"No")</f>
        <v>No</v>
      </c>
      <c r="AL35" s="5" t="str">
        <f>IFERROR(__xludf.DUMMYFUNCTION("""COMPUTED_VALUE"""),"No")</f>
        <v>No</v>
      </c>
      <c r="AM35" s="5" t="str">
        <f>IFERROR(__xludf.DUMMYFUNCTION("""COMPUTED_VALUE"""),"No")</f>
        <v>No</v>
      </c>
      <c r="AN35" s="5"/>
      <c r="AO35" s="5"/>
      <c r="AP35" s="5"/>
      <c r="AQ35" s="5" t="str">
        <f>IFERROR(__xludf.DUMMYFUNCTION("""COMPUTED_VALUE"""),"No")</f>
        <v>No</v>
      </c>
      <c r="AR35" s="5"/>
      <c r="AS35" s="5"/>
      <c r="AT35" s="5"/>
      <c r="AU35" s="5"/>
      <c r="AV35" s="5" t="str">
        <f>IFERROR(__xludf.DUMMYFUNCTION("""COMPUTED_VALUE"""),"")</f>
        <v/>
      </c>
    </row>
    <row r="36">
      <c r="A36" s="5" t="str">
        <f>IFERROR(__xludf.DUMMYFUNCTION("""COMPUTED_VALUE"""),"Tiptop")</f>
        <v>Tiptop</v>
      </c>
      <c r="B36" s="5" t="str">
        <f>IFERROR(__xludf.DUMMYFUNCTION("""COMPUTED_VALUE"""),"40 Fruit Reels")</f>
        <v>40 Fruit Reels</v>
      </c>
      <c r="C36" s="5" t="str">
        <f>IFERROR(__xludf.DUMMYFUNCTION("""COMPUTED_VALUE"""),"Unicorn40FruitReels")</f>
        <v>Unicorn40FruitReels</v>
      </c>
      <c r="D36" s="6">
        <f>IFERROR(__xludf.DUMMYFUNCTION("""COMPUTED_VALUE"""),45062.0)</f>
        <v>45062</v>
      </c>
      <c r="E36" s="5" t="str">
        <f>IFERROR(__xludf.DUMMYFUNCTION("""COMPUTED_VALUE"""),"Slot")</f>
        <v>Slot</v>
      </c>
      <c r="F36" s="5">
        <f>IFERROR(__xludf.DUMMYFUNCTION("""COMPUTED_VALUE"""),9.5)</f>
        <v>9.5</v>
      </c>
      <c r="G36" s="5" t="str">
        <f>IFERROR(__xludf.DUMMYFUNCTION("""COMPUTED_VALUE"""),"5X4")</f>
        <v>5X4</v>
      </c>
      <c r="H36" s="5" t="str">
        <f>IFERROR(__xludf.DUMMYFUNCTION("""COMPUTED_VALUE"""),"40")</f>
        <v>40</v>
      </c>
      <c r="I36" s="5" t="str">
        <f>IFERROR(__xludf.DUMMYFUNCTION("""COMPUTED_VALUE"""),"40")</f>
        <v>40</v>
      </c>
      <c r="J36" s="5" t="str">
        <f>IFERROR(__xludf.DUMMYFUNCTION("""COMPUTED_VALUE"""),"96%")</f>
        <v>96%</v>
      </c>
      <c r="K36" s="5" t="str">
        <f>IFERROR(__xludf.DUMMYFUNCTION("""COMPUTED_VALUE"""),"Low")</f>
        <v>Low</v>
      </c>
      <c r="L36" s="5" t="str">
        <f>IFERROR(__xludf.DUMMYFUNCTION("""COMPUTED_VALUE"""),"11.65%")</f>
        <v>11.65%</v>
      </c>
      <c r="M36" s="5" t="str">
        <f>IFERROR(__xludf.DUMMYFUNCTION("""COMPUTED_VALUE"""),"x5000")</f>
        <v>x5000</v>
      </c>
      <c r="N36" s="5" t="str">
        <f>IFERROR(__xludf.DUMMYFUNCTION("""COMPUTED_VALUE"""),"0.4/100")</f>
        <v>0.4/100</v>
      </c>
      <c r="O36" s="5" t="str">
        <f>IFERROR(__xludf.DUMMYFUNCTION("""COMPUTED_VALUE"""),"No")</f>
        <v>No</v>
      </c>
      <c r="P36" s="5"/>
      <c r="Q36" s="7" t="str">
        <f>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R36" s="5" t="str">
        <f>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S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IFERROR(__xludf.DUMMYFUNCTION("""COMPUTED_VALUE"""),"Yes")</f>
        <v>Yes</v>
      </c>
      <c r="AD36" s="5" t="str">
        <f>IFERROR(__xludf.DUMMYFUNCTION("""COMPUTED_VALUE"""),"Yes")</f>
        <v>Yes</v>
      </c>
      <c r="AE36" s="5" t="str">
        <f>IFERROR(__xludf.DUMMYFUNCTION("""COMPUTED_VALUE"""),"Yes")</f>
        <v>Yes</v>
      </c>
      <c r="AF36" s="5" t="str">
        <f>IFERROR(__xludf.DUMMYFUNCTION("""COMPUTED_VALUE"""),"Yes")</f>
        <v>Yes</v>
      </c>
      <c r="AG36" s="5" t="str">
        <f>IFERROR(__xludf.DUMMYFUNCTION("""COMPUTED_VALUE"""),"Yes")</f>
        <v>Yes</v>
      </c>
      <c r="AH36" s="5" t="str">
        <f>IFERROR(__xludf.DUMMYFUNCTION("""COMPUTED_VALUE"""),"Yes")</f>
        <v>Yes</v>
      </c>
      <c r="AI36" s="5" t="str">
        <f>IFERROR(__xludf.DUMMYFUNCTION("""COMPUTED_VALUE"""),"Yes")</f>
        <v>Yes</v>
      </c>
      <c r="AJ36" s="5" t="str">
        <f>IFERROR(__xludf.DUMMYFUNCTION("""COMPUTED_VALUE"""),"Yes")</f>
        <v>Yes</v>
      </c>
      <c r="AK36" s="5" t="str">
        <f>IFERROR(__xludf.DUMMYFUNCTION("""COMPUTED_VALUE"""),"Yes")</f>
        <v>Yes</v>
      </c>
      <c r="AL36" s="5" t="str">
        <f>IFERROR(__xludf.DUMMYFUNCTION("""COMPUTED_VALUE"""),"Yes")</f>
        <v>Yes</v>
      </c>
      <c r="AM36" s="5" t="str">
        <f>IFERROR(__xludf.DUMMYFUNCTION("""COMPUTED_VALUE"""),"Yes")</f>
        <v>Yes</v>
      </c>
      <c r="AN36" s="5" t="str">
        <f>IFERROR(__xludf.DUMMYFUNCTION("""COMPUTED_VALUE"""),"Yes")</f>
        <v>Yes</v>
      </c>
      <c r="AO36" s="5" t="str">
        <f>IFERROR(__xludf.DUMMYFUNCTION("""COMPUTED_VALUE"""),"Yes")</f>
        <v>Yes</v>
      </c>
      <c r="AP36" s="5" t="str">
        <f>IFERROR(__xludf.DUMMYFUNCTION("""COMPUTED_VALUE"""),"Yes")</f>
        <v>Yes</v>
      </c>
      <c r="AQ36" s="5" t="str">
        <f>IFERROR(__xludf.DUMMYFUNCTION("""COMPUTED_VALUE"""),"Yes")</f>
        <v>Yes</v>
      </c>
      <c r="AR36" s="5" t="str">
        <f>IFERROR(__xludf.DUMMYFUNCTION("""COMPUTED_VALUE"""),"Yes")</f>
        <v>Yes</v>
      </c>
      <c r="AS36" s="5" t="str">
        <f>IFERROR(__xludf.DUMMYFUNCTION("""COMPUTED_VALUE"""),"Yes")</f>
        <v>Yes</v>
      </c>
      <c r="AT36" s="5"/>
      <c r="AU36" s="5"/>
      <c r="AV36" s="5" t="str">
        <f>IFERROR(__xludf.DUMMYFUNCTION("""COMPUTED_VALUE"""),"")</f>
        <v/>
      </c>
    </row>
    <row r="37">
      <c r="A37" s="5" t="str">
        <f>IFERROR(__xludf.DUMMYFUNCTION("""COMPUTED_VALUE"""),"Tiptop")</f>
        <v>Tiptop</v>
      </c>
      <c r="B37" s="5" t="str">
        <f>IFERROR(__xludf.DUMMYFUNCTION("""COMPUTED_VALUE"""),"5 Hot Strike")</f>
        <v>5 Hot Strike</v>
      </c>
      <c r="C37" s="5" t="str">
        <f>IFERROR(__xludf.DUMMYFUNCTION("""COMPUTED_VALUE"""),"Unicorn5HotStrike")</f>
        <v>Unicorn5HotStrike</v>
      </c>
      <c r="D37" s="6">
        <f>IFERROR(__xludf.DUMMYFUNCTION("""COMPUTED_VALUE"""),45090.0)</f>
        <v>45090</v>
      </c>
      <c r="E37" s="5" t="str">
        <f>IFERROR(__xludf.DUMMYFUNCTION("""COMPUTED_VALUE"""),"Slot")</f>
        <v>Slot</v>
      </c>
      <c r="F37" s="5">
        <f>IFERROR(__xludf.DUMMYFUNCTION("""COMPUTED_VALUE"""),12.3)</f>
        <v>12.3</v>
      </c>
      <c r="G37" s="5" t="str">
        <f>IFERROR(__xludf.DUMMYFUNCTION("""COMPUTED_VALUE"""),"5X3")</f>
        <v>5X3</v>
      </c>
      <c r="H37" s="5" t="str">
        <f>IFERROR(__xludf.DUMMYFUNCTION("""COMPUTED_VALUE"""),"5")</f>
        <v>5</v>
      </c>
      <c r="I37" s="5" t="str">
        <f>IFERROR(__xludf.DUMMYFUNCTION("""COMPUTED_VALUE"""),"5")</f>
        <v>5</v>
      </c>
      <c r="J37" s="5" t="str">
        <f>IFERROR(__xludf.DUMMYFUNCTION("""COMPUTED_VALUE"""),"96%")</f>
        <v>96%</v>
      </c>
      <c r="K37" s="5" t="str">
        <f>IFERROR(__xludf.DUMMYFUNCTION("""COMPUTED_VALUE"""),"Low")</f>
        <v>Low</v>
      </c>
      <c r="L37" s="5" t="str">
        <f>IFERROR(__xludf.DUMMYFUNCTION("""COMPUTED_VALUE"""),"11.41%")</f>
        <v>11.41%</v>
      </c>
      <c r="M37" s="5" t="str">
        <f>IFERROR(__xludf.DUMMYFUNCTION("""COMPUTED_VALUE"""),"x2000")</f>
        <v>x2000</v>
      </c>
      <c r="N37" s="5" t="str">
        <f>IFERROR(__xludf.DUMMYFUNCTION("""COMPUTED_VALUE"""),"0.05/100")</f>
        <v>0.05/100</v>
      </c>
      <c r="O37" s="5" t="str">
        <f>IFERROR(__xludf.DUMMYFUNCTION("""COMPUTED_VALUE"""),"No")</f>
        <v>No</v>
      </c>
      <c r="P37" s="5" t="str">
        <f>IFERROR(__xludf.DUMMYFUNCTION("""COMPUTED_VALUE"""),"Wild Symbol, Scatter, Wild Multiplier")</f>
        <v>Wild Symbol, Scatter, Wild Multiplier</v>
      </c>
      <c r="Q37" s="7" t="str">
        <f>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R37" s="5" t="str">
        <f>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S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IFERROR(__xludf.DUMMYFUNCTION("""COMPUTED_VALUE"""),"Yes")</f>
        <v>Yes</v>
      </c>
      <c r="AD37" s="5" t="str">
        <f>IFERROR(__xludf.DUMMYFUNCTION("""COMPUTED_VALUE"""),"Yes")</f>
        <v>Yes</v>
      </c>
      <c r="AE37" s="5" t="str">
        <f>IFERROR(__xludf.DUMMYFUNCTION("""COMPUTED_VALUE"""),"Yes")</f>
        <v>Yes</v>
      </c>
      <c r="AF37" s="5" t="str">
        <f>IFERROR(__xludf.DUMMYFUNCTION("""COMPUTED_VALUE"""),"Yes")</f>
        <v>Yes</v>
      </c>
      <c r="AG37" s="5" t="str">
        <f>IFERROR(__xludf.DUMMYFUNCTION("""COMPUTED_VALUE"""),"Yes")</f>
        <v>Yes</v>
      </c>
      <c r="AH37" s="5" t="str">
        <f>IFERROR(__xludf.DUMMYFUNCTION("""COMPUTED_VALUE"""),"Yes")</f>
        <v>Yes</v>
      </c>
      <c r="AI37" s="5" t="str">
        <f>IFERROR(__xludf.DUMMYFUNCTION("""COMPUTED_VALUE"""),"Yes")</f>
        <v>Yes</v>
      </c>
      <c r="AJ37" s="5" t="str">
        <f>IFERROR(__xludf.DUMMYFUNCTION("""COMPUTED_VALUE"""),"Yes")</f>
        <v>Yes</v>
      </c>
      <c r="AK37" s="5" t="str">
        <f>IFERROR(__xludf.DUMMYFUNCTION("""COMPUTED_VALUE"""),"Yes")</f>
        <v>Yes</v>
      </c>
      <c r="AL37" s="5" t="str">
        <f>IFERROR(__xludf.DUMMYFUNCTION("""COMPUTED_VALUE"""),"Yes")</f>
        <v>Yes</v>
      </c>
      <c r="AM37" s="5" t="str">
        <f>IFERROR(__xludf.DUMMYFUNCTION("""COMPUTED_VALUE"""),"Yes")</f>
        <v>Yes</v>
      </c>
      <c r="AN37" s="5"/>
      <c r="AO37" s="5"/>
      <c r="AP37" s="5"/>
      <c r="AQ37" s="5" t="str">
        <f>IFERROR(__xludf.DUMMYFUNCTION("""COMPUTED_VALUE"""),"Yes")</f>
        <v>Yes</v>
      </c>
      <c r="AR37" s="5"/>
      <c r="AS37" s="5"/>
      <c r="AT37" s="5"/>
      <c r="AU37" s="5"/>
      <c r="AV37" s="5" t="str">
        <f>IFERROR(__xludf.DUMMYFUNCTION("""COMPUTED_VALUE"""),"")</f>
        <v/>
      </c>
    </row>
    <row r="38">
      <c r="A38" s="5" t="str">
        <f>IFERROR(__xludf.DUMMYFUNCTION("""COMPUTED_VALUE"""),"Tiptop")</f>
        <v>Tiptop</v>
      </c>
      <c r="B38" s="5" t="str">
        <f>IFERROR(__xludf.DUMMYFUNCTION("""COMPUTED_VALUE"""),"Bikini Fruits")</f>
        <v>Bikini Fruits</v>
      </c>
      <c r="C38" s="5" t="str">
        <f>IFERROR(__xludf.DUMMYFUNCTION("""COMPUTED_VALUE"""),"UnicornBikiniFruits")</f>
        <v>UnicornBikiniFruits</v>
      </c>
      <c r="D38" s="6">
        <f>IFERROR(__xludf.DUMMYFUNCTION("""COMPUTED_VALUE"""),45106.0)</f>
        <v>45106</v>
      </c>
      <c r="E38" s="5" t="str">
        <f>IFERROR(__xludf.DUMMYFUNCTION("""COMPUTED_VALUE"""),"Slot")</f>
        <v>Slot</v>
      </c>
      <c r="F38" s="5">
        <f>IFERROR(__xludf.DUMMYFUNCTION("""COMPUTED_VALUE"""),13.8)</f>
        <v>13.8</v>
      </c>
      <c r="G38" s="5" t="str">
        <f>IFERROR(__xludf.DUMMYFUNCTION("""COMPUTED_VALUE"""),"5X3")</f>
        <v>5X3</v>
      </c>
      <c r="H38" s="5" t="str">
        <f>IFERROR(__xludf.DUMMYFUNCTION("""COMPUTED_VALUE"""),"10")</f>
        <v>10</v>
      </c>
      <c r="I38" s="5" t="str">
        <f>IFERROR(__xludf.DUMMYFUNCTION("""COMPUTED_VALUE"""),"10")</f>
        <v>10</v>
      </c>
      <c r="J38" s="5" t="str">
        <f>IFERROR(__xludf.DUMMYFUNCTION("""COMPUTED_VALUE"""),"96%")</f>
        <v>96%</v>
      </c>
      <c r="K38" s="5" t="str">
        <f>IFERROR(__xludf.DUMMYFUNCTION("""COMPUTED_VALUE"""),"High")</f>
        <v>High</v>
      </c>
      <c r="L38" s="5" t="str">
        <f>IFERROR(__xludf.DUMMYFUNCTION("""COMPUTED_VALUE"""),"36.03%")</f>
        <v>36.03%</v>
      </c>
      <c r="M38" s="5" t="str">
        <f>IFERROR(__xludf.DUMMYFUNCTION("""COMPUTED_VALUE"""),"x5000")</f>
        <v>x5000</v>
      </c>
      <c r="N38" s="5" t="str">
        <f>IFERROR(__xludf.DUMMYFUNCTION("""COMPUTED_VALUE"""),"0.1/100")</f>
        <v>0.1/100</v>
      </c>
      <c r="O38" s="5" t="str">
        <f>IFERROR(__xludf.DUMMYFUNCTION("""COMPUTED_VALUE"""),"No")</f>
        <v>No</v>
      </c>
      <c r="P38" s="5" t="str">
        <f>IFERROR(__xludf.DUMMYFUNCTION("""COMPUTED_VALUE"""),"Bonus Game with Multiplier, Wild Symbol")</f>
        <v>Bonus Game with Multiplier, Wild Symbol</v>
      </c>
      <c r="Q38" s="7" t="str">
        <f>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R38" s="5" t="str">
        <f>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S3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38" s="5" t="str">
        <f>IFERROR(__xludf.DUMMYFUNCTION("""COMPUTED_VALUE"""),"Yes")</f>
        <v>Yes</v>
      </c>
      <c r="U38" s="5" t="str">
        <f>IFERROR(__xludf.DUMMYFUNCTION("""COMPUTED_VALUE"""),"Yes")</f>
        <v>Yes</v>
      </c>
      <c r="V38" s="5" t="str">
        <f>IFERROR(__xludf.DUMMYFUNCTION("""COMPUTED_VALUE"""),"Yes")</f>
        <v>Yes</v>
      </c>
      <c r="W38" s="5" t="str">
        <f>IFERROR(__xludf.DUMMYFUNCTION("""COMPUTED_VALUE"""),"No")</f>
        <v>No</v>
      </c>
      <c r="X38" s="5" t="str">
        <f>IFERROR(__xludf.DUMMYFUNCTION("""COMPUTED_VALUE"""),"No")</f>
        <v>No</v>
      </c>
      <c r="Y38" s="5" t="str">
        <f>IFERROR(__xludf.DUMMYFUNCTION("""COMPUTED_VALUE"""),"No")</f>
        <v>No</v>
      </c>
      <c r="Z38" s="5" t="str">
        <f>IFERROR(__xludf.DUMMYFUNCTION("""COMPUTED_VALUE"""),"No")</f>
        <v>No</v>
      </c>
      <c r="AA38" s="5" t="str">
        <f>IFERROR(__xludf.DUMMYFUNCTION("""COMPUTED_VALUE"""),"No")</f>
        <v>No</v>
      </c>
      <c r="AB38" s="5" t="str">
        <f>IFERROR(__xludf.DUMMYFUNCTION("""COMPUTED_VALUE"""),"Yes")</f>
        <v>Yes</v>
      </c>
      <c r="AC38" s="5" t="str">
        <f>IFERROR(__xludf.DUMMYFUNCTION("""COMPUTED_VALUE"""),"Yes")</f>
        <v>Yes</v>
      </c>
      <c r="AD38" s="5" t="str">
        <f>IFERROR(__xludf.DUMMYFUNCTION("""COMPUTED_VALUE"""),"Yes")</f>
        <v>Yes</v>
      </c>
      <c r="AE38" s="5" t="str">
        <f>IFERROR(__xludf.DUMMYFUNCTION("""COMPUTED_VALUE"""),"Yes")</f>
        <v>Yes</v>
      </c>
      <c r="AF38" s="5" t="str">
        <f>IFERROR(__xludf.DUMMYFUNCTION("""COMPUTED_VALUE"""),"Yes")</f>
        <v>Yes</v>
      </c>
      <c r="AG38" s="5" t="str">
        <f>IFERROR(__xludf.DUMMYFUNCTION("""COMPUTED_VALUE"""),"No")</f>
        <v>No</v>
      </c>
      <c r="AH38" s="5" t="str">
        <f>IFERROR(__xludf.DUMMYFUNCTION("""COMPUTED_VALUE"""),"Yes")</f>
        <v>Yes</v>
      </c>
      <c r="AI38" s="5" t="str">
        <f>IFERROR(__xludf.DUMMYFUNCTION("""COMPUTED_VALUE"""),"No")</f>
        <v>No</v>
      </c>
      <c r="AJ38" s="5" t="str">
        <f>IFERROR(__xludf.DUMMYFUNCTION("""COMPUTED_VALUE"""),"No")</f>
        <v>No</v>
      </c>
      <c r="AK38" s="5" t="str">
        <f>IFERROR(__xludf.DUMMYFUNCTION("""COMPUTED_VALUE"""),"No")</f>
        <v>No</v>
      </c>
      <c r="AL38" s="5" t="str">
        <f>IFERROR(__xludf.DUMMYFUNCTION("""COMPUTED_VALUE"""),"No")</f>
        <v>No</v>
      </c>
      <c r="AM38" s="5" t="str">
        <f>IFERROR(__xludf.DUMMYFUNCTION("""COMPUTED_VALUE"""),"No")</f>
        <v>No</v>
      </c>
      <c r="AN38" s="5"/>
      <c r="AO38" s="5"/>
      <c r="AP38" s="5"/>
      <c r="AQ38" s="5" t="str">
        <f>IFERROR(__xludf.DUMMYFUNCTION("""COMPUTED_VALUE"""),"No")</f>
        <v>No</v>
      </c>
      <c r="AR38" s="5"/>
      <c r="AS38" s="5"/>
      <c r="AT38" s="5"/>
      <c r="AU38" s="5"/>
      <c r="AV38" s="5" t="str">
        <f>IFERROR(__xludf.DUMMYFUNCTION("""COMPUTED_VALUE"""),"")</f>
        <v/>
      </c>
    </row>
    <row r="39">
      <c r="A39" s="5" t="str">
        <f>IFERROR(__xludf.DUMMYFUNCTION("""COMPUTED_VALUE"""),"Tiptop")</f>
        <v>Tiptop</v>
      </c>
      <c r="B39" s="5" t="str">
        <f>IFERROR(__xludf.DUMMYFUNCTION("""COMPUTED_VALUE"""),"Fire Stars")</f>
        <v>Fire Stars</v>
      </c>
      <c r="C39" s="5" t="str">
        <f>IFERROR(__xludf.DUMMYFUNCTION("""COMPUTED_VALUE"""),"UnicornFireStars")</f>
        <v>UnicornFireStars</v>
      </c>
      <c r="D39" s="6">
        <f>IFERROR(__xludf.DUMMYFUNCTION("""COMPUTED_VALUE"""),45120.0)</f>
        <v>45120</v>
      </c>
      <c r="E39" s="5" t="str">
        <f>IFERROR(__xludf.DUMMYFUNCTION("""COMPUTED_VALUE"""),"Slot")</f>
        <v>Slot</v>
      </c>
      <c r="F39" s="5">
        <f>IFERROR(__xludf.DUMMYFUNCTION("""COMPUTED_VALUE"""),12.3)</f>
        <v>12.3</v>
      </c>
      <c r="G39" s="5" t="str">
        <f>IFERROR(__xludf.DUMMYFUNCTION("""COMPUTED_VALUE"""),"5X4")</f>
        <v>5X4</v>
      </c>
      <c r="H39" s="5" t="str">
        <f>IFERROR(__xludf.DUMMYFUNCTION("""COMPUTED_VALUE"""),"40")</f>
        <v>40</v>
      </c>
      <c r="I39" s="5" t="str">
        <f>IFERROR(__xludf.DUMMYFUNCTION("""COMPUTED_VALUE"""),"40")</f>
        <v>40</v>
      </c>
      <c r="J39" s="5" t="str">
        <f>IFERROR(__xludf.DUMMYFUNCTION("""COMPUTED_VALUE"""),"96%")</f>
        <v>96%</v>
      </c>
      <c r="K39" s="5" t="str">
        <f>IFERROR(__xludf.DUMMYFUNCTION("""COMPUTED_VALUE"""),"Medium")</f>
        <v>Medium</v>
      </c>
      <c r="L39" s="5" t="str">
        <f>IFERROR(__xludf.DUMMYFUNCTION("""COMPUTED_VALUE"""),"17.3%")</f>
        <v>17.3%</v>
      </c>
      <c r="M39" s="5" t="str">
        <f>IFERROR(__xludf.DUMMYFUNCTION("""COMPUTED_VALUE"""),"x5000")</f>
        <v>x5000</v>
      </c>
      <c r="N39" s="5" t="str">
        <f>IFERROR(__xludf.DUMMYFUNCTION("""COMPUTED_VALUE"""),"0.4/100")</f>
        <v>0.4/100</v>
      </c>
      <c r="O39" s="5" t="str">
        <f>IFERROR(__xludf.DUMMYFUNCTION("""COMPUTED_VALUE"""),"No")</f>
        <v>No</v>
      </c>
      <c r="P39" s="5" t="str">
        <f>IFERROR(__xludf.DUMMYFUNCTION("""COMPUTED_VALUE"""),"Scatter")</f>
        <v>Scatter</v>
      </c>
      <c r="Q39" s="7" t="str">
        <f>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R39" s="5" t="str">
        <f>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S39" s="5" t="str">
        <f>IFERROR(__xludf.DUMMYFUNCTION("""COMPUTED_VALUE"""),"English(""eng"")")</f>
        <v>English("eng")</v>
      </c>
      <c r="T39" s="5" t="str">
        <f>IFERROR(__xludf.DUMMYFUNCTION("""COMPUTED_VALUE"""),"Yes")</f>
        <v>Yes</v>
      </c>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t="str">
        <f>IFERROR(__xludf.DUMMYFUNCTION("""COMPUTED_VALUE"""),"")</f>
        <v/>
      </c>
    </row>
    <row r="40">
      <c r="A40" s="5" t="str">
        <f>IFERROR(__xludf.DUMMYFUNCTION("""COMPUTED_VALUE"""),"Tiptop")</f>
        <v>Tiptop</v>
      </c>
      <c r="B40" s="5" t="str">
        <f>IFERROR(__xludf.DUMMYFUNCTION("""COMPUTED_VALUE"""),"20 Hot Strike Dice")</f>
        <v>20 Hot Strike Dice</v>
      </c>
      <c r="C40" s="5" t="str">
        <f>IFERROR(__xludf.DUMMYFUNCTION("""COMPUTED_VALUE"""),"Unicorn20HotStrikeDice")</f>
        <v>Unicorn20HotStrikeDice</v>
      </c>
      <c r="D40" s="6">
        <f>IFERROR(__xludf.DUMMYFUNCTION("""COMPUTED_VALUE"""),45134.0)</f>
        <v>45134</v>
      </c>
      <c r="E40" s="5" t="str">
        <f>IFERROR(__xludf.DUMMYFUNCTION("""COMPUTED_VALUE"""),"Dice Slots")</f>
        <v>Dice Slots</v>
      </c>
      <c r="F40" s="5">
        <f>IFERROR(__xludf.DUMMYFUNCTION("""COMPUTED_VALUE"""),11.4)</f>
        <v>11.4</v>
      </c>
      <c r="G40" s="5" t="str">
        <f>IFERROR(__xludf.DUMMYFUNCTION("""COMPUTED_VALUE"""),"5X3")</f>
        <v>5X3</v>
      </c>
      <c r="H40" s="5" t="str">
        <f>IFERROR(__xludf.DUMMYFUNCTION("""COMPUTED_VALUE"""),"20")</f>
        <v>20</v>
      </c>
      <c r="I40" s="5" t="str">
        <f>IFERROR(__xludf.DUMMYFUNCTION("""COMPUTED_VALUE"""),"20")</f>
        <v>20</v>
      </c>
      <c r="J40" s="5" t="str">
        <f>IFERROR(__xludf.DUMMYFUNCTION("""COMPUTED_VALUE"""),"96%")</f>
        <v>96%</v>
      </c>
      <c r="K40" s="5" t="str">
        <f>IFERROR(__xludf.DUMMYFUNCTION("""COMPUTED_VALUE"""),"Low")</f>
        <v>Low</v>
      </c>
      <c r="L40" s="5" t="str">
        <f>IFERROR(__xludf.DUMMYFUNCTION("""COMPUTED_VALUE"""),"14.62%")</f>
        <v>14.62%</v>
      </c>
      <c r="M40" s="5" t="str">
        <f>IFERROR(__xludf.DUMMYFUNCTION("""COMPUTED_VALUE"""),"x800")</f>
        <v>x800</v>
      </c>
      <c r="N40" s="5" t="str">
        <f>IFERROR(__xludf.DUMMYFUNCTION("""COMPUTED_VALUE"""),"0.2/100")</f>
        <v>0.2/100</v>
      </c>
      <c r="O40" s="5" t="str">
        <f>IFERROR(__xludf.DUMMYFUNCTION("""COMPUTED_VALUE"""),"No")</f>
        <v>No</v>
      </c>
      <c r="P40" s="5" t="str">
        <f>IFERROR(__xludf.DUMMYFUNCTION("""COMPUTED_VALUE"""),"Wild Symbol, Scatter")</f>
        <v>Wild Symbol, Scatter</v>
      </c>
      <c r="Q40" s="7" t="str">
        <f>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R40" s="5" t="str">
        <f>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S4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0" s="5" t="str">
        <f>IFERROR(__xludf.DUMMYFUNCTION("""COMPUTED_VALUE"""),"Yes")</f>
        <v>Yes</v>
      </c>
      <c r="U40" s="5" t="str">
        <f>IFERROR(__xludf.DUMMYFUNCTION("""COMPUTED_VALUE"""),"Yes")</f>
        <v>Yes</v>
      </c>
      <c r="V40" s="5" t="str">
        <f>IFERROR(__xludf.DUMMYFUNCTION("""COMPUTED_VALUE"""),"Yes")</f>
        <v>Yes</v>
      </c>
      <c r="W40" s="5" t="str">
        <f>IFERROR(__xludf.DUMMYFUNCTION("""COMPUTED_VALUE"""),"No")</f>
        <v>No</v>
      </c>
      <c r="X40" s="5" t="str">
        <f>IFERROR(__xludf.DUMMYFUNCTION("""COMPUTED_VALUE"""),"No")</f>
        <v>No</v>
      </c>
      <c r="Y40" s="5" t="str">
        <f>IFERROR(__xludf.DUMMYFUNCTION("""COMPUTED_VALUE"""),"No")</f>
        <v>No</v>
      </c>
      <c r="Z40" s="5" t="str">
        <f>IFERROR(__xludf.DUMMYFUNCTION("""COMPUTED_VALUE"""),"No")</f>
        <v>No</v>
      </c>
      <c r="AA40" s="5" t="str">
        <f>IFERROR(__xludf.DUMMYFUNCTION("""COMPUTED_VALUE"""),"No")</f>
        <v>No</v>
      </c>
      <c r="AB40" s="5" t="str">
        <f>IFERROR(__xludf.DUMMYFUNCTION("""COMPUTED_VALUE"""),"Yes")</f>
        <v>Yes</v>
      </c>
      <c r="AC40" s="5" t="str">
        <f>IFERROR(__xludf.DUMMYFUNCTION("""COMPUTED_VALUE"""),"Yes")</f>
        <v>Yes</v>
      </c>
      <c r="AD40" s="5" t="str">
        <f>IFERROR(__xludf.DUMMYFUNCTION("""COMPUTED_VALUE"""),"Yes")</f>
        <v>Yes</v>
      </c>
      <c r="AE40" s="5" t="str">
        <f>IFERROR(__xludf.DUMMYFUNCTION("""COMPUTED_VALUE"""),"Yes")</f>
        <v>Yes</v>
      </c>
      <c r="AF40" s="5" t="str">
        <f>IFERROR(__xludf.DUMMYFUNCTION("""COMPUTED_VALUE"""),"Yes")</f>
        <v>Yes</v>
      </c>
      <c r="AG40" s="5" t="str">
        <f>IFERROR(__xludf.DUMMYFUNCTION("""COMPUTED_VALUE"""),"No")</f>
        <v>No</v>
      </c>
      <c r="AH40" s="5" t="str">
        <f>IFERROR(__xludf.DUMMYFUNCTION("""COMPUTED_VALUE"""),"Yes")</f>
        <v>Yes</v>
      </c>
      <c r="AI40" s="5" t="str">
        <f>IFERROR(__xludf.DUMMYFUNCTION("""COMPUTED_VALUE"""),"No")</f>
        <v>No</v>
      </c>
      <c r="AJ40" s="5" t="str">
        <f>IFERROR(__xludf.DUMMYFUNCTION("""COMPUTED_VALUE"""),"No")</f>
        <v>No</v>
      </c>
      <c r="AK40" s="5" t="str">
        <f>IFERROR(__xludf.DUMMYFUNCTION("""COMPUTED_VALUE"""),"No")</f>
        <v>No</v>
      </c>
      <c r="AL40" s="5" t="str">
        <f>IFERROR(__xludf.DUMMYFUNCTION("""COMPUTED_VALUE"""),"No")</f>
        <v>No</v>
      </c>
      <c r="AM40" s="5"/>
      <c r="AN40" s="5"/>
      <c r="AO40" s="5"/>
      <c r="AP40" s="5"/>
      <c r="AQ40" s="5" t="str">
        <f>IFERROR(__xludf.DUMMYFUNCTION("""COMPUTED_VALUE"""),"No")</f>
        <v>No</v>
      </c>
      <c r="AR40" s="5"/>
      <c r="AS40" s="5"/>
      <c r="AT40" s="5"/>
      <c r="AU40" s="5"/>
      <c r="AV40" s="5" t="str">
        <f>IFERROR(__xludf.DUMMYFUNCTION("""COMPUTED_VALUE"""),"")</f>
        <v/>
      </c>
    </row>
    <row r="41">
      <c r="A41" s="5" t="str">
        <f>IFERROR(__xludf.DUMMYFUNCTION("""COMPUTED_VALUE"""),"Tiptop")</f>
        <v>Tiptop</v>
      </c>
      <c r="B41" s="5" t="str">
        <f>IFERROR(__xludf.DUMMYFUNCTION("""COMPUTED_VALUE"""),"Bikini Dice")</f>
        <v>Bikini Dice</v>
      </c>
      <c r="C41" s="5" t="str">
        <f>IFERROR(__xludf.DUMMYFUNCTION("""COMPUTED_VALUE"""),"UnicornBikiniDice")</f>
        <v>UnicornBikiniDice</v>
      </c>
      <c r="D41" s="6">
        <f>IFERROR(__xludf.DUMMYFUNCTION("""COMPUTED_VALUE"""),45162.0)</f>
        <v>45162</v>
      </c>
      <c r="E41" s="5" t="str">
        <f>IFERROR(__xludf.DUMMYFUNCTION("""COMPUTED_VALUE"""),"Dice Slots")</f>
        <v>Dice Slots</v>
      </c>
      <c r="F41" s="5">
        <f>IFERROR(__xludf.DUMMYFUNCTION("""COMPUTED_VALUE"""),13.7)</f>
        <v>13.7</v>
      </c>
      <c r="G41" s="5" t="str">
        <f>IFERROR(__xludf.DUMMYFUNCTION("""COMPUTED_VALUE"""),"5X3")</f>
        <v>5X3</v>
      </c>
      <c r="H41" s="5" t="str">
        <f>IFERROR(__xludf.DUMMYFUNCTION("""COMPUTED_VALUE"""),"10")</f>
        <v>10</v>
      </c>
      <c r="I41" s="5" t="str">
        <f>IFERROR(__xludf.DUMMYFUNCTION("""COMPUTED_VALUE"""),"10")</f>
        <v>10</v>
      </c>
      <c r="J41" s="5" t="str">
        <f>IFERROR(__xludf.DUMMYFUNCTION("""COMPUTED_VALUE"""),"96%")</f>
        <v>96%</v>
      </c>
      <c r="K41" s="5" t="str">
        <f>IFERROR(__xludf.DUMMYFUNCTION("""COMPUTED_VALUE"""),"High")</f>
        <v>High</v>
      </c>
      <c r="L41" s="5" t="str">
        <f>IFERROR(__xludf.DUMMYFUNCTION("""COMPUTED_VALUE"""),"36.03%")</f>
        <v>36.03%</v>
      </c>
      <c r="M41" s="5" t="str">
        <f>IFERROR(__xludf.DUMMYFUNCTION("""COMPUTED_VALUE"""),"x5000")</f>
        <v>x5000</v>
      </c>
      <c r="N41" s="5" t="str">
        <f>IFERROR(__xludf.DUMMYFUNCTION("""COMPUTED_VALUE"""),"0.1/100")</f>
        <v>0.1/100</v>
      </c>
      <c r="O41" s="5" t="str">
        <f>IFERROR(__xludf.DUMMYFUNCTION("""COMPUTED_VALUE"""),"No")</f>
        <v>No</v>
      </c>
      <c r="P41" s="5" t="str">
        <f>IFERROR(__xludf.DUMMYFUNCTION("""COMPUTED_VALUE"""),"Bonus Game with Multiplier, TipTop Feature - Bikini Dice")</f>
        <v>Bonus Game with Multiplier, TipTop Feature - Bikini Dice</v>
      </c>
      <c r="Q41" s="7" t="str">
        <f>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R41" s="5" t="str">
        <f>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S4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1" s="5" t="str">
        <f>IFERROR(__xludf.DUMMYFUNCTION("""COMPUTED_VALUE"""),"Yes")</f>
        <v>Yes</v>
      </c>
      <c r="U41" s="5" t="str">
        <f>IFERROR(__xludf.DUMMYFUNCTION("""COMPUTED_VALUE"""),"Yes")</f>
        <v>Yes</v>
      </c>
      <c r="V41" s="5" t="str">
        <f>IFERROR(__xludf.DUMMYFUNCTION("""COMPUTED_VALUE"""),"Yes")</f>
        <v>Yes</v>
      </c>
      <c r="W41" s="5" t="str">
        <f>IFERROR(__xludf.DUMMYFUNCTION("""COMPUTED_VALUE"""),"No")</f>
        <v>No</v>
      </c>
      <c r="X41" s="5" t="str">
        <f>IFERROR(__xludf.DUMMYFUNCTION("""COMPUTED_VALUE"""),"No")</f>
        <v>No</v>
      </c>
      <c r="Y41" s="5" t="str">
        <f>IFERROR(__xludf.DUMMYFUNCTION("""COMPUTED_VALUE"""),"No")</f>
        <v>No</v>
      </c>
      <c r="Z41" s="5" t="str">
        <f>IFERROR(__xludf.DUMMYFUNCTION("""COMPUTED_VALUE"""),"No")</f>
        <v>No</v>
      </c>
      <c r="AA41" s="5" t="str">
        <f>IFERROR(__xludf.DUMMYFUNCTION("""COMPUTED_VALUE"""),"No")</f>
        <v>No</v>
      </c>
      <c r="AB41" s="5" t="str">
        <f>IFERROR(__xludf.DUMMYFUNCTION("""COMPUTED_VALUE"""),"Yes")</f>
        <v>Yes</v>
      </c>
      <c r="AC41" s="5" t="str">
        <f>IFERROR(__xludf.DUMMYFUNCTION("""COMPUTED_VALUE"""),"Yes")</f>
        <v>Yes</v>
      </c>
      <c r="AD41" s="5" t="str">
        <f>IFERROR(__xludf.DUMMYFUNCTION("""COMPUTED_VALUE"""),"Yes")</f>
        <v>Yes</v>
      </c>
      <c r="AE41" s="5" t="str">
        <f>IFERROR(__xludf.DUMMYFUNCTION("""COMPUTED_VALUE"""),"Yes")</f>
        <v>Yes</v>
      </c>
      <c r="AF41" s="5" t="str">
        <f>IFERROR(__xludf.DUMMYFUNCTION("""COMPUTED_VALUE"""),"Yes")</f>
        <v>Yes</v>
      </c>
      <c r="AG41" s="5" t="str">
        <f>IFERROR(__xludf.DUMMYFUNCTION("""COMPUTED_VALUE"""),"No")</f>
        <v>No</v>
      </c>
      <c r="AH41" s="5" t="str">
        <f>IFERROR(__xludf.DUMMYFUNCTION("""COMPUTED_VALUE"""),"Yes")</f>
        <v>Yes</v>
      </c>
      <c r="AI41" s="5" t="str">
        <f>IFERROR(__xludf.DUMMYFUNCTION("""COMPUTED_VALUE"""),"No")</f>
        <v>No</v>
      </c>
      <c r="AJ41" s="5" t="str">
        <f>IFERROR(__xludf.DUMMYFUNCTION("""COMPUTED_VALUE"""),"No")</f>
        <v>No</v>
      </c>
      <c r="AK41" s="5" t="str">
        <f>IFERROR(__xludf.DUMMYFUNCTION("""COMPUTED_VALUE"""),"No")</f>
        <v>No</v>
      </c>
      <c r="AL41" s="5" t="str">
        <f>IFERROR(__xludf.DUMMYFUNCTION("""COMPUTED_VALUE"""),"No")</f>
        <v>No</v>
      </c>
      <c r="AM41" s="5"/>
      <c r="AN41" s="5"/>
      <c r="AO41" s="5"/>
      <c r="AP41" s="5"/>
      <c r="AQ41" s="5" t="str">
        <f>IFERROR(__xludf.DUMMYFUNCTION("""COMPUTED_VALUE"""),"No")</f>
        <v>No</v>
      </c>
      <c r="AR41" s="5"/>
      <c r="AS41" s="5"/>
      <c r="AT41" s="5"/>
      <c r="AU41" s="5"/>
      <c r="AV41" s="5" t="str">
        <f>IFERROR(__xludf.DUMMYFUNCTION("""COMPUTED_VALUE"""),"")</f>
        <v/>
      </c>
    </row>
    <row r="42">
      <c r="A42" s="5" t="str">
        <f>IFERROR(__xludf.DUMMYFUNCTION("""COMPUTED_VALUE"""),"Tiptop")</f>
        <v>Tiptop</v>
      </c>
      <c r="B42" s="5" t="str">
        <f>IFERROR(__xludf.DUMMYFUNCTION("""COMPUTED_VALUE"""),"Simply Sevens")</f>
        <v>Simply Sevens</v>
      </c>
      <c r="C42" s="5" t="str">
        <f>IFERROR(__xludf.DUMMYFUNCTION("""COMPUTED_VALUE"""),"UnicornSimplySevens")</f>
        <v>UnicornSimplySevens</v>
      </c>
      <c r="D42" s="6">
        <f>IFERROR(__xludf.DUMMYFUNCTION("""COMPUTED_VALUE"""),45155.0)</f>
        <v>45155</v>
      </c>
      <c r="E42" s="5" t="str">
        <f>IFERROR(__xludf.DUMMYFUNCTION("""COMPUTED_VALUE"""),"Slot")</f>
        <v>Slot</v>
      </c>
      <c r="F42" s="5">
        <f>IFERROR(__xludf.DUMMYFUNCTION("""COMPUTED_VALUE"""),10.7)</f>
        <v>10.7</v>
      </c>
      <c r="G42" s="5" t="str">
        <f>IFERROR(__xludf.DUMMYFUNCTION("""COMPUTED_VALUE"""),"5X3")</f>
        <v>5X3</v>
      </c>
      <c r="H42" s="5" t="str">
        <f>IFERROR(__xludf.DUMMYFUNCTION("""COMPUTED_VALUE"""),"10")</f>
        <v>10</v>
      </c>
      <c r="I42" s="5" t="str">
        <f>IFERROR(__xludf.DUMMYFUNCTION("""COMPUTED_VALUE"""),"10")</f>
        <v>10</v>
      </c>
      <c r="J42" s="5" t="str">
        <f>IFERROR(__xludf.DUMMYFUNCTION("""COMPUTED_VALUE"""),"96%")</f>
        <v>96%</v>
      </c>
      <c r="K42" s="5" t="str">
        <f>IFERROR(__xludf.DUMMYFUNCTION("""COMPUTED_VALUE"""),"Low")</f>
        <v>Low</v>
      </c>
      <c r="L42" s="5" t="str">
        <f>IFERROR(__xludf.DUMMYFUNCTION("""COMPUTED_VALUE"""),"24.14%")</f>
        <v>24.14%</v>
      </c>
      <c r="M42" s="5" t="str">
        <f>IFERROR(__xludf.DUMMYFUNCTION("""COMPUTED_VALUE"""),"x10000")</f>
        <v>x10000</v>
      </c>
      <c r="N42" s="5" t="str">
        <f>IFERROR(__xludf.DUMMYFUNCTION("""COMPUTED_VALUE"""),"0.1/100")</f>
        <v>0.1/100</v>
      </c>
      <c r="O42" s="5" t="str">
        <f>IFERROR(__xludf.DUMMYFUNCTION("""COMPUTED_VALUE"""),"No")</f>
        <v>No</v>
      </c>
      <c r="P42" s="5" t="str">
        <f>IFERROR(__xludf.DUMMYFUNCTION("""COMPUTED_VALUE"""),"Scatter")</f>
        <v>Scatter</v>
      </c>
      <c r="Q42" s="7" t="str">
        <f>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R42" s="5" t="str">
        <f>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S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IFERROR(__xludf.DUMMYFUNCTION("""COMPUTED_VALUE"""),"Yes")</f>
        <v>Yes</v>
      </c>
      <c r="AD42" s="5" t="str">
        <f>IFERROR(__xludf.DUMMYFUNCTION("""COMPUTED_VALUE"""),"Yes")</f>
        <v>Yes</v>
      </c>
      <c r="AE42" s="5" t="str">
        <f>IFERROR(__xludf.DUMMYFUNCTION("""COMPUTED_VALUE"""),"Yes")</f>
        <v>Yes</v>
      </c>
      <c r="AF42" s="5" t="str">
        <f>IFERROR(__xludf.DUMMYFUNCTION("""COMPUTED_VALUE"""),"Yes")</f>
        <v>Yes</v>
      </c>
      <c r="AG42" s="5" t="str">
        <f>IFERROR(__xludf.DUMMYFUNCTION("""COMPUTED_VALUE"""),"Yes")</f>
        <v>Yes</v>
      </c>
      <c r="AH42" s="5" t="str">
        <f>IFERROR(__xludf.DUMMYFUNCTION("""COMPUTED_VALUE"""),"Yes")</f>
        <v>Yes</v>
      </c>
      <c r="AI42" s="5" t="str">
        <f>IFERROR(__xludf.DUMMYFUNCTION("""COMPUTED_VALUE"""),"Yes")</f>
        <v>Yes</v>
      </c>
      <c r="AJ42" s="5" t="str">
        <f>IFERROR(__xludf.DUMMYFUNCTION("""COMPUTED_VALUE"""),"Yes")</f>
        <v>Yes</v>
      </c>
      <c r="AK42" s="5" t="str">
        <f>IFERROR(__xludf.DUMMYFUNCTION("""COMPUTED_VALUE"""),"Yes")</f>
        <v>Yes</v>
      </c>
      <c r="AL42" s="5" t="str">
        <f>IFERROR(__xludf.DUMMYFUNCTION("""COMPUTED_VALUE"""),"Yes")</f>
        <v>Yes</v>
      </c>
      <c r="AM42" s="5"/>
      <c r="AN42" s="5" t="str">
        <f>IFERROR(__xludf.DUMMYFUNCTION("""COMPUTED_VALUE"""),"Yes")</f>
        <v>Yes</v>
      </c>
      <c r="AO42" s="5" t="str">
        <f>IFERROR(__xludf.DUMMYFUNCTION("""COMPUTED_VALUE"""),"Yes")</f>
        <v>Yes</v>
      </c>
      <c r="AP42" s="5" t="str">
        <f>IFERROR(__xludf.DUMMYFUNCTION("""COMPUTED_VALUE"""),"Yes")</f>
        <v>Yes</v>
      </c>
      <c r="AQ42" s="5" t="str">
        <f>IFERROR(__xludf.DUMMYFUNCTION("""COMPUTED_VALUE"""),"Yes")</f>
        <v>Yes</v>
      </c>
      <c r="AR42" s="5" t="str">
        <f>IFERROR(__xludf.DUMMYFUNCTION("""COMPUTED_VALUE"""),"Yes")</f>
        <v>Yes</v>
      </c>
      <c r="AS42" s="5" t="str">
        <f>IFERROR(__xludf.DUMMYFUNCTION("""COMPUTED_VALUE"""),"Yes")</f>
        <v>Yes</v>
      </c>
      <c r="AT42" s="5"/>
      <c r="AU42" s="5"/>
      <c r="AV42" s="5" t="str">
        <f>IFERROR(__xludf.DUMMYFUNCTION("""COMPUTED_VALUE"""),"")</f>
        <v/>
      </c>
    </row>
    <row r="43">
      <c r="A43" s="5" t="str">
        <f>IFERROR(__xludf.DUMMYFUNCTION("""COMPUTED_VALUE"""),"Tiptop")</f>
        <v>Tiptop</v>
      </c>
      <c r="B43" s="5" t="str">
        <f>IFERROR(__xludf.DUMMYFUNCTION("""COMPUTED_VALUE"""),"10 Jingle Fruits")</f>
        <v>10 Jingle Fruits</v>
      </c>
      <c r="C43" s="5" t="str">
        <f>IFERROR(__xludf.DUMMYFUNCTION("""COMPUTED_VALUE"""),"Unicorn10JingleFruits")</f>
        <v>Unicorn10JingleFruits</v>
      </c>
      <c r="D43" s="6">
        <f>IFERROR(__xludf.DUMMYFUNCTION("""COMPUTED_VALUE"""),45174.0)</f>
        <v>45174</v>
      </c>
      <c r="E43" s="5" t="str">
        <f>IFERROR(__xludf.DUMMYFUNCTION("""COMPUTED_VALUE"""),"Slot")</f>
        <v>Slot</v>
      </c>
      <c r="F43" s="5">
        <f>IFERROR(__xludf.DUMMYFUNCTION("""COMPUTED_VALUE"""),12.2)</f>
        <v>12.2</v>
      </c>
      <c r="G43" s="5" t="str">
        <f>IFERROR(__xludf.DUMMYFUNCTION("""COMPUTED_VALUE"""),"5X3")</f>
        <v>5X3</v>
      </c>
      <c r="H43" s="5" t="str">
        <f>IFERROR(__xludf.DUMMYFUNCTION("""COMPUTED_VALUE"""),"10")</f>
        <v>10</v>
      </c>
      <c r="I43" s="5" t="str">
        <f>IFERROR(__xludf.DUMMYFUNCTION("""COMPUTED_VALUE"""),"10")</f>
        <v>10</v>
      </c>
      <c r="J43" s="5" t="str">
        <f>IFERROR(__xludf.DUMMYFUNCTION("""COMPUTED_VALUE"""),"96%")</f>
        <v>96%</v>
      </c>
      <c r="K43" s="5" t="str">
        <f>IFERROR(__xludf.DUMMYFUNCTION("""COMPUTED_VALUE"""),"Low")</f>
        <v>Low</v>
      </c>
      <c r="L43" s="5" t="str">
        <f>IFERROR(__xludf.DUMMYFUNCTION("""COMPUTED_VALUE"""),"18.41%")</f>
        <v>18.41%</v>
      </c>
      <c r="M43" s="5" t="str">
        <f>IFERROR(__xludf.DUMMYFUNCTION("""COMPUTED_VALUE"""),"x1000")</f>
        <v>x1000</v>
      </c>
      <c r="N43" s="5" t="str">
        <f>IFERROR(__xludf.DUMMYFUNCTION("""COMPUTED_VALUE"""),"0.1/100")</f>
        <v>0.1/100</v>
      </c>
      <c r="O43" s="5" t="str">
        <f>IFERROR(__xludf.DUMMYFUNCTION("""COMPUTED_VALUE"""),"No")</f>
        <v>No</v>
      </c>
      <c r="P43" s="5" t="str">
        <f>IFERROR(__xludf.DUMMYFUNCTION("""COMPUTED_VALUE"""),"Scatter")</f>
        <v>Scatter</v>
      </c>
      <c r="Q43" s="7" t="str">
        <f>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R43" s="5" t="str">
        <f>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S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IFERROR(__xludf.DUMMYFUNCTION("""COMPUTED_VALUE"""),"Yes")</f>
        <v>Yes</v>
      </c>
      <c r="AD43" s="5" t="str">
        <f>IFERROR(__xludf.DUMMYFUNCTION("""COMPUTED_VALUE"""),"Yes")</f>
        <v>Yes</v>
      </c>
      <c r="AE43" s="5" t="str">
        <f>IFERROR(__xludf.DUMMYFUNCTION("""COMPUTED_VALUE"""),"Yes")</f>
        <v>Yes</v>
      </c>
      <c r="AF43" s="5" t="str">
        <f>IFERROR(__xludf.DUMMYFUNCTION("""COMPUTED_VALUE"""),"Yes")</f>
        <v>Yes</v>
      </c>
      <c r="AG43" s="5" t="str">
        <f>IFERROR(__xludf.DUMMYFUNCTION("""COMPUTED_VALUE"""),"Yes")</f>
        <v>Yes</v>
      </c>
      <c r="AH43" s="5" t="str">
        <f>IFERROR(__xludf.DUMMYFUNCTION("""COMPUTED_VALUE"""),"Yes")</f>
        <v>Yes</v>
      </c>
      <c r="AI43" s="5" t="str">
        <f>IFERROR(__xludf.DUMMYFUNCTION("""COMPUTED_VALUE"""),"Yes")</f>
        <v>Yes</v>
      </c>
      <c r="AJ43" s="5" t="str">
        <f>IFERROR(__xludf.DUMMYFUNCTION("""COMPUTED_VALUE"""),"Yes")</f>
        <v>Yes</v>
      </c>
      <c r="AK43" s="5" t="str">
        <f>IFERROR(__xludf.DUMMYFUNCTION("""COMPUTED_VALUE"""),"Yes")</f>
        <v>Yes</v>
      </c>
      <c r="AL43" s="5" t="str">
        <f>IFERROR(__xludf.DUMMYFUNCTION("""COMPUTED_VALUE"""),"Yes")</f>
        <v>Yes</v>
      </c>
      <c r="AM43" s="5"/>
      <c r="AN43" s="5" t="str">
        <f>IFERROR(__xludf.DUMMYFUNCTION("""COMPUTED_VALUE"""),"Yes")</f>
        <v>Yes</v>
      </c>
      <c r="AO43" s="5"/>
      <c r="AP43" s="5"/>
      <c r="AQ43" s="5" t="str">
        <f>IFERROR(__xludf.DUMMYFUNCTION("""COMPUTED_VALUE"""),"Yes")</f>
        <v>Yes</v>
      </c>
      <c r="AR43" s="5"/>
      <c r="AS43" s="5"/>
      <c r="AT43" s="5"/>
      <c r="AU43" s="5"/>
      <c r="AV43" s="5" t="str">
        <f>IFERROR(__xludf.DUMMYFUNCTION("""COMPUTED_VALUE"""),"")</f>
        <v/>
      </c>
    </row>
    <row r="44">
      <c r="A44" s="5" t="str">
        <f>IFERROR(__xludf.DUMMYFUNCTION("""COMPUTED_VALUE"""),"Tiptop")</f>
        <v>Tiptop</v>
      </c>
      <c r="B44" s="5" t="str">
        <f>IFERROR(__xludf.DUMMYFUNCTION("""COMPUTED_VALUE"""),"Gold Line")</f>
        <v>Gold Line</v>
      </c>
      <c r="C44" s="5" t="str">
        <f>IFERROR(__xludf.DUMMYFUNCTION("""COMPUTED_VALUE"""),"UnicornGoldLine")</f>
        <v>UnicornGoldLine</v>
      </c>
      <c r="D44" s="6">
        <f>IFERROR(__xludf.DUMMYFUNCTION("""COMPUTED_VALUE"""),45372.0)</f>
        <v>45372</v>
      </c>
      <c r="E44" s="5" t="str">
        <f>IFERROR(__xludf.DUMMYFUNCTION("""COMPUTED_VALUE"""),"Slot")</f>
        <v>Slot</v>
      </c>
      <c r="F44" s="5">
        <f>IFERROR(__xludf.DUMMYFUNCTION("""COMPUTED_VALUE"""),12.3)</f>
        <v>12.3</v>
      </c>
      <c r="G44" s="5" t="str">
        <f>IFERROR(__xludf.DUMMYFUNCTION("""COMPUTED_VALUE"""),"5X3")</f>
        <v>5X3</v>
      </c>
      <c r="H44" s="5" t="str">
        <f>IFERROR(__xludf.DUMMYFUNCTION("""COMPUTED_VALUE"""),"20")</f>
        <v>20</v>
      </c>
      <c r="I44" s="5" t="str">
        <f>IFERROR(__xludf.DUMMYFUNCTION("""COMPUTED_VALUE"""),"10(+1) Fixed Lines")</f>
        <v>10(+1) Fixed Lines</v>
      </c>
      <c r="J44" s="5" t="str">
        <f>IFERROR(__xludf.DUMMYFUNCTION("""COMPUTED_VALUE"""),"96%")</f>
        <v>96%</v>
      </c>
      <c r="K44" s="5" t="str">
        <f>IFERROR(__xludf.DUMMYFUNCTION("""COMPUTED_VALUE"""),"Low")</f>
        <v>Low</v>
      </c>
      <c r="L44" s="5" t="str">
        <f>IFERROR(__xludf.DUMMYFUNCTION("""COMPUTED_VALUE"""),"17.39%")</f>
        <v>17.39%</v>
      </c>
      <c r="M44" s="5" t="str">
        <f>IFERROR(__xludf.DUMMYFUNCTION("""COMPUTED_VALUE"""),"x10000")</f>
        <v>x10000</v>
      </c>
      <c r="N44" s="5" t="str">
        <f>IFERROR(__xludf.DUMMYFUNCTION("""COMPUTED_VALUE"""),"0.2/100")</f>
        <v>0.2/100</v>
      </c>
      <c r="O44" s="5" t="str">
        <f>IFERROR(__xludf.DUMMYFUNCTION("""COMPUTED_VALUE"""),"No")</f>
        <v>No</v>
      </c>
      <c r="P44" s="5" t="str">
        <f>IFERROR(__xludf.DUMMYFUNCTION("""COMPUTED_VALUE"""),"Win Multiplier")</f>
        <v>Win Multiplier</v>
      </c>
      <c r="Q44" s="7" t="str">
        <f>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R44" s="5" t="str">
        <f>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IFERROR(__xludf.DUMMYFUNCTION("""COMPUTED_VALUE"""),"Yes")</f>
        <v>Yes</v>
      </c>
      <c r="AD44" s="5" t="str">
        <f>IFERROR(__xludf.DUMMYFUNCTION("""COMPUTED_VALUE"""),"Yes")</f>
        <v>Yes</v>
      </c>
      <c r="AE44" s="5" t="str">
        <f>IFERROR(__xludf.DUMMYFUNCTION("""COMPUTED_VALUE"""),"Yes")</f>
        <v>Yes</v>
      </c>
      <c r="AF44" s="5" t="str">
        <f>IFERROR(__xludf.DUMMYFUNCTION("""COMPUTED_VALUE"""),"Yes")</f>
        <v>Yes</v>
      </c>
      <c r="AG44" s="5" t="str">
        <f>IFERROR(__xludf.DUMMYFUNCTION("""COMPUTED_VALUE"""),"Yes")</f>
        <v>Yes</v>
      </c>
      <c r="AH44" s="5" t="str">
        <f>IFERROR(__xludf.DUMMYFUNCTION("""COMPUTED_VALUE"""),"Yes")</f>
        <v>Yes</v>
      </c>
      <c r="AI44" s="5" t="str">
        <f>IFERROR(__xludf.DUMMYFUNCTION("""COMPUTED_VALUE"""),"Yes")</f>
        <v>Yes</v>
      </c>
      <c r="AJ44" s="5" t="str">
        <f>IFERROR(__xludf.DUMMYFUNCTION("""COMPUTED_VALUE"""),"Yes")</f>
        <v>Yes</v>
      </c>
      <c r="AK44" s="5" t="str">
        <f>IFERROR(__xludf.DUMMYFUNCTION("""COMPUTED_VALUE"""),"Yes")</f>
        <v>Yes</v>
      </c>
      <c r="AL44" s="5" t="str">
        <f>IFERROR(__xludf.DUMMYFUNCTION("""COMPUTED_VALUE"""),"Yes")</f>
        <v>Yes</v>
      </c>
      <c r="AM44" s="5"/>
      <c r="AN44" s="5" t="str">
        <f>IFERROR(__xludf.DUMMYFUNCTION("""COMPUTED_VALUE"""),"Yes")</f>
        <v>Yes</v>
      </c>
      <c r="AO44" s="5" t="str">
        <f>IFERROR(__xludf.DUMMYFUNCTION("""COMPUTED_VALUE"""),"Yes")</f>
        <v>Yes</v>
      </c>
      <c r="AP44" s="5" t="str">
        <f>IFERROR(__xludf.DUMMYFUNCTION("""COMPUTED_VALUE"""),"Yes")</f>
        <v>Yes</v>
      </c>
      <c r="AQ44" s="5" t="str">
        <f>IFERROR(__xludf.DUMMYFUNCTION("""COMPUTED_VALUE"""),"Yes")</f>
        <v>Yes</v>
      </c>
      <c r="AR44" s="5" t="str">
        <f>IFERROR(__xludf.DUMMYFUNCTION("""COMPUTED_VALUE"""),"Yes")</f>
        <v>Yes</v>
      </c>
      <c r="AS44" s="5" t="str">
        <f>IFERROR(__xludf.DUMMYFUNCTION("""COMPUTED_VALUE"""),"Yes")</f>
        <v>Yes</v>
      </c>
      <c r="AT44" s="5"/>
      <c r="AU44" s="5"/>
      <c r="AV44" s="5" t="str">
        <f>IFERROR(__xludf.DUMMYFUNCTION("""COMPUTED_VALUE"""),"")</f>
        <v/>
      </c>
    </row>
    <row r="45">
      <c r="A45" s="5" t="str">
        <f>IFERROR(__xludf.DUMMYFUNCTION("""COMPUTED_VALUE"""),"Tiptop")</f>
        <v>Tiptop</v>
      </c>
      <c r="B45" s="5" t="str">
        <f>IFERROR(__xludf.DUMMYFUNCTION("""COMPUTED_VALUE"""),"Froot Machine")</f>
        <v>Froot Machine</v>
      </c>
      <c r="C45" s="5" t="str">
        <f>IFERROR(__xludf.DUMMYFUNCTION("""COMPUTED_VALUE"""),"UnicornFrootMachine")</f>
        <v>UnicornFrootMachine</v>
      </c>
      <c r="D45" s="6">
        <f>IFERROR(__xludf.DUMMYFUNCTION("""COMPUTED_VALUE"""),45322.0)</f>
        <v>45322</v>
      </c>
      <c r="E45" s="5" t="str">
        <f>IFERROR(__xludf.DUMMYFUNCTION("""COMPUTED_VALUE"""),"Slot")</f>
        <v>Slot</v>
      </c>
      <c r="F45" s="5">
        <f>IFERROR(__xludf.DUMMYFUNCTION("""COMPUTED_VALUE"""),10.8)</f>
        <v>10.8</v>
      </c>
      <c r="G45" s="5" t="str">
        <f>IFERROR(__xludf.DUMMYFUNCTION("""COMPUTED_VALUE"""),"5X3")</f>
        <v>5X3</v>
      </c>
      <c r="H45" s="5" t="str">
        <f>IFERROR(__xludf.DUMMYFUNCTION("""COMPUTED_VALUE"""),"5")</f>
        <v>5</v>
      </c>
      <c r="I45" s="5" t="str">
        <f>IFERROR(__xludf.DUMMYFUNCTION("""COMPUTED_VALUE"""),"5")</f>
        <v>5</v>
      </c>
      <c r="J45" s="5" t="str">
        <f>IFERROR(__xludf.DUMMYFUNCTION("""COMPUTED_VALUE"""),"96%")</f>
        <v>96%</v>
      </c>
      <c r="K45" s="5" t="str">
        <f>IFERROR(__xludf.DUMMYFUNCTION("""COMPUTED_VALUE"""),"Low")</f>
        <v>Low</v>
      </c>
      <c r="L45" s="5" t="str">
        <f>IFERROR(__xludf.DUMMYFUNCTION("""COMPUTED_VALUE"""),"10.5%")</f>
        <v>10.5%</v>
      </c>
      <c r="M45" s="5" t="str">
        <f>IFERROR(__xludf.DUMMYFUNCTION("""COMPUTED_VALUE"""),"x1000")</f>
        <v>x1000</v>
      </c>
      <c r="N45" s="5" t="str">
        <f>IFERROR(__xludf.DUMMYFUNCTION("""COMPUTED_VALUE"""),"0.05/100")</f>
        <v>0.05/100</v>
      </c>
      <c r="O45" s="5" t="str">
        <f>IFERROR(__xludf.DUMMYFUNCTION("""COMPUTED_VALUE"""),"No")</f>
        <v>No</v>
      </c>
      <c r="P45" s="5"/>
      <c r="Q45" s="7" t="str">
        <f>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R45" s="5" t="str">
        <f>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S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IFERROR(__xludf.DUMMYFUNCTION("""COMPUTED_VALUE"""),"Yes")</f>
        <v>Yes</v>
      </c>
      <c r="AD45" s="5" t="str">
        <f>IFERROR(__xludf.DUMMYFUNCTION("""COMPUTED_VALUE"""),"Yes")</f>
        <v>Yes</v>
      </c>
      <c r="AE45" s="5" t="str">
        <f>IFERROR(__xludf.DUMMYFUNCTION("""COMPUTED_VALUE"""),"Yes")</f>
        <v>Yes</v>
      </c>
      <c r="AF45" s="5" t="str">
        <f>IFERROR(__xludf.DUMMYFUNCTION("""COMPUTED_VALUE"""),"Yes")</f>
        <v>Yes</v>
      </c>
      <c r="AG45" s="5" t="str">
        <f>IFERROR(__xludf.DUMMYFUNCTION("""COMPUTED_VALUE"""),"Yes")</f>
        <v>Yes</v>
      </c>
      <c r="AH45" s="5" t="str">
        <f>IFERROR(__xludf.DUMMYFUNCTION("""COMPUTED_VALUE"""),"Yes")</f>
        <v>Yes</v>
      </c>
      <c r="AI45" s="5" t="str">
        <f>IFERROR(__xludf.DUMMYFUNCTION("""COMPUTED_VALUE"""),"Yes")</f>
        <v>Yes</v>
      </c>
      <c r="AJ45" s="5" t="str">
        <f>IFERROR(__xludf.DUMMYFUNCTION("""COMPUTED_VALUE"""),"Yes")</f>
        <v>Yes</v>
      </c>
      <c r="AK45" s="5" t="str">
        <f>IFERROR(__xludf.DUMMYFUNCTION("""COMPUTED_VALUE"""),"Yes")</f>
        <v>Yes</v>
      </c>
      <c r="AL45" s="5" t="str">
        <f>IFERROR(__xludf.DUMMYFUNCTION("""COMPUTED_VALUE"""),"Yes")</f>
        <v>Yes</v>
      </c>
      <c r="AM45" s="5"/>
      <c r="AN45" s="5"/>
      <c r="AO45" s="5"/>
      <c r="AP45" s="5"/>
      <c r="AQ45" s="5" t="str">
        <f>IFERROR(__xludf.DUMMYFUNCTION("""COMPUTED_VALUE"""),"Yes")</f>
        <v>Yes</v>
      </c>
      <c r="AR45" s="5"/>
      <c r="AS45" s="5"/>
      <c r="AT45" s="5"/>
      <c r="AU45" s="5"/>
      <c r="AV45" s="5" t="str">
        <f>IFERROR(__xludf.DUMMYFUNCTION("""COMPUTED_VALUE"""),"")</f>
        <v/>
      </c>
    </row>
    <row r="46">
      <c r="A46" s="5" t="str">
        <f>IFERROR(__xludf.DUMMYFUNCTION("""COMPUTED_VALUE"""),"Tiptop")</f>
        <v>Tiptop</v>
      </c>
      <c r="B46" s="5" t="str">
        <f>IFERROR(__xludf.DUMMYFUNCTION("""COMPUTED_VALUE"""),"Simply Sevens Dice")</f>
        <v>Simply Sevens Dice</v>
      </c>
      <c r="C46" s="5" t="str">
        <f>IFERROR(__xludf.DUMMYFUNCTION("""COMPUTED_VALUE"""),"UnicornSimplySevensDice")</f>
        <v>UnicornSimplySevensDice</v>
      </c>
      <c r="D46" s="6">
        <f>IFERROR(__xludf.DUMMYFUNCTION("""COMPUTED_VALUE"""),45330.0)</f>
        <v>45330</v>
      </c>
      <c r="E46" s="5" t="str">
        <f>IFERROR(__xludf.DUMMYFUNCTION("""COMPUTED_VALUE"""),"Dice Slots")</f>
        <v>Dice Slots</v>
      </c>
      <c r="F46" s="5">
        <f>IFERROR(__xludf.DUMMYFUNCTION("""COMPUTED_VALUE"""),10.8)</f>
        <v>10.8</v>
      </c>
      <c r="G46" s="5" t="str">
        <f>IFERROR(__xludf.DUMMYFUNCTION("""COMPUTED_VALUE"""),"5X3")</f>
        <v>5X3</v>
      </c>
      <c r="H46" s="5" t="str">
        <f>IFERROR(__xludf.DUMMYFUNCTION("""COMPUTED_VALUE"""),"10")</f>
        <v>10</v>
      </c>
      <c r="I46" s="5" t="str">
        <f>IFERROR(__xludf.DUMMYFUNCTION("""COMPUTED_VALUE"""),"10")</f>
        <v>10</v>
      </c>
      <c r="J46" s="5" t="str">
        <f>IFERROR(__xludf.DUMMYFUNCTION("""COMPUTED_VALUE"""),"96%")</f>
        <v>96%</v>
      </c>
      <c r="K46" s="5" t="str">
        <f>IFERROR(__xludf.DUMMYFUNCTION("""COMPUTED_VALUE"""),"Low")</f>
        <v>Low</v>
      </c>
      <c r="L46" s="5" t="str">
        <f>IFERROR(__xludf.DUMMYFUNCTION("""COMPUTED_VALUE"""),"24.14%")</f>
        <v>24.14%</v>
      </c>
      <c r="M46" s="5" t="str">
        <f>IFERROR(__xludf.DUMMYFUNCTION("""COMPUTED_VALUE"""),"x10000")</f>
        <v>x10000</v>
      </c>
      <c r="N46" s="5" t="str">
        <f>IFERROR(__xludf.DUMMYFUNCTION("""COMPUTED_VALUE"""),"0.1/100")</f>
        <v>0.1/100</v>
      </c>
      <c r="O46" s="5" t="str">
        <f>IFERROR(__xludf.DUMMYFUNCTION("""COMPUTED_VALUE"""),"No")</f>
        <v>No</v>
      </c>
      <c r="P46" s="5" t="str">
        <f>IFERROR(__xludf.DUMMYFUNCTION("""COMPUTED_VALUE"""),"Scatter")</f>
        <v>Scatter</v>
      </c>
      <c r="Q46" s="7" t="str">
        <f>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R46" s="5" t="str">
        <f>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S4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6" s="5" t="str">
        <f>IFERROR(__xludf.DUMMYFUNCTION("""COMPUTED_VALUE"""),"Yes")</f>
        <v>Yes</v>
      </c>
      <c r="U46" s="5" t="str">
        <f>IFERROR(__xludf.DUMMYFUNCTION("""COMPUTED_VALUE"""),"Yes")</f>
        <v>Yes</v>
      </c>
      <c r="V46" s="5" t="str">
        <f>IFERROR(__xludf.DUMMYFUNCTION("""COMPUTED_VALUE"""),"Yes")</f>
        <v>Yes</v>
      </c>
      <c r="W46" s="5" t="str">
        <f>IFERROR(__xludf.DUMMYFUNCTION("""COMPUTED_VALUE"""),"No")</f>
        <v>No</v>
      </c>
      <c r="X46" s="5" t="str">
        <f>IFERROR(__xludf.DUMMYFUNCTION("""COMPUTED_VALUE"""),"No")</f>
        <v>No</v>
      </c>
      <c r="Y46" s="5" t="str">
        <f>IFERROR(__xludf.DUMMYFUNCTION("""COMPUTED_VALUE"""),"No")</f>
        <v>No</v>
      </c>
      <c r="Z46" s="5" t="str">
        <f>IFERROR(__xludf.DUMMYFUNCTION("""COMPUTED_VALUE"""),"No")</f>
        <v>No</v>
      </c>
      <c r="AA46" s="5" t="str">
        <f>IFERROR(__xludf.DUMMYFUNCTION("""COMPUTED_VALUE"""),"No")</f>
        <v>No</v>
      </c>
      <c r="AB46" s="5" t="str">
        <f>IFERROR(__xludf.DUMMYFUNCTION("""COMPUTED_VALUE"""),"Yes")</f>
        <v>Yes</v>
      </c>
      <c r="AC46" s="5" t="str">
        <f>IFERROR(__xludf.DUMMYFUNCTION("""COMPUTED_VALUE"""),"Yes")</f>
        <v>Yes</v>
      </c>
      <c r="AD46" s="5" t="str">
        <f>IFERROR(__xludf.DUMMYFUNCTION("""COMPUTED_VALUE"""),"Yes")</f>
        <v>Yes</v>
      </c>
      <c r="AE46" s="5" t="str">
        <f>IFERROR(__xludf.DUMMYFUNCTION("""COMPUTED_VALUE"""),"Yes")</f>
        <v>Yes</v>
      </c>
      <c r="AF46" s="5" t="str">
        <f>IFERROR(__xludf.DUMMYFUNCTION("""COMPUTED_VALUE"""),"Yes")</f>
        <v>Yes</v>
      </c>
      <c r="AG46" s="5" t="str">
        <f>IFERROR(__xludf.DUMMYFUNCTION("""COMPUTED_VALUE"""),"No")</f>
        <v>No</v>
      </c>
      <c r="AH46" s="5" t="str">
        <f>IFERROR(__xludf.DUMMYFUNCTION("""COMPUTED_VALUE"""),"Yes")</f>
        <v>Yes</v>
      </c>
      <c r="AI46" s="5" t="str">
        <f>IFERROR(__xludf.DUMMYFUNCTION("""COMPUTED_VALUE"""),"No")</f>
        <v>No</v>
      </c>
      <c r="AJ46" s="5" t="str">
        <f>IFERROR(__xludf.DUMMYFUNCTION("""COMPUTED_VALUE"""),"No")</f>
        <v>No</v>
      </c>
      <c r="AK46" s="5" t="str">
        <f>IFERROR(__xludf.DUMMYFUNCTION("""COMPUTED_VALUE"""),"No")</f>
        <v>No</v>
      </c>
      <c r="AL46" s="5" t="str">
        <f>IFERROR(__xludf.DUMMYFUNCTION("""COMPUTED_VALUE"""),"No")</f>
        <v>No</v>
      </c>
      <c r="AM46" s="5"/>
      <c r="AN46" s="5"/>
      <c r="AO46" s="5"/>
      <c r="AP46" s="5"/>
      <c r="AQ46" s="5" t="str">
        <f>IFERROR(__xludf.DUMMYFUNCTION("""COMPUTED_VALUE"""),"No")</f>
        <v>No</v>
      </c>
      <c r="AR46" s="5"/>
      <c r="AS46" s="5"/>
      <c r="AT46" s="5"/>
      <c r="AU46" s="5"/>
      <c r="AV46" s="5" t="str">
        <f>IFERROR(__xludf.DUMMYFUNCTION("""COMPUTED_VALUE"""),"")</f>
        <v/>
      </c>
    </row>
    <row r="47">
      <c r="A47" s="5" t="str">
        <f>IFERROR(__xludf.DUMMYFUNCTION("""COMPUTED_VALUE"""),"Tiptop")</f>
        <v>Tiptop</v>
      </c>
      <c r="B47" s="5" t="str">
        <f>IFERROR(__xludf.DUMMYFUNCTION("""COMPUTED_VALUE"""),"Fruit Island Christmas")</f>
        <v>Fruit Island Christmas</v>
      </c>
      <c r="C47" s="5" t="str">
        <f>IFERROR(__xludf.DUMMYFUNCTION("""COMPUTED_VALUE"""),"UnicornFruitIslandChristmas")</f>
        <v>UnicornFruitIslandChristmas</v>
      </c>
      <c r="D47" s="6">
        <f>IFERROR(__xludf.DUMMYFUNCTION("""COMPUTED_VALUE"""),45560.0)</f>
        <v>45560</v>
      </c>
      <c r="E47" s="5" t="str">
        <f>IFERROR(__xludf.DUMMYFUNCTION("""COMPUTED_VALUE"""),"Slot")</f>
        <v>Slot</v>
      </c>
      <c r="F47" s="5">
        <f>IFERROR(__xludf.DUMMYFUNCTION("""COMPUTED_VALUE"""),12.9)</f>
        <v>12.9</v>
      </c>
      <c r="G47" s="5" t="str">
        <f>IFERROR(__xludf.DUMMYFUNCTION("""COMPUTED_VALUE"""),"5X3")</f>
        <v>5X3</v>
      </c>
      <c r="H47" s="5" t="str">
        <f>IFERROR(__xludf.DUMMYFUNCTION("""COMPUTED_VALUE"""),"5")</f>
        <v>5</v>
      </c>
      <c r="I47" s="5" t="str">
        <f>IFERROR(__xludf.DUMMYFUNCTION("""COMPUTED_VALUE"""),"5")</f>
        <v>5</v>
      </c>
      <c r="J47" s="5" t="str">
        <f>IFERROR(__xludf.DUMMYFUNCTION("""COMPUTED_VALUE"""),"96%")</f>
        <v>96%</v>
      </c>
      <c r="K47" s="5" t="str">
        <f>IFERROR(__xludf.DUMMYFUNCTION("""COMPUTED_VALUE"""),"Low")</f>
        <v>Low</v>
      </c>
      <c r="L47" s="5" t="str">
        <f>IFERROR(__xludf.DUMMYFUNCTION("""COMPUTED_VALUE"""),"10.5%")</f>
        <v>10.5%</v>
      </c>
      <c r="M47" s="5" t="str">
        <f>IFERROR(__xludf.DUMMYFUNCTION("""COMPUTED_VALUE"""),"x1000")</f>
        <v>x1000</v>
      </c>
      <c r="N47" s="5" t="str">
        <f>IFERROR(__xludf.DUMMYFUNCTION("""COMPUTED_VALUE"""),"0.05/40")</f>
        <v>0.05/40</v>
      </c>
      <c r="O47" s="5" t="str">
        <f>IFERROR(__xludf.DUMMYFUNCTION("""COMPUTED_VALUE"""),"No")</f>
        <v>No</v>
      </c>
      <c r="P47" s="5"/>
      <c r="Q47" s="7" t="str">
        <f>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R47" s="5" t="str">
        <f>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S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7" s="5" t="str">
        <f>IFERROR(__xludf.DUMMYFUNCTION("""COMPUTED_VALUE"""),"Yes")</f>
        <v>Yes</v>
      </c>
      <c r="U47" s="5" t="str">
        <f>IFERROR(__xludf.DUMMYFUNCTION("""COMPUTED_VALUE"""),"Yes")</f>
        <v>Yes</v>
      </c>
      <c r="V47" s="5" t="str">
        <f>IFERROR(__xludf.DUMMYFUNCTION("""COMPUTED_VALUE"""),"Yes")</f>
        <v>Yes</v>
      </c>
      <c r="W47" s="5" t="str">
        <f>IFERROR(__xludf.DUMMYFUNCTION("""COMPUTED_VALUE"""),"Yes")</f>
        <v>Yes</v>
      </c>
      <c r="X47" s="5" t="str">
        <f>IFERROR(__xludf.DUMMYFUNCTION("""COMPUTED_VALUE"""),"Yes")</f>
        <v>Yes</v>
      </c>
      <c r="Y47" s="5" t="str">
        <f>IFERROR(__xludf.DUMMYFUNCTION("""COMPUTED_VALUE"""),"Yes")</f>
        <v>Yes</v>
      </c>
      <c r="Z47" s="5" t="str">
        <f>IFERROR(__xludf.DUMMYFUNCTION("""COMPUTED_VALUE"""),"Yes")</f>
        <v>Yes</v>
      </c>
      <c r="AA47" s="5" t="str">
        <f>IFERROR(__xludf.DUMMYFUNCTION("""COMPUTED_VALUE"""),"Yes")</f>
        <v>Yes</v>
      </c>
      <c r="AB47" s="5" t="str">
        <f>IFERROR(__xludf.DUMMYFUNCTION("""COMPUTED_VALUE"""),"Yes")</f>
        <v>Yes</v>
      </c>
      <c r="AC47" s="5" t="str">
        <f>IFERROR(__xludf.DUMMYFUNCTION("""COMPUTED_VALUE"""),"Yes")</f>
        <v>Yes</v>
      </c>
      <c r="AD47" s="5" t="str">
        <f>IFERROR(__xludf.DUMMYFUNCTION("""COMPUTED_VALUE"""),"Yes")</f>
        <v>Yes</v>
      </c>
      <c r="AE47" s="5" t="str">
        <f>IFERROR(__xludf.DUMMYFUNCTION("""COMPUTED_VALUE"""),"Yes")</f>
        <v>Yes</v>
      </c>
      <c r="AF47" s="5" t="str">
        <f>IFERROR(__xludf.DUMMYFUNCTION("""COMPUTED_VALUE"""),"Yes")</f>
        <v>Yes</v>
      </c>
      <c r="AG47" s="5" t="str">
        <f>IFERROR(__xludf.DUMMYFUNCTION("""COMPUTED_VALUE"""),"Yes")</f>
        <v>Yes</v>
      </c>
      <c r="AH47" s="5" t="str">
        <f>IFERROR(__xludf.DUMMYFUNCTION("""COMPUTED_VALUE"""),"Yes")</f>
        <v>Yes</v>
      </c>
      <c r="AI47" s="5" t="str">
        <f>IFERROR(__xludf.DUMMYFUNCTION("""COMPUTED_VALUE"""),"Yes")</f>
        <v>Yes</v>
      </c>
      <c r="AJ47" s="5" t="str">
        <f>IFERROR(__xludf.DUMMYFUNCTION("""COMPUTED_VALUE"""),"Yes")</f>
        <v>Yes</v>
      </c>
      <c r="AK47" s="5" t="str">
        <f>IFERROR(__xludf.DUMMYFUNCTION("""COMPUTED_VALUE"""),"Yes")</f>
        <v>Yes</v>
      </c>
      <c r="AL47" s="5" t="str">
        <f>IFERROR(__xludf.DUMMYFUNCTION("""COMPUTED_VALUE"""),"Yes")</f>
        <v>Yes</v>
      </c>
      <c r="AM47" s="5"/>
      <c r="AN47" s="5" t="str">
        <f>IFERROR(__xludf.DUMMYFUNCTION("""COMPUTED_VALUE"""),"Yes")</f>
        <v>Yes</v>
      </c>
      <c r="AO47" s="5" t="str">
        <f>IFERROR(__xludf.DUMMYFUNCTION("""COMPUTED_VALUE"""),"Yes")</f>
        <v>Yes</v>
      </c>
      <c r="AP47" s="5" t="str">
        <f>IFERROR(__xludf.DUMMYFUNCTION("""COMPUTED_VALUE"""),"Yes")</f>
        <v>Yes</v>
      </c>
      <c r="AQ47" s="5" t="str">
        <f>IFERROR(__xludf.DUMMYFUNCTION("""COMPUTED_VALUE"""),"Yes")</f>
        <v>Yes</v>
      </c>
      <c r="AR47" s="5" t="str">
        <f>IFERROR(__xludf.DUMMYFUNCTION("""COMPUTED_VALUE"""),"Yes")</f>
        <v>Yes</v>
      </c>
      <c r="AS47" s="5" t="str">
        <f>IFERROR(__xludf.DUMMYFUNCTION("""COMPUTED_VALUE"""),"Yes")</f>
        <v>Yes</v>
      </c>
      <c r="AT47" s="5"/>
      <c r="AU47" s="5"/>
      <c r="AV47" s="5" t="str">
        <f>IFERROR(__xludf.DUMMYFUNCTION("""COMPUTED_VALUE"""),"")</f>
        <v/>
      </c>
    </row>
    <row r="48">
      <c r="A48" s="5" t="str">
        <f>IFERROR(__xludf.DUMMYFUNCTION("""COMPUTED_VALUE"""),"Tiptop")</f>
        <v>Tiptop</v>
      </c>
      <c r="B48" s="5" t="str">
        <f>IFERROR(__xludf.DUMMYFUNCTION("""COMPUTED_VALUE"""),"Christmas Presents")</f>
        <v>Christmas Presents</v>
      </c>
      <c r="C48" s="5" t="str">
        <f>IFERROR(__xludf.DUMMYFUNCTION("""COMPUTED_VALUE"""),"UnicornChristmasPresents")</f>
        <v>UnicornChristmasPresents</v>
      </c>
      <c r="D48" s="6">
        <f>IFERROR(__xludf.DUMMYFUNCTION("""COMPUTED_VALUE"""),45608.0)</f>
        <v>45608</v>
      </c>
      <c r="E48" s="5" t="str">
        <f>IFERROR(__xludf.DUMMYFUNCTION("""COMPUTED_VALUE"""),"Slot")</f>
        <v>Slot</v>
      </c>
      <c r="F48" s="5">
        <f>IFERROR(__xludf.DUMMYFUNCTION("""COMPUTED_VALUE"""),17.0)</f>
        <v>17</v>
      </c>
      <c r="G48" s="5" t="str">
        <f>IFERROR(__xludf.DUMMYFUNCTION("""COMPUTED_VALUE"""),"5X3")</f>
        <v>5X3</v>
      </c>
      <c r="H48" s="5" t="str">
        <f>IFERROR(__xludf.DUMMYFUNCTION("""COMPUTED_VALUE"""),"5")</f>
        <v>5</v>
      </c>
      <c r="I48" s="5" t="str">
        <f>IFERROR(__xludf.DUMMYFUNCTION("""COMPUTED_VALUE"""),"5")</f>
        <v>5</v>
      </c>
      <c r="J48" s="5" t="str">
        <f>IFERROR(__xludf.DUMMYFUNCTION("""COMPUTED_VALUE"""),"96%")</f>
        <v>96%</v>
      </c>
      <c r="K48" s="5" t="str">
        <f>IFERROR(__xludf.DUMMYFUNCTION("""COMPUTED_VALUE"""),"Low")</f>
        <v>Low</v>
      </c>
      <c r="L48" s="5" t="str">
        <f>IFERROR(__xludf.DUMMYFUNCTION("""COMPUTED_VALUE"""),"13.64%")</f>
        <v>13.64%</v>
      </c>
      <c r="M48" s="5" t="str">
        <f>IFERROR(__xludf.DUMMYFUNCTION("""COMPUTED_VALUE"""),"x10000")</f>
        <v>x10000</v>
      </c>
      <c r="N48" s="5" t="str">
        <f>IFERROR(__xludf.DUMMYFUNCTION("""COMPUTED_VALUE"""),"0.05/100")</f>
        <v>0.05/100</v>
      </c>
      <c r="O48" s="5" t="str">
        <f>IFERROR(__xludf.DUMMYFUNCTION("""COMPUTED_VALUE"""),"No")</f>
        <v>No</v>
      </c>
      <c r="P48" s="5"/>
      <c r="Q48" s="7" t="str">
        <f>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R48" s="5" t="str">
        <f>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S4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48" s="5" t="str">
        <f>IFERROR(__xludf.DUMMYFUNCTION("""COMPUTED_VALUE"""),"Yes")</f>
        <v>Yes</v>
      </c>
      <c r="U48" s="5" t="str">
        <f>IFERROR(__xludf.DUMMYFUNCTION("""COMPUTED_VALUE"""),"Yes")</f>
        <v>Yes</v>
      </c>
      <c r="V48" s="5" t="str">
        <f>IFERROR(__xludf.DUMMYFUNCTION("""COMPUTED_VALUE"""),"Yes")</f>
        <v>Yes</v>
      </c>
      <c r="W48" s="5" t="str">
        <f>IFERROR(__xludf.DUMMYFUNCTION("""COMPUTED_VALUE"""),"No")</f>
        <v>No</v>
      </c>
      <c r="X48" s="5" t="str">
        <f>IFERROR(__xludf.DUMMYFUNCTION("""COMPUTED_VALUE"""),"No")</f>
        <v>No</v>
      </c>
      <c r="Y48" s="5" t="str">
        <f>IFERROR(__xludf.DUMMYFUNCTION("""COMPUTED_VALUE"""),"No")</f>
        <v>No</v>
      </c>
      <c r="Z48" s="5" t="str">
        <f>IFERROR(__xludf.DUMMYFUNCTION("""COMPUTED_VALUE"""),"No")</f>
        <v>No</v>
      </c>
      <c r="AA48" s="5" t="str">
        <f>IFERROR(__xludf.DUMMYFUNCTION("""COMPUTED_VALUE"""),"No")</f>
        <v>No</v>
      </c>
      <c r="AB48" s="5" t="str">
        <f>IFERROR(__xludf.DUMMYFUNCTION("""COMPUTED_VALUE"""),"Yes")</f>
        <v>Yes</v>
      </c>
      <c r="AC48" s="5" t="str">
        <f>IFERROR(__xludf.DUMMYFUNCTION("""COMPUTED_VALUE"""),"Yes")</f>
        <v>Yes</v>
      </c>
      <c r="AD48" s="5" t="str">
        <f>IFERROR(__xludf.DUMMYFUNCTION("""COMPUTED_VALUE"""),"Yes")</f>
        <v>Yes</v>
      </c>
      <c r="AE48" s="5" t="str">
        <f>IFERROR(__xludf.DUMMYFUNCTION("""COMPUTED_VALUE"""),"Yes")</f>
        <v>Yes</v>
      </c>
      <c r="AF48" s="5" t="str">
        <f>IFERROR(__xludf.DUMMYFUNCTION("""COMPUTED_VALUE"""),"Yes")</f>
        <v>Yes</v>
      </c>
      <c r="AG48" s="5" t="str">
        <f>IFERROR(__xludf.DUMMYFUNCTION("""COMPUTED_VALUE"""),"No")</f>
        <v>No</v>
      </c>
      <c r="AH48" s="5" t="str">
        <f>IFERROR(__xludf.DUMMYFUNCTION("""COMPUTED_VALUE"""),"Yes")</f>
        <v>Yes</v>
      </c>
      <c r="AI48" s="5" t="str">
        <f>IFERROR(__xludf.DUMMYFUNCTION("""COMPUTED_VALUE"""),"No")</f>
        <v>No</v>
      </c>
      <c r="AJ48" s="5" t="str">
        <f>IFERROR(__xludf.DUMMYFUNCTION("""COMPUTED_VALUE"""),"No")</f>
        <v>No</v>
      </c>
      <c r="AK48" s="5" t="str">
        <f>IFERROR(__xludf.DUMMYFUNCTION("""COMPUTED_VALUE"""),"No")</f>
        <v>No</v>
      </c>
      <c r="AL48" s="5" t="str">
        <f>IFERROR(__xludf.DUMMYFUNCTION("""COMPUTED_VALUE"""),"No")</f>
        <v>No</v>
      </c>
      <c r="AM48" s="5"/>
      <c r="AN48" s="5"/>
      <c r="AO48" s="5"/>
      <c r="AP48" s="5"/>
      <c r="AQ48" s="5" t="str">
        <f>IFERROR(__xludf.DUMMYFUNCTION("""COMPUTED_VALUE"""),"No")</f>
        <v>No</v>
      </c>
      <c r="AR48" s="5"/>
      <c r="AS48" s="5"/>
      <c r="AT48" s="5"/>
      <c r="AU48" s="5"/>
      <c r="AV48" s="5" t="str">
        <f>IFERROR(__xludf.DUMMYFUNCTION("""COMPUTED_VALUE"""),"")</f>
        <v/>
      </c>
    </row>
    <row r="49">
      <c r="A49" s="5" t="str">
        <f>IFERROR(__xludf.DUMMYFUNCTION("""COMPUTED_VALUE"""),"Tiptop")</f>
        <v>Tiptop</v>
      </c>
      <c r="B49" s="5" t="str">
        <f>IFERROR(__xludf.DUMMYFUNCTION("""COMPUTED_VALUE"""),"Lava Diamonds")</f>
        <v>Lava Diamonds</v>
      </c>
      <c r="C49" s="5" t="str">
        <f>IFERROR(__xludf.DUMMYFUNCTION("""COMPUTED_VALUE"""),"UnicornLavaDiamonds")</f>
        <v>UnicornLavaDiamonds</v>
      </c>
      <c r="D49" s="6">
        <f>IFERROR(__xludf.DUMMYFUNCTION("""COMPUTED_VALUE"""),45398.0)</f>
        <v>45398</v>
      </c>
      <c r="E49" s="5" t="str">
        <f>IFERROR(__xludf.DUMMYFUNCTION("""COMPUTED_VALUE"""),"Slot")</f>
        <v>Slot</v>
      </c>
      <c r="F49" s="5">
        <f>IFERROR(__xludf.DUMMYFUNCTION("""COMPUTED_VALUE"""),11.0)</f>
        <v>11</v>
      </c>
      <c r="G49" s="5" t="str">
        <f>IFERROR(__xludf.DUMMYFUNCTION("""COMPUTED_VALUE"""),"5X3")</f>
        <v>5X3</v>
      </c>
      <c r="H49" s="5" t="str">
        <f>IFERROR(__xludf.DUMMYFUNCTION("""COMPUTED_VALUE"""),"10")</f>
        <v>10</v>
      </c>
      <c r="I49" s="5" t="str">
        <f>IFERROR(__xludf.DUMMYFUNCTION("""COMPUTED_VALUE"""),"10")</f>
        <v>10</v>
      </c>
      <c r="J49" s="5" t="str">
        <f>IFERROR(__xludf.DUMMYFUNCTION("""COMPUTED_VALUE"""),"96%")</f>
        <v>96%</v>
      </c>
      <c r="K49" s="5" t="str">
        <f>IFERROR(__xludf.DUMMYFUNCTION("""COMPUTED_VALUE"""),"Low")</f>
        <v>Low</v>
      </c>
      <c r="L49" s="5" t="str">
        <f>IFERROR(__xludf.DUMMYFUNCTION("""COMPUTED_VALUE"""),"24.14%")</f>
        <v>24.14%</v>
      </c>
      <c r="M49" s="5" t="str">
        <f>IFERROR(__xludf.DUMMYFUNCTION("""COMPUTED_VALUE"""),"x10000")</f>
        <v>x10000</v>
      </c>
      <c r="N49" s="5" t="str">
        <f>IFERROR(__xludf.DUMMYFUNCTION("""COMPUTED_VALUE"""),"0.1/100")</f>
        <v>0.1/100</v>
      </c>
      <c r="O49" s="5" t="str">
        <f>IFERROR(__xludf.DUMMYFUNCTION("""COMPUTED_VALUE"""),"No")</f>
        <v>No</v>
      </c>
      <c r="P49" s="5" t="str">
        <f>IFERROR(__xludf.DUMMYFUNCTION("""COMPUTED_VALUE"""),"Scatter")</f>
        <v>Scatter</v>
      </c>
      <c r="Q49" s="7" t="str">
        <f>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R49"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4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5" t="str">
        <f>IFERROR(__xludf.DUMMYFUNCTION("""COMPUTED_VALUE"""),"Yes")</f>
        <v>Yes</v>
      </c>
      <c r="U49" s="5" t="str">
        <f>IFERROR(__xludf.DUMMYFUNCTION("""COMPUTED_VALUE"""),"Yes")</f>
        <v>Yes</v>
      </c>
      <c r="V49" s="5" t="str">
        <f>IFERROR(__xludf.DUMMYFUNCTION("""COMPUTED_VALUE"""),"No")</f>
        <v>No</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IFERROR(__xludf.DUMMYFUNCTION("""COMPUTED_VALUE"""),"Yes")</f>
        <v>Yes</v>
      </c>
      <c r="AD49" s="5" t="str">
        <f>IFERROR(__xludf.DUMMYFUNCTION("""COMPUTED_VALUE"""),"Yes")</f>
        <v>Yes</v>
      </c>
      <c r="AE49" s="5" t="str">
        <f>IFERROR(__xludf.DUMMYFUNCTION("""COMPUTED_VALUE"""),"Yes")</f>
        <v>Yes</v>
      </c>
      <c r="AF49" s="5" t="str">
        <f>IFERROR(__xludf.DUMMYFUNCTION("""COMPUTED_VALUE"""),"Yes")</f>
        <v>Yes</v>
      </c>
      <c r="AG49" s="5" t="str">
        <f>IFERROR(__xludf.DUMMYFUNCTION("""COMPUTED_VALUE"""),"Yes")</f>
        <v>Yes</v>
      </c>
      <c r="AH49" s="5" t="str">
        <f>IFERROR(__xludf.DUMMYFUNCTION("""COMPUTED_VALUE"""),"Yes")</f>
        <v>Yes</v>
      </c>
      <c r="AI49" s="5" t="str">
        <f>IFERROR(__xludf.DUMMYFUNCTION("""COMPUTED_VALUE"""),"No")</f>
        <v>No</v>
      </c>
      <c r="AJ49" s="5" t="str">
        <f>IFERROR(__xludf.DUMMYFUNCTION("""COMPUTED_VALUE"""),"No")</f>
        <v>No</v>
      </c>
      <c r="AK49" s="5" t="str">
        <f>IFERROR(__xludf.DUMMYFUNCTION("""COMPUTED_VALUE"""),"No")</f>
        <v>No</v>
      </c>
      <c r="AL49" s="5" t="str">
        <f>IFERROR(__xludf.DUMMYFUNCTION("""COMPUTED_VALUE"""),"No")</f>
        <v>No</v>
      </c>
      <c r="AM49" s="5" t="str">
        <f>IFERROR(__xludf.DUMMYFUNCTION("""COMPUTED_VALUE"""),"No")</f>
        <v>No</v>
      </c>
      <c r="AN49" s="5" t="str">
        <f>IFERROR(__xludf.DUMMYFUNCTION("""COMPUTED_VALUE"""),"No")</f>
        <v>No</v>
      </c>
      <c r="AO49" s="5" t="str">
        <f>IFERROR(__xludf.DUMMYFUNCTION("""COMPUTED_VALUE"""),"No")</f>
        <v>No</v>
      </c>
      <c r="AP49" s="5" t="str">
        <f>IFERROR(__xludf.DUMMYFUNCTION("""COMPUTED_VALUE"""),"No")</f>
        <v>No</v>
      </c>
      <c r="AQ49" s="5" t="str">
        <f>IFERROR(__xludf.DUMMYFUNCTION("""COMPUTED_VALUE"""),"No")</f>
        <v>No</v>
      </c>
      <c r="AR49" s="5" t="str">
        <f>IFERROR(__xludf.DUMMYFUNCTION("""COMPUTED_VALUE"""),"No")</f>
        <v>No</v>
      </c>
      <c r="AS49" s="5" t="str">
        <f>IFERROR(__xludf.DUMMYFUNCTION("""COMPUTED_VALUE"""),"Yes")</f>
        <v>Yes</v>
      </c>
      <c r="AT49" s="5" t="str">
        <f>IFERROR(__xludf.DUMMYFUNCTION("""COMPUTED_VALUE"""),"No")</f>
        <v>No</v>
      </c>
      <c r="AU49" s="5"/>
      <c r="AV49" s="5" t="str">
        <f>IFERROR(__xludf.DUMMYFUNCTION("""COMPUTED_VALUE"""),"")</f>
        <v/>
      </c>
    </row>
    <row r="50">
      <c r="A50" s="5" t="str">
        <f>IFERROR(__xludf.DUMMYFUNCTION("""COMPUTED_VALUE"""),"Tiptop")</f>
        <v>Tiptop</v>
      </c>
      <c r="B50" s="5" t="str">
        <f>IFERROR(__xludf.DUMMYFUNCTION("""COMPUTED_VALUE"""),"5 Hot Strike Dice")</f>
        <v>5 Hot Strike Dice</v>
      </c>
      <c r="C50" s="5" t="str">
        <f>IFERROR(__xludf.DUMMYFUNCTION("""COMPUTED_VALUE"""),"Unicorn5HotStrikeDice")</f>
        <v>Unicorn5HotStrikeDice</v>
      </c>
      <c r="D50" s="6">
        <f>IFERROR(__xludf.DUMMYFUNCTION("""COMPUTED_VALUE"""),45420.0)</f>
        <v>45420</v>
      </c>
      <c r="E50" s="5" t="str">
        <f>IFERROR(__xludf.DUMMYFUNCTION("""COMPUTED_VALUE"""),"Dice Slots")</f>
        <v>Dice Slots</v>
      </c>
      <c r="F50" s="5">
        <f>IFERROR(__xludf.DUMMYFUNCTION("""COMPUTED_VALUE"""),11.0)</f>
        <v>11</v>
      </c>
      <c r="G50" s="5" t="str">
        <f>IFERROR(__xludf.DUMMYFUNCTION("""COMPUTED_VALUE"""),"5X3")</f>
        <v>5X3</v>
      </c>
      <c r="H50" s="5" t="str">
        <f>IFERROR(__xludf.DUMMYFUNCTION("""COMPUTED_VALUE"""),"5")</f>
        <v>5</v>
      </c>
      <c r="I50" s="5" t="str">
        <f>IFERROR(__xludf.DUMMYFUNCTION("""COMPUTED_VALUE"""),"5")</f>
        <v>5</v>
      </c>
      <c r="J50" s="5" t="str">
        <f>IFERROR(__xludf.DUMMYFUNCTION("""COMPUTED_VALUE"""),"96%")</f>
        <v>96%</v>
      </c>
      <c r="K50" s="5" t="str">
        <f>IFERROR(__xludf.DUMMYFUNCTION("""COMPUTED_VALUE"""),"Low")</f>
        <v>Low</v>
      </c>
      <c r="L50" s="5" t="str">
        <f>IFERROR(__xludf.DUMMYFUNCTION("""COMPUTED_VALUE"""),"11.41%")</f>
        <v>11.41%</v>
      </c>
      <c r="M50" s="5" t="str">
        <f>IFERROR(__xludf.DUMMYFUNCTION("""COMPUTED_VALUE"""),"x2000")</f>
        <v>x2000</v>
      </c>
      <c r="N50" s="5" t="str">
        <f>IFERROR(__xludf.DUMMYFUNCTION("""COMPUTED_VALUE"""),"0.05/100")</f>
        <v>0.05/100</v>
      </c>
      <c r="O50" s="5" t="str">
        <f>IFERROR(__xludf.DUMMYFUNCTION("""COMPUTED_VALUE"""),"No")</f>
        <v>No</v>
      </c>
      <c r="P50" s="5" t="str">
        <f>IFERROR(__xludf.DUMMYFUNCTION("""COMPUTED_VALUE"""),"Wild Symbol, Scatter")</f>
        <v>Wild Symbol, Scatter</v>
      </c>
      <c r="Q50" s="7" t="str">
        <f>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R50" s="5" t="str">
        <f>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5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0" s="5" t="str">
        <f>IFERROR(__xludf.DUMMYFUNCTION("""COMPUTED_VALUE"""),"Yes")</f>
        <v>Yes</v>
      </c>
      <c r="U50" s="5" t="str">
        <f>IFERROR(__xludf.DUMMYFUNCTION("""COMPUTED_VALUE"""),"Yes")</f>
        <v>Yes</v>
      </c>
      <c r="V50" s="5" t="str">
        <f>IFERROR(__xludf.DUMMYFUNCTION("""COMPUTED_VALUE"""),"Yes")</f>
        <v>Yes</v>
      </c>
      <c r="W50" s="5" t="str">
        <f>IFERROR(__xludf.DUMMYFUNCTION("""COMPUTED_VALUE"""),"No")</f>
        <v>No</v>
      </c>
      <c r="X50" s="5" t="str">
        <f>IFERROR(__xludf.DUMMYFUNCTION("""COMPUTED_VALUE"""),"No")</f>
        <v>No</v>
      </c>
      <c r="Y50" s="5" t="str">
        <f>IFERROR(__xludf.DUMMYFUNCTION("""COMPUTED_VALUE"""),"No")</f>
        <v>No</v>
      </c>
      <c r="Z50" s="5" t="str">
        <f>IFERROR(__xludf.DUMMYFUNCTION("""COMPUTED_VALUE"""),"No")</f>
        <v>No</v>
      </c>
      <c r="AA50" s="5" t="str">
        <f>IFERROR(__xludf.DUMMYFUNCTION("""COMPUTED_VALUE"""),"No")</f>
        <v>No</v>
      </c>
      <c r="AB50" s="5" t="str">
        <f>IFERROR(__xludf.DUMMYFUNCTION("""COMPUTED_VALUE"""),"Yes")</f>
        <v>Yes</v>
      </c>
      <c r="AC50" s="5" t="str">
        <f>IFERROR(__xludf.DUMMYFUNCTION("""COMPUTED_VALUE"""),"Yes")</f>
        <v>Yes</v>
      </c>
      <c r="AD50" s="5" t="str">
        <f>IFERROR(__xludf.DUMMYFUNCTION("""COMPUTED_VALUE"""),"Yes")</f>
        <v>Yes</v>
      </c>
      <c r="AE50" s="5" t="str">
        <f>IFERROR(__xludf.DUMMYFUNCTION("""COMPUTED_VALUE"""),"Yes")</f>
        <v>Yes</v>
      </c>
      <c r="AF50" s="5" t="str">
        <f>IFERROR(__xludf.DUMMYFUNCTION("""COMPUTED_VALUE"""),"Yes")</f>
        <v>Yes</v>
      </c>
      <c r="AG50" s="5" t="str">
        <f>IFERROR(__xludf.DUMMYFUNCTION("""COMPUTED_VALUE"""),"No")</f>
        <v>No</v>
      </c>
      <c r="AH50" s="5" t="str">
        <f>IFERROR(__xludf.DUMMYFUNCTION("""COMPUTED_VALUE"""),"Yes")</f>
        <v>Yes</v>
      </c>
      <c r="AI50" s="5" t="str">
        <f>IFERROR(__xludf.DUMMYFUNCTION("""COMPUTED_VALUE"""),"No")</f>
        <v>No</v>
      </c>
      <c r="AJ50" s="5" t="str">
        <f>IFERROR(__xludf.DUMMYFUNCTION("""COMPUTED_VALUE"""),"No")</f>
        <v>No</v>
      </c>
      <c r="AK50" s="5" t="str">
        <f>IFERROR(__xludf.DUMMYFUNCTION("""COMPUTED_VALUE"""),"No")</f>
        <v>No</v>
      </c>
      <c r="AL50" s="5" t="str">
        <f>IFERROR(__xludf.DUMMYFUNCTION("""COMPUTED_VALUE"""),"No")</f>
        <v>No</v>
      </c>
      <c r="AM50" s="5"/>
      <c r="AN50" s="5"/>
      <c r="AO50" s="5"/>
      <c r="AP50" s="5"/>
      <c r="AQ50" s="5" t="str">
        <f>IFERROR(__xludf.DUMMYFUNCTION("""COMPUTED_VALUE"""),"No")</f>
        <v>No</v>
      </c>
      <c r="AR50" s="5"/>
      <c r="AS50" s="5"/>
      <c r="AT50" s="5"/>
      <c r="AU50" s="5"/>
      <c r="AV50" s="5" t="str">
        <f>IFERROR(__xludf.DUMMYFUNCTION("""COMPUTED_VALUE"""),"")</f>
        <v/>
      </c>
    </row>
    <row r="51">
      <c r="A51" s="5" t="str">
        <f>IFERROR(__xludf.DUMMYFUNCTION("""COMPUTED_VALUE"""),"Tiptop")</f>
        <v>Tiptop</v>
      </c>
      <c r="B51" s="5" t="str">
        <f>IFERROR(__xludf.DUMMYFUNCTION("""COMPUTED_VALUE"""),"Buffalo Sevens")</f>
        <v>Buffalo Sevens</v>
      </c>
      <c r="C51" s="5" t="str">
        <f>IFERROR(__xludf.DUMMYFUNCTION("""COMPUTED_VALUE"""),"UnicornBuffaloSevens")</f>
        <v>UnicornBuffaloSevens</v>
      </c>
      <c r="D51" s="6">
        <f>IFERROR(__xludf.DUMMYFUNCTION("""COMPUTED_VALUE"""),45462.0)</f>
        <v>45462</v>
      </c>
      <c r="E51" s="5" t="str">
        <f>IFERROR(__xludf.DUMMYFUNCTION("""COMPUTED_VALUE"""),"Slot")</f>
        <v>Slot</v>
      </c>
      <c r="F51" s="5">
        <f>IFERROR(__xludf.DUMMYFUNCTION("""COMPUTED_VALUE"""),10.8)</f>
        <v>10.8</v>
      </c>
      <c r="G51" s="5" t="str">
        <f>IFERROR(__xludf.DUMMYFUNCTION("""COMPUTED_VALUE"""),"5X3")</f>
        <v>5X3</v>
      </c>
      <c r="H51" s="5" t="str">
        <f>IFERROR(__xludf.DUMMYFUNCTION("""COMPUTED_VALUE"""),"10")</f>
        <v>10</v>
      </c>
      <c r="I51" s="5" t="str">
        <f>IFERROR(__xludf.DUMMYFUNCTION("""COMPUTED_VALUE"""),"10")</f>
        <v>10</v>
      </c>
      <c r="J51" s="5" t="str">
        <f>IFERROR(__xludf.DUMMYFUNCTION("""COMPUTED_VALUE"""),"96%")</f>
        <v>96%</v>
      </c>
      <c r="K51" s="5" t="str">
        <f>IFERROR(__xludf.DUMMYFUNCTION("""COMPUTED_VALUE"""),"Low")</f>
        <v>Low</v>
      </c>
      <c r="L51" s="5" t="str">
        <f>IFERROR(__xludf.DUMMYFUNCTION("""COMPUTED_VALUE"""),"9.08%")</f>
        <v>9.08%</v>
      </c>
      <c r="M51" s="5" t="str">
        <f>IFERROR(__xludf.DUMMYFUNCTION("""COMPUTED_VALUE"""),"x5000")</f>
        <v>x5000</v>
      </c>
      <c r="N51" s="5" t="str">
        <f>IFERROR(__xludf.DUMMYFUNCTION("""COMPUTED_VALUE"""),"0.1/100")</f>
        <v>0.1/100</v>
      </c>
      <c r="O51" s="5" t="str">
        <f>IFERROR(__xludf.DUMMYFUNCTION("""COMPUTED_VALUE"""),"No")</f>
        <v>No</v>
      </c>
      <c r="P51" s="5"/>
      <c r="Q51" s="7" t="str">
        <f>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R51" s="5" t="str">
        <f>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S51" s="5" t="str">
        <f>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T51" s="5" t="str">
        <f>IFERROR(__xludf.DUMMYFUNCTION("""COMPUTED_VALUE"""),"Yes")</f>
        <v>Yes</v>
      </c>
      <c r="U51" s="5" t="str">
        <f>IFERROR(__xludf.DUMMYFUNCTION("""COMPUTED_VALUE"""),"Yes")</f>
        <v>Yes</v>
      </c>
      <c r="V51" s="5" t="str">
        <f>IFERROR(__xludf.DUMMYFUNCTION("""COMPUTED_VALUE"""),"No")</f>
        <v>No</v>
      </c>
      <c r="W51" s="5" t="str">
        <f>IFERROR(__xludf.DUMMYFUNCTION("""COMPUTED_VALUE"""),"Yes")</f>
        <v>Yes</v>
      </c>
      <c r="X51" s="5" t="str">
        <f>IFERROR(__xludf.DUMMYFUNCTION("""COMPUTED_VALUE"""),"Yes")</f>
        <v>Yes</v>
      </c>
      <c r="Y51" s="5" t="str">
        <f>IFERROR(__xludf.DUMMYFUNCTION("""COMPUTED_VALUE"""),"Yes")</f>
        <v>Yes</v>
      </c>
      <c r="Z51" s="5" t="str">
        <f>IFERROR(__xludf.DUMMYFUNCTION("""COMPUTED_VALUE"""),"Yes")</f>
        <v>Yes</v>
      </c>
      <c r="AA51" s="5" t="str">
        <f>IFERROR(__xludf.DUMMYFUNCTION("""COMPUTED_VALUE"""),"Yes")</f>
        <v>Yes</v>
      </c>
      <c r="AB51" s="5" t="str">
        <f>IFERROR(__xludf.DUMMYFUNCTION("""COMPUTED_VALUE"""),"Yes")</f>
        <v>Yes</v>
      </c>
      <c r="AC51" s="5" t="str">
        <f>IFERROR(__xludf.DUMMYFUNCTION("""COMPUTED_VALUE"""),"Yes")</f>
        <v>Yes</v>
      </c>
      <c r="AD51" s="5" t="str">
        <f>IFERROR(__xludf.DUMMYFUNCTION("""COMPUTED_VALUE"""),"Yes")</f>
        <v>Yes</v>
      </c>
      <c r="AE51" s="5" t="str">
        <f>IFERROR(__xludf.DUMMYFUNCTION("""COMPUTED_VALUE"""),"Yes")</f>
        <v>Yes</v>
      </c>
      <c r="AF51" s="5" t="str">
        <f>IFERROR(__xludf.DUMMYFUNCTION("""COMPUTED_VALUE"""),"Yes")</f>
        <v>Yes</v>
      </c>
      <c r="AG51" s="5" t="str">
        <f>IFERROR(__xludf.DUMMYFUNCTION("""COMPUTED_VALUE"""),"Yes")</f>
        <v>Yes</v>
      </c>
      <c r="AH51" s="5" t="str">
        <f>IFERROR(__xludf.DUMMYFUNCTION("""COMPUTED_VALUE"""),"Yes")</f>
        <v>Yes</v>
      </c>
      <c r="AI51" s="5" t="str">
        <f>IFERROR(__xludf.DUMMYFUNCTION("""COMPUTED_VALUE"""),"No")</f>
        <v>No</v>
      </c>
      <c r="AJ51" s="5" t="str">
        <f>IFERROR(__xludf.DUMMYFUNCTION("""COMPUTED_VALUE"""),"No")</f>
        <v>No</v>
      </c>
      <c r="AK51" s="5" t="str">
        <f>IFERROR(__xludf.DUMMYFUNCTION("""COMPUTED_VALUE"""),"No")</f>
        <v>No</v>
      </c>
      <c r="AL51" s="5" t="str">
        <f>IFERROR(__xludf.DUMMYFUNCTION("""COMPUTED_VALUE"""),"No")</f>
        <v>No</v>
      </c>
      <c r="AM51" s="5" t="str">
        <f>IFERROR(__xludf.DUMMYFUNCTION("""COMPUTED_VALUE"""),"No")</f>
        <v>No</v>
      </c>
      <c r="AN51" s="5" t="str">
        <f>IFERROR(__xludf.DUMMYFUNCTION("""COMPUTED_VALUE"""),"No")</f>
        <v>No</v>
      </c>
      <c r="AO51" s="5" t="str">
        <f>IFERROR(__xludf.DUMMYFUNCTION("""COMPUTED_VALUE"""),"No")</f>
        <v>No</v>
      </c>
      <c r="AP51" s="5" t="str">
        <f>IFERROR(__xludf.DUMMYFUNCTION("""COMPUTED_VALUE"""),"No")</f>
        <v>No</v>
      </c>
      <c r="AQ51" s="5" t="str">
        <f>IFERROR(__xludf.DUMMYFUNCTION("""COMPUTED_VALUE"""),"Yes")</f>
        <v>Yes</v>
      </c>
      <c r="AR51" s="5" t="str">
        <f>IFERROR(__xludf.DUMMYFUNCTION("""COMPUTED_VALUE"""),"No")</f>
        <v>No</v>
      </c>
      <c r="AS51" s="5" t="str">
        <f>IFERROR(__xludf.DUMMYFUNCTION("""COMPUTED_VALUE"""),"Yes")</f>
        <v>Yes</v>
      </c>
      <c r="AT51" s="5" t="str">
        <f>IFERROR(__xludf.DUMMYFUNCTION("""COMPUTED_VALUE"""),"No")</f>
        <v>No</v>
      </c>
      <c r="AU51" s="5"/>
      <c r="AV51" s="5" t="str">
        <f>IFERROR(__xludf.DUMMYFUNCTION("""COMPUTED_VALUE"""),"")</f>
        <v/>
      </c>
    </row>
    <row r="52">
      <c r="A52" s="5" t="str">
        <f>IFERROR(__xludf.DUMMYFUNCTION("""COMPUTED_VALUE"""),"Tiptop")</f>
        <v>Tiptop</v>
      </c>
      <c r="B52" s="5" t="str">
        <f>IFERROR(__xludf.DUMMYFUNCTION("""COMPUTED_VALUE"""),"Mister Luck")</f>
        <v>Mister Luck</v>
      </c>
      <c r="C52" s="5" t="str">
        <f>IFERROR(__xludf.DUMMYFUNCTION("""COMPUTED_VALUE"""),"UnicornMisterLuck")</f>
        <v>UnicornMisterLuck</v>
      </c>
      <c r="D52" s="6">
        <f>IFERROR(__xludf.DUMMYFUNCTION("""COMPUTED_VALUE"""),45441.0)</f>
        <v>45441</v>
      </c>
      <c r="E52" s="5" t="str">
        <f>IFERROR(__xludf.DUMMYFUNCTION("""COMPUTED_VALUE"""),"Slot")</f>
        <v>Slot</v>
      </c>
      <c r="F52" s="5">
        <f>IFERROR(__xludf.DUMMYFUNCTION("""COMPUTED_VALUE"""),15.5)</f>
        <v>15.5</v>
      </c>
      <c r="G52" s="5" t="str">
        <f>IFERROR(__xludf.DUMMYFUNCTION("""COMPUTED_VALUE"""),"5X3")</f>
        <v>5X3</v>
      </c>
      <c r="H52" s="5" t="str">
        <f>IFERROR(__xludf.DUMMYFUNCTION("""COMPUTED_VALUE"""),"5")</f>
        <v>5</v>
      </c>
      <c r="I52" s="5" t="str">
        <f>IFERROR(__xludf.DUMMYFUNCTION("""COMPUTED_VALUE"""),"5")</f>
        <v>5</v>
      </c>
      <c r="J52" s="5" t="str">
        <f>IFERROR(__xludf.DUMMYFUNCTION("""COMPUTED_VALUE"""),"96%")</f>
        <v>96%</v>
      </c>
      <c r="K52" s="5" t="str">
        <f>IFERROR(__xludf.DUMMYFUNCTION("""COMPUTED_VALUE"""),"Low")</f>
        <v>Low</v>
      </c>
      <c r="L52" s="5" t="str">
        <f>IFERROR(__xludf.DUMMYFUNCTION("""COMPUTED_VALUE"""),"13.64%")</f>
        <v>13.64%</v>
      </c>
      <c r="M52" s="5" t="str">
        <f>IFERROR(__xludf.DUMMYFUNCTION("""COMPUTED_VALUE"""),"x10000")</f>
        <v>x10000</v>
      </c>
      <c r="N52" s="5" t="str">
        <f>IFERROR(__xludf.DUMMYFUNCTION("""COMPUTED_VALUE"""),"0.05/100")</f>
        <v>0.05/100</v>
      </c>
      <c r="O52" s="5" t="str">
        <f>IFERROR(__xludf.DUMMYFUNCTION("""COMPUTED_VALUE"""),"No")</f>
        <v>No</v>
      </c>
      <c r="P52" s="5"/>
      <c r="Q52" s="7" t="str">
        <f>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R52" s="5" t="str">
        <f>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S5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2" s="5" t="str">
        <f>IFERROR(__xludf.DUMMYFUNCTION("""COMPUTED_VALUE"""),"Yes")</f>
        <v>Yes</v>
      </c>
      <c r="U52" s="5" t="str">
        <f>IFERROR(__xludf.DUMMYFUNCTION("""COMPUTED_VALUE"""),"Yes")</f>
        <v>Yes</v>
      </c>
      <c r="V52" s="5" t="str">
        <f>IFERROR(__xludf.DUMMYFUNCTION("""COMPUTED_VALUE"""),"Yes")</f>
        <v>Yes</v>
      </c>
      <c r="W52" s="5" t="str">
        <f>IFERROR(__xludf.DUMMYFUNCTION("""COMPUTED_VALUE"""),"No")</f>
        <v>No</v>
      </c>
      <c r="X52" s="5" t="str">
        <f>IFERROR(__xludf.DUMMYFUNCTION("""COMPUTED_VALUE"""),"No")</f>
        <v>No</v>
      </c>
      <c r="Y52" s="5" t="str">
        <f>IFERROR(__xludf.DUMMYFUNCTION("""COMPUTED_VALUE"""),"No")</f>
        <v>No</v>
      </c>
      <c r="Z52" s="5" t="str">
        <f>IFERROR(__xludf.DUMMYFUNCTION("""COMPUTED_VALUE"""),"No")</f>
        <v>No</v>
      </c>
      <c r="AA52" s="5" t="str">
        <f>IFERROR(__xludf.DUMMYFUNCTION("""COMPUTED_VALUE"""),"No")</f>
        <v>No</v>
      </c>
      <c r="AB52" s="5" t="str">
        <f>IFERROR(__xludf.DUMMYFUNCTION("""COMPUTED_VALUE"""),"Yes")</f>
        <v>Yes</v>
      </c>
      <c r="AC52" s="5" t="str">
        <f>IFERROR(__xludf.DUMMYFUNCTION("""COMPUTED_VALUE"""),"Yes")</f>
        <v>Yes</v>
      </c>
      <c r="AD52" s="5" t="str">
        <f>IFERROR(__xludf.DUMMYFUNCTION("""COMPUTED_VALUE"""),"Yes")</f>
        <v>Yes</v>
      </c>
      <c r="AE52" s="5" t="str">
        <f>IFERROR(__xludf.DUMMYFUNCTION("""COMPUTED_VALUE"""),"Yes")</f>
        <v>Yes</v>
      </c>
      <c r="AF52" s="5" t="str">
        <f>IFERROR(__xludf.DUMMYFUNCTION("""COMPUTED_VALUE"""),"Yes")</f>
        <v>Yes</v>
      </c>
      <c r="AG52" s="5" t="str">
        <f>IFERROR(__xludf.DUMMYFUNCTION("""COMPUTED_VALUE"""),"No")</f>
        <v>No</v>
      </c>
      <c r="AH52" s="5" t="str">
        <f>IFERROR(__xludf.DUMMYFUNCTION("""COMPUTED_VALUE"""),"Yes")</f>
        <v>Yes</v>
      </c>
      <c r="AI52" s="5" t="str">
        <f>IFERROR(__xludf.DUMMYFUNCTION("""COMPUTED_VALUE"""),"No")</f>
        <v>No</v>
      </c>
      <c r="AJ52" s="5" t="str">
        <f>IFERROR(__xludf.DUMMYFUNCTION("""COMPUTED_VALUE"""),"No")</f>
        <v>No</v>
      </c>
      <c r="AK52" s="5" t="str">
        <f>IFERROR(__xludf.DUMMYFUNCTION("""COMPUTED_VALUE"""),"No")</f>
        <v>No</v>
      </c>
      <c r="AL52" s="5" t="str">
        <f>IFERROR(__xludf.DUMMYFUNCTION("""COMPUTED_VALUE"""),"No")</f>
        <v>No</v>
      </c>
      <c r="AM52" s="5"/>
      <c r="AN52" s="5"/>
      <c r="AO52" s="5"/>
      <c r="AP52" s="5"/>
      <c r="AQ52" s="5" t="str">
        <f>IFERROR(__xludf.DUMMYFUNCTION("""COMPUTED_VALUE"""),"No")</f>
        <v>No</v>
      </c>
      <c r="AR52" s="5"/>
      <c r="AS52" s="5"/>
      <c r="AT52" s="5"/>
      <c r="AU52" s="5"/>
      <c r="AV52" s="5" t="str">
        <f>IFERROR(__xludf.DUMMYFUNCTION("""COMPUTED_VALUE"""),"")</f>
        <v/>
      </c>
    </row>
    <row r="53">
      <c r="A53" s="5" t="str">
        <f>IFERROR(__xludf.DUMMYFUNCTION("""COMPUTED_VALUE"""),"Tiptop")</f>
        <v>Tiptop</v>
      </c>
      <c r="B53" s="5" t="str">
        <f>IFERROR(__xludf.DUMMYFUNCTION("""COMPUTED_VALUE"""),"Froot Classic")</f>
        <v>Froot Classic</v>
      </c>
      <c r="C53" s="5" t="str">
        <f>IFERROR(__xludf.DUMMYFUNCTION("""COMPUTED_VALUE"""),"UnicornFrootClassic")</f>
        <v>UnicornFrootClassic</v>
      </c>
      <c r="D53" s="6">
        <f>IFERROR(__xludf.DUMMYFUNCTION("""COMPUTED_VALUE"""),45455.0)</f>
        <v>45455</v>
      </c>
      <c r="E53" s="5" t="str">
        <f>IFERROR(__xludf.DUMMYFUNCTION("""COMPUTED_VALUE"""),"Slot")</f>
        <v>Slot</v>
      </c>
      <c r="F53" s="5">
        <f>IFERROR(__xludf.DUMMYFUNCTION("""COMPUTED_VALUE"""),12.2)</f>
        <v>12.2</v>
      </c>
      <c r="G53" s="5" t="str">
        <f>IFERROR(__xludf.DUMMYFUNCTION("""COMPUTED_VALUE"""),"5X3")</f>
        <v>5X3</v>
      </c>
      <c r="H53" s="5" t="str">
        <f>IFERROR(__xludf.DUMMYFUNCTION("""COMPUTED_VALUE"""),"5")</f>
        <v>5</v>
      </c>
      <c r="I53" s="5" t="str">
        <f>IFERROR(__xludf.DUMMYFUNCTION("""COMPUTED_VALUE"""),"5")</f>
        <v>5</v>
      </c>
      <c r="J53" s="5" t="str">
        <f>IFERROR(__xludf.DUMMYFUNCTION("""COMPUTED_VALUE"""),"96%")</f>
        <v>96%</v>
      </c>
      <c r="K53" s="5" t="str">
        <f>IFERROR(__xludf.DUMMYFUNCTION("""COMPUTED_VALUE"""),"Low")</f>
        <v>Low</v>
      </c>
      <c r="L53" s="5" t="str">
        <f>IFERROR(__xludf.DUMMYFUNCTION("""COMPUTED_VALUE"""),"10.57%")</f>
        <v>10.57%</v>
      </c>
      <c r="M53" s="5" t="str">
        <f>IFERROR(__xludf.DUMMYFUNCTION("""COMPUTED_VALUE"""),"x1200")</f>
        <v>x1200</v>
      </c>
      <c r="N53" s="5" t="str">
        <f>IFERROR(__xludf.DUMMYFUNCTION("""COMPUTED_VALUE"""),"0.05/100")</f>
        <v>0.05/100</v>
      </c>
      <c r="O53" s="5" t="str">
        <f>IFERROR(__xludf.DUMMYFUNCTION("""COMPUTED_VALUE"""),"No")</f>
        <v>No</v>
      </c>
      <c r="P53" s="5"/>
      <c r="Q53" s="7" t="str">
        <f>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R53" s="5" t="str">
        <f>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S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IFERROR(__xludf.DUMMYFUNCTION("""COMPUTED_VALUE"""),"Yes")</f>
        <v>Yes</v>
      </c>
      <c r="AD53" s="5" t="str">
        <f>IFERROR(__xludf.DUMMYFUNCTION("""COMPUTED_VALUE"""),"Yes")</f>
        <v>Yes</v>
      </c>
      <c r="AE53" s="5" t="str">
        <f>IFERROR(__xludf.DUMMYFUNCTION("""COMPUTED_VALUE"""),"Yes")</f>
        <v>Yes</v>
      </c>
      <c r="AF53" s="5" t="str">
        <f>IFERROR(__xludf.DUMMYFUNCTION("""COMPUTED_VALUE"""),"Yes")</f>
        <v>Yes</v>
      </c>
      <c r="AG53" s="5" t="str">
        <f>IFERROR(__xludf.DUMMYFUNCTION("""COMPUTED_VALUE"""),"Yes")</f>
        <v>Yes</v>
      </c>
      <c r="AH53" s="5" t="str">
        <f>IFERROR(__xludf.DUMMYFUNCTION("""COMPUTED_VALUE"""),"Yes")</f>
        <v>Yes</v>
      </c>
      <c r="AI53" s="5" t="str">
        <f>IFERROR(__xludf.DUMMYFUNCTION("""COMPUTED_VALUE"""),"Yes")</f>
        <v>Yes</v>
      </c>
      <c r="AJ53" s="5" t="str">
        <f>IFERROR(__xludf.DUMMYFUNCTION("""COMPUTED_VALUE"""),"Yes")</f>
        <v>Yes</v>
      </c>
      <c r="AK53" s="5" t="str">
        <f>IFERROR(__xludf.DUMMYFUNCTION("""COMPUTED_VALUE"""),"Yes")</f>
        <v>Yes</v>
      </c>
      <c r="AL53" s="5" t="str">
        <f>IFERROR(__xludf.DUMMYFUNCTION("""COMPUTED_VALUE"""),"Yes")</f>
        <v>Yes</v>
      </c>
      <c r="AM53" s="5"/>
      <c r="AN53" s="5" t="str">
        <f>IFERROR(__xludf.DUMMYFUNCTION("""COMPUTED_VALUE"""),"Yes")</f>
        <v>Yes</v>
      </c>
      <c r="AO53" s="5"/>
      <c r="AP53" s="5"/>
      <c r="AQ53" s="5" t="str">
        <f>IFERROR(__xludf.DUMMYFUNCTION("""COMPUTED_VALUE"""),"Yes")</f>
        <v>Yes</v>
      </c>
      <c r="AR53" s="5"/>
      <c r="AS53" s="5"/>
      <c r="AT53" s="5"/>
      <c r="AU53" s="5"/>
      <c r="AV53" s="5" t="str">
        <f>IFERROR(__xludf.DUMMYFUNCTION("""COMPUTED_VALUE"""),"")</f>
        <v/>
      </c>
    </row>
    <row r="54">
      <c r="A54" s="5" t="str">
        <f>IFERROR(__xludf.DUMMYFUNCTION("""COMPUTED_VALUE"""),"Tiptop")</f>
        <v>Tiptop</v>
      </c>
      <c r="B54" s="5" t="str">
        <f>IFERROR(__xludf.DUMMYFUNCTION("""COMPUTED_VALUE"""),"Dice Wild Lines")</f>
        <v>Dice Wild Lines</v>
      </c>
      <c r="C54" s="5" t="str">
        <f>IFERROR(__xludf.DUMMYFUNCTION("""COMPUTED_VALUE"""),"UnicornDiceWildLines")</f>
        <v>UnicornDiceWildLines</v>
      </c>
      <c r="D54" s="6">
        <f>IFERROR(__xludf.DUMMYFUNCTION("""COMPUTED_VALUE"""),45488.0)</f>
        <v>45488</v>
      </c>
      <c r="E54" s="5" t="str">
        <f>IFERROR(__xludf.DUMMYFUNCTION("""COMPUTED_VALUE"""),"Dice Slots")</f>
        <v>Dice Slots</v>
      </c>
      <c r="F54" s="5">
        <f>IFERROR(__xludf.DUMMYFUNCTION("""COMPUTED_VALUE"""),13.3)</f>
        <v>13.3</v>
      </c>
      <c r="G54" s="5" t="str">
        <f>IFERROR(__xludf.DUMMYFUNCTION("""COMPUTED_VALUE"""),"5X3")</f>
        <v>5X3</v>
      </c>
      <c r="H54" s="5" t="str">
        <f>IFERROR(__xludf.DUMMYFUNCTION("""COMPUTED_VALUE"""),"10")</f>
        <v>10</v>
      </c>
      <c r="I54" s="5" t="str">
        <f>IFERROR(__xludf.DUMMYFUNCTION("""COMPUTED_VALUE"""),"10")</f>
        <v>10</v>
      </c>
      <c r="J54" s="5" t="str">
        <f>IFERROR(__xludf.DUMMYFUNCTION("""COMPUTED_VALUE"""),"96%")</f>
        <v>96%</v>
      </c>
      <c r="K54" s="5" t="str">
        <f>IFERROR(__xludf.DUMMYFUNCTION("""COMPUTED_VALUE"""),"High")</f>
        <v>High</v>
      </c>
      <c r="L54" s="5" t="str">
        <f>IFERROR(__xludf.DUMMYFUNCTION("""COMPUTED_VALUE"""),"9.46%")</f>
        <v>9.46%</v>
      </c>
      <c r="M54" s="5" t="str">
        <f>IFERROR(__xludf.DUMMYFUNCTION("""COMPUTED_VALUE"""),"x1000")</f>
        <v>x1000</v>
      </c>
      <c r="N54" s="5" t="str">
        <f>IFERROR(__xludf.DUMMYFUNCTION("""COMPUTED_VALUE"""),"0.1/100")</f>
        <v>0.1/100</v>
      </c>
      <c r="O54" s="5" t="str">
        <f>IFERROR(__xludf.DUMMYFUNCTION("""COMPUTED_VALUE"""),"No")</f>
        <v>No</v>
      </c>
      <c r="P54" s="5"/>
      <c r="Q54" s="7" t="str">
        <f>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R54" s="5" t="str">
        <f>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S5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5" t="str">
        <f>IFERROR(__xludf.DUMMYFUNCTION("""COMPUTED_VALUE"""),"Yes")</f>
        <v>Yes</v>
      </c>
      <c r="U54" s="5" t="str">
        <f>IFERROR(__xludf.DUMMYFUNCTION("""COMPUTED_VALUE"""),"Yes")</f>
        <v>Yes</v>
      </c>
      <c r="V54" s="5" t="str">
        <f>IFERROR(__xludf.DUMMYFUNCTION("""COMPUTED_VALUE"""),"Yes")</f>
        <v>Yes</v>
      </c>
      <c r="W54" s="5" t="str">
        <f>IFERROR(__xludf.DUMMYFUNCTION("""COMPUTED_VALUE"""),"No")</f>
        <v>No</v>
      </c>
      <c r="X54" s="5" t="str">
        <f>IFERROR(__xludf.DUMMYFUNCTION("""COMPUTED_VALUE"""),"No")</f>
        <v>No</v>
      </c>
      <c r="Y54" s="5" t="str">
        <f>IFERROR(__xludf.DUMMYFUNCTION("""COMPUTED_VALUE"""),"No")</f>
        <v>No</v>
      </c>
      <c r="Z54" s="5" t="str">
        <f>IFERROR(__xludf.DUMMYFUNCTION("""COMPUTED_VALUE"""),"No")</f>
        <v>No</v>
      </c>
      <c r="AA54" s="5" t="str">
        <f>IFERROR(__xludf.DUMMYFUNCTION("""COMPUTED_VALUE"""),"No")</f>
        <v>No</v>
      </c>
      <c r="AB54" s="5" t="str">
        <f>IFERROR(__xludf.DUMMYFUNCTION("""COMPUTED_VALUE"""),"Yes")</f>
        <v>Yes</v>
      </c>
      <c r="AC54" s="5" t="str">
        <f>IFERROR(__xludf.DUMMYFUNCTION("""COMPUTED_VALUE"""),"Yes")</f>
        <v>Yes</v>
      </c>
      <c r="AD54" s="5" t="str">
        <f>IFERROR(__xludf.DUMMYFUNCTION("""COMPUTED_VALUE"""),"Yes")</f>
        <v>Yes</v>
      </c>
      <c r="AE54" s="5" t="str">
        <f>IFERROR(__xludf.DUMMYFUNCTION("""COMPUTED_VALUE"""),"Yes")</f>
        <v>Yes</v>
      </c>
      <c r="AF54" s="5" t="str">
        <f>IFERROR(__xludf.DUMMYFUNCTION("""COMPUTED_VALUE"""),"Yes")</f>
        <v>Yes</v>
      </c>
      <c r="AG54" s="5" t="str">
        <f>IFERROR(__xludf.DUMMYFUNCTION("""COMPUTED_VALUE"""),"No")</f>
        <v>No</v>
      </c>
      <c r="AH54" s="5" t="str">
        <f>IFERROR(__xludf.DUMMYFUNCTION("""COMPUTED_VALUE"""),"Yes")</f>
        <v>Yes</v>
      </c>
      <c r="AI54" s="5" t="str">
        <f>IFERROR(__xludf.DUMMYFUNCTION("""COMPUTED_VALUE"""),"No")</f>
        <v>No</v>
      </c>
      <c r="AJ54" s="5" t="str">
        <f>IFERROR(__xludf.DUMMYFUNCTION("""COMPUTED_VALUE"""),"No")</f>
        <v>No</v>
      </c>
      <c r="AK54" s="5" t="str">
        <f>IFERROR(__xludf.DUMMYFUNCTION("""COMPUTED_VALUE"""),"No")</f>
        <v>No</v>
      </c>
      <c r="AL54" s="5" t="str">
        <f>IFERROR(__xludf.DUMMYFUNCTION("""COMPUTED_VALUE"""),"No")</f>
        <v>No</v>
      </c>
      <c r="AM54" s="5"/>
      <c r="AN54" s="5"/>
      <c r="AO54" s="5"/>
      <c r="AP54" s="5"/>
      <c r="AQ54" s="5" t="str">
        <f>IFERROR(__xludf.DUMMYFUNCTION("""COMPUTED_VALUE"""),"No")</f>
        <v>No</v>
      </c>
      <c r="AR54" s="5"/>
      <c r="AS54" s="5"/>
      <c r="AT54" s="5"/>
      <c r="AU54" s="5"/>
      <c r="AV54" s="5" t="str">
        <f>IFERROR(__xludf.DUMMYFUNCTION("""COMPUTED_VALUE"""),"")</f>
        <v/>
      </c>
    </row>
    <row r="55">
      <c r="A55" s="5" t="str">
        <f>IFERROR(__xludf.DUMMYFUNCTION("""COMPUTED_VALUE"""),"Tiptop")</f>
        <v>Tiptop</v>
      </c>
      <c r="B55" s="5" t="str">
        <f>IFERROR(__xludf.DUMMYFUNCTION("""COMPUTED_VALUE"""),"Sticky Hot")</f>
        <v>Sticky Hot</v>
      </c>
      <c r="C55" s="5" t="str">
        <f>IFERROR(__xludf.DUMMYFUNCTION("""COMPUTED_VALUE"""),"UnicornStickyHot")</f>
        <v>UnicornStickyHot</v>
      </c>
      <c r="D55" s="6">
        <f>IFERROR(__xludf.DUMMYFUNCTION("""COMPUTED_VALUE"""),45503.0)</f>
        <v>45503</v>
      </c>
      <c r="E55" s="5" t="str">
        <f>IFERROR(__xludf.DUMMYFUNCTION("""COMPUTED_VALUE"""),"Slot")</f>
        <v>Slot</v>
      </c>
      <c r="F55" s="5">
        <f>IFERROR(__xludf.DUMMYFUNCTION("""COMPUTED_VALUE"""),12.9)</f>
        <v>12.9</v>
      </c>
      <c r="G55" s="5" t="str">
        <f>IFERROR(__xludf.DUMMYFUNCTION("""COMPUTED_VALUE"""),"5X3")</f>
        <v>5X3</v>
      </c>
      <c r="H55" s="5" t="str">
        <f>IFERROR(__xludf.DUMMYFUNCTION("""COMPUTED_VALUE"""),"10")</f>
        <v>10</v>
      </c>
      <c r="I55" s="5" t="str">
        <f>IFERROR(__xludf.DUMMYFUNCTION("""COMPUTED_VALUE"""),"10")</f>
        <v>10</v>
      </c>
      <c r="J55" s="5" t="str">
        <f>IFERROR(__xludf.DUMMYFUNCTION("""COMPUTED_VALUE"""),"96%")</f>
        <v>96%</v>
      </c>
      <c r="K55" s="5" t="str">
        <f>IFERROR(__xludf.DUMMYFUNCTION("""COMPUTED_VALUE"""),"Medium")</f>
        <v>Medium</v>
      </c>
      <c r="L55" s="5" t="str">
        <f>IFERROR(__xludf.DUMMYFUNCTION("""COMPUTED_VALUE"""),"17.47%")</f>
        <v>17.47%</v>
      </c>
      <c r="M55" s="5" t="str">
        <f>IFERROR(__xludf.DUMMYFUNCTION("""COMPUTED_VALUE"""),"x3500")</f>
        <v>x3500</v>
      </c>
      <c r="N55" s="5" t="str">
        <f>IFERROR(__xludf.DUMMYFUNCTION("""COMPUTED_VALUE"""),"0.1/100")</f>
        <v>0.1/100</v>
      </c>
      <c r="O55" s="5" t="str">
        <f>IFERROR(__xludf.DUMMYFUNCTION("""COMPUTED_VALUE"""),"No")</f>
        <v>No</v>
      </c>
      <c r="P55" s="5"/>
      <c r="Q55" s="7" t="str">
        <f>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R55" s="5" t="str">
        <f>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S55"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5" s="5" t="str">
        <f>IFERROR(__xludf.DUMMYFUNCTION("""COMPUTED_VALUE"""),"Yes")</f>
        <v>Yes</v>
      </c>
      <c r="U55" s="5" t="str">
        <f>IFERROR(__xludf.DUMMYFUNCTION("""COMPUTED_VALUE"""),"Yes")</f>
        <v>Yes</v>
      </c>
      <c r="V55" s="5" t="str">
        <f>IFERROR(__xludf.DUMMYFUNCTION("""COMPUTED_VALUE"""),"No")</f>
        <v>No</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IFERROR(__xludf.DUMMYFUNCTION("""COMPUTED_VALUE"""),"Yes")</f>
        <v>Yes</v>
      </c>
      <c r="AD55" s="5" t="str">
        <f>IFERROR(__xludf.DUMMYFUNCTION("""COMPUTED_VALUE"""),"Yes")</f>
        <v>Yes</v>
      </c>
      <c r="AE55" s="5" t="str">
        <f>IFERROR(__xludf.DUMMYFUNCTION("""COMPUTED_VALUE"""),"Yes")</f>
        <v>Yes</v>
      </c>
      <c r="AF55" s="5" t="str">
        <f>IFERROR(__xludf.DUMMYFUNCTION("""COMPUTED_VALUE"""),"Yes")</f>
        <v>Yes</v>
      </c>
      <c r="AG55" s="5" t="str">
        <f>IFERROR(__xludf.DUMMYFUNCTION("""COMPUTED_VALUE"""),"No")</f>
        <v>No</v>
      </c>
      <c r="AH55" s="5" t="str">
        <f>IFERROR(__xludf.DUMMYFUNCTION("""COMPUTED_VALUE"""),"Yes")</f>
        <v>Yes</v>
      </c>
      <c r="AI55" s="5" t="str">
        <f>IFERROR(__xludf.DUMMYFUNCTION("""COMPUTED_VALUE"""),"No")</f>
        <v>No</v>
      </c>
      <c r="AJ55" s="5" t="str">
        <f>IFERROR(__xludf.DUMMYFUNCTION("""COMPUTED_VALUE"""),"No")</f>
        <v>No</v>
      </c>
      <c r="AK55" s="5" t="str">
        <f>IFERROR(__xludf.DUMMYFUNCTION("""COMPUTED_VALUE"""),"No")</f>
        <v>No</v>
      </c>
      <c r="AL55" s="5" t="str">
        <f>IFERROR(__xludf.DUMMYFUNCTION("""COMPUTED_VALUE"""),"No")</f>
        <v>No</v>
      </c>
      <c r="AM55" s="5" t="str">
        <f>IFERROR(__xludf.DUMMYFUNCTION("""COMPUTED_VALUE"""),"No")</f>
        <v>No</v>
      </c>
      <c r="AN55" s="5" t="str">
        <f>IFERROR(__xludf.DUMMYFUNCTION("""COMPUTED_VALUE"""),"No")</f>
        <v>No</v>
      </c>
      <c r="AO55" s="5" t="str">
        <f>IFERROR(__xludf.DUMMYFUNCTION("""COMPUTED_VALUE"""),"No")</f>
        <v>No</v>
      </c>
      <c r="AP55" s="5" t="str">
        <f>IFERROR(__xludf.DUMMYFUNCTION("""COMPUTED_VALUE"""),"No")</f>
        <v>No</v>
      </c>
      <c r="AQ55" s="5" t="str">
        <f>IFERROR(__xludf.DUMMYFUNCTION("""COMPUTED_VALUE"""),"No")</f>
        <v>No</v>
      </c>
      <c r="AR55" s="5" t="str">
        <f>IFERROR(__xludf.DUMMYFUNCTION("""COMPUTED_VALUE"""),"No")</f>
        <v>No</v>
      </c>
      <c r="AS55" s="5" t="str">
        <f>IFERROR(__xludf.DUMMYFUNCTION("""COMPUTED_VALUE"""),"Yes")</f>
        <v>Yes</v>
      </c>
      <c r="AT55" s="5" t="str">
        <f>IFERROR(__xludf.DUMMYFUNCTION("""COMPUTED_VALUE"""),"No")</f>
        <v>No</v>
      </c>
      <c r="AU55" s="5"/>
      <c r="AV55" s="5" t="str">
        <f>IFERROR(__xludf.DUMMYFUNCTION("""COMPUTED_VALUE"""),"")</f>
        <v/>
      </c>
    </row>
    <row r="56">
      <c r="A56" s="5" t="str">
        <f>IFERROR(__xludf.DUMMYFUNCTION("""COMPUTED_VALUE"""),"Tiptop")</f>
        <v>Tiptop</v>
      </c>
      <c r="B56" s="5" t="str">
        <f>IFERROR(__xludf.DUMMYFUNCTION("""COMPUTED_VALUE"""),"Buffalo Dice")</f>
        <v>Buffalo Dice</v>
      </c>
      <c r="C56" s="5" t="str">
        <f>IFERROR(__xludf.DUMMYFUNCTION("""COMPUTED_VALUE"""),"UnicornBuffaloDice")</f>
        <v>UnicornBuffaloDice</v>
      </c>
      <c r="D56" s="6">
        <f>IFERROR(__xludf.DUMMYFUNCTION("""COMPUTED_VALUE"""),45516.0)</f>
        <v>45516</v>
      </c>
      <c r="E56" s="5" t="str">
        <f>IFERROR(__xludf.DUMMYFUNCTION("""COMPUTED_VALUE"""),"Dice Slots")</f>
        <v>Dice Slots</v>
      </c>
      <c r="F56" s="5">
        <f>IFERROR(__xludf.DUMMYFUNCTION("""COMPUTED_VALUE"""),10.8)</f>
        <v>10.8</v>
      </c>
      <c r="G56" s="5" t="str">
        <f>IFERROR(__xludf.DUMMYFUNCTION("""COMPUTED_VALUE"""),"5X3")</f>
        <v>5X3</v>
      </c>
      <c r="H56" s="5">
        <f>IFERROR(__xludf.DUMMYFUNCTION("""COMPUTED_VALUE"""),10.0)</f>
        <v>10</v>
      </c>
      <c r="I56" s="5">
        <f>IFERROR(__xludf.DUMMYFUNCTION("""COMPUTED_VALUE"""),10.0)</f>
        <v>10</v>
      </c>
      <c r="J56" s="5" t="str">
        <f>IFERROR(__xludf.DUMMYFUNCTION("""COMPUTED_VALUE"""),"96%")</f>
        <v>96%</v>
      </c>
      <c r="K56" s="5" t="str">
        <f>IFERROR(__xludf.DUMMYFUNCTION("""COMPUTED_VALUE"""),"Low")</f>
        <v>Low</v>
      </c>
      <c r="L56" s="5" t="str">
        <f>IFERROR(__xludf.DUMMYFUNCTION("""COMPUTED_VALUE"""),"9.08%")</f>
        <v>9.08%</v>
      </c>
      <c r="M56" s="5" t="str">
        <f>IFERROR(__xludf.DUMMYFUNCTION("""COMPUTED_VALUE"""),"x5000")</f>
        <v>x5000</v>
      </c>
      <c r="N56" s="5" t="str">
        <f>IFERROR(__xludf.DUMMYFUNCTION("""COMPUTED_VALUE"""),"0.1/100")</f>
        <v>0.1/100</v>
      </c>
      <c r="O56" s="5" t="str">
        <f>IFERROR(__xludf.DUMMYFUNCTION("""COMPUTED_VALUE"""),"No")</f>
        <v>No</v>
      </c>
      <c r="P56" s="5"/>
      <c r="Q56" s="7" t="str">
        <f>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R56" s="5" t="str">
        <f>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S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IFERROR(__xludf.DUMMYFUNCTION("""COMPUTED_VALUE"""),"Yes")</f>
        <v>Yes</v>
      </c>
      <c r="AD56" s="5" t="str">
        <f>IFERROR(__xludf.DUMMYFUNCTION("""COMPUTED_VALUE"""),"Yes")</f>
        <v>Yes</v>
      </c>
      <c r="AE56" s="5" t="str">
        <f>IFERROR(__xludf.DUMMYFUNCTION("""COMPUTED_VALUE"""),"Yes")</f>
        <v>Yes</v>
      </c>
      <c r="AF56" s="5" t="str">
        <f>IFERROR(__xludf.DUMMYFUNCTION("""COMPUTED_VALUE"""),"Yes")</f>
        <v>Yes</v>
      </c>
      <c r="AG56" s="5" t="str">
        <f>IFERROR(__xludf.DUMMYFUNCTION("""COMPUTED_VALUE"""),"Yes")</f>
        <v>Yes</v>
      </c>
      <c r="AH56" s="5" t="str">
        <f>IFERROR(__xludf.DUMMYFUNCTION("""COMPUTED_VALUE"""),"Yes")</f>
        <v>Yes</v>
      </c>
      <c r="AI56" s="5" t="str">
        <f>IFERROR(__xludf.DUMMYFUNCTION("""COMPUTED_VALUE"""),"Yes")</f>
        <v>Yes</v>
      </c>
      <c r="AJ56" s="5" t="str">
        <f>IFERROR(__xludf.DUMMYFUNCTION("""COMPUTED_VALUE"""),"Yes")</f>
        <v>Yes</v>
      </c>
      <c r="AK56" s="5" t="str">
        <f>IFERROR(__xludf.DUMMYFUNCTION("""COMPUTED_VALUE"""),"Yes")</f>
        <v>Yes</v>
      </c>
      <c r="AL56" s="5" t="str">
        <f>IFERROR(__xludf.DUMMYFUNCTION("""COMPUTED_VALUE"""),"Yes")</f>
        <v>Yes</v>
      </c>
      <c r="AM56" s="5"/>
      <c r="AN56" s="5" t="str">
        <f>IFERROR(__xludf.DUMMYFUNCTION("""COMPUTED_VALUE"""),"Yes")</f>
        <v>Yes</v>
      </c>
      <c r="AO56" s="5" t="str">
        <f>IFERROR(__xludf.DUMMYFUNCTION("""COMPUTED_VALUE"""),"Yes")</f>
        <v>Yes</v>
      </c>
      <c r="AP56" s="5" t="str">
        <f>IFERROR(__xludf.DUMMYFUNCTION("""COMPUTED_VALUE"""),"Yes")</f>
        <v>Yes</v>
      </c>
      <c r="AQ56" s="5" t="str">
        <f>IFERROR(__xludf.DUMMYFUNCTION("""COMPUTED_VALUE"""),"Yes")</f>
        <v>Yes</v>
      </c>
      <c r="AR56" s="5" t="str">
        <f>IFERROR(__xludf.DUMMYFUNCTION("""COMPUTED_VALUE"""),"Yes")</f>
        <v>Yes</v>
      </c>
      <c r="AS56" s="5" t="str">
        <f>IFERROR(__xludf.DUMMYFUNCTION("""COMPUTED_VALUE"""),"Yes")</f>
        <v>Yes</v>
      </c>
      <c r="AT56" s="5"/>
      <c r="AU56" s="5"/>
      <c r="AV56" s="5" t="str">
        <f>IFERROR(__xludf.DUMMYFUNCTION("""COMPUTED_VALUE"""),"")</f>
        <v/>
      </c>
    </row>
    <row r="57">
      <c r="A57" s="5" t="str">
        <f>IFERROR(__xludf.DUMMYFUNCTION("""COMPUTED_VALUE"""),"Tiptop")</f>
        <v>Tiptop</v>
      </c>
      <c r="B57" s="5" t="str">
        <f>IFERROR(__xludf.DUMMYFUNCTION("""COMPUTED_VALUE"""),"Lava Dice")</f>
        <v>Lava Dice</v>
      </c>
      <c r="C57" s="5" t="str">
        <f>IFERROR(__xludf.DUMMYFUNCTION("""COMPUTED_VALUE"""),"UnicornLavaDice")</f>
        <v>UnicornLavaDice</v>
      </c>
      <c r="D57" s="6">
        <f>IFERROR(__xludf.DUMMYFUNCTION("""COMPUTED_VALUE"""),45476.0)</f>
        <v>45476</v>
      </c>
      <c r="E57" s="5" t="str">
        <f>IFERROR(__xludf.DUMMYFUNCTION("""COMPUTED_VALUE"""),"Dice Slots")</f>
        <v>Dice Slots</v>
      </c>
      <c r="F57" s="5">
        <f>IFERROR(__xludf.DUMMYFUNCTION("""COMPUTED_VALUE"""),10.9)</f>
        <v>10.9</v>
      </c>
      <c r="G57" s="5" t="str">
        <f>IFERROR(__xludf.DUMMYFUNCTION("""COMPUTED_VALUE"""),"5X3")</f>
        <v>5X3</v>
      </c>
      <c r="H57" s="5">
        <f>IFERROR(__xludf.DUMMYFUNCTION("""COMPUTED_VALUE"""),10.0)</f>
        <v>10</v>
      </c>
      <c r="I57" s="5">
        <f>IFERROR(__xludf.DUMMYFUNCTION("""COMPUTED_VALUE"""),10.0)</f>
        <v>10</v>
      </c>
      <c r="J57" s="5" t="str">
        <f>IFERROR(__xludf.DUMMYFUNCTION("""COMPUTED_VALUE"""),"96%")</f>
        <v>96%</v>
      </c>
      <c r="K57" s="5" t="str">
        <f>IFERROR(__xludf.DUMMYFUNCTION("""COMPUTED_VALUE"""),"Low")</f>
        <v>Low</v>
      </c>
      <c r="L57" s="5" t="str">
        <f>IFERROR(__xludf.DUMMYFUNCTION("""COMPUTED_VALUE"""),"24.14%")</f>
        <v>24.14%</v>
      </c>
      <c r="M57" s="5" t="str">
        <f>IFERROR(__xludf.DUMMYFUNCTION("""COMPUTED_VALUE"""),"x10000")</f>
        <v>x10000</v>
      </c>
      <c r="N57" s="5" t="str">
        <f>IFERROR(__xludf.DUMMYFUNCTION("""COMPUTED_VALUE"""),"0.1/100")</f>
        <v>0.1/100</v>
      </c>
      <c r="O57" s="5" t="str">
        <f>IFERROR(__xludf.DUMMYFUNCTION("""COMPUTED_VALUE"""),"No")</f>
        <v>No</v>
      </c>
      <c r="P57" s="5"/>
      <c r="Q57" s="7" t="str">
        <f>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R57" s="5" t="str">
        <f>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S57"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7" s="5" t="str">
        <f>IFERROR(__xludf.DUMMYFUNCTION("""COMPUTED_VALUE"""),"Yes")</f>
        <v>Yes</v>
      </c>
      <c r="U57" s="5" t="str">
        <f>IFERROR(__xludf.DUMMYFUNCTION("""COMPUTED_VALUE"""),"Yes")</f>
        <v>Yes</v>
      </c>
      <c r="V57" s="5" t="str">
        <f>IFERROR(__xludf.DUMMYFUNCTION("""COMPUTED_VALUE"""),"No")</f>
        <v>No</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IFERROR(__xludf.DUMMYFUNCTION("""COMPUTED_VALUE"""),"Yes")</f>
        <v>Yes</v>
      </c>
      <c r="AD57" s="5" t="str">
        <f>IFERROR(__xludf.DUMMYFUNCTION("""COMPUTED_VALUE"""),"Yes")</f>
        <v>Yes</v>
      </c>
      <c r="AE57" s="5" t="str">
        <f>IFERROR(__xludf.DUMMYFUNCTION("""COMPUTED_VALUE"""),"Yes")</f>
        <v>Yes</v>
      </c>
      <c r="AF57" s="5" t="str">
        <f>IFERROR(__xludf.DUMMYFUNCTION("""COMPUTED_VALUE"""),"Yes")</f>
        <v>Yes</v>
      </c>
      <c r="AG57" s="5" t="str">
        <f>IFERROR(__xludf.DUMMYFUNCTION("""COMPUTED_VALUE"""),"No")</f>
        <v>No</v>
      </c>
      <c r="AH57" s="5" t="str">
        <f>IFERROR(__xludf.DUMMYFUNCTION("""COMPUTED_VALUE"""),"Yes")</f>
        <v>Yes</v>
      </c>
      <c r="AI57" s="5" t="str">
        <f>IFERROR(__xludf.DUMMYFUNCTION("""COMPUTED_VALUE"""),"No")</f>
        <v>No</v>
      </c>
      <c r="AJ57" s="5" t="str">
        <f>IFERROR(__xludf.DUMMYFUNCTION("""COMPUTED_VALUE"""),"No")</f>
        <v>No</v>
      </c>
      <c r="AK57" s="5" t="str">
        <f>IFERROR(__xludf.DUMMYFUNCTION("""COMPUTED_VALUE"""),"No")</f>
        <v>No</v>
      </c>
      <c r="AL57" s="5" t="str">
        <f>IFERROR(__xludf.DUMMYFUNCTION("""COMPUTED_VALUE"""),"No")</f>
        <v>No</v>
      </c>
      <c r="AM57" s="5" t="str">
        <f>IFERROR(__xludf.DUMMYFUNCTION("""COMPUTED_VALUE"""),"No")</f>
        <v>No</v>
      </c>
      <c r="AN57" s="5" t="str">
        <f>IFERROR(__xludf.DUMMYFUNCTION("""COMPUTED_VALUE"""),"No")</f>
        <v>No</v>
      </c>
      <c r="AO57" s="5" t="str">
        <f>IFERROR(__xludf.DUMMYFUNCTION("""COMPUTED_VALUE"""),"No")</f>
        <v>No</v>
      </c>
      <c r="AP57" s="5" t="str">
        <f>IFERROR(__xludf.DUMMYFUNCTION("""COMPUTED_VALUE"""),"No")</f>
        <v>No</v>
      </c>
      <c r="AQ57" s="5" t="str">
        <f>IFERROR(__xludf.DUMMYFUNCTION("""COMPUTED_VALUE"""),"No")</f>
        <v>No</v>
      </c>
      <c r="AR57" s="5" t="str">
        <f>IFERROR(__xludf.DUMMYFUNCTION("""COMPUTED_VALUE"""),"No")</f>
        <v>No</v>
      </c>
      <c r="AS57" s="5" t="str">
        <f>IFERROR(__xludf.DUMMYFUNCTION("""COMPUTED_VALUE"""),"Yes")</f>
        <v>Yes</v>
      </c>
      <c r="AT57" s="5" t="str">
        <f>IFERROR(__xludf.DUMMYFUNCTION("""COMPUTED_VALUE"""),"No")</f>
        <v>No</v>
      </c>
      <c r="AU57" s="5"/>
      <c r="AV57" s="5" t="str">
        <f>IFERROR(__xludf.DUMMYFUNCTION("""COMPUTED_VALUE"""),"Available")</f>
        <v>Available</v>
      </c>
    </row>
    <row r="58">
      <c r="A58" s="5" t="str">
        <f>IFERROR(__xludf.DUMMYFUNCTION("""COMPUTED_VALUE"""),"Tiptop")</f>
        <v>Tiptop</v>
      </c>
      <c r="B58" s="5" t="str">
        <f>IFERROR(__xludf.DUMMYFUNCTION("""COMPUTED_VALUE"""),"Gold Line Dice")</f>
        <v>Gold Line Dice</v>
      </c>
      <c r="C58" s="5" t="str">
        <f>IFERROR(__xludf.DUMMYFUNCTION("""COMPUTED_VALUE"""),"UnicornGoldLineDice")</f>
        <v>UnicornGoldLineDice</v>
      </c>
      <c r="D58" s="6">
        <f>IFERROR(__xludf.DUMMYFUNCTION("""COMPUTED_VALUE"""),45533.0)</f>
        <v>45533</v>
      </c>
      <c r="E58" s="5" t="str">
        <f>IFERROR(__xludf.DUMMYFUNCTION("""COMPUTED_VALUE"""),"Dice Slots")</f>
        <v>Dice Slots</v>
      </c>
      <c r="F58" s="5">
        <f>IFERROR(__xludf.DUMMYFUNCTION("""COMPUTED_VALUE"""),12.9)</f>
        <v>12.9</v>
      </c>
      <c r="G58" s="5" t="str">
        <f>IFERROR(__xludf.DUMMYFUNCTION("""COMPUTED_VALUE"""),"5X3")</f>
        <v>5X3</v>
      </c>
      <c r="H58" s="5">
        <f>IFERROR(__xludf.DUMMYFUNCTION("""COMPUTED_VALUE"""),20.0)</f>
        <v>20</v>
      </c>
      <c r="I58" s="5" t="str">
        <f>IFERROR(__xludf.DUMMYFUNCTION("""COMPUTED_VALUE"""),"10+1 ")</f>
        <v>10+1 </v>
      </c>
      <c r="J58" s="5" t="str">
        <f>IFERROR(__xludf.DUMMYFUNCTION("""COMPUTED_VALUE"""),"96%")</f>
        <v>96%</v>
      </c>
      <c r="K58" s="5" t="str">
        <f>IFERROR(__xludf.DUMMYFUNCTION("""COMPUTED_VALUE"""),"Low")</f>
        <v>Low</v>
      </c>
      <c r="L58" s="5" t="str">
        <f>IFERROR(__xludf.DUMMYFUNCTION("""COMPUTED_VALUE"""),"17.39%")</f>
        <v>17.39%</v>
      </c>
      <c r="M58" s="5" t="str">
        <f>IFERROR(__xludf.DUMMYFUNCTION("""COMPUTED_VALUE"""),"x10000")</f>
        <v>x10000</v>
      </c>
      <c r="N58" s="5" t="str">
        <f>IFERROR(__xludf.DUMMYFUNCTION("""COMPUTED_VALUE"""),"0.2/100")</f>
        <v>0.2/100</v>
      </c>
      <c r="O58" s="5" t="str">
        <f>IFERROR(__xludf.DUMMYFUNCTION("""COMPUTED_VALUE"""),"No")</f>
        <v>No</v>
      </c>
      <c r="P58" s="5"/>
      <c r="Q58" s="7" t="str">
        <f>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R58" s="5" t="str">
        <f>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5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IFERROR(__xludf.DUMMYFUNCTION("""COMPUTED_VALUE"""),"Yes")</f>
        <v>Yes</v>
      </c>
      <c r="U58" s="5" t="str">
        <f>IFERROR(__xludf.DUMMYFUNCTION("""COMPUTED_VALUE"""),"Yes")</f>
        <v>Yes</v>
      </c>
      <c r="V58" s="5" t="str">
        <f>IFERROR(__xludf.DUMMYFUNCTION("""COMPUTED_VALUE"""),"No")</f>
        <v>No</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IFERROR(__xludf.DUMMYFUNCTION("""COMPUTED_VALUE"""),"Yes")</f>
        <v>Yes</v>
      </c>
      <c r="AD58" s="5" t="str">
        <f>IFERROR(__xludf.DUMMYFUNCTION("""COMPUTED_VALUE"""),"Yes")</f>
        <v>Yes</v>
      </c>
      <c r="AE58" s="5" t="str">
        <f>IFERROR(__xludf.DUMMYFUNCTION("""COMPUTED_VALUE"""),"Yes")</f>
        <v>Yes</v>
      </c>
      <c r="AF58" s="5" t="str">
        <f>IFERROR(__xludf.DUMMYFUNCTION("""COMPUTED_VALUE"""),"Yes")</f>
        <v>Yes</v>
      </c>
      <c r="AG58" s="5" t="str">
        <f>IFERROR(__xludf.DUMMYFUNCTION("""COMPUTED_VALUE"""),"Yes")</f>
        <v>Yes</v>
      </c>
      <c r="AH58" s="5" t="str">
        <f>IFERROR(__xludf.DUMMYFUNCTION("""COMPUTED_VALUE"""),"Yes")</f>
        <v>Yes</v>
      </c>
      <c r="AI58" s="5" t="str">
        <f>IFERROR(__xludf.DUMMYFUNCTION("""COMPUTED_VALUE"""),"No")</f>
        <v>No</v>
      </c>
      <c r="AJ58" s="5" t="str">
        <f>IFERROR(__xludf.DUMMYFUNCTION("""COMPUTED_VALUE"""),"No")</f>
        <v>No</v>
      </c>
      <c r="AK58" s="5" t="str">
        <f>IFERROR(__xludf.DUMMYFUNCTION("""COMPUTED_VALUE"""),"No")</f>
        <v>No</v>
      </c>
      <c r="AL58" s="5" t="str">
        <f>IFERROR(__xludf.DUMMYFUNCTION("""COMPUTED_VALUE"""),"No")</f>
        <v>No</v>
      </c>
      <c r="AM58" s="5" t="str">
        <f>IFERROR(__xludf.DUMMYFUNCTION("""COMPUTED_VALUE"""),"No")</f>
        <v>No</v>
      </c>
      <c r="AN58" s="5" t="str">
        <f>IFERROR(__xludf.DUMMYFUNCTION("""COMPUTED_VALUE"""),"No")</f>
        <v>No</v>
      </c>
      <c r="AO58" s="5" t="str">
        <f>IFERROR(__xludf.DUMMYFUNCTION("""COMPUTED_VALUE"""),"No")</f>
        <v>No</v>
      </c>
      <c r="AP58" s="5" t="str">
        <f>IFERROR(__xludf.DUMMYFUNCTION("""COMPUTED_VALUE"""),"No")</f>
        <v>No</v>
      </c>
      <c r="AQ58" s="5" t="str">
        <f>IFERROR(__xludf.DUMMYFUNCTION("""COMPUTED_VALUE"""),"No")</f>
        <v>No</v>
      </c>
      <c r="AR58" s="5" t="str">
        <f>IFERROR(__xludf.DUMMYFUNCTION("""COMPUTED_VALUE"""),"No")</f>
        <v>No</v>
      </c>
      <c r="AS58" s="5" t="str">
        <f>IFERROR(__xludf.DUMMYFUNCTION("""COMPUTED_VALUE"""),"Yes")</f>
        <v>Yes</v>
      </c>
      <c r="AT58" s="5" t="str">
        <f>IFERROR(__xludf.DUMMYFUNCTION("""COMPUTED_VALUE"""),"No")</f>
        <v>No</v>
      </c>
      <c r="AU58" s="5"/>
      <c r="AV58" s="5" t="str">
        <f>IFERROR(__xludf.DUMMYFUNCTION("""COMPUTED_VALUE"""),"")</f>
        <v/>
      </c>
    </row>
    <row r="59">
      <c r="A59" s="5" t="str">
        <f>IFERROR(__xludf.DUMMYFUNCTION("""COMPUTED_VALUE"""),"Tiptop")</f>
        <v>Tiptop</v>
      </c>
      <c r="B59" s="5" t="str">
        <f>IFERROR(__xludf.DUMMYFUNCTION("""COMPUTED_VALUE"""),"Lava Diamonds Christmas")</f>
        <v>Lava Diamonds Christmas</v>
      </c>
      <c r="C59" s="5" t="str">
        <f>IFERROR(__xludf.DUMMYFUNCTION("""COMPUTED_VALUE"""),"UnicornLavaDiamondsChristmas")</f>
        <v>UnicornLavaDiamondsChristmas</v>
      </c>
      <c r="D59" s="6">
        <f>IFERROR(__xludf.DUMMYFUNCTION("""COMPUTED_VALUE"""),45588.0)</f>
        <v>45588</v>
      </c>
      <c r="E59" s="5" t="str">
        <f>IFERROR(__xludf.DUMMYFUNCTION("""COMPUTED_VALUE"""),"Slot")</f>
        <v>Slot</v>
      </c>
      <c r="F59" s="5">
        <f>IFERROR(__xludf.DUMMYFUNCTION("""COMPUTED_VALUE"""),11.9)</f>
        <v>11.9</v>
      </c>
      <c r="G59" s="5" t="str">
        <f>IFERROR(__xludf.DUMMYFUNCTION("""COMPUTED_VALUE"""),"5X3")</f>
        <v>5X3</v>
      </c>
      <c r="H59" s="5">
        <f>IFERROR(__xludf.DUMMYFUNCTION("""COMPUTED_VALUE"""),10.0)</f>
        <v>10</v>
      </c>
      <c r="I59" s="5">
        <f>IFERROR(__xludf.DUMMYFUNCTION("""COMPUTED_VALUE"""),10.0)</f>
        <v>10</v>
      </c>
      <c r="J59" s="5" t="str">
        <f>IFERROR(__xludf.DUMMYFUNCTION("""COMPUTED_VALUE"""),"96%")</f>
        <v>96%</v>
      </c>
      <c r="K59" s="5" t="str">
        <f>IFERROR(__xludf.DUMMYFUNCTION("""COMPUTED_VALUE"""),"Low")</f>
        <v>Low</v>
      </c>
      <c r="L59" s="5" t="str">
        <f>IFERROR(__xludf.DUMMYFUNCTION("""COMPUTED_VALUE"""),"24.14%")</f>
        <v>24.14%</v>
      </c>
      <c r="M59" s="5" t="str">
        <f>IFERROR(__xludf.DUMMYFUNCTION("""COMPUTED_VALUE"""),"x10000")</f>
        <v>x10000</v>
      </c>
      <c r="N59" s="5" t="str">
        <f>IFERROR(__xludf.DUMMYFUNCTION("""COMPUTED_VALUE"""),"0.1/100")</f>
        <v>0.1/100</v>
      </c>
      <c r="O59" s="5" t="str">
        <f>IFERROR(__xludf.DUMMYFUNCTION("""COMPUTED_VALUE"""),"No")</f>
        <v>No</v>
      </c>
      <c r="P59" s="5"/>
      <c r="Q59" s="7" t="str">
        <f>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R59" s="5" t="str">
        <f>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S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IFERROR(__xludf.DUMMYFUNCTION("""COMPUTED_VALUE"""),"Yes")</f>
        <v>Yes</v>
      </c>
      <c r="AD59" s="5" t="str">
        <f>IFERROR(__xludf.DUMMYFUNCTION("""COMPUTED_VALUE"""),"Yes")</f>
        <v>Yes</v>
      </c>
      <c r="AE59" s="5" t="str">
        <f>IFERROR(__xludf.DUMMYFUNCTION("""COMPUTED_VALUE"""),"Yes")</f>
        <v>Yes</v>
      </c>
      <c r="AF59" s="5" t="str">
        <f>IFERROR(__xludf.DUMMYFUNCTION("""COMPUTED_VALUE"""),"Yes")</f>
        <v>Yes</v>
      </c>
      <c r="AG59" s="5" t="str">
        <f>IFERROR(__xludf.DUMMYFUNCTION("""COMPUTED_VALUE"""),"Yes")</f>
        <v>Yes</v>
      </c>
      <c r="AH59" s="5" t="str">
        <f>IFERROR(__xludf.DUMMYFUNCTION("""COMPUTED_VALUE"""),"Yes")</f>
        <v>Yes</v>
      </c>
      <c r="AI59" s="5" t="str">
        <f>IFERROR(__xludf.DUMMYFUNCTION("""COMPUTED_VALUE"""),"Yes")</f>
        <v>Yes</v>
      </c>
      <c r="AJ59" s="5" t="str">
        <f>IFERROR(__xludf.DUMMYFUNCTION("""COMPUTED_VALUE"""),"Yes")</f>
        <v>Yes</v>
      </c>
      <c r="AK59" s="5" t="str">
        <f>IFERROR(__xludf.DUMMYFUNCTION("""COMPUTED_VALUE"""),"Yes")</f>
        <v>Yes</v>
      </c>
      <c r="AL59" s="5" t="str">
        <f>IFERROR(__xludf.DUMMYFUNCTION("""COMPUTED_VALUE"""),"Yes")</f>
        <v>Yes</v>
      </c>
      <c r="AM59" s="5"/>
      <c r="AN59" s="5"/>
      <c r="AO59" s="5"/>
      <c r="AP59" s="5"/>
      <c r="AQ59" s="5" t="str">
        <f>IFERROR(__xludf.DUMMYFUNCTION("""COMPUTED_VALUE"""),"Yes")</f>
        <v>Yes</v>
      </c>
      <c r="AR59" s="5"/>
      <c r="AS59" s="5"/>
      <c r="AT59" s="5"/>
      <c r="AU59" s="5"/>
      <c r="AV59" s="5" t="str">
        <f>IFERROR(__xludf.DUMMYFUNCTION("""COMPUTED_VALUE"""),"")</f>
        <v/>
      </c>
    </row>
    <row r="60">
      <c r="A60" s="5" t="str">
        <f>IFERROR(__xludf.DUMMYFUNCTION("""COMPUTED_VALUE"""),"Tiptop")</f>
        <v>Tiptop</v>
      </c>
      <c r="B60" s="5" t="str">
        <f>IFERROR(__xludf.DUMMYFUNCTION("""COMPUTED_VALUE"""),"Pumpkin Horror")</f>
        <v>Pumpkin Horror</v>
      </c>
      <c r="C60" s="5" t="str">
        <f>IFERROR(__xludf.DUMMYFUNCTION("""COMPUTED_VALUE"""),"UnicornPumpkinHorror")</f>
        <v>UnicornPumpkinHorror</v>
      </c>
      <c r="D60" s="6">
        <f>IFERROR(__xludf.DUMMYFUNCTION("""COMPUTED_VALUE"""),45576.0)</f>
        <v>45576</v>
      </c>
      <c r="E60" s="5" t="str">
        <f>IFERROR(__xludf.DUMMYFUNCTION("""COMPUTED_VALUE"""),"Slot")</f>
        <v>Slot</v>
      </c>
      <c r="F60" s="5">
        <f>IFERROR(__xludf.DUMMYFUNCTION("""COMPUTED_VALUE"""),12.6)</f>
        <v>12.6</v>
      </c>
      <c r="G60" s="5" t="str">
        <f>IFERROR(__xludf.DUMMYFUNCTION("""COMPUTED_VALUE"""),"5X3")</f>
        <v>5X3</v>
      </c>
      <c r="H60" s="5">
        <f>IFERROR(__xludf.DUMMYFUNCTION("""COMPUTED_VALUE"""),10.0)</f>
        <v>10</v>
      </c>
      <c r="I60" s="5">
        <f>IFERROR(__xludf.DUMMYFUNCTION("""COMPUTED_VALUE"""),10.0)</f>
        <v>10</v>
      </c>
      <c r="J60" s="5" t="str">
        <f>IFERROR(__xludf.DUMMYFUNCTION("""COMPUTED_VALUE"""),"96%")</f>
        <v>96%</v>
      </c>
      <c r="K60" s="5" t="str">
        <f>IFERROR(__xludf.DUMMYFUNCTION("""COMPUTED_VALUE"""),"Medium")</f>
        <v>Medium</v>
      </c>
      <c r="L60" s="5" t="str">
        <f>IFERROR(__xludf.DUMMYFUNCTION("""COMPUTED_VALUE"""),"23.31%")</f>
        <v>23.31%</v>
      </c>
      <c r="M60" s="5" t="str">
        <f>IFERROR(__xludf.DUMMYFUNCTION("""COMPUTED_VALUE"""),"x10000")</f>
        <v>x10000</v>
      </c>
      <c r="N60" s="5" t="str">
        <f>IFERROR(__xludf.DUMMYFUNCTION("""COMPUTED_VALUE"""),"0.1/100")</f>
        <v>0.1/100</v>
      </c>
      <c r="O60" s="5" t="str">
        <f>IFERROR(__xludf.DUMMYFUNCTION("""COMPUTED_VALUE"""),"No")</f>
        <v>No</v>
      </c>
      <c r="P60" s="5"/>
      <c r="Q60" s="7" t="str">
        <f>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R60" s="5" t="str">
        <f>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S6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0" s="5" t="str">
        <f>IFERROR(__xludf.DUMMYFUNCTION("""COMPUTED_VALUE"""),"Yes")</f>
        <v>Yes</v>
      </c>
      <c r="U60" s="5" t="str">
        <f>IFERROR(__xludf.DUMMYFUNCTION("""COMPUTED_VALUE"""),"Yes")</f>
        <v>Yes</v>
      </c>
      <c r="V60" s="5" t="str">
        <f>IFERROR(__xludf.DUMMYFUNCTION("""COMPUTED_VALUE"""),"Yes")</f>
        <v>Yes</v>
      </c>
      <c r="W60" s="5" t="str">
        <f>IFERROR(__xludf.DUMMYFUNCTION("""COMPUTED_VALUE"""),"No")</f>
        <v>No</v>
      </c>
      <c r="X60" s="5" t="str">
        <f>IFERROR(__xludf.DUMMYFUNCTION("""COMPUTED_VALUE"""),"No")</f>
        <v>No</v>
      </c>
      <c r="Y60" s="5" t="str">
        <f>IFERROR(__xludf.DUMMYFUNCTION("""COMPUTED_VALUE"""),"No")</f>
        <v>No</v>
      </c>
      <c r="Z60" s="5" t="str">
        <f>IFERROR(__xludf.DUMMYFUNCTION("""COMPUTED_VALUE"""),"No")</f>
        <v>No</v>
      </c>
      <c r="AA60" s="5" t="str">
        <f>IFERROR(__xludf.DUMMYFUNCTION("""COMPUTED_VALUE"""),"No")</f>
        <v>No</v>
      </c>
      <c r="AB60" s="5" t="str">
        <f>IFERROR(__xludf.DUMMYFUNCTION("""COMPUTED_VALUE"""),"Yes")</f>
        <v>Yes</v>
      </c>
      <c r="AC60" s="5" t="str">
        <f>IFERROR(__xludf.DUMMYFUNCTION("""COMPUTED_VALUE"""),"Yes")</f>
        <v>Yes</v>
      </c>
      <c r="AD60" s="5" t="str">
        <f>IFERROR(__xludf.DUMMYFUNCTION("""COMPUTED_VALUE"""),"Yes")</f>
        <v>Yes</v>
      </c>
      <c r="AE60" s="5" t="str">
        <f>IFERROR(__xludf.DUMMYFUNCTION("""COMPUTED_VALUE"""),"Yes")</f>
        <v>Yes</v>
      </c>
      <c r="AF60" s="5" t="str">
        <f>IFERROR(__xludf.DUMMYFUNCTION("""COMPUTED_VALUE"""),"Yes")</f>
        <v>Yes</v>
      </c>
      <c r="AG60" s="5" t="str">
        <f>IFERROR(__xludf.DUMMYFUNCTION("""COMPUTED_VALUE"""),"No")</f>
        <v>No</v>
      </c>
      <c r="AH60" s="5" t="str">
        <f>IFERROR(__xludf.DUMMYFUNCTION("""COMPUTED_VALUE"""),"Yes")</f>
        <v>Yes</v>
      </c>
      <c r="AI60" s="5" t="str">
        <f>IFERROR(__xludf.DUMMYFUNCTION("""COMPUTED_VALUE"""),"No")</f>
        <v>No</v>
      </c>
      <c r="AJ60" s="5" t="str">
        <f>IFERROR(__xludf.DUMMYFUNCTION("""COMPUTED_VALUE"""),"No")</f>
        <v>No</v>
      </c>
      <c r="AK60" s="5" t="str">
        <f>IFERROR(__xludf.DUMMYFUNCTION("""COMPUTED_VALUE"""),"No")</f>
        <v>No</v>
      </c>
      <c r="AL60" s="5" t="str">
        <f>IFERROR(__xludf.DUMMYFUNCTION("""COMPUTED_VALUE"""),"No")</f>
        <v>No</v>
      </c>
      <c r="AM60" s="5"/>
      <c r="AN60" s="5"/>
      <c r="AO60" s="5"/>
      <c r="AP60" s="5"/>
      <c r="AQ60" s="5" t="str">
        <f>IFERROR(__xludf.DUMMYFUNCTION("""COMPUTED_VALUE"""),"No")</f>
        <v>No</v>
      </c>
      <c r="AR60" s="5"/>
      <c r="AS60" s="5"/>
      <c r="AT60" s="5"/>
      <c r="AU60" s="5"/>
      <c r="AV60" s="5" t="str">
        <f>IFERROR(__xludf.DUMMYFUNCTION("""COMPUTED_VALUE"""),"")</f>
        <v/>
      </c>
    </row>
    <row r="61">
      <c r="A61" s="5" t="str">
        <f>IFERROR(__xludf.DUMMYFUNCTION("""COMPUTED_VALUE"""),"Tiptop")</f>
        <v>Tiptop</v>
      </c>
      <c r="B61" s="5" t="str">
        <f>IFERROR(__xludf.DUMMYFUNCTION("""COMPUTED_VALUE"""),"Hit Line")</f>
        <v>Hit Line</v>
      </c>
      <c r="C61" s="5" t="str">
        <f>IFERROR(__xludf.DUMMYFUNCTION("""COMPUTED_VALUE"""),"UnicornHitLine")</f>
        <v>UnicornHitLine</v>
      </c>
      <c r="D61" s="6">
        <f>IFERROR(__xludf.DUMMYFUNCTION("""COMPUTED_VALUE"""),45547.0)</f>
        <v>45547</v>
      </c>
      <c r="E61" s="5" t="str">
        <f>IFERROR(__xludf.DUMMYFUNCTION("""COMPUTED_VALUE"""),"Slot")</f>
        <v>Slot</v>
      </c>
      <c r="F61" s="5">
        <f>IFERROR(__xludf.DUMMYFUNCTION("""COMPUTED_VALUE"""),13.3)</f>
        <v>13.3</v>
      </c>
      <c r="G61" s="5" t="str">
        <f>IFERROR(__xludf.DUMMYFUNCTION("""COMPUTED_VALUE"""),"5X3")</f>
        <v>5X3</v>
      </c>
      <c r="H61" s="5">
        <f>IFERROR(__xludf.DUMMYFUNCTION("""COMPUTED_VALUE"""),10.0)</f>
        <v>10</v>
      </c>
      <c r="I61" s="5">
        <f>IFERROR(__xludf.DUMMYFUNCTION("""COMPUTED_VALUE"""),10.0)</f>
        <v>10</v>
      </c>
      <c r="J61" s="5" t="str">
        <f>IFERROR(__xludf.DUMMYFUNCTION("""COMPUTED_VALUE"""),"96%")</f>
        <v>96%</v>
      </c>
      <c r="K61" s="5" t="str">
        <f>IFERROR(__xludf.DUMMYFUNCTION("""COMPUTED_VALUE"""),"Low")</f>
        <v>Low</v>
      </c>
      <c r="L61" s="5" t="str">
        <f>IFERROR(__xludf.DUMMYFUNCTION("""COMPUTED_VALUE"""),"10.88%")</f>
        <v>10.88%</v>
      </c>
      <c r="M61" s="5" t="str">
        <f>IFERROR(__xludf.DUMMYFUNCTION("""COMPUTED_VALUE"""),"x8000")</f>
        <v>x8000</v>
      </c>
      <c r="N61" s="5" t="str">
        <f>IFERROR(__xludf.DUMMYFUNCTION("""COMPUTED_VALUE"""),"0.1/100")</f>
        <v>0.1/100</v>
      </c>
      <c r="O61" s="5" t="str">
        <f>IFERROR(__xludf.DUMMYFUNCTION("""COMPUTED_VALUE"""),"No")</f>
        <v>No</v>
      </c>
      <c r="P61" s="5"/>
      <c r="Q61" s="7" t="str">
        <f>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R61" s="5" t="str">
        <f>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5" t="str">
        <f>IFERROR(__xludf.DUMMYFUNCTION("""COMPUTED_VALUE"""),"Yes")</f>
        <v>Yes</v>
      </c>
      <c r="U61" s="5" t="str">
        <f>IFERROR(__xludf.DUMMYFUNCTION("""COMPUTED_VALUE"""),"Yes")</f>
        <v>Yes</v>
      </c>
      <c r="V61" s="5" t="str">
        <f>IFERROR(__xludf.DUMMYFUNCTION("""COMPUTED_VALUE"""),"Yes")</f>
        <v>Yes</v>
      </c>
      <c r="W61" s="5" t="str">
        <f>IFERROR(__xludf.DUMMYFUNCTION("""COMPUTED_VALUE"""),"No")</f>
        <v>No</v>
      </c>
      <c r="X61" s="5" t="str">
        <f>IFERROR(__xludf.DUMMYFUNCTION("""COMPUTED_VALUE"""),"No")</f>
        <v>No</v>
      </c>
      <c r="Y61" s="5" t="str">
        <f>IFERROR(__xludf.DUMMYFUNCTION("""COMPUTED_VALUE"""),"No")</f>
        <v>No</v>
      </c>
      <c r="Z61" s="5" t="str">
        <f>IFERROR(__xludf.DUMMYFUNCTION("""COMPUTED_VALUE"""),"No")</f>
        <v>No</v>
      </c>
      <c r="AA61" s="5" t="str">
        <f>IFERROR(__xludf.DUMMYFUNCTION("""COMPUTED_VALUE"""),"No")</f>
        <v>No</v>
      </c>
      <c r="AB61" s="5" t="str">
        <f>IFERROR(__xludf.DUMMYFUNCTION("""COMPUTED_VALUE"""),"Yes")</f>
        <v>Yes</v>
      </c>
      <c r="AC61" s="5" t="str">
        <f>IFERROR(__xludf.DUMMYFUNCTION("""COMPUTED_VALUE"""),"Yes")</f>
        <v>Yes</v>
      </c>
      <c r="AD61" s="5" t="str">
        <f>IFERROR(__xludf.DUMMYFUNCTION("""COMPUTED_VALUE"""),"Yes")</f>
        <v>Yes</v>
      </c>
      <c r="AE61" s="5" t="str">
        <f>IFERROR(__xludf.DUMMYFUNCTION("""COMPUTED_VALUE"""),"Yes")</f>
        <v>Yes</v>
      </c>
      <c r="AF61" s="5" t="str">
        <f>IFERROR(__xludf.DUMMYFUNCTION("""COMPUTED_VALUE"""),"Yes")</f>
        <v>Yes</v>
      </c>
      <c r="AG61" s="5" t="str">
        <f>IFERROR(__xludf.DUMMYFUNCTION("""COMPUTED_VALUE"""),"No")</f>
        <v>No</v>
      </c>
      <c r="AH61" s="5" t="str">
        <f>IFERROR(__xludf.DUMMYFUNCTION("""COMPUTED_VALUE"""),"Yes")</f>
        <v>Yes</v>
      </c>
      <c r="AI61" s="5" t="str">
        <f>IFERROR(__xludf.DUMMYFUNCTION("""COMPUTED_VALUE"""),"No")</f>
        <v>No</v>
      </c>
      <c r="AJ61" s="5" t="str">
        <f>IFERROR(__xludf.DUMMYFUNCTION("""COMPUTED_VALUE"""),"No")</f>
        <v>No</v>
      </c>
      <c r="AK61" s="5" t="str">
        <f>IFERROR(__xludf.DUMMYFUNCTION("""COMPUTED_VALUE"""),"No")</f>
        <v>No</v>
      </c>
      <c r="AL61" s="5" t="str">
        <f>IFERROR(__xludf.DUMMYFUNCTION("""COMPUTED_VALUE"""),"No")</f>
        <v>No</v>
      </c>
      <c r="AM61" s="5"/>
      <c r="AN61" s="5"/>
      <c r="AO61" s="5"/>
      <c r="AP61" s="5"/>
      <c r="AQ61" s="5" t="str">
        <f>IFERROR(__xludf.DUMMYFUNCTION("""COMPUTED_VALUE"""),"No")</f>
        <v>No</v>
      </c>
      <c r="AR61" s="5"/>
      <c r="AS61" s="5"/>
      <c r="AT61" s="5"/>
      <c r="AU61" s="5"/>
      <c r="AV61" s="5" t="str">
        <f>IFERROR(__xludf.DUMMYFUNCTION("""COMPUTED_VALUE"""),"")</f>
        <v/>
      </c>
    </row>
    <row r="62">
      <c r="A62" s="5" t="str">
        <f>IFERROR(__xludf.DUMMYFUNCTION("""COMPUTED_VALUE"""),"Tiptop")</f>
        <v>Tiptop</v>
      </c>
      <c r="B62" s="5" t="str">
        <f>IFERROR(__xludf.DUMMYFUNCTION("""COMPUTED_VALUE"""),"20 Super Flames")</f>
        <v>20 Super Flames</v>
      </c>
      <c r="C62" s="5" t="str">
        <f>IFERROR(__xludf.DUMMYFUNCTION("""COMPUTED_VALUE"""),"Unicorn20SuperFlames")</f>
        <v>Unicorn20SuperFlames</v>
      </c>
      <c r="D62" s="6">
        <f>IFERROR(__xludf.DUMMYFUNCTION("""COMPUTED_VALUE"""),45580.0)</f>
        <v>45580</v>
      </c>
      <c r="E62" s="5" t="str">
        <f>IFERROR(__xludf.DUMMYFUNCTION("""COMPUTED_VALUE"""),"Slot")</f>
        <v>Slot</v>
      </c>
      <c r="F62" s="5">
        <f>IFERROR(__xludf.DUMMYFUNCTION("""COMPUTED_VALUE"""),9.2)</f>
        <v>9.2</v>
      </c>
      <c r="G62" s="5" t="str">
        <f>IFERROR(__xludf.DUMMYFUNCTION("""COMPUTED_VALUE"""),"5X3")</f>
        <v>5X3</v>
      </c>
      <c r="H62" s="5">
        <f>IFERROR(__xludf.DUMMYFUNCTION("""COMPUTED_VALUE"""),20.0)</f>
        <v>20</v>
      </c>
      <c r="I62" s="5">
        <f>IFERROR(__xludf.DUMMYFUNCTION("""COMPUTED_VALUE"""),20.0)</f>
        <v>20</v>
      </c>
      <c r="J62" s="5" t="str">
        <f>IFERROR(__xludf.DUMMYFUNCTION("""COMPUTED_VALUE"""),"96%")</f>
        <v>96%</v>
      </c>
      <c r="K62" s="5" t="str">
        <f>IFERROR(__xludf.DUMMYFUNCTION("""COMPUTED_VALUE"""),"Low")</f>
        <v>Low</v>
      </c>
      <c r="L62" s="5" t="str">
        <f>IFERROR(__xludf.DUMMYFUNCTION("""COMPUTED_VALUE"""),"16.45%")</f>
        <v>16.45%</v>
      </c>
      <c r="M62" s="5" t="str">
        <f>IFERROR(__xludf.DUMMYFUNCTION("""COMPUTED_VALUE"""),"x2000")</f>
        <v>x2000</v>
      </c>
      <c r="N62" s="5" t="str">
        <f>IFERROR(__xludf.DUMMYFUNCTION("""COMPUTED_VALUE"""),"0.2/100")</f>
        <v>0.2/100</v>
      </c>
      <c r="O62" s="5" t="str">
        <f>IFERROR(__xludf.DUMMYFUNCTION("""COMPUTED_VALUE"""),"No")</f>
        <v>No</v>
      </c>
      <c r="P62" s="5"/>
      <c r="Q62" s="7" t="str">
        <f>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R62" s="5" t="str">
        <f>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S6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2" s="5" t="str">
        <f>IFERROR(__xludf.DUMMYFUNCTION("""COMPUTED_VALUE"""),"Yes")</f>
        <v>Yes</v>
      </c>
      <c r="U62" s="5" t="str">
        <f>IFERROR(__xludf.DUMMYFUNCTION("""COMPUTED_VALUE"""),"Yes")</f>
        <v>Yes</v>
      </c>
      <c r="V62" s="5" t="str">
        <f>IFERROR(__xludf.DUMMYFUNCTION("""COMPUTED_VALUE"""),"No")</f>
        <v>No</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IFERROR(__xludf.DUMMYFUNCTION("""COMPUTED_VALUE"""),"Yes")</f>
        <v>Yes</v>
      </c>
      <c r="AD62" s="5" t="str">
        <f>IFERROR(__xludf.DUMMYFUNCTION("""COMPUTED_VALUE"""),"Yes")</f>
        <v>Yes</v>
      </c>
      <c r="AE62" s="5" t="str">
        <f>IFERROR(__xludf.DUMMYFUNCTION("""COMPUTED_VALUE"""),"Yes")</f>
        <v>Yes</v>
      </c>
      <c r="AF62" s="5" t="str">
        <f>IFERROR(__xludf.DUMMYFUNCTION("""COMPUTED_VALUE"""),"Yes")</f>
        <v>Yes</v>
      </c>
      <c r="AG62" s="5" t="str">
        <f>IFERROR(__xludf.DUMMYFUNCTION("""COMPUTED_VALUE"""),"Yes")</f>
        <v>Yes</v>
      </c>
      <c r="AH62" s="5" t="str">
        <f>IFERROR(__xludf.DUMMYFUNCTION("""COMPUTED_VALUE"""),"Yes")</f>
        <v>Yes</v>
      </c>
      <c r="AI62" s="5" t="str">
        <f>IFERROR(__xludf.DUMMYFUNCTION("""COMPUTED_VALUE"""),"No")</f>
        <v>No</v>
      </c>
      <c r="AJ62" s="5" t="str">
        <f>IFERROR(__xludf.DUMMYFUNCTION("""COMPUTED_VALUE"""),"No")</f>
        <v>No</v>
      </c>
      <c r="AK62" s="5" t="str">
        <f>IFERROR(__xludf.DUMMYFUNCTION("""COMPUTED_VALUE"""),"No")</f>
        <v>No</v>
      </c>
      <c r="AL62" s="5" t="str">
        <f>IFERROR(__xludf.DUMMYFUNCTION("""COMPUTED_VALUE"""),"No")</f>
        <v>No</v>
      </c>
      <c r="AM62" s="5" t="str">
        <f>IFERROR(__xludf.DUMMYFUNCTION("""COMPUTED_VALUE"""),"No")</f>
        <v>No</v>
      </c>
      <c r="AN62" s="5" t="str">
        <f>IFERROR(__xludf.DUMMYFUNCTION("""COMPUTED_VALUE"""),"No")</f>
        <v>No</v>
      </c>
      <c r="AO62" s="5" t="str">
        <f>IFERROR(__xludf.DUMMYFUNCTION("""COMPUTED_VALUE"""),"No")</f>
        <v>No</v>
      </c>
      <c r="AP62" s="5" t="str">
        <f>IFERROR(__xludf.DUMMYFUNCTION("""COMPUTED_VALUE"""),"No")</f>
        <v>No</v>
      </c>
      <c r="AQ62" s="5" t="str">
        <f>IFERROR(__xludf.DUMMYFUNCTION("""COMPUTED_VALUE"""),"No")</f>
        <v>No</v>
      </c>
      <c r="AR62" s="5" t="str">
        <f>IFERROR(__xludf.DUMMYFUNCTION("""COMPUTED_VALUE"""),"No")</f>
        <v>No</v>
      </c>
      <c r="AS62" s="5" t="str">
        <f>IFERROR(__xludf.DUMMYFUNCTION("""COMPUTED_VALUE"""),"Yes")</f>
        <v>Yes</v>
      </c>
      <c r="AT62" s="5" t="str">
        <f>IFERROR(__xludf.DUMMYFUNCTION("""COMPUTED_VALUE"""),"No")</f>
        <v>No</v>
      </c>
      <c r="AU62" s="5"/>
      <c r="AV62" s="5" t="str">
        <f>IFERROR(__xludf.DUMMYFUNCTION("""COMPUTED_VALUE"""),"")</f>
        <v/>
      </c>
    </row>
    <row r="63">
      <c r="A63" s="5" t="str">
        <f>IFERROR(__xludf.DUMMYFUNCTION("""COMPUTED_VALUE"""),"Tiptop")</f>
        <v>Tiptop</v>
      </c>
      <c r="B63" s="5" t="str">
        <f>IFERROR(__xludf.DUMMYFUNCTION("""COMPUTED_VALUE"""),"20 Hot Strike Jackpot")</f>
        <v>20 Hot Strike Jackpot</v>
      </c>
      <c r="C63" s="5" t="str">
        <f>IFERROR(__xludf.DUMMYFUNCTION("""COMPUTED_VALUE"""),"Unicorn20HotStrikeJackpot")</f>
        <v>Unicorn20HotStrikeJackpot</v>
      </c>
      <c r="D63" s="6">
        <f>IFERROR(__xludf.DUMMYFUNCTION("""COMPUTED_VALUE"""),45603.0)</f>
        <v>45603</v>
      </c>
      <c r="E63" s="5" t="str">
        <f>IFERROR(__xludf.DUMMYFUNCTION("""COMPUTED_VALUE"""),"Slot")</f>
        <v>Slot</v>
      </c>
      <c r="F63" s="5">
        <f>IFERROR(__xludf.DUMMYFUNCTION("""COMPUTED_VALUE"""),14.2)</f>
        <v>14.2</v>
      </c>
      <c r="G63" s="5" t="str">
        <f>IFERROR(__xludf.DUMMYFUNCTION("""COMPUTED_VALUE"""),"5X3")</f>
        <v>5X3</v>
      </c>
      <c r="H63" s="5">
        <f>IFERROR(__xludf.DUMMYFUNCTION("""COMPUTED_VALUE"""),20.0)</f>
        <v>20</v>
      </c>
      <c r="I63" s="5">
        <f>IFERROR(__xludf.DUMMYFUNCTION("""COMPUTED_VALUE"""),20.0)</f>
        <v>20</v>
      </c>
      <c r="J63" s="5" t="str">
        <f>IFERROR(__xludf.DUMMYFUNCTION("""COMPUTED_VALUE"""),"96%")</f>
        <v>96%</v>
      </c>
      <c r="K63" s="5" t="str">
        <f>IFERROR(__xludf.DUMMYFUNCTION("""COMPUTED_VALUE"""),"Low")</f>
        <v>Low</v>
      </c>
      <c r="L63" s="5" t="str">
        <f>IFERROR(__xludf.DUMMYFUNCTION("""COMPUTED_VALUE"""),"14.46%")</f>
        <v>14.46%</v>
      </c>
      <c r="M63" s="5" t="str">
        <f>IFERROR(__xludf.DUMMYFUNCTION("""COMPUTED_VALUE"""),"x10000")</f>
        <v>x10000</v>
      </c>
      <c r="N63" s="5" t="str">
        <f>IFERROR(__xludf.DUMMYFUNCTION("""COMPUTED_VALUE"""),"0.2/100")</f>
        <v>0.2/100</v>
      </c>
      <c r="O63" s="5" t="str">
        <f>IFERROR(__xludf.DUMMYFUNCTION("""COMPUTED_VALUE"""),"No")</f>
        <v>No</v>
      </c>
      <c r="P63" s="5"/>
      <c r="Q63" s="7" t="str">
        <f>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R63"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3" s="5" t="str">
        <f>IFERROR(__xludf.DUMMYFUNCTION("""COMPUTED_VALUE"""),"Yes")</f>
        <v>Yes</v>
      </c>
      <c r="U63" s="5" t="str">
        <f>IFERROR(__xludf.DUMMYFUNCTION("""COMPUTED_VALUE"""),"Yes")</f>
        <v>Yes</v>
      </c>
      <c r="V63" s="5" t="str">
        <f>IFERROR(__xludf.DUMMYFUNCTION("""COMPUTED_VALUE"""),"Yes")</f>
        <v>Yes</v>
      </c>
      <c r="W63" s="5" t="str">
        <f>IFERROR(__xludf.DUMMYFUNCTION("""COMPUTED_VALUE"""),"No")</f>
        <v>No</v>
      </c>
      <c r="X63" s="5" t="str">
        <f>IFERROR(__xludf.DUMMYFUNCTION("""COMPUTED_VALUE"""),"No")</f>
        <v>No</v>
      </c>
      <c r="Y63" s="5" t="str">
        <f>IFERROR(__xludf.DUMMYFUNCTION("""COMPUTED_VALUE"""),"No")</f>
        <v>No</v>
      </c>
      <c r="Z63" s="5" t="str">
        <f>IFERROR(__xludf.DUMMYFUNCTION("""COMPUTED_VALUE"""),"No")</f>
        <v>No</v>
      </c>
      <c r="AA63" s="5" t="str">
        <f>IFERROR(__xludf.DUMMYFUNCTION("""COMPUTED_VALUE"""),"No")</f>
        <v>No</v>
      </c>
      <c r="AB63" s="5" t="str">
        <f>IFERROR(__xludf.DUMMYFUNCTION("""COMPUTED_VALUE"""),"Yes")</f>
        <v>Yes</v>
      </c>
      <c r="AC63" s="5" t="str">
        <f>IFERROR(__xludf.DUMMYFUNCTION("""COMPUTED_VALUE"""),"Yes")</f>
        <v>Yes</v>
      </c>
      <c r="AD63" s="5" t="str">
        <f>IFERROR(__xludf.DUMMYFUNCTION("""COMPUTED_VALUE"""),"Yes")</f>
        <v>Yes</v>
      </c>
      <c r="AE63" s="5" t="str">
        <f>IFERROR(__xludf.DUMMYFUNCTION("""COMPUTED_VALUE"""),"Yes")</f>
        <v>Yes</v>
      </c>
      <c r="AF63" s="5" t="str">
        <f>IFERROR(__xludf.DUMMYFUNCTION("""COMPUTED_VALUE"""),"Yes")</f>
        <v>Yes</v>
      </c>
      <c r="AG63" s="5" t="str">
        <f>IFERROR(__xludf.DUMMYFUNCTION("""COMPUTED_VALUE"""),"No")</f>
        <v>No</v>
      </c>
      <c r="AH63" s="5" t="str">
        <f>IFERROR(__xludf.DUMMYFUNCTION("""COMPUTED_VALUE"""),"Yes")</f>
        <v>Yes</v>
      </c>
      <c r="AI63" s="5" t="str">
        <f>IFERROR(__xludf.DUMMYFUNCTION("""COMPUTED_VALUE"""),"No")</f>
        <v>No</v>
      </c>
      <c r="AJ63" s="5" t="str">
        <f>IFERROR(__xludf.DUMMYFUNCTION("""COMPUTED_VALUE"""),"No")</f>
        <v>No</v>
      </c>
      <c r="AK63" s="5" t="str">
        <f>IFERROR(__xludf.DUMMYFUNCTION("""COMPUTED_VALUE"""),"No")</f>
        <v>No</v>
      </c>
      <c r="AL63" s="5" t="str">
        <f>IFERROR(__xludf.DUMMYFUNCTION("""COMPUTED_VALUE"""),"No")</f>
        <v>No</v>
      </c>
      <c r="AM63" s="5"/>
      <c r="AN63" s="5"/>
      <c r="AO63" s="5" t="str">
        <f>IFERROR(__xludf.DUMMYFUNCTION("""COMPUTED_VALUE"""),"No")</f>
        <v>No</v>
      </c>
      <c r="AP63" s="5"/>
      <c r="AQ63" s="5" t="str">
        <f>IFERROR(__xludf.DUMMYFUNCTION("""COMPUTED_VALUE"""),"No")</f>
        <v>No</v>
      </c>
      <c r="AR63" s="5"/>
      <c r="AS63" s="5"/>
      <c r="AT63" s="5"/>
      <c r="AU63" s="5"/>
      <c r="AV63" s="5" t="str">
        <f>IFERROR(__xludf.DUMMYFUNCTION("""COMPUTED_VALUE"""),"")</f>
        <v/>
      </c>
    </row>
    <row r="64">
      <c r="A64" s="5" t="str">
        <f>IFERROR(__xludf.DUMMYFUNCTION("""COMPUTED_VALUE"""),"Tiptop")</f>
        <v>Tiptop</v>
      </c>
      <c r="B64" s="5" t="str">
        <f>IFERROR(__xludf.DUMMYFUNCTION("""COMPUTED_VALUE"""),"Hit Line Dice")</f>
        <v>Hit Line Dice</v>
      </c>
      <c r="C64" s="5" t="str">
        <f>IFERROR(__xludf.DUMMYFUNCTION("""COMPUTED_VALUE"""),"UnicornHitLineDice")</f>
        <v>UnicornHitLineDice</v>
      </c>
      <c r="D64" s="6">
        <f>IFERROR(__xludf.DUMMYFUNCTION("""COMPUTED_VALUE"""),45624.0)</f>
        <v>45624</v>
      </c>
      <c r="E64" s="5" t="str">
        <f>IFERROR(__xludf.DUMMYFUNCTION("""COMPUTED_VALUE"""),"Dice Slots")</f>
        <v>Dice Slots</v>
      </c>
      <c r="F64" s="5">
        <f>IFERROR(__xludf.DUMMYFUNCTION("""COMPUTED_VALUE"""),13.4)</f>
        <v>13.4</v>
      </c>
      <c r="G64" s="5" t="str">
        <f>IFERROR(__xludf.DUMMYFUNCTION("""COMPUTED_VALUE"""),"5X3")</f>
        <v>5X3</v>
      </c>
      <c r="H64" s="5">
        <f>IFERROR(__xludf.DUMMYFUNCTION("""COMPUTED_VALUE"""),10.0)</f>
        <v>10</v>
      </c>
      <c r="I64" s="5">
        <f>IFERROR(__xludf.DUMMYFUNCTION("""COMPUTED_VALUE"""),10.0)</f>
        <v>10</v>
      </c>
      <c r="J64" s="5" t="str">
        <f>IFERROR(__xludf.DUMMYFUNCTION("""COMPUTED_VALUE"""),"96%")</f>
        <v>96%</v>
      </c>
      <c r="K64" s="5" t="str">
        <f>IFERROR(__xludf.DUMMYFUNCTION("""COMPUTED_VALUE"""),"Low")</f>
        <v>Low</v>
      </c>
      <c r="L64" s="5" t="str">
        <f>IFERROR(__xludf.DUMMYFUNCTION("""COMPUTED_VALUE"""),"10.88%")</f>
        <v>10.88%</v>
      </c>
      <c r="M64" s="5" t="str">
        <f>IFERROR(__xludf.DUMMYFUNCTION("""COMPUTED_VALUE"""),"x8000")</f>
        <v>x8000</v>
      </c>
      <c r="N64" s="5" t="str">
        <f>IFERROR(__xludf.DUMMYFUNCTION("""COMPUTED_VALUE"""),"0.1/100")</f>
        <v>0.1/100</v>
      </c>
      <c r="O64" s="5" t="str">
        <f>IFERROR(__xludf.DUMMYFUNCTION("""COMPUTED_VALUE"""),"No")</f>
        <v>No</v>
      </c>
      <c r="P64" s="5"/>
      <c r="Q64" s="7" t="str">
        <f>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R64" s="5" t="str">
        <f>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T64" s="5" t="str">
        <f>IFERROR(__xludf.DUMMYFUNCTION("""COMPUTED_VALUE"""),"Yes")</f>
        <v>Yes</v>
      </c>
      <c r="U64" s="5" t="str">
        <f>IFERROR(__xludf.DUMMYFUNCTION("""COMPUTED_VALUE"""),"Yes")</f>
        <v>Yes</v>
      </c>
      <c r="V64" s="5" t="str">
        <f>IFERROR(__xludf.DUMMYFUNCTION("""COMPUTED_VALUE"""),"Yes")</f>
        <v>Yes</v>
      </c>
      <c r="W64" s="5" t="str">
        <f>IFERROR(__xludf.DUMMYFUNCTION("""COMPUTED_VALUE"""),"No")</f>
        <v>No</v>
      </c>
      <c r="X64" s="5" t="str">
        <f>IFERROR(__xludf.DUMMYFUNCTION("""COMPUTED_VALUE"""),"No")</f>
        <v>No</v>
      </c>
      <c r="Y64" s="5" t="str">
        <f>IFERROR(__xludf.DUMMYFUNCTION("""COMPUTED_VALUE"""),"No")</f>
        <v>No</v>
      </c>
      <c r="Z64" s="5" t="str">
        <f>IFERROR(__xludf.DUMMYFUNCTION("""COMPUTED_VALUE"""),"No")</f>
        <v>No</v>
      </c>
      <c r="AA64" s="5" t="str">
        <f>IFERROR(__xludf.DUMMYFUNCTION("""COMPUTED_VALUE"""),"No")</f>
        <v>No</v>
      </c>
      <c r="AB64" s="5" t="str">
        <f>IFERROR(__xludf.DUMMYFUNCTION("""COMPUTED_VALUE"""),"Yes")</f>
        <v>Yes</v>
      </c>
      <c r="AC64" s="5" t="str">
        <f>IFERROR(__xludf.DUMMYFUNCTION("""COMPUTED_VALUE"""),"Yes")</f>
        <v>Yes</v>
      </c>
      <c r="AD64" s="5" t="str">
        <f>IFERROR(__xludf.DUMMYFUNCTION("""COMPUTED_VALUE"""),"Yes")</f>
        <v>Yes</v>
      </c>
      <c r="AE64" s="5" t="str">
        <f>IFERROR(__xludf.DUMMYFUNCTION("""COMPUTED_VALUE"""),"Yes")</f>
        <v>Yes</v>
      </c>
      <c r="AF64" s="5" t="str">
        <f>IFERROR(__xludf.DUMMYFUNCTION("""COMPUTED_VALUE"""),"Yes")</f>
        <v>Yes</v>
      </c>
      <c r="AG64" s="5" t="str">
        <f>IFERROR(__xludf.DUMMYFUNCTION("""COMPUTED_VALUE"""),"No")</f>
        <v>No</v>
      </c>
      <c r="AH64" s="5" t="str">
        <f>IFERROR(__xludf.DUMMYFUNCTION("""COMPUTED_VALUE"""),"Yes")</f>
        <v>Yes</v>
      </c>
      <c r="AI64" s="5" t="str">
        <f>IFERROR(__xludf.DUMMYFUNCTION("""COMPUTED_VALUE"""),"No")</f>
        <v>No</v>
      </c>
      <c r="AJ64" s="5" t="str">
        <f>IFERROR(__xludf.DUMMYFUNCTION("""COMPUTED_VALUE"""),"No")</f>
        <v>No</v>
      </c>
      <c r="AK64" s="5" t="str">
        <f>IFERROR(__xludf.DUMMYFUNCTION("""COMPUTED_VALUE"""),"No")</f>
        <v>No</v>
      </c>
      <c r="AL64" s="5" t="str">
        <f>IFERROR(__xludf.DUMMYFUNCTION("""COMPUTED_VALUE"""),"No")</f>
        <v>No</v>
      </c>
      <c r="AM64" s="5"/>
      <c r="AN64" s="5"/>
      <c r="AO64" s="5"/>
      <c r="AP64" s="5"/>
      <c r="AQ64" s="5" t="str">
        <f>IFERROR(__xludf.DUMMYFUNCTION("""COMPUTED_VALUE"""),"No")</f>
        <v>No</v>
      </c>
      <c r="AR64" s="5"/>
      <c r="AS64" s="5"/>
      <c r="AT64" s="5"/>
      <c r="AU64" s="5"/>
      <c r="AV64" s="5" t="str">
        <f>IFERROR(__xludf.DUMMYFUNCTION("""COMPUTED_VALUE"""),"")</f>
        <v/>
      </c>
    </row>
    <row r="65">
      <c r="A65" s="5" t="str">
        <f>IFERROR(__xludf.DUMMYFUNCTION("""COMPUTED_VALUE"""),"Tiptop")</f>
        <v>Tiptop</v>
      </c>
      <c r="B65" s="5" t="str">
        <f>IFERROR(__xludf.DUMMYFUNCTION("""COMPUTED_VALUE"""),"Dynamite Run")</f>
        <v>Dynamite Run</v>
      </c>
      <c r="C65" s="5" t="str">
        <f>IFERROR(__xludf.DUMMYFUNCTION("""COMPUTED_VALUE"""),"UnicornDynamiteRun")</f>
        <v>UnicornDynamiteRun</v>
      </c>
      <c r="D65" s="6">
        <f>IFERROR(__xludf.DUMMYFUNCTION("""COMPUTED_VALUE"""),45644.0)</f>
        <v>45644</v>
      </c>
      <c r="E65" s="5" t="str">
        <f>IFERROR(__xludf.DUMMYFUNCTION("""COMPUTED_VALUE"""),"Slot")</f>
        <v>Slot</v>
      </c>
      <c r="F65" s="5">
        <f>IFERROR(__xludf.DUMMYFUNCTION("""COMPUTED_VALUE"""),12.3)</f>
        <v>12.3</v>
      </c>
      <c r="G65" s="5" t="str">
        <f>IFERROR(__xludf.DUMMYFUNCTION("""COMPUTED_VALUE"""),"5X3")</f>
        <v>5X3</v>
      </c>
      <c r="H65" s="5">
        <f>IFERROR(__xludf.DUMMYFUNCTION("""COMPUTED_VALUE"""),10.0)</f>
        <v>10</v>
      </c>
      <c r="I65" s="5">
        <f>IFERROR(__xludf.DUMMYFUNCTION("""COMPUTED_VALUE"""),10.0)</f>
        <v>10</v>
      </c>
      <c r="J65" s="5" t="str">
        <f>IFERROR(__xludf.DUMMYFUNCTION("""COMPUTED_VALUE"""),"96%")</f>
        <v>96%</v>
      </c>
      <c r="K65" s="5" t="str">
        <f>IFERROR(__xludf.DUMMYFUNCTION("""COMPUTED_VALUE"""),"Low")</f>
        <v>Low</v>
      </c>
      <c r="L65" s="5" t="str">
        <f>IFERROR(__xludf.DUMMYFUNCTION("""COMPUTED_VALUE"""),"26.12%")</f>
        <v>26.12%</v>
      </c>
      <c r="M65" s="5" t="str">
        <f>IFERROR(__xludf.DUMMYFUNCTION("""COMPUTED_VALUE"""),"x1100")</f>
        <v>x1100</v>
      </c>
      <c r="N65" s="5" t="str">
        <f>IFERROR(__xludf.DUMMYFUNCTION("""COMPUTED_VALUE"""),"0.1/100")</f>
        <v>0.1/100</v>
      </c>
      <c r="O65" s="5" t="str">
        <f>IFERROR(__xludf.DUMMYFUNCTION("""COMPUTED_VALUE"""),"No")</f>
        <v>No</v>
      </c>
      <c r="P65" s="5"/>
      <c r="Q65" s="7" t="str">
        <f>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R65" s="5" t="str">
        <f>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S65" s="5" t="str">
        <f>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T65" s="5" t="str">
        <f>IFERROR(__xludf.DUMMYFUNCTION("""COMPUTED_VALUE"""),"Yes")</f>
        <v>Yes</v>
      </c>
      <c r="U65" s="5" t="str">
        <f>IFERROR(__xludf.DUMMYFUNCTION("""COMPUTED_VALUE"""),"Yes")</f>
        <v>Yes</v>
      </c>
      <c r="V65" s="5" t="str">
        <f>IFERROR(__xludf.DUMMYFUNCTION("""COMPUTED_VALUE"""),"No")</f>
        <v>No</v>
      </c>
      <c r="W65" s="5" t="str">
        <f>IFERROR(__xludf.DUMMYFUNCTION("""COMPUTED_VALUE"""),"No")</f>
        <v>No</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IFERROR(__xludf.DUMMYFUNCTION("""COMPUTED_VALUE"""),"Yes")</f>
        <v>Yes</v>
      </c>
      <c r="AD65" s="5" t="str">
        <f>IFERROR(__xludf.DUMMYFUNCTION("""COMPUTED_VALUE"""),"Yes")</f>
        <v>Yes</v>
      </c>
      <c r="AE65" s="5" t="str">
        <f>IFERROR(__xludf.DUMMYFUNCTION("""COMPUTED_VALUE"""),"Yes")</f>
        <v>Yes</v>
      </c>
      <c r="AF65" s="5" t="str">
        <f>IFERROR(__xludf.DUMMYFUNCTION("""COMPUTED_VALUE"""),"Yes")</f>
        <v>Yes</v>
      </c>
      <c r="AG65" s="5" t="str">
        <f>IFERROR(__xludf.DUMMYFUNCTION("""COMPUTED_VALUE"""),"Yes")</f>
        <v>Yes</v>
      </c>
      <c r="AH65" s="5" t="str">
        <f>IFERROR(__xludf.DUMMYFUNCTION("""COMPUTED_VALUE"""),"Yes")</f>
        <v>Yes</v>
      </c>
      <c r="AI65" s="5" t="str">
        <f>IFERROR(__xludf.DUMMYFUNCTION("""COMPUTED_VALUE"""),"No")</f>
        <v>No</v>
      </c>
      <c r="AJ65" s="5" t="str">
        <f>IFERROR(__xludf.DUMMYFUNCTION("""COMPUTED_VALUE"""),"No")</f>
        <v>No</v>
      </c>
      <c r="AK65" s="5" t="str">
        <f>IFERROR(__xludf.DUMMYFUNCTION("""COMPUTED_VALUE"""),"No")</f>
        <v>No</v>
      </c>
      <c r="AL65" s="5" t="str">
        <f>IFERROR(__xludf.DUMMYFUNCTION("""COMPUTED_VALUE"""),"No")</f>
        <v>No</v>
      </c>
      <c r="AM65" s="5" t="str">
        <f>IFERROR(__xludf.DUMMYFUNCTION("""COMPUTED_VALUE"""),"No")</f>
        <v>No</v>
      </c>
      <c r="AN65" s="5" t="str">
        <f>IFERROR(__xludf.DUMMYFUNCTION("""COMPUTED_VALUE"""),"No")</f>
        <v>No</v>
      </c>
      <c r="AO65" s="5" t="str">
        <f>IFERROR(__xludf.DUMMYFUNCTION("""COMPUTED_VALUE"""),"No")</f>
        <v>No</v>
      </c>
      <c r="AP65" s="5" t="str">
        <f>IFERROR(__xludf.DUMMYFUNCTION("""COMPUTED_VALUE"""),"No")</f>
        <v>No</v>
      </c>
      <c r="AQ65" s="5" t="str">
        <f>IFERROR(__xludf.DUMMYFUNCTION("""COMPUTED_VALUE"""),"No")</f>
        <v>No</v>
      </c>
      <c r="AR65" s="5" t="str">
        <f>IFERROR(__xludf.DUMMYFUNCTION("""COMPUTED_VALUE"""),"No")</f>
        <v>No</v>
      </c>
      <c r="AS65" s="5" t="str">
        <f>IFERROR(__xludf.DUMMYFUNCTION("""COMPUTED_VALUE"""),"Yes")</f>
        <v>Yes</v>
      </c>
      <c r="AT65" s="5" t="str">
        <f>IFERROR(__xludf.DUMMYFUNCTION("""COMPUTED_VALUE"""),"No")</f>
        <v>No</v>
      </c>
      <c r="AU65" s="5"/>
      <c r="AV65" s="5" t="str">
        <f>IFERROR(__xludf.DUMMYFUNCTION("""COMPUTED_VALUE"""),"")</f>
        <v/>
      </c>
    </row>
    <row r="66">
      <c r="A66" s="5" t="str">
        <f>IFERROR(__xludf.DUMMYFUNCTION("""COMPUTED_VALUE"""),"Tiptop")</f>
        <v>Tiptop</v>
      </c>
      <c r="B66" s="5" t="str">
        <f>IFERROR(__xludf.DUMMYFUNCTION("""COMPUTED_VALUE"""),"20 Hot Strike Dice Jackpot")</f>
        <v>20 Hot Strike Dice Jackpot</v>
      </c>
      <c r="C66" s="5" t="str">
        <f>IFERROR(__xludf.DUMMYFUNCTION("""COMPUTED_VALUE"""),"Unicorn20HotStrikeDiceJackpot")</f>
        <v>Unicorn20HotStrikeDiceJackpot</v>
      </c>
      <c r="D66" s="6">
        <f>IFERROR(__xludf.DUMMYFUNCTION("""COMPUTED_VALUE"""),45679.0)</f>
        <v>45679</v>
      </c>
      <c r="E66" s="5" t="str">
        <f>IFERROR(__xludf.DUMMYFUNCTION("""COMPUTED_VALUE"""),"Dice Slots")</f>
        <v>Dice Slots</v>
      </c>
      <c r="F66" s="5">
        <f>IFERROR(__xludf.DUMMYFUNCTION("""COMPUTED_VALUE"""),13.1)</f>
        <v>13.1</v>
      </c>
      <c r="G66" s="5" t="str">
        <f>IFERROR(__xludf.DUMMYFUNCTION("""COMPUTED_VALUE"""),"5x3")</f>
        <v>5x3</v>
      </c>
      <c r="H66" s="5">
        <f>IFERROR(__xludf.DUMMYFUNCTION("""COMPUTED_VALUE"""),20.0)</f>
        <v>20</v>
      </c>
      <c r="I66" s="5">
        <f>IFERROR(__xludf.DUMMYFUNCTION("""COMPUTED_VALUE"""),20.0)</f>
        <v>20</v>
      </c>
      <c r="J66" s="5" t="str">
        <f>IFERROR(__xludf.DUMMYFUNCTION("""COMPUTED_VALUE"""),"96%")</f>
        <v>96%</v>
      </c>
      <c r="K66" s="5" t="str">
        <f>IFERROR(__xludf.DUMMYFUNCTION("""COMPUTED_VALUE"""),"Low")</f>
        <v>Low</v>
      </c>
      <c r="L66" s="5" t="str">
        <f>IFERROR(__xludf.DUMMYFUNCTION("""COMPUTED_VALUE"""),"14.46%")</f>
        <v>14.46%</v>
      </c>
      <c r="M66" s="5" t="str">
        <f>IFERROR(__xludf.DUMMYFUNCTION("""COMPUTED_VALUE"""),"x10000")</f>
        <v>x10000</v>
      </c>
      <c r="N66" s="5" t="str">
        <f>IFERROR(__xludf.DUMMYFUNCTION("""COMPUTED_VALUE"""),"0.2/100")</f>
        <v>0.2/100</v>
      </c>
      <c r="O66" s="5" t="str">
        <f>IFERROR(__xludf.DUMMYFUNCTION("""COMPUTED_VALUE"""),"No")</f>
        <v>No</v>
      </c>
      <c r="P66" s="5"/>
      <c r="Q66" s="7" t="str">
        <f>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R66" s="5" t="str">
        <f>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6" s="5" t="str">
        <f>IFERROR(__xludf.DUMMYFUNCTION("""COMPUTED_VALUE"""),"Yes")</f>
        <v>Yes</v>
      </c>
      <c r="U66" s="5" t="str">
        <f>IFERROR(__xludf.DUMMYFUNCTION("""COMPUTED_VALUE"""),"Yes")</f>
        <v>Yes</v>
      </c>
      <c r="V66" s="5" t="str">
        <f>IFERROR(__xludf.DUMMYFUNCTION("""COMPUTED_VALUE"""),"No")</f>
        <v>No</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IFERROR(__xludf.DUMMYFUNCTION("""COMPUTED_VALUE"""),"Yes")</f>
        <v>Yes</v>
      </c>
      <c r="AD66" s="5" t="str">
        <f>IFERROR(__xludf.DUMMYFUNCTION("""COMPUTED_VALUE"""),"Yes")</f>
        <v>Yes</v>
      </c>
      <c r="AE66" s="5" t="str">
        <f>IFERROR(__xludf.DUMMYFUNCTION("""COMPUTED_VALUE"""),"Yes")</f>
        <v>Yes</v>
      </c>
      <c r="AF66" s="5" t="str">
        <f>IFERROR(__xludf.DUMMYFUNCTION("""COMPUTED_VALUE"""),"Yes")</f>
        <v>Yes</v>
      </c>
      <c r="AG66" s="5" t="str">
        <f>IFERROR(__xludf.DUMMYFUNCTION("""COMPUTED_VALUE"""),"Yes")</f>
        <v>Yes</v>
      </c>
      <c r="AH66" s="5" t="str">
        <f>IFERROR(__xludf.DUMMYFUNCTION("""COMPUTED_VALUE"""),"Yes")</f>
        <v>Yes</v>
      </c>
      <c r="AI66" s="5" t="str">
        <f>IFERROR(__xludf.DUMMYFUNCTION("""COMPUTED_VALUE"""),"No")</f>
        <v>No</v>
      </c>
      <c r="AJ66" s="5" t="str">
        <f>IFERROR(__xludf.DUMMYFUNCTION("""COMPUTED_VALUE"""),"No")</f>
        <v>No</v>
      </c>
      <c r="AK66" s="5" t="str">
        <f>IFERROR(__xludf.DUMMYFUNCTION("""COMPUTED_VALUE"""),"No")</f>
        <v>No</v>
      </c>
      <c r="AL66" s="5" t="str">
        <f>IFERROR(__xludf.DUMMYFUNCTION("""COMPUTED_VALUE"""),"No")</f>
        <v>No</v>
      </c>
      <c r="AM66" s="5" t="str">
        <f>IFERROR(__xludf.DUMMYFUNCTION("""COMPUTED_VALUE"""),"No")</f>
        <v>No</v>
      </c>
      <c r="AN66" s="5" t="str">
        <f>IFERROR(__xludf.DUMMYFUNCTION("""COMPUTED_VALUE"""),"No")</f>
        <v>No</v>
      </c>
      <c r="AO66" s="5" t="str">
        <f>IFERROR(__xludf.DUMMYFUNCTION("""COMPUTED_VALUE"""),"Yes")</f>
        <v>Yes</v>
      </c>
      <c r="AP66" s="5" t="str">
        <f>IFERROR(__xludf.DUMMYFUNCTION("""COMPUTED_VALUE"""),"No")</f>
        <v>No</v>
      </c>
      <c r="AQ66" s="5" t="str">
        <f>IFERROR(__xludf.DUMMYFUNCTION("""COMPUTED_VALUE"""),"No")</f>
        <v>No</v>
      </c>
      <c r="AR66" s="5" t="str">
        <f>IFERROR(__xludf.DUMMYFUNCTION("""COMPUTED_VALUE"""),"No")</f>
        <v>No</v>
      </c>
      <c r="AS66" s="5" t="str">
        <f>IFERROR(__xludf.DUMMYFUNCTION("""COMPUTED_VALUE"""),"Yes")</f>
        <v>Yes</v>
      </c>
      <c r="AT66" s="5" t="str">
        <f>IFERROR(__xludf.DUMMYFUNCTION("""COMPUTED_VALUE"""),"No")</f>
        <v>No</v>
      </c>
      <c r="AU66" s="5"/>
      <c r="AV66" s="5" t="str">
        <f>IFERROR(__xludf.DUMMYFUNCTION("""COMPUTED_VALUE"""),"")</f>
        <v/>
      </c>
    </row>
    <row r="67">
      <c r="A67" s="5" t="str">
        <f>IFERROR(__xludf.DUMMYFUNCTION("""COMPUTED_VALUE"""),"Tiptop")</f>
        <v>Tiptop</v>
      </c>
      <c r="B67" s="5" t="str">
        <f>IFERROR(__xludf.DUMMYFUNCTION("""COMPUTED_VALUE"""),"Dice Machine")</f>
        <v>Dice Machine</v>
      </c>
      <c r="C67" s="5" t="str">
        <f>IFERROR(__xludf.DUMMYFUNCTION("""COMPUTED_VALUE"""),"UnicornDiceMachine")</f>
        <v>UnicornDiceMachine</v>
      </c>
      <c r="D67" s="6">
        <f>IFERROR(__xludf.DUMMYFUNCTION("""COMPUTED_VALUE"""),45687.0)</f>
        <v>45687</v>
      </c>
      <c r="E67" s="5" t="str">
        <f>IFERROR(__xludf.DUMMYFUNCTION("""COMPUTED_VALUE"""),"Dice Slots")</f>
        <v>Dice Slots</v>
      </c>
      <c r="F67" s="5">
        <f>IFERROR(__xludf.DUMMYFUNCTION("""COMPUTED_VALUE"""),10.9)</f>
        <v>10.9</v>
      </c>
      <c r="G67" s="5" t="str">
        <f>IFERROR(__xludf.DUMMYFUNCTION("""COMPUTED_VALUE"""),"5x3")</f>
        <v>5x3</v>
      </c>
      <c r="H67" s="5">
        <f>IFERROR(__xludf.DUMMYFUNCTION("""COMPUTED_VALUE"""),5.0)</f>
        <v>5</v>
      </c>
      <c r="I67" s="5">
        <f>IFERROR(__xludf.DUMMYFUNCTION("""COMPUTED_VALUE"""),5.0)</f>
        <v>5</v>
      </c>
      <c r="J67" s="5" t="str">
        <f>IFERROR(__xludf.DUMMYFUNCTION("""COMPUTED_VALUE"""),"96%")</f>
        <v>96%</v>
      </c>
      <c r="K67" s="5" t="str">
        <f>IFERROR(__xludf.DUMMYFUNCTION("""COMPUTED_VALUE"""),"Low")</f>
        <v>Low</v>
      </c>
      <c r="L67" s="5" t="str">
        <f>IFERROR(__xludf.DUMMYFUNCTION("""COMPUTED_VALUE"""),"10.5%")</f>
        <v>10.5%</v>
      </c>
      <c r="M67" s="5" t="str">
        <f>IFERROR(__xludf.DUMMYFUNCTION("""COMPUTED_VALUE"""),"x1000")</f>
        <v>x1000</v>
      </c>
      <c r="N67" s="5" t="str">
        <f>IFERROR(__xludf.DUMMYFUNCTION("""COMPUTED_VALUE"""),"0.05/100")</f>
        <v>0.05/100</v>
      </c>
      <c r="O67" s="5" t="str">
        <f>IFERROR(__xludf.DUMMYFUNCTION("""COMPUTED_VALUE"""),"No")</f>
        <v>No</v>
      </c>
      <c r="P67" s="5"/>
      <c r="Q67" s="7" t="str">
        <f>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R67" s="5" t="str">
        <f>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S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IFERROR(__xludf.DUMMYFUNCTION("""COMPUTED_VALUE"""),"Yes")</f>
        <v>Yes</v>
      </c>
      <c r="AD67" s="5" t="str">
        <f>IFERROR(__xludf.DUMMYFUNCTION("""COMPUTED_VALUE"""),"Yes")</f>
        <v>Yes</v>
      </c>
      <c r="AE67" s="5" t="str">
        <f>IFERROR(__xludf.DUMMYFUNCTION("""COMPUTED_VALUE"""),"Yes")</f>
        <v>Yes</v>
      </c>
      <c r="AF67" s="5" t="str">
        <f>IFERROR(__xludf.DUMMYFUNCTION("""COMPUTED_VALUE"""),"Yes")</f>
        <v>Yes</v>
      </c>
      <c r="AG67" s="5" t="str">
        <f>IFERROR(__xludf.DUMMYFUNCTION("""COMPUTED_VALUE"""),"Yes")</f>
        <v>Yes</v>
      </c>
      <c r="AH67" s="5" t="str">
        <f>IFERROR(__xludf.DUMMYFUNCTION("""COMPUTED_VALUE"""),"Yes")</f>
        <v>Yes</v>
      </c>
      <c r="AI67" s="5" t="str">
        <f>IFERROR(__xludf.DUMMYFUNCTION("""COMPUTED_VALUE"""),"Yes")</f>
        <v>Yes</v>
      </c>
      <c r="AJ67" s="5" t="str">
        <f>IFERROR(__xludf.DUMMYFUNCTION("""COMPUTED_VALUE"""),"Yes")</f>
        <v>Yes</v>
      </c>
      <c r="AK67" s="5" t="str">
        <f>IFERROR(__xludf.DUMMYFUNCTION("""COMPUTED_VALUE"""),"Yes")</f>
        <v>Yes</v>
      </c>
      <c r="AL67" s="5" t="str">
        <f>IFERROR(__xludf.DUMMYFUNCTION("""COMPUTED_VALUE"""),"Yes")</f>
        <v>Yes</v>
      </c>
      <c r="AM67" s="5"/>
      <c r="AN67" s="5"/>
      <c r="AO67" s="5"/>
      <c r="AP67" s="5"/>
      <c r="AQ67" s="5" t="str">
        <f>IFERROR(__xludf.DUMMYFUNCTION("""COMPUTED_VALUE"""),"Yes")</f>
        <v>Yes</v>
      </c>
      <c r="AR67" s="5"/>
      <c r="AS67" s="5"/>
      <c r="AT67" s="5"/>
      <c r="AU67" s="5"/>
      <c r="AV67" s="5" t="str">
        <f>IFERROR(__xludf.DUMMYFUNCTION("""COMPUTED_VALUE"""),"")</f>
        <v/>
      </c>
    </row>
    <row r="68">
      <c r="A68" s="5" t="str">
        <f>IFERROR(__xludf.DUMMYFUNCTION("""COMPUTED_VALUE"""),"Tiptop")</f>
        <v>Tiptop</v>
      </c>
      <c r="B68" s="5" t="str">
        <f>IFERROR(__xludf.DUMMYFUNCTION("""COMPUTED_VALUE"""),"Thunder Fruits")</f>
        <v>Thunder Fruits</v>
      </c>
      <c r="C68" s="5" t="str">
        <f>IFERROR(__xludf.DUMMYFUNCTION("""COMPUTED_VALUE"""),"UnicornThunderFruits")</f>
        <v>UnicornThunderFruits</v>
      </c>
      <c r="D68" s="6">
        <f>IFERROR(__xludf.DUMMYFUNCTION("""COMPUTED_VALUE"""),45694.0)</f>
        <v>45694</v>
      </c>
      <c r="E68" s="5" t="str">
        <f>IFERROR(__xludf.DUMMYFUNCTION("""COMPUTED_VALUE"""),"Slot")</f>
        <v>Slot</v>
      </c>
      <c r="F68" s="5">
        <f>IFERROR(__xludf.DUMMYFUNCTION("""COMPUTED_VALUE"""),11.1)</f>
        <v>11.1</v>
      </c>
      <c r="G68" s="5" t="str">
        <f>IFERROR(__xludf.DUMMYFUNCTION("""COMPUTED_VALUE"""),"5x3")</f>
        <v>5x3</v>
      </c>
      <c r="H68" s="5">
        <f>IFERROR(__xludf.DUMMYFUNCTION("""COMPUTED_VALUE"""),5.0)</f>
        <v>5</v>
      </c>
      <c r="I68" s="5">
        <f>IFERROR(__xludf.DUMMYFUNCTION("""COMPUTED_VALUE"""),5.0)</f>
        <v>5</v>
      </c>
      <c r="J68" s="5" t="str">
        <f>IFERROR(__xludf.DUMMYFUNCTION("""COMPUTED_VALUE"""),"96%")</f>
        <v>96%</v>
      </c>
      <c r="K68" s="5" t="str">
        <f>IFERROR(__xludf.DUMMYFUNCTION("""COMPUTED_VALUE"""),"Low")</f>
        <v>Low</v>
      </c>
      <c r="L68" s="5" t="str">
        <f>IFERROR(__xludf.DUMMYFUNCTION("""COMPUTED_VALUE"""),"9.2%")</f>
        <v>9.2%</v>
      </c>
      <c r="M68" s="5" t="str">
        <f>IFERROR(__xludf.DUMMYFUNCTION("""COMPUTED_VALUE"""),"x1000")</f>
        <v>x1000</v>
      </c>
      <c r="N68" s="5" t="str">
        <f>IFERROR(__xludf.DUMMYFUNCTION("""COMPUTED_VALUE"""),"0.05/100")</f>
        <v>0.05/100</v>
      </c>
      <c r="O68" s="5" t="str">
        <f>IFERROR(__xludf.DUMMYFUNCTION("""COMPUTED_VALUE"""),"No")</f>
        <v>No</v>
      </c>
      <c r="P68" s="5"/>
      <c r="Q68" s="7" t="str">
        <f>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R68" s="5" t="str">
        <f>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S6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5" t="str">
        <f>IFERROR(__xludf.DUMMYFUNCTION("""COMPUTED_VALUE"""),"Yes")</f>
        <v>Yes</v>
      </c>
      <c r="U68" s="5" t="str">
        <f>IFERROR(__xludf.DUMMYFUNCTION("""COMPUTED_VALUE"""),"Yes")</f>
        <v>Yes</v>
      </c>
      <c r="V68" s="5" t="str">
        <f>IFERROR(__xludf.DUMMYFUNCTION("""COMPUTED_VALUE"""),"No")</f>
        <v>No</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IFERROR(__xludf.DUMMYFUNCTION("""COMPUTED_VALUE"""),"Yes")</f>
        <v>Yes</v>
      </c>
      <c r="AD68" s="5" t="str">
        <f>IFERROR(__xludf.DUMMYFUNCTION("""COMPUTED_VALUE"""),"Yes")</f>
        <v>Yes</v>
      </c>
      <c r="AE68" s="5" t="str">
        <f>IFERROR(__xludf.DUMMYFUNCTION("""COMPUTED_VALUE"""),"Yes")</f>
        <v>Yes</v>
      </c>
      <c r="AF68" s="5" t="str">
        <f>IFERROR(__xludf.DUMMYFUNCTION("""COMPUTED_VALUE"""),"Yes")</f>
        <v>Yes</v>
      </c>
      <c r="AG68" s="5" t="str">
        <f>IFERROR(__xludf.DUMMYFUNCTION("""COMPUTED_VALUE"""),"Yes")</f>
        <v>Yes</v>
      </c>
      <c r="AH68" s="5" t="str">
        <f>IFERROR(__xludf.DUMMYFUNCTION("""COMPUTED_VALUE"""),"Yes")</f>
        <v>Yes</v>
      </c>
      <c r="AI68" s="5" t="str">
        <f>IFERROR(__xludf.DUMMYFUNCTION("""COMPUTED_VALUE"""),"No")</f>
        <v>No</v>
      </c>
      <c r="AJ68" s="5" t="str">
        <f>IFERROR(__xludf.DUMMYFUNCTION("""COMPUTED_VALUE"""),"No")</f>
        <v>No</v>
      </c>
      <c r="AK68" s="5" t="str">
        <f>IFERROR(__xludf.DUMMYFUNCTION("""COMPUTED_VALUE"""),"No")</f>
        <v>No</v>
      </c>
      <c r="AL68" s="5" t="str">
        <f>IFERROR(__xludf.DUMMYFUNCTION("""COMPUTED_VALUE"""),"No")</f>
        <v>No</v>
      </c>
      <c r="AM68" s="5" t="str">
        <f>IFERROR(__xludf.DUMMYFUNCTION("""COMPUTED_VALUE"""),"No")</f>
        <v>No</v>
      </c>
      <c r="AN68" s="5" t="str">
        <f>IFERROR(__xludf.DUMMYFUNCTION("""COMPUTED_VALUE"""),"No")</f>
        <v>No</v>
      </c>
      <c r="AO68" s="5" t="str">
        <f>IFERROR(__xludf.DUMMYFUNCTION("""COMPUTED_VALUE"""),"Yes")</f>
        <v>Yes</v>
      </c>
      <c r="AP68" s="5" t="str">
        <f>IFERROR(__xludf.DUMMYFUNCTION("""COMPUTED_VALUE"""),"No")</f>
        <v>No</v>
      </c>
      <c r="AQ68" s="5" t="str">
        <f>IFERROR(__xludf.DUMMYFUNCTION("""COMPUTED_VALUE"""),"No")</f>
        <v>No</v>
      </c>
      <c r="AR68" s="5" t="str">
        <f>IFERROR(__xludf.DUMMYFUNCTION("""COMPUTED_VALUE"""),"No")</f>
        <v>No</v>
      </c>
      <c r="AS68" s="5" t="str">
        <f>IFERROR(__xludf.DUMMYFUNCTION("""COMPUTED_VALUE"""),"Yes")</f>
        <v>Yes</v>
      </c>
      <c r="AT68" s="5" t="str">
        <f>IFERROR(__xludf.DUMMYFUNCTION("""COMPUTED_VALUE"""),"No")</f>
        <v>No</v>
      </c>
      <c r="AU68" s="5"/>
      <c r="AV68" s="5" t="str">
        <f>IFERROR(__xludf.DUMMYFUNCTION("""COMPUTED_VALUE"""),"")</f>
        <v/>
      </c>
    </row>
    <row r="69">
      <c r="A69" s="5" t="str">
        <f>IFERROR(__xludf.DUMMYFUNCTION("""COMPUTED_VALUE"""),"Tiptop")</f>
        <v>Tiptop</v>
      </c>
      <c r="B69" s="5" t="str">
        <f>IFERROR(__xludf.DUMMYFUNCTION("""COMPUTED_VALUE"""),"Epic Mega Cash")</f>
        <v>Epic Mega Cash</v>
      </c>
      <c r="C69" s="5" t="str">
        <f>IFERROR(__xludf.DUMMYFUNCTION("""COMPUTED_VALUE"""),"UnicornEpicMegaCash")</f>
        <v>UnicornEpicMegaCash</v>
      </c>
      <c r="D69" s="6">
        <f>IFERROR(__xludf.DUMMYFUNCTION("""COMPUTED_VALUE"""),45701.0)</f>
        <v>45701</v>
      </c>
      <c r="E69" s="5" t="str">
        <f>IFERROR(__xludf.DUMMYFUNCTION("""COMPUTED_VALUE"""),"Slot")</f>
        <v>Slot</v>
      </c>
      <c r="F69" s="5">
        <f>IFERROR(__xludf.DUMMYFUNCTION("""COMPUTED_VALUE"""),12.0)</f>
        <v>12</v>
      </c>
      <c r="G69" s="5" t="str">
        <f>IFERROR(__xludf.DUMMYFUNCTION("""COMPUTED_VALUE"""),"5x3")</f>
        <v>5x3</v>
      </c>
      <c r="H69" s="5">
        <f>IFERROR(__xludf.DUMMYFUNCTION("""COMPUTED_VALUE"""),10.0)</f>
        <v>10</v>
      </c>
      <c r="I69" s="5">
        <f>IFERROR(__xludf.DUMMYFUNCTION("""COMPUTED_VALUE"""),10.0)</f>
        <v>10</v>
      </c>
      <c r="J69" s="5" t="str">
        <f>IFERROR(__xludf.DUMMYFUNCTION("""COMPUTED_VALUE"""),"96%")</f>
        <v>96%</v>
      </c>
      <c r="K69" s="5" t="str">
        <f>IFERROR(__xludf.DUMMYFUNCTION("""COMPUTED_VALUE"""),"Medium")</f>
        <v>Medium</v>
      </c>
      <c r="L69" s="5" t="str">
        <f>IFERROR(__xludf.DUMMYFUNCTION("""COMPUTED_VALUE"""),"15.91%")</f>
        <v>15.91%</v>
      </c>
      <c r="M69" s="5" t="str">
        <f>IFERROR(__xludf.DUMMYFUNCTION("""COMPUTED_VALUE"""),"x5000")</f>
        <v>x5000</v>
      </c>
      <c r="N69" s="5" t="str">
        <f>IFERROR(__xludf.DUMMYFUNCTION("""COMPUTED_VALUE"""),"0.1/100")</f>
        <v>0.1/100</v>
      </c>
      <c r="O69" s="5" t="str">
        <f>IFERROR(__xludf.DUMMYFUNCTION("""COMPUTED_VALUE"""),"No")</f>
        <v>No</v>
      </c>
      <c r="P69" s="5"/>
      <c r="Q69" s="7" t="str">
        <f>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R69" s="5" t="str">
        <f>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S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IFERROR(__xludf.DUMMYFUNCTION("""COMPUTED_VALUE"""),"Yes")</f>
        <v>Yes</v>
      </c>
      <c r="AD69" s="5" t="str">
        <f>IFERROR(__xludf.DUMMYFUNCTION("""COMPUTED_VALUE"""),"Yes")</f>
        <v>Yes</v>
      </c>
      <c r="AE69" s="5" t="str">
        <f>IFERROR(__xludf.DUMMYFUNCTION("""COMPUTED_VALUE"""),"Yes")</f>
        <v>Yes</v>
      </c>
      <c r="AF69" s="5" t="str">
        <f>IFERROR(__xludf.DUMMYFUNCTION("""COMPUTED_VALUE"""),"Yes")</f>
        <v>Yes</v>
      </c>
      <c r="AG69" s="5" t="str">
        <f>IFERROR(__xludf.DUMMYFUNCTION("""COMPUTED_VALUE"""),"Yes")</f>
        <v>Yes</v>
      </c>
      <c r="AH69" s="5" t="str">
        <f>IFERROR(__xludf.DUMMYFUNCTION("""COMPUTED_VALUE"""),"Yes")</f>
        <v>Yes</v>
      </c>
      <c r="AI69" s="5" t="str">
        <f>IFERROR(__xludf.DUMMYFUNCTION("""COMPUTED_VALUE"""),"Yes")</f>
        <v>Yes</v>
      </c>
      <c r="AJ69" s="5" t="str">
        <f>IFERROR(__xludf.DUMMYFUNCTION("""COMPUTED_VALUE"""),"Yes")</f>
        <v>Yes</v>
      </c>
      <c r="AK69" s="5" t="str">
        <f>IFERROR(__xludf.DUMMYFUNCTION("""COMPUTED_VALUE"""),"Yes")</f>
        <v>Yes</v>
      </c>
      <c r="AL69" s="5" t="str">
        <f>IFERROR(__xludf.DUMMYFUNCTION("""COMPUTED_VALUE"""),"Yes")</f>
        <v>Yes</v>
      </c>
      <c r="AM69" s="5"/>
      <c r="AN69" s="5"/>
      <c r="AO69" s="5"/>
      <c r="AP69" s="5"/>
      <c r="AQ69" s="5" t="str">
        <f>IFERROR(__xludf.DUMMYFUNCTION("""COMPUTED_VALUE"""),"Yes")</f>
        <v>Yes</v>
      </c>
      <c r="AR69" s="5"/>
      <c r="AS69" s="5"/>
      <c r="AT69" s="5"/>
      <c r="AU69" s="5"/>
      <c r="AV69" s="5" t="str">
        <f>IFERROR(__xludf.DUMMYFUNCTION("""COMPUTED_VALUE"""),"")</f>
        <v/>
      </c>
    </row>
    <row r="70">
      <c r="A70" s="5" t="str">
        <f>IFERROR(__xludf.DUMMYFUNCTION("""COMPUTED_VALUE"""),"Tiptop")</f>
        <v>Tiptop</v>
      </c>
      <c r="B70" s="5" t="str">
        <f>IFERROR(__xludf.DUMMYFUNCTION("""COMPUTED_VALUE"""),"Wild Hoppers")</f>
        <v>Wild Hoppers</v>
      </c>
      <c r="C70" s="5" t="str">
        <f>IFERROR(__xludf.DUMMYFUNCTION("""COMPUTED_VALUE"""),"UnicornWildHoppers")</f>
        <v>UnicornWildHoppers</v>
      </c>
      <c r="D70" s="6">
        <f>IFERROR(__xludf.DUMMYFUNCTION("""COMPUTED_VALUE"""),45714.0)</f>
        <v>45714</v>
      </c>
      <c r="E70" s="5" t="str">
        <f>IFERROR(__xludf.DUMMYFUNCTION("""COMPUTED_VALUE"""),"Slot")</f>
        <v>Slot</v>
      </c>
      <c r="F70" s="5">
        <f>IFERROR(__xludf.DUMMYFUNCTION("""COMPUTED_VALUE"""),12.6)</f>
        <v>12.6</v>
      </c>
      <c r="G70" s="5" t="str">
        <f>IFERROR(__xludf.DUMMYFUNCTION("""COMPUTED_VALUE"""),"5x3")</f>
        <v>5x3</v>
      </c>
      <c r="H70" s="5">
        <f>IFERROR(__xludf.DUMMYFUNCTION("""COMPUTED_VALUE"""),10.0)</f>
        <v>10</v>
      </c>
      <c r="I70" s="5">
        <f>IFERROR(__xludf.DUMMYFUNCTION("""COMPUTED_VALUE"""),10.0)</f>
        <v>10</v>
      </c>
      <c r="J70" s="5" t="str">
        <f>IFERROR(__xludf.DUMMYFUNCTION("""COMPUTED_VALUE"""),"96%")</f>
        <v>96%</v>
      </c>
      <c r="K70" s="5" t="str">
        <f>IFERROR(__xludf.DUMMYFUNCTION("""COMPUTED_VALUE"""),"Medium")</f>
        <v>Medium</v>
      </c>
      <c r="L70" s="5" t="str">
        <f>IFERROR(__xludf.DUMMYFUNCTION("""COMPUTED_VALUE"""),"23.31%")</f>
        <v>23.31%</v>
      </c>
      <c r="M70" s="5" t="str">
        <f>IFERROR(__xludf.DUMMYFUNCTION("""COMPUTED_VALUE"""),"x10000")</f>
        <v>x10000</v>
      </c>
      <c r="N70" s="5" t="str">
        <f>IFERROR(__xludf.DUMMYFUNCTION("""COMPUTED_VALUE"""),"0.1/100")</f>
        <v>0.1/100</v>
      </c>
      <c r="O70" s="5" t="str">
        <f>IFERROR(__xludf.DUMMYFUNCTION("""COMPUTED_VALUE"""),"No")</f>
        <v>No</v>
      </c>
      <c r="P70" s="5"/>
      <c r="Q70" s="7" t="str">
        <f>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R70" s="5" t="str">
        <f>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S7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0" s="5" t="str">
        <f>IFERROR(__xludf.DUMMYFUNCTION("""COMPUTED_VALUE"""),"Yes")</f>
        <v>Yes</v>
      </c>
      <c r="U70" s="5" t="str">
        <f>IFERROR(__xludf.DUMMYFUNCTION("""COMPUTED_VALUE"""),"Yes")</f>
        <v>Yes</v>
      </c>
      <c r="V70" s="5" t="str">
        <f>IFERROR(__xludf.DUMMYFUNCTION("""COMPUTED_VALUE"""),"No")</f>
        <v>No</v>
      </c>
      <c r="W70" s="5" t="str">
        <f>IFERROR(__xludf.DUMMYFUNCTION("""COMPUTED_VALUE"""),"Yes")</f>
        <v>Yes</v>
      </c>
      <c r="X70" s="5" t="str">
        <f>IFERROR(__xludf.DUMMYFUNCTION("""COMPUTED_VALUE"""),"Yes")</f>
        <v>Yes</v>
      </c>
      <c r="Y70" s="5" t="str">
        <f>IFERROR(__xludf.DUMMYFUNCTION("""COMPUTED_VALUE"""),"Yes")</f>
        <v>Yes</v>
      </c>
      <c r="Z70" s="5" t="str">
        <f>IFERROR(__xludf.DUMMYFUNCTION("""COMPUTED_VALUE"""),"Yes")</f>
        <v>Yes</v>
      </c>
      <c r="AA70" s="5" t="str">
        <f>IFERROR(__xludf.DUMMYFUNCTION("""COMPUTED_VALUE"""),"Yes")</f>
        <v>Yes</v>
      </c>
      <c r="AB70" s="5" t="str">
        <f>IFERROR(__xludf.DUMMYFUNCTION("""COMPUTED_VALUE"""),"Yes")</f>
        <v>Yes</v>
      </c>
      <c r="AC70" s="5" t="str">
        <f>IFERROR(__xludf.DUMMYFUNCTION("""COMPUTED_VALUE"""),"Yes")</f>
        <v>Yes</v>
      </c>
      <c r="AD70" s="5" t="str">
        <f>IFERROR(__xludf.DUMMYFUNCTION("""COMPUTED_VALUE"""),"Yes")</f>
        <v>Yes</v>
      </c>
      <c r="AE70" s="5" t="str">
        <f>IFERROR(__xludf.DUMMYFUNCTION("""COMPUTED_VALUE"""),"Yes")</f>
        <v>Yes</v>
      </c>
      <c r="AF70" s="5" t="str">
        <f>IFERROR(__xludf.DUMMYFUNCTION("""COMPUTED_VALUE"""),"Yes")</f>
        <v>Yes</v>
      </c>
      <c r="AG70" s="5" t="str">
        <f>IFERROR(__xludf.DUMMYFUNCTION("""COMPUTED_VALUE"""),"Yes")</f>
        <v>Yes</v>
      </c>
      <c r="AH70" s="5" t="str">
        <f>IFERROR(__xludf.DUMMYFUNCTION("""COMPUTED_VALUE"""),"Yes")</f>
        <v>Yes</v>
      </c>
      <c r="AI70" s="5" t="str">
        <f>IFERROR(__xludf.DUMMYFUNCTION("""COMPUTED_VALUE"""),"No")</f>
        <v>No</v>
      </c>
      <c r="AJ70" s="5" t="str">
        <f>IFERROR(__xludf.DUMMYFUNCTION("""COMPUTED_VALUE"""),"No")</f>
        <v>No</v>
      </c>
      <c r="AK70" s="5" t="str">
        <f>IFERROR(__xludf.DUMMYFUNCTION("""COMPUTED_VALUE"""),"No")</f>
        <v>No</v>
      </c>
      <c r="AL70" s="5" t="str">
        <f>IFERROR(__xludf.DUMMYFUNCTION("""COMPUTED_VALUE"""),"No")</f>
        <v>No</v>
      </c>
      <c r="AM70" s="5" t="str">
        <f>IFERROR(__xludf.DUMMYFUNCTION("""COMPUTED_VALUE"""),"No")</f>
        <v>No</v>
      </c>
      <c r="AN70" s="5" t="str">
        <f>IFERROR(__xludf.DUMMYFUNCTION("""COMPUTED_VALUE"""),"No")</f>
        <v>No</v>
      </c>
      <c r="AO70" s="5" t="str">
        <f>IFERROR(__xludf.DUMMYFUNCTION("""COMPUTED_VALUE"""),"Yes")</f>
        <v>Yes</v>
      </c>
      <c r="AP70" s="5" t="str">
        <f>IFERROR(__xludf.DUMMYFUNCTION("""COMPUTED_VALUE"""),"No")</f>
        <v>No</v>
      </c>
      <c r="AQ70" s="5" t="str">
        <f>IFERROR(__xludf.DUMMYFUNCTION("""COMPUTED_VALUE"""),"No")</f>
        <v>No</v>
      </c>
      <c r="AR70" s="5" t="str">
        <f>IFERROR(__xludf.DUMMYFUNCTION("""COMPUTED_VALUE"""),"No")</f>
        <v>No</v>
      </c>
      <c r="AS70" s="5" t="str">
        <f>IFERROR(__xludf.DUMMYFUNCTION("""COMPUTED_VALUE"""),"Yes")</f>
        <v>Yes</v>
      </c>
      <c r="AT70" s="5" t="str">
        <f>IFERROR(__xludf.DUMMYFUNCTION("""COMPUTED_VALUE"""),"No")</f>
        <v>No</v>
      </c>
      <c r="AU70" s="5"/>
      <c r="AV70" s="5" t="str">
        <f>IFERROR(__xludf.DUMMYFUNCTION("""COMPUTED_VALUE"""),"")</f>
        <v/>
      </c>
    </row>
    <row r="71">
      <c r="A71" s="5" t="str">
        <f>IFERROR(__xludf.DUMMYFUNCTION("""COMPUTED_VALUE"""),"Tiptop")</f>
        <v>Tiptop</v>
      </c>
      <c r="B71" s="5" t="str">
        <f>IFERROR(__xludf.DUMMYFUNCTION("""COMPUTED_VALUE"""),"Simply Sevens Dice Easter")</f>
        <v>Simply Sevens Dice Easter</v>
      </c>
      <c r="C71" s="5" t="str">
        <f>IFERROR(__xludf.DUMMYFUNCTION("""COMPUTED_VALUE"""),"UnicornSimplySevensDiceEaster")</f>
        <v>UnicornSimplySevensDiceEaster</v>
      </c>
      <c r="D71" s="6">
        <f>IFERROR(__xludf.DUMMYFUNCTION("""COMPUTED_VALUE"""),45715.0)</f>
        <v>45715</v>
      </c>
      <c r="E71" s="5" t="str">
        <f>IFERROR(__xludf.DUMMYFUNCTION("""COMPUTED_VALUE"""),"Dice Slots")</f>
        <v>Dice Slots</v>
      </c>
      <c r="F71" s="5">
        <f>IFERROR(__xludf.DUMMYFUNCTION("""COMPUTED_VALUE"""),11.0)</f>
        <v>11</v>
      </c>
      <c r="G71" s="5" t="str">
        <f>IFERROR(__xludf.DUMMYFUNCTION("""COMPUTED_VALUE"""),"5x3")</f>
        <v>5x3</v>
      </c>
      <c r="H71" s="5">
        <f>IFERROR(__xludf.DUMMYFUNCTION("""COMPUTED_VALUE"""),10.0)</f>
        <v>10</v>
      </c>
      <c r="I71" s="5">
        <f>IFERROR(__xludf.DUMMYFUNCTION("""COMPUTED_VALUE"""),10.0)</f>
        <v>10</v>
      </c>
      <c r="J71" s="5" t="str">
        <f>IFERROR(__xludf.DUMMYFUNCTION("""COMPUTED_VALUE"""),"96%")</f>
        <v>96%</v>
      </c>
      <c r="K71" s="5" t="str">
        <f>IFERROR(__xludf.DUMMYFUNCTION("""COMPUTED_VALUE"""),"Low")</f>
        <v>Low</v>
      </c>
      <c r="L71" s="5" t="str">
        <f>IFERROR(__xludf.DUMMYFUNCTION("""COMPUTED_VALUE"""),"24.14%")</f>
        <v>24.14%</v>
      </c>
      <c r="M71" s="5" t="str">
        <f>IFERROR(__xludf.DUMMYFUNCTION("""COMPUTED_VALUE"""),"x10000")</f>
        <v>x10000</v>
      </c>
      <c r="N71" s="5" t="str">
        <f>IFERROR(__xludf.DUMMYFUNCTION("""COMPUTED_VALUE"""),"0.1/100")</f>
        <v>0.1/100</v>
      </c>
      <c r="O71" s="5" t="str">
        <f>IFERROR(__xludf.DUMMYFUNCTION("""COMPUTED_VALUE"""),"No")</f>
        <v>No</v>
      </c>
      <c r="P71" s="5"/>
      <c r="Q71" s="7" t="str">
        <f>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R71" s="5" t="str">
        <f>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S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IFERROR(__xludf.DUMMYFUNCTION("""COMPUTED_VALUE"""),"Yes")</f>
        <v>Yes</v>
      </c>
      <c r="AA71" s="5" t="str">
        <f>IFERROR(__xludf.DUMMYFUNCTION("""COMPUTED_VALUE"""),"Yes")</f>
        <v>Yes</v>
      </c>
      <c r="AB71" s="5" t="str">
        <f>IFERROR(__xludf.DUMMYFUNCTION("""COMPUTED_VALUE"""),"Yes")</f>
        <v>Yes</v>
      </c>
      <c r="AC71" s="5" t="str">
        <f>IFERROR(__xludf.DUMMYFUNCTION("""COMPUTED_VALUE"""),"Yes")</f>
        <v>Yes</v>
      </c>
      <c r="AD71" s="5" t="str">
        <f>IFERROR(__xludf.DUMMYFUNCTION("""COMPUTED_VALUE"""),"Yes")</f>
        <v>Yes</v>
      </c>
      <c r="AE71" s="5" t="str">
        <f>IFERROR(__xludf.DUMMYFUNCTION("""COMPUTED_VALUE"""),"Yes")</f>
        <v>Yes</v>
      </c>
      <c r="AF71" s="5" t="str">
        <f>IFERROR(__xludf.DUMMYFUNCTION("""COMPUTED_VALUE"""),"Yes")</f>
        <v>Yes</v>
      </c>
      <c r="AG71" s="5" t="str">
        <f>IFERROR(__xludf.DUMMYFUNCTION("""COMPUTED_VALUE"""),"Yes")</f>
        <v>Yes</v>
      </c>
      <c r="AH71" s="5" t="str">
        <f>IFERROR(__xludf.DUMMYFUNCTION("""COMPUTED_VALUE"""),"Yes")</f>
        <v>Yes</v>
      </c>
      <c r="AI71" s="5" t="str">
        <f>IFERROR(__xludf.DUMMYFUNCTION("""COMPUTED_VALUE"""),"Yes")</f>
        <v>Yes</v>
      </c>
      <c r="AJ71" s="5" t="str">
        <f>IFERROR(__xludf.DUMMYFUNCTION("""COMPUTED_VALUE"""),"Yes")</f>
        <v>Yes</v>
      </c>
      <c r="AK71" s="5" t="str">
        <f>IFERROR(__xludf.DUMMYFUNCTION("""COMPUTED_VALUE"""),"Yes")</f>
        <v>Yes</v>
      </c>
      <c r="AL71" s="5" t="str">
        <f>IFERROR(__xludf.DUMMYFUNCTION("""COMPUTED_VALUE"""),"Yes")</f>
        <v>Yes</v>
      </c>
      <c r="AM71" s="5"/>
      <c r="AN71" s="5"/>
      <c r="AO71" s="5"/>
      <c r="AP71" s="5"/>
      <c r="AQ71" s="5" t="str">
        <f>IFERROR(__xludf.DUMMYFUNCTION("""COMPUTED_VALUE"""),"Yes")</f>
        <v>Yes</v>
      </c>
      <c r="AR71" s="5"/>
      <c r="AS71" s="5"/>
      <c r="AT71" s="5"/>
      <c r="AU71" s="5"/>
      <c r="AV71" s="5" t="str">
        <f>IFERROR(__xludf.DUMMYFUNCTION("""COMPUTED_VALUE"""),"")</f>
        <v/>
      </c>
    </row>
    <row r="72">
      <c r="A72" s="5" t="str">
        <f>IFERROR(__xludf.DUMMYFUNCTION("""COMPUTED_VALUE"""),"Tiptop")</f>
        <v>Tiptop</v>
      </c>
      <c r="B72" s="5" t="str">
        <f>IFERROR(__xludf.DUMMYFUNCTION("""COMPUTED_VALUE"""),"Fruit Island Gems")</f>
        <v>Fruit Island Gems</v>
      </c>
      <c r="C72" s="5" t="str">
        <f>IFERROR(__xludf.DUMMYFUNCTION("""COMPUTED_VALUE"""),"UnicornFruitIslandGems")</f>
        <v>UnicornFruitIslandGems</v>
      </c>
      <c r="D72" s="6">
        <f>IFERROR(__xludf.DUMMYFUNCTION("""COMPUTED_VALUE"""),45722.0)</f>
        <v>45722</v>
      </c>
      <c r="E72" s="5" t="str">
        <f>IFERROR(__xludf.DUMMYFUNCTION("""COMPUTED_VALUE"""),"Slot")</f>
        <v>Slot</v>
      </c>
      <c r="F72" s="5">
        <f>IFERROR(__xludf.DUMMYFUNCTION("""COMPUTED_VALUE"""),11.1)</f>
        <v>11.1</v>
      </c>
      <c r="G72" s="5" t="str">
        <f>IFERROR(__xludf.DUMMYFUNCTION("""COMPUTED_VALUE"""),"5x3")</f>
        <v>5x3</v>
      </c>
      <c r="H72" s="5">
        <f>IFERROR(__xludf.DUMMYFUNCTION("""COMPUTED_VALUE"""),5.0)</f>
        <v>5</v>
      </c>
      <c r="I72" s="5">
        <f>IFERROR(__xludf.DUMMYFUNCTION("""COMPUTED_VALUE"""),5.0)</f>
        <v>5</v>
      </c>
      <c r="J72" s="5" t="str">
        <f>IFERROR(__xludf.DUMMYFUNCTION("""COMPUTED_VALUE"""),"96%")</f>
        <v>96%</v>
      </c>
      <c r="K72" s="5" t="str">
        <f>IFERROR(__xludf.DUMMYFUNCTION("""COMPUTED_VALUE"""),"Low")</f>
        <v>Low</v>
      </c>
      <c r="L72" s="5" t="str">
        <f>IFERROR(__xludf.DUMMYFUNCTION("""COMPUTED_VALUE"""),"10.5%")</f>
        <v>10.5%</v>
      </c>
      <c r="M72" s="5" t="str">
        <f>IFERROR(__xludf.DUMMYFUNCTION("""COMPUTED_VALUE"""),"x1000")</f>
        <v>x1000</v>
      </c>
      <c r="N72" s="5" t="str">
        <f>IFERROR(__xludf.DUMMYFUNCTION("""COMPUTED_VALUE"""),"0.05/100")</f>
        <v>0.05/100</v>
      </c>
      <c r="O72" s="5" t="str">
        <f>IFERROR(__xludf.DUMMYFUNCTION("""COMPUTED_VALUE"""),"No")</f>
        <v>No</v>
      </c>
      <c r="P72" s="5"/>
      <c r="Q72" s="7" t="str">
        <f>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R72" s="5" t="str">
        <f>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S7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2" s="5" t="str">
        <f>IFERROR(__xludf.DUMMYFUNCTION("""COMPUTED_VALUE"""),"Yes")</f>
        <v>Yes</v>
      </c>
      <c r="U72" s="5" t="str">
        <f>IFERROR(__xludf.DUMMYFUNCTION("""COMPUTED_VALUE"""),"Yes")</f>
        <v>Yes</v>
      </c>
      <c r="V72" s="5" t="str">
        <f>IFERROR(__xludf.DUMMYFUNCTION("""COMPUTED_VALUE"""),"No")</f>
        <v>No</v>
      </c>
      <c r="W72" s="5" t="str">
        <f>IFERROR(__xludf.DUMMYFUNCTION("""COMPUTED_VALUE"""),"Yes")</f>
        <v>Yes</v>
      </c>
      <c r="X72" s="5" t="str">
        <f>IFERROR(__xludf.DUMMYFUNCTION("""COMPUTED_VALUE"""),"Yes")</f>
        <v>Yes</v>
      </c>
      <c r="Y72" s="5" t="str">
        <f>IFERROR(__xludf.DUMMYFUNCTION("""COMPUTED_VALUE"""),"Yes")</f>
        <v>Yes</v>
      </c>
      <c r="Z72" s="5" t="str">
        <f>IFERROR(__xludf.DUMMYFUNCTION("""COMPUTED_VALUE"""),"Yes")</f>
        <v>Yes</v>
      </c>
      <c r="AA72" s="5" t="str">
        <f>IFERROR(__xludf.DUMMYFUNCTION("""COMPUTED_VALUE"""),"Yes")</f>
        <v>Yes</v>
      </c>
      <c r="AB72" s="5" t="str">
        <f>IFERROR(__xludf.DUMMYFUNCTION("""COMPUTED_VALUE"""),"Yes")</f>
        <v>Yes</v>
      </c>
      <c r="AC72" s="5" t="str">
        <f>IFERROR(__xludf.DUMMYFUNCTION("""COMPUTED_VALUE"""),"Yes")</f>
        <v>Yes</v>
      </c>
      <c r="AD72" s="5" t="str">
        <f>IFERROR(__xludf.DUMMYFUNCTION("""COMPUTED_VALUE"""),"Yes")</f>
        <v>Yes</v>
      </c>
      <c r="AE72" s="5" t="str">
        <f>IFERROR(__xludf.DUMMYFUNCTION("""COMPUTED_VALUE"""),"Yes")</f>
        <v>Yes</v>
      </c>
      <c r="AF72" s="5" t="str">
        <f>IFERROR(__xludf.DUMMYFUNCTION("""COMPUTED_VALUE"""),"Yes")</f>
        <v>Yes</v>
      </c>
      <c r="AG72" s="5" t="str">
        <f>IFERROR(__xludf.DUMMYFUNCTION("""COMPUTED_VALUE"""),"Yes")</f>
        <v>Yes</v>
      </c>
      <c r="AH72" s="5" t="str">
        <f>IFERROR(__xludf.DUMMYFUNCTION("""COMPUTED_VALUE"""),"Yes")</f>
        <v>Yes</v>
      </c>
      <c r="AI72" s="5" t="str">
        <f>IFERROR(__xludf.DUMMYFUNCTION("""COMPUTED_VALUE"""),"No")</f>
        <v>No</v>
      </c>
      <c r="AJ72" s="5" t="str">
        <f>IFERROR(__xludf.DUMMYFUNCTION("""COMPUTED_VALUE"""),"No")</f>
        <v>No</v>
      </c>
      <c r="AK72" s="5" t="str">
        <f>IFERROR(__xludf.DUMMYFUNCTION("""COMPUTED_VALUE"""),"No")</f>
        <v>No</v>
      </c>
      <c r="AL72" s="5" t="str">
        <f>IFERROR(__xludf.DUMMYFUNCTION("""COMPUTED_VALUE"""),"No")</f>
        <v>No</v>
      </c>
      <c r="AM72" s="5" t="str">
        <f>IFERROR(__xludf.DUMMYFUNCTION("""COMPUTED_VALUE"""),"No")</f>
        <v>No</v>
      </c>
      <c r="AN72" s="5" t="str">
        <f>IFERROR(__xludf.DUMMYFUNCTION("""COMPUTED_VALUE"""),"No")</f>
        <v>No</v>
      </c>
      <c r="AO72" s="5" t="str">
        <f>IFERROR(__xludf.DUMMYFUNCTION("""COMPUTED_VALUE"""),"Yes")</f>
        <v>Yes</v>
      </c>
      <c r="AP72" s="5" t="str">
        <f>IFERROR(__xludf.DUMMYFUNCTION("""COMPUTED_VALUE"""),"No")</f>
        <v>No</v>
      </c>
      <c r="AQ72" s="5" t="str">
        <f>IFERROR(__xludf.DUMMYFUNCTION("""COMPUTED_VALUE"""),"No")</f>
        <v>No</v>
      </c>
      <c r="AR72" s="5" t="str">
        <f>IFERROR(__xludf.DUMMYFUNCTION("""COMPUTED_VALUE"""),"No")</f>
        <v>No</v>
      </c>
      <c r="AS72" s="5" t="str">
        <f>IFERROR(__xludf.DUMMYFUNCTION("""COMPUTED_VALUE"""),"Yes")</f>
        <v>Yes</v>
      </c>
      <c r="AT72" s="5" t="str">
        <f>IFERROR(__xludf.DUMMYFUNCTION("""COMPUTED_VALUE"""),"No")</f>
        <v>No</v>
      </c>
      <c r="AU72" s="5"/>
      <c r="AV72" s="5" t="str">
        <f>IFERROR(__xludf.DUMMYFUNCTION("""COMPUTED_VALUE"""),"")</f>
        <v/>
      </c>
    </row>
    <row r="73">
      <c r="A73" s="5" t="str">
        <f>IFERROR(__xludf.DUMMYFUNCTION("""COMPUTED_VALUE"""),"Tiptop")</f>
        <v>Tiptop</v>
      </c>
      <c r="B73" s="5" t="str">
        <f>IFERROR(__xludf.DUMMYFUNCTION("""COMPUTED_VALUE"""),"Bunny Dice")</f>
        <v>Bunny Dice</v>
      </c>
      <c r="C73" s="5" t="str">
        <f>IFERROR(__xludf.DUMMYFUNCTION("""COMPUTED_VALUE"""),"UnicornBunnyDice")</f>
        <v>UnicornBunnyDice</v>
      </c>
      <c r="D73" s="6">
        <f>IFERROR(__xludf.DUMMYFUNCTION("""COMPUTED_VALUE"""),45729.0)</f>
        <v>45729</v>
      </c>
      <c r="E73" s="5" t="str">
        <f>IFERROR(__xludf.DUMMYFUNCTION("""COMPUTED_VALUE"""),"Dice Slots")</f>
        <v>Dice Slots</v>
      </c>
      <c r="F73" s="5">
        <f>IFERROR(__xludf.DUMMYFUNCTION("""COMPUTED_VALUE"""),12.2)</f>
        <v>12.2</v>
      </c>
      <c r="G73" s="5" t="str">
        <f>IFERROR(__xludf.DUMMYFUNCTION("""COMPUTED_VALUE"""),"5x3")</f>
        <v>5x3</v>
      </c>
      <c r="H73" s="5">
        <f>IFERROR(__xludf.DUMMYFUNCTION("""COMPUTED_VALUE"""),10.0)</f>
        <v>10</v>
      </c>
      <c r="I73" s="5">
        <f>IFERROR(__xludf.DUMMYFUNCTION("""COMPUTED_VALUE"""),10.0)</f>
        <v>10</v>
      </c>
      <c r="J73" s="5" t="str">
        <f>IFERROR(__xludf.DUMMYFUNCTION("""COMPUTED_VALUE"""),"96%")</f>
        <v>96%</v>
      </c>
      <c r="K73" s="5" t="str">
        <f>IFERROR(__xludf.DUMMYFUNCTION("""COMPUTED_VALUE"""),"Low")</f>
        <v>Low</v>
      </c>
      <c r="L73" s="5" t="str">
        <f>IFERROR(__xludf.DUMMYFUNCTION("""COMPUTED_VALUE"""),"24.14%")</f>
        <v>24.14%</v>
      </c>
      <c r="M73" s="5" t="str">
        <f>IFERROR(__xludf.DUMMYFUNCTION("""COMPUTED_VALUE"""),"x10000")</f>
        <v>x10000</v>
      </c>
      <c r="N73" s="5" t="str">
        <f>IFERROR(__xludf.DUMMYFUNCTION("""COMPUTED_VALUE"""),"0.1/100")</f>
        <v>0.1/100</v>
      </c>
      <c r="O73" s="5" t="str">
        <f>IFERROR(__xludf.DUMMYFUNCTION("""COMPUTED_VALUE"""),"No")</f>
        <v>No</v>
      </c>
      <c r="P73" s="5"/>
      <c r="Q73" s="7" t="str">
        <f>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R73" s="5" t="str">
        <f>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S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3" s="5" t="str">
        <f>IFERROR(__xludf.DUMMYFUNCTION("""COMPUTED_VALUE"""),"Yes")</f>
        <v>Yes</v>
      </c>
      <c r="U73" s="5" t="str">
        <f>IFERROR(__xludf.DUMMYFUNCTION("""COMPUTED_VALUE"""),"Yes")</f>
        <v>Yes</v>
      </c>
      <c r="V73" s="5" t="str">
        <f>IFERROR(__xludf.DUMMYFUNCTION("""COMPUTED_VALUE"""),"Yes")</f>
        <v>Yes</v>
      </c>
      <c r="W73" s="5" t="str">
        <f>IFERROR(__xludf.DUMMYFUNCTION("""COMPUTED_VALUE"""),"Yes")</f>
        <v>Yes</v>
      </c>
      <c r="X73" s="5" t="str">
        <f>IFERROR(__xludf.DUMMYFUNCTION("""COMPUTED_VALUE"""),"Yes")</f>
        <v>Yes</v>
      </c>
      <c r="Y73" s="5" t="str">
        <f>IFERROR(__xludf.DUMMYFUNCTION("""COMPUTED_VALUE"""),"Yes")</f>
        <v>Yes</v>
      </c>
      <c r="Z73" s="5" t="str">
        <f>IFERROR(__xludf.DUMMYFUNCTION("""COMPUTED_VALUE"""),"Yes")</f>
        <v>Yes</v>
      </c>
      <c r="AA73" s="5" t="str">
        <f>IFERROR(__xludf.DUMMYFUNCTION("""COMPUTED_VALUE"""),"Yes")</f>
        <v>Yes</v>
      </c>
      <c r="AB73" s="5" t="str">
        <f>IFERROR(__xludf.DUMMYFUNCTION("""COMPUTED_VALUE"""),"Yes")</f>
        <v>Yes</v>
      </c>
      <c r="AC73" s="5" t="str">
        <f>IFERROR(__xludf.DUMMYFUNCTION("""COMPUTED_VALUE"""),"Yes")</f>
        <v>Yes</v>
      </c>
      <c r="AD73" s="5" t="str">
        <f>IFERROR(__xludf.DUMMYFUNCTION("""COMPUTED_VALUE"""),"Yes")</f>
        <v>Yes</v>
      </c>
      <c r="AE73" s="5" t="str">
        <f>IFERROR(__xludf.DUMMYFUNCTION("""COMPUTED_VALUE"""),"Yes")</f>
        <v>Yes</v>
      </c>
      <c r="AF73" s="5" t="str">
        <f>IFERROR(__xludf.DUMMYFUNCTION("""COMPUTED_VALUE"""),"Yes")</f>
        <v>Yes</v>
      </c>
      <c r="AG73" s="5" t="str">
        <f>IFERROR(__xludf.DUMMYFUNCTION("""COMPUTED_VALUE"""),"Yes")</f>
        <v>Yes</v>
      </c>
      <c r="AH73" s="5" t="str">
        <f>IFERROR(__xludf.DUMMYFUNCTION("""COMPUTED_VALUE"""),"Yes")</f>
        <v>Yes</v>
      </c>
      <c r="AI73" s="5" t="str">
        <f>IFERROR(__xludf.DUMMYFUNCTION("""COMPUTED_VALUE"""),"Yes")</f>
        <v>Yes</v>
      </c>
      <c r="AJ73" s="5" t="str">
        <f>IFERROR(__xludf.DUMMYFUNCTION("""COMPUTED_VALUE"""),"Yes")</f>
        <v>Yes</v>
      </c>
      <c r="AK73" s="5" t="str">
        <f>IFERROR(__xludf.DUMMYFUNCTION("""COMPUTED_VALUE"""),"Yes")</f>
        <v>Yes</v>
      </c>
      <c r="AL73" s="5" t="str">
        <f>IFERROR(__xludf.DUMMYFUNCTION("""COMPUTED_VALUE"""),"Yes")</f>
        <v>Yes</v>
      </c>
      <c r="AM73" s="5"/>
      <c r="AN73" s="5"/>
      <c r="AO73" s="5"/>
      <c r="AP73" s="5"/>
      <c r="AQ73" s="5" t="str">
        <f>IFERROR(__xludf.DUMMYFUNCTION("""COMPUTED_VALUE"""),"Yes")</f>
        <v>Yes</v>
      </c>
      <c r="AR73" s="5"/>
      <c r="AS73" s="5"/>
      <c r="AT73" s="5"/>
      <c r="AU73" s="5"/>
      <c r="AV73" s="5" t="str">
        <f>IFERROR(__xludf.DUMMYFUNCTION("""COMPUTED_VALUE"""),"")</f>
        <v/>
      </c>
    </row>
    <row r="74">
      <c r="A74" s="5" t="str">
        <f>IFERROR(__xludf.DUMMYFUNCTION("""COMPUTED_VALUE"""),"Tiptop")</f>
        <v>Tiptop</v>
      </c>
      <c r="B74" s="5" t="str">
        <f>IFERROR(__xludf.DUMMYFUNCTION("""COMPUTED_VALUE"""),"Savana Fruits")</f>
        <v>Savana Fruits</v>
      </c>
      <c r="C74" s="5" t="str">
        <f>IFERROR(__xludf.DUMMYFUNCTION("""COMPUTED_VALUE"""),"UnicornSavanaFruits")</f>
        <v>UnicornSavanaFruits</v>
      </c>
      <c r="D74" s="6">
        <f>IFERROR(__xludf.DUMMYFUNCTION("""COMPUTED_VALUE"""),45742.0)</f>
        <v>45742</v>
      </c>
      <c r="E74" s="5" t="str">
        <f>IFERROR(__xludf.DUMMYFUNCTION("""COMPUTED_VALUE"""),"Slot")</f>
        <v>Slot</v>
      </c>
      <c r="F74" s="5">
        <f>IFERROR(__xludf.DUMMYFUNCTION("""COMPUTED_VALUE"""),10.9)</f>
        <v>10.9</v>
      </c>
      <c r="G74" s="5" t="str">
        <f>IFERROR(__xludf.DUMMYFUNCTION("""COMPUTED_VALUE"""),"5x3")</f>
        <v>5x3</v>
      </c>
      <c r="H74" s="5">
        <f>IFERROR(__xludf.DUMMYFUNCTION("""COMPUTED_VALUE"""),5.0)</f>
        <v>5</v>
      </c>
      <c r="I74" s="5">
        <f>IFERROR(__xludf.DUMMYFUNCTION("""COMPUTED_VALUE"""),5.0)</f>
        <v>5</v>
      </c>
      <c r="J74" s="5" t="str">
        <f>IFERROR(__xludf.DUMMYFUNCTION("""COMPUTED_VALUE"""),"96%")</f>
        <v>96%</v>
      </c>
      <c r="K74" s="5" t="str">
        <f>IFERROR(__xludf.DUMMYFUNCTION("""COMPUTED_VALUE"""),"Medium")</f>
        <v>Medium</v>
      </c>
      <c r="L74" s="5" t="str">
        <f>IFERROR(__xludf.DUMMYFUNCTION("""COMPUTED_VALUE"""),"10.1%")</f>
        <v>10.1%</v>
      </c>
      <c r="M74" s="5" t="str">
        <f>IFERROR(__xludf.DUMMYFUNCTION("""COMPUTED_VALUE"""),"x1000")</f>
        <v>x1000</v>
      </c>
      <c r="N74" s="5" t="str">
        <f>IFERROR(__xludf.DUMMYFUNCTION("""COMPUTED_VALUE"""),"0.05/100")</f>
        <v>0.05/100</v>
      </c>
      <c r="O74" s="5" t="str">
        <f>IFERROR(__xludf.DUMMYFUNCTION("""COMPUTED_VALUE"""),"No")</f>
        <v>No</v>
      </c>
      <c r="P74" s="5"/>
      <c r="Q74" s="7" t="str">
        <f>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R74" s="5" t="str">
        <f>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S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IFERROR(__xludf.DUMMYFUNCTION("""COMPUTED_VALUE"""),"Yes")</f>
        <v>Yes</v>
      </c>
      <c r="AA74" s="5" t="str">
        <f>IFERROR(__xludf.DUMMYFUNCTION("""COMPUTED_VALUE"""),"Yes")</f>
        <v>Yes</v>
      </c>
      <c r="AB74" s="5" t="str">
        <f>IFERROR(__xludf.DUMMYFUNCTION("""COMPUTED_VALUE"""),"Yes")</f>
        <v>Yes</v>
      </c>
      <c r="AC74" s="5" t="str">
        <f>IFERROR(__xludf.DUMMYFUNCTION("""COMPUTED_VALUE"""),"Yes")</f>
        <v>Yes</v>
      </c>
      <c r="AD74" s="5" t="str">
        <f>IFERROR(__xludf.DUMMYFUNCTION("""COMPUTED_VALUE"""),"Yes")</f>
        <v>Yes</v>
      </c>
      <c r="AE74" s="5" t="str">
        <f>IFERROR(__xludf.DUMMYFUNCTION("""COMPUTED_VALUE"""),"Yes")</f>
        <v>Yes</v>
      </c>
      <c r="AF74" s="5" t="str">
        <f>IFERROR(__xludf.DUMMYFUNCTION("""COMPUTED_VALUE"""),"Yes")</f>
        <v>Yes</v>
      </c>
      <c r="AG74" s="5" t="str">
        <f>IFERROR(__xludf.DUMMYFUNCTION("""COMPUTED_VALUE"""),"Yes")</f>
        <v>Yes</v>
      </c>
      <c r="AH74" s="5" t="str">
        <f>IFERROR(__xludf.DUMMYFUNCTION("""COMPUTED_VALUE"""),"Yes")</f>
        <v>Yes</v>
      </c>
      <c r="AI74" s="5" t="str">
        <f>IFERROR(__xludf.DUMMYFUNCTION("""COMPUTED_VALUE"""),"Yes")</f>
        <v>Yes</v>
      </c>
      <c r="AJ74" s="5" t="str">
        <f>IFERROR(__xludf.DUMMYFUNCTION("""COMPUTED_VALUE"""),"Yes")</f>
        <v>Yes</v>
      </c>
      <c r="AK74" s="5" t="str">
        <f>IFERROR(__xludf.DUMMYFUNCTION("""COMPUTED_VALUE"""),"Yes")</f>
        <v>Yes</v>
      </c>
      <c r="AL74" s="5" t="str">
        <f>IFERROR(__xludf.DUMMYFUNCTION("""COMPUTED_VALUE"""),"Yes")</f>
        <v>Yes</v>
      </c>
      <c r="AM74" s="5"/>
      <c r="AN74" s="5"/>
      <c r="AO74" s="5"/>
      <c r="AP74" s="5"/>
      <c r="AQ74" s="5" t="str">
        <f>IFERROR(__xludf.DUMMYFUNCTION("""COMPUTED_VALUE"""),"Yes")</f>
        <v>Yes</v>
      </c>
      <c r="AR74" s="5"/>
      <c r="AS74" s="5"/>
      <c r="AT74" s="5"/>
      <c r="AU74" s="5"/>
      <c r="AV74" s="5" t="str">
        <f>IFERROR(__xludf.DUMMYFUNCTION("""COMPUTED_VALUE"""),"")</f>
        <v/>
      </c>
    </row>
    <row r="75">
      <c r="A75" s="5" t="str">
        <f>IFERROR(__xludf.DUMMYFUNCTION("""COMPUTED_VALUE"""),"Tiptop")</f>
        <v>Tiptop</v>
      </c>
      <c r="B75" s="5" t="str">
        <f>IFERROR(__xludf.DUMMYFUNCTION("""COMPUTED_VALUE"""),"Big Spin Sevens")</f>
        <v>Big Spin Sevens</v>
      </c>
      <c r="C75" s="5" t="str">
        <f>IFERROR(__xludf.DUMMYFUNCTION("""COMPUTED_VALUE"""),"UnicornBigSpinSevens")</f>
        <v>UnicornBigSpinSevens</v>
      </c>
      <c r="D75" s="6">
        <f>IFERROR(__xludf.DUMMYFUNCTION("""COMPUTED_VALUE"""),45427.0)</f>
        <v>45427</v>
      </c>
      <c r="E75" s="5" t="str">
        <f>IFERROR(__xludf.DUMMYFUNCTION("""COMPUTED_VALUE"""),"Slot")</f>
        <v>Slot</v>
      </c>
      <c r="F75" s="5">
        <f>IFERROR(__xludf.DUMMYFUNCTION("""COMPUTED_VALUE"""),9.9)</f>
        <v>9.9</v>
      </c>
      <c r="G75" s="5" t="str">
        <f>IFERROR(__xludf.DUMMYFUNCTION("""COMPUTED_VALUE"""),"5X3")</f>
        <v>5X3</v>
      </c>
      <c r="H75" s="5" t="str">
        <f>IFERROR(__xludf.DUMMYFUNCTION("""COMPUTED_VALUE"""),"5")</f>
        <v>5</v>
      </c>
      <c r="I75" s="5">
        <f>IFERROR(__xludf.DUMMYFUNCTION("""COMPUTED_VALUE"""),5.0)</f>
        <v>5</v>
      </c>
      <c r="J75" s="5" t="str">
        <f>IFERROR(__xludf.DUMMYFUNCTION("""COMPUTED_VALUE"""),"96%")</f>
        <v>96%</v>
      </c>
      <c r="K75" s="5" t="str">
        <f>IFERROR(__xludf.DUMMYFUNCTION("""COMPUTED_VALUE"""),"Low")</f>
        <v>Low</v>
      </c>
      <c r="L75" s="5" t="str">
        <f>IFERROR(__xludf.DUMMYFUNCTION("""COMPUTED_VALUE"""),"8.83%")</f>
        <v>8.83%</v>
      </c>
      <c r="M75" s="5" t="str">
        <f>IFERROR(__xludf.DUMMYFUNCTION("""COMPUTED_VALUE"""),"x1000")</f>
        <v>x1000</v>
      </c>
      <c r="N75" s="5" t="str">
        <f>IFERROR(__xludf.DUMMYFUNCTION("""COMPUTED_VALUE"""),"0.05/100")</f>
        <v>0.05/100</v>
      </c>
      <c r="O75" s="5" t="str">
        <f>IFERROR(__xludf.DUMMYFUNCTION("""COMPUTED_VALUE"""),"No")</f>
        <v>No</v>
      </c>
      <c r="P75" s="5"/>
      <c r="Q75" s="7" t="str">
        <f>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R75" s="5" t="str">
        <f>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S75" s="5" t="str">
        <f>IFERROR(__xludf.DUMMYFUNCTION("""COMPUTED_VALUE"""),"English(""eng"")")</f>
        <v>English("eng")</v>
      </c>
      <c r="T75" s="5" t="str">
        <f>IFERROR(__xludf.DUMMYFUNCTION("""COMPUTED_VALUE"""),"Yes")</f>
        <v>Yes</v>
      </c>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t="str">
        <f>IFERROR(__xludf.DUMMYFUNCTION("""COMPUTED_VALUE"""),"")</f>
        <v/>
      </c>
    </row>
    <row r="76">
      <c r="A76" s="5" t="str">
        <f>IFERROR(__xludf.DUMMYFUNCTION("""COMPUTED_VALUE"""),"Tiptop")</f>
        <v>Tiptop</v>
      </c>
      <c r="B76" s="5" t="str">
        <f>IFERROR(__xludf.DUMMYFUNCTION("""COMPUTED_VALUE"""),"Dynamite Run Platinum")</f>
        <v>Dynamite Run Platinum</v>
      </c>
      <c r="C76" s="5" t="str">
        <f>IFERROR(__xludf.DUMMYFUNCTION("""COMPUTED_VALUE"""),"UnicornDynamiteRunPlatinum")</f>
        <v>UnicornDynamiteRunPlatinum</v>
      </c>
      <c r="D76" s="6">
        <f>IFERROR(__xludf.DUMMYFUNCTION("""COMPUTED_VALUE"""),45735.0)</f>
        <v>45735</v>
      </c>
      <c r="E76" s="5" t="str">
        <f>IFERROR(__xludf.DUMMYFUNCTION("""COMPUTED_VALUE"""),"Slot")</f>
        <v>Slot</v>
      </c>
      <c r="F76" s="5">
        <f>IFERROR(__xludf.DUMMYFUNCTION("""COMPUTED_VALUE"""),13.0)</f>
        <v>13</v>
      </c>
      <c r="G76" s="5" t="str">
        <f>IFERROR(__xludf.DUMMYFUNCTION("""COMPUTED_VALUE"""),"5x3")</f>
        <v>5x3</v>
      </c>
      <c r="H76" s="5">
        <f>IFERROR(__xludf.DUMMYFUNCTION("""COMPUTED_VALUE"""),10.0)</f>
        <v>10</v>
      </c>
      <c r="I76" s="5">
        <f>IFERROR(__xludf.DUMMYFUNCTION("""COMPUTED_VALUE"""),10.0)</f>
        <v>10</v>
      </c>
      <c r="J76" s="5" t="str">
        <f>IFERROR(__xludf.DUMMYFUNCTION("""COMPUTED_VALUE"""),"96%")</f>
        <v>96%</v>
      </c>
      <c r="K76" s="5" t="str">
        <f>IFERROR(__xludf.DUMMYFUNCTION("""COMPUTED_VALUE"""),"Low")</f>
        <v>Low</v>
      </c>
      <c r="L76" s="5" t="str">
        <f>IFERROR(__xludf.DUMMYFUNCTION("""COMPUTED_VALUE"""),"26.12%")</f>
        <v>26.12%</v>
      </c>
      <c r="M76" s="5" t="str">
        <f>IFERROR(__xludf.DUMMYFUNCTION("""COMPUTED_VALUE"""),"x1100")</f>
        <v>x1100</v>
      </c>
      <c r="N76" s="5" t="str">
        <f>IFERROR(__xludf.DUMMYFUNCTION("""COMPUTED_VALUE"""),"0.1/100")</f>
        <v>0.1/100</v>
      </c>
      <c r="O76" s="5" t="str">
        <f>IFERROR(__xludf.DUMMYFUNCTION("""COMPUTED_VALUE"""),"No")</f>
        <v>No</v>
      </c>
      <c r="P76" s="5"/>
      <c r="Q76" s="7" t="str">
        <f>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R76" s="5" t="str">
        <f>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S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IFERROR(__xludf.DUMMYFUNCTION("""COMPUTED_VALUE"""),"Yes")</f>
        <v>Yes</v>
      </c>
      <c r="AA76" s="5" t="str">
        <f>IFERROR(__xludf.DUMMYFUNCTION("""COMPUTED_VALUE"""),"Yes")</f>
        <v>Yes</v>
      </c>
      <c r="AB76" s="5" t="str">
        <f>IFERROR(__xludf.DUMMYFUNCTION("""COMPUTED_VALUE"""),"Yes")</f>
        <v>Yes</v>
      </c>
      <c r="AC76" s="5" t="str">
        <f>IFERROR(__xludf.DUMMYFUNCTION("""COMPUTED_VALUE"""),"Yes")</f>
        <v>Yes</v>
      </c>
      <c r="AD76" s="5" t="str">
        <f>IFERROR(__xludf.DUMMYFUNCTION("""COMPUTED_VALUE"""),"Yes")</f>
        <v>Yes</v>
      </c>
      <c r="AE76" s="5" t="str">
        <f>IFERROR(__xludf.DUMMYFUNCTION("""COMPUTED_VALUE"""),"Yes")</f>
        <v>Yes</v>
      </c>
      <c r="AF76" s="5" t="str">
        <f>IFERROR(__xludf.DUMMYFUNCTION("""COMPUTED_VALUE"""),"Yes")</f>
        <v>Yes</v>
      </c>
      <c r="AG76" s="5" t="str">
        <f>IFERROR(__xludf.DUMMYFUNCTION("""COMPUTED_VALUE"""),"Yes")</f>
        <v>Yes</v>
      </c>
      <c r="AH76" s="5" t="str">
        <f>IFERROR(__xludf.DUMMYFUNCTION("""COMPUTED_VALUE"""),"Yes")</f>
        <v>Yes</v>
      </c>
      <c r="AI76" s="5" t="str">
        <f>IFERROR(__xludf.DUMMYFUNCTION("""COMPUTED_VALUE"""),"Yes")</f>
        <v>Yes</v>
      </c>
      <c r="AJ76" s="5" t="str">
        <f>IFERROR(__xludf.DUMMYFUNCTION("""COMPUTED_VALUE"""),"Yes")</f>
        <v>Yes</v>
      </c>
      <c r="AK76" s="5" t="str">
        <f>IFERROR(__xludf.DUMMYFUNCTION("""COMPUTED_VALUE"""),"Yes")</f>
        <v>Yes</v>
      </c>
      <c r="AL76" s="5" t="str">
        <f>IFERROR(__xludf.DUMMYFUNCTION("""COMPUTED_VALUE"""),"Yes")</f>
        <v>Yes</v>
      </c>
      <c r="AM76" s="5"/>
      <c r="AN76" s="5"/>
      <c r="AO76" s="5"/>
      <c r="AP76" s="5"/>
      <c r="AQ76" s="5" t="str">
        <f>IFERROR(__xludf.DUMMYFUNCTION("""COMPUTED_VALUE"""),"Yes")</f>
        <v>Yes</v>
      </c>
      <c r="AR76" s="5"/>
      <c r="AS76" s="5"/>
      <c r="AT76" s="5"/>
      <c r="AU76" s="5"/>
      <c r="AV76" s="5" t="str">
        <f>IFERROR(__xludf.DUMMYFUNCTION("""COMPUTED_VALUE"""),"")</f>
        <v/>
      </c>
    </row>
    <row r="77">
      <c r="A77" s="5" t="str">
        <f>IFERROR(__xludf.DUMMYFUNCTION("""COMPUTED_VALUE"""),"Tiptop")</f>
        <v>Tiptop</v>
      </c>
      <c r="B77" s="5" t="str">
        <f>IFERROR(__xludf.DUMMYFUNCTION("""COMPUTED_VALUE"""),"Big Hit Sevens")</f>
        <v>Big Hit Sevens</v>
      </c>
      <c r="C77" s="5" t="str">
        <f>IFERROR(__xludf.DUMMYFUNCTION("""COMPUTED_VALUE"""),"UnicornBigHitSevens")</f>
        <v>UnicornBigHitSevens</v>
      </c>
      <c r="D77" s="6">
        <f>IFERROR(__xludf.DUMMYFUNCTION("""COMPUTED_VALUE"""),45764.0)</f>
        <v>45764</v>
      </c>
      <c r="E77" s="5" t="str">
        <f>IFERROR(__xludf.DUMMYFUNCTION("""COMPUTED_VALUE"""),"Slot")</f>
        <v>Slot</v>
      </c>
      <c r="F77" s="5">
        <f>IFERROR(__xludf.DUMMYFUNCTION("""COMPUTED_VALUE"""),10.1)</f>
        <v>10.1</v>
      </c>
      <c r="G77" s="5" t="str">
        <f>IFERROR(__xludf.DUMMYFUNCTION("""COMPUTED_VALUE"""),"5x3")</f>
        <v>5x3</v>
      </c>
      <c r="H77" s="5">
        <f>IFERROR(__xludf.DUMMYFUNCTION("""COMPUTED_VALUE"""),10.0)</f>
        <v>10</v>
      </c>
      <c r="I77" s="5">
        <f>IFERROR(__xludf.DUMMYFUNCTION("""COMPUTED_VALUE"""),10.0)</f>
        <v>10</v>
      </c>
      <c r="J77" s="5" t="str">
        <f>IFERROR(__xludf.DUMMYFUNCTION("""COMPUTED_VALUE"""),"96%")</f>
        <v>96%</v>
      </c>
      <c r="K77" s="5" t="str">
        <f>IFERROR(__xludf.DUMMYFUNCTION("""COMPUTED_VALUE"""),"Low")</f>
        <v>Low</v>
      </c>
      <c r="L77" s="5" t="str">
        <f>IFERROR(__xludf.DUMMYFUNCTION("""COMPUTED_VALUE"""),"10.84%")</f>
        <v>10.84%</v>
      </c>
      <c r="M77" s="5" t="str">
        <f>IFERROR(__xludf.DUMMYFUNCTION("""COMPUTED_VALUE"""),"x1200")</f>
        <v>x1200</v>
      </c>
      <c r="N77" s="5" t="str">
        <f>IFERROR(__xludf.DUMMYFUNCTION("""COMPUTED_VALUE"""),"0.1/100")</f>
        <v>0.1/100</v>
      </c>
      <c r="O77" s="5" t="str">
        <f>IFERROR(__xludf.DUMMYFUNCTION("""COMPUTED_VALUE"""),"No")</f>
        <v>No</v>
      </c>
      <c r="P77" s="5"/>
      <c r="Q77" s="7" t="str">
        <f>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R77"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IFERROR(__xludf.DUMMYFUNCTION("""COMPUTED_VALUE"""),"Yes")</f>
        <v>Yes</v>
      </c>
      <c r="AA77" s="5" t="str">
        <f>IFERROR(__xludf.DUMMYFUNCTION("""COMPUTED_VALUE"""),"Yes")</f>
        <v>Yes</v>
      </c>
      <c r="AB77" s="5" t="str">
        <f>IFERROR(__xludf.DUMMYFUNCTION("""COMPUTED_VALUE"""),"Yes")</f>
        <v>Yes</v>
      </c>
      <c r="AC77" s="5" t="str">
        <f>IFERROR(__xludf.DUMMYFUNCTION("""COMPUTED_VALUE"""),"Yes")</f>
        <v>Yes</v>
      </c>
      <c r="AD77" s="5" t="str">
        <f>IFERROR(__xludf.DUMMYFUNCTION("""COMPUTED_VALUE"""),"Yes")</f>
        <v>Yes</v>
      </c>
      <c r="AE77" s="5" t="str">
        <f>IFERROR(__xludf.DUMMYFUNCTION("""COMPUTED_VALUE"""),"Yes")</f>
        <v>Yes</v>
      </c>
      <c r="AF77" s="5" t="str">
        <f>IFERROR(__xludf.DUMMYFUNCTION("""COMPUTED_VALUE"""),"Yes")</f>
        <v>Yes</v>
      </c>
      <c r="AG77" s="5" t="str">
        <f>IFERROR(__xludf.DUMMYFUNCTION("""COMPUTED_VALUE"""),"Yes")</f>
        <v>Yes</v>
      </c>
      <c r="AH77" s="5" t="str">
        <f>IFERROR(__xludf.DUMMYFUNCTION("""COMPUTED_VALUE"""),"Yes")</f>
        <v>Yes</v>
      </c>
      <c r="AI77" s="5" t="str">
        <f>IFERROR(__xludf.DUMMYFUNCTION("""COMPUTED_VALUE"""),"Yes")</f>
        <v>Yes</v>
      </c>
      <c r="AJ77" s="5" t="str">
        <f>IFERROR(__xludf.DUMMYFUNCTION("""COMPUTED_VALUE"""),"Yes")</f>
        <v>Yes</v>
      </c>
      <c r="AK77" s="5" t="str">
        <f>IFERROR(__xludf.DUMMYFUNCTION("""COMPUTED_VALUE"""),"Yes")</f>
        <v>Yes</v>
      </c>
      <c r="AL77" s="5" t="str">
        <f>IFERROR(__xludf.DUMMYFUNCTION("""COMPUTED_VALUE"""),"Yes")</f>
        <v>Yes</v>
      </c>
      <c r="AM77" s="5"/>
      <c r="AN77" s="5"/>
      <c r="AO77" s="5"/>
      <c r="AP77" s="5"/>
      <c r="AQ77" s="5" t="str">
        <f>IFERROR(__xludf.DUMMYFUNCTION("""COMPUTED_VALUE"""),"Yes")</f>
        <v>Yes</v>
      </c>
      <c r="AR77" s="5"/>
      <c r="AS77" s="5"/>
      <c r="AT77" s="5"/>
      <c r="AU77" s="5"/>
      <c r="AV77" s="5" t="str">
        <f>IFERROR(__xludf.DUMMYFUNCTION("""COMPUTED_VALUE"""),"")</f>
        <v/>
      </c>
    </row>
    <row r="78">
      <c r="A78" s="5" t="str">
        <f>IFERROR(__xludf.DUMMYFUNCTION("""COMPUTED_VALUE"""),"Tiptop")</f>
        <v>Tiptop</v>
      </c>
      <c r="B78" s="5" t="str">
        <f>IFERROR(__xludf.DUMMYFUNCTION("""COMPUTED_VALUE"""),"Supreme Sevens")</f>
        <v>Supreme Sevens</v>
      </c>
      <c r="C78" s="5" t="str">
        <f>IFERROR(__xludf.DUMMYFUNCTION("""COMPUTED_VALUE"""),"UnicornSupremeSevens")</f>
        <v>UnicornSupremeSevens</v>
      </c>
      <c r="D78" s="6">
        <f>IFERROR(__xludf.DUMMYFUNCTION("""COMPUTED_VALUE"""),45749.0)</f>
        <v>45749</v>
      </c>
      <c r="E78" s="5" t="str">
        <f>IFERROR(__xludf.DUMMYFUNCTION("""COMPUTED_VALUE"""),"Slot")</f>
        <v>Slot</v>
      </c>
      <c r="F78" s="5">
        <f>IFERROR(__xludf.DUMMYFUNCTION("""COMPUTED_VALUE"""),10.1)</f>
        <v>10.1</v>
      </c>
      <c r="G78" s="5" t="str">
        <f>IFERROR(__xludf.DUMMYFUNCTION("""COMPUTED_VALUE"""),"5x3")</f>
        <v>5x3</v>
      </c>
      <c r="H78" s="5">
        <f>IFERROR(__xludf.DUMMYFUNCTION("""COMPUTED_VALUE"""),5.0)</f>
        <v>5</v>
      </c>
      <c r="I78" s="5">
        <f>IFERROR(__xludf.DUMMYFUNCTION("""COMPUTED_VALUE"""),5.0)</f>
        <v>5</v>
      </c>
      <c r="J78" s="5" t="str">
        <f>IFERROR(__xludf.DUMMYFUNCTION("""COMPUTED_VALUE"""),"96%")</f>
        <v>96%</v>
      </c>
      <c r="K78" s="5" t="str">
        <f>IFERROR(__xludf.DUMMYFUNCTION("""COMPUTED_VALUE"""),"Low")</f>
        <v>Low</v>
      </c>
      <c r="L78" s="5" t="str">
        <f>IFERROR(__xludf.DUMMYFUNCTION("""COMPUTED_VALUE"""),"10.5%")</f>
        <v>10.5%</v>
      </c>
      <c r="M78" s="5" t="str">
        <f>IFERROR(__xludf.DUMMYFUNCTION("""COMPUTED_VALUE"""),"x1000")</f>
        <v>x1000</v>
      </c>
      <c r="N78" s="5" t="str">
        <f>IFERROR(__xludf.DUMMYFUNCTION("""COMPUTED_VALUE"""),"0.05/100")</f>
        <v>0.05/100</v>
      </c>
      <c r="O78" s="5" t="str">
        <f>IFERROR(__xludf.DUMMYFUNCTION("""COMPUTED_VALUE"""),"No")</f>
        <v>No</v>
      </c>
      <c r="P78" s="5"/>
      <c r="Q78" s="7" t="str">
        <f>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R78" s="5" t="str">
        <f>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5" t="str">
        <f>IFERROR(__xludf.DUMMYFUNCTION("""COMPUTED_VALUE"""),"Yes")</f>
        <v>Yes</v>
      </c>
      <c r="U78" s="5" t="str">
        <f>IFERROR(__xludf.DUMMYFUNCTION("""COMPUTED_VALUE"""),"Yes")</f>
        <v>Yes</v>
      </c>
      <c r="V78" s="5" t="str">
        <f>IFERROR(__xludf.DUMMYFUNCTION("""COMPUTED_VALUE"""),"Yes")</f>
        <v>Yes</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IFERROR(__xludf.DUMMYFUNCTION("""COMPUTED_VALUE"""),"Yes")</f>
        <v>Yes</v>
      </c>
      <c r="AC78" s="5" t="str">
        <f>IFERROR(__xludf.DUMMYFUNCTION("""COMPUTED_VALUE"""),"Yes")</f>
        <v>Yes</v>
      </c>
      <c r="AD78" s="5" t="str">
        <f>IFERROR(__xludf.DUMMYFUNCTION("""COMPUTED_VALUE"""),"Yes")</f>
        <v>Yes</v>
      </c>
      <c r="AE78" s="5" t="str">
        <f>IFERROR(__xludf.DUMMYFUNCTION("""COMPUTED_VALUE"""),"Yes")</f>
        <v>Yes</v>
      </c>
      <c r="AF78" s="5" t="str">
        <f>IFERROR(__xludf.DUMMYFUNCTION("""COMPUTED_VALUE"""),"Yes")</f>
        <v>Yes</v>
      </c>
      <c r="AG78" s="5" t="str">
        <f>IFERROR(__xludf.DUMMYFUNCTION("""COMPUTED_VALUE"""),"No")</f>
        <v>No</v>
      </c>
      <c r="AH78" s="5" t="str">
        <f>IFERROR(__xludf.DUMMYFUNCTION("""COMPUTED_VALUE"""),"Yes")</f>
        <v>Yes</v>
      </c>
      <c r="AI78" s="5" t="str">
        <f>IFERROR(__xludf.DUMMYFUNCTION("""COMPUTED_VALUE"""),"No")</f>
        <v>No</v>
      </c>
      <c r="AJ78" s="5" t="str">
        <f>IFERROR(__xludf.DUMMYFUNCTION("""COMPUTED_VALUE"""),"No")</f>
        <v>No</v>
      </c>
      <c r="AK78" s="5" t="str">
        <f>IFERROR(__xludf.DUMMYFUNCTION("""COMPUTED_VALUE"""),"No")</f>
        <v>No</v>
      </c>
      <c r="AL78" s="5" t="str">
        <f>IFERROR(__xludf.DUMMYFUNCTION("""COMPUTED_VALUE"""),"No")</f>
        <v>No</v>
      </c>
      <c r="AM78" s="5"/>
      <c r="AN78" s="5"/>
      <c r="AO78" s="5" t="str">
        <f>IFERROR(__xludf.DUMMYFUNCTION("""COMPUTED_VALUE"""),"Yes")</f>
        <v>Yes</v>
      </c>
      <c r="AP78" s="5"/>
      <c r="AQ78" s="5" t="str">
        <f>IFERROR(__xludf.DUMMYFUNCTION("""COMPUTED_VALUE"""),"No")</f>
        <v>No</v>
      </c>
      <c r="AR78" s="5"/>
      <c r="AS78" s="5" t="str">
        <f>IFERROR(__xludf.DUMMYFUNCTION("""COMPUTED_VALUE"""),"Yes")</f>
        <v>Yes</v>
      </c>
      <c r="AT78" s="5" t="str">
        <f>IFERROR(__xludf.DUMMYFUNCTION("""COMPUTED_VALUE"""),"Yes")</f>
        <v>Yes</v>
      </c>
      <c r="AU78" s="5"/>
      <c r="AV78" s="5" t="str">
        <f>IFERROR(__xludf.DUMMYFUNCTION("""COMPUTED_VALUE"""),"")</f>
        <v/>
      </c>
    </row>
    <row r="79">
      <c r="A79" s="5" t="str">
        <f>IFERROR(__xludf.DUMMYFUNCTION("""COMPUTED_VALUE"""),"Tiptop")</f>
        <v>Tiptop</v>
      </c>
      <c r="B79" s="5" t="str">
        <f>IFERROR(__xludf.DUMMYFUNCTION("""COMPUTED_VALUE"""),"Triple Stacked Diamonds")</f>
        <v>Triple Stacked Diamonds</v>
      </c>
      <c r="C79" s="5" t="str">
        <f>IFERROR(__xludf.DUMMYFUNCTION("""COMPUTED_VALUE"""),"UnicornTripleStackedDiamonds")</f>
        <v>UnicornTripleStackedDiamonds</v>
      </c>
      <c r="D79" s="6">
        <f>IFERROR(__xludf.DUMMYFUNCTION("""COMPUTED_VALUE"""),45755.0)</f>
        <v>45755</v>
      </c>
      <c r="E79" s="5" t="str">
        <f>IFERROR(__xludf.DUMMYFUNCTION("""COMPUTED_VALUE"""),"Slot")</f>
        <v>Slot</v>
      </c>
      <c r="F79" s="5">
        <f>IFERROR(__xludf.DUMMYFUNCTION("""COMPUTED_VALUE"""),10.7)</f>
        <v>10.7</v>
      </c>
      <c r="G79" s="5" t="str">
        <f>IFERROR(__xludf.DUMMYFUNCTION("""COMPUTED_VALUE"""),"5x3")</f>
        <v>5x3</v>
      </c>
      <c r="H79" s="5">
        <f>IFERROR(__xludf.DUMMYFUNCTION("""COMPUTED_VALUE"""),10.0)</f>
        <v>10</v>
      </c>
      <c r="I79" s="5">
        <f>IFERROR(__xludf.DUMMYFUNCTION("""COMPUTED_VALUE"""),10.0)</f>
        <v>10</v>
      </c>
      <c r="J79" s="5" t="str">
        <f>IFERROR(__xludf.DUMMYFUNCTION("""COMPUTED_VALUE"""),"96%")</f>
        <v>96%</v>
      </c>
      <c r="K79" s="5" t="str">
        <f>IFERROR(__xludf.DUMMYFUNCTION("""COMPUTED_VALUE"""),"Low")</f>
        <v>Low</v>
      </c>
      <c r="L79" s="5" t="str">
        <f>IFERROR(__xludf.DUMMYFUNCTION("""COMPUTED_VALUE"""),"9.08%")</f>
        <v>9.08%</v>
      </c>
      <c r="M79" s="5" t="str">
        <f>IFERROR(__xludf.DUMMYFUNCTION("""COMPUTED_VALUE"""),"x5000")</f>
        <v>x5000</v>
      </c>
      <c r="N79" s="5" t="str">
        <f>IFERROR(__xludf.DUMMYFUNCTION("""COMPUTED_VALUE"""),"0.1/100")</f>
        <v>0.1/100</v>
      </c>
      <c r="O79" s="5" t="str">
        <f>IFERROR(__xludf.DUMMYFUNCTION("""COMPUTED_VALUE"""),"No")</f>
        <v>No</v>
      </c>
      <c r="P79" s="5"/>
      <c r="Q79" s="7" t="str">
        <f>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R79" s="5" t="str">
        <f>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S79" s="5" t="str">
        <f>IFERROR(__xludf.DUMMYFUNCTION("""COMPUTED_VALUE"""),"English(""eng"")")</f>
        <v>English("eng")</v>
      </c>
      <c r="T79" s="5" t="str">
        <f>IFERROR(__xludf.DUMMYFUNCTION("""COMPUTED_VALUE"""),"Yes")</f>
        <v>Yes</v>
      </c>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t="str">
        <f>IFERROR(__xludf.DUMMYFUNCTION("""COMPUTED_VALUE"""),"")</f>
        <v/>
      </c>
    </row>
    <row r="80">
      <c r="A80" s="5" t="str">
        <f>IFERROR(__xludf.DUMMYFUNCTION("""COMPUTED_VALUE"""),"Tiptop")</f>
        <v>Tiptop</v>
      </c>
      <c r="B80" s="5" t="str">
        <f>IFERROR(__xludf.DUMMYFUNCTION("""COMPUTED_VALUE"""),"Dynamite Boom")</f>
        <v>Dynamite Boom</v>
      </c>
      <c r="C80" s="5" t="str">
        <f>IFERROR(__xludf.DUMMYFUNCTION("""COMPUTED_VALUE"""),"UnicornDynamiteBoom")</f>
        <v>UnicornDynamiteBoom</v>
      </c>
      <c r="D80" s="6">
        <f>IFERROR(__xludf.DUMMYFUNCTION("""COMPUTED_VALUE"""),45776.0)</f>
        <v>45776</v>
      </c>
      <c r="E80" s="5" t="str">
        <f>IFERROR(__xludf.DUMMYFUNCTION("""COMPUTED_VALUE"""),"Slot")</f>
        <v>Slot</v>
      </c>
      <c r="F80" s="5">
        <f>IFERROR(__xludf.DUMMYFUNCTION("""COMPUTED_VALUE"""),14.2)</f>
        <v>14.2</v>
      </c>
      <c r="G80" s="5" t="str">
        <f>IFERROR(__xludf.DUMMYFUNCTION("""COMPUTED_VALUE"""),"5x3")</f>
        <v>5x3</v>
      </c>
      <c r="H80" s="5">
        <f>IFERROR(__xludf.DUMMYFUNCTION("""COMPUTED_VALUE"""),5.0)</f>
        <v>5</v>
      </c>
      <c r="I80" s="5">
        <f>IFERROR(__xludf.DUMMYFUNCTION("""COMPUTED_VALUE"""),5.0)</f>
        <v>5</v>
      </c>
      <c r="J80" s="5" t="str">
        <f>IFERROR(__xludf.DUMMYFUNCTION("""COMPUTED_VALUE"""),"96%")</f>
        <v>96%</v>
      </c>
      <c r="K80" s="5" t="str">
        <f>IFERROR(__xludf.DUMMYFUNCTION("""COMPUTED_VALUE"""),"Low")</f>
        <v>Low</v>
      </c>
      <c r="L80" s="5" t="str">
        <f>IFERROR(__xludf.DUMMYFUNCTION("""COMPUTED_VALUE"""),"13.64%")</f>
        <v>13.64%</v>
      </c>
      <c r="M80" s="5" t="str">
        <f>IFERROR(__xludf.DUMMYFUNCTION("""COMPUTED_VALUE"""),"x10000")</f>
        <v>x10000</v>
      </c>
      <c r="N80" s="5" t="str">
        <f>IFERROR(__xludf.DUMMYFUNCTION("""COMPUTED_VALUE"""),"0.05/100")</f>
        <v>0.05/100</v>
      </c>
      <c r="O80" s="5" t="str">
        <f>IFERROR(__xludf.DUMMYFUNCTION("""COMPUTED_VALUE"""),"No")</f>
        <v>No</v>
      </c>
      <c r="P80" s="5"/>
      <c r="Q80" s="7" t="str">
        <f>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R80" s="5" t="str">
        <f>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S8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5" t="str">
        <f>IFERROR(__xludf.DUMMYFUNCTION("""COMPUTED_VALUE"""),"Yes")</f>
        <v>Yes</v>
      </c>
      <c r="U80" s="5" t="str">
        <f>IFERROR(__xludf.DUMMYFUNCTION("""COMPUTED_VALUE"""),"Yes")</f>
        <v>Yes</v>
      </c>
      <c r="V80" s="5" t="str">
        <f>IFERROR(__xludf.DUMMYFUNCTION("""COMPUTED_VALUE"""),"Yes")</f>
        <v>Yes</v>
      </c>
      <c r="W80" s="5" t="str">
        <f>IFERROR(__xludf.DUMMYFUNCTION("""COMPUTED_VALUE"""),"No")</f>
        <v>No</v>
      </c>
      <c r="X80" s="5" t="str">
        <f>IFERROR(__xludf.DUMMYFUNCTION("""COMPUTED_VALUE"""),"No")</f>
        <v>No</v>
      </c>
      <c r="Y80" s="5" t="str">
        <f>IFERROR(__xludf.DUMMYFUNCTION("""COMPUTED_VALUE"""),"No")</f>
        <v>No</v>
      </c>
      <c r="Z80" s="5" t="str">
        <f>IFERROR(__xludf.DUMMYFUNCTION("""COMPUTED_VALUE"""),"No")</f>
        <v>No</v>
      </c>
      <c r="AA80" s="5" t="str">
        <f>IFERROR(__xludf.DUMMYFUNCTION("""COMPUTED_VALUE"""),"No")</f>
        <v>No</v>
      </c>
      <c r="AB80" s="5" t="str">
        <f>IFERROR(__xludf.DUMMYFUNCTION("""COMPUTED_VALUE"""),"Yes")</f>
        <v>Yes</v>
      </c>
      <c r="AC80" s="5" t="str">
        <f>IFERROR(__xludf.DUMMYFUNCTION("""COMPUTED_VALUE"""),"Yes")</f>
        <v>Yes</v>
      </c>
      <c r="AD80" s="5" t="str">
        <f>IFERROR(__xludf.DUMMYFUNCTION("""COMPUTED_VALUE"""),"Yes")</f>
        <v>Yes</v>
      </c>
      <c r="AE80" s="5" t="str">
        <f>IFERROR(__xludf.DUMMYFUNCTION("""COMPUTED_VALUE"""),"Yes")</f>
        <v>Yes</v>
      </c>
      <c r="AF80" s="5" t="str">
        <f>IFERROR(__xludf.DUMMYFUNCTION("""COMPUTED_VALUE"""),"Yes")</f>
        <v>Yes</v>
      </c>
      <c r="AG80" s="5" t="str">
        <f>IFERROR(__xludf.DUMMYFUNCTION("""COMPUTED_VALUE"""),"No")</f>
        <v>No</v>
      </c>
      <c r="AH80" s="5" t="str">
        <f>IFERROR(__xludf.DUMMYFUNCTION("""COMPUTED_VALUE"""),"Yes")</f>
        <v>Yes</v>
      </c>
      <c r="AI80" s="5" t="str">
        <f>IFERROR(__xludf.DUMMYFUNCTION("""COMPUTED_VALUE"""),"No")</f>
        <v>No</v>
      </c>
      <c r="AJ80" s="5" t="str">
        <f>IFERROR(__xludf.DUMMYFUNCTION("""COMPUTED_VALUE"""),"No")</f>
        <v>No</v>
      </c>
      <c r="AK80" s="5" t="str">
        <f>IFERROR(__xludf.DUMMYFUNCTION("""COMPUTED_VALUE"""),"No")</f>
        <v>No</v>
      </c>
      <c r="AL80" s="5" t="str">
        <f>IFERROR(__xludf.DUMMYFUNCTION("""COMPUTED_VALUE"""),"No")</f>
        <v>No</v>
      </c>
      <c r="AM80" s="5"/>
      <c r="AN80" s="5"/>
      <c r="AO80" s="5" t="str">
        <f>IFERROR(__xludf.DUMMYFUNCTION("""COMPUTED_VALUE"""),"Yes")</f>
        <v>Yes</v>
      </c>
      <c r="AP80" s="5"/>
      <c r="AQ80" s="5" t="str">
        <f>IFERROR(__xludf.DUMMYFUNCTION("""COMPUTED_VALUE"""),"No")</f>
        <v>No</v>
      </c>
      <c r="AR80" s="5"/>
      <c r="AS80" s="5" t="str">
        <f>IFERROR(__xludf.DUMMYFUNCTION("""COMPUTED_VALUE"""),"Yes")</f>
        <v>Yes</v>
      </c>
      <c r="AT80" s="5" t="str">
        <f>IFERROR(__xludf.DUMMYFUNCTION("""COMPUTED_VALUE"""),"Yes")</f>
        <v>Yes</v>
      </c>
      <c r="AU80" s="5"/>
      <c r="AV80" s="5" t="str">
        <f>IFERROR(__xludf.DUMMYFUNCTION("""COMPUTED_VALUE"""),"")</f>
        <v/>
      </c>
    </row>
    <row r="81">
      <c r="A81" s="5" t="str">
        <f>IFERROR(__xludf.DUMMYFUNCTION("""COMPUTED_VALUE"""),"Tiptop")</f>
        <v>Tiptop</v>
      </c>
      <c r="B81" s="5" t="str">
        <f>IFERROR(__xludf.DUMMYFUNCTION("""COMPUTED_VALUE"""),"Fast Pay")</f>
        <v>Fast Pay</v>
      </c>
      <c r="C81" s="5" t="str">
        <f>IFERROR(__xludf.DUMMYFUNCTION("""COMPUTED_VALUE"""),"UnicornFastPay")</f>
        <v>UnicornFastPay</v>
      </c>
      <c r="D81" s="6">
        <f>IFERROR(__xludf.DUMMYFUNCTION("""COMPUTED_VALUE"""),45770.0)</f>
        <v>45770</v>
      </c>
      <c r="E81" s="5" t="str">
        <f>IFERROR(__xludf.DUMMYFUNCTION("""COMPUTED_VALUE"""),"Slot")</f>
        <v>Slot</v>
      </c>
      <c r="F81" s="5">
        <f>IFERROR(__xludf.DUMMYFUNCTION("""COMPUTED_VALUE"""),11.0)</f>
        <v>11</v>
      </c>
      <c r="G81" s="5" t="str">
        <f>IFERROR(__xludf.DUMMYFUNCTION("""COMPUTED_VALUE"""),"5x3")</f>
        <v>5x3</v>
      </c>
      <c r="H81" s="5">
        <f>IFERROR(__xludf.DUMMYFUNCTION("""COMPUTED_VALUE"""),10.0)</f>
        <v>10</v>
      </c>
      <c r="I81" s="5">
        <f>IFERROR(__xludf.DUMMYFUNCTION("""COMPUTED_VALUE"""),10.0)</f>
        <v>10</v>
      </c>
      <c r="J81" s="5" t="str">
        <f>IFERROR(__xludf.DUMMYFUNCTION("""COMPUTED_VALUE"""),"96%")</f>
        <v>96%</v>
      </c>
      <c r="K81" s="5" t="str">
        <f>IFERROR(__xludf.DUMMYFUNCTION("""COMPUTED_VALUE"""),"Low")</f>
        <v>Low</v>
      </c>
      <c r="L81" s="5" t="str">
        <f>IFERROR(__xludf.DUMMYFUNCTION("""COMPUTED_VALUE"""),"24.14%")</f>
        <v>24.14%</v>
      </c>
      <c r="M81" s="5" t="str">
        <f>IFERROR(__xludf.DUMMYFUNCTION("""COMPUTED_VALUE"""),"x10000")</f>
        <v>x10000</v>
      </c>
      <c r="N81" s="5" t="str">
        <f>IFERROR(__xludf.DUMMYFUNCTION("""COMPUTED_VALUE"""),"0.1/100")</f>
        <v>0.1/100</v>
      </c>
      <c r="O81" s="5" t="str">
        <f>IFERROR(__xludf.DUMMYFUNCTION("""COMPUTED_VALUE"""),"No")</f>
        <v>No</v>
      </c>
      <c r="P81" s="5"/>
      <c r="Q81" s="7" t="str">
        <f>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R81" s="5" t="str">
        <f>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S8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5" t="str">
        <f>IFERROR(__xludf.DUMMYFUNCTION("""COMPUTED_VALUE"""),"Yes")</f>
        <v>Yes</v>
      </c>
      <c r="U81" s="5" t="str">
        <f>IFERROR(__xludf.DUMMYFUNCTION("""COMPUTED_VALUE"""),"Yes")</f>
        <v>Yes</v>
      </c>
      <c r="V81" s="5" t="str">
        <f>IFERROR(__xludf.DUMMYFUNCTION("""COMPUTED_VALUE"""),"Yes")</f>
        <v>Yes</v>
      </c>
      <c r="W81" s="5"/>
      <c r="X81" s="5"/>
      <c r="Y81" s="5"/>
      <c r="Z81" s="5"/>
      <c r="AA81" s="5"/>
      <c r="AB81" s="5" t="str">
        <f>IFERROR(__xludf.DUMMYFUNCTION("""COMPUTED_VALUE"""),"Yes")</f>
        <v>Yes</v>
      </c>
      <c r="AC81" s="5" t="str">
        <f>IFERROR(__xludf.DUMMYFUNCTION("""COMPUTED_VALUE"""),"Yes")</f>
        <v>Yes</v>
      </c>
      <c r="AD81" s="5" t="str">
        <f>IFERROR(__xludf.DUMMYFUNCTION("""COMPUTED_VALUE"""),"Yes")</f>
        <v>Yes</v>
      </c>
      <c r="AE81" s="5" t="str">
        <f>IFERROR(__xludf.DUMMYFUNCTION("""COMPUTED_VALUE"""),"Yes")</f>
        <v>Yes</v>
      </c>
      <c r="AF81" s="5" t="str">
        <f>IFERROR(__xludf.DUMMYFUNCTION("""COMPUTED_VALUE"""),"Yes")</f>
        <v>Yes</v>
      </c>
      <c r="AG81" s="5"/>
      <c r="AH81" s="5" t="str">
        <f>IFERROR(__xludf.DUMMYFUNCTION("""COMPUTED_VALUE"""),"Yes")</f>
        <v>Yes</v>
      </c>
      <c r="AI81" s="5"/>
      <c r="AJ81" s="5"/>
      <c r="AK81" s="5"/>
      <c r="AL81" s="5"/>
      <c r="AM81" s="5"/>
      <c r="AN81" s="5"/>
      <c r="AO81" s="5" t="str">
        <f>IFERROR(__xludf.DUMMYFUNCTION("""COMPUTED_VALUE"""),"Yes")</f>
        <v>Yes</v>
      </c>
      <c r="AP81" s="5"/>
      <c r="AQ81" s="5"/>
      <c r="AR81" s="5"/>
      <c r="AS81" s="5" t="str">
        <f>IFERROR(__xludf.DUMMYFUNCTION("""COMPUTED_VALUE"""),"Yes")</f>
        <v>Yes</v>
      </c>
      <c r="AT81" s="5" t="str">
        <f>IFERROR(__xludf.DUMMYFUNCTION("""COMPUTED_VALUE"""),"Yes")</f>
        <v>Yes</v>
      </c>
      <c r="AU81" s="5"/>
      <c r="AV81" s="5" t="str">
        <f>IFERROR(__xludf.DUMMYFUNCTION("""COMPUTED_VALUE"""),"")</f>
        <v/>
      </c>
    </row>
    <row r="82">
      <c r="A82" s="5" t="str">
        <f>IFERROR(__xludf.DUMMYFUNCTION("""COMPUTED_VALUE"""),"Tiptop")</f>
        <v>Tiptop</v>
      </c>
      <c r="B82" s="5" t="str">
        <f>IFERROR(__xludf.DUMMYFUNCTION("""COMPUTED_VALUE"""),"Super Fire Jackpot")</f>
        <v>Super Fire Jackpot</v>
      </c>
      <c r="C82" s="5" t="str">
        <f>IFERROR(__xludf.DUMMYFUNCTION("""COMPUTED_VALUE"""),"UnicornSuperFireJackpot")</f>
        <v>UnicornSuperFireJackpot</v>
      </c>
      <c r="D82" s="6">
        <f>IFERROR(__xludf.DUMMYFUNCTION("""COMPUTED_VALUE"""),45785.0)</f>
        <v>45785</v>
      </c>
      <c r="E82" s="5" t="str">
        <f>IFERROR(__xludf.DUMMYFUNCTION("""COMPUTED_VALUE"""),"Slot")</f>
        <v>Slot</v>
      </c>
      <c r="F82" s="5">
        <f>IFERROR(__xludf.DUMMYFUNCTION("""COMPUTED_VALUE"""),10.6)</f>
        <v>10.6</v>
      </c>
      <c r="G82" s="5" t="str">
        <f>IFERROR(__xludf.DUMMYFUNCTION("""COMPUTED_VALUE"""),"5x3")</f>
        <v>5x3</v>
      </c>
      <c r="H82" s="5">
        <f>IFERROR(__xludf.DUMMYFUNCTION("""COMPUTED_VALUE"""),20.0)</f>
        <v>20</v>
      </c>
      <c r="I82" s="5">
        <f>IFERROR(__xludf.DUMMYFUNCTION("""COMPUTED_VALUE"""),20.0)</f>
        <v>20</v>
      </c>
      <c r="J82" s="5" t="str">
        <f>IFERROR(__xludf.DUMMYFUNCTION("""COMPUTED_VALUE"""),"96%")</f>
        <v>96%</v>
      </c>
      <c r="K82" s="5" t="str">
        <f>IFERROR(__xludf.DUMMYFUNCTION("""COMPUTED_VALUE"""),"Low")</f>
        <v>Low</v>
      </c>
      <c r="L82" s="5" t="str">
        <f>IFERROR(__xludf.DUMMYFUNCTION("""COMPUTED_VALUE"""),"14.46%")</f>
        <v>14.46%</v>
      </c>
      <c r="M82" s="5" t="str">
        <f>IFERROR(__xludf.DUMMYFUNCTION("""COMPUTED_VALUE"""),"x10000")</f>
        <v>x10000</v>
      </c>
      <c r="N82" s="5" t="str">
        <f>IFERROR(__xludf.DUMMYFUNCTION("""COMPUTED_VALUE"""),"0.2/100")</f>
        <v>0.2/100</v>
      </c>
      <c r="O82" s="5" t="str">
        <f>IFERROR(__xludf.DUMMYFUNCTION("""COMPUTED_VALUE"""),"No")</f>
        <v>No</v>
      </c>
      <c r="P82" s="5"/>
      <c r="Q82" s="7" t="str">
        <f>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R82" s="5" t="str">
        <f>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S8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2" s="5" t="str">
        <f>IFERROR(__xludf.DUMMYFUNCTION("""COMPUTED_VALUE"""),"Yes")</f>
        <v>Yes</v>
      </c>
      <c r="U82" s="5" t="str">
        <f>IFERROR(__xludf.DUMMYFUNCTION("""COMPUTED_VALUE"""),"Yes")</f>
        <v>Yes</v>
      </c>
      <c r="V82" s="5" t="str">
        <f>IFERROR(__xludf.DUMMYFUNCTION("""COMPUTED_VALUE"""),"Yes")</f>
        <v>Yes</v>
      </c>
      <c r="W82" s="5"/>
      <c r="X82" s="5"/>
      <c r="Y82" s="5"/>
      <c r="Z82" s="5"/>
      <c r="AA82" s="5"/>
      <c r="AB82" s="5" t="str">
        <f>IFERROR(__xludf.DUMMYFUNCTION("""COMPUTED_VALUE"""),"Yes")</f>
        <v>Yes</v>
      </c>
      <c r="AC82" s="5" t="str">
        <f>IFERROR(__xludf.DUMMYFUNCTION("""COMPUTED_VALUE"""),"Yes")</f>
        <v>Yes</v>
      </c>
      <c r="AD82" s="5" t="str">
        <f>IFERROR(__xludf.DUMMYFUNCTION("""COMPUTED_VALUE"""),"Yes")</f>
        <v>Yes</v>
      </c>
      <c r="AE82" s="5" t="str">
        <f>IFERROR(__xludf.DUMMYFUNCTION("""COMPUTED_VALUE"""),"Yes")</f>
        <v>Yes</v>
      </c>
      <c r="AF82" s="5" t="str">
        <f>IFERROR(__xludf.DUMMYFUNCTION("""COMPUTED_VALUE"""),"Yes")</f>
        <v>Yes</v>
      </c>
      <c r="AG82" s="5"/>
      <c r="AH82" s="5" t="str">
        <f>IFERROR(__xludf.DUMMYFUNCTION("""COMPUTED_VALUE"""),"Yes")</f>
        <v>Yes</v>
      </c>
      <c r="AI82" s="5"/>
      <c r="AJ82" s="5"/>
      <c r="AK82" s="5"/>
      <c r="AL82" s="5"/>
      <c r="AM82" s="5"/>
      <c r="AN82" s="5"/>
      <c r="AO82" s="5" t="str">
        <f>IFERROR(__xludf.DUMMYFUNCTION("""COMPUTED_VALUE"""),"Yes")</f>
        <v>Yes</v>
      </c>
      <c r="AP82" s="5"/>
      <c r="AQ82" s="5"/>
      <c r="AR82" s="5"/>
      <c r="AS82" s="5" t="str">
        <f>IFERROR(__xludf.DUMMYFUNCTION("""COMPUTED_VALUE"""),"Yes")</f>
        <v>Yes</v>
      </c>
      <c r="AT82" s="5" t="str">
        <f>IFERROR(__xludf.DUMMYFUNCTION("""COMPUTED_VALUE"""),"Yes")</f>
        <v>Yes</v>
      </c>
      <c r="AU82" s="5"/>
      <c r="AV82" s="5" t="str">
        <f>IFERROR(__xludf.DUMMYFUNCTION("""COMPUTED_VALUE"""),"")</f>
        <v/>
      </c>
    </row>
    <row r="83">
      <c r="A83" s="5" t="str">
        <f>IFERROR(__xludf.DUMMYFUNCTION("""COMPUTED_VALUE"""),"Tiptop")</f>
        <v>Tiptop</v>
      </c>
      <c r="B83" s="5" t="str">
        <f>IFERROR(__xludf.DUMMYFUNCTION("""COMPUTED_VALUE"""),"Coyote Gems")</f>
        <v>Coyote Gems</v>
      </c>
      <c r="C83" s="5" t="str">
        <f>IFERROR(__xludf.DUMMYFUNCTION("""COMPUTED_VALUE"""),"UnicornCoyoteGems")</f>
        <v>UnicornCoyoteGems</v>
      </c>
      <c r="D83" s="6">
        <f>IFERROR(__xludf.DUMMYFUNCTION("""COMPUTED_VALUE"""),45792.0)</f>
        <v>45792</v>
      </c>
      <c r="E83" s="5" t="str">
        <f>IFERROR(__xludf.DUMMYFUNCTION("""COMPUTED_VALUE"""),"Slot")</f>
        <v>Slot</v>
      </c>
      <c r="F83" s="5">
        <f>IFERROR(__xludf.DUMMYFUNCTION("""COMPUTED_VALUE"""),10.8)</f>
        <v>10.8</v>
      </c>
      <c r="G83" s="5" t="str">
        <f>IFERROR(__xludf.DUMMYFUNCTION("""COMPUTED_VALUE"""),"5x3")</f>
        <v>5x3</v>
      </c>
      <c r="H83" s="5">
        <f>IFERROR(__xludf.DUMMYFUNCTION("""COMPUTED_VALUE"""),5.0)</f>
        <v>5</v>
      </c>
      <c r="I83" s="5">
        <f>IFERROR(__xludf.DUMMYFUNCTION("""COMPUTED_VALUE"""),5.0)</f>
        <v>5</v>
      </c>
      <c r="J83" s="5" t="str">
        <f>IFERROR(__xludf.DUMMYFUNCTION("""COMPUTED_VALUE"""),"96%")</f>
        <v>96%</v>
      </c>
      <c r="K83" s="5" t="str">
        <f>IFERROR(__xludf.DUMMYFUNCTION("""COMPUTED_VALUE"""),"Medium")</f>
        <v>Medium</v>
      </c>
      <c r="L83" s="5" t="str">
        <f>IFERROR(__xludf.DUMMYFUNCTION("""COMPUTED_VALUE"""),"10.1%")</f>
        <v>10.1%</v>
      </c>
      <c r="M83" s="5" t="str">
        <f>IFERROR(__xludf.DUMMYFUNCTION("""COMPUTED_VALUE"""),"x1000")</f>
        <v>x1000</v>
      </c>
      <c r="N83" s="5" t="str">
        <f>IFERROR(__xludf.DUMMYFUNCTION("""COMPUTED_VALUE"""),"0.05/100")</f>
        <v>0.05/100</v>
      </c>
      <c r="O83" s="5" t="str">
        <f>IFERROR(__xludf.DUMMYFUNCTION("""COMPUTED_VALUE"""),"No")</f>
        <v>No</v>
      </c>
      <c r="P83" s="5"/>
      <c r="Q83" s="7" t="str">
        <f>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R83" s="5" t="str">
        <f>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S8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3" s="5" t="str">
        <f>IFERROR(__xludf.DUMMYFUNCTION("""COMPUTED_VALUE"""),"Yes")</f>
        <v>Yes</v>
      </c>
      <c r="U83" s="5" t="str">
        <f>IFERROR(__xludf.DUMMYFUNCTION("""COMPUTED_VALUE"""),"Yes")</f>
        <v>Yes</v>
      </c>
      <c r="V83" s="5" t="str">
        <f>IFERROR(__xludf.DUMMYFUNCTION("""COMPUTED_VALUE"""),"Yes")</f>
        <v>Yes</v>
      </c>
      <c r="W83" s="5"/>
      <c r="X83" s="5"/>
      <c r="Y83" s="5"/>
      <c r="Z83" s="5"/>
      <c r="AA83" s="5"/>
      <c r="AB83" s="5" t="str">
        <f>IFERROR(__xludf.DUMMYFUNCTION("""COMPUTED_VALUE"""),"Yes")</f>
        <v>Yes</v>
      </c>
      <c r="AC83" s="5" t="str">
        <f>IFERROR(__xludf.DUMMYFUNCTION("""COMPUTED_VALUE"""),"Yes")</f>
        <v>Yes</v>
      </c>
      <c r="AD83" s="5" t="str">
        <f>IFERROR(__xludf.DUMMYFUNCTION("""COMPUTED_VALUE"""),"Yes")</f>
        <v>Yes</v>
      </c>
      <c r="AE83" s="5" t="str">
        <f>IFERROR(__xludf.DUMMYFUNCTION("""COMPUTED_VALUE"""),"Yes")</f>
        <v>Yes</v>
      </c>
      <c r="AF83" s="5" t="str">
        <f>IFERROR(__xludf.DUMMYFUNCTION("""COMPUTED_VALUE"""),"Yes")</f>
        <v>Yes</v>
      </c>
      <c r="AG83" s="5"/>
      <c r="AH83" s="5" t="str">
        <f>IFERROR(__xludf.DUMMYFUNCTION("""COMPUTED_VALUE"""),"Yes")</f>
        <v>Yes</v>
      </c>
      <c r="AI83" s="5"/>
      <c r="AJ83" s="5"/>
      <c r="AK83" s="5"/>
      <c r="AL83" s="5"/>
      <c r="AM83" s="5"/>
      <c r="AN83" s="5"/>
      <c r="AO83" s="5" t="str">
        <f>IFERROR(__xludf.DUMMYFUNCTION("""COMPUTED_VALUE"""),"Yes")</f>
        <v>Yes</v>
      </c>
      <c r="AP83" s="5"/>
      <c r="AQ83" s="5"/>
      <c r="AR83" s="5"/>
      <c r="AS83" s="5" t="str">
        <f>IFERROR(__xludf.DUMMYFUNCTION("""COMPUTED_VALUE"""),"Yes")</f>
        <v>Yes</v>
      </c>
      <c r="AT83" s="5" t="str">
        <f>IFERROR(__xludf.DUMMYFUNCTION("""COMPUTED_VALUE"""),"Yes")</f>
        <v>Yes</v>
      </c>
      <c r="AU83" s="5"/>
      <c r="AV83" s="5" t="str">
        <f>IFERROR(__xludf.DUMMYFUNCTION("""COMPUTED_VALUE"""),"")</f>
        <v/>
      </c>
    </row>
    <row r="84">
      <c r="A84" s="5" t="str">
        <f>IFERROR(__xludf.DUMMYFUNCTION("""COMPUTED_VALUE"""),"Tiptop")</f>
        <v>Tiptop</v>
      </c>
      <c r="B84" s="5" t="str">
        <f>IFERROR(__xludf.DUMMYFUNCTION("""COMPUTED_VALUE"""),"Dynamite Run Dice")</f>
        <v>Dynamite Run Dice</v>
      </c>
      <c r="C84" s="5" t="str">
        <f>IFERROR(__xludf.DUMMYFUNCTION("""COMPUTED_VALUE"""),"UnicornDynamiteRunDice")</f>
        <v>UnicornDynamiteRunDice</v>
      </c>
      <c r="D84" s="6">
        <f>IFERROR(__xludf.DUMMYFUNCTION("""COMPUTED_VALUE"""),45797.0)</f>
        <v>45797</v>
      </c>
      <c r="E84" s="5" t="str">
        <f>IFERROR(__xludf.DUMMYFUNCTION("""COMPUTED_VALUE"""),"Dice Slots")</f>
        <v>Dice Slots</v>
      </c>
      <c r="F84" s="5">
        <f>IFERROR(__xludf.DUMMYFUNCTION("""COMPUTED_VALUE"""),12.7)</f>
        <v>12.7</v>
      </c>
      <c r="G84" s="5" t="str">
        <f>IFERROR(__xludf.DUMMYFUNCTION("""COMPUTED_VALUE"""),"5x3")</f>
        <v>5x3</v>
      </c>
      <c r="H84" s="5">
        <f>IFERROR(__xludf.DUMMYFUNCTION("""COMPUTED_VALUE"""),10.0)</f>
        <v>10</v>
      </c>
      <c r="I84" s="5">
        <f>IFERROR(__xludf.DUMMYFUNCTION("""COMPUTED_VALUE"""),10.0)</f>
        <v>10</v>
      </c>
      <c r="J84" s="5" t="str">
        <f>IFERROR(__xludf.DUMMYFUNCTION("""COMPUTED_VALUE"""),"96%")</f>
        <v>96%</v>
      </c>
      <c r="K84" s="5" t="str">
        <f>IFERROR(__xludf.DUMMYFUNCTION("""COMPUTED_VALUE"""),"Low")</f>
        <v>Low</v>
      </c>
      <c r="L84" s="5" t="str">
        <f>IFERROR(__xludf.DUMMYFUNCTION("""COMPUTED_VALUE"""),"26.12%")</f>
        <v>26.12%</v>
      </c>
      <c r="M84" s="5" t="str">
        <f>IFERROR(__xludf.DUMMYFUNCTION("""COMPUTED_VALUE"""),"x1100")</f>
        <v>x1100</v>
      </c>
      <c r="N84" s="5" t="str">
        <f>IFERROR(__xludf.DUMMYFUNCTION("""COMPUTED_VALUE"""),"0.1/100")</f>
        <v>0.1/100</v>
      </c>
      <c r="O84" s="5" t="str">
        <f>IFERROR(__xludf.DUMMYFUNCTION("""COMPUTED_VALUE"""),"No")</f>
        <v>No</v>
      </c>
      <c r="P84" s="5"/>
      <c r="Q84" s="7" t="str">
        <f>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R84" s="5" t="str">
        <f>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S8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4" s="5" t="str">
        <f>IFERROR(__xludf.DUMMYFUNCTION("""COMPUTED_VALUE"""),"Yes")</f>
        <v>Yes</v>
      </c>
      <c r="U84" s="5" t="str">
        <f>IFERROR(__xludf.DUMMYFUNCTION("""COMPUTED_VALUE"""),"Yes")</f>
        <v>Yes</v>
      </c>
      <c r="V84" s="5" t="str">
        <f>IFERROR(__xludf.DUMMYFUNCTION("""COMPUTED_VALUE"""),"Yes")</f>
        <v>Yes</v>
      </c>
      <c r="W84" s="5"/>
      <c r="X84" s="5"/>
      <c r="Y84" s="5"/>
      <c r="Z84" s="5"/>
      <c r="AA84" s="5"/>
      <c r="AB84" s="5" t="str">
        <f>IFERROR(__xludf.DUMMYFUNCTION("""COMPUTED_VALUE"""),"Yes")</f>
        <v>Yes</v>
      </c>
      <c r="AC84" s="5" t="str">
        <f>IFERROR(__xludf.DUMMYFUNCTION("""COMPUTED_VALUE"""),"Yes")</f>
        <v>Yes</v>
      </c>
      <c r="AD84" s="5" t="str">
        <f>IFERROR(__xludf.DUMMYFUNCTION("""COMPUTED_VALUE"""),"Yes")</f>
        <v>Yes</v>
      </c>
      <c r="AE84" s="5" t="str">
        <f>IFERROR(__xludf.DUMMYFUNCTION("""COMPUTED_VALUE"""),"Yes")</f>
        <v>Yes</v>
      </c>
      <c r="AF84" s="5" t="str">
        <f>IFERROR(__xludf.DUMMYFUNCTION("""COMPUTED_VALUE"""),"Yes")</f>
        <v>Yes</v>
      </c>
      <c r="AG84" s="5"/>
      <c r="AH84" s="5" t="str">
        <f>IFERROR(__xludf.DUMMYFUNCTION("""COMPUTED_VALUE"""),"Yes")</f>
        <v>Yes</v>
      </c>
      <c r="AI84" s="5"/>
      <c r="AJ84" s="5"/>
      <c r="AK84" s="5"/>
      <c r="AL84" s="5"/>
      <c r="AM84" s="5"/>
      <c r="AN84" s="5"/>
      <c r="AO84" s="5" t="str">
        <f>IFERROR(__xludf.DUMMYFUNCTION("""COMPUTED_VALUE"""),"Yes")</f>
        <v>Yes</v>
      </c>
      <c r="AP84" s="5"/>
      <c r="AQ84" s="5"/>
      <c r="AR84" s="5"/>
      <c r="AS84" s="5" t="str">
        <f>IFERROR(__xludf.DUMMYFUNCTION("""COMPUTED_VALUE"""),"Yes")</f>
        <v>Yes</v>
      </c>
      <c r="AT84" s="5" t="str">
        <f>IFERROR(__xludf.DUMMYFUNCTION("""COMPUTED_VALUE"""),"Yes")</f>
        <v>Yes</v>
      </c>
      <c r="AU84" s="5"/>
      <c r="AV84" s="5" t="str">
        <f>IFERROR(__xludf.DUMMYFUNCTION("""COMPUTED_VALUE"""),"")</f>
        <v/>
      </c>
    </row>
    <row r="85">
      <c r="A85" s="5" t="str">
        <f>IFERROR(__xludf.DUMMYFUNCTION("""COMPUTED_VALUE"""),"Tiptop")</f>
        <v>Tiptop</v>
      </c>
      <c r="B85" s="5" t="str">
        <f>IFERROR(__xludf.DUMMYFUNCTION("""COMPUTED_VALUE"""),"Big Spin Dragons")</f>
        <v>Big Spin Dragons</v>
      </c>
      <c r="C85" s="5" t="str">
        <f>IFERROR(__xludf.DUMMYFUNCTION("""COMPUTED_VALUE"""),"UnicornBigSpinDragons")</f>
        <v>UnicornBigSpinDragons</v>
      </c>
      <c r="D85" s="6">
        <f>IFERROR(__xludf.DUMMYFUNCTION("""COMPUTED_VALUE"""),45806.0)</f>
        <v>45806</v>
      </c>
      <c r="E85" s="5" t="str">
        <f>IFERROR(__xludf.DUMMYFUNCTION("""COMPUTED_VALUE"""),"Slot")</f>
        <v>Slot</v>
      </c>
      <c r="F85" s="5">
        <f>IFERROR(__xludf.DUMMYFUNCTION("""COMPUTED_VALUE"""),12.0)</f>
        <v>12</v>
      </c>
      <c r="G85" s="5" t="str">
        <f>IFERROR(__xludf.DUMMYFUNCTION("""COMPUTED_VALUE"""),"5x3")</f>
        <v>5x3</v>
      </c>
      <c r="H85" s="5">
        <f>IFERROR(__xludf.DUMMYFUNCTION("""COMPUTED_VALUE"""),5.0)</f>
        <v>5</v>
      </c>
      <c r="I85" s="5">
        <f>IFERROR(__xludf.DUMMYFUNCTION("""COMPUTED_VALUE"""),5.0)</f>
        <v>5</v>
      </c>
      <c r="J85" s="5" t="str">
        <f>IFERROR(__xludf.DUMMYFUNCTION("""COMPUTED_VALUE"""),"96%")</f>
        <v>96%</v>
      </c>
      <c r="K85" s="5" t="str">
        <f>IFERROR(__xludf.DUMMYFUNCTION("""COMPUTED_VALUE"""),"Low")</f>
        <v>Low</v>
      </c>
      <c r="L85" s="5" t="str">
        <f>IFERROR(__xludf.DUMMYFUNCTION("""COMPUTED_VALUE"""),"14.4%")</f>
        <v>14.4%</v>
      </c>
      <c r="M85" s="5" t="str">
        <f>IFERROR(__xludf.DUMMYFUNCTION("""COMPUTED_VALUE"""),"x10000")</f>
        <v>x10000</v>
      </c>
      <c r="N85" s="5" t="str">
        <f>IFERROR(__xludf.DUMMYFUNCTION("""COMPUTED_VALUE"""),"0.05/100")</f>
        <v>0.05/100</v>
      </c>
      <c r="O85" s="5" t="str">
        <f>IFERROR(__xludf.DUMMYFUNCTION("""COMPUTED_VALUE"""),"No")</f>
        <v>No</v>
      </c>
      <c r="P85" s="5"/>
      <c r="Q85" s="7" t="str">
        <f>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R85" s="5" t="str">
        <f>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S8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5" s="5" t="str">
        <f>IFERROR(__xludf.DUMMYFUNCTION("""COMPUTED_VALUE"""),"Yes")</f>
        <v>Yes</v>
      </c>
      <c r="U85" s="5" t="str">
        <f>IFERROR(__xludf.DUMMYFUNCTION("""COMPUTED_VALUE"""),"Yes")</f>
        <v>Yes</v>
      </c>
      <c r="V85" s="5" t="str">
        <f>IFERROR(__xludf.DUMMYFUNCTION("""COMPUTED_VALUE"""),"Yes")</f>
        <v>Yes</v>
      </c>
      <c r="W85" s="5" t="str">
        <f>IFERROR(__xludf.DUMMYFUNCTION("""COMPUTED_VALUE"""),"No")</f>
        <v>No</v>
      </c>
      <c r="X85" s="5" t="str">
        <f>IFERROR(__xludf.DUMMYFUNCTION("""COMPUTED_VALUE"""),"No")</f>
        <v>No</v>
      </c>
      <c r="Y85" s="5" t="str">
        <f>IFERROR(__xludf.DUMMYFUNCTION("""COMPUTED_VALUE"""),"No")</f>
        <v>No</v>
      </c>
      <c r="Z85" s="5" t="str">
        <f>IFERROR(__xludf.DUMMYFUNCTION("""COMPUTED_VALUE"""),"No")</f>
        <v>No</v>
      </c>
      <c r="AA85" s="5" t="str">
        <f>IFERROR(__xludf.DUMMYFUNCTION("""COMPUTED_VALUE"""),"No")</f>
        <v>No</v>
      </c>
      <c r="AB85" s="5" t="str">
        <f>IFERROR(__xludf.DUMMYFUNCTION("""COMPUTED_VALUE"""),"Yes")</f>
        <v>Yes</v>
      </c>
      <c r="AC85" s="5" t="str">
        <f>IFERROR(__xludf.DUMMYFUNCTION("""COMPUTED_VALUE"""),"Yes")</f>
        <v>Yes</v>
      </c>
      <c r="AD85" s="5" t="str">
        <f>IFERROR(__xludf.DUMMYFUNCTION("""COMPUTED_VALUE"""),"Yes")</f>
        <v>Yes</v>
      </c>
      <c r="AE85" s="5" t="str">
        <f>IFERROR(__xludf.DUMMYFUNCTION("""COMPUTED_VALUE"""),"Yes")</f>
        <v>Yes</v>
      </c>
      <c r="AF85" s="5" t="str">
        <f>IFERROR(__xludf.DUMMYFUNCTION("""COMPUTED_VALUE"""),"Yes")</f>
        <v>Yes</v>
      </c>
      <c r="AG85" s="5" t="str">
        <f>IFERROR(__xludf.DUMMYFUNCTION("""COMPUTED_VALUE"""),"No")</f>
        <v>No</v>
      </c>
      <c r="AH85" s="5" t="str">
        <f>IFERROR(__xludf.DUMMYFUNCTION("""COMPUTED_VALUE"""),"Yes")</f>
        <v>Yes</v>
      </c>
      <c r="AI85" s="5" t="str">
        <f>IFERROR(__xludf.DUMMYFUNCTION("""COMPUTED_VALUE"""),"No")</f>
        <v>No</v>
      </c>
      <c r="AJ85" s="5" t="str">
        <f>IFERROR(__xludf.DUMMYFUNCTION("""COMPUTED_VALUE"""),"No")</f>
        <v>No</v>
      </c>
      <c r="AK85" s="5" t="str">
        <f>IFERROR(__xludf.DUMMYFUNCTION("""COMPUTED_VALUE"""),"No")</f>
        <v>No</v>
      </c>
      <c r="AL85" s="5" t="str">
        <f>IFERROR(__xludf.DUMMYFUNCTION("""COMPUTED_VALUE"""),"No")</f>
        <v>No</v>
      </c>
      <c r="AM85" s="5"/>
      <c r="AN85" s="5"/>
      <c r="AO85" s="5" t="str">
        <f>IFERROR(__xludf.DUMMYFUNCTION("""COMPUTED_VALUE"""),"Yes")</f>
        <v>Yes</v>
      </c>
      <c r="AP85" s="5"/>
      <c r="AQ85" s="5" t="str">
        <f>IFERROR(__xludf.DUMMYFUNCTION("""COMPUTED_VALUE"""),"No")</f>
        <v>No</v>
      </c>
      <c r="AR85" s="5"/>
      <c r="AS85" s="5" t="str">
        <f>IFERROR(__xludf.DUMMYFUNCTION("""COMPUTED_VALUE"""),"Yes")</f>
        <v>Yes</v>
      </c>
      <c r="AT85" s="5" t="str">
        <f>IFERROR(__xludf.DUMMYFUNCTION("""COMPUTED_VALUE"""),"Yes")</f>
        <v>Yes</v>
      </c>
      <c r="AU85" s="5"/>
      <c r="AV85" s="5" t="str">
        <f>IFERROR(__xludf.DUMMYFUNCTION("""COMPUTED_VALUE"""),"")</f>
        <v/>
      </c>
    </row>
    <row r="86">
      <c r="A86" s="5" t="str">
        <f>IFERROR(__xludf.DUMMYFUNCTION("""COMPUTED_VALUE"""),"Tiptop")</f>
        <v>Tiptop</v>
      </c>
      <c r="B86" s="5" t="str">
        <f>IFERROR(__xludf.DUMMYFUNCTION("""COMPUTED_VALUE"""),"Simply Sevens Gems")</f>
        <v>Simply Sevens Gems</v>
      </c>
      <c r="C86" s="5" t="str">
        <f>IFERROR(__xludf.DUMMYFUNCTION("""COMPUTED_VALUE"""),"UnicornSimplySevensGems")</f>
        <v>UnicornSimplySevensGems</v>
      </c>
      <c r="D86" s="6">
        <f>IFERROR(__xludf.DUMMYFUNCTION("""COMPUTED_VALUE"""),45813.0)</f>
        <v>45813</v>
      </c>
      <c r="E86" s="5" t="str">
        <f>IFERROR(__xludf.DUMMYFUNCTION("""COMPUTED_VALUE"""),"Slot")</f>
        <v>Slot</v>
      </c>
      <c r="F86" s="5">
        <f>IFERROR(__xludf.DUMMYFUNCTION("""COMPUTED_VALUE"""),10.7)</f>
        <v>10.7</v>
      </c>
      <c r="G86" s="5" t="str">
        <f>IFERROR(__xludf.DUMMYFUNCTION("""COMPUTED_VALUE"""),"5x3")</f>
        <v>5x3</v>
      </c>
      <c r="H86" s="5">
        <f>IFERROR(__xludf.DUMMYFUNCTION("""COMPUTED_VALUE"""),10.0)</f>
        <v>10</v>
      </c>
      <c r="I86" s="5">
        <f>IFERROR(__xludf.DUMMYFUNCTION("""COMPUTED_VALUE"""),10.0)</f>
        <v>10</v>
      </c>
      <c r="J86" s="5" t="str">
        <f>IFERROR(__xludf.DUMMYFUNCTION("""COMPUTED_VALUE"""),"96%")</f>
        <v>96%</v>
      </c>
      <c r="K86" s="5" t="str">
        <f>IFERROR(__xludf.DUMMYFUNCTION("""COMPUTED_VALUE"""),"Low")</f>
        <v>Low</v>
      </c>
      <c r="L86" s="5" t="str">
        <f>IFERROR(__xludf.DUMMYFUNCTION("""COMPUTED_VALUE"""),"24.14%")</f>
        <v>24.14%</v>
      </c>
      <c r="M86" s="5" t="str">
        <f>IFERROR(__xludf.DUMMYFUNCTION("""COMPUTED_VALUE"""),"x10000")</f>
        <v>x10000</v>
      </c>
      <c r="N86" s="5" t="str">
        <f>IFERROR(__xludf.DUMMYFUNCTION("""COMPUTED_VALUE"""),"0.1/100")</f>
        <v>0.1/100</v>
      </c>
      <c r="O86" s="5" t="str">
        <f>IFERROR(__xludf.DUMMYFUNCTION("""COMPUTED_VALUE"""),"No")</f>
        <v>No</v>
      </c>
      <c r="P86" s="5"/>
      <c r="Q86" s="7" t="str">
        <f>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R86" s="5" t="str">
        <f>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S8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6" s="5" t="str">
        <f>IFERROR(__xludf.DUMMYFUNCTION("""COMPUTED_VALUE"""),"Yes")</f>
        <v>Yes</v>
      </c>
      <c r="U86" s="5" t="str">
        <f>IFERROR(__xludf.DUMMYFUNCTION("""COMPUTED_VALUE"""),"Yes")</f>
        <v>Yes</v>
      </c>
      <c r="V86" s="5" t="str">
        <f>IFERROR(__xludf.DUMMYFUNCTION("""COMPUTED_VALUE"""),"Yes")</f>
        <v>Yes</v>
      </c>
      <c r="W86" s="5" t="str">
        <f>IFERROR(__xludf.DUMMYFUNCTION("""COMPUTED_VALUE"""),"No")</f>
        <v>No</v>
      </c>
      <c r="X86" s="5" t="str">
        <f>IFERROR(__xludf.DUMMYFUNCTION("""COMPUTED_VALUE"""),"No")</f>
        <v>No</v>
      </c>
      <c r="Y86" s="5" t="str">
        <f>IFERROR(__xludf.DUMMYFUNCTION("""COMPUTED_VALUE"""),"No")</f>
        <v>No</v>
      </c>
      <c r="Z86" s="5" t="str">
        <f>IFERROR(__xludf.DUMMYFUNCTION("""COMPUTED_VALUE"""),"No")</f>
        <v>No</v>
      </c>
      <c r="AA86" s="5" t="str">
        <f>IFERROR(__xludf.DUMMYFUNCTION("""COMPUTED_VALUE"""),"No")</f>
        <v>No</v>
      </c>
      <c r="AB86" s="5" t="str">
        <f>IFERROR(__xludf.DUMMYFUNCTION("""COMPUTED_VALUE"""),"Yes")</f>
        <v>Yes</v>
      </c>
      <c r="AC86" s="5" t="str">
        <f>IFERROR(__xludf.DUMMYFUNCTION("""COMPUTED_VALUE"""),"Yes")</f>
        <v>Yes</v>
      </c>
      <c r="AD86" s="5" t="str">
        <f>IFERROR(__xludf.DUMMYFUNCTION("""COMPUTED_VALUE"""),"Yes")</f>
        <v>Yes</v>
      </c>
      <c r="AE86" s="5" t="str">
        <f>IFERROR(__xludf.DUMMYFUNCTION("""COMPUTED_VALUE"""),"Yes")</f>
        <v>Yes</v>
      </c>
      <c r="AF86" s="5" t="str">
        <f>IFERROR(__xludf.DUMMYFUNCTION("""COMPUTED_VALUE"""),"Yes")</f>
        <v>Yes</v>
      </c>
      <c r="AG86" s="5" t="str">
        <f>IFERROR(__xludf.DUMMYFUNCTION("""COMPUTED_VALUE"""),"No")</f>
        <v>No</v>
      </c>
      <c r="AH86" s="5" t="str">
        <f>IFERROR(__xludf.DUMMYFUNCTION("""COMPUTED_VALUE"""),"Yes")</f>
        <v>Yes</v>
      </c>
      <c r="AI86" s="5" t="str">
        <f>IFERROR(__xludf.DUMMYFUNCTION("""COMPUTED_VALUE"""),"No")</f>
        <v>No</v>
      </c>
      <c r="AJ86" s="5" t="str">
        <f>IFERROR(__xludf.DUMMYFUNCTION("""COMPUTED_VALUE"""),"No")</f>
        <v>No</v>
      </c>
      <c r="AK86" s="5" t="str">
        <f>IFERROR(__xludf.DUMMYFUNCTION("""COMPUTED_VALUE"""),"No")</f>
        <v>No</v>
      </c>
      <c r="AL86" s="5" t="str">
        <f>IFERROR(__xludf.DUMMYFUNCTION("""COMPUTED_VALUE"""),"No")</f>
        <v>No</v>
      </c>
      <c r="AM86" s="5"/>
      <c r="AN86" s="5"/>
      <c r="AO86" s="5" t="str">
        <f>IFERROR(__xludf.DUMMYFUNCTION("""COMPUTED_VALUE"""),"Yes")</f>
        <v>Yes</v>
      </c>
      <c r="AP86" s="5"/>
      <c r="AQ86" s="5" t="str">
        <f>IFERROR(__xludf.DUMMYFUNCTION("""COMPUTED_VALUE"""),"No")</f>
        <v>No</v>
      </c>
      <c r="AR86" s="5"/>
      <c r="AS86" s="5" t="str">
        <f>IFERROR(__xludf.DUMMYFUNCTION("""COMPUTED_VALUE"""),"Yes")</f>
        <v>Yes</v>
      </c>
      <c r="AT86" s="5" t="str">
        <f>IFERROR(__xludf.DUMMYFUNCTION("""COMPUTED_VALUE"""),"Yes")</f>
        <v>Yes</v>
      </c>
      <c r="AU86" s="5"/>
      <c r="AV86" s="5" t="str">
        <f>IFERROR(__xludf.DUMMYFUNCTION("""COMPUTED_VALUE"""),"")</f>
        <v/>
      </c>
    </row>
    <row r="87">
      <c r="A87" s="5" t="str">
        <f>IFERROR(__xludf.DUMMYFUNCTION("""COMPUTED_VALUE"""),"Tiptop")</f>
        <v>Tiptop</v>
      </c>
      <c r="B87" s="5" t="str">
        <f>IFERROR(__xludf.DUMMYFUNCTION("""COMPUTED_VALUE"""),"Super Fire Dice Jackpot")</f>
        <v>Super Fire Dice Jackpot</v>
      </c>
      <c r="C87" s="5" t="str">
        <f>IFERROR(__xludf.DUMMYFUNCTION("""COMPUTED_VALUE"""),"UnicornSuperFireDiceJackpot")</f>
        <v>UnicornSuperFireDiceJackpot</v>
      </c>
      <c r="D87" s="6">
        <f>IFERROR(__xludf.DUMMYFUNCTION("""COMPUTED_VALUE"""),45820.0)</f>
        <v>45820</v>
      </c>
      <c r="E87" s="5" t="str">
        <f>IFERROR(__xludf.DUMMYFUNCTION("""COMPUTED_VALUE"""),"Dice Slots")</f>
        <v>Dice Slots</v>
      </c>
      <c r="F87" s="5">
        <f>IFERROR(__xludf.DUMMYFUNCTION("""COMPUTED_VALUE"""),10.6)</f>
        <v>10.6</v>
      </c>
      <c r="G87" s="5" t="str">
        <f>IFERROR(__xludf.DUMMYFUNCTION("""COMPUTED_VALUE"""),"5x3")</f>
        <v>5x3</v>
      </c>
      <c r="H87" s="5">
        <f>IFERROR(__xludf.DUMMYFUNCTION("""COMPUTED_VALUE"""),20.0)</f>
        <v>20</v>
      </c>
      <c r="I87" s="5">
        <f>IFERROR(__xludf.DUMMYFUNCTION("""COMPUTED_VALUE"""),20.0)</f>
        <v>20</v>
      </c>
      <c r="J87" s="5" t="str">
        <f>IFERROR(__xludf.DUMMYFUNCTION("""COMPUTED_VALUE"""),"96%")</f>
        <v>96%</v>
      </c>
      <c r="K87" s="5" t="str">
        <f>IFERROR(__xludf.DUMMYFUNCTION("""COMPUTED_VALUE"""),"Low")</f>
        <v>Low</v>
      </c>
      <c r="L87" s="5" t="str">
        <f>IFERROR(__xludf.DUMMYFUNCTION("""COMPUTED_VALUE"""),"14.46%")</f>
        <v>14.46%</v>
      </c>
      <c r="M87" s="5" t="str">
        <f>IFERROR(__xludf.DUMMYFUNCTION("""COMPUTED_VALUE"""),"x10000")</f>
        <v>x10000</v>
      </c>
      <c r="N87" s="5" t="str">
        <f>IFERROR(__xludf.DUMMYFUNCTION("""COMPUTED_VALUE"""),"0.2/100")</f>
        <v>0.2/100</v>
      </c>
      <c r="O87" s="5" t="str">
        <f>IFERROR(__xludf.DUMMYFUNCTION("""COMPUTED_VALUE"""),"No")</f>
        <v>No</v>
      </c>
      <c r="P87" s="5"/>
      <c r="Q87" s="7" t="str">
        <f>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R87" s="5" t="str">
        <f>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S8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7" s="5" t="str">
        <f>IFERROR(__xludf.DUMMYFUNCTION("""COMPUTED_VALUE"""),"Yes")</f>
        <v>Yes</v>
      </c>
      <c r="U87" s="5" t="str">
        <f>IFERROR(__xludf.DUMMYFUNCTION("""COMPUTED_VALUE"""),"Yes")</f>
        <v>Yes</v>
      </c>
      <c r="V87" s="5" t="str">
        <f>IFERROR(__xludf.DUMMYFUNCTION("""COMPUTED_VALUE"""),"Yes")</f>
        <v>Yes</v>
      </c>
      <c r="W87" s="5" t="str">
        <f>IFERROR(__xludf.DUMMYFUNCTION("""COMPUTED_VALUE"""),"No")</f>
        <v>No</v>
      </c>
      <c r="X87" s="5" t="str">
        <f>IFERROR(__xludf.DUMMYFUNCTION("""COMPUTED_VALUE"""),"No")</f>
        <v>No</v>
      </c>
      <c r="Y87" s="5" t="str">
        <f>IFERROR(__xludf.DUMMYFUNCTION("""COMPUTED_VALUE"""),"No")</f>
        <v>No</v>
      </c>
      <c r="Z87" s="5" t="str">
        <f>IFERROR(__xludf.DUMMYFUNCTION("""COMPUTED_VALUE"""),"No")</f>
        <v>No</v>
      </c>
      <c r="AA87" s="5" t="str">
        <f>IFERROR(__xludf.DUMMYFUNCTION("""COMPUTED_VALUE"""),"No")</f>
        <v>No</v>
      </c>
      <c r="AB87" s="5" t="str">
        <f>IFERROR(__xludf.DUMMYFUNCTION("""COMPUTED_VALUE"""),"Yes")</f>
        <v>Yes</v>
      </c>
      <c r="AC87" s="5" t="str">
        <f>IFERROR(__xludf.DUMMYFUNCTION("""COMPUTED_VALUE"""),"Yes")</f>
        <v>Yes</v>
      </c>
      <c r="AD87" s="5" t="str">
        <f>IFERROR(__xludf.DUMMYFUNCTION("""COMPUTED_VALUE"""),"Yes")</f>
        <v>Yes</v>
      </c>
      <c r="AE87" s="5" t="str">
        <f>IFERROR(__xludf.DUMMYFUNCTION("""COMPUTED_VALUE"""),"Yes")</f>
        <v>Yes</v>
      </c>
      <c r="AF87" s="5" t="str">
        <f>IFERROR(__xludf.DUMMYFUNCTION("""COMPUTED_VALUE"""),"Yes")</f>
        <v>Yes</v>
      </c>
      <c r="AG87" s="5" t="str">
        <f>IFERROR(__xludf.DUMMYFUNCTION("""COMPUTED_VALUE"""),"No")</f>
        <v>No</v>
      </c>
      <c r="AH87" s="5" t="str">
        <f>IFERROR(__xludf.DUMMYFUNCTION("""COMPUTED_VALUE"""),"Yes")</f>
        <v>Yes</v>
      </c>
      <c r="AI87" s="5" t="str">
        <f>IFERROR(__xludf.DUMMYFUNCTION("""COMPUTED_VALUE"""),"No")</f>
        <v>No</v>
      </c>
      <c r="AJ87" s="5" t="str">
        <f>IFERROR(__xludf.DUMMYFUNCTION("""COMPUTED_VALUE"""),"No")</f>
        <v>No</v>
      </c>
      <c r="AK87" s="5" t="str">
        <f>IFERROR(__xludf.DUMMYFUNCTION("""COMPUTED_VALUE"""),"No")</f>
        <v>No</v>
      </c>
      <c r="AL87" s="5" t="str">
        <f>IFERROR(__xludf.DUMMYFUNCTION("""COMPUTED_VALUE"""),"No")</f>
        <v>No</v>
      </c>
      <c r="AM87" s="5"/>
      <c r="AN87" s="5"/>
      <c r="AO87" s="5" t="str">
        <f>IFERROR(__xludf.DUMMYFUNCTION("""COMPUTED_VALUE"""),"Yes")</f>
        <v>Yes</v>
      </c>
      <c r="AP87" s="5"/>
      <c r="AQ87" s="5" t="str">
        <f>IFERROR(__xludf.DUMMYFUNCTION("""COMPUTED_VALUE"""),"No")</f>
        <v>No</v>
      </c>
      <c r="AR87" s="5"/>
      <c r="AS87" s="5" t="str">
        <f>IFERROR(__xludf.DUMMYFUNCTION("""COMPUTED_VALUE"""),"Yes")</f>
        <v>Yes</v>
      </c>
      <c r="AT87" s="5" t="str">
        <f>IFERROR(__xludf.DUMMYFUNCTION("""COMPUTED_VALUE"""),"Yes")</f>
        <v>Yes</v>
      </c>
      <c r="AU87" s="5"/>
      <c r="AV87" s="5" t="str">
        <f>IFERROR(__xludf.DUMMYFUNCTION("""COMPUTED_VALUE"""),"")</f>
        <v/>
      </c>
    </row>
    <row r="88">
      <c r="A88" s="5" t="str">
        <f>IFERROR(__xludf.DUMMYFUNCTION("""COMPUTED_VALUE"""),"Tiptop")</f>
        <v>Tiptop</v>
      </c>
      <c r="B88" s="5" t="str">
        <f>IFERROR(__xludf.DUMMYFUNCTION("""COMPUTED_VALUE"""),"Mister Dice")</f>
        <v>Mister Dice</v>
      </c>
      <c r="C88" s="5" t="str">
        <f>IFERROR(__xludf.DUMMYFUNCTION("""COMPUTED_VALUE"""),"UnicornMisterDice")</f>
        <v>UnicornMisterDice</v>
      </c>
      <c r="D88" s="6">
        <f>IFERROR(__xludf.DUMMYFUNCTION("""COMPUTED_VALUE"""),45825.0)</f>
        <v>45825</v>
      </c>
      <c r="E88" s="5" t="str">
        <f>IFERROR(__xludf.DUMMYFUNCTION("""COMPUTED_VALUE"""),"Dice Slots")</f>
        <v>Dice Slots</v>
      </c>
      <c r="F88" s="5">
        <f>IFERROR(__xludf.DUMMYFUNCTION("""COMPUTED_VALUE"""),15.1)</f>
        <v>15.1</v>
      </c>
      <c r="G88" s="5" t="str">
        <f>IFERROR(__xludf.DUMMYFUNCTION("""COMPUTED_VALUE"""),"5x3")</f>
        <v>5x3</v>
      </c>
      <c r="H88" s="5">
        <f>IFERROR(__xludf.DUMMYFUNCTION("""COMPUTED_VALUE"""),5.0)</f>
        <v>5</v>
      </c>
      <c r="I88" s="5">
        <f>IFERROR(__xludf.DUMMYFUNCTION("""COMPUTED_VALUE"""),5.0)</f>
        <v>5</v>
      </c>
      <c r="J88" s="5" t="str">
        <f>IFERROR(__xludf.DUMMYFUNCTION("""COMPUTED_VALUE"""),"96%")</f>
        <v>96%</v>
      </c>
      <c r="K88" s="5" t="str">
        <f>IFERROR(__xludf.DUMMYFUNCTION("""COMPUTED_VALUE"""),"Low")</f>
        <v>Low</v>
      </c>
      <c r="L88" s="5" t="str">
        <f>IFERROR(__xludf.DUMMYFUNCTION("""COMPUTED_VALUE"""),"13.64%")</f>
        <v>13.64%</v>
      </c>
      <c r="M88" s="5" t="str">
        <f>IFERROR(__xludf.DUMMYFUNCTION("""COMPUTED_VALUE"""),"x10000")</f>
        <v>x10000</v>
      </c>
      <c r="N88" s="5" t="str">
        <f>IFERROR(__xludf.DUMMYFUNCTION("""COMPUTED_VALUE"""),"0.05/100")</f>
        <v>0.05/100</v>
      </c>
      <c r="O88" s="5" t="str">
        <f>IFERROR(__xludf.DUMMYFUNCTION("""COMPUTED_VALUE"""),"No")</f>
        <v>No</v>
      </c>
      <c r="P88" s="5"/>
      <c r="Q88" s="7" t="str">
        <f>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R88" s="5" t="str">
        <f>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S8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8" s="5" t="str">
        <f>IFERROR(__xludf.DUMMYFUNCTION("""COMPUTED_VALUE"""),"Yes")</f>
        <v>Yes</v>
      </c>
      <c r="U88" s="5" t="str">
        <f>IFERROR(__xludf.DUMMYFUNCTION("""COMPUTED_VALUE"""),"Yes")</f>
        <v>Yes</v>
      </c>
      <c r="V88" s="5" t="str">
        <f>IFERROR(__xludf.DUMMYFUNCTION("""COMPUTED_VALUE"""),"Yes")</f>
        <v>Yes</v>
      </c>
      <c r="W88" s="5" t="str">
        <f>IFERROR(__xludf.DUMMYFUNCTION("""COMPUTED_VALUE"""),"No")</f>
        <v>No</v>
      </c>
      <c r="X88" s="5" t="str">
        <f>IFERROR(__xludf.DUMMYFUNCTION("""COMPUTED_VALUE"""),"No")</f>
        <v>No</v>
      </c>
      <c r="Y88" s="5" t="str">
        <f>IFERROR(__xludf.DUMMYFUNCTION("""COMPUTED_VALUE"""),"No")</f>
        <v>No</v>
      </c>
      <c r="Z88" s="5" t="str">
        <f>IFERROR(__xludf.DUMMYFUNCTION("""COMPUTED_VALUE"""),"No")</f>
        <v>No</v>
      </c>
      <c r="AA88" s="5" t="str">
        <f>IFERROR(__xludf.DUMMYFUNCTION("""COMPUTED_VALUE"""),"No")</f>
        <v>No</v>
      </c>
      <c r="AB88" s="5" t="str">
        <f>IFERROR(__xludf.DUMMYFUNCTION("""COMPUTED_VALUE"""),"Yes")</f>
        <v>Yes</v>
      </c>
      <c r="AC88" s="5" t="str">
        <f>IFERROR(__xludf.DUMMYFUNCTION("""COMPUTED_VALUE"""),"Yes")</f>
        <v>Yes</v>
      </c>
      <c r="AD88" s="5" t="str">
        <f>IFERROR(__xludf.DUMMYFUNCTION("""COMPUTED_VALUE"""),"Yes")</f>
        <v>Yes</v>
      </c>
      <c r="AE88" s="5" t="str">
        <f>IFERROR(__xludf.DUMMYFUNCTION("""COMPUTED_VALUE"""),"Yes")</f>
        <v>Yes</v>
      </c>
      <c r="AF88" s="5" t="str">
        <f>IFERROR(__xludf.DUMMYFUNCTION("""COMPUTED_VALUE"""),"Yes")</f>
        <v>Yes</v>
      </c>
      <c r="AG88" s="5" t="str">
        <f>IFERROR(__xludf.DUMMYFUNCTION("""COMPUTED_VALUE"""),"No")</f>
        <v>No</v>
      </c>
      <c r="AH88" s="5" t="str">
        <f>IFERROR(__xludf.DUMMYFUNCTION("""COMPUTED_VALUE"""),"Yes")</f>
        <v>Yes</v>
      </c>
      <c r="AI88" s="5" t="str">
        <f>IFERROR(__xludf.DUMMYFUNCTION("""COMPUTED_VALUE"""),"No")</f>
        <v>No</v>
      </c>
      <c r="AJ88" s="5" t="str">
        <f>IFERROR(__xludf.DUMMYFUNCTION("""COMPUTED_VALUE"""),"No")</f>
        <v>No</v>
      </c>
      <c r="AK88" s="5" t="str">
        <f>IFERROR(__xludf.DUMMYFUNCTION("""COMPUTED_VALUE"""),"No")</f>
        <v>No</v>
      </c>
      <c r="AL88" s="5" t="str">
        <f>IFERROR(__xludf.DUMMYFUNCTION("""COMPUTED_VALUE"""),"No")</f>
        <v>No</v>
      </c>
      <c r="AM88" s="5"/>
      <c r="AN88" s="5"/>
      <c r="AO88" s="5" t="str">
        <f>IFERROR(__xludf.DUMMYFUNCTION("""COMPUTED_VALUE"""),"Yes")</f>
        <v>Yes</v>
      </c>
      <c r="AP88" s="5"/>
      <c r="AQ88" s="5" t="str">
        <f>IFERROR(__xludf.DUMMYFUNCTION("""COMPUTED_VALUE"""),"No")</f>
        <v>No</v>
      </c>
      <c r="AR88" s="5"/>
      <c r="AS88" s="5" t="str">
        <f>IFERROR(__xludf.DUMMYFUNCTION("""COMPUTED_VALUE"""),"Yes")</f>
        <v>Yes</v>
      </c>
      <c r="AT88" s="5" t="str">
        <f>IFERROR(__xludf.DUMMYFUNCTION("""COMPUTED_VALUE"""),"Yes")</f>
        <v>Yes</v>
      </c>
      <c r="AU88" s="5"/>
      <c r="AV88" s="5" t="str">
        <f>IFERROR(__xludf.DUMMYFUNCTION("""COMPUTED_VALUE"""),"")</f>
        <v/>
      </c>
    </row>
    <row r="89">
      <c r="A89" s="5" t="str">
        <f>IFERROR(__xludf.DUMMYFUNCTION("""COMPUTED_VALUE"""),"Tiptop")</f>
        <v>Tiptop</v>
      </c>
      <c r="B89" s="5" t="str">
        <f>IFERROR(__xludf.DUMMYFUNCTION("""COMPUTED_VALUE"""),"Three Reel Sevens")</f>
        <v>Three Reel Sevens</v>
      </c>
      <c r="C89" s="5" t="str">
        <f>IFERROR(__xludf.DUMMYFUNCTION("""COMPUTED_VALUE"""),"UnicornThreeReelSevens")</f>
        <v>UnicornThreeReelSevens</v>
      </c>
      <c r="D89" s="6">
        <f>IFERROR(__xludf.DUMMYFUNCTION("""COMPUTED_VALUE"""),45833.0)</f>
        <v>45833</v>
      </c>
      <c r="E89" s="5" t="str">
        <f>IFERROR(__xludf.DUMMYFUNCTION("""COMPUTED_VALUE"""),"Slot")</f>
        <v>Slot</v>
      </c>
      <c r="F89" s="5">
        <f>IFERROR(__xludf.DUMMYFUNCTION("""COMPUTED_VALUE"""),10.5)</f>
        <v>10.5</v>
      </c>
      <c r="G89" s="5" t="str">
        <f>IFERROR(__xludf.DUMMYFUNCTION("""COMPUTED_VALUE"""),"3x3")</f>
        <v>3x3</v>
      </c>
      <c r="H89" s="5">
        <f>IFERROR(__xludf.DUMMYFUNCTION("""COMPUTED_VALUE"""),5.0)</f>
        <v>5</v>
      </c>
      <c r="I89" s="5">
        <f>IFERROR(__xludf.DUMMYFUNCTION("""COMPUTED_VALUE"""),5.0)</f>
        <v>5</v>
      </c>
      <c r="J89" s="5" t="str">
        <f>IFERROR(__xludf.DUMMYFUNCTION("""COMPUTED_VALUE"""),"96%")</f>
        <v>96%</v>
      </c>
      <c r="K89" s="5" t="str">
        <f>IFERROR(__xludf.DUMMYFUNCTION("""COMPUTED_VALUE"""),"Low")</f>
        <v>Low</v>
      </c>
      <c r="L89" s="5" t="str">
        <f>IFERROR(__xludf.DUMMYFUNCTION("""COMPUTED_VALUE"""),"12.6%")</f>
        <v>12.6%</v>
      </c>
      <c r="M89" s="5" t="str">
        <f>IFERROR(__xludf.DUMMYFUNCTION("""COMPUTED_VALUE"""),"x1000")</f>
        <v>x1000</v>
      </c>
      <c r="N89" s="5" t="str">
        <f>IFERROR(__xludf.DUMMYFUNCTION("""COMPUTED_VALUE"""),"0.05/100")</f>
        <v>0.05/100</v>
      </c>
      <c r="O89" s="5" t="str">
        <f>IFERROR(__xludf.DUMMYFUNCTION("""COMPUTED_VALUE"""),"No")</f>
        <v>No</v>
      </c>
      <c r="P89" s="5"/>
      <c r="Q89" s="7" t="str">
        <f>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R89" s="5" t="str">
        <f>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S8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9" s="5" t="str">
        <f>IFERROR(__xludf.DUMMYFUNCTION("""COMPUTED_VALUE"""),"Yes")</f>
        <v>Yes</v>
      </c>
      <c r="U89" s="5" t="str">
        <f>IFERROR(__xludf.DUMMYFUNCTION("""COMPUTED_VALUE"""),"Yes")</f>
        <v>Yes</v>
      </c>
      <c r="V89" s="5" t="str">
        <f>IFERROR(__xludf.DUMMYFUNCTION("""COMPUTED_VALUE"""),"Yes")</f>
        <v>Yes</v>
      </c>
      <c r="W89" s="5" t="str">
        <f>IFERROR(__xludf.DUMMYFUNCTION("""COMPUTED_VALUE"""),"No")</f>
        <v>No</v>
      </c>
      <c r="X89" s="5" t="str">
        <f>IFERROR(__xludf.DUMMYFUNCTION("""COMPUTED_VALUE"""),"No")</f>
        <v>No</v>
      </c>
      <c r="Y89" s="5" t="str">
        <f>IFERROR(__xludf.DUMMYFUNCTION("""COMPUTED_VALUE"""),"No")</f>
        <v>No</v>
      </c>
      <c r="Z89" s="5" t="str">
        <f>IFERROR(__xludf.DUMMYFUNCTION("""COMPUTED_VALUE"""),"No")</f>
        <v>No</v>
      </c>
      <c r="AA89" s="5" t="str">
        <f>IFERROR(__xludf.DUMMYFUNCTION("""COMPUTED_VALUE"""),"No")</f>
        <v>No</v>
      </c>
      <c r="AB89" s="5" t="str">
        <f>IFERROR(__xludf.DUMMYFUNCTION("""COMPUTED_VALUE"""),"Yes")</f>
        <v>Yes</v>
      </c>
      <c r="AC89" s="5" t="str">
        <f>IFERROR(__xludf.DUMMYFUNCTION("""COMPUTED_VALUE"""),"Yes")</f>
        <v>Yes</v>
      </c>
      <c r="AD89" s="5" t="str">
        <f>IFERROR(__xludf.DUMMYFUNCTION("""COMPUTED_VALUE"""),"Yes")</f>
        <v>Yes</v>
      </c>
      <c r="AE89" s="5" t="str">
        <f>IFERROR(__xludf.DUMMYFUNCTION("""COMPUTED_VALUE"""),"Yes")</f>
        <v>Yes</v>
      </c>
      <c r="AF89" s="5" t="str">
        <f>IFERROR(__xludf.DUMMYFUNCTION("""COMPUTED_VALUE"""),"Yes")</f>
        <v>Yes</v>
      </c>
      <c r="AG89" s="5" t="str">
        <f>IFERROR(__xludf.DUMMYFUNCTION("""COMPUTED_VALUE"""),"No")</f>
        <v>No</v>
      </c>
      <c r="AH89" s="5" t="str">
        <f>IFERROR(__xludf.DUMMYFUNCTION("""COMPUTED_VALUE"""),"Yes")</f>
        <v>Yes</v>
      </c>
      <c r="AI89" s="5" t="str">
        <f>IFERROR(__xludf.DUMMYFUNCTION("""COMPUTED_VALUE"""),"No")</f>
        <v>No</v>
      </c>
      <c r="AJ89" s="5" t="str">
        <f>IFERROR(__xludf.DUMMYFUNCTION("""COMPUTED_VALUE"""),"No")</f>
        <v>No</v>
      </c>
      <c r="AK89" s="5" t="str">
        <f>IFERROR(__xludf.DUMMYFUNCTION("""COMPUTED_VALUE"""),"No")</f>
        <v>No</v>
      </c>
      <c r="AL89" s="5" t="str">
        <f>IFERROR(__xludf.DUMMYFUNCTION("""COMPUTED_VALUE"""),"No")</f>
        <v>No</v>
      </c>
      <c r="AM89" s="5"/>
      <c r="AN89" s="5"/>
      <c r="AO89" s="5" t="str">
        <f>IFERROR(__xludf.DUMMYFUNCTION("""COMPUTED_VALUE"""),"Yes")</f>
        <v>Yes</v>
      </c>
      <c r="AP89" s="5"/>
      <c r="AQ89" s="5" t="str">
        <f>IFERROR(__xludf.DUMMYFUNCTION("""COMPUTED_VALUE"""),"No")</f>
        <v>No</v>
      </c>
      <c r="AR89" s="5"/>
      <c r="AS89" s="5" t="str">
        <f>IFERROR(__xludf.DUMMYFUNCTION("""COMPUTED_VALUE"""),"Yes")</f>
        <v>Yes</v>
      </c>
      <c r="AT89" s="5" t="str">
        <f>IFERROR(__xludf.DUMMYFUNCTION("""COMPUTED_VALUE"""),"Yes")</f>
        <v>Yes</v>
      </c>
      <c r="AU89" s="5"/>
      <c r="AV89" s="5" t="str">
        <f>IFERROR(__xludf.DUMMYFUNCTION("""COMPUTED_VALUE"""),"")</f>
        <v/>
      </c>
    </row>
    <row r="90">
      <c r="A90" s="5" t="str">
        <f>IFERROR(__xludf.DUMMYFUNCTION("""COMPUTED_VALUE"""),"Tiptop")</f>
        <v>Tiptop</v>
      </c>
      <c r="B90" s="5" t="str">
        <f>IFERROR(__xludf.DUMMYFUNCTION("""COMPUTED_VALUE"""),"Enchanted Gems")</f>
        <v>Enchanted Gems</v>
      </c>
      <c r="C90" s="5" t="str">
        <f>IFERROR(__xludf.DUMMYFUNCTION("""COMPUTED_VALUE"""),"UnicornEnchantedGems")</f>
        <v>UnicornEnchantedGems</v>
      </c>
      <c r="D90" s="6">
        <f>IFERROR(__xludf.DUMMYFUNCTION("""COMPUTED_VALUE"""),45841.0)</f>
        <v>45841</v>
      </c>
      <c r="E90" s="5" t="str">
        <f>IFERROR(__xludf.DUMMYFUNCTION("""COMPUTED_VALUE"""),"Slot")</f>
        <v>Slot</v>
      </c>
      <c r="F90" s="5">
        <f>IFERROR(__xludf.DUMMYFUNCTION("""COMPUTED_VALUE"""),13.6)</f>
        <v>13.6</v>
      </c>
      <c r="G90" s="5" t="str">
        <f>IFERROR(__xludf.DUMMYFUNCTION("""COMPUTED_VALUE"""),"5x3")</f>
        <v>5x3</v>
      </c>
      <c r="H90" s="5">
        <f>IFERROR(__xludf.DUMMYFUNCTION("""COMPUTED_VALUE"""),10.0)</f>
        <v>10</v>
      </c>
      <c r="I90" s="5">
        <f>IFERROR(__xludf.DUMMYFUNCTION("""COMPUTED_VALUE"""),10.0)</f>
        <v>10</v>
      </c>
      <c r="J90" s="5" t="str">
        <f>IFERROR(__xludf.DUMMYFUNCTION("""COMPUTED_VALUE"""),"96%")</f>
        <v>96%</v>
      </c>
      <c r="K90" s="5" t="str">
        <f>IFERROR(__xludf.DUMMYFUNCTION("""COMPUTED_VALUE"""),"Low")</f>
        <v>Low</v>
      </c>
      <c r="L90" s="5" t="str">
        <f>IFERROR(__xludf.DUMMYFUNCTION("""COMPUTED_VALUE"""),"24.14%")</f>
        <v>24.14%</v>
      </c>
      <c r="M90" s="5" t="str">
        <f>IFERROR(__xludf.DUMMYFUNCTION("""COMPUTED_VALUE"""),"x10000")</f>
        <v>x10000</v>
      </c>
      <c r="N90" s="5" t="str">
        <f>IFERROR(__xludf.DUMMYFUNCTION("""COMPUTED_VALUE"""),"0.1/100")</f>
        <v>0.1/100</v>
      </c>
      <c r="O90" s="5" t="str">
        <f>IFERROR(__xludf.DUMMYFUNCTION("""COMPUTED_VALUE"""),"No")</f>
        <v>No</v>
      </c>
      <c r="P90" s="5"/>
      <c r="Q90" s="7" t="str">
        <f>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R90" s="5" t="str">
        <f>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S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0" s="5" t="str">
        <f>IFERROR(__xludf.DUMMYFUNCTION("""COMPUTED_VALUE"""),"Yes")</f>
        <v>Yes</v>
      </c>
      <c r="U90" s="5" t="str">
        <f>IFERROR(__xludf.DUMMYFUNCTION("""COMPUTED_VALUE"""),"Yes")</f>
        <v>Yes</v>
      </c>
      <c r="V90" s="5" t="str">
        <f>IFERROR(__xludf.DUMMYFUNCTION("""COMPUTED_VALUE"""),"Yes")</f>
        <v>Yes</v>
      </c>
      <c r="W90" s="5" t="str">
        <f>IFERROR(__xludf.DUMMYFUNCTION("""COMPUTED_VALUE"""),"Yes")</f>
        <v>Yes</v>
      </c>
      <c r="X90" s="5" t="str">
        <f>IFERROR(__xludf.DUMMYFUNCTION("""COMPUTED_VALUE"""),"Yes")</f>
        <v>Yes</v>
      </c>
      <c r="Y90" s="5" t="str">
        <f>IFERROR(__xludf.DUMMYFUNCTION("""COMPUTED_VALUE"""),"Yes")</f>
        <v>Yes</v>
      </c>
      <c r="Z90" s="5" t="str">
        <f>IFERROR(__xludf.DUMMYFUNCTION("""COMPUTED_VALUE"""),"Yes")</f>
        <v>Yes</v>
      </c>
      <c r="AA90" s="5" t="str">
        <f>IFERROR(__xludf.DUMMYFUNCTION("""COMPUTED_VALUE"""),"Yes")</f>
        <v>Yes</v>
      </c>
      <c r="AB90" s="5" t="str">
        <f>IFERROR(__xludf.DUMMYFUNCTION("""COMPUTED_VALUE"""),"Yes")</f>
        <v>Yes</v>
      </c>
      <c r="AC90" s="5" t="str">
        <f>IFERROR(__xludf.DUMMYFUNCTION("""COMPUTED_VALUE"""),"Yes")</f>
        <v>Yes</v>
      </c>
      <c r="AD90" s="5" t="str">
        <f>IFERROR(__xludf.DUMMYFUNCTION("""COMPUTED_VALUE"""),"Yes")</f>
        <v>Yes</v>
      </c>
      <c r="AE90" s="5" t="str">
        <f>IFERROR(__xludf.DUMMYFUNCTION("""COMPUTED_VALUE"""),"Yes")</f>
        <v>Yes</v>
      </c>
      <c r="AF90" s="5" t="str">
        <f>IFERROR(__xludf.DUMMYFUNCTION("""COMPUTED_VALUE"""),"Yes")</f>
        <v>Yes</v>
      </c>
      <c r="AG90" s="5" t="str">
        <f>IFERROR(__xludf.DUMMYFUNCTION("""COMPUTED_VALUE"""),"Yes")</f>
        <v>Yes</v>
      </c>
      <c r="AH90" s="5" t="str">
        <f>IFERROR(__xludf.DUMMYFUNCTION("""COMPUTED_VALUE"""),"Yes")</f>
        <v>Yes</v>
      </c>
      <c r="AI90" s="5" t="str">
        <f>IFERROR(__xludf.DUMMYFUNCTION("""COMPUTED_VALUE"""),"Yes")</f>
        <v>Yes</v>
      </c>
      <c r="AJ90" s="5" t="str">
        <f>IFERROR(__xludf.DUMMYFUNCTION("""COMPUTED_VALUE"""),"Yes")</f>
        <v>Yes</v>
      </c>
      <c r="AK90" s="5" t="str">
        <f>IFERROR(__xludf.DUMMYFUNCTION("""COMPUTED_VALUE"""),"Yes")</f>
        <v>Yes</v>
      </c>
      <c r="AL90" s="5" t="str">
        <f>IFERROR(__xludf.DUMMYFUNCTION("""COMPUTED_VALUE"""),"Yes")</f>
        <v>Yes</v>
      </c>
      <c r="AM90" s="5"/>
      <c r="AN90" s="5"/>
      <c r="AO90" s="5"/>
      <c r="AP90" s="5"/>
      <c r="AQ90" s="5" t="str">
        <f>IFERROR(__xludf.DUMMYFUNCTION("""COMPUTED_VALUE"""),"Yes")</f>
        <v>Yes</v>
      </c>
      <c r="AR90" s="5"/>
      <c r="AS90" s="5"/>
      <c r="AT90" s="5"/>
      <c r="AU90" s="5"/>
      <c r="AV90" s="5" t="str">
        <f>IFERROR(__xludf.DUMMYFUNCTION("""COMPUTED_VALUE"""),"")</f>
        <v/>
      </c>
    </row>
    <row r="91">
      <c r="A91" s="5" t="str">
        <f>IFERROR(__xludf.DUMMYFUNCTION("""COMPUTED_VALUE"""),"Tiptop")</f>
        <v>Tiptop</v>
      </c>
      <c r="B91" s="5" t="str">
        <f>IFERROR(__xludf.DUMMYFUNCTION("""COMPUTED_VALUE"""),"Supreme Sevens Dice")</f>
        <v>Supreme Sevens Dice</v>
      </c>
      <c r="C91" s="5" t="str">
        <f>IFERROR(__xludf.DUMMYFUNCTION("""COMPUTED_VALUE"""),"UnicornSupremeSevensDice")</f>
        <v>UnicornSupremeSevensDice</v>
      </c>
      <c r="D91" s="6">
        <f>IFERROR(__xludf.DUMMYFUNCTION("""COMPUTED_VALUE"""),45847.0)</f>
        <v>45847</v>
      </c>
      <c r="E91" s="5" t="str">
        <f>IFERROR(__xludf.DUMMYFUNCTION("""COMPUTED_VALUE"""),"Dice Slots")</f>
        <v>Dice Slots</v>
      </c>
      <c r="F91" s="5">
        <f>IFERROR(__xludf.DUMMYFUNCTION("""COMPUTED_VALUE"""),10.4)</f>
        <v>10.4</v>
      </c>
      <c r="G91" s="5" t="str">
        <f>IFERROR(__xludf.DUMMYFUNCTION("""COMPUTED_VALUE"""),"5x3")</f>
        <v>5x3</v>
      </c>
      <c r="H91" s="5">
        <f>IFERROR(__xludf.DUMMYFUNCTION("""COMPUTED_VALUE"""),5.0)</f>
        <v>5</v>
      </c>
      <c r="I91" s="5">
        <f>IFERROR(__xludf.DUMMYFUNCTION("""COMPUTED_VALUE"""),5.0)</f>
        <v>5</v>
      </c>
      <c r="J91" s="5" t="str">
        <f>IFERROR(__xludf.DUMMYFUNCTION("""COMPUTED_VALUE"""),"96%")</f>
        <v>96%</v>
      </c>
      <c r="K91" s="5" t="str">
        <f>IFERROR(__xludf.DUMMYFUNCTION("""COMPUTED_VALUE"""),"Low")</f>
        <v>Low</v>
      </c>
      <c r="L91" s="5" t="str">
        <f>IFERROR(__xludf.DUMMYFUNCTION("""COMPUTED_VALUE"""),"10.5%")</f>
        <v>10.5%</v>
      </c>
      <c r="M91" s="5" t="str">
        <f>IFERROR(__xludf.DUMMYFUNCTION("""COMPUTED_VALUE"""),"x1000")</f>
        <v>x1000</v>
      </c>
      <c r="N91" s="5" t="str">
        <f>IFERROR(__xludf.DUMMYFUNCTION("""COMPUTED_VALUE"""),"0.05/100")</f>
        <v>0.05/100</v>
      </c>
      <c r="O91" s="5" t="str">
        <f>IFERROR(__xludf.DUMMYFUNCTION("""COMPUTED_VALUE"""),"No")</f>
        <v>No</v>
      </c>
      <c r="P91" s="5"/>
      <c r="Q91" s="7" t="str">
        <f>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R91"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1" s="5" t="str">
        <f>IFERROR(__xludf.DUMMYFUNCTION("""COMPUTED_VALUE"""),"Yes")</f>
        <v>Yes</v>
      </c>
      <c r="U91" s="5" t="str">
        <f>IFERROR(__xludf.DUMMYFUNCTION("""COMPUTED_VALUE"""),"Yes")</f>
        <v>Yes</v>
      </c>
      <c r="V91" s="5" t="str">
        <f>IFERROR(__xludf.DUMMYFUNCTION("""COMPUTED_VALUE"""),"Yes")</f>
        <v>Yes</v>
      </c>
      <c r="W91" s="5" t="str">
        <f>IFERROR(__xludf.DUMMYFUNCTION("""COMPUTED_VALUE"""),"Yes")</f>
        <v>Yes</v>
      </c>
      <c r="X91" s="5" t="str">
        <f>IFERROR(__xludf.DUMMYFUNCTION("""COMPUTED_VALUE"""),"Yes")</f>
        <v>Yes</v>
      </c>
      <c r="Y91" s="5" t="str">
        <f>IFERROR(__xludf.DUMMYFUNCTION("""COMPUTED_VALUE"""),"Yes")</f>
        <v>Yes</v>
      </c>
      <c r="Z91" s="5" t="str">
        <f>IFERROR(__xludf.DUMMYFUNCTION("""COMPUTED_VALUE"""),"Yes")</f>
        <v>Yes</v>
      </c>
      <c r="AA91" s="5" t="str">
        <f>IFERROR(__xludf.DUMMYFUNCTION("""COMPUTED_VALUE"""),"Yes")</f>
        <v>Yes</v>
      </c>
      <c r="AB91" s="5" t="str">
        <f>IFERROR(__xludf.DUMMYFUNCTION("""COMPUTED_VALUE"""),"Yes")</f>
        <v>Yes</v>
      </c>
      <c r="AC91" s="5" t="str">
        <f>IFERROR(__xludf.DUMMYFUNCTION("""COMPUTED_VALUE"""),"Yes")</f>
        <v>Yes</v>
      </c>
      <c r="AD91" s="5" t="str">
        <f>IFERROR(__xludf.DUMMYFUNCTION("""COMPUTED_VALUE"""),"Yes")</f>
        <v>Yes</v>
      </c>
      <c r="AE91" s="5" t="str">
        <f>IFERROR(__xludf.DUMMYFUNCTION("""COMPUTED_VALUE"""),"Yes")</f>
        <v>Yes</v>
      </c>
      <c r="AF91" s="5" t="str">
        <f>IFERROR(__xludf.DUMMYFUNCTION("""COMPUTED_VALUE"""),"Yes")</f>
        <v>Yes</v>
      </c>
      <c r="AG91" s="5" t="str">
        <f>IFERROR(__xludf.DUMMYFUNCTION("""COMPUTED_VALUE"""),"Yes")</f>
        <v>Yes</v>
      </c>
      <c r="AH91" s="5" t="str">
        <f>IFERROR(__xludf.DUMMYFUNCTION("""COMPUTED_VALUE"""),"Yes")</f>
        <v>Yes</v>
      </c>
      <c r="AI91" s="5" t="str">
        <f>IFERROR(__xludf.DUMMYFUNCTION("""COMPUTED_VALUE"""),"Yes")</f>
        <v>Yes</v>
      </c>
      <c r="AJ91" s="5" t="str">
        <f>IFERROR(__xludf.DUMMYFUNCTION("""COMPUTED_VALUE"""),"Yes")</f>
        <v>Yes</v>
      </c>
      <c r="AK91" s="5" t="str">
        <f>IFERROR(__xludf.DUMMYFUNCTION("""COMPUTED_VALUE"""),"Yes")</f>
        <v>Yes</v>
      </c>
      <c r="AL91" s="5" t="str">
        <f>IFERROR(__xludf.DUMMYFUNCTION("""COMPUTED_VALUE"""),"Yes")</f>
        <v>Yes</v>
      </c>
      <c r="AM91" s="5"/>
      <c r="AN91" s="5"/>
      <c r="AO91" s="5"/>
      <c r="AP91" s="5"/>
      <c r="AQ91" s="5" t="str">
        <f>IFERROR(__xludf.DUMMYFUNCTION("""COMPUTED_VALUE"""),"Yes")</f>
        <v>Yes</v>
      </c>
      <c r="AR91" s="5"/>
      <c r="AS91" s="5"/>
      <c r="AT91" s="5"/>
      <c r="AU91" s="5"/>
      <c r="AV91" s="5" t="str">
        <f>IFERROR(__xludf.DUMMYFUNCTION("""COMPUTED_VALUE"""),"")</f>
        <v/>
      </c>
    </row>
    <row r="92">
      <c r="A92" s="5" t="str">
        <f>IFERROR(__xludf.DUMMYFUNCTION("""COMPUTED_VALUE"""),"Tiptop")</f>
        <v>Tiptop</v>
      </c>
      <c r="B92" s="5" t="str">
        <f>IFERROR(__xludf.DUMMYFUNCTION("""COMPUTED_VALUE"""),"Reely Wild Reels")</f>
        <v>Reely Wild Reels</v>
      </c>
      <c r="C92" s="5" t="str">
        <f>IFERROR(__xludf.DUMMYFUNCTION("""COMPUTED_VALUE"""),"UnicornReelyWildReels")</f>
        <v>UnicornReelyWildReels</v>
      </c>
      <c r="D92" s="6">
        <f>IFERROR(__xludf.DUMMYFUNCTION("""COMPUTED_VALUE"""),45853.0)</f>
        <v>45853</v>
      </c>
      <c r="E92" s="5" t="str">
        <f>IFERROR(__xludf.DUMMYFUNCTION("""COMPUTED_VALUE"""),"Slot")</f>
        <v>Slot</v>
      </c>
      <c r="F92" s="5">
        <f>IFERROR(__xludf.DUMMYFUNCTION("""COMPUTED_VALUE"""),10.5)</f>
        <v>10.5</v>
      </c>
      <c r="G92" s="5" t="str">
        <f>IFERROR(__xludf.DUMMYFUNCTION("""COMPUTED_VALUE"""),"5x3")</f>
        <v>5x3</v>
      </c>
      <c r="H92" s="5">
        <f>IFERROR(__xludf.DUMMYFUNCTION("""COMPUTED_VALUE"""),10.0)</f>
        <v>10</v>
      </c>
      <c r="I92" s="5">
        <f>IFERROR(__xludf.DUMMYFUNCTION("""COMPUTED_VALUE"""),10.0)</f>
        <v>10</v>
      </c>
      <c r="J92" s="5" t="str">
        <f>IFERROR(__xludf.DUMMYFUNCTION("""COMPUTED_VALUE"""),"96%")</f>
        <v>96%</v>
      </c>
      <c r="K92" s="5" t="str">
        <f>IFERROR(__xludf.DUMMYFUNCTION("""COMPUTED_VALUE"""),"Low")</f>
        <v>Low</v>
      </c>
      <c r="L92" s="5" t="str">
        <f>IFERROR(__xludf.DUMMYFUNCTION("""COMPUTED_VALUE"""),"12.79%")</f>
        <v>12.79%</v>
      </c>
      <c r="M92" s="5" t="str">
        <f>IFERROR(__xludf.DUMMYFUNCTION("""COMPUTED_VALUE"""),"x2000")</f>
        <v>x2000</v>
      </c>
      <c r="N92" s="5" t="str">
        <f>IFERROR(__xludf.DUMMYFUNCTION("""COMPUTED_VALUE"""),"0.1/100")</f>
        <v>0.1/100</v>
      </c>
      <c r="O92" s="5" t="str">
        <f>IFERROR(__xludf.DUMMYFUNCTION("""COMPUTED_VALUE"""),"No")</f>
        <v>No</v>
      </c>
      <c r="P92" s="5"/>
      <c r="Q92" s="7" t="str">
        <f>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R92" s="5" t="str">
        <f>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S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2" s="5" t="str">
        <f>IFERROR(__xludf.DUMMYFUNCTION("""COMPUTED_VALUE"""),"Yes")</f>
        <v>Yes</v>
      </c>
      <c r="U92" s="5" t="str">
        <f>IFERROR(__xludf.DUMMYFUNCTION("""COMPUTED_VALUE"""),"Yes")</f>
        <v>Yes</v>
      </c>
      <c r="V92" s="5" t="str">
        <f>IFERROR(__xludf.DUMMYFUNCTION("""COMPUTED_VALUE"""),"Yes")</f>
        <v>Yes</v>
      </c>
      <c r="W92" s="5" t="str">
        <f>IFERROR(__xludf.DUMMYFUNCTION("""COMPUTED_VALUE"""),"Yes")</f>
        <v>Yes</v>
      </c>
      <c r="X92" s="5" t="str">
        <f>IFERROR(__xludf.DUMMYFUNCTION("""COMPUTED_VALUE"""),"Yes")</f>
        <v>Yes</v>
      </c>
      <c r="Y92" s="5" t="str">
        <f>IFERROR(__xludf.DUMMYFUNCTION("""COMPUTED_VALUE"""),"Yes")</f>
        <v>Yes</v>
      </c>
      <c r="Z92" s="5" t="str">
        <f>IFERROR(__xludf.DUMMYFUNCTION("""COMPUTED_VALUE"""),"Yes")</f>
        <v>Yes</v>
      </c>
      <c r="AA92" s="5" t="str">
        <f>IFERROR(__xludf.DUMMYFUNCTION("""COMPUTED_VALUE"""),"Yes")</f>
        <v>Yes</v>
      </c>
      <c r="AB92" s="5" t="str">
        <f>IFERROR(__xludf.DUMMYFUNCTION("""COMPUTED_VALUE"""),"Yes")</f>
        <v>Yes</v>
      </c>
      <c r="AC92" s="5" t="str">
        <f>IFERROR(__xludf.DUMMYFUNCTION("""COMPUTED_VALUE"""),"Yes")</f>
        <v>Yes</v>
      </c>
      <c r="AD92" s="5" t="str">
        <f>IFERROR(__xludf.DUMMYFUNCTION("""COMPUTED_VALUE"""),"Yes")</f>
        <v>Yes</v>
      </c>
      <c r="AE92" s="5" t="str">
        <f>IFERROR(__xludf.DUMMYFUNCTION("""COMPUTED_VALUE"""),"Yes")</f>
        <v>Yes</v>
      </c>
      <c r="AF92" s="5" t="str">
        <f>IFERROR(__xludf.DUMMYFUNCTION("""COMPUTED_VALUE"""),"Yes")</f>
        <v>Yes</v>
      </c>
      <c r="AG92" s="5" t="str">
        <f>IFERROR(__xludf.DUMMYFUNCTION("""COMPUTED_VALUE"""),"Yes")</f>
        <v>Yes</v>
      </c>
      <c r="AH92" s="5" t="str">
        <f>IFERROR(__xludf.DUMMYFUNCTION("""COMPUTED_VALUE"""),"Yes")</f>
        <v>Yes</v>
      </c>
      <c r="AI92" s="5" t="str">
        <f>IFERROR(__xludf.DUMMYFUNCTION("""COMPUTED_VALUE"""),"Yes")</f>
        <v>Yes</v>
      </c>
      <c r="AJ92" s="5" t="str">
        <f>IFERROR(__xludf.DUMMYFUNCTION("""COMPUTED_VALUE"""),"Yes")</f>
        <v>Yes</v>
      </c>
      <c r="AK92" s="5" t="str">
        <f>IFERROR(__xludf.DUMMYFUNCTION("""COMPUTED_VALUE"""),"Yes")</f>
        <v>Yes</v>
      </c>
      <c r="AL92" s="5" t="str">
        <f>IFERROR(__xludf.DUMMYFUNCTION("""COMPUTED_VALUE"""),"Yes")</f>
        <v>Yes</v>
      </c>
      <c r="AM92" s="5"/>
      <c r="AN92" s="5"/>
      <c r="AO92" s="5"/>
      <c r="AP92" s="5"/>
      <c r="AQ92" s="5" t="str">
        <f>IFERROR(__xludf.DUMMYFUNCTION("""COMPUTED_VALUE"""),"Yes")</f>
        <v>Yes</v>
      </c>
      <c r="AR92" s="5"/>
      <c r="AS92" s="5"/>
      <c r="AT92" s="5"/>
      <c r="AU92" s="5"/>
      <c r="AV92" s="5" t="str">
        <f>IFERROR(__xludf.DUMMYFUNCTION("""COMPUTED_VALUE"""),"")</f>
        <v/>
      </c>
    </row>
    <row r="93">
      <c r="A93" s="5" t="str">
        <f>IFERROR(__xludf.DUMMYFUNCTION("""COMPUTED_VALUE"""),"Tiptop")</f>
        <v>Tiptop</v>
      </c>
      <c r="B93" s="5" t="str">
        <f>IFERROR(__xludf.DUMMYFUNCTION("""COMPUTED_VALUE"""),"Dynamite Escape")</f>
        <v>Dynamite Escape</v>
      </c>
      <c r="C93" s="5" t="str">
        <f>IFERROR(__xludf.DUMMYFUNCTION("""COMPUTED_VALUE"""),"UnicornDynamiteEscape")</f>
        <v>UnicornDynamiteEscape</v>
      </c>
      <c r="D93" s="6">
        <f>IFERROR(__xludf.DUMMYFUNCTION("""COMPUTED_VALUE"""),45862.0)</f>
        <v>45862</v>
      </c>
      <c r="E93" s="5" t="str">
        <f>IFERROR(__xludf.DUMMYFUNCTION("""COMPUTED_VALUE"""),"Slot")</f>
        <v>Slot</v>
      </c>
      <c r="F93" s="5">
        <f>IFERROR(__xludf.DUMMYFUNCTION("""COMPUTED_VALUE"""),13.7)</f>
        <v>13.7</v>
      </c>
      <c r="G93" s="5" t="str">
        <f>IFERROR(__xludf.DUMMYFUNCTION("""COMPUTED_VALUE"""),"5X3")</f>
        <v>5X3</v>
      </c>
      <c r="H93" s="5">
        <f>IFERROR(__xludf.DUMMYFUNCTION("""COMPUTED_VALUE"""),5.0)</f>
        <v>5</v>
      </c>
      <c r="I93" s="5">
        <f>IFERROR(__xludf.DUMMYFUNCTION("""COMPUTED_VALUE"""),5.0)</f>
        <v>5</v>
      </c>
      <c r="J93" s="5" t="str">
        <f>IFERROR(__xludf.DUMMYFUNCTION("""COMPUTED_VALUE"""),"96%")</f>
        <v>96%</v>
      </c>
      <c r="K93" s="5" t="str">
        <f>IFERROR(__xludf.DUMMYFUNCTION("""COMPUTED_VALUE"""),"Medium")</f>
        <v>Medium</v>
      </c>
      <c r="L93" s="5" t="str">
        <f>IFERROR(__xludf.DUMMYFUNCTION("""COMPUTED_VALUE"""),"19.17%")</f>
        <v>19.17%</v>
      </c>
      <c r="M93" s="5" t="str">
        <f>IFERROR(__xludf.DUMMYFUNCTION("""COMPUTED_VALUE"""),"x4000")</f>
        <v>x4000</v>
      </c>
      <c r="N93" s="5" t="str">
        <f>IFERROR(__xludf.DUMMYFUNCTION("""COMPUTED_VALUE"""),"0.05/100")</f>
        <v>0.05/100</v>
      </c>
      <c r="O93" s="5" t="str">
        <f>IFERROR(__xludf.DUMMYFUNCTION("""COMPUTED_VALUE"""),"No")</f>
        <v>No</v>
      </c>
      <c r="P93" s="5"/>
      <c r="Q93" s="7" t="str">
        <f>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R93" s="5" t="str">
        <f>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S9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3" s="5" t="str">
        <f>IFERROR(__xludf.DUMMYFUNCTION("""COMPUTED_VALUE"""),"Yes")</f>
        <v>Yes</v>
      </c>
      <c r="U93" s="5" t="str">
        <f>IFERROR(__xludf.DUMMYFUNCTION("""COMPUTED_VALUE"""),"Yes")</f>
        <v>Yes</v>
      </c>
      <c r="V93" s="5" t="str">
        <f>IFERROR(__xludf.DUMMYFUNCTION("""COMPUTED_VALUE"""),"Yes")</f>
        <v>Yes</v>
      </c>
      <c r="W93" s="5" t="str">
        <f>IFERROR(__xludf.DUMMYFUNCTION("""COMPUTED_VALUE"""),"No")</f>
        <v>No</v>
      </c>
      <c r="X93" s="5" t="str">
        <f>IFERROR(__xludf.DUMMYFUNCTION("""COMPUTED_VALUE"""),"No")</f>
        <v>No</v>
      </c>
      <c r="Y93" s="5" t="str">
        <f>IFERROR(__xludf.DUMMYFUNCTION("""COMPUTED_VALUE"""),"No")</f>
        <v>No</v>
      </c>
      <c r="Z93" s="5" t="str">
        <f>IFERROR(__xludf.DUMMYFUNCTION("""COMPUTED_VALUE"""),"No")</f>
        <v>No</v>
      </c>
      <c r="AA93" s="5" t="str">
        <f>IFERROR(__xludf.DUMMYFUNCTION("""COMPUTED_VALUE"""),"No")</f>
        <v>No</v>
      </c>
      <c r="AB93" s="5" t="str">
        <f>IFERROR(__xludf.DUMMYFUNCTION("""COMPUTED_VALUE"""),"Yes")</f>
        <v>Yes</v>
      </c>
      <c r="AC93" s="5" t="str">
        <f>IFERROR(__xludf.DUMMYFUNCTION("""COMPUTED_VALUE"""),"Yes")</f>
        <v>Yes</v>
      </c>
      <c r="AD93" s="5" t="str">
        <f>IFERROR(__xludf.DUMMYFUNCTION("""COMPUTED_VALUE"""),"Yes")</f>
        <v>Yes</v>
      </c>
      <c r="AE93" s="5" t="str">
        <f>IFERROR(__xludf.DUMMYFUNCTION("""COMPUTED_VALUE"""),"Yes")</f>
        <v>Yes</v>
      </c>
      <c r="AF93" s="5" t="str">
        <f>IFERROR(__xludf.DUMMYFUNCTION("""COMPUTED_VALUE"""),"Yes")</f>
        <v>Yes</v>
      </c>
      <c r="AG93" s="5" t="str">
        <f>IFERROR(__xludf.DUMMYFUNCTION("""COMPUTED_VALUE"""),"No")</f>
        <v>No</v>
      </c>
      <c r="AH93" s="5" t="str">
        <f>IFERROR(__xludf.DUMMYFUNCTION("""COMPUTED_VALUE"""),"Yes")</f>
        <v>Yes</v>
      </c>
      <c r="AI93" s="5" t="str">
        <f>IFERROR(__xludf.DUMMYFUNCTION("""COMPUTED_VALUE"""),"No")</f>
        <v>No</v>
      </c>
      <c r="AJ93" s="5" t="str">
        <f>IFERROR(__xludf.DUMMYFUNCTION("""COMPUTED_VALUE"""),"No")</f>
        <v>No</v>
      </c>
      <c r="AK93" s="5" t="str">
        <f>IFERROR(__xludf.DUMMYFUNCTION("""COMPUTED_VALUE"""),"No")</f>
        <v>No</v>
      </c>
      <c r="AL93" s="5" t="str">
        <f>IFERROR(__xludf.DUMMYFUNCTION("""COMPUTED_VALUE"""),"No")</f>
        <v>No</v>
      </c>
      <c r="AM93" s="5"/>
      <c r="AN93" s="5"/>
      <c r="AO93" s="5" t="str">
        <f>IFERROR(__xludf.DUMMYFUNCTION("""COMPUTED_VALUE"""),"Yes")</f>
        <v>Yes</v>
      </c>
      <c r="AP93" s="5"/>
      <c r="AQ93" s="5" t="str">
        <f>IFERROR(__xludf.DUMMYFUNCTION("""COMPUTED_VALUE"""),"No")</f>
        <v>No</v>
      </c>
      <c r="AR93" s="5"/>
      <c r="AS93" s="5" t="str">
        <f>IFERROR(__xludf.DUMMYFUNCTION("""COMPUTED_VALUE"""),"Yes")</f>
        <v>Yes</v>
      </c>
      <c r="AT93" s="5" t="str">
        <f>IFERROR(__xludf.DUMMYFUNCTION("""COMPUTED_VALUE"""),"Yes")</f>
        <v>Yes</v>
      </c>
      <c r="AU93" s="5"/>
      <c r="AV93" s="5" t="str">
        <f>IFERROR(__xludf.DUMMYFUNCTION("""COMPUTED_VALUE"""),"")</f>
        <v/>
      </c>
    </row>
    <row r="94">
      <c r="A94" s="5" t="str">
        <f>IFERROR(__xludf.DUMMYFUNCTION("""COMPUTED_VALUE"""),"Tiptop")</f>
        <v>Tiptop</v>
      </c>
      <c r="B94" s="5" t="str">
        <f>IFERROR(__xludf.DUMMYFUNCTION("""COMPUTED_VALUE"""),"Buffalo Sevens Jackpot")</f>
        <v>Buffalo Sevens Jackpot</v>
      </c>
      <c r="C94" s="5" t="str">
        <f>IFERROR(__xludf.DUMMYFUNCTION("""COMPUTED_VALUE"""),"UnicornBuffaloSevensJackpot")</f>
        <v>UnicornBuffaloSevensJackpot</v>
      </c>
      <c r="D94" s="6">
        <f>IFERROR(__xludf.DUMMYFUNCTION("""COMPUTED_VALUE"""),45869.0)</f>
        <v>45869</v>
      </c>
      <c r="E94" s="5" t="str">
        <f>IFERROR(__xludf.DUMMYFUNCTION("""COMPUTED_VALUE"""),"Slot")</f>
        <v>Slot</v>
      </c>
      <c r="F94" s="5">
        <f>IFERROR(__xludf.DUMMYFUNCTION("""COMPUTED_VALUE"""),11.8)</f>
        <v>11.8</v>
      </c>
      <c r="G94" s="5" t="str">
        <f>IFERROR(__xludf.DUMMYFUNCTION("""COMPUTED_VALUE"""),"5X3")</f>
        <v>5X3</v>
      </c>
      <c r="H94" s="5">
        <f>IFERROR(__xludf.DUMMYFUNCTION("""COMPUTED_VALUE"""),10.0)</f>
        <v>10</v>
      </c>
      <c r="I94" s="5">
        <f>IFERROR(__xludf.DUMMYFUNCTION("""COMPUTED_VALUE"""),10.0)</f>
        <v>10</v>
      </c>
      <c r="J94" s="5" t="str">
        <f>IFERROR(__xludf.DUMMYFUNCTION("""COMPUTED_VALUE"""),"96%")</f>
        <v>96%</v>
      </c>
      <c r="K94" s="5" t="str">
        <f>IFERROR(__xludf.DUMMYFUNCTION("""COMPUTED_VALUE"""),"Low")</f>
        <v>Low</v>
      </c>
      <c r="L94" s="5" t="str">
        <f>IFERROR(__xludf.DUMMYFUNCTION("""COMPUTED_VALUE"""),"9.08%")</f>
        <v>9.08%</v>
      </c>
      <c r="M94" s="5" t="str">
        <f>IFERROR(__xludf.DUMMYFUNCTION("""COMPUTED_VALUE"""),"x10000")</f>
        <v>x10000</v>
      </c>
      <c r="N94" s="5" t="str">
        <f>IFERROR(__xludf.DUMMYFUNCTION("""COMPUTED_VALUE"""),"0.1/100")</f>
        <v>0.1/100</v>
      </c>
      <c r="O94" s="5" t="str">
        <f>IFERROR(__xludf.DUMMYFUNCTION("""COMPUTED_VALUE"""),"No")</f>
        <v>No</v>
      </c>
      <c r="P94" s="5"/>
      <c r="Q94" s="7" t="str">
        <f>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R94" s="5" t="str">
        <f>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4" s="5" t="str">
        <f>IFERROR(__xludf.DUMMYFUNCTION("""COMPUTED_VALUE"""),"Yes")</f>
        <v>Yes</v>
      </c>
      <c r="U94" s="5" t="str">
        <f>IFERROR(__xludf.DUMMYFUNCTION("""COMPUTED_VALUE"""),"Yes")</f>
        <v>Yes</v>
      </c>
      <c r="V94" s="5" t="str">
        <f>IFERROR(__xludf.DUMMYFUNCTION("""COMPUTED_VALUE"""),"Yes")</f>
        <v>Yes</v>
      </c>
      <c r="W94" s="5" t="str">
        <f>IFERROR(__xludf.DUMMYFUNCTION("""COMPUTED_VALUE"""),"No")</f>
        <v>No</v>
      </c>
      <c r="X94" s="5" t="str">
        <f>IFERROR(__xludf.DUMMYFUNCTION("""COMPUTED_VALUE"""),"No")</f>
        <v>No</v>
      </c>
      <c r="Y94" s="5" t="str">
        <f>IFERROR(__xludf.DUMMYFUNCTION("""COMPUTED_VALUE"""),"No")</f>
        <v>No</v>
      </c>
      <c r="Z94" s="5" t="str">
        <f>IFERROR(__xludf.DUMMYFUNCTION("""COMPUTED_VALUE"""),"No")</f>
        <v>No</v>
      </c>
      <c r="AA94" s="5" t="str">
        <f>IFERROR(__xludf.DUMMYFUNCTION("""COMPUTED_VALUE"""),"No")</f>
        <v>No</v>
      </c>
      <c r="AB94" s="5" t="str">
        <f>IFERROR(__xludf.DUMMYFUNCTION("""COMPUTED_VALUE"""),"Yes")</f>
        <v>Yes</v>
      </c>
      <c r="AC94" s="5" t="str">
        <f>IFERROR(__xludf.DUMMYFUNCTION("""COMPUTED_VALUE"""),"Yes")</f>
        <v>Yes</v>
      </c>
      <c r="AD94" s="5" t="str">
        <f>IFERROR(__xludf.DUMMYFUNCTION("""COMPUTED_VALUE"""),"Yes")</f>
        <v>Yes</v>
      </c>
      <c r="AE94" s="5" t="str">
        <f>IFERROR(__xludf.DUMMYFUNCTION("""COMPUTED_VALUE"""),"Yes")</f>
        <v>Yes</v>
      </c>
      <c r="AF94" s="5" t="str">
        <f>IFERROR(__xludf.DUMMYFUNCTION("""COMPUTED_VALUE"""),"Yes")</f>
        <v>Yes</v>
      </c>
      <c r="AG94" s="5" t="str">
        <f>IFERROR(__xludf.DUMMYFUNCTION("""COMPUTED_VALUE"""),"No")</f>
        <v>No</v>
      </c>
      <c r="AH94" s="5" t="str">
        <f>IFERROR(__xludf.DUMMYFUNCTION("""COMPUTED_VALUE"""),"Yes")</f>
        <v>Yes</v>
      </c>
      <c r="AI94" s="5" t="str">
        <f>IFERROR(__xludf.DUMMYFUNCTION("""COMPUTED_VALUE"""),"No")</f>
        <v>No</v>
      </c>
      <c r="AJ94" s="5" t="str">
        <f>IFERROR(__xludf.DUMMYFUNCTION("""COMPUTED_VALUE"""),"No")</f>
        <v>No</v>
      </c>
      <c r="AK94" s="5" t="str">
        <f>IFERROR(__xludf.DUMMYFUNCTION("""COMPUTED_VALUE"""),"No")</f>
        <v>No</v>
      </c>
      <c r="AL94" s="5" t="str">
        <f>IFERROR(__xludf.DUMMYFUNCTION("""COMPUTED_VALUE"""),"No")</f>
        <v>No</v>
      </c>
      <c r="AM94" s="5"/>
      <c r="AN94" s="5"/>
      <c r="AO94" s="5" t="str">
        <f>IFERROR(__xludf.DUMMYFUNCTION("""COMPUTED_VALUE"""),"Yes")</f>
        <v>Yes</v>
      </c>
      <c r="AP94" s="5"/>
      <c r="AQ94" s="5" t="str">
        <f>IFERROR(__xludf.DUMMYFUNCTION("""COMPUTED_VALUE"""),"No")</f>
        <v>No</v>
      </c>
      <c r="AR94" s="5"/>
      <c r="AS94" s="5" t="str">
        <f>IFERROR(__xludf.DUMMYFUNCTION("""COMPUTED_VALUE"""),"Yes")</f>
        <v>Yes</v>
      </c>
      <c r="AT94" s="5" t="str">
        <f>IFERROR(__xludf.DUMMYFUNCTION("""COMPUTED_VALUE"""),"Yes")</f>
        <v>Yes</v>
      </c>
      <c r="AU94" s="5"/>
      <c r="AV94" s="5" t="str">
        <f>IFERROR(__xludf.DUMMYFUNCTION("""COMPUTED_VALUE"""),"")</f>
        <v/>
      </c>
    </row>
    <row r="95">
      <c r="A95" s="5" t="str">
        <f>IFERROR(__xludf.DUMMYFUNCTION("""COMPUTED_VALUE"""),"Tiptop")</f>
        <v>Tiptop</v>
      </c>
      <c r="B95" s="5" t="str">
        <f>IFERROR(__xludf.DUMMYFUNCTION("""COMPUTED_VALUE"""),"Scatter Kaching")</f>
        <v>Scatter Kaching</v>
      </c>
      <c r="C95" s="5" t="str">
        <f>IFERROR(__xludf.DUMMYFUNCTION("""COMPUTED_VALUE"""),"UnicornScatterKaChing")</f>
        <v>UnicornScatterKaChing</v>
      </c>
      <c r="D95" s="6">
        <f>IFERROR(__xludf.DUMMYFUNCTION("""COMPUTED_VALUE"""),45882.0)</f>
        <v>45882</v>
      </c>
      <c r="E95" s="5" t="str">
        <f>IFERROR(__xludf.DUMMYFUNCTION("""COMPUTED_VALUE"""),"Slot")</f>
        <v>Slot</v>
      </c>
      <c r="F95" s="5">
        <f>IFERROR(__xludf.DUMMYFUNCTION("""COMPUTED_VALUE"""),11.9)</f>
        <v>11.9</v>
      </c>
      <c r="G95" s="5" t="str">
        <f>IFERROR(__xludf.DUMMYFUNCTION("""COMPUTED_VALUE"""),"5X3")</f>
        <v>5X3</v>
      </c>
      <c r="H95" s="5">
        <f>IFERROR(__xludf.DUMMYFUNCTION("""COMPUTED_VALUE"""),10.0)</f>
        <v>10</v>
      </c>
      <c r="I95" s="5">
        <f>IFERROR(__xludf.DUMMYFUNCTION("""COMPUTED_VALUE"""),10.0)</f>
        <v>10</v>
      </c>
      <c r="J95" s="5" t="str">
        <f>IFERROR(__xludf.DUMMYFUNCTION("""COMPUTED_VALUE"""),"96%")</f>
        <v>96%</v>
      </c>
      <c r="K95" s="5" t="str">
        <f>IFERROR(__xludf.DUMMYFUNCTION("""COMPUTED_VALUE"""),"Low")</f>
        <v>Low</v>
      </c>
      <c r="L95" s="5" t="str">
        <f>IFERROR(__xludf.DUMMYFUNCTION("""COMPUTED_VALUE"""),"27.38%")</f>
        <v>27.38%</v>
      </c>
      <c r="M95" s="5" t="str">
        <f>IFERROR(__xludf.DUMMYFUNCTION("""COMPUTED_VALUE"""),"x10000")</f>
        <v>x10000</v>
      </c>
      <c r="N95" s="5" t="str">
        <f>IFERROR(__xludf.DUMMYFUNCTION("""COMPUTED_VALUE"""),"0.1/100")</f>
        <v>0.1/100</v>
      </c>
      <c r="O95" s="5" t="str">
        <f>IFERROR(__xludf.DUMMYFUNCTION("""COMPUTED_VALUE"""),"No")</f>
        <v>No</v>
      </c>
      <c r="P95" s="5"/>
      <c r="Q95" s="7" t="str">
        <f>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R95" s="5" t="str">
        <f>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S9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5" s="5" t="str">
        <f>IFERROR(__xludf.DUMMYFUNCTION("""COMPUTED_VALUE"""),"Yes")</f>
        <v>Yes</v>
      </c>
      <c r="U95" s="5" t="str">
        <f>IFERROR(__xludf.DUMMYFUNCTION("""COMPUTED_VALUE"""),"Yes")</f>
        <v>Yes</v>
      </c>
      <c r="V95" s="5" t="str">
        <f>IFERROR(__xludf.DUMMYFUNCTION("""COMPUTED_VALUE"""),"Yes")</f>
        <v>Yes</v>
      </c>
      <c r="W95" s="5" t="str">
        <f>IFERROR(__xludf.DUMMYFUNCTION("""COMPUTED_VALUE"""),"No")</f>
        <v>No</v>
      </c>
      <c r="X95" s="5" t="str">
        <f>IFERROR(__xludf.DUMMYFUNCTION("""COMPUTED_VALUE"""),"No")</f>
        <v>No</v>
      </c>
      <c r="Y95" s="5" t="str">
        <f>IFERROR(__xludf.DUMMYFUNCTION("""COMPUTED_VALUE"""),"No")</f>
        <v>No</v>
      </c>
      <c r="Z95" s="5" t="str">
        <f>IFERROR(__xludf.DUMMYFUNCTION("""COMPUTED_VALUE"""),"No")</f>
        <v>No</v>
      </c>
      <c r="AA95" s="5" t="str">
        <f>IFERROR(__xludf.DUMMYFUNCTION("""COMPUTED_VALUE"""),"No")</f>
        <v>No</v>
      </c>
      <c r="AB95" s="5" t="str">
        <f>IFERROR(__xludf.DUMMYFUNCTION("""COMPUTED_VALUE"""),"Yes")</f>
        <v>Yes</v>
      </c>
      <c r="AC95" s="5" t="str">
        <f>IFERROR(__xludf.DUMMYFUNCTION("""COMPUTED_VALUE"""),"Yes")</f>
        <v>Yes</v>
      </c>
      <c r="AD95" s="5" t="str">
        <f>IFERROR(__xludf.DUMMYFUNCTION("""COMPUTED_VALUE"""),"Yes")</f>
        <v>Yes</v>
      </c>
      <c r="AE95" s="5" t="str">
        <f>IFERROR(__xludf.DUMMYFUNCTION("""COMPUTED_VALUE"""),"Yes")</f>
        <v>Yes</v>
      </c>
      <c r="AF95" s="5" t="str">
        <f>IFERROR(__xludf.DUMMYFUNCTION("""COMPUTED_VALUE"""),"Yes")</f>
        <v>Yes</v>
      </c>
      <c r="AG95" s="5" t="str">
        <f>IFERROR(__xludf.DUMMYFUNCTION("""COMPUTED_VALUE"""),"No")</f>
        <v>No</v>
      </c>
      <c r="AH95" s="5" t="str">
        <f>IFERROR(__xludf.DUMMYFUNCTION("""COMPUTED_VALUE"""),"Yes")</f>
        <v>Yes</v>
      </c>
      <c r="AI95" s="5" t="str">
        <f>IFERROR(__xludf.DUMMYFUNCTION("""COMPUTED_VALUE"""),"No")</f>
        <v>No</v>
      </c>
      <c r="AJ95" s="5" t="str">
        <f>IFERROR(__xludf.DUMMYFUNCTION("""COMPUTED_VALUE"""),"No")</f>
        <v>No</v>
      </c>
      <c r="AK95" s="5" t="str">
        <f>IFERROR(__xludf.DUMMYFUNCTION("""COMPUTED_VALUE"""),"No")</f>
        <v>No</v>
      </c>
      <c r="AL95" s="5" t="str">
        <f>IFERROR(__xludf.DUMMYFUNCTION("""COMPUTED_VALUE"""),"No")</f>
        <v>No</v>
      </c>
      <c r="AM95" s="5"/>
      <c r="AN95" s="5"/>
      <c r="AO95" s="5" t="str">
        <f>IFERROR(__xludf.DUMMYFUNCTION("""COMPUTED_VALUE"""),"Yes")</f>
        <v>Yes</v>
      </c>
      <c r="AP95" s="5"/>
      <c r="AQ95" s="5" t="str">
        <f>IFERROR(__xludf.DUMMYFUNCTION("""COMPUTED_VALUE"""),"No")</f>
        <v>No</v>
      </c>
      <c r="AR95" s="5"/>
      <c r="AS95" s="5" t="str">
        <f>IFERROR(__xludf.DUMMYFUNCTION("""COMPUTED_VALUE"""),"Yes")</f>
        <v>Yes</v>
      </c>
      <c r="AT95" s="5" t="str">
        <f>IFERROR(__xludf.DUMMYFUNCTION("""COMPUTED_VALUE"""),"Yes")</f>
        <v>Yes</v>
      </c>
      <c r="AU95" s="5"/>
      <c r="AV95" s="5" t="str">
        <f>IFERROR(__xludf.DUMMYFUNCTION("""COMPUTED_VALUE"""),"")</f>
        <v/>
      </c>
    </row>
    <row r="96">
      <c r="A96" s="5" t="str">
        <f>IFERROR(__xludf.DUMMYFUNCTION("""COMPUTED_VALUE"""),"Tiptop")</f>
        <v>Tiptop</v>
      </c>
      <c r="B96" s="5" t="str">
        <f>IFERROR(__xludf.DUMMYFUNCTION("""COMPUTED_VALUE"""),"Fruit Play")</f>
        <v>Fruit Play</v>
      </c>
      <c r="C96" s="5" t="str">
        <f>IFERROR(__xludf.DUMMYFUNCTION("""COMPUTED_VALUE"""),"UnicornFruitPlay")</f>
        <v>UnicornFruitPlay</v>
      </c>
      <c r="D96" s="6">
        <f>IFERROR(__xludf.DUMMYFUNCTION("""COMPUTED_VALUE"""),45910.0)</f>
        <v>45910</v>
      </c>
      <c r="E96" s="5" t="str">
        <f>IFERROR(__xludf.DUMMYFUNCTION("""COMPUTED_VALUE"""),"Slot")</f>
        <v>Slot</v>
      </c>
      <c r="F96" s="5">
        <f>IFERROR(__xludf.DUMMYFUNCTION("""COMPUTED_VALUE"""),11.9)</f>
        <v>11.9</v>
      </c>
      <c r="G96" s="5" t="str">
        <f>IFERROR(__xludf.DUMMYFUNCTION("""COMPUTED_VALUE"""),"5X3")</f>
        <v>5X3</v>
      </c>
      <c r="H96" s="5">
        <f>IFERROR(__xludf.DUMMYFUNCTION("""COMPUTED_VALUE"""),10.0)</f>
        <v>10</v>
      </c>
      <c r="I96" s="5">
        <f>IFERROR(__xludf.DUMMYFUNCTION("""COMPUTED_VALUE"""),10.0)</f>
        <v>10</v>
      </c>
      <c r="J96" s="5" t="str">
        <f>IFERROR(__xludf.DUMMYFUNCTION("""COMPUTED_VALUE"""),"96%")</f>
        <v>96%</v>
      </c>
      <c r="K96" s="5" t="str">
        <f>IFERROR(__xludf.DUMMYFUNCTION("""COMPUTED_VALUE"""),"Low")</f>
        <v>Low</v>
      </c>
      <c r="L96" s="5" t="str">
        <f>IFERROR(__xludf.DUMMYFUNCTION("""COMPUTED_VALUE"""),"15.07%")</f>
        <v>15.07%</v>
      </c>
      <c r="M96" s="5" t="str">
        <f>IFERROR(__xludf.DUMMYFUNCTION("""COMPUTED_VALUE"""),"x10000")</f>
        <v>x10000</v>
      </c>
      <c r="N96" s="5" t="str">
        <f>IFERROR(__xludf.DUMMYFUNCTION("""COMPUTED_VALUE"""),"0.1/100")</f>
        <v>0.1/100</v>
      </c>
      <c r="O96" s="5" t="str">
        <f>IFERROR(__xludf.DUMMYFUNCTION("""COMPUTED_VALUE"""),"No")</f>
        <v>No</v>
      </c>
      <c r="P96" s="5"/>
      <c r="Q96" s="7" t="str">
        <f>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R96" s="5" t="str">
        <f>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S9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6" s="5" t="str">
        <f>IFERROR(__xludf.DUMMYFUNCTION("""COMPUTED_VALUE"""),"Yes")</f>
        <v>Yes</v>
      </c>
      <c r="U96" s="5" t="str">
        <f>IFERROR(__xludf.DUMMYFUNCTION("""COMPUTED_VALUE"""),"Yes")</f>
        <v>Yes</v>
      </c>
      <c r="V96" s="5" t="str">
        <f>IFERROR(__xludf.DUMMYFUNCTION("""COMPUTED_VALUE"""),"Yes")</f>
        <v>Yes</v>
      </c>
      <c r="W96" s="5" t="str">
        <f>IFERROR(__xludf.DUMMYFUNCTION("""COMPUTED_VALUE"""),"No")</f>
        <v>No</v>
      </c>
      <c r="X96" s="5" t="str">
        <f>IFERROR(__xludf.DUMMYFUNCTION("""COMPUTED_VALUE"""),"No")</f>
        <v>No</v>
      </c>
      <c r="Y96" s="5" t="str">
        <f>IFERROR(__xludf.DUMMYFUNCTION("""COMPUTED_VALUE"""),"No")</f>
        <v>No</v>
      </c>
      <c r="Z96" s="5" t="str">
        <f>IFERROR(__xludf.DUMMYFUNCTION("""COMPUTED_VALUE"""),"No")</f>
        <v>No</v>
      </c>
      <c r="AA96" s="5" t="str">
        <f>IFERROR(__xludf.DUMMYFUNCTION("""COMPUTED_VALUE"""),"No")</f>
        <v>No</v>
      </c>
      <c r="AB96" s="5" t="str">
        <f>IFERROR(__xludf.DUMMYFUNCTION("""COMPUTED_VALUE"""),"Yes")</f>
        <v>Yes</v>
      </c>
      <c r="AC96" s="5" t="str">
        <f>IFERROR(__xludf.DUMMYFUNCTION("""COMPUTED_VALUE"""),"Yes")</f>
        <v>Yes</v>
      </c>
      <c r="AD96" s="5" t="str">
        <f>IFERROR(__xludf.DUMMYFUNCTION("""COMPUTED_VALUE"""),"Yes")</f>
        <v>Yes</v>
      </c>
      <c r="AE96" s="5" t="str">
        <f>IFERROR(__xludf.DUMMYFUNCTION("""COMPUTED_VALUE"""),"Yes")</f>
        <v>Yes</v>
      </c>
      <c r="AF96" s="5" t="str">
        <f>IFERROR(__xludf.DUMMYFUNCTION("""COMPUTED_VALUE"""),"Yes")</f>
        <v>Yes</v>
      </c>
      <c r="AG96" s="5" t="str">
        <f>IFERROR(__xludf.DUMMYFUNCTION("""COMPUTED_VALUE"""),"No")</f>
        <v>No</v>
      </c>
      <c r="AH96" s="5" t="str">
        <f>IFERROR(__xludf.DUMMYFUNCTION("""COMPUTED_VALUE"""),"Yes")</f>
        <v>Yes</v>
      </c>
      <c r="AI96" s="5" t="str">
        <f>IFERROR(__xludf.DUMMYFUNCTION("""COMPUTED_VALUE"""),"No")</f>
        <v>No</v>
      </c>
      <c r="AJ96" s="5" t="str">
        <f>IFERROR(__xludf.DUMMYFUNCTION("""COMPUTED_VALUE"""),"No")</f>
        <v>No</v>
      </c>
      <c r="AK96" s="5" t="str">
        <f>IFERROR(__xludf.DUMMYFUNCTION("""COMPUTED_VALUE"""),"No")</f>
        <v>No</v>
      </c>
      <c r="AL96" s="5" t="str">
        <f>IFERROR(__xludf.DUMMYFUNCTION("""COMPUTED_VALUE"""),"No")</f>
        <v>No</v>
      </c>
      <c r="AM96" s="5"/>
      <c r="AN96" s="5"/>
      <c r="AO96" s="5" t="str">
        <f>IFERROR(__xludf.DUMMYFUNCTION("""COMPUTED_VALUE"""),"Yes")</f>
        <v>Yes</v>
      </c>
      <c r="AP96" s="5"/>
      <c r="AQ96" s="5" t="str">
        <f>IFERROR(__xludf.DUMMYFUNCTION("""COMPUTED_VALUE"""),"No")</f>
        <v>No</v>
      </c>
      <c r="AR96" s="5"/>
      <c r="AS96" s="5" t="str">
        <f>IFERROR(__xludf.DUMMYFUNCTION("""COMPUTED_VALUE"""),"Yes")</f>
        <v>Yes</v>
      </c>
      <c r="AT96" s="5" t="str">
        <f>IFERROR(__xludf.DUMMYFUNCTION("""COMPUTED_VALUE"""),"Yes")</f>
        <v>Yes</v>
      </c>
      <c r="AU96" s="5"/>
      <c r="AV96" s="5" t="str">
        <f>IFERROR(__xludf.DUMMYFUNCTION("""COMPUTED_VALUE"""),"")</f>
        <v/>
      </c>
    </row>
    <row r="97">
      <c r="A97" s="5" t="str">
        <f>IFERROR(__xludf.DUMMYFUNCTION("""COMPUTED_VALUE"""),"Tiptop")</f>
        <v>Tiptop</v>
      </c>
      <c r="B97" s="5" t="str">
        <f>IFERROR(__xludf.DUMMYFUNCTION("""COMPUTED_VALUE"""),"Fruit Island Jackpot")</f>
        <v>Fruit Island Jackpot</v>
      </c>
      <c r="C97" s="5" t="str">
        <f>IFERROR(__xludf.DUMMYFUNCTION("""COMPUTED_VALUE"""),"UnicornFruitIslandJackpot")</f>
        <v>UnicornFruitIslandJackpot</v>
      </c>
      <c r="D97" s="6">
        <f>IFERROR(__xludf.DUMMYFUNCTION("""COMPUTED_VALUE"""),45896.0)</f>
        <v>45896</v>
      </c>
      <c r="E97" s="5" t="str">
        <f>IFERROR(__xludf.DUMMYFUNCTION("""COMPUTED_VALUE"""),"Slot")</f>
        <v>Slot</v>
      </c>
      <c r="F97" s="5">
        <f>IFERROR(__xludf.DUMMYFUNCTION("""COMPUTED_VALUE"""),10.8)</f>
        <v>10.8</v>
      </c>
      <c r="G97" s="5" t="str">
        <f>IFERROR(__xludf.DUMMYFUNCTION("""COMPUTED_VALUE"""),"5X3")</f>
        <v>5X3</v>
      </c>
      <c r="H97" s="5">
        <f>IFERROR(__xludf.DUMMYFUNCTION("""COMPUTED_VALUE"""),5.0)</f>
        <v>5</v>
      </c>
      <c r="I97" s="5">
        <f>IFERROR(__xludf.DUMMYFUNCTION("""COMPUTED_VALUE"""),5.0)</f>
        <v>5</v>
      </c>
      <c r="J97" s="5" t="str">
        <f>IFERROR(__xludf.DUMMYFUNCTION("""COMPUTED_VALUE"""),"96%")</f>
        <v>96%</v>
      </c>
      <c r="K97" s="5" t="str">
        <f>IFERROR(__xludf.DUMMYFUNCTION("""COMPUTED_VALUE"""),"Low")</f>
        <v>Low</v>
      </c>
      <c r="L97" s="5" t="str">
        <f>IFERROR(__xludf.DUMMYFUNCTION("""COMPUTED_VALUE"""),"10.39%")</f>
        <v>10.39%</v>
      </c>
      <c r="M97" s="5" t="str">
        <f>IFERROR(__xludf.DUMMYFUNCTION("""COMPUTED_VALUE"""),"x10000")</f>
        <v>x10000</v>
      </c>
      <c r="N97" s="5" t="str">
        <f>IFERROR(__xludf.DUMMYFUNCTION("""COMPUTED_VALUE"""),"0.05/100")</f>
        <v>0.05/100</v>
      </c>
      <c r="O97" s="5" t="str">
        <f>IFERROR(__xludf.DUMMYFUNCTION("""COMPUTED_VALUE"""),"No")</f>
        <v>No</v>
      </c>
      <c r="P97" s="5"/>
      <c r="Q97" s="7" t="str">
        <f>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R97" s="5" t="str">
        <f>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S9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7" s="5" t="str">
        <f>IFERROR(__xludf.DUMMYFUNCTION("""COMPUTED_VALUE"""),"Yes")</f>
        <v>Yes</v>
      </c>
      <c r="U97" s="5" t="str">
        <f>IFERROR(__xludf.DUMMYFUNCTION("""COMPUTED_VALUE"""),"Yes")</f>
        <v>Yes</v>
      </c>
      <c r="V97" s="5" t="str">
        <f>IFERROR(__xludf.DUMMYFUNCTION("""COMPUTED_VALUE"""),"Yes")</f>
        <v>Yes</v>
      </c>
      <c r="W97" s="5" t="str">
        <f>IFERROR(__xludf.DUMMYFUNCTION("""COMPUTED_VALUE"""),"No")</f>
        <v>No</v>
      </c>
      <c r="X97" s="5" t="str">
        <f>IFERROR(__xludf.DUMMYFUNCTION("""COMPUTED_VALUE"""),"No")</f>
        <v>No</v>
      </c>
      <c r="Y97" s="5" t="str">
        <f>IFERROR(__xludf.DUMMYFUNCTION("""COMPUTED_VALUE"""),"No")</f>
        <v>No</v>
      </c>
      <c r="Z97" s="5" t="str">
        <f>IFERROR(__xludf.DUMMYFUNCTION("""COMPUTED_VALUE"""),"No")</f>
        <v>No</v>
      </c>
      <c r="AA97" s="5" t="str">
        <f>IFERROR(__xludf.DUMMYFUNCTION("""COMPUTED_VALUE"""),"No")</f>
        <v>No</v>
      </c>
      <c r="AB97" s="5" t="str">
        <f>IFERROR(__xludf.DUMMYFUNCTION("""COMPUTED_VALUE"""),"Yes")</f>
        <v>Yes</v>
      </c>
      <c r="AC97" s="5" t="str">
        <f>IFERROR(__xludf.DUMMYFUNCTION("""COMPUTED_VALUE"""),"Yes")</f>
        <v>Yes</v>
      </c>
      <c r="AD97" s="5" t="str">
        <f>IFERROR(__xludf.DUMMYFUNCTION("""COMPUTED_VALUE"""),"Yes")</f>
        <v>Yes</v>
      </c>
      <c r="AE97" s="5" t="str">
        <f>IFERROR(__xludf.DUMMYFUNCTION("""COMPUTED_VALUE"""),"Yes")</f>
        <v>Yes</v>
      </c>
      <c r="AF97" s="5" t="str">
        <f>IFERROR(__xludf.DUMMYFUNCTION("""COMPUTED_VALUE"""),"Yes")</f>
        <v>Yes</v>
      </c>
      <c r="AG97" s="5" t="str">
        <f>IFERROR(__xludf.DUMMYFUNCTION("""COMPUTED_VALUE"""),"No")</f>
        <v>No</v>
      </c>
      <c r="AH97" s="5" t="str">
        <f>IFERROR(__xludf.DUMMYFUNCTION("""COMPUTED_VALUE"""),"Yes")</f>
        <v>Yes</v>
      </c>
      <c r="AI97" s="5" t="str">
        <f>IFERROR(__xludf.DUMMYFUNCTION("""COMPUTED_VALUE"""),"No")</f>
        <v>No</v>
      </c>
      <c r="AJ97" s="5" t="str">
        <f>IFERROR(__xludf.DUMMYFUNCTION("""COMPUTED_VALUE"""),"No")</f>
        <v>No</v>
      </c>
      <c r="AK97" s="5" t="str">
        <f>IFERROR(__xludf.DUMMYFUNCTION("""COMPUTED_VALUE"""),"No")</f>
        <v>No</v>
      </c>
      <c r="AL97" s="5" t="str">
        <f>IFERROR(__xludf.DUMMYFUNCTION("""COMPUTED_VALUE"""),"No")</f>
        <v>No</v>
      </c>
      <c r="AM97" s="5"/>
      <c r="AN97" s="5"/>
      <c r="AO97" s="5" t="str">
        <f>IFERROR(__xludf.DUMMYFUNCTION("""COMPUTED_VALUE"""),"Yes")</f>
        <v>Yes</v>
      </c>
      <c r="AP97" s="5"/>
      <c r="AQ97" s="5" t="str">
        <f>IFERROR(__xludf.DUMMYFUNCTION("""COMPUTED_VALUE"""),"No")</f>
        <v>No</v>
      </c>
      <c r="AR97" s="5"/>
      <c r="AS97" s="5" t="str">
        <f>IFERROR(__xludf.DUMMYFUNCTION("""COMPUTED_VALUE"""),"Yes")</f>
        <v>Yes</v>
      </c>
      <c r="AT97" s="5" t="str">
        <f>IFERROR(__xludf.DUMMYFUNCTION("""COMPUTED_VALUE"""),"Yes")</f>
        <v>Yes</v>
      </c>
      <c r="AU97" s="5"/>
      <c r="AV97" s="5" t="str">
        <f>IFERROR(__xludf.DUMMYFUNCTION("""COMPUTED_VALUE"""),"")</f>
        <v/>
      </c>
    </row>
    <row r="98">
      <c r="A98" s="5" t="str">
        <f>IFERROR(__xludf.DUMMYFUNCTION("""COMPUTED_VALUE"""),"Tiptop")</f>
        <v>Tiptop</v>
      </c>
      <c r="B98" s="5" t="str">
        <f>IFERROR(__xludf.DUMMYFUNCTION("""COMPUTED_VALUE"""),"Collect Call")</f>
        <v>Collect Call</v>
      </c>
      <c r="C98" s="5" t="str">
        <f>IFERROR(__xludf.DUMMYFUNCTION("""COMPUTED_VALUE"""),"UnicornCollectCall")</f>
        <v>UnicornCollectCall</v>
      </c>
      <c r="D98" s="6">
        <f>IFERROR(__xludf.DUMMYFUNCTION("""COMPUTED_VALUE"""),45923.0)</f>
        <v>45923</v>
      </c>
      <c r="E98" s="5" t="str">
        <f>IFERROR(__xludf.DUMMYFUNCTION("""COMPUTED_VALUE"""),"Slot")</f>
        <v>Slot</v>
      </c>
      <c r="F98" s="5">
        <f>IFERROR(__xludf.DUMMYFUNCTION("""COMPUTED_VALUE"""),13.0)</f>
        <v>13</v>
      </c>
      <c r="G98" s="5" t="str">
        <f>IFERROR(__xludf.DUMMYFUNCTION("""COMPUTED_VALUE"""),"5X4")</f>
        <v>5X4</v>
      </c>
      <c r="H98" s="5">
        <f>IFERROR(__xludf.DUMMYFUNCTION("""COMPUTED_VALUE"""),40.0)</f>
        <v>40</v>
      </c>
      <c r="I98" s="5">
        <f>IFERROR(__xludf.DUMMYFUNCTION("""COMPUTED_VALUE"""),40.0)</f>
        <v>40</v>
      </c>
      <c r="J98" s="5" t="str">
        <f>IFERROR(__xludf.DUMMYFUNCTION("""COMPUTED_VALUE"""),"96%")</f>
        <v>96%</v>
      </c>
      <c r="K98" s="5" t="str">
        <f>IFERROR(__xludf.DUMMYFUNCTION("""COMPUTED_VALUE"""),"Low")</f>
        <v>Low</v>
      </c>
      <c r="L98" s="5" t="str">
        <f>IFERROR(__xludf.DUMMYFUNCTION("""COMPUTED_VALUE"""),"13.69%")</f>
        <v>13.69%</v>
      </c>
      <c r="M98" s="5" t="str">
        <f>IFERROR(__xludf.DUMMYFUNCTION("""COMPUTED_VALUE"""),"x1000")</f>
        <v>x1000</v>
      </c>
      <c r="N98" s="5" t="str">
        <f>IFERROR(__xludf.DUMMYFUNCTION("""COMPUTED_VALUE"""),"0.4/100")</f>
        <v>0.4/100</v>
      </c>
      <c r="O98" s="5" t="str">
        <f>IFERROR(__xludf.DUMMYFUNCTION("""COMPUTED_VALUE"""),"No")</f>
        <v>No</v>
      </c>
      <c r="P98" s="5"/>
      <c r="Q98" s="7" t="str">
        <f>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R98" s="5" t="str">
        <f>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S9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8" s="5" t="str">
        <f>IFERROR(__xludf.DUMMYFUNCTION("""COMPUTED_VALUE"""),"Yes")</f>
        <v>Yes</v>
      </c>
      <c r="U98" s="5" t="str">
        <f>IFERROR(__xludf.DUMMYFUNCTION("""COMPUTED_VALUE"""),"Yes")</f>
        <v>Yes</v>
      </c>
      <c r="V98" s="5" t="str">
        <f>IFERROR(__xludf.DUMMYFUNCTION("""COMPUTED_VALUE"""),"Yes")</f>
        <v>Yes</v>
      </c>
      <c r="W98" s="5" t="str">
        <f>IFERROR(__xludf.DUMMYFUNCTION("""COMPUTED_VALUE"""),"No")</f>
        <v>No</v>
      </c>
      <c r="X98" s="5" t="str">
        <f>IFERROR(__xludf.DUMMYFUNCTION("""COMPUTED_VALUE"""),"No")</f>
        <v>No</v>
      </c>
      <c r="Y98" s="5" t="str">
        <f>IFERROR(__xludf.DUMMYFUNCTION("""COMPUTED_VALUE"""),"No")</f>
        <v>No</v>
      </c>
      <c r="Z98" s="5" t="str">
        <f>IFERROR(__xludf.DUMMYFUNCTION("""COMPUTED_VALUE"""),"No")</f>
        <v>No</v>
      </c>
      <c r="AA98" s="5" t="str">
        <f>IFERROR(__xludf.DUMMYFUNCTION("""COMPUTED_VALUE"""),"No")</f>
        <v>No</v>
      </c>
      <c r="AB98" s="5" t="str">
        <f>IFERROR(__xludf.DUMMYFUNCTION("""COMPUTED_VALUE"""),"Yes")</f>
        <v>Yes</v>
      </c>
      <c r="AC98" s="5" t="str">
        <f>IFERROR(__xludf.DUMMYFUNCTION("""COMPUTED_VALUE"""),"Yes")</f>
        <v>Yes</v>
      </c>
      <c r="AD98" s="5" t="str">
        <f>IFERROR(__xludf.DUMMYFUNCTION("""COMPUTED_VALUE"""),"Yes")</f>
        <v>Yes</v>
      </c>
      <c r="AE98" s="5" t="str">
        <f>IFERROR(__xludf.DUMMYFUNCTION("""COMPUTED_VALUE"""),"Yes")</f>
        <v>Yes</v>
      </c>
      <c r="AF98" s="5" t="str">
        <f>IFERROR(__xludf.DUMMYFUNCTION("""COMPUTED_VALUE"""),"Yes")</f>
        <v>Yes</v>
      </c>
      <c r="AG98" s="5" t="str">
        <f>IFERROR(__xludf.DUMMYFUNCTION("""COMPUTED_VALUE"""),"No")</f>
        <v>No</v>
      </c>
      <c r="AH98" s="5" t="str">
        <f>IFERROR(__xludf.DUMMYFUNCTION("""COMPUTED_VALUE"""),"Yes")</f>
        <v>Yes</v>
      </c>
      <c r="AI98" s="5" t="str">
        <f>IFERROR(__xludf.DUMMYFUNCTION("""COMPUTED_VALUE"""),"No")</f>
        <v>No</v>
      </c>
      <c r="AJ98" s="5" t="str">
        <f>IFERROR(__xludf.DUMMYFUNCTION("""COMPUTED_VALUE"""),"No")</f>
        <v>No</v>
      </c>
      <c r="AK98" s="5" t="str">
        <f>IFERROR(__xludf.DUMMYFUNCTION("""COMPUTED_VALUE"""),"No")</f>
        <v>No</v>
      </c>
      <c r="AL98" s="5" t="str">
        <f>IFERROR(__xludf.DUMMYFUNCTION("""COMPUTED_VALUE"""),"No")</f>
        <v>No</v>
      </c>
      <c r="AM98" s="5" t="str">
        <f>IFERROR(__xludf.DUMMYFUNCTION("""COMPUTED_VALUE"""),"No")</f>
        <v>No</v>
      </c>
      <c r="AN98" s="5" t="str">
        <f>IFERROR(__xludf.DUMMYFUNCTION("""COMPUTED_VALUE"""),"No")</f>
        <v>No</v>
      </c>
      <c r="AO98" s="5" t="str">
        <f>IFERROR(__xludf.DUMMYFUNCTION("""COMPUTED_VALUE"""),"Yes")</f>
        <v>Yes</v>
      </c>
      <c r="AP98" s="5" t="str">
        <f>IFERROR(__xludf.DUMMYFUNCTION("""COMPUTED_VALUE"""),"No")</f>
        <v>No</v>
      </c>
      <c r="AQ98" s="5" t="str">
        <f>IFERROR(__xludf.DUMMYFUNCTION("""COMPUTED_VALUE"""),"No")</f>
        <v>No</v>
      </c>
      <c r="AR98" s="5" t="str">
        <f>IFERROR(__xludf.DUMMYFUNCTION("""COMPUTED_VALUE"""),"No")</f>
        <v>No</v>
      </c>
      <c r="AS98" s="5" t="str">
        <f>IFERROR(__xludf.DUMMYFUNCTION("""COMPUTED_VALUE"""),"Yes")</f>
        <v>Yes</v>
      </c>
      <c r="AT98" s="5" t="str">
        <f>IFERROR(__xludf.DUMMYFUNCTION("""COMPUTED_VALUE"""),"Yes")</f>
        <v>Yes</v>
      </c>
      <c r="AU98" s="5"/>
      <c r="AV98" s="5" t="str">
        <f>IFERROR(__xludf.DUMMYFUNCTION("""COMPUTED_VALUE"""),"")</f>
        <v/>
      </c>
    </row>
    <row r="99">
      <c r="A99" s="5" t="str">
        <f>IFERROR(__xludf.DUMMYFUNCTION("""COMPUTED_VALUE"""),"Tiptop")</f>
        <v>Tiptop</v>
      </c>
      <c r="B99" s="5" t="str">
        <f>IFERROR(__xludf.DUMMYFUNCTION("""COMPUTED_VALUE"""),"Coyote Sevens Halloween")</f>
        <v>Coyote Sevens Halloween</v>
      </c>
      <c r="C99" s="5" t="str">
        <f>IFERROR(__xludf.DUMMYFUNCTION("""COMPUTED_VALUE"""),"UnicornCoyoteSevensHalloween")</f>
        <v>UnicornCoyoteSevensHalloween</v>
      </c>
      <c r="D99" s="6">
        <f>IFERROR(__xludf.DUMMYFUNCTION("""COMPUTED_VALUE"""),45916.0)</f>
        <v>45916</v>
      </c>
      <c r="E99" s="5" t="str">
        <f>IFERROR(__xludf.DUMMYFUNCTION("""COMPUTED_VALUE"""),"Slot")</f>
        <v>Slot</v>
      </c>
      <c r="F99" s="5">
        <f>IFERROR(__xludf.DUMMYFUNCTION("""COMPUTED_VALUE"""),11.8)</f>
        <v>11.8</v>
      </c>
      <c r="G99" s="5" t="str">
        <f>IFERROR(__xludf.DUMMYFUNCTION("""COMPUTED_VALUE"""),"5X3")</f>
        <v>5X3</v>
      </c>
      <c r="H99" s="5">
        <f>IFERROR(__xludf.DUMMYFUNCTION("""COMPUTED_VALUE"""),5.0)</f>
        <v>5</v>
      </c>
      <c r="I99" s="5">
        <f>IFERROR(__xludf.DUMMYFUNCTION("""COMPUTED_VALUE"""),5.0)</f>
        <v>5</v>
      </c>
      <c r="J99" s="5" t="str">
        <f>IFERROR(__xludf.DUMMYFUNCTION("""COMPUTED_VALUE"""),"96%")</f>
        <v>96%</v>
      </c>
      <c r="K99" s="5" t="str">
        <f>IFERROR(__xludf.DUMMYFUNCTION("""COMPUTED_VALUE"""),"Medium")</f>
        <v>Medium</v>
      </c>
      <c r="L99" s="5" t="str">
        <f>IFERROR(__xludf.DUMMYFUNCTION("""COMPUTED_VALUE"""),"10.1%")</f>
        <v>10.1%</v>
      </c>
      <c r="M99" s="5" t="str">
        <f>IFERROR(__xludf.DUMMYFUNCTION("""COMPUTED_VALUE"""),"x1000")</f>
        <v>x1000</v>
      </c>
      <c r="N99" s="5" t="str">
        <f>IFERROR(__xludf.DUMMYFUNCTION("""COMPUTED_VALUE"""),"0.05/100")</f>
        <v>0.05/100</v>
      </c>
      <c r="O99" s="5" t="str">
        <f>IFERROR(__xludf.DUMMYFUNCTION("""COMPUTED_VALUE"""),"No")</f>
        <v>No</v>
      </c>
      <c r="P99" s="5"/>
      <c r="Q99" s="7" t="str">
        <f>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R99" s="5" t="str">
        <f>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S9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9" s="5" t="str">
        <f>IFERROR(__xludf.DUMMYFUNCTION("""COMPUTED_VALUE"""),"Yes")</f>
        <v>Yes</v>
      </c>
      <c r="U99" s="5" t="str">
        <f>IFERROR(__xludf.DUMMYFUNCTION("""COMPUTED_VALUE"""),"Yes")</f>
        <v>Yes</v>
      </c>
      <c r="V99" s="5" t="str">
        <f>IFERROR(__xludf.DUMMYFUNCTION("""COMPUTED_VALUE"""),"Yes")</f>
        <v>Yes</v>
      </c>
      <c r="W99" s="5" t="str">
        <f>IFERROR(__xludf.DUMMYFUNCTION("""COMPUTED_VALUE"""),"No")</f>
        <v>No</v>
      </c>
      <c r="X99" s="5" t="str">
        <f>IFERROR(__xludf.DUMMYFUNCTION("""COMPUTED_VALUE"""),"No")</f>
        <v>No</v>
      </c>
      <c r="Y99" s="5" t="str">
        <f>IFERROR(__xludf.DUMMYFUNCTION("""COMPUTED_VALUE"""),"No")</f>
        <v>No</v>
      </c>
      <c r="Z99" s="5" t="str">
        <f>IFERROR(__xludf.DUMMYFUNCTION("""COMPUTED_VALUE"""),"No")</f>
        <v>No</v>
      </c>
      <c r="AA99" s="5" t="str">
        <f>IFERROR(__xludf.DUMMYFUNCTION("""COMPUTED_VALUE"""),"No")</f>
        <v>No</v>
      </c>
      <c r="AB99" s="5" t="str">
        <f>IFERROR(__xludf.DUMMYFUNCTION("""COMPUTED_VALUE"""),"Yes")</f>
        <v>Yes</v>
      </c>
      <c r="AC99" s="5" t="str">
        <f>IFERROR(__xludf.DUMMYFUNCTION("""COMPUTED_VALUE"""),"Yes")</f>
        <v>Yes</v>
      </c>
      <c r="AD99" s="5" t="str">
        <f>IFERROR(__xludf.DUMMYFUNCTION("""COMPUTED_VALUE"""),"Yes")</f>
        <v>Yes</v>
      </c>
      <c r="AE99" s="5" t="str">
        <f>IFERROR(__xludf.DUMMYFUNCTION("""COMPUTED_VALUE"""),"Yes")</f>
        <v>Yes</v>
      </c>
      <c r="AF99" s="5" t="str">
        <f>IFERROR(__xludf.DUMMYFUNCTION("""COMPUTED_VALUE"""),"Yes")</f>
        <v>Yes</v>
      </c>
      <c r="AG99" s="5" t="str">
        <f>IFERROR(__xludf.DUMMYFUNCTION("""COMPUTED_VALUE"""),"No")</f>
        <v>No</v>
      </c>
      <c r="AH99" s="5" t="str">
        <f>IFERROR(__xludf.DUMMYFUNCTION("""COMPUTED_VALUE"""),"Yes")</f>
        <v>Yes</v>
      </c>
      <c r="AI99" s="5" t="str">
        <f>IFERROR(__xludf.DUMMYFUNCTION("""COMPUTED_VALUE"""),"No")</f>
        <v>No</v>
      </c>
      <c r="AJ99" s="5" t="str">
        <f>IFERROR(__xludf.DUMMYFUNCTION("""COMPUTED_VALUE"""),"No")</f>
        <v>No</v>
      </c>
      <c r="AK99" s="5" t="str">
        <f>IFERROR(__xludf.DUMMYFUNCTION("""COMPUTED_VALUE"""),"No")</f>
        <v>No</v>
      </c>
      <c r="AL99" s="5" t="str">
        <f>IFERROR(__xludf.DUMMYFUNCTION("""COMPUTED_VALUE"""),"No")</f>
        <v>No</v>
      </c>
      <c r="AM99" s="5"/>
      <c r="AN99" s="5"/>
      <c r="AO99" s="5" t="str">
        <f>IFERROR(__xludf.DUMMYFUNCTION("""COMPUTED_VALUE"""),"Yes")</f>
        <v>Yes</v>
      </c>
      <c r="AP99" s="5"/>
      <c r="AQ99" s="5" t="str">
        <f>IFERROR(__xludf.DUMMYFUNCTION("""COMPUTED_VALUE"""),"No")</f>
        <v>No</v>
      </c>
      <c r="AR99" s="5"/>
      <c r="AS99" s="5" t="str">
        <f>IFERROR(__xludf.DUMMYFUNCTION("""COMPUTED_VALUE"""),"Yes")</f>
        <v>Yes</v>
      </c>
      <c r="AT99" s="5" t="str">
        <f>IFERROR(__xludf.DUMMYFUNCTION("""COMPUTED_VALUE"""),"Yes")</f>
        <v>Yes</v>
      </c>
      <c r="AU99" s="5"/>
      <c r="AV99" s="5" t="str">
        <f>IFERROR(__xludf.DUMMYFUNCTION("""COMPUTED_VALUE"""),"")</f>
        <v/>
      </c>
    </row>
    <row r="100">
      <c r="A100" s="5" t="str">
        <f>IFERROR(__xludf.DUMMYFUNCTION("""COMPUTED_VALUE"""),"Tiptop")</f>
        <v>Tiptop</v>
      </c>
      <c r="B100" s="5" t="str">
        <f>IFERROR(__xludf.DUMMYFUNCTION("""COMPUTED_VALUE"""),"Lava Gems")</f>
        <v>Lava Gems</v>
      </c>
      <c r="C100" s="5" t="str">
        <f>IFERROR(__xludf.DUMMYFUNCTION("""COMPUTED_VALUE"""),"UnicornLavaGems")</f>
        <v>UnicornLavaGems</v>
      </c>
      <c r="D100" s="6">
        <f>IFERROR(__xludf.DUMMYFUNCTION("""COMPUTED_VALUE"""),45938.0)</f>
        <v>45938</v>
      </c>
      <c r="E100" s="5" t="str">
        <f>IFERROR(__xludf.DUMMYFUNCTION("""COMPUTED_VALUE"""),"Slot")</f>
        <v>Slot</v>
      </c>
      <c r="F100" s="5">
        <f>IFERROR(__xludf.DUMMYFUNCTION("""COMPUTED_VALUE"""),11.0)</f>
        <v>11</v>
      </c>
      <c r="G100" s="5" t="str">
        <f>IFERROR(__xludf.DUMMYFUNCTION("""COMPUTED_VALUE"""),"5X3")</f>
        <v>5X3</v>
      </c>
      <c r="H100" s="5">
        <f>IFERROR(__xludf.DUMMYFUNCTION("""COMPUTED_VALUE"""),10.0)</f>
        <v>10</v>
      </c>
      <c r="I100" s="5">
        <f>IFERROR(__xludf.DUMMYFUNCTION("""COMPUTED_VALUE"""),10.0)</f>
        <v>10</v>
      </c>
      <c r="J100" s="5" t="str">
        <f>IFERROR(__xludf.DUMMYFUNCTION("""COMPUTED_VALUE"""),"96%")</f>
        <v>96%</v>
      </c>
      <c r="K100" s="5" t="str">
        <f>IFERROR(__xludf.DUMMYFUNCTION("""COMPUTED_VALUE"""),"Low")</f>
        <v>Low</v>
      </c>
      <c r="L100" s="5" t="str">
        <f>IFERROR(__xludf.DUMMYFUNCTION("""COMPUTED_VALUE"""),"24.14%")</f>
        <v>24.14%</v>
      </c>
      <c r="M100" s="5" t="str">
        <f>IFERROR(__xludf.DUMMYFUNCTION("""COMPUTED_VALUE"""),"x10000")</f>
        <v>x10000</v>
      </c>
      <c r="N100" s="5" t="str">
        <f>IFERROR(__xludf.DUMMYFUNCTION("""COMPUTED_VALUE"""),"0.1/100")</f>
        <v>0.1/100</v>
      </c>
      <c r="O100" s="5" t="str">
        <f>IFERROR(__xludf.DUMMYFUNCTION("""COMPUTED_VALUE"""),"No")</f>
        <v>No</v>
      </c>
      <c r="P100" s="5"/>
      <c r="Q100" s="7" t="str">
        <f>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R100" s="5" t="str">
        <f>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S10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0" s="5" t="str">
        <f>IFERROR(__xludf.DUMMYFUNCTION("""COMPUTED_VALUE"""),"Yes")</f>
        <v>Yes</v>
      </c>
      <c r="U100" s="5" t="str">
        <f>IFERROR(__xludf.DUMMYFUNCTION("""COMPUTED_VALUE"""),"Yes")</f>
        <v>Yes</v>
      </c>
      <c r="V100" s="5" t="str">
        <f>IFERROR(__xludf.DUMMYFUNCTION("""COMPUTED_VALUE"""),"Yes")</f>
        <v>Yes</v>
      </c>
      <c r="W100" s="5" t="str">
        <f>IFERROR(__xludf.DUMMYFUNCTION("""COMPUTED_VALUE"""),"No")</f>
        <v>No</v>
      </c>
      <c r="X100" s="5" t="str">
        <f>IFERROR(__xludf.DUMMYFUNCTION("""COMPUTED_VALUE"""),"No")</f>
        <v>No</v>
      </c>
      <c r="Y100" s="5" t="str">
        <f>IFERROR(__xludf.DUMMYFUNCTION("""COMPUTED_VALUE"""),"No")</f>
        <v>No</v>
      </c>
      <c r="Z100" s="5" t="str">
        <f>IFERROR(__xludf.DUMMYFUNCTION("""COMPUTED_VALUE"""),"No")</f>
        <v>No</v>
      </c>
      <c r="AA100" s="5" t="str">
        <f>IFERROR(__xludf.DUMMYFUNCTION("""COMPUTED_VALUE"""),"No")</f>
        <v>No</v>
      </c>
      <c r="AB100" s="5" t="str">
        <f>IFERROR(__xludf.DUMMYFUNCTION("""COMPUTED_VALUE"""),"Yes")</f>
        <v>Yes</v>
      </c>
      <c r="AC100" s="5" t="str">
        <f>IFERROR(__xludf.DUMMYFUNCTION("""COMPUTED_VALUE"""),"Yes")</f>
        <v>Yes</v>
      </c>
      <c r="AD100" s="5" t="str">
        <f>IFERROR(__xludf.DUMMYFUNCTION("""COMPUTED_VALUE"""),"Yes")</f>
        <v>Yes</v>
      </c>
      <c r="AE100" s="5" t="str">
        <f>IFERROR(__xludf.DUMMYFUNCTION("""COMPUTED_VALUE"""),"Yes")</f>
        <v>Yes</v>
      </c>
      <c r="AF100" s="5" t="str">
        <f>IFERROR(__xludf.DUMMYFUNCTION("""COMPUTED_VALUE"""),"Yes")</f>
        <v>Yes</v>
      </c>
      <c r="AG100" s="5" t="str">
        <f>IFERROR(__xludf.DUMMYFUNCTION("""COMPUTED_VALUE"""),"No")</f>
        <v>No</v>
      </c>
      <c r="AH100" s="5" t="str">
        <f>IFERROR(__xludf.DUMMYFUNCTION("""COMPUTED_VALUE"""),"Yes")</f>
        <v>Yes</v>
      </c>
      <c r="AI100" s="5" t="str">
        <f>IFERROR(__xludf.DUMMYFUNCTION("""COMPUTED_VALUE"""),"No")</f>
        <v>No</v>
      </c>
      <c r="AJ100" s="5" t="str">
        <f>IFERROR(__xludf.DUMMYFUNCTION("""COMPUTED_VALUE"""),"No")</f>
        <v>No</v>
      </c>
      <c r="AK100" s="5" t="str">
        <f>IFERROR(__xludf.DUMMYFUNCTION("""COMPUTED_VALUE"""),"No")</f>
        <v>No</v>
      </c>
      <c r="AL100" s="5" t="str">
        <f>IFERROR(__xludf.DUMMYFUNCTION("""COMPUTED_VALUE"""),"No")</f>
        <v>No</v>
      </c>
      <c r="AM100" s="5"/>
      <c r="AN100" s="5"/>
      <c r="AO100" s="5" t="str">
        <f>IFERROR(__xludf.DUMMYFUNCTION("""COMPUTED_VALUE"""),"Yes")</f>
        <v>Yes</v>
      </c>
      <c r="AP100" s="5"/>
      <c r="AQ100" s="5" t="str">
        <f>IFERROR(__xludf.DUMMYFUNCTION("""COMPUTED_VALUE"""),"No")</f>
        <v>No</v>
      </c>
      <c r="AR100" s="5"/>
      <c r="AS100" s="5" t="str">
        <f>IFERROR(__xludf.DUMMYFUNCTION("""COMPUTED_VALUE"""),"Yes")</f>
        <v>Yes</v>
      </c>
      <c r="AT100" s="5" t="str">
        <f>IFERROR(__xludf.DUMMYFUNCTION("""COMPUTED_VALUE"""),"Yes")</f>
        <v>Yes</v>
      </c>
      <c r="AU100" s="5"/>
      <c r="AV100" s="5" t="str">
        <f>IFERROR(__xludf.DUMMYFUNCTION("""COMPUTED_VALUE"""),"")</f>
        <v/>
      </c>
    </row>
    <row r="101">
      <c r="A101" s="5" t="str">
        <f>IFERROR(__xludf.DUMMYFUNCTION("""COMPUTED_VALUE"""),"Tiptop")</f>
        <v>Tiptop</v>
      </c>
      <c r="B101" s="5" t="str">
        <f>IFERROR(__xludf.DUMMYFUNCTION("""COMPUTED_VALUE"""),"The Kings Halloween")</f>
        <v>The Kings Halloween</v>
      </c>
      <c r="C101" s="5" t="str">
        <f>IFERROR(__xludf.DUMMYFUNCTION("""COMPUTED_VALUE"""),"UnicornTheKingsHalloween")</f>
        <v>UnicornTheKingsHalloween</v>
      </c>
      <c r="D101" s="6">
        <f>IFERROR(__xludf.DUMMYFUNCTION("""COMPUTED_VALUE"""),45931.0)</f>
        <v>45931</v>
      </c>
      <c r="E101" s="5" t="str">
        <f>IFERROR(__xludf.DUMMYFUNCTION("""COMPUTED_VALUE"""),"Slot")</f>
        <v>Slot</v>
      </c>
      <c r="F101" s="5">
        <f>IFERROR(__xludf.DUMMYFUNCTION("""COMPUTED_VALUE"""),11.8)</f>
        <v>11.8</v>
      </c>
      <c r="G101" s="5" t="str">
        <f>IFERROR(__xludf.DUMMYFUNCTION("""COMPUTED_VALUE"""),"5X3")</f>
        <v>5X3</v>
      </c>
      <c r="H101" s="5">
        <f>IFERROR(__xludf.DUMMYFUNCTION("""COMPUTED_VALUE"""),5.0)</f>
        <v>5</v>
      </c>
      <c r="I101" s="5">
        <f>IFERROR(__xludf.DUMMYFUNCTION("""COMPUTED_VALUE"""),5.0)</f>
        <v>5</v>
      </c>
      <c r="J101" s="5" t="str">
        <f>IFERROR(__xludf.DUMMYFUNCTION("""COMPUTED_VALUE"""),"96%")</f>
        <v>96%</v>
      </c>
      <c r="K101" s="5" t="str">
        <f>IFERROR(__xludf.DUMMYFUNCTION("""COMPUTED_VALUE"""),"Low")</f>
        <v>Low</v>
      </c>
      <c r="L101" s="5" t="str">
        <f>IFERROR(__xludf.DUMMYFUNCTION("""COMPUTED_VALUE"""),"17.5%")</f>
        <v>17.5%</v>
      </c>
      <c r="M101" s="5" t="str">
        <f>IFERROR(__xludf.DUMMYFUNCTION("""COMPUTED_VALUE"""),"x1100")</f>
        <v>x1100</v>
      </c>
      <c r="N101" s="5" t="str">
        <f>IFERROR(__xludf.DUMMYFUNCTION("""COMPUTED_VALUE"""),"0.05/100")</f>
        <v>0.05/100</v>
      </c>
      <c r="O101" s="5" t="str">
        <f>IFERROR(__xludf.DUMMYFUNCTION("""COMPUTED_VALUE"""),"No")</f>
        <v>No</v>
      </c>
      <c r="P101" s="5"/>
      <c r="Q101" s="7" t="str">
        <f>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R101" s="5" t="str">
        <f>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S10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1" s="5" t="str">
        <f>IFERROR(__xludf.DUMMYFUNCTION("""COMPUTED_VALUE"""),"Yes")</f>
        <v>Yes</v>
      </c>
      <c r="U101" s="5" t="str">
        <f>IFERROR(__xludf.DUMMYFUNCTION("""COMPUTED_VALUE"""),"Yes")</f>
        <v>Yes</v>
      </c>
      <c r="V101" s="5" t="str">
        <f>IFERROR(__xludf.DUMMYFUNCTION("""COMPUTED_VALUE"""),"Yes")</f>
        <v>Yes</v>
      </c>
      <c r="W101" s="5"/>
      <c r="X101" s="5"/>
      <c r="Y101" s="5"/>
      <c r="Z101" s="5"/>
      <c r="AA101" s="5"/>
      <c r="AB101" s="5" t="str">
        <f>IFERROR(__xludf.DUMMYFUNCTION("""COMPUTED_VALUE"""),"Yes")</f>
        <v>Yes</v>
      </c>
      <c r="AC101" s="5" t="str">
        <f>IFERROR(__xludf.DUMMYFUNCTION("""COMPUTED_VALUE"""),"Yes")</f>
        <v>Yes</v>
      </c>
      <c r="AD101" s="5" t="str">
        <f>IFERROR(__xludf.DUMMYFUNCTION("""COMPUTED_VALUE"""),"Yes")</f>
        <v>Yes</v>
      </c>
      <c r="AE101" s="5" t="str">
        <f>IFERROR(__xludf.DUMMYFUNCTION("""COMPUTED_VALUE"""),"Yes")</f>
        <v>Yes</v>
      </c>
      <c r="AF101" s="5" t="str">
        <f>IFERROR(__xludf.DUMMYFUNCTION("""COMPUTED_VALUE"""),"Yes")</f>
        <v>Yes</v>
      </c>
      <c r="AG101" s="5"/>
      <c r="AH101" s="5" t="str">
        <f>IFERROR(__xludf.DUMMYFUNCTION("""COMPUTED_VALUE"""),"Yes")</f>
        <v>Yes</v>
      </c>
      <c r="AI101" s="5"/>
      <c r="AJ101" s="5"/>
      <c r="AK101" s="5"/>
      <c r="AL101" s="5"/>
      <c r="AM101" s="5"/>
      <c r="AN101" s="5"/>
      <c r="AO101" s="5" t="str">
        <f>IFERROR(__xludf.DUMMYFUNCTION("""COMPUTED_VALUE"""),"Yes")</f>
        <v>Yes</v>
      </c>
      <c r="AP101" s="5"/>
      <c r="AQ101" s="5"/>
      <c r="AR101" s="5"/>
      <c r="AS101" s="5" t="str">
        <f>IFERROR(__xludf.DUMMYFUNCTION("""COMPUTED_VALUE"""),"Yes")</f>
        <v>Yes</v>
      </c>
      <c r="AT101" s="5" t="str">
        <f>IFERROR(__xludf.DUMMYFUNCTION("""COMPUTED_VALUE"""),"Yes")</f>
        <v>Yes</v>
      </c>
      <c r="AU101" s="5"/>
      <c r="AV101" s="5" t="str">
        <f>IFERROR(__xludf.DUMMYFUNCTION("""COMPUTED_VALUE"""),"")</f>
        <v/>
      </c>
    </row>
    <row r="102">
      <c r="A102" s="5" t="str">
        <f>IFERROR(__xludf.DUMMYFUNCTION("""COMPUTED_VALUE"""),"Tiptop")</f>
        <v>Tiptop</v>
      </c>
      <c r="B102" s="5" t="str">
        <f>IFERROR(__xludf.DUMMYFUNCTION("""COMPUTED_VALUE"""),"Super High Runner")</f>
        <v>Super High Runner</v>
      </c>
      <c r="C102" s="5" t="str">
        <f>IFERROR(__xludf.DUMMYFUNCTION("""COMPUTED_VALUE"""),"UnicornSuperHighRunner")</f>
        <v>UnicornSuperHighRunner</v>
      </c>
      <c r="D102" s="6">
        <f>IFERROR(__xludf.DUMMYFUNCTION("""COMPUTED_VALUE"""),45945.0)</f>
        <v>45945</v>
      </c>
      <c r="E102" s="5" t="str">
        <f>IFERROR(__xludf.DUMMYFUNCTION("""COMPUTED_VALUE"""),"Slot")</f>
        <v>Slot</v>
      </c>
      <c r="F102" s="5">
        <f>IFERROR(__xludf.DUMMYFUNCTION("""COMPUTED_VALUE"""),10.3)</f>
        <v>10.3</v>
      </c>
      <c r="G102" s="5" t="str">
        <f>IFERROR(__xludf.DUMMYFUNCTION("""COMPUTED_VALUE"""),"5X3")</f>
        <v>5X3</v>
      </c>
      <c r="H102" s="5">
        <f>IFERROR(__xludf.DUMMYFUNCTION("""COMPUTED_VALUE"""),5.0)</f>
        <v>5</v>
      </c>
      <c r="I102" s="5">
        <f>IFERROR(__xludf.DUMMYFUNCTION("""COMPUTED_VALUE"""),5.0)</f>
        <v>5</v>
      </c>
      <c r="J102" s="5" t="str">
        <f>IFERROR(__xludf.DUMMYFUNCTION("""COMPUTED_VALUE"""),"96%")</f>
        <v>96%</v>
      </c>
      <c r="K102" s="5" t="str">
        <f>IFERROR(__xludf.DUMMYFUNCTION("""COMPUTED_VALUE"""),"Low")</f>
        <v>Low</v>
      </c>
      <c r="L102" s="5" t="str">
        <f>IFERROR(__xludf.DUMMYFUNCTION("""COMPUTED_VALUE"""),"10.9%")</f>
        <v>10.9%</v>
      </c>
      <c r="M102" s="5" t="str">
        <f>IFERROR(__xludf.DUMMYFUNCTION("""COMPUTED_VALUE"""),"x1030")</f>
        <v>x1030</v>
      </c>
      <c r="N102" s="5" t="str">
        <f>IFERROR(__xludf.DUMMYFUNCTION("""COMPUTED_VALUE"""),"0.05/100")</f>
        <v>0.05/100</v>
      </c>
      <c r="O102" s="5" t="str">
        <f>IFERROR(__xludf.DUMMYFUNCTION("""COMPUTED_VALUE"""),"No")</f>
        <v>No</v>
      </c>
      <c r="P102" s="5"/>
      <c r="Q102" s="7" t="str">
        <f>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R102" s="5" t="str">
        <f>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S102" s="5" t="str">
        <f>IFERROR(__xludf.DUMMYFUNCTION("""COMPUTED_VALUE"""),"English(""eng"")")</f>
        <v>English("eng")</v>
      </c>
      <c r="T102" s="5" t="str">
        <f>IFERROR(__xludf.DUMMYFUNCTION("""COMPUTED_VALUE"""),"Yes")</f>
        <v>Yes</v>
      </c>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t="str">
        <f>IFERROR(__xludf.DUMMYFUNCTION("""COMPUTED_VALUE"""),"")</f>
        <v/>
      </c>
    </row>
    <row r="103">
      <c r="A103" s="5" t="str">
        <f>IFERROR(__xludf.DUMMYFUNCTION("""COMPUTED_VALUE"""),"Tiptop")</f>
        <v>Tiptop</v>
      </c>
      <c r="B103" s="5" t="str">
        <f>IFERROR(__xludf.DUMMYFUNCTION("""COMPUTED_VALUE"""),"Big Spin Dice")</f>
        <v>Big Spin Dice</v>
      </c>
      <c r="C103" s="5" t="str">
        <f>IFERROR(__xludf.DUMMYFUNCTION("""COMPUTED_VALUE"""),"UnicornBigSpinDice")</f>
        <v>UnicornBigSpinDice</v>
      </c>
      <c r="D103" s="6">
        <f>IFERROR(__xludf.DUMMYFUNCTION("""COMPUTED_VALUE"""),45952.0)</f>
        <v>45952</v>
      </c>
      <c r="E103" s="5" t="str">
        <f>IFERROR(__xludf.DUMMYFUNCTION("""COMPUTED_VALUE"""),"Dice Slots")</f>
        <v>Dice Slots</v>
      </c>
      <c r="F103" s="5">
        <f>IFERROR(__xludf.DUMMYFUNCTION("""COMPUTED_VALUE"""),10.8)</f>
        <v>10.8</v>
      </c>
      <c r="G103" s="5" t="str">
        <f>IFERROR(__xludf.DUMMYFUNCTION("""COMPUTED_VALUE"""),"5X3")</f>
        <v>5X3</v>
      </c>
      <c r="H103" s="5">
        <f>IFERROR(__xludf.DUMMYFUNCTION("""COMPUTED_VALUE"""),5.0)</f>
        <v>5</v>
      </c>
      <c r="I103" s="5">
        <f>IFERROR(__xludf.DUMMYFUNCTION("""COMPUTED_VALUE"""),5.0)</f>
        <v>5</v>
      </c>
      <c r="J103" s="5" t="str">
        <f>IFERROR(__xludf.DUMMYFUNCTION("""COMPUTED_VALUE"""),"96%")</f>
        <v>96%</v>
      </c>
      <c r="K103" s="5" t="str">
        <f>IFERROR(__xludf.DUMMYFUNCTION("""COMPUTED_VALUE"""),"Low")</f>
        <v>Low</v>
      </c>
      <c r="L103" s="5" t="str">
        <f>IFERROR(__xludf.DUMMYFUNCTION("""COMPUTED_VALUE"""),"14.4%")</f>
        <v>14.4%</v>
      </c>
      <c r="M103" s="5" t="str">
        <f>IFERROR(__xludf.DUMMYFUNCTION("""COMPUTED_VALUE"""),"x10000")</f>
        <v>x10000</v>
      </c>
      <c r="N103" s="5" t="str">
        <f>IFERROR(__xludf.DUMMYFUNCTION("""COMPUTED_VALUE"""),"0.05/100")</f>
        <v>0.05/100</v>
      </c>
      <c r="O103" s="5" t="str">
        <f>IFERROR(__xludf.DUMMYFUNCTION("""COMPUTED_VALUE"""),"No")</f>
        <v>No</v>
      </c>
      <c r="P103" s="5"/>
      <c r="Q103" s="7" t="str">
        <f>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R103" s="5" t="str">
        <f>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S103" s="5" t="str">
        <f>IFERROR(__xludf.DUMMYFUNCTION("""COMPUTED_VALUE"""),"Social English(""sen"")")</f>
        <v>Social English("sen")</v>
      </c>
      <c r="T103" s="5"/>
      <c r="U103" s="5"/>
      <c r="V103" s="5"/>
      <c r="W103" s="5"/>
      <c r="X103" s="5"/>
      <c r="Y103" s="5"/>
      <c r="Z103" s="5"/>
      <c r="AA103" s="5"/>
      <c r="AB103" s="5"/>
      <c r="AC103" s="5"/>
      <c r="AD103" s="5"/>
      <c r="AE103" s="5"/>
      <c r="AF103" s="5"/>
      <c r="AG103" s="5"/>
      <c r="AH103" s="5"/>
      <c r="AI103" s="5"/>
      <c r="AJ103" s="5"/>
      <c r="AK103" s="5"/>
      <c r="AL103" s="5"/>
      <c r="AM103" s="5"/>
      <c r="AN103" s="5" t="str">
        <f>IFERROR(__xludf.DUMMYFUNCTION("""COMPUTED_VALUE"""),"Yes")</f>
        <v>Yes</v>
      </c>
      <c r="AO103" s="5"/>
      <c r="AP103" s="5"/>
      <c r="AQ103" s="5"/>
      <c r="AR103" s="5"/>
      <c r="AS103" s="5"/>
      <c r="AT103" s="5"/>
      <c r="AU103" s="5"/>
      <c r="AV103" s="5" t="str">
        <f>IFERROR(__xludf.DUMMYFUNCTION("""COMPUTED_VALUE"""),"")</f>
        <v/>
      </c>
    </row>
    <row r="104">
      <c r="A104" s="5" t="str">
        <f>IFERROR(__xludf.DUMMYFUNCTION("""COMPUTED_VALUE"""),"Tiptop")</f>
        <v>Tiptop</v>
      </c>
      <c r="B104" s="5" t="str">
        <f>IFERROR(__xludf.DUMMYFUNCTION("""COMPUTED_VALUE"""),"Fruit Island Dice")</f>
        <v>Fruit Island Dice</v>
      </c>
      <c r="C104" s="5" t="str">
        <f>IFERROR(__xludf.DUMMYFUNCTION("""COMPUTED_VALUE"""),"UnicornFruitIslandDice")</f>
        <v>UnicornFruitIslandDice</v>
      </c>
      <c r="D104" s="6">
        <f>IFERROR(__xludf.DUMMYFUNCTION("""COMPUTED_VALUE"""),45959.0)</f>
        <v>45959</v>
      </c>
      <c r="E104" s="5" t="str">
        <f>IFERROR(__xludf.DUMMYFUNCTION("""COMPUTED_VALUE"""),"Dice Slots")</f>
        <v>Dice Slots</v>
      </c>
      <c r="F104" s="5">
        <f>IFERROR(__xludf.DUMMYFUNCTION("""COMPUTED_VALUE"""),10.2)</f>
        <v>10.2</v>
      </c>
      <c r="G104" s="5" t="str">
        <f>IFERROR(__xludf.DUMMYFUNCTION("""COMPUTED_VALUE"""),"5X3")</f>
        <v>5X3</v>
      </c>
      <c r="H104" s="5">
        <f>IFERROR(__xludf.DUMMYFUNCTION("""COMPUTED_VALUE"""),5.0)</f>
        <v>5</v>
      </c>
      <c r="I104" s="5">
        <f>IFERROR(__xludf.DUMMYFUNCTION("""COMPUTED_VALUE"""),5.0)</f>
        <v>5</v>
      </c>
      <c r="J104" s="5" t="str">
        <f>IFERROR(__xludf.DUMMYFUNCTION("""COMPUTED_VALUE"""),"96%")</f>
        <v>96%</v>
      </c>
      <c r="K104" s="5" t="str">
        <f>IFERROR(__xludf.DUMMYFUNCTION("""COMPUTED_VALUE"""),"Low")</f>
        <v>Low</v>
      </c>
      <c r="L104" s="5" t="str">
        <f>IFERROR(__xludf.DUMMYFUNCTION("""COMPUTED_VALUE"""),"10.5%")</f>
        <v>10.5%</v>
      </c>
      <c r="M104" s="5" t="str">
        <f>IFERROR(__xludf.DUMMYFUNCTION("""COMPUTED_VALUE"""),"x1000")</f>
        <v>x1000</v>
      </c>
      <c r="N104" s="5" t="str">
        <f>IFERROR(__xludf.DUMMYFUNCTION("""COMPUTED_VALUE"""),"0.05/100")</f>
        <v>0.05/100</v>
      </c>
      <c r="O104" s="5" t="str">
        <f>IFERROR(__xludf.DUMMYFUNCTION("""COMPUTED_VALUE"""),"No")</f>
        <v>No</v>
      </c>
      <c r="P104" s="5"/>
      <c r="Q104" s="7" t="str">
        <f>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R104" s="5" t="str">
        <f>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S10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4" s="5" t="str">
        <f>IFERROR(__xludf.DUMMYFUNCTION("""COMPUTED_VALUE"""),"Yes")</f>
        <v>Yes</v>
      </c>
      <c r="U104" s="5" t="str">
        <f>IFERROR(__xludf.DUMMYFUNCTION("""COMPUTED_VALUE"""),"Yes")</f>
        <v>Yes</v>
      </c>
      <c r="V104" s="5" t="str">
        <f>IFERROR(__xludf.DUMMYFUNCTION("""COMPUTED_VALUE"""),"Yes")</f>
        <v>Yes</v>
      </c>
      <c r="W104" s="5"/>
      <c r="X104" s="5"/>
      <c r="Y104" s="5"/>
      <c r="Z104" s="5"/>
      <c r="AA104" s="5"/>
      <c r="AB104" s="5" t="str">
        <f>IFERROR(__xludf.DUMMYFUNCTION("""COMPUTED_VALUE"""),"Yes")</f>
        <v>Yes</v>
      </c>
      <c r="AC104" s="5" t="str">
        <f>IFERROR(__xludf.DUMMYFUNCTION("""COMPUTED_VALUE"""),"Yes")</f>
        <v>Yes</v>
      </c>
      <c r="AD104" s="5" t="str">
        <f>IFERROR(__xludf.DUMMYFUNCTION("""COMPUTED_VALUE"""),"Yes")</f>
        <v>Yes</v>
      </c>
      <c r="AE104" s="5" t="str">
        <f>IFERROR(__xludf.DUMMYFUNCTION("""COMPUTED_VALUE"""),"Yes")</f>
        <v>Yes</v>
      </c>
      <c r="AF104" s="5" t="str">
        <f>IFERROR(__xludf.DUMMYFUNCTION("""COMPUTED_VALUE"""),"Yes")</f>
        <v>Yes</v>
      </c>
      <c r="AG104" s="5"/>
      <c r="AH104" s="5" t="str">
        <f>IFERROR(__xludf.DUMMYFUNCTION("""COMPUTED_VALUE"""),"Yes")</f>
        <v>Yes</v>
      </c>
      <c r="AI104" s="5"/>
      <c r="AJ104" s="5"/>
      <c r="AK104" s="5"/>
      <c r="AL104" s="5"/>
      <c r="AM104" s="5"/>
      <c r="AN104" s="5"/>
      <c r="AO104" s="5" t="str">
        <f>IFERROR(__xludf.DUMMYFUNCTION("""COMPUTED_VALUE"""),"Yes")</f>
        <v>Yes</v>
      </c>
      <c r="AP104" s="5"/>
      <c r="AQ104" s="5"/>
      <c r="AR104" s="5"/>
      <c r="AS104" s="5" t="str">
        <f>IFERROR(__xludf.DUMMYFUNCTION("""COMPUTED_VALUE"""),"Yes")</f>
        <v>Yes</v>
      </c>
      <c r="AT104" s="5" t="str">
        <f>IFERROR(__xludf.DUMMYFUNCTION("""COMPUTED_VALUE"""),"Yes")</f>
        <v>Yes</v>
      </c>
      <c r="AU104" s="5"/>
      <c r="AV104" s="5" t="str">
        <f>IFERROR(__xludf.DUMMYFUNCTION("""COMPUTED_VALUE"""),"")</f>
        <v/>
      </c>
    </row>
    <row r="105">
      <c r="A105" s="5" t="str">
        <f>IFERROR(__xludf.DUMMYFUNCTION("""COMPUTED_VALUE"""),"Tiptop")</f>
        <v>Tiptop</v>
      </c>
      <c r="B105" s="5" t="str">
        <f>IFERROR(__xludf.DUMMYFUNCTION("""COMPUTED_VALUE"""),"Storm Dice")</f>
        <v>Storm Dice</v>
      </c>
      <c r="C105" s="5" t="str">
        <f>IFERROR(__xludf.DUMMYFUNCTION("""COMPUTED_VALUE"""),"UnicornStormDice")</f>
        <v>UnicornStormDice</v>
      </c>
      <c r="D105" s="6">
        <f>IFERROR(__xludf.DUMMYFUNCTION("""COMPUTED_VALUE"""),45966.0)</f>
        <v>45966</v>
      </c>
      <c r="E105" s="5" t="str">
        <f>IFERROR(__xludf.DUMMYFUNCTION("""COMPUTED_VALUE"""),"Dice Slots")</f>
        <v>Dice Slots</v>
      </c>
      <c r="F105" s="5">
        <f>IFERROR(__xludf.DUMMYFUNCTION("""COMPUTED_VALUE"""),10.5)</f>
        <v>10.5</v>
      </c>
      <c r="G105" s="5" t="str">
        <f>IFERROR(__xludf.DUMMYFUNCTION("""COMPUTED_VALUE"""),"5X3")</f>
        <v>5X3</v>
      </c>
      <c r="H105" s="5">
        <f>IFERROR(__xludf.DUMMYFUNCTION("""COMPUTED_VALUE"""),5.0)</f>
        <v>5</v>
      </c>
      <c r="I105" s="5">
        <f>IFERROR(__xludf.DUMMYFUNCTION("""COMPUTED_VALUE"""),5.0)</f>
        <v>5</v>
      </c>
      <c r="J105" s="5" t="str">
        <f>IFERROR(__xludf.DUMMYFUNCTION("""COMPUTED_VALUE"""),"96%")</f>
        <v>96%</v>
      </c>
      <c r="K105" s="5" t="str">
        <f>IFERROR(__xludf.DUMMYFUNCTION("""COMPUTED_VALUE"""),"Medium")</f>
        <v>Medium</v>
      </c>
      <c r="L105" s="5" t="str">
        <f>IFERROR(__xludf.DUMMYFUNCTION("""COMPUTED_VALUE"""),"10.1%")</f>
        <v>10.1%</v>
      </c>
      <c r="M105" s="5" t="str">
        <f>IFERROR(__xludf.DUMMYFUNCTION("""COMPUTED_VALUE"""),"x1000")</f>
        <v>x1000</v>
      </c>
      <c r="N105" s="5" t="str">
        <f>IFERROR(__xludf.DUMMYFUNCTION("""COMPUTED_VALUE"""),"0.05/100")</f>
        <v>0.05/100</v>
      </c>
      <c r="O105" s="5" t="str">
        <f>IFERROR(__xludf.DUMMYFUNCTION("""COMPUTED_VALUE"""),"No")</f>
        <v>No</v>
      </c>
      <c r="P105" s="5"/>
      <c r="Q105" s="7" t="str">
        <f>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R105" s="5" t="str">
        <f>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S105" s="5" t="str">
        <f>IFERROR(__xludf.DUMMYFUNCTION("""COMPUTED_VALUE"""),"English(""eng"")")</f>
        <v>English("eng")</v>
      </c>
      <c r="T105" s="5" t="str">
        <f>IFERROR(__xludf.DUMMYFUNCTION("""COMPUTED_VALUE"""),"Yes")</f>
        <v>Yes</v>
      </c>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t="str">
        <f>IFERROR(__xludf.DUMMYFUNCTION("""COMPUTED_VALUE"""),"")</f>
        <v/>
      </c>
    </row>
    <row r="106">
      <c r="A106" s="5" t="str">
        <f>IFERROR(__xludf.DUMMYFUNCTION("""COMPUTED_VALUE"""),"Tiptop")</f>
        <v>Tiptop</v>
      </c>
      <c r="B106" s="5" t="str">
        <f>IFERROR(__xludf.DUMMYFUNCTION("""COMPUTED_VALUE"""),"Santas Rudolf")</f>
        <v>Santas Rudolf</v>
      </c>
      <c r="C106" s="5" t="str">
        <f>IFERROR(__xludf.DUMMYFUNCTION("""COMPUTED_VALUE"""),"UnicornSantasRudolf")</f>
        <v>UnicornSantasRudolf</v>
      </c>
      <c r="D106" s="6">
        <f>IFERROR(__xludf.DUMMYFUNCTION("""COMPUTED_VALUE"""),45973.0)</f>
        <v>45973</v>
      </c>
      <c r="E106" s="5" t="str">
        <f>IFERROR(__xludf.DUMMYFUNCTION("""COMPUTED_VALUE"""),"Slot")</f>
        <v>Slot</v>
      </c>
      <c r="F106" s="5">
        <f>IFERROR(__xludf.DUMMYFUNCTION("""COMPUTED_VALUE"""),10.5)</f>
        <v>10.5</v>
      </c>
      <c r="G106" s="5" t="str">
        <f>IFERROR(__xludf.DUMMYFUNCTION("""COMPUTED_VALUE"""),"5X3")</f>
        <v>5X3</v>
      </c>
      <c r="H106" s="5">
        <f>IFERROR(__xludf.DUMMYFUNCTION("""COMPUTED_VALUE"""),10.0)</f>
        <v>10</v>
      </c>
      <c r="I106" s="5">
        <f>IFERROR(__xludf.DUMMYFUNCTION("""COMPUTED_VALUE"""),10.0)</f>
        <v>10</v>
      </c>
      <c r="J106" s="5" t="str">
        <f>IFERROR(__xludf.DUMMYFUNCTION("""COMPUTED_VALUE"""),"96%")</f>
        <v>96%</v>
      </c>
      <c r="K106" s="5" t="str">
        <f>IFERROR(__xludf.DUMMYFUNCTION("""COMPUTED_VALUE"""),"Low")</f>
        <v>Low</v>
      </c>
      <c r="L106" s="5" t="str">
        <f>IFERROR(__xludf.DUMMYFUNCTION("""COMPUTED_VALUE"""),"9.08%")</f>
        <v>9.08%</v>
      </c>
      <c r="M106" s="5" t="str">
        <f>IFERROR(__xludf.DUMMYFUNCTION("""COMPUTED_VALUE"""),"x10000")</f>
        <v>x10000</v>
      </c>
      <c r="N106" s="5" t="str">
        <f>IFERROR(__xludf.DUMMYFUNCTION("""COMPUTED_VALUE"""),"0.1/100")</f>
        <v>0.1/100</v>
      </c>
      <c r="O106" s="5" t="str">
        <f>IFERROR(__xludf.DUMMYFUNCTION("""COMPUTED_VALUE"""),"No")</f>
        <v>No</v>
      </c>
      <c r="P106" s="5"/>
      <c r="Q106" s="7" t="str">
        <f>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R106" s="5" t="str">
        <f>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S10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6" s="5" t="str">
        <f>IFERROR(__xludf.DUMMYFUNCTION("""COMPUTED_VALUE"""),"Yes")</f>
        <v>Yes</v>
      </c>
      <c r="U106" s="5" t="str">
        <f>IFERROR(__xludf.DUMMYFUNCTION("""COMPUTED_VALUE"""),"Yes")</f>
        <v>Yes</v>
      </c>
      <c r="V106" s="5" t="str">
        <f>IFERROR(__xludf.DUMMYFUNCTION("""COMPUTED_VALUE"""),"Yes")</f>
        <v>Yes</v>
      </c>
      <c r="W106" s="5"/>
      <c r="X106" s="5"/>
      <c r="Y106" s="5"/>
      <c r="Z106" s="5"/>
      <c r="AA106" s="5"/>
      <c r="AB106" s="5" t="str">
        <f>IFERROR(__xludf.DUMMYFUNCTION("""COMPUTED_VALUE"""),"Yes")</f>
        <v>Yes</v>
      </c>
      <c r="AC106" s="5" t="str">
        <f>IFERROR(__xludf.DUMMYFUNCTION("""COMPUTED_VALUE"""),"Yes")</f>
        <v>Yes</v>
      </c>
      <c r="AD106" s="5" t="str">
        <f>IFERROR(__xludf.DUMMYFUNCTION("""COMPUTED_VALUE"""),"Yes")</f>
        <v>Yes</v>
      </c>
      <c r="AE106" s="5" t="str">
        <f>IFERROR(__xludf.DUMMYFUNCTION("""COMPUTED_VALUE"""),"Yes")</f>
        <v>Yes</v>
      </c>
      <c r="AF106" s="5" t="str">
        <f>IFERROR(__xludf.DUMMYFUNCTION("""COMPUTED_VALUE"""),"Yes")</f>
        <v>Yes</v>
      </c>
      <c r="AG106" s="5"/>
      <c r="AH106" s="5" t="str">
        <f>IFERROR(__xludf.DUMMYFUNCTION("""COMPUTED_VALUE"""),"Yes")</f>
        <v>Yes</v>
      </c>
      <c r="AI106" s="5"/>
      <c r="AJ106" s="5"/>
      <c r="AK106" s="5"/>
      <c r="AL106" s="5"/>
      <c r="AM106" s="5"/>
      <c r="AN106" s="5"/>
      <c r="AO106" s="5" t="str">
        <f>IFERROR(__xludf.DUMMYFUNCTION("""COMPUTED_VALUE"""),"Yes")</f>
        <v>Yes</v>
      </c>
      <c r="AP106" s="5"/>
      <c r="AQ106" s="5"/>
      <c r="AR106" s="5"/>
      <c r="AS106" s="5" t="str">
        <f>IFERROR(__xludf.DUMMYFUNCTION("""COMPUTED_VALUE"""),"Yes")</f>
        <v>Yes</v>
      </c>
      <c r="AT106" s="5" t="str">
        <f>IFERROR(__xludf.DUMMYFUNCTION("""COMPUTED_VALUE"""),"Yes")</f>
        <v>Yes</v>
      </c>
      <c r="AU106" s="5"/>
      <c r="AV106" s="5" t="str">
        <f>IFERROR(__xludf.DUMMYFUNCTION("""COMPUTED_VALUE"""),"")</f>
        <v/>
      </c>
    </row>
    <row r="107">
      <c r="A107" s="5" t="str">
        <f>IFERROR(__xludf.DUMMYFUNCTION("""COMPUTED_VALUE"""),"Tiptop")</f>
        <v>Tiptop</v>
      </c>
      <c r="B107" s="5" t="str">
        <f>IFERROR(__xludf.DUMMYFUNCTION("""COMPUTED_VALUE"""),"Gold Line Gems")</f>
        <v>Gold Line Gems</v>
      </c>
      <c r="C107" s="5" t="str">
        <f>IFERROR(__xludf.DUMMYFUNCTION("""COMPUTED_VALUE"""),"UnicornGoldLineGems")</f>
        <v>UnicornGoldLineGems</v>
      </c>
      <c r="D107" s="6">
        <f>IFERROR(__xludf.DUMMYFUNCTION("""COMPUTED_VALUE"""),45980.0)</f>
        <v>45980</v>
      </c>
      <c r="E107" s="5" t="str">
        <f>IFERROR(__xludf.DUMMYFUNCTION("""COMPUTED_VALUE"""),"Slot")</f>
        <v>Slot</v>
      </c>
      <c r="F107" s="5">
        <f>IFERROR(__xludf.DUMMYFUNCTION("""COMPUTED_VALUE"""),12.4)</f>
        <v>12.4</v>
      </c>
      <c r="G107" s="5" t="str">
        <f>IFERROR(__xludf.DUMMYFUNCTION("""COMPUTED_VALUE"""),"5X3")</f>
        <v>5X3</v>
      </c>
      <c r="H107" s="5">
        <f>IFERROR(__xludf.DUMMYFUNCTION("""COMPUTED_VALUE"""),20.0)</f>
        <v>20</v>
      </c>
      <c r="I107" s="5" t="str">
        <f>IFERROR(__xludf.DUMMYFUNCTION("""COMPUTED_VALUE"""),"10+1")</f>
        <v>10+1</v>
      </c>
      <c r="J107" s="5" t="str">
        <f>IFERROR(__xludf.DUMMYFUNCTION("""COMPUTED_VALUE"""),"96%")</f>
        <v>96%</v>
      </c>
      <c r="K107" s="5" t="str">
        <f>IFERROR(__xludf.DUMMYFUNCTION("""COMPUTED_VALUE"""),"Low")</f>
        <v>Low</v>
      </c>
      <c r="L107" s="5" t="str">
        <f>IFERROR(__xludf.DUMMYFUNCTION("""COMPUTED_VALUE"""),"17.39%")</f>
        <v>17.39%</v>
      </c>
      <c r="M107" s="5" t="str">
        <f>IFERROR(__xludf.DUMMYFUNCTION("""COMPUTED_VALUE"""),"x10000")</f>
        <v>x10000</v>
      </c>
      <c r="N107" s="5" t="str">
        <f>IFERROR(__xludf.DUMMYFUNCTION("""COMPUTED_VALUE"""),"0.2/100")</f>
        <v>0.2/100</v>
      </c>
      <c r="O107" s="5" t="str">
        <f>IFERROR(__xludf.DUMMYFUNCTION("""COMPUTED_VALUE"""),"No")</f>
        <v>No</v>
      </c>
      <c r="P107" s="5"/>
      <c r="Q107" s="7" t="str">
        <f>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R107" s="5" t="str">
        <f>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S10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7" s="5" t="str">
        <f>IFERROR(__xludf.DUMMYFUNCTION("""COMPUTED_VALUE"""),"Yes")</f>
        <v>Yes</v>
      </c>
      <c r="U107" s="5" t="str">
        <f>IFERROR(__xludf.DUMMYFUNCTION("""COMPUTED_VALUE"""),"Yes")</f>
        <v>Yes</v>
      </c>
      <c r="V107" s="5" t="str">
        <f>IFERROR(__xludf.DUMMYFUNCTION("""COMPUTED_VALUE"""),"Yes")</f>
        <v>Yes</v>
      </c>
      <c r="W107" s="5"/>
      <c r="X107" s="5"/>
      <c r="Y107" s="5"/>
      <c r="Z107" s="5"/>
      <c r="AA107" s="5"/>
      <c r="AB107" s="5" t="str">
        <f>IFERROR(__xludf.DUMMYFUNCTION("""COMPUTED_VALUE"""),"Yes")</f>
        <v>Yes</v>
      </c>
      <c r="AC107" s="5" t="str">
        <f>IFERROR(__xludf.DUMMYFUNCTION("""COMPUTED_VALUE"""),"Yes")</f>
        <v>Yes</v>
      </c>
      <c r="AD107" s="5" t="str">
        <f>IFERROR(__xludf.DUMMYFUNCTION("""COMPUTED_VALUE"""),"Yes")</f>
        <v>Yes</v>
      </c>
      <c r="AE107" s="5" t="str">
        <f>IFERROR(__xludf.DUMMYFUNCTION("""COMPUTED_VALUE"""),"Yes")</f>
        <v>Yes</v>
      </c>
      <c r="AF107" s="5" t="str">
        <f>IFERROR(__xludf.DUMMYFUNCTION("""COMPUTED_VALUE"""),"Yes")</f>
        <v>Yes</v>
      </c>
      <c r="AG107" s="5"/>
      <c r="AH107" s="5" t="str">
        <f>IFERROR(__xludf.DUMMYFUNCTION("""COMPUTED_VALUE"""),"Yes")</f>
        <v>Yes</v>
      </c>
      <c r="AI107" s="5"/>
      <c r="AJ107" s="5"/>
      <c r="AK107" s="5"/>
      <c r="AL107" s="5"/>
      <c r="AM107" s="5"/>
      <c r="AN107" s="5"/>
      <c r="AO107" s="5" t="str">
        <f>IFERROR(__xludf.DUMMYFUNCTION("""COMPUTED_VALUE"""),"Yes")</f>
        <v>Yes</v>
      </c>
      <c r="AP107" s="5"/>
      <c r="AQ107" s="5"/>
      <c r="AR107" s="5"/>
      <c r="AS107" s="5" t="str">
        <f>IFERROR(__xludf.DUMMYFUNCTION("""COMPUTED_VALUE"""),"Yes")</f>
        <v>Yes</v>
      </c>
      <c r="AT107" s="5" t="str">
        <f>IFERROR(__xludf.DUMMYFUNCTION("""COMPUTED_VALUE"""),"Yes")</f>
        <v>Yes</v>
      </c>
      <c r="AU107" s="5"/>
      <c r="AV107" s="5" t="str">
        <f>IFERROR(__xludf.DUMMYFUNCTION("""COMPUTED_VALUE"""),"")</f>
        <v/>
      </c>
    </row>
    <row r="108">
      <c r="A108" s="5" t="str">
        <f>IFERROR(__xludf.DUMMYFUNCTION("""COMPUTED_VALUE"""),"Tiptop")</f>
        <v>Tiptop</v>
      </c>
      <c r="B108" s="5" t="str">
        <f>IFERROR(__xludf.DUMMYFUNCTION("""COMPUTED_VALUE"""),"Christmas Presents 2025")</f>
        <v>Christmas Presents 2025</v>
      </c>
      <c r="C108" s="5" t="str">
        <f>IFERROR(__xludf.DUMMYFUNCTION("""COMPUTED_VALUE"""),"UnicornChristmasPresents2025")</f>
        <v>UnicornChristmasPresents2025</v>
      </c>
      <c r="D108" s="6">
        <f>IFERROR(__xludf.DUMMYFUNCTION("""COMPUTED_VALUE"""),45987.0)</f>
        <v>45987</v>
      </c>
      <c r="E108" s="5" t="str">
        <f>IFERROR(__xludf.DUMMYFUNCTION("""COMPUTED_VALUE"""),"Slot")</f>
        <v>Slot</v>
      </c>
      <c r="F108" s="5">
        <f>IFERROR(__xludf.DUMMYFUNCTION("""COMPUTED_VALUE"""),16.7)</f>
        <v>16.7</v>
      </c>
      <c r="G108" s="5" t="str">
        <f>IFERROR(__xludf.DUMMYFUNCTION("""COMPUTED_VALUE"""),"5X3")</f>
        <v>5X3</v>
      </c>
      <c r="H108" s="5">
        <f>IFERROR(__xludf.DUMMYFUNCTION("""COMPUTED_VALUE"""),5.0)</f>
        <v>5</v>
      </c>
      <c r="I108" s="5">
        <f>IFERROR(__xludf.DUMMYFUNCTION("""COMPUTED_VALUE"""),5.0)</f>
        <v>5</v>
      </c>
      <c r="J108" s="5" t="str">
        <f>IFERROR(__xludf.DUMMYFUNCTION("""COMPUTED_VALUE"""),"96%")</f>
        <v>96%</v>
      </c>
      <c r="K108" s="5" t="str">
        <f>IFERROR(__xludf.DUMMYFUNCTION("""COMPUTED_VALUE"""),"Low")</f>
        <v>Low</v>
      </c>
      <c r="L108" s="5" t="str">
        <f>IFERROR(__xludf.DUMMYFUNCTION("""COMPUTED_VALUE"""),"13.64%")</f>
        <v>13.64%</v>
      </c>
      <c r="M108" s="5" t="str">
        <f>IFERROR(__xludf.DUMMYFUNCTION("""COMPUTED_VALUE"""),"x10000")</f>
        <v>x10000</v>
      </c>
      <c r="N108" s="5" t="str">
        <f>IFERROR(__xludf.DUMMYFUNCTION("""COMPUTED_VALUE"""),"0.05/100")</f>
        <v>0.05/100</v>
      </c>
      <c r="O108" s="5" t="str">
        <f>IFERROR(__xludf.DUMMYFUNCTION("""COMPUTED_VALUE"""),"No")</f>
        <v>No</v>
      </c>
      <c r="P108" s="5"/>
      <c r="Q108" s="7" t="str">
        <f>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R108" s="5" t="str">
        <f>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S10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8" s="5" t="str">
        <f>IFERROR(__xludf.DUMMYFUNCTION("""COMPUTED_VALUE"""),"Yes")</f>
        <v>Yes</v>
      </c>
      <c r="U108" s="5" t="str">
        <f>IFERROR(__xludf.DUMMYFUNCTION("""COMPUTED_VALUE"""),"Yes")</f>
        <v>Yes</v>
      </c>
      <c r="V108" s="5" t="str">
        <f>IFERROR(__xludf.DUMMYFUNCTION("""COMPUTED_VALUE"""),"Yes")</f>
        <v>Yes</v>
      </c>
      <c r="W108" s="5" t="str">
        <f>IFERROR(__xludf.DUMMYFUNCTION("""COMPUTED_VALUE"""),"No")</f>
        <v>No</v>
      </c>
      <c r="X108" s="5" t="str">
        <f>IFERROR(__xludf.DUMMYFUNCTION("""COMPUTED_VALUE"""),"No")</f>
        <v>No</v>
      </c>
      <c r="Y108" s="5" t="str">
        <f>IFERROR(__xludf.DUMMYFUNCTION("""COMPUTED_VALUE"""),"No")</f>
        <v>No</v>
      </c>
      <c r="Z108" s="5" t="str">
        <f>IFERROR(__xludf.DUMMYFUNCTION("""COMPUTED_VALUE"""),"No")</f>
        <v>No</v>
      </c>
      <c r="AA108" s="5" t="str">
        <f>IFERROR(__xludf.DUMMYFUNCTION("""COMPUTED_VALUE"""),"No")</f>
        <v>No</v>
      </c>
      <c r="AB108" s="5" t="str">
        <f>IFERROR(__xludf.DUMMYFUNCTION("""COMPUTED_VALUE"""),"Yes")</f>
        <v>Yes</v>
      </c>
      <c r="AC108" s="5" t="str">
        <f>IFERROR(__xludf.DUMMYFUNCTION("""COMPUTED_VALUE"""),"Yes")</f>
        <v>Yes</v>
      </c>
      <c r="AD108" s="5" t="str">
        <f>IFERROR(__xludf.DUMMYFUNCTION("""COMPUTED_VALUE"""),"Yes")</f>
        <v>Yes</v>
      </c>
      <c r="AE108" s="5" t="str">
        <f>IFERROR(__xludf.DUMMYFUNCTION("""COMPUTED_VALUE"""),"Yes")</f>
        <v>Yes</v>
      </c>
      <c r="AF108" s="5" t="str">
        <f>IFERROR(__xludf.DUMMYFUNCTION("""COMPUTED_VALUE"""),"Yes")</f>
        <v>Yes</v>
      </c>
      <c r="AG108" s="5" t="str">
        <f>IFERROR(__xludf.DUMMYFUNCTION("""COMPUTED_VALUE"""),"No")</f>
        <v>No</v>
      </c>
      <c r="AH108" s="5" t="str">
        <f>IFERROR(__xludf.DUMMYFUNCTION("""COMPUTED_VALUE"""),"Yes")</f>
        <v>Yes</v>
      </c>
      <c r="AI108" s="5" t="str">
        <f>IFERROR(__xludf.DUMMYFUNCTION("""COMPUTED_VALUE"""),"No")</f>
        <v>No</v>
      </c>
      <c r="AJ108" s="5" t="str">
        <f>IFERROR(__xludf.DUMMYFUNCTION("""COMPUTED_VALUE"""),"No")</f>
        <v>No</v>
      </c>
      <c r="AK108" s="5" t="str">
        <f>IFERROR(__xludf.DUMMYFUNCTION("""COMPUTED_VALUE"""),"No")</f>
        <v>No</v>
      </c>
      <c r="AL108" s="5" t="str">
        <f>IFERROR(__xludf.DUMMYFUNCTION("""COMPUTED_VALUE"""),"No")</f>
        <v>No</v>
      </c>
      <c r="AM108" s="5" t="str">
        <f>IFERROR(__xludf.DUMMYFUNCTION("""COMPUTED_VALUE"""),"No")</f>
        <v>No</v>
      </c>
      <c r="AN108" s="5" t="str">
        <f>IFERROR(__xludf.DUMMYFUNCTION("""COMPUTED_VALUE"""),"No")</f>
        <v>No</v>
      </c>
      <c r="AO108" s="5" t="str">
        <f>IFERROR(__xludf.DUMMYFUNCTION("""COMPUTED_VALUE"""),"Yes")</f>
        <v>Yes</v>
      </c>
      <c r="AP108" s="5" t="str">
        <f>IFERROR(__xludf.DUMMYFUNCTION("""COMPUTED_VALUE"""),"No")</f>
        <v>No</v>
      </c>
      <c r="AQ108" s="5" t="str">
        <f>IFERROR(__xludf.DUMMYFUNCTION("""COMPUTED_VALUE"""),"No")</f>
        <v>No</v>
      </c>
      <c r="AR108" s="5" t="str">
        <f>IFERROR(__xludf.DUMMYFUNCTION("""COMPUTED_VALUE"""),"No")</f>
        <v>No</v>
      </c>
      <c r="AS108" s="5" t="str">
        <f>IFERROR(__xludf.DUMMYFUNCTION("""COMPUTED_VALUE"""),"Yes")</f>
        <v>Yes</v>
      </c>
      <c r="AT108" s="5" t="str">
        <f>IFERROR(__xludf.DUMMYFUNCTION("""COMPUTED_VALUE"""),"Yes")</f>
        <v>Yes</v>
      </c>
      <c r="AU108" s="5"/>
      <c r="AV108" s="5" t="str">
        <f>IFERROR(__xludf.DUMMYFUNCTION("""COMPUTED_VALUE"""),"")</f>
        <v/>
      </c>
    </row>
    <row r="109">
      <c r="A109" s="5" t="str">
        <f>IFERROR(__xludf.DUMMYFUNCTION("""COMPUTED_VALUE"""),"Tiptop")</f>
        <v>Tiptop</v>
      </c>
      <c r="B109" s="5" t="str">
        <f>IFERROR(__xludf.DUMMYFUNCTION("""COMPUTED_VALUE"""),"Money Standard Platinum")</f>
        <v>Money Standard Platinum</v>
      </c>
      <c r="C109" s="5" t="str">
        <f>IFERROR(__xludf.DUMMYFUNCTION("""COMPUTED_VALUE"""),"UnicornMoneyStandardPlatinum")</f>
        <v>UnicornMoneyStandardPlatinum</v>
      </c>
      <c r="D109" s="6">
        <f>IFERROR(__xludf.DUMMYFUNCTION("""COMPUTED_VALUE"""),45994.0)</f>
        <v>45994</v>
      </c>
      <c r="E109" s="5" t="str">
        <f>IFERROR(__xludf.DUMMYFUNCTION("""COMPUTED_VALUE"""),"Slot")</f>
        <v>Slot</v>
      </c>
      <c r="F109" s="5">
        <f>IFERROR(__xludf.DUMMYFUNCTION("""COMPUTED_VALUE"""),10.1)</f>
        <v>10.1</v>
      </c>
      <c r="G109" s="5" t="str">
        <f>IFERROR(__xludf.DUMMYFUNCTION("""COMPUTED_VALUE"""),"5X4")</f>
        <v>5X4</v>
      </c>
      <c r="H109" s="5">
        <f>IFERROR(__xludf.DUMMYFUNCTION("""COMPUTED_VALUE"""),20.0)</f>
        <v>20</v>
      </c>
      <c r="I109" s="5">
        <f>IFERROR(__xludf.DUMMYFUNCTION("""COMPUTED_VALUE"""),20.0)</f>
        <v>20</v>
      </c>
      <c r="J109" s="5" t="str">
        <f>IFERROR(__xludf.DUMMYFUNCTION("""COMPUTED_VALUE"""),"96%")</f>
        <v>96%</v>
      </c>
      <c r="K109" s="5" t="str">
        <f>IFERROR(__xludf.DUMMYFUNCTION("""COMPUTED_VALUE"""),"Low")</f>
        <v>Low</v>
      </c>
      <c r="L109" s="5" t="str">
        <f>IFERROR(__xludf.DUMMYFUNCTION("""COMPUTED_VALUE"""),"11.7%")</f>
        <v>11.7%</v>
      </c>
      <c r="M109" s="5" t="str">
        <f>IFERROR(__xludf.DUMMYFUNCTION("""COMPUTED_VALUE"""),"x5000")</f>
        <v>x5000</v>
      </c>
      <c r="N109" s="5" t="str">
        <f>IFERROR(__xludf.DUMMYFUNCTION("""COMPUTED_VALUE"""),"0.2/100")</f>
        <v>0.2/100</v>
      </c>
      <c r="O109" s="5" t="str">
        <f>IFERROR(__xludf.DUMMYFUNCTION("""COMPUTED_VALUE"""),"No")</f>
        <v>No</v>
      </c>
      <c r="P109" s="5"/>
      <c r="Q109" s="7" t="str">
        <f>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R109" s="5" t="str">
        <f>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S109"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09" s="5" t="str">
        <f>IFERROR(__xludf.DUMMYFUNCTION("""COMPUTED_VALUE"""),"Yes")</f>
        <v>Yes</v>
      </c>
      <c r="U109" s="5" t="str">
        <f>IFERROR(__xludf.DUMMYFUNCTION("""COMPUTED_VALUE"""),"Yes")</f>
        <v>Yes</v>
      </c>
      <c r="V109" s="5" t="str">
        <f>IFERROR(__xludf.DUMMYFUNCTION("""COMPUTED_VALUE"""),"Yes")</f>
        <v>Yes</v>
      </c>
      <c r="W109" s="5"/>
      <c r="X109" s="5" t="str">
        <f>IFERROR(__xludf.DUMMYFUNCTION("""COMPUTED_VALUE"""),"Yes")</f>
        <v>Yes</v>
      </c>
      <c r="Y109" s="5"/>
      <c r="Z109" s="5"/>
      <c r="AA109" s="5"/>
      <c r="AB109" s="5" t="str">
        <f>IFERROR(__xludf.DUMMYFUNCTION("""COMPUTED_VALUE"""),"Yes")</f>
        <v>Yes</v>
      </c>
      <c r="AC109" s="5" t="str">
        <f>IFERROR(__xludf.DUMMYFUNCTION("""COMPUTED_VALUE"""),"Yes")</f>
        <v>Yes</v>
      </c>
      <c r="AD109" s="5" t="str">
        <f>IFERROR(__xludf.DUMMYFUNCTION("""COMPUTED_VALUE"""),"Yes")</f>
        <v>Yes</v>
      </c>
      <c r="AE109" s="5" t="str">
        <f>IFERROR(__xludf.DUMMYFUNCTION("""COMPUTED_VALUE"""),"Yes")</f>
        <v>Yes</v>
      </c>
      <c r="AF109" s="5" t="str">
        <f>IFERROR(__xludf.DUMMYFUNCTION("""COMPUTED_VALUE"""),"Yes")</f>
        <v>Yes</v>
      </c>
      <c r="AG109" s="5"/>
      <c r="AH109" s="5" t="str">
        <f>IFERROR(__xludf.DUMMYFUNCTION("""COMPUTED_VALUE"""),"Yes")</f>
        <v>Yes</v>
      </c>
      <c r="AI109" s="5"/>
      <c r="AJ109" s="5"/>
      <c r="AK109" s="5"/>
      <c r="AL109" s="5"/>
      <c r="AM109" s="5"/>
      <c r="AN109" s="5"/>
      <c r="AO109" s="5" t="str">
        <f>IFERROR(__xludf.DUMMYFUNCTION("""COMPUTED_VALUE"""),"Yes")</f>
        <v>Yes</v>
      </c>
      <c r="AP109" s="5"/>
      <c r="AQ109" s="5"/>
      <c r="AR109" s="5"/>
      <c r="AS109" s="5" t="str">
        <f>IFERROR(__xludf.DUMMYFUNCTION("""COMPUTED_VALUE"""),"Yes")</f>
        <v>Yes</v>
      </c>
      <c r="AT109" s="5" t="str">
        <f>IFERROR(__xludf.DUMMYFUNCTION("""COMPUTED_VALUE"""),"Yes")</f>
        <v>Yes</v>
      </c>
      <c r="AU109" s="5"/>
      <c r="AV109" s="5" t="str">
        <f>IFERROR(__xludf.DUMMYFUNCTION("""COMPUTED_VALUE"""),"")</f>
        <v/>
      </c>
    </row>
    <row r="110">
      <c r="A110" s="5" t="str">
        <f>IFERROR(__xludf.DUMMYFUNCTION("""COMPUTED_VALUE"""),"Tiptop")</f>
        <v>Tiptop</v>
      </c>
      <c r="B110" s="5" t="str">
        <f>IFERROR(__xludf.DUMMYFUNCTION("""COMPUTED_VALUE"""),"Fruit Multipliers")</f>
        <v>Fruit Multipliers</v>
      </c>
      <c r="C110" s="5" t="str">
        <f>IFERROR(__xludf.DUMMYFUNCTION("""COMPUTED_VALUE"""),"UnicornFruitMultipliers")</f>
        <v>UnicornFruitMultipliers</v>
      </c>
      <c r="D110" s="6">
        <f>IFERROR(__xludf.DUMMYFUNCTION("""COMPUTED_VALUE"""),46001.0)</f>
        <v>46001</v>
      </c>
      <c r="E110" s="5" t="str">
        <f>IFERROR(__xludf.DUMMYFUNCTION("""COMPUTED_VALUE"""),"Slot")</f>
        <v>Slot</v>
      </c>
      <c r="F110" s="5">
        <f>IFERROR(__xludf.DUMMYFUNCTION("""COMPUTED_VALUE"""),11.3)</f>
        <v>11.3</v>
      </c>
      <c r="G110" s="5" t="str">
        <f>IFERROR(__xludf.DUMMYFUNCTION("""COMPUTED_VALUE"""),"5X3")</f>
        <v>5X3</v>
      </c>
      <c r="H110" s="5">
        <f>IFERROR(__xludf.DUMMYFUNCTION("""COMPUTED_VALUE"""),10.0)</f>
        <v>10</v>
      </c>
      <c r="I110" s="5">
        <f>IFERROR(__xludf.DUMMYFUNCTION("""COMPUTED_VALUE"""),10.0)</f>
        <v>10</v>
      </c>
      <c r="J110" s="5" t="str">
        <f>IFERROR(__xludf.DUMMYFUNCTION("""COMPUTED_VALUE"""),"96%")</f>
        <v>96%</v>
      </c>
      <c r="K110" s="5" t="str">
        <f>IFERROR(__xludf.DUMMYFUNCTION("""COMPUTED_VALUE"""),"Low")</f>
        <v>Low</v>
      </c>
      <c r="L110" s="5" t="str">
        <f>IFERROR(__xludf.DUMMYFUNCTION("""COMPUTED_VALUE"""),"22.81%")</f>
        <v>22.81%</v>
      </c>
      <c r="M110" s="5" t="str">
        <f>IFERROR(__xludf.DUMMYFUNCTION("""COMPUTED_VALUE"""),"x10000")</f>
        <v>x10000</v>
      </c>
      <c r="N110" s="5" t="str">
        <f>IFERROR(__xludf.DUMMYFUNCTION("""COMPUTED_VALUE"""),"0.1/100")</f>
        <v>0.1/100</v>
      </c>
      <c r="O110" s="5" t="str">
        <f>IFERROR(__xludf.DUMMYFUNCTION("""COMPUTED_VALUE"""),"No")</f>
        <v>No</v>
      </c>
      <c r="P110" s="5"/>
      <c r="Q110" s="7" t="str">
        <f>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R110" s="5" t="str">
        <f>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S110"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0" s="5" t="str">
        <f>IFERROR(__xludf.DUMMYFUNCTION("""COMPUTED_VALUE"""),"Yes")</f>
        <v>Yes</v>
      </c>
      <c r="U110" s="5" t="str">
        <f>IFERROR(__xludf.DUMMYFUNCTION("""COMPUTED_VALUE"""),"Yes")</f>
        <v>Yes</v>
      </c>
      <c r="V110" s="5" t="str">
        <f>IFERROR(__xludf.DUMMYFUNCTION("""COMPUTED_VALUE"""),"Yes")</f>
        <v>Yes</v>
      </c>
      <c r="W110" s="5"/>
      <c r="X110" s="5" t="str">
        <f>IFERROR(__xludf.DUMMYFUNCTION("""COMPUTED_VALUE"""),"Yes")</f>
        <v>Yes</v>
      </c>
      <c r="Y110" s="5"/>
      <c r="Z110" s="5"/>
      <c r="AA110" s="5"/>
      <c r="AB110" s="5" t="str">
        <f>IFERROR(__xludf.DUMMYFUNCTION("""COMPUTED_VALUE"""),"Yes")</f>
        <v>Yes</v>
      </c>
      <c r="AC110" s="5" t="str">
        <f>IFERROR(__xludf.DUMMYFUNCTION("""COMPUTED_VALUE"""),"Yes")</f>
        <v>Yes</v>
      </c>
      <c r="AD110" s="5" t="str">
        <f>IFERROR(__xludf.DUMMYFUNCTION("""COMPUTED_VALUE"""),"Yes")</f>
        <v>Yes</v>
      </c>
      <c r="AE110" s="5" t="str">
        <f>IFERROR(__xludf.DUMMYFUNCTION("""COMPUTED_VALUE"""),"Yes")</f>
        <v>Yes</v>
      </c>
      <c r="AF110" s="5" t="str">
        <f>IFERROR(__xludf.DUMMYFUNCTION("""COMPUTED_VALUE"""),"Yes")</f>
        <v>Yes</v>
      </c>
      <c r="AG110" s="5"/>
      <c r="AH110" s="5" t="str">
        <f>IFERROR(__xludf.DUMMYFUNCTION("""COMPUTED_VALUE"""),"Yes")</f>
        <v>Yes</v>
      </c>
      <c r="AI110" s="5"/>
      <c r="AJ110" s="5"/>
      <c r="AK110" s="5"/>
      <c r="AL110" s="5"/>
      <c r="AM110" s="5"/>
      <c r="AN110" s="5"/>
      <c r="AO110" s="5" t="str">
        <f>IFERROR(__xludf.DUMMYFUNCTION("""COMPUTED_VALUE"""),"Yes")</f>
        <v>Yes</v>
      </c>
      <c r="AP110" s="5"/>
      <c r="AQ110" s="5"/>
      <c r="AR110" s="5"/>
      <c r="AS110" s="5" t="str">
        <f>IFERROR(__xludf.DUMMYFUNCTION("""COMPUTED_VALUE"""),"Yes")</f>
        <v>Yes</v>
      </c>
      <c r="AT110" s="5" t="str">
        <f>IFERROR(__xludf.DUMMYFUNCTION("""COMPUTED_VALUE"""),"Yes")</f>
        <v>Yes</v>
      </c>
      <c r="AU110" s="5"/>
      <c r="AV110" s="5" t="str">
        <f>IFERROR(__xludf.DUMMYFUNCTION("""COMPUTED_VALUE"""),"")</f>
        <v/>
      </c>
    </row>
    <row r="111">
      <c r="A111" s="5" t="str">
        <f>IFERROR(__xludf.DUMMYFUNCTION("""COMPUTED_VALUE"""),"Tiptop")</f>
        <v>Tiptop</v>
      </c>
      <c r="B111" s="5" t="str">
        <f>IFERROR(__xludf.DUMMYFUNCTION("""COMPUTED_VALUE"""),"Sevens Pay")</f>
        <v>Sevens Pay</v>
      </c>
      <c r="C111" s="5" t="str">
        <f>IFERROR(__xludf.DUMMYFUNCTION("""COMPUTED_VALUE"""),"UnicornSevensPay")</f>
        <v>UnicornSevensPay</v>
      </c>
      <c r="D111" s="6">
        <f>IFERROR(__xludf.DUMMYFUNCTION("""COMPUTED_VALUE"""),46008.0)</f>
        <v>46008</v>
      </c>
      <c r="E111" s="5" t="str">
        <f>IFERROR(__xludf.DUMMYFUNCTION("""COMPUTED_VALUE"""),"Slot")</f>
        <v>Slot</v>
      </c>
      <c r="F111" s="5">
        <f>IFERROR(__xludf.DUMMYFUNCTION("""COMPUTED_VALUE"""),9.8)</f>
        <v>9.8</v>
      </c>
      <c r="G111" s="5" t="str">
        <f>IFERROR(__xludf.DUMMYFUNCTION("""COMPUTED_VALUE"""),"5X3")</f>
        <v>5X3</v>
      </c>
      <c r="H111" s="5">
        <f>IFERROR(__xludf.DUMMYFUNCTION("""COMPUTED_VALUE"""),10.0)</f>
        <v>10</v>
      </c>
      <c r="I111" s="5">
        <f>IFERROR(__xludf.DUMMYFUNCTION("""COMPUTED_VALUE"""),10.0)</f>
        <v>10</v>
      </c>
      <c r="J111" s="5" t="str">
        <f>IFERROR(__xludf.DUMMYFUNCTION("""COMPUTED_VALUE"""),"96%")</f>
        <v>96%</v>
      </c>
      <c r="K111" s="5" t="str">
        <f>IFERROR(__xludf.DUMMYFUNCTION("""COMPUTED_VALUE"""),"Low")</f>
        <v>Low</v>
      </c>
      <c r="L111" s="5" t="str">
        <f>IFERROR(__xludf.DUMMYFUNCTION("""COMPUTED_VALUE"""),"9.85%")</f>
        <v>9.85%</v>
      </c>
      <c r="M111" s="5" t="str">
        <f>IFERROR(__xludf.DUMMYFUNCTION("""COMPUTED_VALUE"""),"x1000")</f>
        <v>x1000</v>
      </c>
      <c r="N111" s="5" t="str">
        <f>IFERROR(__xludf.DUMMYFUNCTION("""COMPUTED_VALUE"""),"0.1/100")</f>
        <v>0.1/100</v>
      </c>
      <c r="O111" s="5" t="str">
        <f>IFERROR(__xludf.DUMMYFUNCTION("""COMPUTED_VALUE"""),"No")</f>
        <v>No</v>
      </c>
      <c r="P111" s="5"/>
      <c r="Q111" s="7" t="str">
        <f>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R111" s="5" t="str">
        <f>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S111"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1" s="5" t="str">
        <f>IFERROR(__xludf.DUMMYFUNCTION("""COMPUTED_VALUE"""),"Yes")</f>
        <v>Yes</v>
      </c>
      <c r="U111" s="5" t="str">
        <f>IFERROR(__xludf.DUMMYFUNCTION("""COMPUTED_VALUE"""),"Yes")</f>
        <v>Yes</v>
      </c>
      <c r="V111" s="5" t="str">
        <f>IFERROR(__xludf.DUMMYFUNCTION("""COMPUTED_VALUE"""),"Yes")</f>
        <v>Yes</v>
      </c>
      <c r="W111" s="5"/>
      <c r="X111" s="5" t="str">
        <f>IFERROR(__xludf.DUMMYFUNCTION("""COMPUTED_VALUE"""),"Yes")</f>
        <v>Yes</v>
      </c>
      <c r="Y111" s="5"/>
      <c r="Z111" s="5"/>
      <c r="AA111" s="5"/>
      <c r="AB111" s="5" t="str">
        <f>IFERROR(__xludf.DUMMYFUNCTION("""COMPUTED_VALUE"""),"Yes")</f>
        <v>Yes</v>
      </c>
      <c r="AC111" s="5" t="str">
        <f>IFERROR(__xludf.DUMMYFUNCTION("""COMPUTED_VALUE"""),"Yes")</f>
        <v>Yes</v>
      </c>
      <c r="AD111" s="5" t="str">
        <f>IFERROR(__xludf.DUMMYFUNCTION("""COMPUTED_VALUE"""),"Yes")</f>
        <v>Yes</v>
      </c>
      <c r="AE111" s="5" t="str">
        <f>IFERROR(__xludf.DUMMYFUNCTION("""COMPUTED_VALUE"""),"Yes")</f>
        <v>Yes</v>
      </c>
      <c r="AF111" s="5" t="str">
        <f>IFERROR(__xludf.DUMMYFUNCTION("""COMPUTED_VALUE"""),"Yes")</f>
        <v>Yes</v>
      </c>
      <c r="AG111" s="5"/>
      <c r="AH111" s="5" t="str">
        <f>IFERROR(__xludf.DUMMYFUNCTION("""COMPUTED_VALUE"""),"Yes")</f>
        <v>Yes</v>
      </c>
      <c r="AI111" s="5"/>
      <c r="AJ111" s="5"/>
      <c r="AK111" s="5"/>
      <c r="AL111" s="5"/>
      <c r="AM111" s="5"/>
      <c r="AN111" s="5"/>
      <c r="AO111" s="5" t="str">
        <f>IFERROR(__xludf.DUMMYFUNCTION("""COMPUTED_VALUE"""),"Yes")</f>
        <v>Yes</v>
      </c>
      <c r="AP111" s="5"/>
      <c r="AQ111" s="5"/>
      <c r="AR111" s="5"/>
      <c r="AS111" s="5" t="str">
        <f>IFERROR(__xludf.DUMMYFUNCTION("""COMPUTED_VALUE"""),"Yes")</f>
        <v>Yes</v>
      </c>
      <c r="AT111" s="5" t="str">
        <f>IFERROR(__xludf.DUMMYFUNCTION("""COMPUTED_VALUE"""),"Yes")</f>
        <v>Yes</v>
      </c>
      <c r="AU111" s="5"/>
      <c r="AV111" s="5" t="str">
        <f>IFERROR(__xludf.DUMMYFUNCTION("""COMPUTED_VALUE"""),"")</f>
        <v/>
      </c>
    </row>
    <row r="112">
      <c r="A112" s="5" t="str">
        <f>IFERROR(__xludf.DUMMYFUNCTION("""COMPUTED_VALUE"""),"Tiptop")</f>
        <v>Tiptop</v>
      </c>
      <c r="B112" s="5" t="str">
        <f>IFERROR(__xludf.DUMMYFUNCTION("""COMPUTED_VALUE"""),"Dynamite Boom Dice")</f>
        <v>Dynamite Boom Dice</v>
      </c>
      <c r="C112" s="5" t="str">
        <f>IFERROR(__xludf.DUMMYFUNCTION("""COMPUTED_VALUE"""),"UnicornDynamiteBoomDice")</f>
        <v>UnicornDynamiteBoomDice</v>
      </c>
      <c r="D112" s="6">
        <f>IFERROR(__xludf.DUMMYFUNCTION("""COMPUTED_VALUE"""),46050.0)</f>
        <v>46050</v>
      </c>
      <c r="E112" s="5" t="str">
        <f>IFERROR(__xludf.DUMMYFUNCTION("""COMPUTED_VALUE"""),"Slot")</f>
        <v>Slot</v>
      </c>
      <c r="F112" s="5">
        <f>IFERROR(__xludf.DUMMYFUNCTION("""COMPUTED_VALUE"""),14.2)</f>
        <v>14.2</v>
      </c>
      <c r="G112" s="5" t="str">
        <f>IFERROR(__xludf.DUMMYFUNCTION("""COMPUTED_VALUE"""),"5X3")</f>
        <v>5X3</v>
      </c>
      <c r="H112" s="5">
        <f>IFERROR(__xludf.DUMMYFUNCTION("""COMPUTED_VALUE"""),5.0)</f>
        <v>5</v>
      </c>
      <c r="I112" s="5">
        <f>IFERROR(__xludf.DUMMYFUNCTION("""COMPUTED_VALUE"""),5.0)</f>
        <v>5</v>
      </c>
      <c r="J112" s="5" t="str">
        <f>IFERROR(__xludf.DUMMYFUNCTION("""COMPUTED_VALUE"""),"96%")</f>
        <v>96%</v>
      </c>
      <c r="K112" s="5" t="str">
        <f>IFERROR(__xludf.DUMMYFUNCTION("""COMPUTED_VALUE"""),"Low")</f>
        <v>Low</v>
      </c>
      <c r="L112" s="5" t="str">
        <f>IFERROR(__xludf.DUMMYFUNCTION("""COMPUTED_VALUE"""),"13.64%")</f>
        <v>13.64%</v>
      </c>
      <c r="M112" s="5" t="str">
        <f>IFERROR(__xludf.DUMMYFUNCTION("""COMPUTED_VALUE"""),"x10000")</f>
        <v>x10000</v>
      </c>
      <c r="N112" s="5" t="str">
        <f>IFERROR(__xludf.DUMMYFUNCTION("""COMPUTED_VALUE"""),"0.05/100")</f>
        <v>0.05/100</v>
      </c>
      <c r="O112" s="5" t="str">
        <f>IFERROR(__xludf.DUMMYFUNCTION("""COMPUTED_VALUE"""),"No")</f>
        <v>No</v>
      </c>
      <c r="P112" s="5"/>
      <c r="Q112" s="7" t="str">
        <f>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R112" s="5" t="str">
        <f>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S112" s="5" t="str">
        <f>IFERROR(__xludf.DUMMYFUNCTION("""COMPUTED_VALUE"""),"English(""eng"")")</f>
        <v>English("eng")</v>
      </c>
      <c r="T112" s="5" t="str">
        <f>IFERROR(__xludf.DUMMYFUNCTION("""COMPUTED_VALUE"""),"Yes")</f>
        <v>Yes</v>
      </c>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t="str">
        <f>IFERROR(__xludf.DUMMYFUNCTION("""COMPUTED_VALUE"""),"")</f>
        <v/>
      </c>
    </row>
    <row r="113">
      <c r="A113" s="5" t="str">
        <f>IFERROR(__xludf.DUMMYFUNCTION("""COMPUTED_VALUE"""),"Tiptop")</f>
        <v>Tiptop</v>
      </c>
      <c r="B113" s="5" t="str">
        <f>IFERROR(__xludf.DUMMYFUNCTION("""COMPUTED_VALUE"""),"Buffalo Dice Jackpot")</f>
        <v>Buffalo Dice Jackpot</v>
      </c>
      <c r="C113" s="5" t="str">
        <f>IFERROR(__xludf.DUMMYFUNCTION("""COMPUTED_VALUE"""),"UnicornBuffaloDiceJackpot")</f>
        <v>UnicornBuffaloDiceJackpot</v>
      </c>
      <c r="D113" s="6">
        <f>IFERROR(__xludf.DUMMYFUNCTION("""COMPUTED_VALUE"""),46071.0)</f>
        <v>46071</v>
      </c>
      <c r="E113" s="5" t="str">
        <f>IFERROR(__xludf.DUMMYFUNCTION("""COMPUTED_VALUE"""),"Slot")</f>
        <v>Slot</v>
      </c>
      <c r="F113" s="5">
        <f>IFERROR(__xludf.DUMMYFUNCTION("""COMPUTED_VALUE"""),11.7)</f>
        <v>11.7</v>
      </c>
      <c r="G113" s="5" t="str">
        <f>IFERROR(__xludf.DUMMYFUNCTION("""COMPUTED_VALUE"""),"5X3")</f>
        <v>5X3</v>
      </c>
      <c r="H113" s="5">
        <f>IFERROR(__xludf.DUMMYFUNCTION("""COMPUTED_VALUE"""),10.0)</f>
        <v>10</v>
      </c>
      <c r="I113" s="5">
        <f>IFERROR(__xludf.DUMMYFUNCTION("""COMPUTED_VALUE"""),10.0)</f>
        <v>10</v>
      </c>
      <c r="J113" s="5" t="str">
        <f>IFERROR(__xludf.DUMMYFUNCTION("""COMPUTED_VALUE"""),"96%")</f>
        <v>96%</v>
      </c>
      <c r="K113" s="5" t="str">
        <f>IFERROR(__xludf.DUMMYFUNCTION("""COMPUTED_VALUE"""),"Low")</f>
        <v>Low</v>
      </c>
      <c r="L113" s="5" t="str">
        <f>IFERROR(__xludf.DUMMYFUNCTION("""COMPUTED_VALUE"""),"9.08%")</f>
        <v>9.08%</v>
      </c>
      <c r="M113" s="5" t="str">
        <f>IFERROR(__xludf.DUMMYFUNCTION("""COMPUTED_VALUE"""),"x10000")</f>
        <v>x10000</v>
      </c>
      <c r="N113" s="5" t="str">
        <f>IFERROR(__xludf.DUMMYFUNCTION("""COMPUTED_VALUE"""),"0.1/100")</f>
        <v>0.1/100</v>
      </c>
      <c r="O113" s="5" t="str">
        <f>IFERROR(__xludf.DUMMYFUNCTION("""COMPUTED_VALUE"""),"No")</f>
        <v>No</v>
      </c>
      <c r="P113" s="5"/>
      <c r="Q113" s="7" t="str">
        <f>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R113" s="5" t="str">
        <f>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S113" s="5" t="str">
        <f>IFERROR(__xludf.DUMMYFUNCTION("""COMPUTED_VALUE"""),"English(""eng"")")</f>
        <v>English("eng")</v>
      </c>
      <c r="T113" s="5" t="str">
        <f>IFERROR(__xludf.DUMMYFUNCTION("""COMPUTED_VALUE"""),"Yes")</f>
        <v>Yes</v>
      </c>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t="str">
        <f>IFERROR(__xludf.DUMMYFUNCTION("""COMPUTED_VALUE"""),"")</f>
        <v/>
      </c>
    </row>
    <row r="114">
      <c r="A114" s="5" t="str">
        <f>IFERROR(__xludf.DUMMYFUNCTION("""COMPUTED_VALUE"""),"Tiptop")</f>
        <v>Tiptop</v>
      </c>
      <c r="B114" s="5" t="str">
        <f>IFERROR(__xludf.DUMMYFUNCTION("""COMPUTED_VALUE"""),"Triple Stacked Diamond Jackpot")</f>
        <v>Triple Stacked Diamond Jackpot</v>
      </c>
      <c r="C114" s="5" t="str">
        <f>IFERROR(__xludf.DUMMYFUNCTION("""COMPUTED_VALUE"""),"UnicornTripleStackedDiamondJackpot")</f>
        <v>UnicornTripleStackedDiamondJackpot</v>
      </c>
      <c r="D114" s="6">
        <f>IFERROR(__xludf.DUMMYFUNCTION("""COMPUTED_VALUE"""),46036.0)</f>
        <v>46036</v>
      </c>
      <c r="E114" s="5" t="str">
        <f>IFERROR(__xludf.DUMMYFUNCTION("""COMPUTED_VALUE"""),"Slot")</f>
        <v>Slot</v>
      </c>
      <c r="F114" s="5">
        <f>IFERROR(__xludf.DUMMYFUNCTION("""COMPUTED_VALUE"""),11.5)</f>
        <v>11.5</v>
      </c>
      <c r="G114" s="5" t="str">
        <f>IFERROR(__xludf.DUMMYFUNCTION("""COMPUTED_VALUE"""),"5X3")</f>
        <v>5X3</v>
      </c>
      <c r="H114" s="5">
        <f>IFERROR(__xludf.DUMMYFUNCTION("""COMPUTED_VALUE"""),10.0)</f>
        <v>10</v>
      </c>
      <c r="I114" s="5">
        <f>IFERROR(__xludf.DUMMYFUNCTION("""COMPUTED_VALUE"""),10.0)</f>
        <v>10</v>
      </c>
      <c r="J114" s="5" t="str">
        <f>IFERROR(__xludf.DUMMYFUNCTION("""COMPUTED_VALUE"""),"96%")</f>
        <v>96%</v>
      </c>
      <c r="K114" s="5" t="str">
        <f>IFERROR(__xludf.DUMMYFUNCTION("""COMPUTED_VALUE"""),"Low")</f>
        <v>Low</v>
      </c>
      <c r="L114" s="5" t="str">
        <f>IFERROR(__xludf.DUMMYFUNCTION("""COMPUTED_VALUE"""),"9.08%")</f>
        <v>9.08%</v>
      </c>
      <c r="M114" s="5" t="str">
        <f>IFERROR(__xludf.DUMMYFUNCTION("""COMPUTED_VALUE"""),"x10000")</f>
        <v>x10000</v>
      </c>
      <c r="N114" s="5" t="str">
        <f>IFERROR(__xludf.DUMMYFUNCTION("""COMPUTED_VALUE"""),"0.1/100")</f>
        <v>0.1/100</v>
      </c>
      <c r="O114" s="5" t="str">
        <f>IFERROR(__xludf.DUMMYFUNCTION("""COMPUTED_VALUE"""),"No")</f>
        <v>No</v>
      </c>
      <c r="P114" s="5"/>
      <c r="Q114" s="7" t="str">
        <f>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R114" s="5" t="str">
        <f>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S114" s="5" t="str">
        <f>IFERROR(__xludf.DUMMYFUNCTION("""COMPUTED_VALUE"""),"English(""eng"")")</f>
        <v>English("eng")</v>
      </c>
      <c r="T114" s="5" t="str">
        <f>IFERROR(__xludf.DUMMYFUNCTION("""COMPUTED_VALUE"""),"Yes")</f>
        <v>Yes</v>
      </c>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t="str">
        <f>IFERROR(__xludf.DUMMYFUNCTION("""COMPUTED_VALUE"""),"")</f>
        <v/>
      </c>
    </row>
    <row r="115">
      <c r="A115" s="5" t="str">
        <f>IFERROR(__xludf.DUMMYFUNCTION("""COMPUTED_VALUE"""),"Tiptop")</f>
        <v>Tiptop</v>
      </c>
      <c r="B115" s="5" t="str">
        <f>IFERROR(__xludf.DUMMYFUNCTION("""COMPUTED_VALUE"""),"Three Reel Fruit Boost")</f>
        <v>Three Reel Fruit Boost</v>
      </c>
      <c r="C115" s="5" t="str">
        <f>IFERROR(__xludf.DUMMYFUNCTION("""COMPUTED_VALUE"""),"UnicornThreeReelFruitBoost")</f>
        <v>UnicornThreeReelFruitBoost</v>
      </c>
      <c r="D115" s="6">
        <f>IFERROR(__xludf.DUMMYFUNCTION("""COMPUTED_VALUE"""),46176.0)</f>
        <v>46176</v>
      </c>
      <c r="E115" s="5" t="str">
        <f>IFERROR(__xludf.DUMMYFUNCTION("""COMPUTED_VALUE"""),"Slot")</f>
        <v>Slot</v>
      </c>
      <c r="F115" s="5">
        <f>IFERROR(__xludf.DUMMYFUNCTION("""COMPUTED_VALUE"""),11.43)</f>
        <v>11.43</v>
      </c>
      <c r="G115" s="5" t="str">
        <f>IFERROR(__xludf.DUMMYFUNCTION("""COMPUTED_VALUE"""),"3X3")</f>
        <v>3X3</v>
      </c>
      <c r="H115" s="5">
        <f>IFERROR(__xludf.DUMMYFUNCTION("""COMPUTED_VALUE"""),5.0)</f>
        <v>5</v>
      </c>
      <c r="I115" s="5">
        <f>IFERROR(__xludf.DUMMYFUNCTION("""COMPUTED_VALUE"""),5.0)</f>
        <v>5</v>
      </c>
      <c r="J115" s="5" t="str">
        <f>IFERROR(__xludf.DUMMYFUNCTION("""COMPUTED_VALUE"""),"96%")</f>
        <v>96%</v>
      </c>
      <c r="K115" s="5" t="str">
        <f>IFERROR(__xludf.DUMMYFUNCTION("""COMPUTED_VALUE"""),"Low")</f>
        <v>Low</v>
      </c>
      <c r="L115" s="5" t="str">
        <f>IFERROR(__xludf.DUMMYFUNCTION("""COMPUTED_VALUE"""),"17.07%")</f>
        <v>17.07%</v>
      </c>
      <c r="M115" s="5" t="str">
        <f>IFERROR(__xludf.DUMMYFUNCTION("""COMPUTED_VALUE"""),"x500")</f>
        <v>x500</v>
      </c>
      <c r="N115" s="5" t="str">
        <f>IFERROR(__xludf.DUMMYFUNCTION("""COMPUTED_VALUE"""),"0.05/100")</f>
        <v>0.05/100</v>
      </c>
      <c r="O115" s="5" t="str">
        <f>IFERROR(__xludf.DUMMYFUNCTION("""COMPUTED_VALUE"""),"No")</f>
        <v>No</v>
      </c>
      <c r="P115" s="5"/>
      <c r="Q115" s="7" t="str">
        <f>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R115" s="5" t="str">
        <f>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S115" s="5" t="str">
        <f>IFERROR(__xludf.DUMMYFUNCTION("""COMPUTED_VALUE"""),"English(""eng"")")</f>
        <v>English("eng")</v>
      </c>
      <c r="T115" s="5" t="str">
        <f>IFERROR(__xludf.DUMMYFUNCTION("""COMPUTED_VALUE"""),"Yes")</f>
        <v>Yes</v>
      </c>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t="str">
        <f>IFERROR(__xludf.DUMMYFUNCTION("""COMPUTED_VALUE"""),"")</f>
        <v/>
      </c>
    </row>
    <row r="116">
      <c r="A116" s="5" t="str">
        <f>IFERROR(__xludf.DUMMYFUNCTION("""COMPUTED_VALUE"""),"Tiptop")</f>
        <v>Tiptop</v>
      </c>
      <c r="B116" s="5" t="str">
        <f>IFERROR(__xludf.DUMMYFUNCTION("""COMPUTED_VALUE"""),"Super Dice Runner")</f>
        <v>Super Dice Runner</v>
      </c>
      <c r="C116" s="5" t="str">
        <f>IFERROR(__xludf.DUMMYFUNCTION("""COMPUTED_VALUE"""),"UnicornSuperDiceRunner")</f>
        <v>UnicornSuperDiceRunner</v>
      </c>
      <c r="D116" s="6">
        <f>IFERROR(__xludf.DUMMYFUNCTION("""COMPUTED_VALUE"""),46092.0)</f>
        <v>46092</v>
      </c>
      <c r="E116" s="5" t="str">
        <f>IFERROR(__xludf.DUMMYFUNCTION("""COMPUTED_VALUE"""),"Dice Slots")</f>
        <v>Dice Slots</v>
      </c>
      <c r="F116" s="5">
        <f>IFERROR(__xludf.DUMMYFUNCTION("""COMPUTED_VALUE"""),10.9)</f>
        <v>10.9</v>
      </c>
      <c r="G116" s="5" t="str">
        <f>IFERROR(__xludf.DUMMYFUNCTION("""COMPUTED_VALUE"""),"5X3")</f>
        <v>5X3</v>
      </c>
      <c r="H116" s="5">
        <f>IFERROR(__xludf.DUMMYFUNCTION("""COMPUTED_VALUE"""),5.0)</f>
        <v>5</v>
      </c>
      <c r="I116" s="5">
        <f>IFERROR(__xludf.DUMMYFUNCTION("""COMPUTED_VALUE"""),5.0)</f>
        <v>5</v>
      </c>
      <c r="J116" s="5" t="str">
        <f>IFERROR(__xludf.DUMMYFUNCTION("""COMPUTED_VALUE"""),"96%")</f>
        <v>96%</v>
      </c>
      <c r="K116" s="5" t="str">
        <f>IFERROR(__xludf.DUMMYFUNCTION("""COMPUTED_VALUE"""),"Low")</f>
        <v>Low</v>
      </c>
      <c r="L116" s="5" t="str">
        <f>IFERROR(__xludf.DUMMYFUNCTION("""COMPUTED_VALUE"""),"10.9%")</f>
        <v>10.9%</v>
      </c>
      <c r="M116" s="5" t="str">
        <f>IFERROR(__xludf.DUMMYFUNCTION("""COMPUTED_VALUE"""),"x1030")</f>
        <v>x1030</v>
      </c>
      <c r="N116" s="5" t="str">
        <f>IFERROR(__xludf.DUMMYFUNCTION("""COMPUTED_VALUE"""),"0.05/100")</f>
        <v>0.05/100</v>
      </c>
      <c r="O116" s="5" t="str">
        <f>IFERROR(__xludf.DUMMYFUNCTION("""COMPUTED_VALUE"""),"No")</f>
        <v>No</v>
      </c>
      <c r="P116" s="5"/>
      <c r="Q116" s="7" t="str">
        <f>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R116" s="5" t="str">
        <f>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S116" s="5" t="str">
        <f>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T116" s="5" t="str">
        <f>IFERROR(__xludf.DUMMYFUNCTION("""COMPUTED_VALUE"""),"Yes")</f>
        <v>Yes</v>
      </c>
      <c r="U116" s="5" t="str">
        <f>IFERROR(__xludf.DUMMYFUNCTION("""COMPUTED_VALUE"""),"Yes")</f>
        <v>Yes</v>
      </c>
      <c r="V116" s="5" t="str">
        <f>IFERROR(__xludf.DUMMYFUNCTION("""COMPUTED_VALUE"""),"No")</f>
        <v>No</v>
      </c>
      <c r="W116" s="5" t="str">
        <f>IFERROR(__xludf.DUMMYFUNCTION("""COMPUTED_VALUE"""),"Yes")</f>
        <v>Yes</v>
      </c>
      <c r="X116" s="5" t="str">
        <f>IFERROR(__xludf.DUMMYFUNCTION("""COMPUTED_VALUE"""),"Yes")</f>
        <v>Yes</v>
      </c>
      <c r="Y116" s="5" t="str">
        <f>IFERROR(__xludf.DUMMYFUNCTION("""COMPUTED_VALUE"""),"Yes")</f>
        <v>Yes</v>
      </c>
      <c r="Z116" s="5"/>
      <c r="AA116" s="5" t="str">
        <f>IFERROR(__xludf.DUMMYFUNCTION("""COMPUTED_VALUE"""),"Yes")</f>
        <v>Yes</v>
      </c>
      <c r="AB116" s="5" t="str">
        <f>IFERROR(__xludf.DUMMYFUNCTION("""COMPUTED_VALUE"""),"Yes")</f>
        <v>Yes</v>
      </c>
      <c r="AC116" s="5" t="str">
        <f>IFERROR(__xludf.DUMMYFUNCTION("""COMPUTED_VALUE"""),"Yes")</f>
        <v>Yes</v>
      </c>
      <c r="AD116" s="5" t="str">
        <f>IFERROR(__xludf.DUMMYFUNCTION("""COMPUTED_VALUE"""),"Yes")</f>
        <v>Yes</v>
      </c>
      <c r="AE116" s="5" t="str">
        <f>IFERROR(__xludf.DUMMYFUNCTION("""COMPUTED_VALUE"""),"Yes")</f>
        <v>Yes</v>
      </c>
      <c r="AF116" s="5" t="str">
        <f>IFERROR(__xludf.DUMMYFUNCTION("""COMPUTED_VALUE"""),"Yes")</f>
        <v>Yes</v>
      </c>
      <c r="AG116" s="5" t="str">
        <f>IFERROR(__xludf.DUMMYFUNCTION("""COMPUTED_VALUE"""),"Yes")</f>
        <v>Yes</v>
      </c>
      <c r="AH116" s="5" t="str">
        <f>IFERROR(__xludf.DUMMYFUNCTION("""COMPUTED_VALUE"""),"Yes")</f>
        <v>Yes</v>
      </c>
      <c r="AI116" s="5" t="str">
        <f>IFERROR(__xludf.DUMMYFUNCTION("""COMPUTED_VALUE"""),"No")</f>
        <v>No</v>
      </c>
      <c r="AJ116" s="5" t="str">
        <f>IFERROR(__xludf.DUMMYFUNCTION("""COMPUTED_VALUE"""),"No")</f>
        <v>No</v>
      </c>
      <c r="AK116" s="5" t="str">
        <f>IFERROR(__xludf.DUMMYFUNCTION("""COMPUTED_VALUE"""),"No")</f>
        <v>No</v>
      </c>
      <c r="AL116" s="5" t="str">
        <f>IFERROR(__xludf.DUMMYFUNCTION("""COMPUTED_VALUE"""),"No")</f>
        <v>No</v>
      </c>
      <c r="AM116" s="5" t="str">
        <f>IFERROR(__xludf.DUMMYFUNCTION("""COMPUTED_VALUE"""),"No")</f>
        <v>No</v>
      </c>
      <c r="AN116" s="5" t="str">
        <f>IFERROR(__xludf.DUMMYFUNCTION("""COMPUTED_VALUE"""),"No")</f>
        <v>No</v>
      </c>
      <c r="AO116" s="5" t="str">
        <f>IFERROR(__xludf.DUMMYFUNCTION("""COMPUTED_VALUE"""),"Yes")</f>
        <v>Yes</v>
      </c>
      <c r="AP116" s="5" t="str">
        <f>IFERROR(__xludf.DUMMYFUNCTION("""COMPUTED_VALUE"""),"No")</f>
        <v>No</v>
      </c>
      <c r="AQ116" s="5" t="str">
        <f>IFERROR(__xludf.DUMMYFUNCTION("""COMPUTED_VALUE"""),"No")</f>
        <v>No</v>
      </c>
      <c r="AR116" s="5" t="str">
        <f>IFERROR(__xludf.DUMMYFUNCTION("""COMPUTED_VALUE"""),"No")</f>
        <v>No</v>
      </c>
      <c r="AS116" s="5" t="str">
        <f>IFERROR(__xludf.DUMMYFUNCTION("""COMPUTED_VALUE"""),"Yes")</f>
        <v>Yes</v>
      </c>
      <c r="AT116" s="5" t="str">
        <f>IFERROR(__xludf.DUMMYFUNCTION("""COMPUTED_VALUE"""),"No")</f>
        <v>No</v>
      </c>
      <c r="AU116" s="5"/>
      <c r="AV116" s="5" t="str">
        <f>IFERROR(__xludf.DUMMYFUNCTION("""COMPUTED_VALUE"""),"")</f>
        <v/>
      </c>
    </row>
    <row r="117">
      <c r="A117" s="5" t="str">
        <f>IFERROR(__xludf.DUMMYFUNCTION("""COMPUTED_VALUE"""),"Tiptop")</f>
        <v>Tiptop</v>
      </c>
      <c r="B117" s="5" t="str">
        <f>IFERROR(__xludf.DUMMYFUNCTION("""COMPUTED_VALUE"""),"Lucky Ginger")</f>
        <v>Lucky Ginger</v>
      </c>
      <c r="C117" s="5" t="str">
        <f>IFERROR(__xludf.DUMMYFUNCTION("""COMPUTED_VALUE"""),"UnicornLuckyGinger")</f>
        <v>UnicornLuckyGinger</v>
      </c>
      <c r="D117" s="6">
        <f>IFERROR(__xludf.DUMMYFUNCTION("""COMPUTED_VALUE"""),46085.0)</f>
        <v>46085</v>
      </c>
      <c r="E117" s="5" t="str">
        <f>IFERROR(__xludf.DUMMYFUNCTION("""COMPUTED_VALUE"""),"Slot")</f>
        <v>Slot</v>
      </c>
      <c r="F117" s="5">
        <f>IFERROR(__xludf.DUMMYFUNCTION("""COMPUTED_VALUE"""),10.9)</f>
        <v>10.9</v>
      </c>
      <c r="G117" s="5" t="str">
        <f>IFERROR(__xludf.DUMMYFUNCTION("""COMPUTED_VALUE"""),"5X3")</f>
        <v>5X3</v>
      </c>
      <c r="H117" s="5">
        <f>IFERROR(__xludf.DUMMYFUNCTION("""COMPUTED_VALUE"""),5.0)</f>
        <v>5</v>
      </c>
      <c r="I117" s="5">
        <f>IFERROR(__xludf.DUMMYFUNCTION("""COMPUTED_VALUE"""),5.0)</f>
        <v>5</v>
      </c>
      <c r="J117" s="5" t="str">
        <f>IFERROR(__xludf.DUMMYFUNCTION("""COMPUTED_VALUE"""),"96%")</f>
        <v>96%</v>
      </c>
      <c r="K117" s="5" t="str">
        <f>IFERROR(__xludf.DUMMYFUNCTION("""COMPUTED_VALUE"""),"Low")</f>
        <v>Low</v>
      </c>
      <c r="L117" s="5" t="str">
        <f>IFERROR(__xludf.DUMMYFUNCTION("""COMPUTED_VALUE"""),"17.5%")</f>
        <v>17.5%</v>
      </c>
      <c r="M117" s="5" t="str">
        <f>IFERROR(__xludf.DUMMYFUNCTION("""COMPUTED_VALUE"""),"x1100")</f>
        <v>x1100</v>
      </c>
      <c r="N117" s="5" t="str">
        <f>IFERROR(__xludf.DUMMYFUNCTION("""COMPUTED_VALUE"""),"0.05/100")</f>
        <v>0.05/100</v>
      </c>
      <c r="O117" s="5" t="str">
        <f>IFERROR(__xludf.DUMMYFUNCTION("""COMPUTED_VALUE"""),"No")</f>
        <v>No</v>
      </c>
      <c r="P117" s="5"/>
      <c r="Q117" s="7" t="str">
        <f>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R117" s="5" t="str">
        <f>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S117" s="5" t="str">
        <f>IFERROR(__xludf.DUMMYFUNCTION("""COMPUTED_VALUE"""),"")</f>
        <v/>
      </c>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t="str">
        <f>IFERROR(__xludf.DUMMYFUNCTION("""COMPUTED_VALUE"""),"")</f>
        <v/>
      </c>
    </row>
    <row r="118">
      <c r="A118" s="5" t="str">
        <f>IFERROR(__xludf.DUMMYFUNCTION("""COMPUTED_VALUE"""),"Tiptop")</f>
        <v>Tiptop</v>
      </c>
      <c r="B118" s="5" t="str">
        <f>IFERROR(__xludf.DUMMYFUNCTION("""COMPUTED_VALUE"""),"Lions Sevens Extreme")</f>
        <v>Lions Sevens Extreme</v>
      </c>
      <c r="C118" s="5" t="str">
        <f>IFERROR(__xludf.DUMMYFUNCTION("""COMPUTED_VALUE"""),"UnicornLionsSevensExtreme")</f>
        <v>UnicornLionsSevensExtreme</v>
      </c>
      <c r="D118" s="6">
        <f>IFERROR(__xludf.DUMMYFUNCTION("""COMPUTED_VALUE"""),46063.0)</f>
        <v>46063</v>
      </c>
      <c r="E118" s="5" t="str">
        <f>IFERROR(__xludf.DUMMYFUNCTION("""COMPUTED_VALUE"""),"Slot")</f>
        <v>Slot</v>
      </c>
      <c r="F118" s="5">
        <f>IFERROR(__xludf.DUMMYFUNCTION("""COMPUTED_VALUE"""),11.8)</f>
        <v>11.8</v>
      </c>
      <c r="G118" s="5" t="str">
        <f>IFERROR(__xludf.DUMMYFUNCTION("""COMPUTED_VALUE"""),"5x3")</f>
        <v>5x3</v>
      </c>
      <c r="H118" s="5">
        <f>IFERROR(__xludf.DUMMYFUNCTION("""COMPUTED_VALUE"""),5.0)</f>
        <v>5</v>
      </c>
      <c r="I118" s="5">
        <f>IFERROR(__xludf.DUMMYFUNCTION("""COMPUTED_VALUE"""),5.0)</f>
        <v>5</v>
      </c>
      <c r="J118" s="5" t="str">
        <f>IFERROR(__xludf.DUMMYFUNCTION("""COMPUTED_VALUE"""),"96%")</f>
        <v>96%</v>
      </c>
      <c r="K118" s="5" t="str">
        <f>IFERROR(__xludf.DUMMYFUNCTION("""COMPUTED_VALUE"""),"Low")</f>
        <v>Low</v>
      </c>
      <c r="L118" s="5" t="str">
        <f>IFERROR(__xludf.DUMMYFUNCTION("""COMPUTED_VALUE"""),"10.5%")</f>
        <v>10.5%</v>
      </c>
      <c r="M118" s="5" t="str">
        <f>IFERROR(__xludf.DUMMYFUNCTION("""COMPUTED_VALUE"""),"x10000")</f>
        <v>x10000</v>
      </c>
      <c r="N118" s="5" t="str">
        <f>IFERROR(__xludf.DUMMYFUNCTION("""COMPUTED_VALUE"""),"0.05/100")</f>
        <v>0.05/100</v>
      </c>
      <c r="O118" s="5" t="str">
        <f>IFERROR(__xludf.DUMMYFUNCTION("""COMPUTED_VALUE"""),"No")</f>
        <v>No</v>
      </c>
      <c r="P118" s="5"/>
      <c r="Q118" s="7" t="str">
        <f>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R118" s="5" t="str">
        <f>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S11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8" s="5" t="str">
        <f>IFERROR(__xludf.DUMMYFUNCTION("""COMPUTED_VALUE"""),"Yes")</f>
        <v>Yes</v>
      </c>
      <c r="U118" s="5" t="str">
        <f>IFERROR(__xludf.DUMMYFUNCTION("""COMPUTED_VALUE"""),"Yes")</f>
        <v>Yes</v>
      </c>
      <c r="V118" s="5" t="str">
        <f>IFERROR(__xludf.DUMMYFUNCTION("""COMPUTED_VALUE"""),"No")</f>
        <v>No</v>
      </c>
      <c r="W118" s="5" t="str">
        <f>IFERROR(__xludf.DUMMYFUNCTION("""COMPUTED_VALUE"""),"Yes")</f>
        <v>Yes</v>
      </c>
      <c r="X118" s="5" t="str">
        <f>IFERROR(__xludf.DUMMYFUNCTION("""COMPUTED_VALUE"""),"Yes")</f>
        <v>Yes</v>
      </c>
      <c r="Y118" s="5" t="str">
        <f>IFERROR(__xludf.DUMMYFUNCTION("""COMPUTED_VALUE"""),"Yes")</f>
        <v>Yes</v>
      </c>
      <c r="Z118" s="5" t="str">
        <f>IFERROR(__xludf.DUMMYFUNCTION("""COMPUTED_VALUE"""),"Yes")</f>
        <v>Yes</v>
      </c>
      <c r="AA118" s="5" t="str">
        <f>IFERROR(__xludf.DUMMYFUNCTION("""COMPUTED_VALUE"""),"Yes")</f>
        <v>Yes</v>
      </c>
      <c r="AB118" s="5" t="str">
        <f>IFERROR(__xludf.DUMMYFUNCTION("""COMPUTED_VALUE"""),"Yes")</f>
        <v>Yes</v>
      </c>
      <c r="AC118" s="5" t="str">
        <f>IFERROR(__xludf.DUMMYFUNCTION("""COMPUTED_VALUE"""),"Yes")</f>
        <v>Yes</v>
      </c>
      <c r="AD118" s="5" t="str">
        <f>IFERROR(__xludf.DUMMYFUNCTION("""COMPUTED_VALUE"""),"Yes")</f>
        <v>Yes</v>
      </c>
      <c r="AE118" s="5" t="str">
        <f>IFERROR(__xludf.DUMMYFUNCTION("""COMPUTED_VALUE"""),"Yes")</f>
        <v>Yes</v>
      </c>
      <c r="AF118" s="5" t="str">
        <f>IFERROR(__xludf.DUMMYFUNCTION("""COMPUTED_VALUE"""),"Yes")</f>
        <v>Yes</v>
      </c>
      <c r="AG118" s="5" t="str">
        <f>IFERROR(__xludf.DUMMYFUNCTION("""COMPUTED_VALUE"""),"Yes")</f>
        <v>Yes</v>
      </c>
      <c r="AH118" s="5" t="str">
        <f>IFERROR(__xludf.DUMMYFUNCTION("""COMPUTED_VALUE"""),"Yes")</f>
        <v>Yes</v>
      </c>
      <c r="AI118" s="5" t="str">
        <f>IFERROR(__xludf.DUMMYFUNCTION("""COMPUTED_VALUE"""),"No")</f>
        <v>No</v>
      </c>
      <c r="AJ118" s="5" t="str">
        <f>IFERROR(__xludf.DUMMYFUNCTION("""COMPUTED_VALUE"""),"No")</f>
        <v>No</v>
      </c>
      <c r="AK118" s="5" t="str">
        <f>IFERROR(__xludf.DUMMYFUNCTION("""COMPUTED_VALUE"""),"No")</f>
        <v>No</v>
      </c>
      <c r="AL118" s="5" t="str">
        <f>IFERROR(__xludf.DUMMYFUNCTION("""COMPUTED_VALUE"""),"No")</f>
        <v>No</v>
      </c>
      <c r="AM118" s="5" t="str">
        <f>IFERROR(__xludf.DUMMYFUNCTION("""COMPUTED_VALUE"""),"No")</f>
        <v>No</v>
      </c>
      <c r="AN118" s="5"/>
      <c r="AO118" s="5" t="str">
        <f>IFERROR(__xludf.DUMMYFUNCTION("""COMPUTED_VALUE"""),"No")</f>
        <v>No</v>
      </c>
      <c r="AP118" s="5"/>
      <c r="AQ118" s="5"/>
      <c r="AR118" s="5"/>
      <c r="AS118" s="5" t="str">
        <f>IFERROR(__xludf.DUMMYFUNCTION("""COMPUTED_VALUE"""),"Yes")</f>
        <v>Yes</v>
      </c>
      <c r="AT118" s="5"/>
      <c r="AU118" s="5"/>
      <c r="AV118" s="5" t="str">
        <f>IFERROR(__xludf.DUMMYFUNCTION("""COMPUTED_VALUE"""),"")</f>
        <v/>
      </c>
    </row>
    <row r="119">
      <c r="A119" s="5" t="str">
        <f>IFERROR(__xludf.DUMMYFUNCTION("""COMPUTED_VALUE"""),"Tiptop")</f>
        <v>Tiptop</v>
      </c>
      <c r="B119" s="5" t="str">
        <f>IFERROR(__xludf.DUMMYFUNCTION("""COMPUTED_VALUE"""),"Coyote Sevens Jackpot")</f>
        <v>Coyote Sevens Jackpot</v>
      </c>
      <c r="C119" s="5" t="str">
        <f>IFERROR(__xludf.DUMMYFUNCTION("""COMPUTED_VALUE"""),"UnicornCoyoteSevensJackpot")</f>
        <v>UnicornCoyoteSevensJackpot</v>
      </c>
      <c r="D119" s="6">
        <f>IFERROR(__xludf.DUMMYFUNCTION("""COMPUTED_VALUE"""),46077.0)</f>
        <v>46077</v>
      </c>
      <c r="E119" s="5" t="str">
        <f>IFERROR(__xludf.DUMMYFUNCTION("""COMPUTED_VALUE"""),"Slot")</f>
        <v>Slot</v>
      </c>
      <c r="F119" s="5">
        <f>IFERROR(__xludf.DUMMYFUNCTION("""COMPUTED_VALUE"""),11.3)</f>
        <v>11.3</v>
      </c>
      <c r="G119" s="5" t="str">
        <f>IFERROR(__xludf.DUMMYFUNCTION("""COMPUTED_VALUE"""),"5x3")</f>
        <v>5x3</v>
      </c>
      <c r="H119" s="5">
        <f>IFERROR(__xludf.DUMMYFUNCTION("""COMPUTED_VALUE"""),5.0)</f>
        <v>5</v>
      </c>
      <c r="I119" s="5">
        <f>IFERROR(__xludf.DUMMYFUNCTION("""COMPUTED_VALUE"""),5.0)</f>
        <v>5</v>
      </c>
      <c r="J119" s="5" t="str">
        <f>IFERROR(__xludf.DUMMYFUNCTION("""COMPUTED_VALUE"""),"96%")</f>
        <v>96%</v>
      </c>
      <c r="K119" s="5" t="str">
        <f>IFERROR(__xludf.DUMMYFUNCTION("""COMPUTED_VALUE"""),"Medium")</f>
        <v>Medium</v>
      </c>
      <c r="L119" s="5" t="str">
        <f>IFERROR(__xludf.DUMMYFUNCTION("""COMPUTED_VALUE"""),"10.11%")</f>
        <v>10.11%</v>
      </c>
      <c r="M119" s="5" t="str">
        <f>IFERROR(__xludf.DUMMYFUNCTION("""COMPUTED_VALUE"""),"x10000")</f>
        <v>x10000</v>
      </c>
      <c r="N119" s="5" t="str">
        <f>IFERROR(__xludf.DUMMYFUNCTION("""COMPUTED_VALUE"""),"0.05/100")</f>
        <v>0.05/100</v>
      </c>
      <c r="O119" s="5" t="str">
        <f>IFERROR(__xludf.DUMMYFUNCTION("""COMPUTED_VALUE"""),"No")</f>
        <v>No</v>
      </c>
      <c r="P119" s="5"/>
      <c r="Q119" s="7" t="str">
        <f>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R119" s="5" t="str">
        <f>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S119" s="5" t="str">
        <f>IFERROR(__xludf.DUMMYFUNCTION("""COMPUTED_VALUE"""),"English(""eng"")")</f>
        <v>English("eng")</v>
      </c>
      <c r="T119" s="5" t="str">
        <f>IFERROR(__xludf.DUMMYFUNCTION("""COMPUTED_VALUE"""),"Yes")</f>
        <v>Yes</v>
      </c>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t="str">
        <f>IFERROR(__xludf.DUMMYFUNCTION("""COMPUTED_VALUE"""),"")</f>
        <v/>
      </c>
    </row>
    <row r="120">
      <c r="A120" s="5" t="str">
        <f>IFERROR(__xludf.DUMMYFUNCTION("""COMPUTED_VALUE"""),"Tiptop")</f>
        <v>Tiptop</v>
      </c>
      <c r="B120" s="5" t="str">
        <f>IFERROR(__xludf.DUMMYFUNCTION("""COMPUTED_VALUE"""),"Dragon Gems")</f>
        <v>Dragon Gems</v>
      </c>
      <c r="C120" s="5" t="str">
        <f>IFERROR(__xludf.DUMMYFUNCTION("""COMPUTED_VALUE"""),"UnicornDragonGems")</f>
        <v>UnicornDragonGems</v>
      </c>
      <c r="D120" s="6">
        <f>IFERROR(__xludf.DUMMYFUNCTION("""COMPUTED_VALUE"""),46073.0)</f>
        <v>46073</v>
      </c>
      <c r="E120" s="5" t="str">
        <f>IFERROR(__xludf.DUMMYFUNCTION("""COMPUTED_VALUE"""),"Slot")</f>
        <v>Slot</v>
      </c>
      <c r="F120" s="5">
        <f>IFERROR(__xludf.DUMMYFUNCTION("""COMPUTED_VALUE"""),14.1)</f>
        <v>14.1</v>
      </c>
      <c r="G120" s="5" t="str">
        <f>IFERROR(__xludf.DUMMYFUNCTION("""COMPUTED_VALUE"""),"5x3")</f>
        <v>5x3</v>
      </c>
      <c r="H120" s="5">
        <f>IFERROR(__xludf.DUMMYFUNCTION("""COMPUTED_VALUE"""),5.0)</f>
        <v>5</v>
      </c>
      <c r="I120" s="5">
        <f>IFERROR(__xludf.DUMMYFUNCTION("""COMPUTED_VALUE"""),5.0)</f>
        <v>5</v>
      </c>
      <c r="J120" s="5" t="str">
        <f>IFERROR(__xludf.DUMMYFUNCTION("""COMPUTED_VALUE"""),"96%")</f>
        <v>96%</v>
      </c>
      <c r="K120" s="5" t="str">
        <f>IFERROR(__xludf.DUMMYFUNCTION("""COMPUTED_VALUE"""),"Low")</f>
        <v>Low</v>
      </c>
      <c r="L120" s="5" t="str">
        <f>IFERROR(__xludf.DUMMYFUNCTION("""COMPUTED_VALUE"""),"14.4%")</f>
        <v>14.4%</v>
      </c>
      <c r="M120" s="5" t="str">
        <f>IFERROR(__xludf.DUMMYFUNCTION("""COMPUTED_VALUE"""),"x10000")</f>
        <v>x10000</v>
      </c>
      <c r="N120" s="5" t="str">
        <f>IFERROR(__xludf.DUMMYFUNCTION("""COMPUTED_VALUE"""),"0.05/100")</f>
        <v>0.05/100</v>
      </c>
      <c r="O120" s="5" t="str">
        <f>IFERROR(__xludf.DUMMYFUNCTION("""COMPUTED_VALUE"""),"No")</f>
        <v>No</v>
      </c>
      <c r="P120" s="5"/>
      <c r="Q120" s="7" t="str">
        <f>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R120" s="5" t="str">
        <f>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S120" s="5" t="str">
        <f>IFERROR(__xludf.DUMMYFUNCTION("""COMPUTED_VALUE"""),"English(""eng"")")</f>
        <v>English("eng")</v>
      </c>
      <c r="T120" s="5" t="str">
        <f>IFERROR(__xludf.DUMMYFUNCTION("""COMPUTED_VALUE"""),"Yes")</f>
        <v>Yes</v>
      </c>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t="str">
        <f>IFERROR(__xludf.DUMMYFUNCTION("""COMPUTED_VALUE"""),"")</f>
        <v/>
      </c>
    </row>
    <row r="121">
      <c r="A121" s="5" t="str">
        <f>IFERROR(__xludf.DUMMYFUNCTION("""COMPUTED_VALUE"""),"Tiptop")</f>
        <v>Tiptop</v>
      </c>
      <c r="B121" s="5" t="str">
        <f>IFERROR(__xludf.DUMMYFUNCTION("""COMPUTED_VALUE"""),"Bye Bouse")</f>
        <v>Bye Bouse</v>
      </c>
      <c r="C121" s="5" t="str">
        <f>IFERROR(__xludf.DUMMYFUNCTION("""COMPUTED_VALUE"""),"UnicornByeBouse")</f>
        <v>UnicornByeBouse</v>
      </c>
      <c r="D121" s="6">
        <f>IFERROR(__xludf.DUMMYFUNCTION("""COMPUTED_VALUE"""),46120.0)</f>
        <v>46120</v>
      </c>
      <c r="E121" s="5" t="str">
        <f>IFERROR(__xludf.DUMMYFUNCTION("""COMPUTED_VALUE"""),"Slot")</f>
        <v>Slot</v>
      </c>
      <c r="F121" s="5">
        <f>IFERROR(__xludf.DUMMYFUNCTION("""COMPUTED_VALUE"""),15.3)</f>
        <v>15.3</v>
      </c>
      <c r="G121" s="5" t="str">
        <f>IFERROR(__xludf.DUMMYFUNCTION("""COMPUTED_VALUE"""),"5x4")</f>
        <v>5x4</v>
      </c>
      <c r="H121" s="5">
        <f>IFERROR(__xludf.DUMMYFUNCTION("""COMPUTED_VALUE"""),40.0)</f>
        <v>40</v>
      </c>
      <c r="I121" s="5">
        <f>IFERROR(__xludf.DUMMYFUNCTION("""COMPUTED_VALUE"""),40.0)</f>
        <v>40</v>
      </c>
      <c r="J121" s="5" t="str">
        <f>IFERROR(__xludf.DUMMYFUNCTION("""COMPUTED_VALUE"""),"96%")</f>
        <v>96%</v>
      </c>
      <c r="K121" s="5" t="str">
        <f>IFERROR(__xludf.DUMMYFUNCTION("""COMPUTED_VALUE"""),"Low")</f>
        <v>Low</v>
      </c>
      <c r="L121" s="5" t="str">
        <f>IFERROR(__xludf.DUMMYFUNCTION("""COMPUTED_VALUE"""),"17.365%")</f>
        <v>17.365%</v>
      </c>
      <c r="M121" s="5" t="str">
        <f>IFERROR(__xludf.DUMMYFUNCTION("""COMPUTED_VALUE"""),"x10000")</f>
        <v>x10000</v>
      </c>
      <c r="N121" s="5" t="str">
        <f>IFERROR(__xludf.DUMMYFUNCTION("""COMPUTED_VALUE"""),"0.05/100")</f>
        <v>0.05/100</v>
      </c>
      <c r="O121" s="5" t="str">
        <f>IFERROR(__xludf.DUMMYFUNCTION("""COMPUTED_VALUE"""),"No")</f>
        <v>No</v>
      </c>
      <c r="P121" s="5"/>
      <c r="Q121" s="7" t="str">
        <f>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R121" s="5" t="str">
        <f>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S121" s="5" t="str">
        <f>IFERROR(__xludf.DUMMYFUNCTION("""COMPUTED_VALUE"""),"English(""eng"")")</f>
        <v>English("eng")</v>
      </c>
      <c r="T121" s="5" t="str">
        <f>IFERROR(__xludf.DUMMYFUNCTION("""COMPUTED_VALUE"""),"Yes")</f>
        <v>Yes</v>
      </c>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t="str">
        <f>IFERROR(__xludf.DUMMYFUNCTION("""COMPUTED_VALUE"""),"")</f>
        <v/>
      </c>
    </row>
    <row r="122">
      <c r="A122" s="5" t="str">
        <f>IFERROR(__xludf.DUMMYFUNCTION("""COMPUTED_VALUE"""),"Tiptop")</f>
        <v>Tiptop</v>
      </c>
      <c r="B122" s="5" t="str">
        <f>IFERROR(__xludf.DUMMYFUNCTION("""COMPUTED_VALUE"""),"Triple Royal Wilds")</f>
        <v>Triple Royal Wilds</v>
      </c>
      <c r="C122" s="5" t="str">
        <f>IFERROR(__xludf.DUMMYFUNCTION("""COMPUTED_VALUE"""),"UnicornTripleRoyalWilds")</f>
        <v>UnicornTripleRoyalWilds</v>
      </c>
      <c r="D122" s="6">
        <f>IFERROR(__xludf.DUMMYFUNCTION("""COMPUTED_VALUE"""),46106.0)</f>
        <v>46106</v>
      </c>
      <c r="E122" s="5" t="str">
        <f>IFERROR(__xludf.DUMMYFUNCTION("""COMPUTED_VALUE"""),"Slot")</f>
        <v>Slot</v>
      </c>
      <c r="F122" s="5">
        <f>IFERROR(__xludf.DUMMYFUNCTION("""COMPUTED_VALUE"""),12.05)</f>
        <v>12.05</v>
      </c>
      <c r="G122" s="5" t="str">
        <f>IFERROR(__xludf.DUMMYFUNCTION("""COMPUTED_VALUE"""),"5x3")</f>
        <v>5x3</v>
      </c>
      <c r="H122" s="5">
        <f>IFERROR(__xludf.DUMMYFUNCTION("""COMPUTED_VALUE"""),5.0)</f>
        <v>5</v>
      </c>
      <c r="I122" s="5">
        <f>IFERROR(__xludf.DUMMYFUNCTION("""COMPUTED_VALUE"""),5.0)</f>
        <v>5</v>
      </c>
      <c r="J122" s="5" t="str">
        <f>IFERROR(__xludf.DUMMYFUNCTION("""COMPUTED_VALUE"""),"96%")</f>
        <v>96%</v>
      </c>
      <c r="K122" s="5" t="str">
        <f>IFERROR(__xludf.DUMMYFUNCTION("""COMPUTED_VALUE"""),"Low")</f>
        <v>Low</v>
      </c>
      <c r="L122" s="5" t="str">
        <f>IFERROR(__xludf.DUMMYFUNCTION("""COMPUTED_VALUE"""),"18.4%")</f>
        <v>18.4%</v>
      </c>
      <c r="M122" s="5" t="str">
        <f>IFERROR(__xludf.DUMMYFUNCTION("""COMPUTED_VALUE"""),"x1150")</f>
        <v>x1150</v>
      </c>
      <c r="N122" s="5" t="str">
        <f>IFERROR(__xludf.DUMMYFUNCTION("""COMPUTED_VALUE"""),"0.05 / 100")</f>
        <v>0.05 / 100</v>
      </c>
      <c r="O122" s="5" t="str">
        <f>IFERROR(__xludf.DUMMYFUNCTION("""COMPUTED_VALUE"""),"No")</f>
        <v>No</v>
      </c>
      <c r="P122" s="5"/>
      <c r="Q122" s="7" t="str">
        <f>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R122" s="5" t="str">
        <f>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S122" s="5" t="str">
        <f>IFERROR(__xludf.DUMMYFUNCTION("""COMPUTED_VALUE"""),"English(""eng"")")</f>
        <v>English("eng")</v>
      </c>
      <c r="T122" s="5" t="str">
        <f>IFERROR(__xludf.DUMMYFUNCTION("""COMPUTED_VALUE"""),"Yes")</f>
        <v>Yes</v>
      </c>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t="str">
        <f>IFERROR(__xludf.DUMMYFUNCTION("""COMPUTED_VALUE"""),"")</f>
        <v/>
      </c>
    </row>
    <row r="123">
      <c r="A123" s="5" t="str">
        <f>IFERROR(__xludf.DUMMYFUNCTION("""COMPUTED_VALUE"""),"Tiptop")</f>
        <v>Tiptop</v>
      </c>
      <c r="B123" s="5" t="str">
        <f>IFERROR(__xludf.DUMMYFUNCTION("""COMPUTED_VALUE"""),"Three Reel Triple Fruit")</f>
        <v>Three Reel Triple Fruit</v>
      </c>
      <c r="C123" s="5" t="str">
        <f>IFERROR(__xludf.DUMMYFUNCTION("""COMPUTED_VALUE"""),"UnicornThreeReelTripleFruit")</f>
        <v>UnicornThreeReelTripleFruit</v>
      </c>
      <c r="D123" s="6">
        <f>IFERROR(__xludf.DUMMYFUNCTION("""COMPUTED_VALUE"""),46099.0)</f>
        <v>46099</v>
      </c>
      <c r="E123" s="5" t="str">
        <f>IFERROR(__xludf.DUMMYFUNCTION("""COMPUTED_VALUE"""),"Slot")</f>
        <v>Slot</v>
      </c>
      <c r="F123" s="5">
        <f>IFERROR(__xludf.DUMMYFUNCTION("""COMPUTED_VALUE"""),11.54)</f>
        <v>11.54</v>
      </c>
      <c r="G123" s="5" t="str">
        <f>IFERROR(__xludf.DUMMYFUNCTION("""COMPUTED_VALUE"""),"3x3")</f>
        <v>3x3</v>
      </c>
      <c r="H123" s="5">
        <f>IFERROR(__xludf.DUMMYFUNCTION("""COMPUTED_VALUE"""),5.0)</f>
        <v>5</v>
      </c>
      <c r="I123" s="5">
        <f>IFERROR(__xludf.DUMMYFUNCTION("""COMPUTED_VALUE"""),5.0)</f>
        <v>5</v>
      </c>
      <c r="J123" s="5" t="str">
        <f>IFERROR(__xludf.DUMMYFUNCTION("""COMPUTED_VALUE"""),"96%")</f>
        <v>96%</v>
      </c>
      <c r="K123" s="5" t="str">
        <f>IFERROR(__xludf.DUMMYFUNCTION("""COMPUTED_VALUE"""),"Low")</f>
        <v>Low</v>
      </c>
      <c r="L123" s="5" t="str">
        <f>IFERROR(__xludf.DUMMYFUNCTION("""COMPUTED_VALUE"""),"18.4%")</f>
        <v>18.4%</v>
      </c>
      <c r="M123" s="5" t="str">
        <f>IFERROR(__xludf.DUMMYFUNCTION("""COMPUTED_VALUE"""),"x350")</f>
        <v>x350</v>
      </c>
      <c r="N123" s="5" t="str">
        <f>IFERROR(__xludf.DUMMYFUNCTION("""COMPUTED_VALUE"""),"0.05/100")</f>
        <v>0.05/100</v>
      </c>
      <c r="O123" s="5" t="str">
        <f>IFERROR(__xludf.DUMMYFUNCTION("""COMPUTED_VALUE"""),"No")</f>
        <v>No</v>
      </c>
      <c r="P123" s="5"/>
      <c r="Q123" s="7" t="str">
        <f>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R123" s="5" t="str">
        <f>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S123" s="5"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T123" s="5" t="str">
        <f>IFERROR(__xludf.DUMMYFUNCTION("""COMPUTED_VALUE"""),"Yes")</f>
        <v>Yes</v>
      </c>
      <c r="U123" s="5" t="str">
        <f>IFERROR(__xludf.DUMMYFUNCTION("""COMPUTED_VALUE"""),"Yes")</f>
        <v>Yes</v>
      </c>
      <c r="V123" s="5" t="str">
        <f>IFERROR(__xludf.DUMMYFUNCTION("""COMPUTED_VALUE"""),"Yes")</f>
        <v>Yes</v>
      </c>
      <c r="W123" s="5" t="str">
        <f>IFERROR(__xludf.DUMMYFUNCTION("""COMPUTED_VALUE"""),"No")</f>
        <v>No</v>
      </c>
      <c r="X123" s="5" t="str">
        <f>IFERROR(__xludf.DUMMYFUNCTION("""COMPUTED_VALUE"""),"Yes")</f>
        <v>Yes</v>
      </c>
      <c r="Y123" s="5" t="str">
        <f>IFERROR(__xludf.DUMMYFUNCTION("""COMPUTED_VALUE"""),"No")</f>
        <v>No</v>
      </c>
      <c r="Z123" s="5" t="str">
        <f>IFERROR(__xludf.DUMMYFUNCTION("""COMPUTED_VALUE"""),"No")</f>
        <v>No</v>
      </c>
      <c r="AA123" s="5" t="str">
        <f>IFERROR(__xludf.DUMMYFUNCTION("""COMPUTED_VALUE"""),"No")</f>
        <v>No</v>
      </c>
      <c r="AB123" s="5" t="str">
        <f>IFERROR(__xludf.DUMMYFUNCTION("""COMPUTED_VALUE"""),"Yes")</f>
        <v>Yes</v>
      </c>
      <c r="AC123" s="5" t="str">
        <f>IFERROR(__xludf.DUMMYFUNCTION("""COMPUTED_VALUE"""),"Yes")</f>
        <v>Yes</v>
      </c>
      <c r="AD123" s="5" t="str">
        <f>IFERROR(__xludf.DUMMYFUNCTION("""COMPUTED_VALUE"""),"Yes")</f>
        <v>Yes</v>
      </c>
      <c r="AE123" s="5" t="str">
        <f>IFERROR(__xludf.DUMMYFUNCTION("""COMPUTED_VALUE"""),"Yes")</f>
        <v>Yes</v>
      </c>
      <c r="AF123" s="5" t="str">
        <f>IFERROR(__xludf.DUMMYFUNCTION("""COMPUTED_VALUE"""),"Yes")</f>
        <v>Yes</v>
      </c>
      <c r="AG123" s="5" t="str">
        <f>IFERROR(__xludf.DUMMYFUNCTION("""COMPUTED_VALUE"""),"No")</f>
        <v>No</v>
      </c>
      <c r="AH123" s="5" t="str">
        <f>IFERROR(__xludf.DUMMYFUNCTION("""COMPUTED_VALUE"""),"Yes")</f>
        <v>Yes</v>
      </c>
      <c r="AI123" s="5" t="str">
        <f>IFERROR(__xludf.DUMMYFUNCTION("""COMPUTED_VALUE"""),"No")</f>
        <v>No</v>
      </c>
      <c r="AJ123" s="5"/>
      <c r="AK123" s="5"/>
      <c r="AL123" s="5"/>
      <c r="AM123" s="5" t="str">
        <f>IFERROR(__xludf.DUMMYFUNCTION("""COMPUTED_VALUE"""),"No")</f>
        <v>No</v>
      </c>
      <c r="AN123" s="5" t="str">
        <f>IFERROR(__xludf.DUMMYFUNCTION("""COMPUTED_VALUE"""),"Yes")</f>
        <v>Yes</v>
      </c>
      <c r="AO123" s="5" t="str">
        <f>IFERROR(__xludf.DUMMYFUNCTION("""COMPUTED_VALUE"""),"Yes")</f>
        <v>Yes</v>
      </c>
      <c r="AP123" s="5"/>
      <c r="AQ123" s="5"/>
      <c r="AR123" s="5"/>
      <c r="AS123" s="5" t="str">
        <f>IFERROR(__xludf.DUMMYFUNCTION("""COMPUTED_VALUE"""),"Yes")</f>
        <v>Yes</v>
      </c>
      <c r="AT123" s="5" t="str">
        <f>IFERROR(__xludf.DUMMYFUNCTION("""COMPUTED_VALUE"""),"Yes")</f>
        <v>Yes</v>
      </c>
      <c r="AU123" s="5"/>
      <c r="AV123" s="5" t="str">
        <f>IFERROR(__xludf.DUMMYFUNCTION("""COMPUTED_VALUE"""),"")</f>
        <v/>
      </c>
    </row>
    <row r="124">
      <c r="A124" s="5" t="str">
        <f>IFERROR(__xludf.DUMMYFUNCTION("""COMPUTED_VALUE"""),"Tiptop")</f>
        <v>Tiptop</v>
      </c>
      <c r="B124" s="5" t="str">
        <f>IFERROR(__xludf.DUMMYFUNCTION("""COMPUTED_VALUE"""),"Hot Fireballs")</f>
        <v>Hot Fireballs</v>
      </c>
      <c r="C124" s="5" t="str">
        <f>IFERROR(__xludf.DUMMYFUNCTION("""COMPUTED_VALUE"""),"UnicornHotFireballs")</f>
        <v>UnicornHotFireballs</v>
      </c>
      <c r="D124" s="6">
        <f>IFERROR(__xludf.DUMMYFUNCTION("""COMPUTED_VALUE"""),46113.0)</f>
        <v>46113</v>
      </c>
      <c r="E124" s="5" t="str">
        <f>IFERROR(__xludf.DUMMYFUNCTION("""COMPUTED_VALUE"""),"Slot")</f>
        <v>Slot</v>
      </c>
      <c r="F124" s="5">
        <f>IFERROR(__xludf.DUMMYFUNCTION("""COMPUTED_VALUE"""),15.92)</f>
        <v>15.92</v>
      </c>
      <c r="G124" s="5" t="str">
        <f>IFERROR(__xludf.DUMMYFUNCTION("""COMPUTED_VALUE"""),"5x3")</f>
        <v>5x3</v>
      </c>
      <c r="H124" s="5">
        <f>IFERROR(__xludf.DUMMYFUNCTION("""COMPUTED_VALUE"""),5.0)</f>
        <v>5</v>
      </c>
      <c r="I124" s="5">
        <f>IFERROR(__xludf.DUMMYFUNCTION("""COMPUTED_VALUE"""),5.0)</f>
        <v>5</v>
      </c>
      <c r="J124" s="5" t="str">
        <f>IFERROR(__xludf.DUMMYFUNCTION("""COMPUTED_VALUE"""),"96%")</f>
        <v>96%</v>
      </c>
      <c r="K124" s="5" t="str">
        <f>IFERROR(__xludf.DUMMYFUNCTION("""COMPUTED_VALUE"""),"Low")</f>
        <v>Low</v>
      </c>
      <c r="L124" s="5" t="str">
        <f>IFERROR(__xludf.DUMMYFUNCTION("""COMPUTED_VALUE"""),"15.33%")</f>
        <v>15.33%</v>
      </c>
      <c r="M124" s="5" t="str">
        <f>IFERROR(__xludf.DUMMYFUNCTION("""COMPUTED_VALUE"""),"x1260")</f>
        <v>x1260</v>
      </c>
      <c r="N124" s="5" t="str">
        <f>IFERROR(__xludf.DUMMYFUNCTION("""COMPUTED_VALUE"""),"0.1/100")</f>
        <v>0.1/100</v>
      </c>
      <c r="O124" s="5" t="str">
        <f>IFERROR(__xludf.DUMMYFUNCTION("""COMPUTED_VALUE"""),"No")</f>
        <v>No</v>
      </c>
      <c r="P124" s="5"/>
      <c r="Q124" s="7" t="str">
        <f>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R124" s="5" t="str">
        <f>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S124" s="5" t="str">
        <f>IFERROR(__xludf.DUMMYFUNCTION("""COMPUTED_VALUE"""),"English(""eng"")")</f>
        <v>English("eng")</v>
      </c>
      <c r="T124" s="5" t="str">
        <f>IFERROR(__xludf.DUMMYFUNCTION("""COMPUTED_VALUE"""),"Yes")</f>
        <v>Yes</v>
      </c>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t="str">
        <f>IFERROR(__xludf.DUMMYFUNCTION("""COMPUTED_VALUE"""),"")</f>
        <v/>
      </c>
    </row>
    <row r="125">
      <c r="A125" s="5" t="str">
        <f>IFERROR(__xludf.DUMMYFUNCTION("""COMPUTED_VALUE"""),"Tiptop")</f>
        <v>Tiptop</v>
      </c>
      <c r="B125" s="5" t="str">
        <f>IFERROR(__xludf.DUMMYFUNCTION("""COMPUTED_VALUE"""),"Three Reel Dice")</f>
        <v>Three Reel Dice</v>
      </c>
      <c r="C125" s="5" t="str">
        <f>IFERROR(__xludf.DUMMYFUNCTION("""COMPUTED_VALUE"""),"UnicornThreeReelDice")</f>
        <v>UnicornThreeReelDice</v>
      </c>
      <c r="D125" s="6">
        <f>IFERROR(__xludf.DUMMYFUNCTION("""COMPUTED_VALUE"""),46127.0)</f>
        <v>46127</v>
      </c>
      <c r="E125" s="5" t="str">
        <f>IFERROR(__xludf.DUMMYFUNCTION("""COMPUTED_VALUE"""),"Dice Slots")</f>
        <v>Dice Slots</v>
      </c>
      <c r="F125" s="5">
        <f>IFERROR(__xludf.DUMMYFUNCTION("""COMPUTED_VALUE"""),10.4)</f>
        <v>10.4</v>
      </c>
      <c r="G125" s="5" t="str">
        <f>IFERROR(__xludf.DUMMYFUNCTION("""COMPUTED_VALUE"""),"3x3")</f>
        <v>3x3</v>
      </c>
      <c r="H125" s="5">
        <f>IFERROR(__xludf.DUMMYFUNCTION("""COMPUTED_VALUE"""),5.0)</f>
        <v>5</v>
      </c>
      <c r="I125" s="5">
        <f>IFERROR(__xludf.DUMMYFUNCTION("""COMPUTED_VALUE"""),5.0)</f>
        <v>5</v>
      </c>
      <c r="J125" s="5" t="str">
        <f>IFERROR(__xludf.DUMMYFUNCTION("""COMPUTED_VALUE"""),"96%")</f>
        <v>96%</v>
      </c>
      <c r="K125" s="5" t="str">
        <f>IFERROR(__xludf.DUMMYFUNCTION("""COMPUTED_VALUE"""),"Low")</f>
        <v>Low</v>
      </c>
      <c r="L125" s="5" t="str">
        <f>IFERROR(__xludf.DUMMYFUNCTION("""COMPUTED_VALUE"""),"12.6%")</f>
        <v>12.6%</v>
      </c>
      <c r="M125" s="5" t="str">
        <f>IFERROR(__xludf.DUMMYFUNCTION("""COMPUTED_VALUE"""),"x1000")</f>
        <v>x1000</v>
      </c>
      <c r="N125" s="5" t="str">
        <f>IFERROR(__xludf.DUMMYFUNCTION("""COMPUTED_VALUE"""),"0.05/100")</f>
        <v>0.05/100</v>
      </c>
      <c r="O125" s="5" t="str">
        <f>IFERROR(__xludf.DUMMYFUNCTION("""COMPUTED_VALUE"""),"No")</f>
        <v>No</v>
      </c>
      <c r="P125" s="5"/>
      <c r="Q125" s="7" t="str">
        <f>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R125" s="5" t="str">
        <f>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S125" s="5" t="str">
        <f>IFERROR(__xludf.DUMMYFUNCTION("""COMPUTED_VALUE"""),"English(""eng"")")</f>
        <v>English("eng")</v>
      </c>
      <c r="T125" s="5" t="str">
        <f>IFERROR(__xludf.DUMMYFUNCTION("""COMPUTED_VALUE"""),"Yes")</f>
        <v>Yes</v>
      </c>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t="str">
        <f>IFERROR(__xludf.DUMMYFUNCTION("""COMPUTED_VALUE"""),"")</f>
        <v/>
      </c>
    </row>
    <row r="126">
      <c r="A126" s="5" t="str">
        <f>IFERROR(__xludf.DUMMYFUNCTION("""COMPUTED_VALUE"""),"Tiptop")</f>
        <v>Tiptop</v>
      </c>
      <c r="B126" s="5" t="str">
        <f>IFERROR(__xludf.DUMMYFUNCTION("""COMPUTED_VALUE"""),"Tropical Treasure")</f>
        <v>Tropical Treasure</v>
      </c>
      <c r="C126" s="5" t="str">
        <f>IFERROR(__xludf.DUMMYFUNCTION("""COMPUTED_VALUE"""),"UnicornTropicalTreasure")</f>
        <v>UnicornTropicalTreasure</v>
      </c>
      <c r="D126" s="6">
        <f>IFERROR(__xludf.DUMMYFUNCTION("""COMPUTED_VALUE"""),46134.0)</f>
        <v>46134</v>
      </c>
      <c r="E126" s="5" t="str">
        <f>IFERROR(__xludf.DUMMYFUNCTION("""COMPUTED_VALUE"""),"Slot")</f>
        <v>Slot</v>
      </c>
      <c r="F126" s="5">
        <f>IFERROR(__xludf.DUMMYFUNCTION("""COMPUTED_VALUE"""),10.91)</f>
        <v>10.91</v>
      </c>
      <c r="G126" s="5" t="str">
        <f>IFERROR(__xludf.DUMMYFUNCTION("""COMPUTED_VALUE"""),"5x3")</f>
        <v>5x3</v>
      </c>
      <c r="H126" s="5">
        <f>IFERROR(__xludf.DUMMYFUNCTION("""COMPUTED_VALUE"""),5.0)</f>
        <v>5</v>
      </c>
      <c r="I126" s="5">
        <f>IFERROR(__xludf.DUMMYFUNCTION("""COMPUTED_VALUE"""),5.0)</f>
        <v>5</v>
      </c>
      <c r="J126" s="5" t="str">
        <f>IFERROR(__xludf.DUMMYFUNCTION("""COMPUTED_VALUE"""),"96%")</f>
        <v>96%</v>
      </c>
      <c r="K126" s="5" t="str">
        <f>IFERROR(__xludf.DUMMYFUNCTION("""COMPUTED_VALUE"""),"Low")</f>
        <v>Low</v>
      </c>
      <c r="L126" s="5" t="str">
        <f>IFERROR(__xludf.DUMMYFUNCTION("""COMPUTED_VALUE"""),"11.15%")</f>
        <v>11.15%</v>
      </c>
      <c r="M126" s="5" t="str">
        <f>IFERROR(__xludf.DUMMYFUNCTION("""COMPUTED_VALUE"""),"x1400")</f>
        <v>x1400</v>
      </c>
      <c r="N126" s="5" t="str">
        <f>IFERROR(__xludf.DUMMYFUNCTION("""COMPUTED_VALUE"""),"0.05/100")</f>
        <v>0.05/100</v>
      </c>
      <c r="O126" s="5" t="str">
        <f>IFERROR(__xludf.DUMMYFUNCTION("""COMPUTED_VALUE"""),"No")</f>
        <v>No</v>
      </c>
      <c r="P126" s="5"/>
      <c r="Q126" s="7" t="str">
        <f>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R126" s="5" t="str">
        <f>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S126" s="5" t="str">
        <f>IFERROR(__xludf.DUMMYFUNCTION("""COMPUTED_VALUE"""),"English(""eng"")")</f>
        <v>English("eng")</v>
      </c>
      <c r="T126" s="5" t="str">
        <f>IFERROR(__xludf.DUMMYFUNCTION("""COMPUTED_VALUE"""),"Yes")</f>
        <v>Yes</v>
      </c>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t="str">
        <f>IFERROR(__xludf.DUMMYFUNCTION("""COMPUTED_VALUE"""),"")</f>
        <v/>
      </c>
    </row>
    <row r="127">
      <c r="A127" s="5" t="str">
        <f>IFERROR(__xludf.DUMMYFUNCTION("""COMPUTED_VALUE"""),"Tiptop")</f>
        <v>Tiptop</v>
      </c>
      <c r="B127" s="5" t="str">
        <f>IFERROR(__xludf.DUMMYFUNCTION("""COMPUTED_VALUE"""),"Golden Gate Fruit")</f>
        <v>Golden Gate Fruit</v>
      </c>
      <c r="C127" s="5" t="str">
        <f>IFERROR(__xludf.DUMMYFUNCTION("""COMPUTED_VALUE"""),"UnicornGoldenGateFruit")</f>
        <v>UnicornGoldenGateFruit</v>
      </c>
      <c r="D127" s="6">
        <f>IFERROR(__xludf.DUMMYFUNCTION("""COMPUTED_VALUE"""),46141.0)</f>
        <v>46141</v>
      </c>
      <c r="E127" s="5" t="str">
        <f>IFERROR(__xludf.DUMMYFUNCTION("""COMPUTED_VALUE"""),"Slot")</f>
        <v>Slot</v>
      </c>
      <c r="F127" s="5">
        <f>IFERROR(__xludf.DUMMYFUNCTION("""COMPUTED_VALUE"""),12.24)</f>
        <v>12.24</v>
      </c>
      <c r="G127" s="5" t="str">
        <f>IFERROR(__xludf.DUMMYFUNCTION("""COMPUTED_VALUE"""),"5x3")</f>
        <v>5x3</v>
      </c>
      <c r="H127" s="5">
        <f>IFERROR(__xludf.DUMMYFUNCTION("""COMPUTED_VALUE"""),5.0)</f>
        <v>5</v>
      </c>
      <c r="I127" s="5">
        <f>IFERROR(__xludf.DUMMYFUNCTION("""COMPUTED_VALUE"""),5.0)</f>
        <v>5</v>
      </c>
      <c r="J127" s="5" t="str">
        <f>IFERROR(__xludf.DUMMYFUNCTION("""COMPUTED_VALUE"""),"96%")</f>
        <v>96%</v>
      </c>
      <c r="K127" s="5" t="str">
        <f>IFERROR(__xludf.DUMMYFUNCTION("""COMPUTED_VALUE"""),"Low")</f>
        <v>Low</v>
      </c>
      <c r="L127" s="5" t="str">
        <f>IFERROR(__xludf.DUMMYFUNCTION("""COMPUTED_VALUE"""),"16.38%")</f>
        <v>16.38%</v>
      </c>
      <c r="M127" s="5" t="str">
        <f>IFERROR(__xludf.DUMMYFUNCTION("""COMPUTED_VALUE"""),"x10000")</f>
        <v>x10000</v>
      </c>
      <c r="N127" s="5" t="str">
        <f>IFERROR(__xludf.DUMMYFUNCTION("""COMPUTED_VALUE"""),"0.05/100")</f>
        <v>0.05/100</v>
      </c>
      <c r="O127" s="5" t="str">
        <f>IFERROR(__xludf.DUMMYFUNCTION("""COMPUTED_VALUE"""),"No")</f>
        <v>No</v>
      </c>
      <c r="P127" s="5"/>
      <c r="Q127" s="7" t="str">
        <f>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R127" s="5" t="str">
        <f>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S127" s="5" t="str">
        <f>IFERROR(__xludf.DUMMYFUNCTION("""COMPUTED_VALUE"""),"English(""eng"")")</f>
        <v>English("eng")</v>
      </c>
      <c r="T127" s="5" t="str">
        <f>IFERROR(__xludf.DUMMYFUNCTION("""COMPUTED_VALUE"""),"Yes")</f>
        <v>Yes</v>
      </c>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t="str">
        <f>IFERROR(__xludf.DUMMYFUNCTION("""COMPUTED_VALUE"""),"")</f>
        <v/>
      </c>
    </row>
    <row r="128">
      <c r="A128" s="5" t="str">
        <f>IFERROR(__xludf.DUMMYFUNCTION("""COMPUTED_VALUE"""),"Tiptop")</f>
        <v>Tiptop</v>
      </c>
      <c r="B128" s="5" t="str">
        <f>IFERROR(__xludf.DUMMYFUNCTION("""COMPUTED_VALUE"""),"Money Standard Jackpot")</f>
        <v>Money Standard Jackpot</v>
      </c>
      <c r="C128" s="5" t="str">
        <f>IFERROR(__xludf.DUMMYFUNCTION("""COMPUTED_VALUE"""),"UnicornMoneyStandardJackpot")</f>
        <v>UnicornMoneyStandardJackpot</v>
      </c>
      <c r="D128" s="6">
        <f>IFERROR(__xludf.DUMMYFUNCTION("""COMPUTED_VALUE"""),46148.0)</f>
        <v>46148</v>
      </c>
      <c r="E128" s="5" t="str">
        <f>IFERROR(__xludf.DUMMYFUNCTION("""COMPUTED_VALUE"""),"Slot")</f>
        <v>Slot</v>
      </c>
      <c r="F128" s="5">
        <f>IFERROR(__xludf.DUMMYFUNCTION("""COMPUTED_VALUE"""),11.3)</f>
        <v>11.3</v>
      </c>
      <c r="G128" s="5" t="str">
        <f>IFERROR(__xludf.DUMMYFUNCTION("""COMPUTED_VALUE"""),"5x4")</f>
        <v>5x4</v>
      </c>
      <c r="H128" s="5">
        <f>IFERROR(__xludf.DUMMYFUNCTION("""COMPUTED_VALUE"""),20.0)</f>
        <v>20</v>
      </c>
      <c r="I128" s="5">
        <f>IFERROR(__xludf.DUMMYFUNCTION("""COMPUTED_VALUE"""),20.0)</f>
        <v>20</v>
      </c>
      <c r="J128" s="5" t="str">
        <f>IFERROR(__xludf.DUMMYFUNCTION("""COMPUTED_VALUE"""),"96%")</f>
        <v>96%</v>
      </c>
      <c r="K128" s="5" t="str">
        <f>IFERROR(__xludf.DUMMYFUNCTION("""COMPUTED_VALUE"""),"Low")</f>
        <v>Low</v>
      </c>
      <c r="L128" s="5" t="str">
        <f>IFERROR(__xludf.DUMMYFUNCTION("""COMPUTED_VALUE"""),"11.93%")</f>
        <v>11.93%</v>
      </c>
      <c r="M128" s="5" t="str">
        <f>IFERROR(__xludf.DUMMYFUNCTION("""COMPUTED_VALUE"""),"x10000")</f>
        <v>x10000</v>
      </c>
      <c r="N128" s="5" t="str">
        <f>IFERROR(__xludf.DUMMYFUNCTION("""COMPUTED_VALUE"""),"0.05/100")</f>
        <v>0.05/100</v>
      </c>
      <c r="O128" s="5" t="str">
        <f>IFERROR(__xludf.DUMMYFUNCTION("""COMPUTED_VALUE"""),"No")</f>
        <v>No</v>
      </c>
      <c r="P128" s="5"/>
      <c r="Q128" s="7" t="str">
        <f>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R128" s="5" t="str">
        <f>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S128" s="5" t="str">
        <f>IFERROR(__xludf.DUMMYFUNCTION("""COMPUTED_VALUE"""),"English(""eng"")")</f>
        <v>English("eng")</v>
      </c>
      <c r="T128" s="5" t="str">
        <f>IFERROR(__xludf.DUMMYFUNCTION("""COMPUTED_VALUE"""),"Yes")</f>
        <v>Yes</v>
      </c>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t="str">
        <f>IFERROR(__xludf.DUMMYFUNCTION("""COMPUTED_VALUE"""),"")</f>
        <v/>
      </c>
    </row>
    <row r="129">
      <c r="A129" s="5" t="str">
        <f>IFERROR(__xludf.DUMMYFUNCTION("""COMPUTED_VALUE"""),"Tiptop")</f>
        <v>Tiptop</v>
      </c>
      <c r="B129" s="5" t="str">
        <f>IFERROR(__xludf.DUMMYFUNCTION("""COMPUTED_VALUE"""),"Shiny Fireballs")</f>
        <v>Shiny Fireballs</v>
      </c>
      <c r="C129" s="5" t="str">
        <f>IFERROR(__xludf.DUMMYFUNCTION("""COMPUTED_VALUE"""),"UnicornShinyFireballs")</f>
        <v>UnicornShinyFireballs</v>
      </c>
      <c r="D129" s="6">
        <f>IFERROR(__xludf.DUMMYFUNCTION("""COMPUTED_VALUE"""),46155.0)</f>
        <v>46155</v>
      </c>
      <c r="E129" s="5" t="str">
        <f>IFERROR(__xludf.DUMMYFUNCTION("""COMPUTED_VALUE"""),"Slot")</f>
        <v>Slot</v>
      </c>
      <c r="F129" s="5">
        <f>IFERROR(__xludf.DUMMYFUNCTION("""COMPUTED_VALUE"""),16.19)</f>
        <v>16.19</v>
      </c>
      <c r="G129" s="5" t="str">
        <f>IFERROR(__xludf.DUMMYFUNCTION("""COMPUTED_VALUE"""),"5x3")</f>
        <v>5x3</v>
      </c>
      <c r="H129" s="5">
        <f>IFERROR(__xludf.DUMMYFUNCTION("""COMPUTED_VALUE"""),10.0)</f>
        <v>10</v>
      </c>
      <c r="I129" s="5">
        <f>IFERROR(__xludf.DUMMYFUNCTION("""COMPUTED_VALUE"""),10.0)</f>
        <v>10</v>
      </c>
      <c r="J129" s="5" t="str">
        <f>IFERROR(__xludf.DUMMYFUNCTION("""COMPUTED_VALUE"""),"96%")</f>
        <v>96%</v>
      </c>
      <c r="K129" s="5" t="str">
        <f>IFERROR(__xludf.DUMMYFUNCTION("""COMPUTED_VALUE"""),"Low")</f>
        <v>Low</v>
      </c>
      <c r="L129" s="5" t="str">
        <f>IFERROR(__xludf.DUMMYFUNCTION("""COMPUTED_VALUE"""),"15%")</f>
        <v>15%</v>
      </c>
      <c r="M129" s="5" t="str">
        <f>IFERROR(__xludf.DUMMYFUNCTION("""COMPUTED_VALUE"""),"x1615")</f>
        <v>x1615</v>
      </c>
      <c r="N129" s="5" t="str">
        <f>IFERROR(__xludf.DUMMYFUNCTION("""COMPUTED_VALUE"""),"0.05/100")</f>
        <v>0.05/100</v>
      </c>
      <c r="O129" s="5" t="str">
        <f>IFERROR(__xludf.DUMMYFUNCTION("""COMPUTED_VALUE"""),"No")</f>
        <v>No</v>
      </c>
      <c r="P129" s="5"/>
      <c r="Q129" s="7" t="str">
        <f>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R129" s="5" t="str">
        <f>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S129" s="5" t="str">
        <f>IFERROR(__xludf.DUMMYFUNCTION("""COMPUTED_VALUE"""),"English(""eng"")")</f>
        <v>English("eng")</v>
      </c>
      <c r="T129" s="5" t="str">
        <f>IFERROR(__xludf.DUMMYFUNCTION("""COMPUTED_VALUE"""),"Yes")</f>
        <v>Yes</v>
      </c>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t="str">
        <f>IFERROR(__xludf.DUMMYFUNCTION("""COMPUTED_VALUE"""),"")</f>
        <v/>
      </c>
    </row>
    <row r="130">
      <c r="A130" s="5" t="str">
        <f>IFERROR(__xludf.DUMMYFUNCTION("""COMPUTED_VALUE"""),"Tiptop")</f>
        <v>Tiptop</v>
      </c>
      <c r="B130" s="5" t="str">
        <f>IFERROR(__xludf.DUMMYFUNCTION("""COMPUTED_VALUE"""),"Hot Eighty One")</f>
        <v>Hot Eighty One</v>
      </c>
      <c r="C130" s="5" t="str">
        <f>IFERROR(__xludf.DUMMYFUNCTION("""COMPUTED_VALUE"""),"UnicornHotEightyOne")</f>
        <v>UnicornHotEightyOne</v>
      </c>
      <c r="D130" s="6">
        <f>IFERROR(__xludf.DUMMYFUNCTION("""COMPUTED_VALUE"""),46162.0)</f>
        <v>46162</v>
      </c>
      <c r="E130" s="5" t="str">
        <f>IFERROR(__xludf.DUMMYFUNCTION("""COMPUTED_VALUE"""),"Slot")</f>
        <v>Slot</v>
      </c>
      <c r="F130" s="5">
        <f>IFERROR(__xludf.DUMMYFUNCTION("""COMPUTED_VALUE"""),11.8)</f>
        <v>11.8</v>
      </c>
      <c r="G130" s="5" t="str">
        <f>IFERROR(__xludf.DUMMYFUNCTION("""COMPUTED_VALUE"""),"4x3")</f>
        <v>4x3</v>
      </c>
      <c r="H130" s="5">
        <f>IFERROR(__xludf.DUMMYFUNCTION("""COMPUTED_VALUE"""),81.0)</f>
        <v>81</v>
      </c>
      <c r="I130" s="5">
        <f>IFERROR(__xludf.DUMMYFUNCTION("""COMPUTED_VALUE"""),81.0)</f>
        <v>81</v>
      </c>
      <c r="J130" s="5" t="str">
        <f>IFERROR(__xludf.DUMMYFUNCTION("""COMPUTED_VALUE"""),"96%")</f>
        <v>96%</v>
      </c>
      <c r="K130" s="5" t="str">
        <f>IFERROR(__xludf.DUMMYFUNCTION("""COMPUTED_VALUE"""),"Low")</f>
        <v>Low</v>
      </c>
      <c r="L130" s="5" t="str">
        <f>IFERROR(__xludf.DUMMYFUNCTION("""COMPUTED_VALUE"""),"10.5%")</f>
        <v>10.5%</v>
      </c>
      <c r="M130" s="5" t="str">
        <f>IFERROR(__xludf.DUMMYFUNCTION("""COMPUTED_VALUE"""),"x8400")</f>
        <v>x8400</v>
      </c>
      <c r="N130" s="5" t="str">
        <f>IFERROR(__xludf.DUMMYFUNCTION("""COMPUTED_VALUE"""),"0.05/100")</f>
        <v>0.05/100</v>
      </c>
      <c r="O130" s="5" t="str">
        <f>IFERROR(__xludf.DUMMYFUNCTION("""COMPUTED_VALUE"""),"No")</f>
        <v>No</v>
      </c>
      <c r="P130" s="5"/>
      <c r="Q130" s="7" t="str">
        <f>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R130" s="5" t="str">
        <f>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S130" s="5" t="str">
        <f>IFERROR(__xludf.DUMMYFUNCTION("""COMPUTED_VALUE"""),"English(""eng"")")</f>
        <v>English("eng")</v>
      </c>
      <c r="T130" s="5" t="str">
        <f>IFERROR(__xludf.DUMMYFUNCTION("""COMPUTED_VALUE"""),"Yes")</f>
        <v>Yes</v>
      </c>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t="str">
        <f>IFERROR(__xludf.DUMMYFUNCTION("""COMPUTED_VALUE"""),"")</f>
        <v/>
      </c>
    </row>
    <row r="131">
      <c r="A131" s="5" t="str">
        <f>IFERROR(__xludf.DUMMYFUNCTION("""COMPUTED_VALUE"""),"Tiptop")</f>
        <v>Tiptop</v>
      </c>
      <c r="B131" s="5" t="str">
        <f>IFERROR(__xludf.DUMMYFUNCTION("""COMPUTED_VALUE"""),"Hot Firedice")</f>
        <v>Hot Firedice</v>
      </c>
      <c r="C131" s="5" t="str">
        <f>IFERROR(__xludf.DUMMYFUNCTION("""COMPUTED_VALUE"""),"UnicornHotFiredice")</f>
        <v>UnicornHotFiredice</v>
      </c>
      <c r="D131" s="6">
        <f>IFERROR(__xludf.DUMMYFUNCTION("""COMPUTED_VALUE"""),46169.0)</f>
        <v>46169</v>
      </c>
      <c r="E131" s="5" t="str">
        <f>IFERROR(__xludf.DUMMYFUNCTION("""COMPUTED_VALUE"""),"Dice Slots")</f>
        <v>Dice Slots</v>
      </c>
      <c r="F131" s="5">
        <f>IFERROR(__xludf.DUMMYFUNCTION("""COMPUTED_VALUE"""),15.44)</f>
        <v>15.44</v>
      </c>
      <c r="G131" s="5" t="str">
        <f>IFERROR(__xludf.DUMMYFUNCTION("""COMPUTED_VALUE"""),"5x3")</f>
        <v>5x3</v>
      </c>
      <c r="H131" s="5">
        <f>IFERROR(__xludf.DUMMYFUNCTION("""COMPUTED_VALUE"""),5.0)</f>
        <v>5</v>
      </c>
      <c r="I131" s="5">
        <f>IFERROR(__xludf.DUMMYFUNCTION("""COMPUTED_VALUE"""),5.0)</f>
        <v>5</v>
      </c>
      <c r="J131" s="5" t="str">
        <f>IFERROR(__xludf.DUMMYFUNCTION("""COMPUTED_VALUE"""),"96%")</f>
        <v>96%</v>
      </c>
      <c r="K131" s="5" t="str">
        <f>IFERROR(__xludf.DUMMYFUNCTION("""COMPUTED_VALUE"""),"Low")</f>
        <v>Low</v>
      </c>
      <c r="L131" s="5" t="str">
        <f>IFERROR(__xludf.DUMMYFUNCTION("""COMPUTED_VALUE"""),"15.33%")</f>
        <v>15.33%</v>
      </c>
      <c r="M131" s="5" t="str">
        <f>IFERROR(__xludf.DUMMYFUNCTION("""COMPUTED_VALUE"""),"x1260")</f>
        <v>x1260</v>
      </c>
      <c r="N131" s="5" t="str">
        <f>IFERROR(__xludf.DUMMYFUNCTION("""COMPUTED_VALUE"""),"0.01/100")</f>
        <v>0.01/100</v>
      </c>
      <c r="O131" s="5" t="str">
        <f>IFERROR(__xludf.DUMMYFUNCTION("""COMPUTED_VALUE"""),"No")</f>
        <v>No</v>
      </c>
      <c r="P131" s="5"/>
      <c r="Q131" s="7" t="str">
        <f>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R131" s="5" t="str">
        <f>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S131" s="5"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T131" s="5" t="str">
        <f>IFERROR(__xludf.DUMMYFUNCTION("""COMPUTED_VALUE"""),"Yes")</f>
        <v>Yes</v>
      </c>
      <c r="U131" s="5" t="str">
        <f>IFERROR(__xludf.DUMMYFUNCTION("""COMPUTED_VALUE"""),"Yes")</f>
        <v>Yes</v>
      </c>
      <c r="V131" s="5" t="str">
        <f>IFERROR(__xludf.DUMMYFUNCTION("""COMPUTED_VALUE"""),"Yes")</f>
        <v>Yes</v>
      </c>
      <c r="W131" s="5" t="str">
        <f>IFERROR(__xludf.DUMMYFUNCTION("""COMPUTED_VALUE"""),"No")</f>
        <v>No</v>
      </c>
      <c r="X131" s="5" t="str">
        <f>IFERROR(__xludf.DUMMYFUNCTION("""COMPUTED_VALUE"""),"Yes")</f>
        <v>Yes</v>
      </c>
      <c r="Y131" s="5" t="str">
        <f>IFERROR(__xludf.DUMMYFUNCTION("""COMPUTED_VALUE"""),"No")</f>
        <v>No</v>
      </c>
      <c r="Z131" s="5" t="str">
        <f>IFERROR(__xludf.DUMMYFUNCTION("""COMPUTED_VALUE"""),"No")</f>
        <v>No</v>
      </c>
      <c r="AA131" s="5" t="str">
        <f>IFERROR(__xludf.DUMMYFUNCTION("""COMPUTED_VALUE"""),"No")</f>
        <v>No</v>
      </c>
      <c r="AB131" s="5" t="str">
        <f>IFERROR(__xludf.DUMMYFUNCTION("""COMPUTED_VALUE"""),"Yes")</f>
        <v>Yes</v>
      </c>
      <c r="AC131" s="5" t="str">
        <f>IFERROR(__xludf.DUMMYFUNCTION("""COMPUTED_VALUE"""),"Yes")</f>
        <v>Yes</v>
      </c>
      <c r="AD131" s="5" t="str">
        <f>IFERROR(__xludf.DUMMYFUNCTION("""COMPUTED_VALUE"""),"Yes")</f>
        <v>Yes</v>
      </c>
      <c r="AE131" s="5" t="str">
        <f>IFERROR(__xludf.DUMMYFUNCTION("""COMPUTED_VALUE"""),"Yes")</f>
        <v>Yes</v>
      </c>
      <c r="AF131" s="5" t="str">
        <f>IFERROR(__xludf.DUMMYFUNCTION("""COMPUTED_VALUE"""),"Yes")</f>
        <v>Yes</v>
      </c>
      <c r="AG131" s="5" t="str">
        <f>IFERROR(__xludf.DUMMYFUNCTION("""COMPUTED_VALUE"""),"Yes")</f>
        <v>Yes</v>
      </c>
      <c r="AH131" s="5" t="str">
        <f>IFERROR(__xludf.DUMMYFUNCTION("""COMPUTED_VALUE"""),"Yes")</f>
        <v>Yes</v>
      </c>
      <c r="AI131" s="5" t="str">
        <f>IFERROR(__xludf.DUMMYFUNCTION("""COMPUTED_VALUE"""),"No")</f>
        <v>No</v>
      </c>
      <c r="AJ131" s="5" t="str">
        <f>IFERROR(__xludf.DUMMYFUNCTION("""COMPUTED_VALUE"""),"No")</f>
        <v>No</v>
      </c>
      <c r="AK131" s="5" t="str">
        <f>IFERROR(__xludf.DUMMYFUNCTION("""COMPUTED_VALUE"""),"No")</f>
        <v>No</v>
      </c>
      <c r="AL131" s="5" t="str">
        <f>IFERROR(__xludf.DUMMYFUNCTION("""COMPUTED_VALUE"""),"No")</f>
        <v>No</v>
      </c>
      <c r="AM131" s="5" t="str">
        <f>IFERROR(__xludf.DUMMYFUNCTION("""COMPUTED_VALUE"""),"No")</f>
        <v>No</v>
      </c>
      <c r="AN131" s="5" t="str">
        <f>IFERROR(__xludf.DUMMYFUNCTION("""COMPUTED_VALUE"""),"No")</f>
        <v>No</v>
      </c>
      <c r="AO131" s="5" t="str">
        <f>IFERROR(__xludf.DUMMYFUNCTION("""COMPUTED_VALUE"""),"Yes")</f>
        <v>Yes</v>
      </c>
      <c r="AP131" s="5" t="str">
        <f>IFERROR(__xludf.DUMMYFUNCTION("""COMPUTED_VALUE"""),"No")</f>
        <v>No</v>
      </c>
      <c r="AQ131" s="5" t="str">
        <f>IFERROR(__xludf.DUMMYFUNCTION("""COMPUTED_VALUE"""),"No")</f>
        <v>No</v>
      </c>
      <c r="AR131" s="5" t="str">
        <f>IFERROR(__xludf.DUMMYFUNCTION("""COMPUTED_VALUE"""),"No")</f>
        <v>No</v>
      </c>
      <c r="AS131" s="5" t="str">
        <f>IFERROR(__xludf.DUMMYFUNCTION("""COMPUTED_VALUE"""),"Yes")</f>
        <v>Yes</v>
      </c>
      <c r="AT131" s="5" t="str">
        <f>IFERROR(__xludf.DUMMYFUNCTION("""COMPUTED_VALUE"""),"Yes")</f>
        <v>Yes</v>
      </c>
      <c r="AU131" s="5"/>
      <c r="AV131" s="5" t="str">
        <f>IFERROR(__xludf.DUMMYFUNCTION("""COMPUTED_VALUE"""),"")</f>
        <v/>
      </c>
    </row>
    <row r="132">
      <c r="A132" s="5" t="str">
        <f>IFERROR(__xludf.DUMMYFUNCTION("""COMPUTED_VALUE"""),"Tiptop")</f>
        <v>Tiptop</v>
      </c>
      <c r="B132" s="5" t="str">
        <f>IFERROR(__xludf.DUMMYFUNCTION("""COMPUTED_VALUE"""),"Mystic Treasure")</f>
        <v>Mystic Treasure</v>
      </c>
      <c r="C132" s="5" t="str">
        <f>IFERROR(__xludf.DUMMYFUNCTION("""COMPUTED_VALUE"""),"UnicornMysticTreasure")</f>
        <v>UnicornMysticTreasure</v>
      </c>
      <c r="D132" s="6">
        <f>IFERROR(__xludf.DUMMYFUNCTION("""COMPUTED_VALUE"""),46183.0)</f>
        <v>46183</v>
      </c>
      <c r="E132" s="5" t="str">
        <f>IFERROR(__xludf.DUMMYFUNCTION("""COMPUTED_VALUE"""),"Slot")</f>
        <v>Slot</v>
      </c>
      <c r="F132" s="5">
        <f>IFERROR(__xludf.DUMMYFUNCTION("""COMPUTED_VALUE"""),12.62)</f>
        <v>12.62</v>
      </c>
      <c r="G132" s="5" t="str">
        <f>IFERROR(__xludf.DUMMYFUNCTION("""COMPUTED_VALUE"""),"5x3")</f>
        <v>5x3</v>
      </c>
      <c r="H132" s="5">
        <f>IFERROR(__xludf.DUMMYFUNCTION("""COMPUTED_VALUE"""),5.0)</f>
        <v>5</v>
      </c>
      <c r="I132" s="5">
        <f>IFERROR(__xludf.DUMMYFUNCTION("""COMPUTED_VALUE"""),5.0)</f>
        <v>5</v>
      </c>
      <c r="J132" s="5" t="str">
        <f>IFERROR(__xludf.DUMMYFUNCTION("""COMPUTED_VALUE"""),"96%")</f>
        <v>96%</v>
      </c>
      <c r="K132" s="5" t="str">
        <f>IFERROR(__xludf.DUMMYFUNCTION("""COMPUTED_VALUE"""),"Low")</f>
        <v>Low</v>
      </c>
      <c r="L132" s="5" t="str">
        <f>IFERROR(__xludf.DUMMYFUNCTION("""COMPUTED_VALUE"""),"17.6%")</f>
        <v>17.6%</v>
      </c>
      <c r="M132" s="5" t="str">
        <f>IFERROR(__xludf.DUMMYFUNCTION("""COMPUTED_VALUE"""),"x1400")</f>
        <v>x1400</v>
      </c>
      <c r="N132" s="5" t="str">
        <f>IFERROR(__xludf.DUMMYFUNCTION("""COMPUTED_VALUE"""),"0.01/100")</f>
        <v>0.01/100</v>
      </c>
      <c r="O132" s="5" t="str">
        <f>IFERROR(__xludf.DUMMYFUNCTION("""COMPUTED_VALUE"""),"No")</f>
        <v>No</v>
      </c>
      <c r="P132" s="5"/>
      <c r="Q132" s="7" t="str">
        <f>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R132" s="5" t="str">
        <f>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S132" s="5" t="str">
        <f>IFERROR(__xludf.DUMMYFUNCTION("""COMPUTED_VALUE"""),"English(""eng"")")</f>
        <v>English("eng")</v>
      </c>
      <c r="T132" s="5" t="str">
        <f>IFERROR(__xludf.DUMMYFUNCTION("""COMPUTED_VALUE"""),"Yes")</f>
        <v>Yes</v>
      </c>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t="str">
        <f>IFERROR(__xludf.DUMMYFUNCTION("""COMPUTED_VALUE"""),"")</f>
        <v/>
      </c>
    </row>
    <row r="133">
      <c r="A133" s="5" t="str">
        <f>IFERROR(__xludf.DUMMYFUNCTION("""COMPUTED_VALUE"""),"Tiptop")</f>
        <v>Tiptop</v>
      </c>
      <c r="B133" s="5" t="str">
        <f>IFERROR(__xludf.DUMMYFUNCTION("""COMPUTED_VALUE"""),"Golden Gate Dice")</f>
        <v>Golden Gate Dice</v>
      </c>
      <c r="C133" s="5" t="str">
        <f>IFERROR(__xludf.DUMMYFUNCTION("""COMPUTED_VALUE"""),"UnicornGoldenGateDice")</f>
        <v>UnicornGoldenGateDice</v>
      </c>
      <c r="D133" s="6">
        <f>IFERROR(__xludf.DUMMYFUNCTION("""COMPUTED_VALUE"""),46190.0)</f>
        <v>46190</v>
      </c>
      <c r="E133" s="5" t="str">
        <f>IFERROR(__xludf.DUMMYFUNCTION("""COMPUTED_VALUE"""),"Dice Slots")</f>
        <v>Dice Slots</v>
      </c>
      <c r="F133" s="5">
        <f>IFERROR(__xludf.DUMMYFUNCTION("""COMPUTED_VALUE"""),12.27)</f>
        <v>12.27</v>
      </c>
      <c r="G133" s="5" t="str">
        <f>IFERROR(__xludf.DUMMYFUNCTION("""COMPUTED_VALUE"""),"5x3")</f>
        <v>5x3</v>
      </c>
      <c r="H133" s="5">
        <f>IFERROR(__xludf.DUMMYFUNCTION("""COMPUTED_VALUE"""),5.0)</f>
        <v>5</v>
      </c>
      <c r="I133" s="5">
        <f>IFERROR(__xludf.DUMMYFUNCTION("""COMPUTED_VALUE"""),5.0)</f>
        <v>5</v>
      </c>
      <c r="J133" s="5" t="str">
        <f>IFERROR(__xludf.DUMMYFUNCTION("""COMPUTED_VALUE"""),"96%")</f>
        <v>96%</v>
      </c>
      <c r="K133" s="5" t="str">
        <f>IFERROR(__xludf.DUMMYFUNCTION("""COMPUTED_VALUE"""),"Low")</f>
        <v>Low</v>
      </c>
      <c r="L133" s="5" t="str">
        <f>IFERROR(__xludf.DUMMYFUNCTION("""COMPUTED_VALUE"""),"16.38%")</f>
        <v>16.38%</v>
      </c>
      <c r="M133" s="5" t="str">
        <f>IFERROR(__xludf.DUMMYFUNCTION("""COMPUTED_VALUE"""),"x10000")</f>
        <v>x10000</v>
      </c>
      <c r="N133" s="5" t="str">
        <f>IFERROR(__xludf.DUMMYFUNCTION("""COMPUTED_VALUE"""),"0.05/100")</f>
        <v>0.05/100</v>
      </c>
      <c r="O133" s="5" t="str">
        <f>IFERROR(__xludf.DUMMYFUNCTION("""COMPUTED_VALUE"""),"No")</f>
        <v>No</v>
      </c>
      <c r="P133" s="5"/>
      <c r="Q133" s="7" t="str">
        <f>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R133" s="5" t="str">
        <f>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S133" s="5" t="str">
        <f>IFERROR(__xludf.DUMMYFUNCTION("""COMPUTED_VALUE"""),"English(""eng"")")</f>
        <v>English("eng")</v>
      </c>
      <c r="T133" s="5" t="str">
        <f>IFERROR(__xludf.DUMMYFUNCTION("""COMPUTED_VALUE"""),"Yes")</f>
        <v>Yes</v>
      </c>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t="str">
        <f>IFERROR(__xludf.DUMMYFUNCTION("""COMPUTED_VALUE"""),"")</f>
        <v/>
      </c>
    </row>
    <row r="134">
      <c r="A134" s="5" t="str">
        <f>IFERROR(__xludf.DUMMYFUNCTION("""COMPUTED_VALUE"""),"Tiptop")</f>
        <v>Tiptop</v>
      </c>
      <c r="B134" s="5" t="str">
        <f>IFERROR(__xludf.DUMMYFUNCTION("""COMPUTED_VALUE"""),"Barrels Of Riches")</f>
        <v>Barrels Of Riches</v>
      </c>
      <c r="C134" s="5" t="str">
        <f>IFERROR(__xludf.DUMMYFUNCTION("""COMPUTED_VALUE"""),"UnicornBarrelsOfRiches")</f>
        <v>UnicornBarrelsOfRiches</v>
      </c>
      <c r="D134" s="6">
        <f>IFERROR(__xludf.DUMMYFUNCTION("""COMPUTED_VALUE"""),46197.0)</f>
        <v>46197</v>
      </c>
      <c r="E134" s="5" t="str">
        <f>IFERROR(__xludf.DUMMYFUNCTION("""COMPUTED_VALUE"""),"Slot")</f>
        <v>Slot</v>
      </c>
      <c r="F134" s="5">
        <f>IFERROR(__xludf.DUMMYFUNCTION("""COMPUTED_VALUE"""),12.93)</f>
        <v>12.93</v>
      </c>
      <c r="G134" s="5" t="str">
        <f>IFERROR(__xludf.DUMMYFUNCTION("""COMPUTED_VALUE"""),"5x3")</f>
        <v>5x3</v>
      </c>
      <c r="H134" s="5">
        <f>IFERROR(__xludf.DUMMYFUNCTION("""COMPUTED_VALUE"""),10.0)</f>
        <v>10</v>
      </c>
      <c r="I134" s="5">
        <f>IFERROR(__xludf.DUMMYFUNCTION("""COMPUTED_VALUE"""),10.0)</f>
        <v>10</v>
      </c>
      <c r="J134" s="5" t="str">
        <f>IFERROR(__xludf.DUMMYFUNCTION("""COMPUTED_VALUE"""),"96%")</f>
        <v>96%</v>
      </c>
      <c r="K134" s="5" t="str">
        <f>IFERROR(__xludf.DUMMYFUNCTION("""COMPUTED_VALUE"""),"Low")</f>
        <v>Low</v>
      </c>
      <c r="L134" s="5" t="str">
        <f>IFERROR(__xludf.DUMMYFUNCTION("""COMPUTED_VALUE"""),"49%")</f>
        <v>49%</v>
      </c>
      <c r="M134" s="5" t="str">
        <f>IFERROR(__xludf.DUMMYFUNCTION("""COMPUTED_VALUE"""),"x5010")</f>
        <v>x5010</v>
      </c>
      <c r="N134" s="5" t="str">
        <f>IFERROR(__xludf.DUMMYFUNCTION("""COMPUTED_VALUE"""),"0.05/100")</f>
        <v>0.05/100</v>
      </c>
      <c r="O134" s="5" t="str">
        <f>IFERROR(__xludf.DUMMYFUNCTION("""COMPUTED_VALUE"""),"No")</f>
        <v>No</v>
      </c>
      <c r="P134" s="5"/>
      <c r="Q134" s="7" t="str">
        <f>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R134" s="5" t="str">
        <f>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S134" s="5" t="str">
        <f>IFERROR(__xludf.DUMMYFUNCTION("""COMPUTED_VALUE"""),"English(""eng"")")</f>
        <v>English("eng")</v>
      </c>
      <c r="T134" s="5" t="str">
        <f>IFERROR(__xludf.DUMMYFUNCTION("""COMPUTED_VALUE"""),"Yes")</f>
        <v>Yes</v>
      </c>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t="str">
        <f>IFERROR(__xludf.DUMMYFUNCTION("""COMPUTED_VALUE"""),"")</f>
        <v/>
      </c>
    </row>
    <row r="135">
      <c r="A135" s="5" t="str">
        <f>IFERROR(__xludf.DUMMYFUNCTION("""COMPUTED_VALUE"""),"Tiptop")</f>
        <v>Tiptop</v>
      </c>
      <c r="B135" s="5" t="str">
        <f>IFERROR(__xludf.DUMMYFUNCTION("""COMPUTED_VALUE"""),"Flamy Fireballs")</f>
        <v>Flamy Fireballs</v>
      </c>
      <c r="C135" s="5" t="str">
        <f>IFERROR(__xludf.DUMMYFUNCTION("""COMPUTED_VALUE"""),"UnicornFlamyFireballs")</f>
        <v>UnicornFlamyFireballs</v>
      </c>
      <c r="D135" s="6">
        <f>IFERROR(__xludf.DUMMYFUNCTION("""COMPUTED_VALUE"""),46204.0)</f>
        <v>46204</v>
      </c>
      <c r="E135" s="5" t="str">
        <f>IFERROR(__xludf.DUMMYFUNCTION("""COMPUTED_VALUE"""),"Slot")</f>
        <v>Slot</v>
      </c>
      <c r="F135" s="5">
        <f>IFERROR(__xludf.DUMMYFUNCTION("""COMPUTED_VALUE"""),14.08)</f>
        <v>14.08</v>
      </c>
      <c r="G135" s="5" t="str">
        <f>IFERROR(__xludf.DUMMYFUNCTION("""COMPUTED_VALUE"""),"5x4")</f>
        <v>5x4</v>
      </c>
      <c r="H135" s="5">
        <f>IFERROR(__xludf.DUMMYFUNCTION("""COMPUTED_VALUE"""),40.0)</f>
        <v>40</v>
      </c>
      <c r="I135" s="5">
        <f>IFERROR(__xludf.DUMMYFUNCTION("""COMPUTED_VALUE"""),40.0)</f>
        <v>40</v>
      </c>
      <c r="J135" s="5" t="str">
        <f>IFERROR(__xludf.DUMMYFUNCTION("""COMPUTED_VALUE"""),"96%")</f>
        <v>96%</v>
      </c>
      <c r="K135" s="5" t="str">
        <f>IFERROR(__xludf.DUMMYFUNCTION("""COMPUTED_VALUE"""),"Low")</f>
        <v>Low</v>
      </c>
      <c r="L135" s="5" t="str">
        <f>IFERROR(__xludf.DUMMYFUNCTION("""COMPUTED_VALUE"""),"14.45%")</f>
        <v>14.45%</v>
      </c>
      <c r="M135" s="5" t="str">
        <f>IFERROR(__xludf.DUMMYFUNCTION("""COMPUTED_VALUE"""),"x1000")</f>
        <v>x1000</v>
      </c>
      <c r="N135" s="5" t="str">
        <f>IFERROR(__xludf.DUMMYFUNCTION("""COMPUTED_VALUE"""),"0.05/100")</f>
        <v>0.05/100</v>
      </c>
      <c r="O135" s="5" t="str">
        <f>IFERROR(__xludf.DUMMYFUNCTION("""COMPUTED_VALUE"""),"No")</f>
        <v>No</v>
      </c>
      <c r="P135" s="5"/>
      <c r="Q135" s="7" t="str">
        <f>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R135" s="5" t="str">
        <f>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S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IFERROR(__xludf.DUMMYFUNCTION("""COMPUTED_VALUE"""),"Yes")</f>
        <v>Yes</v>
      </c>
      <c r="AD135" s="5" t="str">
        <f>IFERROR(__xludf.DUMMYFUNCTION("""COMPUTED_VALUE"""),"Yes")</f>
        <v>Yes</v>
      </c>
      <c r="AE135" s="5" t="str">
        <f>IFERROR(__xludf.DUMMYFUNCTION("""COMPUTED_VALUE"""),"Yes")</f>
        <v>Yes</v>
      </c>
      <c r="AF135" s="5" t="str">
        <f>IFERROR(__xludf.DUMMYFUNCTION("""COMPUTED_VALUE"""),"Yes")</f>
        <v>Yes</v>
      </c>
      <c r="AG135" s="5" t="str">
        <f>IFERROR(__xludf.DUMMYFUNCTION("""COMPUTED_VALUE"""),"Yes")</f>
        <v>Yes</v>
      </c>
      <c r="AH135" s="5" t="str">
        <f>IFERROR(__xludf.DUMMYFUNCTION("""COMPUTED_VALUE"""),"Yes")</f>
        <v>Yes</v>
      </c>
      <c r="AI135" s="5" t="str">
        <f>IFERROR(__xludf.DUMMYFUNCTION("""COMPUTED_VALUE"""),"Yes")</f>
        <v>Yes</v>
      </c>
      <c r="AJ135" s="5" t="str">
        <f>IFERROR(__xludf.DUMMYFUNCTION("""COMPUTED_VALUE"""),"Yes")</f>
        <v>Yes</v>
      </c>
      <c r="AK135" s="5" t="str">
        <f>IFERROR(__xludf.DUMMYFUNCTION("""COMPUTED_VALUE"""),"Yes")</f>
        <v>Yes</v>
      </c>
      <c r="AL135" s="5" t="str">
        <f>IFERROR(__xludf.DUMMYFUNCTION("""COMPUTED_VALUE"""),"Yes")</f>
        <v>Yes</v>
      </c>
      <c r="AM135" s="5" t="str">
        <f>IFERROR(__xludf.DUMMYFUNCTION("""COMPUTED_VALUE"""),"Yes")</f>
        <v>Yes</v>
      </c>
      <c r="AN135" s="5" t="str">
        <f>IFERROR(__xludf.DUMMYFUNCTION("""COMPUTED_VALUE"""),"Yes")</f>
        <v>Yes</v>
      </c>
      <c r="AO135" s="5" t="str">
        <f>IFERROR(__xludf.DUMMYFUNCTION("""COMPUTED_VALUE"""),"Yes")</f>
        <v>Yes</v>
      </c>
      <c r="AP135" s="5" t="str">
        <f>IFERROR(__xludf.DUMMYFUNCTION("""COMPUTED_VALUE"""),"Yes")</f>
        <v>Yes</v>
      </c>
      <c r="AQ135" s="5" t="str">
        <f>IFERROR(__xludf.DUMMYFUNCTION("""COMPUTED_VALUE"""),"Yes")</f>
        <v>Yes</v>
      </c>
      <c r="AR135" s="5" t="str">
        <f>IFERROR(__xludf.DUMMYFUNCTION("""COMPUTED_VALUE"""),"Yes")</f>
        <v>Yes</v>
      </c>
      <c r="AS135" s="5" t="str">
        <f>IFERROR(__xludf.DUMMYFUNCTION("""COMPUTED_VALUE"""),"Yes")</f>
        <v>Yes</v>
      </c>
      <c r="AT135" s="5" t="str">
        <f>IFERROR(__xludf.DUMMYFUNCTION("""COMPUTED_VALUE"""),"No")</f>
        <v>No</v>
      </c>
      <c r="AU135" s="5"/>
      <c r="AV135" s="5" t="str">
        <f>IFERROR(__xludf.DUMMYFUNCTION("""COMPUTED_VALUE"""),"")</f>
        <v/>
      </c>
    </row>
    <row r="136">
      <c r="A136" s="5" t="str">
        <f>IFERROR(__xludf.DUMMYFUNCTION("""COMPUTED_VALUE"""),"Tiptop")</f>
        <v>Tiptop</v>
      </c>
      <c r="B136" s="5" t="str">
        <f>IFERROR(__xludf.DUMMYFUNCTION("""COMPUTED_VALUE"""),"Fruit Play Dice")</f>
        <v>Fruit Play Dice</v>
      </c>
      <c r="C136" s="5" t="str">
        <f>IFERROR(__xludf.DUMMYFUNCTION("""COMPUTED_VALUE"""),"UnicornFruitPlayDice")</f>
        <v>UnicornFruitPlayDice</v>
      </c>
      <c r="D136" s="6">
        <f>IFERROR(__xludf.DUMMYFUNCTION("""COMPUTED_VALUE"""),46209.0)</f>
        <v>46209</v>
      </c>
      <c r="E136" s="5" t="str">
        <f>IFERROR(__xludf.DUMMYFUNCTION("""COMPUTED_VALUE"""),"Dice Slots")</f>
        <v>Dice Slots</v>
      </c>
      <c r="F136" s="5">
        <f>IFERROR(__xludf.DUMMYFUNCTION("""COMPUTED_VALUE"""),12.8)</f>
        <v>12.8</v>
      </c>
      <c r="G136" s="5" t="str">
        <f>IFERROR(__xludf.DUMMYFUNCTION("""COMPUTED_VALUE"""),"5x3")</f>
        <v>5x3</v>
      </c>
      <c r="H136" s="5">
        <f>IFERROR(__xludf.DUMMYFUNCTION("""COMPUTED_VALUE"""),10.0)</f>
        <v>10</v>
      </c>
      <c r="I136" s="5">
        <f>IFERROR(__xludf.DUMMYFUNCTION("""COMPUTED_VALUE"""),10.0)</f>
        <v>10</v>
      </c>
      <c r="J136" s="5" t="str">
        <f>IFERROR(__xludf.DUMMYFUNCTION("""COMPUTED_VALUE"""),"96%")</f>
        <v>96%</v>
      </c>
      <c r="K136" s="5" t="str">
        <f>IFERROR(__xludf.DUMMYFUNCTION("""COMPUTED_VALUE"""),"Low")</f>
        <v>Low</v>
      </c>
      <c r="L136" s="5" t="str">
        <f>IFERROR(__xludf.DUMMYFUNCTION("""COMPUTED_VALUE"""),"15.07%")</f>
        <v>15.07%</v>
      </c>
      <c r="M136" s="5" t="str">
        <f>IFERROR(__xludf.DUMMYFUNCTION("""COMPUTED_VALUE"""),"x10000")</f>
        <v>x10000</v>
      </c>
      <c r="N136" s="5" t="str">
        <f>IFERROR(__xludf.DUMMYFUNCTION("""COMPUTED_VALUE"""),"0.01/100")</f>
        <v>0.01/100</v>
      </c>
      <c r="O136" s="5" t="str">
        <f>IFERROR(__xludf.DUMMYFUNCTION("""COMPUTED_VALUE"""),"No")</f>
        <v>No</v>
      </c>
      <c r="P136" s="5"/>
      <c r="Q136" s="7" t="str">
        <f>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R136" s="5" t="str">
        <f>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S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IFERROR(__xludf.DUMMYFUNCTION("""COMPUTED_VALUE"""),"Yes")</f>
        <v>Yes</v>
      </c>
      <c r="AD136" s="5" t="str">
        <f>IFERROR(__xludf.DUMMYFUNCTION("""COMPUTED_VALUE"""),"Yes")</f>
        <v>Yes</v>
      </c>
      <c r="AE136" s="5" t="str">
        <f>IFERROR(__xludf.DUMMYFUNCTION("""COMPUTED_VALUE"""),"Yes")</f>
        <v>Yes</v>
      </c>
      <c r="AF136" s="5" t="str">
        <f>IFERROR(__xludf.DUMMYFUNCTION("""COMPUTED_VALUE"""),"Yes")</f>
        <v>Yes</v>
      </c>
      <c r="AG136" s="5" t="str">
        <f>IFERROR(__xludf.DUMMYFUNCTION("""COMPUTED_VALUE"""),"Yes")</f>
        <v>Yes</v>
      </c>
      <c r="AH136" s="5" t="str">
        <f>IFERROR(__xludf.DUMMYFUNCTION("""COMPUTED_VALUE"""),"Yes")</f>
        <v>Yes</v>
      </c>
      <c r="AI136" s="5" t="str">
        <f>IFERROR(__xludf.DUMMYFUNCTION("""COMPUTED_VALUE"""),"Yes")</f>
        <v>Yes</v>
      </c>
      <c r="AJ136" s="5" t="str">
        <f>IFERROR(__xludf.DUMMYFUNCTION("""COMPUTED_VALUE"""),"Yes")</f>
        <v>Yes</v>
      </c>
      <c r="AK136" s="5" t="str">
        <f>IFERROR(__xludf.DUMMYFUNCTION("""COMPUTED_VALUE"""),"Yes")</f>
        <v>Yes</v>
      </c>
      <c r="AL136" s="5" t="str">
        <f>IFERROR(__xludf.DUMMYFUNCTION("""COMPUTED_VALUE"""),"Yes")</f>
        <v>Yes</v>
      </c>
      <c r="AM136" s="5" t="str">
        <f>IFERROR(__xludf.DUMMYFUNCTION("""COMPUTED_VALUE"""),"Yes")</f>
        <v>Yes</v>
      </c>
      <c r="AN136" s="5" t="str">
        <f>IFERROR(__xludf.DUMMYFUNCTION("""COMPUTED_VALUE"""),"Yes")</f>
        <v>Yes</v>
      </c>
      <c r="AO136" s="5" t="str">
        <f>IFERROR(__xludf.DUMMYFUNCTION("""COMPUTED_VALUE"""),"Yes")</f>
        <v>Yes</v>
      </c>
      <c r="AP136" s="5" t="str">
        <f>IFERROR(__xludf.DUMMYFUNCTION("""COMPUTED_VALUE"""),"Yes")</f>
        <v>Yes</v>
      </c>
      <c r="AQ136" s="5" t="str">
        <f>IFERROR(__xludf.DUMMYFUNCTION("""COMPUTED_VALUE"""),"Yes")</f>
        <v>Yes</v>
      </c>
      <c r="AR136" s="5" t="str">
        <f>IFERROR(__xludf.DUMMYFUNCTION("""COMPUTED_VALUE"""),"Yes")</f>
        <v>Yes</v>
      </c>
      <c r="AS136" s="5" t="str">
        <f>IFERROR(__xludf.DUMMYFUNCTION("""COMPUTED_VALUE"""),"Yes")</f>
        <v>Yes</v>
      </c>
      <c r="AT136" s="5" t="str">
        <f>IFERROR(__xludf.DUMMYFUNCTION("""COMPUTED_VALUE"""),"No")</f>
        <v>No</v>
      </c>
      <c r="AU136" s="5"/>
      <c r="AV136" s="5" t="str">
        <f>IFERROR(__xludf.DUMMYFUNCTION("""COMPUTED_VALUE"""),"")</f>
        <v/>
      </c>
    </row>
    <row r="137">
      <c r="A137" s="5" t="str">
        <f>IFERROR(__xludf.DUMMYFUNCTION("""COMPUTED_VALUE"""),"Tiptop")</f>
        <v>Tiptop</v>
      </c>
      <c r="B137" s="5" t="str">
        <f>IFERROR(__xludf.DUMMYFUNCTION("""COMPUTED_VALUE"""),"Spin The Sevens")</f>
        <v>Spin The Sevens</v>
      </c>
      <c r="C137" s="5" t="str">
        <f>IFERROR(__xludf.DUMMYFUNCTION("""COMPUTED_VALUE"""),"UnicornSpinTheSevens")</f>
        <v>UnicornSpinTheSevens</v>
      </c>
      <c r="D137" s="6">
        <f>IFERROR(__xludf.DUMMYFUNCTION("""COMPUTED_VALUE"""),46218.0)</f>
        <v>46218</v>
      </c>
      <c r="E137" s="5" t="str">
        <f>IFERROR(__xludf.DUMMYFUNCTION("""COMPUTED_VALUE"""),"Slot")</f>
        <v>Slot</v>
      </c>
      <c r="F137" s="5">
        <f>IFERROR(__xludf.DUMMYFUNCTION("""COMPUTED_VALUE"""),10.7)</f>
        <v>10.7</v>
      </c>
      <c r="G137" s="5" t="str">
        <f>IFERROR(__xludf.DUMMYFUNCTION("""COMPUTED_VALUE"""),"5x3")</f>
        <v>5x3</v>
      </c>
      <c r="H137" s="5">
        <f>IFERROR(__xludf.DUMMYFUNCTION("""COMPUTED_VALUE"""),10.0)</f>
        <v>10</v>
      </c>
      <c r="I137" s="5">
        <f>IFERROR(__xludf.DUMMYFUNCTION("""COMPUTED_VALUE"""),10.0)</f>
        <v>10</v>
      </c>
      <c r="J137" s="5" t="str">
        <f>IFERROR(__xludf.DUMMYFUNCTION("""COMPUTED_VALUE"""),"96%")</f>
        <v>96%</v>
      </c>
      <c r="K137" s="5" t="str">
        <f>IFERROR(__xludf.DUMMYFUNCTION("""COMPUTED_VALUE"""),"Low")</f>
        <v>Low</v>
      </c>
      <c r="L137" s="5" t="str">
        <f>IFERROR(__xludf.DUMMYFUNCTION("""COMPUTED_VALUE"""),"10.84%")</f>
        <v>10.84%</v>
      </c>
      <c r="M137" s="5" t="str">
        <f>IFERROR(__xludf.DUMMYFUNCTION("""COMPUTED_VALUE"""),"x1200")</f>
        <v>x1200</v>
      </c>
      <c r="N137" s="5" t="str">
        <f>IFERROR(__xludf.DUMMYFUNCTION("""COMPUTED_VALUE"""),"0.05/100")</f>
        <v>0.05/100</v>
      </c>
      <c r="O137" s="5" t="str">
        <f>IFERROR(__xludf.DUMMYFUNCTION("""COMPUTED_VALUE"""),"No")</f>
        <v>No</v>
      </c>
      <c r="P137" s="5"/>
      <c r="Q137" s="7" t="str">
        <f>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R137" s="5" t="str">
        <f>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S137" s="5" t="str">
        <f>IFERROR(__xludf.DUMMYFUNCTION("""COMPUTED_VALUE"""),"English(""eng"")")</f>
        <v>English("eng")</v>
      </c>
      <c r="T137" s="5" t="str">
        <f>IFERROR(__xludf.DUMMYFUNCTION("""COMPUTED_VALUE"""),"Yes")</f>
        <v>Yes</v>
      </c>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t="str">
        <f>IFERROR(__xludf.DUMMYFUNCTION("""COMPUTED_VALUE"""),"")</f>
        <v/>
      </c>
    </row>
    <row r="138">
      <c r="A138" s="5" t="str">
        <f>IFERROR(__xludf.DUMMYFUNCTION("""COMPUTED_VALUE"""),"Tiptop")</f>
        <v>Tiptop</v>
      </c>
      <c r="B138" s="5" t="str">
        <f>IFERROR(__xludf.DUMMYFUNCTION("""COMPUTED_VALUE"""),"Crazy Wild Sevens")</f>
        <v>Crazy Wild Sevens</v>
      </c>
      <c r="C138" s="5" t="str">
        <f>IFERROR(__xludf.DUMMYFUNCTION("""COMPUTED_VALUE"""),"UnicornCrazyWildSevens")</f>
        <v>UnicornCrazyWildSevens</v>
      </c>
      <c r="D138" s="6">
        <f>IFERROR(__xludf.DUMMYFUNCTION("""COMPUTED_VALUE"""),46225.0)</f>
        <v>46225</v>
      </c>
      <c r="E138" s="5" t="str">
        <f>IFERROR(__xludf.DUMMYFUNCTION("""COMPUTED_VALUE"""),"Slot")</f>
        <v>Slot</v>
      </c>
      <c r="F138" s="5">
        <f>IFERROR(__xludf.DUMMYFUNCTION("""COMPUTED_VALUE"""),11.08)</f>
        <v>11.08</v>
      </c>
      <c r="G138" s="5" t="str">
        <f>IFERROR(__xludf.DUMMYFUNCTION("""COMPUTED_VALUE"""),"5x3")</f>
        <v>5x3</v>
      </c>
      <c r="H138" s="5">
        <f>IFERROR(__xludf.DUMMYFUNCTION("""COMPUTED_VALUE"""),5.0)</f>
        <v>5</v>
      </c>
      <c r="I138" s="5">
        <f>IFERROR(__xludf.DUMMYFUNCTION("""COMPUTED_VALUE"""),5.0)</f>
        <v>5</v>
      </c>
      <c r="J138" s="5" t="str">
        <f>IFERROR(__xludf.DUMMYFUNCTION("""COMPUTED_VALUE"""),"96%")</f>
        <v>96%</v>
      </c>
      <c r="K138" s="5" t="str">
        <f>IFERROR(__xludf.DUMMYFUNCTION("""COMPUTED_VALUE"""),"Low")</f>
        <v>Low</v>
      </c>
      <c r="L138" s="5" t="str">
        <f>IFERROR(__xludf.DUMMYFUNCTION("""COMPUTED_VALUE"""),"15.32%")</f>
        <v>15.32%</v>
      </c>
      <c r="M138" s="5" t="str">
        <f>IFERROR(__xludf.DUMMYFUNCTION("""COMPUTED_VALUE"""),"x1150")</f>
        <v>x1150</v>
      </c>
      <c r="N138" s="5" t="str">
        <f>IFERROR(__xludf.DUMMYFUNCTION("""COMPUTED_VALUE"""),"0.05/100")</f>
        <v>0.05/100</v>
      </c>
      <c r="O138" s="5" t="str">
        <f>IFERROR(__xludf.DUMMYFUNCTION("""COMPUTED_VALUE"""),"No")</f>
        <v>No</v>
      </c>
      <c r="P138" s="5"/>
      <c r="Q138" s="7" t="str">
        <f>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R138" s="5" t="str">
        <f>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S138" s="5" t="str">
        <f>IFERROR(__xludf.DUMMYFUNCTION("""COMPUTED_VALUE"""),"English(""eng"")")</f>
        <v>English("eng")</v>
      </c>
      <c r="T138" s="5" t="str">
        <f>IFERROR(__xludf.DUMMYFUNCTION("""COMPUTED_VALUE"""),"Yes")</f>
        <v>Yes</v>
      </c>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t="str">
        <f>IFERROR(__xludf.DUMMYFUNCTION("""COMPUTED_VALUE"""),"")</f>
        <v/>
      </c>
    </row>
    <row r="139">
      <c r="A139" s="5" t="str">
        <f>IFERROR(__xludf.DUMMYFUNCTION("""COMPUTED_VALUE"""),"Tiptop")</f>
        <v>Tiptop</v>
      </c>
      <c r="B139" s="5" t="str">
        <f>IFERROR(__xludf.DUMMYFUNCTION("""COMPUTED_VALUE"""),"Sun Of The Nile")</f>
        <v>Sun Of The Nile</v>
      </c>
      <c r="C139" s="5" t="str">
        <f>IFERROR(__xludf.DUMMYFUNCTION("""COMPUTED_VALUE"""),"UnicornSunOfTheNile")</f>
        <v>UnicornSunOfTheNile</v>
      </c>
      <c r="D139" s="6">
        <f>IFERROR(__xludf.DUMMYFUNCTION("""COMPUTED_VALUE"""),46232.0)</f>
        <v>46232</v>
      </c>
      <c r="E139" s="5" t="str">
        <f>IFERROR(__xludf.DUMMYFUNCTION("""COMPUTED_VALUE"""),"Slot")</f>
        <v>Slot</v>
      </c>
      <c r="F139" s="5">
        <f>IFERROR(__xludf.DUMMYFUNCTION("""COMPUTED_VALUE"""),11.84)</f>
        <v>11.84</v>
      </c>
      <c r="G139" s="5" t="str">
        <f>IFERROR(__xludf.DUMMYFUNCTION("""COMPUTED_VALUE"""),"5x3")</f>
        <v>5x3</v>
      </c>
      <c r="H139" s="5">
        <f>IFERROR(__xludf.DUMMYFUNCTION("""COMPUTED_VALUE"""),10.0)</f>
        <v>10</v>
      </c>
      <c r="I139" s="5">
        <f>IFERROR(__xludf.DUMMYFUNCTION("""COMPUTED_VALUE"""),10.0)</f>
        <v>10</v>
      </c>
      <c r="J139" s="5" t="str">
        <f>IFERROR(__xludf.DUMMYFUNCTION("""COMPUTED_VALUE"""),"96%")</f>
        <v>96%</v>
      </c>
      <c r="K139" s="5" t="str">
        <f>IFERROR(__xludf.DUMMYFUNCTION("""COMPUTED_VALUE"""),"Low")</f>
        <v>Low</v>
      </c>
      <c r="L139" s="5" t="str">
        <f>IFERROR(__xludf.DUMMYFUNCTION("""COMPUTED_VALUE"""),"9.08%")</f>
        <v>9.08%</v>
      </c>
      <c r="M139" s="5" t="str">
        <f>IFERROR(__xludf.DUMMYFUNCTION("""COMPUTED_VALUE"""),"x5000")</f>
        <v>x5000</v>
      </c>
      <c r="N139" s="5" t="str">
        <f>IFERROR(__xludf.DUMMYFUNCTION("""COMPUTED_VALUE"""),"0.05/100")</f>
        <v>0.05/100</v>
      </c>
      <c r="O139" s="5" t="str">
        <f>IFERROR(__xludf.DUMMYFUNCTION("""COMPUTED_VALUE"""),"No")</f>
        <v>No</v>
      </c>
      <c r="P139" s="5"/>
      <c r="Q139" s="7" t="str">
        <f>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R139" s="5" t="str">
        <f>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S139" s="5" t="str">
        <f>IFERROR(__xludf.DUMMYFUNCTION("""COMPUTED_VALUE"""),"English(""eng"")")</f>
        <v>English("eng")</v>
      </c>
      <c r="T139" s="5" t="str">
        <f>IFERROR(__xludf.DUMMYFUNCTION("""COMPUTED_VALUE"""),"Yes")</f>
        <v>Yes</v>
      </c>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t="str">
        <f>IFERROR(__xludf.DUMMYFUNCTION("""COMPUTED_VALUE"""),"")</f>
        <v/>
      </c>
    </row>
    <row r="140">
      <c r="A140" s="5" t="str">
        <f>IFERROR(__xludf.DUMMYFUNCTION("""COMPUTED_VALUE"""),"Tiptop")</f>
        <v>Tiptop</v>
      </c>
      <c r="B140" s="5" t="str">
        <f>IFERROR(__xludf.DUMMYFUNCTION("""COMPUTED_VALUE"""),"Dazzle Fireballs")</f>
        <v>Dazzle Fireballs</v>
      </c>
      <c r="C140" s="5" t="str">
        <f>IFERROR(__xludf.DUMMYFUNCTION("""COMPUTED_VALUE"""),"UnicornDazzleFireballs")</f>
        <v>UnicornDazzleFireballs</v>
      </c>
      <c r="D140" s="6">
        <f>IFERROR(__xludf.DUMMYFUNCTION("""COMPUTED_VALUE"""),46239.0)</f>
        <v>46239</v>
      </c>
      <c r="E140" s="5" t="str">
        <f>IFERROR(__xludf.DUMMYFUNCTION("""COMPUTED_VALUE"""),"Slot")</f>
        <v>Slot</v>
      </c>
      <c r="F140" s="5">
        <f>IFERROR(__xludf.DUMMYFUNCTION("""COMPUTED_VALUE"""),12.96)</f>
        <v>12.96</v>
      </c>
      <c r="G140" s="5" t="str">
        <f>IFERROR(__xludf.DUMMYFUNCTION("""COMPUTED_VALUE"""),"5x3")</f>
        <v>5x3</v>
      </c>
      <c r="H140" s="5">
        <f>IFERROR(__xludf.DUMMYFUNCTION("""COMPUTED_VALUE"""),5.0)</f>
        <v>5</v>
      </c>
      <c r="I140" s="5">
        <f>IFERROR(__xludf.DUMMYFUNCTION("""COMPUTED_VALUE"""),5.0)</f>
        <v>5</v>
      </c>
      <c r="J140" s="5" t="str">
        <f>IFERROR(__xludf.DUMMYFUNCTION("""COMPUTED_VALUE"""),"96%")</f>
        <v>96%</v>
      </c>
      <c r="K140" s="5" t="str">
        <f>IFERROR(__xludf.DUMMYFUNCTION("""COMPUTED_VALUE"""),"Low")</f>
        <v>Low</v>
      </c>
      <c r="L140" s="5" t="str">
        <f>IFERROR(__xludf.DUMMYFUNCTION("""COMPUTED_VALUE"""),"11.53%")</f>
        <v>11.53%</v>
      </c>
      <c r="M140" s="5" t="str">
        <f>IFERROR(__xludf.DUMMYFUNCTION("""COMPUTED_VALUE"""),"x1004")</f>
        <v>x1004</v>
      </c>
      <c r="N140" s="5" t="str">
        <f>IFERROR(__xludf.DUMMYFUNCTION("""COMPUTED_VALUE"""),"0.05/100")</f>
        <v>0.05/100</v>
      </c>
      <c r="O140" s="5" t="str">
        <f>IFERROR(__xludf.DUMMYFUNCTION("""COMPUTED_VALUE"""),"No")</f>
        <v>No</v>
      </c>
      <c r="P140" s="5"/>
      <c r="Q140" s="7" t="str">
        <f>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R140" s="5" t="str">
        <f>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S140" s="5" t="str">
        <f>IFERROR(__xludf.DUMMYFUNCTION("""COMPUTED_VALUE"""),"English(""eng"")")</f>
        <v>English("eng")</v>
      </c>
      <c r="T140" s="5" t="str">
        <f>IFERROR(__xludf.DUMMYFUNCTION("""COMPUTED_VALUE"""),"Yes")</f>
        <v>Yes</v>
      </c>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t="str">
        <f>IFERROR(__xludf.DUMMYFUNCTION("""COMPUTED_VALUE"""),"")</f>
        <v/>
      </c>
    </row>
    <row r="141">
      <c r="A141" s="5" t="str">
        <f>IFERROR(__xludf.DUMMYFUNCTION("""COMPUTED_VALUE"""),"Tiptop")</f>
        <v>Tiptop</v>
      </c>
      <c r="B141" s="5" t="str">
        <f>IFERROR(__xludf.DUMMYFUNCTION("""COMPUTED_VALUE"""),"Sevens Pay Dice")</f>
        <v>Sevens Pay Dice</v>
      </c>
      <c r="C141" s="5" t="str">
        <f>IFERROR(__xludf.DUMMYFUNCTION("""COMPUTED_VALUE"""),"UnicornSevensPayDice")</f>
        <v>UnicornSevensPayDice</v>
      </c>
      <c r="D141" s="6">
        <f>IFERROR(__xludf.DUMMYFUNCTION("""COMPUTED_VALUE"""),46246.0)</f>
        <v>46246</v>
      </c>
      <c r="E141" s="5" t="str">
        <f>IFERROR(__xludf.DUMMYFUNCTION("""COMPUTED_VALUE"""),"Dice Slots")</f>
        <v>Dice Slots</v>
      </c>
      <c r="F141" s="5">
        <f>IFERROR(__xludf.DUMMYFUNCTION("""COMPUTED_VALUE"""),10.24)</f>
        <v>10.24</v>
      </c>
      <c r="G141" s="5" t="str">
        <f>IFERROR(__xludf.DUMMYFUNCTION("""COMPUTED_VALUE"""),"5x3")</f>
        <v>5x3</v>
      </c>
      <c r="H141" s="5">
        <f>IFERROR(__xludf.DUMMYFUNCTION("""COMPUTED_VALUE"""),10.0)</f>
        <v>10</v>
      </c>
      <c r="I141" s="5">
        <f>IFERROR(__xludf.DUMMYFUNCTION("""COMPUTED_VALUE"""),10.0)</f>
        <v>10</v>
      </c>
      <c r="J141" s="5" t="str">
        <f>IFERROR(__xludf.DUMMYFUNCTION("""COMPUTED_VALUE"""),"96%")</f>
        <v>96%</v>
      </c>
      <c r="K141" s="5" t="str">
        <f>IFERROR(__xludf.DUMMYFUNCTION("""COMPUTED_VALUE"""),"Low")</f>
        <v>Low</v>
      </c>
      <c r="L141" s="5" t="str">
        <f>IFERROR(__xludf.DUMMYFUNCTION("""COMPUTED_VALUE"""),"9.85%")</f>
        <v>9.85%</v>
      </c>
      <c r="M141" s="5" t="str">
        <f>IFERROR(__xludf.DUMMYFUNCTION("""COMPUTED_VALUE"""),"x1000")</f>
        <v>x1000</v>
      </c>
      <c r="N141" s="5" t="str">
        <f>IFERROR(__xludf.DUMMYFUNCTION("""COMPUTED_VALUE"""),"0.05/100")</f>
        <v>0.05/100</v>
      </c>
      <c r="O141" s="5" t="str">
        <f>IFERROR(__xludf.DUMMYFUNCTION("""COMPUTED_VALUE"""),"No")</f>
        <v>No</v>
      </c>
      <c r="P141" s="5"/>
      <c r="Q141" s="7" t="str">
        <f>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R141" s="5" t="str">
        <f>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S141" s="5" t="str">
        <f>IFERROR(__xludf.DUMMYFUNCTION("""COMPUTED_VALUE"""),"English(""eng"")")</f>
        <v>English("eng")</v>
      </c>
      <c r="T141" s="5" t="str">
        <f>IFERROR(__xludf.DUMMYFUNCTION("""COMPUTED_VALUE"""),"Yes")</f>
        <v>Yes</v>
      </c>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t="str">
        <f>IFERROR(__xludf.DUMMYFUNCTION("""COMPUTED_VALUE"""),"")</f>
        <v/>
      </c>
    </row>
    <row r="142">
      <c r="A142" s="5" t="str">
        <f>IFERROR(__xludf.DUMMYFUNCTION("""COMPUTED_VALUE"""),"Tiptop")</f>
        <v>Tiptop</v>
      </c>
      <c r="B142" s="5" t="str">
        <f>IFERROR(__xludf.DUMMYFUNCTION("""COMPUTED_VALUE"""),"Fruituristic Sevens")</f>
        <v>Fruituristic Sevens</v>
      </c>
      <c r="C142" s="5" t="str">
        <f>IFERROR(__xludf.DUMMYFUNCTION("""COMPUTED_VALUE"""),"UnicornFruituristicSevens")</f>
        <v>UnicornFruituristicSevens</v>
      </c>
      <c r="D142" s="6">
        <f>IFERROR(__xludf.DUMMYFUNCTION("""COMPUTED_VALUE"""),46253.0)</f>
        <v>46253</v>
      </c>
      <c r="E142" s="5" t="str">
        <f>IFERROR(__xludf.DUMMYFUNCTION("""COMPUTED_VALUE"""),"Slot")</f>
        <v>Slot</v>
      </c>
      <c r="F142" s="5">
        <f>IFERROR(__xludf.DUMMYFUNCTION("""COMPUTED_VALUE"""),12.7)</f>
        <v>12.7</v>
      </c>
      <c r="G142" s="5" t="str">
        <f>IFERROR(__xludf.DUMMYFUNCTION("""COMPUTED_VALUE"""),"5x3")</f>
        <v>5x3</v>
      </c>
      <c r="H142" s="5">
        <f>IFERROR(__xludf.DUMMYFUNCTION("""COMPUTED_VALUE"""),10.0)</f>
        <v>10</v>
      </c>
      <c r="I142" s="5">
        <f>IFERROR(__xludf.DUMMYFUNCTION("""COMPUTED_VALUE"""),10.0)</f>
        <v>10</v>
      </c>
      <c r="J142" s="5" t="str">
        <f>IFERROR(__xludf.DUMMYFUNCTION("""COMPUTED_VALUE"""),"96%")</f>
        <v>96%</v>
      </c>
      <c r="K142" s="5" t="str">
        <f>IFERROR(__xludf.DUMMYFUNCTION("""COMPUTED_VALUE"""),"Low")</f>
        <v>Low</v>
      </c>
      <c r="L142" s="5" t="str">
        <f>IFERROR(__xludf.DUMMYFUNCTION("""COMPUTED_VALUE"""),"21.32%")</f>
        <v>21.32%</v>
      </c>
      <c r="M142" s="5" t="str">
        <f>IFERROR(__xludf.DUMMYFUNCTION("""COMPUTED_VALUE"""),"x1000")</f>
        <v>x1000</v>
      </c>
      <c r="N142" s="5" t="str">
        <f>IFERROR(__xludf.DUMMYFUNCTION("""COMPUTED_VALUE"""),"0.05/100")</f>
        <v>0.05/100</v>
      </c>
      <c r="O142" s="5" t="str">
        <f>IFERROR(__xludf.DUMMYFUNCTION("""COMPUTED_VALUE"""),"No")</f>
        <v>No</v>
      </c>
      <c r="P142" s="5"/>
      <c r="Q142" s="7" t="str">
        <f>IFERROR(__xludf.DUMMYFUNCTION("""COMPUTED_VALUE"""),"https://onlinegamespromo.fazi.rs/Home/IntegrationGameLaunch?moneyType=0&amp;gameName=UnicornFruituristicSevens&amp;platform=desktop&amp;languageCode=eng&amp;currency=EUR")</f>
        <v>https://onlinegamespromo.fazi.rs/Home/IntegrationGameLaunch?moneyType=0&amp;gameName=UnicornFruituristicSevens&amp;platform=desktop&amp;languageCode=eng&amp;currency=EUR</v>
      </c>
      <c r="R142" s="5" t="str">
        <f>IFERROR(__xludf.DUMMYFUNCTION("""COMPUTED_VALUE"""),"Fruituristic Sevens launches classic fruit action into a neon future. This 5x3 slot with 10 fixed paylines lights up the reels with futuristic symbols, glowing Sevens, and a fast-paced game flow. Power up the grid with high-voltage wins and chase up to 1,"&amp;"000x your bet!")</f>
        <v>Fruituristic Sevens launches classic fruit action into a neon future. This 5x3 slot with 10 fixed paylines lights up the reels with futuristic symbols, glowing Sevens, and a fast-paced game flow. Power up the grid with high-voltage wins and chase up to 1,000x your bet!</v>
      </c>
      <c r="S142" s="5" t="str">
        <f>IFERROR(__xludf.DUMMYFUNCTION("""COMPUTED_VALUE"""),"")</f>
        <v/>
      </c>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t="str">
        <f>IFERROR(__xludf.DUMMYFUNCTION("""COMPUTED_VALUE"""),"")</f>
        <v/>
      </c>
    </row>
    <row r="143">
      <c r="A143" s="5" t="str">
        <f>IFERROR(__xludf.DUMMYFUNCTION("""COMPUTED_VALUE"""),"Tiptop")</f>
        <v>Tiptop</v>
      </c>
      <c r="B143" s="5" t="str">
        <f>IFERROR(__xludf.DUMMYFUNCTION("""COMPUTED_VALUE"""),"Three Reel Fortune Wilds")</f>
        <v>Three Reel Fortune Wilds</v>
      </c>
      <c r="C143" s="5" t="str">
        <f>IFERROR(__xludf.DUMMYFUNCTION("""COMPUTED_VALUE"""),"UnicornThreeReelFortuneWilds")</f>
        <v>UnicornThreeReelFortuneWilds</v>
      </c>
      <c r="D143" s="6">
        <f>IFERROR(__xludf.DUMMYFUNCTION("""COMPUTED_VALUE"""),46260.0)</f>
        <v>46260</v>
      </c>
      <c r="E143" s="5" t="str">
        <f>IFERROR(__xludf.DUMMYFUNCTION("""COMPUTED_VALUE"""),"Slot")</f>
        <v>Slot</v>
      </c>
      <c r="F143" s="5">
        <f>IFERROR(__xludf.DUMMYFUNCTION("""COMPUTED_VALUE"""),12.03)</f>
        <v>12.03</v>
      </c>
      <c r="G143" s="5" t="str">
        <f>IFERROR(__xludf.DUMMYFUNCTION("""COMPUTED_VALUE"""),"3x3")</f>
        <v>3x3</v>
      </c>
      <c r="H143" s="5">
        <f>IFERROR(__xludf.DUMMYFUNCTION("""COMPUTED_VALUE"""),5.0)</f>
        <v>5</v>
      </c>
      <c r="I143" s="5">
        <f>IFERROR(__xludf.DUMMYFUNCTION("""COMPUTED_VALUE"""),5.0)</f>
        <v>5</v>
      </c>
      <c r="J143" s="5" t="str">
        <f>IFERROR(__xludf.DUMMYFUNCTION("""COMPUTED_VALUE"""),"96%")</f>
        <v>96%</v>
      </c>
      <c r="K143" s="5" t="str">
        <f>IFERROR(__xludf.DUMMYFUNCTION("""COMPUTED_VALUE"""),"Low")</f>
        <v>Low</v>
      </c>
      <c r="L143" s="5" t="str">
        <f>IFERROR(__xludf.DUMMYFUNCTION("""COMPUTED_VALUE"""),"22.86%")</f>
        <v>22.86%</v>
      </c>
      <c r="M143" s="5" t="str">
        <f>IFERROR(__xludf.DUMMYFUNCTION("""COMPUTED_VALUE"""),"x2500")</f>
        <v>x2500</v>
      </c>
      <c r="N143" s="5" t="str">
        <f>IFERROR(__xludf.DUMMYFUNCTION("""COMPUTED_VALUE"""),"0.05/100")</f>
        <v>0.05/100</v>
      </c>
      <c r="O143" s="5" t="str">
        <f>IFERROR(__xludf.DUMMYFUNCTION("""COMPUTED_VALUE"""),"No")</f>
        <v>No</v>
      </c>
      <c r="P143" s="5" t="str">
        <f>IFERROR(__xludf.DUMMYFUNCTION("""COMPUTED_VALUE"""),"Win Multiplier, Wild Symbol")</f>
        <v>Win Multiplier, Wild Symbol</v>
      </c>
      <c r="Q143" s="7" t="str">
        <f>IFERROR(__xludf.DUMMYFUNCTION("""COMPUTED_VALUE"""),"https://onlinegamespromo.fazi.rs/Home/IntegrationGameLaunch?moneyType=0&amp;gameName=UnicornThreeReelFortuneWilds&amp;platform=desktop&amp;languageCode=eng&amp;currency=EUR")</f>
        <v>https://onlinegamespromo.fazi.rs/Home/IntegrationGameLaunch?moneyType=0&amp;gameName=UnicornThreeReelFortuneWilds&amp;platform=desktop&amp;languageCode=eng&amp;currency=EUR</v>
      </c>
      <c r="R143" s="5" t="str">
        <f>IFERROR(__xludf.DUMMYFUNCTION("""COMPUTED_VALUE"""),"Three Reel Fortune Wilds is a compact 3x3 retro slot where Panda and Tiger guard 5 lucky paylines. Wild symbols add extra fortune to the reels, turning simple three-reel action into fast, playful winning moments. Spin into the charm of classic fortune and"&amp;" let the Wilds lead the way!")</f>
        <v>Three Reel Fortune Wilds is a compact 3x3 retro slot where Panda and Tiger guard 5 lucky paylines. Wild symbols add extra fortune to the reels, turning simple three-reel action into fast, playful winning moments. Spin into the charm of classic fortune and let the Wilds lead the way!</v>
      </c>
      <c r="S143" s="5" t="str">
        <f>IFERROR(__xludf.DUMMYFUNCTION("""COMPUTED_VALUE"""),"English(""eng"")")</f>
        <v>English("eng")</v>
      </c>
      <c r="T143" s="5" t="str">
        <f>IFERROR(__xludf.DUMMYFUNCTION("""COMPUTED_VALUE"""),"Yes")</f>
        <v>Yes</v>
      </c>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t="str">
        <f>IFERROR(__xludf.DUMMYFUNCTION("""COMPUTED_VALUE"""),"")</f>
        <v/>
      </c>
    </row>
    <row r="144">
      <c r="A144" s="5" t="str">
        <f>IFERROR(__xludf.DUMMYFUNCTION("""COMPUTED_VALUE"""),"Tiptop")</f>
        <v>Tiptop</v>
      </c>
      <c r="B144" s="5" t="str">
        <f>IFERROR(__xludf.DUMMYFUNCTION("""COMPUTED_VALUE"""),"Super Fireballs")</f>
        <v>Super Fireballs</v>
      </c>
      <c r="C144" s="5" t="str">
        <f>IFERROR(__xludf.DUMMYFUNCTION("""COMPUTED_VALUE"""),"UnicornSuperFireballs")</f>
        <v>UnicornSuperFireballs</v>
      </c>
      <c r="D144" s="6">
        <f>IFERROR(__xludf.DUMMYFUNCTION("""COMPUTED_VALUE"""),46267.0)</f>
        <v>46267</v>
      </c>
      <c r="E144" s="5" t="str">
        <f>IFERROR(__xludf.DUMMYFUNCTION("""COMPUTED_VALUE"""),"Slot")</f>
        <v>Slot</v>
      </c>
      <c r="F144" s="5">
        <f>IFERROR(__xludf.DUMMYFUNCTION("""COMPUTED_VALUE"""),14.09)</f>
        <v>14.09</v>
      </c>
      <c r="G144" s="5" t="str">
        <f>IFERROR(__xludf.DUMMYFUNCTION("""COMPUTED_VALUE"""),"5x4")</f>
        <v>5x4</v>
      </c>
      <c r="H144" s="5">
        <f>IFERROR(__xludf.DUMMYFUNCTION("""COMPUTED_VALUE"""),40.0)</f>
        <v>40</v>
      </c>
      <c r="I144" s="5">
        <f>IFERROR(__xludf.DUMMYFUNCTION("""COMPUTED_VALUE"""),40.0)</f>
        <v>40</v>
      </c>
      <c r="J144" s="5" t="str">
        <f>IFERROR(__xludf.DUMMYFUNCTION("""COMPUTED_VALUE"""),"96%")</f>
        <v>96%</v>
      </c>
      <c r="K144" s="5" t="str">
        <f>IFERROR(__xludf.DUMMYFUNCTION("""COMPUTED_VALUE"""),"Low")</f>
        <v>Low</v>
      </c>
      <c r="L144" s="5" t="str">
        <f>IFERROR(__xludf.DUMMYFUNCTION("""COMPUTED_VALUE"""),"13.68%")</f>
        <v>13.68%</v>
      </c>
      <c r="M144" s="5" t="str">
        <f>IFERROR(__xludf.DUMMYFUNCTION("""COMPUTED_VALUE"""),"x1000")</f>
        <v>x1000</v>
      </c>
      <c r="N144" s="5" t="str">
        <f>IFERROR(__xludf.DUMMYFUNCTION("""COMPUTED_VALUE"""),"0.05/100")</f>
        <v>0.05/100</v>
      </c>
      <c r="O144" s="5" t="str">
        <f>IFERROR(__xludf.DUMMYFUNCTION("""COMPUTED_VALUE"""),"No")</f>
        <v>No</v>
      </c>
      <c r="P144" s="5"/>
      <c r="Q144" s="7" t="str">
        <f>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R144" s="5" t="str">
        <f>IFERROR(__xludf.DUMMYFUNCTION("""COMPUTED_VALUE"""),"Super Fireballs is a high-octane classic slot where flames roar across 40 paylines and bold symbols catch fire on the reels. Wilds help connect winning combinations, while Scatters explode with blazing potential on every spin. Fire up the action and exper"&amp;"ience super-hot slot excitement!")</f>
        <v>Super Fireballs is a high-octane classic slot where flames roar across 40 paylines and bold symbols catch fire on the reels. Wilds help connect winning combinations, while Scatters explode with blazing potential on every spin. Fire up the action and experience super-hot slot excitement!</v>
      </c>
      <c r="S144" s="5" t="str">
        <f>IFERROR(__xludf.DUMMYFUNCTION("""COMPUTED_VALUE"""),"English(""eng"")")</f>
        <v>English("eng")</v>
      </c>
      <c r="T144" s="5" t="str">
        <f>IFERROR(__xludf.DUMMYFUNCTION("""COMPUTED_VALUE"""),"Yes")</f>
        <v>Yes</v>
      </c>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t="str">
        <f>IFERROR(__xludf.DUMMYFUNCTION("""COMPUTED_VALUE"""),"")</f>
        <v/>
      </c>
    </row>
    <row r="145">
      <c r="A145" s="5" t="str">
        <f>IFERROR(__xludf.DUMMYFUNCTION("""COMPUTED_VALUE"""),"Tiptop")</f>
        <v>Tiptop</v>
      </c>
      <c r="B145" s="5" t="str">
        <f>IFERROR(__xludf.DUMMYFUNCTION("""COMPUTED_VALUE"""),"Lions Dice Extreme")</f>
        <v>Lions Dice Extreme</v>
      </c>
      <c r="C145" s="5" t="str">
        <f>IFERROR(__xludf.DUMMYFUNCTION("""COMPUTED_VALUE"""),"UnicornLionsDiceExtreme")</f>
        <v>UnicornLionsDiceExtreme</v>
      </c>
      <c r="D145" s="6">
        <f>IFERROR(__xludf.DUMMYFUNCTION("""COMPUTED_VALUE"""),46274.0)</f>
        <v>46274</v>
      </c>
      <c r="E145" s="5" t="str">
        <f>IFERROR(__xludf.DUMMYFUNCTION("""COMPUTED_VALUE"""),"Dice Slots")</f>
        <v>Dice Slots</v>
      </c>
      <c r="F145" s="5">
        <f>IFERROR(__xludf.DUMMYFUNCTION("""COMPUTED_VALUE"""),12.69)</f>
        <v>12.69</v>
      </c>
      <c r="G145" s="5" t="str">
        <f>IFERROR(__xludf.DUMMYFUNCTION("""COMPUTED_VALUE"""),"5x3")</f>
        <v>5x3</v>
      </c>
      <c r="H145" s="5">
        <f>IFERROR(__xludf.DUMMYFUNCTION("""COMPUTED_VALUE"""),5.0)</f>
        <v>5</v>
      </c>
      <c r="I145" s="5">
        <f>IFERROR(__xludf.DUMMYFUNCTION("""COMPUTED_VALUE"""),5.0)</f>
        <v>5</v>
      </c>
      <c r="J145" s="5" t="str">
        <f>IFERROR(__xludf.DUMMYFUNCTION("""COMPUTED_VALUE"""),"96%")</f>
        <v>96%</v>
      </c>
      <c r="K145" s="5" t="str">
        <f>IFERROR(__xludf.DUMMYFUNCTION("""COMPUTED_VALUE"""),"Low")</f>
        <v>Low</v>
      </c>
      <c r="L145" s="5" t="str">
        <f>IFERROR(__xludf.DUMMYFUNCTION("""COMPUTED_VALUE"""),"10.5%")</f>
        <v>10.5%</v>
      </c>
      <c r="M145" s="5" t="str">
        <f>IFERROR(__xludf.DUMMYFUNCTION("""COMPUTED_VALUE"""),"x10000")</f>
        <v>x10000</v>
      </c>
      <c r="N145" s="5" t="str">
        <f>IFERROR(__xludf.DUMMYFUNCTION("""COMPUTED_VALUE"""),"0.05/100")</f>
        <v>0.05/100</v>
      </c>
      <c r="O145" s="5" t="str">
        <f>IFERROR(__xludf.DUMMYFUNCTION("""COMPUTED_VALUE"""),"No")</f>
        <v>No</v>
      </c>
      <c r="P145" s="5"/>
      <c r="Q145" s="7" t="str">
        <f>IFERROR(__xludf.DUMMYFUNCTION("""COMPUTED_VALUE"""),"https://onlinegamespromo.fazi.rs/Home/IntegrationGameLaunch?moneyType=0&amp;gameName=UnicornLionsDiceExtreme&amp;platform=desktop&amp;languageCode=eng&amp;currency=EUR")</f>
        <v>https://onlinegamespromo.fazi.rs/Home/IntegrationGameLaunch?moneyType=0&amp;gameName=UnicornLionsDiceExtreme&amp;platform=desktop&amp;languageCode=eng&amp;currency=EUR</v>
      </c>
      <c r="R145" s="5" t="str">
        <f>IFERROR(__xludf.DUMMYFUNCTION("""COMPUTED_VALUE"""),"Lions Dice Extreme is a bold 5x3 dice slot with 5 fixed paylines, mighty lion symbols, and extreme jackpot action. Wilds prowl the reels while jackpot symbols roar in with massive winning potential. Land the golden Lion jackpot combination and unlock up t"&amp;"o 10,000x your bet!")</f>
        <v>Lions Dice Extreme is a bold 5x3 dice slot with 5 fixed paylines, mighty lion symbols, and extreme jackpot action. Wilds prowl the reels while jackpot symbols roar in with massive winning potential. Land the golden Lion jackpot combination and unlock up to 10,000x your bet!</v>
      </c>
      <c r="S145" s="5" t="str">
        <f>IFERROR(__xludf.DUMMYFUNCTION("""COMPUTED_VALUE"""),"English(""eng"")")</f>
        <v>English("eng")</v>
      </c>
      <c r="T145" s="5" t="str">
        <f>IFERROR(__xludf.DUMMYFUNCTION("""COMPUTED_VALUE"""),"Yes")</f>
        <v>Yes</v>
      </c>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t="str">
        <f>IFERROR(__xludf.DUMMYFUNCTION("""COMPUTED_VALUE"""),"")</f>
        <v/>
      </c>
    </row>
    <row r="146">
      <c r="A146" s="5" t="str">
        <f>IFERROR(__xludf.DUMMYFUNCTION("""COMPUTED_VALUE"""),"Tiptop")</f>
        <v>Tiptop</v>
      </c>
      <c r="B146" s="5" t="str">
        <f>IFERROR(__xludf.DUMMYFUNCTION("""COMPUTED_VALUE"""),"Lucky Pay Reels")</f>
        <v>Lucky Pay Reels</v>
      </c>
      <c r="C146" s="5" t="str">
        <f>IFERROR(__xludf.DUMMYFUNCTION("""COMPUTED_VALUE"""),"UnicornLuckyPayReels")</f>
        <v>UnicornLuckyPayReels</v>
      </c>
      <c r="D146" s="6">
        <f>IFERROR(__xludf.DUMMYFUNCTION("""COMPUTED_VALUE"""),46281.0)</f>
        <v>46281</v>
      </c>
      <c r="E146" s="5" t="str">
        <f>IFERROR(__xludf.DUMMYFUNCTION("""COMPUTED_VALUE"""),"Slot")</f>
        <v>Slot</v>
      </c>
      <c r="F146" s="5">
        <f>IFERROR(__xludf.DUMMYFUNCTION("""COMPUTED_VALUE"""),11.65)</f>
        <v>11.65</v>
      </c>
      <c r="G146" s="5" t="str">
        <f>IFERROR(__xludf.DUMMYFUNCTION("""COMPUTED_VALUE"""),"5x3")</f>
        <v>5x3</v>
      </c>
      <c r="H146" s="5">
        <f>IFERROR(__xludf.DUMMYFUNCTION("""COMPUTED_VALUE"""),10.0)</f>
        <v>10</v>
      </c>
      <c r="I146" s="5">
        <f>IFERROR(__xludf.DUMMYFUNCTION("""COMPUTED_VALUE"""),10.0)</f>
        <v>10</v>
      </c>
      <c r="J146" s="5" t="str">
        <f>IFERROR(__xludf.DUMMYFUNCTION("""COMPUTED_VALUE"""),"96%")</f>
        <v>96%</v>
      </c>
      <c r="K146" s="5" t="str">
        <f>IFERROR(__xludf.DUMMYFUNCTION("""COMPUTED_VALUE"""),"Low")</f>
        <v>Low</v>
      </c>
      <c r="L146" s="5" t="str">
        <f>IFERROR(__xludf.DUMMYFUNCTION("""COMPUTED_VALUE"""),"9.85%")</f>
        <v>9.85%</v>
      </c>
      <c r="M146" s="5" t="str">
        <f>IFERROR(__xludf.DUMMYFUNCTION("""COMPUTED_VALUE"""),"x7000")</f>
        <v>x7000</v>
      </c>
      <c r="N146" s="5" t="str">
        <f>IFERROR(__xludf.DUMMYFUNCTION("""COMPUTED_VALUE"""),"0.05/100")</f>
        <v>0.05/100</v>
      </c>
      <c r="O146" s="5" t="str">
        <f>IFERROR(__xludf.DUMMYFUNCTION("""COMPUTED_VALUE"""),"No")</f>
        <v>No</v>
      </c>
      <c r="P146" s="5"/>
      <c r="Q146" s="7" t="str">
        <f>IFERROR(__xludf.DUMMYFUNCTION("""COMPUTED_VALUE"""),"https://onlinegamespromo.fazi.rs/Home/IntegrationGameLaunch?moneyType=0&amp;gameName=UnicornLuckyPayReels&amp;platform=desktop&amp;languageCode=eng&amp;currency=EUR")</f>
        <v>https://onlinegamespromo.fazi.rs/Home/IntegrationGameLaunch?moneyType=0&amp;gameName=UnicornLuckyPayReels&amp;platform=desktop&amp;languageCode=eng&amp;currency=EUR</v>
      </c>
      <c r="R146" s="5" t="str">
        <f>IFERROR(__xludf.DUMMYFUNCTION("""COMPUTED_VALUE"""),"Lucky Pay Reels is a bright 5x3 fruit slot with 10 fixed paylines and a smooth classic game flow. Cherries, lemons, golden symbols, and lucky Sevens keep the reels rolling with simple, rewarding charm. Every spin feels like a little stroke of luck, with w"&amp;"ins of up to 7,000x your bet!")</f>
        <v>Lucky Pay Reels is a bright 5x3 fruit slot with 10 fixed paylines and a smooth classic game flow. Cherries, lemons, golden symbols, and lucky Sevens keep the reels rolling with simple, rewarding charm. Every spin feels like a little stroke of luck, with wins of up to 7,000x your bet!</v>
      </c>
      <c r="S146" s="5" t="str">
        <f>IFERROR(__xludf.DUMMYFUNCTION("""COMPUTED_VALUE"""),"")</f>
        <v/>
      </c>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t="str">
        <f>IFERROR(__xludf.DUMMYFUNCTION("""COMPUTED_VALUE"""),"")</f>
        <v/>
      </c>
    </row>
    <row r="147">
      <c r="A147" s="5" t="str">
        <f>IFERROR(__xludf.DUMMYFUNCTION("""COMPUTED_VALUE"""),"Tiptop")</f>
        <v>Tiptop</v>
      </c>
      <c r="B147" s="5" t="str">
        <f>IFERROR(__xludf.DUMMYFUNCTION("""COMPUTED_VALUE"""),"Stack Wild Attack")</f>
        <v>Stack Wild Attack</v>
      </c>
      <c r="C147" s="5" t="str">
        <f>IFERROR(__xludf.DUMMYFUNCTION("""COMPUTED_VALUE"""),"UnicornStackWildAttack")</f>
        <v>UnicornStackWildAttack</v>
      </c>
      <c r="D147" s="6">
        <f>IFERROR(__xludf.DUMMYFUNCTION("""COMPUTED_VALUE"""),46288.0)</f>
        <v>46288</v>
      </c>
      <c r="E147" s="5" t="str">
        <f>IFERROR(__xludf.DUMMYFUNCTION("""COMPUTED_VALUE"""),"Slot")</f>
        <v>Slot</v>
      </c>
      <c r="F147" s="5">
        <f>IFERROR(__xludf.DUMMYFUNCTION("""COMPUTED_VALUE"""),12.18)</f>
        <v>12.18</v>
      </c>
      <c r="G147" s="5" t="str">
        <f>IFERROR(__xludf.DUMMYFUNCTION("""COMPUTED_VALUE"""),"5x3")</f>
        <v>5x3</v>
      </c>
      <c r="H147" s="5">
        <f>IFERROR(__xludf.DUMMYFUNCTION("""COMPUTED_VALUE"""),20.0)</f>
        <v>20</v>
      </c>
      <c r="I147" s="5">
        <f>IFERROR(__xludf.DUMMYFUNCTION("""COMPUTED_VALUE"""),20.0)</f>
        <v>20</v>
      </c>
      <c r="J147" s="5" t="str">
        <f>IFERROR(__xludf.DUMMYFUNCTION("""COMPUTED_VALUE"""),"96%")</f>
        <v>96%</v>
      </c>
      <c r="K147" s="5" t="str">
        <f>IFERROR(__xludf.DUMMYFUNCTION("""COMPUTED_VALUE"""),"Low")</f>
        <v>Low</v>
      </c>
      <c r="L147" s="5" t="str">
        <f>IFERROR(__xludf.DUMMYFUNCTION("""COMPUTED_VALUE"""),"10.5%")</f>
        <v>10.5%</v>
      </c>
      <c r="M147" s="5" t="str">
        <f>IFERROR(__xludf.DUMMYFUNCTION("""COMPUTED_VALUE"""),"x2200")</f>
        <v>x2200</v>
      </c>
      <c r="N147" s="5" t="str">
        <f>IFERROR(__xludf.DUMMYFUNCTION("""COMPUTED_VALUE"""),"0.05/100")</f>
        <v>0.05/100</v>
      </c>
      <c r="O147" s="5" t="str">
        <f>IFERROR(__xludf.DUMMYFUNCTION("""COMPUTED_VALUE"""),"No")</f>
        <v>No</v>
      </c>
      <c r="P147" s="5" t="str">
        <f>IFERROR(__xludf.DUMMYFUNCTION("""COMPUTED_VALUE"""),"Bonus Game with Free Spins")</f>
        <v>Bonus Game with Free Spins</v>
      </c>
      <c r="Q147" s="7" t="str">
        <f>IFERROR(__xludf.DUMMYFUNCTION("""COMPUTED_VALUE"""),"https://onlinegamespromo.fazi.rs/Home/IntegrationGameLaunch?moneyType=0&amp;gameName=UnicornStackWildAttack&amp;platform=desktop&amp;languageCode=eng&amp;currency=EUR")</f>
        <v>https://onlinegamespromo.fazi.rs/Home/IntegrationGameLaunch?moneyType=0&amp;gameName=UnicornStackWildAttack&amp;platform=desktop&amp;languageCode=eng&amp;currency=EUR</v>
      </c>
      <c r="R147" s="5" t="str">
        <f>IFERROR(__xludf.DUMMYFUNCTION("""COMPUTED_VALUE"""),"Stack Wild Attack is a burning 5x3 classic slot with 5 fixed paylines and stacked Wild symbols storming the reels. Bold fruit symbols, rising heat, and full-force Wild action create explosive winning moments on every spin. Launch the attack and chase wins"&amp;" of up to 2,200x your bet!")</f>
        <v>Stack Wild Attack is a burning 5x3 classic slot with 5 fixed paylines and stacked Wild symbols storming the reels. Bold fruit symbols, rising heat, and full-force Wild action create explosive winning moments on every spin. Launch the attack and chase wins of up to 2,200x your bet!</v>
      </c>
      <c r="S147" s="5" t="str">
        <f>IFERROR(__xludf.DUMMYFUNCTION("""COMPUTED_VALUE"""),"")</f>
        <v/>
      </c>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t="str">
        <f>IFERROR(__xludf.DUMMYFUNCTION("""COMPUTED_VALUE"""),"")</f>
        <v/>
      </c>
    </row>
    <row r="148">
      <c r="A148" s="5" t="str">
        <f>IFERROR(__xludf.DUMMYFUNCTION("""COMPUTED_VALUE"""),"Tiptop")</f>
        <v>Tiptop</v>
      </c>
      <c r="B148" s="5" t="str">
        <f>IFERROR(__xludf.DUMMYFUNCTION("""COMPUTED_VALUE"""),"Forever Fruit")</f>
        <v>Forever Fruit</v>
      </c>
      <c r="C148" s="5" t="str">
        <f>IFERROR(__xludf.DUMMYFUNCTION("""COMPUTED_VALUE"""),"UnicornForeverFruit")</f>
        <v>UnicornForeverFruit</v>
      </c>
      <c r="D148" s="6">
        <f>IFERROR(__xludf.DUMMYFUNCTION("""COMPUTED_VALUE"""),46295.0)</f>
        <v>46295</v>
      </c>
      <c r="E148" s="5" t="str">
        <f>IFERROR(__xludf.DUMMYFUNCTION("""COMPUTED_VALUE"""),"Slot")</f>
        <v>Slot</v>
      </c>
      <c r="F148" s="5">
        <f>IFERROR(__xludf.DUMMYFUNCTION("""COMPUTED_VALUE"""),10.75)</f>
        <v>10.75</v>
      </c>
      <c r="G148" s="5" t="str">
        <f>IFERROR(__xludf.DUMMYFUNCTION("""COMPUTED_VALUE"""),"5x3")</f>
        <v>5x3</v>
      </c>
      <c r="H148" s="5">
        <f>IFERROR(__xludf.DUMMYFUNCTION("""COMPUTED_VALUE"""),5.0)</f>
        <v>5</v>
      </c>
      <c r="I148" s="5">
        <f>IFERROR(__xludf.DUMMYFUNCTION("""COMPUTED_VALUE"""),5.0)</f>
        <v>5</v>
      </c>
      <c r="J148" s="5" t="str">
        <f>IFERROR(__xludf.DUMMYFUNCTION("""COMPUTED_VALUE"""),"96%")</f>
        <v>96%</v>
      </c>
      <c r="K148" s="5" t="str">
        <f>IFERROR(__xludf.DUMMYFUNCTION("""COMPUTED_VALUE"""),"Low")</f>
        <v>Low</v>
      </c>
      <c r="L148" s="5" t="str">
        <f>IFERROR(__xludf.DUMMYFUNCTION("""COMPUTED_VALUE"""),"11.6%")</f>
        <v>11.6%</v>
      </c>
      <c r="M148" s="5" t="str">
        <f>IFERROR(__xludf.DUMMYFUNCTION("""COMPUTED_VALUE"""),"x1000")</f>
        <v>x1000</v>
      </c>
      <c r="N148" s="5" t="str">
        <f>IFERROR(__xludf.DUMMYFUNCTION("""COMPUTED_VALUE"""),"0.05/100")</f>
        <v>0.05/100</v>
      </c>
      <c r="O148" s="5" t="str">
        <f>IFERROR(__xludf.DUMMYFUNCTION("""COMPUTED_VALUE"""),"No")</f>
        <v>No</v>
      </c>
      <c r="P148" s="5"/>
      <c r="Q148" s="7" t="str">
        <f>IFERROR(__xludf.DUMMYFUNCTION("""COMPUTED_VALUE"""),"https://onlinegamespromo.fazi.rs/Home/IntegrationGameLaunch?moneyType=0&amp;gameName=UnicornForeverFruit&amp;platform=desktop&amp;languageCode=eng&amp;currency=EUR")</f>
        <v>https://onlinegamespromo.fazi.rs/Home/IntegrationGameLaunch?moneyType=0&amp;gameName=UnicornForeverFruit&amp;platform=desktop&amp;languageCode=eng&amp;currency=EUR</v>
      </c>
      <c r="R148" s="5" t="str">
        <f>IFERROR(__xludf.DUMMYFUNCTION("""COMPUTED_VALUE"""),"Forever Fruit is a timeless 5x3 classic fruit slot with 5 fixed paylines and symbols that never go out of style. Cherries, plums, bells, and lucky Sevens keep the reels glowing with familiar charm and smooth gameplay. Spin the orchard forever and chase wi"&amp;"ns of up to 1,000x your bet!")</f>
        <v>Forever Fruit is a timeless 5x3 classic fruit slot with 5 fixed paylines and symbols that never go out of style. Cherries, plums, bells, and lucky Sevens keep the reels glowing with familiar charm and smooth gameplay. Spin the orchard forever and chase wins of up to 1,000x your bet!</v>
      </c>
      <c r="S148" s="5" t="str">
        <f>IFERROR(__xludf.DUMMYFUNCTION("""COMPUTED_VALUE"""),"English(""eng"")")</f>
        <v>English("eng")</v>
      </c>
      <c r="T148" s="5" t="str">
        <f>IFERROR(__xludf.DUMMYFUNCTION("""COMPUTED_VALUE"""),"Yes")</f>
        <v>Yes</v>
      </c>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t="str">
        <f>IFERROR(__xludf.DUMMYFUNCTION("""COMPUTED_VALUE"""),"")</f>
        <v/>
      </c>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8"/>
    <hyperlink r:id="rId37" ref="Q39"/>
    <hyperlink r:id="rId38" ref="Q40"/>
    <hyperlink r:id="rId39" ref="Q41"/>
    <hyperlink r:id="rId40" ref="Q42"/>
    <hyperlink r:id="rId41" ref="Q43"/>
    <hyperlink r:id="rId42" ref="Q44"/>
    <hyperlink r:id="rId43" ref="Q45"/>
    <hyperlink r:id="rId44" ref="Q46"/>
    <hyperlink r:id="rId45" ref="Q47"/>
    <hyperlink r:id="rId46" ref="Q48"/>
    <hyperlink r:id="rId47" ref="Q49"/>
    <hyperlink r:id="rId48" ref="Q50"/>
    <hyperlink r:id="rId49" ref="Q51"/>
    <hyperlink r:id="rId50" ref="Q52"/>
    <hyperlink r:id="rId51" ref="Q53"/>
    <hyperlink r:id="rId52" ref="Q54"/>
    <hyperlink r:id="rId53" ref="Q55"/>
    <hyperlink r:id="rId54" ref="Q56"/>
    <hyperlink r:id="rId55" ref="Q57"/>
    <hyperlink r:id="rId56" ref="Q58"/>
    <hyperlink r:id="rId57" ref="Q59"/>
    <hyperlink r:id="rId58" ref="Q60"/>
    <hyperlink r:id="rId59" ref="Q61"/>
    <hyperlink r:id="rId60" ref="Q62"/>
    <hyperlink r:id="rId61" ref="Q63"/>
    <hyperlink r:id="rId62" ref="Q64"/>
    <hyperlink r:id="rId63" ref="Q65"/>
    <hyperlink r:id="rId64" ref="Q66"/>
    <hyperlink r:id="rId65" ref="Q67"/>
    <hyperlink r:id="rId66" ref="Q68"/>
    <hyperlink r:id="rId67" ref="Q69"/>
    <hyperlink r:id="rId68" ref="Q70"/>
    <hyperlink r:id="rId69" ref="Q71"/>
    <hyperlink r:id="rId70" ref="Q72"/>
    <hyperlink r:id="rId71" ref="Q73"/>
    <hyperlink r:id="rId72" ref="Q74"/>
    <hyperlink r:id="rId73" ref="Q75"/>
    <hyperlink r:id="rId74" ref="Q76"/>
    <hyperlink r:id="rId75" ref="Q77"/>
    <hyperlink r:id="rId76" ref="Q78"/>
    <hyperlink r:id="rId77" ref="Q79"/>
    <hyperlink r:id="rId78" ref="Q80"/>
    <hyperlink r:id="rId79" ref="Q81"/>
    <hyperlink r:id="rId80" ref="Q82"/>
    <hyperlink r:id="rId81" ref="Q83"/>
    <hyperlink r:id="rId82" ref="Q84"/>
    <hyperlink r:id="rId83" ref="Q85"/>
    <hyperlink r:id="rId84" ref="Q86"/>
    <hyperlink r:id="rId85" ref="Q87"/>
    <hyperlink r:id="rId86" ref="Q88"/>
    <hyperlink r:id="rId87" ref="Q89"/>
    <hyperlink r:id="rId88" ref="Q90"/>
    <hyperlink r:id="rId89" ref="Q91"/>
    <hyperlink r:id="rId90" ref="Q92"/>
    <hyperlink r:id="rId91" ref="Q93"/>
    <hyperlink r:id="rId92" ref="Q94"/>
    <hyperlink r:id="rId93" ref="Q95"/>
    <hyperlink r:id="rId94" ref="Q96"/>
    <hyperlink r:id="rId95" ref="Q97"/>
    <hyperlink r:id="rId96" ref="Q98"/>
    <hyperlink r:id="rId97" ref="Q99"/>
    <hyperlink r:id="rId98" ref="Q100"/>
    <hyperlink r:id="rId99" ref="Q101"/>
    <hyperlink r:id="rId100" ref="Q102"/>
    <hyperlink r:id="rId101" ref="Q103"/>
    <hyperlink r:id="rId102" ref="Q104"/>
    <hyperlink r:id="rId103" ref="Q105"/>
    <hyperlink r:id="rId104" ref="Q106"/>
    <hyperlink r:id="rId105" ref="Q107"/>
    <hyperlink r:id="rId106" ref="Q108"/>
    <hyperlink r:id="rId107" ref="Q109"/>
    <hyperlink r:id="rId108" ref="Q110"/>
    <hyperlink r:id="rId109" ref="Q111"/>
    <hyperlink r:id="rId110" ref="Q112"/>
    <hyperlink r:id="rId111" ref="Q113"/>
    <hyperlink r:id="rId112" ref="Q114"/>
    <hyperlink r:id="rId113" ref="Q115"/>
    <hyperlink r:id="rId114" ref="Q116"/>
    <hyperlink r:id="rId115" ref="Q117"/>
    <hyperlink r:id="rId116" ref="Q118"/>
    <hyperlink r:id="rId117" ref="Q119"/>
    <hyperlink r:id="rId118" ref="Q120"/>
    <hyperlink r:id="rId119" ref="Q121"/>
    <hyperlink r:id="rId120" ref="Q122"/>
    <hyperlink r:id="rId121" ref="Q123"/>
    <hyperlink r:id="rId122" ref="Q124"/>
    <hyperlink r:id="rId123" ref="Q125"/>
    <hyperlink r:id="rId124" ref="Q126"/>
    <hyperlink r:id="rId125" ref="Q127"/>
    <hyperlink r:id="rId126" ref="Q128"/>
    <hyperlink r:id="rId127" ref="Q129"/>
    <hyperlink r:id="rId128" ref="Q130"/>
    <hyperlink r:id="rId129" ref="Q131"/>
    <hyperlink r:id="rId130" ref="Q132"/>
    <hyperlink r:id="rId131" ref="Q133"/>
    <hyperlink r:id="rId132" ref="Q134"/>
    <hyperlink r:id="rId133" ref="Q135"/>
    <hyperlink r:id="rId134" ref="Q136"/>
    <hyperlink r:id="rId135" ref="Q137"/>
    <hyperlink r:id="rId136" ref="Q138"/>
    <hyperlink r:id="rId137" ref="Q139"/>
    <hyperlink r:id="rId138" ref="Q140"/>
    <hyperlink r:id="rId139" ref="Q141"/>
    <hyperlink r:id="rId140" ref="Q142"/>
    <hyperlink r:id="rId141" ref="Q143"/>
    <hyperlink r:id="rId142" ref="Q144"/>
    <hyperlink r:id="rId143" ref="Q145"/>
    <hyperlink r:id="rId144" ref="Q146"/>
    <hyperlink r:id="rId145" ref="Q147"/>
    <hyperlink r:id="rId146" ref="Q148"/>
  </hyperlinks>
  <drawing r:id="rId14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c r="A2" s="3" t="str">
        <f>IFERROR(__xludf.DUMMYFUNCTION("LET(
  studio_filter, ""SOKO studio"",
  all_rows, IFERROR(FILTER(AllGames_Games!A2:AZ1001, (AllGames_Games!AQ2:AQ1001 = TRUE) + (AllGames_Games!AQ2:AQ1001 = ""TRUE"")), """"),
  base_games, IFERROR(FILTER(all_rows, IF(studio_filter = """", 1, CHOOSECO"&amp;"LS(all_rows, 3) = studio_filter)), """"),
  IF(INDEX(base_games, 1, 1) = """", ""Nema rezultata za filter"",
    LET(
      gamename_keys, CHOOSECOLS(base_games, 4),
      gameid_keys, CHOOSECOLS(base_games, 6),
      studio, VSTACK(""GameStudio"&amp;""", CHOOSECOLS(base_games, 3)),
      name, VSTACK(""GameName"", gamename_keys),
      gameID, VSTACK(""GameID"", gameid_keys),
      release, VSTACK(""ReleaseDate"", CHOOSECOLS(base_games, 19)),
      category, VSTACK(""GameCategoryID"", CHOOSECOLS(base_"&amp;"games, 11)),
      size, VSTACK(""GameSize"", CHOOSECOLS(base_games, 16)),
      reels, VSTACK(""ReelsAndRows"", CHOOSECOLS(base_games, 21)),
      lines, VSTACK(""Paylines"", CHOOSECOLS(base_games, 22)),
      payLines, VSTACK(""PayableLines"", CHOOSECOL"&amp;"S(base_games, 23)),
      rtp, VSTACK(""RTP%"", ARRAYFORMULA(IF(CHOOSECOLS(base_games, 24)="""", """", CHOOSECOLS(base_games, 24) &amp; ""%""))),
      volatility, VSTACK(""VolatilityID"", CHOOSECOLS(base_games, 25)),
      hit, VSTACK(""HitFrequency%"", ARRA"&amp;"YFORMULA(IF(CHOOSECOLS(base_games, 26)="""", """", CHOOSECOLS(base_games, 26) &amp; ""%""))),
      exposure, VSTACK(""MaxExposure"", ARRAYFORMULA(IF(CHOOSECOLS(base_games, 27)="""", """", ""x"" &amp; CHOOSECOLS(base_games, 27)))),
      bet, VSTACK(""MinandMaxBe"&amp;"t(EUR)"", CHOOSECOLS(base_games, 30)),
      jackpot, VSTACK(""Jackpot"", CHOOSECOLS(base_games, 38)),
      features, VSTACK(""Features"", CHOOSECOLS(base_games, 29)),
      demo, VSTACK(""DemoLink"", CHOOSECOLS(base_games, 40)),
      promo, VSTACK(""Pr"&amp;"omoText"", CHOOSECOLS(base_games, 45)),
      part1, HSTACK(studio, name, gameID, release, category, size, reels, lines, payLines, rtp, volatility, hit, exposure, bet, jackpot, features, demo, promo),
      lang_headers, GameLanguages_za_CA!"&amp;"B1:AD1,
      lang_data, ARRAYFORMULA(IFERROR(VLOOKUP(gameid_keys, GameLanguages_za_CA!A:AD, SEQUENCE(1, COLUMNS(lang_headers), 2), 0), """")),
      part2, VSTACK(lang_headers, lang_data),
      jur_headers, FILTER(Jurisdiction_report!B1:BY1, Juri"&amp;"sdiction_report!B1:BY1 &lt;&gt; """"),
      jur_data_raw, ARRAYFORMULA(IFERROR(VLOOKUP(gamename_keys, Jurisdiction_report!A:ZZ, SEQUENCE(1, COLUMNS(jur_headers), 2), 0), """")),
      has_available, BYCOL(jur_data_raw, LAMBDA(col, COUNTIF(col, ""Availab"&amp;"le"") &gt; 0)),
      valid_col_indices, IFERROR(FILTER(SEQUENCE(1, COLUMNS(jur_headers)), has_available), 0),
      part3, IF(INDEX(valid_col_indices, 1, 1) = 0,
        MAKEARRAY(ROWS(base_games) + 1, 1, LAMBDA(r, c, IF(r = 1, ""Jurisdictions (None "&amp;"Available)"", """"))),
        LET(
          filtered_headers, CHOOSECOLS(jur_headers, valid_col_indices),
          filtered_data_raw, CHOOSECOLS(jur_data_raw, valid_col_indices),
          filtered_data, ARRAYFORMULA(IF(filtered_data_raw = ""Available"&amp;""", ""Available"", """")),
          VSTACK(filtered_headers, filtered_data)
        )
      ),
      HSTACK(part1, part2, part3)
    )
  )
)"),"GameStudio")</f>
        <v>GameStudio</v>
      </c>
      <c r="B2" s="3" t="str">
        <f>IFERROR(__xludf.DUMMYFUNCTION("""COMPUTED_VALUE"""),"GameName")</f>
        <v>GameName</v>
      </c>
      <c r="C2" s="3" t="str">
        <f>IFERROR(__xludf.DUMMYFUNCTION("""COMPUTED_VALUE"""),"GameID")</f>
        <v>GameID</v>
      </c>
      <c r="D2" s="4" t="str">
        <f>IFERROR(__xludf.DUMMYFUNCTION("""COMPUTED_VALUE"""),"ReleaseDate")</f>
        <v>ReleaseDate</v>
      </c>
      <c r="E2" s="3" t="str">
        <f>IFERROR(__xludf.DUMMYFUNCTION("""COMPUTED_VALUE"""),"GameCategoryID")</f>
        <v>GameCategoryID</v>
      </c>
      <c r="F2" s="3" t="str">
        <f>IFERROR(__xludf.DUMMYFUNCTION("""COMPUTED_VALUE"""),"GameSize")</f>
        <v>GameSize</v>
      </c>
      <c r="G2" s="3" t="str">
        <f>IFERROR(__xludf.DUMMYFUNCTION("""COMPUTED_VALUE"""),"ReelsAndRows")</f>
        <v>ReelsAndRows</v>
      </c>
      <c r="H2" s="3" t="str">
        <f>IFERROR(__xludf.DUMMYFUNCTION("""COMPUTED_VALUE"""),"Paylines")</f>
        <v>Paylines</v>
      </c>
      <c r="I2" s="3" t="str">
        <f>IFERROR(__xludf.DUMMYFUNCTION("""COMPUTED_VALUE"""),"PayableLines")</f>
        <v>PayableLines</v>
      </c>
      <c r="J2" s="3" t="str">
        <f>IFERROR(__xludf.DUMMYFUNCTION("""COMPUTED_VALUE"""),"RTP%")</f>
        <v>RTP%</v>
      </c>
      <c r="K2" s="3" t="str">
        <f>IFERROR(__xludf.DUMMYFUNCTION("""COMPUTED_VALUE"""),"VolatilityID")</f>
        <v>VolatilityID</v>
      </c>
      <c r="L2" s="3" t="str">
        <f>IFERROR(__xludf.DUMMYFUNCTION("""COMPUTED_VALUE"""),"HitFrequency%")</f>
        <v>HitFrequency%</v>
      </c>
      <c r="M2" s="3" t="str">
        <f>IFERROR(__xludf.DUMMYFUNCTION("""COMPUTED_VALUE"""),"MaxExposure")</f>
        <v>MaxExposure</v>
      </c>
      <c r="N2" s="3" t="str">
        <f>IFERROR(__xludf.DUMMYFUNCTION("""COMPUTED_VALUE"""),"MinandMaxBet(EUR)")</f>
        <v>MinandMaxBet(EUR)</v>
      </c>
      <c r="O2" s="3" t="str">
        <f>IFERROR(__xludf.DUMMYFUNCTION("""COMPUTED_VALUE"""),"Jackpot")</f>
        <v>Jackpot</v>
      </c>
      <c r="P2" s="3" t="str">
        <f>IFERROR(__xludf.DUMMYFUNCTION("""COMPUTED_VALUE"""),"Features")</f>
        <v>Features</v>
      </c>
      <c r="Q2" s="3" t="str">
        <f>IFERROR(__xludf.DUMMYFUNCTION("""COMPUTED_VALUE"""),"DemoLink")</f>
        <v>DemoLink</v>
      </c>
      <c r="R2" s="3" t="str">
        <f>IFERROR(__xludf.DUMMYFUNCTION("""COMPUTED_VALUE"""),"PromoText")</f>
        <v>PromoText</v>
      </c>
      <c r="S2" s="3" t="str">
        <f>IFERROR(__xludf.DUMMYFUNCTION("""COMPUTED_VALUE"""),"LanguageCode")</f>
        <v>LanguageCode</v>
      </c>
      <c r="T2" s="3" t="str">
        <f>IFERROR(__xludf.DUMMYFUNCTION("""COMPUTED_VALUE"""),"English")</f>
        <v>English</v>
      </c>
      <c r="U2" s="3" t="str">
        <f>IFERROR(__xludf.DUMMYFUNCTION("""COMPUTED_VALUE"""),"Serbian")</f>
        <v>Serbian</v>
      </c>
      <c r="V2" s="3" t="str">
        <f>IFERROR(__xludf.DUMMYFUNCTION("""COMPUTED_VALUE"""),"Montenegrian")</f>
        <v>Montenegrian</v>
      </c>
      <c r="W2" s="3" t="str">
        <f>IFERROR(__xludf.DUMMYFUNCTION("""COMPUTED_VALUE"""),"Bulgarian")</f>
        <v>Bulgarian</v>
      </c>
      <c r="X2" s="3" t="str">
        <f>IFERROR(__xludf.DUMMYFUNCTION("""COMPUTED_VALUE"""),"Spanish")</f>
        <v>Spanish</v>
      </c>
      <c r="Y2" s="3" t="str">
        <f>IFERROR(__xludf.DUMMYFUNCTION("""COMPUTED_VALUE"""),"Portuguese")</f>
        <v>Portuguese</v>
      </c>
      <c r="Z2" s="3" t="str">
        <f>IFERROR(__xludf.DUMMYFUNCTION("""COMPUTED_VALUE"""),"Italian")</f>
        <v>Italian</v>
      </c>
      <c r="AA2" s="3" t="str">
        <f>IFERROR(__xludf.DUMMYFUNCTION("""COMPUTED_VALUE"""),"Romanian")</f>
        <v>Romanian</v>
      </c>
      <c r="AB2" s="3" t="str">
        <f>IFERROR(__xludf.DUMMYFUNCTION("""COMPUTED_VALUE"""),"Croatian")</f>
        <v>Croatian</v>
      </c>
      <c r="AC2" s="3" t="str">
        <f>IFERROR(__xludf.DUMMYFUNCTION("""COMPUTED_VALUE"""),"French")</f>
        <v>French</v>
      </c>
      <c r="AD2" s="3" t="str">
        <f>IFERROR(__xludf.DUMMYFUNCTION("""COMPUTED_VALUE"""),"German")</f>
        <v>German</v>
      </c>
      <c r="AE2" s="3" t="str">
        <f>IFERROR(__xludf.DUMMYFUNCTION("""COMPUTED_VALUE"""),"Dutch")</f>
        <v>Dutch</v>
      </c>
      <c r="AF2" s="3" t="str">
        <f>IFERROR(__xludf.DUMMYFUNCTION("""COMPUTED_VALUE"""),"Turkish")</f>
        <v>Turkish</v>
      </c>
      <c r="AG2" s="3" t="str">
        <f>IFERROR(__xludf.DUMMYFUNCTION("""COMPUTED_VALUE"""),"Greek")</f>
        <v>Greek</v>
      </c>
      <c r="AH2" s="3" t="str">
        <f>IFERROR(__xludf.DUMMYFUNCTION("""COMPUTED_VALUE"""),"Russian")</f>
        <v>Russian</v>
      </c>
      <c r="AI2" s="3" t="str">
        <f>IFERROR(__xludf.DUMMYFUNCTION("""COMPUTED_VALUE"""),"Czech")</f>
        <v>Czech</v>
      </c>
      <c r="AJ2" s="3" t="str">
        <f>IFERROR(__xludf.DUMMYFUNCTION("""COMPUTED_VALUE"""),"Hungarian")</f>
        <v>Hungarian</v>
      </c>
      <c r="AK2" s="3" t="str">
        <f>IFERROR(__xludf.DUMMYFUNCTION("""COMPUTED_VALUE"""),"N. Macedonian")</f>
        <v>N. Macedonian</v>
      </c>
      <c r="AL2" s="3" t="str">
        <f>IFERROR(__xludf.DUMMYFUNCTION("""COMPUTED_VALUE"""),"Finnish")</f>
        <v>Finnish</v>
      </c>
      <c r="AM2" s="3" t="str">
        <f>IFERROR(__xludf.DUMMYFUNCTION("""COMPUTED_VALUE"""),"Armenian")</f>
        <v>Armenian</v>
      </c>
      <c r="AN2" s="3" t="str">
        <f>IFERROR(__xludf.DUMMYFUNCTION("""COMPUTED_VALUE"""),"Social English")</f>
        <v>Social English</v>
      </c>
      <c r="AO2" s="3" t="str">
        <f>IFERROR(__xludf.DUMMYFUNCTION("""COMPUTED_VALUE"""),"Swahili")</f>
        <v>Swahili</v>
      </c>
      <c r="AP2" s="3" t="str">
        <f>IFERROR(__xludf.DUMMYFUNCTION("""COMPUTED_VALUE"""),"Polish")</f>
        <v>Polish</v>
      </c>
      <c r="AQ2" s="3" t="str">
        <f>IFERROR(__xludf.DUMMYFUNCTION("""COMPUTED_VALUE"""),"Latvian")</f>
        <v>Latvian</v>
      </c>
      <c r="AR2" s="3" t="str">
        <f>IFERROR(__xludf.DUMMYFUNCTION("""COMPUTED_VALUE"""),"Lithuanian")</f>
        <v>Lithuanian</v>
      </c>
      <c r="AS2" s="3" t="str">
        <f>IFERROR(__xludf.DUMMYFUNCTION("""COMPUTED_VALUE"""),"Ukrainian")</f>
        <v>Ukrainian</v>
      </c>
      <c r="AT2" s="3" t="str">
        <f>IFERROR(__xludf.DUMMYFUNCTION("""COMPUTED_VALUE"""),"Bosnian")</f>
        <v>Bosnian</v>
      </c>
      <c r="AU2" s="3"/>
      <c r="AV2" s="3" t="str">
        <f>IFERROR(__xludf.DUMMYFUNCTION("""COMPUTED_VALUE"""),"Jurisdictions (None Available)")</f>
        <v>Jurisdictions (None Available)</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c r="A3" s="5" t="str">
        <f>IFERROR(__xludf.DUMMYFUNCTION("""COMPUTED_VALUE"""),"SOKO studio")</f>
        <v>SOKO studio</v>
      </c>
      <c r="B3" s="5" t="str">
        <f>IFERROR(__xludf.DUMMYFUNCTION("""COMPUTED_VALUE"""),"Lucky Crown 10")</f>
        <v>Lucky Crown 10</v>
      </c>
      <c r="C3" s="5" t="str">
        <f>IFERROR(__xludf.DUMMYFUNCTION("""COMPUTED_VALUE"""),"SokoLuckyCrown10")</f>
        <v>SokoLuckyCrown10</v>
      </c>
      <c r="D3" s="6">
        <f>IFERROR(__xludf.DUMMYFUNCTION("""COMPUTED_VALUE"""),46204.0)</f>
        <v>46204</v>
      </c>
      <c r="E3" s="5" t="str">
        <f>IFERROR(__xludf.DUMMYFUNCTION("""COMPUTED_VALUE"""),"Slot")</f>
        <v>Slot</v>
      </c>
      <c r="F3" s="5">
        <f>IFERROR(__xludf.DUMMYFUNCTION("""COMPUTED_VALUE"""),20.8)</f>
        <v>20.8</v>
      </c>
      <c r="G3" s="5" t="str">
        <f>IFERROR(__xludf.DUMMYFUNCTION("""COMPUTED_VALUE"""),"5x3")</f>
        <v>5x3</v>
      </c>
      <c r="H3" s="5">
        <f>IFERROR(__xludf.DUMMYFUNCTION("""COMPUTED_VALUE"""),10.0)</f>
        <v>10</v>
      </c>
      <c r="I3" s="5">
        <f>IFERROR(__xludf.DUMMYFUNCTION("""COMPUTED_VALUE"""),10.0)</f>
        <v>10</v>
      </c>
      <c r="J3" s="5" t="str">
        <f>IFERROR(__xludf.DUMMYFUNCTION("""COMPUTED_VALUE"""),"94.91%")</f>
        <v>94.91%</v>
      </c>
      <c r="K3" s="5" t="str">
        <f>IFERROR(__xludf.DUMMYFUNCTION("""COMPUTED_VALUE"""),"High")</f>
        <v>High</v>
      </c>
      <c r="L3" s="5" t="str">
        <f>IFERROR(__xludf.DUMMYFUNCTION("""COMPUTED_VALUE"""),"9.5%")</f>
        <v>9.5%</v>
      </c>
      <c r="M3" s="5" t="str">
        <f>IFERROR(__xludf.DUMMYFUNCTION("""COMPUTED_VALUE"""),"x2666")</f>
        <v>x2666</v>
      </c>
      <c r="N3" s="5" t="str">
        <f>IFERROR(__xludf.DUMMYFUNCTION("""COMPUTED_VALUE"""),"0.10/100")</f>
        <v>0.10/100</v>
      </c>
      <c r="O3" s="5" t="str">
        <f>IFERROR(__xludf.DUMMYFUNCTION("""COMPUTED_VALUE"""),"No")</f>
        <v>No</v>
      </c>
      <c r="P3" s="5" t="str">
        <f>IFERROR(__xludf.DUMMYFUNCTION("""COMPUTED_VALUE"""),"Expanding Wild, Scatter, Wild Symbol")</f>
        <v>Expanding Wild, Scatter, Wild Symbol</v>
      </c>
      <c r="Q3" s="7" t="str">
        <f>IFERROR(__xludf.DUMMYFUNCTION("""COMPUTED_VALUE"""),"https://rgs-lucky-crown-10.soko.games/?demo=True&amp;locale=eng")</f>
        <v>https://rgs-lucky-crown-10.soko.games/?demo=True&amp;locale=eng</v>
      </c>
      <c r="R3" s="5" t="str">
        <f>IFERROR(__xludf.DUMMYFUNCTION("""COMPUTED_VALUE"""),"Lucky Crown 10 is a vibrant fruit slot with a classic casino feel, built around 10 paylines, high volatility, and an expanding wild feature for bigger win potential. ")</f>
        <v>Lucky Crown 10 is a vibrant fruit slot with a classic casino feel, built around 10 paylines, high volatility, and an expanding wild feature for bigger win potential. </v>
      </c>
      <c r="S3"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IFERROR(__xludf.DUMMYFUNCTION("""COMPUTED_VALUE"""),"Yes")</f>
        <v>Yes</v>
      </c>
      <c r="AD3" s="5" t="str">
        <f>IFERROR(__xludf.DUMMYFUNCTION("""COMPUTED_VALUE"""),"Yes")</f>
        <v>Yes</v>
      </c>
      <c r="AE3" s="5" t="str">
        <f>IFERROR(__xludf.DUMMYFUNCTION("""COMPUTED_VALUE"""),"Yes")</f>
        <v>Yes</v>
      </c>
      <c r="AF3" s="5" t="str">
        <f>IFERROR(__xludf.DUMMYFUNCTION("""COMPUTED_VALUE"""),"Yes")</f>
        <v>Yes</v>
      </c>
      <c r="AG3" s="5" t="str">
        <f>IFERROR(__xludf.DUMMYFUNCTION("""COMPUTED_VALUE"""),"Yes")</f>
        <v>Yes</v>
      </c>
      <c r="AH3" s="5" t="str">
        <f>IFERROR(__xludf.DUMMYFUNCTION("""COMPUTED_VALUE"""),"Yes")</f>
        <v>Yes</v>
      </c>
      <c r="AI3" s="5" t="str">
        <f>IFERROR(__xludf.DUMMYFUNCTION("""COMPUTED_VALUE"""),"Yes")</f>
        <v>Yes</v>
      </c>
      <c r="AJ3" s="5" t="str">
        <f>IFERROR(__xludf.DUMMYFUNCTION("""COMPUTED_VALUE"""),"Yes")</f>
        <v>Yes</v>
      </c>
      <c r="AK3" s="5" t="str">
        <f>IFERROR(__xludf.DUMMYFUNCTION("""COMPUTED_VALUE"""),"No")</f>
        <v>No</v>
      </c>
      <c r="AL3" s="5" t="str">
        <f>IFERROR(__xludf.DUMMYFUNCTION("""COMPUTED_VALUE"""),"No")</f>
        <v>No</v>
      </c>
      <c r="AM3" s="5" t="str">
        <f>IFERROR(__xludf.DUMMYFUNCTION("""COMPUTED_VALUE"""),"No")</f>
        <v>No</v>
      </c>
      <c r="AN3" s="5" t="str">
        <f>IFERROR(__xludf.DUMMYFUNCTION("""COMPUTED_VALUE"""),"No")</f>
        <v>No</v>
      </c>
      <c r="AO3" s="5" t="str">
        <f>IFERROR(__xludf.DUMMYFUNCTION("""COMPUTED_VALUE"""),"No")</f>
        <v>No</v>
      </c>
      <c r="AP3" s="5" t="str">
        <f>IFERROR(__xludf.DUMMYFUNCTION("""COMPUTED_VALUE"""),"Yes")</f>
        <v>Yes</v>
      </c>
      <c r="AQ3" s="5" t="str">
        <f>IFERROR(__xludf.DUMMYFUNCTION("""COMPUTED_VALUE"""),"No")</f>
        <v>No</v>
      </c>
      <c r="AR3" s="5" t="str">
        <f>IFERROR(__xludf.DUMMYFUNCTION("""COMPUTED_VALUE"""),"No")</f>
        <v>No</v>
      </c>
      <c r="AS3" s="5" t="str">
        <f>IFERROR(__xludf.DUMMYFUNCTION("""COMPUTED_VALUE"""),"No")</f>
        <v>No</v>
      </c>
      <c r="AT3" s="5" t="str">
        <f>IFERROR(__xludf.DUMMYFUNCTION("""COMPUTED_VALUE"""),"No")</f>
        <v>No</v>
      </c>
      <c r="AU3" s="5"/>
      <c r="AV3" s="5" t="str">
        <f>IFERROR(__xludf.DUMMYFUNCTION("""COMPUTED_VALUE"""),"")</f>
        <v/>
      </c>
    </row>
    <row r="4">
      <c r="A4" s="5" t="str">
        <f>IFERROR(__xludf.DUMMYFUNCTION("""COMPUTED_VALUE"""),"SOKO studio")</f>
        <v>SOKO studio</v>
      </c>
      <c r="B4" s="5" t="str">
        <f>IFERROR(__xludf.DUMMYFUNCTION("""COMPUTED_VALUE"""),"Hot Chili Fiesta")</f>
        <v>Hot Chili Fiesta</v>
      </c>
      <c r="C4" s="5" t="str">
        <f>IFERROR(__xludf.DUMMYFUNCTION("""COMPUTED_VALUE"""),"SokoHotChiliFiesta")</f>
        <v>SokoHotChiliFiesta</v>
      </c>
      <c r="D4" s="6">
        <f>IFERROR(__xludf.DUMMYFUNCTION("""COMPUTED_VALUE"""),46212.0)</f>
        <v>46212</v>
      </c>
      <c r="E4" s="5" t="str">
        <f>IFERROR(__xludf.DUMMYFUNCTION("""COMPUTED_VALUE"""),"Slot")</f>
        <v>Slot</v>
      </c>
      <c r="F4" s="5">
        <f>IFERROR(__xludf.DUMMYFUNCTION("""COMPUTED_VALUE"""),29.0)</f>
        <v>29</v>
      </c>
      <c r="G4" s="5" t="str">
        <f>IFERROR(__xludf.DUMMYFUNCTION("""COMPUTED_VALUE"""),"5x3")</f>
        <v>5x3</v>
      </c>
      <c r="H4" s="5">
        <f>IFERROR(__xludf.DUMMYFUNCTION("""COMPUTED_VALUE"""),5.0)</f>
        <v>5</v>
      </c>
      <c r="I4" s="5">
        <f>IFERROR(__xludf.DUMMYFUNCTION("""COMPUTED_VALUE"""),5.0)</f>
        <v>5</v>
      </c>
      <c r="J4" s="5" t="str">
        <f>IFERROR(__xludf.DUMMYFUNCTION("""COMPUTED_VALUE"""),"95.05%")</f>
        <v>95.05%</v>
      </c>
      <c r="K4" s="5" t="str">
        <f>IFERROR(__xludf.DUMMYFUNCTION("""COMPUTED_VALUE"""),"High")</f>
        <v>High</v>
      </c>
      <c r="L4" s="5" t="str">
        <f>IFERROR(__xludf.DUMMYFUNCTION("""COMPUTED_VALUE"""),"10.78%")</f>
        <v>10.78%</v>
      </c>
      <c r="M4" s="5" t="str">
        <f>IFERROR(__xludf.DUMMYFUNCTION("""COMPUTED_VALUE"""),"x2525")</f>
        <v>x2525</v>
      </c>
      <c r="N4" s="5" t="str">
        <f>IFERROR(__xludf.DUMMYFUNCTION("""COMPUTED_VALUE"""),"0.10/100")</f>
        <v>0.10/100</v>
      </c>
      <c r="O4" s="5" t="str">
        <f>IFERROR(__xludf.DUMMYFUNCTION("""COMPUTED_VALUE"""),"No")</f>
        <v>No</v>
      </c>
      <c r="P4" s="5" t="str">
        <f>IFERROR(__xludf.DUMMYFUNCTION("""COMPUTED_VALUE"""),"Hold and Win, Expanding Wild, Wild Multiplier, Wild Symbol, Scatter")</f>
        <v>Hold and Win, Expanding Wild, Wild Multiplier, Wild Symbol, Scatter</v>
      </c>
      <c r="Q4" s="7" t="str">
        <f>IFERROR(__xludf.DUMMYFUNCTION("""COMPUTED_VALUE"""),"https://rgs-hot-chili-fiesta.soko.games/?demo=True&amp;locale=eng")</f>
        <v>https://rgs-hot-chili-fiesta.soko.games/?demo=True&amp;locale=eng</v>
      </c>
      <c r="R4" s="5" t="str">
        <f>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S4"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IFERROR(__xludf.DUMMYFUNCTION("""COMPUTED_VALUE"""),"Yes")</f>
        <v>Yes</v>
      </c>
      <c r="AD4" s="5" t="str">
        <f>IFERROR(__xludf.DUMMYFUNCTION("""COMPUTED_VALUE"""),"Yes")</f>
        <v>Yes</v>
      </c>
      <c r="AE4" s="5" t="str">
        <f>IFERROR(__xludf.DUMMYFUNCTION("""COMPUTED_VALUE"""),"Yes")</f>
        <v>Yes</v>
      </c>
      <c r="AF4" s="5" t="str">
        <f>IFERROR(__xludf.DUMMYFUNCTION("""COMPUTED_VALUE"""),"Yes")</f>
        <v>Yes</v>
      </c>
      <c r="AG4" s="5" t="str">
        <f>IFERROR(__xludf.DUMMYFUNCTION("""COMPUTED_VALUE"""),"Yes")</f>
        <v>Yes</v>
      </c>
      <c r="AH4" s="5" t="str">
        <f>IFERROR(__xludf.DUMMYFUNCTION("""COMPUTED_VALUE"""),"Yes")</f>
        <v>Yes</v>
      </c>
      <c r="AI4" s="5" t="str">
        <f>IFERROR(__xludf.DUMMYFUNCTION("""COMPUTED_VALUE"""),"No")</f>
        <v>No</v>
      </c>
      <c r="AJ4" s="5" t="str">
        <f>IFERROR(__xludf.DUMMYFUNCTION("""COMPUTED_VALUE"""),"Yes")</f>
        <v>Yes</v>
      </c>
      <c r="AK4" s="5" t="str">
        <f>IFERROR(__xludf.DUMMYFUNCTION("""COMPUTED_VALUE"""),"No")</f>
        <v>No</v>
      </c>
      <c r="AL4" s="5" t="str">
        <f>IFERROR(__xludf.DUMMYFUNCTION("""COMPUTED_VALUE"""),"No")</f>
        <v>No</v>
      </c>
      <c r="AM4" s="5" t="str">
        <f>IFERROR(__xludf.DUMMYFUNCTION("""COMPUTED_VALUE"""),"No")</f>
        <v>No</v>
      </c>
      <c r="AN4" s="5" t="str">
        <f>IFERROR(__xludf.DUMMYFUNCTION("""COMPUTED_VALUE"""),"No")</f>
        <v>No</v>
      </c>
      <c r="AO4" s="5" t="str">
        <f>IFERROR(__xludf.DUMMYFUNCTION("""COMPUTED_VALUE"""),"No")</f>
        <v>No</v>
      </c>
      <c r="AP4" s="5" t="str">
        <f>IFERROR(__xludf.DUMMYFUNCTION("""COMPUTED_VALUE"""),"Yes")</f>
        <v>Yes</v>
      </c>
      <c r="AQ4" s="5" t="str">
        <f>IFERROR(__xludf.DUMMYFUNCTION("""COMPUTED_VALUE"""),"No")</f>
        <v>No</v>
      </c>
      <c r="AR4" s="5" t="str">
        <f>IFERROR(__xludf.DUMMYFUNCTION("""COMPUTED_VALUE"""),"No")</f>
        <v>No</v>
      </c>
      <c r="AS4" s="5" t="str">
        <f>IFERROR(__xludf.DUMMYFUNCTION("""COMPUTED_VALUE"""),"No")</f>
        <v>No</v>
      </c>
      <c r="AT4" s="5" t="str">
        <f>IFERROR(__xludf.DUMMYFUNCTION("""COMPUTED_VALUE"""),"No")</f>
        <v>No</v>
      </c>
      <c r="AU4" s="5"/>
      <c r="AV4" s="5" t="str">
        <f>IFERROR(__xludf.DUMMYFUNCTION("""COMPUTED_VALUE"""),"")</f>
        <v/>
      </c>
    </row>
    <row r="5">
      <c r="A5" s="5" t="str">
        <f>IFERROR(__xludf.DUMMYFUNCTION("""COMPUTED_VALUE"""),"SOKO studio")</f>
        <v>SOKO studio</v>
      </c>
      <c r="B5" s="5" t="str">
        <f>IFERROR(__xludf.DUMMYFUNCTION("""COMPUTED_VALUE"""),"Double Hot Chili")</f>
        <v>Double Hot Chili</v>
      </c>
      <c r="C5" s="5" t="str">
        <f>IFERROR(__xludf.DUMMYFUNCTION("""COMPUTED_VALUE"""),"SokoDoubleHotChili")</f>
        <v>SokoDoubleHotChili</v>
      </c>
      <c r="D5" s="6">
        <f>IFERROR(__xludf.DUMMYFUNCTION("""COMPUTED_VALUE"""),46218.0)</f>
        <v>46218</v>
      </c>
      <c r="E5" s="5" t="str">
        <f>IFERROR(__xludf.DUMMYFUNCTION("""COMPUTED_VALUE"""),"Slot")</f>
        <v>Slot</v>
      </c>
      <c r="F5" s="5">
        <f>IFERROR(__xludf.DUMMYFUNCTION("""COMPUTED_VALUE"""),20.0)</f>
        <v>20</v>
      </c>
      <c r="G5" s="5" t="str">
        <f>IFERROR(__xludf.DUMMYFUNCTION("""COMPUTED_VALUE"""),"5x3")</f>
        <v>5x3</v>
      </c>
      <c r="H5" s="5">
        <f>IFERROR(__xludf.DUMMYFUNCTION("""COMPUTED_VALUE"""),10.0)</f>
        <v>10</v>
      </c>
      <c r="I5" s="5">
        <f>IFERROR(__xludf.DUMMYFUNCTION("""COMPUTED_VALUE"""),10.0)</f>
        <v>10</v>
      </c>
      <c r="J5" s="5" t="str">
        <f>IFERROR(__xludf.DUMMYFUNCTION("""COMPUTED_VALUE"""),"94.91%")</f>
        <v>94.91%</v>
      </c>
      <c r="K5" s="5" t="str">
        <f>IFERROR(__xludf.DUMMYFUNCTION("""COMPUTED_VALUE"""),"High")</f>
        <v>High</v>
      </c>
      <c r="L5" s="5" t="str">
        <f>IFERROR(__xludf.DUMMYFUNCTION("""COMPUTED_VALUE"""),"9.5%")</f>
        <v>9.5%</v>
      </c>
      <c r="M5" s="5" t="str">
        <f>IFERROR(__xludf.DUMMYFUNCTION("""COMPUTED_VALUE"""),"x2666")</f>
        <v>x2666</v>
      </c>
      <c r="N5" s="5" t="str">
        <f>IFERROR(__xludf.DUMMYFUNCTION("""COMPUTED_VALUE"""),"0.10/100")</f>
        <v>0.10/100</v>
      </c>
      <c r="O5" s="5" t="str">
        <f>IFERROR(__xludf.DUMMYFUNCTION("""COMPUTED_VALUE"""),"No")</f>
        <v>No</v>
      </c>
      <c r="P5" s="5" t="str">
        <f>IFERROR(__xludf.DUMMYFUNCTION("""COMPUTED_VALUE"""),"Wild Symbol, Expanding Wild, Scatter")</f>
        <v>Wild Symbol, Expanding Wild, Scatter</v>
      </c>
      <c r="Q5" s="7" t="str">
        <f>IFERROR(__xludf.DUMMYFUNCTION("""COMPUTED_VALUE"""),"https://rgs-double-hot-chili.soko.games/?demo=True&amp;locale=eng")</f>
        <v>https://rgs-double-hot-chili.soko.games/?demo=True&amp;locale=eng</v>
      </c>
      <c r="R5" s="5" t="str">
        <f>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S5" s="5"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IFERROR(__xludf.DUMMYFUNCTION("""COMPUTED_VALUE"""),"Yes")</f>
        <v>Yes</v>
      </c>
      <c r="AD5" s="5" t="str">
        <f>IFERROR(__xludf.DUMMYFUNCTION("""COMPUTED_VALUE"""),"Yes")</f>
        <v>Yes</v>
      </c>
      <c r="AE5" s="5" t="str">
        <f>IFERROR(__xludf.DUMMYFUNCTION("""COMPUTED_VALUE"""),"Yes")</f>
        <v>Yes</v>
      </c>
      <c r="AF5" s="5" t="str">
        <f>IFERROR(__xludf.DUMMYFUNCTION("""COMPUTED_VALUE"""),"Yes")</f>
        <v>Yes</v>
      </c>
      <c r="AG5" s="5" t="str">
        <f>IFERROR(__xludf.DUMMYFUNCTION("""COMPUTED_VALUE"""),"No")</f>
        <v>No</v>
      </c>
      <c r="AH5" s="5" t="str">
        <f>IFERROR(__xludf.DUMMYFUNCTION("""COMPUTED_VALUE"""),"Yes")</f>
        <v>Yes</v>
      </c>
      <c r="AI5" s="5" t="str">
        <f>IFERROR(__xludf.DUMMYFUNCTION("""COMPUTED_VALUE"""),"No")</f>
        <v>No</v>
      </c>
      <c r="AJ5" s="5" t="str">
        <f>IFERROR(__xludf.DUMMYFUNCTION("""COMPUTED_VALUE"""),"No")</f>
        <v>No</v>
      </c>
      <c r="AK5" s="5" t="str">
        <f>IFERROR(__xludf.DUMMYFUNCTION("""COMPUTED_VALUE"""),"No")</f>
        <v>No</v>
      </c>
      <c r="AL5" s="5" t="str">
        <f>IFERROR(__xludf.DUMMYFUNCTION("""COMPUTED_VALUE"""),"No")</f>
        <v>No</v>
      </c>
      <c r="AM5" s="5" t="str">
        <f>IFERROR(__xludf.DUMMYFUNCTION("""COMPUTED_VALUE"""),"No")</f>
        <v>No</v>
      </c>
      <c r="AN5" s="5" t="str">
        <f>IFERROR(__xludf.DUMMYFUNCTION("""COMPUTED_VALUE"""),"No")</f>
        <v>No</v>
      </c>
      <c r="AO5" s="5" t="str">
        <f>IFERROR(__xludf.DUMMYFUNCTION("""COMPUTED_VALUE"""),"No")</f>
        <v>No</v>
      </c>
      <c r="AP5" s="5" t="str">
        <f>IFERROR(__xludf.DUMMYFUNCTION("""COMPUTED_VALUE"""),"Yes")</f>
        <v>Yes</v>
      </c>
      <c r="AQ5" s="5" t="str">
        <f>IFERROR(__xludf.DUMMYFUNCTION("""COMPUTED_VALUE"""),"No")</f>
        <v>No</v>
      </c>
      <c r="AR5" s="5" t="str">
        <f>IFERROR(__xludf.DUMMYFUNCTION("""COMPUTED_VALUE"""),"No")</f>
        <v>No</v>
      </c>
      <c r="AS5" s="5" t="str">
        <f>IFERROR(__xludf.DUMMYFUNCTION("""COMPUTED_VALUE"""),"No")</f>
        <v>No</v>
      </c>
      <c r="AT5" s="5" t="str">
        <f>IFERROR(__xludf.DUMMYFUNCTION("""COMPUTED_VALUE"""),"No")</f>
        <v>No</v>
      </c>
      <c r="AU5" s="5"/>
      <c r="AV5" s="5" t="str">
        <f>IFERROR(__xludf.DUMMYFUNCTION("""COMPUTED_VALUE"""),"")</f>
        <v/>
      </c>
    </row>
    <row r="6">
      <c r="A6" s="5" t="str">
        <f>IFERROR(__xludf.DUMMYFUNCTION("""COMPUTED_VALUE"""),"SOKO studio")</f>
        <v>SOKO studio</v>
      </c>
      <c r="B6" s="5" t="str">
        <f>IFERROR(__xludf.DUMMYFUNCTION("""COMPUTED_VALUE"""),"Royal Jewels Fortune Deluxe")</f>
        <v>Royal Jewels Fortune Deluxe</v>
      </c>
      <c r="C6" s="5" t="str">
        <f>IFERROR(__xludf.DUMMYFUNCTION("""COMPUTED_VALUE"""),"SokoRoyalJewelsFortuneDeluxe")</f>
        <v>SokoRoyalJewelsFortuneDeluxe</v>
      </c>
      <c r="D6" s="6">
        <f>IFERROR(__xludf.DUMMYFUNCTION("""COMPUTED_VALUE"""),46240.0)</f>
        <v>46240</v>
      </c>
      <c r="E6" s="5" t="str">
        <f>IFERROR(__xludf.DUMMYFUNCTION("""COMPUTED_VALUE"""),"Slot")</f>
        <v>Slot</v>
      </c>
      <c r="F6" s="5">
        <f>IFERROR(__xludf.DUMMYFUNCTION("""COMPUTED_VALUE"""),21.06)</f>
        <v>21.06</v>
      </c>
      <c r="G6" s="5" t="str">
        <f>IFERROR(__xludf.DUMMYFUNCTION("""COMPUTED_VALUE"""),"5x3")</f>
        <v>5x3</v>
      </c>
      <c r="H6" s="5">
        <f>IFERROR(__xludf.DUMMYFUNCTION("""COMPUTED_VALUE"""),10.0)</f>
        <v>10</v>
      </c>
      <c r="I6" s="5">
        <f>IFERROR(__xludf.DUMMYFUNCTION("""COMPUTED_VALUE"""),10.0)</f>
        <v>10</v>
      </c>
      <c r="J6" s="5" t="str">
        <f>IFERROR(__xludf.DUMMYFUNCTION("""COMPUTED_VALUE"""),"94.91%")</f>
        <v>94.91%</v>
      </c>
      <c r="K6" s="5" t="str">
        <f>IFERROR(__xludf.DUMMYFUNCTION("""COMPUTED_VALUE"""),"High")</f>
        <v>High</v>
      </c>
      <c r="L6" s="5" t="str">
        <f>IFERROR(__xludf.DUMMYFUNCTION("""COMPUTED_VALUE"""),"9.5%")</f>
        <v>9.5%</v>
      </c>
      <c r="M6" s="5" t="str">
        <f>IFERROR(__xludf.DUMMYFUNCTION("""COMPUTED_VALUE"""),"x2666")</f>
        <v>x2666</v>
      </c>
      <c r="N6" s="5" t="str">
        <f>IFERROR(__xludf.DUMMYFUNCTION("""COMPUTED_VALUE"""),"0.05€/50€")</f>
        <v>0.05€/50€</v>
      </c>
      <c r="O6" s="5" t="str">
        <f>IFERROR(__xludf.DUMMYFUNCTION("""COMPUTED_VALUE"""),"No")</f>
        <v>No</v>
      </c>
      <c r="P6" s="5" t="str">
        <f>IFERROR(__xludf.DUMMYFUNCTION("""COMPUTED_VALUE"""),"Expanding Wild, Wild Symbol")</f>
        <v>Expanding Wild, Wild Symbol</v>
      </c>
      <c r="Q6" s="7" t="str">
        <f>IFERROR(__xludf.DUMMYFUNCTION("""COMPUTED_VALUE"""),"https://rgs-royal-jewels-fortune-deluxe.soko.games/?demo=True&amp;locale=eng")</f>
        <v>https://rgs-royal-jewels-fortune-deluxe.soko.games/?demo=True&amp;locale=eng</v>
      </c>
      <c r="R6" s="5" t="str">
        <f>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S6" s="5" t="str">
        <f>IFERROR(__xludf.DUMMYFUNCTION("""COMPUTED_VALUE"""),"")</f>
        <v/>
      </c>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t="str">
        <f>IFERROR(__xludf.DUMMYFUNCTION("""COMPUTED_VALUE"""),"")</f>
        <v/>
      </c>
    </row>
    <row r="7">
      <c r="A7" s="5" t="str">
        <f>IFERROR(__xludf.DUMMYFUNCTION("""COMPUTED_VALUE"""),"SOKO studio")</f>
        <v>SOKO studio</v>
      </c>
      <c r="B7" s="5" t="str">
        <f>IFERROR(__xludf.DUMMYFUNCTION("""COMPUTED_VALUE"""),"Triple Hot Chili")</f>
        <v>Triple Hot Chili</v>
      </c>
      <c r="C7" s="5" t="str">
        <f>IFERROR(__xludf.DUMMYFUNCTION("""COMPUTED_VALUE"""),"SokoTripleHotChili")</f>
        <v>SokoTripleHotChili</v>
      </c>
      <c r="D7" s="6">
        <f>IFERROR(__xludf.DUMMYFUNCTION("""COMPUTED_VALUE"""),46254.0)</f>
        <v>46254</v>
      </c>
      <c r="E7" s="5" t="str">
        <f>IFERROR(__xludf.DUMMYFUNCTION("""COMPUTED_VALUE"""),"Slot")</f>
        <v>Slot</v>
      </c>
      <c r="F7" s="5">
        <f>IFERROR(__xludf.DUMMYFUNCTION("""COMPUTED_VALUE"""),29.0)</f>
        <v>29</v>
      </c>
      <c r="G7" s="5" t="str">
        <f>IFERROR(__xludf.DUMMYFUNCTION("""COMPUTED_VALUE"""),"5x3")</f>
        <v>5x3</v>
      </c>
      <c r="H7" s="5">
        <f>IFERROR(__xludf.DUMMYFUNCTION("""COMPUTED_VALUE"""),5.0)</f>
        <v>5</v>
      </c>
      <c r="I7" s="5">
        <f>IFERROR(__xludf.DUMMYFUNCTION("""COMPUTED_VALUE"""),5.0)</f>
        <v>5</v>
      </c>
      <c r="J7" s="5" t="str">
        <f>IFERROR(__xludf.DUMMYFUNCTION("""COMPUTED_VALUE"""),"95.05%")</f>
        <v>95.05%</v>
      </c>
      <c r="K7" s="5" t="str">
        <f>IFERROR(__xludf.DUMMYFUNCTION("""COMPUTED_VALUE"""),"High")</f>
        <v>High</v>
      </c>
      <c r="L7" s="5" t="str">
        <f>IFERROR(__xludf.DUMMYFUNCTION("""COMPUTED_VALUE"""),"10.78%")</f>
        <v>10.78%</v>
      </c>
      <c r="M7" s="5" t="str">
        <f>IFERROR(__xludf.DUMMYFUNCTION("""COMPUTED_VALUE"""),"x2525")</f>
        <v>x2525</v>
      </c>
      <c r="N7" s="5" t="str">
        <f>IFERROR(__xludf.DUMMYFUNCTION("""COMPUTED_VALUE"""),"0.10/100")</f>
        <v>0.10/100</v>
      </c>
      <c r="O7" s="5" t="str">
        <f>IFERROR(__xludf.DUMMYFUNCTION("""COMPUTED_VALUE"""),"No")</f>
        <v>No</v>
      </c>
      <c r="P7" s="5" t="str">
        <f>IFERROR(__xludf.DUMMYFUNCTION("""COMPUTED_VALUE"""),"Scatter, Expanding Wild, Wild Multiplier, Wild Symbol")</f>
        <v>Scatter, Expanding Wild, Wild Multiplier, Wild Symbol</v>
      </c>
      <c r="Q7" s="5" t="str">
        <f>IFERROR(__xludf.DUMMYFUNCTION("""COMPUTED_VALUE"""),"rgs-triple-hot-chili.soko.games/?demo=True&amp;locale=eng")</f>
        <v>rgs-triple-hot-chili.soko.games/?demo=True&amp;locale=eng</v>
      </c>
      <c r="R7" s="5" t="str">
        <f>IFERROR(__xludf.DUMMYFUNCTION("""COMPUTED_VALUE"""),"Triple Hot Chili is a red-hot fruit slot where classic reels meet three-alarm heat. Set on a 5x3 grid with 5 paylines, the game features three multiplying expanding wilds on the 3rd reel, each carrying a x2, x3 or x5 multiplier. With juicy fruits, lucky s"&amp;"evens and sizzling chili sauce wilds, every spin turns up the temperature.")</f>
        <v>Triple Hot Chili is a red-hot fruit slot where classic reels meet three-alarm heat. Set on a 5x3 grid with 5 paylines, the game features three multiplying expanding wilds on the 3rd reel, each carrying a x2, x3 or x5 multiplier. With juicy fruits, lucky sevens and sizzling chili sauce wilds, every spin turns up the temperature.</v>
      </c>
      <c r="S7"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7" s="5" t="str">
        <f>IFERROR(__xludf.DUMMYFUNCTION("""COMPUTED_VALUE"""),"Yes")</f>
        <v>Yes</v>
      </c>
      <c r="U7" s="5" t="str">
        <f>IFERROR(__xludf.DUMMYFUNCTION("""COMPUTED_VALUE"""),"Yes")</f>
        <v>Yes</v>
      </c>
      <c r="V7" s="5" t="str">
        <f>IFERROR(__xludf.DUMMYFUNCTION("""COMPUTED_VALUE"""),"Yes")</f>
        <v>Yes</v>
      </c>
      <c r="W7" s="5" t="str">
        <f>IFERROR(__xludf.DUMMYFUNCTION("""COMPUTED_VALUE"""),"Yes")</f>
        <v>Yes</v>
      </c>
      <c r="X7" s="5" t="str">
        <f>IFERROR(__xludf.DUMMYFUNCTION("""COMPUTED_VALUE"""),"Yes")</f>
        <v>Yes</v>
      </c>
      <c r="Y7" s="5" t="str">
        <f>IFERROR(__xludf.DUMMYFUNCTION("""COMPUTED_VALUE"""),"Yes")</f>
        <v>Yes</v>
      </c>
      <c r="Z7" s="5" t="str">
        <f>IFERROR(__xludf.DUMMYFUNCTION("""COMPUTED_VALUE"""),"Yes")</f>
        <v>Yes</v>
      </c>
      <c r="AA7" s="5" t="str">
        <f>IFERROR(__xludf.DUMMYFUNCTION("""COMPUTED_VALUE"""),"Yes")</f>
        <v>Yes</v>
      </c>
      <c r="AB7" s="5" t="str">
        <f>IFERROR(__xludf.DUMMYFUNCTION("""COMPUTED_VALUE"""),"Yes")</f>
        <v>Yes</v>
      </c>
      <c r="AC7" s="5" t="str">
        <f>IFERROR(__xludf.DUMMYFUNCTION("""COMPUTED_VALUE"""),"Yes")</f>
        <v>Yes</v>
      </c>
      <c r="AD7" s="5" t="str">
        <f>IFERROR(__xludf.DUMMYFUNCTION("""COMPUTED_VALUE"""),"Yes")</f>
        <v>Yes</v>
      </c>
      <c r="AE7" s="5" t="str">
        <f>IFERROR(__xludf.DUMMYFUNCTION("""COMPUTED_VALUE"""),"Yes")</f>
        <v>Yes</v>
      </c>
      <c r="AF7" s="5" t="str">
        <f>IFERROR(__xludf.DUMMYFUNCTION("""COMPUTED_VALUE"""),"Yes")</f>
        <v>Yes</v>
      </c>
      <c r="AG7" s="5" t="str">
        <f>IFERROR(__xludf.DUMMYFUNCTION("""COMPUTED_VALUE"""),"Yes")</f>
        <v>Yes</v>
      </c>
      <c r="AH7" s="5" t="str">
        <f>IFERROR(__xludf.DUMMYFUNCTION("""COMPUTED_VALUE"""),"Yes")</f>
        <v>Yes</v>
      </c>
      <c r="AI7" s="5" t="str">
        <f>IFERROR(__xludf.DUMMYFUNCTION("""COMPUTED_VALUE"""),"Yes")</f>
        <v>Yes</v>
      </c>
      <c r="AJ7" s="5" t="str">
        <f>IFERROR(__xludf.DUMMYFUNCTION("""COMPUTED_VALUE"""),"Yes")</f>
        <v>Yes</v>
      </c>
      <c r="AK7" s="5" t="str">
        <f>IFERROR(__xludf.DUMMYFUNCTION("""COMPUTED_VALUE"""),"No")</f>
        <v>No</v>
      </c>
      <c r="AL7" s="5" t="str">
        <f>IFERROR(__xludf.DUMMYFUNCTION("""COMPUTED_VALUE"""),"No")</f>
        <v>No</v>
      </c>
      <c r="AM7" s="5" t="str">
        <f>IFERROR(__xludf.DUMMYFUNCTION("""COMPUTED_VALUE"""),"No")</f>
        <v>No</v>
      </c>
      <c r="AN7" s="5" t="str">
        <f>IFERROR(__xludf.DUMMYFUNCTION("""COMPUTED_VALUE"""),"No")</f>
        <v>No</v>
      </c>
      <c r="AO7" s="5" t="str">
        <f>IFERROR(__xludf.DUMMYFUNCTION("""COMPUTED_VALUE"""),"No")</f>
        <v>No</v>
      </c>
      <c r="AP7" s="5" t="str">
        <f>IFERROR(__xludf.DUMMYFUNCTION("""COMPUTED_VALUE"""),"Yes")</f>
        <v>Yes</v>
      </c>
      <c r="AQ7" s="5" t="str">
        <f>IFERROR(__xludf.DUMMYFUNCTION("""COMPUTED_VALUE"""),"No")</f>
        <v>No</v>
      </c>
      <c r="AR7" s="5" t="str">
        <f>IFERROR(__xludf.DUMMYFUNCTION("""COMPUTED_VALUE"""),"No")</f>
        <v>No</v>
      </c>
      <c r="AS7" s="5" t="str">
        <f>IFERROR(__xludf.DUMMYFUNCTION("""COMPUTED_VALUE"""),"No")</f>
        <v>No</v>
      </c>
      <c r="AT7" s="5" t="str">
        <f>IFERROR(__xludf.DUMMYFUNCTION("""COMPUTED_VALUE"""),"No")</f>
        <v>No</v>
      </c>
      <c r="AU7" s="5"/>
      <c r="AV7" s="5" t="str">
        <f>IFERROR(__xludf.DUMMYFUNCTION("""COMPUTED_VALUE"""),"")</f>
        <v/>
      </c>
    </row>
    <row r="8">
      <c r="A8" s="5" t="str">
        <f>IFERROR(__xludf.DUMMYFUNCTION("""COMPUTED_VALUE"""),"SOKO studio")</f>
        <v>SOKO studio</v>
      </c>
      <c r="B8" s="5" t="str">
        <f>IFERROR(__xludf.DUMMYFUNCTION("""COMPUTED_VALUE"""),"Wild Chili Fiesta")</f>
        <v>Wild Chili Fiesta</v>
      </c>
      <c r="C8" s="5" t="str">
        <f>IFERROR(__xludf.DUMMYFUNCTION("""COMPUTED_VALUE"""),"SokoWildChiliFiesta")</f>
        <v>SokoWildChiliFiesta</v>
      </c>
      <c r="D8" s="6">
        <f>IFERROR(__xludf.DUMMYFUNCTION("""COMPUTED_VALUE"""),46260.0)</f>
        <v>46260</v>
      </c>
      <c r="E8" s="5" t="str">
        <f>IFERROR(__xludf.DUMMYFUNCTION("""COMPUTED_VALUE"""),"Slot")</f>
        <v>Slot</v>
      </c>
      <c r="F8" s="5">
        <f>IFERROR(__xludf.DUMMYFUNCTION("""COMPUTED_VALUE"""),28.3)</f>
        <v>28.3</v>
      </c>
      <c r="G8" s="5" t="str">
        <f>IFERROR(__xludf.DUMMYFUNCTION("""COMPUTED_VALUE"""),"5x3")</f>
        <v>5x3</v>
      </c>
      <c r="H8" s="5">
        <f>IFERROR(__xludf.DUMMYFUNCTION("""COMPUTED_VALUE"""),10.0)</f>
        <v>10</v>
      </c>
      <c r="I8" s="5">
        <f>IFERROR(__xludf.DUMMYFUNCTION("""COMPUTED_VALUE"""),10.0)</f>
        <v>10</v>
      </c>
      <c r="J8" s="5" t="str">
        <f>IFERROR(__xludf.DUMMYFUNCTION("""COMPUTED_VALUE"""),"94.91%")</f>
        <v>94.91%</v>
      </c>
      <c r="K8" s="5" t="str">
        <f>IFERROR(__xludf.DUMMYFUNCTION("""COMPUTED_VALUE"""),"High")</f>
        <v>High</v>
      </c>
      <c r="L8" s="5" t="str">
        <f>IFERROR(__xludf.DUMMYFUNCTION("""COMPUTED_VALUE"""),"10.5%")</f>
        <v>10.5%</v>
      </c>
      <c r="M8" s="5" t="str">
        <f>IFERROR(__xludf.DUMMYFUNCTION("""COMPUTED_VALUE"""),"x2666")</f>
        <v>x2666</v>
      </c>
      <c r="N8" s="5" t="str">
        <f>IFERROR(__xludf.DUMMYFUNCTION("""COMPUTED_VALUE"""),"0.10/100")</f>
        <v>0.10/100</v>
      </c>
      <c r="O8" s="5" t="str">
        <f>IFERROR(__xludf.DUMMYFUNCTION("""COMPUTED_VALUE"""),"No")</f>
        <v>No</v>
      </c>
      <c r="P8" s="5" t="str">
        <f>IFERROR(__xludf.DUMMYFUNCTION("""COMPUTED_VALUE"""),"Wild Symbol, Expanding Wild, Scatter")</f>
        <v>Wild Symbol, Expanding Wild, Scatter</v>
      </c>
      <c r="Q8" s="7" t="str">
        <f>IFERROR(__xludf.DUMMYFUNCTION("""COMPUTED_VALUE"""),"https://rgs-wild-chili-fiesta.soko.games/?demo=True&amp;locale=eng")</f>
        <v>https://rgs-wild-chili-fiesta.soko.games/?demo=True&amp;locale=eng</v>
      </c>
      <c r="R8" s="5" t="str">
        <f>IFERROR(__xludf.DUMMYFUNCTION("""COMPUTED_VALUE"""),"Wild Chili Fiesta is a festive Mexican-themed slot built around 10 paylines, high volatility, and an expanding wild feature for bigger win potential.
Spin through tacos, limes, tequila and mariachi guitars as the reels build toward highrisk, high-reward "&amp;"payouts. Every time the chili wild expands across a reel, an ordinary  spin can turn into a blazing fiesta win")</f>
        <v>Wild Chili Fiesta is a festive Mexican-themed slot built around 10 paylines, high volatility, and an expanding wild feature for bigger win potential.
Spin through tacos, limes, tequila and mariachi guitars as the reels build toward high_x0002_risk, high-reward payouts. Every time the chili wild expands across a reel, an ordinary  spin can turn into a blazing fiesta win</v>
      </c>
      <c r="S8"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8" s="5" t="str">
        <f>IFERROR(__xludf.DUMMYFUNCTION("""COMPUTED_VALUE"""),"Yes")</f>
        <v>Yes</v>
      </c>
      <c r="U8" s="5" t="str">
        <f>IFERROR(__xludf.DUMMYFUNCTION("""COMPUTED_VALUE"""),"Yes")</f>
        <v>Yes</v>
      </c>
      <c r="V8" s="5" t="str">
        <f>IFERROR(__xludf.DUMMYFUNCTION("""COMPUTED_VALUE"""),"Yes")</f>
        <v>Yes</v>
      </c>
      <c r="W8" s="5" t="str">
        <f>IFERROR(__xludf.DUMMYFUNCTION("""COMPUTED_VALUE"""),"Yes")</f>
        <v>Yes</v>
      </c>
      <c r="X8" s="5" t="str">
        <f>IFERROR(__xludf.DUMMYFUNCTION("""COMPUTED_VALUE"""),"Yes")</f>
        <v>Yes</v>
      </c>
      <c r="Y8" s="5" t="str">
        <f>IFERROR(__xludf.DUMMYFUNCTION("""COMPUTED_VALUE"""),"Yes")</f>
        <v>Yes</v>
      </c>
      <c r="Z8" s="5" t="str">
        <f>IFERROR(__xludf.DUMMYFUNCTION("""COMPUTED_VALUE"""),"Yes")</f>
        <v>Yes</v>
      </c>
      <c r="AA8" s="5" t="str">
        <f>IFERROR(__xludf.DUMMYFUNCTION("""COMPUTED_VALUE"""),"Yes")</f>
        <v>Yes</v>
      </c>
      <c r="AB8" s="5" t="str">
        <f>IFERROR(__xludf.DUMMYFUNCTION("""COMPUTED_VALUE"""),"Yes")</f>
        <v>Yes</v>
      </c>
      <c r="AC8" s="5" t="str">
        <f>IFERROR(__xludf.DUMMYFUNCTION("""COMPUTED_VALUE"""),"Yes")</f>
        <v>Yes</v>
      </c>
      <c r="AD8" s="5" t="str">
        <f>IFERROR(__xludf.DUMMYFUNCTION("""COMPUTED_VALUE"""),"Yes")</f>
        <v>Yes</v>
      </c>
      <c r="AE8" s="5" t="str">
        <f>IFERROR(__xludf.DUMMYFUNCTION("""COMPUTED_VALUE"""),"Yes")</f>
        <v>Yes</v>
      </c>
      <c r="AF8" s="5" t="str">
        <f>IFERROR(__xludf.DUMMYFUNCTION("""COMPUTED_VALUE"""),"Yes")</f>
        <v>Yes</v>
      </c>
      <c r="AG8" s="5" t="str">
        <f>IFERROR(__xludf.DUMMYFUNCTION("""COMPUTED_VALUE"""),"Yes")</f>
        <v>Yes</v>
      </c>
      <c r="AH8" s="5" t="str">
        <f>IFERROR(__xludf.DUMMYFUNCTION("""COMPUTED_VALUE"""),"Yes")</f>
        <v>Yes</v>
      </c>
      <c r="AI8" s="5" t="str">
        <f>IFERROR(__xludf.DUMMYFUNCTION("""COMPUTED_VALUE"""),"Yes")</f>
        <v>Yes</v>
      </c>
      <c r="AJ8" s="5" t="str">
        <f>IFERROR(__xludf.DUMMYFUNCTION("""COMPUTED_VALUE"""),"Yes")</f>
        <v>Yes</v>
      </c>
      <c r="AK8" s="5" t="str">
        <f>IFERROR(__xludf.DUMMYFUNCTION("""COMPUTED_VALUE"""),"No")</f>
        <v>No</v>
      </c>
      <c r="AL8" s="5" t="str">
        <f>IFERROR(__xludf.DUMMYFUNCTION("""COMPUTED_VALUE"""),"No")</f>
        <v>No</v>
      </c>
      <c r="AM8" s="5" t="str">
        <f>IFERROR(__xludf.DUMMYFUNCTION("""COMPUTED_VALUE"""),"No")</f>
        <v>No</v>
      </c>
      <c r="AN8" s="5" t="str">
        <f>IFERROR(__xludf.DUMMYFUNCTION("""COMPUTED_VALUE"""),"No")</f>
        <v>No</v>
      </c>
      <c r="AO8" s="5" t="str">
        <f>IFERROR(__xludf.DUMMYFUNCTION("""COMPUTED_VALUE"""),"No")</f>
        <v>No</v>
      </c>
      <c r="AP8" s="5" t="str">
        <f>IFERROR(__xludf.DUMMYFUNCTION("""COMPUTED_VALUE"""),"Yes")</f>
        <v>Yes</v>
      </c>
      <c r="AQ8" s="5" t="str">
        <f>IFERROR(__xludf.DUMMYFUNCTION("""COMPUTED_VALUE"""),"No")</f>
        <v>No</v>
      </c>
      <c r="AR8" s="5" t="str">
        <f>IFERROR(__xludf.DUMMYFUNCTION("""COMPUTED_VALUE"""),"No")</f>
        <v>No</v>
      </c>
      <c r="AS8" s="5" t="str">
        <f>IFERROR(__xludf.DUMMYFUNCTION("""COMPUTED_VALUE"""),"No")</f>
        <v>No</v>
      </c>
      <c r="AT8" s="5" t="str">
        <f>IFERROR(__xludf.DUMMYFUNCTION("""COMPUTED_VALUE"""),"No")</f>
        <v>No</v>
      </c>
      <c r="AU8" s="5"/>
      <c r="AV8" s="5" t="str">
        <f>IFERROR(__xludf.DUMMYFUNCTION("""COMPUTED_VALUE"""),"")</f>
        <v/>
      </c>
    </row>
    <row r="9">
      <c r="A9" s="5" t="str">
        <f>IFERROR(__xludf.DUMMYFUNCTION("""COMPUTED_VALUE"""),"SOKO studio")</f>
        <v>SOKO studio</v>
      </c>
      <c r="B9" s="5" t="str">
        <f>IFERROR(__xludf.DUMMYFUNCTION("""COMPUTED_VALUE"""),"Royal Crown Delight Deluxe")</f>
        <v>Royal Crown Delight Deluxe</v>
      </c>
      <c r="C9" s="5" t="str">
        <f>IFERROR(__xludf.DUMMYFUNCTION("""COMPUTED_VALUE"""),"SokoRoyalCrownDelightDeluxe")</f>
        <v>SokoRoyalCrownDelightDeluxe</v>
      </c>
      <c r="D9" s="6">
        <f>IFERROR(__xludf.DUMMYFUNCTION("""COMPUTED_VALUE"""),46246.0)</f>
        <v>46246</v>
      </c>
      <c r="E9" s="5" t="str">
        <f>IFERROR(__xludf.DUMMYFUNCTION("""COMPUTED_VALUE"""),"Slot")</f>
        <v>Slot</v>
      </c>
      <c r="F9" s="5">
        <f>IFERROR(__xludf.DUMMYFUNCTION("""COMPUTED_VALUE"""),21.06)</f>
        <v>21.06</v>
      </c>
      <c r="G9" s="5" t="str">
        <f>IFERROR(__xludf.DUMMYFUNCTION("""COMPUTED_VALUE"""),"5x3")</f>
        <v>5x3</v>
      </c>
      <c r="H9" s="5">
        <f>IFERROR(__xludf.DUMMYFUNCTION("""COMPUTED_VALUE"""),10.0)</f>
        <v>10</v>
      </c>
      <c r="I9" s="5">
        <f>IFERROR(__xludf.DUMMYFUNCTION("""COMPUTED_VALUE"""),10.0)</f>
        <v>10</v>
      </c>
      <c r="J9" s="5" t="str">
        <f>IFERROR(__xludf.DUMMYFUNCTION("""COMPUTED_VALUE"""),"94.91%")</f>
        <v>94.91%</v>
      </c>
      <c r="K9" s="5" t="str">
        <f>IFERROR(__xludf.DUMMYFUNCTION("""COMPUTED_VALUE"""),"High")</f>
        <v>High</v>
      </c>
      <c r="L9" s="5" t="str">
        <f>IFERROR(__xludf.DUMMYFUNCTION("""COMPUTED_VALUE"""),"10.5%")</f>
        <v>10.5%</v>
      </c>
      <c r="M9" s="5" t="str">
        <f>IFERROR(__xludf.DUMMYFUNCTION("""COMPUTED_VALUE"""),"x2666")</f>
        <v>x2666</v>
      </c>
      <c r="N9" s="5" t="str">
        <f>IFERROR(__xludf.DUMMYFUNCTION("""COMPUTED_VALUE"""),"0.05€/50€")</f>
        <v>0.05€/50€</v>
      </c>
      <c r="O9" s="5" t="str">
        <f>IFERROR(__xludf.DUMMYFUNCTION("""COMPUTED_VALUE"""),"No")</f>
        <v>No</v>
      </c>
      <c r="P9" s="5" t="str">
        <f>IFERROR(__xludf.DUMMYFUNCTION("""COMPUTED_VALUE"""),"Wild Symbol, Expanding Wild")</f>
        <v>Wild Symbol, Expanding Wild</v>
      </c>
      <c r="Q9" s="7" t="str">
        <f>IFERROR(__xludf.DUMMYFUNCTION("""COMPUTED_VALUE"""),"https://rgs-royal-crown-delight.soko.games/?demo=True&amp;locale=eng")</f>
        <v>https://rgs-royal-crown-delight.soko.games/?demo=True&amp;locale=eng</v>
      </c>
      <c r="R9" s="5" t="str">
        <f>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S9" s="5" t="str">
        <f>IFERROR(__xludf.DUMMYFUNCTION("""COMPUTED_VALUE"""),"")</f>
        <v/>
      </c>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t="str">
        <f>IFERROR(__xludf.DUMMYFUNCTION("""COMPUTED_VALUE"""),"")</f>
        <v/>
      </c>
    </row>
    <row r="10">
      <c r="A10" s="5" t="str">
        <f>IFERROR(__xludf.DUMMYFUNCTION("""COMPUTED_VALUE"""),"SOKO studio")</f>
        <v>SOKO studio</v>
      </c>
      <c r="B10" s="5" t="str">
        <f>IFERROR(__xludf.DUMMYFUNCTION("""COMPUTED_VALUE"""),"Wild Sheriff Fortune")</f>
        <v>Wild Sheriff Fortune</v>
      </c>
      <c r="C10" s="5" t="str">
        <f>IFERROR(__xludf.DUMMYFUNCTION("""COMPUTED_VALUE"""),"SokoWildSheriffFortune")</f>
        <v>SokoWildSheriffFortune</v>
      </c>
      <c r="D10" s="6">
        <f>IFERROR(__xludf.DUMMYFUNCTION("""COMPUTED_VALUE"""),46266.0)</f>
        <v>46266</v>
      </c>
      <c r="E10" s="5" t="str">
        <f>IFERROR(__xludf.DUMMYFUNCTION("""COMPUTED_VALUE"""),"Slot")</f>
        <v>Slot</v>
      </c>
      <c r="F10" s="5">
        <f>IFERROR(__xludf.DUMMYFUNCTION("""COMPUTED_VALUE"""),28.3)</f>
        <v>28.3</v>
      </c>
      <c r="G10" s="5" t="str">
        <f>IFERROR(__xludf.DUMMYFUNCTION("""COMPUTED_VALUE"""),"5x3")</f>
        <v>5x3</v>
      </c>
      <c r="H10" s="5">
        <f>IFERROR(__xludf.DUMMYFUNCTION("""COMPUTED_VALUE"""),10.0)</f>
        <v>10</v>
      </c>
      <c r="I10" s="5">
        <f>IFERROR(__xludf.DUMMYFUNCTION("""COMPUTED_VALUE"""),10.0)</f>
        <v>10</v>
      </c>
      <c r="J10" s="5" t="str">
        <f>IFERROR(__xludf.DUMMYFUNCTION("""COMPUTED_VALUE"""),"94.91%")</f>
        <v>94.91%</v>
      </c>
      <c r="K10" s="5" t="str">
        <f>IFERROR(__xludf.DUMMYFUNCTION("""COMPUTED_VALUE"""),"High")</f>
        <v>High</v>
      </c>
      <c r="L10" s="5" t="str">
        <f>IFERROR(__xludf.DUMMYFUNCTION("""COMPUTED_VALUE"""),"10.5%")</f>
        <v>10.5%</v>
      </c>
      <c r="M10" s="5" t="str">
        <f>IFERROR(__xludf.DUMMYFUNCTION("""COMPUTED_VALUE"""),"x2666")</f>
        <v>x2666</v>
      </c>
      <c r="N10" s="5" t="str">
        <f>IFERROR(__xludf.DUMMYFUNCTION("""COMPUTED_VALUE"""),"0.10/100")</f>
        <v>0.10/100</v>
      </c>
      <c r="O10" s="5" t="str">
        <f>IFERROR(__xludf.DUMMYFUNCTION("""COMPUTED_VALUE"""),"No")</f>
        <v>No</v>
      </c>
      <c r="P10" s="5" t="str">
        <f>IFERROR(__xludf.DUMMYFUNCTION("""COMPUTED_VALUE"""),"Scatter, Expanding Wild, Wild Symbol")</f>
        <v>Scatter, Expanding Wild, Wild Symbol</v>
      </c>
      <c r="Q10" s="7" t="str">
        <f>IFERROR(__xludf.DUMMYFUNCTION("""COMPUTED_VALUE"""),"https://rgs-wild-sheriff-fortune.soko.games/?demo=True&amp;locale=eng")</f>
        <v>https://rgs-wild-sheriff-fortune.soko.games/?demo=True&amp;locale=eng</v>
      </c>
      <c r="R10" s="5" t="str">
        <f>IFERROR(__xludf.DUMMYFUNCTION("""COMPUTED_VALUE"""),"Wild Sheriff Fortune is a Wild West slot packed with outlaws, revolvers and hidden treasures, built around 10 paylines, high volatility, and an expanding wild feature for bigger win potential.
Ride into the untamed frontier as the reels build toward high-"&amp;"risk, high-reward payouts. Every time the wild expands across a reel, an ordinary spin can turn into a gold-strike win.")</f>
        <v>Wild Sheriff Fortune is a Wild West slot packed with outlaws, revolvers and hidden treasures, built around 10 paylines, high volatility, and an expanding wild feature for bigger win potential.
Ride into the untamed frontier as the reels build toward high-risk, high-reward payouts. Every time the wild expands across a reel, an ordinary spin can turn into a gold-strike win.</v>
      </c>
      <c r="S10"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10" s="5" t="str">
        <f>IFERROR(__xludf.DUMMYFUNCTION("""COMPUTED_VALUE"""),"Yes")</f>
        <v>Yes</v>
      </c>
      <c r="U10" s="5" t="str">
        <f>IFERROR(__xludf.DUMMYFUNCTION("""COMPUTED_VALUE"""),"Yes")</f>
        <v>Yes</v>
      </c>
      <c r="V10" s="5" t="str">
        <f>IFERROR(__xludf.DUMMYFUNCTION("""COMPUTED_VALUE"""),"Yes")</f>
        <v>Yes</v>
      </c>
      <c r="W10" s="5" t="str">
        <f>IFERROR(__xludf.DUMMYFUNCTION("""COMPUTED_VALUE"""),"Yes")</f>
        <v>Yes</v>
      </c>
      <c r="X10" s="5" t="str">
        <f>IFERROR(__xludf.DUMMYFUNCTION("""COMPUTED_VALUE"""),"Yes")</f>
        <v>Yes</v>
      </c>
      <c r="Y10" s="5" t="str">
        <f>IFERROR(__xludf.DUMMYFUNCTION("""COMPUTED_VALUE"""),"Yes")</f>
        <v>Yes</v>
      </c>
      <c r="Z10" s="5" t="str">
        <f>IFERROR(__xludf.DUMMYFUNCTION("""COMPUTED_VALUE"""),"Yes")</f>
        <v>Yes</v>
      </c>
      <c r="AA10" s="5" t="str">
        <f>IFERROR(__xludf.DUMMYFUNCTION("""COMPUTED_VALUE"""),"Yes")</f>
        <v>Yes</v>
      </c>
      <c r="AB10" s="5" t="str">
        <f>IFERROR(__xludf.DUMMYFUNCTION("""COMPUTED_VALUE"""),"Yes")</f>
        <v>Yes</v>
      </c>
      <c r="AC10" s="5" t="str">
        <f>IFERROR(__xludf.DUMMYFUNCTION("""COMPUTED_VALUE"""),"Yes")</f>
        <v>Yes</v>
      </c>
      <c r="AD10" s="5" t="str">
        <f>IFERROR(__xludf.DUMMYFUNCTION("""COMPUTED_VALUE"""),"Yes")</f>
        <v>Yes</v>
      </c>
      <c r="AE10" s="5" t="str">
        <f>IFERROR(__xludf.DUMMYFUNCTION("""COMPUTED_VALUE"""),"Yes")</f>
        <v>Yes</v>
      </c>
      <c r="AF10" s="5" t="str">
        <f>IFERROR(__xludf.DUMMYFUNCTION("""COMPUTED_VALUE"""),"Yes")</f>
        <v>Yes</v>
      </c>
      <c r="AG10" s="5" t="str">
        <f>IFERROR(__xludf.DUMMYFUNCTION("""COMPUTED_VALUE"""),"Yes")</f>
        <v>Yes</v>
      </c>
      <c r="AH10" s="5" t="str">
        <f>IFERROR(__xludf.DUMMYFUNCTION("""COMPUTED_VALUE"""),"Yes")</f>
        <v>Yes</v>
      </c>
      <c r="AI10" s="5" t="str">
        <f>IFERROR(__xludf.DUMMYFUNCTION("""COMPUTED_VALUE"""),"No")</f>
        <v>No</v>
      </c>
      <c r="AJ10" s="5" t="str">
        <f>IFERROR(__xludf.DUMMYFUNCTION("""COMPUTED_VALUE"""),"Yes")</f>
        <v>Yes</v>
      </c>
      <c r="AK10" s="5" t="str">
        <f>IFERROR(__xludf.DUMMYFUNCTION("""COMPUTED_VALUE"""),"No")</f>
        <v>No</v>
      </c>
      <c r="AL10" s="5" t="str">
        <f>IFERROR(__xludf.DUMMYFUNCTION("""COMPUTED_VALUE"""),"No")</f>
        <v>No</v>
      </c>
      <c r="AM10" s="5" t="str">
        <f>IFERROR(__xludf.DUMMYFUNCTION("""COMPUTED_VALUE"""),"No")</f>
        <v>No</v>
      </c>
      <c r="AN10" s="5" t="str">
        <f>IFERROR(__xludf.DUMMYFUNCTION("""COMPUTED_VALUE"""),"No")</f>
        <v>No</v>
      </c>
      <c r="AO10" s="5" t="str">
        <f>IFERROR(__xludf.DUMMYFUNCTION("""COMPUTED_VALUE"""),"No")</f>
        <v>No</v>
      </c>
      <c r="AP10" s="5" t="str">
        <f>IFERROR(__xludf.DUMMYFUNCTION("""COMPUTED_VALUE"""),"Yes")</f>
        <v>Yes</v>
      </c>
      <c r="AQ10" s="5" t="str">
        <f>IFERROR(__xludf.DUMMYFUNCTION("""COMPUTED_VALUE"""),"No")</f>
        <v>No</v>
      </c>
      <c r="AR10" s="5" t="str">
        <f>IFERROR(__xludf.DUMMYFUNCTION("""COMPUTED_VALUE"""),"No")</f>
        <v>No</v>
      </c>
      <c r="AS10" s="5" t="str">
        <f>IFERROR(__xludf.DUMMYFUNCTION("""COMPUTED_VALUE"""),"No")</f>
        <v>No</v>
      </c>
      <c r="AT10" s="5" t="str">
        <f>IFERROR(__xludf.DUMMYFUNCTION("""COMPUTED_VALUE"""),"No")</f>
        <v>No</v>
      </c>
      <c r="AU10" s="5"/>
      <c r="AV10" s="5" t="str">
        <f>IFERROR(__xludf.DUMMYFUNCTION("""COMPUTED_VALUE"""),"")</f>
        <v/>
      </c>
    </row>
    <row r="11">
      <c r="A11" s="5" t="str">
        <f>IFERROR(__xludf.DUMMYFUNCTION("""COMPUTED_VALUE"""),"SOKO studio")</f>
        <v>SOKO studio</v>
      </c>
      <c r="B11" s="5" t="str">
        <f>IFERROR(__xludf.DUMMYFUNCTION("""COMPUTED_VALUE"""),"Nile Queen Temple Legacy")</f>
        <v>Nile Queen Temple Legacy</v>
      </c>
      <c r="C11" s="5" t="str">
        <f>IFERROR(__xludf.DUMMYFUNCTION("""COMPUTED_VALUE"""),"SokoNileQueenTempleLegacy")</f>
        <v>SokoNileQueenTempleLegacy</v>
      </c>
      <c r="D11" s="6">
        <f>IFERROR(__xludf.DUMMYFUNCTION("""COMPUTED_VALUE"""),46274.0)</f>
        <v>46274</v>
      </c>
      <c r="E11" s="5" t="str">
        <f>IFERROR(__xludf.DUMMYFUNCTION("""COMPUTED_VALUE"""),"Slot")</f>
        <v>Slot</v>
      </c>
      <c r="F11" s="5">
        <f>IFERROR(__xludf.DUMMYFUNCTION("""COMPUTED_VALUE"""),28.3)</f>
        <v>28.3</v>
      </c>
      <c r="G11" s="5" t="str">
        <f>IFERROR(__xludf.DUMMYFUNCTION("""COMPUTED_VALUE"""),"5x3")</f>
        <v>5x3</v>
      </c>
      <c r="H11" s="5">
        <f>IFERROR(__xludf.DUMMYFUNCTION("""COMPUTED_VALUE"""),10.0)</f>
        <v>10</v>
      </c>
      <c r="I11" s="5">
        <f>IFERROR(__xludf.DUMMYFUNCTION("""COMPUTED_VALUE"""),10.0)</f>
        <v>10</v>
      </c>
      <c r="J11" s="5" t="str">
        <f>IFERROR(__xludf.DUMMYFUNCTION("""COMPUTED_VALUE"""),"94.91%")</f>
        <v>94.91%</v>
      </c>
      <c r="K11" s="5" t="str">
        <f>IFERROR(__xludf.DUMMYFUNCTION("""COMPUTED_VALUE"""),"High")</f>
        <v>High</v>
      </c>
      <c r="L11" s="5" t="str">
        <f>IFERROR(__xludf.DUMMYFUNCTION("""COMPUTED_VALUE"""),"10.5%")</f>
        <v>10.5%</v>
      </c>
      <c r="M11" s="5" t="str">
        <f>IFERROR(__xludf.DUMMYFUNCTION("""COMPUTED_VALUE"""),"x2666")</f>
        <v>x2666</v>
      </c>
      <c r="N11" s="5" t="str">
        <f>IFERROR(__xludf.DUMMYFUNCTION("""COMPUTED_VALUE"""),"0.10/100")</f>
        <v>0.10/100</v>
      </c>
      <c r="O11" s="5" t="str">
        <f>IFERROR(__xludf.DUMMYFUNCTION("""COMPUTED_VALUE"""),"No")</f>
        <v>No</v>
      </c>
      <c r="P11" s="5" t="str">
        <f>IFERROR(__xludf.DUMMYFUNCTION("""COMPUTED_VALUE"""),"Wild Symbol, Expanding Wild, Scatter")</f>
        <v>Wild Symbol, Expanding Wild, Scatter</v>
      </c>
      <c r="Q11" s="7" t="str">
        <f>IFERROR(__xludf.DUMMYFUNCTION("""COMPUTED_VALUE"""),"https://rgs-nile-queen-temple-legacy.soko.games/?demo=True&amp;locale=eng")</f>
        <v>https://rgs-nile-queen-temple-legacy.soko.games/?demo=True&amp;locale=eng</v>
      </c>
      <c r="R11" s="5" t="str">
        <f>IFERROR(__xludf.DUMMYFUNCTION("""COMPUTED_VALUE"""),"Nile Queen Temple Legacy is an Ancient Egypt slot set deep inside the pharaohs' temple, built around 10 paylines, high volatility, and an expanding wild feature for bigger win potential.")</f>
        <v>Nile Queen Temple Legacy is an Ancient Egypt slot set deep inside the pharaohs' temple, built around 10 paylines, high volatility, and an expanding wild feature for bigger win potential.</v>
      </c>
      <c r="S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T11" s="5" t="str">
        <f>IFERROR(__xludf.DUMMYFUNCTION("""COMPUTED_VALUE"""),"Yes")</f>
        <v>Yes</v>
      </c>
      <c r="U11" s="5" t="str">
        <f>IFERROR(__xludf.DUMMYFUNCTION("""COMPUTED_VALUE"""),"Yes")</f>
        <v>Yes</v>
      </c>
      <c r="V11" s="5" t="str">
        <f>IFERROR(__xludf.DUMMYFUNCTION("""COMPUTED_VALUE"""),"Yes")</f>
        <v>Yes</v>
      </c>
      <c r="W11" s="5" t="str">
        <f>IFERROR(__xludf.DUMMYFUNCTION("""COMPUTED_VALUE"""),"Yes")</f>
        <v>Yes</v>
      </c>
      <c r="X11" s="5" t="str">
        <f>IFERROR(__xludf.DUMMYFUNCTION("""COMPUTED_VALUE"""),"Yes")</f>
        <v>Yes</v>
      </c>
      <c r="Y11" s="5" t="str">
        <f>IFERROR(__xludf.DUMMYFUNCTION("""COMPUTED_VALUE"""),"Yes")</f>
        <v>Yes</v>
      </c>
      <c r="Z11" s="5" t="str">
        <f>IFERROR(__xludf.DUMMYFUNCTION("""COMPUTED_VALUE"""),"Yes")</f>
        <v>Yes</v>
      </c>
      <c r="AA11" s="5" t="str">
        <f>IFERROR(__xludf.DUMMYFUNCTION("""COMPUTED_VALUE"""),"Yes")</f>
        <v>Yes</v>
      </c>
      <c r="AB11" s="5" t="str">
        <f>IFERROR(__xludf.DUMMYFUNCTION("""COMPUTED_VALUE"""),"Yes")</f>
        <v>Yes</v>
      </c>
      <c r="AC11" s="5" t="str">
        <f>IFERROR(__xludf.DUMMYFUNCTION("""COMPUTED_VALUE"""),"Yes")</f>
        <v>Yes</v>
      </c>
      <c r="AD11" s="5" t="str">
        <f>IFERROR(__xludf.DUMMYFUNCTION("""COMPUTED_VALUE"""),"Yes")</f>
        <v>Yes</v>
      </c>
      <c r="AE11" s="5" t="str">
        <f>IFERROR(__xludf.DUMMYFUNCTION("""COMPUTED_VALUE"""),"Yes")</f>
        <v>Yes</v>
      </c>
      <c r="AF11" s="5" t="str">
        <f>IFERROR(__xludf.DUMMYFUNCTION("""COMPUTED_VALUE"""),"Yes")</f>
        <v>Yes</v>
      </c>
      <c r="AG11" s="5" t="str">
        <f>IFERROR(__xludf.DUMMYFUNCTION("""COMPUTED_VALUE"""),"Yes")</f>
        <v>Yes</v>
      </c>
      <c r="AH11" s="5" t="str">
        <f>IFERROR(__xludf.DUMMYFUNCTION("""COMPUTED_VALUE"""),"Yes")</f>
        <v>Yes</v>
      </c>
      <c r="AI11" s="5" t="str">
        <f>IFERROR(__xludf.DUMMYFUNCTION("""COMPUTED_VALUE"""),"Yes")</f>
        <v>Yes</v>
      </c>
      <c r="AJ11" s="5" t="str">
        <f>IFERROR(__xludf.DUMMYFUNCTION("""COMPUTED_VALUE"""),"Yes")</f>
        <v>Yes</v>
      </c>
      <c r="AK11" s="5" t="str">
        <f>IFERROR(__xludf.DUMMYFUNCTION("""COMPUTED_VALUE"""),"Yes")</f>
        <v>Yes</v>
      </c>
      <c r="AL11" s="5" t="str">
        <f>IFERROR(__xludf.DUMMYFUNCTION("""COMPUTED_VALUE"""),"Yes")</f>
        <v>Yes</v>
      </c>
      <c r="AM11" s="5" t="str">
        <f>IFERROR(__xludf.DUMMYFUNCTION("""COMPUTED_VALUE"""),"No")</f>
        <v>No</v>
      </c>
      <c r="AN11" s="5" t="str">
        <f>IFERROR(__xludf.DUMMYFUNCTION("""COMPUTED_VALUE"""),"No")</f>
        <v>No</v>
      </c>
      <c r="AO11" s="5" t="str">
        <f>IFERROR(__xludf.DUMMYFUNCTION("""COMPUTED_VALUE"""),"No")</f>
        <v>No</v>
      </c>
      <c r="AP11" s="5" t="str">
        <f>IFERROR(__xludf.DUMMYFUNCTION("""COMPUTED_VALUE"""),"Yes")</f>
        <v>Yes</v>
      </c>
      <c r="AQ11" s="5" t="str">
        <f>IFERROR(__xludf.DUMMYFUNCTION("""COMPUTED_VALUE"""),"No")</f>
        <v>No</v>
      </c>
      <c r="AR11" s="5" t="str">
        <f>IFERROR(__xludf.DUMMYFUNCTION("""COMPUTED_VALUE"""),"No")</f>
        <v>No</v>
      </c>
      <c r="AS11" s="5" t="str">
        <f>IFERROR(__xludf.DUMMYFUNCTION("""COMPUTED_VALUE"""),"No")</f>
        <v>No</v>
      </c>
      <c r="AT11" s="5" t="str">
        <f>IFERROR(__xludf.DUMMYFUNCTION("""COMPUTED_VALUE"""),"No")</f>
        <v>No</v>
      </c>
      <c r="AU11" s="5"/>
      <c r="AV11" s="5" t="str">
        <f>IFERROR(__xludf.DUMMYFUNCTION("""COMPUTED_VALUE"""),"")</f>
        <v/>
      </c>
    </row>
    <row r="12">
      <c r="A12" s="5" t="str">
        <f>IFERROR(__xludf.DUMMYFUNCTION("""COMPUTED_VALUE"""),"SOKO studio")</f>
        <v>SOKO studio</v>
      </c>
      <c r="B12" s="5" t="str">
        <f>IFERROR(__xludf.DUMMYFUNCTION("""COMPUTED_VALUE"""),"Triple Crown Jewels")</f>
        <v>Triple Crown Jewels</v>
      </c>
      <c r="C12" s="5" t="str">
        <f>IFERROR(__xludf.DUMMYFUNCTION("""COMPUTED_VALUE"""),"SokoTripleCrownJewels")</f>
        <v>SokoTripleCrownJewels</v>
      </c>
      <c r="D12" s="6">
        <f>IFERROR(__xludf.DUMMYFUNCTION("""COMPUTED_VALUE"""),46282.0)</f>
        <v>46282</v>
      </c>
      <c r="E12" s="5" t="str">
        <f>IFERROR(__xludf.DUMMYFUNCTION("""COMPUTED_VALUE"""),"Slot")</f>
        <v>Slot</v>
      </c>
      <c r="F12" s="5">
        <f>IFERROR(__xludf.DUMMYFUNCTION("""COMPUTED_VALUE"""),29.0)</f>
        <v>29</v>
      </c>
      <c r="G12" s="5" t="str">
        <f>IFERROR(__xludf.DUMMYFUNCTION("""COMPUTED_VALUE"""),"5x3")</f>
        <v>5x3</v>
      </c>
      <c r="H12" s="5">
        <f>IFERROR(__xludf.DUMMYFUNCTION("""COMPUTED_VALUE"""),5.0)</f>
        <v>5</v>
      </c>
      <c r="I12" s="5">
        <f>IFERROR(__xludf.DUMMYFUNCTION("""COMPUTED_VALUE"""),5.0)</f>
        <v>5</v>
      </c>
      <c r="J12" s="5" t="str">
        <f>IFERROR(__xludf.DUMMYFUNCTION("""COMPUTED_VALUE"""),"95.05%")</f>
        <v>95.05%</v>
      </c>
      <c r="K12" s="5" t="str">
        <f>IFERROR(__xludf.DUMMYFUNCTION("""COMPUTED_VALUE"""),"High")</f>
        <v>High</v>
      </c>
      <c r="L12" s="5" t="str">
        <f>IFERROR(__xludf.DUMMYFUNCTION("""COMPUTED_VALUE"""),"10.78%")</f>
        <v>10.78%</v>
      </c>
      <c r="M12" s="5" t="str">
        <f>IFERROR(__xludf.DUMMYFUNCTION("""COMPUTED_VALUE"""),"x2525")</f>
        <v>x2525</v>
      </c>
      <c r="N12" s="5" t="str">
        <f>IFERROR(__xludf.DUMMYFUNCTION("""COMPUTED_VALUE"""),"0.1/100")</f>
        <v>0.1/100</v>
      </c>
      <c r="O12" s="5" t="str">
        <f>IFERROR(__xludf.DUMMYFUNCTION("""COMPUTED_VALUE"""),"No")</f>
        <v>No</v>
      </c>
      <c r="P12" s="5" t="str">
        <f>IFERROR(__xludf.DUMMYFUNCTION("""COMPUTED_VALUE"""),"Expanding Wild, Wild Multiplier, Wild Symbol, Scatter")</f>
        <v>Expanding Wild, Wild Multiplier, Wild Symbol, Scatter</v>
      </c>
      <c r="Q12" s="7" t="str">
        <f>IFERROR(__xludf.DUMMYFUNCTION("""COMPUTED_VALUE"""),"https://rgs-triple-crown-jewels.soko.games/?demo=True&amp;locale=eng")</f>
        <v>https://rgs-triple-crown-jewels.soko.games/?demo=True&amp;locale=eng</v>
      </c>
      <c r="R12" s="5" t="str">
        <f>IFERROR(__xludf.DUMMYFUNCTION("""COMPUTED_VALUE"""),"Triple Crown Jewels is a royal treasury slot where the crown jewels come to life. Set on a 5x3 grid with 5 paylines, the game features three multiplying expanding wilds on the 3rd reel, each carrying a x2, x3 or x5 multiplier. With glittering gemstones, g"&amp;"olden chalices and lucky sevens, every spin is a claim on the royal fortune. ")</f>
        <v>Triple Crown Jewels is a royal treasury slot where the crown jewels come to life. Set on a 5x3 grid with 5 paylines, the game features three multiplying expanding wilds on the 3rd reel, each carrying a x2, x3 or x5 multiplier. With glittering gemstones, golden chalices and lucky sevens, every spin is a claim on the royal fortune. </v>
      </c>
      <c r="S1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12" s="5" t="str">
        <f>IFERROR(__xludf.DUMMYFUNCTION("""COMPUTED_VALUE"""),"Yes")</f>
        <v>Yes</v>
      </c>
      <c r="U12" s="5" t="str">
        <f>IFERROR(__xludf.DUMMYFUNCTION("""COMPUTED_VALUE"""),"Yes")</f>
        <v>Yes</v>
      </c>
      <c r="V12" s="5" t="str">
        <f>IFERROR(__xludf.DUMMYFUNCTION("""COMPUTED_VALUE"""),"Yes")</f>
        <v>Yes</v>
      </c>
      <c r="W12" s="5" t="str">
        <f>IFERROR(__xludf.DUMMYFUNCTION("""COMPUTED_VALUE"""),"Yes")</f>
        <v>Yes</v>
      </c>
      <c r="X12" s="5" t="str">
        <f>IFERROR(__xludf.DUMMYFUNCTION("""COMPUTED_VALUE"""),"Yes")</f>
        <v>Yes</v>
      </c>
      <c r="Y12" s="5" t="str">
        <f>IFERROR(__xludf.DUMMYFUNCTION("""COMPUTED_VALUE"""),"Yes")</f>
        <v>Yes</v>
      </c>
      <c r="Z12" s="5" t="str">
        <f>IFERROR(__xludf.DUMMYFUNCTION("""COMPUTED_VALUE"""),"Yes")</f>
        <v>Yes</v>
      </c>
      <c r="AA12" s="5" t="str">
        <f>IFERROR(__xludf.DUMMYFUNCTION("""COMPUTED_VALUE"""),"Yes")</f>
        <v>Yes</v>
      </c>
      <c r="AB12" s="5" t="str">
        <f>IFERROR(__xludf.DUMMYFUNCTION("""COMPUTED_VALUE"""),"Yes")</f>
        <v>Yes</v>
      </c>
      <c r="AC12" s="5" t="str">
        <f>IFERROR(__xludf.DUMMYFUNCTION("""COMPUTED_VALUE"""),"Yes")</f>
        <v>Yes</v>
      </c>
      <c r="AD12" s="5" t="str">
        <f>IFERROR(__xludf.DUMMYFUNCTION("""COMPUTED_VALUE"""),"Yes")</f>
        <v>Yes</v>
      </c>
      <c r="AE12" s="5" t="str">
        <f>IFERROR(__xludf.DUMMYFUNCTION("""COMPUTED_VALUE"""),"Yes")</f>
        <v>Yes</v>
      </c>
      <c r="AF12" s="5" t="str">
        <f>IFERROR(__xludf.DUMMYFUNCTION("""COMPUTED_VALUE"""),"Yes")</f>
        <v>Yes</v>
      </c>
      <c r="AG12" s="5" t="str">
        <f>IFERROR(__xludf.DUMMYFUNCTION("""COMPUTED_VALUE"""),"Yes")</f>
        <v>Yes</v>
      </c>
      <c r="AH12" s="5" t="str">
        <f>IFERROR(__xludf.DUMMYFUNCTION("""COMPUTED_VALUE"""),"Yes")</f>
        <v>Yes</v>
      </c>
      <c r="AI12" s="5" t="str">
        <f>IFERROR(__xludf.DUMMYFUNCTION("""COMPUTED_VALUE"""),"No")</f>
        <v>No</v>
      </c>
      <c r="AJ12" s="5" t="str">
        <f>IFERROR(__xludf.DUMMYFUNCTION("""COMPUTED_VALUE"""),"Yes")</f>
        <v>Yes</v>
      </c>
      <c r="AK12" s="5" t="str">
        <f>IFERROR(__xludf.DUMMYFUNCTION("""COMPUTED_VALUE"""),"No")</f>
        <v>No</v>
      </c>
      <c r="AL12" s="5" t="str">
        <f>IFERROR(__xludf.DUMMYFUNCTION("""COMPUTED_VALUE"""),"No")</f>
        <v>No</v>
      </c>
      <c r="AM12" s="5" t="str">
        <f>IFERROR(__xludf.DUMMYFUNCTION("""COMPUTED_VALUE"""),"No")</f>
        <v>No</v>
      </c>
      <c r="AN12" s="5" t="str">
        <f>IFERROR(__xludf.DUMMYFUNCTION("""COMPUTED_VALUE"""),"No")</f>
        <v>No</v>
      </c>
      <c r="AO12" s="5" t="str">
        <f>IFERROR(__xludf.DUMMYFUNCTION("""COMPUTED_VALUE"""),"No")</f>
        <v>No</v>
      </c>
      <c r="AP12" s="5" t="str">
        <f>IFERROR(__xludf.DUMMYFUNCTION("""COMPUTED_VALUE"""),"Yes")</f>
        <v>Yes</v>
      </c>
      <c r="AQ12" s="5" t="str">
        <f>IFERROR(__xludf.DUMMYFUNCTION("""COMPUTED_VALUE"""),"No")</f>
        <v>No</v>
      </c>
      <c r="AR12" s="5" t="str">
        <f>IFERROR(__xludf.DUMMYFUNCTION("""COMPUTED_VALUE"""),"No")</f>
        <v>No</v>
      </c>
      <c r="AS12" s="5" t="str">
        <f>IFERROR(__xludf.DUMMYFUNCTION("""COMPUTED_VALUE"""),"No")</f>
        <v>No</v>
      </c>
      <c r="AT12" s="5" t="str">
        <f>IFERROR(__xludf.DUMMYFUNCTION("""COMPUTED_VALUE"""),"No")</f>
        <v>No</v>
      </c>
      <c r="AU12" s="5"/>
      <c r="AV12" s="5" t="str">
        <f>IFERROR(__xludf.DUMMYFUNCTION("""COMPUTED_VALUE"""),"")</f>
        <v/>
      </c>
    </row>
    <row r="13">
      <c r="D13" s="6"/>
    </row>
    <row r="14">
      <c r="D14" s="6"/>
    </row>
    <row r="15">
      <c r="D15" s="6"/>
    </row>
    <row r="16">
      <c r="D16" s="6"/>
    </row>
    <row r="17">
      <c r="D17" s="6"/>
    </row>
    <row r="18">
      <c r="D18" s="6"/>
    </row>
    <row r="19">
      <c r="D19" s="6"/>
    </row>
    <row r="20">
      <c r="D20" s="6"/>
    </row>
    <row r="21">
      <c r="D21" s="6"/>
    </row>
    <row r="22">
      <c r="D22" s="6"/>
    </row>
    <row r="23">
      <c r="D23" s="6"/>
    </row>
    <row r="24">
      <c r="D24" s="6"/>
    </row>
    <row r="25">
      <c r="D25" s="6"/>
    </row>
    <row r="26">
      <c r="D26" s="6"/>
    </row>
    <row r="27">
      <c r="D27" s="6"/>
    </row>
    <row r="28">
      <c r="D28" s="6"/>
    </row>
    <row r="29">
      <c r="D29" s="6"/>
    </row>
    <row r="30">
      <c r="D30" s="6"/>
    </row>
    <row r="31">
      <c r="D31" s="6"/>
    </row>
    <row r="32">
      <c r="D32" s="6"/>
    </row>
    <row r="33">
      <c r="D33" s="6"/>
    </row>
    <row r="34">
      <c r="D34" s="6"/>
    </row>
    <row r="35">
      <c r="D35" s="6"/>
    </row>
    <row r="36">
      <c r="D36" s="6"/>
    </row>
    <row r="37">
      <c r="D37" s="6"/>
    </row>
    <row r="38">
      <c r="D38" s="6"/>
    </row>
    <row r="39">
      <c r="D39" s="6"/>
    </row>
    <row r="40">
      <c r="D40" s="6"/>
    </row>
    <row r="41">
      <c r="D41" s="6"/>
    </row>
    <row r="42">
      <c r="D42" s="6"/>
    </row>
    <row r="43">
      <c r="D43" s="6"/>
    </row>
    <row r="44">
      <c r="D44" s="6"/>
    </row>
    <row r="45">
      <c r="D45" s="6"/>
    </row>
    <row r="46">
      <c r="D46" s="6"/>
    </row>
    <row r="47">
      <c r="D47" s="6"/>
    </row>
    <row r="48">
      <c r="D48" s="6"/>
    </row>
    <row r="49">
      <c r="D49" s="6"/>
    </row>
    <row r="50">
      <c r="D50" s="6"/>
    </row>
    <row r="51">
      <c r="D51" s="6"/>
    </row>
    <row r="52">
      <c r="D52" s="6"/>
    </row>
    <row r="53">
      <c r="D53" s="6"/>
    </row>
    <row r="54">
      <c r="D54" s="6"/>
    </row>
    <row r="55">
      <c r="D55" s="6"/>
    </row>
    <row r="56">
      <c r="D56" s="6"/>
    </row>
    <row r="57">
      <c r="D57" s="6"/>
    </row>
    <row r="58">
      <c r="D58" s="6"/>
    </row>
    <row r="59">
      <c r="D59" s="6"/>
    </row>
    <row r="60">
      <c r="D60" s="6"/>
    </row>
    <row r="61">
      <c r="D61" s="6"/>
    </row>
    <row r="62">
      <c r="D62" s="6"/>
    </row>
    <row r="63">
      <c r="D63" s="6"/>
    </row>
    <row r="64">
      <c r="D64" s="6"/>
    </row>
    <row r="65">
      <c r="D65" s="6"/>
    </row>
    <row r="66">
      <c r="D66" s="6"/>
    </row>
    <row r="67">
      <c r="D67" s="6"/>
    </row>
    <row r="68">
      <c r="D68" s="6"/>
    </row>
    <row r="69">
      <c r="D69" s="6"/>
    </row>
    <row r="70">
      <c r="D70" s="6"/>
    </row>
    <row r="71">
      <c r="D71" s="6"/>
    </row>
    <row r="72">
      <c r="D72" s="6"/>
    </row>
    <row r="73">
      <c r="D73" s="6"/>
    </row>
    <row r="74">
      <c r="D74" s="6"/>
    </row>
    <row r="75">
      <c r="D75" s="6"/>
    </row>
    <row r="76">
      <c r="D76" s="6"/>
    </row>
    <row r="77">
      <c r="D77" s="6"/>
    </row>
    <row r="78">
      <c r="D78" s="6"/>
    </row>
    <row r="79">
      <c r="D79" s="6"/>
    </row>
    <row r="80">
      <c r="D80" s="6"/>
    </row>
    <row r="81">
      <c r="D81" s="6"/>
    </row>
    <row r="82">
      <c r="D82" s="6"/>
    </row>
    <row r="83">
      <c r="D83" s="6"/>
    </row>
    <row r="84">
      <c r="D84" s="6"/>
    </row>
    <row r="85">
      <c r="D85" s="6"/>
    </row>
    <row r="86">
      <c r="D86" s="6"/>
    </row>
    <row r="87">
      <c r="D87" s="6"/>
    </row>
    <row r="88">
      <c r="D88" s="6"/>
    </row>
    <row r="89">
      <c r="D89" s="6"/>
    </row>
    <row r="90">
      <c r="D90" s="6"/>
    </row>
    <row r="91">
      <c r="D91" s="6"/>
    </row>
    <row r="92">
      <c r="D92" s="6"/>
    </row>
    <row r="93">
      <c r="D93" s="6"/>
    </row>
    <row r="94">
      <c r="D94" s="6"/>
    </row>
    <row r="95">
      <c r="D95" s="6"/>
    </row>
    <row r="96">
      <c r="D96" s="6"/>
    </row>
    <row r="97">
      <c r="D97" s="6"/>
    </row>
    <row r="98">
      <c r="D98" s="6"/>
    </row>
    <row r="99">
      <c r="D99" s="6"/>
    </row>
    <row r="100">
      <c r="D100" s="6"/>
    </row>
    <row r="101">
      <c r="D101" s="6"/>
    </row>
    <row r="102">
      <c r="D102" s="6"/>
    </row>
    <row r="103">
      <c r="D103" s="6"/>
    </row>
    <row r="104">
      <c r="D104" s="6"/>
    </row>
    <row r="105">
      <c r="D105" s="6"/>
    </row>
    <row r="106">
      <c r="D106" s="6"/>
    </row>
    <row r="107">
      <c r="D107" s="6"/>
    </row>
    <row r="108">
      <c r="D108" s="6"/>
    </row>
    <row r="109">
      <c r="D109" s="6"/>
    </row>
    <row r="110">
      <c r="D110" s="6"/>
    </row>
    <row r="111">
      <c r="D111" s="6"/>
    </row>
    <row r="112">
      <c r="D112" s="6"/>
    </row>
    <row r="113">
      <c r="D113" s="6"/>
    </row>
    <row r="114">
      <c r="D114" s="6"/>
    </row>
    <row r="115">
      <c r="D115" s="6"/>
    </row>
    <row r="116">
      <c r="D116" s="6"/>
    </row>
    <row r="117">
      <c r="D117" s="6"/>
    </row>
    <row r="118">
      <c r="D118" s="6"/>
    </row>
    <row r="119">
      <c r="D119" s="6"/>
    </row>
    <row r="120">
      <c r="D120" s="6"/>
    </row>
    <row r="121">
      <c r="D121" s="6"/>
    </row>
    <row r="122">
      <c r="D122" s="6"/>
    </row>
    <row r="123">
      <c r="D123" s="6"/>
    </row>
    <row r="124">
      <c r="D124" s="6"/>
    </row>
    <row r="125">
      <c r="D125" s="6"/>
    </row>
    <row r="126">
      <c r="D126" s="6"/>
    </row>
    <row r="127">
      <c r="D127" s="6"/>
    </row>
    <row r="128">
      <c r="D128" s="6"/>
    </row>
    <row r="129">
      <c r="D129" s="6"/>
    </row>
    <row r="130">
      <c r="D130" s="6"/>
    </row>
    <row r="131">
      <c r="D131" s="6"/>
    </row>
    <row r="132">
      <c r="D132" s="6"/>
    </row>
    <row r="133">
      <c r="D133" s="6"/>
    </row>
    <row r="134">
      <c r="D134" s="6"/>
    </row>
    <row r="135">
      <c r="D135" s="6"/>
    </row>
    <row r="136">
      <c r="D136" s="6"/>
    </row>
    <row r="137">
      <c r="D137" s="6"/>
    </row>
    <row r="138">
      <c r="D138" s="6"/>
    </row>
    <row r="139">
      <c r="D139" s="6"/>
    </row>
    <row r="140">
      <c r="D140" s="6"/>
    </row>
    <row r="141">
      <c r="D141" s="6"/>
    </row>
    <row r="142">
      <c r="D142" s="6"/>
    </row>
    <row r="143">
      <c r="D143" s="6"/>
    </row>
    <row r="144">
      <c r="D144" s="6"/>
    </row>
    <row r="145">
      <c r="D145" s="6"/>
    </row>
    <row r="146">
      <c r="D146" s="6"/>
    </row>
    <row r="147">
      <c r="D147" s="6"/>
    </row>
    <row r="148">
      <c r="D148" s="6"/>
    </row>
    <row r="149">
      <c r="D149" s="6"/>
    </row>
    <row r="150">
      <c r="D150" s="6"/>
    </row>
    <row r="151">
      <c r="D151" s="6"/>
    </row>
    <row r="152">
      <c r="D152" s="6"/>
    </row>
    <row r="153">
      <c r="D153" s="6"/>
    </row>
    <row r="154">
      <c r="D154" s="6"/>
    </row>
    <row r="155">
      <c r="D155" s="6"/>
    </row>
    <row r="156">
      <c r="D156" s="6"/>
    </row>
    <row r="157">
      <c r="D157" s="6"/>
    </row>
    <row r="158">
      <c r="D158" s="6"/>
    </row>
    <row r="159">
      <c r="D159" s="6"/>
    </row>
    <row r="160">
      <c r="D160" s="6"/>
    </row>
    <row r="161">
      <c r="D161" s="6"/>
    </row>
    <row r="162">
      <c r="D162" s="6"/>
    </row>
    <row r="163">
      <c r="D163" s="6"/>
    </row>
    <row r="164">
      <c r="D164" s="6"/>
    </row>
    <row r="165">
      <c r="D165" s="6"/>
    </row>
    <row r="166">
      <c r="D166" s="6"/>
    </row>
    <row r="167">
      <c r="D167" s="6"/>
    </row>
    <row r="168">
      <c r="D168" s="6"/>
    </row>
    <row r="169">
      <c r="D169" s="6"/>
    </row>
    <row r="170">
      <c r="D170" s="6"/>
    </row>
    <row r="171">
      <c r="D171" s="6"/>
    </row>
    <row r="172">
      <c r="D172" s="6"/>
    </row>
    <row r="173">
      <c r="D173" s="6"/>
    </row>
    <row r="174">
      <c r="D174" s="6"/>
    </row>
    <row r="175">
      <c r="D175" s="6"/>
    </row>
    <row r="176">
      <c r="D176" s="6"/>
    </row>
    <row r="177">
      <c r="D177" s="6"/>
    </row>
    <row r="178">
      <c r="D178" s="6"/>
    </row>
    <row r="179">
      <c r="D179" s="6"/>
    </row>
    <row r="180">
      <c r="D180" s="6"/>
    </row>
    <row r="181">
      <c r="D181" s="6"/>
    </row>
    <row r="182">
      <c r="D182" s="6"/>
    </row>
    <row r="183">
      <c r="D183" s="6"/>
    </row>
    <row r="184">
      <c r="D184" s="6"/>
    </row>
    <row r="185">
      <c r="D185" s="6"/>
    </row>
    <row r="186">
      <c r="D186" s="6"/>
    </row>
    <row r="187">
      <c r="D187" s="6"/>
    </row>
    <row r="188">
      <c r="D188" s="6"/>
    </row>
    <row r="189">
      <c r="D189" s="6"/>
    </row>
    <row r="190">
      <c r="D190" s="6"/>
    </row>
    <row r="191">
      <c r="D191" s="6"/>
    </row>
    <row r="192">
      <c r="D192" s="6"/>
    </row>
    <row r="193">
      <c r="D193" s="6"/>
    </row>
    <row r="194">
      <c r="D194" s="6"/>
    </row>
    <row r="195">
      <c r="D195" s="6"/>
    </row>
    <row r="196">
      <c r="D196" s="6"/>
    </row>
    <row r="197">
      <c r="D197" s="6"/>
    </row>
    <row r="198">
      <c r="D198" s="6"/>
    </row>
    <row r="199">
      <c r="D199" s="6"/>
    </row>
    <row r="200">
      <c r="D200" s="6"/>
    </row>
    <row r="201">
      <c r="D201" s="6"/>
    </row>
    <row r="202">
      <c r="D202" s="6"/>
    </row>
    <row r="203">
      <c r="D203" s="6"/>
    </row>
    <row r="204">
      <c r="D204" s="6"/>
    </row>
    <row r="205">
      <c r="D205" s="6"/>
    </row>
    <row r="206">
      <c r="D206" s="6"/>
    </row>
    <row r="207">
      <c r="D207" s="6"/>
    </row>
    <row r="208">
      <c r="D208" s="6"/>
    </row>
    <row r="209">
      <c r="D209" s="6"/>
    </row>
    <row r="210">
      <c r="D210" s="6"/>
    </row>
    <row r="211">
      <c r="D211" s="6"/>
    </row>
    <row r="212">
      <c r="D212" s="6"/>
    </row>
    <row r="213">
      <c r="D213" s="6"/>
    </row>
    <row r="214">
      <c r="D214" s="6"/>
    </row>
    <row r="215">
      <c r="D215" s="6"/>
    </row>
    <row r="216">
      <c r="D216" s="6"/>
    </row>
    <row r="217">
      <c r="D217" s="6"/>
    </row>
    <row r="218">
      <c r="D218" s="6"/>
    </row>
    <row r="219">
      <c r="D219" s="6"/>
    </row>
    <row r="220">
      <c r="D220" s="6"/>
    </row>
    <row r="221">
      <c r="D221" s="6"/>
    </row>
    <row r="222">
      <c r="D222" s="6"/>
    </row>
    <row r="223">
      <c r="D223" s="6"/>
    </row>
    <row r="224">
      <c r="D224" s="6"/>
    </row>
    <row r="225">
      <c r="D225" s="6"/>
    </row>
    <row r="226">
      <c r="D226" s="6"/>
    </row>
    <row r="227">
      <c r="D227" s="6"/>
    </row>
    <row r="228">
      <c r="D228" s="6"/>
    </row>
    <row r="229">
      <c r="D229" s="6"/>
    </row>
    <row r="230">
      <c r="D230" s="6"/>
    </row>
    <row r="231">
      <c r="D231" s="6"/>
    </row>
    <row r="232">
      <c r="D232" s="6"/>
    </row>
    <row r="233">
      <c r="D233" s="6"/>
    </row>
    <row r="234">
      <c r="D234" s="6"/>
    </row>
    <row r="235">
      <c r="D235" s="6"/>
    </row>
    <row r="236">
      <c r="D236" s="6"/>
    </row>
    <row r="237">
      <c r="D237" s="6"/>
    </row>
    <row r="238">
      <c r="D238" s="6"/>
    </row>
    <row r="239">
      <c r="D239" s="6"/>
    </row>
    <row r="240">
      <c r="D240" s="6"/>
    </row>
    <row r="241">
      <c r="D241" s="6"/>
    </row>
    <row r="242">
      <c r="D242" s="6"/>
    </row>
    <row r="243">
      <c r="D243" s="6"/>
    </row>
    <row r="244">
      <c r="D244" s="6"/>
    </row>
    <row r="245">
      <c r="D245" s="6"/>
    </row>
    <row r="246">
      <c r="D246" s="6"/>
    </row>
    <row r="247">
      <c r="D247" s="6"/>
    </row>
    <row r="248">
      <c r="D248" s="6"/>
    </row>
    <row r="249">
      <c r="D249" s="6"/>
    </row>
    <row r="250">
      <c r="D250" s="6"/>
    </row>
    <row r="251">
      <c r="D251" s="6"/>
    </row>
    <row r="252">
      <c r="D252" s="6"/>
    </row>
    <row r="253">
      <c r="D253" s="6"/>
    </row>
    <row r="254">
      <c r="D254" s="6"/>
    </row>
    <row r="255">
      <c r="D255" s="6"/>
    </row>
    <row r="256">
      <c r="D256" s="6"/>
    </row>
    <row r="257">
      <c r="D257" s="6"/>
    </row>
    <row r="258">
      <c r="D258" s="6"/>
    </row>
    <row r="259">
      <c r="D259" s="6"/>
    </row>
    <row r="260">
      <c r="D260" s="6"/>
    </row>
    <row r="261">
      <c r="D261" s="6"/>
    </row>
    <row r="262">
      <c r="D262" s="6"/>
    </row>
    <row r="263">
      <c r="D263" s="6"/>
    </row>
    <row r="264">
      <c r="D264" s="6"/>
    </row>
    <row r="265">
      <c r="D265" s="6"/>
    </row>
    <row r="266">
      <c r="D266" s="6"/>
    </row>
    <row r="267">
      <c r="D267" s="6"/>
    </row>
    <row r="268">
      <c r="D268" s="6"/>
    </row>
    <row r="269">
      <c r="D269" s="6"/>
    </row>
    <row r="270">
      <c r="D270" s="6"/>
    </row>
    <row r="271">
      <c r="D271" s="6"/>
    </row>
    <row r="272">
      <c r="D272" s="6"/>
    </row>
    <row r="273">
      <c r="D273" s="6"/>
    </row>
    <row r="274">
      <c r="D274" s="6"/>
    </row>
    <row r="275">
      <c r="D275" s="6"/>
    </row>
    <row r="276">
      <c r="D276" s="6"/>
    </row>
    <row r="277">
      <c r="D277" s="6"/>
    </row>
    <row r="278">
      <c r="D278" s="6"/>
    </row>
    <row r="279">
      <c r="D279" s="6"/>
    </row>
    <row r="280">
      <c r="D280" s="6"/>
    </row>
    <row r="281">
      <c r="D281" s="6"/>
    </row>
    <row r="282">
      <c r="D282" s="6"/>
    </row>
    <row r="283">
      <c r="D283" s="6"/>
    </row>
    <row r="284">
      <c r="D284" s="6"/>
    </row>
    <row r="285">
      <c r="D285" s="6"/>
    </row>
    <row r="286">
      <c r="D286" s="6"/>
    </row>
    <row r="287">
      <c r="D287" s="6"/>
    </row>
    <row r="288">
      <c r="D288" s="6"/>
    </row>
    <row r="289">
      <c r="D289" s="6"/>
    </row>
    <row r="290">
      <c r="D290" s="6"/>
    </row>
    <row r="291">
      <c r="D291" s="6"/>
    </row>
    <row r="292">
      <c r="D292" s="6"/>
    </row>
    <row r="293">
      <c r="D293" s="6"/>
    </row>
    <row r="294">
      <c r="D294" s="6"/>
    </row>
    <row r="295">
      <c r="D295" s="6"/>
    </row>
    <row r="296">
      <c r="D296" s="6"/>
    </row>
    <row r="297">
      <c r="D297" s="6"/>
    </row>
    <row r="298">
      <c r="D298" s="6"/>
    </row>
    <row r="299">
      <c r="D299" s="6"/>
    </row>
    <row r="300">
      <c r="D300" s="6"/>
    </row>
    <row r="301">
      <c r="D301" s="6"/>
    </row>
    <row r="302">
      <c r="D302" s="6"/>
    </row>
    <row r="303">
      <c r="D303" s="6"/>
    </row>
    <row r="304">
      <c r="D304" s="6"/>
    </row>
    <row r="305">
      <c r="D305" s="6"/>
    </row>
    <row r="306">
      <c r="D306" s="6"/>
    </row>
    <row r="307">
      <c r="D307" s="6"/>
    </row>
    <row r="308">
      <c r="D308" s="6"/>
    </row>
    <row r="309">
      <c r="D309" s="6"/>
    </row>
    <row r="310">
      <c r="D310" s="6"/>
    </row>
    <row r="311">
      <c r="D311" s="6"/>
    </row>
    <row r="312">
      <c r="D312" s="6"/>
    </row>
    <row r="313">
      <c r="D313" s="6"/>
    </row>
    <row r="314">
      <c r="D314" s="6"/>
    </row>
    <row r="315">
      <c r="D315" s="6"/>
    </row>
    <row r="316">
      <c r="D316" s="6"/>
    </row>
    <row r="317">
      <c r="D317" s="6"/>
    </row>
    <row r="318">
      <c r="D318" s="6"/>
    </row>
    <row r="319">
      <c r="D319" s="6"/>
    </row>
    <row r="320">
      <c r="D320" s="6"/>
    </row>
    <row r="321">
      <c r="D321" s="6"/>
    </row>
    <row r="322">
      <c r="D322" s="6"/>
    </row>
    <row r="323">
      <c r="D323" s="6"/>
    </row>
    <row r="324">
      <c r="D324" s="6"/>
    </row>
    <row r="325">
      <c r="D325" s="6"/>
    </row>
    <row r="326">
      <c r="D326" s="6"/>
    </row>
    <row r="327">
      <c r="D327" s="6"/>
    </row>
    <row r="328">
      <c r="D328" s="6"/>
    </row>
    <row r="329">
      <c r="D329" s="6"/>
    </row>
    <row r="330">
      <c r="D330" s="6"/>
    </row>
    <row r="331">
      <c r="D331" s="6"/>
    </row>
    <row r="332">
      <c r="D332" s="6"/>
    </row>
    <row r="333">
      <c r="D333" s="6"/>
    </row>
    <row r="334">
      <c r="D334" s="6"/>
    </row>
    <row r="335">
      <c r="D335" s="6"/>
    </row>
    <row r="336">
      <c r="D336" s="6"/>
    </row>
    <row r="337">
      <c r="D337" s="6"/>
    </row>
    <row r="338">
      <c r="D338" s="6"/>
    </row>
    <row r="339">
      <c r="D339" s="6"/>
    </row>
    <row r="340">
      <c r="D340" s="6"/>
    </row>
    <row r="341">
      <c r="D341" s="6"/>
    </row>
    <row r="342">
      <c r="D342" s="6"/>
    </row>
    <row r="343">
      <c r="D343" s="6"/>
    </row>
    <row r="344">
      <c r="D344" s="6"/>
    </row>
    <row r="345">
      <c r="D345" s="6"/>
    </row>
    <row r="346">
      <c r="D346" s="6"/>
    </row>
    <row r="347">
      <c r="D347" s="6"/>
    </row>
    <row r="348">
      <c r="D348" s="6"/>
    </row>
    <row r="349">
      <c r="D349" s="6"/>
    </row>
    <row r="350">
      <c r="D350" s="6"/>
    </row>
    <row r="351">
      <c r="D351" s="6"/>
    </row>
    <row r="352">
      <c r="D352" s="6"/>
    </row>
    <row r="353">
      <c r="D353" s="6"/>
    </row>
    <row r="354">
      <c r="D354" s="6"/>
    </row>
    <row r="355">
      <c r="D355" s="6"/>
    </row>
    <row r="356">
      <c r="D356" s="6"/>
    </row>
    <row r="357">
      <c r="D357" s="6"/>
    </row>
    <row r="358">
      <c r="D358" s="6"/>
    </row>
    <row r="359">
      <c r="D359" s="6"/>
    </row>
    <row r="360">
      <c r="D360" s="6"/>
    </row>
    <row r="361">
      <c r="D361" s="6"/>
    </row>
    <row r="362">
      <c r="D362" s="6"/>
    </row>
    <row r="363">
      <c r="D363" s="6"/>
    </row>
    <row r="364">
      <c r="D364" s="6"/>
    </row>
    <row r="365">
      <c r="D365" s="6"/>
    </row>
    <row r="366">
      <c r="D366" s="6"/>
    </row>
    <row r="367">
      <c r="D367" s="6"/>
    </row>
    <row r="368">
      <c r="D368" s="6"/>
    </row>
    <row r="369">
      <c r="D369" s="6"/>
    </row>
    <row r="370">
      <c r="D370" s="6"/>
    </row>
    <row r="371">
      <c r="D371" s="6"/>
    </row>
    <row r="372">
      <c r="D372" s="6"/>
    </row>
    <row r="373">
      <c r="D373" s="6"/>
    </row>
    <row r="374">
      <c r="D374" s="6"/>
    </row>
    <row r="375">
      <c r="D375" s="6"/>
    </row>
    <row r="376">
      <c r="D376" s="6"/>
    </row>
    <row r="377">
      <c r="D377" s="6"/>
    </row>
    <row r="378">
      <c r="D378" s="6"/>
    </row>
    <row r="379">
      <c r="D379" s="6"/>
    </row>
    <row r="380">
      <c r="D380" s="6"/>
    </row>
    <row r="381">
      <c r="D381" s="6"/>
    </row>
    <row r="382">
      <c r="D382" s="6"/>
    </row>
    <row r="383">
      <c r="D383" s="6"/>
    </row>
    <row r="384">
      <c r="D384" s="6"/>
    </row>
    <row r="385">
      <c r="D385" s="6"/>
    </row>
    <row r="386">
      <c r="D386" s="6"/>
    </row>
    <row r="387">
      <c r="D387" s="6"/>
    </row>
    <row r="388">
      <c r="D388" s="6"/>
    </row>
    <row r="389">
      <c r="D389" s="6"/>
    </row>
    <row r="390">
      <c r="D390" s="6"/>
    </row>
    <row r="391">
      <c r="D391" s="6"/>
    </row>
    <row r="392">
      <c r="D392" s="6"/>
    </row>
    <row r="393">
      <c r="D393" s="6"/>
    </row>
    <row r="394">
      <c r="D394" s="6"/>
    </row>
    <row r="395">
      <c r="D395" s="6"/>
    </row>
    <row r="396">
      <c r="D396" s="6"/>
    </row>
    <row r="397">
      <c r="D397" s="6"/>
    </row>
    <row r="398">
      <c r="D398" s="6"/>
    </row>
    <row r="399">
      <c r="D399" s="6"/>
    </row>
    <row r="400">
      <c r="D400" s="6"/>
    </row>
    <row r="401">
      <c r="D401" s="6"/>
    </row>
    <row r="402">
      <c r="D402" s="6"/>
    </row>
    <row r="403">
      <c r="D403" s="6"/>
    </row>
    <row r="404">
      <c r="D404" s="6"/>
    </row>
    <row r="405">
      <c r="D405" s="6"/>
    </row>
    <row r="406">
      <c r="D406" s="6"/>
    </row>
    <row r="407">
      <c r="D407" s="6"/>
    </row>
    <row r="408">
      <c r="D408" s="6"/>
    </row>
    <row r="409">
      <c r="D409" s="6"/>
    </row>
    <row r="410">
      <c r="D410" s="6"/>
    </row>
    <row r="411">
      <c r="D411" s="6"/>
    </row>
    <row r="412">
      <c r="D412" s="6"/>
    </row>
    <row r="413">
      <c r="D413" s="6"/>
    </row>
    <row r="414">
      <c r="D414" s="6"/>
    </row>
    <row r="415">
      <c r="D415" s="6"/>
    </row>
    <row r="416">
      <c r="D416" s="6"/>
    </row>
    <row r="417">
      <c r="D417" s="6"/>
    </row>
    <row r="418">
      <c r="D418" s="6"/>
    </row>
    <row r="419">
      <c r="D419" s="6"/>
    </row>
    <row r="420">
      <c r="D420" s="6"/>
    </row>
    <row r="421">
      <c r="D421" s="6"/>
    </row>
    <row r="422">
      <c r="D422" s="6"/>
    </row>
    <row r="423">
      <c r="D423" s="6"/>
    </row>
    <row r="424">
      <c r="D424" s="6"/>
    </row>
    <row r="425">
      <c r="D425" s="6"/>
    </row>
    <row r="426">
      <c r="D426" s="6"/>
    </row>
    <row r="427">
      <c r="D427" s="6"/>
    </row>
    <row r="428">
      <c r="D428" s="6"/>
    </row>
    <row r="429">
      <c r="D429" s="6"/>
    </row>
    <row r="430">
      <c r="D430" s="6"/>
    </row>
    <row r="431">
      <c r="D431" s="6"/>
    </row>
    <row r="432">
      <c r="D432" s="6"/>
    </row>
    <row r="433">
      <c r="D433" s="6"/>
    </row>
    <row r="434">
      <c r="D434" s="6"/>
    </row>
    <row r="435">
      <c r="D435" s="6"/>
    </row>
    <row r="436">
      <c r="D436" s="6"/>
    </row>
    <row r="437">
      <c r="D437" s="6"/>
    </row>
    <row r="438">
      <c r="D438" s="6"/>
    </row>
    <row r="439">
      <c r="D439" s="6"/>
    </row>
    <row r="440">
      <c r="D440" s="6"/>
    </row>
    <row r="441">
      <c r="D441" s="6"/>
    </row>
    <row r="442">
      <c r="D442" s="6"/>
    </row>
    <row r="443">
      <c r="D443" s="6"/>
    </row>
    <row r="444">
      <c r="D444" s="6"/>
    </row>
    <row r="445">
      <c r="D445" s="6"/>
    </row>
    <row r="446">
      <c r="D446" s="6"/>
    </row>
    <row r="447">
      <c r="D447" s="6"/>
    </row>
    <row r="448">
      <c r="D448" s="6"/>
    </row>
    <row r="449">
      <c r="D449" s="6"/>
    </row>
    <row r="450">
      <c r="D450" s="6"/>
    </row>
    <row r="451">
      <c r="D451" s="6"/>
    </row>
    <row r="452">
      <c r="D452" s="6"/>
    </row>
    <row r="453">
      <c r="D453" s="6"/>
    </row>
    <row r="454">
      <c r="D454" s="6"/>
    </row>
    <row r="455">
      <c r="D455" s="6"/>
    </row>
    <row r="456">
      <c r="D456" s="6"/>
    </row>
    <row r="457">
      <c r="D457" s="6"/>
    </row>
    <row r="458">
      <c r="D458" s="6"/>
    </row>
    <row r="459">
      <c r="D459" s="6"/>
    </row>
    <row r="460">
      <c r="D460" s="6"/>
    </row>
    <row r="461">
      <c r="D461" s="6"/>
    </row>
    <row r="462">
      <c r="D462" s="6"/>
    </row>
    <row r="463">
      <c r="D463" s="6"/>
    </row>
    <row r="464">
      <c r="D464" s="6"/>
    </row>
    <row r="465">
      <c r="D465" s="6"/>
    </row>
    <row r="466">
      <c r="D466" s="6"/>
    </row>
    <row r="467">
      <c r="D467" s="6"/>
    </row>
    <row r="468">
      <c r="D468" s="6"/>
    </row>
    <row r="469">
      <c r="D469" s="6"/>
    </row>
    <row r="470">
      <c r="D470" s="6"/>
    </row>
    <row r="471">
      <c r="D471" s="6"/>
    </row>
    <row r="472">
      <c r="D472" s="6"/>
    </row>
    <row r="473">
      <c r="D473" s="6"/>
    </row>
    <row r="474">
      <c r="D474" s="6"/>
    </row>
    <row r="475">
      <c r="D475" s="6"/>
    </row>
    <row r="476">
      <c r="D476" s="6"/>
    </row>
    <row r="477">
      <c r="D477" s="6"/>
    </row>
    <row r="478">
      <c r="D478" s="6"/>
    </row>
    <row r="479">
      <c r="D479" s="6"/>
    </row>
    <row r="480">
      <c r="D480" s="6"/>
    </row>
    <row r="481">
      <c r="D481" s="6"/>
    </row>
    <row r="482">
      <c r="D482" s="6"/>
    </row>
    <row r="483">
      <c r="D483" s="6"/>
    </row>
    <row r="484">
      <c r="D484" s="6"/>
    </row>
    <row r="485">
      <c r="D485" s="6"/>
    </row>
    <row r="486">
      <c r="D486" s="6"/>
    </row>
    <row r="487">
      <c r="D487" s="6"/>
    </row>
    <row r="488">
      <c r="D488" s="6"/>
    </row>
    <row r="489">
      <c r="D489" s="6"/>
    </row>
    <row r="490">
      <c r="D490" s="6"/>
    </row>
    <row r="491">
      <c r="D491" s="6"/>
    </row>
    <row r="492">
      <c r="D492" s="6"/>
    </row>
    <row r="493">
      <c r="D493" s="6"/>
    </row>
    <row r="494">
      <c r="D494" s="6"/>
    </row>
    <row r="495">
      <c r="D495" s="6"/>
    </row>
    <row r="496">
      <c r="D496" s="6"/>
    </row>
    <row r="497">
      <c r="D497" s="6"/>
    </row>
    <row r="498">
      <c r="D498" s="6"/>
    </row>
    <row r="499">
      <c r="D499" s="6"/>
    </row>
    <row r="500">
      <c r="D500" s="6"/>
    </row>
    <row r="501">
      <c r="D501" s="6"/>
    </row>
    <row r="502">
      <c r="D502" s="6"/>
    </row>
    <row r="503">
      <c r="D503" s="6"/>
    </row>
    <row r="504">
      <c r="D504" s="6"/>
    </row>
    <row r="505">
      <c r="D505" s="6"/>
    </row>
    <row r="506">
      <c r="D506" s="6"/>
    </row>
    <row r="507">
      <c r="D507" s="6"/>
    </row>
    <row r="508">
      <c r="D508" s="6"/>
    </row>
    <row r="509">
      <c r="D509" s="6"/>
    </row>
    <row r="510">
      <c r="D510" s="6"/>
    </row>
    <row r="511">
      <c r="D511" s="6"/>
    </row>
    <row r="512">
      <c r="D512" s="6"/>
    </row>
    <row r="513">
      <c r="D513" s="6"/>
    </row>
    <row r="514">
      <c r="D514" s="6"/>
    </row>
    <row r="515">
      <c r="D515" s="6"/>
    </row>
    <row r="516">
      <c r="D516" s="6"/>
    </row>
    <row r="517">
      <c r="D517" s="6"/>
    </row>
    <row r="518">
      <c r="D518" s="6"/>
    </row>
    <row r="519">
      <c r="D519" s="6"/>
    </row>
    <row r="520">
      <c r="D520" s="6"/>
    </row>
    <row r="521">
      <c r="D521" s="6"/>
    </row>
    <row r="522">
      <c r="D522" s="6"/>
    </row>
    <row r="523">
      <c r="D523" s="6"/>
    </row>
    <row r="524">
      <c r="D524" s="6"/>
    </row>
    <row r="525">
      <c r="D525" s="6"/>
    </row>
    <row r="526">
      <c r="D526" s="6"/>
    </row>
    <row r="527">
      <c r="D527" s="6"/>
    </row>
    <row r="528">
      <c r="D528" s="6"/>
    </row>
    <row r="529">
      <c r="D529" s="6"/>
    </row>
    <row r="530">
      <c r="D530" s="6"/>
    </row>
    <row r="531">
      <c r="D531" s="6"/>
    </row>
    <row r="532">
      <c r="D532" s="6"/>
    </row>
    <row r="533">
      <c r="D533" s="6"/>
    </row>
    <row r="534">
      <c r="D534" s="6"/>
    </row>
    <row r="535">
      <c r="D535" s="6"/>
    </row>
    <row r="536">
      <c r="D536" s="6"/>
    </row>
    <row r="537">
      <c r="D537" s="6"/>
    </row>
    <row r="538">
      <c r="D538" s="6"/>
    </row>
    <row r="539">
      <c r="D539" s="6"/>
    </row>
    <row r="540">
      <c r="D540" s="6"/>
    </row>
    <row r="541">
      <c r="D541" s="6"/>
    </row>
    <row r="542">
      <c r="D542" s="6"/>
    </row>
    <row r="543">
      <c r="D543" s="6"/>
    </row>
    <row r="544">
      <c r="D544" s="6"/>
    </row>
    <row r="545">
      <c r="D545" s="6"/>
    </row>
    <row r="546">
      <c r="D546" s="6"/>
    </row>
    <row r="547">
      <c r="D547" s="6"/>
    </row>
    <row r="548">
      <c r="D548" s="6"/>
    </row>
    <row r="549">
      <c r="D549" s="6"/>
    </row>
    <row r="550">
      <c r="D550" s="6"/>
    </row>
    <row r="551">
      <c r="D551" s="6"/>
    </row>
    <row r="552">
      <c r="D552" s="6"/>
    </row>
    <row r="553">
      <c r="D553" s="6"/>
    </row>
    <row r="554">
      <c r="D554" s="6"/>
    </row>
    <row r="555">
      <c r="D555" s="6"/>
    </row>
    <row r="556">
      <c r="D556" s="6"/>
    </row>
    <row r="557">
      <c r="D557" s="6"/>
    </row>
    <row r="558">
      <c r="D558" s="6"/>
    </row>
    <row r="559">
      <c r="D559" s="6"/>
    </row>
    <row r="560">
      <c r="D560" s="6"/>
    </row>
    <row r="561">
      <c r="D561" s="6"/>
    </row>
    <row r="562">
      <c r="D562" s="6"/>
    </row>
    <row r="563">
      <c r="D563" s="6"/>
    </row>
    <row r="564">
      <c r="D564" s="6"/>
    </row>
    <row r="565">
      <c r="D565" s="6"/>
    </row>
    <row r="566">
      <c r="D566" s="6"/>
    </row>
    <row r="567">
      <c r="D567" s="6"/>
    </row>
    <row r="568">
      <c r="D568" s="6"/>
    </row>
    <row r="569">
      <c r="D569" s="6"/>
    </row>
    <row r="570">
      <c r="D570" s="6"/>
    </row>
    <row r="571">
      <c r="D571" s="6"/>
    </row>
    <row r="572">
      <c r="D572" s="6"/>
    </row>
    <row r="573">
      <c r="D573" s="6"/>
    </row>
    <row r="574">
      <c r="D574" s="6"/>
    </row>
    <row r="575">
      <c r="D575" s="6"/>
    </row>
    <row r="576">
      <c r="D576" s="6"/>
    </row>
    <row r="577">
      <c r="D577" s="6"/>
    </row>
    <row r="578">
      <c r="D578" s="6"/>
    </row>
    <row r="579">
      <c r="D579" s="6"/>
    </row>
    <row r="580">
      <c r="D580" s="6"/>
    </row>
    <row r="581">
      <c r="D581" s="6"/>
    </row>
    <row r="582">
      <c r="D582" s="6"/>
    </row>
    <row r="583">
      <c r="D583" s="6"/>
    </row>
    <row r="584">
      <c r="D584" s="6"/>
    </row>
    <row r="585">
      <c r="D585" s="6"/>
    </row>
    <row r="586">
      <c r="D586" s="6"/>
    </row>
    <row r="587">
      <c r="D587" s="6"/>
    </row>
    <row r="588">
      <c r="D588" s="6"/>
    </row>
    <row r="589">
      <c r="D589" s="6"/>
    </row>
    <row r="590">
      <c r="D590" s="6"/>
    </row>
    <row r="591">
      <c r="D591" s="6"/>
    </row>
    <row r="592">
      <c r="D592" s="6"/>
    </row>
    <row r="593">
      <c r="D593" s="6"/>
    </row>
    <row r="594">
      <c r="D594" s="6"/>
    </row>
    <row r="595">
      <c r="D595" s="6"/>
    </row>
    <row r="596">
      <c r="D596" s="6"/>
    </row>
    <row r="597">
      <c r="D597" s="6"/>
    </row>
    <row r="598">
      <c r="D598" s="6"/>
    </row>
    <row r="599">
      <c r="D599" s="6"/>
    </row>
    <row r="600">
      <c r="D600" s="6"/>
    </row>
    <row r="601">
      <c r="D601" s="6"/>
    </row>
    <row r="602">
      <c r="D602" s="6"/>
    </row>
    <row r="603">
      <c r="D603" s="6"/>
    </row>
    <row r="604">
      <c r="D604" s="6"/>
    </row>
    <row r="605">
      <c r="D605" s="6"/>
    </row>
    <row r="606">
      <c r="D606" s="6"/>
    </row>
    <row r="607">
      <c r="D607" s="6"/>
    </row>
    <row r="608">
      <c r="D608" s="6"/>
    </row>
    <row r="609">
      <c r="D609" s="6"/>
    </row>
    <row r="610">
      <c r="D610" s="6"/>
    </row>
    <row r="611">
      <c r="D611" s="6"/>
    </row>
    <row r="612">
      <c r="D612" s="6"/>
    </row>
    <row r="613">
      <c r="D613" s="6"/>
    </row>
    <row r="614">
      <c r="D614" s="6"/>
    </row>
    <row r="615">
      <c r="D615" s="6"/>
    </row>
    <row r="616">
      <c r="D616" s="6"/>
    </row>
    <row r="617">
      <c r="D617" s="6"/>
    </row>
    <row r="618">
      <c r="D618" s="6"/>
    </row>
    <row r="619">
      <c r="D619" s="6"/>
    </row>
    <row r="620">
      <c r="D620" s="6"/>
    </row>
    <row r="621">
      <c r="D621" s="6"/>
    </row>
    <row r="622">
      <c r="D622" s="6"/>
    </row>
    <row r="623">
      <c r="D623" s="6"/>
    </row>
    <row r="624">
      <c r="D624" s="6"/>
    </row>
    <row r="625">
      <c r="D625" s="6"/>
    </row>
    <row r="626">
      <c r="D626" s="6"/>
    </row>
    <row r="627">
      <c r="D627" s="6"/>
    </row>
    <row r="628">
      <c r="D628" s="6"/>
    </row>
    <row r="629">
      <c r="D629" s="6"/>
    </row>
    <row r="630">
      <c r="D630" s="6"/>
    </row>
    <row r="631">
      <c r="D631" s="6"/>
    </row>
    <row r="632">
      <c r="D632" s="6"/>
    </row>
    <row r="633">
      <c r="D633" s="6"/>
    </row>
    <row r="634">
      <c r="D634" s="6"/>
    </row>
    <row r="635">
      <c r="D635" s="6"/>
    </row>
    <row r="636">
      <c r="D636" s="6"/>
    </row>
    <row r="637">
      <c r="D637" s="6"/>
    </row>
    <row r="638">
      <c r="D638" s="6"/>
    </row>
    <row r="639">
      <c r="D639" s="6"/>
    </row>
    <row r="640">
      <c r="D640" s="6"/>
    </row>
    <row r="641">
      <c r="D641" s="6"/>
    </row>
    <row r="642">
      <c r="D642" s="6"/>
    </row>
    <row r="643">
      <c r="D643" s="6"/>
    </row>
    <row r="644">
      <c r="D644" s="6"/>
    </row>
    <row r="645">
      <c r="D645" s="6"/>
    </row>
    <row r="646">
      <c r="D646" s="6"/>
    </row>
    <row r="647">
      <c r="D647" s="6"/>
    </row>
    <row r="648">
      <c r="D648" s="6"/>
    </row>
    <row r="649">
      <c r="D649" s="6"/>
    </row>
    <row r="650">
      <c r="D650" s="6"/>
    </row>
    <row r="651">
      <c r="D651" s="6"/>
    </row>
    <row r="652">
      <c r="D652" s="6"/>
    </row>
    <row r="653">
      <c r="D653" s="6"/>
    </row>
    <row r="654">
      <c r="D654" s="6"/>
    </row>
    <row r="655">
      <c r="D655" s="6"/>
    </row>
    <row r="656">
      <c r="D656" s="6"/>
    </row>
    <row r="657">
      <c r="D657" s="6"/>
    </row>
    <row r="658">
      <c r="D658" s="6"/>
    </row>
    <row r="659">
      <c r="D659" s="6"/>
    </row>
    <row r="660">
      <c r="D660" s="6"/>
    </row>
    <row r="661">
      <c r="D661" s="6"/>
    </row>
    <row r="662">
      <c r="D662" s="6"/>
    </row>
    <row r="663">
      <c r="D663" s="6"/>
    </row>
    <row r="664">
      <c r="D664" s="6"/>
    </row>
    <row r="665">
      <c r="D665" s="6"/>
    </row>
    <row r="666">
      <c r="D666" s="6"/>
    </row>
    <row r="667">
      <c r="D667" s="6"/>
    </row>
    <row r="668">
      <c r="D668" s="6"/>
    </row>
    <row r="669">
      <c r="D669" s="6"/>
    </row>
    <row r="670">
      <c r="D670" s="6"/>
    </row>
    <row r="671">
      <c r="D671" s="6"/>
    </row>
    <row r="672">
      <c r="D672" s="6"/>
    </row>
    <row r="673">
      <c r="D673" s="6"/>
    </row>
    <row r="674">
      <c r="D674" s="6"/>
    </row>
    <row r="675">
      <c r="D675" s="6"/>
    </row>
    <row r="676">
      <c r="D676" s="6"/>
    </row>
    <row r="677">
      <c r="D677" s="6"/>
    </row>
    <row r="678">
      <c r="D678" s="6"/>
    </row>
    <row r="679">
      <c r="D679" s="6"/>
    </row>
    <row r="680">
      <c r="D680" s="6"/>
    </row>
    <row r="681">
      <c r="D681" s="6"/>
    </row>
    <row r="682">
      <c r="D682" s="6"/>
    </row>
    <row r="683">
      <c r="D683" s="6"/>
    </row>
    <row r="684">
      <c r="D684" s="6"/>
    </row>
    <row r="685">
      <c r="D685" s="6"/>
    </row>
    <row r="686">
      <c r="D686" s="6"/>
    </row>
    <row r="687">
      <c r="D687" s="6"/>
    </row>
    <row r="688">
      <c r="D688" s="6"/>
    </row>
    <row r="689">
      <c r="D689" s="6"/>
    </row>
    <row r="690">
      <c r="D690" s="6"/>
    </row>
    <row r="691">
      <c r="D691" s="6"/>
    </row>
    <row r="692">
      <c r="D692" s="6"/>
    </row>
    <row r="693">
      <c r="D693" s="6"/>
    </row>
    <row r="694">
      <c r="D694" s="6"/>
    </row>
    <row r="695">
      <c r="D695" s="6"/>
    </row>
    <row r="696">
      <c r="D696" s="6"/>
    </row>
    <row r="697">
      <c r="D697" s="6"/>
    </row>
    <row r="698">
      <c r="D698" s="6"/>
    </row>
    <row r="699">
      <c r="D699" s="6"/>
    </row>
    <row r="700">
      <c r="D700" s="6"/>
    </row>
    <row r="701">
      <c r="D701" s="6"/>
    </row>
    <row r="702">
      <c r="D702" s="6"/>
    </row>
    <row r="703">
      <c r="D703" s="6"/>
    </row>
    <row r="704">
      <c r="D704" s="6"/>
    </row>
    <row r="705">
      <c r="D705" s="6"/>
    </row>
    <row r="706">
      <c r="D706" s="6"/>
    </row>
    <row r="707">
      <c r="D707" s="6"/>
    </row>
    <row r="708">
      <c r="D708" s="6"/>
    </row>
    <row r="709">
      <c r="D709" s="6"/>
    </row>
    <row r="710">
      <c r="D710" s="6"/>
    </row>
    <row r="711">
      <c r="D711" s="6"/>
    </row>
    <row r="712">
      <c r="D712" s="6"/>
    </row>
    <row r="713">
      <c r="D713" s="6"/>
    </row>
    <row r="714">
      <c r="D714" s="6"/>
    </row>
    <row r="715">
      <c r="D715" s="6"/>
    </row>
    <row r="716">
      <c r="D716" s="6"/>
    </row>
    <row r="717">
      <c r="D717" s="6"/>
    </row>
    <row r="718">
      <c r="D718" s="6"/>
    </row>
    <row r="719">
      <c r="D719" s="6"/>
    </row>
    <row r="720">
      <c r="D720" s="6"/>
    </row>
    <row r="721">
      <c r="D721" s="6"/>
    </row>
    <row r="722">
      <c r="D722" s="6"/>
    </row>
    <row r="723">
      <c r="D723" s="6"/>
    </row>
    <row r="724">
      <c r="D724" s="6"/>
    </row>
    <row r="725">
      <c r="D725" s="6"/>
    </row>
    <row r="726">
      <c r="D726" s="6"/>
    </row>
    <row r="727">
      <c r="D727" s="6"/>
    </row>
    <row r="728">
      <c r="D728" s="6"/>
    </row>
    <row r="729">
      <c r="D729" s="6"/>
    </row>
    <row r="730">
      <c r="D730" s="6"/>
    </row>
    <row r="731">
      <c r="D731" s="6"/>
    </row>
    <row r="732">
      <c r="D732" s="6"/>
    </row>
    <row r="733">
      <c r="D733" s="6"/>
    </row>
    <row r="734">
      <c r="D734" s="6"/>
    </row>
    <row r="735">
      <c r="D735" s="6"/>
    </row>
    <row r="736">
      <c r="D736" s="6"/>
    </row>
    <row r="737">
      <c r="D737" s="6"/>
    </row>
    <row r="738">
      <c r="D738" s="6"/>
    </row>
    <row r="739">
      <c r="D739" s="6"/>
    </row>
    <row r="740">
      <c r="D740" s="6"/>
    </row>
    <row r="741">
      <c r="D741" s="6"/>
    </row>
    <row r="742">
      <c r="D742" s="6"/>
    </row>
    <row r="743">
      <c r="D743" s="6"/>
    </row>
    <row r="744">
      <c r="D744" s="6"/>
    </row>
    <row r="745">
      <c r="D745" s="6"/>
    </row>
    <row r="746">
      <c r="D746" s="6"/>
    </row>
    <row r="747">
      <c r="D747" s="6"/>
    </row>
    <row r="748">
      <c r="D748" s="6"/>
    </row>
    <row r="749">
      <c r="D749" s="6"/>
    </row>
    <row r="750">
      <c r="D750" s="6"/>
    </row>
    <row r="751">
      <c r="D751" s="6"/>
    </row>
    <row r="752">
      <c r="D752" s="6"/>
    </row>
    <row r="753">
      <c r="D753" s="6"/>
    </row>
    <row r="754">
      <c r="D754" s="6"/>
    </row>
    <row r="755">
      <c r="D755" s="6"/>
    </row>
    <row r="756">
      <c r="D756" s="6"/>
    </row>
    <row r="757">
      <c r="D757" s="6"/>
    </row>
    <row r="758">
      <c r="D758" s="6"/>
    </row>
    <row r="759">
      <c r="D759" s="6"/>
    </row>
    <row r="760">
      <c r="D760" s="6"/>
    </row>
    <row r="761">
      <c r="D761" s="6"/>
    </row>
    <row r="762">
      <c r="D762" s="6"/>
    </row>
    <row r="763">
      <c r="D763" s="6"/>
    </row>
    <row r="764">
      <c r="D764" s="6"/>
    </row>
    <row r="765">
      <c r="D765" s="6"/>
    </row>
    <row r="766">
      <c r="D766" s="6"/>
    </row>
    <row r="767">
      <c r="D767" s="6"/>
    </row>
    <row r="768">
      <c r="D768" s="6"/>
    </row>
    <row r="769">
      <c r="D769" s="6"/>
    </row>
    <row r="770">
      <c r="D770" s="6"/>
    </row>
    <row r="771">
      <c r="D771" s="6"/>
    </row>
    <row r="772">
      <c r="D772" s="6"/>
    </row>
    <row r="773">
      <c r="D773" s="6"/>
    </row>
    <row r="774">
      <c r="D774" s="6"/>
    </row>
    <row r="775">
      <c r="D775" s="6"/>
    </row>
    <row r="776">
      <c r="D776" s="6"/>
    </row>
    <row r="777">
      <c r="D777" s="6"/>
    </row>
    <row r="778">
      <c r="D778" s="6"/>
    </row>
    <row r="779">
      <c r="D779" s="6"/>
    </row>
    <row r="780">
      <c r="D780" s="6"/>
    </row>
    <row r="781">
      <c r="D781" s="6"/>
    </row>
    <row r="782">
      <c r="D782" s="6"/>
    </row>
    <row r="783">
      <c r="D783" s="6"/>
    </row>
    <row r="784">
      <c r="D784" s="6"/>
    </row>
    <row r="785">
      <c r="D785" s="6"/>
    </row>
    <row r="786">
      <c r="D786" s="6"/>
    </row>
    <row r="787">
      <c r="D787" s="6"/>
    </row>
    <row r="788">
      <c r="D788" s="6"/>
    </row>
    <row r="789">
      <c r="D789" s="6"/>
    </row>
    <row r="790">
      <c r="D790" s="6"/>
    </row>
    <row r="791">
      <c r="D791" s="6"/>
    </row>
    <row r="792">
      <c r="D792" s="6"/>
    </row>
    <row r="793">
      <c r="D793" s="6"/>
    </row>
    <row r="794">
      <c r="D794" s="6"/>
    </row>
    <row r="795">
      <c r="D795" s="6"/>
    </row>
    <row r="796">
      <c r="D796" s="6"/>
    </row>
    <row r="797">
      <c r="D797" s="6"/>
    </row>
    <row r="798">
      <c r="D798" s="6"/>
    </row>
    <row r="799">
      <c r="D799" s="6"/>
    </row>
    <row r="800">
      <c r="D800" s="6"/>
    </row>
    <row r="801">
      <c r="D801" s="6"/>
    </row>
    <row r="802">
      <c r="D802" s="6"/>
    </row>
    <row r="803">
      <c r="D803" s="6"/>
    </row>
    <row r="804">
      <c r="D804" s="6"/>
    </row>
    <row r="805">
      <c r="D805" s="6"/>
    </row>
    <row r="806">
      <c r="D806" s="6"/>
    </row>
    <row r="807">
      <c r="D807" s="6"/>
    </row>
    <row r="808">
      <c r="D808" s="6"/>
    </row>
    <row r="809">
      <c r="D809" s="6"/>
    </row>
    <row r="810">
      <c r="D810" s="6"/>
    </row>
    <row r="811">
      <c r="D811" s="6"/>
    </row>
    <row r="812">
      <c r="D812" s="6"/>
    </row>
    <row r="813">
      <c r="D813" s="6"/>
    </row>
    <row r="814">
      <c r="D814" s="6"/>
    </row>
    <row r="815">
      <c r="D815" s="6"/>
    </row>
    <row r="816">
      <c r="D816" s="6"/>
    </row>
    <row r="817">
      <c r="D817" s="6"/>
    </row>
    <row r="818">
      <c r="D818" s="6"/>
    </row>
    <row r="819">
      <c r="D819" s="6"/>
    </row>
    <row r="820">
      <c r="D820" s="6"/>
    </row>
    <row r="821">
      <c r="D821" s="6"/>
    </row>
    <row r="822">
      <c r="D822" s="6"/>
    </row>
    <row r="823">
      <c r="D823" s="6"/>
    </row>
    <row r="824">
      <c r="D824" s="6"/>
    </row>
    <row r="825">
      <c r="D825" s="6"/>
    </row>
    <row r="826">
      <c r="D826" s="6"/>
    </row>
    <row r="827">
      <c r="D827" s="6"/>
    </row>
    <row r="828">
      <c r="D828" s="6"/>
    </row>
    <row r="829">
      <c r="D829" s="6"/>
    </row>
    <row r="830">
      <c r="D830" s="6"/>
    </row>
    <row r="831">
      <c r="D831" s="6"/>
    </row>
    <row r="832">
      <c r="D832" s="6"/>
    </row>
    <row r="833">
      <c r="D833" s="6"/>
    </row>
    <row r="834">
      <c r="D834" s="6"/>
    </row>
    <row r="835">
      <c r="D835" s="6"/>
    </row>
    <row r="836">
      <c r="D836" s="6"/>
    </row>
    <row r="837">
      <c r="D837" s="6"/>
    </row>
    <row r="838">
      <c r="D838" s="6"/>
    </row>
    <row r="839">
      <c r="D839" s="6"/>
    </row>
    <row r="840">
      <c r="D840" s="6"/>
    </row>
    <row r="841">
      <c r="D841" s="6"/>
    </row>
    <row r="842">
      <c r="D842" s="6"/>
    </row>
    <row r="843">
      <c r="D843" s="6"/>
    </row>
    <row r="844">
      <c r="D844" s="6"/>
    </row>
    <row r="845">
      <c r="D845" s="6"/>
    </row>
    <row r="846">
      <c r="D846" s="6"/>
    </row>
    <row r="847">
      <c r="D847" s="6"/>
    </row>
    <row r="848">
      <c r="D848" s="6"/>
    </row>
    <row r="849">
      <c r="D849" s="6"/>
    </row>
    <row r="850">
      <c r="D850" s="6"/>
    </row>
    <row r="851">
      <c r="D851" s="6"/>
    </row>
    <row r="852">
      <c r="D852" s="6"/>
    </row>
    <row r="853">
      <c r="D853" s="6"/>
    </row>
    <row r="854">
      <c r="D854" s="6"/>
    </row>
    <row r="855">
      <c r="D855" s="6"/>
    </row>
    <row r="856">
      <c r="D856" s="6"/>
    </row>
    <row r="857">
      <c r="D857" s="6"/>
    </row>
    <row r="858">
      <c r="D858" s="6"/>
    </row>
    <row r="859">
      <c r="D859" s="6"/>
    </row>
    <row r="860">
      <c r="D860" s="6"/>
    </row>
    <row r="861">
      <c r="D861" s="6"/>
    </row>
    <row r="862">
      <c r="D862" s="6"/>
    </row>
    <row r="863">
      <c r="D863" s="6"/>
    </row>
    <row r="864">
      <c r="D864" s="6"/>
    </row>
    <row r="865">
      <c r="D865" s="6"/>
    </row>
    <row r="866">
      <c r="D866" s="6"/>
    </row>
    <row r="867">
      <c r="D867" s="6"/>
    </row>
    <row r="868">
      <c r="D868" s="6"/>
    </row>
    <row r="869">
      <c r="D869" s="6"/>
    </row>
    <row r="870">
      <c r="D870" s="6"/>
    </row>
    <row r="871">
      <c r="D871" s="6"/>
    </row>
    <row r="872">
      <c r="D872" s="6"/>
    </row>
    <row r="873">
      <c r="D873" s="6"/>
    </row>
    <row r="874">
      <c r="D874" s="6"/>
    </row>
    <row r="875">
      <c r="D875" s="6"/>
    </row>
    <row r="876">
      <c r="D876" s="6"/>
    </row>
    <row r="877">
      <c r="D877" s="6"/>
    </row>
    <row r="878">
      <c r="D878" s="6"/>
    </row>
    <row r="879">
      <c r="D879" s="6"/>
    </row>
    <row r="880">
      <c r="D880" s="6"/>
    </row>
    <row r="881">
      <c r="D881" s="6"/>
    </row>
    <row r="882">
      <c r="D882" s="6"/>
    </row>
    <row r="883">
      <c r="D883" s="6"/>
    </row>
    <row r="884">
      <c r="D884" s="6"/>
    </row>
    <row r="885">
      <c r="D885" s="6"/>
    </row>
    <row r="886">
      <c r="D886" s="6"/>
    </row>
    <row r="887">
      <c r="D887" s="6"/>
    </row>
    <row r="888">
      <c r="D888" s="6"/>
    </row>
    <row r="889">
      <c r="D889" s="6"/>
    </row>
    <row r="890">
      <c r="D890" s="6"/>
    </row>
    <row r="891">
      <c r="D891" s="6"/>
    </row>
    <row r="892">
      <c r="D892" s="6"/>
    </row>
    <row r="893">
      <c r="D893" s="6"/>
    </row>
    <row r="894">
      <c r="D894" s="6"/>
    </row>
    <row r="895">
      <c r="D895" s="6"/>
    </row>
    <row r="896">
      <c r="D896" s="6"/>
    </row>
    <row r="897">
      <c r="D897" s="6"/>
    </row>
    <row r="898">
      <c r="D898" s="6"/>
    </row>
    <row r="899">
      <c r="D899" s="6"/>
    </row>
    <row r="900">
      <c r="D900" s="6"/>
    </row>
    <row r="901">
      <c r="D901" s="6"/>
    </row>
    <row r="902">
      <c r="D902" s="6"/>
    </row>
    <row r="903">
      <c r="D903" s="6"/>
    </row>
    <row r="904">
      <c r="D904" s="6"/>
    </row>
    <row r="905">
      <c r="D905" s="6"/>
    </row>
    <row r="906">
      <c r="D906" s="6"/>
    </row>
    <row r="907">
      <c r="D907" s="6"/>
    </row>
    <row r="908">
      <c r="D908" s="6"/>
    </row>
    <row r="909">
      <c r="D909" s="6"/>
    </row>
    <row r="910">
      <c r="D910" s="6"/>
    </row>
    <row r="911">
      <c r="D911" s="6"/>
    </row>
    <row r="912">
      <c r="D912" s="6"/>
    </row>
    <row r="913">
      <c r="D913" s="6"/>
    </row>
    <row r="914">
      <c r="D914" s="6"/>
    </row>
    <row r="915">
      <c r="D915" s="6"/>
    </row>
    <row r="916">
      <c r="D916" s="6"/>
    </row>
    <row r="917">
      <c r="D917" s="6"/>
    </row>
    <row r="918">
      <c r="D918" s="6"/>
    </row>
    <row r="919">
      <c r="D919" s="6"/>
    </row>
    <row r="920">
      <c r="D920" s="6"/>
    </row>
    <row r="921">
      <c r="D921" s="6"/>
    </row>
    <row r="922">
      <c r="D922" s="6"/>
    </row>
    <row r="923">
      <c r="D923" s="6"/>
    </row>
    <row r="924">
      <c r="D924" s="6"/>
    </row>
    <row r="925">
      <c r="D925" s="6"/>
    </row>
    <row r="926">
      <c r="D926" s="6"/>
    </row>
    <row r="927">
      <c r="D927" s="6"/>
    </row>
    <row r="928">
      <c r="D928" s="6"/>
    </row>
    <row r="929">
      <c r="D929" s="6"/>
    </row>
    <row r="930">
      <c r="D930" s="6"/>
    </row>
    <row r="931">
      <c r="D931" s="6"/>
    </row>
    <row r="932">
      <c r="D932" s="6"/>
    </row>
    <row r="933">
      <c r="D933" s="6"/>
    </row>
    <row r="934">
      <c r="D934" s="6"/>
    </row>
    <row r="935">
      <c r="D935" s="6"/>
    </row>
    <row r="936">
      <c r="D936" s="6"/>
    </row>
    <row r="937">
      <c r="D937" s="6"/>
    </row>
    <row r="938">
      <c r="D938" s="6"/>
    </row>
    <row r="939">
      <c r="D939" s="6"/>
    </row>
    <row r="940">
      <c r="D940" s="6"/>
    </row>
    <row r="941">
      <c r="D941" s="6"/>
    </row>
    <row r="942">
      <c r="D942" s="6"/>
    </row>
    <row r="943">
      <c r="D943" s="6"/>
    </row>
    <row r="944">
      <c r="D944" s="6"/>
    </row>
    <row r="945">
      <c r="D945" s="6"/>
    </row>
    <row r="946">
      <c r="D946" s="6"/>
    </row>
    <row r="947">
      <c r="D947" s="6"/>
    </row>
    <row r="948">
      <c r="D948" s="6"/>
    </row>
    <row r="949">
      <c r="D949" s="6"/>
    </row>
    <row r="950">
      <c r="D950" s="6"/>
    </row>
    <row r="951">
      <c r="D951" s="6"/>
    </row>
    <row r="952">
      <c r="D952" s="6"/>
    </row>
    <row r="953">
      <c r="D953" s="6"/>
    </row>
    <row r="954">
      <c r="D954" s="6"/>
    </row>
    <row r="955">
      <c r="D955" s="6"/>
    </row>
    <row r="956">
      <c r="D956" s="6"/>
    </row>
    <row r="957">
      <c r="D957" s="6"/>
    </row>
    <row r="958">
      <c r="D958" s="6"/>
    </row>
    <row r="959">
      <c r="D959" s="6"/>
    </row>
    <row r="960">
      <c r="D960" s="6"/>
    </row>
    <row r="961">
      <c r="D961" s="6"/>
    </row>
    <row r="962">
      <c r="D962" s="6"/>
    </row>
    <row r="963">
      <c r="D963" s="6"/>
    </row>
    <row r="964">
      <c r="D964" s="6"/>
    </row>
    <row r="965">
      <c r="D965" s="6"/>
    </row>
    <row r="966">
      <c r="D966" s="6"/>
    </row>
    <row r="967">
      <c r="D967" s="6"/>
    </row>
    <row r="968">
      <c r="D968" s="6"/>
    </row>
    <row r="969">
      <c r="D969" s="6"/>
    </row>
    <row r="970">
      <c r="D970" s="6"/>
    </row>
    <row r="971">
      <c r="D971" s="6"/>
    </row>
    <row r="972">
      <c r="D972" s="6"/>
    </row>
    <row r="973">
      <c r="D973" s="6"/>
    </row>
    <row r="974">
      <c r="D974" s="6"/>
    </row>
    <row r="975">
      <c r="D975" s="6"/>
    </row>
    <row r="976">
      <c r="D976" s="6"/>
    </row>
    <row r="977">
      <c r="D977" s="6"/>
    </row>
    <row r="978">
      <c r="D978" s="6"/>
    </row>
    <row r="979">
      <c r="D979" s="6"/>
    </row>
    <row r="980">
      <c r="D980" s="6"/>
    </row>
    <row r="981">
      <c r="D981" s="6"/>
    </row>
    <row r="982">
      <c r="D982" s="6"/>
    </row>
    <row r="983">
      <c r="D983" s="6"/>
    </row>
    <row r="984">
      <c r="D984" s="6"/>
    </row>
    <row r="985">
      <c r="D985" s="6"/>
    </row>
    <row r="986">
      <c r="D986" s="6"/>
    </row>
    <row r="987">
      <c r="D987" s="6"/>
    </row>
    <row r="988">
      <c r="D988" s="6"/>
    </row>
    <row r="989">
      <c r="D989" s="6"/>
    </row>
    <row r="990">
      <c r="D990" s="6"/>
    </row>
    <row r="991">
      <c r="D991" s="6"/>
    </row>
    <row r="992">
      <c r="D992" s="6"/>
    </row>
    <row r="993">
      <c r="D993" s="6"/>
    </row>
    <row r="994">
      <c r="D994" s="6"/>
    </row>
    <row r="995">
      <c r="D995" s="6"/>
    </row>
    <row r="996">
      <c r="D996" s="6"/>
    </row>
    <row r="997">
      <c r="D997" s="6"/>
    </row>
    <row r="998">
      <c r="D998" s="6"/>
    </row>
    <row r="999">
      <c r="D999" s="6"/>
    </row>
    <row r="1000">
      <c r="D1000" s="6"/>
    </row>
    <row r="1001">
      <c r="D1001" s="6"/>
    </row>
  </sheetData>
  <hyperlinks>
    <hyperlink r:id="rId1" ref="Q3"/>
    <hyperlink r:id="rId2" ref="Q4"/>
    <hyperlink r:id="rId3" ref="Q5"/>
    <hyperlink r:id="rId4" ref="Q6"/>
    <hyperlink r:id="rId5" ref="Q8"/>
    <hyperlink r:id="rId6" ref="Q9"/>
    <hyperlink r:id="rId7" ref="Q10"/>
    <hyperlink r:id="rId8" ref="Q11"/>
    <hyperlink r:id="rId9" ref="Q12"/>
  </hyperlinks>
  <drawing r:id="rId10"/>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tr">
        <f>IFERROR(__xludf.DUMMYFUNCTION("IMPORTRANGE(""1iIk9u9HQ83iAw4ulm0-s1vE4I7bYk_TJ6A2oaHlopcU"", ""CA - Fazi!A:BZ"")"),"")</f>
        <v/>
      </c>
      <c r="B1" s="1"/>
      <c r="C1" s="1"/>
      <c r="D1" s="2"/>
      <c r="E1" s="1"/>
      <c r="F1" s="1"/>
      <c r="G1" s="1"/>
      <c r="H1" s="1"/>
      <c r="I1" s="1"/>
      <c r="J1" s="1"/>
      <c r="K1" s="1"/>
      <c r="L1" s="1"/>
      <c r="M1" s="1"/>
      <c r="N1" s="1"/>
      <c r="O1" s="1"/>
      <c r="P1" s="1"/>
      <c r="Q1" s="1"/>
      <c r="R1" s="1"/>
      <c r="S1" s="1"/>
      <c r="T1" s="1" t="str">
        <f>IFERROR(__xludf.DUMMYFUNCTION("""COMPUTED_VALUE"""),"Supported Languages")</f>
        <v>Supported Languages</v>
      </c>
      <c r="U1" s="1"/>
      <c r="V1" s="1"/>
      <c r="W1" s="1"/>
      <c r="X1" s="1"/>
      <c r="Y1" s="1"/>
      <c r="Z1" s="1"/>
      <c r="AA1" s="1"/>
      <c r="AB1" s="1"/>
      <c r="AC1" s="1"/>
      <c r="AD1" s="1"/>
      <c r="AE1" s="1"/>
      <c r="AF1" s="1"/>
      <c r="AG1" s="1"/>
      <c r="AH1" s="1" t="str">
        <f>IFERROR(__xludf.DUMMYFUNCTION("""COMPUTED_VALUE"""),"Certified Jurisdictions")</f>
        <v>Certified Jurisdictions</v>
      </c>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row>
    <row r="2">
      <c r="A2" s="1" t="str">
        <f>IFERROR(__xludf.DUMMYFUNCTION("""COMPUTED_VALUE"""),"#REF!")</f>
        <v>#REF!</v>
      </c>
      <c r="B2" s="1"/>
      <c r="C2" s="1"/>
      <c r="D2" s="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row>
    <row r="3">
      <c r="A3" s="5"/>
      <c r="B3" s="5"/>
      <c r="C3" s="5"/>
      <c r="D3" s="6"/>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row>
    <row r="4">
      <c r="A4" s="5"/>
      <c r="B4" s="5"/>
      <c r="C4" s="5"/>
      <c r="D4" s="6"/>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row>
    <row r="5">
      <c r="A5" s="5"/>
      <c r="B5" s="5"/>
      <c r="C5" s="5"/>
      <c r="D5" s="6"/>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row>
    <row r="6">
      <c r="A6" s="5"/>
      <c r="B6" s="5"/>
      <c r="C6" s="5"/>
      <c r="D6" s="6"/>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row>
    <row r="7">
      <c r="A7" s="5"/>
      <c r="B7" s="5"/>
      <c r="C7" s="5"/>
      <c r="D7" s="6"/>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row>
    <row r="8">
      <c r="A8" s="5"/>
      <c r="B8" s="5"/>
      <c r="C8" s="5"/>
      <c r="D8" s="6"/>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row>
    <row r="9">
      <c r="A9" s="5"/>
      <c r="B9" s="5"/>
      <c r="C9" s="5"/>
      <c r="D9" s="6"/>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row>
    <row r="10">
      <c r="A10" s="5"/>
      <c r="B10" s="5"/>
      <c r="C10" s="5"/>
      <c r="D10" s="6"/>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row>
    <row r="11">
      <c r="A11" s="5"/>
      <c r="B11" s="5"/>
      <c r="C11" s="5"/>
      <c r="D11" s="6"/>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row>
    <row r="12">
      <c r="A12" s="5"/>
      <c r="B12" s="5"/>
      <c r="C12" s="5"/>
      <c r="D12" s="6"/>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row>
    <row r="13">
      <c r="A13" s="5"/>
      <c r="B13" s="5"/>
      <c r="C13" s="5"/>
      <c r="D13" s="6"/>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row>
    <row r="14">
      <c r="A14" s="5"/>
      <c r="B14" s="5"/>
      <c r="C14" s="5"/>
      <c r="D14" s="6"/>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row>
    <row r="15">
      <c r="A15" s="5"/>
      <c r="B15" s="5"/>
      <c r="C15" s="5"/>
      <c r="D15" s="6"/>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row>
    <row r="16">
      <c r="A16" s="5"/>
      <c r="B16" s="5"/>
      <c r="C16" s="5"/>
      <c r="D16" s="6"/>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row>
    <row r="17">
      <c r="A17" s="5"/>
      <c r="B17" s="5"/>
      <c r="C17" s="5"/>
      <c r="D17" s="6"/>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row>
    <row r="18">
      <c r="A18" s="5"/>
      <c r="B18" s="5"/>
      <c r="C18" s="5"/>
      <c r="D18" s="6"/>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row>
    <row r="19">
      <c r="A19" s="5"/>
      <c r="B19" s="5"/>
      <c r="C19" s="5"/>
      <c r="D19" s="6"/>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row>
    <row r="20">
      <c r="A20" s="5"/>
      <c r="B20" s="5"/>
      <c r="C20" s="5"/>
      <c r="D20" s="6"/>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row>
    <row r="21">
      <c r="A21" s="5"/>
      <c r="B21" s="5"/>
      <c r="C21" s="5"/>
      <c r="D21" s="6"/>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row>
    <row r="22">
      <c r="A22" s="5"/>
      <c r="B22" s="5"/>
      <c r="C22" s="5"/>
      <c r="D22" s="6"/>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row>
    <row r="23">
      <c r="A23" s="5"/>
      <c r="B23" s="5"/>
      <c r="C23" s="5"/>
      <c r="D23" s="6"/>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row>
    <row r="24">
      <c r="A24" s="5"/>
      <c r="B24" s="5"/>
      <c r="C24" s="5"/>
      <c r="D24" s="6"/>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row>
    <row r="25">
      <c r="A25" s="5"/>
      <c r="B25" s="5"/>
      <c r="C25" s="5"/>
      <c r="D25" s="6"/>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row>
    <row r="26">
      <c r="A26" s="5"/>
      <c r="B26" s="5"/>
      <c r="C26" s="5"/>
      <c r="D26" s="6"/>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row>
    <row r="27">
      <c r="A27" s="5"/>
      <c r="B27" s="5"/>
      <c r="C27" s="5"/>
      <c r="D27" s="6"/>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row>
    <row r="28">
      <c r="A28" s="5"/>
      <c r="B28" s="5"/>
      <c r="C28" s="5"/>
      <c r="D28" s="6"/>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row>
    <row r="29">
      <c r="A29" s="5"/>
      <c r="B29" s="5"/>
      <c r="C29" s="5"/>
      <c r="D29" s="6"/>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row>
    <row r="30">
      <c r="A30" s="5"/>
      <c r="B30" s="5"/>
      <c r="C30" s="5"/>
      <c r="D30" s="6"/>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row>
    <row r="31">
      <c r="A31" s="5"/>
      <c r="B31" s="5"/>
      <c r="C31" s="5"/>
      <c r="D31" s="6"/>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row>
    <row r="32">
      <c r="A32" s="5"/>
      <c r="B32" s="5"/>
      <c r="C32" s="5"/>
      <c r="D32" s="6"/>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row>
    <row r="33">
      <c r="A33" s="5"/>
      <c r="B33" s="5"/>
      <c r="C33" s="5"/>
      <c r="D33" s="6"/>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row>
    <row r="34">
      <c r="A34" s="5"/>
      <c r="B34" s="5"/>
      <c r="C34" s="5"/>
      <c r="D34" s="6"/>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row>
    <row r="35">
      <c r="A35" s="5"/>
      <c r="B35" s="5"/>
      <c r="C35" s="5"/>
      <c r="D35" s="6"/>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row>
    <row r="36">
      <c r="A36" s="5"/>
      <c r="B36" s="5"/>
      <c r="C36" s="5"/>
      <c r="D36" s="6"/>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row>
    <row r="37">
      <c r="A37" s="5"/>
      <c r="B37" s="5"/>
      <c r="C37" s="5"/>
      <c r="D37" s="6"/>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row>
    <row r="38">
      <c r="A38" s="5"/>
      <c r="B38" s="5"/>
      <c r="C38" s="5"/>
      <c r="D38" s="6"/>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row>
    <row r="39">
      <c r="A39" s="5"/>
      <c r="B39" s="5"/>
      <c r="C39" s="5"/>
      <c r="D39" s="6"/>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row>
    <row r="40">
      <c r="A40" s="5"/>
      <c r="B40" s="5"/>
      <c r="C40" s="5"/>
      <c r="D40" s="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row>
    <row r="41">
      <c r="A41" s="5"/>
      <c r="B41" s="5"/>
      <c r="C41" s="5"/>
      <c r="D41" s="6"/>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row>
    <row r="42">
      <c r="A42" s="5"/>
      <c r="B42" s="5"/>
      <c r="C42" s="5"/>
      <c r="D42" s="6"/>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row>
    <row r="43">
      <c r="A43" s="5"/>
      <c r="B43" s="5"/>
      <c r="C43" s="5"/>
      <c r="D43" s="6"/>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row>
    <row r="44">
      <c r="A44" s="5"/>
      <c r="B44" s="5"/>
      <c r="C44" s="5"/>
      <c r="D44" s="6"/>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row>
    <row r="45">
      <c r="A45" s="5"/>
      <c r="B45" s="5"/>
      <c r="C45" s="5"/>
      <c r="D45" s="6"/>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row>
    <row r="46">
      <c r="A46" s="5"/>
      <c r="B46" s="5"/>
      <c r="C46" s="5"/>
      <c r="D46" s="6"/>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row>
    <row r="47">
      <c r="A47" s="5"/>
      <c r="B47" s="5"/>
      <c r="C47" s="5"/>
      <c r="D47" s="6"/>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row>
    <row r="48">
      <c r="A48" s="5"/>
      <c r="B48" s="5"/>
      <c r="C48" s="5"/>
      <c r="D48" s="6"/>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row>
    <row r="49">
      <c r="A49" s="5"/>
      <c r="B49" s="5"/>
      <c r="C49" s="5"/>
      <c r="D49" s="6"/>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row>
    <row r="50">
      <c r="A50" s="5"/>
      <c r="B50" s="5"/>
      <c r="C50" s="5"/>
      <c r="D50" s="6"/>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row>
    <row r="51">
      <c r="A51" s="5"/>
      <c r="B51" s="5"/>
      <c r="C51" s="5"/>
      <c r="D51" s="6"/>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row>
    <row r="52">
      <c r="A52" s="5"/>
      <c r="B52" s="5"/>
      <c r="C52" s="5"/>
      <c r="D52" s="6"/>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row>
    <row r="53">
      <c r="A53" s="5"/>
      <c r="B53" s="5"/>
      <c r="C53" s="5"/>
      <c r="D53" s="6"/>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row>
    <row r="54">
      <c r="A54" s="5"/>
      <c r="B54" s="5"/>
      <c r="C54" s="5"/>
      <c r="D54" s="6"/>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row>
    <row r="55">
      <c r="A55" s="5"/>
      <c r="B55" s="5"/>
      <c r="C55" s="5"/>
      <c r="D55" s="6"/>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row>
    <row r="56">
      <c r="A56" s="5"/>
      <c r="B56" s="5"/>
      <c r="C56" s="5"/>
      <c r="D56" s="6"/>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row>
    <row r="57">
      <c r="A57" s="5"/>
      <c r="B57" s="5"/>
      <c r="C57" s="5"/>
      <c r="D57" s="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row>
    <row r="58">
      <c r="A58" s="5"/>
      <c r="B58" s="5"/>
      <c r="C58" s="5"/>
      <c r="D58" s="6"/>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row>
    <row r="59">
      <c r="A59" s="5"/>
      <c r="B59" s="5"/>
      <c r="C59" s="5"/>
      <c r="D59" s="6"/>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row>
    <row r="60">
      <c r="A60" s="5"/>
      <c r="B60" s="5"/>
      <c r="C60" s="5"/>
      <c r="D60" s="6"/>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row>
    <row r="61">
      <c r="A61" s="5"/>
      <c r="B61" s="5"/>
      <c r="C61" s="5"/>
      <c r="D61" s="6"/>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row>
    <row r="62">
      <c r="A62" s="5"/>
      <c r="B62" s="5"/>
      <c r="C62" s="5"/>
      <c r="D62" s="6"/>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row>
    <row r="63">
      <c r="A63" s="5"/>
      <c r="B63" s="5"/>
      <c r="C63" s="5"/>
      <c r="D63" s="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row>
    <row r="64">
      <c r="A64" s="5"/>
      <c r="B64" s="5"/>
      <c r="C64" s="5"/>
      <c r="D64" s="6"/>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row>
    <row r="65">
      <c r="A65" s="5"/>
      <c r="B65" s="5"/>
      <c r="C65" s="5"/>
      <c r="D65" s="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row>
    <row r="66">
      <c r="A66" s="5"/>
      <c r="B66" s="5"/>
      <c r="C66" s="5"/>
      <c r="D66" s="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row>
    <row r="67">
      <c r="A67" s="5"/>
      <c r="B67" s="5"/>
      <c r="C67" s="5"/>
      <c r="D67" s="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row>
    <row r="68">
      <c r="A68" s="5"/>
      <c r="B68" s="5"/>
      <c r="C68" s="5"/>
      <c r="D68" s="6"/>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row>
    <row r="69">
      <c r="A69" s="5"/>
      <c r="B69" s="5"/>
      <c r="C69" s="5"/>
      <c r="D69" s="6"/>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row>
    <row r="70">
      <c r="A70" s="5"/>
      <c r="B70" s="5"/>
      <c r="C70" s="5"/>
      <c r="D70" s="6"/>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row>
    <row r="71">
      <c r="A71" s="5"/>
      <c r="B71" s="5"/>
      <c r="C71" s="5"/>
      <c r="D71" s="6"/>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row>
    <row r="72">
      <c r="A72" s="5"/>
      <c r="B72" s="5"/>
      <c r="C72" s="5"/>
      <c r="D72" s="6"/>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row>
    <row r="73">
      <c r="A73" s="5"/>
      <c r="B73" s="5"/>
      <c r="C73" s="5"/>
      <c r="D73" s="6"/>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row>
    <row r="74">
      <c r="A74" s="5"/>
      <c r="B74" s="5"/>
      <c r="C74" s="5"/>
      <c r="D74" s="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row>
    <row r="75">
      <c r="A75" s="5"/>
      <c r="B75" s="5"/>
      <c r="C75" s="5"/>
      <c r="D75" s="6"/>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row>
    <row r="76">
      <c r="A76" s="5"/>
      <c r="B76" s="5"/>
      <c r="C76" s="5"/>
      <c r="D76" s="6"/>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row>
    <row r="77">
      <c r="A77" s="5"/>
      <c r="B77" s="5"/>
      <c r="C77" s="5"/>
      <c r="D77" s="6"/>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row>
    <row r="78">
      <c r="A78" s="5"/>
      <c r="B78" s="5"/>
      <c r="C78" s="5"/>
      <c r="D78" s="6"/>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row>
    <row r="79">
      <c r="A79" s="5"/>
      <c r="B79" s="5"/>
      <c r="C79" s="5"/>
      <c r="D79" s="6"/>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row>
    <row r="80">
      <c r="A80" s="5"/>
      <c r="B80" s="5"/>
      <c r="C80" s="5"/>
      <c r="D80" s="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row>
    <row r="81">
      <c r="A81" s="5"/>
      <c r="B81" s="5"/>
      <c r="C81" s="5"/>
      <c r="D81" s="6"/>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row>
    <row r="82">
      <c r="A82" s="5"/>
      <c r="B82" s="5"/>
      <c r="C82" s="5"/>
      <c r="D82" s="6"/>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row>
    <row r="83">
      <c r="A83" s="5"/>
      <c r="B83" s="5"/>
      <c r="C83" s="5"/>
      <c r="D83" s="6"/>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row>
    <row r="84">
      <c r="A84" s="5"/>
      <c r="B84" s="5"/>
      <c r="C84" s="5"/>
      <c r="D84" s="6"/>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row>
    <row r="85">
      <c r="A85" s="5"/>
      <c r="B85" s="5"/>
      <c r="C85" s="5"/>
      <c r="D85" s="6"/>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row>
    <row r="86">
      <c r="A86" s="5"/>
      <c r="B86" s="5"/>
      <c r="C86" s="5"/>
      <c r="D86" s="6"/>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row>
    <row r="87">
      <c r="A87" s="5"/>
      <c r="B87" s="5"/>
      <c r="C87" s="5"/>
      <c r="D87" s="6"/>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row>
    <row r="88">
      <c r="A88" s="5"/>
      <c r="B88" s="5"/>
      <c r="C88" s="5"/>
      <c r="D88" s="6"/>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row>
    <row r="89">
      <c r="A89" s="5"/>
      <c r="B89" s="5"/>
      <c r="C89" s="5"/>
      <c r="D89" s="6"/>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row>
    <row r="90">
      <c r="A90" s="5"/>
      <c r="B90" s="5"/>
      <c r="C90" s="5"/>
      <c r="D90" s="6"/>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row>
    <row r="91">
      <c r="A91" s="5"/>
      <c r="B91" s="5"/>
      <c r="C91" s="5"/>
      <c r="D91" s="6"/>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row>
    <row r="92">
      <c r="A92" s="5"/>
      <c r="B92" s="5"/>
      <c r="C92" s="5"/>
      <c r="D92" s="6"/>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row>
    <row r="93">
      <c r="A93" s="5"/>
      <c r="B93" s="5"/>
      <c r="C93" s="5"/>
      <c r="D93" s="6"/>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row>
    <row r="94">
      <c r="A94" s="5"/>
      <c r="B94" s="5"/>
      <c r="C94" s="5"/>
      <c r="D94" s="6"/>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row>
    <row r="95">
      <c r="A95" s="5"/>
      <c r="B95" s="5"/>
      <c r="C95" s="5"/>
      <c r="D95" s="6"/>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row>
    <row r="96">
      <c r="A96" s="5"/>
      <c r="B96" s="5"/>
      <c r="C96" s="5"/>
      <c r="D96" s="6"/>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row>
    <row r="97">
      <c r="A97" s="5"/>
      <c r="B97" s="5"/>
      <c r="C97" s="5"/>
      <c r="D97" s="6"/>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row>
    <row r="98">
      <c r="A98" s="5"/>
      <c r="B98" s="5"/>
      <c r="C98" s="5"/>
      <c r="D98" s="6"/>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row>
    <row r="99">
      <c r="A99" s="5"/>
      <c r="B99" s="5"/>
      <c r="C99" s="5"/>
      <c r="D99" s="6"/>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row>
    <row r="100">
      <c r="A100" s="5"/>
      <c r="B100" s="5"/>
      <c r="C100" s="5"/>
      <c r="D100" s="6"/>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row>
    <row r="101">
      <c r="A101" s="5"/>
      <c r="B101" s="5"/>
      <c r="C101" s="5"/>
      <c r="D101" s="6"/>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row>
    <row r="102">
      <c r="A102" s="5"/>
      <c r="B102" s="5"/>
      <c r="C102" s="5"/>
      <c r="D102" s="6"/>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row>
    <row r="103">
      <c r="A103" s="5"/>
      <c r="B103" s="5"/>
      <c r="C103" s="5"/>
      <c r="D103" s="6"/>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row>
    <row r="104">
      <c r="A104" s="5"/>
      <c r="B104" s="5"/>
      <c r="C104" s="5"/>
      <c r="D104" s="6"/>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row>
    <row r="105">
      <c r="A105" s="5"/>
      <c r="B105" s="5"/>
      <c r="C105" s="5"/>
      <c r="D105" s="6"/>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row>
    <row r="106">
      <c r="A106" s="5"/>
      <c r="B106" s="5"/>
      <c r="C106" s="5"/>
      <c r="D106" s="6"/>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row>
    <row r="107">
      <c r="A107" s="5"/>
      <c r="B107" s="5"/>
      <c r="C107" s="5"/>
      <c r="D107" s="6"/>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row>
    <row r="108">
      <c r="A108" s="5"/>
      <c r="B108" s="5"/>
      <c r="C108" s="5"/>
      <c r="D108" s="6"/>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row>
    <row r="109">
      <c r="A109" s="5"/>
      <c r="B109" s="5"/>
      <c r="C109" s="5"/>
      <c r="D109" s="6"/>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row>
    <row r="110">
      <c r="A110" s="5"/>
      <c r="B110" s="5"/>
      <c r="C110" s="5"/>
      <c r="D110" s="6"/>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row>
    <row r="111">
      <c r="A111" s="5"/>
      <c r="B111" s="5"/>
      <c r="C111" s="5"/>
      <c r="D111" s="6"/>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row>
    <row r="112">
      <c r="A112" s="5"/>
      <c r="B112" s="5"/>
      <c r="C112" s="5"/>
      <c r="D112" s="6"/>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row>
    <row r="113">
      <c r="A113" s="5"/>
      <c r="B113" s="5"/>
      <c r="C113" s="5"/>
      <c r="D113" s="6"/>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row>
    <row r="114">
      <c r="A114" s="5"/>
      <c r="B114" s="5"/>
      <c r="C114" s="5"/>
      <c r="D114" s="6"/>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row>
    <row r="115">
      <c r="A115" s="5"/>
      <c r="B115" s="5"/>
      <c r="C115" s="5"/>
      <c r="D115" s="6"/>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row>
    <row r="116">
      <c r="A116" s="5"/>
      <c r="B116" s="5"/>
      <c r="C116" s="5"/>
      <c r="D116" s="6"/>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row>
    <row r="117">
      <c r="A117" s="5"/>
      <c r="B117" s="5"/>
      <c r="C117" s="5"/>
      <c r="D117" s="6"/>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row>
    <row r="118">
      <c r="A118" s="5"/>
      <c r="B118" s="5"/>
      <c r="C118" s="5"/>
      <c r="D118" s="6"/>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row>
    <row r="119">
      <c r="A119" s="5"/>
      <c r="B119" s="5"/>
      <c r="C119" s="5"/>
      <c r="D119" s="6"/>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row>
    <row r="120">
      <c r="A120" s="5"/>
      <c r="B120" s="5"/>
      <c r="C120" s="5"/>
      <c r="D120" s="6"/>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row>
    <row r="121">
      <c r="A121" s="5"/>
      <c r="B121" s="5"/>
      <c r="C121" s="5"/>
      <c r="D121" s="6"/>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row>
    <row r="122">
      <c r="A122" s="5"/>
      <c r="B122" s="5"/>
      <c r="C122" s="5"/>
      <c r="D122" s="6"/>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row>
    <row r="123">
      <c r="A123" s="5"/>
      <c r="B123" s="5"/>
      <c r="C123" s="5"/>
      <c r="D123" s="6"/>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row>
    <row r="124">
      <c r="A124" s="5"/>
      <c r="B124" s="5"/>
      <c r="C124" s="5"/>
      <c r="D124" s="6"/>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row>
    <row r="125">
      <c r="A125" s="5"/>
      <c r="B125" s="5"/>
      <c r="C125" s="5"/>
      <c r="D125" s="6"/>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row>
    <row r="126">
      <c r="A126" s="5"/>
      <c r="B126" s="5"/>
      <c r="C126" s="5"/>
      <c r="D126" s="6"/>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row>
    <row r="127">
      <c r="A127" s="5"/>
      <c r="B127" s="5"/>
      <c r="C127" s="5"/>
      <c r="D127" s="6"/>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row>
    <row r="128">
      <c r="A128" s="5"/>
      <c r="B128" s="5"/>
      <c r="C128" s="5"/>
      <c r="D128" s="6"/>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row>
    <row r="129">
      <c r="A129" s="5"/>
      <c r="B129" s="5"/>
      <c r="C129" s="5"/>
      <c r="D129" s="6"/>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row>
    <row r="130">
      <c r="A130" s="5"/>
      <c r="B130" s="5"/>
      <c r="C130" s="5"/>
      <c r="D130" s="6"/>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row>
    <row r="131">
      <c r="A131" s="5"/>
      <c r="B131" s="5"/>
      <c r="C131" s="5"/>
      <c r="D131" s="6"/>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row>
    <row r="132">
      <c r="A132" s="5"/>
      <c r="B132" s="5"/>
      <c r="C132" s="5"/>
      <c r="D132" s="6"/>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row>
    <row r="133">
      <c r="A133" s="5"/>
      <c r="B133" s="5"/>
      <c r="C133" s="5"/>
      <c r="D133" s="6"/>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row>
    <row r="134">
      <c r="A134" s="5"/>
      <c r="B134" s="5"/>
      <c r="C134" s="5"/>
      <c r="D134" s="6"/>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row>
    <row r="135">
      <c r="A135" s="5"/>
      <c r="B135" s="5"/>
      <c r="C135" s="5"/>
      <c r="D135" s="6"/>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row>
    <row r="136">
      <c r="A136" s="5"/>
      <c r="B136" s="5"/>
      <c r="C136" s="5"/>
      <c r="D136" s="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row>
    <row r="137">
      <c r="A137" s="5"/>
      <c r="B137" s="5"/>
      <c r="C137" s="5"/>
      <c r="D137" s="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row>
    <row r="138">
      <c r="A138" s="5"/>
      <c r="B138" s="5"/>
      <c r="C138" s="5"/>
      <c r="D138" s="6"/>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row>
    <row r="139">
      <c r="A139" s="5"/>
      <c r="B139" s="5"/>
      <c r="C139" s="5"/>
      <c r="D139" s="6"/>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row>
    <row r="140">
      <c r="A140" s="5"/>
      <c r="B140" s="5"/>
      <c r="C140" s="5"/>
      <c r="D140" s="6"/>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row>
    <row r="141">
      <c r="A141" s="5"/>
      <c r="B141" s="5"/>
      <c r="C141" s="5"/>
      <c r="D141" s="6"/>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row>
    <row r="142">
      <c r="A142" s="5"/>
      <c r="B142" s="5"/>
      <c r="C142" s="5"/>
      <c r="D142" s="6"/>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row>
    <row r="143">
      <c r="A143" s="5"/>
      <c r="B143" s="5"/>
      <c r="C143" s="5"/>
      <c r="D143" s="6"/>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row>
    <row r="144">
      <c r="A144" s="5"/>
      <c r="B144" s="5"/>
      <c r="C144" s="5"/>
      <c r="D144" s="6"/>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row>
    <row r="145">
      <c r="A145" s="5"/>
      <c r="B145" s="5"/>
      <c r="C145" s="5"/>
      <c r="D145" s="6"/>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row>
    <row r="146">
      <c r="A146" s="5"/>
      <c r="B146" s="5"/>
      <c r="C146" s="5"/>
      <c r="D146" s="6"/>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row>
    <row r="147">
      <c r="A147" s="5"/>
      <c r="B147" s="5"/>
      <c r="C147" s="5"/>
      <c r="D147" s="6"/>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row>
    <row r="148">
      <c r="A148" s="5"/>
      <c r="B148" s="5"/>
      <c r="C148" s="5"/>
      <c r="D148" s="6"/>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row>
    <row r="149">
      <c r="A149" s="5"/>
      <c r="B149" s="5"/>
      <c r="C149" s="5"/>
      <c r="D149" s="6"/>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row>
    <row r="150">
      <c r="A150" s="5"/>
      <c r="B150" s="5"/>
      <c r="C150" s="5"/>
      <c r="D150" s="6"/>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row>
    <row r="151">
      <c r="A151" s="5"/>
      <c r="B151" s="5"/>
      <c r="C151" s="5"/>
      <c r="D151" s="6"/>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row>
    <row r="152">
      <c r="A152" s="5"/>
      <c r="B152" s="5"/>
      <c r="C152" s="5"/>
      <c r="D152" s="6"/>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row>
    <row r="153">
      <c r="A153" s="5"/>
      <c r="B153" s="5"/>
      <c r="C153" s="5"/>
      <c r="D153" s="6"/>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row>
    <row r="154">
      <c r="A154" s="5"/>
      <c r="B154" s="5"/>
      <c r="C154" s="5"/>
      <c r="D154" s="6"/>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row>
    <row r="155">
      <c r="A155" s="5"/>
      <c r="B155" s="5"/>
      <c r="C155" s="5"/>
      <c r="D155" s="6"/>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row>
    <row r="156">
      <c r="A156" s="5"/>
      <c r="B156" s="5"/>
      <c r="C156" s="5"/>
      <c r="D156" s="6"/>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row>
    <row r="157">
      <c r="A157" s="5"/>
      <c r="B157" s="5"/>
      <c r="C157" s="5"/>
      <c r="D157" s="6"/>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row>
    <row r="158">
      <c r="A158" s="5"/>
      <c r="B158" s="5"/>
      <c r="C158" s="5"/>
      <c r="D158" s="6"/>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row>
    <row r="159">
      <c r="A159" s="5"/>
      <c r="B159" s="5"/>
      <c r="C159" s="5"/>
      <c r="D159" s="6"/>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row>
    <row r="160">
      <c r="A160" s="5"/>
      <c r="B160" s="5"/>
      <c r="C160" s="5"/>
      <c r="D160" s="6"/>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row>
    <row r="161">
      <c r="A161" s="5"/>
      <c r="B161" s="5"/>
      <c r="C161" s="5"/>
      <c r="D161" s="6"/>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row>
    <row r="162">
      <c r="A162" s="5"/>
      <c r="B162" s="5"/>
      <c r="C162" s="5"/>
      <c r="D162" s="6"/>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row>
    <row r="163">
      <c r="A163" s="5"/>
      <c r="B163" s="5"/>
      <c r="C163" s="5"/>
      <c r="D163" s="6"/>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row>
    <row r="164">
      <c r="A164" s="5"/>
      <c r="B164" s="5"/>
      <c r="C164" s="5"/>
      <c r="D164" s="6"/>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row>
    <row r="165">
      <c r="A165" s="5"/>
      <c r="B165" s="5"/>
      <c r="C165" s="5"/>
      <c r="D165" s="6"/>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row>
    <row r="166">
      <c r="A166" s="5"/>
      <c r="B166" s="5"/>
      <c r="C166" s="5"/>
      <c r="D166" s="6"/>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row>
    <row r="167">
      <c r="A167" s="5"/>
      <c r="B167" s="5"/>
      <c r="C167" s="5"/>
      <c r="D167" s="6"/>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row>
    <row r="168">
      <c r="A168" s="5"/>
      <c r="B168" s="5"/>
      <c r="C168" s="5"/>
      <c r="D168" s="6"/>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row>
    <row r="169">
      <c r="A169" s="5"/>
      <c r="B169" s="5"/>
      <c r="C169" s="5"/>
      <c r="D169" s="6"/>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row>
    <row r="170">
      <c r="A170" s="5"/>
      <c r="B170" s="5"/>
      <c r="C170" s="5"/>
      <c r="D170" s="6"/>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row>
    <row r="171">
      <c r="A171" s="5"/>
      <c r="B171" s="5"/>
      <c r="C171" s="5"/>
      <c r="D171" s="6"/>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row>
    <row r="172">
      <c r="A172" s="5"/>
      <c r="B172" s="5"/>
      <c r="C172" s="5"/>
      <c r="D172" s="6"/>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row>
    <row r="173">
      <c r="A173" s="5"/>
      <c r="B173" s="5"/>
      <c r="C173" s="5"/>
      <c r="D173" s="6"/>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row>
    <row r="174">
      <c r="A174" s="5"/>
      <c r="B174" s="5"/>
      <c r="C174" s="5"/>
      <c r="D174" s="6"/>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row>
    <row r="175">
      <c r="A175" s="5"/>
      <c r="B175" s="5"/>
      <c r="C175" s="5"/>
      <c r="D175" s="6"/>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row>
    <row r="176">
      <c r="A176" s="5"/>
      <c r="B176" s="5"/>
      <c r="C176" s="5"/>
      <c r="D176" s="6"/>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row>
    <row r="177">
      <c r="A177" s="5"/>
      <c r="B177" s="5"/>
      <c r="C177" s="5"/>
      <c r="D177" s="6"/>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row>
    <row r="178">
      <c r="A178" s="5"/>
      <c r="B178" s="5"/>
      <c r="C178" s="5"/>
      <c r="D178" s="6"/>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row>
    <row r="179">
      <c r="A179" s="5"/>
      <c r="B179" s="5"/>
      <c r="C179" s="5"/>
      <c r="D179" s="6"/>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row>
    <row r="180">
      <c r="A180" s="5"/>
      <c r="B180" s="5"/>
      <c r="C180" s="5"/>
      <c r="D180" s="6"/>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row>
    <row r="181">
      <c r="A181" s="5"/>
      <c r="B181" s="5"/>
      <c r="C181" s="5"/>
      <c r="D181" s="6"/>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row>
    <row r="182">
      <c r="A182" s="5"/>
      <c r="B182" s="5"/>
      <c r="C182" s="5"/>
      <c r="D182" s="6"/>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row>
    <row r="183">
      <c r="A183" s="5"/>
      <c r="B183" s="5"/>
      <c r="C183" s="5"/>
      <c r="D183" s="6"/>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row>
    <row r="184">
      <c r="A184" s="5"/>
      <c r="B184" s="5"/>
      <c r="C184" s="5"/>
      <c r="D184" s="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row>
    <row r="185">
      <c r="A185" s="5"/>
      <c r="B185" s="5"/>
      <c r="C185" s="5"/>
      <c r="D185" s="6"/>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row>
    <row r="186">
      <c r="A186" s="5"/>
      <c r="B186" s="5"/>
      <c r="C186" s="5"/>
      <c r="D186" s="6"/>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row>
    <row r="187">
      <c r="A187" s="5"/>
      <c r="B187" s="5"/>
      <c r="C187" s="5"/>
      <c r="D187" s="6"/>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row>
    <row r="188">
      <c r="A188" s="5"/>
      <c r="B188" s="5"/>
      <c r="C188" s="5"/>
      <c r="D188" s="6"/>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row>
    <row r="189">
      <c r="A189" s="5"/>
      <c r="B189" s="5"/>
      <c r="C189" s="5"/>
      <c r="D189" s="6"/>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row>
    <row r="190">
      <c r="A190" s="5"/>
      <c r="B190" s="5"/>
      <c r="C190" s="5"/>
      <c r="D190" s="6"/>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row>
    <row r="191">
      <c r="A191" s="5"/>
      <c r="B191" s="5"/>
      <c r="C191" s="5"/>
      <c r="D191" s="6"/>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row>
    <row r="192">
      <c r="A192" s="5"/>
      <c r="B192" s="5"/>
      <c r="C192" s="5"/>
      <c r="D192" s="6"/>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row>
    <row r="193">
      <c r="A193" s="5"/>
      <c r="B193" s="5"/>
      <c r="C193" s="5"/>
      <c r="D193" s="6"/>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row>
    <row r="194">
      <c r="A194" s="5"/>
      <c r="B194" s="5"/>
      <c r="C194" s="5"/>
      <c r="D194" s="6"/>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row>
    <row r="195">
      <c r="A195" s="5"/>
      <c r="B195" s="5"/>
      <c r="C195" s="5"/>
      <c r="D195" s="6"/>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row>
    <row r="196">
      <c r="A196" s="5"/>
      <c r="B196" s="5"/>
      <c r="C196" s="5"/>
      <c r="D196" s="6"/>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row>
    <row r="197">
      <c r="A197" s="5"/>
      <c r="B197" s="5"/>
      <c r="C197" s="5"/>
      <c r="D197" s="6"/>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row>
    <row r="198">
      <c r="A198" s="5"/>
      <c r="B198" s="5"/>
      <c r="C198" s="5"/>
      <c r="D198" s="6"/>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row>
    <row r="199">
      <c r="A199" s="5"/>
      <c r="B199" s="5"/>
      <c r="C199" s="5"/>
      <c r="D199" s="6"/>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row>
    <row r="200">
      <c r="A200" s="5"/>
      <c r="B200" s="5"/>
      <c r="C200" s="5"/>
      <c r="D200" s="6"/>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row>
    <row r="201">
      <c r="A201" s="5"/>
      <c r="B201" s="5"/>
      <c r="C201" s="5"/>
      <c r="D201" s="6"/>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row>
    <row r="202">
      <c r="A202" s="5"/>
      <c r="B202" s="5"/>
      <c r="C202" s="5"/>
      <c r="D202" s="6"/>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row>
    <row r="203">
      <c r="A203" s="5"/>
      <c r="B203" s="5"/>
      <c r="C203" s="5"/>
      <c r="D203" s="6"/>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row>
    <row r="204">
      <c r="A204" s="5"/>
      <c r="B204" s="5"/>
      <c r="C204" s="5"/>
      <c r="D204" s="6"/>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row>
    <row r="205">
      <c r="A205" s="5"/>
      <c r="B205" s="5"/>
      <c r="C205" s="5"/>
      <c r="D205" s="6"/>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row>
    <row r="206">
      <c r="A206" s="5"/>
      <c r="B206" s="5"/>
      <c r="C206" s="5"/>
      <c r="D206" s="6"/>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row>
    <row r="207">
      <c r="A207" s="5"/>
      <c r="B207" s="5"/>
      <c r="C207" s="5"/>
      <c r="D207" s="6"/>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row>
    <row r="208">
      <c r="A208" s="5"/>
      <c r="B208" s="5"/>
      <c r="C208" s="5"/>
      <c r="D208" s="6"/>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row>
    <row r="209">
      <c r="A209" s="5"/>
      <c r="B209" s="5"/>
      <c r="C209" s="5"/>
      <c r="D209" s="6"/>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row>
    <row r="210">
      <c r="A210" s="5"/>
      <c r="B210" s="5"/>
      <c r="C210" s="5"/>
      <c r="D210" s="6"/>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row>
    <row r="211">
      <c r="A211" s="5"/>
      <c r="B211" s="5"/>
      <c r="C211" s="5"/>
      <c r="D211" s="6"/>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row>
    <row r="212">
      <c r="A212" s="5"/>
      <c r="B212" s="5"/>
      <c r="C212" s="5"/>
      <c r="D212" s="6"/>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row>
    <row r="213">
      <c r="A213" s="5"/>
      <c r="B213" s="5"/>
      <c r="C213" s="5"/>
      <c r="D213" s="6"/>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row>
    <row r="214">
      <c r="A214" s="5"/>
      <c r="B214" s="5"/>
      <c r="C214" s="5"/>
      <c r="D214" s="6"/>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row>
    <row r="215">
      <c r="A215" s="5"/>
      <c r="B215" s="5"/>
      <c r="C215" s="5"/>
      <c r="D215" s="6"/>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row>
    <row r="216">
      <c r="A216" s="5"/>
      <c r="B216" s="5"/>
      <c r="C216" s="5"/>
      <c r="D216" s="6"/>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row>
    <row r="217">
      <c r="A217" s="5"/>
      <c r="B217" s="5"/>
      <c r="C217" s="5"/>
      <c r="D217" s="6"/>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row>
    <row r="218">
      <c r="A218" s="5"/>
      <c r="B218" s="5"/>
      <c r="C218" s="5"/>
      <c r="D218" s="6"/>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row>
    <row r="219">
      <c r="A219" s="5"/>
      <c r="B219" s="5"/>
      <c r="C219" s="5"/>
      <c r="D219" s="6"/>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row>
    <row r="220">
      <c r="A220" s="5"/>
      <c r="B220" s="5"/>
      <c r="C220" s="5"/>
      <c r="D220" s="6"/>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row>
    <row r="221">
      <c r="A221" s="5"/>
      <c r="B221" s="5"/>
      <c r="C221" s="5"/>
      <c r="D221" s="6"/>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row>
    <row r="222">
      <c r="A222" s="5"/>
      <c r="B222" s="5"/>
      <c r="C222" s="5"/>
      <c r="D222" s="6"/>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row>
    <row r="223">
      <c r="A223" s="5"/>
      <c r="B223" s="5"/>
      <c r="C223" s="5"/>
      <c r="D223" s="6"/>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row>
    <row r="224">
      <c r="A224" s="5"/>
      <c r="B224" s="5"/>
      <c r="C224" s="5"/>
      <c r="D224" s="6"/>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row>
    <row r="225">
      <c r="A225" s="5"/>
      <c r="B225" s="5"/>
      <c r="C225" s="5"/>
      <c r="D225" s="6"/>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row>
    <row r="226">
      <c r="A226" s="5"/>
      <c r="B226" s="5"/>
      <c r="C226" s="5"/>
      <c r="D226" s="6"/>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row>
    <row r="227">
      <c r="A227" s="5"/>
      <c r="B227" s="5"/>
      <c r="C227" s="5"/>
      <c r="D227" s="6"/>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row>
    <row r="228">
      <c r="A228" s="5"/>
      <c r="B228" s="5"/>
      <c r="C228" s="5"/>
      <c r="D228" s="6"/>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row>
    <row r="229">
      <c r="A229" s="5"/>
      <c r="B229" s="5"/>
      <c r="C229" s="5"/>
      <c r="D229" s="6"/>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row>
    <row r="230">
      <c r="A230" s="5"/>
      <c r="B230" s="5"/>
      <c r="C230" s="5"/>
      <c r="D230" s="6"/>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row>
    <row r="231">
      <c r="A231" s="5"/>
      <c r="B231" s="5"/>
      <c r="C231" s="5"/>
      <c r="D231" s="6"/>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row>
    <row r="232">
      <c r="A232" s="5"/>
      <c r="B232" s="5"/>
      <c r="C232" s="5"/>
      <c r="D232" s="6"/>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row>
    <row r="233">
      <c r="A233" s="5"/>
      <c r="B233" s="5"/>
      <c r="C233" s="5"/>
      <c r="D233" s="6"/>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row>
    <row r="234">
      <c r="A234" s="5"/>
      <c r="B234" s="5"/>
      <c r="C234" s="5"/>
      <c r="D234" s="6"/>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row>
    <row r="235">
      <c r="A235" s="5"/>
      <c r="B235" s="5"/>
      <c r="C235" s="5"/>
      <c r="D235" s="6"/>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row>
    <row r="236">
      <c r="A236" s="5"/>
      <c r="B236" s="5"/>
      <c r="C236" s="5"/>
      <c r="D236" s="6"/>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row>
    <row r="237">
      <c r="A237" s="5"/>
      <c r="B237" s="5"/>
      <c r="C237" s="5"/>
      <c r="D237" s="6"/>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row>
    <row r="238">
      <c r="A238" s="5"/>
      <c r="B238" s="5"/>
      <c r="C238" s="5"/>
      <c r="D238" s="6"/>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row>
    <row r="239">
      <c r="A239" s="5"/>
      <c r="B239" s="5"/>
      <c r="C239" s="5"/>
      <c r="D239" s="6"/>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row>
    <row r="240">
      <c r="A240" s="5"/>
      <c r="B240" s="5"/>
      <c r="C240" s="5"/>
      <c r="D240" s="6"/>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row>
    <row r="241">
      <c r="A241" s="5"/>
      <c r="B241" s="5"/>
      <c r="C241" s="5"/>
      <c r="D241" s="6"/>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row>
    <row r="242">
      <c r="A242" s="5"/>
      <c r="B242" s="5"/>
      <c r="C242" s="5"/>
      <c r="D242" s="6"/>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row>
    <row r="243">
      <c r="A243" s="5"/>
      <c r="B243" s="5"/>
      <c r="C243" s="5"/>
      <c r="D243" s="6"/>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row>
    <row r="244">
      <c r="A244" s="5"/>
      <c r="B244" s="5"/>
      <c r="C244" s="5"/>
      <c r="D244" s="6"/>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row>
    <row r="245">
      <c r="A245" s="5"/>
      <c r="B245" s="5"/>
      <c r="C245" s="5"/>
      <c r="D245" s="6"/>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row>
    <row r="246">
      <c r="A246" s="5"/>
      <c r="B246" s="5"/>
      <c r="C246" s="5"/>
      <c r="D246" s="6"/>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row>
    <row r="247">
      <c r="A247" s="5"/>
      <c r="B247" s="5"/>
      <c r="C247" s="5"/>
      <c r="D247" s="6"/>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row>
    <row r="248">
      <c r="A248" s="5"/>
      <c r="B248" s="5"/>
      <c r="C248" s="5"/>
      <c r="D248" s="6"/>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row>
    <row r="249">
      <c r="A249" s="5"/>
      <c r="B249" s="5"/>
      <c r="C249" s="5"/>
      <c r="D249" s="6"/>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row>
    <row r="250">
      <c r="A250" s="5"/>
      <c r="B250" s="5"/>
      <c r="C250" s="5"/>
      <c r="D250" s="6"/>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row>
    <row r="251">
      <c r="A251" s="5"/>
      <c r="B251" s="5"/>
      <c r="C251" s="5"/>
      <c r="D251" s="6"/>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row>
    <row r="252">
      <c r="A252" s="5"/>
      <c r="B252" s="5"/>
      <c r="C252" s="5"/>
      <c r="D252" s="6"/>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row>
    <row r="253">
      <c r="A253" s="5"/>
      <c r="B253" s="5"/>
      <c r="C253" s="5"/>
      <c r="D253" s="6"/>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row>
    <row r="254">
      <c r="A254" s="5"/>
      <c r="B254" s="5"/>
      <c r="C254" s="5"/>
      <c r="D254" s="6"/>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row>
    <row r="255">
      <c r="A255" s="5"/>
      <c r="B255" s="5"/>
      <c r="C255" s="5"/>
      <c r="D255" s="6"/>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row>
    <row r="256">
      <c r="A256" s="5"/>
      <c r="B256" s="5"/>
      <c r="C256" s="5"/>
      <c r="D256" s="6"/>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row>
    <row r="257">
      <c r="A257" s="5"/>
      <c r="B257" s="5"/>
      <c r="C257" s="5"/>
      <c r="D257" s="6"/>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row>
    <row r="258">
      <c r="A258" s="5"/>
      <c r="B258" s="5"/>
      <c r="C258" s="5"/>
      <c r="D258" s="6"/>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row>
    <row r="259">
      <c r="A259" s="5"/>
      <c r="B259" s="5"/>
      <c r="C259" s="5"/>
      <c r="D259" s="6"/>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row>
    <row r="260">
      <c r="A260" s="5"/>
      <c r="B260" s="5"/>
      <c r="C260" s="5"/>
      <c r="D260" s="6"/>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row>
    <row r="261">
      <c r="A261" s="5"/>
      <c r="B261" s="5"/>
      <c r="C261" s="5"/>
      <c r="D261" s="6"/>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row>
    <row r="262">
      <c r="A262" s="5"/>
      <c r="B262" s="5"/>
      <c r="C262" s="5"/>
      <c r="D262" s="6"/>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row>
    <row r="263">
      <c r="A263" s="5"/>
      <c r="B263" s="5"/>
      <c r="C263" s="5"/>
      <c r="D263" s="6"/>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row>
    <row r="264">
      <c r="A264" s="5"/>
      <c r="B264" s="5"/>
      <c r="C264" s="5"/>
      <c r="D264" s="6"/>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row>
    <row r="265">
      <c r="A265" s="5"/>
      <c r="B265" s="5"/>
      <c r="C265" s="5"/>
      <c r="D265" s="6"/>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row>
    <row r="266">
      <c r="A266" s="5"/>
      <c r="B266" s="5"/>
      <c r="C266" s="5"/>
      <c r="D266" s="6"/>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row>
    <row r="267">
      <c r="A267" s="5"/>
      <c r="B267" s="5"/>
      <c r="C267" s="5"/>
      <c r="D267" s="6"/>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row>
    <row r="268">
      <c r="A268" s="5"/>
      <c r="B268" s="5"/>
      <c r="C268" s="5"/>
      <c r="D268" s="6"/>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row>
    <row r="269">
      <c r="A269" s="5"/>
      <c r="B269" s="5"/>
      <c r="C269" s="5"/>
      <c r="D269" s="6"/>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row>
    <row r="270">
      <c r="A270" s="5"/>
      <c r="B270" s="5"/>
      <c r="C270" s="5"/>
      <c r="D270" s="6"/>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row>
    <row r="271">
      <c r="A271" s="5"/>
      <c r="B271" s="5"/>
      <c r="C271" s="5"/>
      <c r="D271" s="6"/>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row>
    <row r="272">
      <c r="A272" s="5"/>
      <c r="B272" s="5"/>
      <c r="C272" s="5"/>
      <c r="D272" s="6"/>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row>
    <row r="273">
      <c r="A273" s="5"/>
      <c r="B273" s="5"/>
      <c r="C273" s="5"/>
      <c r="D273" s="6"/>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row>
    <row r="274">
      <c r="A274" s="5"/>
      <c r="B274" s="5"/>
      <c r="C274" s="5"/>
      <c r="D274" s="6"/>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row>
    <row r="275">
      <c r="A275" s="5"/>
      <c r="B275" s="5"/>
      <c r="C275" s="5"/>
      <c r="D275" s="6"/>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row>
    <row r="276">
      <c r="A276" s="5"/>
      <c r="B276" s="5"/>
      <c r="C276" s="5"/>
      <c r="D276" s="6"/>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row>
    <row r="277">
      <c r="A277" s="5"/>
      <c r="B277" s="5"/>
      <c r="C277" s="5"/>
      <c r="D277" s="6"/>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row>
    <row r="278">
      <c r="A278" s="5"/>
      <c r="B278" s="5"/>
      <c r="C278" s="5"/>
      <c r="D278" s="6"/>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row>
    <row r="279">
      <c r="A279" s="5"/>
      <c r="B279" s="5"/>
      <c r="C279" s="5"/>
      <c r="D279" s="6"/>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row>
    <row r="280">
      <c r="A280" s="5"/>
      <c r="B280" s="5"/>
      <c r="C280" s="5"/>
      <c r="D280" s="6"/>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row>
    <row r="281">
      <c r="A281" s="5"/>
      <c r="B281" s="5"/>
      <c r="C281" s="5"/>
      <c r="D281" s="6"/>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row>
    <row r="282">
      <c r="A282" s="5"/>
      <c r="B282" s="5"/>
      <c r="C282" s="5"/>
      <c r="D282" s="6"/>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row>
    <row r="283">
      <c r="A283" s="5"/>
      <c r="B283" s="5"/>
      <c r="C283" s="5"/>
      <c r="D283" s="6"/>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row>
    <row r="284">
      <c r="A284" s="5"/>
      <c r="B284" s="5"/>
      <c r="C284" s="5"/>
      <c r="D284" s="6"/>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row>
    <row r="285">
      <c r="A285" s="5"/>
      <c r="B285" s="5"/>
      <c r="C285" s="5"/>
      <c r="D285" s="6"/>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row>
    <row r="286">
      <c r="A286" s="5"/>
      <c r="B286" s="5"/>
      <c r="C286" s="5"/>
      <c r="D286" s="6"/>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row>
    <row r="287">
      <c r="A287" s="5"/>
      <c r="B287" s="5"/>
      <c r="C287" s="5"/>
      <c r="D287" s="6"/>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row>
    <row r="288">
      <c r="A288" s="5"/>
      <c r="B288" s="5"/>
      <c r="C288" s="5"/>
      <c r="D288" s="6"/>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row>
    <row r="289">
      <c r="A289" s="5"/>
      <c r="B289" s="5"/>
      <c r="C289" s="5"/>
      <c r="D289" s="6"/>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row>
    <row r="290">
      <c r="A290" s="5"/>
      <c r="B290" s="5"/>
      <c r="C290" s="5"/>
      <c r="D290" s="6"/>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row>
    <row r="291">
      <c r="A291" s="5"/>
      <c r="B291" s="5"/>
      <c r="C291" s="5"/>
      <c r="D291" s="6"/>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row>
    <row r="292">
      <c r="A292" s="5"/>
      <c r="B292" s="5"/>
      <c r="C292" s="5"/>
      <c r="D292" s="6"/>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row>
    <row r="293">
      <c r="A293" s="5"/>
      <c r="B293" s="5"/>
      <c r="C293" s="5"/>
      <c r="D293" s="6"/>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row>
    <row r="294">
      <c r="A294" s="5"/>
      <c r="B294" s="5"/>
      <c r="C294" s="5"/>
      <c r="D294" s="6"/>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row>
    <row r="295">
      <c r="A295" s="5"/>
      <c r="B295" s="5"/>
      <c r="C295" s="5"/>
      <c r="D295" s="6"/>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row>
    <row r="296">
      <c r="A296" s="5"/>
      <c r="B296" s="5"/>
      <c r="C296" s="5"/>
      <c r="D296" s="6"/>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row>
    <row r="297">
      <c r="A297" s="5"/>
      <c r="B297" s="5"/>
      <c r="C297" s="5"/>
      <c r="D297" s="6"/>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row>
    <row r="298">
      <c r="A298" s="5"/>
      <c r="B298" s="5"/>
      <c r="C298" s="5"/>
      <c r="D298" s="6"/>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row>
    <row r="299">
      <c r="A299" s="5"/>
      <c r="B299" s="5"/>
      <c r="C299" s="5"/>
      <c r="D299" s="6"/>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row>
    <row r="300">
      <c r="A300" s="5"/>
      <c r="B300" s="5"/>
      <c r="C300" s="5"/>
      <c r="D300" s="6"/>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row>
    <row r="301">
      <c r="A301" s="5"/>
      <c r="B301" s="5"/>
      <c r="C301" s="5"/>
      <c r="D301" s="6"/>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row>
    <row r="302">
      <c r="A302" s="5"/>
      <c r="B302" s="5"/>
      <c r="C302" s="5"/>
      <c r="D302" s="6"/>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row>
    <row r="303">
      <c r="A303" s="5"/>
      <c r="B303" s="5"/>
      <c r="C303" s="5"/>
      <c r="D303" s="6"/>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row>
    <row r="304">
      <c r="A304" s="5"/>
      <c r="B304" s="5"/>
      <c r="C304" s="5"/>
      <c r="D304" s="6"/>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row>
    <row r="305">
      <c r="A305" s="5"/>
      <c r="B305" s="5"/>
      <c r="C305" s="5"/>
      <c r="D305" s="6"/>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row>
    <row r="306">
      <c r="A306" s="5"/>
      <c r="B306" s="5"/>
      <c r="C306" s="5"/>
      <c r="D306" s="6"/>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row>
    <row r="307">
      <c r="A307" s="5"/>
      <c r="B307" s="5"/>
      <c r="C307" s="5"/>
      <c r="D307" s="6"/>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row>
    <row r="308">
      <c r="A308" s="5"/>
      <c r="B308" s="5"/>
      <c r="C308" s="5"/>
      <c r="D308" s="6"/>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row>
    <row r="309">
      <c r="A309" s="5"/>
      <c r="B309" s="5"/>
      <c r="C309" s="5"/>
      <c r="D309" s="6"/>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row>
    <row r="310">
      <c r="A310" s="5"/>
      <c r="B310" s="5"/>
      <c r="C310" s="5"/>
      <c r="D310" s="6"/>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row>
    <row r="311">
      <c r="A311" s="5"/>
      <c r="B311" s="5"/>
      <c r="C311" s="5"/>
      <c r="D311" s="6"/>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row>
    <row r="312">
      <c r="A312" s="5"/>
      <c r="B312" s="5"/>
      <c r="C312" s="5"/>
      <c r="D312" s="6"/>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row>
    <row r="313">
      <c r="A313" s="5"/>
      <c r="B313" s="5"/>
      <c r="C313" s="5"/>
      <c r="D313" s="6"/>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row>
    <row r="314">
      <c r="A314" s="5"/>
      <c r="B314" s="5"/>
      <c r="C314" s="5"/>
      <c r="D314" s="6"/>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row>
    <row r="315">
      <c r="A315" s="5"/>
      <c r="B315" s="5"/>
      <c r="C315" s="5"/>
      <c r="D315" s="6"/>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row>
    <row r="316">
      <c r="A316" s="5"/>
      <c r="B316" s="5"/>
      <c r="C316" s="5"/>
      <c r="D316" s="6"/>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row>
    <row r="317">
      <c r="A317" s="5"/>
      <c r="B317" s="5"/>
      <c r="C317" s="5"/>
      <c r="D317" s="6"/>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row>
    <row r="318">
      <c r="A318" s="5"/>
      <c r="B318" s="5"/>
      <c r="C318" s="5"/>
      <c r="D318" s="6"/>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row>
    <row r="319">
      <c r="A319" s="5"/>
      <c r="B319" s="5"/>
      <c r="C319" s="5"/>
      <c r="D319" s="6"/>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row>
    <row r="320">
      <c r="A320" s="5"/>
      <c r="B320" s="5"/>
      <c r="C320" s="5"/>
      <c r="D320" s="6"/>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row>
    <row r="321">
      <c r="A321" s="5"/>
      <c r="B321" s="5"/>
      <c r="C321" s="5"/>
      <c r="D321" s="6"/>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row>
    <row r="322">
      <c r="A322" s="5"/>
      <c r="B322" s="5"/>
      <c r="C322" s="5"/>
      <c r="D322" s="6"/>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row>
    <row r="323">
      <c r="A323" s="5"/>
      <c r="B323" s="5"/>
      <c r="C323" s="5"/>
      <c r="D323" s="6"/>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row>
    <row r="324">
      <c r="A324" s="5"/>
      <c r="B324" s="5"/>
      <c r="C324" s="5"/>
      <c r="D324" s="6"/>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row>
    <row r="325">
      <c r="A325" s="5"/>
      <c r="B325" s="5"/>
      <c r="C325" s="5"/>
      <c r="D325" s="6"/>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row>
    <row r="326">
      <c r="A326" s="5"/>
      <c r="B326" s="5"/>
      <c r="C326" s="5"/>
      <c r="D326" s="6"/>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row>
    <row r="327">
      <c r="A327" s="5"/>
      <c r="B327" s="5"/>
      <c r="C327" s="5"/>
      <c r="D327" s="6"/>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row>
    <row r="328">
      <c r="A328" s="5"/>
      <c r="B328" s="5"/>
      <c r="C328" s="5"/>
      <c r="D328" s="6"/>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row>
    <row r="329">
      <c r="A329" s="5"/>
      <c r="B329" s="5"/>
      <c r="C329" s="5"/>
      <c r="D329" s="6"/>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row>
    <row r="330">
      <c r="A330" s="5"/>
      <c r="B330" s="5"/>
      <c r="C330" s="5"/>
      <c r="D330" s="6"/>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row>
    <row r="331">
      <c r="A331" s="5"/>
      <c r="B331" s="5"/>
      <c r="C331" s="5"/>
      <c r="D331" s="6"/>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row>
    <row r="332">
      <c r="A332" s="5"/>
      <c r="B332" s="5"/>
      <c r="C332" s="5"/>
      <c r="D332" s="6"/>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row>
    <row r="333">
      <c r="A333" s="5"/>
      <c r="B333" s="5"/>
      <c r="C333" s="5"/>
      <c r="D333" s="6"/>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row>
    <row r="334">
      <c r="A334" s="5"/>
      <c r="B334" s="5"/>
      <c r="C334" s="5"/>
      <c r="D334" s="6"/>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row>
    <row r="335">
      <c r="A335" s="5"/>
      <c r="B335" s="5"/>
      <c r="C335" s="5"/>
      <c r="D335" s="6"/>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row>
    <row r="336">
      <c r="A336" s="5"/>
      <c r="B336" s="5"/>
      <c r="C336" s="5"/>
      <c r="D336" s="6"/>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row>
    <row r="337">
      <c r="A337" s="5"/>
      <c r="B337" s="5"/>
      <c r="C337" s="5"/>
      <c r="D337" s="6"/>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row>
    <row r="338">
      <c r="A338" s="5"/>
      <c r="B338" s="5"/>
      <c r="C338" s="5"/>
      <c r="D338" s="6"/>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row>
    <row r="339">
      <c r="A339" s="5"/>
      <c r="B339" s="5"/>
      <c r="C339" s="5"/>
      <c r="D339" s="6"/>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row>
    <row r="340">
      <c r="A340" s="5"/>
      <c r="B340" s="5"/>
      <c r="C340" s="5"/>
      <c r="D340" s="6"/>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row>
    <row r="341">
      <c r="A341" s="5"/>
      <c r="B341" s="5"/>
      <c r="C341" s="5"/>
      <c r="D341" s="6"/>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row>
    <row r="342">
      <c r="A342" s="5"/>
      <c r="B342" s="5"/>
      <c r="C342" s="5"/>
      <c r="D342" s="6"/>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row>
    <row r="343">
      <c r="A343" s="5"/>
      <c r="B343" s="5"/>
      <c r="C343" s="5"/>
      <c r="D343" s="6"/>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row>
    <row r="344">
      <c r="A344" s="5"/>
      <c r="B344" s="5"/>
      <c r="C344" s="5"/>
      <c r="D344" s="6"/>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row>
    <row r="345">
      <c r="A345" s="5"/>
      <c r="B345" s="5"/>
      <c r="C345" s="5"/>
      <c r="D345" s="6"/>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row>
    <row r="346">
      <c r="A346" s="5"/>
      <c r="B346" s="5"/>
      <c r="C346" s="5"/>
      <c r="D346" s="6"/>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row>
    <row r="347">
      <c r="A347" s="5"/>
      <c r="B347" s="5"/>
      <c r="C347" s="5"/>
      <c r="D347" s="6"/>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row>
    <row r="348">
      <c r="A348" s="5"/>
      <c r="B348" s="5"/>
      <c r="C348" s="5"/>
      <c r="D348" s="6"/>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row>
    <row r="349">
      <c r="A349" s="5"/>
      <c r="B349" s="5"/>
      <c r="C349" s="5"/>
      <c r="D349" s="6"/>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row>
    <row r="350">
      <c r="A350" s="5"/>
      <c r="B350" s="5"/>
      <c r="C350" s="5"/>
      <c r="D350" s="6"/>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row>
    <row r="351">
      <c r="A351" s="5"/>
      <c r="B351" s="5"/>
      <c r="C351" s="5"/>
      <c r="D351" s="6"/>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row>
    <row r="352">
      <c r="A352" s="5"/>
      <c r="B352" s="5"/>
      <c r="C352" s="5"/>
      <c r="D352" s="6"/>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row>
    <row r="353">
      <c r="A353" s="5"/>
      <c r="B353" s="5"/>
      <c r="C353" s="5"/>
      <c r="D353" s="6"/>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row>
    <row r="354">
      <c r="A354" s="5"/>
      <c r="B354" s="5"/>
      <c r="C354" s="5"/>
      <c r="D354" s="6"/>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row>
    <row r="355">
      <c r="A355" s="5"/>
      <c r="B355" s="5"/>
      <c r="C355" s="5"/>
      <c r="D355" s="6"/>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row>
    <row r="356">
      <c r="A356" s="5"/>
      <c r="B356" s="5"/>
      <c r="C356" s="5"/>
      <c r="D356" s="6"/>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row>
    <row r="357">
      <c r="A357" s="5"/>
      <c r="B357" s="5"/>
      <c r="C357" s="5"/>
      <c r="D357" s="6"/>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row>
    <row r="358">
      <c r="A358" s="5"/>
      <c r="B358" s="5"/>
      <c r="C358" s="5"/>
      <c r="D358" s="6"/>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row>
    <row r="359">
      <c r="A359" s="5"/>
      <c r="B359" s="5"/>
      <c r="C359" s="5"/>
      <c r="D359" s="6"/>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row>
    <row r="360">
      <c r="A360" s="5"/>
      <c r="B360" s="5"/>
      <c r="C360" s="5"/>
      <c r="D360" s="6"/>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row>
    <row r="361">
      <c r="A361" s="5"/>
      <c r="B361" s="5"/>
      <c r="C361" s="5"/>
      <c r="D361" s="6"/>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row>
    <row r="362">
      <c r="A362" s="5"/>
      <c r="B362" s="5"/>
      <c r="C362" s="5"/>
      <c r="D362" s="6"/>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row>
    <row r="363">
      <c r="A363" s="5"/>
      <c r="B363" s="5"/>
      <c r="C363" s="5"/>
      <c r="D363" s="6"/>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row>
    <row r="364">
      <c r="A364" s="5"/>
      <c r="B364" s="5"/>
      <c r="C364" s="5"/>
      <c r="D364" s="6"/>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row>
    <row r="365">
      <c r="A365" s="5"/>
      <c r="B365" s="5"/>
      <c r="C365" s="5"/>
      <c r="D365" s="6"/>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row>
    <row r="366">
      <c r="A366" s="5"/>
      <c r="B366" s="5"/>
      <c r="C366" s="5"/>
      <c r="D366" s="6"/>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row>
    <row r="367">
      <c r="A367" s="5"/>
      <c r="B367" s="5"/>
      <c r="C367" s="5"/>
      <c r="D367" s="6"/>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row>
    <row r="368">
      <c r="A368" s="5"/>
      <c r="B368" s="5"/>
      <c r="C368" s="5"/>
      <c r="D368" s="6"/>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row>
    <row r="369">
      <c r="A369" s="5"/>
      <c r="B369" s="5"/>
      <c r="C369" s="5"/>
      <c r="D369" s="6"/>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row>
    <row r="370">
      <c r="A370" s="5"/>
      <c r="B370" s="5"/>
      <c r="C370" s="5"/>
      <c r="D370" s="6"/>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row>
    <row r="371">
      <c r="A371" s="5"/>
      <c r="B371" s="5"/>
      <c r="C371" s="5"/>
      <c r="D371" s="6"/>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row>
    <row r="372">
      <c r="A372" s="5"/>
      <c r="B372" s="5"/>
      <c r="C372" s="5"/>
      <c r="D372" s="6"/>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row>
    <row r="373">
      <c r="A373" s="5"/>
      <c r="B373" s="5"/>
      <c r="C373" s="5"/>
      <c r="D373" s="6"/>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row>
    <row r="374">
      <c r="A374" s="5"/>
      <c r="B374" s="5"/>
      <c r="C374" s="5"/>
      <c r="D374" s="6"/>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row>
    <row r="375">
      <c r="A375" s="5"/>
      <c r="B375" s="5"/>
      <c r="C375" s="5"/>
      <c r="D375" s="6"/>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row>
    <row r="376">
      <c r="A376" s="5"/>
      <c r="B376" s="5"/>
      <c r="C376" s="5"/>
      <c r="D376" s="6"/>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row>
    <row r="377">
      <c r="A377" s="5"/>
      <c r="B377" s="5"/>
      <c r="C377" s="5"/>
      <c r="D377" s="6"/>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row>
    <row r="378">
      <c r="A378" s="5"/>
      <c r="B378" s="5"/>
      <c r="C378" s="5"/>
      <c r="D378" s="6"/>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row>
    <row r="379">
      <c r="A379" s="5"/>
      <c r="B379" s="5"/>
      <c r="C379" s="5"/>
      <c r="D379" s="6"/>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row>
    <row r="380">
      <c r="A380" s="5"/>
      <c r="B380" s="5"/>
      <c r="C380" s="5"/>
      <c r="D380" s="6"/>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row>
    <row r="381">
      <c r="A381" s="5"/>
      <c r="B381" s="5"/>
      <c r="C381" s="5"/>
      <c r="D381" s="6"/>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row>
    <row r="382">
      <c r="A382" s="5"/>
      <c r="B382" s="5"/>
      <c r="C382" s="5"/>
      <c r="D382" s="6"/>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row>
    <row r="383">
      <c r="A383" s="5"/>
      <c r="B383" s="5"/>
      <c r="C383" s="5"/>
      <c r="D383" s="6"/>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row>
    <row r="384">
      <c r="A384" s="5"/>
      <c r="B384" s="5"/>
      <c r="C384" s="5"/>
      <c r="D384" s="6"/>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row>
    <row r="385">
      <c r="A385" s="5"/>
      <c r="B385" s="5"/>
      <c r="C385" s="5"/>
      <c r="D385" s="6"/>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row>
    <row r="386">
      <c r="A386" s="5"/>
      <c r="B386" s="5"/>
      <c r="C386" s="5"/>
      <c r="D386" s="6"/>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row>
    <row r="387">
      <c r="A387" s="5"/>
      <c r="B387" s="5"/>
      <c r="C387" s="5"/>
      <c r="D387" s="6"/>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row>
    <row r="388">
      <c r="A388" s="5"/>
      <c r="B388" s="5"/>
      <c r="C388" s="5"/>
      <c r="D388" s="6"/>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row>
    <row r="389">
      <c r="A389" s="5"/>
      <c r="B389" s="5"/>
      <c r="C389" s="5"/>
      <c r="D389" s="6"/>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row>
    <row r="390">
      <c r="A390" s="5"/>
      <c r="B390" s="5"/>
      <c r="C390" s="5"/>
      <c r="D390" s="6"/>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row>
    <row r="391">
      <c r="A391" s="5"/>
      <c r="B391" s="5"/>
      <c r="C391" s="5"/>
      <c r="D391" s="6"/>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row>
    <row r="392">
      <c r="A392" s="5"/>
      <c r="B392" s="5"/>
      <c r="C392" s="5"/>
      <c r="D392" s="6"/>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row>
    <row r="393">
      <c r="A393" s="5"/>
      <c r="B393" s="5"/>
      <c r="C393" s="5"/>
      <c r="D393" s="6"/>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row>
    <row r="394">
      <c r="A394" s="5"/>
      <c r="B394" s="5"/>
      <c r="C394" s="5"/>
      <c r="D394" s="6"/>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row>
    <row r="395">
      <c r="A395" s="5"/>
      <c r="B395" s="5"/>
      <c r="C395" s="5"/>
      <c r="D395" s="6"/>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row>
    <row r="396">
      <c r="A396" s="5"/>
      <c r="B396" s="5"/>
      <c r="C396" s="5"/>
      <c r="D396" s="6"/>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row>
    <row r="397">
      <c r="A397" s="5"/>
      <c r="B397" s="5"/>
      <c r="C397" s="5"/>
      <c r="D397" s="6"/>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row>
    <row r="398">
      <c r="A398" s="5"/>
      <c r="B398" s="5"/>
      <c r="C398" s="5"/>
      <c r="D398" s="6"/>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row>
    <row r="399">
      <c r="A399" s="5"/>
      <c r="B399" s="5"/>
      <c r="C399" s="5"/>
      <c r="D399" s="6"/>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row>
    <row r="400">
      <c r="A400" s="5"/>
      <c r="B400" s="5"/>
      <c r="C400" s="5"/>
      <c r="D400" s="6"/>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row>
    <row r="401">
      <c r="A401" s="5"/>
      <c r="B401" s="5"/>
      <c r="C401" s="5"/>
      <c r="D401" s="6"/>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row>
    <row r="402">
      <c r="A402" s="5"/>
      <c r="B402" s="5"/>
      <c r="C402" s="5"/>
      <c r="D402" s="6"/>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row>
    <row r="403">
      <c r="A403" s="5"/>
      <c r="B403" s="5"/>
      <c r="C403" s="5"/>
      <c r="D403" s="6"/>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row>
    <row r="404">
      <c r="A404" s="5"/>
      <c r="B404" s="5"/>
      <c r="C404" s="5"/>
      <c r="D404" s="6"/>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row>
    <row r="405">
      <c r="A405" s="5"/>
      <c r="B405" s="5"/>
      <c r="C405" s="5"/>
      <c r="D405" s="6"/>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row>
    <row r="406">
      <c r="A406" s="5"/>
      <c r="B406" s="5"/>
      <c r="C406" s="5"/>
      <c r="D406" s="6"/>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row>
    <row r="407">
      <c r="A407" s="5"/>
      <c r="B407" s="5"/>
      <c r="C407" s="5"/>
      <c r="D407" s="6"/>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row>
    <row r="408">
      <c r="A408" s="5"/>
      <c r="B408" s="5"/>
      <c r="C408" s="5"/>
      <c r="D408" s="6"/>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row>
    <row r="409">
      <c r="A409" s="5"/>
      <c r="B409" s="5"/>
      <c r="C409" s="5"/>
      <c r="D409" s="6"/>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row>
    <row r="410">
      <c r="A410" s="5"/>
      <c r="B410" s="5"/>
      <c r="C410" s="5"/>
      <c r="D410" s="6"/>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row>
    <row r="411">
      <c r="A411" s="5"/>
      <c r="B411" s="5"/>
      <c r="C411" s="5"/>
      <c r="D411" s="6"/>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row>
    <row r="412">
      <c r="A412" s="5"/>
      <c r="B412" s="5"/>
      <c r="C412" s="5"/>
      <c r="D412" s="6"/>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row>
    <row r="413">
      <c r="A413" s="5"/>
      <c r="B413" s="5"/>
      <c r="C413" s="5"/>
      <c r="D413" s="6"/>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row>
    <row r="414">
      <c r="A414" s="5"/>
      <c r="B414" s="5"/>
      <c r="C414" s="5"/>
      <c r="D414" s="6"/>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row>
    <row r="415">
      <c r="A415" s="5"/>
      <c r="B415" s="5"/>
      <c r="C415" s="5"/>
      <c r="D415" s="6"/>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row>
    <row r="416">
      <c r="A416" s="5"/>
      <c r="B416" s="5"/>
      <c r="C416" s="5"/>
      <c r="D416" s="6"/>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row>
    <row r="417">
      <c r="A417" s="5"/>
      <c r="B417" s="5"/>
      <c r="C417" s="5"/>
      <c r="D417" s="6"/>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row>
    <row r="418">
      <c r="A418" s="5"/>
      <c r="B418" s="5"/>
      <c r="C418" s="5"/>
      <c r="D418" s="6"/>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row>
    <row r="419">
      <c r="A419" s="5"/>
      <c r="B419" s="5"/>
      <c r="C419" s="5"/>
      <c r="D419" s="6"/>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row>
    <row r="420">
      <c r="A420" s="5"/>
      <c r="B420" s="5"/>
      <c r="C420" s="5"/>
      <c r="D420" s="6"/>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row>
    <row r="421">
      <c r="A421" s="5"/>
      <c r="B421" s="5"/>
      <c r="C421" s="5"/>
      <c r="D421" s="6"/>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row>
    <row r="422">
      <c r="A422" s="5"/>
      <c r="B422" s="5"/>
      <c r="C422" s="5"/>
      <c r="D422" s="6"/>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row>
    <row r="423">
      <c r="A423" s="5"/>
      <c r="B423" s="5"/>
      <c r="C423" s="5"/>
      <c r="D423" s="6"/>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row>
    <row r="424">
      <c r="A424" s="5"/>
      <c r="B424" s="5"/>
      <c r="C424" s="5"/>
      <c r="D424" s="6"/>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row>
    <row r="425">
      <c r="A425" s="5"/>
      <c r="B425" s="5"/>
      <c r="C425" s="5"/>
      <c r="D425" s="6"/>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row>
    <row r="426">
      <c r="A426" s="5"/>
      <c r="B426" s="5"/>
      <c r="C426" s="5"/>
      <c r="D426" s="6"/>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row>
    <row r="427">
      <c r="A427" s="5"/>
      <c r="B427" s="5"/>
      <c r="C427" s="5"/>
      <c r="D427" s="6"/>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row>
    <row r="428">
      <c r="A428" s="5"/>
      <c r="B428" s="5"/>
      <c r="C428" s="5"/>
      <c r="D428" s="6"/>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row>
    <row r="429">
      <c r="A429" s="5"/>
      <c r="B429" s="5"/>
      <c r="C429" s="5"/>
      <c r="D429" s="6"/>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row>
    <row r="430">
      <c r="A430" s="5"/>
      <c r="B430" s="5"/>
      <c r="C430" s="5"/>
      <c r="D430" s="6"/>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row>
    <row r="431">
      <c r="A431" s="5"/>
      <c r="B431" s="5"/>
      <c r="C431" s="5"/>
      <c r="D431" s="6"/>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row>
    <row r="432">
      <c r="A432" s="5"/>
      <c r="B432" s="5"/>
      <c r="C432" s="5"/>
      <c r="D432" s="6"/>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row>
    <row r="433">
      <c r="A433" s="5"/>
      <c r="B433" s="5"/>
      <c r="C433" s="5"/>
      <c r="D433" s="6"/>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row>
    <row r="434">
      <c r="A434" s="5"/>
      <c r="B434" s="5"/>
      <c r="C434" s="5"/>
      <c r="D434" s="6"/>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row>
    <row r="435">
      <c r="A435" s="5"/>
      <c r="B435" s="5"/>
      <c r="C435" s="5"/>
      <c r="D435" s="6"/>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row>
    <row r="436">
      <c r="A436" s="5"/>
      <c r="B436" s="5"/>
      <c r="C436" s="5"/>
      <c r="D436" s="6"/>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row>
    <row r="437">
      <c r="A437" s="5"/>
      <c r="B437" s="5"/>
      <c r="C437" s="5"/>
      <c r="D437" s="6"/>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row>
    <row r="438">
      <c r="A438" s="5"/>
      <c r="B438" s="5"/>
      <c r="C438" s="5"/>
      <c r="D438" s="6"/>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row>
    <row r="439">
      <c r="A439" s="5"/>
      <c r="B439" s="5"/>
      <c r="C439" s="5"/>
      <c r="D439" s="6"/>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row>
    <row r="440">
      <c r="A440" s="5"/>
      <c r="B440" s="5"/>
      <c r="C440" s="5"/>
      <c r="D440" s="6"/>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row>
    <row r="441">
      <c r="A441" s="5"/>
      <c r="B441" s="5"/>
      <c r="C441" s="5"/>
      <c r="D441" s="6"/>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row>
    <row r="442">
      <c r="A442" s="5"/>
      <c r="B442" s="5"/>
      <c r="C442" s="5"/>
      <c r="D442" s="6"/>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row>
    <row r="443">
      <c r="A443" s="5"/>
      <c r="B443" s="5"/>
      <c r="C443" s="5"/>
      <c r="D443" s="6"/>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row>
    <row r="444">
      <c r="A444" s="5"/>
      <c r="B444" s="5"/>
      <c r="C444" s="5"/>
      <c r="D444" s="6"/>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row>
    <row r="445">
      <c r="A445" s="5"/>
      <c r="B445" s="5"/>
      <c r="C445" s="5"/>
      <c r="D445" s="6"/>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row>
    <row r="446">
      <c r="A446" s="5"/>
      <c r="B446" s="5"/>
      <c r="C446" s="5"/>
      <c r="D446" s="6"/>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row>
    <row r="447">
      <c r="A447" s="5"/>
      <c r="B447" s="5"/>
      <c r="C447" s="5"/>
      <c r="D447" s="6"/>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row>
    <row r="448">
      <c r="A448" s="5"/>
      <c r="B448" s="5"/>
      <c r="C448" s="5"/>
      <c r="D448" s="6"/>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row>
    <row r="449">
      <c r="A449" s="5"/>
      <c r="B449" s="5"/>
      <c r="C449" s="5"/>
      <c r="D449" s="6"/>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row>
    <row r="450">
      <c r="A450" s="5"/>
      <c r="B450" s="5"/>
      <c r="C450" s="5"/>
      <c r="D450" s="6"/>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row>
    <row r="451">
      <c r="A451" s="5"/>
      <c r="B451" s="5"/>
      <c r="C451" s="5"/>
      <c r="D451" s="6"/>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row>
    <row r="452">
      <c r="A452" s="5"/>
      <c r="B452" s="5"/>
      <c r="C452" s="5"/>
      <c r="D452" s="6"/>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row>
    <row r="453">
      <c r="A453" s="5"/>
      <c r="B453" s="5"/>
      <c r="C453" s="5"/>
      <c r="D453" s="6"/>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row>
    <row r="454">
      <c r="A454" s="5"/>
      <c r="B454" s="5"/>
      <c r="C454" s="5"/>
      <c r="D454" s="6"/>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row>
    <row r="455">
      <c r="A455" s="5"/>
      <c r="B455" s="5"/>
      <c r="C455" s="5"/>
      <c r="D455" s="6"/>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row>
    <row r="456">
      <c r="A456" s="5"/>
      <c r="B456" s="5"/>
      <c r="C456" s="5"/>
      <c r="D456" s="6"/>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row>
    <row r="457">
      <c r="A457" s="5"/>
      <c r="B457" s="5"/>
      <c r="C457" s="5"/>
      <c r="D457" s="6"/>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row>
    <row r="458">
      <c r="A458" s="5"/>
      <c r="B458" s="5"/>
      <c r="C458" s="5"/>
      <c r="D458" s="6"/>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row>
    <row r="459">
      <c r="A459" s="5"/>
      <c r="B459" s="5"/>
      <c r="C459" s="5"/>
      <c r="D459" s="6"/>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row>
    <row r="460">
      <c r="A460" s="5"/>
      <c r="B460" s="5"/>
      <c r="C460" s="5"/>
      <c r="D460" s="6"/>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row>
    <row r="461">
      <c r="A461" s="5"/>
      <c r="B461" s="5"/>
      <c r="C461" s="5"/>
      <c r="D461" s="6"/>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row>
    <row r="462">
      <c r="A462" s="5"/>
      <c r="B462" s="5"/>
      <c r="C462" s="5"/>
      <c r="D462" s="6"/>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row>
    <row r="463">
      <c r="A463" s="5"/>
      <c r="B463" s="5"/>
      <c r="C463" s="5"/>
      <c r="D463" s="6"/>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row>
    <row r="464">
      <c r="A464" s="5"/>
      <c r="B464" s="5"/>
      <c r="C464" s="5"/>
      <c r="D464" s="6"/>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row>
    <row r="465">
      <c r="A465" s="5"/>
      <c r="B465" s="5"/>
      <c r="C465" s="5"/>
      <c r="D465" s="6"/>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row>
    <row r="466">
      <c r="A466" s="5"/>
      <c r="B466" s="5"/>
      <c r="C466" s="5"/>
      <c r="D466" s="6"/>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row>
    <row r="467">
      <c r="A467" s="5"/>
      <c r="B467" s="5"/>
      <c r="C467" s="5"/>
      <c r="D467" s="6"/>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row>
    <row r="468">
      <c r="A468" s="5"/>
      <c r="B468" s="5"/>
      <c r="C468" s="5"/>
      <c r="D468" s="6"/>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row>
    <row r="469">
      <c r="A469" s="5"/>
      <c r="B469" s="5"/>
      <c r="C469" s="5"/>
      <c r="D469" s="6"/>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row>
    <row r="470">
      <c r="A470" s="5"/>
      <c r="B470" s="5"/>
      <c r="C470" s="5"/>
      <c r="D470" s="6"/>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row>
    <row r="471">
      <c r="A471" s="5"/>
      <c r="B471" s="5"/>
      <c r="C471" s="5"/>
      <c r="D471" s="6"/>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row>
    <row r="472">
      <c r="A472" s="5"/>
      <c r="B472" s="5"/>
      <c r="C472" s="5"/>
      <c r="D472" s="6"/>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row>
    <row r="473">
      <c r="A473" s="5"/>
      <c r="B473" s="5"/>
      <c r="C473" s="5"/>
      <c r="D473" s="6"/>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row>
    <row r="474">
      <c r="A474" s="5"/>
      <c r="B474" s="5"/>
      <c r="C474" s="5"/>
      <c r="D474" s="6"/>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row>
    <row r="475">
      <c r="A475" s="5"/>
      <c r="B475" s="5"/>
      <c r="C475" s="5"/>
      <c r="D475" s="6"/>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row>
    <row r="476">
      <c r="A476" s="5"/>
      <c r="B476" s="5"/>
      <c r="C476" s="5"/>
      <c r="D476" s="6"/>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row>
    <row r="477">
      <c r="A477" s="5"/>
      <c r="B477" s="5"/>
      <c r="C477" s="5"/>
      <c r="D477" s="6"/>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row>
    <row r="478">
      <c r="A478" s="5"/>
      <c r="B478" s="5"/>
      <c r="C478" s="5"/>
      <c r="D478" s="6"/>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row>
    <row r="479">
      <c r="A479" s="5"/>
      <c r="B479" s="5"/>
      <c r="C479" s="5"/>
      <c r="D479" s="6"/>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row>
    <row r="480">
      <c r="A480" s="5"/>
      <c r="B480" s="5"/>
      <c r="C480" s="5"/>
      <c r="D480" s="6"/>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row>
    <row r="481">
      <c r="A481" s="5"/>
      <c r="B481" s="5"/>
      <c r="C481" s="5"/>
      <c r="D481" s="6"/>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row>
    <row r="482">
      <c r="A482" s="5"/>
      <c r="B482" s="5"/>
      <c r="C482" s="5"/>
      <c r="D482" s="6"/>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row>
    <row r="483">
      <c r="A483" s="5"/>
      <c r="B483" s="5"/>
      <c r="C483" s="5"/>
      <c r="D483" s="6"/>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row>
    <row r="484">
      <c r="A484" s="5"/>
      <c r="B484" s="5"/>
      <c r="C484" s="5"/>
      <c r="D484" s="6"/>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row>
    <row r="485">
      <c r="A485" s="5"/>
      <c r="B485" s="5"/>
      <c r="C485" s="5"/>
      <c r="D485" s="6"/>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row>
    <row r="486">
      <c r="A486" s="5"/>
      <c r="B486" s="5"/>
      <c r="C486" s="5"/>
      <c r="D486" s="6"/>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row>
    <row r="487">
      <c r="A487" s="5"/>
      <c r="B487" s="5"/>
      <c r="C487" s="5"/>
      <c r="D487" s="6"/>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row>
    <row r="488">
      <c r="A488" s="5"/>
      <c r="B488" s="5"/>
      <c r="C488" s="5"/>
      <c r="D488" s="6"/>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row>
    <row r="489">
      <c r="A489" s="5"/>
      <c r="B489" s="5"/>
      <c r="C489" s="5"/>
      <c r="D489" s="6"/>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row>
    <row r="490">
      <c r="A490" s="5"/>
      <c r="B490" s="5"/>
      <c r="C490" s="5"/>
      <c r="D490" s="6"/>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row>
    <row r="491">
      <c r="A491" s="5"/>
      <c r="B491" s="5"/>
      <c r="C491" s="5"/>
      <c r="D491" s="6"/>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row>
    <row r="492">
      <c r="A492" s="5"/>
      <c r="B492" s="5"/>
      <c r="C492" s="5"/>
      <c r="D492" s="6"/>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row>
    <row r="493">
      <c r="A493" s="5"/>
      <c r="B493" s="5"/>
      <c r="C493" s="5"/>
      <c r="D493" s="6"/>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row>
    <row r="494">
      <c r="A494" s="5"/>
      <c r="B494" s="5"/>
      <c r="C494" s="5"/>
      <c r="D494" s="6"/>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row>
    <row r="495">
      <c r="A495" s="5"/>
      <c r="B495" s="5"/>
      <c r="C495" s="5"/>
      <c r="D495" s="6"/>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row>
    <row r="496">
      <c r="A496" s="5"/>
      <c r="B496" s="5"/>
      <c r="C496" s="5"/>
      <c r="D496" s="6"/>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row>
    <row r="497">
      <c r="A497" s="5"/>
      <c r="B497" s="5"/>
      <c r="C497" s="5"/>
      <c r="D497" s="6"/>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row>
    <row r="498">
      <c r="A498" s="5"/>
      <c r="B498" s="5"/>
      <c r="C498" s="5"/>
      <c r="D498" s="6"/>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row>
    <row r="499">
      <c r="A499" s="5"/>
      <c r="B499" s="5"/>
      <c r="C499" s="5"/>
      <c r="D499" s="6"/>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row>
    <row r="500">
      <c r="A500" s="5"/>
      <c r="B500" s="5"/>
      <c r="C500" s="5"/>
      <c r="D500" s="6"/>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row>
    <row r="501">
      <c r="A501" s="5"/>
      <c r="B501" s="5"/>
      <c r="C501" s="5"/>
      <c r="D501" s="6"/>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row>
    <row r="502">
      <c r="A502" s="5"/>
      <c r="B502" s="5"/>
      <c r="C502" s="5"/>
      <c r="D502" s="6"/>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row>
    <row r="503">
      <c r="A503" s="5"/>
      <c r="B503" s="5"/>
      <c r="C503" s="5"/>
      <c r="D503" s="6"/>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row>
    <row r="504">
      <c r="A504" s="5"/>
      <c r="B504" s="5"/>
      <c r="C504" s="5"/>
      <c r="D504" s="6"/>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row>
    <row r="505">
      <c r="A505" s="5"/>
      <c r="B505" s="5"/>
      <c r="C505" s="5"/>
      <c r="D505" s="6"/>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row>
    <row r="506">
      <c r="A506" s="5"/>
      <c r="B506" s="5"/>
      <c r="C506" s="5"/>
      <c r="D506" s="6"/>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row>
    <row r="507">
      <c r="A507" s="5"/>
      <c r="B507" s="5"/>
      <c r="C507" s="5"/>
      <c r="D507" s="6"/>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row>
    <row r="508">
      <c r="A508" s="5"/>
      <c r="B508" s="5"/>
      <c r="C508" s="5"/>
      <c r="D508" s="6"/>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row>
    <row r="509">
      <c r="A509" s="5"/>
      <c r="B509" s="5"/>
      <c r="C509" s="5"/>
      <c r="D509" s="6"/>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row>
    <row r="510">
      <c r="A510" s="5"/>
      <c r="B510" s="5"/>
      <c r="C510" s="5"/>
      <c r="D510" s="6"/>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row>
    <row r="511">
      <c r="A511" s="5"/>
      <c r="B511" s="5"/>
      <c r="C511" s="5"/>
      <c r="D511" s="6"/>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row>
    <row r="512">
      <c r="A512" s="5"/>
      <c r="B512" s="5"/>
      <c r="C512" s="5"/>
      <c r="D512" s="6"/>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row>
    <row r="513">
      <c r="A513" s="5"/>
      <c r="B513" s="5"/>
      <c r="C513" s="5"/>
      <c r="D513" s="6"/>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row>
    <row r="514">
      <c r="A514" s="5"/>
      <c r="B514" s="5"/>
      <c r="C514" s="5"/>
      <c r="D514" s="6"/>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row>
    <row r="515">
      <c r="A515" s="5"/>
      <c r="B515" s="5"/>
      <c r="C515" s="5"/>
      <c r="D515" s="6"/>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row>
    <row r="516">
      <c r="A516" s="5"/>
      <c r="B516" s="5"/>
      <c r="C516" s="5"/>
      <c r="D516" s="6"/>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row>
    <row r="517">
      <c r="A517" s="5"/>
      <c r="B517" s="5"/>
      <c r="C517" s="5"/>
      <c r="D517" s="6"/>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row>
    <row r="518">
      <c r="A518" s="5"/>
      <c r="B518" s="5"/>
      <c r="C518" s="5"/>
      <c r="D518" s="6"/>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row>
    <row r="519">
      <c r="A519" s="5"/>
      <c r="B519" s="5"/>
      <c r="C519" s="5"/>
      <c r="D519" s="6"/>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row>
    <row r="520">
      <c r="A520" s="5"/>
      <c r="B520" s="5"/>
      <c r="C520" s="5"/>
      <c r="D520" s="6"/>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row>
    <row r="521">
      <c r="A521" s="5"/>
      <c r="B521" s="5"/>
      <c r="C521" s="5"/>
      <c r="D521" s="6"/>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row>
    <row r="522">
      <c r="A522" s="5"/>
      <c r="B522" s="5"/>
      <c r="C522" s="5"/>
      <c r="D522" s="6"/>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row>
    <row r="523">
      <c r="A523" s="5"/>
      <c r="B523" s="5"/>
      <c r="C523" s="5"/>
      <c r="D523" s="6"/>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row>
    <row r="524">
      <c r="A524" s="5"/>
      <c r="B524" s="5"/>
      <c r="C524" s="5"/>
      <c r="D524" s="6"/>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row>
    <row r="525">
      <c r="A525" s="5"/>
      <c r="B525" s="5"/>
      <c r="C525" s="5"/>
      <c r="D525" s="6"/>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row>
    <row r="526">
      <c r="A526" s="5"/>
      <c r="B526" s="5"/>
      <c r="C526" s="5"/>
      <c r="D526" s="6"/>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row>
    <row r="527">
      <c r="A527" s="5"/>
      <c r="B527" s="5"/>
      <c r="C527" s="5"/>
      <c r="D527" s="6"/>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row>
    <row r="528">
      <c r="A528" s="5"/>
      <c r="B528" s="5"/>
      <c r="C528" s="5"/>
      <c r="D528" s="6"/>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row>
    <row r="529">
      <c r="A529" s="5"/>
      <c r="B529" s="5"/>
      <c r="C529" s="5"/>
      <c r="D529" s="6"/>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row>
    <row r="530">
      <c r="A530" s="5"/>
      <c r="B530" s="5"/>
      <c r="C530" s="5"/>
      <c r="D530" s="6"/>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row>
    <row r="531">
      <c r="A531" s="5"/>
      <c r="B531" s="5"/>
      <c r="C531" s="5"/>
      <c r="D531" s="6"/>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row>
    <row r="532">
      <c r="A532" s="5"/>
      <c r="B532" s="5"/>
      <c r="C532" s="5"/>
      <c r="D532" s="6"/>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row>
    <row r="533">
      <c r="A533" s="5"/>
      <c r="B533" s="5"/>
      <c r="C533" s="5"/>
      <c r="D533" s="6"/>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row>
    <row r="534">
      <c r="A534" s="5"/>
      <c r="B534" s="5"/>
      <c r="C534" s="5"/>
      <c r="D534" s="6"/>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row>
    <row r="535">
      <c r="A535" s="5"/>
      <c r="B535" s="5"/>
      <c r="C535" s="5"/>
      <c r="D535" s="6"/>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row>
    <row r="536">
      <c r="A536" s="5"/>
      <c r="B536" s="5"/>
      <c r="C536" s="5"/>
      <c r="D536" s="6"/>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row>
    <row r="537">
      <c r="A537" s="5"/>
      <c r="B537" s="5"/>
      <c r="C537" s="5"/>
      <c r="D537" s="6"/>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row>
    <row r="538">
      <c r="A538" s="5"/>
      <c r="B538" s="5"/>
      <c r="C538" s="5"/>
      <c r="D538" s="6"/>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row>
    <row r="539">
      <c r="A539" s="5"/>
      <c r="B539" s="5"/>
      <c r="C539" s="5"/>
      <c r="D539" s="6"/>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row>
    <row r="540">
      <c r="A540" s="5"/>
      <c r="B540" s="5"/>
      <c r="C540" s="5"/>
      <c r="D540" s="6"/>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row>
    <row r="541">
      <c r="A541" s="5"/>
      <c r="B541" s="5"/>
      <c r="C541" s="5"/>
      <c r="D541" s="6"/>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row>
    <row r="542">
      <c r="A542" s="5"/>
      <c r="B542" s="5"/>
      <c r="C542" s="5"/>
      <c r="D542" s="6"/>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row>
    <row r="543">
      <c r="A543" s="5"/>
      <c r="B543" s="5"/>
      <c r="C543" s="5"/>
      <c r="D543" s="6"/>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row>
    <row r="544">
      <c r="A544" s="5"/>
      <c r="B544" s="5"/>
      <c r="C544" s="5"/>
      <c r="D544" s="6"/>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row>
    <row r="545">
      <c r="A545" s="5"/>
      <c r="B545" s="5"/>
      <c r="C545" s="5"/>
      <c r="D545" s="6"/>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row>
    <row r="546">
      <c r="A546" s="5"/>
      <c r="B546" s="5"/>
      <c r="C546" s="5"/>
      <c r="D546" s="6"/>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row>
    <row r="547">
      <c r="A547" s="5"/>
      <c r="B547" s="5"/>
      <c r="C547" s="5"/>
      <c r="D547" s="6"/>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row>
    <row r="548">
      <c r="A548" s="5"/>
      <c r="B548" s="5"/>
      <c r="C548" s="5"/>
      <c r="D548" s="6"/>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row>
    <row r="549">
      <c r="A549" s="5"/>
      <c r="B549" s="5"/>
      <c r="C549" s="5"/>
      <c r="D549" s="6"/>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row>
    <row r="550">
      <c r="A550" s="5"/>
      <c r="B550" s="5"/>
      <c r="C550" s="5"/>
      <c r="D550" s="6"/>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row>
    <row r="551">
      <c r="A551" s="5"/>
      <c r="B551" s="5"/>
      <c r="C551" s="5"/>
      <c r="D551" s="6"/>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row>
    <row r="552">
      <c r="A552" s="5"/>
      <c r="B552" s="5"/>
      <c r="C552" s="5"/>
      <c r="D552" s="6"/>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row>
    <row r="553">
      <c r="A553" s="5"/>
      <c r="B553" s="5"/>
      <c r="C553" s="5"/>
      <c r="D553" s="6"/>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row>
    <row r="554">
      <c r="A554" s="5"/>
      <c r="B554" s="5"/>
      <c r="C554" s="5"/>
      <c r="D554" s="6"/>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row>
    <row r="555">
      <c r="A555" s="5"/>
      <c r="B555" s="5"/>
      <c r="C555" s="5"/>
      <c r="D555" s="6"/>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row>
    <row r="556">
      <c r="A556" s="5"/>
      <c r="B556" s="5"/>
      <c r="C556" s="5"/>
      <c r="D556" s="6"/>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row>
    <row r="557">
      <c r="A557" s="5"/>
      <c r="B557" s="5"/>
      <c r="C557" s="5"/>
      <c r="D557" s="6"/>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row>
    <row r="558">
      <c r="A558" s="5"/>
      <c r="B558" s="5"/>
      <c r="C558" s="5"/>
      <c r="D558" s="6"/>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row>
    <row r="559">
      <c r="A559" s="5"/>
      <c r="B559" s="5"/>
      <c r="C559" s="5"/>
      <c r="D559" s="6"/>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row>
    <row r="560">
      <c r="A560" s="5"/>
      <c r="B560" s="5"/>
      <c r="C560" s="5"/>
      <c r="D560" s="6"/>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row>
    <row r="561">
      <c r="A561" s="5"/>
      <c r="B561" s="5"/>
      <c r="C561" s="5"/>
      <c r="D561" s="6"/>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row>
    <row r="562">
      <c r="A562" s="5"/>
      <c r="B562" s="5"/>
      <c r="C562" s="5"/>
      <c r="D562" s="6"/>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row>
    <row r="563">
      <c r="A563" s="5"/>
      <c r="B563" s="5"/>
      <c r="C563" s="5"/>
      <c r="D563" s="6"/>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row>
    <row r="564">
      <c r="A564" s="5"/>
      <c r="B564" s="5"/>
      <c r="C564" s="5"/>
      <c r="D564" s="6"/>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row>
    <row r="565">
      <c r="A565" s="5"/>
      <c r="B565" s="5"/>
      <c r="C565" s="5"/>
      <c r="D565" s="6"/>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row>
    <row r="566">
      <c r="A566" s="5"/>
      <c r="B566" s="5"/>
      <c r="C566" s="5"/>
      <c r="D566" s="6"/>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row>
    <row r="567">
      <c r="A567" s="5"/>
      <c r="B567" s="5"/>
      <c r="C567" s="5"/>
      <c r="D567" s="6"/>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row>
    <row r="568">
      <c r="A568" s="5"/>
      <c r="B568" s="5"/>
      <c r="C568" s="5"/>
      <c r="D568" s="6"/>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row>
    <row r="569">
      <c r="A569" s="5"/>
      <c r="B569" s="5"/>
      <c r="C569" s="5"/>
      <c r="D569" s="6"/>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row>
    <row r="570">
      <c r="A570" s="5"/>
      <c r="B570" s="5"/>
      <c r="C570" s="5"/>
      <c r="D570" s="6"/>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row>
    <row r="571">
      <c r="A571" s="5"/>
      <c r="B571" s="5"/>
      <c r="C571" s="5"/>
      <c r="D571" s="6"/>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row>
    <row r="572">
      <c r="A572" s="5"/>
      <c r="B572" s="5"/>
      <c r="C572" s="5"/>
      <c r="D572" s="6"/>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row>
    <row r="573">
      <c r="A573" s="5"/>
      <c r="B573" s="5"/>
      <c r="C573" s="5"/>
      <c r="D573" s="6"/>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row>
    <row r="574">
      <c r="A574" s="5"/>
      <c r="B574" s="5"/>
      <c r="C574" s="5"/>
      <c r="D574" s="6"/>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row>
    <row r="575">
      <c r="A575" s="5"/>
      <c r="B575" s="5"/>
      <c r="C575" s="5"/>
      <c r="D575" s="6"/>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row>
    <row r="576">
      <c r="A576" s="5"/>
      <c r="B576" s="5"/>
      <c r="C576" s="5"/>
      <c r="D576" s="6"/>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row>
    <row r="577">
      <c r="A577" s="5"/>
      <c r="B577" s="5"/>
      <c r="C577" s="5"/>
      <c r="D577" s="6"/>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row>
    <row r="578">
      <c r="A578" s="5"/>
      <c r="B578" s="5"/>
      <c r="C578" s="5"/>
      <c r="D578" s="6"/>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row>
    <row r="579">
      <c r="A579" s="5"/>
      <c r="B579" s="5"/>
      <c r="C579" s="5"/>
      <c r="D579" s="6"/>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row>
    <row r="580">
      <c r="A580" s="5"/>
      <c r="B580" s="5"/>
      <c r="C580" s="5"/>
      <c r="D580" s="6"/>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row>
    <row r="581">
      <c r="A581" s="5"/>
      <c r="B581" s="5"/>
      <c r="C581" s="5"/>
      <c r="D581" s="6"/>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row>
    <row r="582">
      <c r="A582" s="5"/>
      <c r="B582" s="5"/>
      <c r="C582" s="5"/>
      <c r="D582" s="6"/>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row>
    <row r="583">
      <c r="A583" s="5"/>
      <c r="B583" s="5"/>
      <c r="C583" s="5"/>
      <c r="D583" s="6"/>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row>
    <row r="584">
      <c r="A584" s="5"/>
      <c r="B584" s="5"/>
      <c r="C584" s="5"/>
      <c r="D584" s="6"/>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row>
    <row r="585">
      <c r="A585" s="5"/>
      <c r="B585" s="5"/>
      <c r="C585" s="5"/>
      <c r="D585" s="6"/>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row>
    <row r="586">
      <c r="A586" s="5"/>
      <c r="B586" s="5"/>
      <c r="C586" s="5"/>
      <c r="D586" s="6"/>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row>
    <row r="587">
      <c r="A587" s="5"/>
      <c r="B587" s="5"/>
      <c r="C587" s="5"/>
      <c r="D587" s="6"/>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row>
    <row r="588">
      <c r="A588" s="5"/>
      <c r="B588" s="5"/>
      <c r="C588" s="5"/>
      <c r="D588" s="6"/>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row>
    <row r="589">
      <c r="A589" s="5"/>
      <c r="B589" s="5"/>
      <c r="C589" s="5"/>
      <c r="D589" s="6"/>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row>
    <row r="590">
      <c r="A590" s="5"/>
      <c r="B590" s="5"/>
      <c r="C590" s="5"/>
      <c r="D590" s="6"/>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row>
    <row r="591">
      <c r="A591" s="5"/>
      <c r="B591" s="5"/>
      <c r="C591" s="5"/>
      <c r="D591" s="6"/>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row>
    <row r="592">
      <c r="A592" s="5"/>
      <c r="B592" s="5"/>
      <c r="C592" s="5"/>
      <c r="D592" s="6"/>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row>
    <row r="593">
      <c r="A593" s="5"/>
      <c r="B593" s="5"/>
      <c r="C593" s="5"/>
      <c r="D593" s="6"/>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row>
    <row r="594">
      <c r="A594" s="5"/>
      <c r="B594" s="5"/>
      <c r="C594" s="5"/>
      <c r="D594" s="6"/>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row>
    <row r="595">
      <c r="A595" s="5"/>
      <c r="B595" s="5"/>
      <c r="C595" s="5"/>
      <c r="D595" s="6"/>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row>
    <row r="596">
      <c r="A596" s="5"/>
      <c r="B596" s="5"/>
      <c r="C596" s="5"/>
      <c r="D596" s="6"/>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row>
    <row r="597">
      <c r="A597" s="5"/>
      <c r="B597" s="5"/>
      <c r="C597" s="5"/>
      <c r="D597" s="6"/>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row>
    <row r="598">
      <c r="A598" s="5"/>
      <c r="B598" s="5"/>
      <c r="C598" s="5"/>
      <c r="D598" s="6"/>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row>
    <row r="599">
      <c r="A599" s="5"/>
      <c r="B599" s="5"/>
      <c r="C599" s="5"/>
      <c r="D599" s="6"/>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row>
    <row r="600">
      <c r="A600" s="5"/>
      <c r="B600" s="5"/>
      <c r="C600" s="5"/>
      <c r="D600" s="6"/>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row>
    <row r="601">
      <c r="A601" s="5"/>
      <c r="B601" s="5"/>
      <c r="C601" s="5"/>
      <c r="D601" s="6"/>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row>
    <row r="602">
      <c r="A602" s="5"/>
      <c r="B602" s="5"/>
      <c r="C602" s="5"/>
      <c r="D602" s="6"/>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row>
    <row r="603">
      <c r="A603" s="5"/>
      <c r="B603" s="5"/>
      <c r="C603" s="5"/>
      <c r="D603" s="6"/>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row>
    <row r="604">
      <c r="A604" s="5"/>
      <c r="B604" s="5"/>
      <c r="C604" s="5"/>
      <c r="D604" s="6"/>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row>
    <row r="605">
      <c r="A605" s="5"/>
      <c r="B605" s="5"/>
      <c r="C605" s="5"/>
      <c r="D605" s="6"/>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row>
    <row r="606">
      <c r="A606" s="5"/>
      <c r="B606" s="5"/>
      <c r="C606" s="5"/>
      <c r="D606" s="6"/>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row>
    <row r="607">
      <c r="A607" s="5"/>
      <c r="B607" s="5"/>
      <c r="C607" s="5"/>
      <c r="D607" s="6"/>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row>
    <row r="608">
      <c r="A608" s="5"/>
      <c r="B608" s="5"/>
      <c r="C608" s="5"/>
      <c r="D608" s="6"/>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row>
    <row r="609">
      <c r="A609" s="5"/>
      <c r="B609" s="5"/>
      <c r="C609" s="5"/>
      <c r="D609" s="6"/>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row>
    <row r="610">
      <c r="A610" s="5"/>
      <c r="B610" s="5"/>
      <c r="C610" s="5"/>
      <c r="D610" s="6"/>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row>
    <row r="611">
      <c r="A611" s="5"/>
      <c r="B611" s="5"/>
      <c r="C611" s="5"/>
      <c r="D611" s="6"/>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row>
    <row r="612">
      <c r="A612" s="5"/>
      <c r="B612" s="5"/>
      <c r="C612" s="5"/>
      <c r="D612" s="6"/>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row>
    <row r="613">
      <c r="A613" s="5"/>
      <c r="B613" s="5"/>
      <c r="C613" s="5"/>
      <c r="D613" s="6"/>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row>
    <row r="614">
      <c r="A614" s="5"/>
      <c r="B614" s="5"/>
      <c r="C614" s="5"/>
      <c r="D614" s="6"/>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row>
    <row r="615">
      <c r="A615" s="5"/>
      <c r="B615" s="5"/>
      <c r="C615" s="5"/>
      <c r="D615" s="6"/>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row>
    <row r="616">
      <c r="A616" s="5"/>
      <c r="B616" s="5"/>
      <c r="C616" s="5"/>
      <c r="D616" s="6"/>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row>
    <row r="617">
      <c r="A617" s="5"/>
      <c r="B617" s="5"/>
      <c r="C617" s="5"/>
      <c r="D617" s="6"/>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row>
    <row r="618">
      <c r="A618" s="5"/>
      <c r="B618" s="5"/>
      <c r="C618" s="5"/>
      <c r="D618" s="6"/>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row>
    <row r="619">
      <c r="A619" s="5"/>
      <c r="B619" s="5"/>
      <c r="C619" s="5"/>
      <c r="D619" s="6"/>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row>
    <row r="620">
      <c r="A620" s="5"/>
      <c r="B620" s="5"/>
      <c r="C620" s="5"/>
      <c r="D620" s="6"/>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row>
    <row r="621">
      <c r="A621" s="5"/>
      <c r="B621" s="5"/>
      <c r="C621" s="5"/>
      <c r="D621" s="6"/>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row>
    <row r="622">
      <c r="A622" s="5"/>
      <c r="B622" s="5"/>
      <c r="C622" s="5"/>
      <c r="D622" s="6"/>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row>
    <row r="623">
      <c r="A623" s="5"/>
      <c r="B623" s="5"/>
      <c r="C623" s="5"/>
      <c r="D623" s="6"/>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row>
    <row r="624">
      <c r="A624" s="5"/>
      <c r="B624" s="5"/>
      <c r="C624" s="5"/>
      <c r="D624" s="6"/>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row>
    <row r="625">
      <c r="A625" s="5"/>
      <c r="B625" s="5"/>
      <c r="C625" s="5"/>
      <c r="D625" s="6"/>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row>
    <row r="626">
      <c r="A626" s="5"/>
      <c r="B626" s="5"/>
      <c r="C626" s="5"/>
      <c r="D626" s="6"/>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row>
    <row r="627">
      <c r="A627" s="5"/>
      <c r="B627" s="5"/>
      <c r="C627" s="5"/>
      <c r="D627" s="6"/>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row>
    <row r="628">
      <c r="A628" s="5"/>
      <c r="B628" s="5"/>
      <c r="C628" s="5"/>
      <c r="D628" s="6"/>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row>
    <row r="629">
      <c r="A629" s="5"/>
      <c r="B629" s="5"/>
      <c r="C629" s="5"/>
      <c r="D629" s="6"/>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row>
    <row r="630">
      <c r="A630" s="5"/>
      <c r="B630" s="5"/>
      <c r="C630" s="5"/>
      <c r="D630" s="6"/>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row>
    <row r="631">
      <c r="A631" s="5"/>
      <c r="B631" s="5"/>
      <c r="C631" s="5"/>
      <c r="D631" s="6"/>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row>
    <row r="632">
      <c r="A632" s="5"/>
      <c r="B632" s="5"/>
      <c r="C632" s="5"/>
      <c r="D632" s="6"/>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row>
    <row r="633">
      <c r="A633" s="5"/>
      <c r="B633" s="5"/>
      <c r="C633" s="5"/>
      <c r="D633" s="6"/>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row>
    <row r="634">
      <c r="A634" s="5"/>
      <c r="B634" s="5"/>
      <c r="C634" s="5"/>
      <c r="D634" s="6"/>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row>
    <row r="635">
      <c r="A635" s="5"/>
      <c r="B635" s="5"/>
      <c r="C635" s="5"/>
      <c r="D635" s="6"/>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row>
    <row r="636">
      <c r="A636" s="5"/>
      <c r="B636" s="5"/>
      <c r="C636" s="5"/>
      <c r="D636" s="6"/>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row>
    <row r="637">
      <c r="A637" s="5"/>
      <c r="B637" s="5"/>
      <c r="C637" s="5"/>
      <c r="D637" s="6"/>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row>
    <row r="638">
      <c r="A638" s="5"/>
      <c r="B638" s="5"/>
      <c r="C638" s="5"/>
      <c r="D638" s="6"/>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row>
    <row r="639">
      <c r="A639" s="5"/>
      <c r="B639" s="5"/>
      <c r="C639" s="5"/>
      <c r="D639" s="6"/>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row>
    <row r="640">
      <c r="A640" s="5"/>
      <c r="B640" s="5"/>
      <c r="C640" s="5"/>
      <c r="D640" s="6"/>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row>
    <row r="641">
      <c r="A641" s="5"/>
      <c r="B641" s="5"/>
      <c r="C641" s="5"/>
      <c r="D641" s="6"/>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row>
    <row r="642">
      <c r="A642" s="5"/>
      <c r="B642" s="5"/>
      <c r="C642" s="5"/>
      <c r="D642" s="6"/>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row>
    <row r="643">
      <c r="A643" s="5"/>
      <c r="B643" s="5"/>
      <c r="C643" s="5"/>
      <c r="D643" s="6"/>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row>
    <row r="644">
      <c r="A644" s="5"/>
      <c r="B644" s="5"/>
      <c r="C644" s="5"/>
      <c r="D644" s="6"/>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row>
    <row r="645">
      <c r="A645" s="5"/>
      <c r="B645" s="5"/>
      <c r="C645" s="5"/>
      <c r="D645" s="6"/>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row>
    <row r="646">
      <c r="A646" s="5"/>
      <c r="B646" s="5"/>
      <c r="C646" s="5"/>
      <c r="D646" s="6"/>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row>
    <row r="647">
      <c r="A647" s="5"/>
      <c r="B647" s="5"/>
      <c r="C647" s="5"/>
      <c r="D647" s="6"/>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row>
    <row r="648">
      <c r="A648" s="5"/>
      <c r="B648" s="5"/>
      <c r="C648" s="5"/>
      <c r="D648" s="6"/>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row>
    <row r="649">
      <c r="A649" s="5"/>
      <c r="B649" s="5"/>
      <c r="C649" s="5"/>
      <c r="D649" s="6"/>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row>
    <row r="650">
      <c r="A650" s="5"/>
      <c r="B650" s="5"/>
      <c r="C650" s="5"/>
      <c r="D650" s="6"/>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row>
    <row r="651">
      <c r="A651" s="5"/>
      <c r="B651" s="5"/>
      <c r="C651" s="5"/>
      <c r="D651" s="6"/>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row>
    <row r="652">
      <c r="A652" s="5"/>
      <c r="B652" s="5"/>
      <c r="C652" s="5"/>
      <c r="D652" s="6"/>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row>
    <row r="653">
      <c r="A653" s="5"/>
      <c r="B653" s="5"/>
      <c r="C653" s="5"/>
      <c r="D653" s="6"/>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row>
    <row r="654">
      <c r="A654" s="5"/>
      <c r="B654" s="5"/>
      <c r="C654" s="5"/>
      <c r="D654" s="6"/>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row>
    <row r="655">
      <c r="A655" s="5"/>
      <c r="B655" s="5"/>
      <c r="C655" s="5"/>
      <c r="D655" s="6"/>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row>
    <row r="656">
      <c r="A656" s="5"/>
      <c r="B656" s="5"/>
      <c r="C656" s="5"/>
      <c r="D656" s="6"/>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row>
    <row r="657">
      <c r="A657" s="5"/>
      <c r="B657" s="5"/>
      <c r="C657" s="5"/>
      <c r="D657" s="6"/>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row>
    <row r="658">
      <c r="A658" s="5"/>
      <c r="B658" s="5"/>
      <c r="C658" s="5"/>
      <c r="D658" s="6"/>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row>
    <row r="659">
      <c r="A659" s="5"/>
      <c r="B659" s="5"/>
      <c r="C659" s="5"/>
      <c r="D659" s="6"/>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row>
    <row r="660">
      <c r="A660" s="5"/>
      <c r="B660" s="5"/>
      <c r="C660" s="5"/>
      <c r="D660" s="6"/>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row>
    <row r="661">
      <c r="A661" s="5"/>
      <c r="B661" s="5"/>
      <c r="C661" s="5"/>
      <c r="D661" s="6"/>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row>
    <row r="662">
      <c r="A662" s="5"/>
      <c r="B662" s="5"/>
      <c r="C662" s="5"/>
      <c r="D662" s="6"/>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row>
    <row r="663">
      <c r="A663" s="5"/>
      <c r="B663" s="5"/>
      <c r="C663" s="5"/>
      <c r="D663" s="6"/>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row>
    <row r="664">
      <c r="A664" s="5"/>
      <c r="B664" s="5"/>
      <c r="C664" s="5"/>
      <c r="D664" s="6"/>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row>
    <row r="665">
      <c r="A665" s="5"/>
      <c r="B665" s="5"/>
      <c r="C665" s="5"/>
      <c r="D665" s="6"/>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row>
    <row r="666">
      <c r="A666" s="5"/>
      <c r="B666" s="5"/>
      <c r="C666" s="5"/>
      <c r="D666" s="6"/>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row>
    <row r="667">
      <c r="A667" s="5"/>
      <c r="B667" s="5"/>
      <c r="C667" s="5"/>
      <c r="D667" s="6"/>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row>
    <row r="668">
      <c r="A668" s="5"/>
      <c r="B668" s="5"/>
      <c r="C668" s="5"/>
      <c r="D668" s="6"/>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row>
    <row r="669">
      <c r="A669" s="5"/>
      <c r="B669" s="5"/>
      <c r="C669" s="5"/>
      <c r="D669" s="6"/>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row>
    <row r="670">
      <c r="A670" s="5"/>
      <c r="B670" s="5"/>
      <c r="C670" s="5"/>
      <c r="D670" s="6"/>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row>
    <row r="671">
      <c r="A671" s="5"/>
      <c r="B671" s="5"/>
      <c r="C671" s="5"/>
      <c r="D671" s="6"/>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row>
    <row r="672">
      <c r="A672" s="5"/>
      <c r="B672" s="5"/>
      <c r="C672" s="5"/>
      <c r="D672" s="6"/>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row>
    <row r="673">
      <c r="A673" s="5"/>
      <c r="B673" s="5"/>
      <c r="C673" s="5"/>
      <c r="D673" s="6"/>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row>
    <row r="674">
      <c r="A674" s="5"/>
      <c r="B674" s="5"/>
      <c r="C674" s="5"/>
      <c r="D674" s="6"/>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row>
    <row r="675">
      <c r="A675" s="5"/>
      <c r="B675" s="5"/>
      <c r="C675" s="5"/>
      <c r="D675" s="6"/>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row>
    <row r="676">
      <c r="A676" s="5"/>
      <c r="B676" s="5"/>
      <c r="C676" s="5"/>
      <c r="D676" s="6"/>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row>
    <row r="677">
      <c r="A677" s="5"/>
      <c r="B677" s="5"/>
      <c r="C677" s="5"/>
      <c r="D677" s="6"/>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row>
    <row r="678">
      <c r="A678" s="5"/>
      <c r="B678" s="5"/>
      <c r="C678" s="5"/>
      <c r="D678" s="6"/>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row>
    <row r="679">
      <c r="A679" s="5"/>
      <c r="B679" s="5"/>
      <c r="C679" s="5"/>
      <c r="D679" s="6"/>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row>
    <row r="680">
      <c r="A680" s="5"/>
      <c r="B680" s="5"/>
      <c r="C680" s="5"/>
      <c r="D680" s="6"/>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row>
    <row r="681">
      <c r="A681" s="5"/>
      <c r="B681" s="5"/>
      <c r="C681" s="5"/>
      <c r="D681" s="6"/>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row>
    <row r="682">
      <c r="A682" s="5"/>
      <c r="B682" s="5"/>
      <c r="C682" s="5"/>
      <c r="D682" s="6"/>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row>
    <row r="683">
      <c r="A683" s="5"/>
      <c r="B683" s="5"/>
      <c r="C683" s="5"/>
      <c r="D683" s="6"/>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row>
    <row r="684">
      <c r="A684" s="5"/>
      <c r="B684" s="5"/>
      <c r="C684" s="5"/>
      <c r="D684" s="6"/>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row>
    <row r="685">
      <c r="A685" s="5"/>
      <c r="B685" s="5"/>
      <c r="C685" s="5"/>
      <c r="D685" s="6"/>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row>
    <row r="686">
      <c r="A686" s="5"/>
      <c r="B686" s="5"/>
      <c r="C686" s="5"/>
      <c r="D686" s="6"/>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row>
    <row r="687">
      <c r="A687" s="5"/>
      <c r="B687" s="5"/>
      <c r="C687" s="5"/>
      <c r="D687" s="6"/>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row>
    <row r="688">
      <c r="A688" s="5"/>
      <c r="B688" s="5"/>
      <c r="C688" s="5"/>
      <c r="D688" s="6"/>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row>
    <row r="689">
      <c r="A689" s="5"/>
      <c r="B689" s="5"/>
      <c r="C689" s="5"/>
      <c r="D689" s="6"/>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row>
    <row r="690">
      <c r="A690" s="5"/>
      <c r="B690" s="5"/>
      <c r="C690" s="5"/>
      <c r="D690" s="6"/>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row>
    <row r="691">
      <c r="A691" s="5"/>
      <c r="B691" s="5"/>
      <c r="C691" s="5"/>
      <c r="D691" s="6"/>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row>
    <row r="692">
      <c r="A692" s="5"/>
      <c r="B692" s="5"/>
      <c r="C692" s="5"/>
      <c r="D692" s="6"/>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row>
    <row r="693">
      <c r="A693" s="5"/>
      <c r="B693" s="5"/>
      <c r="C693" s="5"/>
      <c r="D693" s="6"/>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row>
    <row r="694">
      <c r="A694" s="5"/>
      <c r="B694" s="5"/>
      <c r="C694" s="5"/>
      <c r="D694" s="6"/>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row>
    <row r="695">
      <c r="A695" s="5"/>
      <c r="B695" s="5"/>
      <c r="C695" s="5"/>
      <c r="D695" s="6"/>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row>
    <row r="696">
      <c r="A696" s="5"/>
      <c r="B696" s="5"/>
      <c r="C696" s="5"/>
      <c r="D696" s="6"/>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row>
    <row r="697">
      <c r="A697" s="5"/>
      <c r="B697" s="5"/>
      <c r="C697" s="5"/>
      <c r="D697" s="6"/>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row>
    <row r="698">
      <c r="A698" s="5"/>
      <c r="B698" s="5"/>
      <c r="C698" s="5"/>
      <c r="D698" s="6"/>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row>
    <row r="699">
      <c r="A699" s="5"/>
      <c r="B699" s="5"/>
      <c r="C699" s="5"/>
      <c r="D699" s="6"/>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row>
    <row r="700">
      <c r="A700" s="5"/>
      <c r="B700" s="5"/>
      <c r="C700" s="5"/>
      <c r="D700" s="6"/>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row>
    <row r="701">
      <c r="A701" s="5"/>
      <c r="B701" s="5"/>
      <c r="C701" s="5"/>
      <c r="D701" s="6"/>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row>
    <row r="702">
      <c r="A702" s="5"/>
      <c r="B702" s="5"/>
      <c r="C702" s="5"/>
      <c r="D702" s="6"/>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row>
    <row r="703">
      <c r="A703" s="5"/>
      <c r="B703" s="5"/>
      <c r="C703" s="5"/>
      <c r="D703" s="6"/>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row>
    <row r="704">
      <c r="A704" s="5"/>
      <c r="B704" s="5"/>
      <c r="C704" s="5"/>
      <c r="D704" s="6"/>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row>
    <row r="705">
      <c r="A705" s="5"/>
      <c r="B705" s="5"/>
      <c r="C705" s="5"/>
      <c r="D705" s="6"/>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row>
    <row r="706">
      <c r="A706" s="5"/>
      <c r="B706" s="5"/>
      <c r="C706" s="5"/>
      <c r="D706" s="6"/>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row>
    <row r="707">
      <c r="A707" s="5"/>
      <c r="B707" s="5"/>
      <c r="C707" s="5"/>
      <c r="D707" s="6"/>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row>
    <row r="708">
      <c r="A708" s="5"/>
      <c r="B708" s="5"/>
      <c r="C708" s="5"/>
      <c r="D708" s="6"/>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row>
    <row r="709">
      <c r="A709" s="5"/>
      <c r="B709" s="5"/>
      <c r="C709" s="5"/>
      <c r="D709" s="6"/>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row>
    <row r="710">
      <c r="A710" s="5"/>
      <c r="B710" s="5"/>
      <c r="C710" s="5"/>
      <c r="D710" s="6"/>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row>
    <row r="711">
      <c r="A711" s="5"/>
      <c r="B711" s="5"/>
      <c r="C711" s="5"/>
      <c r="D711" s="6"/>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row>
    <row r="712">
      <c r="A712" s="5"/>
      <c r="B712" s="5"/>
      <c r="C712" s="5"/>
      <c r="D712" s="6"/>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row>
    <row r="713">
      <c r="A713" s="5"/>
      <c r="B713" s="5"/>
      <c r="C713" s="5"/>
      <c r="D713" s="6"/>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row>
    <row r="714">
      <c r="A714" s="5"/>
      <c r="B714" s="5"/>
      <c r="C714" s="5"/>
      <c r="D714" s="6"/>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row>
    <row r="715">
      <c r="A715" s="5"/>
      <c r="B715" s="5"/>
      <c r="C715" s="5"/>
      <c r="D715" s="6"/>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row>
    <row r="716">
      <c r="A716" s="5"/>
      <c r="B716" s="5"/>
      <c r="C716" s="5"/>
      <c r="D716" s="6"/>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row>
    <row r="717">
      <c r="A717" s="5"/>
      <c r="B717" s="5"/>
      <c r="C717" s="5"/>
      <c r="D717" s="6"/>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row>
    <row r="718">
      <c r="A718" s="5"/>
      <c r="B718" s="5"/>
      <c r="C718" s="5"/>
      <c r="D718" s="6"/>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row>
    <row r="719">
      <c r="A719" s="5"/>
      <c r="B719" s="5"/>
      <c r="C719" s="5"/>
      <c r="D719" s="6"/>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row>
    <row r="720">
      <c r="A720" s="5"/>
      <c r="B720" s="5"/>
      <c r="C720" s="5"/>
      <c r="D720" s="6"/>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row>
    <row r="721">
      <c r="A721" s="5"/>
      <c r="B721" s="5"/>
      <c r="C721" s="5"/>
      <c r="D721" s="6"/>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row>
    <row r="722">
      <c r="A722" s="5"/>
      <c r="B722" s="5"/>
      <c r="C722" s="5"/>
      <c r="D722" s="6"/>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row>
    <row r="723">
      <c r="A723" s="5"/>
      <c r="B723" s="5"/>
      <c r="C723" s="5"/>
      <c r="D723" s="6"/>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row>
    <row r="724">
      <c r="A724" s="5"/>
      <c r="B724" s="5"/>
      <c r="C724" s="5"/>
      <c r="D724" s="6"/>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row>
    <row r="725">
      <c r="A725" s="5"/>
      <c r="B725" s="5"/>
      <c r="C725" s="5"/>
      <c r="D725" s="6"/>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row>
    <row r="726">
      <c r="A726" s="5"/>
      <c r="B726" s="5"/>
      <c r="C726" s="5"/>
      <c r="D726" s="6"/>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row>
    <row r="727">
      <c r="A727" s="5"/>
      <c r="B727" s="5"/>
      <c r="C727" s="5"/>
      <c r="D727" s="6"/>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row>
    <row r="728">
      <c r="A728" s="5"/>
      <c r="B728" s="5"/>
      <c r="C728" s="5"/>
      <c r="D728" s="6"/>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row>
    <row r="729">
      <c r="A729" s="5"/>
      <c r="B729" s="5"/>
      <c r="C729" s="5"/>
      <c r="D729" s="6"/>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row>
    <row r="730">
      <c r="A730" s="5"/>
      <c r="B730" s="5"/>
      <c r="C730" s="5"/>
      <c r="D730" s="6"/>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row>
    <row r="731">
      <c r="A731" s="5"/>
      <c r="B731" s="5"/>
      <c r="C731" s="5"/>
      <c r="D731" s="6"/>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row>
    <row r="732">
      <c r="A732" s="5"/>
      <c r="B732" s="5"/>
      <c r="C732" s="5"/>
      <c r="D732" s="6"/>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row>
    <row r="733">
      <c r="A733" s="5"/>
      <c r="B733" s="5"/>
      <c r="C733" s="5"/>
      <c r="D733" s="6"/>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row>
    <row r="734">
      <c r="A734" s="5"/>
      <c r="B734" s="5"/>
      <c r="C734" s="5"/>
      <c r="D734" s="6"/>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row>
    <row r="735">
      <c r="A735" s="5"/>
      <c r="B735" s="5"/>
      <c r="C735" s="5"/>
      <c r="D735" s="6"/>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row>
    <row r="736">
      <c r="A736" s="5"/>
      <c r="B736" s="5"/>
      <c r="C736" s="5"/>
      <c r="D736" s="6"/>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row>
    <row r="737">
      <c r="A737" s="5"/>
      <c r="B737" s="5"/>
      <c r="C737" s="5"/>
      <c r="D737" s="6"/>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row>
    <row r="738">
      <c r="A738" s="5"/>
      <c r="B738" s="5"/>
      <c r="C738" s="5"/>
      <c r="D738" s="6"/>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row>
    <row r="739">
      <c r="A739" s="5"/>
      <c r="B739" s="5"/>
      <c r="C739" s="5"/>
      <c r="D739" s="6"/>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row>
    <row r="740">
      <c r="A740" s="5"/>
      <c r="B740" s="5"/>
      <c r="C740" s="5"/>
      <c r="D740" s="6"/>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row>
    <row r="741">
      <c r="A741" s="5"/>
      <c r="B741" s="5"/>
      <c r="C741" s="5"/>
      <c r="D741" s="6"/>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row>
    <row r="742">
      <c r="A742" s="5"/>
      <c r="B742" s="5"/>
      <c r="C742" s="5"/>
      <c r="D742" s="6"/>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row>
    <row r="743">
      <c r="A743" s="5"/>
      <c r="B743" s="5"/>
      <c r="C743" s="5"/>
      <c r="D743" s="6"/>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row>
    <row r="744">
      <c r="A744" s="5"/>
      <c r="B744" s="5"/>
      <c r="C744" s="5"/>
      <c r="D744" s="6"/>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row>
    <row r="745">
      <c r="A745" s="5"/>
      <c r="B745" s="5"/>
      <c r="C745" s="5"/>
      <c r="D745" s="6"/>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row>
    <row r="746">
      <c r="A746" s="5"/>
      <c r="B746" s="5"/>
      <c r="C746" s="5"/>
      <c r="D746" s="6"/>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row>
    <row r="747">
      <c r="A747" s="5"/>
      <c r="B747" s="5"/>
      <c r="C747" s="5"/>
      <c r="D747" s="6"/>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row>
    <row r="748">
      <c r="A748" s="5"/>
      <c r="B748" s="5"/>
      <c r="C748" s="5"/>
      <c r="D748" s="6"/>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row>
    <row r="749">
      <c r="A749" s="5"/>
      <c r="B749" s="5"/>
      <c r="C749" s="5"/>
      <c r="D749" s="6"/>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row>
    <row r="750">
      <c r="A750" s="5"/>
      <c r="B750" s="5"/>
      <c r="C750" s="5"/>
      <c r="D750" s="6"/>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row>
    <row r="751">
      <c r="A751" s="5"/>
      <c r="B751" s="5"/>
      <c r="C751" s="5"/>
      <c r="D751" s="6"/>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row>
    <row r="752">
      <c r="A752" s="5"/>
      <c r="B752" s="5"/>
      <c r="C752" s="5"/>
      <c r="D752" s="6"/>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row>
    <row r="753">
      <c r="A753" s="5"/>
      <c r="B753" s="5"/>
      <c r="C753" s="5"/>
      <c r="D753" s="6"/>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row>
    <row r="754">
      <c r="A754" s="5"/>
      <c r="B754" s="5"/>
      <c r="C754" s="5"/>
      <c r="D754" s="6"/>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row>
    <row r="755">
      <c r="A755" s="5"/>
      <c r="B755" s="5"/>
      <c r="C755" s="5"/>
      <c r="D755" s="6"/>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row>
    <row r="756">
      <c r="A756" s="5"/>
      <c r="B756" s="5"/>
      <c r="C756" s="5"/>
      <c r="D756" s="6"/>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row>
    <row r="757">
      <c r="A757" s="5"/>
      <c r="B757" s="5"/>
      <c r="C757" s="5"/>
      <c r="D757" s="6"/>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row>
    <row r="758">
      <c r="A758" s="5"/>
      <c r="B758" s="5"/>
      <c r="C758" s="5"/>
      <c r="D758" s="6"/>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row>
    <row r="759">
      <c r="A759" s="5"/>
      <c r="B759" s="5"/>
      <c r="C759" s="5"/>
      <c r="D759" s="6"/>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row>
    <row r="760">
      <c r="A760" s="5"/>
      <c r="B760" s="5"/>
      <c r="C760" s="5"/>
      <c r="D760" s="6"/>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row>
    <row r="761">
      <c r="A761" s="5"/>
      <c r="B761" s="5"/>
      <c r="C761" s="5"/>
      <c r="D761" s="6"/>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row>
    <row r="762">
      <c r="A762" s="5"/>
      <c r="B762" s="5"/>
      <c r="C762" s="5"/>
      <c r="D762" s="6"/>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row>
    <row r="763">
      <c r="A763" s="5"/>
      <c r="B763" s="5"/>
      <c r="C763" s="5"/>
      <c r="D763" s="6"/>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row>
    <row r="764">
      <c r="A764" s="5"/>
      <c r="B764" s="5"/>
      <c r="C764" s="5"/>
      <c r="D764" s="6"/>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row>
    <row r="765">
      <c r="A765" s="5"/>
      <c r="B765" s="5"/>
      <c r="C765" s="5"/>
      <c r="D765" s="6"/>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row>
    <row r="766">
      <c r="A766" s="5"/>
      <c r="B766" s="5"/>
      <c r="C766" s="5"/>
      <c r="D766" s="6"/>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row>
    <row r="767">
      <c r="A767" s="5"/>
      <c r="B767" s="5"/>
      <c r="C767" s="5"/>
      <c r="D767" s="6"/>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row>
    <row r="768">
      <c r="A768" s="5"/>
      <c r="B768" s="5"/>
      <c r="C768" s="5"/>
      <c r="D768" s="6"/>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row>
    <row r="769">
      <c r="A769" s="5"/>
      <c r="B769" s="5"/>
      <c r="C769" s="5"/>
      <c r="D769" s="6"/>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row>
    <row r="770">
      <c r="A770" s="5"/>
      <c r="B770" s="5"/>
      <c r="C770" s="5"/>
      <c r="D770" s="6"/>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row>
    <row r="771">
      <c r="A771" s="5"/>
      <c r="B771" s="5"/>
      <c r="C771" s="5"/>
      <c r="D771" s="6"/>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row>
    <row r="772">
      <c r="A772" s="5"/>
      <c r="B772" s="5"/>
      <c r="C772" s="5"/>
      <c r="D772" s="6"/>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row>
    <row r="773">
      <c r="A773" s="5"/>
      <c r="B773" s="5"/>
      <c r="C773" s="5"/>
      <c r="D773" s="6"/>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row>
    <row r="774">
      <c r="A774" s="5"/>
      <c r="B774" s="5"/>
      <c r="C774" s="5"/>
      <c r="D774" s="6"/>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row>
    <row r="775">
      <c r="A775" s="5"/>
      <c r="B775" s="5"/>
      <c r="C775" s="5"/>
      <c r="D775" s="6"/>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row>
    <row r="776">
      <c r="A776" s="5"/>
      <c r="B776" s="5"/>
      <c r="C776" s="5"/>
      <c r="D776" s="6"/>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row>
    <row r="777">
      <c r="A777" s="5"/>
      <c r="B777" s="5"/>
      <c r="C777" s="5"/>
      <c r="D777" s="6"/>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row>
    <row r="778">
      <c r="A778" s="5"/>
      <c r="B778" s="5"/>
      <c r="C778" s="5"/>
      <c r="D778" s="6"/>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row>
    <row r="779">
      <c r="A779" s="5"/>
      <c r="B779" s="5"/>
      <c r="C779" s="5"/>
      <c r="D779" s="6"/>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row>
    <row r="780">
      <c r="A780" s="5"/>
      <c r="B780" s="5"/>
      <c r="C780" s="5"/>
      <c r="D780" s="6"/>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row>
    <row r="781">
      <c r="A781" s="5"/>
      <c r="B781" s="5"/>
      <c r="C781" s="5"/>
      <c r="D781" s="6"/>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row>
    <row r="782">
      <c r="A782" s="5"/>
      <c r="B782" s="5"/>
      <c r="C782" s="5"/>
      <c r="D782" s="6"/>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row>
    <row r="783">
      <c r="A783" s="5"/>
      <c r="B783" s="5"/>
      <c r="C783" s="5"/>
      <c r="D783" s="6"/>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row>
    <row r="784">
      <c r="A784" s="5"/>
      <c r="B784" s="5"/>
      <c r="C784" s="5"/>
      <c r="D784" s="6"/>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row>
    <row r="785">
      <c r="A785" s="5"/>
      <c r="B785" s="5"/>
      <c r="C785" s="5"/>
      <c r="D785" s="6"/>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row>
    <row r="786">
      <c r="A786" s="5"/>
      <c r="B786" s="5"/>
      <c r="C786" s="5"/>
      <c r="D786" s="6"/>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row>
    <row r="787">
      <c r="A787" s="5"/>
      <c r="B787" s="5"/>
      <c r="C787" s="5"/>
      <c r="D787" s="6"/>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row>
    <row r="788">
      <c r="A788" s="5"/>
      <c r="B788" s="5"/>
      <c r="C788" s="5"/>
      <c r="D788" s="6"/>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row>
    <row r="789">
      <c r="A789" s="5"/>
      <c r="B789" s="5"/>
      <c r="C789" s="5"/>
      <c r="D789" s="6"/>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row>
    <row r="790">
      <c r="A790" s="5"/>
      <c r="B790" s="5"/>
      <c r="C790" s="5"/>
      <c r="D790" s="6"/>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row>
    <row r="791">
      <c r="A791" s="5"/>
      <c r="B791" s="5"/>
      <c r="C791" s="5"/>
      <c r="D791" s="6"/>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row>
    <row r="792">
      <c r="A792" s="5"/>
      <c r="B792" s="5"/>
      <c r="C792" s="5"/>
      <c r="D792" s="6"/>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row>
    <row r="793">
      <c r="A793" s="5"/>
      <c r="B793" s="5"/>
      <c r="C793" s="5"/>
      <c r="D793" s="6"/>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row>
    <row r="794">
      <c r="A794" s="5"/>
      <c r="B794" s="5"/>
      <c r="C794" s="5"/>
      <c r="D794" s="6"/>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row>
    <row r="795">
      <c r="A795" s="5"/>
      <c r="B795" s="5"/>
      <c r="C795" s="5"/>
      <c r="D795" s="6"/>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row>
    <row r="796">
      <c r="A796" s="5"/>
      <c r="B796" s="5"/>
      <c r="C796" s="5"/>
      <c r="D796" s="6"/>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row>
    <row r="797">
      <c r="A797" s="5"/>
      <c r="B797" s="5"/>
      <c r="C797" s="5"/>
      <c r="D797" s="6"/>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row>
    <row r="798">
      <c r="A798" s="5"/>
      <c r="B798" s="5"/>
      <c r="C798" s="5"/>
      <c r="D798" s="6"/>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row>
    <row r="799">
      <c r="A799" s="5"/>
      <c r="B799" s="5"/>
      <c r="C799" s="5"/>
      <c r="D799" s="6"/>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row>
    <row r="800">
      <c r="A800" s="5"/>
      <c r="B800" s="5"/>
      <c r="C800" s="5"/>
      <c r="D800" s="6"/>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row>
    <row r="801">
      <c r="A801" s="5"/>
      <c r="B801" s="5"/>
      <c r="C801" s="5"/>
      <c r="D801" s="6"/>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row>
    <row r="802">
      <c r="A802" s="5"/>
      <c r="B802" s="5"/>
      <c r="C802" s="5"/>
      <c r="D802" s="6"/>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row>
    <row r="803">
      <c r="A803" s="5"/>
      <c r="B803" s="5"/>
      <c r="C803" s="5"/>
      <c r="D803" s="6"/>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row>
    <row r="804">
      <c r="A804" s="5"/>
      <c r="B804" s="5"/>
      <c r="C804" s="5"/>
      <c r="D804" s="6"/>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row>
    <row r="805">
      <c r="A805" s="5"/>
      <c r="B805" s="5"/>
      <c r="C805" s="5"/>
      <c r="D805" s="6"/>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row>
    <row r="806">
      <c r="A806" s="5"/>
      <c r="B806" s="5"/>
      <c r="C806" s="5"/>
      <c r="D806" s="6"/>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row>
    <row r="807">
      <c r="A807" s="5"/>
      <c r="B807" s="5"/>
      <c r="C807" s="5"/>
      <c r="D807" s="6"/>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row>
    <row r="808">
      <c r="A808" s="5"/>
      <c r="B808" s="5"/>
      <c r="C808" s="5"/>
      <c r="D808" s="6"/>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row>
    <row r="809">
      <c r="A809" s="5"/>
      <c r="B809" s="5"/>
      <c r="C809" s="5"/>
      <c r="D809" s="6"/>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row>
    <row r="810">
      <c r="A810" s="5"/>
      <c r="B810" s="5"/>
      <c r="C810" s="5"/>
      <c r="D810" s="6"/>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row>
    <row r="811">
      <c r="A811" s="5"/>
      <c r="B811" s="5"/>
      <c r="C811" s="5"/>
      <c r="D811" s="6"/>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row>
    <row r="812">
      <c r="A812" s="5"/>
      <c r="B812" s="5"/>
      <c r="C812" s="5"/>
      <c r="D812" s="6"/>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row>
    <row r="813">
      <c r="A813" s="5"/>
      <c r="B813" s="5"/>
      <c r="C813" s="5"/>
      <c r="D813" s="6"/>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row>
    <row r="814">
      <c r="A814" s="5"/>
      <c r="B814" s="5"/>
      <c r="C814" s="5"/>
      <c r="D814" s="6"/>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row>
    <row r="815">
      <c r="A815" s="5"/>
      <c r="B815" s="5"/>
      <c r="C815" s="5"/>
      <c r="D815" s="6"/>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row>
    <row r="816">
      <c r="A816" s="5"/>
      <c r="B816" s="5"/>
      <c r="C816" s="5"/>
      <c r="D816" s="6"/>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row>
    <row r="817">
      <c r="A817" s="5"/>
      <c r="B817" s="5"/>
      <c r="C817" s="5"/>
      <c r="D817" s="6"/>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row>
    <row r="818">
      <c r="A818" s="5"/>
      <c r="B818" s="5"/>
      <c r="C818" s="5"/>
      <c r="D818" s="6"/>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row>
    <row r="819">
      <c r="A819" s="5"/>
      <c r="B819" s="5"/>
      <c r="C819" s="5"/>
      <c r="D819" s="6"/>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row>
    <row r="820">
      <c r="A820" s="5"/>
      <c r="B820" s="5"/>
      <c r="C820" s="5"/>
      <c r="D820" s="6"/>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row>
    <row r="821">
      <c r="A821" s="5"/>
      <c r="B821" s="5"/>
      <c r="C821" s="5"/>
      <c r="D821" s="6"/>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row>
    <row r="822">
      <c r="A822" s="5"/>
      <c r="B822" s="5"/>
      <c r="C822" s="5"/>
      <c r="D822" s="6"/>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row>
    <row r="823">
      <c r="A823" s="5"/>
      <c r="B823" s="5"/>
      <c r="C823" s="5"/>
      <c r="D823" s="6"/>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row>
    <row r="824">
      <c r="A824" s="5"/>
      <c r="B824" s="5"/>
      <c r="C824" s="5"/>
      <c r="D824" s="6"/>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row>
    <row r="825">
      <c r="A825" s="5"/>
      <c r="B825" s="5"/>
      <c r="C825" s="5"/>
      <c r="D825" s="6"/>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row>
    <row r="826">
      <c r="A826" s="5"/>
      <c r="B826" s="5"/>
      <c r="C826" s="5"/>
      <c r="D826" s="6"/>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row>
    <row r="827">
      <c r="A827" s="5"/>
      <c r="B827" s="5"/>
      <c r="C827" s="5"/>
      <c r="D827" s="6"/>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row>
    <row r="828">
      <c r="A828" s="5"/>
      <c r="B828" s="5"/>
      <c r="C828" s="5"/>
      <c r="D828" s="6"/>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row>
    <row r="829">
      <c r="A829" s="5"/>
      <c r="B829" s="5"/>
      <c r="C829" s="5"/>
      <c r="D829" s="6"/>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row>
    <row r="830">
      <c r="A830" s="5"/>
      <c r="B830" s="5"/>
      <c r="C830" s="5"/>
      <c r="D830" s="6"/>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row>
    <row r="831">
      <c r="A831" s="5"/>
      <c r="B831" s="5"/>
      <c r="C831" s="5"/>
      <c r="D831" s="6"/>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row>
    <row r="832">
      <c r="A832" s="5"/>
      <c r="B832" s="5"/>
      <c r="C832" s="5"/>
      <c r="D832" s="6"/>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row>
    <row r="833">
      <c r="A833" s="5"/>
      <c r="B833" s="5"/>
      <c r="C833" s="5"/>
      <c r="D833" s="6"/>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row>
    <row r="834">
      <c r="A834" s="5"/>
      <c r="B834" s="5"/>
      <c r="C834" s="5"/>
      <c r="D834" s="6"/>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row>
    <row r="835">
      <c r="A835" s="5"/>
      <c r="B835" s="5"/>
      <c r="C835" s="5"/>
      <c r="D835" s="6"/>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row>
    <row r="836">
      <c r="A836" s="5"/>
      <c r="B836" s="5"/>
      <c r="C836" s="5"/>
      <c r="D836" s="6"/>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row>
    <row r="837">
      <c r="A837" s="5"/>
      <c r="B837" s="5"/>
      <c r="C837" s="5"/>
      <c r="D837" s="6"/>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row>
    <row r="838">
      <c r="A838" s="5"/>
      <c r="B838" s="5"/>
      <c r="C838" s="5"/>
      <c r="D838" s="6"/>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row>
    <row r="839">
      <c r="A839" s="5"/>
      <c r="B839" s="5"/>
      <c r="C839" s="5"/>
      <c r="D839" s="6"/>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row>
    <row r="840">
      <c r="A840" s="5"/>
      <c r="B840" s="5"/>
      <c r="C840" s="5"/>
      <c r="D840" s="6"/>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row>
    <row r="841">
      <c r="A841" s="5"/>
      <c r="B841" s="5"/>
      <c r="C841" s="5"/>
      <c r="D841" s="6"/>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row>
    <row r="842">
      <c r="A842" s="5"/>
      <c r="B842" s="5"/>
      <c r="C842" s="5"/>
      <c r="D842" s="6"/>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row>
    <row r="843">
      <c r="A843" s="5"/>
      <c r="B843" s="5"/>
      <c r="C843" s="5"/>
      <c r="D843" s="6"/>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row>
    <row r="844">
      <c r="A844" s="5"/>
      <c r="B844" s="5"/>
      <c r="C844" s="5"/>
      <c r="D844" s="6"/>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row>
    <row r="845">
      <c r="A845" s="5"/>
      <c r="B845" s="5"/>
      <c r="C845" s="5"/>
      <c r="D845" s="6"/>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row>
    <row r="846">
      <c r="A846" s="5"/>
      <c r="B846" s="5"/>
      <c r="C846" s="5"/>
      <c r="D846" s="6"/>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row>
    <row r="847">
      <c r="A847" s="5"/>
      <c r="B847" s="5"/>
      <c r="C847" s="5"/>
      <c r="D847" s="6"/>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row>
    <row r="848">
      <c r="A848" s="5"/>
      <c r="B848" s="5"/>
      <c r="C848" s="5"/>
      <c r="D848" s="6"/>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row>
    <row r="849">
      <c r="A849" s="5"/>
      <c r="B849" s="5"/>
      <c r="C849" s="5"/>
      <c r="D849" s="6"/>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row>
    <row r="850">
      <c r="A850" s="5"/>
      <c r="B850" s="5"/>
      <c r="C850" s="5"/>
      <c r="D850" s="6"/>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row>
    <row r="851">
      <c r="A851" s="5"/>
      <c r="B851" s="5"/>
      <c r="C851" s="5"/>
      <c r="D851" s="6"/>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row>
    <row r="852">
      <c r="A852" s="5"/>
      <c r="B852" s="5"/>
      <c r="C852" s="5"/>
      <c r="D852" s="6"/>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row>
    <row r="853">
      <c r="A853" s="5"/>
      <c r="B853" s="5"/>
      <c r="C853" s="5"/>
      <c r="D853" s="6"/>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row>
    <row r="854">
      <c r="A854" s="5"/>
      <c r="B854" s="5"/>
      <c r="C854" s="5"/>
      <c r="D854" s="6"/>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row>
    <row r="855">
      <c r="A855" s="5"/>
      <c r="B855" s="5"/>
      <c r="C855" s="5"/>
      <c r="D855" s="6"/>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row>
    <row r="856">
      <c r="A856" s="5"/>
      <c r="B856" s="5"/>
      <c r="C856" s="5"/>
      <c r="D856" s="6"/>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row>
    <row r="857">
      <c r="A857" s="5"/>
      <c r="B857" s="5"/>
      <c r="C857" s="5"/>
      <c r="D857" s="6"/>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row>
    <row r="858">
      <c r="A858" s="5"/>
      <c r="B858" s="5"/>
      <c r="C858" s="5"/>
      <c r="D858" s="6"/>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row>
    <row r="859">
      <c r="A859" s="5"/>
      <c r="B859" s="5"/>
      <c r="C859" s="5"/>
      <c r="D859" s="6"/>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row>
    <row r="860">
      <c r="A860" s="5"/>
      <c r="B860" s="5"/>
      <c r="C860" s="5"/>
      <c r="D860" s="6"/>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row>
    <row r="861">
      <c r="A861" s="5"/>
      <c r="B861" s="5"/>
      <c r="C861" s="5"/>
      <c r="D861" s="6"/>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row>
    <row r="862">
      <c r="A862" s="5"/>
      <c r="B862" s="5"/>
      <c r="C862" s="5"/>
      <c r="D862" s="6"/>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row>
    <row r="863">
      <c r="A863" s="5"/>
      <c r="B863" s="5"/>
      <c r="C863" s="5"/>
      <c r="D863" s="6"/>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row>
    <row r="864">
      <c r="A864" s="5"/>
      <c r="B864" s="5"/>
      <c r="C864" s="5"/>
      <c r="D864" s="6"/>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row>
    <row r="865">
      <c r="A865" s="5"/>
      <c r="B865" s="5"/>
      <c r="C865" s="5"/>
      <c r="D865" s="6"/>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row>
    <row r="866">
      <c r="A866" s="5"/>
      <c r="B866" s="5"/>
      <c r="C866" s="5"/>
      <c r="D866" s="6"/>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row>
    <row r="867">
      <c r="A867" s="5"/>
      <c r="B867" s="5"/>
      <c r="C867" s="5"/>
      <c r="D867" s="6"/>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row>
    <row r="868">
      <c r="A868" s="5"/>
      <c r="B868" s="5"/>
      <c r="C868" s="5"/>
      <c r="D868" s="6"/>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row>
    <row r="869">
      <c r="A869" s="5"/>
      <c r="B869" s="5"/>
      <c r="C869" s="5"/>
      <c r="D869" s="6"/>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row>
    <row r="870">
      <c r="A870" s="5"/>
      <c r="B870" s="5"/>
      <c r="C870" s="5"/>
      <c r="D870" s="6"/>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row>
    <row r="871">
      <c r="A871" s="5"/>
      <c r="B871" s="5"/>
      <c r="C871" s="5"/>
      <c r="D871" s="6"/>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row>
    <row r="872">
      <c r="A872" s="5"/>
      <c r="B872" s="5"/>
      <c r="C872" s="5"/>
      <c r="D872" s="6"/>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row>
    <row r="873">
      <c r="A873" s="5"/>
      <c r="B873" s="5"/>
      <c r="C873" s="5"/>
      <c r="D873" s="6"/>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row>
    <row r="874">
      <c r="A874" s="5"/>
      <c r="B874" s="5"/>
      <c r="C874" s="5"/>
      <c r="D874" s="6"/>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row>
    <row r="875">
      <c r="A875" s="5"/>
      <c r="B875" s="5"/>
      <c r="C875" s="5"/>
      <c r="D875" s="6"/>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row>
    <row r="876">
      <c r="A876" s="5"/>
      <c r="B876" s="5"/>
      <c r="C876" s="5"/>
      <c r="D876" s="6"/>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row>
    <row r="877">
      <c r="A877" s="5"/>
      <c r="B877" s="5"/>
      <c r="C877" s="5"/>
      <c r="D877" s="6"/>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row>
    <row r="878">
      <c r="A878" s="5"/>
      <c r="B878" s="5"/>
      <c r="C878" s="5"/>
      <c r="D878" s="6"/>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row>
    <row r="879">
      <c r="A879" s="5"/>
      <c r="B879" s="5"/>
      <c r="C879" s="5"/>
      <c r="D879" s="6"/>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row>
    <row r="880">
      <c r="A880" s="5"/>
      <c r="B880" s="5"/>
      <c r="C880" s="5"/>
      <c r="D880" s="6"/>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row>
    <row r="881">
      <c r="A881" s="5"/>
      <c r="B881" s="5"/>
      <c r="C881" s="5"/>
      <c r="D881" s="6"/>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row>
    <row r="882">
      <c r="A882" s="5"/>
      <c r="B882" s="5"/>
      <c r="C882" s="5"/>
      <c r="D882" s="6"/>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row>
    <row r="883">
      <c r="A883" s="5"/>
      <c r="B883" s="5"/>
      <c r="C883" s="5"/>
      <c r="D883" s="6"/>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row>
    <row r="884">
      <c r="A884" s="5"/>
      <c r="B884" s="5"/>
      <c r="C884" s="5"/>
      <c r="D884" s="6"/>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row>
    <row r="885">
      <c r="A885" s="5"/>
      <c r="B885" s="5"/>
      <c r="C885" s="5"/>
      <c r="D885" s="6"/>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row>
    <row r="886">
      <c r="A886" s="5"/>
      <c r="B886" s="5"/>
      <c r="C886" s="5"/>
      <c r="D886" s="6"/>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row>
    <row r="887">
      <c r="A887" s="5"/>
      <c r="B887" s="5"/>
      <c r="C887" s="5"/>
      <c r="D887" s="6"/>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row>
    <row r="888">
      <c r="A888" s="5"/>
      <c r="B888" s="5"/>
      <c r="C888" s="5"/>
      <c r="D888" s="6"/>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row>
    <row r="889">
      <c r="A889" s="5"/>
      <c r="B889" s="5"/>
      <c r="C889" s="5"/>
      <c r="D889" s="6"/>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row>
    <row r="890">
      <c r="A890" s="5"/>
      <c r="B890" s="5"/>
      <c r="C890" s="5"/>
      <c r="D890" s="6"/>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row>
    <row r="891">
      <c r="A891" s="5"/>
      <c r="B891" s="5"/>
      <c r="C891" s="5"/>
      <c r="D891" s="6"/>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row>
    <row r="892">
      <c r="A892" s="5"/>
      <c r="B892" s="5"/>
      <c r="C892" s="5"/>
      <c r="D892" s="6"/>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row>
    <row r="893">
      <c r="A893" s="5"/>
      <c r="B893" s="5"/>
      <c r="C893" s="5"/>
      <c r="D893" s="6"/>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row>
    <row r="894">
      <c r="A894" s="5"/>
      <c r="B894" s="5"/>
      <c r="C894" s="5"/>
      <c r="D894" s="6"/>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row>
    <row r="895">
      <c r="A895" s="5"/>
      <c r="B895" s="5"/>
      <c r="C895" s="5"/>
      <c r="D895" s="6"/>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row>
    <row r="896">
      <c r="A896" s="5"/>
      <c r="B896" s="5"/>
      <c r="C896" s="5"/>
      <c r="D896" s="6"/>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row>
    <row r="897">
      <c r="A897" s="5"/>
      <c r="B897" s="5"/>
      <c r="C897" s="5"/>
      <c r="D897" s="6"/>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row>
    <row r="898">
      <c r="A898" s="5"/>
      <c r="B898" s="5"/>
      <c r="C898" s="5"/>
      <c r="D898" s="6"/>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row>
    <row r="899">
      <c r="A899" s="5"/>
      <c r="B899" s="5"/>
      <c r="C899" s="5"/>
      <c r="D899" s="6"/>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row>
    <row r="900">
      <c r="A900" s="5"/>
      <c r="B900" s="5"/>
      <c r="C900" s="5"/>
      <c r="D900" s="6"/>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row>
    <row r="901">
      <c r="A901" s="5"/>
      <c r="B901" s="5"/>
      <c r="C901" s="5"/>
      <c r="D901" s="6"/>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row>
    <row r="902">
      <c r="A902" s="5"/>
      <c r="B902" s="5"/>
      <c r="C902" s="5"/>
      <c r="D902" s="6"/>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row>
    <row r="903">
      <c r="A903" s="5"/>
      <c r="B903" s="5"/>
      <c r="C903" s="5"/>
      <c r="D903" s="6"/>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row>
    <row r="904">
      <c r="A904" s="5"/>
      <c r="B904" s="5"/>
      <c r="C904" s="5"/>
      <c r="D904" s="6"/>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row>
    <row r="905">
      <c r="A905" s="5"/>
      <c r="B905" s="5"/>
      <c r="C905" s="5"/>
      <c r="D905" s="6"/>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row>
    <row r="906">
      <c r="A906" s="5"/>
      <c r="B906" s="5"/>
      <c r="C906" s="5"/>
      <c r="D906" s="6"/>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row>
    <row r="907">
      <c r="A907" s="5"/>
      <c r="B907" s="5"/>
      <c r="C907" s="5"/>
      <c r="D907" s="6"/>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row>
    <row r="908">
      <c r="A908" s="5"/>
      <c r="B908" s="5"/>
      <c r="C908" s="5"/>
      <c r="D908" s="6"/>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row>
    <row r="909">
      <c r="A909" s="5"/>
      <c r="B909" s="5"/>
      <c r="C909" s="5"/>
      <c r="D909" s="6"/>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row>
    <row r="910">
      <c r="A910" s="5"/>
      <c r="B910" s="5"/>
      <c r="C910" s="5"/>
      <c r="D910" s="6"/>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row>
    <row r="911">
      <c r="A911" s="5"/>
      <c r="B911" s="5"/>
      <c r="C911" s="5"/>
      <c r="D911" s="6"/>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row>
    <row r="912">
      <c r="A912" s="5"/>
      <c r="B912" s="5"/>
      <c r="C912" s="5"/>
      <c r="D912" s="6"/>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row>
    <row r="913">
      <c r="A913" s="5"/>
      <c r="B913" s="5"/>
      <c r="C913" s="5"/>
      <c r="D913" s="6"/>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row>
    <row r="914">
      <c r="A914" s="5"/>
      <c r="B914" s="5"/>
      <c r="C914" s="5"/>
      <c r="D914" s="6"/>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row>
    <row r="915">
      <c r="A915" s="5"/>
      <c r="B915" s="5"/>
      <c r="C915" s="5"/>
      <c r="D915" s="6"/>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row>
    <row r="916">
      <c r="A916" s="5"/>
      <c r="B916" s="5"/>
      <c r="C916" s="5"/>
      <c r="D916" s="6"/>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row>
    <row r="917">
      <c r="A917" s="5"/>
      <c r="B917" s="5"/>
      <c r="C917" s="5"/>
      <c r="D917" s="6"/>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row>
    <row r="918">
      <c r="A918" s="5"/>
      <c r="B918" s="5"/>
      <c r="C918" s="5"/>
      <c r="D918" s="6"/>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row>
    <row r="919">
      <c r="A919" s="5"/>
      <c r="B919" s="5"/>
      <c r="C919" s="5"/>
      <c r="D919" s="6"/>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row>
    <row r="920">
      <c r="A920" s="5"/>
      <c r="B920" s="5"/>
      <c r="C920" s="5"/>
      <c r="D920" s="6"/>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row>
    <row r="921">
      <c r="A921" s="5"/>
      <c r="B921" s="5"/>
      <c r="C921" s="5"/>
      <c r="D921" s="6"/>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row>
    <row r="922">
      <c r="A922" s="5"/>
      <c r="B922" s="5"/>
      <c r="C922" s="5"/>
      <c r="D922" s="6"/>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row>
    <row r="923">
      <c r="A923" s="5"/>
      <c r="B923" s="5"/>
      <c r="C923" s="5"/>
      <c r="D923" s="6"/>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row>
    <row r="924">
      <c r="A924" s="5"/>
      <c r="B924" s="5"/>
      <c r="C924" s="5"/>
      <c r="D924" s="6"/>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row>
    <row r="925">
      <c r="A925" s="5"/>
      <c r="B925" s="5"/>
      <c r="C925" s="5"/>
      <c r="D925" s="6"/>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row>
    <row r="926">
      <c r="A926" s="5"/>
      <c r="B926" s="5"/>
      <c r="C926" s="5"/>
      <c r="D926" s="6"/>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row>
    <row r="927">
      <c r="A927" s="5"/>
      <c r="B927" s="5"/>
      <c r="C927" s="5"/>
      <c r="D927" s="6"/>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row>
    <row r="928">
      <c r="A928" s="5"/>
      <c r="B928" s="5"/>
      <c r="C928" s="5"/>
      <c r="D928" s="6"/>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row>
    <row r="929">
      <c r="A929" s="5"/>
      <c r="B929" s="5"/>
      <c r="C929" s="5"/>
      <c r="D929" s="6"/>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row>
    <row r="930">
      <c r="A930" s="5"/>
      <c r="B930" s="5"/>
      <c r="C930" s="5"/>
      <c r="D930" s="6"/>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row>
    <row r="931">
      <c r="A931" s="5"/>
      <c r="B931" s="5"/>
      <c r="C931" s="5"/>
      <c r="D931" s="6"/>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row>
    <row r="932">
      <c r="A932" s="5"/>
      <c r="B932" s="5"/>
      <c r="C932" s="5"/>
      <c r="D932" s="6"/>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row>
    <row r="933">
      <c r="A933" s="5"/>
      <c r="B933" s="5"/>
      <c r="C933" s="5"/>
      <c r="D933" s="6"/>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row>
    <row r="934">
      <c r="A934" s="5"/>
      <c r="B934" s="5"/>
      <c r="C934" s="5"/>
      <c r="D934" s="6"/>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row>
    <row r="935">
      <c r="A935" s="5"/>
      <c r="B935" s="5"/>
      <c r="C935" s="5"/>
      <c r="D935" s="6"/>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row>
    <row r="936">
      <c r="A936" s="5"/>
      <c r="B936" s="5"/>
      <c r="C936" s="5"/>
      <c r="D936" s="6"/>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row>
    <row r="937">
      <c r="A937" s="5"/>
      <c r="B937" s="5"/>
      <c r="C937" s="5"/>
      <c r="D937" s="6"/>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row>
    <row r="938">
      <c r="A938" s="5"/>
      <c r="B938" s="5"/>
      <c r="C938" s="5"/>
      <c r="D938" s="6"/>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row>
    <row r="939">
      <c r="A939" s="5"/>
      <c r="B939" s="5"/>
      <c r="C939" s="5"/>
      <c r="D939" s="6"/>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row>
    <row r="940">
      <c r="A940" s="5"/>
      <c r="B940" s="5"/>
      <c r="C940" s="5"/>
      <c r="D940" s="6"/>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row>
    <row r="941">
      <c r="A941" s="5"/>
      <c r="B941" s="5"/>
      <c r="C941" s="5"/>
      <c r="D941" s="6"/>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row>
    <row r="942">
      <c r="A942" s="5"/>
      <c r="B942" s="5"/>
      <c r="C942" s="5"/>
      <c r="D942" s="6"/>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row>
    <row r="943">
      <c r="A943" s="5"/>
      <c r="B943" s="5"/>
      <c r="C943" s="5"/>
      <c r="D943" s="6"/>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row>
    <row r="944">
      <c r="A944" s="5"/>
      <c r="B944" s="5"/>
      <c r="C944" s="5"/>
      <c r="D944" s="6"/>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row>
    <row r="945">
      <c r="A945" s="5"/>
      <c r="B945" s="5"/>
      <c r="C945" s="5"/>
      <c r="D945" s="6"/>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row>
    <row r="946">
      <c r="A946" s="5"/>
      <c r="B946" s="5"/>
      <c r="C946" s="5"/>
      <c r="D946" s="6"/>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row>
    <row r="947">
      <c r="A947" s="5"/>
      <c r="B947" s="5"/>
      <c r="C947" s="5"/>
      <c r="D947" s="6"/>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row>
    <row r="948">
      <c r="A948" s="5"/>
      <c r="B948" s="5"/>
      <c r="C948" s="5"/>
      <c r="D948" s="6"/>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row>
    <row r="949">
      <c r="A949" s="5"/>
      <c r="B949" s="5"/>
      <c r="C949" s="5"/>
      <c r="D949" s="6"/>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row>
    <row r="950">
      <c r="A950" s="5"/>
      <c r="B950" s="5"/>
      <c r="C950" s="5"/>
      <c r="D950" s="6"/>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row>
    <row r="951">
      <c r="A951" s="5"/>
      <c r="B951" s="5"/>
      <c r="C951" s="5"/>
      <c r="D951" s="6"/>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row>
    <row r="952">
      <c r="A952" s="5"/>
      <c r="B952" s="5"/>
      <c r="C952" s="5"/>
      <c r="D952" s="6"/>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row>
    <row r="953">
      <c r="A953" s="5"/>
      <c r="B953" s="5"/>
      <c r="C953" s="5"/>
      <c r="D953" s="6"/>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row>
    <row r="954">
      <c r="A954" s="5"/>
      <c r="B954" s="5"/>
      <c r="C954" s="5"/>
      <c r="D954" s="6"/>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row>
    <row r="955">
      <c r="A955" s="5"/>
      <c r="B955" s="5"/>
      <c r="C955" s="5"/>
      <c r="D955" s="6"/>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row>
    <row r="956">
      <c r="A956" s="5"/>
      <c r="B956" s="5"/>
      <c r="C956" s="5"/>
      <c r="D956" s="6"/>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row>
    <row r="957">
      <c r="A957" s="5"/>
      <c r="B957" s="5"/>
      <c r="C957" s="5"/>
      <c r="D957" s="6"/>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row>
    <row r="958">
      <c r="A958" s="5"/>
      <c r="B958" s="5"/>
      <c r="C958" s="5"/>
      <c r="D958" s="6"/>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row>
    <row r="959">
      <c r="A959" s="5"/>
      <c r="B959" s="5"/>
      <c r="C959" s="5"/>
      <c r="D959" s="6"/>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row>
    <row r="960">
      <c r="A960" s="5"/>
      <c r="B960" s="5"/>
      <c r="C960" s="5"/>
      <c r="D960" s="6"/>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row>
    <row r="961">
      <c r="A961" s="5"/>
      <c r="B961" s="5"/>
      <c r="C961" s="5"/>
      <c r="D961" s="6"/>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row>
    <row r="962">
      <c r="A962" s="5"/>
      <c r="B962" s="5"/>
      <c r="C962" s="5"/>
      <c r="D962" s="6"/>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row>
    <row r="963">
      <c r="A963" s="5"/>
      <c r="B963" s="5"/>
      <c r="C963" s="5"/>
      <c r="D963" s="6"/>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row>
    <row r="964">
      <c r="A964" s="5"/>
      <c r="B964" s="5"/>
      <c r="C964" s="5"/>
      <c r="D964" s="6"/>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row>
    <row r="965">
      <c r="A965" s="5"/>
      <c r="B965" s="5"/>
      <c r="C965" s="5"/>
      <c r="D965" s="6"/>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row>
    <row r="966">
      <c r="A966" s="5"/>
      <c r="B966" s="5"/>
      <c r="C966" s="5"/>
      <c r="D966" s="6"/>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row>
    <row r="967">
      <c r="A967" s="5"/>
      <c r="B967" s="5"/>
      <c r="C967" s="5"/>
      <c r="D967" s="6"/>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row>
    <row r="968">
      <c r="A968" s="5"/>
      <c r="B968" s="5"/>
      <c r="C968" s="5"/>
      <c r="D968" s="6"/>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row>
    <row r="969">
      <c r="A969" s="5"/>
      <c r="B969" s="5"/>
      <c r="C969" s="5"/>
      <c r="D969" s="6"/>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row>
    <row r="970">
      <c r="A970" s="5"/>
      <c r="B970" s="5"/>
      <c r="C970" s="5"/>
      <c r="D970" s="6"/>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row>
    <row r="971">
      <c r="A971" s="5"/>
      <c r="B971" s="5"/>
      <c r="C971" s="5"/>
      <c r="D971" s="6"/>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row>
    <row r="972">
      <c r="A972" s="5"/>
      <c r="B972" s="5"/>
      <c r="C972" s="5"/>
      <c r="D972" s="6"/>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row>
    <row r="973">
      <c r="A973" s="5"/>
      <c r="B973" s="5"/>
      <c r="C973" s="5"/>
      <c r="D973" s="6"/>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row>
    <row r="974">
      <c r="A974" s="5"/>
      <c r="B974" s="5"/>
      <c r="C974" s="5"/>
      <c r="D974" s="6"/>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row>
    <row r="975">
      <c r="A975" s="5"/>
      <c r="B975" s="5"/>
      <c r="C975" s="5"/>
      <c r="D975" s="6"/>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row>
    <row r="976">
      <c r="A976" s="5"/>
      <c r="B976" s="5"/>
      <c r="C976" s="5"/>
      <c r="D976" s="6"/>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row>
    <row r="977">
      <c r="A977" s="5"/>
      <c r="B977" s="5"/>
      <c r="C977" s="5"/>
      <c r="D977" s="6"/>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row>
    <row r="978">
      <c r="A978" s="5"/>
      <c r="B978" s="5"/>
      <c r="C978" s="5"/>
      <c r="D978" s="6"/>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row>
    <row r="979">
      <c r="A979" s="5"/>
      <c r="B979" s="5"/>
      <c r="C979" s="5"/>
      <c r="D979" s="6"/>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row>
    <row r="980">
      <c r="A980" s="5"/>
      <c r="B980" s="5"/>
      <c r="C980" s="5"/>
      <c r="D980" s="6"/>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row>
    <row r="981">
      <c r="A981" s="5"/>
      <c r="B981" s="5"/>
      <c r="C981" s="5"/>
      <c r="D981" s="6"/>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row>
    <row r="982">
      <c r="A982" s="5"/>
      <c r="B982" s="5"/>
      <c r="C982" s="5"/>
      <c r="D982" s="6"/>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row>
    <row r="983">
      <c r="A983" s="5"/>
      <c r="B983" s="5"/>
      <c r="C983" s="5"/>
      <c r="D983" s="6"/>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row>
    <row r="984">
      <c r="A984" s="5"/>
      <c r="B984" s="5"/>
      <c r="C984" s="5"/>
      <c r="D984" s="6"/>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row>
    <row r="985">
      <c r="A985" s="5"/>
      <c r="B985" s="5"/>
      <c r="C985" s="5"/>
      <c r="D985" s="6"/>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row>
    <row r="986">
      <c r="A986" s="5"/>
      <c r="B986" s="5"/>
      <c r="C986" s="5"/>
      <c r="D986" s="6"/>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row>
    <row r="987">
      <c r="A987" s="5"/>
      <c r="B987" s="5"/>
      <c r="C987" s="5"/>
      <c r="D987" s="6"/>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row>
    <row r="988">
      <c r="A988" s="5"/>
      <c r="B988" s="5"/>
      <c r="C988" s="5"/>
      <c r="D988" s="6"/>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row>
    <row r="989">
      <c r="A989" s="5"/>
      <c r="B989" s="5"/>
      <c r="C989" s="5"/>
      <c r="D989" s="6"/>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row>
    <row r="990">
      <c r="A990" s="5"/>
      <c r="B990" s="5"/>
      <c r="C990" s="5"/>
      <c r="D990" s="6"/>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row>
    <row r="991">
      <c r="A991" s="5"/>
      <c r="B991" s="5"/>
      <c r="C991" s="5"/>
      <c r="D991" s="6"/>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row>
    <row r="992">
      <c r="A992" s="5"/>
      <c r="B992" s="5"/>
      <c r="C992" s="5"/>
      <c r="D992" s="6"/>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row>
    <row r="993">
      <c r="A993" s="5"/>
      <c r="B993" s="5"/>
      <c r="C993" s="5"/>
      <c r="D993" s="6"/>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row>
    <row r="994">
      <c r="A994" s="5"/>
      <c r="B994" s="5"/>
      <c r="C994" s="5"/>
      <c r="D994" s="6"/>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row>
    <row r="995">
      <c r="A995" s="5"/>
      <c r="B995" s="5"/>
      <c r="C995" s="5"/>
      <c r="D995" s="6"/>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row>
    <row r="996">
      <c r="A996" s="5"/>
      <c r="B996" s="5"/>
      <c r="C996" s="5"/>
      <c r="D996" s="6"/>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row>
    <row r="997">
      <c r="A997" s="5"/>
      <c r="B997" s="5"/>
      <c r="C997" s="5"/>
      <c r="D997" s="6"/>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row>
    <row r="998">
      <c r="A998" s="5"/>
      <c r="B998" s="5"/>
      <c r="C998" s="5"/>
      <c r="D998" s="6"/>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row>
    <row r="999">
      <c r="A999" s="5"/>
      <c r="B999" s="5"/>
      <c r="C999" s="5"/>
      <c r="D999" s="6"/>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row>
    <row r="1000">
      <c r="A1000" s="5"/>
      <c r="B1000" s="5"/>
      <c r="C1000" s="5"/>
      <c r="D1000" s="6"/>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 t="str">
        <f>IFERROR(__xludf.DUMMYFUNCTION("LET(
  cista_imena, ARRAYFORMULA(TRIM(AllGames_Languages!C:C)),
  kodovi, ARRAYFORMULA(TRIM(AllGames_Languages!D:D)),
  spojeni_jezici, ARRAYFORMULA(cista_imena &amp; ""("""""" &amp; kodovi &amp; """""")""),
  valid_langs, FILTER(AllGames_Languages!C2:C1000, (AllGam"&amp;"es_Languages!K2:K1000 = TRUE) + (AllGames_Languages!K2:K1000 = ""TRUE"")),
  lang_headers, GameLanguages_report!E1:AM1,
  lang_indices, FILTER(
    SEQUENCE(1, COLUMNS(lang_headers), 5), 
    ARRAYFORMULA(ISNUMBER(MATCH(TRIM(lang_headers), TRIM(valid_l"&amp;"angs), 0)))
  ),
  odobrena_zaglavlja, CHOOSECOLS(GameLanguages_report!1:1, lang_indices),
  formirana_zaglavlja, MAP(odobrena_zaglavlja, LAMBDA(h, IFERROR(XLOOKUP(TRIM(h), cista_imena, spojeni_jezici), h))),
  slika_podataka, FILTER(GameLanguages_r"&amp;"eport!A2:ZZ1000, GameLanguages_report!D2:D1000 &lt;&gt; """"),
  gamename_podaci, CHOOSECOLS(slika_podataka, 4),
  jezici_podaci, CHOOSECOLS(slika_podataka, lang_indices),
  sracunat_langcode, BYROW(jezici_podaci, LAMBDA(r, TEXTJOIN("", "", TRUE, IFERROR("&amp;"FILTER(formirana_zaglavlja, r = ""Yes""), """")))),
  sadrzaj, HSTACK(gamename_podaci, sracunat_langcode, jezici_podaci),
  zaglavlje, HSTACK(""GameName"", ""LanguageCode"", odobrena_zaglavlja),
  VSTACK(zaglavlje, sadrzaj)
)"),"GameName")</f>
        <v>GameName</v>
      </c>
      <c r="B1" s="5" t="str">
        <f>IFERROR(__xludf.DUMMYFUNCTION("""COMPUTED_VALUE"""),"LanguageCode")</f>
        <v>LanguageCode</v>
      </c>
      <c r="C1" s="5" t="str">
        <f>IFERROR(__xludf.DUMMYFUNCTION("""COMPUTED_VALUE"""),"English")</f>
        <v>English</v>
      </c>
      <c r="D1" s="5" t="str">
        <f>IFERROR(__xludf.DUMMYFUNCTION("""COMPUTED_VALUE"""),"Serbian")</f>
        <v>Serbian</v>
      </c>
      <c r="E1" s="5" t="str">
        <f>IFERROR(__xludf.DUMMYFUNCTION("""COMPUTED_VALUE"""),"Montenegrian")</f>
        <v>Montenegrian</v>
      </c>
      <c r="F1" s="5" t="str">
        <f>IFERROR(__xludf.DUMMYFUNCTION("""COMPUTED_VALUE"""),"Bulgarian")</f>
        <v>Bulgarian</v>
      </c>
      <c r="G1" s="5" t="str">
        <f>IFERROR(__xludf.DUMMYFUNCTION("""COMPUTED_VALUE"""),"Spanish")</f>
        <v>Spanish</v>
      </c>
      <c r="H1" s="5" t="str">
        <f>IFERROR(__xludf.DUMMYFUNCTION("""COMPUTED_VALUE"""),"Portuguese")</f>
        <v>Portuguese</v>
      </c>
      <c r="I1" s="5" t="str">
        <f>IFERROR(__xludf.DUMMYFUNCTION("""COMPUTED_VALUE"""),"Italian")</f>
        <v>Italian</v>
      </c>
      <c r="J1" s="5" t="str">
        <f>IFERROR(__xludf.DUMMYFUNCTION("""COMPUTED_VALUE"""),"Romanian")</f>
        <v>Romanian</v>
      </c>
      <c r="K1" s="5" t="str">
        <f>IFERROR(__xludf.DUMMYFUNCTION("""COMPUTED_VALUE"""),"Croatian")</f>
        <v>Croatian</v>
      </c>
      <c r="L1" s="5" t="str">
        <f>IFERROR(__xludf.DUMMYFUNCTION("""COMPUTED_VALUE"""),"French")</f>
        <v>French</v>
      </c>
      <c r="M1" s="5" t="str">
        <f>IFERROR(__xludf.DUMMYFUNCTION("""COMPUTED_VALUE"""),"German")</f>
        <v>German</v>
      </c>
      <c r="N1" s="5" t="str">
        <f>IFERROR(__xludf.DUMMYFUNCTION("""COMPUTED_VALUE"""),"Dutch")</f>
        <v>Dutch</v>
      </c>
      <c r="O1" s="5" t="str">
        <f>IFERROR(__xludf.DUMMYFUNCTION("""COMPUTED_VALUE"""),"Turkish")</f>
        <v>Turkish</v>
      </c>
      <c r="P1" s="5" t="str">
        <f>IFERROR(__xludf.DUMMYFUNCTION("""COMPUTED_VALUE"""),"Greek")</f>
        <v>Greek</v>
      </c>
      <c r="Q1" s="5" t="str">
        <f>IFERROR(__xludf.DUMMYFUNCTION("""COMPUTED_VALUE"""),"Russian")</f>
        <v>Russian</v>
      </c>
      <c r="R1" s="5" t="str">
        <f>IFERROR(__xludf.DUMMYFUNCTION("""COMPUTED_VALUE"""),"Czech")</f>
        <v>Czech</v>
      </c>
      <c r="S1" s="5" t="str">
        <f>IFERROR(__xludf.DUMMYFUNCTION("""COMPUTED_VALUE"""),"Hungarian")</f>
        <v>Hungarian</v>
      </c>
      <c r="T1" s="5" t="str">
        <f>IFERROR(__xludf.DUMMYFUNCTION("""COMPUTED_VALUE"""),"N. Macedonian")</f>
        <v>N. Macedonian</v>
      </c>
      <c r="U1" s="5" t="str">
        <f>IFERROR(__xludf.DUMMYFUNCTION("""COMPUTED_VALUE"""),"Finnish")</f>
        <v>Finnish</v>
      </c>
      <c r="V1" s="5" t="str">
        <f>IFERROR(__xludf.DUMMYFUNCTION("""COMPUTED_VALUE"""),"Armenian")</f>
        <v>Armenian</v>
      </c>
      <c r="W1" s="5" t="str">
        <f>IFERROR(__xludf.DUMMYFUNCTION("""COMPUTED_VALUE"""),"Social English")</f>
        <v>Social English</v>
      </c>
      <c r="X1" s="5" t="str">
        <f>IFERROR(__xludf.DUMMYFUNCTION("""COMPUTED_VALUE"""),"Swahili")</f>
        <v>Swahili</v>
      </c>
      <c r="Y1" s="5" t="str">
        <f>IFERROR(__xludf.DUMMYFUNCTION("""COMPUTED_VALUE"""),"Polish")</f>
        <v>Polish</v>
      </c>
      <c r="Z1" s="5" t="str">
        <f>IFERROR(__xludf.DUMMYFUNCTION("""COMPUTED_VALUE"""),"Latvian")</f>
        <v>Latvian</v>
      </c>
      <c r="AA1" s="5" t="str">
        <f>IFERROR(__xludf.DUMMYFUNCTION("""COMPUTED_VALUE"""),"Lithuanian")</f>
        <v>Lithuanian</v>
      </c>
      <c r="AB1" s="5" t="str">
        <f>IFERROR(__xludf.DUMMYFUNCTION("""COMPUTED_VALUE"""),"Ukrainian")</f>
        <v>Ukrainian</v>
      </c>
      <c r="AC1" s="5" t="str">
        <f>IFERROR(__xludf.DUMMYFUNCTION("""COMPUTED_VALUE"""),"Bosnian")</f>
        <v>Bosnian</v>
      </c>
    </row>
    <row r="2">
      <c r="A2" s="5" t="str">
        <f>IFERROR(__xludf.DUMMYFUNCTION("""COMPUTED_VALUE"""),"Postman")</f>
        <v>Postman</v>
      </c>
      <c r="B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 s="5" t="str">
        <f>IFERROR(__xludf.DUMMYFUNCTION("""COMPUTED_VALUE"""),"Yes")</f>
        <v>Yes</v>
      </c>
      <c r="D2" s="5" t="str">
        <f>IFERROR(__xludf.DUMMYFUNCTION("""COMPUTED_VALUE"""),"Yes")</f>
        <v>Yes</v>
      </c>
      <c r="E2" s="5" t="str">
        <f>IFERROR(__xludf.DUMMYFUNCTION("""COMPUTED_VALUE"""),"Yes")</f>
        <v>Yes</v>
      </c>
      <c r="F2" s="5" t="str">
        <f>IFERROR(__xludf.DUMMYFUNCTION("""COMPUTED_VALUE"""),"Yes")</f>
        <v>Yes</v>
      </c>
      <c r="G2" s="5" t="str">
        <f>IFERROR(__xludf.DUMMYFUNCTION("""COMPUTED_VALUE"""),"Yes")</f>
        <v>Yes</v>
      </c>
      <c r="H2" s="5" t="str">
        <f>IFERROR(__xludf.DUMMYFUNCTION("""COMPUTED_VALUE"""),"Yes")</f>
        <v>Yes</v>
      </c>
      <c r="I2" s="5" t="str">
        <f>IFERROR(__xludf.DUMMYFUNCTION("""COMPUTED_VALUE"""),"Yes")</f>
        <v>Yes</v>
      </c>
      <c r="J2" s="5" t="str">
        <f>IFERROR(__xludf.DUMMYFUNCTION("""COMPUTED_VALUE"""),"Yes")</f>
        <v>Yes</v>
      </c>
      <c r="K2" s="5" t="str">
        <f>IFERROR(__xludf.DUMMYFUNCTION("""COMPUTED_VALUE"""),"Yes")</f>
        <v>Yes</v>
      </c>
      <c r="L2" s="5" t="str">
        <f>IFERROR(__xludf.DUMMYFUNCTION("""COMPUTED_VALUE"""),"Yes")</f>
        <v>Yes</v>
      </c>
      <c r="M2" s="5" t="str">
        <f>IFERROR(__xludf.DUMMYFUNCTION("""COMPUTED_VALUE"""),"Yes")</f>
        <v>Yes</v>
      </c>
      <c r="N2" s="5" t="str">
        <f>IFERROR(__xludf.DUMMYFUNCTION("""COMPUTED_VALUE"""),"Yes")</f>
        <v>Yes</v>
      </c>
      <c r="O2" s="5" t="str">
        <f>IFERROR(__xludf.DUMMYFUNCTION("""COMPUTED_VALUE"""),"Yes")</f>
        <v>Yes</v>
      </c>
      <c r="P2" s="5" t="str">
        <f>IFERROR(__xludf.DUMMYFUNCTION("""COMPUTED_VALUE"""),"Yes")</f>
        <v>Yes</v>
      </c>
      <c r="Q2" s="5" t="str">
        <f>IFERROR(__xludf.DUMMYFUNCTION("""COMPUTED_VALUE"""),"Yes")</f>
        <v>Yes</v>
      </c>
      <c r="R2" s="5" t="str">
        <f>IFERROR(__xludf.DUMMYFUNCTION("""COMPUTED_VALUE"""),"Yes")</f>
        <v>Yes</v>
      </c>
      <c r="S2" s="5" t="str">
        <f>IFERROR(__xludf.DUMMYFUNCTION("""COMPUTED_VALUE"""),"Yes")</f>
        <v>Yes</v>
      </c>
      <c r="T2" s="5" t="str">
        <f>IFERROR(__xludf.DUMMYFUNCTION("""COMPUTED_VALUE"""),"Yes")</f>
        <v>Yes</v>
      </c>
      <c r="U2" s="5" t="str">
        <f>IFERROR(__xludf.DUMMYFUNCTION("""COMPUTED_VALUE"""),"Yes")</f>
        <v>Yes</v>
      </c>
      <c r="V2" s="5" t="str">
        <f>IFERROR(__xludf.DUMMYFUNCTION("""COMPUTED_VALUE"""),"Yes")</f>
        <v>Yes</v>
      </c>
      <c r="W2" s="5" t="str">
        <f>IFERROR(__xludf.DUMMYFUNCTION("""COMPUTED_VALUE"""),"Yes")</f>
        <v>Yes</v>
      </c>
      <c r="X2" s="5" t="str">
        <f>IFERROR(__xludf.DUMMYFUNCTION("""COMPUTED_VALUE"""),"Yes")</f>
        <v>Yes</v>
      </c>
      <c r="Y2" s="5" t="str">
        <f>IFERROR(__xludf.DUMMYFUNCTION("""COMPUTED_VALUE"""),"Yes")</f>
        <v>Yes</v>
      </c>
      <c r="Z2" s="5" t="str">
        <f>IFERROR(__xludf.DUMMYFUNCTION("""COMPUTED_VALUE"""),"Yes")</f>
        <v>Yes</v>
      </c>
      <c r="AA2" s="5" t="str">
        <f>IFERROR(__xludf.DUMMYFUNCTION("""COMPUTED_VALUE"""),"Yes")</f>
        <v>Yes</v>
      </c>
      <c r="AB2" s="5" t="str">
        <f>IFERROR(__xludf.DUMMYFUNCTION("""COMPUTED_VALUE"""),"Yes")</f>
        <v>Yes</v>
      </c>
      <c r="AC2" s="5" t="str">
        <f>IFERROR(__xludf.DUMMYFUNCTION("""COMPUTED_VALUE"""),"No")</f>
        <v>No</v>
      </c>
    </row>
    <row r="3">
      <c r="A3" s="5" t="str">
        <f>IFERROR(__xludf.DUMMYFUNCTION("""COMPUTED_VALUE"""),"DeepJungle")</f>
        <v>DeepJungle</v>
      </c>
      <c r="B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 s="5" t="str">
        <f>IFERROR(__xludf.DUMMYFUNCTION("""COMPUTED_VALUE"""),"Yes")</f>
        <v>Yes</v>
      </c>
      <c r="D3" s="5" t="str">
        <f>IFERROR(__xludf.DUMMYFUNCTION("""COMPUTED_VALUE"""),"Yes")</f>
        <v>Yes</v>
      </c>
      <c r="E3" s="5" t="str">
        <f>IFERROR(__xludf.DUMMYFUNCTION("""COMPUTED_VALUE"""),"Yes")</f>
        <v>Yes</v>
      </c>
      <c r="F3" s="5" t="str">
        <f>IFERROR(__xludf.DUMMYFUNCTION("""COMPUTED_VALUE"""),"Yes")</f>
        <v>Yes</v>
      </c>
      <c r="G3" s="5" t="str">
        <f>IFERROR(__xludf.DUMMYFUNCTION("""COMPUTED_VALUE"""),"Yes")</f>
        <v>Yes</v>
      </c>
      <c r="H3" s="5" t="str">
        <f>IFERROR(__xludf.DUMMYFUNCTION("""COMPUTED_VALUE"""),"Yes")</f>
        <v>Yes</v>
      </c>
      <c r="I3" s="5" t="str">
        <f>IFERROR(__xludf.DUMMYFUNCTION("""COMPUTED_VALUE"""),"Yes")</f>
        <v>Yes</v>
      </c>
      <c r="J3" s="5" t="str">
        <f>IFERROR(__xludf.DUMMYFUNCTION("""COMPUTED_VALUE"""),"Yes")</f>
        <v>Yes</v>
      </c>
      <c r="K3" s="5" t="str">
        <f>IFERROR(__xludf.DUMMYFUNCTION("""COMPUTED_VALUE"""),"Yes")</f>
        <v>Yes</v>
      </c>
      <c r="L3" s="5" t="str">
        <f>IFERROR(__xludf.DUMMYFUNCTION("""COMPUTED_VALUE"""),"Yes")</f>
        <v>Yes</v>
      </c>
      <c r="M3" s="5" t="str">
        <f>IFERROR(__xludf.DUMMYFUNCTION("""COMPUTED_VALUE"""),"Yes")</f>
        <v>Yes</v>
      </c>
      <c r="N3" s="5" t="str">
        <f>IFERROR(__xludf.DUMMYFUNCTION("""COMPUTED_VALUE"""),"Yes")</f>
        <v>Yes</v>
      </c>
      <c r="O3" s="5" t="str">
        <f>IFERROR(__xludf.DUMMYFUNCTION("""COMPUTED_VALUE"""),"Yes")</f>
        <v>Yes</v>
      </c>
      <c r="P3" s="5" t="str">
        <f>IFERROR(__xludf.DUMMYFUNCTION("""COMPUTED_VALUE"""),"Yes")</f>
        <v>Yes</v>
      </c>
      <c r="Q3" s="5" t="str">
        <f>IFERROR(__xludf.DUMMYFUNCTION("""COMPUTED_VALUE"""),"Yes")</f>
        <v>Yes</v>
      </c>
      <c r="R3" s="5" t="str">
        <f>IFERROR(__xludf.DUMMYFUNCTION("""COMPUTED_VALUE"""),"Yes")</f>
        <v>Yes</v>
      </c>
      <c r="S3" s="5" t="str">
        <f>IFERROR(__xludf.DUMMYFUNCTION("""COMPUTED_VALUE"""),"Yes")</f>
        <v>Yes</v>
      </c>
      <c r="T3" s="5" t="str">
        <f>IFERROR(__xludf.DUMMYFUNCTION("""COMPUTED_VALUE"""),"Yes")</f>
        <v>Yes</v>
      </c>
      <c r="U3" s="5" t="str">
        <f>IFERROR(__xludf.DUMMYFUNCTION("""COMPUTED_VALUE"""),"Yes")</f>
        <v>Yes</v>
      </c>
      <c r="V3" s="5" t="str">
        <f>IFERROR(__xludf.DUMMYFUNCTION("""COMPUTED_VALUE"""),"Yes")</f>
        <v>Yes</v>
      </c>
      <c r="W3" s="5" t="str">
        <f>IFERROR(__xludf.DUMMYFUNCTION("""COMPUTED_VALUE"""),"Yes")</f>
        <v>Yes</v>
      </c>
      <c r="X3" s="5" t="str">
        <f>IFERROR(__xludf.DUMMYFUNCTION("""COMPUTED_VALUE"""),"Yes")</f>
        <v>Yes</v>
      </c>
      <c r="Y3" s="5" t="str">
        <f>IFERROR(__xludf.DUMMYFUNCTION("""COMPUTED_VALUE"""),"Yes")</f>
        <v>Yes</v>
      </c>
      <c r="Z3" s="5" t="str">
        <f>IFERROR(__xludf.DUMMYFUNCTION("""COMPUTED_VALUE"""),"Yes")</f>
        <v>Yes</v>
      </c>
      <c r="AA3" s="5" t="str">
        <f>IFERROR(__xludf.DUMMYFUNCTION("""COMPUTED_VALUE"""),"Yes")</f>
        <v>Yes</v>
      </c>
      <c r="AB3" s="5" t="str">
        <f>IFERROR(__xludf.DUMMYFUNCTION("""COMPUTED_VALUE"""),"Yes")</f>
        <v>Yes</v>
      </c>
      <c r="AC3" s="5" t="str">
        <f>IFERROR(__xludf.DUMMYFUNCTION("""COMPUTED_VALUE"""),"No")</f>
        <v>No</v>
      </c>
    </row>
    <row r="4">
      <c r="A4" s="5" t="str">
        <f>IFERROR(__xludf.DUMMYFUNCTION("""COMPUTED_VALUE"""),"Wizard")</f>
        <v>Wizard</v>
      </c>
      <c r="B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 s="5" t="str">
        <f>IFERROR(__xludf.DUMMYFUNCTION("""COMPUTED_VALUE"""),"Yes")</f>
        <v>Yes</v>
      </c>
      <c r="D4" s="5" t="str">
        <f>IFERROR(__xludf.DUMMYFUNCTION("""COMPUTED_VALUE"""),"Yes")</f>
        <v>Yes</v>
      </c>
      <c r="E4" s="5" t="str">
        <f>IFERROR(__xludf.DUMMYFUNCTION("""COMPUTED_VALUE"""),"Yes")</f>
        <v>Yes</v>
      </c>
      <c r="F4" s="5" t="str">
        <f>IFERROR(__xludf.DUMMYFUNCTION("""COMPUTED_VALUE"""),"Yes")</f>
        <v>Yes</v>
      </c>
      <c r="G4" s="5" t="str">
        <f>IFERROR(__xludf.DUMMYFUNCTION("""COMPUTED_VALUE"""),"Yes")</f>
        <v>Yes</v>
      </c>
      <c r="H4" s="5" t="str">
        <f>IFERROR(__xludf.DUMMYFUNCTION("""COMPUTED_VALUE"""),"Yes")</f>
        <v>Yes</v>
      </c>
      <c r="I4" s="5" t="str">
        <f>IFERROR(__xludf.DUMMYFUNCTION("""COMPUTED_VALUE"""),"Yes")</f>
        <v>Yes</v>
      </c>
      <c r="J4" s="5" t="str">
        <f>IFERROR(__xludf.DUMMYFUNCTION("""COMPUTED_VALUE"""),"Yes")</f>
        <v>Yes</v>
      </c>
      <c r="K4" s="5" t="str">
        <f>IFERROR(__xludf.DUMMYFUNCTION("""COMPUTED_VALUE"""),"Yes")</f>
        <v>Yes</v>
      </c>
      <c r="L4" s="5" t="str">
        <f>IFERROR(__xludf.DUMMYFUNCTION("""COMPUTED_VALUE"""),"Yes")</f>
        <v>Yes</v>
      </c>
      <c r="M4" s="5" t="str">
        <f>IFERROR(__xludf.DUMMYFUNCTION("""COMPUTED_VALUE"""),"Yes")</f>
        <v>Yes</v>
      </c>
      <c r="N4" s="5" t="str">
        <f>IFERROR(__xludf.DUMMYFUNCTION("""COMPUTED_VALUE"""),"Yes")</f>
        <v>Yes</v>
      </c>
      <c r="O4" s="5" t="str">
        <f>IFERROR(__xludf.DUMMYFUNCTION("""COMPUTED_VALUE"""),"Yes")</f>
        <v>Yes</v>
      </c>
      <c r="P4" s="5" t="str">
        <f>IFERROR(__xludf.DUMMYFUNCTION("""COMPUTED_VALUE"""),"Yes")</f>
        <v>Yes</v>
      </c>
      <c r="Q4" s="5" t="str">
        <f>IFERROR(__xludf.DUMMYFUNCTION("""COMPUTED_VALUE"""),"Yes")</f>
        <v>Yes</v>
      </c>
      <c r="R4" s="5" t="str">
        <f>IFERROR(__xludf.DUMMYFUNCTION("""COMPUTED_VALUE"""),"Yes")</f>
        <v>Yes</v>
      </c>
      <c r="S4" s="5" t="str">
        <f>IFERROR(__xludf.DUMMYFUNCTION("""COMPUTED_VALUE"""),"Yes")</f>
        <v>Yes</v>
      </c>
      <c r="T4" s="5" t="str">
        <f>IFERROR(__xludf.DUMMYFUNCTION("""COMPUTED_VALUE"""),"Yes")</f>
        <v>Yes</v>
      </c>
      <c r="U4" s="5" t="str">
        <f>IFERROR(__xludf.DUMMYFUNCTION("""COMPUTED_VALUE"""),"Yes")</f>
        <v>Yes</v>
      </c>
      <c r="V4" s="5" t="str">
        <f>IFERROR(__xludf.DUMMYFUNCTION("""COMPUTED_VALUE"""),"Yes")</f>
        <v>Yes</v>
      </c>
      <c r="W4" s="5" t="str">
        <f>IFERROR(__xludf.DUMMYFUNCTION("""COMPUTED_VALUE"""),"Yes")</f>
        <v>Yes</v>
      </c>
      <c r="X4" s="5" t="str">
        <f>IFERROR(__xludf.DUMMYFUNCTION("""COMPUTED_VALUE"""),"Yes")</f>
        <v>Yes</v>
      </c>
      <c r="Y4" s="5" t="str">
        <f>IFERROR(__xludf.DUMMYFUNCTION("""COMPUTED_VALUE"""),"Yes")</f>
        <v>Yes</v>
      </c>
      <c r="Z4" s="5" t="str">
        <f>IFERROR(__xludf.DUMMYFUNCTION("""COMPUTED_VALUE"""),"Yes")</f>
        <v>Yes</v>
      </c>
      <c r="AA4" s="5" t="str">
        <f>IFERROR(__xludf.DUMMYFUNCTION("""COMPUTED_VALUE"""),"Yes")</f>
        <v>Yes</v>
      </c>
      <c r="AB4" s="5" t="str">
        <f>IFERROR(__xludf.DUMMYFUNCTION("""COMPUTED_VALUE"""),"Yes")</f>
        <v>Yes</v>
      </c>
      <c r="AC4" s="5" t="str">
        <f>IFERROR(__xludf.DUMMYFUNCTION("""COMPUTED_VALUE"""),"No")</f>
        <v>No</v>
      </c>
    </row>
    <row r="5">
      <c r="A5" s="5" t="str">
        <f>IFERROR(__xludf.DUMMYFUNCTION("""COMPUTED_VALUE"""),"FruitsAndStars")</f>
        <v>FruitsAndStars</v>
      </c>
      <c r="B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 s="5" t="str">
        <f>IFERROR(__xludf.DUMMYFUNCTION("""COMPUTED_VALUE"""),"Yes")</f>
        <v>Yes</v>
      </c>
      <c r="D5" s="5" t="str">
        <f>IFERROR(__xludf.DUMMYFUNCTION("""COMPUTED_VALUE"""),"Yes")</f>
        <v>Yes</v>
      </c>
      <c r="E5" s="5" t="str">
        <f>IFERROR(__xludf.DUMMYFUNCTION("""COMPUTED_VALUE"""),"Yes")</f>
        <v>Yes</v>
      </c>
      <c r="F5" s="5" t="str">
        <f>IFERROR(__xludf.DUMMYFUNCTION("""COMPUTED_VALUE"""),"Yes")</f>
        <v>Yes</v>
      </c>
      <c r="G5" s="5" t="str">
        <f>IFERROR(__xludf.DUMMYFUNCTION("""COMPUTED_VALUE"""),"Yes")</f>
        <v>Yes</v>
      </c>
      <c r="H5" s="5" t="str">
        <f>IFERROR(__xludf.DUMMYFUNCTION("""COMPUTED_VALUE"""),"Yes")</f>
        <v>Yes</v>
      </c>
      <c r="I5" s="5" t="str">
        <f>IFERROR(__xludf.DUMMYFUNCTION("""COMPUTED_VALUE"""),"Yes")</f>
        <v>Yes</v>
      </c>
      <c r="J5" s="5" t="str">
        <f>IFERROR(__xludf.DUMMYFUNCTION("""COMPUTED_VALUE"""),"Yes")</f>
        <v>Yes</v>
      </c>
      <c r="K5" s="5" t="str">
        <f>IFERROR(__xludf.DUMMYFUNCTION("""COMPUTED_VALUE"""),"Yes")</f>
        <v>Yes</v>
      </c>
      <c r="L5" s="5" t="str">
        <f>IFERROR(__xludf.DUMMYFUNCTION("""COMPUTED_VALUE"""),"Yes")</f>
        <v>Yes</v>
      </c>
      <c r="M5" s="5" t="str">
        <f>IFERROR(__xludf.DUMMYFUNCTION("""COMPUTED_VALUE"""),"Yes")</f>
        <v>Yes</v>
      </c>
      <c r="N5" s="5" t="str">
        <f>IFERROR(__xludf.DUMMYFUNCTION("""COMPUTED_VALUE"""),"Yes")</f>
        <v>Yes</v>
      </c>
      <c r="O5" s="5" t="str">
        <f>IFERROR(__xludf.DUMMYFUNCTION("""COMPUTED_VALUE"""),"Yes")</f>
        <v>Yes</v>
      </c>
      <c r="P5" s="5" t="str">
        <f>IFERROR(__xludf.DUMMYFUNCTION("""COMPUTED_VALUE"""),"Yes")</f>
        <v>Yes</v>
      </c>
      <c r="Q5" s="5" t="str">
        <f>IFERROR(__xludf.DUMMYFUNCTION("""COMPUTED_VALUE"""),"Yes")</f>
        <v>Yes</v>
      </c>
      <c r="R5" s="5" t="str">
        <f>IFERROR(__xludf.DUMMYFUNCTION("""COMPUTED_VALUE"""),"Yes")</f>
        <v>Yes</v>
      </c>
      <c r="S5" s="5" t="str">
        <f>IFERROR(__xludf.DUMMYFUNCTION("""COMPUTED_VALUE"""),"Yes")</f>
        <v>Yes</v>
      </c>
      <c r="T5" s="5" t="str">
        <f>IFERROR(__xludf.DUMMYFUNCTION("""COMPUTED_VALUE"""),"Yes")</f>
        <v>Yes</v>
      </c>
      <c r="U5" s="5" t="str">
        <f>IFERROR(__xludf.DUMMYFUNCTION("""COMPUTED_VALUE"""),"Yes")</f>
        <v>Yes</v>
      </c>
      <c r="V5" s="5" t="str">
        <f>IFERROR(__xludf.DUMMYFUNCTION("""COMPUTED_VALUE"""),"Yes")</f>
        <v>Yes</v>
      </c>
      <c r="W5" s="5" t="str">
        <f>IFERROR(__xludf.DUMMYFUNCTION("""COMPUTED_VALUE"""),"Yes")</f>
        <v>Yes</v>
      </c>
      <c r="X5" s="5" t="str">
        <f>IFERROR(__xludf.DUMMYFUNCTION("""COMPUTED_VALUE"""),"Yes")</f>
        <v>Yes</v>
      </c>
      <c r="Y5" s="5" t="str">
        <f>IFERROR(__xludf.DUMMYFUNCTION("""COMPUTED_VALUE"""),"Yes")</f>
        <v>Yes</v>
      </c>
      <c r="Z5" s="5" t="str">
        <f>IFERROR(__xludf.DUMMYFUNCTION("""COMPUTED_VALUE"""),"Yes")</f>
        <v>Yes</v>
      </c>
      <c r="AA5" s="5" t="str">
        <f>IFERROR(__xludf.DUMMYFUNCTION("""COMPUTED_VALUE"""),"Yes")</f>
        <v>Yes</v>
      </c>
      <c r="AB5" s="5" t="str">
        <f>IFERROR(__xludf.DUMMYFUNCTION("""COMPUTED_VALUE"""),"Yes")</f>
        <v>Yes</v>
      </c>
      <c r="AC5" s="5" t="str">
        <f>IFERROR(__xludf.DUMMYFUNCTION("""COMPUTED_VALUE"""),"No")</f>
        <v>No</v>
      </c>
    </row>
    <row r="6">
      <c r="A6" s="5" t="str">
        <f>IFERROR(__xludf.DUMMYFUNCTION("""COMPUTED_VALUE"""),"VegasHot")</f>
        <v>VegasHot</v>
      </c>
      <c r="B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6" s="5" t="str">
        <f>IFERROR(__xludf.DUMMYFUNCTION("""COMPUTED_VALUE"""),"Yes")</f>
        <v>Yes</v>
      </c>
      <c r="D6" s="5" t="str">
        <f>IFERROR(__xludf.DUMMYFUNCTION("""COMPUTED_VALUE"""),"Yes")</f>
        <v>Yes</v>
      </c>
      <c r="E6" s="5" t="str">
        <f>IFERROR(__xludf.DUMMYFUNCTION("""COMPUTED_VALUE"""),"Yes")</f>
        <v>Yes</v>
      </c>
      <c r="F6" s="5" t="str">
        <f>IFERROR(__xludf.DUMMYFUNCTION("""COMPUTED_VALUE"""),"Yes")</f>
        <v>Yes</v>
      </c>
      <c r="G6" s="5" t="str">
        <f>IFERROR(__xludf.DUMMYFUNCTION("""COMPUTED_VALUE"""),"Yes")</f>
        <v>Yes</v>
      </c>
      <c r="H6" s="5" t="str">
        <f>IFERROR(__xludf.DUMMYFUNCTION("""COMPUTED_VALUE"""),"Yes")</f>
        <v>Yes</v>
      </c>
      <c r="I6" s="5" t="str">
        <f>IFERROR(__xludf.DUMMYFUNCTION("""COMPUTED_VALUE"""),"Yes")</f>
        <v>Yes</v>
      </c>
      <c r="J6" s="5" t="str">
        <f>IFERROR(__xludf.DUMMYFUNCTION("""COMPUTED_VALUE"""),"Yes")</f>
        <v>Yes</v>
      </c>
      <c r="K6" s="5" t="str">
        <f>IFERROR(__xludf.DUMMYFUNCTION("""COMPUTED_VALUE"""),"Yes")</f>
        <v>Yes</v>
      </c>
      <c r="L6" s="5" t="str">
        <f>IFERROR(__xludf.DUMMYFUNCTION("""COMPUTED_VALUE"""),"Yes")</f>
        <v>Yes</v>
      </c>
      <c r="M6" s="5" t="str">
        <f>IFERROR(__xludf.DUMMYFUNCTION("""COMPUTED_VALUE"""),"Yes")</f>
        <v>Yes</v>
      </c>
      <c r="N6" s="5" t="str">
        <f>IFERROR(__xludf.DUMMYFUNCTION("""COMPUTED_VALUE"""),"Yes")</f>
        <v>Yes</v>
      </c>
      <c r="O6" s="5" t="str">
        <f>IFERROR(__xludf.DUMMYFUNCTION("""COMPUTED_VALUE"""),"Yes")</f>
        <v>Yes</v>
      </c>
      <c r="P6" s="5" t="str">
        <f>IFERROR(__xludf.DUMMYFUNCTION("""COMPUTED_VALUE"""),"Yes")</f>
        <v>Yes</v>
      </c>
      <c r="Q6" s="5" t="str">
        <f>IFERROR(__xludf.DUMMYFUNCTION("""COMPUTED_VALUE"""),"Yes")</f>
        <v>Yes</v>
      </c>
      <c r="R6" s="5" t="str">
        <f>IFERROR(__xludf.DUMMYFUNCTION("""COMPUTED_VALUE"""),"Yes")</f>
        <v>Yes</v>
      </c>
      <c r="S6" s="5" t="str">
        <f>IFERROR(__xludf.DUMMYFUNCTION("""COMPUTED_VALUE"""),"Yes")</f>
        <v>Yes</v>
      </c>
      <c r="T6" s="5" t="str">
        <f>IFERROR(__xludf.DUMMYFUNCTION("""COMPUTED_VALUE"""),"Yes")</f>
        <v>Yes</v>
      </c>
      <c r="U6" s="5" t="str">
        <f>IFERROR(__xludf.DUMMYFUNCTION("""COMPUTED_VALUE"""),"Yes")</f>
        <v>Yes</v>
      </c>
      <c r="V6" s="5" t="str">
        <f>IFERROR(__xludf.DUMMYFUNCTION("""COMPUTED_VALUE"""),"Yes")</f>
        <v>Yes</v>
      </c>
      <c r="W6" s="5"/>
      <c r="X6" s="5"/>
      <c r="Y6" s="5"/>
      <c r="Z6" s="5" t="str">
        <f>IFERROR(__xludf.DUMMYFUNCTION("""COMPUTED_VALUE"""),"Yes")</f>
        <v>Yes</v>
      </c>
      <c r="AA6" s="5"/>
      <c r="AB6" s="5"/>
      <c r="AC6" s="5"/>
    </row>
    <row r="7">
      <c r="A7" s="5" t="str">
        <f>IFERROR(__xludf.DUMMYFUNCTION("""COMPUTED_VALUE"""),"FenixPlay")</f>
        <v>FenixPlay</v>
      </c>
      <c r="B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 s="5" t="str">
        <f>IFERROR(__xludf.DUMMYFUNCTION("""COMPUTED_VALUE"""),"Yes")</f>
        <v>Yes</v>
      </c>
      <c r="D7" s="5" t="str">
        <f>IFERROR(__xludf.DUMMYFUNCTION("""COMPUTED_VALUE"""),"Yes")</f>
        <v>Yes</v>
      </c>
      <c r="E7" s="5" t="str">
        <f>IFERROR(__xludf.DUMMYFUNCTION("""COMPUTED_VALUE"""),"Yes")</f>
        <v>Yes</v>
      </c>
      <c r="F7" s="5" t="str">
        <f>IFERROR(__xludf.DUMMYFUNCTION("""COMPUTED_VALUE"""),"Yes")</f>
        <v>Yes</v>
      </c>
      <c r="G7" s="5" t="str">
        <f>IFERROR(__xludf.DUMMYFUNCTION("""COMPUTED_VALUE"""),"Yes")</f>
        <v>Yes</v>
      </c>
      <c r="H7" s="5" t="str">
        <f>IFERROR(__xludf.DUMMYFUNCTION("""COMPUTED_VALUE"""),"Yes")</f>
        <v>Yes</v>
      </c>
      <c r="I7" s="5" t="str">
        <f>IFERROR(__xludf.DUMMYFUNCTION("""COMPUTED_VALUE"""),"Yes")</f>
        <v>Yes</v>
      </c>
      <c r="J7" s="5" t="str">
        <f>IFERROR(__xludf.DUMMYFUNCTION("""COMPUTED_VALUE"""),"Yes")</f>
        <v>Yes</v>
      </c>
      <c r="K7" s="5" t="str">
        <f>IFERROR(__xludf.DUMMYFUNCTION("""COMPUTED_VALUE"""),"Yes")</f>
        <v>Yes</v>
      </c>
      <c r="L7" s="5" t="str">
        <f>IFERROR(__xludf.DUMMYFUNCTION("""COMPUTED_VALUE"""),"Yes")</f>
        <v>Yes</v>
      </c>
      <c r="M7" s="5" t="str">
        <f>IFERROR(__xludf.DUMMYFUNCTION("""COMPUTED_VALUE"""),"Yes")</f>
        <v>Yes</v>
      </c>
      <c r="N7" s="5" t="str">
        <f>IFERROR(__xludf.DUMMYFUNCTION("""COMPUTED_VALUE"""),"Yes")</f>
        <v>Yes</v>
      </c>
      <c r="O7" s="5" t="str">
        <f>IFERROR(__xludf.DUMMYFUNCTION("""COMPUTED_VALUE"""),"Yes")</f>
        <v>Yes</v>
      </c>
      <c r="P7" s="5" t="str">
        <f>IFERROR(__xludf.DUMMYFUNCTION("""COMPUTED_VALUE"""),"Yes")</f>
        <v>Yes</v>
      </c>
      <c r="Q7" s="5" t="str">
        <f>IFERROR(__xludf.DUMMYFUNCTION("""COMPUTED_VALUE"""),"Yes")</f>
        <v>Yes</v>
      </c>
      <c r="R7" s="5" t="str">
        <f>IFERROR(__xludf.DUMMYFUNCTION("""COMPUTED_VALUE"""),"Yes")</f>
        <v>Yes</v>
      </c>
      <c r="S7" s="5" t="str">
        <f>IFERROR(__xludf.DUMMYFUNCTION("""COMPUTED_VALUE"""),"Yes")</f>
        <v>Yes</v>
      </c>
      <c r="T7" s="5" t="str">
        <f>IFERROR(__xludf.DUMMYFUNCTION("""COMPUTED_VALUE"""),"Yes")</f>
        <v>Yes</v>
      </c>
      <c r="U7" s="5" t="str">
        <f>IFERROR(__xludf.DUMMYFUNCTION("""COMPUTED_VALUE"""),"Yes")</f>
        <v>Yes</v>
      </c>
      <c r="V7" s="5" t="str">
        <f>IFERROR(__xludf.DUMMYFUNCTION("""COMPUTED_VALUE"""),"Yes")</f>
        <v>Yes</v>
      </c>
      <c r="W7" s="5"/>
      <c r="X7" s="5"/>
      <c r="Y7" s="5"/>
      <c r="Z7" s="5" t="str">
        <f>IFERROR(__xludf.DUMMYFUNCTION("""COMPUTED_VALUE"""),"Yes")</f>
        <v>Yes</v>
      </c>
      <c r="AA7" s="5"/>
      <c r="AB7" s="5"/>
      <c r="AC7" s="5"/>
    </row>
    <row r="8">
      <c r="A8" s="5" t="str">
        <f>IFERROR(__xludf.DUMMYFUNCTION("""COMPUTED_VALUE"""),"HotParty")</f>
        <v>HotParty</v>
      </c>
      <c r="B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 s="5" t="str">
        <f>IFERROR(__xludf.DUMMYFUNCTION("""COMPUTED_VALUE"""),"Yes")</f>
        <v>Yes</v>
      </c>
      <c r="D8" s="5" t="str">
        <f>IFERROR(__xludf.DUMMYFUNCTION("""COMPUTED_VALUE"""),"Yes")</f>
        <v>Yes</v>
      </c>
      <c r="E8" s="5" t="str">
        <f>IFERROR(__xludf.DUMMYFUNCTION("""COMPUTED_VALUE"""),"Yes")</f>
        <v>Yes</v>
      </c>
      <c r="F8" s="5" t="str">
        <f>IFERROR(__xludf.DUMMYFUNCTION("""COMPUTED_VALUE"""),"Yes")</f>
        <v>Yes</v>
      </c>
      <c r="G8" s="5" t="str">
        <f>IFERROR(__xludf.DUMMYFUNCTION("""COMPUTED_VALUE"""),"Yes")</f>
        <v>Yes</v>
      </c>
      <c r="H8" s="5" t="str">
        <f>IFERROR(__xludf.DUMMYFUNCTION("""COMPUTED_VALUE"""),"Yes")</f>
        <v>Yes</v>
      </c>
      <c r="I8" s="5" t="str">
        <f>IFERROR(__xludf.DUMMYFUNCTION("""COMPUTED_VALUE"""),"Yes")</f>
        <v>Yes</v>
      </c>
      <c r="J8" s="5" t="str">
        <f>IFERROR(__xludf.DUMMYFUNCTION("""COMPUTED_VALUE"""),"Yes")</f>
        <v>Yes</v>
      </c>
      <c r="K8" s="5" t="str">
        <f>IFERROR(__xludf.DUMMYFUNCTION("""COMPUTED_VALUE"""),"Yes")</f>
        <v>Yes</v>
      </c>
      <c r="L8" s="5" t="str">
        <f>IFERROR(__xludf.DUMMYFUNCTION("""COMPUTED_VALUE"""),"Yes")</f>
        <v>Yes</v>
      </c>
      <c r="M8" s="5" t="str">
        <f>IFERROR(__xludf.DUMMYFUNCTION("""COMPUTED_VALUE"""),"Yes")</f>
        <v>Yes</v>
      </c>
      <c r="N8" s="5" t="str">
        <f>IFERROR(__xludf.DUMMYFUNCTION("""COMPUTED_VALUE"""),"Yes")</f>
        <v>Yes</v>
      </c>
      <c r="O8" s="5" t="str">
        <f>IFERROR(__xludf.DUMMYFUNCTION("""COMPUTED_VALUE"""),"Yes")</f>
        <v>Yes</v>
      </c>
      <c r="P8" s="5" t="str">
        <f>IFERROR(__xludf.DUMMYFUNCTION("""COMPUTED_VALUE"""),"Yes")</f>
        <v>Yes</v>
      </c>
      <c r="Q8" s="5" t="str">
        <f>IFERROR(__xludf.DUMMYFUNCTION("""COMPUTED_VALUE"""),"Yes")</f>
        <v>Yes</v>
      </c>
      <c r="R8" s="5" t="str">
        <f>IFERROR(__xludf.DUMMYFUNCTION("""COMPUTED_VALUE"""),"Yes")</f>
        <v>Yes</v>
      </c>
      <c r="S8" s="5" t="str">
        <f>IFERROR(__xludf.DUMMYFUNCTION("""COMPUTED_VALUE"""),"Yes")</f>
        <v>Yes</v>
      </c>
      <c r="T8" s="5" t="str">
        <f>IFERROR(__xludf.DUMMYFUNCTION("""COMPUTED_VALUE"""),"Yes")</f>
        <v>Yes</v>
      </c>
      <c r="U8" s="5" t="str">
        <f>IFERROR(__xludf.DUMMYFUNCTION("""COMPUTED_VALUE"""),"Yes")</f>
        <v>Yes</v>
      </c>
      <c r="V8" s="5" t="str">
        <f>IFERROR(__xludf.DUMMYFUNCTION("""COMPUTED_VALUE"""),"Yes")</f>
        <v>Yes</v>
      </c>
      <c r="W8" s="5"/>
      <c r="X8" s="5"/>
      <c r="Y8" s="5"/>
      <c r="Z8" s="5" t="str">
        <f>IFERROR(__xludf.DUMMYFUNCTION("""COMPUTED_VALUE"""),"Yes")</f>
        <v>Yes</v>
      </c>
      <c r="AA8" s="5"/>
      <c r="AB8" s="5"/>
      <c r="AC8" s="5"/>
    </row>
    <row r="9">
      <c r="A9" s="5" t="str">
        <f>IFERROR(__xludf.DUMMYFUNCTION("""COMPUTED_VALUE"""),"CaptainShark")</f>
        <v>CaptainShark</v>
      </c>
      <c r="B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9" s="5" t="str">
        <f>IFERROR(__xludf.DUMMYFUNCTION("""COMPUTED_VALUE"""),"Yes")</f>
        <v>Yes</v>
      </c>
      <c r="D9" s="5" t="str">
        <f>IFERROR(__xludf.DUMMYFUNCTION("""COMPUTED_VALUE"""),"Yes")</f>
        <v>Yes</v>
      </c>
      <c r="E9" s="5" t="str">
        <f>IFERROR(__xludf.DUMMYFUNCTION("""COMPUTED_VALUE"""),"Yes")</f>
        <v>Yes</v>
      </c>
      <c r="F9" s="5" t="str">
        <f>IFERROR(__xludf.DUMMYFUNCTION("""COMPUTED_VALUE"""),"Yes")</f>
        <v>Yes</v>
      </c>
      <c r="G9" s="5" t="str">
        <f>IFERROR(__xludf.DUMMYFUNCTION("""COMPUTED_VALUE"""),"Yes")</f>
        <v>Yes</v>
      </c>
      <c r="H9" s="5" t="str">
        <f>IFERROR(__xludf.DUMMYFUNCTION("""COMPUTED_VALUE"""),"Yes")</f>
        <v>Yes</v>
      </c>
      <c r="I9" s="5" t="str">
        <f>IFERROR(__xludf.DUMMYFUNCTION("""COMPUTED_VALUE"""),"Yes")</f>
        <v>Yes</v>
      </c>
      <c r="J9" s="5" t="str">
        <f>IFERROR(__xludf.DUMMYFUNCTION("""COMPUTED_VALUE"""),"Yes")</f>
        <v>Yes</v>
      </c>
      <c r="K9" s="5" t="str">
        <f>IFERROR(__xludf.DUMMYFUNCTION("""COMPUTED_VALUE"""),"Yes")</f>
        <v>Yes</v>
      </c>
      <c r="L9" s="5" t="str">
        <f>IFERROR(__xludf.DUMMYFUNCTION("""COMPUTED_VALUE"""),"Yes")</f>
        <v>Yes</v>
      </c>
      <c r="M9" s="5" t="str">
        <f>IFERROR(__xludf.DUMMYFUNCTION("""COMPUTED_VALUE"""),"Yes")</f>
        <v>Yes</v>
      </c>
      <c r="N9" s="5" t="str">
        <f>IFERROR(__xludf.DUMMYFUNCTION("""COMPUTED_VALUE"""),"Yes")</f>
        <v>Yes</v>
      </c>
      <c r="O9" s="5" t="str">
        <f>IFERROR(__xludf.DUMMYFUNCTION("""COMPUTED_VALUE"""),"Yes")</f>
        <v>Yes</v>
      </c>
      <c r="P9" s="5" t="str">
        <f>IFERROR(__xludf.DUMMYFUNCTION("""COMPUTED_VALUE"""),"Yes")</f>
        <v>Yes</v>
      </c>
      <c r="Q9" s="5" t="str">
        <f>IFERROR(__xludf.DUMMYFUNCTION("""COMPUTED_VALUE"""),"Yes")</f>
        <v>Yes</v>
      </c>
      <c r="R9" s="5" t="str">
        <f>IFERROR(__xludf.DUMMYFUNCTION("""COMPUTED_VALUE"""),"Yes")</f>
        <v>Yes</v>
      </c>
      <c r="S9" s="5" t="str">
        <f>IFERROR(__xludf.DUMMYFUNCTION("""COMPUTED_VALUE"""),"Yes")</f>
        <v>Yes</v>
      </c>
      <c r="T9" s="5" t="str">
        <f>IFERROR(__xludf.DUMMYFUNCTION("""COMPUTED_VALUE"""),"Yes")</f>
        <v>Yes</v>
      </c>
      <c r="U9" s="5" t="str">
        <f>IFERROR(__xludf.DUMMYFUNCTION("""COMPUTED_VALUE"""),"Yes")</f>
        <v>Yes</v>
      </c>
      <c r="V9" s="5" t="str">
        <f>IFERROR(__xludf.DUMMYFUNCTION("""COMPUTED_VALUE"""),"Yes")</f>
        <v>Yes</v>
      </c>
      <c r="W9" s="5"/>
      <c r="X9" s="5"/>
      <c r="Y9" s="5"/>
      <c r="Z9" s="5" t="str">
        <f>IFERROR(__xludf.DUMMYFUNCTION("""COMPUTED_VALUE"""),"Yes")</f>
        <v>Yes</v>
      </c>
      <c r="AA9" s="5"/>
      <c r="AB9" s="5"/>
      <c r="AC9" s="5"/>
    </row>
    <row r="10">
      <c r="A10" s="5" t="str">
        <f>IFERROR(__xludf.DUMMYFUNCTION("""COMPUTED_VALUE"""),"MagicTarget")</f>
        <v>MagicTarget</v>
      </c>
      <c r="B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0" s="5" t="str">
        <f>IFERROR(__xludf.DUMMYFUNCTION("""COMPUTED_VALUE"""),"Yes")</f>
        <v>Yes</v>
      </c>
      <c r="D10" s="5" t="str">
        <f>IFERROR(__xludf.DUMMYFUNCTION("""COMPUTED_VALUE"""),"Yes")</f>
        <v>Yes</v>
      </c>
      <c r="E10" s="5" t="str">
        <f>IFERROR(__xludf.DUMMYFUNCTION("""COMPUTED_VALUE"""),"Yes")</f>
        <v>Yes</v>
      </c>
      <c r="F10" s="5" t="str">
        <f>IFERROR(__xludf.DUMMYFUNCTION("""COMPUTED_VALUE"""),"Yes")</f>
        <v>Yes</v>
      </c>
      <c r="G10" s="5" t="str">
        <f>IFERROR(__xludf.DUMMYFUNCTION("""COMPUTED_VALUE"""),"Yes")</f>
        <v>Yes</v>
      </c>
      <c r="H10" s="5" t="str">
        <f>IFERROR(__xludf.DUMMYFUNCTION("""COMPUTED_VALUE"""),"Yes")</f>
        <v>Yes</v>
      </c>
      <c r="I10" s="5" t="str">
        <f>IFERROR(__xludf.DUMMYFUNCTION("""COMPUTED_VALUE"""),"Yes")</f>
        <v>Yes</v>
      </c>
      <c r="J10" s="5" t="str">
        <f>IFERROR(__xludf.DUMMYFUNCTION("""COMPUTED_VALUE"""),"Yes")</f>
        <v>Yes</v>
      </c>
      <c r="K10" s="5" t="str">
        <f>IFERROR(__xludf.DUMMYFUNCTION("""COMPUTED_VALUE"""),"Yes")</f>
        <v>Yes</v>
      </c>
      <c r="L10" s="5" t="str">
        <f>IFERROR(__xludf.DUMMYFUNCTION("""COMPUTED_VALUE"""),"Yes")</f>
        <v>Yes</v>
      </c>
      <c r="M10" s="5" t="str">
        <f>IFERROR(__xludf.DUMMYFUNCTION("""COMPUTED_VALUE"""),"Yes")</f>
        <v>Yes</v>
      </c>
      <c r="N10" s="5" t="str">
        <f>IFERROR(__xludf.DUMMYFUNCTION("""COMPUTED_VALUE"""),"Yes")</f>
        <v>Yes</v>
      </c>
      <c r="O10" s="5" t="str">
        <f>IFERROR(__xludf.DUMMYFUNCTION("""COMPUTED_VALUE"""),"Yes")</f>
        <v>Yes</v>
      </c>
      <c r="P10" s="5" t="str">
        <f>IFERROR(__xludf.DUMMYFUNCTION("""COMPUTED_VALUE"""),"Yes")</f>
        <v>Yes</v>
      </c>
      <c r="Q10" s="5" t="str">
        <f>IFERROR(__xludf.DUMMYFUNCTION("""COMPUTED_VALUE"""),"Yes")</f>
        <v>Yes</v>
      </c>
      <c r="R10" s="5" t="str">
        <f>IFERROR(__xludf.DUMMYFUNCTION("""COMPUTED_VALUE"""),"Yes")</f>
        <v>Yes</v>
      </c>
      <c r="S10" s="5" t="str">
        <f>IFERROR(__xludf.DUMMYFUNCTION("""COMPUTED_VALUE"""),"Yes")</f>
        <v>Yes</v>
      </c>
      <c r="T10" s="5" t="str">
        <f>IFERROR(__xludf.DUMMYFUNCTION("""COMPUTED_VALUE"""),"Yes")</f>
        <v>Yes</v>
      </c>
      <c r="U10" s="5" t="str">
        <f>IFERROR(__xludf.DUMMYFUNCTION("""COMPUTED_VALUE"""),"Yes")</f>
        <v>Yes</v>
      </c>
      <c r="V10" s="5" t="str">
        <f>IFERROR(__xludf.DUMMYFUNCTION("""COMPUTED_VALUE"""),"Yes")</f>
        <v>Yes</v>
      </c>
      <c r="W10" s="5"/>
      <c r="X10" s="5"/>
      <c r="Y10" s="5"/>
      <c r="Z10" s="5" t="str">
        <f>IFERROR(__xludf.DUMMYFUNCTION("""COMPUTED_VALUE"""),"Yes")</f>
        <v>Yes</v>
      </c>
      <c r="AA10" s="5"/>
      <c r="AB10" s="5"/>
      <c r="AC10" s="5"/>
    </row>
    <row r="11">
      <c r="A11" s="5" t="str">
        <f>IFERROR(__xludf.DUMMYFUNCTION("""COMPUTED_VALUE"""),"MagicOfTheRing")</f>
        <v>MagicOfTheRing</v>
      </c>
      <c r="B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1" s="5" t="str">
        <f>IFERROR(__xludf.DUMMYFUNCTION("""COMPUTED_VALUE"""),"Yes")</f>
        <v>Yes</v>
      </c>
      <c r="D11" s="5" t="str">
        <f>IFERROR(__xludf.DUMMYFUNCTION("""COMPUTED_VALUE"""),"Yes")</f>
        <v>Yes</v>
      </c>
      <c r="E11" s="5" t="str">
        <f>IFERROR(__xludf.DUMMYFUNCTION("""COMPUTED_VALUE"""),"Yes")</f>
        <v>Yes</v>
      </c>
      <c r="F11" s="5" t="str">
        <f>IFERROR(__xludf.DUMMYFUNCTION("""COMPUTED_VALUE"""),"Yes")</f>
        <v>Yes</v>
      </c>
      <c r="G11" s="5" t="str">
        <f>IFERROR(__xludf.DUMMYFUNCTION("""COMPUTED_VALUE"""),"Yes")</f>
        <v>Yes</v>
      </c>
      <c r="H11" s="5" t="str">
        <f>IFERROR(__xludf.DUMMYFUNCTION("""COMPUTED_VALUE"""),"Yes")</f>
        <v>Yes</v>
      </c>
      <c r="I11" s="5" t="str">
        <f>IFERROR(__xludf.DUMMYFUNCTION("""COMPUTED_VALUE"""),"Yes")</f>
        <v>Yes</v>
      </c>
      <c r="J11" s="5" t="str">
        <f>IFERROR(__xludf.DUMMYFUNCTION("""COMPUTED_VALUE"""),"Yes")</f>
        <v>Yes</v>
      </c>
      <c r="K11" s="5" t="str">
        <f>IFERROR(__xludf.DUMMYFUNCTION("""COMPUTED_VALUE"""),"Yes")</f>
        <v>Yes</v>
      </c>
      <c r="L11" s="5" t="str">
        <f>IFERROR(__xludf.DUMMYFUNCTION("""COMPUTED_VALUE"""),"Yes")</f>
        <v>Yes</v>
      </c>
      <c r="M11" s="5" t="str">
        <f>IFERROR(__xludf.DUMMYFUNCTION("""COMPUTED_VALUE"""),"Yes")</f>
        <v>Yes</v>
      </c>
      <c r="N11" s="5" t="str">
        <f>IFERROR(__xludf.DUMMYFUNCTION("""COMPUTED_VALUE"""),"Yes")</f>
        <v>Yes</v>
      </c>
      <c r="O11" s="5" t="str">
        <f>IFERROR(__xludf.DUMMYFUNCTION("""COMPUTED_VALUE"""),"Yes")</f>
        <v>Yes</v>
      </c>
      <c r="P11" s="5" t="str">
        <f>IFERROR(__xludf.DUMMYFUNCTION("""COMPUTED_VALUE"""),"Yes")</f>
        <v>Yes</v>
      </c>
      <c r="Q11" s="5" t="str">
        <f>IFERROR(__xludf.DUMMYFUNCTION("""COMPUTED_VALUE"""),"Yes")</f>
        <v>Yes</v>
      </c>
      <c r="R11" s="5" t="str">
        <f>IFERROR(__xludf.DUMMYFUNCTION("""COMPUTED_VALUE"""),"Yes")</f>
        <v>Yes</v>
      </c>
      <c r="S11" s="5" t="str">
        <f>IFERROR(__xludf.DUMMYFUNCTION("""COMPUTED_VALUE"""),"Yes")</f>
        <v>Yes</v>
      </c>
      <c r="T11" s="5" t="str">
        <f>IFERROR(__xludf.DUMMYFUNCTION("""COMPUTED_VALUE"""),"Yes")</f>
        <v>Yes</v>
      </c>
      <c r="U11" s="5" t="str">
        <f>IFERROR(__xludf.DUMMYFUNCTION("""COMPUTED_VALUE"""),"Yes")</f>
        <v>Yes</v>
      </c>
      <c r="V11" s="5" t="str">
        <f>IFERROR(__xludf.DUMMYFUNCTION("""COMPUTED_VALUE"""),"Yes")</f>
        <v>Yes</v>
      </c>
      <c r="W11" s="5"/>
      <c r="X11" s="5"/>
      <c r="Y11" s="5"/>
      <c r="Z11" s="5" t="str">
        <f>IFERROR(__xludf.DUMMYFUNCTION("""COMPUTED_VALUE"""),"Yes")</f>
        <v>Yes</v>
      </c>
      <c r="AA11" s="5"/>
      <c r="AB11" s="5"/>
      <c r="AC11" s="5"/>
    </row>
    <row r="12">
      <c r="A12" s="5" t="str">
        <f>IFERROR(__xludf.DUMMYFUNCTION("""COMPUTED_VALUE"""),"Hot777")</f>
        <v>Hot777</v>
      </c>
      <c r="B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 s="5" t="str">
        <f>IFERROR(__xludf.DUMMYFUNCTION("""COMPUTED_VALUE"""),"Yes")</f>
        <v>Yes</v>
      </c>
      <c r="D12" s="5" t="str">
        <f>IFERROR(__xludf.DUMMYFUNCTION("""COMPUTED_VALUE"""),"Yes")</f>
        <v>Yes</v>
      </c>
      <c r="E12" s="5" t="str">
        <f>IFERROR(__xludf.DUMMYFUNCTION("""COMPUTED_VALUE"""),"Yes")</f>
        <v>Yes</v>
      </c>
      <c r="F12" s="5" t="str">
        <f>IFERROR(__xludf.DUMMYFUNCTION("""COMPUTED_VALUE"""),"Yes")</f>
        <v>Yes</v>
      </c>
      <c r="G12" s="5" t="str">
        <f>IFERROR(__xludf.DUMMYFUNCTION("""COMPUTED_VALUE"""),"Yes")</f>
        <v>Yes</v>
      </c>
      <c r="H12" s="5" t="str">
        <f>IFERROR(__xludf.DUMMYFUNCTION("""COMPUTED_VALUE"""),"Yes")</f>
        <v>Yes</v>
      </c>
      <c r="I12" s="5" t="str">
        <f>IFERROR(__xludf.DUMMYFUNCTION("""COMPUTED_VALUE"""),"Yes")</f>
        <v>Yes</v>
      </c>
      <c r="J12" s="5" t="str">
        <f>IFERROR(__xludf.DUMMYFUNCTION("""COMPUTED_VALUE"""),"Yes")</f>
        <v>Yes</v>
      </c>
      <c r="K12" s="5" t="str">
        <f>IFERROR(__xludf.DUMMYFUNCTION("""COMPUTED_VALUE"""),"Yes")</f>
        <v>Yes</v>
      </c>
      <c r="L12" s="5" t="str">
        <f>IFERROR(__xludf.DUMMYFUNCTION("""COMPUTED_VALUE"""),"Yes")</f>
        <v>Yes</v>
      </c>
      <c r="M12" s="5" t="str">
        <f>IFERROR(__xludf.DUMMYFUNCTION("""COMPUTED_VALUE"""),"Yes")</f>
        <v>Yes</v>
      </c>
      <c r="N12" s="5" t="str">
        <f>IFERROR(__xludf.DUMMYFUNCTION("""COMPUTED_VALUE"""),"Yes")</f>
        <v>Yes</v>
      </c>
      <c r="O12" s="5" t="str">
        <f>IFERROR(__xludf.DUMMYFUNCTION("""COMPUTED_VALUE"""),"Yes")</f>
        <v>Yes</v>
      </c>
      <c r="P12" s="5" t="str">
        <f>IFERROR(__xludf.DUMMYFUNCTION("""COMPUTED_VALUE"""),"Yes")</f>
        <v>Yes</v>
      </c>
      <c r="Q12" s="5" t="str">
        <f>IFERROR(__xludf.DUMMYFUNCTION("""COMPUTED_VALUE"""),"Yes")</f>
        <v>Yes</v>
      </c>
      <c r="R12" s="5" t="str">
        <f>IFERROR(__xludf.DUMMYFUNCTION("""COMPUTED_VALUE"""),"Yes")</f>
        <v>Yes</v>
      </c>
      <c r="S12" s="5" t="str">
        <f>IFERROR(__xludf.DUMMYFUNCTION("""COMPUTED_VALUE"""),"Yes")</f>
        <v>Yes</v>
      </c>
      <c r="T12" s="5" t="str">
        <f>IFERROR(__xludf.DUMMYFUNCTION("""COMPUTED_VALUE"""),"Yes")</f>
        <v>Yes</v>
      </c>
      <c r="U12" s="5" t="str">
        <f>IFERROR(__xludf.DUMMYFUNCTION("""COMPUTED_VALUE"""),"Yes")</f>
        <v>Yes</v>
      </c>
      <c r="V12" s="5" t="str">
        <f>IFERROR(__xludf.DUMMYFUNCTION("""COMPUTED_VALUE"""),"Yes")</f>
        <v>Yes</v>
      </c>
      <c r="W12" s="5"/>
      <c r="X12" s="5"/>
      <c r="Y12" s="5"/>
      <c r="Z12" s="5" t="str">
        <f>IFERROR(__xludf.DUMMYFUNCTION("""COMPUTED_VALUE"""),"Yes")</f>
        <v>Yes</v>
      </c>
      <c r="AA12" s="5"/>
      <c r="AB12" s="5"/>
      <c r="AC12" s="5"/>
    </row>
    <row r="13">
      <c r="A13" s="5" t="str">
        <f>IFERROR(__xludf.DUMMYFUNCTION("""COMPUTED_VALUE"""),"MagicFruits")</f>
        <v>MagicFruits</v>
      </c>
      <c r="B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3" s="5" t="str">
        <f>IFERROR(__xludf.DUMMYFUNCTION("""COMPUTED_VALUE"""),"Yes")</f>
        <v>Yes</v>
      </c>
      <c r="D13" s="5" t="str">
        <f>IFERROR(__xludf.DUMMYFUNCTION("""COMPUTED_VALUE"""),"Yes")</f>
        <v>Yes</v>
      </c>
      <c r="E13" s="5" t="str">
        <f>IFERROR(__xludf.DUMMYFUNCTION("""COMPUTED_VALUE"""),"Yes")</f>
        <v>Yes</v>
      </c>
      <c r="F13" s="5" t="str">
        <f>IFERROR(__xludf.DUMMYFUNCTION("""COMPUTED_VALUE"""),"Yes")</f>
        <v>Yes</v>
      </c>
      <c r="G13" s="5" t="str">
        <f>IFERROR(__xludf.DUMMYFUNCTION("""COMPUTED_VALUE"""),"Yes")</f>
        <v>Yes</v>
      </c>
      <c r="H13" s="5" t="str">
        <f>IFERROR(__xludf.DUMMYFUNCTION("""COMPUTED_VALUE"""),"Yes")</f>
        <v>Yes</v>
      </c>
      <c r="I13" s="5" t="str">
        <f>IFERROR(__xludf.DUMMYFUNCTION("""COMPUTED_VALUE"""),"Yes")</f>
        <v>Yes</v>
      </c>
      <c r="J13" s="5" t="str">
        <f>IFERROR(__xludf.DUMMYFUNCTION("""COMPUTED_VALUE"""),"Yes")</f>
        <v>Yes</v>
      </c>
      <c r="K13" s="5" t="str">
        <f>IFERROR(__xludf.DUMMYFUNCTION("""COMPUTED_VALUE"""),"Yes")</f>
        <v>Yes</v>
      </c>
      <c r="L13" s="5" t="str">
        <f>IFERROR(__xludf.DUMMYFUNCTION("""COMPUTED_VALUE"""),"Yes")</f>
        <v>Yes</v>
      </c>
      <c r="M13" s="5" t="str">
        <f>IFERROR(__xludf.DUMMYFUNCTION("""COMPUTED_VALUE"""),"Yes")</f>
        <v>Yes</v>
      </c>
      <c r="N13" s="5" t="str">
        <f>IFERROR(__xludf.DUMMYFUNCTION("""COMPUTED_VALUE"""),"Yes")</f>
        <v>Yes</v>
      </c>
      <c r="O13" s="5" t="str">
        <f>IFERROR(__xludf.DUMMYFUNCTION("""COMPUTED_VALUE"""),"Yes")</f>
        <v>Yes</v>
      </c>
      <c r="P13" s="5" t="str">
        <f>IFERROR(__xludf.DUMMYFUNCTION("""COMPUTED_VALUE"""),"Yes")</f>
        <v>Yes</v>
      </c>
      <c r="Q13" s="5" t="str">
        <f>IFERROR(__xludf.DUMMYFUNCTION("""COMPUTED_VALUE"""),"Yes")</f>
        <v>Yes</v>
      </c>
      <c r="R13" s="5" t="str">
        <f>IFERROR(__xludf.DUMMYFUNCTION("""COMPUTED_VALUE"""),"Yes")</f>
        <v>Yes</v>
      </c>
      <c r="S13" s="5" t="str">
        <f>IFERROR(__xludf.DUMMYFUNCTION("""COMPUTED_VALUE"""),"Yes")</f>
        <v>Yes</v>
      </c>
      <c r="T13" s="5" t="str">
        <f>IFERROR(__xludf.DUMMYFUNCTION("""COMPUTED_VALUE"""),"Yes")</f>
        <v>Yes</v>
      </c>
      <c r="U13" s="5" t="str">
        <f>IFERROR(__xludf.DUMMYFUNCTION("""COMPUTED_VALUE"""),"Yes")</f>
        <v>Yes</v>
      </c>
      <c r="V13" s="5" t="str">
        <f>IFERROR(__xludf.DUMMYFUNCTION("""COMPUTED_VALUE"""),"Yes")</f>
        <v>Yes</v>
      </c>
      <c r="W13" s="5"/>
      <c r="X13" s="5"/>
      <c r="Y13" s="5"/>
      <c r="Z13" s="5" t="str">
        <f>IFERROR(__xludf.DUMMYFUNCTION("""COMPUTED_VALUE"""),"Yes")</f>
        <v>Yes</v>
      </c>
      <c r="AA13" s="5"/>
      <c r="AB13" s="5"/>
      <c r="AC13" s="5"/>
    </row>
    <row r="14">
      <c r="A14" s="5" t="str">
        <f>IFERROR(__xludf.DUMMYFUNCTION("""COMPUTED_VALUE"""),"Spellbook")</f>
        <v>Spellbook</v>
      </c>
      <c r="B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 s="5" t="str">
        <f>IFERROR(__xludf.DUMMYFUNCTION("""COMPUTED_VALUE"""),"Yes")</f>
        <v>Yes</v>
      </c>
      <c r="D14" s="5" t="str">
        <f>IFERROR(__xludf.DUMMYFUNCTION("""COMPUTED_VALUE"""),"Yes")</f>
        <v>Yes</v>
      </c>
      <c r="E14" s="5" t="str">
        <f>IFERROR(__xludf.DUMMYFUNCTION("""COMPUTED_VALUE"""),"Yes")</f>
        <v>Yes</v>
      </c>
      <c r="F14" s="5" t="str">
        <f>IFERROR(__xludf.DUMMYFUNCTION("""COMPUTED_VALUE"""),"Yes")</f>
        <v>Yes</v>
      </c>
      <c r="G14" s="5" t="str">
        <f>IFERROR(__xludf.DUMMYFUNCTION("""COMPUTED_VALUE"""),"Yes")</f>
        <v>Yes</v>
      </c>
      <c r="H14" s="5" t="str">
        <f>IFERROR(__xludf.DUMMYFUNCTION("""COMPUTED_VALUE"""),"Yes")</f>
        <v>Yes</v>
      </c>
      <c r="I14" s="5" t="str">
        <f>IFERROR(__xludf.DUMMYFUNCTION("""COMPUTED_VALUE"""),"Yes")</f>
        <v>Yes</v>
      </c>
      <c r="J14" s="5" t="str">
        <f>IFERROR(__xludf.DUMMYFUNCTION("""COMPUTED_VALUE"""),"Yes")</f>
        <v>Yes</v>
      </c>
      <c r="K14" s="5" t="str">
        <f>IFERROR(__xludf.DUMMYFUNCTION("""COMPUTED_VALUE"""),"Yes")</f>
        <v>Yes</v>
      </c>
      <c r="L14" s="5" t="str">
        <f>IFERROR(__xludf.DUMMYFUNCTION("""COMPUTED_VALUE"""),"Yes")</f>
        <v>Yes</v>
      </c>
      <c r="M14" s="5" t="str">
        <f>IFERROR(__xludf.DUMMYFUNCTION("""COMPUTED_VALUE"""),"Yes")</f>
        <v>Yes</v>
      </c>
      <c r="N14" s="5" t="str">
        <f>IFERROR(__xludf.DUMMYFUNCTION("""COMPUTED_VALUE"""),"Yes")</f>
        <v>Yes</v>
      </c>
      <c r="O14" s="5" t="str">
        <f>IFERROR(__xludf.DUMMYFUNCTION("""COMPUTED_VALUE"""),"Yes")</f>
        <v>Yes</v>
      </c>
      <c r="P14" s="5" t="str">
        <f>IFERROR(__xludf.DUMMYFUNCTION("""COMPUTED_VALUE"""),"Yes")</f>
        <v>Yes</v>
      </c>
      <c r="Q14" s="5" t="str">
        <f>IFERROR(__xludf.DUMMYFUNCTION("""COMPUTED_VALUE"""),"Yes")</f>
        <v>Yes</v>
      </c>
      <c r="R14" s="5" t="str">
        <f>IFERROR(__xludf.DUMMYFUNCTION("""COMPUTED_VALUE"""),"Yes")</f>
        <v>Yes</v>
      </c>
      <c r="S14" s="5" t="str">
        <f>IFERROR(__xludf.DUMMYFUNCTION("""COMPUTED_VALUE"""),"Yes")</f>
        <v>Yes</v>
      </c>
      <c r="T14" s="5" t="str">
        <f>IFERROR(__xludf.DUMMYFUNCTION("""COMPUTED_VALUE"""),"Yes")</f>
        <v>Yes</v>
      </c>
      <c r="U14" s="5" t="str">
        <f>IFERROR(__xludf.DUMMYFUNCTION("""COMPUTED_VALUE"""),"Yes")</f>
        <v>Yes</v>
      </c>
      <c r="V14" s="5" t="str">
        <f>IFERROR(__xludf.DUMMYFUNCTION("""COMPUTED_VALUE"""),"Yes")</f>
        <v>Yes</v>
      </c>
      <c r="W14" s="5" t="str">
        <f>IFERROR(__xludf.DUMMYFUNCTION("""COMPUTED_VALUE"""),"Yes")</f>
        <v>Yes</v>
      </c>
      <c r="X14" s="5" t="str">
        <f>IFERROR(__xludf.DUMMYFUNCTION("""COMPUTED_VALUE"""),"Yes")</f>
        <v>Yes</v>
      </c>
      <c r="Y14" s="5" t="str">
        <f>IFERROR(__xludf.DUMMYFUNCTION("""COMPUTED_VALUE"""),"Yes")</f>
        <v>Yes</v>
      </c>
      <c r="Z14" s="5" t="str">
        <f>IFERROR(__xludf.DUMMYFUNCTION("""COMPUTED_VALUE"""),"Yes")</f>
        <v>Yes</v>
      </c>
      <c r="AA14" s="5" t="str">
        <f>IFERROR(__xludf.DUMMYFUNCTION("""COMPUTED_VALUE"""),"Yes")</f>
        <v>Yes</v>
      </c>
      <c r="AB14" s="5" t="str">
        <f>IFERROR(__xludf.DUMMYFUNCTION("""COMPUTED_VALUE"""),"Yes")</f>
        <v>Yes</v>
      </c>
      <c r="AC14" s="5" t="str">
        <f>IFERROR(__xludf.DUMMYFUNCTION("""COMPUTED_VALUE"""),"No")</f>
        <v>No</v>
      </c>
    </row>
    <row r="15">
      <c r="A15" s="5" t="str">
        <f>IFERROR(__xludf.DUMMYFUNCTION("""COMPUTED_VALUE"""),"WildWest")</f>
        <v>WildWest</v>
      </c>
      <c r="B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 s="5" t="str">
        <f>IFERROR(__xludf.DUMMYFUNCTION("""COMPUTED_VALUE"""),"Yes")</f>
        <v>Yes</v>
      </c>
      <c r="D15" s="5" t="str">
        <f>IFERROR(__xludf.DUMMYFUNCTION("""COMPUTED_VALUE"""),"Yes")</f>
        <v>Yes</v>
      </c>
      <c r="E15" s="5" t="str">
        <f>IFERROR(__xludf.DUMMYFUNCTION("""COMPUTED_VALUE"""),"Yes")</f>
        <v>Yes</v>
      </c>
      <c r="F15" s="5" t="str">
        <f>IFERROR(__xludf.DUMMYFUNCTION("""COMPUTED_VALUE"""),"Yes")</f>
        <v>Yes</v>
      </c>
      <c r="G15" s="5" t="str">
        <f>IFERROR(__xludf.DUMMYFUNCTION("""COMPUTED_VALUE"""),"Yes")</f>
        <v>Yes</v>
      </c>
      <c r="H15" s="5" t="str">
        <f>IFERROR(__xludf.DUMMYFUNCTION("""COMPUTED_VALUE"""),"Yes")</f>
        <v>Yes</v>
      </c>
      <c r="I15" s="5" t="str">
        <f>IFERROR(__xludf.DUMMYFUNCTION("""COMPUTED_VALUE"""),"Yes")</f>
        <v>Yes</v>
      </c>
      <c r="J15" s="5" t="str">
        <f>IFERROR(__xludf.DUMMYFUNCTION("""COMPUTED_VALUE"""),"Yes")</f>
        <v>Yes</v>
      </c>
      <c r="K15" s="5" t="str">
        <f>IFERROR(__xludf.DUMMYFUNCTION("""COMPUTED_VALUE"""),"Yes")</f>
        <v>Yes</v>
      </c>
      <c r="L15" s="5" t="str">
        <f>IFERROR(__xludf.DUMMYFUNCTION("""COMPUTED_VALUE"""),"Yes")</f>
        <v>Yes</v>
      </c>
      <c r="M15" s="5" t="str">
        <f>IFERROR(__xludf.DUMMYFUNCTION("""COMPUTED_VALUE"""),"Yes")</f>
        <v>Yes</v>
      </c>
      <c r="N15" s="5" t="str">
        <f>IFERROR(__xludf.DUMMYFUNCTION("""COMPUTED_VALUE"""),"Yes")</f>
        <v>Yes</v>
      </c>
      <c r="O15" s="5" t="str">
        <f>IFERROR(__xludf.DUMMYFUNCTION("""COMPUTED_VALUE"""),"Yes")</f>
        <v>Yes</v>
      </c>
      <c r="P15" s="5" t="str">
        <f>IFERROR(__xludf.DUMMYFUNCTION("""COMPUTED_VALUE"""),"Yes")</f>
        <v>Yes</v>
      </c>
      <c r="Q15" s="5" t="str">
        <f>IFERROR(__xludf.DUMMYFUNCTION("""COMPUTED_VALUE"""),"Yes")</f>
        <v>Yes</v>
      </c>
      <c r="R15" s="5" t="str">
        <f>IFERROR(__xludf.DUMMYFUNCTION("""COMPUTED_VALUE"""),"Yes")</f>
        <v>Yes</v>
      </c>
      <c r="S15" s="5" t="str">
        <f>IFERROR(__xludf.DUMMYFUNCTION("""COMPUTED_VALUE"""),"Yes")</f>
        <v>Yes</v>
      </c>
      <c r="T15" s="5" t="str">
        <f>IFERROR(__xludf.DUMMYFUNCTION("""COMPUTED_VALUE"""),"Yes")</f>
        <v>Yes</v>
      </c>
      <c r="U15" s="5" t="str">
        <f>IFERROR(__xludf.DUMMYFUNCTION("""COMPUTED_VALUE"""),"Yes")</f>
        <v>Yes</v>
      </c>
      <c r="V15" s="5" t="str">
        <f>IFERROR(__xludf.DUMMYFUNCTION("""COMPUTED_VALUE"""),"Yes")</f>
        <v>Yes</v>
      </c>
      <c r="W15" s="5" t="str">
        <f>IFERROR(__xludf.DUMMYFUNCTION("""COMPUTED_VALUE"""),"Yes")</f>
        <v>Yes</v>
      </c>
      <c r="X15" s="5" t="str">
        <f>IFERROR(__xludf.DUMMYFUNCTION("""COMPUTED_VALUE"""),"Yes")</f>
        <v>Yes</v>
      </c>
      <c r="Y15" s="5" t="str">
        <f>IFERROR(__xludf.DUMMYFUNCTION("""COMPUTED_VALUE"""),"Yes")</f>
        <v>Yes</v>
      </c>
      <c r="Z15" s="5" t="str">
        <f>IFERROR(__xludf.DUMMYFUNCTION("""COMPUTED_VALUE"""),"Yes")</f>
        <v>Yes</v>
      </c>
      <c r="AA15" s="5" t="str">
        <f>IFERROR(__xludf.DUMMYFUNCTION("""COMPUTED_VALUE"""),"Yes")</f>
        <v>Yes</v>
      </c>
      <c r="AB15" s="5" t="str">
        <f>IFERROR(__xludf.DUMMYFUNCTION("""COMPUTED_VALUE"""),"Yes")</f>
        <v>Yes</v>
      </c>
      <c r="AC15" s="5" t="str">
        <f>IFERROR(__xludf.DUMMYFUNCTION("""COMPUTED_VALUE"""),"No")</f>
        <v>No</v>
      </c>
    </row>
    <row r="16">
      <c r="A16" s="5" t="str">
        <f>IFERROR(__xludf.DUMMYFUNCTION("""COMPUTED_VALUE"""),"RollingDices81")</f>
        <v>RollingDices81</v>
      </c>
      <c r="B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6" s="5" t="str">
        <f>IFERROR(__xludf.DUMMYFUNCTION("""COMPUTED_VALUE"""),"Yes")</f>
        <v>Yes</v>
      </c>
      <c r="D16" s="5" t="str">
        <f>IFERROR(__xludf.DUMMYFUNCTION("""COMPUTED_VALUE"""),"Yes")</f>
        <v>Yes</v>
      </c>
      <c r="E16" s="5" t="str">
        <f>IFERROR(__xludf.DUMMYFUNCTION("""COMPUTED_VALUE"""),"Yes")</f>
        <v>Yes</v>
      </c>
      <c r="F16" s="5" t="str">
        <f>IFERROR(__xludf.DUMMYFUNCTION("""COMPUTED_VALUE"""),"Yes")</f>
        <v>Yes</v>
      </c>
      <c r="G16" s="5" t="str">
        <f>IFERROR(__xludf.DUMMYFUNCTION("""COMPUTED_VALUE"""),"Yes")</f>
        <v>Yes</v>
      </c>
      <c r="H16" s="5" t="str">
        <f>IFERROR(__xludf.DUMMYFUNCTION("""COMPUTED_VALUE"""),"Yes")</f>
        <v>Yes</v>
      </c>
      <c r="I16" s="5" t="str">
        <f>IFERROR(__xludf.DUMMYFUNCTION("""COMPUTED_VALUE"""),"Yes")</f>
        <v>Yes</v>
      </c>
      <c r="J16" s="5" t="str">
        <f>IFERROR(__xludf.DUMMYFUNCTION("""COMPUTED_VALUE"""),"Yes")</f>
        <v>Yes</v>
      </c>
      <c r="K16" s="5" t="str">
        <f>IFERROR(__xludf.DUMMYFUNCTION("""COMPUTED_VALUE"""),"Yes")</f>
        <v>Yes</v>
      </c>
      <c r="L16" s="5" t="str">
        <f>IFERROR(__xludf.DUMMYFUNCTION("""COMPUTED_VALUE"""),"Yes")</f>
        <v>Yes</v>
      </c>
      <c r="M16" s="5" t="str">
        <f>IFERROR(__xludf.DUMMYFUNCTION("""COMPUTED_VALUE"""),"Yes")</f>
        <v>Yes</v>
      </c>
      <c r="N16" s="5" t="str">
        <f>IFERROR(__xludf.DUMMYFUNCTION("""COMPUTED_VALUE"""),"Yes")</f>
        <v>Yes</v>
      </c>
      <c r="O16" s="5" t="str">
        <f>IFERROR(__xludf.DUMMYFUNCTION("""COMPUTED_VALUE"""),"Yes")</f>
        <v>Yes</v>
      </c>
      <c r="P16" s="5" t="str">
        <f>IFERROR(__xludf.DUMMYFUNCTION("""COMPUTED_VALUE"""),"Yes")</f>
        <v>Yes</v>
      </c>
      <c r="Q16" s="5" t="str">
        <f>IFERROR(__xludf.DUMMYFUNCTION("""COMPUTED_VALUE"""),"Yes")</f>
        <v>Yes</v>
      </c>
      <c r="R16" s="5" t="str">
        <f>IFERROR(__xludf.DUMMYFUNCTION("""COMPUTED_VALUE"""),"Yes")</f>
        <v>Yes</v>
      </c>
      <c r="S16" s="5" t="str">
        <f>IFERROR(__xludf.DUMMYFUNCTION("""COMPUTED_VALUE"""),"Yes")</f>
        <v>Yes</v>
      </c>
      <c r="T16" s="5" t="str">
        <f>IFERROR(__xludf.DUMMYFUNCTION("""COMPUTED_VALUE"""),"Yes")</f>
        <v>Yes</v>
      </c>
      <c r="U16" s="5" t="str">
        <f>IFERROR(__xludf.DUMMYFUNCTION("""COMPUTED_VALUE"""),"Yes")</f>
        <v>Yes</v>
      </c>
      <c r="V16" s="5" t="str">
        <f>IFERROR(__xludf.DUMMYFUNCTION("""COMPUTED_VALUE"""),"Yes")</f>
        <v>Yes</v>
      </c>
      <c r="W16" s="5"/>
      <c r="X16" s="5"/>
      <c r="Y16" s="5"/>
      <c r="Z16" s="5" t="str">
        <f>IFERROR(__xludf.DUMMYFUNCTION("""COMPUTED_VALUE"""),"Yes")</f>
        <v>Yes</v>
      </c>
      <c r="AA16" s="5"/>
      <c r="AB16" s="5"/>
      <c r="AC16" s="5"/>
    </row>
    <row r="17">
      <c r="A17" s="5" t="str">
        <f>IFERROR(__xludf.DUMMYFUNCTION("""COMPUTED_VALUE"""),"Pyramid")</f>
        <v>Pyramid</v>
      </c>
      <c r="B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 s="5" t="str">
        <f>IFERROR(__xludf.DUMMYFUNCTION("""COMPUTED_VALUE"""),"Yes")</f>
        <v>Yes</v>
      </c>
      <c r="D17" s="5" t="str">
        <f>IFERROR(__xludf.DUMMYFUNCTION("""COMPUTED_VALUE"""),"Yes")</f>
        <v>Yes</v>
      </c>
      <c r="E17" s="5" t="str">
        <f>IFERROR(__xludf.DUMMYFUNCTION("""COMPUTED_VALUE"""),"Yes")</f>
        <v>Yes</v>
      </c>
      <c r="F17" s="5" t="str">
        <f>IFERROR(__xludf.DUMMYFUNCTION("""COMPUTED_VALUE"""),"Yes")</f>
        <v>Yes</v>
      </c>
      <c r="G17" s="5" t="str">
        <f>IFERROR(__xludf.DUMMYFUNCTION("""COMPUTED_VALUE"""),"Yes")</f>
        <v>Yes</v>
      </c>
      <c r="H17" s="5" t="str">
        <f>IFERROR(__xludf.DUMMYFUNCTION("""COMPUTED_VALUE"""),"Yes")</f>
        <v>Yes</v>
      </c>
      <c r="I17" s="5" t="str">
        <f>IFERROR(__xludf.DUMMYFUNCTION("""COMPUTED_VALUE"""),"Yes")</f>
        <v>Yes</v>
      </c>
      <c r="J17" s="5" t="str">
        <f>IFERROR(__xludf.DUMMYFUNCTION("""COMPUTED_VALUE"""),"Yes")</f>
        <v>Yes</v>
      </c>
      <c r="K17" s="5" t="str">
        <f>IFERROR(__xludf.DUMMYFUNCTION("""COMPUTED_VALUE"""),"Yes")</f>
        <v>Yes</v>
      </c>
      <c r="L17" s="5" t="str">
        <f>IFERROR(__xludf.DUMMYFUNCTION("""COMPUTED_VALUE"""),"Yes")</f>
        <v>Yes</v>
      </c>
      <c r="M17" s="5" t="str">
        <f>IFERROR(__xludf.DUMMYFUNCTION("""COMPUTED_VALUE"""),"Yes")</f>
        <v>Yes</v>
      </c>
      <c r="N17" s="5" t="str">
        <f>IFERROR(__xludf.DUMMYFUNCTION("""COMPUTED_VALUE"""),"Yes")</f>
        <v>Yes</v>
      </c>
      <c r="O17" s="5" t="str">
        <f>IFERROR(__xludf.DUMMYFUNCTION("""COMPUTED_VALUE"""),"Yes")</f>
        <v>Yes</v>
      </c>
      <c r="P17" s="5" t="str">
        <f>IFERROR(__xludf.DUMMYFUNCTION("""COMPUTED_VALUE"""),"Yes")</f>
        <v>Yes</v>
      </c>
      <c r="Q17" s="5" t="str">
        <f>IFERROR(__xludf.DUMMYFUNCTION("""COMPUTED_VALUE"""),"Yes")</f>
        <v>Yes</v>
      </c>
      <c r="R17" s="5" t="str">
        <f>IFERROR(__xludf.DUMMYFUNCTION("""COMPUTED_VALUE"""),"Yes")</f>
        <v>Yes</v>
      </c>
      <c r="S17" s="5" t="str">
        <f>IFERROR(__xludf.DUMMYFUNCTION("""COMPUTED_VALUE"""),"Yes")</f>
        <v>Yes</v>
      </c>
      <c r="T17" s="5" t="str">
        <f>IFERROR(__xludf.DUMMYFUNCTION("""COMPUTED_VALUE"""),"Yes")</f>
        <v>Yes</v>
      </c>
      <c r="U17" s="5" t="str">
        <f>IFERROR(__xludf.DUMMYFUNCTION("""COMPUTED_VALUE"""),"Yes")</f>
        <v>Yes</v>
      </c>
      <c r="V17" s="5" t="str">
        <f>IFERROR(__xludf.DUMMYFUNCTION("""COMPUTED_VALUE"""),"Yes")</f>
        <v>Yes</v>
      </c>
      <c r="W17" s="5" t="str">
        <f>IFERROR(__xludf.DUMMYFUNCTION("""COMPUTED_VALUE"""),"Yes")</f>
        <v>Yes</v>
      </c>
      <c r="X17" s="5" t="str">
        <f>IFERROR(__xludf.DUMMYFUNCTION("""COMPUTED_VALUE"""),"Yes")</f>
        <v>Yes</v>
      </c>
      <c r="Y17" s="5" t="str">
        <f>IFERROR(__xludf.DUMMYFUNCTION("""COMPUTED_VALUE"""),"Yes")</f>
        <v>Yes</v>
      </c>
      <c r="Z17" s="5" t="str">
        <f>IFERROR(__xludf.DUMMYFUNCTION("""COMPUTED_VALUE"""),"Yes")</f>
        <v>Yes</v>
      </c>
      <c r="AA17" s="5" t="str">
        <f>IFERROR(__xludf.DUMMYFUNCTION("""COMPUTED_VALUE"""),"Yes")</f>
        <v>Yes</v>
      </c>
      <c r="AB17" s="5" t="str">
        <f>IFERROR(__xludf.DUMMYFUNCTION("""COMPUTED_VALUE"""),"Yes")</f>
        <v>Yes</v>
      </c>
      <c r="AC17" s="5" t="str">
        <f>IFERROR(__xludf.DUMMYFUNCTION("""COMPUTED_VALUE"""),"No")</f>
        <v>No</v>
      </c>
    </row>
    <row r="18">
      <c r="A18" s="5" t="str">
        <f>IFERROR(__xludf.DUMMYFUNCTION("""COMPUTED_VALUE"""),"Roulette")</f>
        <v>Roulette</v>
      </c>
      <c r="B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 s="5" t="str">
        <f>IFERROR(__xludf.DUMMYFUNCTION("""COMPUTED_VALUE"""),"Yes")</f>
        <v>Yes</v>
      </c>
      <c r="D18" s="5" t="str">
        <f>IFERROR(__xludf.DUMMYFUNCTION("""COMPUTED_VALUE"""),"Yes")</f>
        <v>Yes</v>
      </c>
      <c r="E18" s="5" t="str">
        <f>IFERROR(__xludf.DUMMYFUNCTION("""COMPUTED_VALUE"""),"Yes")</f>
        <v>Yes</v>
      </c>
      <c r="F18" s="5" t="str">
        <f>IFERROR(__xludf.DUMMYFUNCTION("""COMPUTED_VALUE"""),"Yes")</f>
        <v>Yes</v>
      </c>
      <c r="G18" s="5" t="str">
        <f>IFERROR(__xludf.DUMMYFUNCTION("""COMPUTED_VALUE"""),"Yes")</f>
        <v>Yes</v>
      </c>
      <c r="H18" s="5" t="str">
        <f>IFERROR(__xludf.DUMMYFUNCTION("""COMPUTED_VALUE"""),"Yes")</f>
        <v>Yes</v>
      </c>
      <c r="I18" s="5" t="str">
        <f>IFERROR(__xludf.DUMMYFUNCTION("""COMPUTED_VALUE"""),"Yes")</f>
        <v>Yes</v>
      </c>
      <c r="J18" s="5" t="str">
        <f>IFERROR(__xludf.DUMMYFUNCTION("""COMPUTED_VALUE"""),"Yes")</f>
        <v>Yes</v>
      </c>
      <c r="K18" s="5" t="str">
        <f>IFERROR(__xludf.DUMMYFUNCTION("""COMPUTED_VALUE"""),"Yes")</f>
        <v>Yes</v>
      </c>
      <c r="L18" s="5" t="str">
        <f>IFERROR(__xludf.DUMMYFUNCTION("""COMPUTED_VALUE"""),"Yes")</f>
        <v>Yes</v>
      </c>
      <c r="M18" s="5" t="str">
        <f>IFERROR(__xludf.DUMMYFUNCTION("""COMPUTED_VALUE"""),"Yes")</f>
        <v>Yes</v>
      </c>
      <c r="N18" s="5" t="str">
        <f>IFERROR(__xludf.DUMMYFUNCTION("""COMPUTED_VALUE"""),"Yes")</f>
        <v>Yes</v>
      </c>
      <c r="O18" s="5" t="str">
        <f>IFERROR(__xludf.DUMMYFUNCTION("""COMPUTED_VALUE"""),"Yes")</f>
        <v>Yes</v>
      </c>
      <c r="P18" s="5" t="str">
        <f>IFERROR(__xludf.DUMMYFUNCTION("""COMPUTED_VALUE"""),"Yes")</f>
        <v>Yes</v>
      </c>
      <c r="Q18" s="5" t="str">
        <f>IFERROR(__xludf.DUMMYFUNCTION("""COMPUTED_VALUE"""),"Yes")</f>
        <v>Yes</v>
      </c>
      <c r="R18" s="5" t="str">
        <f>IFERROR(__xludf.DUMMYFUNCTION("""COMPUTED_VALUE"""),"Yes")</f>
        <v>Yes</v>
      </c>
      <c r="S18" s="5" t="str">
        <f>IFERROR(__xludf.DUMMYFUNCTION("""COMPUTED_VALUE"""),"Yes")</f>
        <v>Yes</v>
      </c>
      <c r="T18" s="5" t="str">
        <f>IFERROR(__xludf.DUMMYFUNCTION("""COMPUTED_VALUE"""),"Yes")</f>
        <v>Yes</v>
      </c>
      <c r="U18" s="5" t="str">
        <f>IFERROR(__xludf.DUMMYFUNCTION("""COMPUTED_VALUE"""),"Yes")</f>
        <v>Yes</v>
      </c>
      <c r="V18" s="5" t="str">
        <f>IFERROR(__xludf.DUMMYFUNCTION("""COMPUTED_VALUE"""),"Yes")</f>
        <v>Yes</v>
      </c>
      <c r="W18" s="5" t="str">
        <f>IFERROR(__xludf.DUMMYFUNCTION("""COMPUTED_VALUE"""),"Yes")</f>
        <v>Yes</v>
      </c>
      <c r="X18" s="5" t="str">
        <f>IFERROR(__xludf.DUMMYFUNCTION("""COMPUTED_VALUE"""),"Yes")</f>
        <v>Yes</v>
      </c>
      <c r="Y18" s="5" t="str">
        <f>IFERROR(__xludf.DUMMYFUNCTION("""COMPUTED_VALUE"""),"Yes")</f>
        <v>Yes</v>
      </c>
      <c r="Z18" s="5" t="str">
        <f>IFERROR(__xludf.DUMMYFUNCTION("""COMPUTED_VALUE"""),"Yes")</f>
        <v>Yes</v>
      </c>
      <c r="AA18" s="5" t="str">
        <f>IFERROR(__xludf.DUMMYFUNCTION("""COMPUTED_VALUE"""),"Yes")</f>
        <v>Yes</v>
      </c>
      <c r="AB18" s="5" t="str">
        <f>IFERROR(__xludf.DUMMYFUNCTION("""COMPUTED_VALUE"""),"Yes")</f>
        <v>Yes</v>
      </c>
      <c r="AC18" s="5" t="str">
        <f>IFERROR(__xludf.DUMMYFUNCTION("""COMPUTED_VALUE"""),"No")</f>
        <v>No</v>
      </c>
    </row>
    <row r="19">
      <c r="A19" s="5" t="str">
        <f>IFERROR(__xludf.DUMMYFUNCTION("""COMPUTED_VALUE"""),"JollyPoker")</f>
        <v>JollyPoker</v>
      </c>
      <c r="B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 s="5" t="str">
        <f>IFERROR(__xludf.DUMMYFUNCTION("""COMPUTED_VALUE"""),"Yes")</f>
        <v>Yes</v>
      </c>
      <c r="D19" s="5" t="str">
        <f>IFERROR(__xludf.DUMMYFUNCTION("""COMPUTED_VALUE"""),"Yes")</f>
        <v>Yes</v>
      </c>
      <c r="E19" s="5" t="str">
        <f>IFERROR(__xludf.DUMMYFUNCTION("""COMPUTED_VALUE"""),"Yes")</f>
        <v>Yes</v>
      </c>
      <c r="F19" s="5" t="str">
        <f>IFERROR(__xludf.DUMMYFUNCTION("""COMPUTED_VALUE"""),"Yes")</f>
        <v>Yes</v>
      </c>
      <c r="G19" s="5" t="str">
        <f>IFERROR(__xludf.DUMMYFUNCTION("""COMPUTED_VALUE"""),"Yes")</f>
        <v>Yes</v>
      </c>
      <c r="H19" s="5" t="str">
        <f>IFERROR(__xludf.DUMMYFUNCTION("""COMPUTED_VALUE"""),"Yes")</f>
        <v>Yes</v>
      </c>
      <c r="I19" s="5" t="str">
        <f>IFERROR(__xludf.DUMMYFUNCTION("""COMPUTED_VALUE"""),"Yes")</f>
        <v>Yes</v>
      </c>
      <c r="J19" s="5" t="str">
        <f>IFERROR(__xludf.DUMMYFUNCTION("""COMPUTED_VALUE"""),"Yes")</f>
        <v>Yes</v>
      </c>
      <c r="K19" s="5" t="str">
        <f>IFERROR(__xludf.DUMMYFUNCTION("""COMPUTED_VALUE"""),"Yes")</f>
        <v>Yes</v>
      </c>
      <c r="L19" s="5" t="str">
        <f>IFERROR(__xludf.DUMMYFUNCTION("""COMPUTED_VALUE"""),"Yes")</f>
        <v>Yes</v>
      </c>
      <c r="M19" s="5" t="str">
        <f>IFERROR(__xludf.DUMMYFUNCTION("""COMPUTED_VALUE"""),"Yes")</f>
        <v>Yes</v>
      </c>
      <c r="N19" s="5" t="str">
        <f>IFERROR(__xludf.DUMMYFUNCTION("""COMPUTED_VALUE"""),"Yes")</f>
        <v>Yes</v>
      </c>
      <c r="O19" s="5" t="str">
        <f>IFERROR(__xludf.DUMMYFUNCTION("""COMPUTED_VALUE"""),"Yes")</f>
        <v>Yes</v>
      </c>
      <c r="P19" s="5" t="str">
        <f>IFERROR(__xludf.DUMMYFUNCTION("""COMPUTED_VALUE"""),"Yes")</f>
        <v>Yes</v>
      </c>
      <c r="Q19" s="5" t="str">
        <f>IFERROR(__xludf.DUMMYFUNCTION("""COMPUTED_VALUE"""),"Yes")</f>
        <v>Yes</v>
      </c>
      <c r="R19" s="5" t="str">
        <f>IFERROR(__xludf.DUMMYFUNCTION("""COMPUTED_VALUE"""),"Yes")</f>
        <v>Yes</v>
      </c>
      <c r="S19" s="5" t="str">
        <f>IFERROR(__xludf.DUMMYFUNCTION("""COMPUTED_VALUE"""),"Yes")</f>
        <v>Yes</v>
      </c>
      <c r="T19" s="5" t="str">
        <f>IFERROR(__xludf.DUMMYFUNCTION("""COMPUTED_VALUE"""),"Yes")</f>
        <v>Yes</v>
      </c>
      <c r="U19" s="5" t="str">
        <f>IFERROR(__xludf.DUMMYFUNCTION("""COMPUTED_VALUE"""),"Yes")</f>
        <v>Yes</v>
      </c>
      <c r="V19" s="5" t="str">
        <f>IFERROR(__xludf.DUMMYFUNCTION("""COMPUTED_VALUE"""),"Yes")</f>
        <v>Yes</v>
      </c>
      <c r="W19" s="5" t="str">
        <f>IFERROR(__xludf.DUMMYFUNCTION("""COMPUTED_VALUE"""),"Yes")</f>
        <v>Yes</v>
      </c>
      <c r="X19" s="5" t="str">
        <f>IFERROR(__xludf.DUMMYFUNCTION("""COMPUTED_VALUE"""),"Yes")</f>
        <v>Yes</v>
      </c>
      <c r="Y19" s="5" t="str">
        <f>IFERROR(__xludf.DUMMYFUNCTION("""COMPUTED_VALUE"""),"Yes")</f>
        <v>Yes</v>
      </c>
      <c r="Z19" s="5" t="str">
        <f>IFERROR(__xludf.DUMMYFUNCTION("""COMPUTED_VALUE"""),"Yes")</f>
        <v>Yes</v>
      </c>
      <c r="AA19" s="5" t="str">
        <f>IFERROR(__xludf.DUMMYFUNCTION("""COMPUTED_VALUE"""),"Yes")</f>
        <v>Yes</v>
      </c>
      <c r="AB19" s="5" t="str">
        <f>IFERROR(__xludf.DUMMYFUNCTION("""COMPUTED_VALUE"""),"Yes")</f>
        <v>Yes</v>
      </c>
      <c r="AC19" s="5" t="str">
        <f>IFERROR(__xludf.DUMMYFUNCTION("""COMPUTED_VALUE"""),"No")</f>
        <v>No</v>
      </c>
    </row>
    <row r="20">
      <c r="A20" s="5" t="str">
        <f>IFERROR(__xludf.DUMMYFUNCTION("""COMPUTED_VALUE"""),"Alpinist")</f>
        <v>Alpinist</v>
      </c>
      <c r="B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 s="5" t="str">
        <f>IFERROR(__xludf.DUMMYFUNCTION("""COMPUTED_VALUE"""),"Yes")</f>
        <v>Yes</v>
      </c>
      <c r="D20" s="5" t="str">
        <f>IFERROR(__xludf.DUMMYFUNCTION("""COMPUTED_VALUE"""),"Yes")</f>
        <v>Yes</v>
      </c>
      <c r="E20" s="5" t="str">
        <f>IFERROR(__xludf.DUMMYFUNCTION("""COMPUTED_VALUE"""),"Yes")</f>
        <v>Yes</v>
      </c>
      <c r="F20" s="5" t="str">
        <f>IFERROR(__xludf.DUMMYFUNCTION("""COMPUTED_VALUE"""),"Yes")</f>
        <v>Yes</v>
      </c>
      <c r="G20" s="5" t="str">
        <f>IFERROR(__xludf.DUMMYFUNCTION("""COMPUTED_VALUE"""),"Yes")</f>
        <v>Yes</v>
      </c>
      <c r="H20" s="5" t="str">
        <f>IFERROR(__xludf.DUMMYFUNCTION("""COMPUTED_VALUE"""),"Yes")</f>
        <v>Yes</v>
      </c>
      <c r="I20" s="5" t="str">
        <f>IFERROR(__xludf.DUMMYFUNCTION("""COMPUTED_VALUE"""),"Yes")</f>
        <v>Yes</v>
      </c>
      <c r="J20" s="5" t="str">
        <f>IFERROR(__xludf.DUMMYFUNCTION("""COMPUTED_VALUE"""),"Yes")</f>
        <v>Yes</v>
      </c>
      <c r="K20" s="5" t="str">
        <f>IFERROR(__xludf.DUMMYFUNCTION("""COMPUTED_VALUE"""),"Yes")</f>
        <v>Yes</v>
      </c>
      <c r="L20" s="5" t="str">
        <f>IFERROR(__xludf.DUMMYFUNCTION("""COMPUTED_VALUE"""),"Yes")</f>
        <v>Yes</v>
      </c>
      <c r="M20" s="5" t="str">
        <f>IFERROR(__xludf.DUMMYFUNCTION("""COMPUTED_VALUE"""),"Yes")</f>
        <v>Yes</v>
      </c>
      <c r="N20" s="5" t="str">
        <f>IFERROR(__xludf.DUMMYFUNCTION("""COMPUTED_VALUE"""),"Yes")</f>
        <v>Yes</v>
      </c>
      <c r="O20" s="5" t="str">
        <f>IFERROR(__xludf.DUMMYFUNCTION("""COMPUTED_VALUE"""),"Yes")</f>
        <v>Yes</v>
      </c>
      <c r="P20" s="5" t="str">
        <f>IFERROR(__xludf.DUMMYFUNCTION("""COMPUTED_VALUE"""),"Yes")</f>
        <v>Yes</v>
      </c>
      <c r="Q20" s="5" t="str">
        <f>IFERROR(__xludf.DUMMYFUNCTION("""COMPUTED_VALUE"""),"Yes")</f>
        <v>Yes</v>
      </c>
      <c r="R20" s="5" t="str">
        <f>IFERROR(__xludf.DUMMYFUNCTION("""COMPUTED_VALUE"""),"Yes")</f>
        <v>Yes</v>
      </c>
      <c r="S20" s="5" t="str">
        <f>IFERROR(__xludf.DUMMYFUNCTION("""COMPUTED_VALUE"""),"Yes")</f>
        <v>Yes</v>
      </c>
      <c r="T20" s="5" t="str">
        <f>IFERROR(__xludf.DUMMYFUNCTION("""COMPUTED_VALUE"""),"Yes")</f>
        <v>Yes</v>
      </c>
      <c r="U20" s="5" t="str">
        <f>IFERROR(__xludf.DUMMYFUNCTION("""COMPUTED_VALUE"""),"Yes")</f>
        <v>Yes</v>
      </c>
      <c r="V20" s="5" t="str">
        <f>IFERROR(__xludf.DUMMYFUNCTION("""COMPUTED_VALUE"""),"Yes")</f>
        <v>Yes</v>
      </c>
      <c r="W20" s="5" t="str">
        <f>IFERROR(__xludf.DUMMYFUNCTION("""COMPUTED_VALUE"""),"Yes")</f>
        <v>Yes</v>
      </c>
      <c r="X20" s="5" t="str">
        <f>IFERROR(__xludf.DUMMYFUNCTION("""COMPUTED_VALUE"""),"Yes")</f>
        <v>Yes</v>
      </c>
      <c r="Y20" s="5" t="str">
        <f>IFERROR(__xludf.DUMMYFUNCTION("""COMPUTED_VALUE"""),"Yes")</f>
        <v>Yes</v>
      </c>
      <c r="Z20" s="5" t="str">
        <f>IFERROR(__xludf.DUMMYFUNCTION("""COMPUTED_VALUE"""),"Yes")</f>
        <v>Yes</v>
      </c>
      <c r="AA20" s="5" t="str">
        <f>IFERROR(__xludf.DUMMYFUNCTION("""COMPUTED_VALUE"""),"Yes")</f>
        <v>Yes</v>
      </c>
      <c r="AB20" s="5" t="str">
        <f>IFERROR(__xludf.DUMMYFUNCTION("""COMPUTED_VALUE"""),"Yes")</f>
        <v>Yes</v>
      </c>
      <c r="AC20" s="5" t="str">
        <f>IFERROR(__xludf.DUMMYFUNCTION("""COMPUTED_VALUE"""),"No")</f>
        <v>No</v>
      </c>
    </row>
    <row r="21">
      <c r="A21" s="5" t="str">
        <f>IFERROR(__xludf.DUMMYFUNCTION("""COMPUTED_VALUE"""),"Diamonds")</f>
        <v>Diamonds</v>
      </c>
      <c r="B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 s="5" t="str">
        <f>IFERROR(__xludf.DUMMYFUNCTION("""COMPUTED_VALUE"""),"Yes")</f>
        <v>Yes</v>
      </c>
      <c r="D21" s="5" t="str">
        <f>IFERROR(__xludf.DUMMYFUNCTION("""COMPUTED_VALUE"""),"Yes")</f>
        <v>Yes</v>
      </c>
      <c r="E21" s="5" t="str">
        <f>IFERROR(__xludf.DUMMYFUNCTION("""COMPUTED_VALUE"""),"Yes")</f>
        <v>Yes</v>
      </c>
      <c r="F21" s="5" t="str">
        <f>IFERROR(__xludf.DUMMYFUNCTION("""COMPUTED_VALUE"""),"Yes")</f>
        <v>Yes</v>
      </c>
      <c r="G21" s="5" t="str">
        <f>IFERROR(__xludf.DUMMYFUNCTION("""COMPUTED_VALUE"""),"Yes")</f>
        <v>Yes</v>
      </c>
      <c r="H21" s="5" t="str">
        <f>IFERROR(__xludf.DUMMYFUNCTION("""COMPUTED_VALUE"""),"Yes")</f>
        <v>Yes</v>
      </c>
      <c r="I21" s="5" t="str">
        <f>IFERROR(__xludf.DUMMYFUNCTION("""COMPUTED_VALUE"""),"Yes")</f>
        <v>Yes</v>
      </c>
      <c r="J21" s="5" t="str">
        <f>IFERROR(__xludf.DUMMYFUNCTION("""COMPUTED_VALUE"""),"Yes")</f>
        <v>Yes</v>
      </c>
      <c r="K21" s="5" t="str">
        <f>IFERROR(__xludf.DUMMYFUNCTION("""COMPUTED_VALUE"""),"Yes")</f>
        <v>Yes</v>
      </c>
      <c r="L21" s="5" t="str">
        <f>IFERROR(__xludf.DUMMYFUNCTION("""COMPUTED_VALUE"""),"Yes")</f>
        <v>Yes</v>
      </c>
      <c r="M21" s="5" t="str">
        <f>IFERROR(__xludf.DUMMYFUNCTION("""COMPUTED_VALUE"""),"Yes")</f>
        <v>Yes</v>
      </c>
      <c r="N21" s="5" t="str">
        <f>IFERROR(__xludf.DUMMYFUNCTION("""COMPUTED_VALUE"""),"Yes")</f>
        <v>Yes</v>
      </c>
      <c r="O21" s="5" t="str">
        <f>IFERROR(__xludf.DUMMYFUNCTION("""COMPUTED_VALUE"""),"Yes")</f>
        <v>Yes</v>
      </c>
      <c r="P21" s="5" t="str">
        <f>IFERROR(__xludf.DUMMYFUNCTION("""COMPUTED_VALUE"""),"Yes")</f>
        <v>Yes</v>
      </c>
      <c r="Q21" s="5" t="str">
        <f>IFERROR(__xludf.DUMMYFUNCTION("""COMPUTED_VALUE"""),"Yes")</f>
        <v>Yes</v>
      </c>
      <c r="R21" s="5" t="str">
        <f>IFERROR(__xludf.DUMMYFUNCTION("""COMPUTED_VALUE"""),"Yes")</f>
        <v>Yes</v>
      </c>
      <c r="S21" s="5" t="str">
        <f>IFERROR(__xludf.DUMMYFUNCTION("""COMPUTED_VALUE"""),"Yes")</f>
        <v>Yes</v>
      </c>
      <c r="T21" s="5" t="str">
        <f>IFERROR(__xludf.DUMMYFUNCTION("""COMPUTED_VALUE"""),"Yes")</f>
        <v>Yes</v>
      </c>
      <c r="U21" s="5" t="str">
        <f>IFERROR(__xludf.DUMMYFUNCTION("""COMPUTED_VALUE"""),"Yes")</f>
        <v>Yes</v>
      </c>
      <c r="V21" s="5" t="str">
        <f>IFERROR(__xludf.DUMMYFUNCTION("""COMPUTED_VALUE"""),"Yes")</f>
        <v>Yes</v>
      </c>
      <c r="W21" s="5" t="str">
        <f>IFERROR(__xludf.DUMMYFUNCTION("""COMPUTED_VALUE"""),"Yes")</f>
        <v>Yes</v>
      </c>
      <c r="X21" s="5" t="str">
        <f>IFERROR(__xludf.DUMMYFUNCTION("""COMPUTED_VALUE"""),"Yes")</f>
        <v>Yes</v>
      </c>
      <c r="Y21" s="5" t="str">
        <f>IFERROR(__xludf.DUMMYFUNCTION("""COMPUTED_VALUE"""),"Yes")</f>
        <v>Yes</v>
      </c>
      <c r="Z21" s="5" t="str">
        <f>IFERROR(__xludf.DUMMYFUNCTION("""COMPUTED_VALUE"""),"Yes")</f>
        <v>Yes</v>
      </c>
      <c r="AA21" s="5" t="str">
        <f>IFERROR(__xludf.DUMMYFUNCTION("""COMPUTED_VALUE"""),"Yes")</f>
        <v>Yes</v>
      </c>
      <c r="AB21" s="5" t="str">
        <f>IFERROR(__xludf.DUMMYFUNCTION("""COMPUTED_VALUE"""),"Yes")</f>
        <v>Yes</v>
      </c>
      <c r="AC21" s="5" t="str">
        <f>IFERROR(__xludf.DUMMYFUNCTION("""COMPUTED_VALUE"""),"No")</f>
        <v>No</v>
      </c>
    </row>
    <row r="22">
      <c r="A22" s="5" t="str">
        <f>IFERROR(__xludf.DUMMYFUNCTION("""COMPUTED_VALUE"""),"JuicyHot")</f>
        <v>JuicyHot</v>
      </c>
      <c r="B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 s="5" t="str">
        <f>IFERROR(__xludf.DUMMYFUNCTION("""COMPUTED_VALUE"""),"Yes")</f>
        <v>Yes</v>
      </c>
      <c r="D22" s="5" t="str">
        <f>IFERROR(__xludf.DUMMYFUNCTION("""COMPUTED_VALUE"""),"Yes")</f>
        <v>Yes</v>
      </c>
      <c r="E22" s="5" t="str">
        <f>IFERROR(__xludf.DUMMYFUNCTION("""COMPUTED_VALUE"""),"Yes")</f>
        <v>Yes</v>
      </c>
      <c r="F22" s="5" t="str">
        <f>IFERROR(__xludf.DUMMYFUNCTION("""COMPUTED_VALUE"""),"Yes")</f>
        <v>Yes</v>
      </c>
      <c r="G22" s="5" t="str">
        <f>IFERROR(__xludf.DUMMYFUNCTION("""COMPUTED_VALUE"""),"Yes")</f>
        <v>Yes</v>
      </c>
      <c r="H22" s="5" t="str">
        <f>IFERROR(__xludf.DUMMYFUNCTION("""COMPUTED_VALUE"""),"Yes")</f>
        <v>Yes</v>
      </c>
      <c r="I22" s="5" t="str">
        <f>IFERROR(__xludf.DUMMYFUNCTION("""COMPUTED_VALUE"""),"Yes")</f>
        <v>Yes</v>
      </c>
      <c r="J22" s="5" t="str">
        <f>IFERROR(__xludf.DUMMYFUNCTION("""COMPUTED_VALUE"""),"Yes")</f>
        <v>Yes</v>
      </c>
      <c r="K22" s="5" t="str">
        <f>IFERROR(__xludf.DUMMYFUNCTION("""COMPUTED_VALUE"""),"Yes")</f>
        <v>Yes</v>
      </c>
      <c r="L22" s="5" t="str">
        <f>IFERROR(__xludf.DUMMYFUNCTION("""COMPUTED_VALUE"""),"Yes")</f>
        <v>Yes</v>
      </c>
      <c r="M22" s="5" t="str">
        <f>IFERROR(__xludf.DUMMYFUNCTION("""COMPUTED_VALUE"""),"Yes")</f>
        <v>Yes</v>
      </c>
      <c r="N22" s="5" t="str">
        <f>IFERROR(__xludf.DUMMYFUNCTION("""COMPUTED_VALUE"""),"Yes")</f>
        <v>Yes</v>
      </c>
      <c r="O22" s="5" t="str">
        <f>IFERROR(__xludf.DUMMYFUNCTION("""COMPUTED_VALUE"""),"Yes")</f>
        <v>Yes</v>
      </c>
      <c r="P22" s="5" t="str">
        <f>IFERROR(__xludf.DUMMYFUNCTION("""COMPUTED_VALUE"""),"Yes")</f>
        <v>Yes</v>
      </c>
      <c r="Q22" s="5" t="str">
        <f>IFERROR(__xludf.DUMMYFUNCTION("""COMPUTED_VALUE"""),"Yes")</f>
        <v>Yes</v>
      </c>
      <c r="R22" s="5" t="str">
        <f>IFERROR(__xludf.DUMMYFUNCTION("""COMPUTED_VALUE"""),"Yes")</f>
        <v>Yes</v>
      </c>
      <c r="S22" s="5" t="str">
        <f>IFERROR(__xludf.DUMMYFUNCTION("""COMPUTED_VALUE"""),"Yes")</f>
        <v>Yes</v>
      </c>
      <c r="T22" s="5" t="str">
        <f>IFERROR(__xludf.DUMMYFUNCTION("""COMPUTED_VALUE"""),"Yes")</f>
        <v>Yes</v>
      </c>
      <c r="U22" s="5" t="str">
        <f>IFERROR(__xludf.DUMMYFUNCTION("""COMPUTED_VALUE"""),"Yes")</f>
        <v>Yes</v>
      </c>
      <c r="V22" s="5" t="str">
        <f>IFERROR(__xludf.DUMMYFUNCTION("""COMPUTED_VALUE"""),"Yes")</f>
        <v>Yes</v>
      </c>
      <c r="W22" s="5" t="str">
        <f>IFERROR(__xludf.DUMMYFUNCTION("""COMPUTED_VALUE"""),"Yes")</f>
        <v>Yes</v>
      </c>
      <c r="X22" s="5" t="str">
        <f>IFERROR(__xludf.DUMMYFUNCTION("""COMPUTED_VALUE"""),"Yes")</f>
        <v>Yes</v>
      </c>
      <c r="Y22" s="5" t="str">
        <f>IFERROR(__xludf.DUMMYFUNCTION("""COMPUTED_VALUE"""),"Yes")</f>
        <v>Yes</v>
      </c>
      <c r="Z22" s="5" t="str">
        <f>IFERROR(__xludf.DUMMYFUNCTION("""COMPUTED_VALUE"""),"Yes")</f>
        <v>Yes</v>
      </c>
      <c r="AA22" s="5" t="str">
        <f>IFERROR(__xludf.DUMMYFUNCTION("""COMPUTED_VALUE"""),"Yes")</f>
        <v>Yes</v>
      </c>
      <c r="AB22" s="5" t="str">
        <f>IFERROR(__xludf.DUMMYFUNCTION("""COMPUTED_VALUE"""),"Yes")</f>
        <v>Yes</v>
      </c>
      <c r="AC22" s="5" t="str">
        <f>IFERROR(__xludf.DUMMYFUNCTION("""COMPUTED_VALUE"""),"No")</f>
        <v>No</v>
      </c>
    </row>
    <row r="23">
      <c r="A23" s="5" t="str">
        <f>IFERROR(__xludf.DUMMYFUNCTION("""COMPUTED_VALUE"""),"HotStars")</f>
        <v>HotStars</v>
      </c>
      <c r="B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 s="5" t="str">
        <f>IFERROR(__xludf.DUMMYFUNCTION("""COMPUTED_VALUE"""),"Yes")</f>
        <v>Yes</v>
      </c>
      <c r="D23" s="5" t="str">
        <f>IFERROR(__xludf.DUMMYFUNCTION("""COMPUTED_VALUE"""),"Yes")</f>
        <v>Yes</v>
      </c>
      <c r="E23" s="5" t="str">
        <f>IFERROR(__xludf.DUMMYFUNCTION("""COMPUTED_VALUE"""),"Yes")</f>
        <v>Yes</v>
      </c>
      <c r="F23" s="5" t="str">
        <f>IFERROR(__xludf.DUMMYFUNCTION("""COMPUTED_VALUE"""),"Yes")</f>
        <v>Yes</v>
      </c>
      <c r="G23" s="5" t="str">
        <f>IFERROR(__xludf.DUMMYFUNCTION("""COMPUTED_VALUE"""),"Yes")</f>
        <v>Yes</v>
      </c>
      <c r="H23" s="5" t="str">
        <f>IFERROR(__xludf.DUMMYFUNCTION("""COMPUTED_VALUE"""),"Yes")</f>
        <v>Yes</v>
      </c>
      <c r="I23" s="5" t="str">
        <f>IFERROR(__xludf.DUMMYFUNCTION("""COMPUTED_VALUE"""),"Yes")</f>
        <v>Yes</v>
      </c>
      <c r="J23" s="5" t="str">
        <f>IFERROR(__xludf.DUMMYFUNCTION("""COMPUTED_VALUE"""),"Yes")</f>
        <v>Yes</v>
      </c>
      <c r="K23" s="5" t="str">
        <f>IFERROR(__xludf.DUMMYFUNCTION("""COMPUTED_VALUE"""),"Yes")</f>
        <v>Yes</v>
      </c>
      <c r="L23" s="5" t="str">
        <f>IFERROR(__xludf.DUMMYFUNCTION("""COMPUTED_VALUE"""),"Yes")</f>
        <v>Yes</v>
      </c>
      <c r="M23" s="5" t="str">
        <f>IFERROR(__xludf.DUMMYFUNCTION("""COMPUTED_VALUE"""),"Yes")</f>
        <v>Yes</v>
      </c>
      <c r="N23" s="5" t="str">
        <f>IFERROR(__xludf.DUMMYFUNCTION("""COMPUTED_VALUE"""),"Yes")</f>
        <v>Yes</v>
      </c>
      <c r="O23" s="5" t="str">
        <f>IFERROR(__xludf.DUMMYFUNCTION("""COMPUTED_VALUE"""),"Yes")</f>
        <v>Yes</v>
      </c>
      <c r="P23" s="5" t="str">
        <f>IFERROR(__xludf.DUMMYFUNCTION("""COMPUTED_VALUE"""),"Yes")</f>
        <v>Yes</v>
      </c>
      <c r="Q23" s="5" t="str">
        <f>IFERROR(__xludf.DUMMYFUNCTION("""COMPUTED_VALUE"""),"Yes")</f>
        <v>Yes</v>
      </c>
      <c r="R23" s="5" t="str">
        <f>IFERROR(__xludf.DUMMYFUNCTION("""COMPUTED_VALUE"""),"Yes")</f>
        <v>Yes</v>
      </c>
      <c r="S23" s="5" t="str">
        <f>IFERROR(__xludf.DUMMYFUNCTION("""COMPUTED_VALUE"""),"Yes")</f>
        <v>Yes</v>
      </c>
      <c r="T23" s="5" t="str">
        <f>IFERROR(__xludf.DUMMYFUNCTION("""COMPUTED_VALUE"""),"Yes")</f>
        <v>Yes</v>
      </c>
      <c r="U23" s="5" t="str">
        <f>IFERROR(__xludf.DUMMYFUNCTION("""COMPUTED_VALUE"""),"Yes")</f>
        <v>Yes</v>
      </c>
      <c r="V23" s="5" t="str">
        <f>IFERROR(__xludf.DUMMYFUNCTION("""COMPUTED_VALUE"""),"Yes")</f>
        <v>Yes</v>
      </c>
      <c r="W23" s="5" t="str">
        <f>IFERROR(__xludf.DUMMYFUNCTION("""COMPUTED_VALUE"""),"Yes")</f>
        <v>Yes</v>
      </c>
      <c r="X23" s="5" t="str">
        <f>IFERROR(__xludf.DUMMYFUNCTION("""COMPUTED_VALUE"""),"Yes")</f>
        <v>Yes</v>
      </c>
      <c r="Y23" s="5" t="str">
        <f>IFERROR(__xludf.DUMMYFUNCTION("""COMPUTED_VALUE"""),"Yes")</f>
        <v>Yes</v>
      </c>
      <c r="Z23" s="5" t="str">
        <f>IFERROR(__xludf.DUMMYFUNCTION("""COMPUTED_VALUE"""),"Yes")</f>
        <v>Yes</v>
      </c>
      <c r="AA23" s="5" t="str">
        <f>IFERROR(__xludf.DUMMYFUNCTION("""COMPUTED_VALUE"""),"Yes")</f>
        <v>Yes</v>
      </c>
      <c r="AB23" s="5" t="str">
        <f>IFERROR(__xludf.DUMMYFUNCTION("""COMPUTED_VALUE"""),"Yes")</f>
        <v>Yes</v>
      </c>
      <c r="AC23" s="5" t="str">
        <f>IFERROR(__xludf.DUMMYFUNCTION("""COMPUTED_VALUE"""),"No")</f>
        <v>No</v>
      </c>
    </row>
    <row r="24">
      <c r="A24" s="5" t="str">
        <f>IFERROR(__xludf.DUMMYFUNCTION("""COMPUTED_VALUE"""),"TripleCrown")</f>
        <v>TripleCrown</v>
      </c>
      <c r="B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 s="5" t="str">
        <f>IFERROR(__xludf.DUMMYFUNCTION("""COMPUTED_VALUE"""),"Yes")</f>
        <v>Yes</v>
      </c>
      <c r="D24" s="5" t="str">
        <f>IFERROR(__xludf.DUMMYFUNCTION("""COMPUTED_VALUE"""),"Yes")</f>
        <v>Yes</v>
      </c>
      <c r="E24" s="5" t="str">
        <f>IFERROR(__xludf.DUMMYFUNCTION("""COMPUTED_VALUE"""),"Yes")</f>
        <v>Yes</v>
      </c>
      <c r="F24" s="5" t="str">
        <f>IFERROR(__xludf.DUMMYFUNCTION("""COMPUTED_VALUE"""),"Yes")</f>
        <v>Yes</v>
      </c>
      <c r="G24" s="5" t="str">
        <f>IFERROR(__xludf.DUMMYFUNCTION("""COMPUTED_VALUE"""),"Yes")</f>
        <v>Yes</v>
      </c>
      <c r="H24" s="5" t="str">
        <f>IFERROR(__xludf.DUMMYFUNCTION("""COMPUTED_VALUE"""),"Yes")</f>
        <v>Yes</v>
      </c>
      <c r="I24" s="5" t="str">
        <f>IFERROR(__xludf.DUMMYFUNCTION("""COMPUTED_VALUE"""),"Yes")</f>
        <v>Yes</v>
      </c>
      <c r="J24" s="5" t="str">
        <f>IFERROR(__xludf.DUMMYFUNCTION("""COMPUTED_VALUE"""),"Yes")</f>
        <v>Yes</v>
      </c>
      <c r="K24" s="5" t="str">
        <f>IFERROR(__xludf.DUMMYFUNCTION("""COMPUTED_VALUE"""),"Yes")</f>
        <v>Yes</v>
      </c>
      <c r="L24" s="5" t="str">
        <f>IFERROR(__xludf.DUMMYFUNCTION("""COMPUTED_VALUE"""),"Yes")</f>
        <v>Yes</v>
      </c>
      <c r="M24" s="5" t="str">
        <f>IFERROR(__xludf.DUMMYFUNCTION("""COMPUTED_VALUE"""),"Yes")</f>
        <v>Yes</v>
      </c>
      <c r="N24" s="5" t="str">
        <f>IFERROR(__xludf.DUMMYFUNCTION("""COMPUTED_VALUE"""),"Yes")</f>
        <v>Yes</v>
      </c>
      <c r="O24" s="5" t="str">
        <f>IFERROR(__xludf.DUMMYFUNCTION("""COMPUTED_VALUE"""),"Yes")</f>
        <v>Yes</v>
      </c>
      <c r="P24" s="5" t="str">
        <f>IFERROR(__xludf.DUMMYFUNCTION("""COMPUTED_VALUE"""),"Yes")</f>
        <v>Yes</v>
      </c>
      <c r="Q24" s="5" t="str">
        <f>IFERROR(__xludf.DUMMYFUNCTION("""COMPUTED_VALUE"""),"Yes")</f>
        <v>Yes</v>
      </c>
      <c r="R24" s="5" t="str">
        <f>IFERROR(__xludf.DUMMYFUNCTION("""COMPUTED_VALUE"""),"Yes")</f>
        <v>Yes</v>
      </c>
      <c r="S24" s="5" t="str">
        <f>IFERROR(__xludf.DUMMYFUNCTION("""COMPUTED_VALUE"""),"Yes")</f>
        <v>Yes</v>
      </c>
      <c r="T24" s="5" t="str">
        <f>IFERROR(__xludf.DUMMYFUNCTION("""COMPUTED_VALUE"""),"Yes")</f>
        <v>Yes</v>
      </c>
      <c r="U24" s="5" t="str">
        <f>IFERROR(__xludf.DUMMYFUNCTION("""COMPUTED_VALUE"""),"Yes")</f>
        <v>Yes</v>
      </c>
      <c r="V24" s="5" t="str">
        <f>IFERROR(__xludf.DUMMYFUNCTION("""COMPUTED_VALUE"""),"Yes")</f>
        <v>Yes</v>
      </c>
      <c r="W24" s="5"/>
      <c r="X24" s="5"/>
      <c r="Y24" s="5"/>
      <c r="Z24" s="5" t="str">
        <f>IFERROR(__xludf.DUMMYFUNCTION("""COMPUTED_VALUE"""),"Yes")</f>
        <v>Yes</v>
      </c>
      <c r="AA24" s="5"/>
      <c r="AB24" s="5"/>
      <c r="AC24" s="5"/>
    </row>
    <row r="25">
      <c r="A25" s="5" t="str">
        <f>IFERROR(__xludf.DUMMYFUNCTION("""COMPUTED_VALUE"""),"BookOfSpells")</f>
        <v>BookOfSpells</v>
      </c>
      <c r="B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 s="5" t="str">
        <f>IFERROR(__xludf.DUMMYFUNCTION("""COMPUTED_VALUE"""),"Yes")</f>
        <v>Yes</v>
      </c>
      <c r="D25" s="5" t="str">
        <f>IFERROR(__xludf.DUMMYFUNCTION("""COMPUTED_VALUE"""),"Yes")</f>
        <v>Yes</v>
      </c>
      <c r="E25" s="5" t="str">
        <f>IFERROR(__xludf.DUMMYFUNCTION("""COMPUTED_VALUE"""),"Yes")</f>
        <v>Yes</v>
      </c>
      <c r="F25" s="5" t="str">
        <f>IFERROR(__xludf.DUMMYFUNCTION("""COMPUTED_VALUE"""),"Yes")</f>
        <v>Yes</v>
      </c>
      <c r="G25" s="5" t="str">
        <f>IFERROR(__xludf.DUMMYFUNCTION("""COMPUTED_VALUE"""),"Yes")</f>
        <v>Yes</v>
      </c>
      <c r="H25" s="5" t="str">
        <f>IFERROR(__xludf.DUMMYFUNCTION("""COMPUTED_VALUE"""),"Yes")</f>
        <v>Yes</v>
      </c>
      <c r="I25" s="5" t="str">
        <f>IFERROR(__xludf.DUMMYFUNCTION("""COMPUTED_VALUE"""),"Yes")</f>
        <v>Yes</v>
      </c>
      <c r="J25" s="5" t="str">
        <f>IFERROR(__xludf.DUMMYFUNCTION("""COMPUTED_VALUE"""),"Yes")</f>
        <v>Yes</v>
      </c>
      <c r="K25" s="5" t="str">
        <f>IFERROR(__xludf.DUMMYFUNCTION("""COMPUTED_VALUE"""),"Yes")</f>
        <v>Yes</v>
      </c>
      <c r="L25" s="5" t="str">
        <f>IFERROR(__xludf.DUMMYFUNCTION("""COMPUTED_VALUE"""),"Yes")</f>
        <v>Yes</v>
      </c>
      <c r="M25" s="5" t="str">
        <f>IFERROR(__xludf.DUMMYFUNCTION("""COMPUTED_VALUE"""),"Yes")</f>
        <v>Yes</v>
      </c>
      <c r="N25" s="5" t="str">
        <f>IFERROR(__xludf.DUMMYFUNCTION("""COMPUTED_VALUE"""),"Yes")</f>
        <v>Yes</v>
      </c>
      <c r="O25" s="5" t="str">
        <f>IFERROR(__xludf.DUMMYFUNCTION("""COMPUTED_VALUE"""),"Yes")</f>
        <v>Yes</v>
      </c>
      <c r="P25" s="5" t="str">
        <f>IFERROR(__xludf.DUMMYFUNCTION("""COMPUTED_VALUE"""),"Yes")</f>
        <v>Yes</v>
      </c>
      <c r="Q25" s="5" t="str">
        <f>IFERROR(__xludf.DUMMYFUNCTION("""COMPUTED_VALUE"""),"Yes")</f>
        <v>Yes</v>
      </c>
      <c r="R25" s="5" t="str">
        <f>IFERROR(__xludf.DUMMYFUNCTION("""COMPUTED_VALUE"""),"Yes")</f>
        <v>Yes</v>
      </c>
      <c r="S25" s="5" t="str">
        <f>IFERROR(__xludf.DUMMYFUNCTION("""COMPUTED_VALUE"""),"Yes")</f>
        <v>Yes</v>
      </c>
      <c r="T25" s="5" t="str">
        <f>IFERROR(__xludf.DUMMYFUNCTION("""COMPUTED_VALUE"""),"Yes")</f>
        <v>Yes</v>
      </c>
      <c r="U25" s="5" t="str">
        <f>IFERROR(__xludf.DUMMYFUNCTION("""COMPUTED_VALUE"""),"Yes")</f>
        <v>Yes</v>
      </c>
      <c r="V25" s="5" t="str">
        <f>IFERROR(__xludf.DUMMYFUNCTION("""COMPUTED_VALUE"""),"Yes")</f>
        <v>Yes</v>
      </c>
      <c r="W25" s="5" t="str">
        <f>IFERROR(__xludf.DUMMYFUNCTION("""COMPUTED_VALUE"""),"Yes")</f>
        <v>Yes</v>
      </c>
      <c r="X25" s="5" t="str">
        <f>IFERROR(__xludf.DUMMYFUNCTION("""COMPUTED_VALUE"""),"Yes")</f>
        <v>Yes</v>
      </c>
      <c r="Y25" s="5" t="str">
        <f>IFERROR(__xludf.DUMMYFUNCTION("""COMPUTED_VALUE"""),"Yes")</f>
        <v>Yes</v>
      </c>
      <c r="Z25" s="5" t="str">
        <f>IFERROR(__xludf.DUMMYFUNCTION("""COMPUTED_VALUE"""),"Yes")</f>
        <v>Yes</v>
      </c>
      <c r="AA25" s="5" t="str">
        <f>IFERROR(__xludf.DUMMYFUNCTION("""COMPUTED_VALUE"""),"Yes")</f>
        <v>Yes</v>
      </c>
      <c r="AB25" s="5" t="str">
        <f>IFERROR(__xludf.DUMMYFUNCTION("""COMPUTED_VALUE"""),"Yes")</f>
        <v>Yes</v>
      </c>
      <c r="AC25" s="5" t="str">
        <f>IFERROR(__xludf.DUMMYFUNCTION("""COMPUTED_VALUE"""),"No")</f>
        <v>No</v>
      </c>
    </row>
    <row r="26">
      <c r="A26" s="5" t="str">
        <f>IFERROR(__xludf.DUMMYFUNCTION("""COMPUTED_VALUE"""),"MegaHot")</f>
        <v>MegaHot</v>
      </c>
      <c r="B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 s="5" t="str">
        <f>IFERROR(__xludf.DUMMYFUNCTION("""COMPUTED_VALUE"""),"Yes")</f>
        <v>Yes</v>
      </c>
      <c r="D26" s="5" t="str">
        <f>IFERROR(__xludf.DUMMYFUNCTION("""COMPUTED_VALUE"""),"Yes")</f>
        <v>Yes</v>
      </c>
      <c r="E26" s="5" t="str">
        <f>IFERROR(__xludf.DUMMYFUNCTION("""COMPUTED_VALUE"""),"Yes")</f>
        <v>Yes</v>
      </c>
      <c r="F26" s="5" t="str">
        <f>IFERROR(__xludf.DUMMYFUNCTION("""COMPUTED_VALUE"""),"Yes")</f>
        <v>Yes</v>
      </c>
      <c r="G26" s="5" t="str">
        <f>IFERROR(__xludf.DUMMYFUNCTION("""COMPUTED_VALUE"""),"Yes")</f>
        <v>Yes</v>
      </c>
      <c r="H26" s="5" t="str">
        <f>IFERROR(__xludf.DUMMYFUNCTION("""COMPUTED_VALUE"""),"Yes")</f>
        <v>Yes</v>
      </c>
      <c r="I26" s="5" t="str">
        <f>IFERROR(__xludf.DUMMYFUNCTION("""COMPUTED_VALUE"""),"Yes")</f>
        <v>Yes</v>
      </c>
      <c r="J26" s="5" t="str">
        <f>IFERROR(__xludf.DUMMYFUNCTION("""COMPUTED_VALUE"""),"Yes")</f>
        <v>Yes</v>
      </c>
      <c r="K26" s="5" t="str">
        <f>IFERROR(__xludf.DUMMYFUNCTION("""COMPUTED_VALUE"""),"Yes")</f>
        <v>Yes</v>
      </c>
      <c r="L26" s="5" t="str">
        <f>IFERROR(__xludf.DUMMYFUNCTION("""COMPUTED_VALUE"""),"Yes")</f>
        <v>Yes</v>
      </c>
      <c r="M26" s="5" t="str">
        <f>IFERROR(__xludf.DUMMYFUNCTION("""COMPUTED_VALUE"""),"Yes")</f>
        <v>Yes</v>
      </c>
      <c r="N26" s="5" t="str">
        <f>IFERROR(__xludf.DUMMYFUNCTION("""COMPUTED_VALUE"""),"Yes")</f>
        <v>Yes</v>
      </c>
      <c r="O26" s="5" t="str">
        <f>IFERROR(__xludf.DUMMYFUNCTION("""COMPUTED_VALUE"""),"Yes")</f>
        <v>Yes</v>
      </c>
      <c r="P26" s="5" t="str">
        <f>IFERROR(__xludf.DUMMYFUNCTION("""COMPUTED_VALUE"""),"Yes")</f>
        <v>Yes</v>
      </c>
      <c r="Q26" s="5" t="str">
        <f>IFERROR(__xludf.DUMMYFUNCTION("""COMPUTED_VALUE"""),"Yes")</f>
        <v>Yes</v>
      </c>
      <c r="R26" s="5" t="str">
        <f>IFERROR(__xludf.DUMMYFUNCTION("""COMPUTED_VALUE"""),"Yes")</f>
        <v>Yes</v>
      </c>
      <c r="S26" s="5" t="str">
        <f>IFERROR(__xludf.DUMMYFUNCTION("""COMPUTED_VALUE"""),"Yes")</f>
        <v>Yes</v>
      </c>
      <c r="T26" s="5" t="str">
        <f>IFERROR(__xludf.DUMMYFUNCTION("""COMPUTED_VALUE"""),"Yes")</f>
        <v>Yes</v>
      </c>
      <c r="U26" s="5" t="str">
        <f>IFERROR(__xludf.DUMMYFUNCTION("""COMPUTED_VALUE"""),"Yes")</f>
        <v>Yes</v>
      </c>
      <c r="V26" s="5" t="str">
        <f>IFERROR(__xludf.DUMMYFUNCTION("""COMPUTED_VALUE"""),"Yes")</f>
        <v>Yes</v>
      </c>
      <c r="W26" s="5" t="str">
        <f>IFERROR(__xludf.DUMMYFUNCTION("""COMPUTED_VALUE"""),"Yes")</f>
        <v>Yes</v>
      </c>
      <c r="X26" s="5" t="str">
        <f>IFERROR(__xludf.DUMMYFUNCTION("""COMPUTED_VALUE"""),"Yes")</f>
        <v>Yes</v>
      </c>
      <c r="Y26" s="5" t="str">
        <f>IFERROR(__xludf.DUMMYFUNCTION("""COMPUTED_VALUE"""),"Yes")</f>
        <v>Yes</v>
      </c>
      <c r="Z26" s="5" t="str">
        <f>IFERROR(__xludf.DUMMYFUNCTION("""COMPUTED_VALUE"""),"Yes")</f>
        <v>Yes</v>
      </c>
      <c r="AA26" s="5" t="str">
        <f>IFERROR(__xludf.DUMMYFUNCTION("""COMPUTED_VALUE"""),"Yes")</f>
        <v>Yes</v>
      </c>
      <c r="AB26" s="5" t="str">
        <f>IFERROR(__xludf.DUMMYFUNCTION("""COMPUTED_VALUE"""),"Yes")</f>
        <v>Yes</v>
      </c>
      <c r="AC26" s="5" t="str">
        <f>IFERROR(__xludf.DUMMYFUNCTION("""COMPUTED_VALUE"""),"No")</f>
        <v>No</v>
      </c>
    </row>
    <row r="27">
      <c r="A27" s="5" t="str">
        <f>IFERROR(__xludf.DUMMYFUNCTION("""COMPUTED_VALUE"""),"LiveEuropeanRoulette")</f>
        <v>LiveEuropeanRoulette</v>
      </c>
      <c r="B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7" s="5" t="str">
        <f>IFERROR(__xludf.DUMMYFUNCTION("""COMPUTED_VALUE"""),"Yes")</f>
        <v>Yes</v>
      </c>
      <c r="D27" s="5" t="str">
        <f>IFERROR(__xludf.DUMMYFUNCTION("""COMPUTED_VALUE"""),"Yes")</f>
        <v>Yes</v>
      </c>
      <c r="E27" s="5" t="str">
        <f>IFERROR(__xludf.DUMMYFUNCTION("""COMPUTED_VALUE"""),"Yes")</f>
        <v>Yes</v>
      </c>
      <c r="F27" s="5" t="str">
        <f>IFERROR(__xludf.DUMMYFUNCTION("""COMPUTED_VALUE"""),"Yes")</f>
        <v>Yes</v>
      </c>
      <c r="G27" s="5" t="str">
        <f>IFERROR(__xludf.DUMMYFUNCTION("""COMPUTED_VALUE"""),"Yes")</f>
        <v>Yes</v>
      </c>
      <c r="H27" s="5" t="str">
        <f>IFERROR(__xludf.DUMMYFUNCTION("""COMPUTED_VALUE"""),"Yes")</f>
        <v>Yes</v>
      </c>
      <c r="I27" s="5" t="str">
        <f>IFERROR(__xludf.DUMMYFUNCTION("""COMPUTED_VALUE"""),"Yes")</f>
        <v>Yes</v>
      </c>
      <c r="J27" s="5" t="str">
        <f>IFERROR(__xludf.DUMMYFUNCTION("""COMPUTED_VALUE"""),"Yes")</f>
        <v>Yes</v>
      </c>
      <c r="K27" s="5" t="str">
        <f>IFERROR(__xludf.DUMMYFUNCTION("""COMPUTED_VALUE"""),"Yes")</f>
        <v>Yes</v>
      </c>
      <c r="L27" s="5" t="str">
        <f>IFERROR(__xludf.DUMMYFUNCTION("""COMPUTED_VALUE"""),"Yes")</f>
        <v>Yes</v>
      </c>
      <c r="M27" s="5" t="str">
        <f>IFERROR(__xludf.DUMMYFUNCTION("""COMPUTED_VALUE"""),"Yes")</f>
        <v>Yes</v>
      </c>
      <c r="N27" s="5" t="str">
        <f>IFERROR(__xludf.DUMMYFUNCTION("""COMPUTED_VALUE"""),"Yes")</f>
        <v>Yes</v>
      </c>
      <c r="O27" s="5" t="str">
        <f>IFERROR(__xludf.DUMMYFUNCTION("""COMPUTED_VALUE"""),"Yes")</f>
        <v>Yes</v>
      </c>
      <c r="P27" s="5" t="str">
        <f>IFERROR(__xludf.DUMMYFUNCTION("""COMPUTED_VALUE"""),"Yes")</f>
        <v>Yes</v>
      </c>
      <c r="Q27" s="5" t="str">
        <f>IFERROR(__xludf.DUMMYFUNCTION("""COMPUTED_VALUE"""),"Yes")</f>
        <v>Yes</v>
      </c>
      <c r="R27" s="5" t="str">
        <f>IFERROR(__xludf.DUMMYFUNCTION("""COMPUTED_VALUE"""),"Yes")</f>
        <v>Yes</v>
      </c>
      <c r="S27" s="5" t="str">
        <f>IFERROR(__xludf.DUMMYFUNCTION("""COMPUTED_VALUE"""),"Yes")</f>
        <v>Yes</v>
      </c>
      <c r="T27" s="5" t="str">
        <f>IFERROR(__xludf.DUMMYFUNCTION("""COMPUTED_VALUE"""),"Yes")</f>
        <v>Yes</v>
      </c>
      <c r="U27" s="5" t="str">
        <f>IFERROR(__xludf.DUMMYFUNCTION("""COMPUTED_VALUE"""),"Yes")</f>
        <v>Yes</v>
      </c>
      <c r="V27" s="5" t="str">
        <f>IFERROR(__xludf.DUMMYFUNCTION("""COMPUTED_VALUE"""),"Yes")</f>
        <v>Yes</v>
      </c>
      <c r="W27" s="5"/>
      <c r="X27" s="5"/>
      <c r="Y27" s="5"/>
      <c r="Z27" s="5" t="str">
        <f>IFERROR(__xludf.DUMMYFUNCTION("""COMPUTED_VALUE"""),"Yes")</f>
        <v>Yes</v>
      </c>
      <c r="AA27" s="5"/>
      <c r="AB27" s="5"/>
      <c r="AC27" s="5"/>
    </row>
    <row r="28">
      <c r="A28" s="5" t="str">
        <f>IFERROR(__xludf.DUMMYFUNCTION("""COMPUTED_VALUE"""),"LiveAmericanRoulette")</f>
        <v>LiveAmericanRoulette</v>
      </c>
      <c r="B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8" s="5" t="str">
        <f>IFERROR(__xludf.DUMMYFUNCTION("""COMPUTED_VALUE"""),"Yes")</f>
        <v>Yes</v>
      </c>
      <c r="D28" s="5" t="str">
        <f>IFERROR(__xludf.DUMMYFUNCTION("""COMPUTED_VALUE"""),"Yes")</f>
        <v>Yes</v>
      </c>
      <c r="E28" s="5" t="str">
        <f>IFERROR(__xludf.DUMMYFUNCTION("""COMPUTED_VALUE"""),"Yes")</f>
        <v>Yes</v>
      </c>
      <c r="F28" s="5" t="str">
        <f>IFERROR(__xludf.DUMMYFUNCTION("""COMPUTED_VALUE"""),"Yes")</f>
        <v>Yes</v>
      </c>
      <c r="G28" s="5" t="str">
        <f>IFERROR(__xludf.DUMMYFUNCTION("""COMPUTED_VALUE"""),"Yes")</f>
        <v>Yes</v>
      </c>
      <c r="H28" s="5" t="str">
        <f>IFERROR(__xludf.DUMMYFUNCTION("""COMPUTED_VALUE"""),"Yes")</f>
        <v>Yes</v>
      </c>
      <c r="I28" s="5" t="str">
        <f>IFERROR(__xludf.DUMMYFUNCTION("""COMPUTED_VALUE"""),"Yes")</f>
        <v>Yes</v>
      </c>
      <c r="J28" s="5" t="str">
        <f>IFERROR(__xludf.DUMMYFUNCTION("""COMPUTED_VALUE"""),"Yes")</f>
        <v>Yes</v>
      </c>
      <c r="K28" s="5" t="str">
        <f>IFERROR(__xludf.DUMMYFUNCTION("""COMPUTED_VALUE"""),"Yes")</f>
        <v>Yes</v>
      </c>
      <c r="L28" s="5" t="str">
        <f>IFERROR(__xludf.DUMMYFUNCTION("""COMPUTED_VALUE"""),"Yes")</f>
        <v>Yes</v>
      </c>
      <c r="M28" s="5" t="str">
        <f>IFERROR(__xludf.DUMMYFUNCTION("""COMPUTED_VALUE"""),"Yes")</f>
        <v>Yes</v>
      </c>
      <c r="N28" s="5" t="str">
        <f>IFERROR(__xludf.DUMMYFUNCTION("""COMPUTED_VALUE"""),"Yes")</f>
        <v>Yes</v>
      </c>
      <c r="O28" s="5" t="str">
        <f>IFERROR(__xludf.DUMMYFUNCTION("""COMPUTED_VALUE"""),"Yes")</f>
        <v>Yes</v>
      </c>
      <c r="P28" s="5" t="str">
        <f>IFERROR(__xludf.DUMMYFUNCTION("""COMPUTED_VALUE"""),"Yes")</f>
        <v>Yes</v>
      </c>
      <c r="Q28" s="5" t="str">
        <f>IFERROR(__xludf.DUMMYFUNCTION("""COMPUTED_VALUE"""),"Yes")</f>
        <v>Yes</v>
      </c>
      <c r="R28" s="5" t="str">
        <f>IFERROR(__xludf.DUMMYFUNCTION("""COMPUTED_VALUE"""),"Yes")</f>
        <v>Yes</v>
      </c>
      <c r="S28" s="5" t="str">
        <f>IFERROR(__xludf.DUMMYFUNCTION("""COMPUTED_VALUE"""),"Yes")</f>
        <v>Yes</v>
      </c>
      <c r="T28" s="5" t="str">
        <f>IFERROR(__xludf.DUMMYFUNCTION("""COMPUTED_VALUE"""),"Yes")</f>
        <v>Yes</v>
      </c>
      <c r="U28" s="5" t="str">
        <f>IFERROR(__xludf.DUMMYFUNCTION("""COMPUTED_VALUE"""),"Yes")</f>
        <v>Yes</v>
      </c>
      <c r="V28" s="5" t="str">
        <f>IFERROR(__xludf.DUMMYFUNCTION("""COMPUTED_VALUE"""),"Yes")</f>
        <v>Yes</v>
      </c>
      <c r="W28" s="5"/>
      <c r="X28" s="5"/>
      <c r="Y28" s="5"/>
      <c r="Z28" s="5" t="str">
        <f>IFERROR(__xludf.DUMMYFUNCTION("""COMPUTED_VALUE"""),"Yes")</f>
        <v>Yes</v>
      </c>
      <c r="AA28" s="5"/>
      <c r="AB28" s="5"/>
      <c r="AC28" s="5"/>
    </row>
    <row r="29">
      <c r="A29" s="5" t="str">
        <f>IFERROR(__xludf.DUMMYFUNCTION("""COMPUTED_VALUE"""),"BurningIce")</f>
        <v>BurningIce</v>
      </c>
      <c r="B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 s="5" t="str">
        <f>IFERROR(__xludf.DUMMYFUNCTION("""COMPUTED_VALUE"""),"Yes")</f>
        <v>Yes</v>
      </c>
      <c r="D29" s="5" t="str">
        <f>IFERROR(__xludf.DUMMYFUNCTION("""COMPUTED_VALUE"""),"Yes")</f>
        <v>Yes</v>
      </c>
      <c r="E29" s="5" t="str">
        <f>IFERROR(__xludf.DUMMYFUNCTION("""COMPUTED_VALUE"""),"Yes")</f>
        <v>Yes</v>
      </c>
      <c r="F29" s="5" t="str">
        <f>IFERROR(__xludf.DUMMYFUNCTION("""COMPUTED_VALUE"""),"Yes")</f>
        <v>Yes</v>
      </c>
      <c r="G29" s="5" t="str">
        <f>IFERROR(__xludf.DUMMYFUNCTION("""COMPUTED_VALUE"""),"Yes")</f>
        <v>Yes</v>
      </c>
      <c r="H29" s="5" t="str">
        <f>IFERROR(__xludf.DUMMYFUNCTION("""COMPUTED_VALUE"""),"Yes")</f>
        <v>Yes</v>
      </c>
      <c r="I29" s="5" t="str">
        <f>IFERROR(__xludf.DUMMYFUNCTION("""COMPUTED_VALUE"""),"Yes")</f>
        <v>Yes</v>
      </c>
      <c r="J29" s="5" t="str">
        <f>IFERROR(__xludf.DUMMYFUNCTION("""COMPUTED_VALUE"""),"Yes")</f>
        <v>Yes</v>
      </c>
      <c r="K29" s="5" t="str">
        <f>IFERROR(__xludf.DUMMYFUNCTION("""COMPUTED_VALUE"""),"Yes")</f>
        <v>Yes</v>
      </c>
      <c r="L29" s="5" t="str">
        <f>IFERROR(__xludf.DUMMYFUNCTION("""COMPUTED_VALUE"""),"Yes")</f>
        <v>Yes</v>
      </c>
      <c r="M29" s="5" t="str">
        <f>IFERROR(__xludf.DUMMYFUNCTION("""COMPUTED_VALUE"""),"Yes")</f>
        <v>Yes</v>
      </c>
      <c r="N29" s="5" t="str">
        <f>IFERROR(__xludf.DUMMYFUNCTION("""COMPUTED_VALUE"""),"Yes")</f>
        <v>Yes</v>
      </c>
      <c r="O29" s="5" t="str">
        <f>IFERROR(__xludf.DUMMYFUNCTION("""COMPUTED_VALUE"""),"Yes")</f>
        <v>Yes</v>
      </c>
      <c r="P29" s="5" t="str">
        <f>IFERROR(__xludf.DUMMYFUNCTION("""COMPUTED_VALUE"""),"Yes")</f>
        <v>Yes</v>
      </c>
      <c r="Q29" s="5" t="str">
        <f>IFERROR(__xludf.DUMMYFUNCTION("""COMPUTED_VALUE"""),"Yes")</f>
        <v>Yes</v>
      </c>
      <c r="R29" s="5" t="str">
        <f>IFERROR(__xludf.DUMMYFUNCTION("""COMPUTED_VALUE"""),"Yes")</f>
        <v>Yes</v>
      </c>
      <c r="S29" s="5" t="str">
        <f>IFERROR(__xludf.DUMMYFUNCTION("""COMPUTED_VALUE"""),"Yes")</f>
        <v>Yes</v>
      </c>
      <c r="T29" s="5" t="str">
        <f>IFERROR(__xludf.DUMMYFUNCTION("""COMPUTED_VALUE"""),"Yes")</f>
        <v>Yes</v>
      </c>
      <c r="U29" s="5" t="str">
        <f>IFERROR(__xludf.DUMMYFUNCTION("""COMPUTED_VALUE"""),"Yes")</f>
        <v>Yes</v>
      </c>
      <c r="V29" s="5" t="str">
        <f>IFERROR(__xludf.DUMMYFUNCTION("""COMPUTED_VALUE"""),"Yes")</f>
        <v>Yes</v>
      </c>
      <c r="W29" s="5" t="str">
        <f>IFERROR(__xludf.DUMMYFUNCTION("""COMPUTED_VALUE"""),"Yes")</f>
        <v>Yes</v>
      </c>
      <c r="X29" s="5" t="str">
        <f>IFERROR(__xludf.DUMMYFUNCTION("""COMPUTED_VALUE"""),"Yes")</f>
        <v>Yes</v>
      </c>
      <c r="Y29" s="5" t="str">
        <f>IFERROR(__xludf.DUMMYFUNCTION("""COMPUTED_VALUE"""),"Yes")</f>
        <v>Yes</v>
      </c>
      <c r="Z29" s="5" t="str">
        <f>IFERROR(__xludf.DUMMYFUNCTION("""COMPUTED_VALUE"""),"Yes")</f>
        <v>Yes</v>
      </c>
      <c r="AA29" s="5" t="str">
        <f>IFERROR(__xludf.DUMMYFUNCTION("""COMPUTED_VALUE"""),"Yes")</f>
        <v>Yes</v>
      </c>
      <c r="AB29" s="5" t="str">
        <f>IFERROR(__xludf.DUMMYFUNCTION("""COMPUTED_VALUE"""),"Yes")</f>
        <v>Yes</v>
      </c>
      <c r="AC29" s="5" t="str">
        <f>IFERROR(__xludf.DUMMYFUNCTION("""COMPUTED_VALUE"""),"No")</f>
        <v>No</v>
      </c>
    </row>
    <row r="30">
      <c r="A30" s="5" t="str">
        <f>IFERROR(__xludf.DUMMYFUNCTION("""COMPUTED_VALUE"""),"TurboHot40")</f>
        <v>TurboHot40</v>
      </c>
      <c r="B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 s="5" t="str">
        <f>IFERROR(__xludf.DUMMYFUNCTION("""COMPUTED_VALUE"""),"Yes")</f>
        <v>Yes</v>
      </c>
      <c r="D30" s="5" t="str">
        <f>IFERROR(__xludf.DUMMYFUNCTION("""COMPUTED_VALUE"""),"Yes")</f>
        <v>Yes</v>
      </c>
      <c r="E30" s="5" t="str">
        <f>IFERROR(__xludf.DUMMYFUNCTION("""COMPUTED_VALUE"""),"Yes")</f>
        <v>Yes</v>
      </c>
      <c r="F30" s="5" t="str">
        <f>IFERROR(__xludf.DUMMYFUNCTION("""COMPUTED_VALUE"""),"Yes")</f>
        <v>Yes</v>
      </c>
      <c r="G30" s="5" t="str">
        <f>IFERROR(__xludf.DUMMYFUNCTION("""COMPUTED_VALUE"""),"Yes")</f>
        <v>Yes</v>
      </c>
      <c r="H30" s="5" t="str">
        <f>IFERROR(__xludf.DUMMYFUNCTION("""COMPUTED_VALUE"""),"Yes")</f>
        <v>Yes</v>
      </c>
      <c r="I30" s="5" t="str">
        <f>IFERROR(__xludf.DUMMYFUNCTION("""COMPUTED_VALUE"""),"Yes")</f>
        <v>Yes</v>
      </c>
      <c r="J30" s="5" t="str">
        <f>IFERROR(__xludf.DUMMYFUNCTION("""COMPUTED_VALUE"""),"Yes")</f>
        <v>Yes</v>
      </c>
      <c r="K30" s="5" t="str">
        <f>IFERROR(__xludf.DUMMYFUNCTION("""COMPUTED_VALUE"""),"Yes")</f>
        <v>Yes</v>
      </c>
      <c r="L30" s="5" t="str">
        <f>IFERROR(__xludf.DUMMYFUNCTION("""COMPUTED_VALUE"""),"Yes")</f>
        <v>Yes</v>
      </c>
      <c r="M30" s="5" t="str">
        <f>IFERROR(__xludf.DUMMYFUNCTION("""COMPUTED_VALUE"""),"Yes")</f>
        <v>Yes</v>
      </c>
      <c r="N30" s="5" t="str">
        <f>IFERROR(__xludf.DUMMYFUNCTION("""COMPUTED_VALUE"""),"Yes")</f>
        <v>Yes</v>
      </c>
      <c r="O30" s="5" t="str">
        <f>IFERROR(__xludf.DUMMYFUNCTION("""COMPUTED_VALUE"""),"Yes")</f>
        <v>Yes</v>
      </c>
      <c r="P30" s="5" t="str">
        <f>IFERROR(__xludf.DUMMYFUNCTION("""COMPUTED_VALUE"""),"Yes")</f>
        <v>Yes</v>
      </c>
      <c r="Q30" s="5" t="str">
        <f>IFERROR(__xludf.DUMMYFUNCTION("""COMPUTED_VALUE"""),"Yes")</f>
        <v>Yes</v>
      </c>
      <c r="R30" s="5" t="str">
        <f>IFERROR(__xludf.DUMMYFUNCTION("""COMPUTED_VALUE"""),"Yes")</f>
        <v>Yes</v>
      </c>
      <c r="S30" s="5" t="str">
        <f>IFERROR(__xludf.DUMMYFUNCTION("""COMPUTED_VALUE"""),"Yes")</f>
        <v>Yes</v>
      </c>
      <c r="T30" s="5" t="str">
        <f>IFERROR(__xludf.DUMMYFUNCTION("""COMPUTED_VALUE"""),"Yes")</f>
        <v>Yes</v>
      </c>
      <c r="U30" s="5" t="str">
        <f>IFERROR(__xludf.DUMMYFUNCTION("""COMPUTED_VALUE"""),"Yes")</f>
        <v>Yes</v>
      </c>
      <c r="V30" s="5" t="str">
        <f>IFERROR(__xludf.DUMMYFUNCTION("""COMPUTED_VALUE"""),"Yes")</f>
        <v>Yes</v>
      </c>
      <c r="W30" s="5" t="str">
        <f>IFERROR(__xludf.DUMMYFUNCTION("""COMPUTED_VALUE"""),"Yes")</f>
        <v>Yes</v>
      </c>
      <c r="X30" s="5" t="str">
        <f>IFERROR(__xludf.DUMMYFUNCTION("""COMPUTED_VALUE"""),"Yes")</f>
        <v>Yes</v>
      </c>
      <c r="Y30" s="5" t="str">
        <f>IFERROR(__xludf.DUMMYFUNCTION("""COMPUTED_VALUE"""),"Yes")</f>
        <v>Yes</v>
      </c>
      <c r="Z30" s="5" t="str">
        <f>IFERROR(__xludf.DUMMYFUNCTION("""COMPUTED_VALUE"""),"Yes")</f>
        <v>Yes</v>
      </c>
      <c r="AA30" s="5" t="str">
        <f>IFERROR(__xludf.DUMMYFUNCTION("""COMPUTED_VALUE"""),"Yes")</f>
        <v>Yes</v>
      </c>
      <c r="AB30" s="5" t="str">
        <f>IFERROR(__xludf.DUMMYFUNCTION("""COMPUTED_VALUE"""),"Yes")</f>
        <v>Yes</v>
      </c>
      <c r="AC30" s="5" t="str">
        <f>IFERROR(__xludf.DUMMYFUNCTION("""COMPUTED_VALUE"""),"No")</f>
        <v>No</v>
      </c>
    </row>
    <row r="31">
      <c r="A31" s="5" t="str">
        <f>IFERROR(__xludf.DUMMYFUNCTION("""COMPUTED_VALUE"""),"CrystalsOfMagic")</f>
        <v>CrystalsOfMagic</v>
      </c>
      <c r="B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 s="5" t="str">
        <f>IFERROR(__xludf.DUMMYFUNCTION("""COMPUTED_VALUE"""),"Yes")</f>
        <v>Yes</v>
      </c>
      <c r="D31" s="5" t="str">
        <f>IFERROR(__xludf.DUMMYFUNCTION("""COMPUTED_VALUE"""),"Yes")</f>
        <v>Yes</v>
      </c>
      <c r="E31" s="5" t="str">
        <f>IFERROR(__xludf.DUMMYFUNCTION("""COMPUTED_VALUE"""),"Yes")</f>
        <v>Yes</v>
      </c>
      <c r="F31" s="5" t="str">
        <f>IFERROR(__xludf.DUMMYFUNCTION("""COMPUTED_VALUE"""),"Yes")</f>
        <v>Yes</v>
      </c>
      <c r="G31" s="5" t="str">
        <f>IFERROR(__xludf.DUMMYFUNCTION("""COMPUTED_VALUE"""),"Yes")</f>
        <v>Yes</v>
      </c>
      <c r="H31" s="5" t="str">
        <f>IFERROR(__xludf.DUMMYFUNCTION("""COMPUTED_VALUE"""),"Yes")</f>
        <v>Yes</v>
      </c>
      <c r="I31" s="5" t="str">
        <f>IFERROR(__xludf.DUMMYFUNCTION("""COMPUTED_VALUE"""),"Yes")</f>
        <v>Yes</v>
      </c>
      <c r="J31" s="5" t="str">
        <f>IFERROR(__xludf.DUMMYFUNCTION("""COMPUTED_VALUE"""),"Yes")</f>
        <v>Yes</v>
      </c>
      <c r="K31" s="5" t="str">
        <f>IFERROR(__xludf.DUMMYFUNCTION("""COMPUTED_VALUE"""),"Yes")</f>
        <v>Yes</v>
      </c>
      <c r="L31" s="5" t="str">
        <f>IFERROR(__xludf.DUMMYFUNCTION("""COMPUTED_VALUE"""),"Yes")</f>
        <v>Yes</v>
      </c>
      <c r="M31" s="5" t="str">
        <f>IFERROR(__xludf.DUMMYFUNCTION("""COMPUTED_VALUE"""),"Yes")</f>
        <v>Yes</v>
      </c>
      <c r="N31" s="5" t="str">
        <f>IFERROR(__xludf.DUMMYFUNCTION("""COMPUTED_VALUE"""),"Yes")</f>
        <v>Yes</v>
      </c>
      <c r="O31" s="5" t="str">
        <f>IFERROR(__xludf.DUMMYFUNCTION("""COMPUTED_VALUE"""),"Yes")</f>
        <v>Yes</v>
      </c>
      <c r="P31" s="5" t="str">
        <f>IFERROR(__xludf.DUMMYFUNCTION("""COMPUTED_VALUE"""),"Yes")</f>
        <v>Yes</v>
      </c>
      <c r="Q31" s="5" t="str">
        <f>IFERROR(__xludf.DUMMYFUNCTION("""COMPUTED_VALUE"""),"Yes")</f>
        <v>Yes</v>
      </c>
      <c r="R31" s="5" t="str">
        <f>IFERROR(__xludf.DUMMYFUNCTION("""COMPUTED_VALUE"""),"Yes")</f>
        <v>Yes</v>
      </c>
      <c r="S31" s="5" t="str">
        <f>IFERROR(__xludf.DUMMYFUNCTION("""COMPUTED_VALUE"""),"Yes")</f>
        <v>Yes</v>
      </c>
      <c r="T31" s="5" t="str">
        <f>IFERROR(__xludf.DUMMYFUNCTION("""COMPUTED_VALUE"""),"Yes")</f>
        <v>Yes</v>
      </c>
      <c r="U31" s="5" t="str">
        <f>IFERROR(__xludf.DUMMYFUNCTION("""COMPUTED_VALUE"""),"Yes")</f>
        <v>Yes</v>
      </c>
      <c r="V31" s="5" t="str">
        <f>IFERROR(__xludf.DUMMYFUNCTION("""COMPUTED_VALUE"""),"Yes")</f>
        <v>Yes</v>
      </c>
      <c r="W31" s="5" t="str">
        <f>IFERROR(__xludf.DUMMYFUNCTION("""COMPUTED_VALUE"""),"Yes")</f>
        <v>Yes</v>
      </c>
      <c r="X31" s="5" t="str">
        <f>IFERROR(__xludf.DUMMYFUNCTION("""COMPUTED_VALUE"""),"Yes")</f>
        <v>Yes</v>
      </c>
      <c r="Y31" s="5" t="str">
        <f>IFERROR(__xludf.DUMMYFUNCTION("""COMPUTED_VALUE"""),"Yes")</f>
        <v>Yes</v>
      </c>
      <c r="Z31" s="5" t="str">
        <f>IFERROR(__xludf.DUMMYFUNCTION("""COMPUTED_VALUE"""),"Yes")</f>
        <v>Yes</v>
      </c>
      <c r="AA31" s="5" t="str">
        <f>IFERROR(__xludf.DUMMYFUNCTION("""COMPUTED_VALUE"""),"Yes")</f>
        <v>Yes</v>
      </c>
      <c r="AB31" s="5" t="str">
        <f>IFERROR(__xludf.DUMMYFUNCTION("""COMPUTED_VALUE"""),"Yes")</f>
        <v>Yes</v>
      </c>
      <c r="AC31" s="5" t="str">
        <f>IFERROR(__xludf.DUMMYFUNCTION("""COMPUTED_VALUE"""),"No")</f>
        <v>No</v>
      </c>
    </row>
    <row r="32">
      <c r="A32" s="5" t="str">
        <f>IFERROR(__xludf.DUMMYFUNCTION("""COMPUTED_VALUE"""),"Pirates")</f>
        <v>Pirates</v>
      </c>
      <c r="B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 s="5" t="str">
        <f>IFERROR(__xludf.DUMMYFUNCTION("""COMPUTED_VALUE"""),"Yes")</f>
        <v>Yes</v>
      </c>
      <c r="D32" s="5" t="str">
        <f>IFERROR(__xludf.DUMMYFUNCTION("""COMPUTED_VALUE"""),"Yes")</f>
        <v>Yes</v>
      </c>
      <c r="E32" s="5" t="str">
        <f>IFERROR(__xludf.DUMMYFUNCTION("""COMPUTED_VALUE"""),"Yes")</f>
        <v>Yes</v>
      </c>
      <c r="F32" s="5" t="str">
        <f>IFERROR(__xludf.DUMMYFUNCTION("""COMPUTED_VALUE"""),"Yes")</f>
        <v>Yes</v>
      </c>
      <c r="G32" s="5" t="str">
        <f>IFERROR(__xludf.DUMMYFUNCTION("""COMPUTED_VALUE"""),"Yes")</f>
        <v>Yes</v>
      </c>
      <c r="H32" s="5" t="str">
        <f>IFERROR(__xludf.DUMMYFUNCTION("""COMPUTED_VALUE"""),"Yes")</f>
        <v>Yes</v>
      </c>
      <c r="I32" s="5" t="str">
        <f>IFERROR(__xludf.DUMMYFUNCTION("""COMPUTED_VALUE"""),"Yes")</f>
        <v>Yes</v>
      </c>
      <c r="J32" s="5" t="str">
        <f>IFERROR(__xludf.DUMMYFUNCTION("""COMPUTED_VALUE"""),"Yes")</f>
        <v>Yes</v>
      </c>
      <c r="K32" s="5" t="str">
        <f>IFERROR(__xludf.DUMMYFUNCTION("""COMPUTED_VALUE"""),"Yes")</f>
        <v>Yes</v>
      </c>
      <c r="L32" s="5" t="str">
        <f>IFERROR(__xludf.DUMMYFUNCTION("""COMPUTED_VALUE"""),"Yes")</f>
        <v>Yes</v>
      </c>
      <c r="M32" s="5" t="str">
        <f>IFERROR(__xludf.DUMMYFUNCTION("""COMPUTED_VALUE"""),"Yes")</f>
        <v>Yes</v>
      </c>
      <c r="N32" s="5" t="str">
        <f>IFERROR(__xludf.DUMMYFUNCTION("""COMPUTED_VALUE"""),"Yes")</f>
        <v>Yes</v>
      </c>
      <c r="O32" s="5" t="str">
        <f>IFERROR(__xludf.DUMMYFUNCTION("""COMPUTED_VALUE"""),"Yes")</f>
        <v>Yes</v>
      </c>
      <c r="P32" s="5" t="str">
        <f>IFERROR(__xludf.DUMMYFUNCTION("""COMPUTED_VALUE"""),"Yes")</f>
        <v>Yes</v>
      </c>
      <c r="Q32" s="5" t="str">
        <f>IFERROR(__xludf.DUMMYFUNCTION("""COMPUTED_VALUE"""),"Yes")</f>
        <v>Yes</v>
      </c>
      <c r="R32" s="5" t="str">
        <f>IFERROR(__xludf.DUMMYFUNCTION("""COMPUTED_VALUE"""),"Yes")</f>
        <v>Yes</v>
      </c>
      <c r="S32" s="5" t="str">
        <f>IFERROR(__xludf.DUMMYFUNCTION("""COMPUTED_VALUE"""),"Yes")</f>
        <v>Yes</v>
      </c>
      <c r="T32" s="5" t="str">
        <f>IFERROR(__xludf.DUMMYFUNCTION("""COMPUTED_VALUE"""),"Yes")</f>
        <v>Yes</v>
      </c>
      <c r="U32" s="5" t="str">
        <f>IFERROR(__xludf.DUMMYFUNCTION("""COMPUTED_VALUE"""),"Yes")</f>
        <v>Yes</v>
      </c>
      <c r="V32" s="5" t="str">
        <f>IFERROR(__xludf.DUMMYFUNCTION("""COMPUTED_VALUE"""),"Yes")</f>
        <v>Yes</v>
      </c>
      <c r="W32" s="5" t="str">
        <f>IFERROR(__xludf.DUMMYFUNCTION("""COMPUTED_VALUE"""),"Yes")</f>
        <v>Yes</v>
      </c>
      <c r="X32" s="5" t="str">
        <f>IFERROR(__xludf.DUMMYFUNCTION("""COMPUTED_VALUE"""),"Yes")</f>
        <v>Yes</v>
      </c>
      <c r="Y32" s="5" t="str">
        <f>IFERROR(__xludf.DUMMYFUNCTION("""COMPUTED_VALUE"""),"Yes")</f>
        <v>Yes</v>
      </c>
      <c r="Z32" s="5" t="str">
        <f>IFERROR(__xludf.DUMMYFUNCTION("""COMPUTED_VALUE"""),"Yes")</f>
        <v>Yes</v>
      </c>
      <c r="AA32" s="5" t="str">
        <f>IFERROR(__xludf.DUMMYFUNCTION("""COMPUTED_VALUE"""),"Yes")</f>
        <v>Yes</v>
      </c>
      <c r="AB32" s="5" t="str">
        <f>IFERROR(__xludf.DUMMYFUNCTION("""COMPUTED_VALUE"""),"Yes")</f>
        <v>Yes</v>
      </c>
      <c r="AC32" s="5" t="str">
        <f>IFERROR(__xludf.DUMMYFUNCTION("""COMPUTED_VALUE"""),"No")</f>
        <v>No</v>
      </c>
    </row>
    <row r="33">
      <c r="A33" s="5" t="str">
        <f>IFERROR(__xludf.DUMMYFUNCTION("""COMPUTED_VALUE"""),"BookOfBruno")</f>
        <v>BookOfBruno</v>
      </c>
      <c r="B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 s="5" t="str">
        <f>IFERROR(__xludf.DUMMYFUNCTION("""COMPUTED_VALUE"""),"Yes")</f>
        <v>Yes</v>
      </c>
      <c r="D33" s="5" t="str">
        <f>IFERROR(__xludf.DUMMYFUNCTION("""COMPUTED_VALUE"""),"Yes")</f>
        <v>Yes</v>
      </c>
      <c r="E33" s="5" t="str">
        <f>IFERROR(__xludf.DUMMYFUNCTION("""COMPUTED_VALUE"""),"Yes")</f>
        <v>Yes</v>
      </c>
      <c r="F33" s="5" t="str">
        <f>IFERROR(__xludf.DUMMYFUNCTION("""COMPUTED_VALUE"""),"Yes")</f>
        <v>Yes</v>
      </c>
      <c r="G33" s="5" t="str">
        <f>IFERROR(__xludf.DUMMYFUNCTION("""COMPUTED_VALUE"""),"Yes")</f>
        <v>Yes</v>
      </c>
      <c r="H33" s="5" t="str">
        <f>IFERROR(__xludf.DUMMYFUNCTION("""COMPUTED_VALUE"""),"Yes")</f>
        <v>Yes</v>
      </c>
      <c r="I33" s="5" t="str">
        <f>IFERROR(__xludf.DUMMYFUNCTION("""COMPUTED_VALUE"""),"Yes")</f>
        <v>Yes</v>
      </c>
      <c r="J33" s="5" t="str">
        <f>IFERROR(__xludf.DUMMYFUNCTION("""COMPUTED_VALUE"""),"Yes")</f>
        <v>Yes</v>
      </c>
      <c r="K33" s="5" t="str">
        <f>IFERROR(__xludf.DUMMYFUNCTION("""COMPUTED_VALUE"""),"Yes")</f>
        <v>Yes</v>
      </c>
      <c r="L33" s="5" t="str">
        <f>IFERROR(__xludf.DUMMYFUNCTION("""COMPUTED_VALUE"""),"Yes")</f>
        <v>Yes</v>
      </c>
      <c r="M33" s="5" t="str">
        <f>IFERROR(__xludf.DUMMYFUNCTION("""COMPUTED_VALUE"""),"Yes")</f>
        <v>Yes</v>
      </c>
      <c r="N33" s="5" t="str">
        <f>IFERROR(__xludf.DUMMYFUNCTION("""COMPUTED_VALUE"""),"Yes")</f>
        <v>Yes</v>
      </c>
      <c r="O33" s="5" t="str">
        <f>IFERROR(__xludf.DUMMYFUNCTION("""COMPUTED_VALUE"""),"Yes")</f>
        <v>Yes</v>
      </c>
      <c r="P33" s="5" t="str">
        <f>IFERROR(__xludf.DUMMYFUNCTION("""COMPUTED_VALUE"""),"Yes")</f>
        <v>Yes</v>
      </c>
      <c r="Q33" s="5" t="str">
        <f>IFERROR(__xludf.DUMMYFUNCTION("""COMPUTED_VALUE"""),"Yes")</f>
        <v>Yes</v>
      </c>
      <c r="R33" s="5" t="str">
        <f>IFERROR(__xludf.DUMMYFUNCTION("""COMPUTED_VALUE"""),"Yes")</f>
        <v>Yes</v>
      </c>
      <c r="S33" s="5" t="str">
        <f>IFERROR(__xludf.DUMMYFUNCTION("""COMPUTED_VALUE"""),"Yes")</f>
        <v>Yes</v>
      </c>
      <c r="T33" s="5" t="str">
        <f>IFERROR(__xludf.DUMMYFUNCTION("""COMPUTED_VALUE"""),"Yes")</f>
        <v>Yes</v>
      </c>
      <c r="U33" s="5" t="str">
        <f>IFERROR(__xludf.DUMMYFUNCTION("""COMPUTED_VALUE"""),"Yes")</f>
        <v>Yes</v>
      </c>
      <c r="V33" s="5" t="str">
        <f>IFERROR(__xludf.DUMMYFUNCTION("""COMPUTED_VALUE"""),"Yes")</f>
        <v>Yes</v>
      </c>
      <c r="W33" s="5" t="str">
        <f>IFERROR(__xludf.DUMMYFUNCTION("""COMPUTED_VALUE"""),"Yes")</f>
        <v>Yes</v>
      </c>
      <c r="X33" s="5" t="str">
        <f>IFERROR(__xludf.DUMMYFUNCTION("""COMPUTED_VALUE"""),"Yes")</f>
        <v>Yes</v>
      </c>
      <c r="Y33" s="5" t="str">
        <f>IFERROR(__xludf.DUMMYFUNCTION("""COMPUTED_VALUE"""),"Yes")</f>
        <v>Yes</v>
      </c>
      <c r="Z33" s="5" t="str">
        <f>IFERROR(__xludf.DUMMYFUNCTION("""COMPUTED_VALUE"""),"Yes")</f>
        <v>Yes</v>
      </c>
      <c r="AA33" s="5" t="str">
        <f>IFERROR(__xludf.DUMMYFUNCTION("""COMPUTED_VALUE"""),"Yes")</f>
        <v>Yes</v>
      </c>
      <c r="AB33" s="5" t="str">
        <f>IFERROR(__xludf.DUMMYFUNCTION("""COMPUTED_VALUE"""),"Yes")</f>
        <v>Yes</v>
      </c>
      <c r="AC33" s="5" t="str">
        <f>IFERROR(__xludf.DUMMYFUNCTION("""COMPUTED_VALUE"""),"No")</f>
        <v>No</v>
      </c>
    </row>
    <row r="34">
      <c r="A34" s="5" t="str">
        <f>IFERROR(__xludf.DUMMYFUNCTION("""COMPUTED_VALUE"""),"TropicalHot")</f>
        <v>TropicalHot</v>
      </c>
      <c r="B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 s="5" t="str">
        <f>IFERROR(__xludf.DUMMYFUNCTION("""COMPUTED_VALUE"""),"Yes")</f>
        <v>Yes</v>
      </c>
      <c r="D34" s="5" t="str">
        <f>IFERROR(__xludf.DUMMYFUNCTION("""COMPUTED_VALUE"""),"Yes")</f>
        <v>Yes</v>
      </c>
      <c r="E34" s="5" t="str">
        <f>IFERROR(__xludf.DUMMYFUNCTION("""COMPUTED_VALUE"""),"Yes")</f>
        <v>Yes</v>
      </c>
      <c r="F34" s="5" t="str">
        <f>IFERROR(__xludf.DUMMYFUNCTION("""COMPUTED_VALUE"""),"Yes")</f>
        <v>Yes</v>
      </c>
      <c r="G34" s="5" t="str">
        <f>IFERROR(__xludf.DUMMYFUNCTION("""COMPUTED_VALUE"""),"Yes")</f>
        <v>Yes</v>
      </c>
      <c r="H34" s="5" t="str">
        <f>IFERROR(__xludf.DUMMYFUNCTION("""COMPUTED_VALUE"""),"Yes")</f>
        <v>Yes</v>
      </c>
      <c r="I34" s="5" t="str">
        <f>IFERROR(__xludf.DUMMYFUNCTION("""COMPUTED_VALUE"""),"Yes")</f>
        <v>Yes</v>
      </c>
      <c r="J34" s="5" t="str">
        <f>IFERROR(__xludf.DUMMYFUNCTION("""COMPUTED_VALUE"""),"Yes")</f>
        <v>Yes</v>
      </c>
      <c r="K34" s="5" t="str">
        <f>IFERROR(__xludf.DUMMYFUNCTION("""COMPUTED_VALUE"""),"Yes")</f>
        <v>Yes</v>
      </c>
      <c r="L34" s="5" t="str">
        <f>IFERROR(__xludf.DUMMYFUNCTION("""COMPUTED_VALUE"""),"Yes")</f>
        <v>Yes</v>
      </c>
      <c r="M34" s="5" t="str">
        <f>IFERROR(__xludf.DUMMYFUNCTION("""COMPUTED_VALUE"""),"Yes")</f>
        <v>Yes</v>
      </c>
      <c r="N34" s="5" t="str">
        <f>IFERROR(__xludf.DUMMYFUNCTION("""COMPUTED_VALUE"""),"Yes")</f>
        <v>Yes</v>
      </c>
      <c r="O34" s="5" t="str">
        <f>IFERROR(__xludf.DUMMYFUNCTION("""COMPUTED_VALUE"""),"Yes")</f>
        <v>Yes</v>
      </c>
      <c r="P34" s="5" t="str">
        <f>IFERROR(__xludf.DUMMYFUNCTION("""COMPUTED_VALUE"""),"Yes")</f>
        <v>Yes</v>
      </c>
      <c r="Q34" s="5" t="str">
        <f>IFERROR(__xludf.DUMMYFUNCTION("""COMPUTED_VALUE"""),"Yes")</f>
        <v>Yes</v>
      </c>
      <c r="R34" s="5" t="str">
        <f>IFERROR(__xludf.DUMMYFUNCTION("""COMPUTED_VALUE"""),"Yes")</f>
        <v>Yes</v>
      </c>
      <c r="S34" s="5" t="str">
        <f>IFERROR(__xludf.DUMMYFUNCTION("""COMPUTED_VALUE"""),"Yes")</f>
        <v>Yes</v>
      </c>
      <c r="T34" s="5" t="str">
        <f>IFERROR(__xludf.DUMMYFUNCTION("""COMPUTED_VALUE"""),"Yes")</f>
        <v>Yes</v>
      </c>
      <c r="U34" s="5" t="str">
        <f>IFERROR(__xludf.DUMMYFUNCTION("""COMPUTED_VALUE"""),"Yes")</f>
        <v>Yes</v>
      </c>
      <c r="V34" s="5" t="str">
        <f>IFERROR(__xludf.DUMMYFUNCTION("""COMPUTED_VALUE"""),"Yes")</f>
        <v>Yes</v>
      </c>
      <c r="W34" s="5" t="str">
        <f>IFERROR(__xludf.DUMMYFUNCTION("""COMPUTED_VALUE"""),"Yes")</f>
        <v>Yes</v>
      </c>
      <c r="X34" s="5" t="str">
        <f>IFERROR(__xludf.DUMMYFUNCTION("""COMPUTED_VALUE"""),"Yes")</f>
        <v>Yes</v>
      </c>
      <c r="Y34" s="5" t="str">
        <f>IFERROR(__xludf.DUMMYFUNCTION("""COMPUTED_VALUE"""),"Yes")</f>
        <v>Yes</v>
      </c>
      <c r="Z34" s="5" t="str">
        <f>IFERROR(__xludf.DUMMYFUNCTION("""COMPUTED_VALUE"""),"Yes")</f>
        <v>Yes</v>
      </c>
      <c r="AA34" s="5" t="str">
        <f>IFERROR(__xludf.DUMMYFUNCTION("""COMPUTED_VALUE"""),"Yes")</f>
        <v>Yes</v>
      </c>
      <c r="AB34" s="5" t="str">
        <f>IFERROR(__xludf.DUMMYFUNCTION("""COMPUTED_VALUE"""),"Yes")</f>
        <v>Yes</v>
      </c>
      <c r="AC34" s="5" t="str">
        <f>IFERROR(__xludf.DUMMYFUNCTION("""COMPUTED_VALUE"""),"No")</f>
        <v>No</v>
      </c>
    </row>
    <row r="35">
      <c r="A35" s="5" t="str">
        <f>IFERROR(__xludf.DUMMYFUNCTION("""COMPUTED_VALUE"""),"Monsters")</f>
        <v>Monsters</v>
      </c>
      <c r="B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 s="5" t="str">
        <f>IFERROR(__xludf.DUMMYFUNCTION("""COMPUTED_VALUE"""),"Yes")</f>
        <v>Yes</v>
      </c>
      <c r="D35" s="5" t="str">
        <f>IFERROR(__xludf.DUMMYFUNCTION("""COMPUTED_VALUE"""),"Yes")</f>
        <v>Yes</v>
      </c>
      <c r="E35" s="5" t="str">
        <f>IFERROR(__xludf.DUMMYFUNCTION("""COMPUTED_VALUE"""),"Yes")</f>
        <v>Yes</v>
      </c>
      <c r="F35" s="5" t="str">
        <f>IFERROR(__xludf.DUMMYFUNCTION("""COMPUTED_VALUE"""),"Yes")</f>
        <v>Yes</v>
      </c>
      <c r="G35" s="5" t="str">
        <f>IFERROR(__xludf.DUMMYFUNCTION("""COMPUTED_VALUE"""),"Yes")</f>
        <v>Yes</v>
      </c>
      <c r="H35" s="5" t="str">
        <f>IFERROR(__xludf.DUMMYFUNCTION("""COMPUTED_VALUE"""),"Yes")</f>
        <v>Yes</v>
      </c>
      <c r="I35" s="5" t="str">
        <f>IFERROR(__xludf.DUMMYFUNCTION("""COMPUTED_VALUE"""),"Yes")</f>
        <v>Yes</v>
      </c>
      <c r="J35" s="5" t="str">
        <f>IFERROR(__xludf.DUMMYFUNCTION("""COMPUTED_VALUE"""),"Yes")</f>
        <v>Yes</v>
      </c>
      <c r="K35" s="5" t="str">
        <f>IFERROR(__xludf.DUMMYFUNCTION("""COMPUTED_VALUE"""),"Yes")</f>
        <v>Yes</v>
      </c>
      <c r="L35" s="5" t="str">
        <f>IFERROR(__xludf.DUMMYFUNCTION("""COMPUTED_VALUE"""),"Yes")</f>
        <v>Yes</v>
      </c>
      <c r="M35" s="5" t="str">
        <f>IFERROR(__xludf.DUMMYFUNCTION("""COMPUTED_VALUE"""),"Yes")</f>
        <v>Yes</v>
      </c>
      <c r="N35" s="5" t="str">
        <f>IFERROR(__xludf.DUMMYFUNCTION("""COMPUTED_VALUE"""),"Yes")</f>
        <v>Yes</v>
      </c>
      <c r="O35" s="5" t="str">
        <f>IFERROR(__xludf.DUMMYFUNCTION("""COMPUTED_VALUE"""),"Yes")</f>
        <v>Yes</v>
      </c>
      <c r="P35" s="5" t="str">
        <f>IFERROR(__xludf.DUMMYFUNCTION("""COMPUTED_VALUE"""),"Yes")</f>
        <v>Yes</v>
      </c>
      <c r="Q35" s="5" t="str">
        <f>IFERROR(__xludf.DUMMYFUNCTION("""COMPUTED_VALUE"""),"Yes")</f>
        <v>Yes</v>
      </c>
      <c r="R35" s="5" t="str">
        <f>IFERROR(__xludf.DUMMYFUNCTION("""COMPUTED_VALUE"""),"Yes")</f>
        <v>Yes</v>
      </c>
      <c r="S35" s="5" t="str">
        <f>IFERROR(__xludf.DUMMYFUNCTION("""COMPUTED_VALUE"""),"Yes")</f>
        <v>Yes</v>
      </c>
      <c r="T35" s="5" t="str">
        <f>IFERROR(__xludf.DUMMYFUNCTION("""COMPUTED_VALUE"""),"Yes")</f>
        <v>Yes</v>
      </c>
      <c r="U35" s="5" t="str">
        <f>IFERROR(__xludf.DUMMYFUNCTION("""COMPUTED_VALUE"""),"Yes")</f>
        <v>Yes</v>
      </c>
      <c r="V35" s="5" t="str">
        <f>IFERROR(__xludf.DUMMYFUNCTION("""COMPUTED_VALUE"""),"Yes")</f>
        <v>Yes</v>
      </c>
      <c r="W35" s="5" t="str">
        <f>IFERROR(__xludf.DUMMYFUNCTION("""COMPUTED_VALUE"""),"Yes")</f>
        <v>Yes</v>
      </c>
      <c r="X35" s="5" t="str">
        <f>IFERROR(__xludf.DUMMYFUNCTION("""COMPUTED_VALUE"""),"Yes")</f>
        <v>Yes</v>
      </c>
      <c r="Y35" s="5" t="str">
        <f>IFERROR(__xludf.DUMMYFUNCTION("""COMPUTED_VALUE"""),"Yes")</f>
        <v>Yes</v>
      </c>
      <c r="Z35" s="5" t="str">
        <f>IFERROR(__xludf.DUMMYFUNCTION("""COMPUTED_VALUE"""),"Yes")</f>
        <v>Yes</v>
      </c>
      <c r="AA35" s="5" t="str">
        <f>IFERROR(__xludf.DUMMYFUNCTION("""COMPUTED_VALUE"""),"Yes")</f>
        <v>Yes</v>
      </c>
      <c r="AB35" s="5" t="str">
        <f>IFERROR(__xludf.DUMMYFUNCTION("""COMPUTED_VALUE"""),"Yes")</f>
        <v>Yes</v>
      </c>
      <c r="AC35" s="5" t="str">
        <f>IFERROR(__xludf.DUMMYFUNCTION("""COMPUTED_VALUE"""),"No")</f>
        <v>No</v>
      </c>
    </row>
    <row r="36">
      <c r="A36" s="5" t="str">
        <f>IFERROR(__xludf.DUMMYFUNCTION("""COMPUTED_VALUE"""),"ForestFruits")</f>
        <v>ForestFruits</v>
      </c>
      <c r="B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 s="5" t="str">
        <f>IFERROR(__xludf.DUMMYFUNCTION("""COMPUTED_VALUE"""),"Yes")</f>
        <v>Yes</v>
      </c>
      <c r="D36" s="5" t="str">
        <f>IFERROR(__xludf.DUMMYFUNCTION("""COMPUTED_VALUE"""),"Yes")</f>
        <v>Yes</v>
      </c>
      <c r="E36" s="5" t="str">
        <f>IFERROR(__xludf.DUMMYFUNCTION("""COMPUTED_VALUE"""),"Yes")</f>
        <v>Yes</v>
      </c>
      <c r="F36" s="5" t="str">
        <f>IFERROR(__xludf.DUMMYFUNCTION("""COMPUTED_VALUE"""),"Yes")</f>
        <v>Yes</v>
      </c>
      <c r="G36" s="5" t="str">
        <f>IFERROR(__xludf.DUMMYFUNCTION("""COMPUTED_VALUE"""),"Yes")</f>
        <v>Yes</v>
      </c>
      <c r="H36" s="5" t="str">
        <f>IFERROR(__xludf.DUMMYFUNCTION("""COMPUTED_VALUE"""),"Yes")</f>
        <v>Yes</v>
      </c>
      <c r="I36" s="5" t="str">
        <f>IFERROR(__xludf.DUMMYFUNCTION("""COMPUTED_VALUE"""),"Yes")</f>
        <v>Yes</v>
      </c>
      <c r="J36" s="5" t="str">
        <f>IFERROR(__xludf.DUMMYFUNCTION("""COMPUTED_VALUE"""),"Yes")</f>
        <v>Yes</v>
      </c>
      <c r="K36" s="5" t="str">
        <f>IFERROR(__xludf.DUMMYFUNCTION("""COMPUTED_VALUE"""),"Yes")</f>
        <v>Yes</v>
      </c>
      <c r="L36" s="5" t="str">
        <f>IFERROR(__xludf.DUMMYFUNCTION("""COMPUTED_VALUE"""),"Yes")</f>
        <v>Yes</v>
      </c>
      <c r="M36" s="5" t="str">
        <f>IFERROR(__xludf.DUMMYFUNCTION("""COMPUTED_VALUE"""),"Yes")</f>
        <v>Yes</v>
      </c>
      <c r="N36" s="5" t="str">
        <f>IFERROR(__xludf.DUMMYFUNCTION("""COMPUTED_VALUE"""),"Yes")</f>
        <v>Yes</v>
      </c>
      <c r="O36" s="5" t="str">
        <f>IFERROR(__xludf.DUMMYFUNCTION("""COMPUTED_VALUE"""),"Yes")</f>
        <v>Yes</v>
      </c>
      <c r="P36" s="5" t="str">
        <f>IFERROR(__xludf.DUMMYFUNCTION("""COMPUTED_VALUE"""),"Yes")</f>
        <v>Yes</v>
      </c>
      <c r="Q36" s="5" t="str">
        <f>IFERROR(__xludf.DUMMYFUNCTION("""COMPUTED_VALUE"""),"Yes")</f>
        <v>Yes</v>
      </c>
      <c r="R36" s="5" t="str">
        <f>IFERROR(__xludf.DUMMYFUNCTION("""COMPUTED_VALUE"""),"Yes")</f>
        <v>Yes</v>
      </c>
      <c r="S36" s="5" t="str">
        <f>IFERROR(__xludf.DUMMYFUNCTION("""COMPUTED_VALUE"""),"Yes")</f>
        <v>Yes</v>
      </c>
      <c r="T36" s="5" t="str">
        <f>IFERROR(__xludf.DUMMYFUNCTION("""COMPUTED_VALUE"""),"Yes")</f>
        <v>Yes</v>
      </c>
      <c r="U36" s="5" t="str">
        <f>IFERROR(__xludf.DUMMYFUNCTION("""COMPUTED_VALUE"""),"Yes")</f>
        <v>Yes</v>
      </c>
      <c r="V36" s="5" t="str">
        <f>IFERROR(__xludf.DUMMYFUNCTION("""COMPUTED_VALUE"""),"Yes")</f>
        <v>Yes</v>
      </c>
      <c r="W36" s="5" t="str">
        <f>IFERROR(__xludf.DUMMYFUNCTION("""COMPUTED_VALUE"""),"Yes")</f>
        <v>Yes</v>
      </c>
      <c r="X36" s="5" t="str">
        <f>IFERROR(__xludf.DUMMYFUNCTION("""COMPUTED_VALUE"""),"Yes")</f>
        <v>Yes</v>
      </c>
      <c r="Y36" s="5" t="str">
        <f>IFERROR(__xludf.DUMMYFUNCTION("""COMPUTED_VALUE"""),"Yes")</f>
        <v>Yes</v>
      </c>
      <c r="Z36" s="5" t="str">
        <f>IFERROR(__xludf.DUMMYFUNCTION("""COMPUTED_VALUE"""),"Yes")</f>
        <v>Yes</v>
      </c>
      <c r="AA36" s="5" t="str">
        <f>IFERROR(__xludf.DUMMYFUNCTION("""COMPUTED_VALUE"""),"Yes")</f>
        <v>Yes</v>
      </c>
      <c r="AB36" s="5" t="str">
        <f>IFERROR(__xludf.DUMMYFUNCTION("""COMPUTED_VALUE"""),"Yes")</f>
        <v>Yes</v>
      </c>
      <c r="AC36" s="5" t="str">
        <f>IFERROR(__xludf.DUMMYFUNCTION("""COMPUTED_VALUE"""),"No")</f>
        <v>No</v>
      </c>
    </row>
    <row r="37">
      <c r="A37" s="5" t="str">
        <f>IFERROR(__xludf.DUMMYFUNCTION("""COMPUTED_VALUE"""),"VikingGold")</f>
        <v>VikingGold</v>
      </c>
      <c r="B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7" s="5" t="str">
        <f>IFERROR(__xludf.DUMMYFUNCTION("""COMPUTED_VALUE"""),"Yes")</f>
        <v>Yes</v>
      </c>
      <c r="D37" s="5" t="str">
        <f>IFERROR(__xludf.DUMMYFUNCTION("""COMPUTED_VALUE"""),"Yes")</f>
        <v>Yes</v>
      </c>
      <c r="E37" s="5" t="str">
        <f>IFERROR(__xludf.DUMMYFUNCTION("""COMPUTED_VALUE"""),"Yes")</f>
        <v>Yes</v>
      </c>
      <c r="F37" s="5" t="str">
        <f>IFERROR(__xludf.DUMMYFUNCTION("""COMPUTED_VALUE"""),"Yes")</f>
        <v>Yes</v>
      </c>
      <c r="G37" s="5" t="str">
        <f>IFERROR(__xludf.DUMMYFUNCTION("""COMPUTED_VALUE"""),"Yes")</f>
        <v>Yes</v>
      </c>
      <c r="H37" s="5" t="str">
        <f>IFERROR(__xludf.DUMMYFUNCTION("""COMPUTED_VALUE"""),"Yes")</f>
        <v>Yes</v>
      </c>
      <c r="I37" s="5" t="str">
        <f>IFERROR(__xludf.DUMMYFUNCTION("""COMPUTED_VALUE"""),"Yes")</f>
        <v>Yes</v>
      </c>
      <c r="J37" s="5" t="str">
        <f>IFERROR(__xludf.DUMMYFUNCTION("""COMPUTED_VALUE"""),"Yes")</f>
        <v>Yes</v>
      </c>
      <c r="K37" s="5" t="str">
        <f>IFERROR(__xludf.DUMMYFUNCTION("""COMPUTED_VALUE"""),"Yes")</f>
        <v>Yes</v>
      </c>
      <c r="L37" s="5" t="str">
        <f>IFERROR(__xludf.DUMMYFUNCTION("""COMPUTED_VALUE"""),"Yes")</f>
        <v>Yes</v>
      </c>
      <c r="M37" s="5" t="str">
        <f>IFERROR(__xludf.DUMMYFUNCTION("""COMPUTED_VALUE"""),"Yes")</f>
        <v>Yes</v>
      </c>
      <c r="N37" s="5" t="str">
        <f>IFERROR(__xludf.DUMMYFUNCTION("""COMPUTED_VALUE"""),"Yes")</f>
        <v>Yes</v>
      </c>
      <c r="O37" s="5" t="str">
        <f>IFERROR(__xludf.DUMMYFUNCTION("""COMPUTED_VALUE"""),"Yes")</f>
        <v>Yes</v>
      </c>
      <c r="P37" s="5" t="str">
        <f>IFERROR(__xludf.DUMMYFUNCTION("""COMPUTED_VALUE"""),"Yes")</f>
        <v>Yes</v>
      </c>
      <c r="Q37" s="5" t="str">
        <f>IFERROR(__xludf.DUMMYFUNCTION("""COMPUTED_VALUE"""),"Yes")</f>
        <v>Yes</v>
      </c>
      <c r="R37" s="5" t="str">
        <f>IFERROR(__xludf.DUMMYFUNCTION("""COMPUTED_VALUE"""),"Yes")</f>
        <v>Yes</v>
      </c>
      <c r="S37" s="5" t="str">
        <f>IFERROR(__xludf.DUMMYFUNCTION("""COMPUTED_VALUE"""),"Yes")</f>
        <v>Yes</v>
      </c>
      <c r="T37" s="5" t="str">
        <f>IFERROR(__xludf.DUMMYFUNCTION("""COMPUTED_VALUE"""),"Yes")</f>
        <v>Yes</v>
      </c>
      <c r="U37" s="5" t="str">
        <f>IFERROR(__xludf.DUMMYFUNCTION("""COMPUTED_VALUE"""),"Yes")</f>
        <v>Yes</v>
      </c>
      <c r="V37" s="5" t="str">
        <f>IFERROR(__xludf.DUMMYFUNCTION("""COMPUTED_VALUE"""),"Yes")</f>
        <v>Yes</v>
      </c>
      <c r="W37" s="5" t="str">
        <f>IFERROR(__xludf.DUMMYFUNCTION("""COMPUTED_VALUE"""),"Yes")</f>
        <v>Yes</v>
      </c>
      <c r="X37" s="5" t="str">
        <f>IFERROR(__xludf.DUMMYFUNCTION("""COMPUTED_VALUE"""),"Yes")</f>
        <v>Yes</v>
      </c>
      <c r="Y37" s="5" t="str">
        <f>IFERROR(__xludf.DUMMYFUNCTION("""COMPUTED_VALUE"""),"Yes")</f>
        <v>Yes</v>
      </c>
      <c r="Z37" s="5" t="str">
        <f>IFERROR(__xludf.DUMMYFUNCTION("""COMPUTED_VALUE"""),"Yes")</f>
        <v>Yes</v>
      </c>
      <c r="AA37" s="5" t="str">
        <f>IFERROR(__xludf.DUMMYFUNCTION("""COMPUTED_VALUE"""),"Yes")</f>
        <v>Yes</v>
      </c>
      <c r="AB37" s="5" t="str">
        <f>IFERROR(__xludf.DUMMYFUNCTION("""COMPUTED_VALUE"""),"Yes")</f>
        <v>Yes</v>
      </c>
      <c r="AC37" s="5" t="str">
        <f>IFERROR(__xludf.DUMMYFUNCTION("""COMPUTED_VALUE"""),"No")</f>
        <v>No</v>
      </c>
    </row>
    <row r="38">
      <c r="A38" s="5" t="str">
        <f>IFERROR(__xludf.DUMMYFUNCTION("""COMPUTED_VALUE"""),"StarGems")</f>
        <v>StarGems</v>
      </c>
      <c r="B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8" s="5" t="str">
        <f>IFERROR(__xludf.DUMMYFUNCTION("""COMPUTED_VALUE"""),"Yes")</f>
        <v>Yes</v>
      </c>
      <c r="D38" s="5" t="str">
        <f>IFERROR(__xludf.DUMMYFUNCTION("""COMPUTED_VALUE"""),"Yes")</f>
        <v>Yes</v>
      </c>
      <c r="E38" s="5" t="str">
        <f>IFERROR(__xludf.DUMMYFUNCTION("""COMPUTED_VALUE"""),"Yes")</f>
        <v>Yes</v>
      </c>
      <c r="F38" s="5" t="str">
        <f>IFERROR(__xludf.DUMMYFUNCTION("""COMPUTED_VALUE"""),"Yes")</f>
        <v>Yes</v>
      </c>
      <c r="G38" s="5" t="str">
        <f>IFERROR(__xludf.DUMMYFUNCTION("""COMPUTED_VALUE"""),"Yes")</f>
        <v>Yes</v>
      </c>
      <c r="H38" s="5" t="str">
        <f>IFERROR(__xludf.DUMMYFUNCTION("""COMPUTED_VALUE"""),"Yes")</f>
        <v>Yes</v>
      </c>
      <c r="I38" s="5" t="str">
        <f>IFERROR(__xludf.DUMMYFUNCTION("""COMPUTED_VALUE"""),"Yes")</f>
        <v>Yes</v>
      </c>
      <c r="J38" s="5" t="str">
        <f>IFERROR(__xludf.DUMMYFUNCTION("""COMPUTED_VALUE"""),"Yes")</f>
        <v>Yes</v>
      </c>
      <c r="K38" s="5" t="str">
        <f>IFERROR(__xludf.DUMMYFUNCTION("""COMPUTED_VALUE"""),"Yes")</f>
        <v>Yes</v>
      </c>
      <c r="L38" s="5" t="str">
        <f>IFERROR(__xludf.DUMMYFUNCTION("""COMPUTED_VALUE"""),"Yes")</f>
        <v>Yes</v>
      </c>
      <c r="M38" s="5" t="str">
        <f>IFERROR(__xludf.DUMMYFUNCTION("""COMPUTED_VALUE"""),"Yes")</f>
        <v>Yes</v>
      </c>
      <c r="N38" s="5" t="str">
        <f>IFERROR(__xludf.DUMMYFUNCTION("""COMPUTED_VALUE"""),"Yes")</f>
        <v>Yes</v>
      </c>
      <c r="O38" s="5" t="str">
        <f>IFERROR(__xludf.DUMMYFUNCTION("""COMPUTED_VALUE"""),"Yes")</f>
        <v>Yes</v>
      </c>
      <c r="P38" s="5" t="str">
        <f>IFERROR(__xludf.DUMMYFUNCTION("""COMPUTED_VALUE"""),"Yes")</f>
        <v>Yes</v>
      </c>
      <c r="Q38" s="5" t="str">
        <f>IFERROR(__xludf.DUMMYFUNCTION("""COMPUTED_VALUE"""),"Yes")</f>
        <v>Yes</v>
      </c>
      <c r="R38" s="5" t="str">
        <f>IFERROR(__xludf.DUMMYFUNCTION("""COMPUTED_VALUE"""),"Yes")</f>
        <v>Yes</v>
      </c>
      <c r="S38" s="5" t="str">
        <f>IFERROR(__xludf.DUMMYFUNCTION("""COMPUTED_VALUE"""),"Yes")</f>
        <v>Yes</v>
      </c>
      <c r="T38" s="5" t="str">
        <f>IFERROR(__xludf.DUMMYFUNCTION("""COMPUTED_VALUE"""),"Yes")</f>
        <v>Yes</v>
      </c>
      <c r="U38" s="5" t="str">
        <f>IFERROR(__xludf.DUMMYFUNCTION("""COMPUTED_VALUE"""),"Yes")</f>
        <v>Yes</v>
      </c>
      <c r="V38" s="5" t="str">
        <f>IFERROR(__xludf.DUMMYFUNCTION("""COMPUTED_VALUE"""),"Yes")</f>
        <v>Yes</v>
      </c>
      <c r="W38" s="5" t="str">
        <f>IFERROR(__xludf.DUMMYFUNCTION("""COMPUTED_VALUE"""),"Yes")</f>
        <v>Yes</v>
      </c>
      <c r="X38" s="5" t="str">
        <f>IFERROR(__xludf.DUMMYFUNCTION("""COMPUTED_VALUE"""),"Yes")</f>
        <v>Yes</v>
      </c>
      <c r="Y38" s="5" t="str">
        <f>IFERROR(__xludf.DUMMYFUNCTION("""COMPUTED_VALUE"""),"Yes")</f>
        <v>Yes</v>
      </c>
      <c r="Z38" s="5" t="str">
        <f>IFERROR(__xludf.DUMMYFUNCTION("""COMPUTED_VALUE"""),"Yes")</f>
        <v>Yes</v>
      </c>
      <c r="AA38" s="5" t="str">
        <f>IFERROR(__xludf.DUMMYFUNCTION("""COMPUTED_VALUE"""),"Yes")</f>
        <v>Yes</v>
      </c>
      <c r="AB38" s="5" t="str">
        <f>IFERROR(__xludf.DUMMYFUNCTION("""COMPUTED_VALUE"""),"Yes")</f>
        <v>Yes</v>
      </c>
      <c r="AC38" s="5" t="str">
        <f>IFERROR(__xludf.DUMMYFUNCTION("""COMPUTED_VALUE"""),"No")</f>
        <v>No</v>
      </c>
    </row>
    <row r="39">
      <c r="A39" s="5" t="str">
        <f>IFERROR(__xludf.DUMMYFUNCTION("""COMPUTED_VALUE"""),"BookOfSpellsV2")</f>
        <v>BookOfSpellsV2</v>
      </c>
      <c r="B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9" s="5" t="str">
        <f>IFERROR(__xludf.DUMMYFUNCTION("""COMPUTED_VALUE"""),"Yes")</f>
        <v>Yes</v>
      </c>
      <c r="D39" s="5" t="str">
        <f>IFERROR(__xludf.DUMMYFUNCTION("""COMPUTED_VALUE"""),"Yes")</f>
        <v>Yes</v>
      </c>
      <c r="E39" s="5" t="str">
        <f>IFERROR(__xludf.DUMMYFUNCTION("""COMPUTED_VALUE"""),"Yes")</f>
        <v>Yes</v>
      </c>
      <c r="F39" s="5" t="str">
        <f>IFERROR(__xludf.DUMMYFUNCTION("""COMPUTED_VALUE"""),"Yes")</f>
        <v>Yes</v>
      </c>
      <c r="G39" s="5" t="str">
        <f>IFERROR(__xludf.DUMMYFUNCTION("""COMPUTED_VALUE"""),"Yes")</f>
        <v>Yes</v>
      </c>
      <c r="H39" s="5" t="str">
        <f>IFERROR(__xludf.DUMMYFUNCTION("""COMPUTED_VALUE"""),"Yes")</f>
        <v>Yes</v>
      </c>
      <c r="I39" s="5" t="str">
        <f>IFERROR(__xludf.DUMMYFUNCTION("""COMPUTED_VALUE"""),"Yes")</f>
        <v>Yes</v>
      </c>
      <c r="J39" s="5" t="str">
        <f>IFERROR(__xludf.DUMMYFUNCTION("""COMPUTED_VALUE"""),"Yes")</f>
        <v>Yes</v>
      </c>
      <c r="K39" s="5" t="str">
        <f>IFERROR(__xludf.DUMMYFUNCTION("""COMPUTED_VALUE"""),"Yes")</f>
        <v>Yes</v>
      </c>
      <c r="L39" s="5" t="str">
        <f>IFERROR(__xludf.DUMMYFUNCTION("""COMPUTED_VALUE"""),"Yes")</f>
        <v>Yes</v>
      </c>
      <c r="M39" s="5" t="str">
        <f>IFERROR(__xludf.DUMMYFUNCTION("""COMPUTED_VALUE"""),"Yes")</f>
        <v>Yes</v>
      </c>
      <c r="N39" s="5" t="str">
        <f>IFERROR(__xludf.DUMMYFUNCTION("""COMPUTED_VALUE"""),"Yes")</f>
        <v>Yes</v>
      </c>
      <c r="O39" s="5" t="str">
        <f>IFERROR(__xludf.DUMMYFUNCTION("""COMPUTED_VALUE"""),"Yes")</f>
        <v>Yes</v>
      </c>
      <c r="P39" s="5" t="str">
        <f>IFERROR(__xludf.DUMMYFUNCTION("""COMPUTED_VALUE"""),"Yes")</f>
        <v>Yes</v>
      </c>
      <c r="Q39" s="5" t="str">
        <f>IFERROR(__xludf.DUMMYFUNCTION("""COMPUTED_VALUE"""),"Yes")</f>
        <v>Yes</v>
      </c>
      <c r="R39" s="5" t="str">
        <f>IFERROR(__xludf.DUMMYFUNCTION("""COMPUTED_VALUE"""),"Yes")</f>
        <v>Yes</v>
      </c>
      <c r="S39" s="5" t="str">
        <f>IFERROR(__xludf.DUMMYFUNCTION("""COMPUTED_VALUE"""),"Yes")</f>
        <v>Yes</v>
      </c>
      <c r="T39" s="5" t="str">
        <f>IFERROR(__xludf.DUMMYFUNCTION("""COMPUTED_VALUE"""),"Yes")</f>
        <v>Yes</v>
      </c>
      <c r="U39" s="5" t="str">
        <f>IFERROR(__xludf.DUMMYFUNCTION("""COMPUTED_VALUE"""),"Yes")</f>
        <v>Yes</v>
      </c>
      <c r="V39" s="5" t="str">
        <f>IFERROR(__xludf.DUMMYFUNCTION("""COMPUTED_VALUE"""),"Yes")</f>
        <v>Yes</v>
      </c>
      <c r="W39" s="5" t="str">
        <f>IFERROR(__xludf.DUMMYFUNCTION("""COMPUTED_VALUE"""),"Yes")</f>
        <v>Yes</v>
      </c>
      <c r="X39" s="5" t="str">
        <f>IFERROR(__xludf.DUMMYFUNCTION("""COMPUTED_VALUE"""),"Yes")</f>
        <v>Yes</v>
      </c>
      <c r="Y39" s="5" t="str">
        <f>IFERROR(__xludf.DUMMYFUNCTION("""COMPUTED_VALUE"""),"Yes")</f>
        <v>Yes</v>
      </c>
      <c r="Z39" s="5" t="str">
        <f>IFERROR(__xludf.DUMMYFUNCTION("""COMPUTED_VALUE"""),"Yes")</f>
        <v>Yes</v>
      </c>
      <c r="AA39" s="5" t="str">
        <f>IFERROR(__xludf.DUMMYFUNCTION("""COMPUTED_VALUE"""),"Yes")</f>
        <v>Yes</v>
      </c>
      <c r="AB39" s="5" t="str">
        <f>IFERROR(__xludf.DUMMYFUNCTION("""COMPUTED_VALUE"""),"Yes")</f>
        <v>Yes</v>
      </c>
      <c r="AC39" s="5" t="str">
        <f>IFERROR(__xludf.DUMMYFUNCTION("""COMPUTED_VALUE"""),"No")</f>
        <v>No</v>
      </c>
    </row>
    <row r="40">
      <c r="A40" s="5" t="str">
        <f>IFERROR(__xludf.DUMMYFUNCTION("""COMPUTED_VALUE"""),"TemplarsQuest")</f>
        <v>TemplarsQuest</v>
      </c>
      <c r="B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 s="5" t="str">
        <f>IFERROR(__xludf.DUMMYFUNCTION("""COMPUTED_VALUE"""),"Yes")</f>
        <v>Yes</v>
      </c>
      <c r="D40" s="5" t="str">
        <f>IFERROR(__xludf.DUMMYFUNCTION("""COMPUTED_VALUE"""),"Yes")</f>
        <v>Yes</v>
      </c>
      <c r="E40" s="5" t="str">
        <f>IFERROR(__xludf.DUMMYFUNCTION("""COMPUTED_VALUE"""),"Yes")</f>
        <v>Yes</v>
      </c>
      <c r="F40" s="5" t="str">
        <f>IFERROR(__xludf.DUMMYFUNCTION("""COMPUTED_VALUE"""),"Yes")</f>
        <v>Yes</v>
      </c>
      <c r="G40" s="5" t="str">
        <f>IFERROR(__xludf.DUMMYFUNCTION("""COMPUTED_VALUE"""),"Yes")</f>
        <v>Yes</v>
      </c>
      <c r="H40" s="5" t="str">
        <f>IFERROR(__xludf.DUMMYFUNCTION("""COMPUTED_VALUE"""),"Yes")</f>
        <v>Yes</v>
      </c>
      <c r="I40" s="5" t="str">
        <f>IFERROR(__xludf.DUMMYFUNCTION("""COMPUTED_VALUE"""),"Yes")</f>
        <v>Yes</v>
      </c>
      <c r="J40" s="5" t="str">
        <f>IFERROR(__xludf.DUMMYFUNCTION("""COMPUTED_VALUE"""),"Yes")</f>
        <v>Yes</v>
      </c>
      <c r="K40" s="5" t="str">
        <f>IFERROR(__xludf.DUMMYFUNCTION("""COMPUTED_VALUE"""),"Yes")</f>
        <v>Yes</v>
      </c>
      <c r="L40" s="5" t="str">
        <f>IFERROR(__xludf.DUMMYFUNCTION("""COMPUTED_VALUE"""),"Yes")</f>
        <v>Yes</v>
      </c>
      <c r="M40" s="5" t="str">
        <f>IFERROR(__xludf.DUMMYFUNCTION("""COMPUTED_VALUE"""),"Yes")</f>
        <v>Yes</v>
      </c>
      <c r="N40" s="5" t="str">
        <f>IFERROR(__xludf.DUMMYFUNCTION("""COMPUTED_VALUE"""),"Yes")</f>
        <v>Yes</v>
      </c>
      <c r="O40" s="5" t="str">
        <f>IFERROR(__xludf.DUMMYFUNCTION("""COMPUTED_VALUE"""),"Yes")</f>
        <v>Yes</v>
      </c>
      <c r="P40" s="5" t="str">
        <f>IFERROR(__xludf.DUMMYFUNCTION("""COMPUTED_VALUE"""),"Yes")</f>
        <v>Yes</v>
      </c>
      <c r="Q40" s="5" t="str">
        <f>IFERROR(__xludf.DUMMYFUNCTION("""COMPUTED_VALUE"""),"Yes")</f>
        <v>Yes</v>
      </c>
      <c r="R40" s="5" t="str">
        <f>IFERROR(__xludf.DUMMYFUNCTION("""COMPUTED_VALUE"""),"Yes")</f>
        <v>Yes</v>
      </c>
      <c r="S40" s="5" t="str">
        <f>IFERROR(__xludf.DUMMYFUNCTION("""COMPUTED_VALUE"""),"Yes")</f>
        <v>Yes</v>
      </c>
      <c r="T40" s="5" t="str">
        <f>IFERROR(__xludf.DUMMYFUNCTION("""COMPUTED_VALUE"""),"Yes")</f>
        <v>Yes</v>
      </c>
      <c r="U40" s="5" t="str">
        <f>IFERROR(__xludf.DUMMYFUNCTION("""COMPUTED_VALUE"""),"Yes")</f>
        <v>Yes</v>
      </c>
      <c r="V40" s="5" t="str">
        <f>IFERROR(__xludf.DUMMYFUNCTION("""COMPUTED_VALUE"""),"Yes")</f>
        <v>Yes</v>
      </c>
      <c r="W40" s="5" t="str">
        <f>IFERROR(__xludf.DUMMYFUNCTION("""COMPUTED_VALUE"""),"Yes")</f>
        <v>Yes</v>
      </c>
      <c r="X40" s="5" t="str">
        <f>IFERROR(__xludf.DUMMYFUNCTION("""COMPUTED_VALUE"""),"Yes")</f>
        <v>Yes</v>
      </c>
      <c r="Y40" s="5" t="str">
        <f>IFERROR(__xludf.DUMMYFUNCTION("""COMPUTED_VALUE"""),"Yes")</f>
        <v>Yes</v>
      </c>
      <c r="Z40" s="5" t="str">
        <f>IFERROR(__xludf.DUMMYFUNCTION("""COMPUTED_VALUE"""),"Yes")</f>
        <v>Yes</v>
      </c>
      <c r="AA40" s="5" t="str">
        <f>IFERROR(__xludf.DUMMYFUNCTION("""COMPUTED_VALUE"""),"Yes")</f>
        <v>Yes</v>
      </c>
      <c r="AB40" s="5" t="str">
        <f>IFERROR(__xludf.DUMMYFUNCTION("""COMPUTED_VALUE"""),"Yes")</f>
        <v>Yes</v>
      </c>
      <c r="AC40" s="5" t="str">
        <f>IFERROR(__xludf.DUMMYFUNCTION("""COMPUTED_VALUE"""),"No")</f>
        <v>No</v>
      </c>
    </row>
    <row r="41">
      <c r="A41" s="5" t="str">
        <f>IFERROR(__xludf.DUMMYFUNCTION("""COMPUTED_VALUE"""),"SpaceGuardians")</f>
        <v>SpaceGuardians</v>
      </c>
      <c r="B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1" s="5" t="str">
        <f>IFERROR(__xludf.DUMMYFUNCTION("""COMPUTED_VALUE"""),"Yes")</f>
        <v>Yes</v>
      </c>
      <c r="D41" s="5" t="str">
        <f>IFERROR(__xludf.DUMMYFUNCTION("""COMPUTED_VALUE"""),"Yes")</f>
        <v>Yes</v>
      </c>
      <c r="E41" s="5" t="str">
        <f>IFERROR(__xludf.DUMMYFUNCTION("""COMPUTED_VALUE"""),"Yes")</f>
        <v>Yes</v>
      </c>
      <c r="F41" s="5" t="str">
        <f>IFERROR(__xludf.DUMMYFUNCTION("""COMPUTED_VALUE"""),"Yes")</f>
        <v>Yes</v>
      </c>
      <c r="G41" s="5" t="str">
        <f>IFERROR(__xludf.DUMMYFUNCTION("""COMPUTED_VALUE"""),"Yes")</f>
        <v>Yes</v>
      </c>
      <c r="H41" s="5" t="str">
        <f>IFERROR(__xludf.DUMMYFUNCTION("""COMPUTED_VALUE"""),"Yes")</f>
        <v>Yes</v>
      </c>
      <c r="I41" s="5" t="str">
        <f>IFERROR(__xludf.DUMMYFUNCTION("""COMPUTED_VALUE"""),"Yes")</f>
        <v>Yes</v>
      </c>
      <c r="J41" s="5" t="str">
        <f>IFERROR(__xludf.DUMMYFUNCTION("""COMPUTED_VALUE"""),"Yes")</f>
        <v>Yes</v>
      </c>
      <c r="K41" s="5" t="str">
        <f>IFERROR(__xludf.DUMMYFUNCTION("""COMPUTED_VALUE"""),"Yes")</f>
        <v>Yes</v>
      </c>
      <c r="L41" s="5" t="str">
        <f>IFERROR(__xludf.DUMMYFUNCTION("""COMPUTED_VALUE"""),"Yes")</f>
        <v>Yes</v>
      </c>
      <c r="M41" s="5" t="str">
        <f>IFERROR(__xludf.DUMMYFUNCTION("""COMPUTED_VALUE"""),"Yes")</f>
        <v>Yes</v>
      </c>
      <c r="N41" s="5" t="str">
        <f>IFERROR(__xludf.DUMMYFUNCTION("""COMPUTED_VALUE"""),"Yes")</f>
        <v>Yes</v>
      </c>
      <c r="O41" s="5" t="str">
        <f>IFERROR(__xludf.DUMMYFUNCTION("""COMPUTED_VALUE"""),"Yes")</f>
        <v>Yes</v>
      </c>
      <c r="P41" s="5" t="str">
        <f>IFERROR(__xludf.DUMMYFUNCTION("""COMPUTED_VALUE"""),"Yes")</f>
        <v>Yes</v>
      </c>
      <c r="Q41" s="5" t="str">
        <f>IFERROR(__xludf.DUMMYFUNCTION("""COMPUTED_VALUE"""),"Yes")</f>
        <v>Yes</v>
      </c>
      <c r="R41" s="5" t="str">
        <f>IFERROR(__xludf.DUMMYFUNCTION("""COMPUTED_VALUE"""),"Yes")</f>
        <v>Yes</v>
      </c>
      <c r="S41" s="5" t="str">
        <f>IFERROR(__xludf.DUMMYFUNCTION("""COMPUTED_VALUE"""),"Yes")</f>
        <v>Yes</v>
      </c>
      <c r="T41" s="5" t="str">
        <f>IFERROR(__xludf.DUMMYFUNCTION("""COMPUTED_VALUE"""),"Yes")</f>
        <v>Yes</v>
      </c>
      <c r="U41" s="5" t="str">
        <f>IFERROR(__xludf.DUMMYFUNCTION("""COMPUTED_VALUE"""),"Yes")</f>
        <v>Yes</v>
      </c>
      <c r="V41" s="5" t="str">
        <f>IFERROR(__xludf.DUMMYFUNCTION("""COMPUTED_VALUE"""),"Yes")</f>
        <v>Yes</v>
      </c>
      <c r="W41" s="5" t="str">
        <f>IFERROR(__xludf.DUMMYFUNCTION("""COMPUTED_VALUE"""),"Yes")</f>
        <v>Yes</v>
      </c>
      <c r="X41" s="5" t="str">
        <f>IFERROR(__xludf.DUMMYFUNCTION("""COMPUTED_VALUE"""),"Yes")</f>
        <v>Yes</v>
      </c>
      <c r="Y41" s="5" t="str">
        <f>IFERROR(__xludf.DUMMYFUNCTION("""COMPUTED_VALUE"""),"Yes")</f>
        <v>Yes</v>
      </c>
      <c r="Z41" s="5" t="str">
        <f>IFERROR(__xludf.DUMMYFUNCTION("""COMPUTED_VALUE"""),"Yes")</f>
        <v>Yes</v>
      </c>
      <c r="AA41" s="5" t="str">
        <f>IFERROR(__xludf.DUMMYFUNCTION("""COMPUTED_VALUE"""),"Yes")</f>
        <v>Yes</v>
      </c>
      <c r="AB41" s="5" t="str">
        <f>IFERROR(__xludf.DUMMYFUNCTION("""COMPUTED_VALUE"""),"Yes")</f>
        <v>Yes</v>
      </c>
      <c r="AC41" s="5" t="str">
        <f>IFERROR(__xludf.DUMMYFUNCTION("""COMPUTED_VALUE"""),"No")</f>
        <v>No</v>
      </c>
    </row>
    <row r="42">
      <c r="A42" s="5" t="str">
        <f>IFERROR(__xludf.DUMMYFUNCTION("""COMPUTED_VALUE"""),"NeonHot5")</f>
        <v>NeonHot5</v>
      </c>
      <c r="B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 s="5" t="str">
        <f>IFERROR(__xludf.DUMMYFUNCTION("""COMPUTED_VALUE"""),"Yes")</f>
        <v>Yes</v>
      </c>
      <c r="D42" s="5" t="str">
        <f>IFERROR(__xludf.DUMMYFUNCTION("""COMPUTED_VALUE"""),"Yes")</f>
        <v>Yes</v>
      </c>
      <c r="E42" s="5" t="str">
        <f>IFERROR(__xludf.DUMMYFUNCTION("""COMPUTED_VALUE"""),"Yes")</f>
        <v>Yes</v>
      </c>
      <c r="F42" s="5" t="str">
        <f>IFERROR(__xludf.DUMMYFUNCTION("""COMPUTED_VALUE"""),"Yes")</f>
        <v>Yes</v>
      </c>
      <c r="G42" s="5" t="str">
        <f>IFERROR(__xludf.DUMMYFUNCTION("""COMPUTED_VALUE"""),"Yes")</f>
        <v>Yes</v>
      </c>
      <c r="H42" s="5" t="str">
        <f>IFERROR(__xludf.DUMMYFUNCTION("""COMPUTED_VALUE"""),"Yes")</f>
        <v>Yes</v>
      </c>
      <c r="I42" s="5" t="str">
        <f>IFERROR(__xludf.DUMMYFUNCTION("""COMPUTED_VALUE"""),"Yes")</f>
        <v>Yes</v>
      </c>
      <c r="J42" s="5" t="str">
        <f>IFERROR(__xludf.DUMMYFUNCTION("""COMPUTED_VALUE"""),"Yes")</f>
        <v>Yes</v>
      </c>
      <c r="K42" s="5" t="str">
        <f>IFERROR(__xludf.DUMMYFUNCTION("""COMPUTED_VALUE"""),"Yes")</f>
        <v>Yes</v>
      </c>
      <c r="L42" s="5" t="str">
        <f>IFERROR(__xludf.DUMMYFUNCTION("""COMPUTED_VALUE"""),"Yes")</f>
        <v>Yes</v>
      </c>
      <c r="M42" s="5" t="str">
        <f>IFERROR(__xludf.DUMMYFUNCTION("""COMPUTED_VALUE"""),"Yes")</f>
        <v>Yes</v>
      </c>
      <c r="N42" s="5" t="str">
        <f>IFERROR(__xludf.DUMMYFUNCTION("""COMPUTED_VALUE"""),"Yes")</f>
        <v>Yes</v>
      </c>
      <c r="O42" s="5" t="str">
        <f>IFERROR(__xludf.DUMMYFUNCTION("""COMPUTED_VALUE"""),"Yes")</f>
        <v>Yes</v>
      </c>
      <c r="P42" s="5" t="str">
        <f>IFERROR(__xludf.DUMMYFUNCTION("""COMPUTED_VALUE"""),"Yes")</f>
        <v>Yes</v>
      </c>
      <c r="Q42" s="5" t="str">
        <f>IFERROR(__xludf.DUMMYFUNCTION("""COMPUTED_VALUE"""),"Yes")</f>
        <v>Yes</v>
      </c>
      <c r="R42" s="5" t="str">
        <f>IFERROR(__xludf.DUMMYFUNCTION("""COMPUTED_VALUE"""),"Yes")</f>
        <v>Yes</v>
      </c>
      <c r="S42" s="5" t="str">
        <f>IFERROR(__xludf.DUMMYFUNCTION("""COMPUTED_VALUE"""),"Yes")</f>
        <v>Yes</v>
      </c>
      <c r="T42" s="5" t="str">
        <f>IFERROR(__xludf.DUMMYFUNCTION("""COMPUTED_VALUE"""),"Yes")</f>
        <v>Yes</v>
      </c>
      <c r="U42" s="5" t="str">
        <f>IFERROR(__xludf.DUMMYFUNCTION("""COMPUTED_VALUE"""),"Yes")</f>
        <v>Yes</v>
      </c>
      <c r="V42" s="5" t="str">
        <f>IFERROR(__xludf.DUMMYFUNCTION("""COMPUTED_VALUE"""),"Yes")</f>
        <v>Yes</v>
      </c>
      <c r="W42" s="5" t="str">
        <f>IFERROR(__xludf.DUMMYFUNCTION("""COMPUTED_VALUE"""),"Yes")</f>
        <v>Yes</v>
      </c>
      <c r="X42" s="5" t="str">
        <f>IFERROR(__xludf.DUMMYFUNCTION("""COMPUTED_VALUE"""),"Yes")</f>
        <v>Yes</v>
      </c>
      <c r="Y42" s="5" t="str">
        <f>IFERROR(__xludf.DUMMYFUNCTION("""COMPUTED_VALUE"""),"Yes")</f>
        <v>Yes</v>
      </c>
      <c r="Z42" s="5" t="str">
        <f>IFERROR(__xludf.DUMMYFUNCTION("""COMPUTED_VALUE"""),"Yes")</f>
        <v>Yes</v>
      </c>
      <c r="AA42" s="5" t="str">
        <f>IFERROR(__xludf.DUMMYFUNCTION("""COMPUTED_VALUE"""),"Yes")</f>
        <v>Yes</v>
      </c>
      <c r="AB42" s="5" t="str">
        <f>IFERROR(__xludf.DUMMYFUNCTION("""COMPUTED_VALUE"""),"Yes")</f>
        <v>Yes</v>
      </c>
      <c r="AC42" s="5" t="str">
        <f>IFERROR(__xludf.DUMMYFUNCTION("""COMPUTED_VALUE"""),"No")</f>
        <v>No</v>
      </c>
    </row>
    <row r="43">
      <c r="A43" s="5" t="str">
        <f>IFERROR(__xludf.DUMMYFUNCTION("""COMPUTED_VALUE"""),"Starlight")</f>
        <v>Starlight</v>
      </c>
      <c r="B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 s="5" t="str">
        <f>IFERROR(__xludf.DUMMYFUNCTION("""COMPUTED_VALUE"""),"Yes")</f>
        <v>Yes</v>
      </c>
      <c r="D43" s="5" t="str">
        <f>IFERROR(__xludf.DUMMYFUNCTION("""COMPUTED_VALUE"""),"Yes")</f>
        <v>Yes</v>
      </c>
      <c r="E43" s="5" t="str">
        <f>IFERROR(__xludf.DUMMYFUNCTION("""COMPUTED_VALUE"""),"Yes")</f>
        <v>Yes</v>
      </c>
      <c r="F43" s="5" t="str">
        <f>IFERROR(__xludf.DUMMYFUNCTION("""COMPUTED_VALUE"""),"Yes")</f>
        <v>Yes</v>
      </c>
      <c r="G43" s="5" t="str">
        <f>IFERROR(__xludf.DUMMYFUNCTION("""COMPUTED_VALUE"""),"Yes")</f>
        <v>Yes</v>
      </c>
      <c r="H43" s="5" t="str">
        <f>IFERROR(__xludf.DUMMYFUNCTION("""COMPUTED_VALUE"""),"Yes")</f>
        <v>Yes</v>
      </c>
      <c r="I43" s="5" t="str">
        <f>IFERROR(__xludf.DUMMYFUNCTION("""COMPUTED_VALUE"""),"Yes")</f>
        <v>Yes</v>
      </c>
      <c r="J43" s="5" t="str">
        <f>IFERROR(__xludf.DUMMYFUNCTION("""COMPUTED_VALUE"""),"Yes")</f>
        <v>Yes</v>
      </c>
      <c r="K43" s="5" t="str">
        <f>IFERROR(__xludf.DUMMYFUNCTION("""COMPUTED_VALUE"""),"Yes")</f>
        <v>Yes</v>
      </c>
      <c r="L43" s="5" t="str">
        <f>IFERROR(__xludf.DUMMYFUNCTION("""COMPUTED_VALUE"""),"Yes")</f>
        <v>Yes</v>
      </c>
      <c r="M43" s="5" t="str">
        <f>IFERROR(__xludf.DUMMYFUNCTION("""COMPUTED_VALUE"""),"Yes")</f>
        <v>Yes</v>
      </c>
      <c r="N43" s="5" t="str">
        <f>IFERROR(__xludf.DUMMYFUNCTION("""COMPUTED_VALUE"""),"Yes")</f>
        <v>Yes</v>
      </c>
      <c r="O43" s="5" t="str">
        <f>IFERROR(__xludf.DUMMYFUNCTION("""COMPUTED_VALUE"""),"Yes")</f>
        <v>Yes</v>
      </c>
      <c r="P43" s="5" t="str">
        <f>IFERROR(__xludf.DUMMYFUNCTION("""COMPUTED_VALUE"""),"Yes")</f>
        <v>Yes</v>
      </c>
      <c r="Q43" s="5" t="str">
        <f>IFERROR(__xludf.DUMMYFUNCTION("""COMPUTED_VALUE"""),"Yes")</f>
        <v>Yes</v>
      </c>
      <c r="R43" s="5" t="str">
        <f>IFERROR(__xludf.DUMMYFUNCTION("""COMPUTED_VALUE"""),"Yes")</f>
        <v>Yes</v>
      </c>
      <c r="S43" s="5" t="str">
        <f>IFERROR(__xludf.DUMMYFUNCTION("""COMPUTED_VALUE"""),"Yes")</f>
        <v>Yes</v>
      </c>
      <c r="T43" s="5" t="str">
        <f>IFERROR(__xludf.DUMMYFUNCTION("""COMPUTED_VALUE"""),"Yes")</f>
        <v>Yes</v>
      </c>
      <c r="U43" s="5" t="str">
        <f>IFERROR(__xludf.DUMMYFUNCTION("""COMPUTED_VALUE"""),"Yes")</f>
        <v>Yes</v>
      </c>
      <c r="V43" s="5" t="str">
        <f>IFERROR(__xludf.DUMMYFUNCTION("""COMPUTED_VALUE"""),"Yes")</f>
        <v>Yes</v>
      </c>
      <c r="W43" s="5" t="str">
        <f>IFERROR(__xludf.DUMMYFUNCTION("""COMPUTED_VALUE"""),"Yes")</f>
        <v>Yes</v>
      </c>
      <c r="X43" s="5" t="str">
        <f>IFERROR(__xludf.DUMMYFUNCTION("""COMPUTED_VALUE"""),"Yes")</f>
        <v>Yes</v>
      </c>
      <c r="Y43" s="5" t="str">
        <f>IFERROR(__xludf.DUMMYFUNCTION("""COMPUTED_VALUE"""),"Yes")</f>
        <v>Yes</v>
      </c>
      <c r="Z43" s="5" t="str">
        <f>IFERROR(__xludf.DUMMYFUNCTION("""COMPUTED_VALUE"""),"Yes")</f>
        <v>Yes</v>
      </c>
      <c r="AA43" s="5" t="str">
        <f>IFERROR(__xludf.DUMMYFUNCTION("""COMPUTED_VALUE"""),"Yes")</f>
        <v>Yes</v>
      </c>
      <c r="AB43" s="5" t="str">
        <f>IFERROR(__xludf.DUMMYFUNCTION("""COMPUTED_VALUE"""),"Yes")</f>
        <v>Yes</v>
      </c>
      <c r="AC43" s="5" t="str">
        <f>IFERROR(__xludf.DUMMYFUNCTION("""COMPUTED_VALUE"""),"No")</f>
        <v>No</v>
      </c>
    </row>
    <row r="44">
      <c r="A44" s="5" t="str">
        <f>IFERROR(__xludf.DUMMYFUNCTION("""COMPUTED_VALUE"""),"TripleHot")</f>
        <v>TripleHot</v>
      </c>
      <c r="B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4" s="5" t="str">
        <f>IFERROR(__xludf.DUMMYFUNCTION("""COMPUTED_VALUE"""),"Yes")</f>
        <v>Yes</v>
      </c>
      <c r="D44" s="5" t="str">
        <f>IFERROR(__xludf.DUMMYFUNCTION("""COMPUTED_VALUE"""),"Yes")</f>
        <v>Yes</v>
      </c>
      <c r="E44" s="5" t="str">
        <f>IFERROR(__xludf.DUMMYFUNCTION("""COMPUTED_VALUE"""),"Yes")</f>
        <v>Yes</v>
      </c>
      <c r="F44" s="5" t="str">
        <f>IFERROR(__xludf.DUMMYFUNCTION("""COMPUTED_VALUE"""),"Yes")</f>
        <v>Yes</v>
      </c>
      <c r="G44" s="5" t="str">
        <f>IFERROR(__xludf.DUMMYFUNCTION("""COMPUTED_VALUE"""),"Yes")</f>
        <v>Yes</v>
      </c>
      <c r="H44" s="5" t="str">
        <f>IFERROR(__xludf.DUMMYFUNCTION("""COMPUTED_VALUE"""),"Yes")</f>
        <v>Yes</v>
      </c>
      <c r="I44" s="5" t="str">
        <f>IFERROR(__xludf.DUMMYFUNCTION("""COMPUTED_VALUE"""),"Yes")</f>
        <v>Yes</v>
      </c>
      <c r="J44" s="5" t="str">
        <f>IFERROR(__xludf.DUMMYFUNCTION("""COMPUTED_VALUE"""),"Yes")</f>
        <v>Yes</v>
      </c>
      <c r="K44" s="5" t="str">
        <f>IFERROR(__xludf.DUMMYFUNCTION("""COMPUTED_VALUE"""),"Yes")</f>
        <v>Yes</v>
      </c>
      <c r="L44" s="5" t="str">
        <f>IFERROR(__xludf.DUMMYFUNCTION("""COMPUTED_VALUE"""),"Yes")</f>
        <v>Yes</v>
      </c>
      <c r="M44" s="5" t="str">
        <f>IFERROR(__xludf.DUMMYFUNCTION("""COMPUTED_VALUE"""),"Yes")</f>
        <v>Yes</v>
      </c>
      <c r="N44" s="5" t="str">
        <f>IFERROR(__xludf.DUMMYFUNCTION("""COMPUTED_VALUE"""),"Yes")</f>
        <v>Yes</v>
      </c>
      <c r="O44" s="5" t="str">
        <f>IFERROR(__xludf.DUMMYFUNCTION("""COMPUTED_VALUE"""),"Yes")</f>
        <v>Yes</v>
      </c>
      <c r="P44" s="5" t="str">
        <f>IFERROR(__xludf.DUMMYFUNCTION("""COMPUTED_VALUE"""),"Yes")</f>
        <v>Yes</v>
      </c>
      <c r="Q44" s="5" t="str">
        <f>IFERROR(__xludf.DUMMYFUNCTION("""COMPUTED_VALUE"""),"Yes")</f>
        <v>Yes</v>
      </c>
      <c r="R44" s="5" t="str">
        <f>IFERROR(__xludf.DUMMYFUNCTION("""COMPUTED_VALUE"""),"Yes")</f>
        <v>Yes</v>
      </c>
      <c r="S44" s="5" t="str">
        <f>IFERROR(__xludf.DUMMYFUNCTION("""COMPUTED_VALUE"""),"Yes")</f>
        <v>Yes</v>
      </c>
      <c r="T44" s="5" t="str">
        <f>IFERROR(__xludf.DUMMYFUNCTION("""COMPUTED_VALUE"""),"Yes")</f>
        <v>Yes</v>
      </c>
      <c r="U44" s="5" t="str">
        <f>IFERROR(__xludf.DUMMYFUNCTION("""COMPUTED_VALUE"""),"Yes")</f>
        <v>Yes</v>
      </c>
      <c r="V44" s="5" t="str">
        <f>IFERROR(__xludf.DUMMYFUNCTION("""COMPUTED_VALUE"""),"Yes")</f>
        <v>Yes</v>
      </c>
      <c r="W44" s="5" t="str">
        <f>IFERROR(__xludf.DUMMYFUNCTION("""COMPUTED_VALUE"""),"Yes")</f>
        <v>Yes</v>
      </c>
      <c r="X44" s="5" t="str">
        <f>IFERROR(__xludf.DUMMYFUNCTION("""COMPUTED_VALUE"""),"Yes")</f>
        <v>Yes</v>
      </c>
      <c r="Y44" s="5" t="str">
        <f>IFERROR(__xludf.DUMMYFUNCTION("""COMPUTED_VALUE"""),"Yes")</f>
        <v>Yes</v>
      </c>
      <c r="Z44" s="5" t="str">
        <f>IFERROR(__xludf.DUMMYFUNCTION("""COMPUTED_VALUE"""),"Yes")</f>
        <v>Yes</v>
      </c>
      <c r="AA44" s="5" t="str">
        <f>IFERROR(__xludf.DUMMYFUNCTION("""COMPUTED_VALUE"""),"Yes")</f>
        <v>Yes</v>
      </c>
      <c r="AB44" s="5" t="str">
        <f>IFERROR(__xludf.DUMMYFUNCTION("""COMPUTED_VALUE"""),"Yes")</f>
        <v>Yes</v>
      </c>
      <c r="AC44" s="5" t="str">
        <f>IFERROR(__xludf.DUMMYFUNCTION("""COMPUTED_VALUE"""),"No")</f>
        <v>No</v>
      </c>
    </row>
    <row r="45">
      <c r="A45" s="5" t="str">
        <f>IFERROR(__xludf.DUMMYFUNCTION("""COMPUTED_VALUE"""),"CrystalHot40")</f>
        <v>CrystalHot40</v>
      </c>
      <c r="B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 s="5" t="str">
        <f>IFERROR(__xludf.DUMMYFUNCTION("""COMPUTED_VALUE"""),"Yes")</f>
        <v>Yes</v>
      </c>
      <c r="D45" s="5" t="str">
        <f>IFERROR(__xludf.DUMMYFUNCTION("""COMPUTED_VALUE"""),"Yes")</f>
        <v>Yes</v>
      </c>
      <c r="E45" s="5" t="str">
        <f>IFERROR(__xludf.DUMMYFUNCTION("""COMPUTED_VALUE"""),"Yes")</f>
        <v>Yes</v>
      </c>
      <c r="F45" s="5" t="str">
        <f>IFERROR(__xludf.DUMMYFUNCTION("""COMPUTED_VALUE"""),"Yes")</f>
        <v>Yes</v>
      </c>
      <c r="G45" s="5" t="str">
        <f>IFERROR(__xludf.DUMMYFUNCTION("""COMPUTED_VALUE"""),"Yes")</f>
        <v>Yes</v>
      </c>
      <c r="H45" s="5" t="str">
        <f>IFERROR(__xludf.DUMMYFUNCTION("""COMPUTED_VALUE"""),"Yes")</f>
        <v>Yes</v>
      </c>
      <c r="I45" s="5" t="str">
        <f>IFERROR(__xludf.DUMMYFUNCTION("""COMPUTED_VALUE"""),"Yes")</f>
        <v>Yes</v>
      </c>
      <c r="J45" s="5" t="str">
        <f>IFERROR(__xludf.DUMMYFUNCTION("""COMPUTED_VALUE"""),"Yes")</f>
        <v>Yes</v>
      </c>
      <c r="K45" s="5" t="str">
        <f>IFERROR(__xludf.DUMMYFUNCTION("""COMPUTED_VALUE"""),"Yes")</f>
        <v>Yes</v>
      </c>
      <c r="L45" s="5" t="str">
        <f>IFERROR(__xludf.DUMMYFUNCTION("""COMPUTED_VALUE"""),"Yes")</f>
        <v>Yes</v>
      </c>
      <c r="M45" s="5" t="str">
        <f>IFERROR(__xludf.DUMMYFUNCTION("""COMPUTED_VALUE"""),"Yes")</f>
        <v>Yes</v>
      </c>
      <c r="N45" s="5" t="str">
        <f>IFERROR(__xludf.DUMMYFUNCTION("""COMPUTED_VALUE"""),"Yes")</f>
        <v>Yes</v>
      </c>
      <c r="O45" s="5" t="str">
        <f>IFERROR(__xludf.DUMMYFUNCTION("""COMPUTED_VALUE"""),"Yes")</f>
        <v>Yes</v>
      </c>
      <c r="P45" s="5" t="str">
        <f>IFERROR(__xludf.DUMMYFUNCTION("""COMPUTED_VALUE"""),"Yes")</f>
        <v>Yes</v>
      </c>
      <c r="Q45" s="5" t="str">
        <f>IFERROR(__xludf.DUMMYFUNCTION("""COMPUTED_VALUE"""),"Yes")</f>
        <v>Yes</v>
      </c>
      <c r="R45" s="5" t="str">
        <f>IFERROR(__xludf.DUMMYFUNCTION("""COMPUTED_VALUE"""),"Yes")</f>
        <v>Yes</v>
      </c>
      <c r="S45" s="5" t="str">
        <f>IFERROR(__xludf.DUMMYFUNCTION("""COMPUTED_VALUE"""),"Yes")</f>
        <v>Yes</v>
      </c>
      <c r="T45" s="5" t="str">
        <f>IFERROR(__xludf.DUMMYFUNCTION("""COMPUTED_VALUE"""),"Yes")</f>
        <v>Yes</v>
      </c>
      <c r="U45" s="5" t="str">
        <f>IFERROR(__xludf.DUMMYFUNCTION("""COMPUTED_VALUE"""),"Yes")</f>
        <v>Yes</v>
      </c>
      <c r="V45" s="5" t="str">
        <f>IFERROR(__xludf.DUMMYFUNCTION("""COMPUTED_VALUE"""),"Yes")</f>
        <v>Yes</v>
      </c>
      <c r="W45" s="5" t="str">
        <f>IFERROR(__xludf.DUMMYFUNCTION("""COMPUTED_VALUE"""),"Yes")</f>
        <v>Yes</v>
      </c>
      <c r="X45" s="5" t="str">
        <f>IFERROR(__xludf.DUMMYFUNCTION("""COMPUTED_VALUE"""),"Yes")</f>
        <v>Yes</v>
      </c>
      <c r="Y45" s="5" t="str">
        <f>IFERROR(__xludf.DUMMYFUNCTION("""COMPUTED_VALUE"""),"Yes")</f>
        <v>Yes</v>
      </c>
      <c r="Z45" s="5" t="str">
        <f>IFERROR(__xludf.DUMMYFUNCTION("""COMPUTED_VALUE"""),"Yes")</f>
        <v>Yes</v>
      </c>
      <c r="AA45" s="5" t="str">
        <f>IFERROR(__xludf.DUMMYFUNCTION("""COMPUTED_VALUE"""),"Yes")</f>
        <v>Yes</v>
      </c>
      <c r="AB45" s="5" t="str">
        <f>IFERROR(__xludf.DUMMYFUNCTION("""COMPUTED_VALUE"""),"Yes")</f>
        <v>Yes</v>
      </c>
      <c r="AC45" s="5" t="str">
        <f>IFERROR(__xludf.DUMMYFUNCTION("""COMPUTED_VALUE"""),"No")</f>
        <v>No</v>
      </c>
    </row>
    <row r="46">
      <c r="A46" s="5" t="str">
        <f>IFERROR(__xludf.DUMMYFUNCTION("""COMPUTED_VALUE"""),"BurningIceDeluxe")</f>
        <v>BurningIceDeluxe</v>
      </c>
      <c r="B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6" s="5" t="str">
        <f>IFERROR(__xludf.DUMMYFUNCTION("""COMPUTED_VALUE"""),"Yes")</f>
        <v>Yes</v>
      </c>
      <c r="D46" s="5" t="str">
        <f>IFERROR(__xludf.DUMMYFUNCTION("""COMPUTED_VALUE"""),"Yes")</f>
        <v>Yes</v>
      </c>
      <c r="E46" s="5" t="str">
        <f>IFERROR(__xludf.DUMMYFUNCTION("""COMPUTED_VALUE"""),"Yes")</f>
        <v>Yes</v>
      </c>
      <c r="F46" s="5" t="str">
        <f>IFERROR(__xludf.DUMMYFUNCTION("""COMPUTED_VALUE"""),"Yes")</f>
        <v>Yes</v>
      </c>
      <c r="G46" s="5" t="str">
        <f>IFERROR(__xludf.DUMMYFUNCTION("""COMPUTED_VALUE"""),"Yes")</f>
        <v>Yes</v>
      </c>
      <c r="H46" s="5" t="str">
        <f>IFERROR(__xludf.DUMMYFUNCTION("""COMPUTED_VALUE"""),"Yes")</f>
        <v>Yes</v>
      </c>
      <c r="I46" s="5" t="str">
        <f>IFERROR(__xludf.DUMMYFUNCTION("""COMPUTED_VALUE"""),"Yes")</f>
        <v>Yes</v>
      </c>
      <c r="J46" s="5" t="str">
        <f>IFERROR(__xludf.DUMMYFUNCTION("""COMPUTED_VALUE"""),"Yes")</f>
        <v>Yes</v>
      </c>
      <c r="K46" s="5" t="str">
        <f>IFERROR(__xludf.DUMMYFUNCTION("""COMPUTED_VALUE"""),"Yes")</f>
        <v>Yes</v>
      </c>
      <c r="L46" s="5" t="str">
        <f>IFERROR(__xludf.DUMMYFUNCTION("""COMPUTED_VALUE"""),"Yes")</f>
        <v>Yes</v>
      </c>
      <c r="M46" s="5" t="str">
        <f>IFERROR(__xludf.DUMMYFUNCTION("""COMPUTED_VALUE"""),"Yes")</f>
        <v>Yes</v>
      </c>
      <c r="N46" s="5" t="str">
        <f>IFERROR(__xludf.DUMMYFUNCTION("""COMPUTED_VALUE"""),"Yes")</f>
        <v>Yes</v>
      </c>
      <c r="O46" s="5" t="str">
        <f>IFERROR(__xludf.DUMMYFUNCTION("""COMPUTED_VALUE"""),"Yes")</f>
        <v>Yes</v>
      </c>
      <c r="P46" s="5" t="str">
        <f>IFERROR(__xludf.DUMMYFUNCTION("""COMPUTED_VALUE"""),"Yes")</f>
        <v>Yes</v>
      </c>
      <c r="Q46" s="5" t="str">
        <f>IFERROR(__xludf.DUMMYFUNCTION("""COMPUTED_VALUE"""),"Yes")</f>
        <v>Yes</v>
      </c>
      <c r="R46" s="5" t="str">
        <f>IFERROR(__xludf.DUMMYFUNCTION("""COMPUTED_VALUE"""),"Yes")</f>
        <v>Yes</v>
      </c>
      <c r="S46" s="5" t="str">
        <f>IFERROR(__xludf.DUMMYFUNCTION("""COMPUTED_VALUE"""),"Yes")</f>
        <v>Yes</v>
      </c>
      <c r="T46" s="5" t="str">
        <f>IFERROR(__xludf.DUMMYFUNCTION("""COMPUTED_VALUE"""),"Yes")</f>
        <v>Yes</v>
      </c>
      <c r="U46" s="5" t="str">
        <f>IFERROR(__xludf.DUMMYFUNCTION("""COMPUTED_VALUE"""),"Yes")</f>
        <v>Yes</v>
      </c>
      <c r="V46" s="5" t="str">
        <f>IFERROR(__xludf.DUMMYFUNCTION("""COMPUTED_VALUE"""),"Yes")</f>
        <v>Yes</v>
      </c>
      <c r="W46" s="5" t="str">
        <f>IFERROR(__xludf.DUMMYFUNCTION("""COMPUTED_VALUE"""),"Yes")</f>
        <v>Yes</v>
      </c>
      <c r="X46" s="5" t="str">
        <f>IFERROR(__xludf.DUMMYFUNCTION("""COMPUTED_VALUE"""),"Yes")</f>
        <v>Yes</v>
      </c>
      <c r="Y46" s="5" t="str">
        <f>IFERROR(__xludf.DUMMYFUNCTION("""COMPUTED_VALUE"""),"Yes")</f>
        <v>Yes</v>
      </c>
      <c r="Z46" s="5" t="str">
        <f>IFERROR(__xludf.DUMMYFUNCTION("""COMPUTED_VALUE"""),"Yes")</f>
        <v>Yes</v>
      </c>
      <c r="AA46" s="5" t="str">
        <f>IFERROR(__xludf.DUMMYFUNCTION("""COMPUTED_VALUE"""),"Yes")</f>
        <v>Yes</v>
      </c>
      <c r="AB46" s="5" t="str">
        <f>IFERROR(__xludf.DUMMYFUNCTION("""COMPUTED_VALUE"""),"Yes")</f>
        <v>Yes</v>
      </c>
      <c r="AC46" s="5" t="str">
        <f>IFERROR(__xludf.DUMMYFUNCTION("""COMPUTED_VALUE"""),"No")</f>
        <v>No</v>
      </c>
    </row>
    <row r="47">
      <c r="A47" s="5" t="str">
        <f>IFERROR(__xludf.DUMMYFUNCTION("""COMPUTED_VALUE"""),"NeonDice5")</f>
        <v>NeonDice5</v>
      </c>
      <c r="B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47" s="5" t="str">
        <f>IFERROR(__xludf.DUMMYFUNCTION("""COMPUTED_VALUE"""),"Yes")</f>
        <v>Yes</v>
      </c>
      <c r="D47" s="5" t="str">
        <f>IFERROR(__xludf.DUMMYFUNCTION("""COMPUTED_VALUE"""),"Yes")</f>
        <v>Yes</v>
      </c>
      <c r="E47" s="5" t="str">
        <f>IFERROR(__xludf.DUMMYFUNCTION("""COMPUTED_VALUE"""),"Yes")</f>
        <v>Yes</v>
      </c>
      <c r="F47" s="5" t="str">
        <f>IFERROR(__xludf.DUMMYFUNCTION("""COMPUTED_VALUE"""),"Yes")</f>
        <v>Yes</v>
      </c>
      <c r="G47" s="5" t="str">
        <f>IFERROR(__xludf.DUMMYFUNCTION("""COMPUTED_VALUE"""),"Yes")</f>
        <v>Yes</v>
      </c>
      <c r="H47" s="5" t="str">
        <f>IFERROR(__xludf.DUMMYFUNCTION("""COMPUTED_VALUE"""),"Yes")</f>
        <v>Yes</v>
      </c>
      <c r="I47" s="5" t="str">
        <f>IFERROR(__xludf.DUMMYFUNCTION("""COMPUTED_VALUE"""),"Yes")</f>
        <v>Yes</v>
      </c>
      <c r="J47" s="5" t="str">
        <f>IFERROR(__xludf.DUMMYFUNCTION("""COMPUTED_VALUE"""),"Yes")</f>
        <v>Yes</v>
      </c>
      <c r="K47" s="5" t="str">
        <f>IFERROR(__xludf.DUMMYFUNCTION("""COMPUTED_VALUE"""),"Yes")</f>
        <v>Yes</v>
      </c>
      <c r="L47" s="5" t="str">
        <f>IFERROR(__xludf.DUMMYFUNCTION("""COMPUTED_VALUE"""),"Yes")</f>
        <v>Yes</v>
      </c>
      <c r="M47" s="5" t="str">
        <f>IFERROR(__xludf.DUMMYFUNCTION("""COMPUTED_VALUE"""),"Yes")</f>
        <v>Yes</v>
      </c>
      <c r="N47" s="5" t="str">
        <f>IFERROR(__xludf.DUMMYFUNCTION("""COMPUTED_VALUE"""),"Yes")</f>
        <v>Yes</v>
      </c>
      <c r="O47" s="5" t="str">
        <f>IFERROR(__xludf.DUMMYFUNCTION("""COMPUTED_VALUE"""),"Yes")</f>
        <v>Yes</v>
      </c>
      <c r="P47" s="5" t="str">
        <f>IFERROR(__xludf.DUMMYFUNCTION("""COMPUTED_VALUE"""),"Yes")</f>
        <v>Yes</v>
      </c>
      <c r="Q47" s="5" t="str">
        <f>IFERROR(__xludf.DUMMYFUNCTION("""COMPUTED_VALUE"""),"Yes")</f>
        <v>Yes</v>
      </c>
      <c r="R47" s="5" t="str">
        <f>IFERROR(__xludf.DUMMYFUNCTION("""COMPUTED_VALUE"""),"Yes")</f>
        <v>Yes</v>
      </c>
      <c r="S47" s="5" t="str">
        <f>IFERROR(__xludf.DUMMYFUNCTION("""COMPUTED_VALUE"""),"Yes")</f>
        <v>Yes</v>
      </c>
      <c r="T47" s="5" t="str">
        <f>IFERROR(__xludf.DUMMYFUNCTION("""COMPUTED_VALUE"""),"Yes")</f>
        <v>Yes</v>
      </c>
      <c r="U47" s="5" t="str">
        <f>IFERROR(__xludf.DUMMYFUNCTION("""COMPUTED_VALUE"""),"Yes")</f>
        <v>Yes</v>
      </c>
      <c r="V47" s="5" t="str">
        <f>IFERROR(__xludf.DUMMYFUNCTION("""COMPUTED_VALUE"""),"Yes")</f>
        <v>Yes</v>
      </c>
      <c r="W47" s="5"/>
      <c r="X47" s="5"/>
      <c r="Y47" s="5"/>
      <c r="Z47" s="5" t="str">
        <f>IFERROR(__xludf.DUMMYFUNCTION("""COMPUTED_VALUE"""),"Yes")</f>
        <v>Yes</v>
      </c>
      <c r="AA47" s="5"/>
      <c r="AB47" s="5"/>
      <c r="AC47" s="5"/>
    </row>
    <row r="48">
      <c r="A48" s="5" t="str">
        <f>IFERROR(__xludf.DUMMYFUNCTION("""COMPUTED_VALUE"""),"TurboDice40")</f>
        <v>TurboDice40</v>
      </c>
      <c r="B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 s="5" t="str">
        <f>IFERROR(__xludf.DUMMYFUNCTION("""COMPUTED_VALUE"""),"Yes")</f>
        <v>Yes</v>
      </c>
      <c r="D48" s="5" t="str">
        <f>IFERROR(__xludf.DUMMYFUNCTION("""COMPUTED_VALUE"""),"Yes")</f>
        <v>Yes</v>
      </c>
      <c r="E48" s="5" t="str">
        <f>IFERROR(__xludf.DUMMYFUNCTION("""COMPUTED_VALUE"""),"Yes")</f>
        <v>Yes</v>
      </c>
      <c r="F48" s="5" t="str">
        <f>IFERROR(__xludf.DUMMYFUNCTION("""COMPUTED_VALUE"""),"Yes")</f>
        <v>Yes</v>
      </c>
      <c r="G48" s="5" t="str">
        <f>IFERROR(__xludf.DUMMYFUNCTION("""COMPUTED_VALUE"""),"Yes")</f>
        <v>Yes</v>
      </c>
      <c r="H48" s="5" t="str">
        <f>IFERROR(__xludf.DUMMYFUNCTION("""COMPUTED_VALUE"""),"Yes")</f>
        <v>Yes</v>
      </c>
      <c r="I48" s="5" t="str">
        <f>IFERROR(__xludf.DUMMYFUNCTION("""COMPUTED_VALUE"""),"Yes")</f>
        <v>Yes</v>
      </c>
      <c r="J48" s="5" t="str">
        <f>IFERROR(__xludf.DUMMYFUNCTION("""COMPUTED_VALUE"""),"Yes")</f>
        <v>Yes</v>
      </c>
      <c r="K48" s="5" t="str">
        <f>IFERROR(__xludf.DUMMYFUNCTION("""COMPUTED_VALUE"""),"Yes")</f>
        <v>Yes</v>
      </c>
      <c r="L48" s="5" t="str">
        <f>IFERROR(__xludf.DUMMYFUNCTION("""COMPUTED_VALUE"""),"Yes")</f>
        <v>Yes</v>
      </c>
      <c r="M48" s="5" t="str">
        <f>IFERROR(__xludf.DUMMYFUNCTION("""COMPUTED_VALUE"""),"Yes")</f>
        <v>Yes</v>
      </c>
      <c r="N48" s="5" t="str">
        <f>IFERROR(__xludf.DUMMYFUNCTION("""COMPUTED_VALUE"""),"Yes")</f>
        <v>Yes</v>
      </c>
      <c r="O48" s="5" t="str">
        <f>IFERROR(__xludf.DUMMYFUNCTION("""COMPUTED_VALUE"""),"Yes")</f>
        <v>Yes</v>
      </c>
      <c r="P48" s="5" t="str">
        <f>IFERROR(__xludf.DUMMYFUNCTION("""COMPUTED_VALUE"""),"Yes")</f>
        <v>Yes</v>
      </c>
      <c r="Q48" s="5" t="str">
        <f>IFERROR(__xludf.DUMMYFUNCTION("""COMPUTED_VALUE"""),"Yes")</f>
        <v>Yes</v>
      </c>
      <c r="R48" s="5" t="str">
        <f>IFERROR(__xludf.DUMMYFUNCTION("""COMPUTED_VALUE"""),"Yes")</f>
        <v>Yes</v>
      </c>
      <c r="S48" s="5" t="str">
        <f>IFERROR(__xludf.DUMMYFUNCTION("""COMPUTED_VALUE"""),"Yes")</f>
        <v>Yes</v>
      </c>
      <c r="T48" s="5" t="str">
        <f>IFERROR(__xludf.DUMMYFUNCTION("""COMPUTED_VALUE"""),"Yes")</f>
        <v>Yes</v>
      </c>
      <c r="U48" s="5" t="str">
        <f>IFERROR(__xludf.DUMMYFUNCTION("""COMPUTED_VALUE"""),"Yes")</f>
        <v>Yes</v>
      </c>
      <c r="V48" s="5" t="str">
        <f>IFERROR(__xludf.DUMMYFUNCTION("""COMPUTED_VALUE"""),"Yes")</f>
        <v>Yes</v>
      </c>
      <c r="W48" s="5" t="str">
        <f>IFERROR(__xludf.DUMMYFUNCTION("""COMPUTED_VALUE"""),"Yes")</f>
        <v>Yes</v>
      </c>
      <c r="X48" s="5" t="str">
        <f>IFERROR(__xludf.DUMMYFUNCTION("""COMPUTED_VALUE"""),"Yes")</f>
        <v>Yes</v>
      </c>
      <c r="Y48" s="5" t="str">
        <f>IFERROR(__xludf.DUMMYFUNCTION("""COMPUTED_VALUE"""),"Yes")</f>
        <v>Yes</v>
      </c>
      <c r="Z48" s="5" t="str">
        <f>IFERROR(__xludf.DUMMYFUNCTION("""COMPUTED_VALUE"""),"Yes")</f>
        <v>Yes</v>
      </c>
      <c r="AA48" s="5" t="str">
        <f>IFERROR(__xludf.DUMMYFUNCTION("""COMPUTED_VALUE"""),"Yes")</f>
        <v>Yes</v>
      </c>
      <c r="AB48" s="5" t="str">
        <f>IFERROR(__xludf.DUMMYFUNCTION("""COMPUTED_VALUE"""),"Yes")</f>
        <v>Yes</v>
      </c>
      <c r="AC48" s="5" t="str">
        <f>IFERROR(__xludf.DUMMYFUNCTION("""COMPUTED_VALUE"""),"No")</f>
        <v>No</v>
      </c>
    </row>
    <row r="49">
      <c r="A49" s="5" t="str">
        <f>IFERROR(__xludf.DUMMYFUNCTION("""COMPUTED_VALUE"""),"TripleDice")</f>
        <v>TripleDice</v>
      </c>
      <c r="B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9" s="5" t="str">
        <f>IFERROR(__xludf.DUMMYFUNCTION("""COMPUTED_VALUE"""),"Yes")</f>
        <v>Yes</v>
      </c>
      <c r="D49" s="5" t="str">
        <f>IFERROR(__xludf.DUMMYFUNCTION("""COMPUTED_VALUE"""),"Yes")</f>
        <v>Yes</v>
      </c>
      <c r="E49" s="5" t="str">
        <f>IFERROR(__xludf.DUMMYFUNCTION("""COMPUTED_VALUE"""),"Yes")</f>
        <v>Yes</v>
      </c>
      <c r="F49" s="5" t="str">
        <f>IFERROR(__xludf.DUMMYFUNCTION("""COMPUTED_VALUE"""),"Yes")</f>
        <v>Yes</v>
      </c>
      <c r="G49" s="5" t="str">
        <f>IFERROR(__xludf.DUMMYFUNCTION("""COMPUTED_VALUE"""),"Yes")</f>
        <v>Yes</v>
      </c>
      <c r="H49" s="5" t="str">
        <f>IFERROR(__xludf.DUMMYFUNCTION("""COMPUTED_VALUE"""),"Yes")</f>
        <v>Yes</v>
      </c>
      <c r="I49" s="5" t="str">
        <f>IFERROR(__xludf.DUMMYFUNCTION("""COMPUTED_VALUE"""),"Yes")</f>
        <v>Yes</v>
      </c>
      <c r="J49" s="5" t="str">
        <f>IFERROR(__xludf.DUMMYFUNCTION("""COMPUTED_VALUE"""),"Yes")</f>
        <v>Yes</v>
      </c>
      <c r="K49" s="5" t="str">
        <f>IFERROR(__xludf.DUMMYFUNCTION("""COMPUTED_VALUE"""),"Yes")</f>
        <v>Yes</v>
      </c>
      <c r="L49" s="5" t="str">
        <f>IFERROR(__xludf.DUMMYFUNCTION("""COMPUTED_VALUE"""),"Yes")</f>
        <v>Yes</v>
      </c>
      <c r="M49" s="5" t="str">
        <f>IFERROR(__xludf.DUMMYFUNCTION("""COMPUTED_VALUE"""),"Yes")</f>
        <v>Yes</v>
      </c>
      <c r="N49" s="5" t="str">
        <f>IFERROR(__xludf.DUMMYFUNCTION("""COMPUTED_VALUE"""),"Yes")</f>
        <v>Yes</v>
      </c>
      <c r="O49" s="5" t="str">
        <f>IFERROR(__xludf.DUMMYFUNCTION("""COMPUTED_VALUE"""),"Yes")</f>
        <v>Yes</v>
      </c>
      <c r="P49" s="5" t="str">
        <f>IFERROR(__xludf.DUMMYFUNCTION("""COMPUTED_VALUE"""),"Yes")</f>
        <v>Yes</v>
      </c>
      <c r="Q49" s="5" t="str">
        <f>IFERROR(__xludf.DUMMYFUNCTION("""COMPUTED_VALUE"""),"Yes")</f>
        <v>Yes</v>
      </c>
      <c r="R49" s="5" t="str">
        <f>IFERROR(__xludf.DUMMYFUNCTION("""COMPUTED_VALUE"""),"Yes")</f>
        <v>Yes</v>
      </c>
      <c r="S49" s="5" t="str">
        <f>IFERROR(__xludf.DUMMYFUNCTION("""COMPUTED_VALUE"""),"Yes")</f>
        <v>Yes</v>
      </c>
      <c r="T49" s="5" t="str">
        <f>IFERROR(__xludf.DUMMYFUNCTION("""COMPUTED_VALUE"""),"Yes")</f>
        <v>Yes</v>
      </c>
      <c r="U49" s="5" t="str">
        <f>IFERROR(__xludf.DUMMYFUNCTION("""COMPUTED_VALUE"""),"Yes")</f>
        <v>Yes</v>
      </c>
      <c r="V49" s="5" t="str">
        <f>IFERROR(__xludf.DUMMYFUNCTION("""COMPUTED_VALUE"""),"Yes")</f>
        <v>Yes</v>
      </c>
      <c r="W49" s="5" t="str">
        <f>IFERROR(__xludf.DUMMYFUNCTION("""COMPUTED_VALUE"""),"Yes")</f>
        <v>Yes</v>
      </c>
      <c r="X49" s="5" t="str">
        <f>IFERROR(__xludf.DUMMYFUNCTION("""COMPUTED_VALUE"""),"Yes")</f>
        <v>Yes</v>
      </c>
      <c r="Y49" s="5" t="str">
        <f>IFERROR(__xludf.DUMMYFUNCTION("""COMPUTED_VALUE"""),"Yes")</f>
        <v>Yes</v>
      </c>
      <c r="Z49" s="5" t="str">
        <f>IFERROR(__xludf.DUMMYFUNCTION("""COMPUTED_VALUE"""),"Yes")</f>
        <v>Yes</v>
      </c>
      <c r="AA49" s="5" t="str">
        <f>IFERROR(__xludf.DUMMYFUNCTION("""COMPUTED_VALUE"""),"Yes")</f>
        <v>Yes</v>
      </c>
      <c r="AB49" s="5" t="str">
        <f>IFERROR(__xludf.DUMMYFUNCTION("""COMPUTED_VALUE"""),"Yes")</f>
        <v>Yes</v>
      </c>
      <c r="AC49" s="5" t="str">
        <f>IFERROR(__xludf.DUMMYFUNCTION("""COMPUTED_VALUE"""),"No")</f>
        <v>No</v>
      </c>
    </row>
    <row r="50">
      <c r="A50" s="5" t="str">
        <f>IFERROR(__xludf.DUMMYFUNCTION("""COMPUTED_VALUE"""),"FlashingDice")</f>
        <v>FlashingDice</v>
      </c>
      <c r="B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0" s="5" t="str">
        <f>IFERROR(__xludf.DUMMYFUNCTION("""COMPUTED_VALUE"""),"Yes")</f>
        <v>Yes</v>
      </c>
      <c r="D50" s="5" t="str">
        <f>IFERROR(__xludf.DUMMYFUNCTION("""COMPUTED_VALUE"""),"Yes")</f>
        <v>Yes</v>
      </c>
      <c r="E50" s="5" t="str">
        <f>IFERROR(__xludf.DUMMYFUNCTION("""COMPUTED_VALUE"""),"Yes")</f>
        <v>Yes</v>
      </c>
      <c r="F50" s="5" t="str">
        <f>IFERROR(__xludf.DUMMYFUNCTION("""COMPUTED_VALUE"""),"Yes")</f>
        <v>Yes</v>
      </c>
      <c r="G50" s="5" t="str">
        <f>IFERROR(__xludf.DUMMYFUNCTION("""COMPUTED_VALUE"""),"Yes")</f>
        <v>Yes</v>
      </c>
      <c r="H50" s="5" t="str">
        <f>IFERROR(__xludf.DUMMYFUNCTION("""COMPUTED_VALUE"""),"Yes")</f>
        <v>Yes</v>
      </c>
      <c r="I50" s="5" t="str">
        <f>IFERROR(__xludf.DUMMYFUNCTION("""COMPUTED_VALUE"""),"Yes")</f>
        <v>Yes</v>
      </c>
      <c r="J50" s="5" t="str">
        <f>IFERROR(__xludf.DUMMYFUNCTION("""COMPUTED_VALUE"""),"Yes")</f>
        <v>Yes</v>
      </c>
      <c r="K50" s="5" t="str">
        <f>IFERROR(__xludf.DUMMYFUNCTION("""COMPUTED_VALUE"""),"Yes")</f>
        <v>Yes</v>
      </c>
      <c r="L50" s="5" t="str">
        <f>IFERROR(__xludf.DUMMYFUNCTION("""COMPUTED_VALUE"""),"Yes")</f>
        <v>Yes</v>
      </c>
      <c r="M50" s="5" t="str">
        <f>IFERROR(__xludf.DUMMYFUNCTION("""COMPUTED_VALUE"""),"Yes")</f>
        <v>Yes</v>
      </c>
      <c r="N50" s="5" t="str">
        <f>IFERROR(__xludf.DUMMYFUNCTION("""COMPUTED_VALUE"""),"Yes")</f>
        <v>Yes</v>
      </c>
      <c r="O50" s="5" t="str">
        <f>IFERROR(__xludf.DUMMYFUNCTION("""COMPUTED_VALUE"""),"Yes")</f>
        <v>Yes</v>
      </c>
      <c r="P50" s="5" t="str">
        <f>IFERROR(__xludf.DUMMYFUNCTION("""COMPUTED_VALUE"""),"Yes")</f>
        <v>Yes</v>
      </c>
      <c r="Q50" s="5" t="str">
        <f>IFERROR(__xludf.DUMMYFUNCTION("""COMPUTED_VALUE"""),"Yes")</f>
        <v>Yes</v>
      </c>
      <c r="R50" s="5" t="str">
        <f>IFERROR(__xludf.DUMMYFUNCTION("""COMPUTED_VALUE"""),"Yes")</f>
        <v>Yes</v>
      </c>
      <c r="S50" s="5" t="str">
        <f>IFERROR(__xludf.DUMMYFUNCTION("""COMPUTED_VALUE"""),"Yes")</f>
        <v>Yes</v>
      </c>
      <c r="T50" s="5" t="str">
        <f>IFERROR(__xludf.DUMMYFUNCTION("""COMPUTED_VALUE"""),"Yes")</f>
        <v>Yes</v>
      </c>
      <c r="U50" s="5" t="str">
        <f>IFERROR(__xludf.DUMMYFUNCTION("""COMPUTED_VALUE"""),"Yes")</f>
        <v>Yes</v>
      </c>
      <c r="V50" s="5" t="str">
        <f>IFERROR(__xludf.DUMMYFUNCTION("""COMPUTED_VALUE"""),"Yes")</f>
        <v>Yes</v>
      </c>
      <c r="W50" s="5" t="str">
        <f>IFERROR(__xludf.DUMMYFUNCTION("""COMPUTED_VALUE"""),"Yes")</f>
        <v>Yes</v>
      </c>
      <c r="X50" s="5" t="str">
        <f>IFERROR(__xludf.DUMMYFUNCTION("""COMPUTED_VALUE"""),"Yes")</f>
        <v>Yes</v>
      </c>
      <c r="Y50" s="5" t="str">
        <f>IFERROR(__xludf.DUMMYFUNCTION("""COMPUTED_VALUE"""),"Yes")</f>
        <v>Yes</v>
      </c>
      <c r="Z50" s="5" t="str">
        <f>IFERROR(__xludf.DUMMYFUNCTION("""COMPUTED_VALUE"""),"Yes")</f>
        <v>Yes</v>
      </c>
      <c r="AA50" s="5" t="str">
        <f>IFERROR(__xludf.DUMMYFUNCTION("""COMPUTED_VALUE"""),"Yes")</f>
        <v>Yes</v>
      </c>
      <c r="AB50" s="5" t="str">
        <f>IFERROR(__xludf.DUMMYFUNCTION("""COMPUTED_VALUE"""),"Yes")</f>
        <v>Yes</v>
      </c>
      <c r="AC50" s="5" t="str">
        <f>IFERROR(__xludf.DUMMYFUNCTION("""COMPUTED_VALUE"""),"No")</f>
        <v>No</v>
      </c>
    </row>
    <row r="51">
      <c r="A51" s="5" t="str">
        <f>IFERROR(__xludf.DUMMYFUNCTION("""COMPUTED_VALUE"""),"SpinCards")</f>
        <v>SpinCards</v>
      </c>
      <c r="B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1" s="5" t="str">
        <f>IFERROR(__xludf.DUMMYFUNCTION("""COMPUTED_VALUE"""),"Yes")</f>
        <v>Yes</v>
      </c>
      <c r="D51" s="5" t="str">
        <f>IFERROR(__xludf.DUMMYFUNCTION("""COMPUTED_VALUE"""),"Yes")</f>
        <v>Yes</v>
      </c>
      <c r="E51" s="5" t="str">
        <f>IFERROR(__xludf.DUMMYFUNCTION("""COMPUTED_VALUE"""),"Yes")</f>
        <v>Yes</v>
      </c>
      <c r="F51" s="5" t="str">
        <f>IFERROR(__xludf.DUMMYFUNCTION("""COMPUTED_VALUE"""),"Yes")</f>
        <v>Yes</v>
      </c>
      <c r="G51" s="5" t="str">
        <f>IFERROR(__xludf.DUMMYFUNCTION("""COMPUTED_VALUE"""),"Yes")</f>
        <v>Yes</v>
      </c>
      <c r="H51" s="5" t="str">
        <f>IFERROR(__xludf.DUMMYFUNCTION("""COMPUTED_VALUE"""),"Yes")</f>
        <v>Yes</v>
      </c>
      <c r="I51" s="5" t="str">
        <f>IFERROR(__xludf.DUMMYFUNCTION("""COMPUTED_VALUE"""),"Yes")</f>
        <v>Yes</v>
      </c>
      <c r="J51" s="5" t="str">
        <f>IFERROR(__xludf.DUMMYFUNCTION("""COMPUTED_VALUE"""),"Yes")</f>
        <v>Yes</v>
      </c>
      <c r="K51" s="5" t="str">
        <f>IFERROR(__xludf.DUMMYFUNCTION("""COMPUTED_VALUE"""),"Yes")</f>
        <v>Yes</v>
      </c>
      <c r="L51" s="5" t="str">
        <f>IFERROR(__xludf.DUMMYFUNCTION("""COMPUTED_VALUE"""),"Yes")</f>
        <v>Yes</v>
      </c>
      <c r="M51" s="5" t="str">
        <f>IFERROR(__xludf.DUMMYFUNCTION("""COMPUTED_VALUE"""),"Yes")</f>
        <v>Yes</v>
      </c>
      <c r="N51" s="5" t="str">
        <f>IFERROR(__xludf.DUMMYFUNCTION("""COMPUTED_VALUE"""),"Yes")</f>
        <v>Yes</v>
      </c>
      <c r="O51" s="5" t="str">
        <f>IFERROR(__xludf.DUMMYFUNCTION("""COMPUTED_VALUE"""),"Yes")</f>
        <v>Yes</v>
      </c>
      <c r="P51" s="5" t="str">
        <f>IFERROR(__xludf.DUMMYFUNCTION("""COMPUTED_VALUE"""),"Yes")</f>
        <v>Yes</v>
      </c>
      <c r="Q51" s="5" t="str">
        <f>IFERROR(__xludf.DUMMYFUNCTION("""COMPUTED_VALUE"""),"Yes")</f>
        <v>Yes</v>
      </c>
      <c r="R51" s="5" t="str">
        <f>IFERROR(__xludf.DUMMYFUNCTION("""COMPUTED_VALUE"""),"Yes")</f>
        <v>Yes</v>
      </c>
      <c r="S51" s="5" t="str">
        <f>IFERROR(__xludf.DUMMYFUNCTION("""COMPUTED_VALUE"""),"Yes")</f>
        <v>Yes</v>
      </c>
      <c r="T51" s="5" t="str">
        <f>IFERROR(__xludf.DUMMYFUNCTION("""COMPUTED_VALUE"""),"Yes")</f>
        <v>Yes</v>
      </c>
      <c r="U51" s="5" t="str">
        <f>IFERROR(__xludf.DUMMYFUNCTION("""COMPUTED_VALUE"""),"Yes")</f>
        <v>Yes</v>
      </c>
      <c r="V51" s="5" t="str">
        <f>IFERROR(__xludf.DUMMYFUNCTION("""COMPUTED_VALUE"""),"Yes")</f>
        <v>Yes</v>
      </c>
      <c r="W51" s="5"/>
      <c r="X51" s="5"/>
      <c r="Y51" s="5"/>
      <c r="Z51" s="5" t="str">
        <f>IFERROR(__xludf.DUMMYFUNCTION("""COMPUTED_VALUE"""),"Yes")</f>
        <v>Yes</v>
      </c>
      <c r="AA51" s="5"/>
      <c r="AB51" s="5"/>
      <c r="AC51" s="5"/>
    </row>
    <row r="52">
      <c r="A52" s="5" t="str">
        <f>IFERROR(__xludf.DUMMYFUNCTION("""COMPUTED_VALUE"""),"LuckyTwister")</f>
        <v>LuckyTwister</v>
      </c>
      <c r="B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2" s="5" t="str">
        <f>IFERROR(__xludf.DUMMYFUNCTION("""COMPUTED_VALUE"""),"Yes")</f>
        <v>Yes</v>
      </c>
      <c r="D52" s="5" t="str">
        <f>IFERROR(__xludf.DUMMYFUNCTION("""COMPUTED_VALUE"""),"Yes")</f>
        <v>Yes</v>
      </c>
      <c r="E52" s="5" t="str">
        <f>IFERROR(__xludf.DUMMYFUNCTION("""COMPUTED_VALUE"""),"Yes")</f>
        <v>Yes</v>
      </c>
      <c r="F52" s="5" t="str">
        <f>IFERROR(__xludf.DUMMYFUNCTION("""COMPUTED_VALUE"""),"Yes")</f>
        <v>Yes</v>
      </c>
      <c r="G52" s="5" t="str">
        <f>IFERROR(__xludf.DUMMYFUNCTION("""COMPUTED_VALUE"""),"Yes")</f>
        <v>Yes</v>
      </c>
      <c r="H52" s="5" t="str">
        <f>IFERROR(__xludf.DUMMYFUNCTION("""COMPUTED_VALUE"""),"Yes")</f>
        <v>Yes</v>
      </c>
      <c r="I52" s="5" t="str">
        <f>IFERROR(__xludf.DUMMYFUNCTION("""COMPUTED_VALUE"""),"Yes")</f>
        <v>Yes</v>
      </c>
      <c r="J52" s="5" t="str">
        <f>IFERROR(__xludf.DUMMYFUNCTION("""COMPUTED_VALUE"""),"Yes")</f>
        <v>Yes</v>
      </c>
      <c r="K52" s="5" t="str">
        <f>IFERROR(__xludf.DUMMYFUNCTION("""COMPUTED_VALUE"""),"Yes")</f>
        <v>Yes</v>
      </c>
      <c r="L52" s="5" t="str">
        <f>IFERROR(__xludf.DUMMYFUNCTION("""COMPUTED_VALUE"""),"Yes")</f>
        <v>Yes</v>
      </c>
      <c r="M52" s="5" t="str">
        <f>IFERROR(__xludf.DUMMYFUNCTION("""COMPUTED_VALUE"""),"Yes")</f>
        <v>Yes</v>
      </c>
      <c r="N52" s="5" t="str">
        <f>IFERROR(__xludf.DUMMYFUNCTION("""COMPUTED_VALUE"""),"Yes")</f>
        <v>Yes</v>
      </c>
      <c r="O52" s="5" t="str">
        <f>IFERROR(__xludf.DUMMYFUNCTION("""COMPUTED_VALUE"""),"Yes")</f>
        <v>Yes</v>
      </c>
      <c r="P52" s="5" t="str">
        <f>IFERROR(__xludf.DUMMYFUNCTION("""COMPUTED_VALUE"""),"Yes")</f>
        <v>Yes</v>
      </c>
      <c r="Q52" s="5" t="str">
        <f>IFERROR(__xludf.DUMMYFUNCTION("""COMPUTED_VALUE"""),"Yes")</f>
        <v>Yes</v>
      </c>
      <c r="R52" s="5" t="str">
        <f>IFERROR(__xludf.DUMMYFUNCTION("""COMPUTED_VALUE"""),"Yes")</f>
        <v>Yes</v>
      </c>
      <c r="S52" s="5" t="str">
        <f>IFERROR(__xludf.DUMMYFUNCTION("""COMPUTED_VALUE"""),"Yes")</f>
        <v>Yes</v>
      </c>
      <c r="T52" s="5" t="str">
        <f>IFERROR(__xludf.DUMMYFUNCTION("""COMPUTED_VALUE"""),"Yes")</f>
        <v>Yes</v>
      </c>
      <c r="U52" s="5" t="str">
        <f>IFERROR(__xludf.DUMMYFUNCTION("""COMPUTED_VALUE"""),"Yes")</f>
        <v>Yes</v>
      </c>
      <c r="V52" s="5" t="str">
        <f>IFERROR(__xludf.DUMMYFUNCTION("""COMPUTED_VALUE"""),"Yes")</f>
        <v>Yes</v>
      </c>
      <c r="W52" s="5"/>
      <c r="X52" s="5"/>
      <c r="Y52" s="5"/>
      <c r="Z52" s="5" t="str">
        <f>IFERROR(__xludf.DUMMYFUNCTION("""COMPUTED_VALUE"""),"Yes")</f>
        <v>Yes</v>
      </c>
      <c r="AA52" s="5"/>
      <c r="AB52" s="5"/>
      <c r="AC52" s="5"/>
    </row>
    <row r="53">
      <c r="A53" s="5" t="str">
        <f>IFERROR(__xludf.DUMMYFUNCTION("""COMPUTED_VALUE"""),"KatanasOfTime")</f>
        <v>KatanasOfTime</v>
      </c>
      <c r="B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 s="5" t="str">
        <f>IFERROR(__xludf.DUMMYFUNCTION("""COMPUTED_VALUE"""),"Yes")</f>
        <v>Yes</v>
      </c>
      <c r="D53" s="5" t="str">
        <f>IFERROR(__xludf.DUMMYFUNCTION("""COMPUTED_VALUE"""),"Yes")</f>
        <v>Yes</v>
      </c>
      <c r="E53" s="5" t="str">
        <f>IFERROR(__xludf.DUMMYFUNCTION("""COMPUTED_VALUE"""),"Yes")</f>
        <v>Yes</v>
      </c>
      <c r="F53" s="5" t="str">
        <f>IFERROR(__xludf.DUMMYFUNCTION("""COMPUTED_VALUE"""),"Yes")</f>
        <v>Yes</v>
      </c>
      <c r="G53" s="5" t="str">
        <f>IFERROR(__xludf.DUMMYFUNCTION("""COMPUTED_VALUE"""),"Yes")</f>
        <v>Yes</v>
      </c>
      <c r="H53" s="5" t="str">
        <f>IFERROR(__xludf.DUMMYFUNCTION("""COMPUTED_VALUE"""),"Yes")</f>
        <v>Yes</v>
      </c>
      <c r="I53" s="5" t="str">
        <f>IFERROR(__xludf.DUMMYFUNCTION("""COMPUTED_VALUE"""),"Yes")</f>
        <v>Yes</v>
      </c>
      <c r="J53" s="5" t="str">
        <f>IFERROR(__xludf.DUMMYFUNCTION("""COMPUTED_VALUE"""),"Yes")</f>
        <v>Yes</v>
      </c>
      <c r="K53" s="5" t="str">
        <f>IFERROR(__xludf.DUMMYFUNCTION("""COMPUTED_VALUE"""),"Yes")</f>
        <v>Yes</v>
      </c>
      <c r="L53" s="5" t="str">
        <f>IFERROR(__xludf.DUMMYFUNCTION("""COMPUTED_VALUE"""),"Yes")</f>
        <v>Yes</v>
      </c>
      <c r="M53" s="5" t="str">
        <f>IFERROR(__xludf.DUMMYFUNCTION("""COMPUTED_VALUE"""),"Yes")</f>
        <v>Yes</v>
      </c>
      <c r="N53" s="5" t="str">
        <f>IFERROR(__xludf.DUMMYFUNCTION("""COMPUTED_VALUE"""),"Yes")</f>
        <v>Yes</v>
      </c>
      <c r="O53" s="5" t="str">
        <f>IFERROR(__xludf.DUMMYFUNCTION("""COMPUTED_VALUE"""),"Yes")</f>
        <v>Yes</v>
      </c>
      <c r="P53" s="5" t="str">
        <f>IFERROR(__xludf.DUMMYFUNCTION("""COMPUTED_VALUE"""),"Yes")</f>
        <v>Yes</v>
      </c>
      <c r="Q53" s="5" t="str">
        <f>IFERROR(__xludf.DUMMYFUNCTION("""COMPUTED_VALUE"""),"Yes")</f>
        <v>Yes</v>
      </c>
      <c r="R53" s="5" t="str">
        <f>IFERROR(__xludf.DUMMYFUNCTION("""COMPUTED_VALUE"""),"Yes")</f>
        <v>Yes</v>
      </c>
      <c r="S53" s="5" t="str">
        <f>IFERROR(__xludf.DUMMYFUNCTION("""COMPUTED_VALUE"""),"Yes")</f>
        <v>Yes</v>
      </c>
      <c r="T53" s="5" t="str">
        <f>IFERROR(__xludf.DUMMYFUNCTION("""COMPUTED_VALUE"""),"Yes")</f>
        <v>Yes</v>
      </c>
      <c r="U53" s="5" t="str">
        <f>IFERROR(__xludf.DUMMYFUNCTION("""COMPUTED_VALUE"""),"Yes")</f>
        <v>Yes</v>
      </c>
      <c r="V53" s="5" t="str">
        <f>IFERROR(__xludf.DUMMYFUNCTION("""COMPUTED_VALUE"""),"Yes")</f>
        <v>Yes</v>
      </c>
      <c r="W53" s="5" t="str">
        <f>IFERROR(__xludf.DUMMYFUNCTION("""COMPUTED_VALUE"""),"Yes")</f>
        <v>Yes</v>
      </c>
      <c r="X53" s="5" t="str">
        <f>IFERROR(__xludf.DUMMYFUNCTION("""COMPUTED_VALUE"""),"Yes")</f>
        <v>Yes</v>
      </c>
      <c r="Y53" s="5" t="str">
        <f>IFERROR(__xludf.DUMMYFUNCTION("""COMPUTED_VALUE"""),"Yes")</f>
        <v>Yes</v>
      </c>
      <c r="Z53" s="5" t="str">
        <f>IFERROR(__xludf.DUMMYFUNCTION("""COMPUTED_VALUE"""),"Yes")</f>
        <v>Yes</v>
      </c>
      <c r="AA53" s="5" t="str">
        <f>IFERROR(__xludf.DUMMYFUNCTION("""COMPUTED_VALUE"""),"Yes")</f>
        <v>Yes</v>
      </c>
      <c r="AB53" s="5" t="str">
        <f>IFERROR(__xludf.DUMMYFUNCTION("""COMPUTED_VALUE"""),"Yes")</f>
        <v>Yes</v>
      </c>
      <c r="AC53" s="5" t="str">
        <f>IFERROR(__xludf.DUMMYFUNCTION("""COMPUTED_VALUE"""),"No")</f>
        <v>No</v>
      </c>
    </row>
    <row r="54">
      <c r="A54" s="5" t="str">
        <f>IFERROR(__xludf.DUMMYFUNCTION("""COMPUTED_VALUE"""),"Retro7Hot")</f>
        <v>Retro7Hot</v>
      </c>
      <c r="B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 s="5" t="str">
        <f>IFERROR(__xludf.DUMMYFUNCTION("""COMPUTED_VALUE"""),"Yes")</f>
        <v>Yes</v>
      </c>
      <c r="D54" s="5" t="str">
        <f>IFERROR(__xludf.DUMMYFUNCTION("""COMPUTED_VALUE"""),"Yes")</f>
        <v>Yes</v>
      </c>
      <c r="E54" s="5" t="str">
        <f>IFERROR(__xludf.DUMMYFUNCTION("""COMPUTED_VALUE"""),"Yes")</f>
        <v>Yes</v>
      </c>
      <c r="F54" s="5" t="str">
        <f>IFERROR(__xludf.DUMMYFUNCTION("""COMPUTED_VALUE"""),"Yes")</f>
        <v>Yes</v>
      </c>
      <c r="G54" s="5" t="str">
        <f>IFERROR(__xludf.DUMMYFUNCTION("""COMPUTED_VALUE"""),"Yes")</f>
        <v>Yes</v>
      </c>
      <c r="H54" s="5" t="str">
        <f>IFERROR(__xludf.DUMMYFUNCTION("""COMPUTED_VALUE"""),"Yes")</f>
        <v>Yes</v>
      </c>
      <c r="I54" s="5" t="str">
        <f>IFERROR(__xludf.DUMMYFUNCTION("""COMPUTED_VALUE"""),"Yes")</f>
        <v>Yes</v>
      </c>
      <c r="J54" s="5" t="str">
        <f>IFERROR(__xludf.DUMMYFUNCTION("""COMPUTED_VALUE"""),"Yes")</f>
        <v>Yes</v>
      </c>
      <c r="K54" s="5" t="str">
        <f>IFERROR(__xludf.DUMMYFUNCTION("""COMPUTED_VALUE"""),"Yes")</f>
        <v>Yes</v>
      </c>
      <c r="L54" s="5" t="str">
        <f>IFERROR(__xludf.DUMMYFUNCTION("""COMPUTED_VALUE"""),"Yes")</f>
        <v>Yes</v>
      </c>
      <c r="M54" s="5" t="str">
        <f>IFERROR(__xludf.DUMMYFUNCTION("""COMPUTED_VALUE"""),"Yes")</f>
        <v>Yes</v>
      </c>
      <c r="N54" s="5" t="str">
        <f>IFERROR(__xludf.DUMMYFUNCTION("""COMPUTED_VALUE"""),"Yes")</f>
        <v>Yes</v>
      </c>
      <c r="O54" s="5" t="str">
        <f>IFERROR(__xludf.DUMMYFUNCTION("""COMPUTED_VALUE"""),"Yes")</f>
        <v>Yes</v>
      </c>
      <c r="P54" s="5" t="str">
        <f>IFERROR(__xludf.DUMMYFUNCTION("""COMPUTED_VALUE"""),"Yes")</f>
        <v>Yes</v>
      </c>
      <c r="Q54" s="5" t="str">
        <f>IFERROR(__xludf.DUMMYFUNCTION("""COMPUTED_VALUE"""),"Yes")</f>
        <v>Yes</v>
      </c>
      <c r="R54" s="5" t="str">
        <f>IFERROR(__xludf.DUMMYFUNCTION("""COMPUTED_VALUE"""),"Yes")</f>
        <v>Yes</v>
      </c>
      <c r="S54" s="5" t="str">
        <f>IFERROR(__xludf.DUMMYFUNCTION("""COMPUTED_VALUE"""),"Yes")</f>
        <v>Yes</v>
      </c>
      <c r="T54" s="5" t="str">
        <f>IFERROR(__xludf.DUMMYFUNCTION("""COMPUTED_VALUE"""),"Yes")</f>
        <v>Yes</v>
      </c>
      <c r="U54" s="5" t="str">
        <f>IFERROR(__xludf.DUMMYFUNCTION("""COMPUTED_VALUE"""),"Yes")</f>
        <v>Yes</v>
      </c>
      <c r="V54" s="5" t="str">
        <f>IFERROR(__xludf.DUMMYFUNCTION("""COMPUTED_VALUE"""),"Yes")</f>
        <v>Yes</v>
      </c>
      <c r="W54" s="5" t="str">
        <f>IFERROR(__xludf.DUMMYFUNCTION("""COMPUTED_VALUE"""),"Yes")</f>
        <v>Yes</v>
      </c>
      <c r="X54" s="5" t="str">
        <f>IFERROR(__xludf.DUMMYFUNCTION("""COMPUTED_VALUE"""),"Yes")</f>
        <v>Yes</v>
      </c>
      <c r="Y54" s="5" t="str">
        <f>IFERROR(__xludf.DUMMYFUNCTION("""COMPUTED_VALUE"""),"Yes")</f>
        <v>Yes</v>
      </c>
      <c r="Z54" s="5" t="str">
        <f>IFERROR(__xludf.DUMMYFUNCTION("""COMPUTED_VALUE"""),"Yes")</f>
        <v>Yes</v>
      </c>
      <c r="AA54" s="5" t="str">
        <f>IFERROR(__xludf.DUMMYFUNCTION("""COMPUTED_VALUE"""),"Yes")</f>
        <v>Yes</v>
      </c>
      <c r="AB54" s="5" t="str">
        <f>IFERROR(__xludf.DUMMYFUNCTION("""COMPUTED_VALUE"""),"Yes")</f>
        <v>Yes</v>
      </c>
      <c r="AC54" s="5" t="str">
        <f>IFERROR(__xludf.DUMMYFUNCTION("""COMPUTED_VALUE"""),"No")</f>
        <v>No</v>
      </c>
    </row>
    <row r="55">
      <c r="A55" s="5" t="str">
        <f>IFERROR(__xludf.DUMMYFUNCTION("""COMPUTED_VALUE"""),"VipRoulette")</f>
        <v>VipRoulette</v>
      </c>
      <c r="B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 s="5" t="str">
        <f>IFERROR(__xludf.DUMMYFUNCTION("""COMPUTED_VALUE"""),"Yes")</f>
        <v>Yes</v>
      </c>
      <c r="D55" s="5" t="str">
        <f>IFERROR(__xludf.DUMMYFUNCTION("""COMPUTED_VALUE"""),"Yes")</f>
        <v>Yes</v>
      </c>
      <c r="E55" s="5" t="str">
        <f>IFERROR(__xludf.DUMMYFUNCTION("""COMPUTED_VALUE"""),"Yes")</f>
        <v>Yes</v>
      </c>
      <c r="F55" s="5" t="str">
        <f>IFERROR(__xludf.DUMMYFUNCTION("""COMPUTED_VALUE"""),"Yes")</f>
        <v>Yes</v>
      </c>
      <c r="G55" s="5" t="str">
        <f>IFERROR(__xludf.DUMMYFUNCTION("""COMPUTED_VALUE"""),"Yes")</f>
        <v>Yes</v>
      </c>
      <c r="H55" s="5" t="str">
        <f>IFERROR(__xludf.DUMMYFUNCTION("""COMPUTED_VALUE"""),"Yes")</f>
        <v>Yes</v>
      </c>
      <c r="I55" s="5" t="str">
        <f>IFERROR(__xludf.DUMMYFUNCTION("""COMPUTED_VALUE"""),"Yes")</f>
        <v>Yes</v>
      </c>
      <c r="J55" s="5" t="str">
        <f>IFERROR(__xludf.DUMMYFUNCTION("""COMPUTED_VALUE"""),"Yes")</f>
        <v>Yes</v>
      </c>
      <c r="K55" s="5" t="str">
        <f>IFERROR(__xludf.DUMMYFUNCTION("""COMPUTED_VALUE"""),"Yes")</f>
        <v>Yes</v>
      </c>
      <c r="L55" s="5" t="str">
        <f>IFERROR(__xludf.DUMMYFUNCTION("""COMPUTED_VALUE"""),"Yes")</f>
        <v>Yes</v>
      </c>
      <c r="M55" s="5" t="str">
        <f>IFERROR(__xludf.DUMMYFUNCTION("""COMPUTED_VALUE"""),"Yes")</f>
        <v>Yes</v>
      </c>
      <c r="N55" s="5" t="str">
        <f>IFERROR(__xludf.DUMMYFUNCTION("""COMPUTED_VALUE"""),"Yes")</f>
        <v>Yes</v>
      </c>
      <c r="O55" s="5" t="str">
        <f>IFERROR(__xludf.DUMMYFUNCTION("""COMPUTED_VALUE"""),"Yes")</f>
        <v>Yes</v>
      </c>
      <c r="P55" s="5" t="str">
        <f>IFERROR(__xludf.DUMMYFUNCTION("""COMPUTED_VALUE"""),"Yes")</f>
        <v>Yes</v>
      </c>
      <c r="Q55" s="5" t="str">
        <f>IFERROR(__xludf.DUMMYFUNCTION("""COMPUTED_VALUE"""),"Yes")</f>
        <v>Yes</v>
      </c>
      <c r="R55" s="5" t="str">
        <f>IFERROR(__xludf.DUMMYFUNCTION("""COMPUTED_VALUE"""),"Yes")</f>
        <v>Yes</v>
      </c>
      <c r="S55" s="5" t="str">
        <f>IFERROR(__xludf.DUMMYFUNCTION("""COMPUTED_VALUE"""),"Yes")</f>
        <v>Yes</v>
      </c>
      <c r="T55" s="5" t="str">
        <f>IFERROR(__xludf.DUMMYFUNCTION("""COMPUTED_VALUE"""),"Yes")</f>
        <v>Yes</v>
      </c>
      <c r="U55" s="5" t="str">
        <f>IFERROR(__xludf.DUMMYFUNCTION("""COMPUTED_VALUE"""),"Yes")</f>
        <v>Yes</v>
      </c>
      <c r="V55" s="5" t="str">
        <f>IFERROR(__xludf.DUMMYFUNCTION("""COMPUTED_VALUE"""),"Yes")</f>
        <v>Yes</v>
      </c>
      <c r="W55" s="5" t="str">
        <f>IFERROR(__xludf.DUMMYFUNCTION("""COMPUTED_VALUE"""),"Yes")</f>
        <v>Yes</v>
      </c>
      <c r="X55" s="5" t="str">
        <f>IFERROR(__xludf.DUMMYFUNCTION("""COMPUTED_VALUE"""),"Yes")</f>
        <v>Yes</v>
      </c>
      <c r="Y55" s="5" t="str">
        <f>IFERROR(__xludf.DUMMYFUNCTION("""COMPUTED_VALUE"""),"Yes")</f>
        <v>Yes</v>
      </c>
      <c r="Z55" s="5" t="str">
        <f>IFERROR(__xludf.DUMMYFUNCTION("""COMPUTED_VALUE"""),"Yes")</f>
        <v>Yes</v>
      </c>
      <c r="AA55" s="5" t="str">
        <f>IFERROR(__xludf.DUMMYFUNCTION("""COMPUTED_VALUE"""),"Yes")</f>
        <v>Yes</v>
      </c>
      <c r="AB55" s="5" t="str">
        <f>IFERROR(__xludf.DUMMYFUNCTION("""COMPUTED_VALUE"""),"Yes")</f>
        <v>Yes</v>
      </c>
      <c r="AC55" s="5" t="str">
        <f>IFERROR(__xludf.DUMMYFUNCTION("""COMPUTED_VALUE"""),"No")</f>
        <v>No</v>
      </c>
    </row>
    <row r="56">
      <c r="A56" s="5" t="str">
        <f>IFERROR(__xludf.DUMMYFUNCTION("""COMPUTED_VALUE"""),"StarRunner")</f>
        <v>StarRunner</v>
      </c>
      <c r="B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6" s="5" t="str">
        <f>IFERROR(__xludf.DUMMYFUNCTION("""COMPUTED_VALUE"""),"Yes")</f>
        <v>Yes</v>
      </c>
      <c r="D56" s="5" t="str">
        <f>IFERROR(__xludf.DUMMYFUNCTION("""COMPUTED_VALUE"""),"Yes")</f>
        <v>Yes</v>
      </c>
      <c r="E56" s="5" t="str">
        <f>IFERROR(__xludf.DUMMYFUNCTION("""COMPUTED_VALUE"""),"Yes")</f>
        <v>Yes</v>
      </c>
      <c r="F56" s="5" t="str">
        <f>IFERROR(__xludf.DUMMYFUNCTION("""COMPUTED_VALUE"""),"Yes")</f>
        <v>Yes</v>
      </c>
      <c r="G56" s="5" t="str">
        <f>IFERROR(__xludf.DUMMYFUNCTION("""COMPUTED_VALUE"""),"Yes")</f>
        <v>Yes</v>
      </c>
      <c r="H56" s="5" t="str">
        <f>IFERROR(__xludf.DUMMYFUNCTION("""COMPUTED_VALUE"""),"Yes")</f>
        <v>Yes</v>
      </c>
      <c r="I56" s="5" t="str">
        <f>IFERROR(__xludf.DUMMYFUNCTION("""COMPUTED_VALUE"""),"Yes")</f>
        <v>Yes</v>
      </c>
      <c r="J56" s="5" t="str">
        <f>IFERROR(__xludf.DUMMYFUNCTION("""COMPUTED_VALUE"""),"Yes")</f>
        <v>Yes</v>
      </c>
      <c r="K56" s="5" t="str">
        <f>IFERROR(__xludf.DUMMYFUNCTION("""COMPUTED_VALUE"""),"Yes")</f>
        <v>Yes</v>
      </c>
      <c r="L56" s="5" t="str">
        <f>IFERROR(__xludf.DUMMYFUNCTION("""COMPUTED_VALUE"""),"Yes")</f>
        <v>Yes</v>
      </c>
      <c r="M56" s="5" t="str">
        <f>IFERROR(__xludf.DUMMYFUNCTION("""COMPUTED_VALUE"""),"Yes")</f>
        <v>Yes</v>
      </c>
      <c r="N56" s="5" t="str">
        <f>IFERROR(__xludf.DUMMYFUNCTION("""COMPUTED_VALUE"""),"Yes")</f>
        <v>Yes</v>
      </c>
      <c r="O56" s="5" t="str">
        <f>IFERROR(__xludf.DUMMYFUNCTION("""COMPUTED_VALUE"""),"Yes")</f>
        <v>Yes</v>
      </c>
      <c r="P56" s="5" t="str">
        <f>IFERROR(__xludf.DUMMYFUNCTION("""COMPUTED_VALUE"""),"Yes")</f>
        <v>Yes</v>
      </c>
      <c r="Q56" s="5" t="str">
        <f>IFERROR(__xludf.DUMMYFUNCTION("""COMPUTED_VALUE"""),"Yes")</f>
        <v>Yes</v>
      </c>
      <c r="R56" s="5" t="str">
        <f>IFERROR(__xludf.DUMMYFUNCTION("""COMPUTED_VALUE"""),"Yes")</f>
        <v>Yes</v>
      </c>
      <c r="S56" s="5" t="str">
        <f>IFERROR(__xludf.DUMMYFUNCTION("""COMPUTED_VALUE"""),"Yes")</f>
        <v>Yes</v>
      </c>
      <c r="T56" s="5" t="str">
        <f>IFERROR(__xludf.DUMMYFUNCTION("""COMPUTED_VALUE"""),"Yes")</f>
        <v>Yes</v>
      </c>
      <c r="U56" s="5" t="str">
        <f>IFERROR(__xludf.DUMMYFUNCTION("""COMPUTED_VALUE"""),"Yes")</f>
        <v>Yes</v>
      </c>
      <c r="V56" s="5" t="str">
        <f>IFERROR(__xludf.DUMMYFUNCTION("""COMPUTED_VALUE"""),"Yes")</f>
        <v>Yes</v>
      </c>
      <c r="W56" s="5" t="str">
        <f>IFERROR(__xludf.DUMMYFUNCTION("""COMPUTED_VALUE"""),"Yes")</f>
        <v>Yes</v>
      </c>
      <c r="X56" s="5" t="str">
        <f>IFERROR(__xludf.DUMMYFUNCTION("""COMPUTED_VALUE"""),"Yes")</f>
        <v>Yes</v>
      </c>
      <c r="Y56" s="5" t="str">
        <f>IFERROR(__xludf.DUMMYFUNCTION("""COMPUTED_VALUE"""),"Yes")</f>
        <v>Yes</v>
      </c>
      <c r="Z56" s="5" t="str">
        <f>IFERROR(__xludf.DUMMYFUNCTION("""COMPUTED_VALUE"""),"Yes")</f>
        <v>Yes</v>
      </c>
      <c r="AA56" s="5" t="str">
        <f>IFERROR(__xludf.DUMMYFUNCTION("""COMPUTED_VALUE"""),"Yes")</f>
        <v>Yes</v>
      </c>
      <c r="AB56" s="5" t="str">
        <f>IFERROR(__xludf.DUMMYFUNCTION("""COMPUTED_VALUE"""),"Yes")</f>
        <v>Yes</v>
      </c>
      <c r="AC56" s="5" t="str">
        <f>IFERROR(__xludf.DUMMYFUNCTION("""COMPUTED_VALUE"""),"No")</f>
        <v>No</v>
      </c>
    </row>
    <row r="57">
      <c r="A57" s="5" t="str">
        <f>IFERROR(__xludf.DUMMYFUNCTION("""COMPUTED_VALUE"""),"AlohaCharm")</f>
        <v>AlohaCharm</v>
      </c>
      <c r="B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7" s="5" t="str">
        <f>IFERROR(__xludf.DUMMYFUNCTION("""COMPUTED_VALUE"""),"Yes")</f>
        <v>Yes</v>
      </c>
      <c r="D57" s="5" t="str">
        <f>IFERROR(__xludf.DUMMYFUNCTION("""COMPUTED_VALUE"""),"Yes")</f>
        <v>Yes</v>
      </c>
      <c r="E57" s="5" t="str">
        <f>IFERROR(__xludf.DUMMYFUNCTION("""COMPUTED_VALUE"""),"Yes")</f>
        <v>Yes</v>
      </c>
      <c r="F57" s="5" t="str">
        <f>IFERROR(__xludf.DUMMYFUNCTION("""COMPUTED_VALUE"""),"Yes")</f>
        <v>Yes</v>
      </c>
      <c r="G57" s="5" t="str">
        <f>IFERROR(__xludf.DUMMYFUNCTION("""COMPUTED_VALUE"""),"Yes")</f>
        <v>Yes</v>
      </c>
      <c r="H57" s="5" t="str">
        <f>IFERROR(__xludf.DUMMYFUNCTION("""COMPUTED_VALUE"""),"Yes")</f>
        <v>Yes</v>
      </c>
      <c r="I57" s="5" t="str">
        <f>IFERROR(__xludf.DUMMYFUNCTION("""COMPUTED_VALUE"""),"Yes")</f>
        <v>Yes</v>
      </c>
      <c r="J57" s="5" t="str">
        <f>IFERROR(__xludf.DUMMYFUNCTION("""COMPUTED_VALUE"""),"Yes")</f>
        <v>Yes</v>
      </c>
      <c r="K57" s="5" t="str">
        <f>IFERROR(__xludf.DUMMYFUNCTION("""COMPUTED_VALUE"""),"Yes")</f>
        <v>Yes</v>
      </c>
      <c r="L57" s="5" t="str">
        <f>IFERROR(__xludf.DUMMYFUNCTION("""COMPUTED_VALUE"""),"Yes")</f>
        <v>Yes</v>
      </c>
      <c r="M57" s="5" t="str">
        <f>IFERROR(__xludf.DUMMYFUNCTION("""COMPUTED_VALUE"""),"Yes")</f>
        <v>Yes</v>
      </c>
      <c r="N57" s="5" t="str">
        <f>IFERROR(__xludf.DUMMYFUNCTION("""COMPUTED_VALUE"""),"Yes")</f>
        <v>Yes</v>
      </c>
      <c r="O57" s="5" t="str">
        <f>IFERROR(__xludf.DUMMYFUNCTION("""COMPUTED_VALUE"""),"Yes")</f>
        <v>Yes</v>
      </c>
      <c r="P57" s="5" t="str">
        <f>IFERROR(__xludf.DUMMYFUNCTION("""COMPUTED_VALUE"""),"Yes")</f>
        <v>Yes</v>
      </c>
      <c r="Q57" s="5" t="str">
        <f>IFERROR(__xludf.DUMMYFUNCTION("""COMPUTED_VALUE"""),"Yes")</f>
        <v>Yes</v>
      </c>
      <c r="R57" s="5" t="str">
        <f>IFERROR(__xludf.DUMMYFUNCTION("""COMPUTED_VALUE"""),"Yes")</f>
        <v>Yes</v>
      </c>
      <c r="S57" s="5" t="str">
        <f>IFERROR(__xludf.DUMMYFUNCTION("""COMPUTED_VALUE"""),"Yes")</f>
        <v>Yes</v>
      </c>
      <c r="T57" s="5" t="str">
        <f>IFERROR(__xludf.DUMMYFUNCTION("""COMPUTED_VALUE"""),"Yes")</f>
        <v>Yes</v>
      </c>
      <c r="U57" s="5" t="str">
        <f>IFERROR(__xludf.DUMMYFUNCTION("""COMPUTED_VALUE"""),"Yes")</f>
        <v>Yes</v>
      </c>
      <c r="V57" s="5" t="str">
        <f>IFERROR(__xludf.DUMMYFUNCTION("""COMPUTED_VALUE"""),"Yes")</f>
        <v>Yes</v>
      </c>
      <c r="W57" s="5" t="str">
        <f>IFERROR(__xludf.DUMMYFUNCTION("""COMPUTED_VALUE"""),"Yes")</f>
        <v>Yes</v>
      </c>
      <c r="X57" s="5" t="str">
        <f>IFERROR(__xludf.DUMMYFUNCTION("""COMPUTED_VALUE"""),"Yes")</f>
        <v>Yes</v>
      </c>
      <c r="Y57" s="5" t="str">
        <f>IFERROR(__xludf.DUMMYFUNCTION("""COMPUTED_VALUE"""),"Yes")</f>
        <v>Yes</v>
      </c>
      <c r="Z57" s="5" t="str">
        <f>IFERROR(__xludf.DUMMYFUNCTION("""COMPUTED_VALUE"""),"Yes")</f>
        <v>Yes</v>
      </c>
      <c r="AA57" s="5" t="str">
        <f>IFERROR(__xludf.DUMMYFUNCTION("""COMPUTED_VALUE"""),"Yes")</f>
        <v>Yes</v>
      </c>
      <c r="AB57" s="5" t="str">
        <f>IFERROR(__xludf.DUMMYFUNCTION("""COMPUTED_VALUE"""),"Yes")</f>
        <v>Yes</v>
      </c>
      <c r="AC57" s="5" t="str">
        <f>IFERROR(__xludf.DUMMYFUNCTION("""COMPUTED_VALUE"""),"No")</f>
        <v>No</v>
      </c>
    </row>
    <row r="58">
      <c r="A58" s="5" t="str">
        <f>IFERROR(__xludf.DUMMYFUNCTION("""COMPUTED_VALUE"""),"LuxRoulette")</f>
        <v>LuxRoulette</v>
      </c>
      <c r="B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 s="5" t="str">
        <f>IFERROR(__xludf.DUMMYFUNCTION("""COMPUTED_VALUE"""),"Yes")</f>
        <v>Yes</v>
      </c>
      <c r="D58" s="5" t="str">
        <f>IFERROR(__xludf.DUMMYFUNCTION("""COMPUTED_VALUE"""),"Yes")</f>
        <v>Yes</v>
      </c>
      <c r="E58" s="5" t="str">
        <f>IFERROR(__xludf.DUMMYFUNCTION("""COMPUTED_VALUE"""),"Yes")</f>
        <v>Yes</v>
      </c>
      <c r="F58" s="5" t="str">
        <f>IFERROR(__xludf.DUMMYFUNCTION("""COMPUTED_VALUE"""),"Yes")</f>
        <v>Yes</v>
      </c>
      <c r="G58" s="5" t="str">
        <f>IFERROR(__xludf.DUMMYFUNCTION("""COMPUTED_VALUE"""),"Yes")</f>
        <v>Yes</v>
      </c>
      <c r="H58" s="5" t="str">
        <f>IFERROR(__xludf.DUMMYFUNCTION("""COMPUTED_VALUE"""),"Yes")</f>
        <v>Yes</v>
      </c>
      <c r="I58" s="5" t="str">
        <f>IFERROR(__xludf.DUMMYFUNCTION("""COMPUTED_VALUE"""),"Yes")</f>
        <v>Yes</v>
      </c>
      <c r="J58" s="5" t="str">
        <f>IFERROR(__xludf.DUMMYFUNCTION("""COMPUTED_VALUE"""),"Yes")</f>
        <v>Yes</v>
      </c>
      <c r="K58" s="5" t="str">
        <f>IFERROR(__xludf.DUMMYFUNCTION("""COMPUTED_VALUE"""),"Yes")</f>
        <v>Yes</v>
      </c>
      <c r="L58" s="5" t="str">
        <f>IFERROR(__xludf.DUMMYFUNCTION("""COMPUTED_VALUE"""),"Yes")</f>
        <v>Yes</v>
      </c>
      <c r="M58" s="5" t="str">
        <f>IFERROR(__xludf.DUMMYFUNCTION("""COMPUTED_VALUE"""),"Yes")</f>
        <v>Yes</v>
      </c>
      <c r="N58" s="5" t="str">
        <f>IFERROR(__xludf.DUMMYFUNCTION("""COMPUTED_VALUE"""),"Yes")</f>
        <v>Yes</v>
      </c>
      <c r="O58" s="5" t="str">
        <f>IFERROR(__xludf.DUMMYFUNCTION("""COMPUTED_VALUE"""),"Yes")</f>
        <v>Yes</v>
      </c>
      <c r="P58" s="5" t="str">
        <f>IFERROR(__xludf.DUMMYFUNCTION("""COMPUTED_VALUE"""),"Yes")</f>
        <v>Yes</v>
      </c>
      <c r="Q58" s="5" t="str">
        <f>IFERROR(__xludf.DUMMYFUNCTION("""COMPUTED_VALUE"""),"Yes")</f>
        <v>Yes</v>
      </c>
      <c r="R58" s="5" t="str">
        <f>IFERROR(__xludf.DUMMYFUNCTION("""COMPUTED_VALUE"""),"Yes")</f>
        <v>Yes</v>
      </c>
      <c r="S58" s="5" t="str">
        <f>IFERROR(__xludf.DUMMYFUNCTION("""COMPUTED_VALUE"""),"Yes")</f>
        <v>Yes</v>
      </c>
      <c r="T58" s="5" t="str">
        <f>IFERROR(__xludf.DUMMYFUNCTION("""COMPUTED_VALUE"""),"Yes")</f>
        <v>Yes</v>
      </c>
      <c r="U58" s="5" t="str">
        <f>IFERROR(__xludf.DUMMYFUNCTION("""COMPUTED_VALUE"""),"Yes")</f>
        <v>Yes</v>
      </c>
      <c r="V58" s="5" t="str">
        <f>IFERROR(__xludf.DUMMYFUNCTION("""COMPUTED_VALUE"""),"Yes")</f>
        <v>Yes</v>
      </c>
      <c r="W58" s="5" t="str">
        <f>IFERROR(__xludf.DUMMYFUNCTION("""COMPUTED_VALUE"""),"Yes")</f>
        <v>Yes</v>
      </c>
      <c r="X58" s="5" t="str">
        <f>IFERROR(__xludf.DUMMYFUNCTION("""COMPUTED_VALUE"""),"Yes")</f>
        <v>Yes</v>
      </c>
      <c r="Y58" s="5" t="str">
        <f>IFERROR(__xludf.DUMMYFUNCTION("""COMPUTED_VALUE"""),"Yes")</f>
        <v>Yes</v>
      </c>
      <c r="Z58" s="5" t="str">
        <f>IFERROR(__xludf.DUMMYFUNCTION("""COMPUTED_VALUE"""),"Yes")</f>
        <v>Yes</v>
      </c>
      <c r="AA58" s="5" t="str">
        <f>IFERROR(__xludf.DUMMYFUNCTION("""COMPUTED_VALUE"""),"Yes")</f>
        <v>Yes</v>
      </c>
      <c r="AB58" s="5" t="str">
        <f>IFERROR(__xludf.DUMMYFUNCTION("""COMPUTED_VALUE"""),"Yes")</f>
        <v>Yes</v>
      </c>
      <c r="AC58" s="5" t="str">
        <f>IFERROR(__xludf.DUMMYFUNCTION("""COMPUTED_VALUE"""),"No")</f>
        <v>No</v>
      </c>
    </row>
    <row r="59">
      <c r="A59" s="5" t="str">
        <f>IFERROR(__xludf.DUMMYFUNCTION("""COMPUTED_VALUE"""),"FruitsAndStars40")</f>
        <v>FruitsAndStars40</v>
      </c>
      <c r="B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 s="5" t="str">
        <f>IFERROR(__xludf.DUMMYFUNCTION("""COMPUTED_VALUE"""),"Yes")</f>
        <v>Yes</v>
      </c>
      <c r="D59" s="5" t="str">
        <f>IFERROR(__xludf.DUMMYFUNCTION("""COMPUTED_VALUE"""),"Yes")</f>
        <v>Yes</v>
      </c>
      <c r="E59" s="5" t="str">
        <f>IFERROR(__xludf.DUMMYFUNCTION("""COMPUTED_VALUE"""),"Yes")</f>
        <v>Yes</v>
      </c>
      <c r="F59" s="5" t="str">
        <f>IFERROR(__xludf.DUMMYFUNCTION("""COMPUTED_VALUE"""),"Yes")</f>
        <v>Yes</v>
      </c>
      <c r="G59" s="5" t="str">
        <f>IFERROR(__xludf.DUMMYFUNCTION("""COMPUTED_VALUE"""),"Yes")</f>
        <v>Yes</v>
      </c>
      <c r="H59" s="5" t="str">
        <f>IFERROR(__xludf.DUMMYFUNCTION("""COMPUTED_VALUE"""),"Yes")</f>
        <v>Yes</v>
      </c>
      <c r="I59" s="5" t="str">
        <f>IFERROR(__xludf.DUMMYFUNCTION("""COMPUTED_VALUE"""),"Yes")</f>
        <v>Yes</v>
      </c>
      <c r="J59" s="5" t="str">
        <f>IFERROR(__xludf.DUMMYFUNCTION("""COMPUTED_VALUE"""),"Yes")</f>
        <v>Yes</v>
      </c>
      <c r="K59" s="5" t="str">
        <f>IFERROR(__xludf.DUMMYFUNCTION("""COMPUTED_VALUE"""),"Yes")</f>
        <v>Yes</v>
      </c>
      <c r="L59" s="5" t="str">
        <f>IFERROR(__xludf.DUMMYFUNCTION("""COMPUTED_VALUE"""),"Yes")</f>
        <v>Yes</v>
      </c>
      <c r="M59" s="5" t="str">
        <f>IFERROR(__xludf.DUMMYFUNCTION("""COMPUTED_VALUE"""),"Yes")</f>
        <v>Yes</v>
      </c>
      <c r="N59" s="5" t="str">
        <f>IFERROR(__xludf.DUMMYFUNCTION("""COMPUTED_VALUE"""),"Yes")</f>
        <v>Yes</v>
      </c>
      <c r="O59" s="5" t="str">
        <f>IFERROR(__xludf.DUMMYFUNCTION("""COMPUTED_VALUE"""),"Yes")</f>
        <v>Yes</v>
      </c>
      <c r="P59" s="5" t="str">
        <f>IFERROR(__xludf.DUMMYFUNCTION("""COMPUTED_VALUE"""),"Yes")</f>
        <v>Yes</v>
      </c>
      <c r="Q59" s="5" t="str">
        <f>IFERROR(__xludf.DUMMYFUNCTION("""COMPUTED_VALUE"""),"Yes")</f>
        <v>Yes</v>
      </c>
      <c r="R59" s="5" t="str">
        <f>IFERROR(__xludf.DUMMYFUNCTION("""COMPUTED_VALUE"""),"Yes")</f>
        <v>Yes</v>
      </c>
      <c r="S59" s="5" t="str">
        <f>IFERROR(__xludf.DUMMYFUNCTION("""COMPUTED_VALUE"""),"Yes")</f>
        <v>Yes</v>
      </c>
      <c r="T59" s="5" t="str">
        <f>IFERROR(__xludf.DUMMYFUNCTION("""COMPUTED_VALUE"""),"Yes")</f>
        <v>Yes</v>
      </c>
      <c r="U59" s="5" t="str">
        <f>IFERROR(__xludf.DUMMYFUNCTION("""COMPUTED_VALUE"""),"Yes")</f>
        <v>Yes</v>
      </c>
      <c r="V59" s="5" t="str">
        <f>IFERROR(__xludf.DUMMYFUNCTION("""COMPUTED_VALUE"""),"Yes")</f>
        <v>Yes</v>
      </c>
      <c r="W59" s="5" t="str">
        <f>IFERROR(__xludf.DUMMYFUNCTION("""COMPUTED_VALUE"""),"Yes")</f>
        <v>Yes</v>
      </c>
      <c r="X59" s="5" t="str">
        <f>IFERROR(__xludf.DUMMYFUNCTION("""COMPUTED_VALUE"""),"Yes")</f>
        <v>Yes</v>
      </c>
      <c r="Y59" s="5" t="str">
        <f>IFERROR(__xludf.DUMMYFUNCTION("""COMPUTED_VALUE"""),"Yes")</f>
        <v>Yes</v>
      </c>
      <c r="Z59" s="5" t="str">
        <f>IFERROR(__xludf.DUMMYFUNCTION("""COMPUTED_VALUE"""),"Yes")</f>
        <v>Yes</v>
      </c>
      <c r="AA59" s="5" t="str">
        <f>IFERROR(__xludf.DUMMYFUNCTION("""COMPUTED_VALUE"""),"Yes")</f>
        <v>Yes</v>
      </c>
      <c r="AB59" s="5" t="str">
        <f>IFERROR(__xludf.DUMMYFUNCTION("""COMPUTED_VALUE"""),"Yes")</f>
        <v>Yes</v>
      </c>
      <c r="AC59" s="5" t="str">
        <f>IFERROR(__xludf.DUMMYFUNCTION("""COMPUTED_VALUE"""),"No")</f>
        <v>No</v>
      </c>
    </row>
    <row r="60">
      <c r="A60" s="5" t="str">
        <f>IFERROR(__xludf.DUMMYFUNCTION("""COMPUTED_VALUE"""),"TwinklingHot5")</f>
        <v>TwinklingHot5</v>
      </c>
      <c r="B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 s="5" t="str">
        <f>IFERROR(__xludf.DUMMYFUNCTION("""COMPUTED_VALUE"""),"Yes")</f>
        <v>Yes</v>
      </c>
      <c r="D60" s="5" t="str">
        <f>IFERROR(__xludf.DUMMYFUNCTION("""COMPUTED_VALUE"""),"Yes")</f>
        <v>Yes</v>
      </c>
      <c r="E60" s="5" t="str">
        <f>IFERROR(__xludf.DUMMYFUNCTION("""COMPUTED_VALUE"""),"Yes")</f>
        <v>Yes</v>
      </c>
      <c r="F60" s="5" t="str">
        <f>IFERROR(__xludf.DUMMYFUNCTION("""COMPUTED_VALUE"""),"Yes")</f>
        <v>Yes</v>
      </c>
      <c r="G60" s="5" t="str">
        <f>IFERROR(__xludf.DUMMYFUNCTION("""COMPUTED_VALUE"""),"Yes")</f>
        <v>Yes</v>
      </c>
      <c r="H60" s="5" t="str">
        <f>IFERROR(__xludf.DUMMYFUNCTION("""COMPUTED_VALUE"""),"Yes")</f>
        <v>Yes</v>
      </c>
      <c r="I60" s="5" t="str">
        <f>IFERROR(__xludf.DUMMYFUNCTION("""COMPUTED_VALUE"""),"Yes")</f>
        <v>Yes</v>
      </c>
      <c r="J60" s="5" t="str">
        <f>IFERROR(__xludf.DUMMYFUNCTION("""COMPUTED_VALUE"""),"Yes")</f>
        <v>Yes</v>
      </c>
      <c r="K60" s="5" t="str">
        <f>IFERROR(__xludf.DUMMYFUNCTION("""COMPUTED_VALUE"""),"Yes")</f>
        <v>Yes</v>
      </c>
      <c r="L60" s="5" t="str">
        <f>IFERROR(__xludf.DUMMYFUNCTION("""COMPUTED_VALUE"""),"Yes")</f>
        <v>Yes</v>
      </c>
      <c r="M60" s="5" t="str">
        <f>IFERROR(__xludf.DUMMYFUNCTION("""COMPUTED_VALUE"""),"Yes")</f>
        <v>Yes</v>
      </c>
      <c r="N60" s="5" t="str">
        <f>IFERROR(__xludf.DUMMYFUNCTION("""COMPUTED_VALUE"""),"Yes")</f>
        <v>Yes</v>
      </c>
      <c r="O60" s="5" t="str">
        <f>IFERROR(__xludf.DUMMYFUNCTION("""COMPUTED_VALUE"""),"Yes")</f>
        <v>Yes</v>
      </c>
      <c r="P60" s="5" t="str">
        <f>IFERROR(__xludf.DUMMYFUNCTION("""COMPUTED_VALUE"""),"Yes")</f>
        <v>Yes</v>
      </c>
      <c r="Q60" s="5" t="str">
        <f>IFERROR(__xludf.DUMMYFUNCTION("""COMPUTED_VALUE"""),"Yes")</f>
        <v>Yes</v>
      </c>
      <c r="R60" s="5" t="str">
        <f>IFERROR(__xludf.DUMMYFUNCTION("""COMPUTED_VALUE"""),"Yes")</f>
        <v>Yes</v>
      </c>
      <c r="S60" s="5" t="str">
        <f>IFERROR(__xludf.DUMMYFUNCTION("""COMPUTED_VALUE"""),"Yes")</f>
        <v>Yes</v>
      </c>
      <c r="T60" s="5" t="str">
        <f>IFERROR(__xludf.DUMMYFUNCTION("""COMPUTED_VALUE"""),"Yes")</f>
        <v>Yes</v>
      </c>
      <c r="U60" s="5" t="str">
        <f>IFERROR(__xludf.DUMMYFUNCTION("""COMPUTED_VALUE"""),"Yes")</f>
        <v>Yes</v>
      </c>
      <c r="V60" s="5" t="str">
        <f>IFERROR(__xludf.DUMMYFUNCTION("""COMPUTED_VALUE"""),"Yes")</f>
        <v>Yes</v>
      </c>
      <c r="W60" s="5" t="str">
        <f>IFERROR(__xludf.DUMMYFUNCTION("""COMPUTED_VALUE"""),"Yes")</f>
        <v>Yes</v>
      </c>
      <c r="X60" s="5" t="str">
        <f>IFERROR(__xludf.DUMMYFUNCTION("""COMPUTED_VALUE"""),"Yes")</f>
        <v>Yes</v>
      </c>
      <c r="Y60" s="5" t="str">
        <f>IFERROR(__xludf.DUMMYFUNCTION("""COMPUTED_VALUE"""),"Yes")</f>
        <v>Yes</v>
      </c>
      <c r="Z60" s="5" t="str">
        <f>IFERROR(__xludf.DUMMYFUNCTION("""COMPUTED_VALUE"""),"Yes")</f>
        <v>Yes</v>
      </c>
      <c r="AA60" s="5" t="str">
        <f>IFERROR(__xludf.DUMMYFUNCTION("""COMPUTED_VALUE"""),"Yes")</f>
        <v>Yes</v>
      </c>
      <c r="AB60" s="5" t="str">
        <f>IFERROR(__xludf.DUMMYFUNCTION("""COMPUTED_VALUE"""),"Yes")</f>
        <v>Yes</v>
      </c>
      <c r="AC60" s="5" t="str">
        <f>IFERROR(__xludf.DUMMYFUNCTION("""COMPUTED_VALUE"""),"No")</f>
        <v>No</v>
      </c>
    </row>
    <row r="61">
      <c r="A61" s="5" t="str">
        <f>IFERROR(__xludf.DUMMYFUNCTION("""COMPUTED_VALUE"""),"DiceOfSpells")</f>
        <v>DiceOfSpells</v>
      </c>
      <c r="B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 s="5" t="str">
        <f>IFERROR(__xludf.DUMMYFUNCTION("""COMPUTED_VALUE"""),"Yes")</f>
        <v>Yes</v>
      </c>
      <c r="D61" s="5" t="str">
        <f>IFERROR(__xludf.DUMMYFUNCTION("""COMPUTED_VALUE"""),"Yes")</f>
        <v>Yes</v>
      </c>
      <c r="E61" s="5" t="str">
        <f>IFERROR(__xludf.DUMMYFUNCTION("""COMPUTED_VALUE"""),"Yes")</f>
        <v>Yes</v>
      </c>
      <c r="F61" s="5" t="str">
        <f>IFERROR(__xludf.DUMMYFUNCTION("""COMPUTED_VALUE"""),"Yes")</f>
        <v>Yes</v>
      </c>
      <c r="G61" s="5" t="str">
        <f>IFERROR(__xludf.DUMMYFUNCTION("""COMPUTED_VALUE"""),"Yes")</f>
        <v>Yes</v>
      </c>
      <c r="H61" s="5" t="str">
        <f>IFERROR(__xludf.DUMMYFUNCTION("""COMPUTED_VALUE"""),"Yes")</f>
        <v>Yes</v>
      </c>
      <c r="I61" s="5" t="str">
        <f>IFERROR(__xludf.DUMMYFUNCTION("""COMPUTED_VALUE"""),"Yes")</f>
        <v>Yes</v>
      </c>
      <c r="J61" s="5" t="str">
        <f>IFERROR(__xludf.DUMMYFUNCTION("""COMPUTED_VALUE"""),"Yes")</f>
        <v>Yes</v>
      </c>
      <c r="K61" s="5" t="str">
        <f>IFERROR(__xludf.DUMMYFUNCTION("""COMPUTED_VALUE"""),"Yes")</f>
        <v>Yes</v>
      </c>
      <c r="L61" s="5" t="str">
        <f>IFERROR(__xludf.DUMMYFUNCTION("""COMPUTED_VALUE"""),"Yes")</f>
        <v>Yes</v>
      </c>
      <c r="M61" s="5" t="str">
        <f>IFERROR(__xludf.DUMMYFUNCTION("""COMPUTED_VALUE"""),"Yes")</f>
        <v>Yes</v>
      </c>
      <c r="N61" s="5" t="str">
        <f>IFERROR(__xludf.DUMMYFUNCTION("""COMPUTED_VALUE"""),"Yes")</f>
        <v>Yes</v>
      </c>
      <c r="O61" s="5" t="str">
        <f>IFERROR(__xludf.DUMMYFUNCTION("""COMPUTED_VALUE"""),"Yes")</f>
        <v>Yes</v>
      </c>
      <c r="P61" s="5" t="str">
        <f>IFERROR(__xludf.DUMMYFUNCTION("""COMPUTED_VALUE"""),"Yes")</f>
        <v>Yes</v>
      </c>
      <c r="Q61" s="5" t="str">
        <f>IFERROR(__xludf.DUMMYFUNCTION("""COMPUTED_VALUE"""),"Yes")</f>
        <v>Yes</v>
      </c>
      <c r="R61" s="5" t="str">
        <f>IFERROR(__xludf.DUMMYFUNCTION("""COMPUTED_VALUE"""),"Yes")</f>
        <v>Yes</v>
      </c>
      <c r="S61" s="5" t="str">
        <f>IFERROR(__xludf.DUMMYFUNCTION("""COMPUTED_VALUE"""),"Yes")</f>
        <v>Yes</v>
      </c>
      <c r="T61" s="5" t="str">
        <f>IFERROR(__xludf.DUMMYFUNCTION("""COMPUTED_VALUE"""),"Yes")</f>
        <v>Yes</v>
      </c>
      <c r="U61" s="5" t="str">
        <f>IFERROR(__xludf.DUMMYFUNCTION("""COMPUTED_VALUE"""),"Yes")</f>
        <v>Yes</v>
      </c>
      <c r="V61" s="5" t="str">
        <f>IFERROR(__xludf.DUMMYFUNCTION("""COMPUTED_VALUE"""),"Yes")</f>
        <v>Yes</v>
      </c>
      <c r="W61" s="5" t="str">
        <f>IFERROR(__xludf.DUMMYFUNCTION("""COMPUTED_VALUE"""),"Yes")</f>
        <v>Yes</v>
      </c>
      <c r="X61" s="5" t="str">
        <f>IFERROR(__xludf.DUMMYFUNCTION("""COMPUTED_VALUE"""),"Yes")</f>
        <v>Yes</v>
      </c>
      <c r="Y61" s="5" t="str">
        <f>IFERROR(__xludf.DUMMYFUNCTION("""COMPUTED_VALUE"""),"Yes")</f>
        <v>Yes</v>
      </c>
      <c r="Z61" s="5" t="str">
        <f>IFERROR(__xludf.DUMMYFUNCTION("""COMPUTED_VALUE"""),"Yes")</f>
        <v>Yes</v>
      </c>
      <c r="AA61" s="5" t="str">
        <f>IFERROR(__xludf.DUMMYFUNCTION("""COMPUTED_VALUE"""),"Yes")</f>
        <v>Yes</v>
      </c>
      <c r="AB61" s="5" t="str">
        <f>IFERROR(__xludf.DUMMYFUNCTION("""COMPUTED_VALUE"""),"Yes")</f>
        <v>Yes</v>
      </c>
      <c r="AC61" s="5" t="str">
        <f>IFERROR(__xludf.DUMMYFUNCTION("""COMPUTED_VALUE"""),"No")</f>
        <v>No</v>
      </c>
    </row>
    <row r="62">
      <c r="A62" s="5" t="str">
        <f>IFERROR(__xludf.DUMMYFUNCTION("""COMPUTED_VALUE"""),"CubesAndStars")</f>
        <v>CubesAndStars</v>
      </c>
      <c r="B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 s="5" t="str">
        <f>IFERROR(__xludf.DUMMYFUNCTION("""COMPUTED_VALUE"""),"Yes")</f>
        <v>Yes</v>
      </c>
      <c r="D62" s="5" t="str">
        <f>IFERROR(__xludf.DUMMYFUNCTION("""COMPUTED_VALUE"""),"Yes")</f>
        <v>Yes</v>
      </c>
      <c r="E62" s="5" t="str">
        <f>IFERROR(__xludf.DUMMYFUNCTION("""COMPUTED_VALUE"""),"Yes")</f>
        <v>Yes</v>
      </c>
      <c r="F62" s="5" t="str">
        <f>IFERROR(__xludf.DUMMYFUNCTION("""COMPUTED_VALUE"""),"Yes")</f>
        <v>Yes</v>
      </c>
      <c r="G62" s="5" t="str">
        <f>IFERROR(__xludf.DUMMYFUNCTION("""COMPUTED_VALUE"""),"Yes")</f>
        <v>Yes</v>
      </c>
      <c r="H62" s="5" t="str">
        <f>IFERROR(__xludf.DUMMYFUNCTION("""COMPUTED_VALUE"""),"Yes")</f>
        <v>Yes</v>
      </c>
      <c r="I62" s="5" t="str">
        <f>IFERROR(__xludf.DUMMYFUNCTION("""COMPUTED_VALUE"""),"Yes")</f>
        <v>Yes</v>
      </c>
      <c r="J62" s="5" t="str">
        <f>IFERROR(__xludf.DUMMYFUNCTION("""COMPUTED_VALUE"""),"Yes")</f>
        <v>Yes</v>
      </c>
      <c r="K62" s="5" t="str">
        <f>IFERROR(__xludf.DUMMYFUNCTION("""COMPUTED_VALUE"""),"Yes")</f>
        <v>Yes</v>
      </c>
      <c r="L62" s="5" t="str">
        <f>IFERROR(__xludf.DUMMYFUNCTION("""COMPUTED_VALUE"""),"Yes")</f>
        <v>Yes</v>
      </c>
      <c r="M62" s="5" t="str">
        <f>IFERROR(__xludf.DUMMYFUNCTION("""COMPUTED_VALUE"""),"Yes")</f>
        <v>Yes</v>
      </c>
      <c r="N62" s="5" t="str">
        <f>IFERROR(__xludf.DUMMYFUNCTION("""COMPUTED_VALUE"""),"Yes")</f>
        <v>Yes</v>
      </c>
      <c r="O62" s="5" t="str">
        <f>IFERROR(__xludf.DUMMYFUNCTION("""COMPUTED_VALUE"""),"Yes")</f>
        <v>Yes</v>
      </c>
      <c r="P62" s="5" t="str">
        <f>IFERROR(__xludf.DUMMYFUNCTION("""COMPUTED_VALUE"""),"Yes")</f>
        <v>Yes</v>
      </c>
      <c r="Q62" s="5" t="str">
        <f>IFERROR(__xludf.DUMMYFUNCTION("""COMPUTED_VALUE"""),"Yes")</f>
        <v>Yes</v>
      </c>
      <c r="R62" s="5" t="str">
        <f>IFERROR(__xludf.DUMMYFUNCTION("""COMPUTED_VALUE"""),"Yes")</f>
        <v>Yes</v>
      </c>
      <c r="S62" s="5" t="str">
        <f>IFERROR(__xludf.DUMMYFUNCTION("""COMPUTED_VALUE"""),"Yes")</f>
        <v>Yes</v>
      </c>
      <c r="T62" s="5" t="str">
        <f>IFERROR(__xludf.DUMMYFUNCTION("""COMPUTED_VALUE"""),"Yes")</f>
        <v>Yes</v>
      </c>
      <c r="U62" s="5" t="str">
        <f>IFERROR(__xludf.DUMMYFUNCTION("""COMPUTED_VALUE"""),"Yes")</f>
        <v>Yes</v>
      </c>
      <c r="V62" s="5" t="str">
        <f>IFERROR(__xludf.DUMMYFUNCTION("""COMPUTED_VALUE"""),"Yes")</f>
        <v>Yes</v>
      </c>
      <c r="W62" s="5" t="str">
        <f>IFERROR(__xludf.DUMMYFUNCTION("""COMPUTED_VALUE"""),"Yes")</f>
        <v>Yes</v>
      </c>
      <c r="X62" s="5" t="str">
        <f>IFERROR(__xludf.DUMMYFUNCTION("""COMPUTED_VALUE"""),"Yes")</f>
        <v>Yes</v>
      </c>
      <c r="Y62" s="5" t="str">
        <f>IFERROR(__xludf.DUMMYFUNCTION("""COMPUTED_VALUE"""),"Yes")</f>
        <v>Yes</v>
      </c>
      <c r="Z62" s="5" t="str">
        <f>IFERROR(__xludf.DUMMYFUNCTION("""COMPUTED_VALUE"""),"Yes")</f>
        <v>Yes</v>
      </c>
      <c r="AA62" s="5" t="str">
        <f>IFERROR(__xludf.DUMMYFUNCTION("""COMPUTED_VALUE"""),"Yes")</f>
        <v>Yes</v>
      </c>
      <c r="AB62" s="5" t="str">
        <f>IFERROR(__xludf.DUMMYFUNCTION("""COMPUTED_VALUE"""),"Yes")</f>
        <v>Yes</v>
      </c>
      <c r="AC62" s="5" t="str">
        <f>IFERROR(__xludf.DUMMYFUNCTION("""COMPUTED_VALUE"""),"No")</f>
        <v>No</v>
      </c>
    </row>
    <row r="63">
      <c r="A63" s="5" t="str">
        <f>IFERROR(__xludf.DUMMYFUNCTION("""COMPUTED_VALUE"""),"TwinklingHot40")</f>
        <v>TwinklingHot40</v>
      </c>
      <c r="B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 s="5" t="str">
        <f>IFERROR(__xludf.DUMMYFUNCTION("""COMPUTED_VALUE"""),"Yes")</f>
        <v>Yes</v>
      </c>
      <c r="D63" s="5" t="str">
        <f>IFERROR(__xludf.DUMMYFUNCTION("""COMPUTED_VALUE"""),"Yes")</f>
        <v>Yes</v>
      </c>
      <c r="E63" s="5" t="str">
        <f>IFERROR(__xludf.DUMMYFUNCTION("""COMPUTED_VALUE"""),"Yes")</f>
        <v>Yes</v>
      </c>
      <c r="F63" s="5" t="str">
        <f>IFERROR(__xludf.DUMMYFUNCTION("""COMPUTED_VALUE"""),"Yes")</f>
        <v>Yes</v>
      </c>
      <c r="G63" s="5" t="str">
        <f>IFERROR(__xludf.DUMMYFUNCTION("""COMPUTED_VALUE"""),"Yes")</f>
        <v>Yes</v>
      </c>
      <c r="H63" s="5" t="str">
        <f>IFERROR(__xludf.DUMMYFUNCTION("""COMPUTED_VALUE"""),"Yes")</f>
        <v>Yes</v>
      </c>
      <c r="I63" s="5" t="str">
        <f>IFERROR(__xludf.DUMMYFUNCTION("""COMPUTED_VALUE"""),"Yes")</f>
        <v>Yes</v>
      </c>
      <c r="J63" s="5" t="str">
        <f>IFERROR(__xludf.DUMMYFUNCTION("""COMPUTED_VALUE"""),"Yes")</f>
        <v>Yes</v>
      </c>
      <c r="K63" s="5" t="str">
        <f>IFERROR(__xludf.DUMMYFUNCTION("""COMPUTED_VALUE"""),"Yes")</f>
        <v>Yes</v>
      </c>
      <c r="L63" s="5" t="str">
        <f>IFERROR(__xludf.DUMMYFUNCTION("""COMPUTED_VALUE"""),"Yes")</f>
        <v>Yes</v>
      </c>
      <c r="M63" s="5" t="str">
        <f>IFERROR(__xludf.DUMMYFUNCTION("""COMPUTED_VALUE"""),"Yes")</f>
        <v>Yes</v>
      </c>
      <c r="N63" s="5" t="str">
        <f>IFERROR(__xludf.DUMMYFUNCTION("""COMPUTED_VALUE"""),"Yes")</f>
        <v>Yes</v>
      </c>
      <c r="O63" s="5" t="str">
        <f>IFERROR(__xludf.DUMMYFUNCTION("""COMPUTED_VALUE"""),"Yes")</f>
        <v>Yes</v>
      </c>
      <c r="P63" s="5" t="str">
        <f>IFERROR(__xludf.DUMMYFUNCTION("""COMPUTED_VALUE"""),"Yes")</f>
        <v>Yes</v>
      </c>
      <c r="Q63" s="5" t="str">
        <f>IFERROR(__xludf.DUMMYFUNCTION("""COMPUTED_VALUE"""),"Yes")</f>
        <v>Yes</v>
      </c>
      <c r="R63" s="5" t="str">
        <f>IFERROR(__xludf.DUMMYFUNCTION("""COMPUTED_VALUE"""),"Yes")</f>
        <v>Yes</v>
      </c>
      <c r="S63" s="5" t="str">
        <f>IFERROR(__xludf.DUMMYFUNCTION("""COMPUTED_VALUE"""),"Yes")</f>
        <v>Yes</v>
      </c>
      <c r="T63" s="5" t="str">
        <f>IFERROR(__xludf.DUMMYFUNCTION("""COMPUTED_VALUE"""),"Yes")</f>
        <v>Yes</v>
      </c>
      <c r="U63" s="5" t="str">
        <f>IFERROR(__xludf.DUMMYFUNCTION("""COMPUTED_VALUE"""),"Yes")</f>
        <v>Yes</v>
      </c>
      <c r="V63" s="5" t="str">
        <f>IFERROR(__xludf.DUMMYFUNCTION("""COMPUTED_VALUE"""),"Yes")</f>
        <v>Yes</v>
      </c>
      <c r="W63" s="5" t="str">
        <f>IFERROR(__xludf.DUMMYFUNCTION("""COMPUTED_VALUE"""),"Yes")</f>
        <v>Yes</v>
      </c>
      <c r="X63" s="5" t="str">
        <f>IFERROR(__xludf.DUMMYFUNCTION("""COMPUTED_VALUE"""),"Yes")</f>
        <v>Yes</v>
      </c>
      <c r="Y63" s="5" t="str">
        <f>IFERROR(__xludf.DUMMYFUNCTION("""COMPUTED_VALUE"""),"Yes")</f>
        <v>Yes</v>
      </c>
      <c r="Z63" s="5" t="str">
        <f>IFERROR(__xludf.DUMMYFUNCTION("""COMPUTED_VALUE"""),"Yes")</f>
        <v>Yes</v>
      </c>
      <c r="AA63" s="5" t="str">
        <f>IFERROR(__xludf.DUMMYFUNCTION("""COMPUTED_VALUE"""),"Yes")</f>
        <v>Yes</v>
      </c>
      <c r="AB63" s="5" t="str">
        <f>IFERROR(__xludf.DUMMYFUNCTION("""COMPUTED_VALUE"""),"Yes")</f>
        <v>Yes</v>
      </c>
      <c r="AC63" s="5" t="str">
        <f>IFERROR(__xludf.DUMMYFUNCTION("""COMPUTED_VALUE"""),"No")</f>
        <v>No</v>
      </c>
    </row>
    <row r="64">
      <c r="A64" s="5" t="str">
        <f>IFERROR(__xludf.DUMMYFUNCTION("""COMPUTED_VALUE"""),"BookOfSpellsDeluxe")</f>
        <v>BookOfSpellsDeluxe</v>
      </c>
      <c r="B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 s="5" t="str">
        <f>IFERROR(__xludf.DUMMYFUNCTION("""COMPUTED_VALUE"""),"Yes")</f>
        <v>Yes</v>
      </c>
      <c r="D64" s="5" t="str">
        <f>IFERROR(__xludf.DUMMYFUNCTION("""COMPUTED_VALUE"""),"Yes")</f>
        <v>Yes</v>
      </c>
      <c r="E64" s="5" t="str">
        <f>IFERROR(__xludf.DUMMYFUNCTION("""COMPUTED_VALUE"""),"Yes")</f>
        <v>Yes</v>
      </c>
      <c r="F64" s="5" t="str">
        <f>IFERROR(__xludf.DUMMYFUNCTION("""COMPUTED_VALUE"""),"Yes")</f>
        <v>Yes</v>
      </c>
      <c r="G64" s="5" t="str">
        <f>IFERROR(__xludf.DUMMYFUNCTION("""COMPUTED_VALUE"""),"Yes")</f>
        <v>Yes</v>
      </c>
      <c r="H64" s="5" t="str">
        <f>IFERROR(__xludf.DUMMYFUNCTION("""COMPUTED_VALUE"""),"Yes")</f>
        <v>Yes</v>
      </c>
      <c r="I64" s="5" t="str">
        <f>IFERROR(__xludf.DUMMYFUNCTION("""COMPUTED_VALUE"""),"Yes")</f>
        <v>Yes</v>
      </c>
      <c r="J64" s="5" t="str">
        <f>IFERROR(__xludf.DUMMYFUNCTION("""COMPUTED_VALUE"""),"Yes")</f>
        <v>Yes</v>
      </c>
      <c r="K64" s="5" t="str">
        <f>IFERROR(__xludf.DUMMYFUNCTION("""COMPUTED_VALUE"""),"Yes")</f>
        <v>Yes</v>
      </c>
      <c r="L64" s="5" t="str">
        <f>IFERROR(__xludf.DUMMYFUNCTION("""COMPUTED_VALUE"""),"Yes")</f>
        <v>Yes</v>
      </c>
      <c r="M64" s="5" t="str">
        <f>IFERROR(__xludf.DUMMYFUNCTION("""COMPUTED_VALUE"""),"Yes")</f>
        <v>Yes</v>
      </c>
      <c r="N64" s="5" t="str">
        <f>IFERROR(__xludf.DUMMYFUNCTION("""COMPUTED_VALUE"""),"Yes")</f>
        <v>Yes</v>
      </c>
      <c r="O64" s="5" t="str">
        <f>IFERROR(__xludf.DUMMYFUNCTION("""COMPUTED_VALUE"""),"Yes")</f>
        <v>Yes</v>
      </c>
      <c r="P64" s="5" t="str">
        <f>IFERROR(__xludf.DUMMYFUNCTION("""COMPUTED_VALUE"""),"Yes")</f>
        <v>Yes</v>
      </c>
      <c r="Q64" s="5" t="str">
        <f>IFERROR(__xludf.DUMMYFUNCTION("""COMPUTED_VALUE"""),"Yes")</f>
        <v>Yes</v>
      </c>
      <c r="R64" s="5" t="str">
        <f>IFERROR(__xludf.DUMMYFUNCTION("""COMPUTED_VALUE"""),"Yes")</f>
        <v>Yes</v>
      </c>
      <c r="S64" s="5" t="str">
        <f>IFERROR(__xludf.DUMMYFUNCTION("""COMPUTED_VALUE"""),"Yes")</f>
        <v>Yes</v>
      </c>
      <c r="T64" s="5" t="str">
        <f>IFERROR(__xludf.DUMMYFUNCTION("""COMPUTED_VALUE"""),"Yes")</f>
        <v>Yes</v>
      </c>
      <c r="U64" s="5" t="str">
        <f>IFERROR(__xludf.DUMMYFUNCTION("""COMPUTED_VALUE"""),"Yes")</f>
        <v>Yes</v>
      </c>
      <c r="V64" s="5" t="str">
        <f>IFERROR(__xludf.DUMMYFUNCTION("""COMPUTED_VALUE"""),"Yes")</f>
        <v>Yes</v>
      </c>
      <c r="W64" s="5" t="str">
        <f>IFERROR(__xludf.DUMMYFUNCTION("""COMPUTED_VALUE"""),"Yes")</f>
        <v>Yes</v>
      </c>
      <c r="X64" s="5" t="str">
        <f>IFERROR(__xludf.DUMMYFUNCTION("""COMPUTED_VALUE"""),"Yes")</f>
        <v>Yes</v>
      </c>
      <c r="Y64" s="5" t="str">
        <f>IFERROR(__xludf.DUMMYFUNCTION("""COMPUTED_VALUE"""),"Yes")</f>
        <v>Yes</v>
      </c>
      <c r="Z64" s="5" t="str">
        <f>IFERROR(__xludf.DUMMYFUNCTION("""COMPUTED_VALUE"""),"Yes")</f>
        <v>Yes</v>
      </c>
      <c r="AA64" s="5" t="str">
        <f>IFERROR(__xludf.DUMMYFUNCTION("""COMPUTED_VALUE"""),"Yes")</f>
        <v>Yes</v>
      </c>
      <c r="AB64" s="5" t="str">
        <f>IFERROR(__xludf.DUMMYFUNCTION("""COMPUTED_VALUE"""),"Yes")</f>
        <v>Yes</v>
      </c>
      <c r="AC64" s="5" t="str">
        <f>IFERROR(__xludf.DUMMYFUNCTION("""COMPUTED_VALUE"""),"No")</f>
        <v>No</v>
      </c>
    </row>
    <row r="65">
      <c r="A65" s="5" t="str">
        <f>IFERROR(__xludf.DUMMYFUNCTION("""COMPUTED_VALUE"""),"JazzyFruits")</f>
        <v>JazzyFruits</v>
      </c>
      <c r="B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 s="5" t="str">
        <f>IFERROR(__xludf.DUMMYFUNCTION("""COMPUTED_VALUE"""),"Yes")</f>
        <v>Yes</v>
      </c>
      <c r="D65" s="5" t="str">
        <f>IFERROR(__xludf.DUMMYFUNCTION("""COMPUTED_VALUE"""),"Yes")</f>
        <v>Yes</v>
      </c>
      <c r="E65" s="5" t="str">
        <f>IFERROR(__xludf.DUMMYFUNCTION("""COMPUTED_VALUE"""),"Yes")</f>
        <v>Yes</v>
      </c>
      <c r="F65" s="5" t="str">
        <f>IFERROR(__xludf.DUMMYFUNCTION("""COMPUTED_VALUE"""),"Yes")</f>
        <v>Yes</v>
      </c>
      <c r="G65" s="5" t="str">
        <f>IFERROR(__xludf.DUMMYFUNCTION("""COMPUTED_VALUE"""),"Yes")</f>
        <v>Yes</v>
      </c>
      <c r="H65" s="5" t="str">
        <f>IFERROR(__xludf.DUMMYFUNCTION("""COMPUTED_VALUE"""),"Yes")</f>
        <v>Yes</v>
      </c>
      <c r="I65" s="5" t="str">
        <f>IFERROR(__xludf.DUMMYFUNCTION("""COMPUTED_VALUE"""),"Yes")</f>
        <v>Yes</v>
      </c>
      <c r="J65" s="5" t="str">
        <f>IFERROR(__xludf.DUMMYFUNCTION("""COMPUTED_VALUE"""),"Yes")</f>
        <v>Yes</v>
      </c>
      <c r="K65" s="5" t="str">
        <f>IFERROR(__xludf.DUMMYFUNCTION("""COMPUTED_VALUE"""),"Yes")</f>
        <v>Yes</v>
      </c>
      <c r="L65" s="5" t="str">
        <f>IFERROR(__xludf.DUMMYFUNCTION("""COMPUTED_VALUE"""),"Yes")</f>
        <v>Yes</v>
      </c>
      <c r="M65" s="5" t="str">
        <f>IFERROR(__xludf.DUMMYFUNCTION("""COMPUTED_VALUE"""),"Yes")</f>
        <v>Yes</v>
      </c>
      <c r="N65" s="5" t="str">
        <f>IFERROR(__xludf.DUMMYFUNCTION("""COMPUTED_VALUE"""),"Yes")</f>
        <v>Yes</v>
      </c>
      <c r="O65" s="5" t="str">
        <f>IFERROR(__xludf.DUMMYFUNCTION("""COMPUTED_VALUE"""),"Yes")</f>
        <v>Yes</v>
      </c>
      <c r="P65" s="5" t="str">
        <f>IFERROR(__xludf.DUMMYFUNCTION("""COMPUTED_VALUE"""),"Yes")</f>
        <v>Yes</v>
      </c>
      <c r="Q65" s="5" t="str">
        <f>IFERROR(__xludf.DUMMYFUNCTION("""COMPUTED_VALUE"""),"Yes")</f>
        <v>Yes</v>
      </c>
      <c r="R65" s="5" t="str">
        <f>IFERROR(__xludf.DUMMYFUNCTION("""COMPUTED_VALUE"""),"Yes")</f>
        <v>Yes</v>
      </c>
      <c r="S65" s="5" t="str">
        <f>IFERROR(__xludf.DUMMYFUNCTION("""COMPUTED_VALUE"""),"Yes")</f>
        <v>Yes</v>
      </c>
      <c r="T65" s="5" t="str">
        <f>IFERROR(__xludf.DUMMYFUNCTION("""COMPUTED_VALUE"""),"Yes")</f>
        <v>Yes</v>
      </c>
      <c r="U65" s="5" t="str">
        <f>IFERROR(__xludf.DUMMYFUNCTION("""COMPUTED_VALUE"""),"Yes")</f>
        <v>Yes</v>
      </c>
      <c r="V65" s="5" t="str">
        <f>IFERROR(__xludf.DUMMYFUNCTION("""COMPUTED_VALUE"""),"Yes")</f>
        <v>Yes</v>
      </c>
      <c r="W65" s="5" t="str">
        <f>IFERROR(__xludf.DUMMYFUNCTION("""COMPUTED_VALUE"""),"Yes")</f>
        <v>Yes</v>
      </c>
      <c r="X65" s="5" t="str">
        <f>IFERROR(__xludf.DUMMYFUNCTION("""COMPUTED_VALUE"""),"Yes")</f>
        <v>Yes</v>
      </c>
      <c r="Y65" s="5" t="str">
        <f>IFERROR(__xludf.DUMMYFUNCTION("""COMPUTED_VALUE"""),"Yes")</f>
        <v>Yes</v>
      </c>
      <c r="Z65" s="5" t="str">
        <f>IFERROR(__xludf.DUMMYFUNCTION("""COMPUTED_VALUE"""),"Yes")</f>
        <v>Yes</v>
      </c>
      <c r="AA65" s="5" t="str">
        <f>IFERROR(__xludf.DUMMYFUNCTION("""COMPUTED_VALUE"""),"Yes")</f>
        <v>Yes</v>
      </c>
      <c r="AB65" s="5" t="str">
        <f>IFERROR(__xludf.DUMMYFUNCTION("""COMPUTED_VALUE"""),"Yes")</f>
        <v>Yes</v>
      </c>
      <c r="AC65" s="5" t="str">
        <f>IFERROR(__xludf.DUMMYFUNCTION("""COMPUTED_VALUE"""),"No")</f>
        <v>No</v>
      </c>
    </row>
    <row r="66">
      <c r="A66" s="5" t="str">
        <f>IFERROR(__xludf.DUMMYFUNCTION("""COMPUTED_VALUE"""),"CrystalHot80")</f>
        <v>CrystalHot80</v>
      </c>
      <c r="B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 s="5" t="str">
        <f>IFERROR(__xludf.DUMMYFUNCTION("""COMPUTED_VALUE"""),"Yes")</f>
        <v>Yes</v>
      </c>
      <c r="D66" s="5" t="str">
        <f>IFERROR(__xludf.DUMMYFUNCTION("""COMPUTED_VALUE"""),"Yes")</f>
        <v>Yes</v>
      </c>
      <c r="E66" s="5" t="str">
        <f>IFERROR(__xludf.DUMMYFUNCTION("""COMPUTED_VALUE"""),"Yes")</f>
        <v>Yes</v>
      </c>
      <c r="F66" s="5" t="str">
        <f>IFERROR(__xludf.DUMMYFUNCTION("""COMPUTED_VALUE"""),"Yes")</f>
        <v>Yes</v>
      </c>
      <c r="G66" s="5" t="str">
        <f>IFERROR(__xludf.DUMMYFUNCTION("""COMPUTED_VALUE"""),"Yes")</f>
        <v>Yes</v>
      </c>
      <c r="H66" s="5" t="str">
        <f>IFERROR(__xludf.DUMMYFUNCTION("""COMPUTED_VALUE"""),"Yes")</f>
        <v>Yes</v>
      </c>
      <c r="I66" s="5" t="str">
        <f>IFERROR(__xludf.DUMMYFUNCTION("""COMPUTED_VALUE"""),"Yes")</f>
        <v>Yes</v>
      </c>
      <c r="J66" s="5" t="str">
        <f>IFERROR(__xludf.DUMMYFUNCTION("""COMPUTED_VALUE"""),"Yes")</f>
        <v>Yes</v>
      </c>
      <c r="K66" s="5" t="str">
        <f>IFERROR(__xludf.DUMMYFUNCTION("""COMPUTED_VALUE"""),"Yes")</f>
        <v>Yes</v>
      </c>
      <c r="L66" s="5" t="str">
        <f>IFERROR(__xludf.DUMMYFUNCTION("""COMPUTED_VALUE"""),"Yes")</f>
        <v>Yes</v>
      </c>
      <c r="M66" s="5" t="str">
        <f>IFERROR(__xludf.DUMMYFUNCTION("""COMPUTED_VALUE"""),"Yes")</f>
        <v>Yes</v>
      </c>
      <c r="N66" s="5" t="str">
        <f>IFERROR(__xludf.DUMMYFUNCTION("""COMPUTED_VALUE"""),"Yes")</f>
        <v>Yes</v>
      </c>
      <c r="O66" s="5" t="str">
        <f>IFERROR(__xludf.DUMMYFUNCTION("""COMPUTED_VALUE"""),"Yes")</f>
        <v>Yes</v>
      </c>
      <c r="P66" s="5" t="str">
        <f>IFERROR(__xludf.DUMMYFUNCTION("""COMPUTED_VALUE"""),"Yes")</f>
        <v>Yes</v>
      </c>
      <c r="Q66" s="5" t="str">
        <f>IFERROR(__xludf.DUMMYFUNCTION("""COMPUTED_VALUE"""),"Yes")</f>
        <v>Yes</v>
      </c>
      <c r="R66" s="5" t="str">
        <f>IFERROR(__xludf.DUMMYFUNCTION("""COMPUTED_VALUE"""),"Yes")</f>
        <v>Yes</v>
      </c>
      <c r="S66" s="5" t="str">
        <f>IFERROR(__xludf.DUMMYFUNCTION("""COMPUTED_VALUE"""),"Yes")</f>
        <v>Yes</v>
      </c>
      <c r="T66" s="5" t="str">
        <f>IFERROR(__xludf.DUMMYFUNCTION("""COMPUTED_VALUE"""),"Yes")</f>
        <v>Yes</v>
      </c>
      <c r="U66" s="5" t="str">
        <f>IFERROR(__xludf.DUMMYFUNCTION("""COMPUTED_VALUE"""),"Yes")</f>
        <v>Yes</v>
      </c>
      <c r="V66" s="5" t="str">
        <f>IFERROR(__xludf.DUMMYFUNCTION("""COMPUTED_VALUE"""),"Yes")</f>
        <v>Yes</v>
      </c>
      <c r="W66" s="5" t="str">
        <f>IFERROR(__xludf.DUMMYFUNCTION("""COMPUTED_VALUE"""),"Yes")</f>
        <v>Yes</v>
      </c>
      <c r="X66" s="5" t="str">
        <f>IFERROR(__xludf.DUMMYFUNCTION("""COMPUTED_VALUE"""),"Yes")</f>
        <v>Yes</v>
      </c>
      <c r="Y66" s="5" t="str">
        <f>IFERROR(__xludf.DUMMYFUNCTION("""COMPUTED_VALUE"""),"Yes")</f>
        <v>Yes</v>
      </c>
      <c r="Z66" s="5" t="str">
        <f>IFERROR(__xludf.DUMMYFUNCTION("""COMPUTED_VALUE"""),"Yes")</f>
        <v>Yes</v>
      </c>
      <c r="AA66" s="5" t="str">
        <f>IFERROR(__xludf.DUMMYFUNCTION("""COMPUTED_VALUE"""),"Yes")</f>
        <v>Yes</v>
      </c>
      <c r="AB66" s="5" t="str">
        <f>IFERROR(__xludf.DUMMYFUNCTION("""COMPUTED_VALUE"""),"Yes")</f>
        <v>Yes</v>
      </c>
      <c r="AC66" s="5" t="str">
        <f>IFERROR(__xludf.DUMMYFUNCTION("""COMPUTED_VALUE"""),"No")</f>
        <v>No</v>
      </c>
    </row>
    <row r="67">
      <c r="A67" s="5" t="str">
        <f>IFERROR(__xludf.DUMMYFUNCTION("""COMPUTED_VALUE"""),"CrystalHot40Gd")</f>
        <v>CrystalHot40Gd</v>
      </c>
      <c r="B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 s="5" t="str">
        <f>IFERROR(__xludf.DUMMYFUNCTION("""COMPUTED_VALUE"""),"Yes")</f>
        <v>Yes</v>
      </c>
      <c r="D67" s="5" t="str">
        <f>IFERROR(__xludf.DUMMYFUNCTION("""COMPUTED_VALUE"""),"Yes")</f>
        <v>Yes</v>
      </c>
      <c r="E67" s="5" t="str">
        <f>IFERROR(__xludf.DUMMYFUNCTION("""COMPUTED_VALUE"""),"Yes")</f>
        <v>Yes</v>
      </c>
      <c r="F67" s="5" t="str">
        <f>IFERROR(__xludf.DUMMYFUNCTION("""COMPUTED_VALUE"""),"Yes")</f>
        <v>Yes</v>
      </c>
      <c r="G67" s="5" t="str">
        <f>IFERROR(__xludf.DUMMYFUNCTION("""COMPUTED_VALUE"""),"Yes")</f>
        <v>Yes</v>
      </c>
      <c r="H67" s="5" t="str">
        <f>IFERROR(__xludf.DUMMYFUNCTION("""COMPUTED_VALUE"""),"Yes")</f>
        <v>Yes</v>
      </c>
      <c r="I67" s="5" t="str">
        <f>IFERROR(__xludf.DUMMYFUNCTION("""COMPUTED_VALUE"""),"Yes")</f>
        <v>Yes</v>
      </c>
      <c r="J67" s="5" t="str">
        <f>IFERROR(__xludf.DUMMYFUNCTION("""COMPUTED_VALUE"""),"Yes")</f>
        <v>Yes</v>
      </c>
      <c r="K67" s="5" t="str">
        <f>IFERROR(__xludf.DUMMYFUNCTION("""COMPUTED_VALUE"""),"Yes")</f>
        <v>Yes</v>
      </c>
      <c r="L67" s="5" t="str">
        <f>IFERROR(__xludf.DUMMYFUNCTION("""COMPUTED_VALUE"""),"Yes")</f>
        <v>Yes</v>
      </c>
      <c r="M67" s="5" t="str">
        <f>IFERROR(__xludf.DUMMYFUNCTION("""COMPUTED_VALUE"""),"Yes")</f>
        <v>Yes</v>
      </c>
      <c r="N67" s="5" t="str">
        <f>IFERROR(__xludf.DUMMYFUNCTION("""COMPUTED_VALUE"""),"Yes")</f>
        <v>Yes</v>
      </c>
      <c r="O67" s="5" t="str">
        <f>IFERROR(__xludf.DUMMYFUNCTION("""COMPUTED_VALUE"""),"Yes")</f>
        <v>Yes</v>
      </c>
      <c r="P67" s="5" t="str">
        <f>IFERROR(__xludf.DUMMYFUNCTION("""COMPUTED_VALUE"""),"Yes")</f>
        <v>Yes</v>
      </c>
      <c r="Q67" s="5" t="str">
        <f>IFERROR(__xludf.DUMMYFUNCTION("""COMPUTED_VALUE"""),"Yes")</f>
        <v>Yes</v>
      </c>
      <c r="R67" s="5" t="str">
        <f>IFERROR(__xludf.DUMMYFUNCTION("""COMPUTED_VALUE"""),"Yes")</f>
        <v>Yes</v>
      </c>
      <c r="S67" s="5" t="str">
        <f>IFERROR(__xludf.DUMMYFUNCTION("""COMPUTED_VALUE"""),"Yes")</f>
        <v>Yes</v>
      </c>
      <c r="T67" s="5" t="str">
        <f>IFERROR(__xludf.DUMMYFUNCTION("""COMPUTED_VALUE"""),"Yes")</f>
        <v>Yes</v>
      </c>
      <c r="U67" s="5" t="str">
        <f>IFERROR(__xludf.DUMMYFUNCTION("""COMPUTED_VALUE"""),"Yes")</f>
        <v>Yes</v>
      </c>
      <c r="V67" s="5" t="str">
        <f>IFERROR(__xludf.DUMMYFUNCTION("""COMPUTED_VALUE"""),"Yes")</f>
        <v>Yes</v>
      </c>
      <c r="W67" s="5" t="str">
        <f>IFERROR(__xludf.DUMMYFUNCTION("""COMPUTED_VALUE"""),"Yes")</f>
        <v>Yes</v>
      </c>
      <c r="X67" s="5" t="str">
        <f>IFERROR(__xludf.DUMMYFUNCTION("""COMPUTED_VALUE"""),"Yes")</f>
        <v>Yes</v>
      </c>
      <c r="Y67" s="5" t="str">
        <f>IFERROR(__xludf.DUMMYFUNCTION("""COMPUTED_VALUE"""),"Yes")</f>
        <v>Yes</v>
      </c>
      <c r="Z67" s="5" t="str">
        <f>IFERROR(__xludf.DUMMYFUNCTION("""COMPUTED_VALUE"""),"Yes")</f>
        <v>Yes</v>
      </c>
      <c r="AA67" s="5" t="str">
        <f>IFERROR(__xludf.DUMMYFUNCTION("""COMPUTED_VALUE"""),"Yes")</f>
        <v>Yes</v>
      </c>
      <c r="AB67" s="5" t="str">
        <f>IFERROR(__xludf.DUMMYFUNCTION("""COMPUTED_VALUE"""),"Yes")</f>
        <v>Yes</v>
      </c>
      <c r="AC67" s="5" t="str">
        <f>IFERROR(__xludf.DUMMYFUNCTION("""COMPUTED_VALUE"""),"No")</f>
        <v>No</v>
      </c>
    </row>
    <row r="68">
      <c r="A68" s="5" t="str">
        <f>IFERROR(__xludf.DUMMYFUNCTION("""COMPUTED_VALUE"""),"CrystalHot40Deluxe")</f>
        <v>CrystalHot40Deluxe</v>
      </c>
      <c r="B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8" s="5" t="str">
        <f>IFERROR(__xludf.DUMMYFUNCTION("""COMPUTED_VALUE"""),"Yes")</f>
        <v>Yes</v>
      </c>
      <c r="D68" s="5" t="str">
        <f>IFERROR(__xludf.DUMMYFUNCTION("""COMPUTED_VALUE"""),"Yes")</f>
        <v>Yes</v>
      </c>
      <c r="E68" s="5" t="str">
        <f>IFERROR(__xludf.DUMMYFUNCTION("""COMPUTED_VALUE"""),"Yes")</f>
        <v>Yes</v>
      </c>
      <c r="F68" s="5" t="str">
        <f>IFERROR(__xludf.DUMMYFUNCTION("""COMPUTED_VALUE"""),"Yes")</f>
        <v>Yes</v>
      </c>
      <c r="G68" s="5" t="str">
        <f>IFERROR(__xludf.DUMMYFUNCTION("""COMPUTED_VALUE"""),"Yes")</f>
        <v>Yes</v>
      </c>
      <c r="H68" s="5" t="str">
        <f>IFERROR(__xludf.DUMMYFUNCTION("""COMPUTED_VALUE"""),"Yes")</f>
        <v>Yes</v>
      </c>
      <c r="I68" s="5" t="str">
        <f>IFERROR(__xludf.DUMMYFUNCTION("""COMPUTED_VALUE"""),"Yes")</f>
        <v>Yes</v>
      </c>
      <c r="J68" s="5" t="str">
        <f>IFERROR(__xludf.DUMMYFUNCTION("""COMPUTED_VALUE"""),"Yes")</f>
        <v>Yes</v>
      </c>
      <c r="K68" s="5" t="str">
        <f>IFERROR(__xludf.DUMMYFUNCTION("""COMPUTED_VALUE"""),"Yes")</f>
        <v>Yes</v>
      </c>
      <c r="L68" s="5" t="str">
        <f>IFERROR(__xludf.DUMMYFUNCTION("""COMPUTED_VALUE"""),"Yes")</f>
        <v>Yes</v>
      </c>
      <c r="M68" s="5" t="str">
        <f>IFERROR(__xludf.DUMMYFUNCTION("""COMPUTED_VALUE"""),"Yes")</f>
        <v>Yes</v>
      </c>
      <c r="N68" s="5" t="str">
        <f>IFERROR(__xludf.DUMMYFUNCTION("""COMPUTED_VALUE"""),"Yes")</f>
        <v>Yes</v>
      </c>
      <c r="O68" s="5" t="str">
        <f>IFERROR(__xludf.DUMMYFUNCTION("""COMPUTED_VALUE"""),"Yes")</f>
        <v>Yes</v>
      </c>
      <c r="P68" s="5" t="str">
        <f>IFERROR(__xludf.DUMMYFUNCTION("""COMPUTED_VALUE"""),"Yes")</f>
        <v>Yes</v>
      </c>
      <c r="Q68" s="5" t="str">
        <f>IFERROR(__xludf.DUMMYFUNCTION("""COMPUTED_VALUE"""),"Yes")</f>
        <v>Yes</v>
      </c>
      <c r="R68" s="5" t="str">
        <f>IFERROR(__xludf.DUMMYFUNCTION("""COMPUTED_VALUE"""),"Yes")</f>
        <v>Yes</v>
      </c>
      <c r="S68" s="5" t="str">
        <f>IFERROR(__xludf.DUMMYFUNCTION("""COMPUTED_VALUE"""),"Yes")</f>
        <v>Yes</v>
      </c>
      <c r="T68" s="5" t="str">
        <f>IFERROR(__xludf.DUMMYFUNCTION("""COMPUTED_VALUE"""),"Yes")</f>
        <v>Yes</v>
      </c>
      <c r="U68" s="5" t="str">
        <f>IFERROR(__xludf.DUMMYFUNCTION("""COMPUTED_VALUE"""),"Yes")</f>
        <v>Yes</v>
      </c>
      <c r="V68" s="5" t="str">
        <f>IFERROR(__xludf.DUMMYFUNCTION("""COMPUTED_VALUE"""),"Yes")</f>
        <v>Yes</v>
      </c>
      <c r="W68" s="5" t="str">
        <f>IFERROR(__xludf.DUMMYFUNCTION("""COMPUTED_VALUE"""),"Yes")</f>
        <v>Yes</v>
      </c>
      <c r="X68" s="5" t="str">
        <f>IFERROR(__xludf.DUMMYFUNCTION("""COMPUTED_VALUE"""),"Yes")</f>
        <v>Yes</v>
      </c>
      <c r="Y68" s="5" t="str">
        <f>IFERROR(__xludf.DUMMYFUNCTION("""COMPUTED_VALUE"""),"Yes")</f>
        <v>Yes</v>
      </c>
      <c r="Z68" s="5" t="str">
        <f>IFERROR(__xludf.DUMMYFUNCTION("""COMPUTED_VALUE"""),"Yes")</f>
        <v>Yes</v>
      </c>
      <c r="AA68" s="5" t="str">
        <f>IFERROR(__xludf.DUMMYFUNCTION("""COMPUTED_VALUE"""),"Yes")</f>
        <v>Yes</v>
      </c>
      <c r="AB68" s="5" t="str">
        <f>IFERROR(__xludf.DUMMYFUNCTION("""COMPUTED_VALUE"""),"Yes")</f>
        <v>Yes</v>
      </c>
      <c r="AC68" s="5" t="str">
        <f>IFERROR(__xludf.DUMMYFUNCTION("""COMPUTED_VALUE"""),"No")</f>
        <v>No</v>
      </c>
    </row>
    <row r="69">
      <c r="A69" s="5" t="str">
        <f>IFERROR(__xludf.DUMMYFUNCTION("""COMPUTED_VALUE"""),"LiveFaziRoulette")</f>
        <v>LiveFaziRoulette</v>
      </c>
      <c r="B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 s="5" t="str">
        <f>IFERROR(__xludf.DUMMYFUNCTION("""COMPUTED_VALUE"""),"Yes")</f>
        <v>Yes</v>
      </c>
      <c r="D69" s="5" t="str">
        <f>IFERROR(__xludf.DUMMYFUNCTION("""COMPUTED_VALUE"""),"Yes")</f>
        <v>Yes</v>
      </c>
      <c r="E69" s="5" t="str">
        <f>IFERROR(__xludf.DUMMYFUNCTION("""COMPUTED_VALUE"""),"Yes")</f>
        <v>Yes</v>
      </c>
      <c r="F69" s="5" t="str">
        <f>IFERROR(__xludf.DUMMYFUNCTION("""COMPUTED_VALUE"""),"Yes")</f>
        <v>Yes</v>
      </c>
      <c r="G69" s="5" t="str">
        <f>IFERROR(__xludf.DUMMYFUNCTION("""COMPUTED_VALUE"""),"Yes")</f>
        <v>Yes</v>
      </c>
      <c r="H69" s="5" t="str">
        <f>IFERROR(__xludf.DUMMYFUNCTION("""COMPUTED_VALUE"""),"Yes")</f>
        <v>Yes</v>
      </c>
      <c r="I69" s="5" t="str">
        <f>IFERROR(__xludf.DUMMYFUNCTION("""COMPUTED_VALUE"""),"Yes")</f>
        <v>Yes</v>
      </c>
      <c r="J69" s="5" t="str">
        <f>IFERROR(__xludf.DUMMYFUNCTION("""COMPUTED_VALUE"""),"Yes")</f>
        <v>Yes</v>
      </c>
      <c r="K69" s="5" t="str">
        <f>IFERROR(__xludf.DUMMYFUNCTION("""COMPUTED_VALUE"""),"Yes")</f>
        <v>Yes</v>
      </c>
      <c r="L69" s="5" t="str">
        <f>IFERROR(__xludf.DUMMYFUNCTION("""COMPUTED_VALUE"""),"Yes")</f>
        <v>Yes</v>
      </c>
      <c r="M69" s="5" t="str">
        <f>IFERROR(__xludf.DUMMYFUNCTION("""COMPUTED_VALUE"""),"Yes")</f>
        <v>Yes</v>
      </c>
      <c r="N69" s="5" t="str">
        <f>IFERROR(__xludf.DUMMYFUNCTION("""COMPUTED_VALUE"""),"Yes")</f>
        <v>Yes</v>
      </c>
      <c r="O69" s="5" t="str">
        <f>IFERROR(__xludf.DUMMYFUNCTION("""COMPUTED_VALUE"""),"Yes")</f>
        <v>Yes</v>
      </c>
      <c r="P69" s="5" t="str">
        <f>IFERROR(__xludf.DUMMYFUNCTION("""COMPUTED_VALUE"""),"Yes")</f>
        <v>Yes</v>
      </c>
      <c r="Q69" s="5" t="str">
        <f>IFERROR(__xludf.DUMMYFUNCTION("""COMPUTED_VALUE"""),"Yes")</f>
        <v>Yes</v>
      </c>
      <c r="R69" s="5" t="str">
        <f>IFERROR(__xludf.DUMMYFUNCTION("""COMPUTED_VALUE"""),"Yes")</f>
        <v>Yes</v>
      </c>
      <c r="S69" s="5" t="str">
        <f>IFERROR(__xludf.DUMMYFUNCTION("""COMPUTED_VALUE"""),"Yes")</f>
        <v>Yes</v>
      </c>
      <c r="T69" s="5" t="str">
        <f>IFERROR(__xludf.DUMMYFUNCTION("""COMPUTED_VALUE"""),"Yes")</f>
        <v>Yes</v>
      </c>
      <c r="U69" s="5" t="str">
        <f>IFERROR(__xludf.DUMMYFUNCTION("""COMPUTED_VALUE"""),"Yes")</f>
        <v>Yes</v>
      </c>
      <c r="V69" s="5" t="str">
        <f>IFERROR(__xludf.DUMMYFUNCTION("""COMPUTED_VALUE"""),"Yes")</f>
        <v>Yes</v>
      </c>
      <c r="W69" s="5" t="str">
        <f>IFERROR(__xludf.DUMMYFUNCTION("""COMPUTED_VALUE"""),"Yes")</f>
        <v>Yes</v>
      </c>
      <c r="X69" s="5" t="str">
        <f>IFERROR(__xludf.DUMMYFUNCTION("""COMPUTED_VALUE"""),"Yes")</f>
        <v>Yes</v>
      </c>
      <c r="Y69" s="5" t="str">
        <f>IFERROR(__xludf.DUMMYFUNCTION("""COMPUTED_VALUE"""),"Yes")</f>
        <v>Yes</v>
      </c>
      <c r="Z69" s="5" t="str">
        <f>IFERROR(__xludf.DUMMYFUNCTION("""COMPUTED_VALUE"""),"Yes")</f>
        <v>Yes</v>
      </c>
      <c r="AA69" s="5" t="str">
        <f>IFERROR(__xludf.DUMMYFUNCTION("""COMPUTED_VALUE"""),"Yes")</f>
        <v>Yes</v>
      </c>
      <c r="AB69" s="5" t="str">
        <f>IFERROR(__xludf.DUMMYFUNCTION("""COMPUTED_VALUE"""),"Yes")</f>
        <v>Yes</v>
      </c>
      <c r="AC69" s="5" t="str">
        <f>IFERROR(__xludf.DUMMYFUNCTION("""COMPUTED_VALUE"""),"No")</f>
        <v>No</v>
      </c>
    </row>
    <row r="70">
      <c r="A70" s="5" t="str">
        <f>IFERROR(__xludf.DUMMYFUNCTION("""COMPUTED_VALUE"""),"GoldenClover")</f>
        <v>GoldenClover</v>
      </c>
      <c r="B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0" s="5" t="str">
        <f>IFERROR(__xludf.DUMMYFUNCTION("""COMPUTED_VALUE"""),"Yes")</f>
        <v>Yes</v>
      </c>
      <c r="D70" s="5" t="str">
        <f>IFERROR(__xludf.DUMMYFUNCTION("""COMPUTED_VALUE"""),"Yes")</f>
        <v>Yes</v>
      </c>
      <c r="E70" s="5" t="str">
        <f>IFERROR(__xludf.DUMMYFUNCTION("""COMPUTED_VALUE"""),"Yes")</f>
        <v>Yes</v>
      </c>
      <c r="F70" s="5" t="str">
        <f>IFERROR(__xludf.DUMMYFUNCTION("""COMPUTED_VALUE"""),"Yes")</f>
        <v>Yes</v>
      </c>
      <c r="G70" s="5" t="str">
        <f>IFERROR(__xludf.DUMMYFUNCTION("""COMPUTED_VALUE"""),"Yes")</f>
        <v>Yes</v>
      </c>
      <c r="H70" s="5" t="str">
        <f>IFERROR(__xludf.DUMMYFUNCTION("""COMPUTED_VALUE"""),"Yes")</f>
        <v>Yes</v>
      </c>
      <c r="I70" s="5" t="str">
        <f>IFERROR(__xludf.DUMMYFUNCTION("""COMPUTED_VALUE"""),"Yes")</f>
        <v>Yes</v>
      </c>
      <c r="J70" s="5" t="str">
        <f>IFERROR(__xludf.DUMMYFUNCTION("""COMPUTED_VALUE"""),"Yes")</f>
        <v>Yes</v>
      </c>
      <c r="K70" s="5" t="str">
        <f>IFERROR(__xludf.DUMMYFUNCTION("""COMPUTED_VALUE"""),"Yes")</f>
        <v>Yes</v>
      </c>
      <c r="L70" s="5" t="str">
        <f>IFERROR(__xludf.DUMMYFUNCTION("""COMPUTED_VALUE"""),"Yes")</f>
        <v>Yes</v>
      </c>
      <c r="M70" s="5" t="str">
        <f>IFERROR(__xludf.DUMMYFUNCTION("""COMPUTED_VALUE"""),"Yes")</f>
        <v>Yes</v>
      </c>
      <c r="N70" s="5" t="str">
        <f>IFERROR(__xludf.DUMMYFUNCTION("""COMPUTED_VALUE"""),"Yes")</f>
        <v>Yes</v>
      </c>
      <c r="O70" s="5" t="str">
        <f>IFERROR(__xludf.DUMMYFUNCTION("""COMPUTED_VALUE"""),"Yes")</f>
        <v>Yes</v>
      </c>
      <c r="P70" s="5" t="str">
        <f>IFERROR(__xludf.DUMMYFUNCTION("""COMPUTED_VALUE"""),"Yes")</f>
        <v>Yes</v>
      </c>
      <c r="Q70" s="5" t="str">
        <f>IFERROR(__xludf.DUMMYFUNCTION("""COMPUTED_VALUE"""),"Yes")</f>
        <v>Yes</v>
      </c>
      <c r="R70" s="5" t="str">
        <f>IFERROR(__xludf.DUMMYFUNCTION("""COMPUTED_VALUE"""),"Yes")</f>
        <v>Yes</v>
      </c>
      <c r="S70" s="5" t="str">
        <f>IFERROR(__xludf.DUMMYFUNCTION("""COMPUTED_VALUE"""),"Yes")</f>
        <v>Yes</v>
      </c>
      <c r="T70" s="5" t="str">
        <f>IFERROR(__xludf.DUMMYFUNCTION("""COMPUTED_VALUE"""),"Yes")</f>
        <v>Yes</v>
      </c>
      <c r="U70" s="5" t="str">
        <f>IFERROR(__xludf.DUMMYFUNCTION("""COMPUTED_VALUE"""),"Yes")</f>
        <v>Yes</v>
      </c>
      <c r="V70" s="5" t="str">
        <f>IFERROR(__xludf.DUMMYFUNCTION("""COMPUTED_VALUE"""),"Yes")</f>
        <v>Yes</v>
      </c>
      <c r="W70" s="5"/>
      <c r="X70" s="5"/>
      <c r="Y70" s="5"/>
      <c r="Z70" s="5" t="str">
        <f>IFERROR(__xludf.DUMMYFUNCTION("""COMPUTED_VALUE"""),"Yes")</f>
        <v>Yes</v>
      </c>
      <c r="AA70" s="5"/>
      <c r="AB70" s="5"/>
      <c r="AC70" s="5"/>
    </row>
    <row r="71">
      <c r="A71" s="5" t="str">
        <f>IFERROR(__xludf.DUMMYFUNCTION("""COMPUTED_VALUE"""),"CrystalHot40Gd2")</f>
        <v>CrystalHot40Gd2</v>
      </c>
      <c r="B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 s="5" t="str">
        <f>IFERROR(__xludf.DUMMYFUNCTION("""COMPUTED_VALUE"""),"Yes")</f>
        <v>Yes</v>
      </c>
      <c r="D71" s="5" t="str">
        <f>IFERROR(__xludf.DUMMYFUNCTION("""COMPUTED_VALUE"""),"Yes")</f>
        <v>Yes</v>
      </c>
      <c r="E71" s="5" t="str">
        <f>IFERROR(__xludf.DUMMYFUNCTION("""COMPUTED_VALUE"""),"Yes")</f>
        <v>Yes</v>
      </c>
      <c r="F71" s="5" t="str">
        <f>IFERROR(__xludf.DUMMYFUNCTION("""COMPUTED_VALUE"""),"Yes")</f>
        <v>Yes</v>
      </c>
      <c r="G71" s="5" t="str">
        <f>IFERROR(__xludf.DUMMYFUNCTION("""COMPUTED_VALUE"""),"Yes")</f>
        <v>Yes</v>
      </c>
      <c r="H71" s="5" t="str">
        <f>IFERROR(__xludf.DUMMYFUNCTION("""COMPUTED_VALUE"""),"Yes")</f>
        <v>Yes</v>
      </c>
      <c r="I71" s="5" t="str">
        <f>IFERROR(__xludf.DUMMYFUNCTION("""COMPUTED_VALUE"""),"Yes")</f>
        <v>Yes</v>
      </c>
      <c r="J71" s="5" t="str">
        <f>IFERROR(__xludf.DUMMYFUNCTION("""COMPUTED_VALUE"""),"Yes")</f>
        <v>Yes</v>
      </c>
      <c r="K71" s="5" t="str">
        <f>IFERROR(__xludf.DUMMYFUNCTION("""COMPUTED_VALUE"""),"Yes")</f>
        <v>Yes</v>
      </c>
      <c r="L71" s="5" t="str">
        <f>IFERROR(__xludf.DUMMYFUNCTION("""COMPUTED_VALUE"""),"Yes")</f>
        <v>Yes</v>
      </c>
      <c r="M71" s="5" t="str">
        <f>IFERROR(__xludf.DUMMYFUNCTION("""COMPUTED_VALUE"""),"Yes")</f>
        <v>Yes</v>
      </c>
      <c r="N71" s="5" t="str">
        <f>IFERROR(__xludf.DUMMYFUNCTION("""COMPUTED_VALUE"""),"Yes")</f>
        <v>Yes</v>
      </c>
      <c r="O71" s="5" t="str">
        <f>IFERROR(__xludf.DUMMYFUNCTION("""COMPUTED_VALUE"""),"Yes")</f>
        <v>Yes</v>
      </c>
      <c r="P71" s="5" t="str">
        <f>IFERROR(__xludf.DUMMYFUNCTION("""COMPUTED_VALUE"""),"Yes")</f>
        <v>Yes</v>
      </c>
      <c r="Q71" s="5" t="str">
        <f>IFERROR(__xludf.DUMMYFUNCTION("""COMPUTED_VALUE"""),"Yes")</f>
        <v>Yes</v>
      </c>
      <c r="R71" s="5" t="str">
        <f>IFERROR(__xludf.DUMMYFUNCTION("""COMPUTED_VALUE"""),"Yes")</f>
        <v>Yes</v>
      </c>
      <c r="S71" s="5" t="str">
        <f>IFERROR(__xludf.DUMMYFUNCTION("""COMPUTED_VALUE"""),"Yes")</f>
        <v>Yes</v>
      </c>
      <c r="T71" s="5" t="str">
        <f>IFERROR(__xludf.DUMMYFUNCTION("""COMPUTED_VALUE"""),"Yes")</f>
        <v>Yes</v>
      </c>
      <c r="U71" s="5" t="str">
        <f>IFERROR(__xludf.DUMMYFUNCTION("""COMPUTED_VALUE"""),"Yes")</f>
        <v>Yes</v>
      </c>
      <c r="V71" s="5" t="str">
        <f>IFERROR(__xludf.DUMMYFUNCTION("""COMPUTED_VALUE"""),"Yes")</f>
        <v>Yes</v>
      </c>
      <c r="W71" s="5" t="str">
        <f>IFERROR(__xludf.DUMMYFUNCTION("""COMPUTED_VALUE"""),"Yes")</f>
        <v>Yes</v>
      </c>
      <c r="X71" s="5" t="str">
        <f>IFERROR(__xludf.DUMMYFUNCTION("""COMPUTED_VALUE"""),"Yes")</f>
        <v>Yes</v>
      </c>
      <c r="Y71" s="5" t="str">
        <f>IFERROR(__xludf.DUMMYFUNCTION("""COMPUTED_VALUE"""),"Yes")</f>
        <v>Yes</v>
      </c>
      <c r="Z71" s="5" t="str">
        <f>IFERROR(__xludf.DUMMYFUNCTION("""COMPUTED_VALUE"""),"Yes")</f>
        <v>Yes</v>
      </c>
      <c r="AA71" s="5" t="str">
        <f>IFERROR(__xludf.DUMMYFUNCTION("""COMPUTED_VALUE"""),"Yes")</f>
        <v>Yes</v>
      </c>
      <c r="AB71" s="5" t="str">
        <f>IFERROR(__xludf.DUMMYFUNCTION("""COMPUTED_VALUE"""),"Yes")</f>
        <v>Yes</v>
      </c>
      <c r="AC71" s="5" t="str">
        <f>IFERROR(__xludf.DUMMYFUNCTION("""COMPUTED_VALUE"""),"No")</f>
        <v>No</v>
      </c>
    </row>
    <row r="72">
      <c r="A72" s="5" t="str">
        <f>IFERROR(__xludf.DUMMYFUNCTION("""COMPUTED_VALUE"""),"CrystalWin")</f>
        <v>CrystalWin</v>
      </c>
      <c r="B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 s="5" t="str">
        <f>IFERROR(__xludf.DUMMYFUNCTION("""COMPUTED_VALUE"""),"Yes")</f>
        <v>Yes</v>
      </c>
      <c r="D72" s="5" t="str">
        <f>IFERROR(__xludf.DUMMYFUNCTION("""COMPUTED_VALUE"""),"Yes")</f>
        <v>Yes</v>
      </c>
      <c r="E72" s="5" t="str">
        <f>IFERROR(__xludf.DUMMYFUNCTION("""COMPUTED_VALUE"""),"Yes")</f>
        <v>Yes</v>
      </c>
      <c r="F72" s="5" t="str">
        <f>IFERROR(__xludf.DUMMYFUNCTION("""COMPUTED_VALUE"""),"Yes")</f>
        <v>Yes</v>
      </c>
      <c r="G72" s="5" t="str">
        <f>IFERROR(__xludf.DUMMYFUNCTION("""COMPUTED_VALUE"""),"Yes")</f>
        <v>Yes</v>
      </c>
      <c r="H72" s="5" t="str">
        <f>IFERROR(__xludf.DUMMYFUNCTION("""COMPUTED_VALUE"""),"Yes")</f>
        <v>Yes</v>
      </c>
      <c r="I72" s="5" t="str">
        <f>IFERROR(__xludf.DUMMYFUNCTION("""COMPUTED_VALUE"""),"Yes")</f>
        <v>Yes</v>
      </c>
      <c r="J72" s="5" t="str">
        <f>IFERROR(__xludf.DUMMYFUNCTION("""COMPUTED_VALUE"""),"Yes")</f>
        <v>Yes</v>
      </c>
      <c r="K72" s="5" t="str">
        <f>IFERROR(__xludf.DUMMYFUNCTION("""COMPUTED_VALUE"""),"Yes")</f>
        <v>Yes</v>
      </c>
      <c r="L72" s="5" t="str">
        <f>IFERROR(__xludf.DUMMYFUNCTION("""COMPUTED_VALUE"""),"Yes")</f>
        <v>Yes</v>
      </c>
      <c r="M72" s="5" t="str">
        <f>IFERROR(__xludf.DUMMYFUNCTION("""COMPUTED_VALUE"""),"Yes")</f>
        <v>Yes</v>
      </c>
      <c r="N72" s="5" t="str">
        <f>IFERROR(__xludf.DUMMYFUNCTION("""COMPUTED_VALUE"""),"Yes")</f>
        <v>Yes</v>
      </c>
      <c r="O72" s="5" t="str">
        <f>IFERROR(__xludf.DUMMYFUNCTION("""COMPUTED_VALUE"""),"Yes")</f>
        <v>Yes</v>
      </c>
      <c r="P72" s="5" t="str">
        <f>IFERROR(__xludf.DUMMYFUNCTION("""COMPUTED_VALUE"""),"Yes")</f>
        <v>Yes</v>
      </c>
      <c r="Q72" s="5" t="str">
        <f>IFERROR(__xludf.DUMMYFUNCTION("""COMPUTED_VALUE"""),"Yes")</f>
        <v>Yes</v>
      </c>
      <c r="R72" s="5" t="str">
        <f>IFERROR(__xludf.DUMMYFUNCTION("""COMPUTED_VALUE"""),"Yes")</f>
        <v>Yes</v>
      </c>
      <c r="S72" s="5" t="str">
        <f>IFERROR(__xludf.DUMMYFUNCTION("""COMPUTED_VALUE"""),"Yes")</f>
        <v>Yes</v>
      </c>
      <c r="T72" s="5" t="str">
        <f>IFERROR(__xludf.DUMMYFUNCTION("""COMPUTED_VALUE"""),"Yes")</f>
        <v>Yes</v>
      </c>
      <c r="U72" s="5" t="str">
        <f>IFERROR(__xludf.DUMMYFUNCTION("""COMPUTED_VALUE"""),"Yes")</f>
        <v>Yes</v>
      </c>
      <c r="V72" s="5" t="str">
        <f>IFERROR(__xludf.DUMMYFUNCTION("""COMPUTED_VALUE"""),"Yes")</f>
        <v>Yes</v>
      </c>
      <c r="W72" s="5" t="str">
        <f>IFERROR(__xludf.DUMMYFUNCTION("""COMPUTED_VALUE"""),"Yes")</f>
        <v>Yes</v>
      </c>
      <c r="X72" s="5" t="str">
        <f>IFERROR(__xludf.DUMMYFUNCTION("""COMPUTED_VALUE"""),"Yes")</f>
        <v>Yes</v>
      </c>
      <c r="Y72" s="5" t="str">
        <f>IFERROR(__xludf.DUMMYFUNCTION("""COMPUTED_VALUE"""),"Yes")</f>
        <v>Yes</v>
      </c>
      <c r="Z72" s="5" t="str">
        <f>IFERROR(__xludf.DUMMYFUNCTION("""COMPUTED_VALUE"""),"Yes")</f>
        <v>Yes</v>
      </c>
      <c r="AA72" s="5" t="str">
        <f>IFERROR(__xludf.DUMMYFUNCTION("""COMPUTED_VALUE"""),"Yes")</f>
        <v>Yes</v>
      </c>
      <c r="AB72" s="5" t="str">
        <f>IFERROR(__xludf.DUMMYFUNCTION("""COMPUTED_VALUE"""),"Yes")</f>
        <v>Yes</v>
      </c>
      <c r="AC72" s="5" t="str">
        <f>IFERROR(__xludf.DUMMYFUNCTION("""COMPUTED_VALUE"""),"No")</f>
        <v>No</v>
      </c>
    </row>
    <row r="73">
      <c r="A73" s="5" t="str">
        <f>IFERROR(__xludf.DUMMYFUNCTION("""COMPUTED_VALUE"""),"UnicornVegasDice")</f>
        <v>UnicornVegasDice</v>
      </c>
      <c r="B7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73" s="5" t="str">
        <f>IFERROR(__xludf.DUMMYFUNCTION("""COMPUTED_VALUE"""),"Yes")</f>
        <v>Yes</v>
      </c>
      <c r="D73" s="5" t="str">
        <f>IFERROR(__xludf.DUMMYFUNCTION("""COMPUTED_VALUE"""),"Yes")</f>
        <v>Yes</v>
      </c>
      <c r="E73" s="5" t="str">
        <f>IFERROR(__xludf.DUMMYFUNCTION("""COMPUTED_VALUE"""),"Yes")</f>
        <v>Yes</v>
      </c>
      <c r="F73" s="5" t="str">
        <f>IFERROR(__xludf.DUMMYFUNCTION("""COMPUTED_VALUE"""),"No")</f>
        <v>No</v>
      </c>
      <c r="G73" s="5" t="str">
        <f>IFERROR(__xludf.DUMMYFUNCTION("""COMPUTED_VALUE"""),"No")</f>
        <v>No</v>
      </c>
      <c r="H73" s="5" t="str">
        <f>IFERROR(__xludf.DUMMYFUNCTION("""COMPUTED_VALUE"""),"No")</f>
        <v>No</v>
      </c>
      <c r="I73" s="5" t="str">
        <f>IFERROR(__xludf.DUMMYFUNCTION("""COMPUTED_VALUE"""),"No")</f>
        <v>No</v>
      </c>
      <c r="J73" s="5" t="str">
        <f>IFERROR(__xludf.DUMMYFUNCTION("""COMPUTED_VALUE"""),"No")</f>
        <v>No</v>
      </c>
      <c r="K73" s="5" t="str">
        <f>IFERROR(__xludf.DUMMYFUNCTION("""COMPUTED_VALUE"""),"Yes")</f>
        <v>Yes</v>
      </c>
      <c r="L73" s="5" t="str">
        <f>IFERROR(__xludf.DUMMYFUNCTION("""COMPUTED_VALUE"""),"Yes")</f>
        <v>Yes</v>
      </c>
      <c r="M73" s="5" t="str">
        <f>IFERROR(__xludf.DUMMYFUNCTION("""COMPUTED_VALUE"""),"Yes")</f>
        <v>Yes</v>
      </c>
      <c r="N73" s="5" t="str">
        <f>IFERROR(__xludf.DUMMYFUNCTION("""COMPUTED_VALUE"""),"Yes")</f>
        <v>Yes</v>
      </c>
      <c r="O73" s="5" t="str">
        <f>IFERROR(__xludf.DUMMYFUNCTION("""COMPUTED_VALUE"""),"Yes")</f>
        <v>Yes</v>
      </c>
      <c r="P73" s="5" t="str">
        <f>IFERROR(__xludf.DUMMYFUNCTION("""COMPUTED_VALUE"""),"No")</f>
        <v>No</v>
      </c>
      <c r="Q73" s="5" t="str">
        <f>IFERROR(__xludf.DUMMYFUNCTION("""COMPUTED_VALUE"""),"Yes")</f>
        <v>Yes</v>
      </c>
      <c r="R73" s="5" t="str">
        <f>IFERROR(__xludf.DUMMYFUNCTION("""COMPUTED_VALUE"""),"No")</f>
        <v>No</v>
      </c>
      <c r="S73" s="5" t="str">
        <f>IFERROR(__xludf.DUMMYFUNCTION("""COMPUTED_VALUE"""),"No")</f>
        <v>No</v>
      </c>
      <c r="T73" s="5" t="str">
        <f>IFERROR(__xludf.DUMMYFUNCTION("""COMPUTED_VALUE"""),"No")</f>
        <v>No</v>
      </c>
      <c r="U73" s="5" t="str">
        <f>IFERROR(__xludf.DUMMYFUNCTION("""COMPUTED_VALUE"""),"No")</f>
        <v>No</v>
      </c>
      <c r="V73" s="5" t="str">
        <f>IFERROR(__xludf.DUMMYFUNCTION("""COMPUTED_VALUE"""),"No")</f>
        <v>No</v>
      </c>
      <c r="W73" s="5"/>
      <c r="X73" s="5" t="str">
        <f>IFERROR(__xludf.DUMMYFUNCTION("""COMPUTED_VALUE"""),"No")</f>
        <v>No</v>
      </c>
      <c r="Y73" s="5"/>
      <c r="Z73" s="5" t="str">
        <f>IFERROR(__xludf.DUMMYFUNCTION("""COMPUTED_VALUE"""),"No")</f>
        <v>No</v>
      </c>
      <c r="AA73" s="5"/>
      <c r="AB73" s="5" t="str">
        <f>IFERROR(__xludf.DUMMYFUNCTION("""COMPUTED_VALUE"""),"No")</f>
        <v>No</v>
      </c>
      <c r="AC73" s="5" t="str">
        <f>IFERROR(__xludf.DUMMYFUNCTION("""COMPUTED_VALUE"""),"No")</f>
        <v>No</v>
      </c>
    </row>
    <row r="74">
      <c r="A74" s="5" t="str">
        <f>IFERROR(__xludf.DUMMYFUNCTION("""COMPUTED_VALUE"""),"BookOfMayanGold")</f>
        <v>BookOfMayanGold</v>
      </c>
      <c r="B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4" s="5" t="str">
        <f>IFERROR(__xludf.DUMMYFUNCTION("""COMPUTED_VALUE"""),"Yes")</f>
        <v>Yes</v>
      </c>
      <c r="D74" s="5" t="str">
        <f>IFERROR(__xludf.DUMMYFUNCTION("""COMPUTED_VALUE"""),"Yes")</f>
        <v>Yes</v>
      </c>
      <c r="E74" s="5" t="str">
        <f>IFERROR(__xludf.DUMMYFUNCTION("""COMPUTED_VALUE"""),"Yes")</f>
        <v>Yes</v>
      </c>
      <c r="F74" s="5" t="str">
        <f>IFERROR(__xludf.DUMMYFUNCTION("""COMPUTED_VALUE"""),"Yes")</f>
        <v>Yes</v>
      </c>
      <c r="G74" s="5" t="str">
        <f>IFERROR(__xludf.DUMMYFUNCTION("""COMPUTED_VALUE"""),"Yes")</f>
        <v>Yes</v>
      </c>
      <c r="H74" s="5" t="str">
        <f>IFERROR(__xludf.DUMMYFUNCTION("""COMPUTED_VALUE"""),"Yes")</f>
        <v>Yes</v>
      </c>
      <c r="I74" s="5" t="str">
        <f>IFERROR(__xludf.DUMMYFUNCTION("""COMPUTED_VALUE"""),"Yes")</f>
        <v>Yes</v>
      </c>
      <c r="J74" s="5" t="str">
        <f>IFERROR(__xludf.DUMMYFUNCTION("""COMPUTED_VALUE"""),"Yes")</f>
        <v>Yes</v>
      </c>
      <c r="K74" s="5" t="str">
        <f>IFERROR(__xludf.DUMMYFUNCTION("""COMPUTED_VALUE"""),"Yes")</f>
        <v>Yes</v>
      </c>
      <c r="L74" s="5" t="str">
        <f>IFERROR(__xludf.DUMMYFUNCTION("""COMPUTED_VALUE"""),"Yes")</f>
        <v>Yes</v>
      </c>
      <c r="M74" s="5" t="str">
        <f>IFERROR(__xludf.DUMMYFUNCTION("""COMPUTED_VALUE"""),"Yes")</f>
        <v>Yes</v>
      </c>
      <c r="N74" s="5" t="str">
        <f>IFERROR(__xludf.DUMMYFUNCTION("""COMPUTED_VALUE"""),"Yes")</f>
        <v>Yes</v>
      </c>
      <c r="O74" s="5" t="str">
        <f>IFERROR(__xludf.DUMMYFUNCTION("""COMPUTED_VALUE"""),"Yes")</f>
        <v>Yes</v>
      </c>
      <c r="P74" s="5" t="str">
        <f>IFERROR(__xludf.DUMMYFUNCTION("""COMPUTED_VALUE"""),"Yes")</f>
        <v>Yes</v>
      </c>
      <c r="Q74" s="5" t="str">
        <f>IFERROR(__xludf.DUMMYFUNCTION("""COMPUTED_VALUE"""),"Yes")</f>
        <v>Yes</v>
      </c>
      <c r="R74" s="5" t="str">
        <f>IFERROR(__xludf.DUMMYFUNCTION("""COMPUTED_VALUE"""),"Yes")</f>
        <v>Yes</v>
      </c>
      <c r="S74" s="5" t="str">
        <f>IFERROR(__xludf.DUMMYFUNCTION("""COMPUTED_VALUE"""),"Yes")</f>
        <v>Yes</v>
      </c>
      <c r="T74" s="5" t="str">
        <f>IFERROR(__xludf.DUMMYFUNCTION("""COMPUTED_VALUE"""),"Yes")</f>
        <v>Yes</v>
      </c>
      <c r="U74" s="5" t="str">
        <f>IFERROR(__xludf.DUMMYFUNCTION("""COMPUTED_VALUE"""),"Yes")</f>
        <v>Yes</v>
      </c>
      <c r="V74" s="5" t="str">
        <f>IFERROR(__xludf.DUMMYFUNCTION("""COMPUTED_VALUE"""),"Yes")</f>
        <v>Yes</v>
      </c>
      <c r="W74" s="5" t="str">
        <f>IFERROR(__xludf.DUMMYFUNCTION("""COMPUTED_VALUE"""),"Yes")</f>
        <v>Yes</v>
      </c>
      <c r="X74" s="5" t="str">
        <f>IFERROR(__xludf.DUMMYFUNCTION("""COMPUTED_VALUE"""),"Yes")</f>
        <v>Yes</v>
      </c>
      <c r="Y74" s="5" t="str">
        <f>IFERROR(__xludf.DUMMYFUNCTION("""COMPUTED_VALUE"""),"Yes")</f>
        <v>Yes</v>
      </c>
      <c r="Z74" s="5" t="str">
        <f>IFERROR(__xludf.DUMMYFUNCTION("""COMPUTED_VALUE"""),"Yes")</f>
        <v>Yes</v>
      </c>
      <c r="AA74" s="5" t="str">
        <f>IFERROR(__xludf.DUMMYFUNCTION("""COMPUTED_VALUE"""),"Yes")</f>
        <v>Yes</v>
      </c>
      <c r="AB74" s="5" t="str">
        <f>IFERROR(__xludf.DUMMYFUNCTION("""COMPUTED_VALUE"""),"Yes")</f>
        <v>Yes</v>
      </c>
      <c r="AC74" s="5" t="str">
        <f>IFERROR(__xludf.DUMMYFUNCTION("""COMPUTED_VALUE"""),"No")</f>
        <v>No</v>
      </c>
    </row>
    <row r="75">
      <c r="A75" s="5" t="str">
        <f>IFERROR(__xludf.DUMMYFUNCTION("""COMPUTED_VALUE"""),"BurstingHot5")</f>
        <v>BurstingHot5</v>
      </c>
      <c r="B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 s="5" t="str">
        <f>IFERROR(__xludf.DUMMYFUNCTION("""COMPUTED_VALUE"""),"Yes")</f>
        <v>Yes</v>
      </c>
      <c r="D75" s="5" t="str">
        <f>IFERROR(__xludf.DUMMYFUNCTION("""COMPUTED_VALUE"""),"Yes")</f>
        <v>Yes</v>
      </c>
      <c r="E75" s="5" t="str">
        <f>IFERROR(__xludf.DUMMYFUNCTION("""COMPUTED_VALUE"""),"Yes")</f>
        <v>Yes</v>
      </c>
      <c r="F75" s="5" t="str">
        <f>IFERROR(__xludf.DUMMYFUNCTION("""COMPUTED_VALUE"""),"Yes")</f>
        <v>Yes</v>
      </c>
      <c r="G75" s="5" t="str">
        <f>IFERROR(__xludf.DUMMYFUNCTION("""COMPUTED_VALUE"""),"Yes")</f>
        <v>Yes</v>
      </c>
      <c r="H75" s="5" t="str">
        <f>IFERROR(__xludf.DUMMYFUNCTION("""COMPUTED_VALUE"""),"Yes")</f>
        <v>Yes</v>
      </c>
      <c r="I75" s="5" t="str">
        <f>IFERROR(__xludf.DUMMYFUNCTION("""COMPUTED_VALUE"""),"Yes")</f>
        <v>Yes</v>
      </c>
      <c r="J75" s="5" t="str">
        <f>IFERROR(__xludf.DUMMYFUNCTION("""COMPUTED_VALUE"""),"Yes")</f>
        <v>Yes</v>
      </c>
      <c r="K75" s="5" t="str">
        <f>IFERROR(__xludf.DUMMYFUNCTION("""COMPUTED_VALUE"""),"Yes")</f>
        <v>Yes</v>
      </c>
      <c r="L75" s="5" t="str">
        <f>IFERROR(__xludf.DUMMYFUNCTION("""COMPUTED_VALUE"""),"Yes")</f>
        <v>Yes</v>
      </c>
      <c r="M75" s="5" t="str">
        <f>IFERROR(__xludf.DUMMYFUNCTION("""COMPUTED_VALUE"""),"Yes")</f>
        <v>Yes</v>
      </c>
      <c r="N75" s="5" t="str">
        <f>IFERROR(__xludf.DUMMYFUNCTION("""COMPUTED_VALUE"""),"Yes")</f>
        <v>Yes</v>
      </c>
      <c r="O75" s="5" t="str">
        <f>IFERROR(__xludf.DUMMYFUNCTION("""COMPUTED_VALUE"""),"Yes")</f>
        <v>Yes</v>
      </c>
      <c r="P75" s="5" t="str">
        <f>IFERROR(__xludf.DUMMYFUNCTION("""COMPUTED_VALUE"""),"Yes")</f>
        <v>Yes</v>
      </c>
      <c r="Q75" s="5" t="str">
        <f>IFERROR(__xludf.DUMMYFUNCTION("""COMPUTED_VALUE"""),"Yes")</f>
        <v>Yes</v>
      </c>
      <c r="R75" s="5" t="str">
        <f>IFERROR(__xludf.DUMMYFUNCTION("""COMPUTED_VALUE"""),"Yes")</f>
        <v>Yes</v>
      </c>
      <c r="S75" s="5" t="str">
        <f>IFERROR(__xludf.DUMMYFUNCTION("""COMPUTED_VALUE"""),"Yes")</f>
        <v>Yes</v>
      </c>
      <c r="T75" s="5" t="str">
        <f>IFERROR(__xludf.DUMMYFUNCTION("""COMPUTED_VALUE"""),"Yes")</f>
        <v>Yes</v>
      </c>
      <c r="U75" s="5" t="str">
        <f>IFERROR(__xludf.DUMMYFUNCTION("""COMPUTED_VALUE"""),"Yes")</f>
        <v>Yes</v>
      </c>
      <c r="V75" s="5" t="str">
        <f>IFERROR(__xludf.DUMMYFUNCTION("""COMPUTED_VALUE"""),"Yes")</f>
        <v>Yes</v>
      </c>
      <c r="W75" s="5" t="str">
        <f>IFERROR(__xludf.DUMMYFUNCTION("""COMPUTED_VALUE"""),"Yes")</f>
        <v>Yes</v>
      </c>
      <c r="X75" s="5" t="str">
        <f>IFERROR(__xludf.DUMMYFUNCTION("""COMPUTED_VALUE"""),"Yes")</f>
        <v>Yes</v>
      </c>
      <c r="Y75" s="5" t="str">
        <f>IFERROR(__xludf.DUMMYFUNCTION("""COMPUTED_VALUE"""),"Yes")</f>
        <v>Yes</v>
      </c>
      <c r="Z75" s="5" t="str">
        <f>IFERROR(__xludf.DUMMYFUNCTION("""COMPUTED_VALUE"""),"Yes")</f>
        <v>Yes</v>
      </c>
      <c r="AA75" s="5" t="str">
        <f>IFERROR(__xludf.DUMMYFUNCTION("""COMPUTED_VALUE"""),"Yes")</f>
        <v>Yes</v>
      </c>
      <c r="AB75" s="5" t="str">
        <f>IFERROR(__xludf.DUMMYFUNCTION("""COMPUTED_VALUE"""),"Yes")</f>
        <v>Yes</v>
      </c>
      <c r="AC75" s="5" t="str">
        <f>IFERROR(__xludf.DUMMYFUNCTION("""COMPUTED_VALUE"""),"No")</f>
        <v>No</v>
      </c>
    </row>
    <row r="76">
      <c r="A76" s="5" t="str">
        <f>IFERROR(__xludf.DUMMYFUNCTION("""COMPUTED_VALUE"""),"WildHot40")</f>
        <v>WildHot40</v>
      </c>
      <c r="B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 s="5" t="str">
        <f>IFERROR(__xludf.DUMMYFUNCTION("""COMPUTED_VALUE"""),"Yes")</f>
        <v>Yes</v>
      </c>
      <c r="D76" s="5" t="str">
        <f>IFERROR(__xludf.DUMMYFUNCTION("""COMPUTED_VALUE"""),"Yes")</f>
        <v>Yes</v>
      </c>
      <c r="E76" s="5" t="str">
        <f>IFERROR(__xludf.DUMMYFUNCTION("""COMPUTED_VALUE"""),"Yes")</f>
        <v>Yes</v>
      </c>
      <c r="F76" s="5" t="str">
        <f>IFERROR(__xludf.DUMMYFUNCTION("""COMPUTED_VALUE"""),"Yes")</f>
        <v>Yes</v>
      </c>
      <c r="G76" s="5" t="str">
        <f>IFERROR(__xludf.DUMMYFUNCTION("""COMPUTED_VALUE"""),"Yes")</f>
        <v>Yes</v>
      </c>
      <c r="H76" s="5" t="str">
        <f>IFERROR(__xludf.DUMMYFUNCTION("""COMPUTED_VALUE"""),"Yes")</f>
        <v>Yes</v>
      </c>
      <c r="I76" s="5" t="str">
        <f>IFERROR(__xludf.DUMMYFUNCTION("""COMPUTED_VALUE"""),"Yes")</f>
        <v>Yes</v>
      </c>
      <c r="J76" s="5" t="str">
        <f>IFERROR(__xludf.DUMMYFUNCTION("""COMPUTED_VALUE"""),"Yes")</f>
        <v>Yes</v>
      </c>
      <c r="K76" s="5" t="str">
        <f>IFERROR(__xludf.DUMMYFUNCTION("""COMPUTED_VALUE"""),"Yes")</f>
        <v>Yes</v>
      </c>
      <c r="L76" s="5" t="str">
        <f>IFERROR(__xludf.DUMMYFUNCTION("""COMPUTED_VALUE"""),"Yes")</f>
        <v>Yes</v>
      </c>
      <c r="M76" s="5" t="str">
        <f>IFERROR(__xludf.DUMMYFUNCTION("""COMPUTED_VALUE"""),"Yes")</f>
        <v>Yes</v>
      </c>
      <c r="N76" s="5" t="str">
        <f>IFERROR(__xludf.DUMMYFUNCTION("""COMPUTED_VALUE"""),"Yes")</f>
        <v>Yes</v>
      </c>
      <c r="O76" s="5" t="str">
        <f>IFERROR(__xludf.DUMMYFUNCTION("""COMPUTED_VALUE"""),"Yes")</f>
        <v>Yes</v>
      </c>
      <c r="P76" s="5" t="str">
        <f>IFERROR(__xludf.DUMMYFUNCTION("""COMPUTED_VALUE"""),"Yes")</f>
        <v>Yes</v>
      </c>
      <c r="Q76" s="5" t="str">
        <f>IFERROR(__xludf.DUMMYFUNCTION("""COMPUTED_VALUE"""),"Yes")</f>
        <v>Yes</v>
      </c>
      <c r="R76" s="5" t="str">
        <f>IFERROR(__xludf.DUMMYFUNCTION("""COMPUTED_VALUE"""),"Yes")</f>
        <v>Yes</v>
      </c>
      <c r="S76" s="5" t="str">
        <f>IFERROR(__xludf.DUMMYFUNCTION("""COMPUTED_VALUE"""),"Yes")</f>
        <v>Yes</v>
      </c>
      <c r="T76" s="5" t="str">
        <f>IFERROR(__xludf.DUMMYFUNCTION("""COMPUTED_VALUE"""),"Yes")</f>
        <v>Yes</v>
      </c>
      <c r="U76" s="5" t="str">
        <f>IFERROR(__xludf.DUMMYFUNCTION("""COMPUTED_VALUE"""),"Yes")</f>
        <v>Yes</v>
      </c>
      <c r="V76" s="5" t="str">
        <f>IFERROR(__xludf.DUMMYFUNCTION("""COMPUTED_VALUE"""),"Yes")</f>
        <v>Yes</v>
      </c>
      <c r="W76" s="5" t="str">
        <f>IFERROR(__xludf.DUMMYFUNCTION("""COMPUTED_VALUE"""),"Yes")</f>
        <v>Yes</v>
      </c>
      <c r="X76" s="5" t="str">
        <f>IFERROR(__xludf.DUMMYFUNCTION("""COMPUTED_VALUE"""),"Yes")</f>
        <v>Yes</v>
      </c>
      <c r="Y76" s="5" t="str">
        <f>IFERROR(__xludf.DUMMYFUNCTION("""COMPUTED_VALUE"""),"Yes")</f>
        <v>Yes</v>
      </c>
      <c r="Z76" s="5" t="str">
        <f>IFERROR(__xludf.DUMMYFUNCTION("""COMPUTED_VALUE"""),"Yes")</f>
        <v>Yes</v>
      </c>
      <c r="AA76" s="5" t="str">
        <f>IFERROR(__xludf.DUMMYFUNCTION("""COMPUTED_VALUE"""),"Yes")</f>
        <v>Yes</v>
      </c>
      <c r="AB76" s="5" t="str">
        <f>IFERROR(__xludf.DUMMYFUNCTION("""COMPUTED_VALUE"""),"Yes")</f>
        <v>Yes</v>
      </c>
      <c r="AC76" s="5" t="str">
        <f>IFERROR(__xludf.DUMMYFUNCTION("""COMPUTED_VALUE"""),"No")</f>
        <v>No</v>
      </c>
    </row>
    <row r="77">
      <c r="A77" s="5" t="str">
        <f>IFERROR(__xludf.DUMMYFUNCTION("""COMPUTED_VALUE"""),"BurningIceGd")</f>
        <v>BurningIceGd</v>
      </c>
      <c r="B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7" s="5" t="str">
        <f>IFERROR(__xludf.DUMMYFUNCTION("""COMPUTED_VALUE"""),"Yes")</f>
        <v>Yes</v>
      </c>
      <c r="D77" s="5" t="str">
        <f>IFERROR(__xludf.DUMMYFUNCTION("""COMPUTED_VALUE"""),"Yes")</f>
        <v>Yes</v>
      </c>
      <c r="E77" s="5" t="str">
        <f>IFERROR(__xludf.DUMMYFUNCTION("""COMPUTED_VALUE"""),"Yes")</f>
        <v>Yes</v>
      </c>
      <c r="F77" s="5" t="str">
        <f>IFERROR(__xludf.DUMMYFUNCTION("""COMPUTED_VALUE"""),"Yes")</f>
        <v>Yes</v>
      </c>
      <c r="G77" s="5" t="str">
        <f>IFERROR(__xludf.DUMMYFUNCTION("""COMPUTED_VALUE"""),"Yes")</f>
        <v>Yes</v>
      </c>
      <c r="H77" s="5" t="str">
        <f>IFERROR(__xludf.DUMMYFUNCTION("""COMPUTED_VALUE"""),"Yes")</f>
        <v>Yes</v>
      </c>
      <c r="I77" s="5" t="str">
        <f>IFERROR(__xludf.DUMMYFUNCTION("""COMPUTED_VALUE"""),"Yes")</f>
        <v>Yes</v>
      </c>
      <c r="J77" s="5" t="str">
        <f>IFERROR(__xludf.DUMMYFUNCTION("""COMPUTED_VALUE"""),"Yes")</f>
        <v>Yes</v>
      </c>
      <c r="K77" s="5" t="str">
        <f>IFERROR(__xludf.DUMMYFUNCTION("""COMPUTED_VALUE"""),"Yes")</f>
        <v>Yes</v>
      </c>
      <c r="L77" s="5" t="str">
        <f>IFERROR(__xludf.DUMMYFUNCTION("""COMPUTED_VALUE"""),"Yes")</f>
        <v>Yes</v>
      </c>
      <c r="M77" s="5" t="str">
        <f>IFERROR(__xludf.DUMMYFUNCTION("""COMPUTED_VALUE"""),"Yes")</f>
        <v>Yes</v>
      </c>
      <c r="N77" s="5" t="str">
        <f>IFERROR(__xludf.DUMMYFUNCTION("""COMPUTED_VALUE"""),"Yes")</f>
        <v>Yes</v>
      </c>
      <c r="O77" s="5" t="str">
        <f>IFERROR(__xludf.DUMMYFUNCTION("""COMPUTED_VALUE"""),"Yes")</f>
        <v>Yes</v>
      </c>
      <c r="P77" s="5" t="str">
        <f>IFERROR(__xludf.DUMMYFUNCTION("""COMPUTED_VALUE"""),"Yes")</f>
        <v>Yes</v>
      </c>
      <c r="Q77" s="5" t="str">
        <f>IFERROR(__xludf.DUMMYFUNCTION("""COMPUTED_VALUE"""),"Yes")</f>
        <v>Yes</v>
      </c>
      <c r="R77" s="5" t="str">
        <f>IFERROR(__xludf.DUMMYFUNCTION("""COMPUTED_VALUE"""),"Yes")</f>
        <v>Yes</v>
      </c>
      <c r="S77" s="5" t="str">
        <f>IFERROR(__xludf.DUMMYFUNCTION("""COMPUTED_VALUE"""),"Yes")</f>
        <v>Yes</v>
      </c>
      <c r="T77" s="5" t="str">
        <f>IFERROR(__xludf.DUMMYFUNCTION("""COMPUTED_VALUE"""),"Yes")</f>
        <v>Yes</v>
      </c>
      <c r="U77" s="5" t="str">
        <f>IFERROR(__xludf.DUMMYFUNCTION("""COMPUTED_VALUE"""),"Yes")</f>
        <v>Yes</v>
      </c>
      <c r="V77" s="5" t="str">
        <f>IFERROR(__xludf.DUMMYFUNCTION("""COMPUTED_VALUE"""),"Yes")</f>
        <v>Yes</v>
      </c>
      <c r="W77" s="5" t="str">
        <f>IFERROR(__xludf.DUMMYFUNCTION("""COMPUTED_VALUE"""),"Yes")</f>
        <v>Yes</v>
      </c>
      <c r="X77" s="5" t="str">
        <f>IFERROR(__xludf.DUMMYFUNCTION("""COMPUTED_VALUE"""),"Yes")</f>
        <v>Yes</v>
      </c>
      <c r="Y77" s="5" t="str">
        <f>IFERROR(__xludf.DUMMYFUNCTION("""COMPUTED_VALUE"""),"Yes")</f>
        <v>Yes</v>
      </c>
      <c r="Z77" s="5" t="str">
        <f>IFERROR(__xludf.DUMMYFUNCTION("""COMPUTED_VALUE"""),"Yes")</f>
        <v>Yes</v>
      </c>
      <c r="AA77" s="5" t="str">
        <f>IFERROR(__xludf.DUMMYFUNCTION("""COMPUTED_VALUE"""),"Yes")</f>
        <v>Yes</v>
      </c>
      <c r="AB77" s="5" t="str">
        <f>IFERROR(__xludf.DUMMYFUNCTION("""COMPUTED_VALUE"""),"Yes")</f>
        <v>Yes</v>
      </c>
      <c r="AC77" s="5" t="str">
        <f>IFERROR(__xludf.DUMMYFUNCTION("""COMPUTED_VALUE"""),"No")</f>
        <v>No</v>
      </c>
    </row>
    <row r="78">
      <c r="A78" s="5" t="str">
        <f>IFERROR(__xludf.DUMMYFUNCTION("""COMPUTED_VALUE"""),"UnicornReelDice")</f>
        <v>UnicornReelDice</v>
      </c>
      <c r="B78" s="5" t="str">
        <f>IFERROR(__xludf.DUMMYFUNCTION("""COMPUTED_VALUE"""),"English(""eng"")")</f>
        <v>English("eng")</v>
      </c>
      <c r="C78" s="5" t="str">
        <f>IFERROR(__xludf.DUMMYFUNCTION("""COMPUTED_VALUE"""),"Yes")</f>
        <v>Yes</v>
      </c>
      <c r="D78" s="5" t="str">
        <f>IFERROR(__xludf.DUMMYFUNCTION("""COMPUTED_VALUE"""),"No")</f>
        <v>No</v>
      </c>
      <c r="E78" s="5" t="str">
        <f>IFERROR(__xludf.DUMMYFUNCTION("""COMPUTED_VALUE"""),"No")</f>
        <v>No</v>
      </c>
      <c r="F78" s="5" t="str">
        <f>IFERROR(__xludf.DUMMYFUNCTION("""COMPUTED_VALUE"""),"No")</f>
        <v>No</v>
      </c>
      <c r="G78" s="5" t="str">
        <f>IFERROR(__xludf.DUMMYFUNCTION("""COMPUTED_VALUE"""),"No")</f>
        <v>No</v>
      </c>
      <c r="H78" s="5" t="str">
        <f>IFERROR(__xludf.DUMMYFUNCTION("""COMPUTED_VALUE"""),"No")</f>
        <v>No</v>
      </c>
      <c r="I78" s="5" t="str">
        <f>IFERROR(__xludf.DUMMYFUNCTION("""COMPUTED_VALUE"""),"No")</f>
        <v>No</v>
      </c>
      <c r="J78" s="5" t="str">
        <f>IFERROR(__xludf.DUMMYFUNCTION("""COMPUTED_VALUE"""),"No")</f>
        <v>No</v>
      </c>
      <c r="K78" s="5" t="str">
        <f>IFERROR(__xludf.DUMMYFUNCTION("""COMPUTED_VALUE"""),"No")</f>
        <v>No</v>
      </c>
      <c r="L78" s="5" t="str">
        <f>IFERROR(__xludf.DUMMYFUNCTION("""COMPUTED_VALUE"""),"No")</f>
        <v>No</v>
      </c>
      <c r="M78" s="5" t="str">
        <f>IFERROR(__xludf.DUMMYFUNCTION("""COMPUTED_VALUE"""),"No")</f>
        <v>No</v>
      </c>
      <c r="N78" s="5" t="str">
        <f>IFERROR(__xludf.DUMMYFUNCTION("""COMPUTED_VALUE"""),"No")</f>
        <v>No</v>
      </c>
      <c r="O78" s="5" t="str">
        <f>IFERROR(__xludf.DUMMYFUNCTION("""COMPUTED_VALUE"""),"No")</f>
        <v>No</v>
      </c>
      <c r="P78" s="5" t="str">
        <f>IFERROR(__xludf.DUMMYFUNCTION("""COMPUTED_VALUE"""),"No")</f>
        <v>No</v>
      </c>
      <c r="Q78" s="5" t="str">
        <f>IFERROR(__xludf.DUMMYFUNCTION("""COMPUTED_VALUE"""),"No")</f>
        <v>No</v>
      </c>
      <c r="R78" s="5" t="str">
        <f>IFERROR(__xludf.DUMMYFUNCTION("""COMPUTED_VALUE"""),"No")</f>
        <v>No</v>
      </c>
      <c r="S78" s="5" t="str">
        <f>IFERROR(__xludf.DUMMYFUNCTION("""COMPUTED_VALUE"""),"No")</f>
        <v>No</v>
      </c>
      <c r="T78" s="5" t="str">
        <f>IFERROR(__xludf.DUMMYFUNCTION("""COMPUTED_VALUE"""),"No")</f>
        <v>No</v>
      </c>
      <c r="U78" s="5" t="str">
        <f>IFERROR(__xludf.DUMMYFUNCTION("""COMPUTED_VALUE"""),"No")</f>
        <v>No</v>
      </c>
      <c r="V78" s="5" t="str">
        <f>IFERROR(__xludf.DUMMYFUNCTION("""COMPUTED_VALUE"""),"No")</f>
        <v>No</v>
      </c>
      <c r="W78" s="5" t="str">
        <f>IFERROR(__xludf.DUMMYFUNCTION("""COMPUTED_VALUE"""),"No")</f>
        <v>No</v>
      </c>
      <c r="X78" s="5" t="str">
        <f>IFERROR(__xludf.DUMMYFUNCTION("""COMPUTED_VALUE"""),"No")</f>
        <v>No</v>
      </c>
      <c r="Y78" s="5" t="str">
        <f>IFERROR(__xludf.DUMMYFUNCTION("""COMPUTED_VALUE"""),"No")</f>
        <v>No</v>
      </c>
      <c r="Z78" s="5" t="str">
        <f>IFERROR(__xludf.DUMMYFUNCTION("""COMPUTED_VALUE"""),"No")</f>
        <v>No</v>
      </c>
      <c r="AA78" s="5" t="str">
        <f>IFERROR(__xludf.DUMMYFUNCTION("""COMPUTED_VALUE"""),"No")</f>
        <v>No</v>
      </c>
      <c r="AB78" s="5" t="str">
        <f>IFERROR(__xludf.DUMMYFUNCTION("""COMPUTED_VALUE"""),"No")</f>
        <v>No</v>
      </c>
      <c r="AC78" s="5" t="str">
        <f>IFERROR(__xludf.DUMMYFUNCTION("""COMPUTED_VALUE"""),"No")</f>
        <v>No</v>
      </c>
    </row>
    <row r="79">
      <c r="A79" s="5" t="str">
        <f>IFERROR(__xludf.DUMMYFUNCTION("""COMPUTED_VALUE"""),"BurstingHot40")</f>
        <v>BurstingHot40</v>
      </c>
      <c r="B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9" s="5" t="str">
        <f>IFERROR(__xludf.DUMMYFUNCTION("""COMPUTED_VALUE"""),"Yes")</f>
        <v>Yes</v>
      </c>
      <c r="D79" s="5" t="str">
        <f>IFERROR(__xludf.DUMMYFUNCTION("""COMPUTED_VALUE"""),"Yes")</f>
        <v>Yes</v>
      </c>
      <c r="E79" s="5" t="str">
        <f>IFERROR(__xludf.DUMMYFUNCTION("""COMPUTED_VALUE"""),"Yes")</f>
        <v>Yes</v>
      </c>
      <c r="F79" s="5" t="str">
        <f>IFERROR(__xludf.DUMMYFUNCTION("""COMPUTED_VALUE"""),"Yes")</f>
        <v>Yes</v>
      </c>
      <c r="G79" s="5" t="str">
        <f>IFERROR(__xludf.DUMMYFUNCTION("""COMPUTED_VALUE"""),"Yes")</f>
        <v>Yes</v>
      </c>
      <c r="H79" s="5" t="str">
        <f>IFERROR(__xludf.DUMMYFUNCTION("""COMPUTED_VALUE"""),"Yes")</f>
        <v>Yes</v>
      </c>
      <c r="I79" s="5" t="str">
        <f>IFERROR(__xludf.DUMMYFUNCTION("""COMPUTED_VALUE"""),"Yes")</f>
        <v>Yes</v>
      </c>
      <c r="J79" s="5" t="str">
        <f>IFERROR(__xludf.DUMMYFUNCTION("""COMPUTED_VALUE"""),"Yes")</f>
        <v>Yes</v>
      </c>
      <c r="K79" s="5" t="str">
        <f>IFERROR(__xludf.DUMMYFUNCTION("""COMPUTED_VALUE"""),"Yes")</f>
        <v>Yes</v>
      </c>
      <c r="L79" s="5" t="str">
        <f>IFERROR(__xludf.DUMMYFUNCTION("""COMPUTED_VALUE"""),"Yes")</f>
        <v>Yes</v>
      </c>
      <c r="M79" s="5" t="str">
        <f>IFERROR(__xludf.DUMMYFUNCTION("""COMPUTED_VALUE"""),"Yes")</f>
        <v>Yes</v>
      </c>
      <c r="N79" s="5" t="str">
        <f>IFERROR(__xludf.DUMMYFUNCTION("""COMPUTED_VALUE"""),"Yes")</f>
        <v>Yes</v>
      </c>
      <c r="O79" s="5" t="str">
        <f>IFERROR(__xludf.DUMMYFUNCTION("""COMPUTED_VALUE"""),"Yes")</f>
        <v>Yes</v>
      </c>
      <c r="P79" s="5" t="str">
        <f>IFERROR(__xludf.DUMMYFUNCTION("""COMPUTED_VALUE"""),"Yes")</f>
        <v>Yes</v>
      </c>
      <c r="Q79" s="5" t="str">
        <f>IFERROR(__xludf.DUMMYFUNCTION("""COMPUTED_VALUE"""),"Yes")</f>
        <v>Yes</v>
      </c>
      <c r="R79" s="5" t="str">
        <f>IFERROR(__xludf.DUMMYFUNCTION("""COMPUTED_VALUE"""),"Yes")</f>
        <v>Yes</v>
      </c>
      <c r="S79" s="5" t="str">
        <f>IFERROR(__xludf.DUMMYFUNCTION("""COMPUTED_VALUE"""),"Yes")</f>
        <v>Yes</v>
      </c>
      <c r="T79" s="5" t="str">
        <f>IFERROR(__xludf.DUMMYFUNCTION("""COMPUTED_VALUE"""),"Yes")</f>
        <v>Yes</v>
      </c>
      <c r="U79" s="5" t="str">
        <f>IFERROR(__xludf.DUMMYFUNCTION("""COMPUTED_VALUE"""),"Yes")</f>
        <v>Yes</v>
      </c>
      <c r="V79" s="5" t="str">
        <f>IFERROR(__xludf.DUMMYFUNCTION("""COMPUTED_VALUE"""),"Yes")</f>
        <v>Yes</v>
      </c>
      <c r="W79" s="5" t="str">
        <f>IFERROR(__xludf.DUMMYFUNCTION("""COMPUTED_VALUE"""),"Yes")</f>
        <v>Yes</v>
      </c>
      <c r="X79" s="5" t="str">
        <f>IFERROR(__xludf.DUMMYFUNCTION("""COMPUTED_VALUE"""),"Yes")</f>
        <v>Yes</v>
      </c>
      <c r="Y79" s="5" t="str">
        <f>IFERROR(__xludf.DUMMYFUNCTION("""COMPUTED_VALUE"""),"Yes")</f>
        <v>Yes</v>
      </c>
      <c r="Z79" s="5" t="str">
        <f>IFERROR(__xludf.DUMMYFUNCTION("""COMPUTED_VALUE"""),"Yes")</f>
        <v>Yes</v>
      </c>
      <c r="AA79" s="5" t="str">
        <f>IFERROR(__xludf.DUMMYFUNCTION("""COMPUTED_VALUE"""),"Yes")</f>
        <v>Yes</v>
      </c>
      <c r="AB79" s="5" t="str">
        <f>IFERROR(__xludf.DUMMYFUNCTION("""COMPUTED_VALUE"""),"Yes")</f>
        <v>Yes</v>
      </c>
      <c r="AC79" s="5" t="str">
        <f>IFERROR(__xludf.DUMMYFUNCTION("""COMPUTED_VALUE"""),"No")</f>
        <v>No</v>
      </c>
    </row>
    <row r="80">
      <c r="A80" s="5" t="str">
        <f>IFERROR(__xludf.DUMMYFUNCTION("""COMPUTED_VALUE"""),"BuffaloFortune")</f>
        <v>BuffaloFortune</v>
      </c>
      <c r="B8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0" s="5" t="str">
        <f>IFERROR(__xludf.DUMMYFUNCTION("""COMPUTED_VALUE"""),"Yes")</f>
        <v>Yes</v>
      </c>
      <c r="D80" s="5" t="str">
        <f>IFERROR(__xludf.DUMMYFUNCTION("""COMPUTED_VALUE"""),"Yes")</f>
        <v>Yes</v>
      </c>
      <c r="E80" s="5" t="str">
        <f>IFERROR(__xludf.DUMMYFUNCTION("""COMPUTED_VALUE"""),"Yes")</f>
        <v>Yes</v>
      </c>
      <c r="F80" s="5" t="str">
        <f>IFERROR(__xludf.DUMMYFUNCTION("""COMPUTED_VALUE"""),"Yes")</f>
        <v>Yes</v>
      </c>
      <c r="G80" s="5" t="str">
        <f>IFERROR(__xludf.DUMMYFUNCTION("""COMPUTED_VALUE"""),"Yes")</f>
        <v>Yes</v>
      </c>
      <c r="H80" s="5" t="str">
        <f>IFERROR(__xludf.DUMMYFUNCTION("""COMPUTED_VALUE"""),"Yes")</f>
        <v>Yes</v>
      </c>
      <c r="I80" s="5" t="str">
        <f>IFERROR(__xludf.DUMMYFUNCTION("""COMPUTED_VALUE"""),"Yes")</f>
        <v>Yes</v>
      </c>
      <c r="J80" s="5" t="str">
        <f>IFERROR(__xludf.DUMMYFUNCTION("""COMPUTED_VALUE"""),"Yes")</f>
        <v>Yes</v>
      </c>
      <c r="K80" s="5" t="str">
        <f>IFERROR(__xludf.DUMMYFUNCTION("""COMPUTED_VALUE"""),"Yes")</f>
        <v>Yes</v>
      </c>
      <c r="L80" s="5" t="str">
        <f>IFERROR(__xludf.DUMMYFUNCTION("""COMPUTED_VALUE"""),"Yes")</f>
        <v>Yes</v>
      </c>
      <c r="M80" s="5" t="str">
        <f>IFERROR(__xludf.DUMMYFUNCTION("""COMPUTED_VALUE"""),"Yes")</f>
        <v>Yes</v>
      </c>
      <c r="N80" s="5" t="str">
        <f>IFERROR(__xludf.DUMMYFUNCTION("""COMPUTED_VALUE"""),"Yes")</f>
        <v>Yes</v>
      </c>
      <c r="O80" s="5" t="str">
        <f>IFERROR(__xludf.DUMMYFUNCTION("""COMPUTED_VALUE"""),"Yes")</f>
        <v>Yes</v>
      </c>
      <c r="P80" s="5" t="str">
        <f>IFERROR(__xludf.DUMMYFUNCTION("""COMPUTED_VALUE"""),"Yes")</f>
        <v>Yes</v>
      </c>
      <c r="Q80" s="5" t="str">
        <f>IFERROR(__xludf.DUMMYFUNCTION("""COMPUTED_VALUE"""),"Yes")</f>
        <v>Yes</v>
      </c>
      <c r="R80" s="5" t="str">
        <f>IFERROR(__xludf.DUMMYFUNCTION("""COMPUTED_VALUE"""),"Yes")</f>
        <v>Yes</v>
      </c>
      <c r="S80" s="5" t="str">
        <f>IFERROR(__xludf.DUMMYFUNCTION("""COMPUTED_VALUE"""),"Yes")</f>
        <v>Yes</v>
      </c>
      <c r="T80" s="5" t="str">
        <f>IFERROR(__xludf.DUMMYFUNCTION("""COMPUTED_VALUE"""),"Yes")</f>
        <v>Yes</v>
      </c>
      <c r="U80" s="5" t="str">
        <f>IFERROR(__xludf.DUMMYFUNCTION("""COMPUTED_VALUE"""),"Yes")</f>
        <v>Yes</v>
      </c>
      <c r="V80" s="5" t="str">
        <f>IFERROR(__xludf.DUMMYFUNCTION("""COMPUTED_VALUE"""),"Yes")</f>
        <v>Yes</v>
      </c>
      <c r="W80" s="5"/>
      <c r="X80" s="5"/>
      <c r="Y80" s="5"/>
      <c r="Z80" s="5" t="str">
        <f>IFERROR(__xludf.DUMMYFUNCTION("""COMPUTED_VALUE"""),"Yes")</f>
        <v>Yes</v>
      </c>
      <c r="AA80" s="5"/>
      <c r="AB80" s="5"/>
      <c r="AC80" s="5"/>
    </row>
    <row r="81">
      <c r="A81" s="5" t="str">
        <f>IFERROR(__xludf.DUMMYFUNCTION("""COMPUTED_VALUE"""),"DolphinsShine")</f>
        <v>DolphinsShine</v>
      </c>
      <c r="B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 s="5" t="str">
        <f>IFERROR(__xludf.DUMMYFUNCTION("""COMPUTED_VALUE"""),"Yes")</f>
        <v>Yes</v>
      </c>
      <c r="D81" s="5" t="str">
        <f>IFERROR(__xludf.DUMMYFUNCTION("""COMPUTED_VALUE"""),"Yes")</f>
        <v>Yes</v>
      </c>
      <c r="E81" s="5" t="str">
        <f>IFERROR(__xludf.DUMMYFUNCTION("""COMPUTED_VALUE"""),"Yes")</f>
        <v>Yes</v>
      </c>
      <c r="F81" s="5" t="str">
        <f>IFERROR(__xludf.DUMMYFUNCTION("""COMPUTED_VALUE"""),"Yes")</f>
        <v>Yes</v>
      </c>
      <c r="G81" s="5" t="str">
        <f>IFERROR(__xludf.DUMMYFUNCTION("""COMPUTED_VALUE"""),"Yes")</f>
        <v>Yes</v>
      </c>
      <c r="H81" s="5" t="str">
        <f>IFERROR(__xludf.DUMMYFUNCTION("""COMPUTED_VALUE"""),"Yes")</f>
        <v>Yes</v>
      </c>
      <c r="I81" s="5" t="str">
        <f>IFERROR(__xludf.DUMMYFUNCTION("""COMPUTED_VALUE"""),"Yes")</f>
        <v>Yes</v>
      </c>
      <c r="J81" s="5" t="str">
        <f>IFERROR(__xludf.DUMMYFUNCTION("""COMPUTED_VALUE"""),"Yes")</f>
        <v>Yes</v>
      </c>
      <c r="K81" s="5" t="str">
        <f>IFERROR(__xludf.DUMMYFUNCTION("""COMPUTED_VALUE"""),"Yes")</f>
        <v>Yes</v>
      </c>
      <c r="L81" s="5" t="str">
        <f>IFERROR(__xludf.DUMMYFUNCTION("""COMPUTED_VALUE"""),"Yes")</f>
        <v>Yes</v>
      </c>
      <c r="M81" s="5" t="str">
        <f>IFERROR(__xludf.DUMMYFUNCTION("""COMPUTED_VALUE"""),"Yes")</f>
        <v>Yes</v>
      </c>
      <c r="N81" s="5" t="str">
        <f>IFERROR(__xludf.DUMMYFUNCTION("""COMPUTED_VALUE"""),"Yes")</f>
        <v>Yes</v>
      </c>
      <c r="O81" s="5" t="str">
        <f>IFERROR(__xludf.DUMMYFUNCTION("""COMPUTED_VALUE"""),"Yes")</f>
        <v>Yes</v>
      </c>
      <c r="P81" s="5" t="str">
        <f>IFERROR(__xludf.DUMMYFUNCTION("""COMPUTED_VALUE"""),"Yes")</f>
        <v>Yes</v>
      </c>
      <c r="Q81" s="5" t="str">
        <f>IFERROR(__xludf.DUMMYFUNCTION("""COMPUTED_VALUE"""),"Yes")</f>
        <v>Yes</v>
      </c>
      <c r="R81" s="5" t="str">
        <f>IFERROR(__xludf.DUMMYFUNCTION("""COMPUTED_VALUE"""),"Yes")</f>
        <v>Yes</v>
      </c>
      <c r="S81" s="5" t="str">
        <f>IFERROR(__xludf.DUMMYFUNCTION("""COMPUTED_VALUE"""),"Yes")</f>
        <v>Yes</v>
      </c>
      <c r="T81" s="5" t="str">
        <f>IFERROR(__xludf.DUMMYFUNCTION("""COMPUTED_VALUE"""),"Yes")</f>
        <v>Yes</v>
      </c>
      <c r="U81" s="5" t="str">
        <f>IFERROR(__xludf.DUMMYFUNCTION("""COMPUTED_VALUE"""),"Yes")</f>
        <v>Yes</v>
      </c>
      <c r="V81" s="5" t="str">
        <f>IFERROR(__xludf.DUMMYFUNCTION("""COMPUTED_VALUE"""),"Yes")</f>
        <v>Yes</v>
      </c>
      <c r="W81" s="5" t="str">
        <f>IFERROR(__xludf.DUMMYFUNCTION("""COMPUTED_VALUE"""),"Yes")</f>
        <v>Yes</v>
      </c>
      <c r="X81" s="5" t="str">
        <f>IFERROR(__xludf.DUMMYFUNCTION("""COMPUTED_VALUE"""),"Yes")</f>
        <v>Yes</v>
      </c>
      <c r="Y81" s="5" t="str">
        <f>IFERROR(__xludf.DUMMYFUNCTION("""COMPUTED_VALUE"""),"Yes")</f>
        <v>Yes</v>
      </c>
      <c r="Z81" s="5" t="str">
        <f>IFERROR(__xludf.DUMMYFUNCTION("""COMPUTED_VALUE"""),"Yes")</f>
        <v>Yes</v>
      </c>
      <c r="AA81" s="5" t="str">
        <f>IFERROR(__xludf.DUMMYFUNCTION("""COMPUTED_VALUE"""),"Yes")</f>
        <v>Yes</v>
      </c>
      <c r="AB81" s="5" t="str">
        <f>IFERROR(__xludf.DUMMYFUNCTION("""COMPUTED_VALUE"""),"Yes")</f>
        <v>Yes</v>
      </c>
      <c r="AC81" s="5" t="str">
        <f>IFERROR(__xludf.DUMMYFUNCTION("""COMPUTED_VALUE"""),"No")</f>
        <v>No</v>
      </c>
    </row>
    <row r="82">
      <c r="A82" s="5" t="str">
        <f>IFERROR(__xludf.DUMMYFUNCTION("""COMPUTED_VALUE"""),"GoldenCrown")</f>
        <v>GoldenCrown</v>
      </c>
      <c r="B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2" s="5" t="str">
        <f>IFERROR(__xludf.DUMMYFUNCTION("""COMPUTED_VALUE"""),"Yes")</f>
        <v>Yes</v>
      </c>
      <c r="D82" s="5" t="str">
        <f>IFERROR(__xludf.DUMMYFUNCTION("""COMPUTED_VALUE"""),"Yes")</f>
        <v>Yes</v>
      </c>
      <c r="E82" s="5" t="str">
        <f>IFERROR(__xludf.DUMMYFUNCTION("""COMPUTED_VALUE"""),"Yes")</f>
        <v>Yes</v>
      </c>
      <c r="F82" s="5" t="str">
        <f>IFERROR(__xludf.DUMMYFUNCTION("""COMPUTED_VALUE"""),"Yes")</f>
        <v>Yes</v>
      </c>
      <c r="G82" s="5" t="str">
        <f>IFERROR(__xludf.DUMMYFUNCTION("""COMPUTED_VALUE"""),"Yes")</f>
        <v>Yes</v>
      </c>
      <c r="H82" s="5" t="str">
        <f>IFERROR(__xludf.DUMMYFUNCTION("""COMPUTED_VALUE"""),"Yes")</f>
        <v>Yes</v>
      </c>
      <c r="I82" s="5" t="str">
        <f>IFERROR(__xludf.DUMMYFUNCTION("""COMPUTED_VALUE"""),"Yes")</f>
        <v>Yes</v>
      </c>
      <c r="J82" s="5" t="str">
        <f>IFERROR(__xludf.DUMMYFUNCTION("""COMPUTED_VALUE"""),"Yes")</f>
        <v>Yes</v>
      </c>
      <c r="K82" s="5" t="str">
        <f>IFERROR(__xludf.DUMMYFUNCTION("""COMPUTED_VALUE"""),"Yes")</f>
        <v>Yes</v>
      </c>
      <c r="L82" s="5" t="str">
        <f>IFERROR(__xludf.DUMMYFUNCTION("""COMPUTED_VALUE"""),"Yes")</f>
        <v>Yes</v>
      </c>
      <c r="M82" s="5" t="str">
        <f>IFERROR(__xludf.DUMMYFUNCTION("""COMPUTED_VALUE"""),"Yes")</f>
        <v>Yes</v>
      </c>
      <c r="N82" s="5" t="str">
        <f>IFERROR(__xludf.DUMMYFUNCTION("""COMPUTED_VALUE"""),"Yes")</f>
        <v>Yes</v>
      </c>
      <c r="O82" s="5" t="str">
        <f>IFERROR(__xludf.DUMMYFUNCTION("""COMPUTED_VALUE"""),"Yes")</f>
        <v>Yes</v>
      </c>
      <c r="P82" s="5" t="str">
        <f>IFERROR(__xludf.DUMMYFUNCTION("""COMPUTED_VALUE"""),"Yes")</f>
        <v>Yes</v>
      </c>
      <c r="Q82" s="5" t="str">
        <f>IFERROR(__xludf.DUMMYFUNCTION("""COMPUTED_VALUE"""),"Yes")</f>
        <v>Yes</v>
      </c>
      <c r="R82" s="5" t="str">
        <f>IFERROR(__xludf.DUMMYFUNCTION("""COMPUTED_VALUE"""),"Yes")</f>
        <v>Yes</v>
      </c>
      <c r="S82" s="5" t="str">
        <f>IFERROR(__xludf.DUMMYFUNCTION("""COMPUTED_VALUE"""),"Yes")</f>
        <v>Yes</v>
      </c>
      <c r="T82" s="5" t="str">
        <f>IFERROR(__xludf.DUMMYFUNCTION("""COMPUTED_VALUE"""),"Yes")</f>
        <v>Yes</v>
      </c>
      <c r="U82" s="5" t="str">
        <f>IFERROR(__xludf.DUMMYFUNCTION("""COMPUTED_VALUE"""),"Yes")</f>
        <v>Yes</v>
      </c>
      <c r="V82" s="5" t="str">
        <f>IFERROR(__xludf.DUMMYFUNCTION("""COMPUTED_VALUE"""),"Yes")</f>
        <v>Yes</v>
      </c>
      <c r="W82" s="5" t="str">
        <f>IFERROR(__xludf.DUMMYFUNCTION("""COMPUTED_VALUE"""),"Yes")</f>
        <v>Yes</v>
      </c>
      <c r="X82" s="5" t="str">
        <f>IFERROR(__xludf.DUMMYFUNCTION("""COMPUTED_VALUE"""),"Yes")</f>
        <v>Yes</v>
      </c>
      <c r="Y82" s="5" t="str">
        <f>IFERROR(__xludf.DUMMYFUNCTION("""COMPUTED_VALUE"""),"Yes")</f>
        <v>Yes</v>
      </c>
      <c r="Z82" s="5" t="str">
        <f>IFERROR(__xludf.DUMMYFUNCTION("""COMPUTED_VALUE"""),"Yes")</f>
        <v>Yes</v>
      </c>
      <c r="AA82" s="5" t="str">
        <f>IFERROR(__xludf.DUMMYFUNCTION("""COMPUTED_VALUE"""),"Yes")</f>
        <v>Yes</v>
      </c>
      <c r="AB82" s="5" t="str">
        <f>IFERROR(__xludf.DUMMYFUNCTION("""COMPUTED_VALUE"""),"Yes")</f>
        <v>Yes</v>
      </c>
      <c r="AC82" s="5" t="str">
        <f>IFERROR(__xludf.DUMMYFUNCTION("""COMPUTED_VALUE"""),"No")</f>
        <v>No</v>
      </c>
    </row>
    <row r="83">
      <c r="A83" s="5" t="str">
        <f>IFERROR(__xludf.DUMMYFUNCTION("""COMPUTED_VALUE"""),"CrystalHot401X")</f>
        <v>CrystalHot401X</v>
      </c>
      <c r="B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3" s="5" t="str">
        <f>IFERROR(__xludf.DUMMYFUNCTION("""COMPUTED_VALUE"""),"Yes")</f>
        <v>Yes</v>
      </c>
      <c r="D83" s="5" t="str">
        <f>IFERROR(__xludf.DUMMYFUNCTION("""COMPUTED_VALUE"""),"Yes")</f>
        <v>Yes</v>
      </c>
      <c r="E83" s="5" t="str">
        <f>IFERROR(__xludf.DUMMYFUNCTION("""COMPUTED_VALUE"""),"Yes")</f>
        <v>Yes</v>
      </c>
      <c r="F83" s="5" t="str">
        <f>IFERROR(__xludf.DUMMYFUNCTION("""COMPUTED_VALUE"""),"Yes")</f>
        <v>Yes</v>
      </c>
      <c r="G83" s="5" t="str">
        <f>IFERROR(__xludf.DUMMYFUNCTION("""COMPUTED_VALUE"""),"Yes")</f>
        <v>Yes</v>
      </c>
      <c r="H83" s="5" t="str">
        <f>IFERROR(__xludf.DUMMYFUNCTION("""COMPUTED_VALUE"""),"Yes")</f>
        <v>Yes</v>
      </c>
      <c r="I83" s="5" t="str">
        <f>IFERROR(__xludf.DUMMYFUNCTION("""COMPUTED_VALUE"""),"Yes")</f>
        <v>Yes</v>
      </c>
      <c r="J83" s="5" t="str">
        <f>IFERROR(__xludf.DUMMYFUNCTION("""COMPUTED_VALUE"""),"Yes")</f>
        <v>Yes</v>
      </c>
      <c r="K83" s="5" t="str">
        <f>IFERROR(__xludf.DUMMYFUNCTION("""COMPUTED_VALUE"""),"Yes")</f>
        <v>Yes</v>
      </c>
      <c r="L83" s="5" t="str">
        <f>IFERROR(__xludf.DUMMYFUNCTION("""COMPUTED_VALUE"""),"Yes")</f>
        <v>Yes</v>
      </c>
      <c r="M83" s="5" t="str">
        <f>IFERROR(__xludf.DUMMYFUNCTION("""COMPUTED_VALUE"""),"Yes")</f>
        <v>Yes</v>
      </c>
      <c r="N83" s="5" t="str">
        <f>IFERROR(__xludf.DUMMYFUNCTION("""COMPUTED_VALUE"""),"Yes")</f>
        <v>Yes</v>
      </c>
      <c r="O83" s="5" t="str">
        <f>IFERROR(__xludf.DUMMYFUNCTION("""COMPUTED_VALUE"""),"Yes")</f>
        <v>Yes</v>
      </c>
      <c r="P83" s="5" t="str">
        <f>IFERROR(__xludf.DUMMYFUNCTION("""COMPUTED_VALUE"""),"Yes")</f>
        <v>Yes</v>
      </c>
      <c r="Q83" s="5" t="str">
        <f>IFERROR(__xludf.DUMMYFUNCTION("""COMPUTED_VALUE"""),"Yes")</f>
        <v>Yes</v>
      </c>
      <c r="R83" s="5" t="str">
        <f>IFERROR(__xludf.DUMMYFUNCTION("""COMPUTED_VALUE"""),"Yes")</f>
        <v>Yes</v>
      </c>
      <c r="S83" s="5" t="str">
        <f>IFERROR(__xludf.DUMMYFUNCTION("""COMPUTED_VALUE"""),"Yes")</f>
        <v>Yes</v>
      </c>
      <c r="T83" s="5" t="str">
        <f>IFERROR(__xludf.DUMMYFUNCTION("""COMPUTED_VALUE"""),"Yes")</f>
        <v>Yes</v>
      </c>
      <c r="U83" s="5" t="str">
        <f>IFERROR(__xludf.DUMMYFUNCTION("""COMPUTED_VALUE"""),"Yes")</f>
        <v>Yes</v>
      </c>
      <c r="V83" s="5" t="str">
        <f>IFERROR(__xludf.DUMMYFUNCTION("""COMPUTED_VALUE"""),"Yes")</f>
        <v>Yes</v>
      </c>
      <c r="W83" s="5" t="str">
        <f>IFERROR(__xludf.DUMMYFUNCTION("""COMPUTED_VALUE"""),"Yes")</f>
        <v>Yes</v>
      </c>
      <c r="X83" s="5" t="str">
        <f>IFERROR(__xludf.DUMMYFUNCTION("""COMPUTED_VALUE"""),"Yes")</f>
        <v>Yes</v>
      </c>
      <c r="Y83" s="5" t="str">
        <f>IFERROR(__xludf.DUMMYFUNCTION("""COMPUTED_VALUE"""),"Yes")</f>
        <v>Yes</v>
      </c>
      <c r="Z83" s="5" t="str">
        <f>IFERROR(__xludf.DUMMYFUNCTION("""COMPUTED_VALUE"""),"Yes")</f>
        <v>Yes</v>
      </c>
      <c r="AA83" s="5" t="str">
        <f>IFERROR(__xludf.DUMMYFUNCTION("""COMPUTED_VALUE"""),"Yes")</f>
        <v>Yes</v>
      </c>
      <c r="AB83" s="5" t="str">
        <f>IFERROR(__xludf.DUMMYFUNCTION("""COMPUTED_VALUE"""),"Yes")</f>
        <v>Yes</v>
      </c>
      <c r="AC83" s="5" t="str">
        <f>IFERROR(__xludf.DUMMYFUNCTION("""COMPUTED_VALUE"""),"No")</f>
        <v>No</v>
      </c>
    </row>
    <row r="84">
      <c r="A84" s="5" t="str">
        <f>IFERROR(__xludf.DUMMYFUNCTION("""COMPUTED_VALUE"""),"WildClover40")</f>
        <v>WildClover40</v>
      </c>
      <c r="B8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4" s="5" t="str">
        <f>IFERROR(__xludf.DUMMYFUNCTION("""COMPUTED_VALUE"""),"Yes")</f>
        <v>Yes</v>
      </c>
      <c r="D84" s="5" t="str">
        <f>IFERROR(__xludf.DUMMYFUNCTION("""COMPUTED_VALUE"""),"Yes")</f>
        <v>Yes</v>
      </c>
      <c r="E84" s="5" t="str">
        <f>IFERROR(__xludf.DUMMYFUNCTION("""COMPUTED_VALUE"""),"No")</f>
        <v>No</v>
      </c>
      <c r="F84" s="5" t="str">
        <f>IFERROR(__xludf.DUMMYFUNCTION("""COMPUTED_VALUE"""),"Yes")</f>
        <v>Yes</v>
      </c>
      <c r="G84" s="5" t="str">
        <f>IFERROR(__xludf.DUMMYFUNCTION("""COMPUTED_VALUE"""),"Yes")</f>
        <v>Yes</v>
      </c>
      <c r="H84" s="5" t="str">
        <f>IFERROR(__xludf.DUMMYFUNCTION("""COMPUTED_VALUE"""),"Yes")</f>
        <v>Yes</v>
      </c>
      <c r="I84" s="5" t="str">
        <f>IFERROR(__xludf.DUMMYFUNCTION("""COMPUTED_VALUE"""),"Yes")</f>
        <v>Yes</v>
      </c>
      <c r="J84" s="5" t="str">
        <f>IFERROR(__xludf.DUMMYFUNCTION("""COMPUTED_VALUE"""),"Yes")</f>
        <v>Yes</v>
      </c>
      <c r="K84" s="5" t="str">
        <f>IFERROR(__xludf.DUMMYFUNCTION("""COMPUTED_VALUE"""),"Yes")</f>
        <v>Yes</v>
      </c>
      <c r="L84" s="5" t="str">
        <f>IFERROR(__xludf.DUMMYFUNCTION("""COMPUTED_VALUE"""),"Yes")</f>
        <v>Yes</v>
      </c>
      <c r="M84" s="5" t="str">
        <f>IFERROR(__xludf.DUMMYFUNCTION("""COMPUTED_VALUE"""),"Yes")</f>
        <v>Yes</v>
      </c>
      <c r="N84" s="5" t="str">
        <f>IFERROR(__xludf.DUMMYFUNCTION("""COMPUTED_VALUE"""),"Yes")</f>
        <v>Yes</v>
      </c>
      <c r="O84" s="5" t="str">
        <f>IFERROR(__xludf.DUMMYFUNCTION("""COMPUTED_VALUE"""),"Yes")</f>
        <v>Yes</v>
      </c>
      <c r="P84" s="5" t="str">
        <f>IFERROR(__xludf.DUMMYFUNCTION("""COMPUTED_VALUE"""),"Yes")</f>
        <v>Yes</v>
      </c>
      <c r="Q84" s="5" t="str">
        <f>IFERROR(__xludf.DUMMYFUNCTION("""COMPUTED_VALUE"""),"Yes")</f>
        <v>Yes</v>
      </c>
      <c r="R84" s="5" t="str">
        <f>IFERROR(__xludf.DUMMYFUNCTION("""COMPUTED_VALUE"""),"No")</f>
        <v>No</v>
      </c>
      <c r="S84" s="5" t="str">
        <f>IFERROR(__xludf.DUMMYFUNCTION("""COMPUTED_VALUE"""),"No")</f>
        <v>No</v>
      </c>
      <c r="T84" s="5" t="str">
        <f>IFERROR(__xludf.DUMMYFUNCTION("""COMPUTED_VALUE"""),"No")</f>
        <v>No</v>
      </c>
      <c r="U84" s="5" t="str">
        <f>IFERROR(__xludf.DUMMYFUNCTION("""COMPUTED_VALUE"""),"No")</f>
        <v>No</v>
      </c>
      <c r="V84" s="5" t="str">
        <f>IFERROR(__xludf.DUMMYFUNCTION("""COMPUTED_VALUE"""),"No")</f>
        <v>No</v>
      </c>
      <c r="W84" s="5" t="str">
        <f>IFERROR(__xludf.DUMMYFUNCTION("""COMPUTED_VALUE"""),"No")</f>
        <v>No</v>
      </c>
      <c r="X84" s="5" t="str">
        <f>IFERROR(__xludf.DUMMYFUNCTION("""COMPUTED_VALUE"""),"No")</f>
        <v>No</v>
      </c>
      <c r="Y84" s="5" t="str">
        <f>IFERROR(__xludf.DUMMYFUNCTION("""COMPUTED_VALUE"""),"No")</f>
        <v>No</v>
      </c>
      <c r="Z84" s="5" t="str">
        <f>IFERROR(__xludf.DUMMYFUNCTION("""COMPUTED_VALUE"""),"No")</f>
        <v>No</v>
      </c>
      <c r="AA84" s="5" t="str">
        <f>IFERROR(__xludf.DUMMYFUNCTION("""COMPUTED_VALUE"""),"No")</f>
        <v>No</v>
      </c>
      <c r="AB84" s="5" t="str">
        <f>IFERROR(__xludf.DUMMYFUNCTION("""COMPUTED_VALUE"""),"Yes")</f>
        <v>Yes</v>
      </c>
      <c r="AC84" s="5" t="str">
        <f>IFERROR(__xludf.DUMMYFUNCTION("""COMPUTED_VALUE"""),"No")</f>
        <v>No</v>
      </c>
    </row>
    <row r="85">
      <c r="A85" s="5" t="str">
        <f>IFERROR(__xludf.DUMMYFUNCTION("""COMPUTED_VALUE"""),"MysteryJokerHot")</f>
        <v>MysteryJokerHot</v>
      </c>
      <c r="B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5" s="5" t="str">
        <f>IFERROR(__xludf.DUMMYFUNCTION("""COMPUTED_VALUE"""),"Yes")</f>
        <v>Yes</v>
      </c>
      <c r="D85" s="5" t="str">
        <f>IFERROR(__xludf.DUMMYFUNCTION("""COMPUTED_VALUE"""),"Yes")</f>
        <v>Yes</v>
      </c>
      <c r="E85" s="5" t="str">
        <f>IFERROR(__xludf.DUMMYFUNCTION("""COMPUTED_VALUE"""),"Yes")</f>
        <v>Yes</v>
      </c>
      <c r="F85" s="5" t="str">
        <f>IFERROR(__xludf.DUMMYFUNCTION("""COMPUTED_VALUE"""),"Yes")</f>
        <v>Yes</v>
      </c>
      <c r="G85" s="5" t="str">
        <f>IFERROR(__xludf.DUMMYFUNCTION("""COMPUTED_VALUE"""),"Yes")</f>
        <v>Yes</v>
      </c>
      <c r="H85" s="5" t="str">
        <f>IFERROR(__xludf.DUMMYFUNCTION("""COMPUTED_VALUE"""),"Yes")</f>
        <v>Yes</v>
      </c>
      <c r="I85" s="5" t="str">
        <f>IFERROR(__xludf.DUMMYFUNCTION("""COMPUTED_VALUE"""),"Yes")</f>
        <v>Yes</v>
      </c>
      <c r="J85" s="5" t="str">
        <f>IFERROR(__xludf.DUMMYFUNCTION("""COMPUTED_VALUE"""),"Yes")</f>
        <v>Yes</v>
      </c>
      <c r="K85" s="5" t="str">
        <f>IFERROR(__xludf.DUMMYFUNCTION("""COMPUTED_VALUE"""),"Yes")</f>
        <v>Yes</v>
      </c>
      <c r="L85" s="5" t="str">
        <f>IFERROR(__xludf.DUMMYFUNCTION("""COMPUTED_VALUE"""),"Yes")</f>
        <v>Yes</v>
      </c>
      <c r="M85" s="5" t="str">
        <f>IFERROR(__xludf.DUMMYFUNCTION("""COMPUTED_VALUE"""),"Yes")</f>
        <v>Yes</v>
      </c>
      <c r="N85" s="5" t="str">
        <f>IFERROR(__xludf.DUMMYFUNCTION("""COMPUTED_VALUE"""),"Yes")</f>
        <v>Yes</v>
      </c>
      <c r="O85" s="5" t="str">
        <f>IFERROR(__xludf.DUMMYFUNCTION("""COMPUTED_VALUE"""),"Yes")</f>
        <v>Yes</v>
      </c>
      <c r="P85" s="5" t="str">
        <f>IFERROR(__xludf.DUMMYFUNCTION("""COMPUTED_VALUE"""),"Yes")</f>
        <v>Yes</v>
      </c>
      <c r="Q85" s="5" t="str">
        <f>IFERROR(__xludf.DUMMYFUNCTION("""COMPUTED_VALUE"""),"Yes")</f>
        <v>Yes</v>
      </c>
      <c r="R85" s="5" t="str">
        <f>IFERROR(__xludf.DUMMYFUNCTION("""COMPUTED_VALUE"""),"Yes")</f>
        <v>Yes</v>
      </c>
      <c r="S85" s="5" t="str">
        <f>IFERROR(__xludf.DUMMYFUNCTION("""COMPUTED_VALUE"""),"Yes")</f>
        <v>Yes</v>
      </c>
      <c r="T85" s="5" t="str">
        <f>IFERROR(__xludf.DUMMYFUNCTION("""COMPUTED_VALUE"""),"Yes")</f>
        <v>Yes</v>
      </c>
      <c r="U85" s="5" t="str">
        <f>IFERROR(__xludf.DUMMYFUNCTION("""COMPUTED_VALUE"""),"Yes")</f>
        <v>Yes</v>
      </c>
      <c r="V85" s="5" t="str">
        <f>IFERROR(__xludf.DUMMYFUNCTION("""COMPUTED_VALUE"""),"Yes")</f>
        <v>Yes</v>
      </c>
      <c r="W85" s="5" t="str">
        <f>IFERROR(__xludf.DUMMYFUNCTION("""COMPUTED_VALUE"""),"Yes")</f>
        <v>Yes</v>
      </c>
      <c r="X85" s="5" t="str">
        <f>IFERROR(__xludf.DUMMYFUNCTION("""COMPUTED_VALUE"""),"Yes")</f>
        <v>Yes</v>
      </c>
      <c r="Y85" s="5" t="str">
        <f>IFERROR(__xludf.DUMMYFUNCTION("""COMPUTED_VALUE"""),"Yes")</f>
        <v>Yes</v>
      </c>
      <c r="Z85" s="5" t="str">
        <f>IFERROR(__xludf.DUMMYFUNCTION("""COMPUTED_VALUE"""),"Yes")</f>
        <v>Yes</v>
      </c>
      <c r="AA85" s="5" t="str">
        <f>IFERROR(__xludf.DUMMYFUNCTION("""COMPUTED_VALUE"""),"Yes")</f>
        <v>Yes</v>
      </c>
      <c r="AB85" s="5" t="str">
        <f>IFERROR(__xludf.DUMMYFUNCTION("""COMPUTED_VALUE"""),"Yes")</f>
        <v>Yes</v>
      </c>
      <c r="AC85" s="5" t="str">
        <f>IFERROR(__xludf.DUMMYFUNCTION("""COMPUTED_VALUE"""),"No")</f>
        <v>No</v>
      </c>
    </row>
    <row r="86">
      <c r="A86" s="5" t="str">
        <f>IFERROR(__xludf.DUMMYFUNCTION("""COMPUTED_VALUE"""),"CrystalJokerHot")</f>
        <v>CrystalJokerHot</v>
      </c>
      <c r="B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6" s="5" t="str">
        <f>IFERROR(__xludf.DUMMYFUNCTION("""COMPUTED_VALUE"""),"Yes")</f>
        <v>Yes</v>
      </c>
      <c r="D86" s="5" t="str">
        <f>IFERROR(__xludf.DUMMYFUNCTION("""COMPUTED_VALUE"""),"Yes")</f>
        <v>Yes</v>
      </c>
      <c r="E86" s="5" t="str">
        <f>IFERROR(__xludf.DUMMYFUNCTION("""COMPUTED_VALUE"""),"Yes")</f>
        <v>Yes</v>
      </c>
      <c r="F86" s="5" t="str">
        <f>IFERROR(__xludf.DUMMYFUNCTION("""COMPUTED_VALUE"""),"Yes")</f>
        <v>Yes</v>
      </c>
      <c r="G86" s="5" t="str">
        <f>IFERROR(__xludf.DUMMYFUNCTION("""COMPUTED_VALUE"""),"Yes")</f>
        <v>Yes</v>
      </c>
      <c r="H86" s="5" t="str">
        <f>IFERROR(__xludf.DUMMYFUNCTION("""COMPUTED_VALUE"""),"Yes")</f>
        <v>Yes</v>
      </c>
      <c r="I86" s="5" t="str">
        <f>IFERROR(__xludf.DUMMYFUNCTION("""COMPUTED_VALUE"""),"Yes")</f>
        <v>Yes</v>
      </c>
      <c r="J86" s="5" t="str">
        <f>IFERROR(__xludf.DUMMYFUNCTION("""COMPUTED_VALUE"""),"Yes")</f>
        <v>Yes</v>
      </c>
      <c r="K86" s="5" t="str">
        <f>IFERROR(__xludf.DUMMYFUNCTION("""COMPUTED_VALUE"""),"Yes")</f>
        <v>Yes</v>
      </c>
      <c r="L86" s="5" t="str">
        <f>IFERROR(__xludf.DUMMYFUNCTION("""COMPUTED_VALUE"""),"Yes")</f>
        <v>Yes</v>
      </c>
      <c r="M86" s="5" t="str">
        <f>IFERROR(__xludf.DUMMYFUNCTION("""COMPUTED_VALUE"""),"Yes")</f>
        <v>Yes</v>
      </c>
      <c r="N86" s="5" t="str">
        <f>IFERROR(__xludf.DUMMYFUNCTION("""COMPUTED_VALUE"""),"Yes")</f>
        <v>Yes</v>
      </c>
      <c r="O86" s="5" t="str">
        <f>IFERROR(__xludf.DUMMYFUNCTION("""COMPUTED_VALUE"""),"Yes")</f>
        <v>Yes</v>
      </c>
      <c r="P86" s="5" t="str">
        <f>IFERROR(__xludf.DUMMYFUNCTION("""COMPUTED_VALUE"""),"Yes")</f>
        <v>Yes</v>
      </c>
      <c r="Q86" s="5" t="str">
        <f>IFERROR(__xludf.DUMMYFUNCTION("""COMPUTED_VALUE"""),"Yes")</f>
        <v>Yes</v>
      </c>
      <c r="R86" s="5" t="str">
        <f>IFERROR(__xludf.DUMMYFUNCTION("""COMPUTED_VALUE"""),"Yes")</f>
        <v>Yes</v>
      </c>
      <c r="S86" s="5" t="str">
        <f>IFERROR(__xludf.DUMMYFUNCTION("""COMPUTED_VALUE"""),"Yes")</f>
        <v>Yes</v>
      </c>
      <c r="T86" s="5" t="str">
        <f>IFERROR(__xludf.DUMMYFUNCTION("""COMPUTED_VALUE"""),"Yes")</f>
        <v>Yes</v>
      </c>
      <c r="U86" s="5" t="str">
        <f>IFERROR(__xludf.DUMMYFUNCTION("""COMPUTED_VALUE"""),"Yes")</f>
        <v>Yes</v>
      </c>
      <c r="V86" s="5" t="str">
        <f>IFERROR(__xludf.DUMMYFUNCTION("""COMPUTED_VALUE"""),"Yes")</f>
        <v>Yes</v>
      </c>
      <c r="W86" s="5" t="str">
        <f>IFERROR(__xludf.DUMMYFUNCTION("""COMPUTED_VALUE"""),"Yes")</f>
        <v>Yes</v>
      </c>
      <c r="X86" s="5" t="str">
        <f>IFERROR(__xludf.DUMMYFUNCTION("""COMPUTED_VALUE"""),"Yes")</f>
        <v>Yes</v>
      </c>
      <c r="Y86" s="5" t="str">
        <f>IFERROR(__xludf.DUMMYFUNCTION("""COMPUTED_VALUE"""),"Yes")</f>
        <v>Yes</v>
      </c>
      <c r="Z86" s="5" t="str">
        <f>IFERROR(__xludf.DUMMYFUNCTION("""COMPUTED_VALUE"""),"Yes")</f>
        <v>Yes</v>
      </c>
      <c r="AA86" s="5" t="str">
        <f>IFERROR(__xludf.DUMMYFUNCTION("""COMPUTED_VALUE"""),"Yes")</f>
        <v>Yes</v>
      </c>
      <c r="AB86" s="5" t="str">
        <f>IFERROR(__xludf.DUMMYFUNCTION("""COMPUTED_VALUE"""),"Yes")</f>
        <v>Yes</v>
      </c>
      <c r="AC86" s="5" t="str">
        <f>IFERROR(__xludf.DUMMYFUNCTION("""COMPUTED_VALUE"""),"No")</f>
        <v>No</v>
      </c>
    </row>
    <row r="87">
      <c r="A87" s="5" t="str">
        <f>IFERROR(__xludf.DUMMYFUNCTION("""COMPUTED_VALUE"""),"UnicornFruitIsland")</f>
        <v>UnicornFruitIsland</v>
      </c>
      <c r="B8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87" s="5" t="str">
        <f>IFERROR(__xludf.DUMMYFUNCTION("""COMPUTED_VALUE"""),"Yes")</f>
        <v>Yes</v>
      </c>
      <c r="D87" s="5" t="str">
        <f>IFERROR(__xludf.DUMMYFUNCTION("""COMPUTED_VALUE"""),"Yes")</f>
        <v>Yes</v>
      </c>
      <c r="E87" s="5" t="str">
        <f>IFERROR(__xludf.DUMMYFUNCTION("""COMPUTED_VALUE"""),"Yes")</f>
        <v>Yes</v>
      </c>
      <c r="F87" s="5" t="str">
        <f>IFERROR(__xludf.DUMMYFUNCTION("""COMPUTED_VALUE"""),"No")</f>
        <v>No</v>
      </c>
      <c r="G87" s="5" t="str">
        <f>IFERROR(__xludf.DUMMYFUNCTION("""COMPUTED_VALUE"""),"No")</f>
        <v>No</v>
      </c>
      <c r="H87" s="5" t="str">
        <f>IFERROR(__xludf.DUMMYFUNCTION("""COMPUTED_VALUE"""),"No")</f>
        <v>No</v>
      </c>
      <c r="I87" s="5" t="str">
        <f>IFERROR(__xludf.DUMMYFUNCTION("""COMPUTED_VALUE"""),"No")</f>
        <v>No</v>
      </c>
      <c r="J87" s="5" t="str">
        <f>IFERROR(__xludf.DUMMYFUNCTION("""COMPUTED_VALUE"""),"No")</f>
        <v>No</v>
      </c>
      <c r="K87" s="5" t="str">
        <f>IFERROR(__xludf.DUMMYFUNCTION("""COMPUTED_VALUE"""),"Yes")</f>
        <v>Yes</v>
      </c>
      <c r="L87" s="5" t="str">
        <f>IFERROR(__xludf.DUMMYFUNCTION("""COMPUTED_VALUE"""),"Yes")</f>
        <v>Yes</v>
      </c>
      <c r="M87" s="5" t="str">
        <f>IFERROR(__xludf.DUMMYFUNCTION("""COMPUTED_VALUE"""),"Yes")</f>
        <v>Yes</v>
      </c>
      <c r="N87" s="5" t="str">
        <f>IFERROR(__xludf.DUMMYFUNCTION("""COMPUTED_VALUE"""),"Yes")</f>
        <v>Yes</v>
      </c>
      <c r="O87" s="5" t="str">
        <f>IFERROR(__xludf.DUMMYFUNCTION("""COMPUTED_VALUE"""),"Yes")</f>
        <v>Yes</v>
      </c>
      <c r="P87" s="5" t="str">
        <f>IFERROR(__xludf.DUMMYFUNCTION("""COMPUTED_VALUE"""),"No")</f>
        <v>No</v>
      </c>
      <c r="Q87" s="5" t="str">
        <f>IFERROR(__xludf.DUMMYFUNCTION("""COMPUTED_VALUE"""),"Yes")</f>
        <v>Yes</v>
      </c>
      <c r="R87" s="5" t="str">
        <f>IFERROR(__xludf.DUMMYFUNCTION("""COMPUTED_VALUE"""),"No")</f>
        <v>No</v>
      </c>
      <c r="S87" s="5" t="str">
        <f>IFERROR(__xludf.DUMMYFUNCTION("""COMPUTED_VALUE"""),"No")</f>
        <v>No</v>
      </c>
      <c r="T87" s="5" t="str">
        <f>IFERROR(__xludf.DUMMYFUNCTION("""COMPUTED_VALUE"""),"No")</f>
        <v>No</v>
      </c>
      <c r="U87" s="5" t="str">
        <f>IFERROR(__xludf.DUMMYFUNCTION("""COMPUTED_VALUE"""),"No")</f>
        <v>No</v>
      </c>
      <c r="V87" s="5" t="str">
        <f>IFERROR(__xludf.DUMMYFUNCTION("""COMPUTED_VALUE"""),"No")</f>
        <v>No</v>
      </c>
      <c r="W87" s="5"/>
      <c r="X87" s="5"/>
      <c r="Y87" s="5"/>
      <c r="Z87" s="5" t="str">
        <f>IFERROR(__xludf.DUMMYFUNCTION("""COMPUTED_VALUE"""),"No")</f>
        <v>No</v>
      </c>
      <c r="AA87" s="5"/>
      <c r="AB87" s="5"/>
      <c r="AC87" s="5"/>
    </row>
    <row r="88">
      <c r="A88" s="5" t="str">
        <f>IFERROR(__xludf.DUMMYFUNCTION("""COMPUTED_VALUE"""),"FruityJokerHot")</f>
        <v>FruityJokerHot</v>
      </c>
      <c r="B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8" s="5" t="str">
        <f>IFERROR(__xludf.DUMMYFUNCTION("""COMPUTED_VALUE"""),"Yes")</f>
        <v>Yes</v>
      </c>
      <c r="D88" s="5" t="str">
        <f>IFERROR(__xludf.DUMMYFUNCTION("""COMPUTED_VALUE"""),"Yes")</f>
        <v>Yes</v>
      </c>
      <c r="E88" s="5" t="str">
        <f>IFERROR(__xludf.DUMMYFUNCTION("""COMPUTED_VALUE"""),"Yes")</f>
        <v>Yes</v>
      </c>
      <c r="F88" s="5" t="str">
        <f>IFERROR(__xludf.DUMMYFUNCTION("""COMPUTED_VALUE"""),"Yes")</f>
        <v>Yes</v>
      </c>
      <c r="G88" s="5" t="str">
        <f>IFERROR(__xludf.DUMMYFUNCTION("""COMPUTED_VALUE"""),"Yes")</f>
        <v>Yes</v>
      </c>
      <c r="H88" s="5" t="str">
        <f>IFERROR(__xludf.DUMMYFUNCTION("""COMPUTED_VALUE"""),"Yes")</f>
        <v>Yes</v>
      </c>
      <c r="I88" s="5" t="str">
        <f>IFERROR(__xludf.DUMMYFUNCTION("""COMPUTED_VALUE"""),"Yes")</f>
        <v>Yes</v>
      </c>
      <c r="J88" s="5" t="str">
        <f>IFERROR(__xludf.DUMMYFUNCTION("""COMPUTED_VALUE"""),"Yes")</f>
        <v>Yes</v>
      </c>
      <c r="K88" s="5" t="str">
        <f>IFERROR(__xludf.DUMMYFUNCTION("""COMPUTED_VALUE"""),"Yes")</f>
        <v>Yes</v>
      </c>
      <c r="L88" s="5" t="str">
        <f>IFERROR(__xludf.DUMMYFUNCTION("""COMPUTED_VALUE"""),"Yes")</f>
        <v>Yes</v>
      </c>
      <c r="M88" s="5" t="str">
        <f>IFERROR(__xludf.DUMMYFUNCTION("""COMPUTED_VALUE"""),"Yes")</f>
        <v>Yes</v>
      </c>
      <c r="N88" s="5" t="str">
        <f>IFERROR(__xludf.DUMMYFUNCTION("""COMPUTED_VALUE"""),"Yes")</f>
        <v>Yes</v>
      </c>
      <c r="O88" s="5" t="str">
        <f>IFERROR(__xludf.DUMMYFUNCTION("""COMPUTED_VALUE"""),"Yes")</f>
        <v>Yes</v>
      </c>
      <c r="P88" s="5" t="str">
        <f>IFERROR(__xludf.DUMMYFUNCTION("""COMPUTED_VALUE"""),"Yes")</f>
        <v>Yes</v>
      </c>
      <c r="Q88" s="5" t="str">
        <f>IFERROR(__xludf.DUMMYFUNCTION("""COMPUTED_VALUE"""),"Yes")</f>
        <v>Yes</v>
      </c>
      <c r="R88" s="5" t="str">
        <f>IFERROR(__xludf.DUMMYFUNCTION("""COMPUTED_VALUE"""),"Yes")</f>
        <v>Yes</v>
      </c>
      <c r="S88" s="5" t="str">
        <f>IFERROR(__xludf.DUMMYFUNCTION("""COMPUTED_VALUE"""),"Yes")</f>
        <v>Yes</v>
      </c>
      <c r="T88" s="5" t="str">
        <f>IFERROR(__xludf.DUMMYFUNCTION("""COMPUTED_VALUE"""),"Yes")</f>
        <v>Yes</v>
      </c>
      <c r="U88" s="5" t="str">
        <f>IFERROR(__xludf.DUMMYFUNCTION("""COMPUTED_VALUE"""),"Yes")</f>
        <v>Yes</v>
      </c>
      <c r="V88" s="5" t="str">
        <f>IFERROR(__xludf.DUMMYFUNCTION("""COMPUTED_VALUE"""),"Yes")</f>
        <v>Yes</v>
      </c>
      <c r="W88" s="5" t="str">
        <f>IFERROR(__xludf.DUMMYFUNCTION("""COMPUTED_VALUE"""),"Yes")</f>
        <v>Yes</v>
      </c>
      <c r="X88" s="5" t="str">
        <f>IFERROR(__xludf.DUMMYFUNCTION("""COMPUTED_VALUE"""),"Yes")</f>
        <v>Yes</v>
      </c>
      <c r="Y88" s="5" t="str">
        <f>IFERROR(__xludf.DUMMYFUNCTION("""COMPUTED_VALUE"""),"Yes")</f>
        <v>Yes</v>
      </c>
      <c r="Z88" s="5" t="str">
        <f>IFERROR(__xludf.DUMMYFUNCTION("""COMPUTED_VALUE"""),"Yes")</f>
        <v>Yes</v>
      </c>
      <c r="AA88" s="5" t="str">
        <f>IFERROR(__xludf.DUMMYFUNCTION("""COMPUTED_VALUE"""),"Yes")</f>
        <v>Yes</v>
      </c>
      <c r="AB88" s="5" t="str">
        <f>IFERROR(__xludf.DUMMYFUNCTION("""COMPUTED_VALUE"""),"Yes")</f>
        <v>Yes</v>
      </c>
      <c r="AC88" s="5" t="str">
        <f>IFERROR(__xludf.DUMMYFUNCTION("""COMPUTED_VALUE"""),"No")</f>
        <v>No</v>
      </c>
    </row>
    <row r="89">
      <c r="A89" s="5" t="str">
        <f>IFERROR(__xludf.DUMMYFUNCTION("""COMPUTED_VALUE"""),"UnicornWildParadise")</f>
        <v>UnicornWildParadise</v>
      </c>
      <c r="B8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89" s="5" t="str">
        <f>IFERROR(__xludf.DUMMYFUNCTION("""COMPUTED_VALUE"""),"Yes")</f>
        <v>Yes</v>
      </c>
      <c r="D89" s="5" t="str">
        <f>IFERROR(__xludf.DUMMYFUNCTION("""COMPUTED_VALUE"""),"Yes")</f>
        <v>Yes</v>
      </c>
      <c r="E89" s="5" t="str">
        <f>IFERROR(__xludf.DUMMYFUNCTION("""COMPUTED_VALUE"""),"Yes")</f>
        <v>Yes</v>
      </c>
      <c r="F89" s="5" t="str">
        <f>IFERROR(__xludf.DUMMYFUNCTION("""COMPUTED_VALUE"""),"No")</f>
        <v>No</v>
      </c>
      <c r="G89" s="5" t="str">
        <f>IFERROR(__xludf.DUMMYFUNCTION("""COMPUTED_VALUE"""),"No")</f>
        <v>No</v>
      </c>
      <c r="H89" s="5" t="str">
        <f>IFERROR(__xludf.DUMMYFUNCTION("""COMPUTED_VALUE"""),"No")</f>
        <v>No</v>
      </c>
      <c r="I89" s="5" t="str">
        <f>IFERROR(__xludf.DUMMYFUNCTION("""COMPUTED_VALUE"""),"No")</f>
        <v>No</v>
      </c>
      <c r="J89" s="5" t="str">
        <f>IFERROR(__xludf.DUMMYFUNCTION("""COMPUTED_VALUE"""),"No")</f>
        <v>No</v>
      </c>
      <c r="K89" s="5" t="str">
        <f>IFERROR(__xludf.DUMMYFUNCTION("""COMPUTED_VALUE"""),"Yes")</f>
        <v>Yes</v>
      </c>
      <c r="L89" s="5" t="str">
        <f>IFERROR(__xludf.DUMMYFUNCTION("""COMPUTED_VALUE"""),"Yes")</f>
        <v>Yes</v>
      </c>
      <c r="M89" s="5" t="str">
        <f>IFERROR(__xludf.DUMMYFUNCTION("""COMPUTED_VALUE"""),"Yes")</f>
        <v>Yes</v>
      </c>
      <c r="N89" s="5" t="str">
        <f>IFERROR(__xludf.DUMMYFUNCTION("""COMPUTED_VALUE"""),"Yes")</f>
        <v>Yes</v>
      </c>
      <c r="O89" s="5" t="str">
        <f>IFERROR(__xludf.DUMMYFUNCTION("""COMPUTED_VALUE"""),"Yes")</f>
        <v>Yes</v>
      </c>
      <c r="P89" s="5" t="str">
        <f>IFERROR(__xludf.DUMMYFUNCTION("""COMPUTED_VALUE"""),"No")</f>
        <v>No</v>
      </c>
      <c r="Q89" s="5" t="str">
        <f>IFERROR(__xludf.DUMMYFUNCTION("""COMPUTED_VALUE"""),"Yes")</f>
        <v>Yes</v>
      </c>
      <c r="R89" s="5" t="str">
        <f>IFERROR(__xludf.DUMMYFUNCTION("""COMPUTED_VALUE"""),"No")</f>
        <v>No</v>
      </c>
      <c r="S89" s="5" t="str">
        <f>IFERROR(__xludf.DUMMYFUNCTION("""COMPUTED_VALUE"""),"No")</f>
        <v>No</v>
      </c>
      <c r="T89" s="5" t="str">
        <f>IFERROR(__xludf.DUMMYFUNCTION("""COMPUTED_VALUE"""),"No")</f>
        <v>No</v>
      </c>
      <c r="U89" s="5" t="str">
        <f>IFERROR(__xludf.DUMMYFUNCTION("""COMPUTED_VALUE"""),"No")</f>
        <v>No</v>
      </c>
      <c r="V89" s="5" t="str">
        <f>IFERROR(__xludf.DUMMYFUNCTION("""COMPUTED_VALUE"""),"No")</f>
        <v>No</v>
      </c>
      <c r="W89" s="5"/>
      <c r="X89" s="5"/>
      <c r="Y89" s="5"/>
      <c r="Z89" s="5" t="str">
        <f>IFERROR(__xludf.DUMMYFUNCTION("""COMPUTED_VALUE"""),"No")</f>
        <v>No</v>
      </c>
      <c r="AA89" s="5"/>
      <c r="AB89" s="5"/>
      <c r="AC89" s="5"/>
    </row>
    <row r="90">
      <c r="A90" s="5" t="str">
        <f>IFERROR(__xludf.DUMMYFUNCTION("""COMPUTED_VALUE"""),"UnicornRainbowSevens")</f>
        <v>UnicornRainbowSevens</v>
      </c>
      <c r="B9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0" s="5" t="str">
        <f>IFERROR(__xludf.DUMMYFUNCTION("""COMPUTED_VALUE"""),"Yes")</f>
        <v>Yes</v>
      </c>
      <c r="D90" s="5" t="str">
        <f>IFERROR(__xludf.DUMMYFUNCTION("""COMPUTED_VALUE"""),"Yes")</f>
        <v>Yes</v>
      </c>
      <c r="E90" s="5" t="str">
        <f>IFERROR(__xludf.DUMMYFUNCTION("""COMPUTED_VALUE"""),"Yes")</f>
        <v>Yes</v>
      </c>
      <c r="F90" s="5" t="str">
        <f>IFERROR(__xludf.DUMMYFUNCTION("""COMPUTED_VALUE"""),"No")</f>
        <v>No</v>
      </c>
      <c r="G90" s="5" t="str">
        <f>IFERROR(__xludf.DUMMYFUNCTION("""COMPUTED_VALUE"""),"No")</f>
        <v>No</v>
      </c>
      <c r="H90" s="5" t="str">
        <f>IFERROR(__xludf.DUMMYFUNCTION("""COMPUTED_VALUE"""),"No")</f>
        <v>No</v>
      </c>
      <c r="I90" s="5" t="str">
        <f>IFERROR(__xludf.DUMMYFUNCTION("""COMPUTED_VALUE"""),"No")</f>
        <v>No</v>
      </c>
      <c r="J90" s="5" t="str">
        <f>IFERROR(__xludf.DUMMYFUNCTION("""COMPUTED_VALUE"""),"No")</f>
        <v>No</v>
      </c>
      <c r="K90" s="5" t="str">
        <f>IFERROR(__xludf.DUMMYFUNCTION("""COMPUTED_VALUE"""),"Yes")</f>
        <v>Yes</v>
      </c>
      <c r="L90" s="5" t="str">
        <f>IFERROR(__xludf.DUMMYFUNCTION("""COMPUTED_VALUE"""),"Yes")</f>
        <v>Yes</v>
      </c>
      <c r="M90" s="5" t="str">
        <f>IFERROR(__xludf.DUMMYFUNCTION("""COMPUTED_VALUE"""),"Yes")</f>
        <v>Yes</v>
      </c>
      <c r="N90" s="5" t="str">
        <f>IFERROR(__xludf.DUMMYFUNCTION("""COMPUTED_VALUE"""),"Yes")</f>
        <v>Yes</v>
      </c>
      <c r="O90" s="5" t="str">
        <f>IFERROR(__xludf.DUMMYFUNCTION("""COMPUTED_VALUE"""),"Yes")</f>
        <v>Yes</v>
      </c>
      <c r="P90" s="5" t="str">
        <f>IFERROR(__xludf.DUMMYFUNCTION("""COMPUTED_VALUE"""),"No")</f>
        <v>No</v>
      </c>
      <c r="Q90" s="5" t="str">
        <f>IFERROR(__xludf.DUMMYFUNCTION("""COMPUTED_VALUE"""),"Yes")</f>
        <v>Yes</v>
      </c>
      <c r="R90" s="5" t="str">
        <f>IFERROR(__xludf.DUMMYFUNCTION("""COMPUTED_VALUE"""),"No")</f>
        <v>No</v>
      </c>
      <c r="S90" s="5" t="str">
        <f>IFERROR(__xludf.DUMMYFUNCTION("""COMPUTED_VALUE"""),"No")</f>
        <v>No</v>
      </c>
      <c r="T90" s="5" t="str">
        <f>IFERROR(__xludf.DUMMYFUNCTION("""COMPUTED_VALUE"""),"No")</f>
        <v>No</v>
      </c>
      <c r="U90" s="5" t="str">
        <f>IFERROR(__xludf.DUMMYFUNCTION("""COMPUTED_VALUE"""),"No")</f>
        <v>No</v>
      </c>
      <c r="V90" s="5" t="str">
        <f>IFERROR(__xludf.DUMMYFUNCTION("""COMPUTED_VALUE"""),"No")</f>
        <v>No</v>
      </c>
      <c r="W90" s="5"/>
      <c r="X90" s="5"/>
      <c r="Y90" s="5"/>
      <c r="Z90" s="5" t="str">
        <f>IFERROR(__xludf.DUMMYFUNCTION("""COMPUTED_VALUE"""),"No")</f>
        <v>No</v>
      </c>
      <c r="AA90" s="5"/>
      <c r="AB90" s="5"/>
      <c r="AC90" s="5"/>
    </row>
    <row r="91">
      <c r="A91" s="5" t="str">
        <f>IFERROR(__xludf.DUMMYFUNCTION("""COMPUTED_VALUE"""),"UnicornHavanaDice")</f>
        <v>UnicornHavanaDice</v>
      </c>
      <c r="B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1" s="5" t="str">
        <f>IFERROR(__xludf.DUMMYFUNCTION("""COMPUTED_VALUE"""),"Yes")</f>
        <v>Yes</v>
      </c>
      <c r="D91" s="5" t="str">
        <f>IFERROR(__xludf.DUMMYFUNCTION("""COMPUTED_VALUE"""),"Yes")</f>
        <v>Yes</v>
      </c>
      <c r="E91" s="5" t="str">
        <f>IFERROR(__xludf.DUMMYFUNCTION("""COMPUTED_VALUE"""),"Yes")</f>
        <v>Yes</v>
      </c>
      <c r="F91" s="5" t="str">
        <f>IFERROR(__xludf.DUMMYFUNCTION("""COMPUTED_VALUE"""),"No")</f>
        <v>No</v>
      </c>
      <c r="G91" s="5" t="str">
        <f>IFERROR(__xludf.DUMMYFUNCTION("""COMPUTED_VALUE"""),"No")</f>
        <v>No</v>
      </c>
      <c r="H91" s="5" t="str">
        <f>IFERROR(__xludf.DUMMYFUNCTION("""COMPUTED_VALUE"""),"No")</f>
        <v>No</v>
      </c>
      <c r="I91" s="5" t="str">
        <f>IFERROR(__xludf.DUMMYFUNCTION("""COMPUTED_VALUE"""),"No")</f>
        <v>No</v>
      </c>
      <c r="J91" s="5" t="str">
        <f>IFERROR(__xludf.DUMMYFUNCTION("""COMPUTED_VALUE"""),"No")</f>
        <v>No</v>
      </c>
      <c r="K91" s="5" t="str">
        <f>IFERROR(__xludf.DUMMYFUNCTION("""COMPUTED_VALUE"""),"Yes")</f>
        <v>Yes</v>
      </c>
      <c r="L91" s="5" t="str">
        <f>IFERROR(__xludf.DUMMYFUNCTION("""COMPUTED_VALUE"""),"Yes")</f>
        <v>Yes</v>
      </c>
      <c r="M91" s="5" t="str">
        <f>IFERROR(__xludf.DUMMYFUNCTION("""COMPUTED_VALUE"""),"Yes")</f>
        <v>Yes</v>
      </c>
      <c r="N91" s="5" t="str">
        <f>IFERROR(__xludf.DUMMYFUNCTION("""COMPUTED_VALUE"""),"Yes")</f>
        <v>Yes</v>
      </c>
      <c r="O91" s="5" t="str">
        <f>IFERROR(__xludf.DUMMYFUNCTION("""COMPUTED_VALUE"""),"Yes")</f>
        <v>Yes</v>
      </c>
      <c r="P91" s="5" t="str">
        <f>IFERROR(__xludf.DUMMYFUNCTION("""COMPUTED_VALUE"""),"No")</f>
        <v>No</v>
      </c>
      <c r="Q91" s="5" t="str">
        <f>IFERROR(__xludf.DUMMYFUNCTION("""COMPUTED_VALUE"""),"Yes")</f>
        <v>Yes</v>
      </c>
      <c r="R91" s="5" t="str">
        <f>IFERROR(__xludf.DUMMYFUNCTION("""COMPUTED_VALUE"""),"No")</f>
        <v>No</v>
      </c>
      <c r="S91" s="5" t="str">
        <f>IFERROR(__xludf.DUMMYFUNCTION("""COMPUTED_VALUE"""),"No")</f>
        <v>No</v>
      </c>
      <c r="T91" s="5" t="str">
        <f>IFERROR(__xludf.DUMMYFUNCTION("""COMPUTED_VALUE"""),"No")</f>
        <v>No</v>
      </c>
      <c r="U91" s="5" t="str">
        <f>IFERROR(__xludf.DUMMYFUNCTION("""COMPUTED_VALUE"""),"No")</f>
        <v>No</v>
      </c>
      <c r="V91" s="5" t="str">
        <f>IFERROR(__xludf.DUMMYFUNCTION("""COMPUTED_VALUE"""),"No")</f>
        <v>No</v>
      </c>
      <c r="W91" s="5"/>
      <c r="X91" s="5"/>
      <c r="Y91" s="5"/>
      <c r="Z91" s="5" t="str">
        <f>IFERROR(__xludf.DUMMYFUNCTION("""COMPUTED_VALUE"""),"No")</f>
        <v>No</v>
      </c>
      <c r="AA91" s="5"/>
      <c r="AB91" s="5"/>
      <c r="AC91" s="5"/>
    </row>
    <row r="92">
      <c r="A92" s="5" t="str">
        <f>IFERROR(__xludf.DUMMYFUNCTION("""COMPUTED_VALUE"""),"MayanCoins")</f>
        <v>MayanCoins</v>
      </c>
      <c r="B9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2" s="5" t="str">
        <f>IFERROR(__xludf.DUMMYFUNCTION("""COMPUTED_VALUE"""),"Yes")</f>
        <v>Yes</v>
      </c>
      <c r="D92" s="5" t="str">
        <f>IFERROR(__xludf.DUMMYFUNCTION("""COMPUTED_VALUE"""),"Yes")</f>
        <v>Yes</v>
      </c>
      <c r="E92" s="5" t="str">
        <f>IFERROR(__xludf.DUMMYFUNCTION("""COMPUTED_VALUE"""),"No")</f>
        <v>No</v>
      </c>
      <c r="F92" s="5" t="str">
        <f>IFERROR(__xludf.DUMMYFUNCTION("""COMPUTED_VALUE"""),"Yes")</f>
        <v>Yes</v>
      </c>
      <c r="G92" s="5" t="str">
        <f>IFERROR(__xludf.DUMMYFUNCTION("""COMPUTED_VALUE"""),"Yes")</f>
        <v>Yes</v>
      </c>
      <c r="H92" s="5" t="str">
        <f>IFERROR(__xludf.DUMMYFUNCTION("""COMPUTED_VALUE"""),"Yes")</f>
        <v>Yes</v>
      </c>
      <c r="I92" s="5" t="str">
        <f>IFERROR(__xludf.DUMMYFUNCTION("""COMPUTED_VALUE"""),"Yes")</f>
        <v>Yes</v>
      </c>
      <c r="J92" s="5" t="str">
        <f>IFERROR(__xludf.DUMMYFUNCTION("""COMPUTED_VALUE"""),"Yes")</f>
        <v>Yes</v>
      </c>
      <c r="K92" s="5" t="str">
        <f>IFERROR(__xludf.DUMMYFUNCTION("""COMPUTED_VALUE"""),"Yes")</f>
        <v>Yes</v>
      </c>
      <c r="L92" s="5" t="str">
        <f>IFERROR(__xludf.DUMMYFUNCTION("""COMPUTED_VALUE"""),"Yes")</f>
        <v>Yes</v>
      </c>
      <c r="M92" s="5" t="str">
        <f>IFERROR(__xludf.DUMMYFUNCTION("""COMPUTED_VALUE"""),"Yes")</f>
        <v>Yes</v>
      </c>
      <c r="N92" s="5" t="str">
        <f>IFERROR(__xludf.DUMMYFUNCTION("""COMPUTED_VALUE"""),"Yes")</f>
        <v>Yes</v>
      </c>
      <c r="O92" s="5" t="str">
        <f>IFERROR(__xludf.DUMMYFUNCTION("""COMPUTED_VALUE"""),"Yes")</f>
        <v>Yes</v>
      </c>
      <c r="P92" s="5" t="str">
        <f>IFERROR(__xludf.DUMMYFUNCTION("""COMPUTED_VALUE"""),"Yes")</f>
        <v>Yes</v>
      </c>
      <c r="Q92" s="5" t="str">
        <f>IFERROR(__xludf.DUMMYFUNCTION("""COMPUTED_VALUE"""),"Yes")</f>
        <v>Yes</v>
      </c>
      <c r="R92" s="5" t="str">
        <f>IFERROR(__xludf.DUMMYFUNCTION("""COMPUTED_VALUE"""),"No")</f>
        <v>No</v>
      </c>
      <c r="S92" s="5" t="str">
        <f>IFERROR(__xludf.DUMMYFUNCTION("""COMPUTED_VALUE"""),"No")</f>
        <v>No</v>
      </c>
      <c r="T92" s="5" t="str">
        <f>IFERROR(__xludf.DUMMYFUNCTION("""COMPUTED_VALUE"""),"No")</f>
        <v>No</v>
      </c>
      <c r="U92" s="5" t="str">
        <f>IFERROR(__xludf.DUMMYFUNCTION("""COMPUTED_VALUE"""),"No")</f>
        <v>No</v>
      </c>
      <c r="V92" s="5" t="str">
        <f>IFERROR(__xludf.DUMMYFUNCTION("""COMPUTED_VALUE"""),"No")</f>
        <v>No</v>
      </c>
      <c r="W92" s="5" t="str">
        <f>IFERROR(__xludf.DUMMYFUNCTION("""COMPUTED_VALUE"""),"No")</f>
        <v>No</v>
      </c>
      <c r="X92" s="5" t="str">
        <f>IFERROR(__xludf.DUMMYFUNCTION("""COMPUTED_VALUE"""),"No")</f>
        <v>No</v>
      </c>
      <c r="Y92" s="5" t="str">
        <f>IFERROR(__xludf.DUMMYFUNCTION("""COMPUTED_VALUE"""),"No")</f>
        <v>No</v>
      </c>
      <c r="Z92" s="5" t="str">
        <f>IFERROR(__xludf.DUMMYFUNCTION("""COMPUTED_VALUE"""),"No")</f>
        <v>No</v>
      </c>
      <c r="AA92" s="5" t="str">
        <f>IFERROR(__xludf.DUMMYFUNCTION("""COMPUTED_VALUE"""),"No")</f>
        <v>No</v>
      </c>
      <c r="AB92" s="5" t="str">
        <f>IFERROR(__xludf.DUMMYFUNCTION("""COMPUTED_VALUE"""),"Yes")</f>
        <v>Yes</v>
      </c>
      <c r="AC92" s="5" t="str">
        <f>IFERROR(__xludf.DUMMYFUNCTION("""COMPUTED_VALUE"""),"No")</f>
        <v>No</v>
      </c>
    </row>
    <row r="93">
      <c r="A93" s="5" t="str">
        <f>IFERROR(__xludf.DUMMYFUNCTION("""COMPUTED_VALUE"""),"FireClover5")</f>
        <v>FireClover5</v>
      </c>
      <c r="B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C93" s="5" t="str">
        <f>IFERROR(__xludf.DUMMYFUNCTION("""COMPUTED_VALUE"""),"Yes")</f>
        <v>Yes</v>
      </c>
      <c r="D93" s="5" t="str">
        <f>IFERROR(__xludf.DUMMYFUNCTION("""COMPUTED_VALUE"""),"Yes")</f>
        <v>Yes</v>
      </c>
      <c r="E93" s="5" t="str">
        <f>IFERROR(__xludf.DUMMYFUNCTION("""COMPUTED_VALUE"""),"Yes")</f>
        <v>Yes</v>
      </c>
      <c r="F93" s="5" t="str">
        <f>IFERROR(__xludf.DUMMYFUNCTION("""COMPUTED_VALUE"""),"Yes")</f>
        <v>Yes</v>
      </c>
      <c r="G93" s="5" t="str">
        <f>IFERROR(__xludf.DUMMYFUNCTION("""COMPUTED_VALUE"""),"Yes")</f>
        <v>Yes</v>
      </c>
      <c r="H93" s="5" t="str">
        <f>IFERROR(__xludf.DUMMYFUNCTION("""COMPUTED_VALUE"""),"Yes")</f>
        <v>Yes</v>
      </c>
      <c r="I93" s="5" t="str">
        <f>IFERROR(__xludf.DUMMYFUNCTION("""COMPUTED_VALUE"""),"Yes")</f>
        <v>Yes</v>
      </c>
      <c r="J93" s="5" t="str">
        <f>IFERROR(__xludf.DUMMYFUNCTION("""COMPUTED_VALUE"""),"Yes")</f>
        <v>Yes</v>
      </c>
      <c r="K93" s="5" t="str">
        <f>IFERROR(__xludf.DUMMYFUNCTION("""COMPUTED_VALUE"""),"Yes")</f>
        <v>Yes</v>
      </c>
      <c r="L93" s="5" t="str">
        <f>IFERROR(__xludf.DUMMYFUNCTION("""COMPUTED_VALUE"""),"Yes")</f>
        <v>Yes</v>
      </c>
      <c r="M93" s="5" t="str">
        <f>IFERROR(__xludf.DUMMYFUNCTION("""COMPUTED_VALUE"""),"Yes")</f>
        <v>Yes</v>
      </c>
      <c r="N93" s="5" t="str">
        <f>IFERROR(__xludf.DUMMYFUNCTION("""COMPUTED_VALUE"""),"Yes")</f>
        <v>Yes</v>
      </c>
      <c r="O93" s="5" t="str">
        <f>IFERROR(__xludf.DUMMYFUNCTION("""COMPUTED_VALUE"""),"Yes")</f>
        <v>Yes</v>
      </c>
      <c r="P93" s="5" t="str">
        <f>IFERROR(__xludf.DUMMYFUNCTION("""COMPUTED_VALUE"""),"Yes")</f>
        <v>Yes</v>
      </c>
      <c r="Q93" s="5" t="str">
        <f>IFERROR(__xludf.DUMMYFUNCTION("""COMPUTED_VALUE"""),"Yes")</f>
        <v>Yes</v>
      </c>
      <c r="R93" s="5" t="str">
        <f>IFERROR(__xludf.DUMMYFUNCTION("""COMPUTED_VALUE"""),"Yes")</f>
        <v>Yes</v>
      </c>
      <c r="S93" s="5" t="str">
        <f>IFERROR(__xludf.DUMMYFUNCTION("""COMPUTED_VALUE"""),"Yes")</f>
        <v>Yes</v>
      </c>
      <c r="T93" s="5" t="str">
        <f>IFERROR(__xludf.DUMMYFUNCTION("""COMPUTED_VALUE"""),"Yes")</f>
        <v>Yes</v>
      </c>
      <c r="U93" s="5" t="str">
        <f>IFERROR(__xludf.DUMMYFUNCTION("""COMPUTED_VALUE"""),"Yes")</f>
        <v>Yes</v>
      </c>
      <c r="V93" s="5" t="str">
        <f>IFERROR(__xludf.DUMMYFUNCTION("""COMPUTED_VALUE"""),"Yes")</f>
        <v>Yes</v>
      </c>
      <c r="W93" s="5"/>
      <c r="X93" s="5"/>
      <c r="Y93" s="5"/>
      <c r="Z93" s="5" t="str">
        <f>IFERROR(__xludf.DUMMYFUNCTION("""COMPUTED_VALUE"""),"Yes")</f>
        <v>Yes</v>
      </c>
      <c r="AA93" s="5"/>
      <c r="AB93" s="5" t="str">
        <f>IFERROR(__xludf.DUMMYFUNCTION("""COMPUTED_VALUE"""),"Yes")</f>
        <v>Yes</v>
      </c>
      <c r="AC93" s="5"/>
    </row>
    <row r="94">
      <c r="A94" s="5" t="str">
        <f>IFERROR(__xludf.DUMMYFUNCTION("""COMPUTED_VALUE"""),"CrystalHotAdmiral")</f>
        <v>CrystalHotAdmiral</v>
      </c>
      <c r="B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94" s="5" t="str">
        <f>IFERROR(__xludf.DUMMYFUNCTION("""COMPUTED_VALUE"""),"Yes")</f>
        <v>Yes</v>
      </c>
      <c r="D94" s="5" t="str">
        <f>IFERROR(__xludf.DUMMYFUNCTION("""COMPUTED_VALUE"""),"Yes")</f>
        <v>Yes</v>
      </c>
      <c r="E94" s="5" t="str">
        <f>IFERROR(__xludf.DUMMYFUNCTION("""COMPUTED_VALUE"""),"Yes")</f>
        <v>Yes</v>
      </c>
      <c r="F94" s="5" t="str">
        <f>IFERROR(__xludf.DUMMYFUNCTION("""COMPUTED_VALUE"""),"Yes")</f>
        <v>Yes</v>
      </c>
      <c r="G94" s="5" t="str">
        <f>IFERROR(__xludf.DUMMYFUNCTION("""COMPUTED_VALUE"""),"Yes")</f>
        <v>Yes</v>
      </c>
      <c r="H94" s="5" t="str">
        <f>IFERROR(__xludf.DUMMYFUNCTION("""COMPUTED_VALUE"""),"Yes")</f>
        <v>Yes</v>
      </c>
      <c r="I94" s="5" t="str">
        <f>IFERROR(__xludf.DUMMYFUNCTION("""COMPUTED_VALUE"""),"Yes")</f>
        <v>Yes</v>
      </c>
      <c r="J94" s="5" t="str">
        <f>IFERROR(__xludf.DUMMYFUNCTION("""COMPUTED_VALUE"""),"Yes")</f>
        <v>Yes</v>
      </c>
      <c r="K94" s="5" t="str">
        <f>IFERROR(__xludf.DUMMYFUNCTION("""COMPUTED_VALUE"""),"Yes")</f>
        <v>Yes</v>
      </c>
      <c r="L94" s="5" t="str">
        <f>IFERROR(__xludf.DUMMYFUNCTION("""COMPUTED_VALUE"""),"Yes")</f>
        <v>Yes</v>
      </c>
      <c r="M94" s="5" t="str">
        <f>IFERROR(__xludf.DUMMYFUNCTION("""COMPUTED_VALUE"""),"Yes")</f>
        <v>Yes</v>
      </c>
      <c r="N94" s="5" t="str">
        <f>IFERROR(__xludf.DUMMYFUNCTION("""COMPUTED_VALUE"""),"Yes")</f>
        <v>Yes</v>
      </c>
      <c r="O94" s="5" t="str">
        <f>IFERROR(__xludf.DUMMYFUNCTION("""COMPUTED_VALUE"""),"Yes")</f>
        <v>Yes</v>
      </c>
      <c r="P94" s="5" t="str">
        <f>IFERROR(__xludf.DUMMYFUNCTION("""COMPUTED_VALUE"""),"Yes")</f>
        <v>Yes</v>
      </c>
      <c r="Q94" s="5" t="str">
        <f>IFERROR(__xludf.DUMMYFUNCTION("""COMPUTED_VALUE"""),"Yes")</f>
        <v>Yes</v>
      </c>
      <c r="R94" s="5" t="str">
        <f>IFERROR(__xludf.DUMMYFUNCTION("""COMPUTED_VALUE"""),"Yes")</f>
        <v>Yes</v>
      </c>
      <c r="S94" s="5" t="str">
        <f>IFERROR(__xludf.DUMMYFUNCTION("""COMPUTED_VALUE"""),"Yes")</f>
        <v>Yes</v>
      </c>
      <c r="T94" s="5" t="str">
        <f>IFERROR(__xludf.DUMMYFUNCTION("""COMPUTED_VALUE"""),"Yes")</f>
        <v>Yes</v>
      </c>
      <c r="U94" s="5" t="str">
        <f>IFERROR(__xludf.DUMMYFUNCTION("""COMPUTED_VALUE"""),"Yes")</f>
        <v>Yes</v>
      </c>
      <c r="V94" s="5" t="str">
        <f>IFERROR(__xludf.DUMMYFUNCTION("""COMPUTED_VALUE"""),"Yes")</f>
        <v>Yes</v>
      </c>
      <c r="W94" s="5" t="str">
        <f>IFERROR(__xludf.DUMMYFUNCTION("""COMPUTED_VALUE"""),"Yes")</f>
        <v>Yes</v>
      </c>
      <c r="X94" s="5" t="str">
        <f>IFERROR(__xludf.DUMMYFUNCTION("""COMPUTED_VALUE"""),"Yes")</f>
        <v>Yes</v>
      </c>
      <c r="Y94" s="5" t="str">
        <f>IFERROR(__xludf.DUMMYFUNCTION("""COMPUTED_VALUE"""),"Yes")</f>
        <v>Yes</v>
      </c>
      <c r="Z94" s="5" t="str">
        <f>IFERROR(__xludf.DUMMYFUNCTION("""COMPUTED_VALUE"""),"Yes")</f>
        <v>Yes</v>
      </c>
      <c r="AA94" s="5" t="str">
        <f>IFERROR(__xludf.DUMMYFUNCTION("""COMPUTED_VALUE"""),"Yes")</f>
        <v>Yes</v>
      </c>
      <c r="AB94" s="5" t="str">
        <f>IFERROR(__xludf.DUMMYFUNCTION("""COMPUTED_VALUE"""),"Yes")</f>
        <v>Yes</v>
      </c>
      <c r="AC94" s="5" t="str">
        <f>IFERROR(__xludf.DUMMYFUNCTION("""COMPUTED_VALUE"""),"No")</f>
        <v>No</v>
      </c>
    </row>
    <row r="95">
      <c r="A95" s="5" t="str">
        <f>IFERROR(__xludf.DUMMYFUNCTION("""COMPUTED_VALUE"""),"WildCrown10")</f>
        <v>WildCrown10</v>
      </c>
      <c r="B9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5" s="5" t="str">
        <f>IFERROR(__xludf.DUMMYFUNCTION("""COMPUTED_VALUE"""),"Yes")</f>
        <v>Yes</v>
      </c>
      <c r="D95" s="5" t="str">
        <f>IFERROR(__xludf.DUMMYFUNCTION("""COMPUTED_VALUE"""),"Yes")</f>
        <v>Yes</v>
      </c>
      <c r="E95" s="5" t="str">
        <f>IFERROR(__xludf.DUMMYFUNCTION("""COMPUTED_VALUE"""),"No")</f>
        <v>No</v>
      </c>
      <c r="F95" s="5" t="str">
        <f>IFERROR(__xludf.DUMMYFUNCTION("""COMPUTED_VALUE"""),"Yes")</f>
        <v>Yes</v>
      </c>
      <c r="G95" s="5" t="str">
        <f>IFERROR(__xludf.DUMMYFUNCTION("""COMPUTED_VALUE"""),"Yes")</f>
        <v>Yes</v>
      </c>
      <c r="H95" s="5" t="str">
        <f>IFERROR(__xludf.DUMMYFUNCTION("""COMPUTED_VALUE"""),"Yes")</f>
        <v>Yes</v>
      </c>
      <c r="I95" s="5" t="str">
        <f>IFERROR(__xludf.DUMMYFUNCTION("""COMPUTED_VALUE"""),"Yes")</f>
        <v>Yes</v>
      </c>
      <c r="J95" s="5" t="str">
        <f>IFERROR(__xludf.DUMMYFUNCTION("""COMPUTED_VALUE"""),"Yes")</f>
        <v>Yes</v>
      </c>
      <c r="K95" s="5" t="str">
        <f>IFERROR(__xludf.DUMMYFUNCTION("""COMPUTED_VALUE"""),"Yes")</f>
        <v>Yes</v>
      </c>
      <c r="L95" s="5" t="str">
        <f>IFERROR(__xludf.DUMMYFUNCTION("""COMPUTED_VALUE"""),"Yes")</f>
        <v>Yes</v>
      </c>
      <c r="M95" s="5" t="str">
        <f>IFERROR(__xludf.DUMMYFUNCTION("""COMPUTED_VALUE"""),"Yes")</f>
        <v>Yes</v>
      </c>
      <c r="N95" s="5" t="str">
        <f>IFERROR(__xludf.DUMMYFUNCTION("""COMPUTED_VALUE"""),"Yes")</f>
        <v>Yes</v>
      </c>
      <c r="O95" s="5" t="str">
        <f>IFERROR(__xludf.DUMMYFUNCTION("""COMPUTED_VALUE"""),"Yes")</f>
        <v>Yes</v>
      </c>
      <c r="P95" s="5" t="str">
        <f>IFERROR(__xludf.DUMMYFUNCTION("""COMPUTED_VALUE"""),"Yes")</f>
        <v>Yes</v>
      </c>
      <c r="Q95" s="5" t="str">
        <f>IFERROR(__xludf.DUMMYFUNCTION("""COMPUTED_VALUE"""),"Yes")</f>
        <v>Yes</v>
      </c>
      <c r="R95" s="5" t="str">
        <f>IFERROR(__xludf.DUMMYFUNCTION("""COMPUTED_VALUE"""),"No")</f>
        <v>No</v>
      </c>
      <c r="S95" s="5" t="str">
        <f>IFERROR(__xludf.DUMMYFUNCTION("""COMPUTED_VALUE"""),"No")</f>
        <v>No</v>
      </c>
      <c r="T95" s="5" t="str">
        <f>IFERROR(__xludf.DUMMYFUNCTION("""COMPUTED_VALUE"""),"No")</f>
        <v>No</v>
      </c>
      <c r="U95" s="5" t="str">
        <f>IFERROR(__xludf.DUMMYFUNCTION("""COMPUTED_VALUE"""),"No")</f>
        <v>No</v>
      </c>
      <c r="V95" s="5" t="str">
        <f>IFERROR(__xludf.DUMMYFUNCTION("""COMPUTED_VALUE"""),"No")</f>
        <v>No</v>
      </c>
      <c r="W95" s="5" t="str">
        <f>IFERROR(__xludf.DUMMYFUNCTION("""COMPUTED_VALUE"""),"No")</f>
        <v>No</v>
      </c>
      <c r="X95" s="5" t="str">
        <f>IFERROR(__xludf.DUMMYFUNCTION("""COMPUTED_VALUE"""),"No")</f>
        <v>No</v>
      </c>
      <c r="Y95" s="5" t="str">
        <f>IFERROR(__xludf.DUMMYFUNCTION("""COMPUTED_VALUE"""),"No")</f>
        <v>No</v>
      </c>
      <c r="Z95" s="5" t="str">
        <f>IFERROR(__xludf.DUMMYFUNCTION("""COMPUTED_VALUE"""),"No")</f>
        <v>No</v>
      </c>
      <c r="AA95" s="5" t="str">
        <f>IFERROR(__xludf.DUMMYFUNCTION("""COMPUTED_VALUE"""),"No")</f>
        <v>No</v>
      </c>
      <c r="AB95" s="5" t="str">
        <f>IFERROR(__xludf.DUMMYFUNCTION("""COMPUTED_VALUE"""),"Yes")</f>
        <v>Yes</v>
      </c>
      <c r="AC95" s="5" t="str">
        <f>IFERROR(__xludf.DUMMYFUNCTION("""COMPUTED_VALUE"""),"No")</f>
        <v>No</v>
      </c>
    </row>
    <row r="96">
      <c r="A96" s="5" t="str">
        <f>IFERROR(__xludf.DUMMYFUNCTION("""COMPUTED_VALUE"""),"UnicornCasinoFruits")</f>
        <v>UnicornCasinoFruits</v>
      </c>
      <c r="B9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6" s="5" t="str">
        <f>IFERROR(__xludf.DUMMYFUNCTION("""COMPUTED_VALUE"""),"Yes")</f>
        <v>Yes</v>
      </c>
      <c r="D96" s="5" t="str">
        <f>IFERROR(__xludf.DUMMYFUNCTION("""COMPUTED_VALUE"""),"Yes")</f>
        <v>Yes</v>
      </c>
      <c r="E96" s="5" t="str">
        <f>IFERROR(__xludf.DUMMYFUNCTION("""COMPUTED_VALUE"""),"Yes")</f>
        <v>Yes</v>
      </c>
      <c r="F96" s="5" t="str">
        <f>IFERROR(__xludf.DUMMYFUNCTION("""COMPUTED_VALUE"""),"No")</f>
        <v>No</v>
      </c>
      <c r="G96" s="5" t="str">
        <f>IFERROR(__xludf.DUMMYFUNCTION("""COMPUTED_VALUE"""),"No")</f>
        <v>No</v>
      </c>
      <c r="H96" s="5" t="str">
        <f>IFERROR(__xludf.DUMMYFUNCTION("""COMPUTED_VALUE"""),"No")</f>
        <v>No</v>
      </c>
      <c r="I96" s="5" t="str">
        <f>IFERROR(__xludf.DUMMYFUNCTION("""COMPUTED_VALUE"""),"No")</f>
        <v>No</v>
      </c>
      <c r="J96" s="5" t="str">
        <f>IFERROR(__xludf.DUMMYFUNCTION("""COMPUTED_VALUE"""),"No")</f>
        <v>No</v>
      </c>
      <c r="K96" s="5" t="str">
        <f>IFERROR(__xludf.DUMMYFUNCTION("""COMPUTED_VALUE"""),"Yes")</f>
        <v>Yes</v>
      </c>
      <c r="L96" s="5" t="str">
        <f>IFERROR(__xludf.DUMMYFUNCTION("""COMPUTED_VALUE"""),"Yes")</f>
        <v>Yes</v>
      </c>
      <c r="M96" s="5" t="str">
        <f>IFERROR(__xludf.DUMMYFUNCTION("""COMPUTED_VALUE"""),"Yes")</f>
        <v>Yes</v>
      </c>
      <c r="N96" s="5" t="str">
        <f>IFERROR(__xludf.DUMMYFUNCTION("""COMPUTED_VALUE"""),"Yes")</f>
        <v>Yes</v>
      </c>
      <c r="O96" s="5" t="str">
        <f>IFERROR(__xludf.DUMMYFUNCTION("""COMPUTED_VALUE"""),"Yes")</f>
        <v>Yes</v>
      </c>
      <c r="P96" s="5" t="str">
        <f>IFERROR(__xludf.DUMMYFUNCTION("""COMPUTED_VALUE"""),"No")</f>
        <v>No</v>
      </c>
      <c r="Q96" s="5" t="str">
        <f>IFERROR(__xludf.DUMMYFUNCTION("""COMPUTED_VALUE"""),"Yes")</f>
        <v>Yes</v>
      </c>
      <c r="R96" s="5" t="str">
        <f>IFERROR(__xludf.DUMMYFUNCTION("""COMPUTED_VALUE"""),"No")</f>
        <v>No</v>
      </c>
      <c r="S96" s="5" t="str">
        <f>IFERROR(__xludf.DUMMYFUNCTION("""COMPUTED_VALUE"""),"No")</f>
        <v>No</v>
      </c>
      <c r="T96" s="5" t="str">
        <f>IFERROR(__xludf.DUMMYFUNCTION("""COMPUTED_VALUE"""),"No")</f>
        <v>No</v>
      </c>
      <c r="U96" s="5" t="str">
        <f>IFERROR(__xludf.DUMMYFUNCTION("""COMPUTED_VALUE"""),"No")</f>
        <v>No</v>
      </c>
      <c r="V96" s="5" t="str">
        <f>IFERROR(__xludf.DUMMYFUNCTION("""COMPUTED_VALUE"""),"No")</f>
        <v>No</v>
      </c>
      <c r="W96" s="5"/>
      <c r="X96" s="5"/>
      <c r="Y96" s="5"/>
      <c r="Z96" s="5" t="str">
        <f>IFERROR(__xludf.DUMMYFUNCTION("""COMPUTED_VALUE"""),"No")</f>
        <v>No</v>
      </c>
      <c r="AA96" s="5"/>
      <c r="AB96" s="5"/>
      <c r="AC96" s="5"/>
    </row>
    <row r="97">
      <c r="A97" s="5" t="str">
        <f>IFERROR(__xludf.DUMMYFUNCTION("""COMPUTED_VALUE"""),"UnicornTheCrownFruit")</f>
        <v>UnicornTheCrownFruit</v>
      </c>
      <c r="B9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7" s="5" t="str">
        <f>IFERROR(__xludf.DUMMYFUNCTION("""COMPUTED_VALUE"""),"Yes")</f>
        <v>Yes</v>
      </c>
      <c r="D97" s="5" t="str">
        <f>IFERROR(__xludf.DUMMYFUNCTION("""COMPUTED_VALUE"""),"Yes")</f>
        <v>Yes</v>
      </c>
      <c r="E97" s="5" t="str">
        <f>IFERROR(__xludf.DUMMYFUNCTION("""COMPUTED_VALUE"""),"Yes")</f>
        <v>Yes</v>
      </c>
      <c r="F97" s="5" t="str">
        <f>IFERROR(__xludf.DUMMYFUNCTION("""COMPUTED_VALUE"""),"No")</f>
        <v>No</v>
      </c>
      <c r="G97" s="5" t="str">
        <f>IFERROR(__xludf.DUMMYFUNCTION("""COMPUTED_VALUE"""),"No")</f>
        <v>No</v>
      </c>
      <c r="H97" s="5" t="str">
        <f>IFERROR(__xludf.DUMMYFUNCTION("""COMPUTED_VALUE"""),"No")</f>
        <v>No</v>
      </c>
      <c r="I97" s="5" t="str">
        <f>IFERROR(__xludf.DUMMYFUNCTION("""COMPUTED_VALUE"""),"No")</f>
        <v>No</v>
      </c>
      <c r="J97" s="5" t="str">
        <f>IFERROR(__xludf.DUMMYFUNCTION("""COMPUTED_VALUE"""),"No")</f>
        <v>No</v>
      </c>
      <c r="K97" s="5" t="str">
        <f>IFERROR(__xludf.DUMMYFUNCTION("""COMPUTED_VALUE"""),"Yes")</f>
        <v>Yes</v>
      </c>
      <c r="L97" s="5" t="str">
        <f>IFERROR(__xludf.DUMMYFUNCTION("""COMPUTED_VALUE"""),"Yes")</f>
        <v>Yes</v>
      </c>
      <c r="M97" s="5" t="str">
        <f>IFERROR(__xludf.DUMMYFUNCTION("""COMPUTED_VALUE"""),"Yes")</f>
        <v>Yes</v>
      </c>
      <c r="N97" s="5" t="str">
        <f>IFERROR(__xludf.DUMMYFUNCTION("""COMPUTED_VALUE"""),"Yes")</f>
        <v>Yes</v>
      </c>
      <c r="O97" s="5" t="str">
        <f>IFERROR(__xludf.DUMMYFUNCTION("""COMPUTED_VALUE"""),"Yes")</f>
        <v>Yes</v>
      </c>
      <c r="P97" s="5" t="str">
        <f>IFERROR(__xludf.DUMMYFUNCTION("""COMPUTED_VALUE"""),"No")</f>
        <v>No</v>
      </c>
      <c r="Q97" s="5" t="str">
        <f>IFERROR(__xludf.DUMMYFUNCTION("""COMPUTED_VALUE"""),"Yes")</f>
        <v>Yes</v>
      </c>
      <c r="R97" s="5" t="str">
        <f>IFERROR(__xludf.DUMMYFUNCTION("""COMPUTED_VALUE"""),"No")</f>
        <v>No</v>
      </c>
      <c r="S97" s="5" t="str">
        <f>IFERROR(__xludf.DUMMYFUNCTION("""COMPUTED_VALUE"""),"No")</f>
        <v>No</v>
      </c>
      <c r="T97" s="5" t="str">
        <f>IFERROR(__xludf.DUMMYFUNCTION("""COMPUTED_VALUE"""),"No")</f>
        <v>No</v>
      </c>
      <c r="U97" s="5" t="str">
        <f>IFERROR(__xludf.DUMMYFUNCTION("""COMPUTED_VALUE"""),"No")</f>
        <v>No</v>
      </c>
      <c r="V97" s="5" t="str">
        <f>IFERROR(__xludf.DUMMYFUNCTION("""COMPUTED_VALUE"""),"No")</f>
        <v>No</v>
      </c>
      <c r="W97" s="5"/>
      <c r="X97" s="5"/>
      <c r="Y97" s="5"/>
      <c r="Z97" s="5" t="str">
        <f>IFERROR(__xludf.DUMMYFUNCTION("""COMPUTED_VALUE"""),"No")</f>
        <v>No</v>
      </c>
      <c r="AA97" s="5"/>
      <c r="AB97" s="5"/>
      <c r="AC97" s="5"/>
    </row>
    <row r="98">
      <c r="A98" s="5" t="str">
        <f>IFERROR(__xludf.DUMMYFUNCTION("""COMPUTED_VALUE"""),"WildCloverDice40")</f>
        <v>WildCloverDice40</v>
      </c>
      <c r="B9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8" s="5" t="str">
        <f>IFERROR(__xludf.DUMMYFUNCTION("""COMPUTED_VALUE"""),"Yes")</f>
        <v>Yes</v>
      </c>
      <c r="D98" s="5" t="str">
        <f>IFERROR(__xludf.DUMMYFUNCTION("""COMPUTED_VALUE"""),"Yes")</f>
        <v>Yes</v>
      </c>
      <c r="E98" s="5" t="str">
        <f>IFERROR(__xludf.DUMMYFUNCTION("""COMPUTED_VALUE"""),"No")</f>
        <v>No</v>
      </c>
      <c r="F98" s="5" t="str">
        <f>IFERROR(__xludf.DUMMYFUNCTION("""COMPUTED_VALUE"""),"Yes")</f>
        <v>Yes</v>
      </c>
      <c r="G98" s="5" t="str">
        <f>IFERROR(__xludf.DUMMYFUNCTION("""COMPUTED_VALUE"""),"Yes")</f>
        <v>Yes</v>
      </c>
      <c r="H98" s="5" t="str">
        <f>IFERROR(__xludf.DUMMYFUNCTION("""COMPUTED_VALUE"""),"Yes")</f>
        <v>Yes</v>
      </c>
      <c r="I98" s="5" t="str">
        <f>IFERROR(__xludf.DUMMYFUNCTION("""COMPUTED_VALUE"""),"Yes")</f>
        <v>Yes</v>
      </c>
      <c r="J98" s="5" t="str">
        <f>IFERROR(__xludf.DUMMYFUNCTION("""COMPUTED_VALUE"""),"Yes")</f>
        <v>Yes</v>
      </c>
      <c r="K98" s="5" t="str">
        <f>IFERROR(__xludf.DUMMYFUNCTION("""COMPUTED_VALUE"""),"Yes")</f>
        <v>Yes</v>
      </c>
      <c r="L98" s="5" t="str">
        <f>IFERROR(__xludf.DUMMYFUNCTION("""COMPUTED_VALUE"""),"Yes")</f>
        <v>Yes</v>
      </c>
      <c r="M98" s="5" t="str">
        <f>IFERROR(__xludf.DUMMYFUNCTION("""COMPUTED_VALUE"""),"Yes")</f>
        <v>Yes</v>
      </c>
      <c r="N98" s="5" t="str">
        <f>IFERROR(__xludf.DUMMYFUNCTION("""COMPUTED_VALUE"""),"Yes")</f>
        <v>Yes</v>
      </c>
      <c r="O98" s="5" t="str">
        <f>IFERROR(__xludf.DUMMYFUNCTION("""COMPUTED_VALUE"""),"Yes")</f>
        <v>Yes</v>
      </c>
      <c r="P98" s="5" t="str">
        <f>IFERROR(__xludf.DUMMYFUNCTION("""COMPUTED_VALUE"""),"Yes")</f>
        <v>Yes</v>
      </c>
      <c r="Q98" s="5" t="str">
        <f>IFERROR(__xludf.DUMMYFUNCTION("""COMPUTED_VALUE"""),"Yes")</f>
        <v>Yes</v>
      </c>
      <c r="R98" s="5" t="str">
        <f>IFERROR(__xludf.DUMMYFUNCTION("""COMPUTED_VALUE"""),"No")</f>
        <v>No</v>
      </c>
      <c r="S98" s="5" t="str">
        <f>IFERROR(__xludf.DUMMYFUNCTION("""COMPUTED_VALUE"""),"No")</f>
        <v>No</v>
      </c>
      <c r="T98" s="5" t="str">
        <f>IFERROR(__xludf.DUMMYFUNCTION("""COMPUTED_VALUE"""),"No")</f>
        <v>No</v>
      </c>
      <c r="U98" s="5" t="str">
        <f>IFERROR(__xludf.DUMMYFUNCTION("""COMPUTED_VALUE"""),"No")</f>
        <v>No</v>
      </c>
      <c r="V98" s="5" t="str">
        <f>IFERROR(__xludf.DUMMYFUNCTION("""COMPUTED_VALUE"""),"No")</f>
        <v>No</v>
      </c>
      <c r="W98" s="5" t="str">
        <f>IFERROR(__xludf.DUMMYFUNCTION("""COMPUTED_VALUE"""),"No")</f>
        <v>No</v>
      </c>
      <c r="X98" s="5" t="str">
        <f>IFERROR(__xludf.DUMMYFUNCTION("""COMPUTED_VALUE"""),"No")</f>
        <v>No</v>
      </c>
      <c r="Y98" s="5" t="str">
        <f>IFERROR(__xludf.DUMMYFUNCTION("""COMPUTED_VALUE"""),"No")</f>
        <v>No</v>
      </c>
      <c r="Z98" s="5" t="str">
        <f>IFERROR(__xludf.DUMMYFUNCTION("""COMPUTED_VALUE"""),"No")</f>
        <v>No</v>
      </c>
      <c r="AA98" s="5" t="str">
        <f>IFERROR(__xludf.DUMMYFUNCTION("""COMPUTED_VALUE"""),"No")</f>
        <v>No</v>
      </c>
      <c r="AB98" s="5" t="str">
        <f>IFERROR(__xludf.DUMMYFUNCTION("""COMPUTED_VALUE"""),"Yes")</f>
        <v>Yes</v>
      </c>
      <c r="AC98" s="5" t="str">
        <f>IFERROR(__xludf.DUMMYFUNCTION("""COMPUTED_VALUE"""),"No")</f>
        <v>No</v>
      </c>
    </row>
    <row r="99">
      <c r="A99" s="5" t="str">
        <f>IFERROR(__xludf.DUMMYFUNCTION("""COMPUTED_VALUE"""),"UnicornTwentyFruits")</f>
        <v>UnicornTwentyFruits</v>
      </c>
      <c r="B9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99" s="5" t="str">
        <f>IFERROR(__xludf.DUMMYFUNCTION("""COMPUTED_VALUE"""),"Yes")</f>
        <v>Yes</v>
      </c>
      <c r="D99" s="5" t="str">
        <f>IFERROR(__xludf.DUMMYFUNCTION("""COMPUTED_VALUE"""),"Yes")</f>
        <v>Yes</v>
      </c>
      <c r="E99" s="5" t="str">
        <f>IFERROR(__xludf.DUMMYFUNCTION("""COMPUTED_VALUE"""),"Yes")</f>
        <v>Yes</v>
      </c>
      <c r="F99" s="5" t="str">
        <f>IFERROR(__xludf.DUMMYFUNCTION("""COMPUTED_VALUE"""),"No")</f>
        <v>No</v>
      </c>
      <c r="G99" s="5" t="str">
        <f>IFERROR(__xludf.DUMMYFUNCTION("""COMPUTED_VALUE"""),"No")</f>
        <v>No</v>
      </c>
      <c r="H99" s="5" t="str">
        <f>IFERROR(__xludf.DUMMYFUNCTION("""COMPUTED_VALUE"""),"No")</f>
        <v>No</v>
      </c>
      <c r="I99" s="5" t="str">
        <f>IFERROR(__xludf.DUMMYFUNCTION("""COMPUTED_VALUE"""),"No")</f>
        <v>No</v>
      </c>
      <c r="J99" s="5" t="str">
        <f>IFERROR(__xludf.DUMMYFUNCTION("""COMPUTED_VALUE"""),"No")</f>
        <v>No</v>
      </c>
      <c r="K99" s="5" t="str">
        <f>IFERROR(__xludf.DUMMYFUNCTION("""COMPUTED_VALUE"""),"Yes")</f>
        <v>Yes</v>
      </c>
      <c r="L99" s="5" t="str">
        <f>IFERROR(__xludf.DUMMYFUNCTION("""COMPUTED_VALUE"""),"Yes")</f>
        <v>Yes</v>
      </c>
      <c r="M99" s="5" t="str">
        <f>IFERROR(__xludf.DUMMYFUNCTION("""COMPUTED_VALUE"""),"Yes")</f>
        <v>Yes</v>
      </c>
      <c r="N99" s="5" t="str">
        <f>IFERROR(__xludf.DUMMYFUNCTION("""COMPUTED_VALUE"""),"Yes")</f>
        <v>Yes</v>
      </c>
      <c r="O99" s="5" t="str">
        <f>IFERROR(__xludf.DUMMYFUNCTION("""COMPUTED_VALUE"""),"Yes")</f>
        <v>Yes</v>
      </c>
      <c r="P99" s="5" t="str">
        <f>IFERROR(__xludf.DUMMYFUNCTION("""COMPUTED_VALUE"""),"No")</f>
        <v>No</v>
      </c>
      <c r="Q99" s="5" t="str">
        <f>IFERROR(__xludf.DUMMYFUNCTION("""COMPUTED_VALUE"""),"Yes")</f>
        <v>Yes</v>
      </c>
      <c r="R99" s="5" t="str">
        <f>IFERROR(__xludf.DUMMYFUNCTION("""COMPUTED_VALUE"""),"No")</f>
        <v>No</v>
      </c>
      <c r="S99" s="5" t="str">
        <f>IFERROR(__xludf.DUMMYFUNCTION("""COMPUTED_VALUE"""),"No")</f>
        <v>No</v>
      </c>
      <c r="T99" s="5" t="str">
        <f>IFERROR(__xludf.DUMMYFUNCTION("""COMPUTED_VALUE"""),"No")</f>
        <v>No</v>
      </c>
      <c r="U99" s="5" t="str">
        <f>IFERROR(__xludf.DUMMYFUNCTION("""COMPUTED_VALUE"""),"No")</f>
        <v>No</v>
      </c>
      <c r="V99" s="5" t="str">
        <f>IFERROR(__xludf.DUMMYFUNCTION("""COMPUTED_VALUE"""),"No")</f>
        <v>No</v>
      </c>
      <c r="W99" s="5"/>
      <c r="X99" s="5"/>
      <c r="Y99" s="5"/>
      <c r="Z99" s="5" t="str">
        <f>IFERROR(__xludf.DUMMYFUNCTION("""COMPUTED_VALUE"""),"No")</f>
        <v>No</v>
      </c>
      <c r="AA99" s="5"/>
      <c r="AB99" s="5"/>
      <c r="AC99" s="5"/>
    </row>
    <row r="100">
      <c r="A100" s="5" t="str">
        <f>IFERROR(__xludf.DUMMYFUNCTION("""COMPUTED_VALUE"""),"UnicornTwentyDice")</f>
        <v>UnicornTwentyDice</v>
      </c>
      <c r="B10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00" s="5" t="str">
        <f>IFERROR(__xludf.DUMMYFUNCTION("""COMPUTED_VALUE"""),"Yes")</f>
        <v>Yes</v>
      </c>
      <c r="D100" s="5" t="str">
        <f>IFERROR(__xludf.DUMMYFUNCTION("""COMPUTED_VALUE"""),"Yes")</f>
        <v>Yes</v>
      </c>
      <c r="E100" s="5" t="str">
        <f>IFERROR(__xludf.DUMMYFUNCTION("""COMPUTED_VALUE"""),"Yes")</f>
        <v>Yes</v>
      </c>
      <c r="F100" s="5" t="str">
        <f>IFERROR(__xludf.DUMMYFUNCTION("""COMPUTED_VALUE"""),"No")</f>
        <v>No</v>
      </c>
      <c r="G100" s="5" t="str">
        <f>IFERROR(__xludf.DUMMYFUNCTION("""COMPUTED_VALUE"""),"No")</f>
        <v>No</v>
      </c>
      <c r="H100" s="5" t="str">
        <f>IFERROR(__xludf.DUMMYFUNCTION("""COMPUTED_VALUE"""),"No")</f>
        <v>No</v>
      </c>
      <c r="I100" s="5" t="str">
        <f>IFERROR(__xludf.DUMMYFUNCTION("""COMPUTED_VALUE"""),"No")</f>
        <v>No</v>
      </c>
      <c r="J100" s="5" t="str">
        <f>IFERROR(__xludf.DUMMYFUNCTION("""COMPUTED_VALUE"""),"No")</f>
        <v>No</v>
      </c>
      <c r="K100" s="5" t="str">
        <f>IFERROR(__xludf.DUMMYFUNCTION("""COMPUTED_VALUE"""),"Yes")</f>
        <v>Yes</v>
      </c>
      <c r="L100" s="5" t="str">
        <f>IFERROR(__xludf.DUMMYFUNCTION("""COMPUTED_VALUE"""),"Yes")</f>
        <v>Yes</v>
      </c>
      <c r="M100" s="5" t="str">
        <f>IFERROR(__xludf.DUMMYFUNCTION("""COMPUTED_VALUE"""),"Yes")</f>
        <v>Yes</v>
      </c>
      <c r="N100" s="5" t="str">
        <f>IFERROR(__xludf.DUMMYFUNCTION("""COMPUTED_VALUE"""),"Yes")</f>
        <v>Yes</v>
      </c>
      <c r="O100" s="5" t="str">
        <f>IFERROR(__xludf.DUMMYFUNCTION("""COMPUTED_VALUE"""),"Yes")</f>
        <v>Yes</v>
      </c>
      <c r="P100" s="5" t="str">
        <f>IFERROR(__xludf.DUMMYFUNCTION("""COMPUTED_VALUE"""),"No")</f>
        <v>No</v>
      </c>
      <c r="Q100" s="5" t="str">
        <f>IFERROR(__xludf.DUMMYFUNCTION("""COMPUTED_VALUE"""),"Yes")</f>
        <v>Yes</v>
      </c>
      <c r="R100" s="5" t="str">
        <f>IFERROR(__xludf.DUMMYFUNCTION("""COMPUTED_VALUE"""),"No")</f>
        <v>No</v>
      </c>
      <c r="S100" s="5" t="str">
        <f>IFERROR(__xludf.DUMMYFUNCTION("""COMPUTED_VALUE"""),"No")</f>
        <v>No</v>
      </c>
      <c r="T100" s="5" t="str">
        <f>IFERROR(__xludf.DUMMYFUNCTION("""COMPUTED_VALUE"""),"No")</f>
        <v>No</v>
      </c>
      <c r="U100" s="5" t="str">
        <f>IFERROR(__xludf.DUMMYFUNCTION("""COMPUTED_VALUE"""),"No")</f>
        <v>No</v>
      </c>
      <c r="V100" s="5" t="str">
        <f>IFERROR(__xludf.DUMMYFUNCTION("""COMPUTED_VALUE"""),"No")</f>
        <v>No</v>
      </c>
      <c r="W100" s="5"/>
      <c r="X100" s="5"/>
      <c r="Y100" s="5"/>
      <c r="Z100" s="5" t="str">
        <f>IFERROR(__xludf.DUMMYFUNCTION("""COMPUTED_VALUE"""),"No")</f>
        <v>No</v>
      </c>
      <c r="AA100" s="5"/>
      <c r="AB100" s="5"/>
      <c r="AC100" s="5"/>
    </row>
    <row r="101">
      <c r="A101" s="5" t="str">
        <f>IFERROR(__xludf.DUMMYFUNCTION("""COMPUTED_VALUE"""),"FireCloverDice5")</f>
        <v>FireCloverDice5</v>
      </c>
      <c r="B10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1" s="5" t="str">
        <f>IFERROR(__xludf.DUMMYFUNCTION("""COMPUTED_VALUE"""),"Yes")</f>
        <v>Yes</v>
      </c>
      <c r="D101" s="5" t="str">
        <f>IFERROR(__xludf.DUMMYFUNCTION("""COMPUTED_VALUE"""),"Yes")</f>
        <v>Yes</v>
      </c>
      <c r="E101" s="5" t="str">
        <f>IFERROR(__xludf.DUMMYFUNCTION("""COMPUTED_VALUE"""),"No")</f>
        <v>No</v>
      </c>
      <c r="F101" s="5" t="str">
        <f>IFERROR(__xludf.DUMMYFUNCTION("""COMPUTED_VALUE"""),"Yes")</f>
        <v>Yes</v>
      </c>
      <c r="G101" s="5" t="str">
        <f>IFERROR(__xludf.DUMMYFUNCTION("""COMPUTED_VALUE"""),"Yes")</f>
        <v>Yes</v>
      </c>
      <c r="H101" s="5" t="str">
        <f>IFERROR(__xludf.DUMMYFUNCTION("""COMPUTED_VALUE"""),"Yes")</f>
        <v>Yes</v>
      </c>
      <c r="I101" s="5" t="str">
        <f>IFERROR(__xludf.DUMMYFUNCTION("""COMPUTED_VALUE"""),"Yes")</f>
        <v>Yes</v>
      </c>
      <c r="J101" s="5" t="str">
        <f>IFERROR(__xludf.DUMMYFUNCTION("""COMPUTED_VALUE"""),"Yes")</f>
        <v>Yes</v>
      </c>
      <c r="K101" s="5" t="str">
        <f>IFERROR(__xludf.DUMMYFUNCTION("""COMPUTED_VALUE"""),"Yes")</f>
        <v>Yes</v>
      </c>
      <c r="L101" s="5" t="str">
        <f>IFERROR(__xludf.DUMMYFUNCTION("""COMPUTED_VALUE"""),"Yes")</f>
        <v>Yes</v>
      </c>
      <c r="M101" s="5" t="str">
        <f>IFERROR(__xludf.DUMMYFUNCTION("""COMPUTED_VALUE"""),"Yes")</f>
        <v>Yes</v>
      </c>
      <c r="N101" s="5" t="str">
        <f>IFERROR(__xludf.DUMMYFUNCTION("""COMPUTED_VALUE"""),"Yes")</f>
        <v>Yes</v>
      </c>
      <c r="O101" s="5" t="str">
        <f>IFERROR(__xludf.DUMMYFUNCTION("""COMPUTED_VALUE"""),"Yes")</f>
        <v>Yes</v>
      </c>
      <c r="P101" s="5" t="str">
        <f>IFERROR(__xludf.DUMMYFUNCTION("""COMPUTED_VALUE"""),"Yes")</f>
        <v>Yes</v>
      </c>
      <c r="Q101" s="5" t="str">
        <f>IFERROR(__xludf.DUMMYFUNCTION("""COMPUTED_VALUE"""),"Yes")</f>
        <v>Yes</v>
      </c>
      <c r="R101" s="5" t="str">
        <f>IFERROR(__xludf.DUMMYFUNCTION("""COMPUTED_VALUE"""),"No")</f>
        <v>No</v>
      </c>
      <c r="S101" s="5" t="str">
        <f>IFERROR(__xludf.DUMMYFUNCTION("""COMPUTED_VALUE"""),"No")</f>
        <v>No</v>
      </c>
      <c r="T101" s="5" t="str">
        <f>IFERROR(__xludf.DUMMYFUNCTION("""COMPUTED_VALUE"""),"No")</f>
        <v>No</v>
      </c>
      <c r="U101" s="5" t="str">
        <f>IFERROR(__xludf.DUMMYFUNCTION("""COMPUTED_VALUE"""),"No")</f>
        <v>No</v>
      </c>
      <c r="V101" s="5" t="str">
        <f>IFERROR(__xludf.DUMMYFUNCTION("""COMPUTED_VALUE"""),"No")</f>
        <v>No</v>
      </c>
      <c r="W101" s="5" t="str">
        <f>IFERROR(__xludf.DUMMYFUNCTION("""COMPUTED_VALUE"""),"No")</f>
        <v>No</v>
      </c>
      <c r="X101" s="5" t="str">
        <f>IFERROR(__xludf.DUMMYFUNCTION("""COMPUTED_VALUE"""),"No")</f>
        <v>No</v>
      </c>
      <c r="Y101" s="5" t="str">
        <f>IFERROR(__xludf.DUMMYFUNCTION("""COMPUTED_VALUE"""),"No")</f>
        <v>No</v>
      </c>
      <c r="Z101" s="5" t="str">
        <f>IFERROR(__xludf.DUMMYFUNCTION("""COMPUTED_VALUE"""),"No")</f>
        <v>No</v>
      </c>
      <c r="AA101" s="5" t="str">
        <f>IFERROR(__xludf.DUMMYFUNCTION("""COMPUTED_VALUE"""),"No")</f>
        <v>No</v>
      </c>
      <c r="AB101" s="5" t="str">
        <f>IFERROR(__xludf.DUMMYFUNCTION("""COMPUTED_VALUE"""),"Yes")</f>
        <v>Yes</v>
      </c>
      <c r="AC101" s="5" t="str">
        <f>IFERROR(__xludf.DUMMYFUNCTION("""COMPUTED_VALUE"""),"No")</f>
        <v>No</v>
      </c>
    </row>
    <row r="102">
      <c r="A102" s="5" t="str">
        <f>IFERROR(__xludf.DUMMYFUNCTION("""COMPUTED_VALUE"""),"WildKingdom")</f>
        <v>WildKingdom</v>
      </c>
      <c r="B1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2" s="5" t="str">
        <f>IFERROR(__xludf.DUMMYFUNCTION("""COMPUTED_VALUE"""),"Yes")</f>
        <v>Yes</v>
      </c>
      <c r="D102" s="5" t="str">
        <f>IFERROR(__xludf.DUMMYFUNCTION("""COMPUTED_VALUE"""),"Yes")</f>
        <v>Yes</v>
      </c>
      <c r="E102" s="5" t="str">
        <f>IFERROR(__xludf.DUMMYFUNCTION("""COMPUTED_VALUE"""),"Yes")</f>
        <v>Yes</v>
      </c>
      <c r="F102" s="5" t="str">
        <f>IFERROR(__xludf.DUMMYFUNCTION("""COMPUTED_VALUE"""),"Yes")</f>
        <v>Yes</v>
      </c>
      <c r="G102" s="5" t="str">
        <f>IFERROR(__xludf.DUMMYFUNCTION("""COMPUTED_VALUE"""),"Yes")</f>
        <v>Yes</v>
      </c>
      <c r="H102" s="5" t="str">
        <f>IFERROR(__xludf.DUMMYFUNCTION("""COMPUTED_VALUE"""),"Yes")</f>
        <v>Yes</v>
      </c>
      <c r="I102" s="5" t="str">
        <f>IFERROR(__xludf.DUMMYFUNCTION("""COMPUTED_VALUE"""),"Yes")</f>
        <v>Yes</v>
      </c>
      <c r="J102" s="5" t="str">
        <f>IFERROR(__xludf.DUMMYFUNCTION("""COMPUTED_VALUE"""),"Yes")</f>
        <v>Yes</v>
      </c>
      <c r="K102" s="5" t="str">
        <f>IFERROR(__xludf.DUMMYFUNCTION("""COMPUTED_VALUE"""),"Yes")</f>
        <v>Yes</v>
      </c>
      <c r="L102" s="5" t="str">
        <f>IFERROR(__xludf.DUMMYFUNCTION("""COMPUTED_VALUE"""),"Yes")</f>
        <v>Yes</v>
      </c>
      <c r="M102" s="5" t="str">
        <f>IFERROR(__xludf.DUMMYFUNCTION("""COMPUTED_VALUE"""),"Yes")</f>
        <v>Yes</v>
      </c>
      <c r="N102" s="5" t="str">
        <f>IFERROR(__xludf.DUMMYFUNCTION("""COMPUTED_VALUE"""),"Yes")</f>
        <v>Yes</v>
      </c>
      <c r="O102" s="5" t="str">
        <f>IFERROR(__xludf.DUMMYFUNCTION("""COMPUTED_VALUE"""),"Yes")</f>
        <v>Yes</v>
      </c>
      <c r="P102" s="5" t="str">
        <f>IFERROR(__xludf.DUMMYFUNCTION("""COMPUTED_VALUE"""),"Yes")</f>
        <v>Yes</v>
      </c>
      <c r="Q102" s="5" t="str">
        <f>IFERROR(__xludf.DUMMYFUNCTION("""COMPUTED_VALUE"""),"Yes")</f>
        <v>Yes</v>
      </c>
      <c r="R102" s="5" t="str">
        <f>IFERROR(__xludf.DUMMYFUNCTION("""COMPUTED_VALUE"""),"Yes")</f>
        <v>Yes</v>
      </c>
      <c r="S102" s="5" t="str">
        <f>IFERROR(__xludf.DUMMYFUNCTION("""COMPUTED_VALUE"""),"Yes")</f>
        <v>Yes</v>
      </c>
      <c r="T102" s="5" t="str">
        <f>IFERROR(__xludf.DUMMYFUNCTION("""COMPUTED_VALUE"""),"Yes")</f>
        <v>Yes</v>
      </c>
      <c r="U102" s="5" t="str">
        <f>IFERROR(__xludf.DUMMYFUNCTION("""COMPUTED_VALUE"""),"Yes")</f>
        <v>Yes</v>
      </c>
      <c r="V102" s="5" t="str">
        <f>IFERROR(__xludf.DUMMYFUNCTION("""COMPUTED_VALUE"""),"Yes")</f>
        <v>Yes</v>
      </c>
      <c r="W102" s="5" t="str">
        <f>IFERROR(__xludf.DUMMYFUNCTION("""COMPUTED_VALUE"""),"Yes")</f>
        <v>Yes</v>
      </c>
      <c r="X102" s="5" t="str">
        <f>IFERROR(__xludf.DUMMYFUNCTION("""COMPUTED_VALUE"""),"Yes")</f>
        <v>Yes</v>
      </c>
      <c r="Y102" s="5" t="str">
        <f>IFERROR(__xludf.DUMMYFUNCTION("""COMPUTED_VALUE"""),"Yes")</f>
        <v>Yes</v>
      </c>
      <c r="Z102" s="5" t="str">
        <f>IFERROR(__xludf.DUMMYFUNCTION("""COMPUTED_VALUE"""),"Yes")</f>
        <v>Yes</v>
      </c>
      <c r="AA102" s="5" t="str">
        <f>IFERROR(__xludf.DUMMYFUNCTION("""COMPUTED_VALUE"""),"Yes")</f>
        <v>Yes</v>
      </c>
      <c r="AB102" s="5" t="str">
        <f>IFERROR(__xludf.DUMMYFUNCTION("""COMPUTED_VALUE"""),"Yes")</f>
        <v>Yes</v>
      </c>
      <c r="AC102" s="5" t="str">
        <f>IFERROR(__xludf.DUMMYFUNCTION("""COMPUTED_VALUE"""),"No")</f>
        <v>No</v>
      </c>
    </row>
    <row r="103">
      <c r="A103" s="5" t="str">
        <f>IFERROR(__xludf.DUMMYFUNCTION("""COMPUTED_VALUE"""),"BookOfLuxorDouble")</f>
        <v>BookOfLuxorDouble</v>
      </c>
      <c r="B1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3" s="5" t="str">
        <f>IFERROR(__xludf.DUMMYFUNCTION("""COMPUTED_VALUE"""),"Yes")</f>
        <v>Yes</v>
      </c>
      <c r="D103" s="5" t="str">
        <f>IFERROR(__xludf.DUMMYFUNCTION("""COMPUTED_VALUE"""),"Yes")</f>
        <v>Yes</v>
      </c>
      <c r="E103" s="5" t="str">
        <f>IFERROR(__xludf.DUMMYFUNCTION("""COMPUTED_VALUE"""),"Yes")</f>
        <v>Yes</v>
      </c>
      <c r="F103" s="5" t="str">
        <f>IFERROR(__xludf.DUMMYFUNCTION("""COMPUTED_VALUE"""),"Yes")</f>
        <v>Yes</v>
      </c>
      <c r="G103" s="5" t="str">
        <f>IFERROR(__xludf.DUMMYFUNCTION("""COMPUTED_VALUE"""),"Yes")</f>
        <v>Yes</v>
      </c>
      <c r="H103" s="5" t="str">
        <f>IFERROR(__xludf.DUMMYFUNCTION("""COMPUTED_VALUE"""),"Yes")</f>
        <v>Yes</v>
      </c>
      <c r="I103" s="5" t="str">
        <f>IFERROR(__xludf.DUMMYFUNCTION("""COMPUTED_VALUE"""),"Yes")</f>
        <v>Yes</v>
      </c>
      <c r="J103" s="5" t="str">
        <f>IFERROR(__xludf.DUMMYFUNCTION("""COMPUTED_VALUE"""),"Yes")</f>
        <v>Yes</v>
      </c>
      <c r="K103" s="5" t="str">
        <f>IFERROR(__xludf.DUMMYFUNCTION("""COMPUTED_VALUE"""),"Yes")</f>
        <v>Yes</v>
      </c>
      <c r="L103" s="5" t="str">
        <f>IFERROR(__xludf.DUMMYFUNCTION("""COMPUTED_VALUE"""),"Yes")</f>
        <v>Yes</v>
      </c>
      <c r="M103" s="5" t="str">
        <f>IFERROR(__xludf.DUMMYFUNCTION("""COMPUTED_VALUE"""),"Yes")</f>
        <v>Yes</v>
      </c>
      <c r="N103" s="5" t="str">
        <f>IFERROR(__xludf.DUMMYFUNCTION("""COMPUTED_VALUE"""),"Yes")</f>
        <v>Yes</v>
      </c>
      <c r="O103" s="5" t="str">
        <f>IFERROR(__xludf.DUMMYFUNCTION("""COMPUTED_VALUE"""),"Yes")</f>
        <v>Yes</v>
      </c>
      <c r="P103" s="5" t="str">
        <f>IFERROR(__xludf.DUMMYFUNCTION("""COMPUTED_VALUE"""),"Yes")</f>
        <v>Yes</v>
      </c>
      <c r="Q103" s="5" t="str">
        <f>IFERROR(__xludf.DUMMYFUNCTION("""COMPUTED_VALUE"""),"Yes")</f>
        <v>Yes</v>
      </c>
      <c r="R103" s="5" t="str">
        <f>IFERROR(__xludf.DUMMYFUNCTION("""COMPUTED_VALUE"""),"Yes")</f>
        <v>Yes</v>
      </c>
      <c r="S103" s="5" t="str">
        <f>IFERROR(__xludf.DUMMYFUNCTION("""COMPUTED_VALUE"""),"Yes")</f>
        <v>Yes</v>
      </c>
      <c r="T103" s="5" t="str">
        <f>IFERROR(__xludf.DUMMYFUNCTION("""COMPUTED_VALUE"""),"Yes")</f>
        <v>Yes</v>
      </c>
      <c r="U103" s="5" t="str">
        <f>IFERROR(__xludf.DUMMYFUNCTION("""COMPUTED_VALUE"""),"Yes")</f>
        <v>Yes</v>
      </c>
      <c r="V103" s="5" t="str">
        <f>IFERROR(__xludf.DUMMYFUNCTION("""COMPUTED_VALUE"""),"Yes")</f>
        <v>Yes</v>
      </c>
      <c r="W103" s="5" t="str">
        <f>IFERROR(__xludf.DUMMYFUNCTION("""COMPUTED_VALUE"""),"Yes")</f>
        <v>Yes</v>
      </c>
      <c r="X103" s="5" t="str">
        <f>IFERROR(__xludf.DUMMYFUNCTION("""COMPUTED_VALUE"""),"Yes")</f>
        <v>Yes</v>
      </c>
      <c r="Y103" s="5" t="str">
        <f>IFERROR(__xludf.DUMMYFUNCTION("""COMPUTED_VALUE"""),"Yes")</f>
        <v>Yes</v>
      </c>
      <c r="Z103" s="5" t="str">
        <f>IFERROR(__xludf.DUMMYFUNCTION("""COMPUTED_VALUE"""),"Yes")</f>
        <v>Yes</v>
      </c>
      <c r="AA103" s="5" t="str">
        <f>IFERROR(__xludf.DUMMYFUNCTION("""COMPUTED_VALUE"""),"Yes")</f>
        <v>Yes</v>
      </c>
      <c r="AB103" s="5" t="str">
        <f>IFERROR(__xludf.DUMMYFUNCTION("""COMPUTED_VALUE"""),"Yes")</f>
        <v>Yes</v>
      </c>
      <c r="AC103" s="5" t="str">
        <f>IFERROR(__xludf.DUMMYFUNCTION("""COMPUTED_VALUE"""),"No")</f>
        <v>No</v>
      </c>
    </row>
    <row r="104">
      <c r="A104" s="5" t="str">
        <f>IFERROR(__xludf.DUMMYFUNCTION("""COMPUTED_VALUE"""),"MegaCubesDeluxe")</f>
        <v>MegaCubesDeluxe</v>
      </c>
      <c r="B1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4" s="5" t="str">
        <f>IFERROR(__xludf.DUMMYFUNCTION("""COMPUTED_VALUE"""),"Yes")</f>
        <v>Yes</v>
      </c>
      <c r="D104" s="5" t="str">
        <f>IFERROR(__xludf.DUMMYFUNCTION("""COMPUTED_VALUE"""),"Yes")</f>
        <v>Yes</v>
      </c>
      <c r="E104" s="5" t="str">
        <f>IFERROR(__xludf.DUMMYFUNCTION("""COMPUTED_VALUE"""),"Yes")</f>
        <v>Yes</v>
      </c>
      <c r="F104" s="5" t="str">
        <f>IFERROR(__xludf.DUMMYFUNCTION("""COMPUTED_VALUE"""),"Yes")</f>
        <v>Yes</v>
      </c>
      <c r="G104" s="5" t="str">
        <f>IFERROR(__xludf.DUMMYFUNCTION("""COMPUTED_VALUE"""),"Yes")</f>
        <v>Yes</v>
      </c>
      <c r="H104" s="5" t="str">
        <f>IFERROR(__xludf.DUMMYFUNCTION("""COMPUTED_VALUE"""),"Yes")</f>
        <v>Yes</v>
      </c>
      <c r="I104" s="5" t="str">
        <f>IFERROR(__xludf.DUMMYFUNCTION("""COMPUTED_VALUE"""),"Yes")</f>
        <v>Yes</v>
      </c>
      <c r="J104" s="5" t="str">
        <f>IFERROR(__xludf.DUMMYFUNCTION("""COMPUTED_VALUE"""),"Yes")</f>
        <v>Yes</v>
      </c>
      <c r="K104" s="5" t="str">
        <f>IFERROR(__xludf.DUMMYFUNCTION("""COMPUTED_VALUE"""),"Yes")</f>
        <v>Yes</v>
      </c>
      <c r="L104" s="5" t="str">
        <f>IFERROR(__xludf.DUMMYFUNCTION("""COMPUTED_VALUE"""),"Yes")</f>
        <v>Yes</v>
      </c>
      <c r="M104" s="5" t="str">
        <f>IFERROR(__xludf.DUMMYFUNCTION("""COMPUTED_VALUE"""),"Yes")</f>
        <v>Yes</v>
      </c>
      <c r="N104" s="5" t="str">
        <f>IFERROR(__xludf.DUMMYFUNCTION("""COMPUTED_VALUE"""),"Yes")</f>
        <v>Yes</v>
      </c>
      <c r="O104" s="5" t="str">
        <f>IFERROR(__xludf.DUMMYFUNCTION("""COMPUTED_VALUE"""),"Yes")</f>
        <v>Yes</v>
      </c>
      <c r="P104" s="5" t="str">
        <f>IFERROR(__xludf.DUMMYFUNCTION("""COMPUTED_VALUE"""),"Yes")</f>
        <v>Yes</v>
      </c>
      <c r="Q104" s="5" t="str">
        <f>IFERROR(__xludf.DUMMYFUNCTION("""COMPUTED_VALUE"""),"Yes")</f>
        <v>Yes</v>
      </c>
      <c r="R104" s="5" t="str">
        <f>IFERROR(__xludf.DUMMYFUNCTION("""COMPUTED_VALUE"""),"Yes")</f>
        <v>Yes</v>
      </c>
      <c r="S104" s="5" t="str">
        <f>IFERROR(__xludf.DUMMYFUNCTION("""COMPUTED_VALUE"""),"Yes")</f>
        <v>Yes</v>
      </c>
      <c r="T104" s="5" t="str">
        <f>IFERROR(__xludf.DUMMYFUNCTION("""COMPUTED_VALUE"""),"Yes")</f>
        <v>Yes</v>
      </c>
      <c r="U104" s="5" t="str">
        <f>IFERROR(__xludf.DUMMYFUNCTION("""COMPUTED_VALUE"""),"Yes")</f>
        <v>Yes</v>
      </c>
      <c r="V104" s="5" t="str">
        <f>IFERROR(__xludf.DUMMYFUNCTION("""COMPUTED_VALUE"""),"Yes")</f>
        <v>Yes</v>
      </c>
      <c r="W104" s="5" t="str">
        <f>IFERROR(__xludf.DUMMYFUNCTION("""COMPUTED_VALUE"""),"Yes")</f>
        <v>Yes</v>
      </c>
      <c r="X104" s="5" t="str">
        <f>IFERROR(__xludf.DUMMYFUNCTION("""COMPUTED_VALUE"""),"Yes")</f>
        <v>Yes</v>
      </c>
      <c r="Y104" s="5" t="str">
        <f>IFERROR(__xludf.DUMMYFUNCTION("""COMPUTED_VALUE"""),"Yes")</f>
        <v>Yes</v>
      </c>
      <c r="Z104" s="5" t="str">
        <f>IFERROR(__xludf.DUMMYFUNCTION("""COMPUTED_VALUE"""),"Yes")</f>
        <v>Yes</v>
      </c>
      <c r="AA104" s="5" t="str">
        <f>IFERROR(__xludf.DUMMYFUNCTION("""COMPUTED_VALUE"""),"Yes")</f>
        <v>Yes</v>
      </c>
      <c r="AB104" s="5" t="str">
        <f>IFERROR(__xludf.DUMMYFUNCTION("""COMPUTED_VALUE"""),"Yes")</f>
        <v>Yes</v>
      </c>
      <c r="AC104" s="5" t="str">
        <f>IFERROR(__xludf.DUMMYFUNCTION("""COMPUTED_VALUE"""),"No")</f>
        <v>No</v>
      </c>
    </row>
    <row r="105">
      <c r="A105" s="5" t="str">
        <f>IFERROR(__xludf.DUMMYFUNCTION("""COMPUTED_VALUE"""),"LollasWorld")</f>
        <v>LollasWorld</v>
      </c>
      <c r="B1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5" s="5" t="str">
        <f>IFERROR(__xludf.DUMMYFUNCTION("""COMPUTED_VALUE"""),"Yes")</f>
        <v>Yes</v>
      </c>
      <c r="D105" s="5" t="str">
        <f>IFERROR(__xludf.DUMMYFUNCTION("""COMPUTED_VALUE"""),"Yes")</f>
        <v>Yes</v>
      </c>
      <c r="E105" s="5" t="str">
        <f>IFERROR(__xludf.DUMMYFUNCTION("""COMPUTED_VALUE"""),"Yes")</f>
        <v>Yes</v>
      </c>
      <c r="F105" s="5" t="str">
        <f>IFERROR(__xludf.DUMMYFUNCTION("""COMPUTED_VALUE"""),"Yes")</f>
        <v>Yes</v>
      </c>
      <c r="G105" s="5" t="str">
        <f>IFERROR(__xludf.DUMMYFUNCTION("""COMPUTED_VALUE"""),"Yes")</f>
        <v>Yes</v>
      </c>
      <c r="H105" s="5" t="str">
        <f>IFERROR(__xludf.DUMMYFUNCTION("""COMPUTED_VALUE"""),"Yes")</f>
        <v>Yes</v>
      </c>
      <c r="I105" s="5" t="str">
        <f>IFERROR(__xludf.DUMMYFUNCTION("""COMPUTED_VALUE"""),"Yes")</f>
        <v>Yes</v>
      </c>
      <c r="J105" s="5" t="str">
        <f>IFERROR(__xludf.DUMMYFUNCTION("""COMPUTED_VALUE"""),"Yes")</f>
        <v>Yes</v>
      </c>
      <c r="K105" s="5" t="str">
        <f>IFERROR(__xludf.DUMMYFUNCTION("""COMPUTED_VALUE"""),"Yes")</f>
        <v>Yes</v>
      </c>
      <c r="L105" s="5" t="str">
        <f>IFERROR(__xludf.DUMMYFUNCTION("""COMPUTED_VALUE"""),"Yes")</f>
        <v>Yes</v>
      </c>
      <c r="M105" s="5" t="str">
        <f>IFERROR(__xludf.DUMMYFUNCTION("""COMPUTED_VALUE"""),"Yes")</f>
        <v>Yes</v>
      </c>
      <c r="N105" s="5" t="str">
        <f>IFERROR(__xludf.DUMMYFUNCTION("""COMPUTED_VALUE"""),"Yes")</f>
        <v>Yes</v>
      </c>
      <c r="O105" s="5" t="str">
        <f>IFERROR(__xludf.DUMMYFUNCTION("""COMPUTED_VALUE"""),"Yes")</f>
        <v>Yes</v>
      </c>
      <c r="P105" s="5" t="str">
        <f>IFERROR(__xludf.DUMMYFUNCTION("""COMPUTED_VALUE"""),"Yes")</f>
        <v>Yes</v>
      </c>
      <c r="Q105" s="5" t="str">
        <f>IFERROR(__xludf.DUMMYFUNCTION("""COMPUTED_VALUE"""),"Yes")</f>
        <v>Yes</v>
      </c>
      <c r="R105" s="5" t="str">
        <f>IFERROR(__xludf.DUMMYFUNCTION("""COMPUTED_VALUE"""),"Yes")</f>
        <v>Yes</v>
      </c>
      <c r="S105" s="5" t="str">
        <f>IFERROR(__xludf.DUMMYFUNCTION("""COMPUTED_VALUE"""),"Yes")</f>
        <v>Yes</v>
      </c>
      <c r="T105" s="5" t="str">
        <f>IFERROR(__xludf.DUMMYFUNCTION("""COMPUTED_VALUE"""),"Yes")</f>
        <v>Yes</v>
      </c>
      <c r="U105" s="5" t="str">
        <f>IFERROR(__xludf.DUMMYFUNCTION("""COMPUTED_VALUE"""),"Yes")</f>
        <v>Yes</v>
      </c>
      <c r="V105" s="5" t="str">
        <f>IFERROR(__xludf.DUMMYFUNCTION("""COMPUTED_VALUE"""),"Yes")</f>
        <v>Yes</v>
      </c>
      <c r="W105" s="5" t="str">
        <f>IFERROR(__xludf.DUMMYFUNCTION("""COMPUTED_VALUE"""),"Yes")</f>
        <v>Yes</v>
      </c>
      <c r="X105" s="5" t="str">
        <f>IFERROR(__xludf.DUMMYFUNCTION("""COMPUTED_VALUE"""),"Yes")</f>
        <v>Yes</v>
      </c>
      <c r="Y105" s="5" t="str">
        <f>IFERROR(__xludf.DUMMYFUNCTION("""COMPUTED_VALUE"""),"Yes")</f>
        <v>Yes</v>
      </c>
      <c r="Z105" s="5" t="str">
        <f>IFERROR(__xludf.DUMMYFUNCTION("""COMPUTED_VALUE"""),"Yes")</f>
        <v>Yes</v>
      </c>
      <c r="AA105" s="5" t="str">
        <f>IFERROR(__xludf.DUMMYFUNCTION("""COMPUTED_VALUE"""),"Yes")</f>
        <v>Yes</v>
      </c>
      <c r="AB105" s="5" t="str">
        <f>IFERROR(__xludf.DUMMYFUNCTION("""COMPUTED_VALUE"""),"Yes")</f>
        <v>Yes</v>
      </c>
      <c r="AC105" s="5" t="str">
        <f>IFERROR(__xludf.DUMMYFUNCTION("""COMPUTED_VALUE"""),"No")</f>
        <v>No</v>
      </c>
    </row>
    <row r="106">
      <c r="A106" s="5" t="str">
        <f>IFERROR(__xludf.DUMMYFUNCTION("""COMPUTED_VALUE"""),"FireClover40")</f>
        <v>FireClover40</v>
      </c>
      <c r="B10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6" s="5" t="str">
        <f>IFERROR(__xludf.DUMMYFUNCTION("""COMPUTED_VALUE"""),"Yes")</f>
        <v>Yes</v>
      </c>
      <c r="D106" s="5" t="str">
        <f>IFERROR(__xludf.DUMMYFUNCTION("""COMPUTED_VALUE"""),"Yes")</f>
        <v>Yes</v>
      </c>
      <c r="E106" s="5" t="str">
        <f>IFERROR(__xludf.DUMMYFUNCTION("""COMPUTED_VALUE"""),"No")</f>
        <v>No</v>
      </c>
      <c r="F106" s="5" t="str">
        <f>IFERROR(__xludf.DUMMYFUNCTION("""COMPUTED_VALUE"""),"Yes")</f>
        <v>Yes</v>
      </c>
      <c r="G106" s="5" t="str">
        <f>IFERROR(__xludf.DUMMYFUNCTION("""COMPUTED_VALUE"""),"Yes")</f>
        <v>Yes</v>
      </c>
      <c r="H106" s="5" t="str">
        <f>IFERROR(__xludf.DUMMYFUNCTION("""COMPUTED_VALUE"""),"Yes")</f>
        <v>Yes</v>
      </c>
      <c r="I106" s="5" t="str">
        <f>IFERROR(__xludf.DUMMYFUNCTION("""COMPUTED_VALUE"""),"Yes")</f>
        <v>Yes</v>
      </c>
      <c r="J106" s="5" t="str">
        <f>IFERROR(__xludf.DUMMYFUNCTION("""COMPUTED_VALUE"""),"Yes")</f>
        <v>Yes</v>
      </c>
      <c r="K106" s="5" t="str">
        <f>IFERROR(__xludf.DUMMYFUNCTION("""COMPUTED_VALUE"""),"Yes")</f>
        <v>Yes</v>
      </c>
      <c r="L106" s="5" t="str">
        <f>IFERROR(__xludf.DUMMYFUNCTION("""COMPUTED_VALUE"""),"Yes")</f>
        <v>Yes</v>
      </c>
      <c r="M106" s="5" t="str">
        <f>IFERROR(__xludf.DUMMYFUNCTION("""COMPUTED_VALUE"""),"Yes")</f>
        <v>Yes</v>
      </c>
      <c r="N106" s="5" t="str">
        <f>IFERROR(__xludf.DUMMYFUNCTION("""COMPUTED_VALUE"""),"Yes")</f>
        <v>Yes</v>
      </c>
      <c r="O106" s="5" t="str">
        <f>IFERROR(__xludf.DUMMYFUNCTION("""COMPUTED_VALUE"""),"Yes")</f>
        <v>Yes</v>
      </c>
      <c r="P106" s="5" t="str">
        <f>IFERROR(__xludf.DUMMYFUNCTION("""COMPUTED_VALUE"""),"Yes")</f>
        <v>Yes</v>
      </c>
      <c r="Q106" s="5" t="str">
        <f>IFERROR(__xludf.DUMMYFUNCTION("""COMPUTED_VALUE"""),"Yes")</f>
        <v>Yes</v>
      </c>
      <c r="R106" s="5" t="str">
        <f>IFERROR(__xludf.DUMMYFUNCTION("""COMPUTED_VALUE"""),"No")</f>
        <v>No</v>
      </c>
      <c r="S106" s="5" t="str">
        <f>IFERROR(__xludf.DUMMYFUNCTION("""COMPUTED_VALUE"""),"No")</f>
        <v>No</v>
      </c>
      <c r="T106" s="5" t="str">
        <f>IFERROR(__xludf.DUMMYFUNCTION("""COMPUTED_VALUE"""),"No")</f>
        <v>No</v>
      </c>
      <c r="U106" s="5" t="str">
        <f>IFERROR(__xludf.DUMMYFUNCTION("""COMPUTED_VALUE"""),"No")</f>
        <v>No</v>
      </c>
      <c r="V106" s="5" t="str">
        <f>IFERROR(__xludf.DUMMYFUNCTION("""COMPUTED_VALUE"""),"No")</f>
        <v>No</v>
      </c>
      <c r="W106" s="5" t="str">
        <f>IFERROR(__xludf.DUMMYFUNCTION("""COMPUTED_VALUE"""),"No")</f>
        <v>No</v>
      </c>
      <c r="X106" s="5" t="str">
        <f>IFERROR(__xludf.DUMMYFUNCTION("""COMPUTED_VALUE"""),"No")</f>
        <v>No</v>
      </c>
      <c r="Y106" s="5" t="str">
        <f>IFERROR(__xludf.DUMMYFUNCTION("""COMPUTED_VALUE"""),"No")</f>
        <v>No</v>
      </c>
      <c r="Z106" s="5" t="str">
        <f>IFERROR(__xludf.DUMMYFUNCTION("""COMPUTED_VALUE"""),"No")</f>
        <v>No</v>
      </c>
      <c r="AA106" s="5" t="str">
        <f>IFERROR(__xludf.DUMMYFUNCTION("""COMPUTED_VALUE"""),"No")</f>
        <v>No</v>
      </c>
      <c r="AB106" s="5" t="str">
        <f>IFERROR(__xludf.DUMMYFUNCTION("""COMPUTED_VALUE"""),"Yes")</f>
        <v>Yes</v>
      </c>
      <c r="AC106" s="5" t="str">
        <f>IFERROR(__xludf.DUMMYFUNCTION("""COMPUTED_VALUE"""),"No")</f>
        <v>No</v>
      </c>
    </row>
    <row r="107">
      <c r="A107" s="5" t="str">
        <f>IFERROR(__xludf.DUMMYFUNCTION("""COMPUTED_VALUE"""),"VeryHot5")</f>
        <v>VeryHot5</v>
      </c>
      <c r="B1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7" s="5" t="str">
        <f>IFERROR(__xludf.DUMMYFUNCTION("""COMPUTED_VALUE"""),"Yes")</f>
        <v>Yes</v>
      </c>
      <c r="D107" s="5" t="str">
        <f>IFERROR(__xludf.DUMMYFUNCTION("""COMPUTED_VALUE"""),"Yes")</f>
        <v>Yes</v>
      </c>
      <c r="E107" s="5" t="str">
        <f>IFERROR(__xludf.DUMMYFUNCTION("""COMPUTED_VALUE"""),"Yes")</f>
        <v>Yes</v>
      </c>
      <c r="F107" s="5" t="str">
        <f>IFERROR(__xludf.DUMMYFUNCTION("""COMPUTED_VALUE"""),"Yes")</f>
        <v>Yes</v>
      </c>
      <c r="G107" s="5" t="str">
        <f>IFERROR(__xludf.DUMMYFUNCTION("""COMPUTED_VALUE"""),"Yes")</f>
        <v>Yes</v>
      </c>
      <c r="H107" s="5" t="str">
        <f>IFERROR(__xludf.DUMMYFUNCTION("""COMPUTED_VALUE"""),"Yes")</f>
        <v>Yes</v>
      </c>
      <c r="I107" s="5" t="str">
        <f>IFERROR(__xludf.DUMMYFUNCTION("""COMPUTED_VALUE"""),"Yes")</f>
        <v>Yes</v>
      </c>
      <c r="J107" s="5" t="str">
        <f>IFERROR(__xludf.DUMMYFUNCTION("""COMPUTED_VALUE"""),"Yes")</f>
        <v>Yes</v>
      </c>
      <c r="K107" s="5" t="str">
        <f>IFERROR(__xludf.DUMMYFUNCTION("""COMPUTED_VALUE"""),"Yes")</f>
        <v>Yes</v>
      </c>
      <c r="L107" s="5" t="str">
        <f>IFERROR(__xludf.DUMMYFUNCTION("""COMPUTED_VALUE"""),"Yes")</f>
        <v>Yes</v>
      </c>
      <c r="M107" s="5" t="str">
        <f>IFERROR(__xludf.DUMMYFUNCTION("""COMPUTED_VALUE"""),"Yes")</f>
        <v>Yes</v>
      </c>
      <c r="N107" s="5" t="str">
        <f>IFERROR(__xludf.DUMMYFUNCTION("""COMPUTED_VALUE"""),"Yes")</f>
        <v>Yes</v>
      </c>
      <c r="O107" s="5" t="str">
        <f>IFERROR(__xludf.DUMMYFUNCTION("""COMPUTED_VALUE"""),"Yes")</f>
        <v>Yes</v>
      </c>
      <c r="P107" s="5" t="str">
        <f>IFERROR(__xludf.DUMMYFUNCTION("""COMPUTED_VALUE"""),"Yes")</f>
        <v>Yes</v>
      </c>
      <c r="Q107" s="5" t="str">
        <f>IFERROR(__xludf.DUMMYFUNCTION("""COMPUTED_VALUE"""),"Yes")</f>
        <v>Yes</v>
      </c>
      <c r="R107" s="5" t="str">
        <f>IFERROR(__xludf.DUMMYFUNCTION("""COMPUTED_VALUE"""),"Yes")</f>
        <v>Yes</v>
      </c>
      <c r="S107" s="5" t="str">
        <f>IFERROR(__xludf.DUMMYFUNCTION("""COMPUTED_VALUE"""),"Yes")</f>
        <v>Yes</v>
      </c>
      <c r="T107" s="5" t="str">
        <f>IFERROR(__xludf.DUMMYFUNCTION("""COMPUTED_VALUE"""),"Yes")</f>
        <v>Yes</v>
      </c>
      <c r="U107" s="5" t="str">
        <f>IFERROR(__xludf.DUMMYFUNCTION("""COMPUTED_VALUE"""),"Yes")</f>
        <v>Yes</v>
      </c>
      <c r="V107" s="5" t="str">
        <f>IFERROR(__xludf.DUMMYFUNCTION("""COMPUTED_VALUE"""),"Yes")</f>
        <v>Yes</v>
      </c>
      <c r="W107" s="5" t="str">
        <f>IFERROR(__xludf.DUMMYFUNCTION("""COMPUTED_VALUE"""),"Yes")</f>
        <v>Yes</v>
      </c>
      <c r="X107" s="5" t="str">
        <f>IFERROR(__xludf.DUMMYFUNCTION("""COMPUTED_VALUE"""),"Yes")</f>
        <v>Yes</v>
      </c>
      <c r="Y107" s="5" t="str">
        <f>IFERROR(__xludf.DUMMYFUNCTION("""COMPUTED_VALUE"""),"Yes")</f>
        <v>Yes</v>
      </c>
      <c r="Z107" s="5" t="str">
        <f>IFERROR(__xludf.DUMMYFUNCTION("""COMPUTED_VALUE"""),"Yes")</f>
        <v>Yes</v>
      </c>
      <c r="AA107" s="5" t="str">
        <f>IFERROR(__xludf.DUMMYFUNCTION("""COMPUTED_VALUE"""),"Yes")</f>
        <v>Yes</v>
      </c>
      <c r="AB107" s="5" t="str">
        <f>IFERROR(__xludf.DUMMYFUNCTION("""COMPUTED_VALUE"""),"Yes")</f>
        <v>Yes</v>
      </c>
      <c r="AC107" s="5" t="str">
        <f>IFERROR(__xludf.DUMMYFUNCTION("""COMPUTED_VALUE"""),"No")</f>
        <v>No</v>
      </c>
    </row>
    <row r="108">
      <c r="A108" s="5" t="str">
        <f>IFERROR(__xludf.DUMMYFUNCTION("""COMPUTED_VALUE"""),"VeryHot40")</f>
        <v>VeryHot40</v>
      </c>
      <c r="B1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8" s="5" t="str">
        <f>IFERROR(__xludf.DUMMYFUNCTION("""COMPUTED_VALUE"""),"Yes")</f>
        <v>Yes</v>
      </c>
      <c r="D108" s="5" t="str">
        <f>IFERROR(__xludf.DUMMYFUNCTION("""COMPUTED_VALUE"""),"Yes")</f>
        <v>Yes</v>
      </c>
      <c r="E108" s="5" t="str">
        <f>IFERROR(__xludf.DUMMYFUNCTION("""COMPUTED_VALUE"""),"Yes")</f>
        <v>Yes</v>
      </c>
      <c r="F108" s="5" t="str">
        <f>IFERROR(__xludf.DUMMYFUNCTION("""COMPUTED_VALUE"""),"Yes")</f>
        <v>Yes</v>
      </c>
      <c r="G108" s="5" t="str">
        <f>IFERROR(__xludf.DUMMYFUNCTION("""COMPUTED_VALUE"""),"Yes")</f>
        <v>Yes</v>
      </c>
      <c r="H108" s="5" t="str">
        <f>IFERROR(__xludf.DUMMYFUNCTION("""COMPUTED_VALUE"""),"Yes")</f>
        <v>Yes</v>
      </c>
      <c r="I108" s="5" t="str">
        <f>IFERROR(__xludf.DUMMYFUNCTION("""COMPUTED_VALUE"""),"Yes")</f>
        <v>Yes</v>
      </c>
      <c r="J108" s="5" t="str">
        <f>IFERROR(__xludf.DUMMYFUNCTION("""COMPUTED_VALUE"""),"Yes")</f>
        <v>Yes</v>
      </c>
      <c r="K108" s="5" t="str">
        <f>IFERROR(__xludf.DUMMYFUNCTION("""COMPUTED_VALUE"""),"Yes")</f>
        <v>Yes</v>
      </c>
      <c r="L108" s="5" t="str">
        <f>IFERROR(__xludf.DUMMYFUNCTION("""COMPUTED_VALUE"""),"Yes")</f>
        <v>Yes</v>
      </c>
      <c r="M108" s="5" t="str">
        <f>IFERROR(__xludf.DUMMYFUNCTION("""COMPUTED_VALUE"""),"Yes")</f>
        <v>Yes</v>
      </c>
      <c r="N108" s="5" t="str">
        <f>IFERROR(__xludf.DUMMYFUNCTION("""COMPUTED_VALUE"""),"Yes")</f>
        <v>Yes</v>
      </c>
      <c r="O108" s="5" t="str">
        <f>IFERROR(__xludf.DUMMYFUNCTION("""COMPUTED_VALUE"""),"Yes")</f>
        <v>Yes</v>
      </c>
      <c r="P108" s="5" t="str">
        <f>IFERROR(__xludf.DUMMYFUNCTION("""COMPUTED_VALUE"""),"Yes")</f>
        <v>Yes</v>
      </c>
      <c r="Q108" s="5" t="str">
        <f>IFERROR(__xludf.DUMMYFUNCTION("""COMPUTED_VALUE"""),"Yes")</f>
        <v>Yes</v>
      </c>
      <c r="R108" s="5" t="str">
        <f>IFERROR(__xludf.DUMMYFUNCTION("""COMPUTED_VALUE"""),"Yes")</f>
        <v>Yes</v>
      </c>
      <c r="S108" s="5" t="str">
        <f>IFERROR(__xludf.DUMMYFUNCTION("""COMPUTED_VALUE"""),"Yes")</f>
        <v>Yes</v>
      </c>
      <c r="T108" s="5" t="str">
        <f>IFERROR(__xludf.DUMMYFUNCTION("""COMPUTED_VALUE"""),"Yes")</f>
        <v>Yes</v>
      </c>
      <c r="U108" s="5" t="str">
        <f>IFERROR(__xludf.DUMMYFUNCTION("""COMPUTED_VALUE"""),"Yes")</f>
        <v>Yes</v>
      </c>
      <c r="V108" s="5" t="str">
        <f>IFERROR(__xludf.DUMMYFUNCTION("""COMPUTED_VALUE"""),"Yes")</f>
        <v>Yes</v>
      </c>
      <c r="W108" s="5" t="str">
        <f>IFERROR(__xludf.DUMMYFUNCTION("""COMPUTED_VALUE"""),"Yes")</f>
        <v>Yes</v>
      </c>
      <c r="X108" s="5" t="str">
        <f>IFERROR(__xludf.DUMMYFUNCTION("""COMPUTED_VALUE"""),"Yes")</f>
        <v>Yes</v>
      </c>
      <c r="Y108" s="5" t="str">
        <f>IFERROR(__xludf.DUMMYFUNCTION("""COMPUTED_VALUE"""),"Yes")</f>
        <v>Yes</v>
      </c>
      <c r="Z108" s="5" t="str">
        <f>IFERROR(__xludf.DUMMYFUNCTION("""COMPUTED_VALUE"""),"Yes")</f>
        <v>Yes</v>
      </c>
      <c r="AA108" s="5" t="str">
        <f>IFERROR(__xludf.DUMMYFUNCTION("""COMPUTED_VALUE"""),"Yes")</f>
        <v>Yes</v>
      </c>
      <c r="AB108" s="5" t="str">
        <f>IFERROR(__xludf.DUMMYFUNCTION("""COMPUTED_VALUE"""),"Yes")</f>
        <v>Yes</v>
      </c>
      <c r="AC108" s="5" t="str">
        <f>IFERROR(__xludf.DUMMYFUNCTION("""COMPUTED_VALUE"""),"No")</f>
        <v>No</v>
      </c>
    </row>
    <row r="109">
      <c r="A109" s="5" t="str">
        <f>IFERROR(__xludf.DUMMYFUNCTION("""COMPUTED_VALUE"""),"JewelsBeat")</f>
        <v>JewelsBeat</v>
      </c>
      <c r="B1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9" s="5" t="str">
        <f>IFERROR(__xludf.DUMMYFUNCTION("""COMPUTED_VALUE"""),"Yes")</f>
        <v>Yes</v>
      </c>
      <c r="D109" s="5" t="str">
        <f>IFERROR(__xludf.DUMMYFUNCTION("""COMPUTED_VALUE"""),"Yes")</f>
        <v>Yes</v>
      </c>
      <c r="E109" s="5" t="str">
        <f>IFERROR(__xludf.DUMMYFUNCTION("""COMPUTED_VALUE"""),"Yes")</f>
        <v>Yes</v>
      </c>
      <c r="F109" s="5" t="str">
        <f>IFERROR(__xludf.DUMMYFUNCTION("""COMPUTED_VALUE"""),"Yes")</f>
        <v>Yes</v>
      </c>
      <c r="G109" s="5" t="str">
        <f>IFERROR(__xludf.DUMMYFUNCTION("""COMPUTED_VALUE"""),"Yes")</f>
        <v>Yes</v>
      </c>
      <c r="H109" s="5" t="str">
        <f>IFERROR(__xludf.DUMMYFUNCTION("""COMPUTED_VALUE"""),"Yes")</f>
        <v>Yes</v>
      </c>
      <c r="I109" s="5" t="str">
        <f>IFERROR(__xludf.DUMMYFUNCTION("""COMPUTED_VALUE"""),"Yes")</f>
        <v>Yes</v>
      </c>
      <c r="J109" s="5" t="str">
        <f>IFERROR(__xludf.DUMMYFUNCTION("""COMPUTED_VALUE"""),"Yes")</f>
        <v>Yes</v>
      </c>
      <c r="K109" s="5" t="str">
        <f>IFERROR(__xludf.DUMMYFUNCTION("""COMPUTED_VALUE"""),"Yes")</f>
        <v>Yes</v>
      </c>
      <c r="L109" s="5" t="str">
        <f>IFERROR(__xludf.DUMMYFUNCTION("""COMPUTED_VALUE"""),"Yes")</f>
        <v>Yes</v>
      </c>
      <c r="M109" s="5" t="str">
        <f>IFERROR(__xludf.DUMMYFUNCTION("""COMPUTED_VALUE"""),"Yes")</f>
        <v>Yes</v>
      </c>
      <c r="N109" s="5" t="str">
        <f>IFERROR(__xludf.DUMMYFUNCTION("""COMPUTED_VALUE"""),"Yes")</f>
        <v>Yes</v>
      </c>
      <c r="O109" s="5" t="str">
        <f>IFERROR(__xludf.DUMMYFUNCTION("""COMPUTED_VALUE"""),"Yes")</f>
        <v>Yes</v>
      </c>
      <c r="P109" s="5" t="str">
        <f>IFERROR(__xludf.DUMMYFUNCTION("""COMPUTED_VALUE"""),"Yes")</f>
        <v>Yes</v>
      </c>
      <c r="Q109" s="5" t="str">
        <f>IFERROR(__xludf.DUMMYFUNCTION("""COMPUTED_VALUE"""),"Yes")</f>
        <v>Yes</v>
      </c>
      <c r="R109" s="5" t="str">
        <f>IFERROR(__xludf.DUMMYFUNCTION("""COMPUTED_VALUE"""),"Yes")</f>
        <v>Yes</v>
      </c>
      <c r="S109" s="5" t="str">
        <f>IFERROR(__xludf.DUMMYFUNCTION("""COMPUTED_VALUE"""),"Yes")</f>
        <v>Yes</v>
      </c>
      <c r="T109" s="5" t="str">
        <f>IFERROR(__xludf.DUMMYFUNCTION("""COMPUTED_VALUE"""),"Yes")</f>
        <v>Yes</v>
      </c>
      <c r="U109" s="5" t="str">
        <f>IFERROR(__xludf.DUMMYFUNCTION("""COMPUTED_VALUE"""),"Yes")</f>
        <v>Yes</v>
      </c>
      <c r="V109" s="5" t="str">
        <f>IFERROR(__xludf.DUMMYFUNCTION("""COMPUTED_VALUE"""),"Yes")</f>
        <v>Yes</v>
      </c>
      <c r="W109" s="5" t="str">
        <f>IFERROR(__xludf.DUMMYFUNCTION("""COMPUTED_VALUE"""),"Yes")</f>
        <v>Yes</v>
      </c>
      <c r="X109" s="5" t="str">
        <f>IFERROR(__xludf.DUMMYFUNCTION("""COMPUTED_VALUE"""),"Yes")</f>
        <v>Yes</v>
      </c>
      <c r="Y109" s="5" t="str">
        <f>IFERROR(__xludf.DUMMYFUNCTION("""COMPUTED_VALUE"""),"Yes")</f>
        <v>Yes</v>
      </c>
      <c r="Z109" s="5" t="str">
        <f>IFERROR(__xludf.DUMMYFUNCTION("""COMPUTED_VALUE"""),"Yes")</f>
        <v>Yes</v>
      </c>
      <c r="AA109" s="5" t="str">
        <f>IFERROR(__xludf.DUMMYFUNCTION("""COMPUTED_VALUE"""),"Yes")</f>
        <v>Yes</v>
      </c>
      <c r="AB109" s="5" t="str">
        <f>IFERROR(__xludf.DUMMYFUNCTION("""COMPUTED_VALUE"""),"Yes")</f>
        <v>Yes</v>
      </c>
      <c r="AC109" s="5" t="str">
        <f>IFERROR(__xludf.DUMMYFUNCTION("""COMPUTED_VALUE"""),"No")</f>
        <v>No</v>
      </c>
    </row>
    <row r="110">
      <c r="A110" s="5" t="str">
        <f>IFERROR(__xludf.DUMMYFUNCTION("""COMPUTED_VALUE"""),"HeatingIce")</f>
        <v>HeatingIce</v>
      </c>
      <c r="B1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0" s="5" t="str">
        <f>IFERROR(__xludf.DUMMYFUNCTION("""COMPUTED_VALUE"""),"Yes")</f>
        <v>Yes</v>
      </c>
      <c r="D110" s="5" t="str">
        <f>IFERROR(__xludf.DUMMYFUNCTION("""COMPUTED_VALUE"""),"Yes")</f>
        <v>Yes</v>
      </c>
      <c r="E110" s="5" t="str">
        <f>IFERROR(__xludf.DUMMYFUNCTION("""COMPUTED_VALUE"""),"Yes")</f>
        <v>Yes</v>
      </c>
      <c r="F110" s="5" t="str">
        <f>IFERROR(__xludf.DUMMYFUNCTION("""COMPUTED_VALUE"""),"Yes")</f>
        <v>Yes</v>
      </c>
      <c r="G110" s="5" t="str">
        <f>IFERROR(__xludf.DUMMYFUNCTION("""COMPUTED_VALUE"""),"Yes")</f>
        <v>Yes</v>
      </c>
      <c r="H110" s="5" t="str">
        <f>IFERROR(__xludf.DUMMYFUNCTION("""COMPUTED_VALUE"""),"Yes")</f>
        <v>Yes</v>
      </c>
      <c r="I110" s="5" t="str">
        <f>IFERROR(__xludf.DUMMYFUNCTION("""COMPUTED_VALUE"""),"Yes")</f>
        <v>Yes</v>
      </c>
      <c r="J110" s="5" t="str">
        <f>IFERROR(__xludf.DUMMYFUNCTION("""COMPUTED_VALUE"""),"Yes")</f>
        <v>Yes</v>
      </c>
      <c r="K110" s="5" t="str">
        <f>IFERROR(__xludf.DUMMYFUNCTION("""COMPUTED_VALUE"""),"Yes")</f>
        <v>Yes</v>
      </c>
      <c r="L110" s="5" t="str">
        <f>IFERROR(__xludf.DUMMYFUNCTION("""COMPUTED_VALUE"""),"Yes")</f>
        <v>Yes</v>
      </c>
      <c r="M110" s="5" t="str">
        <f>IFERROR(__xludf.DUMMYFUNCTION("""COMPUTED_VALUE"""),"Yes")</f>
        <v>Yes</v>
      </c>
      <c r="N110" s="5" t="str">
        <f>IFERROR(__xludf.DUMMYFUNCTION("""COMPUTED_VALUE"""),"Yes")</f>
        <v>Yes</v>
      </c>
      <c r="O110" s="5" t="str">
        <f>IFERROR(__xludf.DUMMYFUNCTION("""COMPUTED_VALUE"""),"Yes")</f>
        <v>Yes</v>
      </c>
      <c r="P110" s="5" t="str">
        <f>IFERROR(__xludf.DUMMYFUNCTION("""COMPUTED_VALUE"""),"Yes")</f>
        <v>Yes</v>
      </c>
      <c r="Q110" s="5" t="str">
        <f>IFERROR(__xludf.DUMMYFUNCTION("""COMPUTED_VALUE"""),"Yes")</f>
        <v>Yes</v>
      </c>
      <c r="R110" s="5" t="str">
        <f>IFERROR(__xludf.DUMMYFUNCTION("""COMPUTED_VALUE"""),"Yes")</f>
        <v>Yes</v>
      </c>
      <c r="S110" s="5" t="str">
        <f>IFERROR(__xludf.DUMMYFUNCTION("""COMPUTED_VALUE"""),"Yes")</f>
        <v>Yes</v>
      </c>
      <c r="T110" s="5" t="str">
        <f>IFERROR(__xludf.DUMMYFUNCTION("""COMPUTED_VALUE"""),"Yes")</f>
        <v>Yes</v>
      </c>
      <c r="U110" s="5" t="str">
        <f>IFERROR(__xludf.DUMMYFUNCTION("""COMPUTED_VALUE"""),"Yes")</f>
        <v>Yes</v>
      </c>
      <c r="V110" s="5" t="str">
        <f>IFERROR(__xludf.DUMMYFUNCTION("""COMPUTED_VALUE"""),"Yes")</f>
        <v>Yes</v>
      </c>
      <c r="W110" s="5" t="str">
        <f>IFERROR(__xludf.DUMMYFUNCTION("""COMPUTED_VALUE"""),"Yes")</f>
        <v>Yes</v>
      </c>
      <c r="X110" s="5" t="str">
        <f>IFERROR(__xludf.DUMMYFUNCTION("""COMPUTED_VALUE"""),"Yes")</f>
        <v>Yes</v>
      </c>
      <c r="Y110" s="5" t="str">
        <f>IFERROR(__xludf.DUMMYFUNCTION("""COMPUTED_VALUE"""),"Yes")</f>
        <v>Yes</v>
      </c>
      <c r="Z110" s="5" t="str">
        <f>IFERROR(__xludf.DUMMYFUNCTION("""COMPUTED_VALUE"""),"Yes")</f>
        <v>Yes</v>
      </c>
      <c r="AA110" s="5" t="str">
        <f>IFERROR(__xludf.DUMMYFUNCTION("""COMPUTED_VALUE"""),"Yes")</f>
        <v>Yes</v>
      </c>
      <c r="AB110" s="5" t="str">
        <f>IFERROR(__xludf.DUMMYFUNCTION("""COMPUTED_VALUE"""),"Yes")</f>
        <v>Yes</v>
      </c>
      <c r="AC110" s="5" t="str">
        <f>IFERROR(__xludf.DUMMYFUNCTION("""COMPUTED_VALUE"""),"No")</f>
        <v>No</v>
      </c>
    </row>
    <row r="111">
      <c r="A111" s="5" t="str">
        <f>IFERROR(__xludf.DUMMYFUNCTION("""COMPUTED_VALUE"""),"HeatingIceDeluxe")</f>
        <v>HeatingIceDeluxe</v>
      </c>
      <c r="B1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1" s="5" t="str">
        <f>IFERROR(__xludf.DUMMYFUNCTION("""COMPUTED_VALUE"""),"Yes")</f>
        <v>Yes</v>
      </c>
      <c r="D111" s="5" t="str">
        <f>IFERROR(__xludf.DUMMYFUNCTION("""COMPUTED_VALUE"""),"Yes")</f>
        <v>Yes</v>
      </c>
      <c r="E111" s="5" t="str">
        <f>IFERROR(__xludf.DUMMYFUNCTION("""COMPUTED_VALUE"""),"Yes")</f>
        <v>Yes</v>
      </c>
      <c r="F111" s="5" t="str">
        <f>IFERROR(__xludf.DUMMYFUNCTION("""COMPUTED_VALUE"""),"Yes")</f>
        <v>Yes</v>
      </c>
      <c r="G111" s="5" t="str">
        <f>IFERROR(__xludf.DUMMYFUNCTION("""COMPUTED_VALUE"""),"Yes")</f>
        <v>Yes</v>
      </c>
      <c r="H111" s="5" t="str">
        <f>IFERROR(__xludf.DUMMYFUNCTION("""COMPUTED_VALUE"""),"Yes")</f>
        <v>Yes</v>
      </c>
      <c r="I111" s="5" t="str">
        <f>IFERROR(__xludf.DUMMYFUNCTION("""COMPUTED_VALUE"""),"Yes")</f>
        <v>Yes</v>
      </c>
      <c r="J111" s="5" t="str">
        <f>IFERROR(__xludf.DUMMYFUNCTION("""COMPUTED_VALUE"""),"Yes")</f>
        <v>Yes</v>
      </c>
      <c r="K111" s="5" t="str">
        <f>IFERROR(__xludf.DUMMYFUNCTION("""COMPUTED_VALUE"""),"Yes")</f>
        <v>Yes</v>
      </c>
      <c r="L111" s="5" t="str">
        <f>IFERROR(__xludf.DUMMYFUNCTION("""COMPUTED_VALUE"""),"Yes")</f>
        <v>Yes</v>
      </c>
      <c r="M111" s="5" t="str">
        <f>IFERROR(__xludf.DUMMYFUNCTION("""COMPUTED_VALUE"""),"Yes")</f>
        <v>Yes</v>
      </c>
      <c r="N111" s="5" t="str">
        <f>IFERROR(__xludf.DUMMYFUNCTION("""COMPUTED_VALUE"""),"Yes")</f>
        <v>Yes</v>
      </c>
      <c r="O111" s="5" t="str">
        <f>IFERROR(__xludf.DUMMYFUNCTION("""COMPUTED_VALUE"""),"Yes")</f>
        <v>Yes</v>
      </c>
      <c r="P111" s="5" t="str">
        <f>IFERROR(__xludf.DUMMYFUNCTION("""COMPUTED_VALUE"""),"Yes")</f>
        <v>Yes</v>
      </c>
      <c r="Q111" s="5" t="str">
        <f>IFERROR(__xludf.DUMMYFUNCTION("""COMPUTED_VALUE"""),"Yes")</f>
        <v>Yes</v>
      </c>
      <c r="R111" s="5" t="str">
        <f>IFERROR(__xludf.DUMMYFUNCTION("""COMPUTED_VALUE"""),"Yes")</f>
        <v>Yes</v>
      </c>
      <c r="S111" s="5" t="str">
        <f>IFERROR(__xludf.DUMMYFUNCTION("""COMPUTED_VALUE"""),"Yes")</f>
        <v>Yes</v>
      </c>
      <c r="T111" s="5" t="str">
        <f>IFERROR(__xludf.DUMMYFUNCTION("""COMPUTED_VALUE"""),"Yes")</f>
        <v>Yes</v>
      </c>
      <c r="U111" s="5" t="str">
        <f>IFERROR(__xludf.DUMMYFUNCTION("""COMPUTED_VALUE"""),"Yes")</f>
        <v>Yes</v>
      </c>
      <c r="V111" s="5" t="str">
        <f>IFERROR(__xludf.DUMMYFUNCTION("""COMPUTED_VALUE"""),"Yes")</f>
        <v>Yes</v>
      </c>
      <c r="W111" s="5" t="str">
        <f>IFERROR(__xludf.DUMMYFUNCTION("""COMPUTED_VALUE"""),"Yes")</f>
        <v>Yes</v>
      </c>
      <c r="X111" s="5" t="str">
        <f>IFERROR(__xludf.DUMMYFUNCTION("""COMPUTED_VALUE"""),"Yes")</f>
        <v>Yes</v>
      </c>
      <c r="Y111" s="5" t="str">
        <f>IFERROR(__xludf.DUMMYFUNCTION("""COMPUTED_VALUE"""),"Yes")</f>
        <v>Yes</v>
      </c>
      <c r="Z111" s="5" t="str">
        <f>IFERROR(__xludf.DUMMYFUNCTION("""COMPUTED_VALUE"""),"Yes")</f>
        <v>Yes</v>
      </c>
      <c r="AA111" s="5" t="str">
        <f>IFERROR(__xludf.DUMMYFUNCTION("""COMPUTED_VALUE"""),"Yes")</f>
        <v>Yes</v>
      </c>
      <c r="AB111" s="5" t="str">
        <f>IFERROR(__xludf.DUMMYFUNCTION("""COMPUTED_VALUE"""),"Yes")</f>
        <v>Yes</v>
      </c>
      <c r="AC111" s="5" t="str">
        <f>IFERROR(__xludf.DUMMYFUNCTION("""COMPUTED_VALUE"""),"No")</f>
        <v>No</v>
      </c>
    </row>
    <row r="112">
      <c r="A112" s="5" t="str">
        <f>IFERROR(__xludf.DUMMYFUNCTION("""COMPUTED_VALUE"""),"FluoDice5")</f>
        <v>FluoDice5</v>
      </c>
      <c r="B1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2" s="5" t="str">
        <f>IFERROR(__xludf.DUMMYFUNCTION("""COMPUTED_VALUE"""),"Yes")</f>
        <v>Yes</v>
      </c>
      <c r="D112" s="5" t="str">
        <f>IFERROR(__xludf.DUMMYFUNCTION("""COMPUTED_VALUE"""),"Yes")</f>
        <v>Yes</v>
      </c>
      <c r="E112" s="5" t="str">
        <f>IFERROR(__xludf.DUMMYFUNCTION("""COMPUTED_VALUE"""),"Yes")</f>
        <v>Yes</v>
      </c>
      <c r="F112" s="5" t="str">
        <f>IFERROR(__xludf.DUMMYFUNCTION("""COMPUTED_VALUE"""),"Yes")</f>
        <v>Yes</v>
      </c>
      <c r="G112" s="5" t="str">
        <f>IFERROR(__xludf.DUMMYFUNCTION("""COMPUTED_VALUE"""),"Yes")</f>
        <v>Yes</v>
      </c>
      <c r="H112" s="5" t="str">
        <f>IFERROR(__xludf.DUMMYFUNCTION("""COMPUTED_VALUE"""),"Yes")</f>
        <v>Yes</v>
      </c>
      <c r="I112" s="5" t="str">
        <f>IFERROR(__xludf.DUMMYFUNCTION("""COMPUTED_VALUE"""),"Yes")</f>
        <v>Yes</v>
      </c>
      <c r="J112" s="5" t="str">
        <f>IFERROR(__xludf.DUMMYFUNCTION("""COMPUTED_VALUE"""),"Yes")</f>
        <v>Yes</v>
      </c>
      <c r="K112" s="5" t="str">
        <f>IFERROR(__xludf.DUMMYFUNCTION("""COMPUTED_VALUE"""),"Yes")</f>
        <v>Yes</v>
      </c>
      <c r="L112" s="5" t="str">
        <f>IFERROR(__xludf.DUMMYFUNCTION("""COMPUTED_VALUE"""),"Yes")</f>
        <v>Yes</v>
      </c>
      <c r="M112" s="5" t="str">
        <f>IFERROR(__xludf.DUMMYFUNCTION("""COMPUTED_VALUE"""),"Yes")</f>
        <v>Yes</v>
      </c>
      <c r="N112" s="5" t="str">
        <f>IFERROR(__xludf.DUMMYFUNCTION("""COMPUTED_VALUE"""),"Yes")</f>
        <v>Yes</v>
      </c>
      <c r="O112" s="5" t="str">
        <f>IFERROR(__xludf.DUMMYFUNCTION("""COMPUTED_VALUE"""),"Yes")</f>
        <v>Yes</v>
      </c>
      <c r="P112" s="5" t="str">
        <f>IFERROR(__xludf.DUMMYFUNCTION("""COMPUTED_VALUE"""),"Yes")</f>
        <v>Yes</v>
      </c>
      <c r="Q112" s="5" t="str">
        <f>IFERROR(__xludf.DUMMYFUNCTION("""COMPUTED_VALUE"""),"Yes")</f>
        <v>Yes</v>
      </c>
      <c r="R112" s="5" t="str">
        <f>IFERROR(__xludf.DUMMYFUNCTION("""COMPUTED_VALUE"""),"Yes")</f>
        <v>Yes</v>
      </c>
      <c r="S112" s="5" t="str">
        <f>IFERROR(__xludf.DUMMYFUNCTION("""COMPUTED_VALUE"""),"Yes")</f>
        <v>Yes</v>
      </c>
      <c r="T112" s="5" t="str">
        <f>IFERROR(__xludf.DUMMYFUNCTION("""COMPUTED_VALUE"""),"Yes")</f>
        <v>Yes</v>
      </c>
      <c r="U112" s="5" t="str">
        <f>IFERROR(__xludf.DUMMYFUNCTION("""COMPUTED_VALUE"""),"Yes")</f>
        <v>Yes</v>
      </c>
      <c r="V112" s="5" t="str">
        <f>IFERROR(__xludf.DUMMYFUNCTION("""COMPUTED_VALUE"""),"Yes")</f>
        <v>Yes</v>
      </c>
      <c r="W112" s="5" t="str">
        <f>IFERROR(__xludf.DUMMYFUNCTION("""COMPUTED_VALUE"""),"Yes")</f>
        <v>Yes</v>
      </c>
      <c r="X112" s="5" t="str">
        <f>IFERROR(__xludf.DUMMYFUNCTION("""COMPUTED_VALUE"""),"Yes")</f>
        <v>Yes</v>
      </c>
      <c r="Y112" s="5" t="str">
        <f>IFERROR(__xludf.DUMMYFUNCTION("""COMPUTED_VALUE"""),"Yes")</f>
        <v>Yes</v>
      </c>
      <c r="Z112" s="5" t="str">
        <f>IFERROR(__xludf.DUMMYFUNCTION("""COMPUTED_VALUE"""),"Yes")</f>
        <v>Yes</v>
      </c>
      <c r="AA112" s="5" t="str">
        <f>IFERROR(__xludf.DUMMYFUNCTION("""COMPUTED_VALUE"""),"Yes")</f>
        <v>Yes</v>
      </c>
      <c r="AB112" s="5" t="str">
        <f>IFERROR(__xludf.DUMMYFUNCTION("""COMPUTED_VALUE"""),"Yes")</f>
        <v>Yes</v>
      </c>
      <c r="AC112" s="5" t="str">
        <f>IFERROR(__xludf.DUMMYFUNCTION("""COMPUTED_VALUE"""),"No")</f>
        <v>No</v>
      </c>
    </row>
    <row r="113">
      <c r="A113" s="5" t="str">
        <f>IFERROR(__xludf.DUMMYFUNCTION("""COMPUTED_VALUE"""),"FluoHot5")</f>
        <v>FluoHot5</v>
      </c>
      <c r="B1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3" s="5" t="str">
        <f>IFERROR(__xludf.DUMMYFUNCTION("""COMPUTED_VALUE"""),"Yes")</f>
        <v>Yes</v>
      </c>
      <c r="D113" s="5" t="str">
        <f>IFERROR(__xludf.DUMMYFUNCTION("""COMPUTED_VALUE"""),"Yes")</f>
        <v>Yes</v>
      </c>
      <c r="E113" s="5" t="str">
        <f>IFERROR(__xludf.DUMMYFUNCTION("""COMPUTED_VALUE"""),"Yes")</f>
        <v>Yes</v>
      </c>
      <c r="F113" s="5" t="str">
        <f>IFERROR(__xludf.DUMMYFUNCTION("""COMPUTED_VALUE"""),"Yes")</f>
        <v>Yes</v>
      </c>
      <c r="G113" s="5" t="str">
        <f>IFERROR(__xludf.DUMMYFUNCTION("""COMPUTED_VALUE"""),"Yes")</f>
        <v>Yes</v>
      </c>
      <c r="H113" s="5" t="str">
        <f>IFERROR(__xludf.DUMMYFUNCTION("""COMPUTED_VALUE"""),"Yes")</f>
        <v>Yes</v>
      </c>
      <c r="I113" s="5" t="str">
        <f>IFERROR(__xludf.DUMMYFUNCTION("""COMPUTED_VALUE"""),"Yes")</f>
        <v>Yes</v>
      </c>
      <c r="J113" s="5" t="str">
        <f>IFERROR(__xludf.DUMMYFUNCTION("""COMPUTED_VALUE"""),"Yes")</f>
        <v>Yes</v>
      </c>
      <c r="K113" s="5" t="str">
        <f>IFERROR(__xludf.DUMMYFUNCTION("""COMPUTED_VALUE"""),"Yes")</f>
        <v>Yes</v>
      </c>
      <c r="L113" s="5" t="str">
        <f>IFERROR(__xludf.DUMMYFUNCTION("""COMPUTED_VALUE"""),"Yes")</f>
        <v>Yes</v>
      </c>
      <c r="M113" s="5" t="str">
        <f>IFERROR(__xludf.DUMMYFUNCTION("""COMPUTED_VALUE"""),"Yes")</f>
        <v>Yes</v>
      </c>
      <c r="N113" s="5" t="str">
        <f>IFERROR(__xludf.DUMMYFUNCTION("""COMPUTED_VALUE"""),"Yes")</f>
        <v>Yes</v>
      </c>
      <c r="O113" s="5" t="str">
        <f>IFERROR(__xludf.DUMMYFUNCTION("""COMPUTED_VALUE"""),"Yes")</f>
        <v>Yes</v>
      </c>
      <c r="P113" s="5" t="str">
        <f>IFERROR(__xludf.DUMMYFUNCTION("""COMPUTED_VALUE"""),"Yes")</f>
        <v>Yes</v>
      </c>
      <c r="Q113" s="5" t="str">
        <f>IFERROR(__xludf.DUMMYFUNCTION("""COMPUTED_VALUE"""),"Yes")</f>
        <v>Yes</v>
      </c>
      <c r="R113" s="5" t="str">
        <f>IFERROR(__xludf.DUMMYFUNCTION("""COMPUTED_VALUE"""),"Yes")</f>
        <v>Yes</v>
      </c>
      <c r="S113" s="5" t="str">
        <f>IFERROR(__xludf.DUMMYFUNCTION("""COMPUTED_VALUE"""),"Yes")</f>
        <v>Yes</v>
      </c>
      <c r="T113" s="5" t="str">
        <f>IFERROR(__xludf.DUMMYFUNCTION("""COMPUTED_VALUE"""),"Yes")</f>
        <v>Yes</v>
      </c>
      <c r="U113" s="5" t="str">
        <f>IFERROR(__xludf.DUMMYFUNCTION("""COMPUTED_VALUE"""),"Yes")</f>
        <v>Yes</v>
      </c>
      <c r="V113" s="5" t="str">
        <f>IFERROR(__xludf.DUMMYFUNCTION("""COMPUTED_VALUE"""),"Yes")</f>
        <v>Yes</v>
      </c>
      <c r="W113" s="5" t="str">
        <f>IFERROR(__xludf.DUMMYFUNCTION("""COMPUTED_VALUE"""),"Yes")</f>
        <v>Yes</v>
      </c>
      <c r="X113" s="5" t="str">
        <f>IFERROR(__xludf.DUMMYFUNCTION("""COMPUTED_VALUE"""),"Yes")</f>
        <v>Yes</v>
      </c>
      <c r="Y113" s="5" t="str">
        <f>IFERROR(__xludf.DUMMYFUNCTION("""COMPUTED_VALUE"""),"Yes")</f>
        <v>Yes</v>
      </c>
      <c r="Z113" s="5" t="str">
        <f>IFERROR(__xludf.DUMMYFUNCTION("""COMPUTED_VALUE"""),"Yes")</f>
        <v>Yes</v>
      </c>
      <c r="AA113" s="5" t="str">
        <f>IFERROR(__xludf.DUMMYFUNCTION("""COMPUTED_VALUE"""),"Yes")</f>
        <v>Yes</v>
      </c>
      <c r="AB113" s="5" t="str">
        <f>IFERROR(__xludf.DUMMYFUNCTION("""COMPUTED_VALUE"""),"Yes")</f>
        <v>Yes</v>
      </c>
      <c r="AC113" s="5" t="str">
        <f>IFERROR(__xludf.DUMMYFUNCTION("""COMPUTED_VALUE"""),"No")</f>
        <v>No</v>
      </c>
    </row>
    <row r="114">
      <c r="A114" s="5" t="str">
        <f>IFERROR(__xludf.DUMMYFUNCTION("""COMPUTED_VALUE"""),"HeatingDice")</f>
        <v>HeatingDice</v>
      </c>
      <c r="B1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4" s="5" t="str">
        <f>IFERROR(__xludf.DUMMYFUNCTION("""COMPUTED_VALUE"""),"Yes")</f>
        <v>Yes</v>
      </c>
      <c r="D114" s="5" t="str">
        <f>IFERROR(__xludf.DUMMYFUNCTION("""COMPUTED_VALUE"""),"Yes")</f>
        <v>Yes</v>
      </c>
      <c r="E114" s="5" t="str">
        <f>IFERROR(__xludf.DUMMYFUNCTION("""COMPUTED_VALUE"""),"Yes")</f>
        <v>Yes</v>
      </c>
      <c r="F114" s="5" t="str">
        <f>IFERROR(__xludf.DUMMYFUNCTION("""COMPUTED_VALUE"""),"Yes")</f>
        <v>Yes</v>
      </c>
      <c r="G114" s="5" t="str">
        <f>IFERROR(__xludf.DUMMYFUNCTION("""COMPUTED_VALUE"""),"Yes")</f>
        <v>Yes</v>
      </c>
      <c r="H114" s="5" t="str">
        <f>IFERROR(__xludf.DUMMYFUNCTION("""COMPUTED_VALUE"""),"Yes")</f>
        <v>Yes</v>
      </c>
      <c r="I114" s="5" t="str">
        <f>IFERROR(__xludf.DUMMYFUNCTION("""COMPUTED_VALUE"""),"Yes")</f>
        <v>Yes</v>
      </c>
      <c r="J114" s="5" t="str">
        <f>IFERROR(__xludf.DUMMYFUNCTION("""COMPUTED_VALUE"""),"Yes")</f>
        <v>Yes</v>
      </c>
      <c r="K114" s="5" t="str">
        <f>IFERROR(__xludf.DUMMYFUNCTION("""COMPUTED_VALUE"""),"Yes")</f>
        <v>Yes</v>
      </c>
      <c r="L114" s="5" t="str">
        <f>IFERROR(__xludf.DUMMYFUNCTION("""COMPUTED_VALUE"""),"Yes")</f>
        <v>Yes</v>
      </c>
      <c r="M114" s="5" t="str">
        <f>IFERROR(__xludf.DUMMYFUNCTION("""COMPUTED_VALUE"""),"Yes")</f>
        <v>Yes</v>
      </c>
      <c r="N114" s="5" t="str">
        <f>IFERROR(__xludf.DUMMYFUNCTION("""COMPUTED_VALUE"""),"Yes")</f>
        <v>Yes</v>
      </c>
      <c r="O114" s="5" t="str">
        <f>IFERROR(__xludf.DUMMYFUNCTION("""COMPUTED_VALUE"""),"Yes")</f>
        <v>Yes</v>
      </c>
      <c r="P114" s="5" t="str">
        <f>IFERROR(__xludf.DUMMYFUNCTION("""COMPUTED_VALUE"""),"Yes")</f>
        <v>Yes</v>
      </c>
      <c r="Q114" s="5" t="str">
        <f>IFERROR(__xludf.DUMMYFUNCTION("""COMPUTED_VALUE"""),"Yes")</f>
        <v>Yes</v>
      </c>
      <c r="R114" s="5" t="str">
        <f>IFERROR(__xludf.DUMMYFUNCTION("""COMPUTED_VALUE"""),"Yes")</f>
        <v>Yes</v>
      </c>
      <c r="S114" s="5" t="str">
        <f>IFERROR(__xludf.DUMMYFUNCTION("""COMPUTED_VALUE"""),"Yes")</f>
        <v>Yes</v>
      </c>
      <c r="T114" s="5" t="str">
        <f>IFERROR(__xludf.DUMMYFUNCTION("""COMPUTED_VALUE"""),"Yes")</f>
        <v>Yes</v>
      </c>
      <c r="U114" s="5" t="str">
        <f>IFERROR(__xludf.DUMMYFUNCTION("""COMPUTED_VALUE"""),"Yes")</f>
        <v>Yes</v>
      </c>
      <c r="V114" s="5" t="str">
        <f>IFERROR(__xludf.DUMMYFUNCTION("""COMPUTED_VALUE"""),"Yes")</f>
        <v>Yes</v>
      </c>
      <c r="W114" s="5" t="str">
        <f>IFERROR(__xludf.DUMMYFUNCTION("""COMPUTED_VALUE"""),"Yes")</f>
        <v>Yes</v>
      </c>
      <c r="X114" s="5" t="str">
        <f>IFERROR(__xludf.DUMMYFUNCTION("""COMPUTED_VALUE"""),"Yes")</f>
        <v>Yes</v>
      </c>
      <c r="Y114" s="5" t="str">
        <f>IFERROR(__xludf.DUMMYFUNCTION("""COMPUTED_VALUE"""),"Yes")</f>
        <v>Yes</v>
      </c>
      <c r="Z114" s="5" t="str">
        <f>IFERROR(__xludf.DUMMYFUNCTION("""COMPUTED_VALUE"""),"Yes")</f>
        <v>Yes</v>
      </c>
      <c r="AA114" s="5" t="str">
        <f>IFERROR(__xludf.DUMMYFUNCTION("""COMPUTED_VALUE"""),"Yes")</f>
        <v>Yes</v>
      </c>
      <c r="AB114" s="5" t="str">
        <f>IFERROR(__xludf.DUMMYFUNCTION("""COMPUTED_VALUE"""),"Yes")</f>
        <v>Yes</v>
      </c>
      <c r="AC114" s="5" t="str">
        <f>IFERROR(__xludf.DUMMYFUNCTION("""COMPUTED_VALUE"""),"No")</f>
        <v>No</v>
      </c>
    </row>
    <row r="115">
      <c r="A115" s="5" t="str">
        <f>IFERROR(__xludf.DUMMYFUNCTION("""COMPUTED_VALUE"""),"CrystalJewels")</f>
        <v>CrystalJewels</v>
      </c>
      <c r="B1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5" s="5" t="str">
        <f>IFERROR(__xludf.DUMMYFUNCTION("""COMPUTED_VALUE"""),"Yes")</f>
        <v>Yes</v>
      </c>
      <c r="D115" s="5" t="str">
        <f>IFERROR(__xludf.DUMMYFUNCTION("""COMPUTED_VALUE"""),"Yes")</f>
        <v>Yes</v>
      </c>
      <c r="E115" s="5" t="str">
        <f>IFERROR(__xludf.DUMMYFUNCTION("""COMPUTED_VALUE"""),"Yes")</f>
        <v>Yes</v>
      </c>
      <c r="F115" s="5" t="str">
        <f>IFERROR(__xludf.DUMMYFUNCTION("""COMPUTED_VALUE"""),"Yes")</f>
        <v>Yes</v>
      </c>
      <c r="G115" s="5" t="str">
        <f>IFERROR(__xludf.DUMMYFUNCTION("""COMPUTED_VALUE"""),"Yes")</f>
        <v>Yes</v>
      </c>
      <c r="H115" s="5" t="str">
        <f>IFERROR(__xludf.DUMMYFUNCTION("""COMPUTED_VALUE"""),"Yes")</f>
        <v>Yes</v>
      </c>
      <c r="I115" s="5" t="str">
        <f>IFERROR(__xludf.DUMMYFUNCTION("""COMPUTED_VALUE"""),"Yes")</f>
        <v>Yes</v>
      </c>
      <c r="J115" s="5" t="str">
        <f>IFERROR(__xludf.DUMMYFUNCTION("""COMPUTED_VALUE"""),"Yes")</f>
        <v>Yes</v>
      </c>
      <c r="K115" s="5" t="str">
        <f>IFERROR(__xludf.DUMMYFUNCTION("""COMPUTED_VALUE"""),"Yes")</f>
        <v>Yes</v>
      </c>
      <c r="L115" s="5" t="str">
        <f>IFERROR(__xludf.DUMMYFUNCTION("""COMPUTED_VALUE"""),"Yes")</f>
        <v>Yes</v>
      </c>
      <c r="M115" s="5" t="str">
        <f>IFERROR(__xludf.DUMMYFUNCTION("""COMPUTED_VALUE"""),"Yes")</f>
        <v>Yes</v>
      </c>
      <c r="N115" s="5" t="str">
        <f>IFERROR(__xludf.DUMMYFUNCTION("""COMPUTED_VALUE"""),"Yes")</f>
        <v>Yes</v>
      </c>
      <c r="O115" s="5" t="str">
        <f>IFERROR(__xludf.DUMMYFUNCTION("""COMPUTED_VALUE"""),"Yes")</f>
        <v>Yes</v>
      </c>
      <c r="P115" s="5" t="str">
        <f>IFERROR(__xludf.DUMMYFUNCTION("""COMPUTED_VALUE"""),"Yes")</f>
        <v>Yes</v>
      </c>
      <c r="Q115" s="5" t="str">
        <f>IFERROR(__xludf.DUMMYFUNCTION("""COMPUTED_VALUE"""),"Yes")</f>
        <v>Yes</v>
      </c>
      <c r="R115" s="5" t="str">
        <f>IFERROR(__xludf.DUMMYFUNCTION("""COMPUTED_VALUE"""),"Yes")</f>
        <v>Yes</v>
      </c>
      <c r="S115" s="5" t="str">
        <f>IFERROR(__xludf.DUMMYFUNCTION("""COMPUTED_VALUE"""),"Yes")</f>
        <v>Yes</v>
      </c>
      <c r="T115" s="5" t="str">
        <f>IFERROR(__xludf.DUMMYFUNCTION("""COMPUTED_VALUE"""),"Yes")</f>
        <v>Yes</v>
      </c>
      <c r="U115" s="5" t="str">
        <f>IFERROR(__xludf.DUMMYFUNCTION("""COMPUTED_VALUE"""),"Yes")</f>
        <v>Yes</v>
      </c>
      <c r="V115" s="5" t="str">
        <f>IFERROR(__xludf.DUMMYFUNCTION("""COMPUTED_VALUE"""),"Yes")</f>
        <v>Yes</v>
      </c>
      <c r="W115" s="5" t="str">
        <f>IFERROR(__xludf.DUMMYFUNCTION("""COMPUTED_VALUE"""),"Yes")</f>
        <v>Yes</v>
      </c>
      <c r="X115" s="5" t="str">
        <f>IFERROR(__xludf.DUMMYFUNCTION("""COMPUTED_VALUE"""),"Yes")</f>
        <v>Yes</v>
      </c>
      <c r="Y115" s="5" t="str">
        <f>IFERROR(__xludf.DUMMYFUNCTION("""COMPUTED_VALUE"""),"Yes")</f>
        <v>Yes</v>
      </c>
      <c r="Z115" s="5" t="str">
        <f>IFERROR(__xludf.DUMMYFUNCTION("""COMPUTED_VALUE"""),"Yes")</f>
        <v>Yes</v>
      </c>
      <c r="AA115" s="5" t="str">
        <f>IFERROR(__xludf.DUMMYFUNCTION("""COMPUTED_VALUE"""),"Yes")</f>
        <v>Yes</v>
      </c>
      <c r="AB115" s="5" t="str">
        <f>IFERROR(__xludf.DUMMYFUNCTION("""COMPUTED_VALUE"""),"Yes")</f>
        <v>Yes</v>
      </c>
      <c r="AC115" s="5" t="str">
        <f>IFERROR(__xludf.DUMMYFUNCTION("""COMPUTED_VALUE"""),"No")</f>
        <v>No</v>
      </c>
    </row>
    <row r="116">
      <c r="A116" s="5" t="str">
        <f>IFERROR(__xludf.DUMMYFUNCTION("""COMPUTED_VALUE"""),"WildClover506")</f>
        <v>WildClover506</v>
      </c>
      <c r="B116"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16" s="5" t="str">
        <f>IFERROR(__xludf.DUMMYFUNCTION("""COMPUTED_VALUE"""),"Yes")</f>
        <v>Yes</v>
      </c>
      <c r="D116" s="5" t="str">
        <f>IFERROR(__xludf.DUMMYFUNCTION("""COMPUTED_VALUE"""),"Yes")</f>
        <v>Yes</v>
      </c>
      <c r="E116" s="5" t="str">
        <f>IFERROR(__xludf.DUMMYFUNCTION("""COMPUTED_VALUE"""),"No")</f>
        <v>No</v>
      </c>
      <c r="F116" s="5" t="str">
        <f>IFERROR(__xludf.DUMMYFUNCTION("""COMPUTED_VALUE"""),"Yes")</f>
        <v>Yes</v>
      </c>
      <c r="G116" s="5" t="str">
        <f>IFERROR(__xludf.DUMMYFUNCTION("""COMPUTED_VALUE"""),"Yes")</f>
        <v>Yes</v>
      </c>
      <c r="H116" s="5" t="str">
        <f>IFERROR(__xludf.DUMMYFUNCTION("""COMPUTED_VALUE"""),"Yes")</f>
        <v>Yes</v>
      </c>
      <c r="I116" s="5" t="str">
        <f>IFERROR(__xludf.DUMMYFUNCTION("""COMPUTED_VALUE"""),"Yes")</f>
        <v>Yes</v>
      </c>
      <c r="J116" s="5" t="str">
        <f>IFERROR(__xludf.DUMMYFUNCTION("""COMPUTED_VALUE"""),"Yes")</f>
        <v>Yes</v>
      </c>
      <c r="K116" s="5" t="str">
        <f>IFERROR(__xludf.DUMMYFUNCTION("""COMPUTED_VALUE"""),"Yes")</f>
        <v>Yes</v>
      </c>
      <c r="L116" s="5" t="str">
        <f>IFERROR(__xludf.DUMMYFUNCTION("""COMPUTED_VALUE"""),"Yes")</f>
        <v>Yes</v>
      </c>
      <c r="M116" s="5" t="str">
        <f>IFERROR(__xludf.DUMMYFUNCTION("""COMPUTED_VALUE"""),"Yes")</f>
        <v>Yes</v>
      </c>
      <c r="N116" s="5" t="str">
        <f>IFERROR(__xludf.DUMMYFUNCTION("""COMPUTED_VALUE"""),"Yes")</f>
        <v>Yes</v>
      </c>
      <c r="O116" s="5" t="str">
        <f>IFERROR(__xludf.DUMMYFUNCTION("""COMPUTED_VALUE"""),"No")</f>
        <v>No</v>
      </c>
      <c r="P116" s="5" t="str">
        <f>IFERROR(__xludf.DUMMYFUNCTION("""COMPUTED_VALUE"""),"No")</f>
        <v>No</v>
      </c>
      <c r="Q116" s="5" t="str">
        <f>IFERROR(__xludf.DUMMYFUNCTION("""COMPUTED_VALUE"""),"Yes")</f>
        <v>Yes</v>
      </c>
      <c r="R116" s="5" t="str">
        <f>IFERROR(__xludf.DUMMYFUNCTION("""COMPUTED_VALUE"""),"No")</f>
        <v>No</v>
      </c>
      <c r="S116" s="5" t="str">
        <f>IFERROR(__xludf.DUMMYFUNCTION("""COMPUTED_VALUE"""),"No")</f>
        <v>No</v>
      </c>
      <c r="T116" s="5" t="str">
        <f>IFERROR(__xludf.DUMMYFUNCTION("""COMPUTED_VALUE"""),"No")</f>
        <v>No</v>
      </c>
      <c r="U116" s="5" t="str">
        <f>IFERROR(__xludf.DUMMYFUNCTION("""COMPUTED_VALUE"""),"No")</f>
        <v>No</v>
      </c>
      <c r="V116" s="5" t="str">
        <f>IFERROR(__xludf.DUMMYFUNCTION("""COMPUTED_VALUE"""),"No")</f>
        <v>No</v>
      </c>
      <c r="W116" s="5" t="str">
        <f>IFERROR(__xludf.DUMMYFUNCTION("""COMPUTED_VALUE"""),"No")</f>
        <v>No</v>
      </c>
      <c r="X116" s="5" t="str">
        <f>IFERROR(__xludf.DUMMYFUNCTION("""COMPUTED_VALUE"""),"No")</f>
        <v>No</v>
      </c>
      <c r="Y116" s="5" t="str">
        <f>IFERROR(__xludf.DUMMYFUNCTION("""COMPUTED_VALUE"""),"No")</f>
        <v>No</v>
      </c>
      <c r="Z116" s="5" t="str">
        <f>IFERROR(__xludf.DUMMYFUNCTION("""COMPUTED_VALUE"""),"No")</f>
        <v>No</v>
      </c>
      <c r="AA116" s="5" t="str">
        <f>IFERROR(__xludf.DUMMYFUNCTION("""COMPUTED_VALUE"""),"No")</f>
        <v>No</v>
      </c>
      <c r="AB116" s="5" t="str">
        <f>IFERROR(__xludf.DUMMYFUNCTION("""COMPUTED_VALUE"""),"Yes")</f>
        <v>Yes</v>
      </c>
      <c r="AC116" s="5" t="str">
        <f>IFERROR(__xludf.DUMMYFUNCTION("""COMPUTED_VALUE"""),"No")</f>
        <v>No</v>
      </c>
    </row>
    <row r="117">
      <c r="A117" s="5" t="str">
        <f>IFERROR(__xludf.DUMMYFUNCTION("""COMPUTED_VALUE"""),"TwinklingHot80")</f>
        <v>TwinklingHot80</v>
      </c>
      <c r="B1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7" s="5" t="str">
        <f>IFERROR(__xludf.DUMMYFUNCTION("""COMPUTED_VALUE"""),"Yes")</f>
        <v>Yes</v>
      </c>
      <c r="D117" s="5" t="str">
        <f>IFERROR(__xludf.DUMMYFUNCTION("""COMPUTED_VALUE"""),"Yes")</f>
        <v>Yes</v>
      </c>
      <c r="E117" s="5" t="str">
        <f>IFERROR(__xludf.DUMMYFUNCTION("""COMPUTED_VALUE"""),"Yes")</f>
        <v>Yes</v>
      </c>
      <c r="F117" s="5" t="str">
        <f>IFERROR(__xludf.DUMMYFUNCTION("""COMPUTED_VALUE"""),"Yes")</f>
        <v>Yes</v>
      </c>
      <c r="G117" s="5" t="str">
        <f>IFERROR(__xludf.DUMMYFUNCTION("""COMPUTED_VALUE"""),"Yes")</f>
        <v>Yes</v>
      </c>
      <c r="H117" s="5" t="str">
        <f>IFERROR(__xludf.DUMMYFUNCTION("""COMPUTED_VALUE"""),"Yes")</f>
        <v>Yes</v>
      </c>
      <c r="I117" s="5" t="str">
        <f>IFERROR(__xludf.DUMMYFUNCTION("""COMPUTED_VALUE"""),"Yes")</f>
        <v>Yes</v>
      </c>
      <c r="J117" s="5" t="str">
        <f>IFERROR(__xludf.DUMMYFUNCTION("""COMPUTED_VALUE"""),"Yes")</f>
        <v>Yes</v>
      </c>
      <c r="K117" s="5" t="str">
        <f>IFERROR(__xludf.DUMMYFUNCTION("""COMPUTED_VALUE"""),"Yes")</f>
        <v>Yes</v>
      </c>
      <c r="L117" s="5" t="str">
        <f>IFERROR(__xludf.DUMMYFUNCTION("""COMPUTED_VALUE"""),"Yes")</f>
        <v>Yes</v>
      </c>
      <c r="M117" s="5" t="str">
        <f>IFERROR(__xludf.DUMMYFUNCTION("""COMPUTED_VALUE"""),"Yes")</f>
        <v>Yes</v>
      </c>
      <c r="N117" s="5" t="str">
        <f>IFERROR(__xludf.DUMMYFUNCTION("""COMPUTED_VALUE"""),"Yes")</f>
        <v>Yes</v>
      </c>
      <c r="O117" s="5" t="str">
        <f>IFERROR(__xludf.DUMMYFUNCTION("""COMPUTED_VALUE"""),"Yes")</f>
        <v>Yes</v>
      </c>
      <c r="P117" s="5" t="str">
        <f>IFERROR(__xludf.DUMMYFUNCTION("""COMPUTED_VALUE"""),"Yes")</f>
        <v>Yes</v>
      </c>
      <c r="Q117" s="5" t="str">
        <f>IFERROR(__xludf.DUMMYFUNCTION("""COMPUTED_VALUE"""),"Yes")</f>
        <v>Yes</v>
      </c>
      <c r="R117" s="5" t="str">
        <f>IFERROR(__xludf.DUMMYFUNCTION("""COMPUTED_VALUE"""),"Yes")</f>
        <v>Yes</v>
      </c>
      <c r="S117" s="5" t="str">
        <f>IFERROR(__xludf.DUMMYFUNCTION("""COMPUTED_VALUE"""),"Yes")</f>
        <v>Yes</v>
      </c>
      <c r="T117" s="5" t="str">
        <f>IFERROR(__xludf.DUMMYFUNCTION("""COMPUTED_VALUE"""),"Yes")</f>
        <v>Yes</v>
      </c>
      <c r="U117" s="5" t="str">
        <f>IFERROR(__xludf.DUMMYFUNCTION("""COMPUTED_VALUE"""),"Yes")</f>
        <v>Yes</v>
      </c>
      <c r="V117" s="5" t="str">
        <f>IFERROR(__xludf.DUMMYFUNCTION("""COMPUTED_VALUE"""),"Yes")</f>
        <v>Yes</v>
      </c>
      <c r="W117" s="5" t="str">
        <f>IFERROR(__xludf.DUMMYFUNCTION("""COMPUTED_VALUE"""),"Yes")</f>
        <v>Yes</v>
      </c>
      <c r="X117" s="5" t="str">
        <f>IFERROR(__xludf.DUMMYFUNCTION("""COMPUTED_VALUE"""),"Yes")</f>
        <v>Yes</v>
      </c>
      <c r="Y117" s="5" t="str">
        <f>IFERROR(__xludf.DUMMYFUNCTION("""COMPUTED_VALUE"""),"Yes")</f>
        <v>Yes</v>
      </c>
      <c r="Z117" s="5" t="str">
        <f>IFERROR(__xludf.DUMMYFUNCTION("""COMPUTED_VALUE"""),"Yes")</f>
        <v>Yes</v>
      </c>
      <c r="AA117" s="5" t="str">
        <f>IFERROR(__xludf.DUMMYFUNCTION("""COMPUTED_VALUE"""),"Yes")</f>
        <v>Yes</v>
      </c>
      <c r="AB117" s="5" t="str">
        <f>IFERROR(__xludf.DUMMYFUNCTION("""COMPUTED_VALUE"""),"Yes")</f>
        <v>Yes</v>
      </c>
      <c r="AC117" s="5" t="str">
        <f>IFERROR(__xludf.DUMMYFUNCTION("""COMPUTED_VALUE"""),"No")</f>
        <v>No</v>
      </c>
    </row>
    <row r="118">
      <c r="A118" s="5" t="str">
        <f>IFERROR(__xludf.DUMMYFUNCTION("""COMPUTED_VALUE"""),"UnicornIslandRespins")</f>
        <v>UnicornIslandRespins</v>
      </c>
      <c r="B11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18" s="5" t="str">
        <f>IFERROR(__xludf.DUMMYFUNCTION("""COMPUTED_VALUE"""),"Yes")</f>
        <v>Yes</v>
      </c>
      <c r="D118" s="5" t="str">
        <f>IFERROR(__xludf.DUMMYFUNCTION("""COMPUTED_VALUE"""),"Yes")</f>
        <v>Yes</v>
      </c>
      <c r="E118" s="5" t="str">
        <f>IFERROR(__xludf.DUMMYFUNCTION("""COMPUTED_VALUE"""),"Yes")</f>
        <v>Yes</v>
      </c>
      <c r="F118" s="5" t="str">
        <f>IFERROR(__xludf.DUMMYFUNCTION("""COMPUTED_VALUE"""),"No")</f>
        <v>No</v>
      </c>
      <c r="G118" s="5" t="str">
        <f>IFERROR(__xludf.DUMMYFUNCTION("""COMPUTED_VALUE"""),"No")</f>
        <v>No</v>
      </c>
      <c r="H118" s="5" t="str">
        <f>IFERROR(__xludf.DUMMYFUNCTION("""COMPUTED_VALUE"""),"No")</f>
        <v>No</v>
      </c>
      <c r="I118" s="5" t="str">
        <f>IFERROR(__xludf.DUMMYFUNCTION("""COMPUTED_VALUE"""),"No")</f>
        <v>No</v>
      </c>
      <c r="J118" s="5" t="str">
        <f>IFERROR(__xludf.DUMMYFUNCTION("""COMPUTED_VALUE"""),"No")</f>
        <v>No</v>
      </c>
      <c r="K118" s="5" t="str">
        <f>IFERROR(__xludf.DUMMYFUNCTION("""COMPUTED_VALUE"""),"Yes")</f>
        <v>Yes</v>
      </c>
      <c r="L118" s="5" t="str">
        <f>IFERROR(__xludf.DUMMYFUNCTION("""COMPUTED_VALUE"""),"Yes")</f>
        <v>Yes</v>
      </c>
      <c r="M118" s="5" t="str">
        <f>IFERROR(__xludf.DUMMYFUNCTION("""COMPUTED_VALUE"""),"Yes")</f>
        <v>Yes</v>
      </c>
      <c r="N118" s="5" t="str">
        <f>IFERROR(__xludf.DUMMYFUNCTION("""COMPUTED_VALUE"""),"Yes")</f>
        <v>Yes</v>
      </c>
      <c r="O118" s="5" t="str">
        <f>IFERROR(__xludf.DUMMYFUNCTION("""COMPUTED_VALUE"""),"Yes")</f>
        <v>Yes</v>
      </c>
      <c r="P118" s="5" t="str">
        <f>IFERROR(__xludf.DUMMYFUNCTION("""COMPUTED_VALUE"""),"No")</f>
        <v>No</v>
      </c>
      <c r="Q118" s="5" t="str">
        <f>IFERROR(__xludf.DUMMYFUNCTION("""COMPUTED_VALUE"""),"Yes")</f>
        <v>Yes</v>
      </c>
      <c r="R118" s="5" t="str">
        <f>IFERROR(__xludf.DUMMYFUNCTION("""COMPUTED_VALUE"""),"No")</f>
        <v>No</v>
      </c>
      <c r="S118" s="5" t="str">
        <f>IFERROR(__xludf.DUMMYFUNCTION("""COMPUTED_VALUE"""),"No")</f>
        <v>No</v>
      </c>
      <c r="T118" s="5" t="str">
        <f>IFERROR(__xludf.DUMMYFUNCTION("""COMPUTED_VALUE"""),"No")</f>
        <v>No</v>
      </c>
      <c r="U118" s="5" t="str">
        <f>IFERROR(__xludf.DUMMYFUNCTION("""COMPUTED_VALUE"""),"No")</f>
        <v>No</v>
      </c>
      <c r="V118" s="5" t="str">
        <f>IFERROR(__xludf.DUMMYFUNCTION("""COMPUTED_VALUE"""),"No")</f>
        <v>No</v>
      </c>
      <c r="W118" s="5"/>
      <c r="X118" s="5"/>
      <c r="Y118" s="5"/>
      <c r="Z118" s="5" t="str">
        <f>IFERROR(__xludf.DUMMYFUNCTION("""COMPUTED_VALUE"""),"No")</f>
        <v>No</v>
      </c>
      <c r="AA118" s="5"/>
      <c r="AB118" s="5"/>
      <c r="AC118" s="5"/>
    </row>
    <row r="119">
      <c r="A119" s="5" t="str">
        <f>IFERROR(__xludf.DUMMYFUNCTION("""COMPUTED_VALUE"""),"UnicornDiceRespins")</f>
        <v>UnicornDiceRespins</v>
      </c>
      <c r="B11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19" s="5" t="str">
        <f>IFERROR(__xludf.DUMMYFUNCTION("""COMPUTED_VALUE"""),"Yes")</f>
        <v>Yes</v>
      </c>
      <c r="D119" s="5" t="str">
        <f>IFERROR(__xludf.DUMMYFUNCTION("""COMPUTED_VALUE"""),"Yes")</f>
        <v>Yes</v>
      </c>
      <c r="E119" s="5" t="str">
        <f>IFERROR(__xludf.DUMMYFUNCTION("""COMPUTED_VALUE"""),"Yes")</f>
        <v>Yes</v>
      </c>
      <c r="F119" s="5" t="str">
        <f>IFERROR(__xludf.DUMMYFUNCTION("""COMPUTED_VALUE"""),"No")</f>
        <v>No</v>
      </c>
      <c r="G119" s="5" t="str">
        <f>IFERROR(__xludf.DUMMYFUNCTION("""COMPUTED_VALUE"""),"No")</f>
        <v>No</v>
      </c>
      <c r="H119" s="5" t="str">
        <f>IFERROR(__xludf.DUMMYFUNCTION("""COMPUTED_VALUE"""),"No")</f>
        <v>No</v>
      </c>
      <c r="I119" s="5" t="str">
        <f>IFERROR(__xludf.DUMMYFUNCTION("""COMPUTED_VALUE"""),"No")</f>
        <v>No</v>
      </c>
      <c r="J119" s="5" t="str">
        <f>IFERROR(__xludf.DUMMYFUNCTION("""COMPUTED_VALUE"""),"No")</f>
        <v>No</v>
      </c>
      <c r="K119" s="5" t="str">
        <f>IFERROR(__xludf.DUMMYFUNCTION("""COMPUTED_VALUE"""),"Yes")</f>
        <v>Yes</v>
      </c>
      <c r="L119" s="5" t="str">
        <f>IFERROR(__xludf.DUMMYFUNCTION("""COMPUTED_VALUE"""),"Yes")</f>
        <v>Yes</v>
      </c>
      <c r="M119" s="5" t="str">
        <f>IFERROR(__xludf.DUMMYFUNCTION("""COMPUTED_VALUE"""),"Yes")</f>
        <v>Yes</v>
      </c>
      <c r="N119" s="5" t="str">
        <f>IFERROR(__xludf.DUMMYFUNCTION("""COMPUTED_VALUE"""),"Yes")</f>
        <v>Yes</v>
      </c>
      <c r="O119" s="5" t="str">
        <f>IFERROR(__xludf.DUMMYFUNCTION("""COMPUTED_VALUE"""),"Yes")</f>
        <v>Yes</v>
      </c>
      <c r="P119" s="5" t="str">
        <f>IFERROR(__xludf.DUMMYFUNCTION("""COMPUTED_VALUE"""),"No")</f>
        <v>No</v>
      </c>
      <c r="Q119" s="5" t="str">
        <f>IFERROR(__xludf.DUMMYFUNCTION("""COMPUTED_VALUE"""),"Yes")</f>
        <v>Yes</v>
      </c>
      <c r="R119" s="5" t="str">
        <f>IFERROR(__xludf.DUMMYFUNCTION("""COMPUTED_VALUE"""),"No")</f>
        <v>No</v>
      </c>
      <c r="S119" s="5" t="str">
        <f>IFERROR(__xludf.DUMMYFUNCTION("""COMPUTED_VALUE"""),"No")</f>
        <v>No</v>
      </c>
      <c r="T119" s="5" t="str">
        <f>IFERROR(__xludf.DUMMYFUNCTION("""COMPUTED_VALUE"""),"No")</f>
        <v>No</v>
      </c>
      <c r="U119" s="5" t="str">
        <f>IFERROR(__xludf.DUMMYFUNCTION("""COMPUTED_VALUE"""),"No")</f>
        <v>No</v>
      </c>
      <c r="V119" s="5" t="str">
        <f>IFERROR(__xludf.DUMMYFUNCTION("""COMPUTED_VALUE"""),"No")</f>
        <v>No</v>
      </c>
      <c r="W119" s="5"/>
      <c r="X119" s="5"/>
      <c r="Y119" s="5"/>
      <c r="Z119" s="5" t="str">
        <f>IFERROR(__xludf.DUMMYFUNCTION("""COMPUTED_VALUE"""),"No")</f>
        <v>No</v>
      </c>
      <c r="AA119" s="5"/>
      <c r="AB119" s="5"/>
      <c r="AC119" s="5"/>
    </row>
    <row r="120">
      <c r="A120" s="5" t="str">
        <f>IFERROR(__xludf.DUMMYFUNCTION("""COMPUTED_VALUE"""),"LostBook")</f>
        <v>LostBook</v>
      </c>
      <c r="B120" s="5" t="str">
        <f>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20" s="5" t="str">
        <f>IFERROR(__xludf.DUMMYFUNCTION("""COMPUTED_VALUE"""),"Yes")</f>
        <v>Yes</v>
      </c>
      <c r="D120" s="5" t="str">
        <f>IFERROR(__xludf.DUMMYFUNCTION("""COMPUTED_VALUE"""),"Yes")</f>
        <v>Yes</v>
      </c>
      <c r="E120" s="5" t="str">
        <f>IFERROR(__xludf.DUMMYFUNCTION("""COMPUTED_VALUE"""),"No")</f>
        <v>No</v>
      </c>
      <c r="F120" s="5" t="str">
        <f>IFERROR(__xludf.DUMMYFUNCTION("""COMPUTED_VALUE"""),"Yes")</f>
        <v>Yes</v>
      </c>
      <c r="G120" s="5" t="str">
        <f>IFERROR(__xludf.DUMMYFUNCTION("""COMPUTED_VALUE"""),"Yes")</f>
        <v>Yes</v>
      </c>
      <c r="H120" s="5" t="str">
        <f>IFERROR(__xludf.DUMMYFUNCTION("""COMPUTED_VALUE"""),"Yes")</f>
        <v>Yes</v>
      </c>
      <c r="I120" s="5" t="str">
        <f>IFERROR(__xludf.DUMMYFUNCTION("""COMPUTED_VALUE"""),"Yes")</f>
        <v>Yes</v>
      </c>
      <c r="J120" s="5" t="str">
        <f>IFERROR(__xludf.DUMMYFUNCTION("""COMPUTED_VALUE"""),"Yes")</f>
        <v>Yes</v>
      </c>
      <c r="K120" s="5" t="str">
        <f>IFERROR(__xludf.DUMMYFUNCTION("""COMPUTED_VALUE"""),"Yes")</f>
        <v>Yes</v>
      </c>
      <c r="L120" s="5" t="str">
        <f>IFERROR(__xludf.DUMMYFUNCTION("""COMPUTED_VALUE"""),"Yes")</f>
        <v>Yes</v>
      </c>
      <c r="M120" s="5" t="str">
        <f>IFERROR(__xludf.DUMMYFUNCTION("""COMPUTED_VALUE"""),"Yes")</f>
        <v>Yes</v>
      </c>
      <c r="N120" s="5" t="str">
        <f>IFERROR(__xludf.DUMMYFUNCTION("""COMPUTED_VALUE"""),"Yes")</f>
        <v>Yes</v>
      </c>
      <c r="O120" s="5" t="str">
        <f>IFERROR(__xludf.DUMMYFUNCTION("""COMPUTED_VALUE"""),"No")</f>
        <v>No</v>
      </c>
      <c r="P120" s="5" t="str">
        <f>IFERROR(__xludf.DUMMYFUNCTION("""COMPUTED_VALUE"""),"No")</f>
        <v>No</v>
      </c>
      <c r="Q120" s="5" t="str">
        <f>IFERROR(__xludf.DUMMYFUNCTION("""COMPUTED_VALUE"""),"Yes")</f>
        <v>Yes</v>
      </c>
      <c r="R120" s="5" t="str">
        <f>IFERROR(__xludf.DUMMYFUNCTION("""COMPUTED_VALUE"""),"No")</f>
        <v>No</v>
      </c>
      <c r="S120" s="5" t="str">
        <f>IFERROR(__xludf.DUMMYFUNCTION("""COMPUTED_VALUE"""),"No")</f>
        <v>No</v>
      </c>
      <c r="T120" s="5" t="str">
        <f>IFERROR(__xludf.DUMMYFUNCTION("""COMPUTED_VALUE"""),"No")</f>
        <v>No</v>
      </c>
      <c r="U120" s="5" t="str">
        <f>IFERROR(__xludf.DUMMYFUNCTION("""COMPUTED_VALUE"""),"No")</f>
        <v>No</v>
      </c>
      <c r="V120" s="5" t="str">
        <f>IFERROR(__xludf.DUMMYFUNCTION("""COMPUTED_VALUE"""),"No")</f>
        <v>No</v>
      </c>
      <c r="W120" s="5" t="str">
        <f>IFERROR(__xludf.DUMMYFUNCTION("""COMPUTED_VALUE"""),"No")</f>
        <v>No</v>
      </c>
      <c r="X120" s="5" t="str">
        <f>IFERROR(__xludf.DUMMYFUNCTION("""COMPUTED_VALUE"""),"No")</f>
        <v>No</v>
      </c>
      <c r="Y120" s="5" t="str">
        <f>IFERROR(__xludf.DUMMYFUNCTION("""COMPUTED_VALUE"""),"No")</f>
        <v>No</v>
      </c>
      <c r="Z120" s="5" t="str">
        <f>IFERROR(__xludf.DUMMYFUNCTION("""COMPUTED_VALUE"""),"No")</f>
        <v>No</v>
      </c>
      <c r="AA120" s="5" t="str">
        <f>IFERROR(__xludf.DUMMYFUNCTION("""COMPUTED_VALUE"""),"No")</f>
        <v>No</v>
      </c>
      <c r="AB120" s="5" t="str">
        <f>IFERROR(__xludf.DUMMYFUNCTION("""COMPUTED_VALUE"""),"Yes")</f>
        <v>Yes</v>
      </c>
      <c r="AC120" s="5" t="str">
        <f>IFERROR(__xludf.DUMMYFUNCTION("""COMPUTED_VALUE"""),"No")</f>
        <v>No</v>
      </c>
    </row>
    <row r="121">
      <c r="A121" s="5" t="str">
        <f>IFERROR(__xludf.DUMMYFUNCTION("""COMPUTED_VALUE"""),"BurstingHot40Mozzart")</f>
        <v>BurstingHot40Mozzart</v>
      </c>
      <c r="B1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1" s="5" t="str">
        <f>IFERROR(__xludf.DUMMYFUNCTION("""COMPUTED_VALUE"""),"Yes")</f>
        <v>Yes</v>
      </c>
      <c r="D121" s="5" t="str">
        <f>IFERROR(__xludf.DUMMYFUNCTION("""COMPUTED_VALUE"""),"Yes")</f>
        <v>Yes</v>
      </c>
      <c r="E121" s="5" t="str">
        <f>IFERROR(__xludf.DUMMYFUNCTION("""COMPUTED_VALUE"""),"Yes")</f>
        <v>Yes</v>
      </c>
      <c r="F121" s="5" t="str">
        <f>IFERROR(__xludf.DUMMYFUNCTION("""COMPUTED_VALUE"""),"Yes")</f>
        <v>Yes</v>
      </c>
      <c r="G121" s="5" t="str">
        <f>IFERROR(__xludf.DUMMYFUNCTION("""COMPUTED_VALUE"""),"Yes")</f>
        <v>Yes</v>
      </c>
      <c r="H121" s="5" t="str">
        <f>IFERROR(__xludf.DUMMYFUNCTION("""COMPUTED_VALUE"""),"Yes")</f>
        <v>Yes</v>
      </c>
      <c r="I121" s="5" t="str">
        <f>IFERROR(__xludf.DUMMYFUNCTION("""COMPUTED_VALUE"""),"Yes")</f>
        <v>Yes</v>
      </c>
      <c r="J121" s="5" t="str">
        <f>IFERROR(__xludf.DUMMYFUNCTION("""COMPUTED_VALUE"""),"Yes")</f>
        <v>Yes</v>
      </c>
      <c r="K121" s="5" t="str">
        <f>IFERROR(__xludf.DUMMYFUNCTION("""COMPUTED_VALUE"""),"Yes")</f>
        <v>Yes</v>
      </c>
      <c r="L121" s="5" t="str">
        <f>IFERROR(__xludf.DUMMYFUNCTION("""COMPUTED_VALUE"""),"Yes")</f>
        <v>Yes</v>
      </c>
      <c r="M121" s="5" t="str">
        <f>IFERROR(__xludf.DUMMYFUNCTION("""COMPUTED_VALUE"""),"Yes")</f>
        <v>Yes</v>
      </c>
      <c r="N121" s="5" t="str">
        <f>IFERROR(__xludf.DUMMYFUNCTION("""COMPUTED_VALUE"""),"Yes")</f>
        <v>Yes</v>
      </c>
      <c r="O121" s="5" t="str">
        <f>IFERROR(__xludf.DUMMYFUNCTION("""COMPUTED_VALUE"""),"Yes")</f>
        <v>Yes</v>
      </c>
      <c r="P121" s="5" t="str">
        <f>IFERROR(__xludf.DUMMYFUNCTION("""COMPUTED_VALUE"""),"Yes")</f>
        <v>Yes</v>
      </c>
      <c r="Q121" s="5" t="str">
        <f>IFERROR(__xludf.DUMMYFUNCTION("""COMPUTED_VALUE"""),"Yes")</f>
        <v>Yes</v>
      </c>
      <c r="R121" s="5" t="str">
        <f>IFERROR(__xludf.DUMMYFUNCTION("""COMPUTED_VALUE"""),"Yes")</f>
        <v>Yes</v>
      </c>
      <c r="S121" s="5" t="str">
        <f>IFERROR(__xludf.DUMMYFUNCTION("""COMPUTED_VALUE"""),"Yes")</f>
        <v>Yes</v>
      </c>
      <c r="T121" s="5" t="str">
        <f>IFERROR(__xludf.DUMMYFUNCTION("""COMPUTED_VALUE"""),"Yes")</f>
        <v>Yes</v>
      </c>
      <c r="U121" s="5" t="str">
        <f>IFERROR(__xludf.DUMMYFUNCTION("""COMPUTED_VALUE"""),"Yes")</f>
        <v>Yes</v>
      </c>
      <c r="V121" s="5" t="str">
        <f>IFERROR(__xludf.DUMMYFUNCTION("""COMPUTED_VALUE"""),"Yes")</f>
        <v>Yes</v>
      </c>
      <c r="W121" s="5" t="str">
        <f>IFERROR(__xludf.DUMMYFUNCTION("""COMPUTED_VALUE"""),"Yes")</f>
        <v>Yes</v>
      </c>
      <c r="X121" s="5" t="str">
        <f>IFERROR(__xludf.DUMMYFUNCTION("""COMPUTED_VALUE"""),"Yes")</f>
        <v>Yes</v>
      </c>
      <c r="Y121" s="5" t="str">
        <f>IFERROR(__xludf.DUMMYFUNCTION("""COMPUTED_VALUE"""),"Yes")</f>
        <v>Yes</v>
      </c>
      <c r="Z121" s="5" t="str">
        <f>IFERROR(__xludf.DUMMYFUNCTION("""COMPUTED_VALUE"""),"Yes")</f>
        <v>Yes</v>
      </c>
      <c r="AA121" s="5" t="str">
        <f>IFERROR(__xludf.DUMMYFUNCTION("""COMPUTED_VALUE"""),"Yes")</f>
        <v>Yes</v>
      </c>
      <c r="AB121" s="5" t="str">
        <f>IFERROR(__xludf.DUMMYFUNCTION("""COMPUTED_VALUE"""),"Yes")</f>
        <v>Yes</v>
      </c>
      <c r="AC121" s="5" t="str">
        <f>IFERROR(__xludf.DUMMYFUNCTION("""COMPUTED_VALUE"""),"No")</f>
        <v>No</v>
      </c>
    </row>
    <row r="122">
      <c r="A122" s="5" t="str">
        <f>IFERROR(__xludf.DUMMYFUNCTION("""COMPUTED_VALUE"""),"GoldenCrownMaxbet")</f>
        <v>GoldenCrownMaxbet</v>
      </c>
      <c r="B1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2" s="5" t="str">
        <f>IFERROR(__xludf.DUMMYFUNCTION("""COMPUTED_VALUE"""),"Yes")</f>
        <v>Yes</v>
      </c>
      <c r="D122" s="5" t="str">
        <f>IFERROR(__xludf.DUMMYFUNCTION("""COMPUTED_VALUE"""),"Yes")</f>
        <v>Yes</v>
      </c>
      <c r="E122" s="5" t="str">
        <f>IFERROR(__xludf.DUMMYFUNCTION("""COMPUTED_VALUE"""),"Yes")</f>
        <v>Yes</v>
      </c>
      <c r="F122" s="5" t="str">
        <f>IFERROR(__xludf.DUMMYFUNCTION("""COMPUTED_VALUE"""),"Yes")</f>
        <v>Yes</v>
      </c>
      <c r="G122" s="5" t="str">
        <f>IFERROR(__xludf.DUMMYFUNCTION("""COMPUTED_VALUE"""),"Yes")</f>
        <v>Yes</v>
      </c>
      <c r="H122" s="5" t="str">
        <f>IFERROR(__xludf.DUMMYFUNCTION("""COMPUTED_VALUE"""),"Yes")</f>
        <v>Yes</v>
      </c>
      <c r="I122" s="5" t="str">
        <f>IFERROR(__xludf.DUMMYFUNCTION("""COMPUTED_VALUE"""),"Yes")</f>
        <v>Yes</v>
      </c>
      <c r="J122" s="5" t="str">
        <f>IFERROR(__xludf.DUMMYFUNCTION("""COMPUTED_VALUE"""),"Yes")</f>
        <v>Yes</v>
      </c>
      <c r="K122" s="5" t="str">
        <f>IFERROR(__xludf.DUMMYFUNCTION("""COMPUTED_VALUE"""),"Yes")</f>
        <v>Yes</v>
      </c>
      <c r="L122" s="5" t="str">
        <f>IFERROR(__xludf.DUMMYFUNCTION("""COMPUTED_VALUE"""),"Yes")</f>
        <v>Yes</v>
      </c>
      <c r="M122" s="5" t="str">
        <f>IFERROR(__xludf.DUMMYFUNCTION("""COMPUTED_VALUE"""),"Yes")</f>
        <v>Yes</v>
      </c>
      <c r="N122" s="5" t="str">
        <f>IFERROR(__xludf.DUMMYFUNCTION("""COMPUTED_VALUE"""),"Yes")</f>
        <v>Yes</v>
      </c>
      <c r="O122" s="5" t="str">
        <f>IFERROR(__xludf.DUMMYFUNCTION("""COMPUTED_VALUE"""),"Yes")</f>
        <v>Yes</v>
      </c>
      <c r="P122" s="5" t="str">
        <f>IFERROR(__xludf.DUMMYFUNCTION("""COMPUTED_VALUE"""),"Yes")</f>
        <v>Yes</v>
      </c>
      <c r="Q122" s="5" t="str">
        <f>IFERROR(__xludf.DUMMYFUNCTION("""COMPUTED_VALUE"""),"Yes")</f>
        <v>Yes</v>
      </c>
      <c r="R122" s="5" t="str">
        <f>IFERROR(__xludf.DUMMYFUNCTION("""COMPUTED_VALUE"""),"Yes")</f>
        <v>Yes</v>
      </c>
      <c r="S122" s="5" t="str">
        <f>IFERROR(__xludf.DUMMYFUNCTION("""COMPUTED_VALUE"""),"Yes")</f>
        <v>Yes</v>
      </c>
      <c r="T122" s="5" t="str">
        <f>IFERROR(__xludf.DUMMYFUNCTION("""COMPUTED_VALUE"""),"Yes")</f>
        <v>Yes</v>
      </c>
      <c r="U122" s="5" t="str">
        <f>IFERROR(__xludf.DUMMYFUNCTION("""COMPUTED_VALUE"""),"Yes")</f>
        <v>Yes</v>
      </c>
      <c r="V122" s="5" t="str">
        <f>IFERROR(__xludf.DUMMYFUNCTION("""COMPUTED_VALUE"""),"Yes")</f>
        <v>Yes</v>
      </c>
      <c r="W122" s="5" t="str">
        <f>IFERROR(__xludf.DUMMYFUNCTION("""COMPUTED_VALUE"""),"Yes")</f>
        <v>Yes</v>
      </c>
      <c r="X122" s="5" t="str">
        <f>IFERROR(__xludf.DUMMYFUNCTION("""COMPUTED_VALUE"""),"Yes")</f>
        <v>Yes</v>
      </c>
      <c r="Y122" s="5" t="str">
        <f>IFERROR(__xludf.DUMMYFUNCTION("""COMPUTED_VALUE"""),"Yes")</f>
        <v>Yes</v>
      </c>
      <c r="Z122" s="5" t="str">
        <f>IFERROR(__xludf.DUMMYFUNCTION("""COMPUTED_VALUE"""),"Yes")</f>
        <v>Yes</v>
      </c>
      <c r="AA122" s="5" t="str">
        <f>IFERROR(__xludf.DUMMYFUNCTION("""COMPUTED_VALUE"""),"Yes")</f>
        <v>Yes</v>
      </c>
      <c r="AB122" s="5" t="str">
        <f>IFERROR(__xludf.DUMMYFUNCTION("""COMPUTED_VALUE"""),"Yes")</f>
        <v>Yes</v>
      </c>
      <c r="AC122" s="5" t="str">
        <f>IFERROR(__xludf.DUMMYFUNCTION("""COMPUTED_VALUE"""),"No")</f>
        <v>No</v>
      </c>
    </row>
    <row r="123">
      <c r="A123" s="5" t="str">
        <f>IFERROR(__xludf.DUMMYFUNCTION("""COMPUTED_VALUE"""),"FireDice40")</f>
        <v>FireDice40</v>
      </c>
      <c r="B1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3" s="5" t="str">
        <f>IFERROR(__xludf.DUMMYFUNCTION("""COMPUTED_VALUE"""),"Yes")</f>
        <v>Yes</v>
      </c>
      <c r="D123" s="5" t="str">
        <f>IFERROR(__xludf.DUMMYFUNCTION("""COMPUTED_VALUE"""),"Yes")</f>
        <v>Yes</v>
      </c>
      <c r="E123" s="5" t="str">
        <f>IFERROR(__xludf.DUMMYFUNCTION("""COMPUTED_VALUE"""),"Yes")</f>
        <v>Yes</v>
      </c>
      <c r="F123" s="5" t="str">
        <f>IFERROR(__xludf.DUMMYFUNCTION("""COMPUTED_VALUE"""),"Yes")</f>
        <v>Yes</v>
      </c>
      <c r="G123" s="5" t="str">
        <f>IFERROR(__xludf.DUMMYFUNCTION("""COMPUTED_VALUE"""),"Yes")</f>
        <v>Yes</v>
      </c>
      <c r="H123" s="5" t="str">
        <f>IFERROR(__xludf.DUMMYFUNCTION("""COMPUTED_VALUE"""),"Yes")</f>
        <v>Yes</v>
      </c>
      <c r="I123" s="5" t="str">
        <f>IFERROR(__xludf.DUMMYFUNCTION("""COMPUTED_VALUE"""),"Yes")</f>
        <v>Yes</v>
      </c>
      <c r="J123" s="5" t="str">
        <f>IFERROR(__xludf.DUMMYFUNCTION("""COMPUTED_VALUE"""),"Yes")</f>
        <v>Yes</v>
      </c>
      <c r="K123" s="5" t="str">
        <f>IFERROR(__xludf.DUMMYFUNCTION("""COMPUTED_VALUE"""),"Yes")</f>
        <v>Yes</v>
      </c>
      <c r="L123" s="5" t="str">
        <f>IFERROR(__xludf.DUMMYFUNCTION("""COMPUTED_VALUE"""),"Yes")</f>
        <v>Yes</v>
      </c>
      <c r="M123" s="5" t="str">
        <f>IFERROR(__xludf.DUMMYFUNCTION("""COMPUTED_VALUE"""),"Yes")</f>
        <v>Yes</v>
      </c>
      <c r="N123" s="5" t="str">
        <f>IFERROR(__xludf.DUMMYFUNCTION("""COMPUTED_VALUE"""),"Yes")</f>
        <v>Yes</v>
      </c>
      <c r="O123" s="5" t="str">
        <f>IFERROR(__xludf.DUMMYFUNCTION("""COMPUTED_VALUE"""),"Yes")</f>
        <v>Yes</v>
      </c>
      <c r="P123" s="5" t="str">
        <f>IFERROR(__xludf.DUMMYFUNCTION("""COMPUTED_VALUE"""),"Yes")</f>
        <v>Yes</v>
      </c>
      <c r="Q123" s="5" t="str">
        <f>IFERROR(__xludf.DUMMYFUNCTION("""COMPUTED_VALUE"""),"Yes")</f>
        <v>Yes</v>
      </c>
      <c r="R123" s="5" t="str">
        <f>IFERROR(__xludf.DUMMYFUNCTION("""COMPUTED_VALUE"""),"Yes")</f>
        <v>Yes</v>
      </c>
      <c r="S123" s="5" t="str">
        <f>IFERROR(__xludf.DUMMYFUNCTION("""COMPUTED_VALUE"""),"Yes")</f>
        <v>Yes</v>
      </c>
      <c r="T123" s="5" t="str">
        <f>IFERROR(__xludf.DUMMYFUNCTION("""COMPUTED_VALUE"""),"Yes")</f>
        <v>Yes</v>
      </c>
      <c r="U123" s="5" t="str">
        <f>IFERROR(__xludf.DUMMYFUNCTION("""COMPUTED_VALUE"""),"Yes")</f>
        <v>Yes</v>
      </c>
      <c r="V123" s="5" t="str">
        <f>IFERROR(__xludf.DUMMYFUNCTION("""COMPUTED_VALUE"""),"Yes")</f>
        <v>Yes</v>
      </c>
      <c r="W123" s="5"/>
      <c r="X123" s="5"/>
      <c r="Y123" s="5"/>
      <c r="Z123" s="5" t="str">
        <f>IFERROR(__xludf.DUMMYFUNCTION("""COMPUTED_VALUE"""),"Yes")</f>
        <v>Yes</v>
      </c>
      <c r="AA123" s="5"/>
      <c r="AB123" s="5"/>
      <c r="AC123" s="5"/>
    </row>
    <row r="124">
      <c r="A124" s="5" t="str">
        <f>IFERROR(__xludf.DUMMYFUNCTION("""COMPUTED_VALUE"""),"UnicornTheStolenBook")</f>
        <v>UnicornTheStolenBook</v>
      </c>
      <c r="B1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24" s="5" t="str">
        <f>IFERROR(__xludf.DUMMYFUNCTION("""COMPUTED_VALUE"""),"Yes")</f>
        <v>Yes</v>
      </c>
      <c r="D124" s="5" t="str">
        <f>IFERROR(__xludf.DUMMYFUNCTION("""COMPUTED_VALUE"""),"Yes")</f>
        <v>Yes</v>
      </c>
      <c r="E124" s="5" t="str">
        <f>IFERROR(__xludf.DUMMYFUNCTION("""COMPUTED_VALUE"""),"Yes")</f>
        <v>Yes</v>
      </c>
      <c r="F124" s="5" t="str">
        <f>IFERROR(__xludf.DUMMYFUNCTION("""COMPUTED_VALUE"""),"No")</f>
        <v>No</v>
      </c>
      <c r="G124" s="5" t="str">
        <f>IFERROR(__xludf.DUMMYFUNCTION("""COMPUTED_VALUE"""),"No")</f>
        <v>No</v>
      </c>
      <c r="H124" s="5" t="str">
        <f>IFERROR(__xludf.DUMMYFUNCTION("""COMPUTED_VALUE"""),"No")</f>
        <v>No</v>
      </c>
      <c r="I124" s="5" t="str">
        <f>IFERROR(__xludf.DUMMYFUNCTION("""COMPUTED_VALUE"""),"No")</f>
        <v>No</v>
      </c>
      <c r="J124" s="5" t="str">
        <f>IFERROR(__xludf.DUMMYFUNCTION("""COMPUTED_VALUE"""),"No")</f>
        <v>No</v>
      </c>
      <c r="K124" s="5" t="str">
        <f>IFERROR(__xludf.DUMMYFUNCTION("""COMPUTED_VALUE"""),"Yes")</f>
        <v>Yes</v>
      </c>
      <c r="L124" s="5" t="str">
        <f>IFERROR(__xludf.DUMMYFUNCTION("""COMPUTED_VALUE"""),"Yes")</f>
        <v>Yes</v>
      </c>
      <c r="M124" s="5" t="str">
        <f>IFERROR(__xludf.DUMMYFUNCTION("""COMPUTED_VALUE"""),"Yes")</f>
        <v>Yes</v>
      </c>
      <c r="N124" s="5" t="str">
        <f>IFERROR(__xludf.DUMMYFUNCTION("""COMPUTED_VALUE"""),"Yes")</f>
        <v>Yes</v>
      </c>
      <c r="O124" s="5" t="str">
        <f>IFERROR(__xludf.DUMMYFUNCTION("""COMPUTED_VALUE"""),"Yes")</f>
        <v>Yes</v>
      </c>
      <c r="P124" s="5" t="str">
        <f>IFERROR(__xludf.DUMMYFUNCTION("""COMPUTED_VALUE"""),"No")</f>
        <v>No</v>
      </c>
      <c r="Q124" s="5" t="str">
        <f>IFERROR(__xludf.DUMMYFUNCTION("""COMPUTED_VALUE"""),"Yes")</f>
        <v>Yes</v>
      </c>
      <c r="R124" s="5" t="str">
        <f>IFERROR(__xludf.DUMMYFUNCTION("""COMPUTED_VALUE"""),"No")</f>
        <v>No</v>
      </c>
      <c r="S124" s="5" t="str">
        <f>IFERROR(__xludf.DUMMYFUNCTION("""COMPUTED_VALUE"""),"No")</f>
        <v>No</v>
      </c>
      <c r="T124" s="5" t="str">
        <f>IFERROR(__xludf.DUMMYFUNCTION("""COMPUTED_VALUE"""),"No")</f>
        <v>No</v>
      </c>
      <c r="U124" s="5" t="str">
        <f>IFERROR(__xludf.DUMMYFUNCTION("""COMPUTED_VALUE"""),"No")</f>
        <v>No</v>
      </c>
      <c r="V124" s="5" t="str">
        <f>IFERROR(__xludf.DUMMYFUNCTION("""COMPUTED_VALUE"""),"No")</f>
        <v>No</v>
      </c>
      <c r="W124" s="5"/>
      <c r="X124" s="5"/>
      <c r="Y124" s="5"/>
      <c r="Z124" s="5" t="str">
        <f>IFERROR(__xludf.DUMMYFUNCTION("""COMPUTED_VALUE"""),"No")</f>
        <v>No</v>
      </c>
      <c r="AA124" s="5"/>
      <c r="AB124" s="5"/>
      <c r="AC124" s="5"/>
    </row>
    <row r="125">
      <c r="A125" s="5" t="str">
        <f>IFERROR(__xludf.DUMMYFUNCTION("""COMPUTED_VALUE"""),"LuckyBrilliants")</f>
        <v>LuckyBrilliants</v>
      </c>
      <c r="B1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5" s="5" t="str">
        <f>IFERROR(__xludf.DUMMYFUNCTION("""COMPUTED_VALUE"""),"Yes")</f>
        <v>Yes</v>
      </c>
      <c r="D125" s="5" t="str">
        <f>IFERROR(__xludf.DUMMYFUNCTION("""COMPUTED_VALUE"""),"Yes")</f>
        <v>Yes</v>
      </c>
      <c r="E125" s="5" t="str">
        <f>IFERROR(__xludf.DUMMYFUNCTION("""COMPUTED_VALUE"""),"Yes")</f>
        <v>Yes</v>
      </c>
      <c r="F125" s="5" t="str">
        <f>IFERROR(__xludf.DUMMYFUNCTION("""COMPUTED_VALUE"""),"Yes")</f>
        <v>Yes</v>
      </c>
      <c r="G125" s="5" t="str">
        <f>IFERROR(__xludf.DUMMYFUNCTION("""COMPUTED_VALUE"""),"Yes")</f>
        <v>Yes</v>
      </c>
      <c r="H125" s="5" t="str">
        <f>IFERROR(__xludf.DUMMYFUNCTION("""COMPUTED_VALUE"""),"Yes")</f>
        <v>Yes</v>
      </c>
      <c r="I125" s="5" t="str">
        <f>IFERROR(__xludf.DUMMYFUNCTION("""COMPUTED_VALUE"""),"Yes")</f>
        <v>Yes</v>
      </c>
      <c r="J125" s="5" t="str">
        <f>IFERROR(__xludf.DUMMYFUNCTION("""COMPUTED_VALUE"""),"Yes")</f>
        <v>Yes</v>
      </c>
      <c r="K125" s="5" t="str">
        <f>IFERROR(__xludf.DUMMYFUNCTION("""COMPUTED_VALUE"""),"Yes")</f>
        <v>Yes</v>
      </c>
      <c r="L125" s="5" t="str">
        <f>IFERROR(__xludf.DUMMYFUNCTION("""COMPUTED_VALUE"""),"Yes")</f>
        <v>Yes</v>
      </c>
      <c r="M125" s="5" t="str">
        <f>IFERROR(__xludf.DUMMYFUNCTION("""COMPUTED_VALUE"""),"Yes")</f>
        <v>Yes</v>
      </c>
      <c r="N125" s="5" t="str">
        <f>IFERROR(__xludf.DUMMYFUNCTION("""COMPUTED_VALUE"""),"Yes")</f>
        <v>Yes</v>
      </c>
      <c r="O125" s="5" t="str">
        <f>IFERROR(__xludf.DUMMYFUNCTION("""COMPUTED_VALUE"""),"Yes")</f>
        <v>Yes</v>
      </c>
      <c r="P125" s="5" t="str">
        <f>IFERROR(__xludf.DUMMYFUNCTION("""COMPUTED_VALUE"""),"Yes")</f>
        <v>Yes</v>
      </c>
      <c r="Q125" s="5" t="str">
        <f>IFERROR(__xludf.DUMMYFUNCTION("""COMPUTED_VALUE"""),"Yes")</f>
        <v>Yes</v>
      </c>
      <c r="R125" s="5" t="str">
        <f>IFERROR(__xludf.DUMMYFUNCTION("""COMPUTED_VALUE"""),"Yes")</f>
        <v>Yes</v>
      </c>
      <c r="S125" s="5" t="str">
        <f>IFERROR(__xludf.DUMMYFUNCTION("""COMPUTED_VALUE"""),"Yes")</f>
        <v>Yes</v>
      </c>
      <c r="T125" s="5" t="str">
        <f>IFERROR(__xludf.DUMMYFUNCTION("""COMPUTED_VALUE"""),"Yes")</f>
        <v>Yes</v>
      </c>
      <c r="U125" s="5" t="str">
        <f>IFERROR(__xludf.DUMMYFUNCTION("""COMPUTED_VALUE"""),"Yes")</f>
        <v>Yes</v>
      </c>
      <c r="V125" s="5" t="str">
        <f>IFERROR(__xludf.DUMMYFUNCTION("""COMPUTED_VALUE"""),"Yes")</f>
        <v>Yes</v>
      </c>
      <c r="W125" s="5" t="str">
        <f>IFERROR(__xludf.DUMMYFUNCTION("""COMPUTED_VALUE"""),"Yes")</f>
        <v>Yes</v>
      </c>
      <c r="X125" s="5" t="str">
        <f>IFERROR(__xludf.DUMMYFUNCTION("""COMPUTED_VALUE"""),"Yes")</f>
        <v>Yes</v>
      </c>
      <c r="Y125" s="5" t="str">
        <f>IFERROR(__xludf.DUMMYFUNCTION("""COMPUTED_VALUE"""),"Yes")</f>
        <v>Yes</v>
      </c>
      <c r="Z125" s="5" t="str">
        <f>IFERROR(__xludf.DUMMYFUNCTION("""COMPUTED_VALUE"""),"Yes")</f>
        <v>Yes</v>
      </c>
      <c r="AA125" s="5" t="str">
        <f>IFERROR(__xludf.DUMMYFUNCTION("""COMPUTED_VALUE"""),"Yes")</f>
        <v>Yes</v>
      </c>
      <c r="AB125" s="5" t="str">
        <f>IFERROR(__xludf.DUMMYFUNCTION("""COMPUTED_VALUE"""),"Yes")</f>
        <v>Yes</v>
      </c>
      <c r="AC125" s="5" t="str">
        <f>IFERROR(__xludf.DUMMYFUNCTION("""COMPUTED_VALUE"""),"No")</f>
        <v>No</v>
      </c>
    </row>
    <row r="126">
      <c r="A126" s="5" t="str">
        <f>IFERROR(__xludf.DUMMYFUNCTION("""COMPUTED_VALUE"""),"CrystalHot40Soccer")</f>
        <v>CrystalHot40Soccer</v>
      </c>
      <c r="B1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6" s="5" t="str">
        <f>IFERROR(__xludf.DUMMYFUNCTION("""COMPUTED_VALUE"""),"Yes")</f>
        <v>Yes</v>
      </c>
      <c r="D126" s="5" t="str">
        <f>IFERROR(__xludf.DUMMYFUNCTION("""COMPUTED_VALUE"""),"Yes")</f>
        <v>Yes</v>
      </c>
      <c r="E126" s="5" t="str">
        <f>IFERROR(__xludf.DUMMYFUNCTION("""COMPUTED_VALUE"""),"Yes")</f>
        <v>Yes</v>
      </c>
      <c r="F126" s="5" t="str">
        <f>IFERROR(__xludf.DUMMYFUNCTION("""COMPUTED_VALUE"""),"Yes")</f>
        <v>Yes</v>
      </c>
      <c r="G126" s="5" t="str">
        <f>IFERROR(__xludf.DUMMYFUNCTION("""COMPUTED_VALUE"""),"Yes")</f>
        <v>Yes</v>
      </c>
      <c r="H126" s="5" t="str">
        <f>IFERROR(__xludf.DUMMYFUNCTION("""COMPUTED_VALUE"""),"Yes")</f>
        <v>Yes</v>
      </c>
      <c r="I126" s="5" t="str">
        <f>IFERROR(__xludf.DUMMYFUNCTION("""COMPUTED_VALUE"""),"Yes")</f>
        <v>Yes</v>
      </c>
      <c r="J126" s="5" t="str">
        <f>IFERROR(__xludf.DUMMYFUNCTION("""COMPUTED_VALUE"""),"Yes")</f>
        <v>Yes</v>
      </c>
      <c r="K126" s="5" t="str">
        <f>IFERROR(__xludf.DUMMYFUNCTION("""COMPUTED_VALUE"""),"Yes")</f>
        <v>Yes</v>
      </c>
      <c r="L126" s="5" t="str">
        <f>IFERROR(__xludf.DUMMYFUNCTION("""COMPUTED_VALUE"""),"Yes")</f>
        <v>Yes</v>
      </c>
      <c r="M126" s="5" t="str">
        <f>IFERROR(__xludf.DUMMYFUNCTION("""COMPUTED_VALUE"""),"Yes")</f>
        <v>Yes</v>
      </c>
      <c r="N126" s="5" t="str">
        <f>IFERROR(__xludf.DUMMYFUNCTION("""COMPUTED_VALUE"""),"Yes")</f>
        <v>Yes</v>
      </c>
      <c r="O126" s="5" t="str">
        <f>IFERROR(__xludf.DUMMYFUNCTION("""COMPUTED_VALUE"""),"Yes")</f>
        <v>Yes</v>
      </c>
      <c r="P126" s="5" t="str">
        <f>IFERROR(__xludf.DUMMYFUNCTION("""COMPUTED_VALUE"""),"Yes")</f>
        <v>Yes</v>
      </c>
      <c r="Q126" s="5" t="str">
        <f>IFERROR(__xludf.DUMMYFUNCTION("""COMPUTED_VALUE"""),"Yes")</f>
        <v>Yes</v>
      </c>
      <c r="R126" s="5" t="str">
        <f>IFERROR(__xludf.DUMMYFUNCTION("""COMPUTED_VALUE"""),"Yes")</f>
        <v>Yes</v>
      </c>
      <c r="S126" s="5" t="str">
        <f>IFERROR(__xludf.DUMMYFUNCTION("""COMPUTED_VALUE"""),"Yes")</f>
        <v>Yes</v>
      </c>
      <c r="T126" s="5" t="str">
        <f>IFERROR(__xludf.DUMMYFUNCTION("""COMPUTED_VALUE"""),"Yes")</f>
        <v>Yes</v>
      </c>
      <c r="U126" s="5" t="str">
        <f>IFERROR(__xludf.DUMMYFUNCTION("""COMPUTED_VALUE"""),"Yes")</f>
        <v>Yes</v>
      </c>
      <c r="V126" s="5" t="str">
        <f>IFERROR(__xludf.DUMMYFUNCTION("""COMPUTED_VALUE"""),"Yes")</f>
        <v>Yes</v>
      </c>
      <c r="W126" s="5" t="str">
        <f>IFERROR(__xludf.DUMMYFUNCTION("""COMPUTED_VALUE"""),"Yes")</f>
        <v>Yes</v>
      </c>
      <c r="X126" s="5" t="str">
        <f>IFERROR(__xludf.DUMMYFUNCTION("""COMPUTED_VALUE"""),"Yes")</f>
        <v>Yes</v>
      </c>
      <c r="Y126" s="5" t="str">
        <f>IFERROR(__xludf.DUMMYFUNCTION("""COMPUTED_VALUE"""),"Yes")</f>
        <v>Yes</v>
      </c>
      <c r="Z126" s="5" t="str">
        <f>IFERROR(__xludf.DUMMYFUNCTION("""COMPUTED_VALUE"""),"Yes")</f>
        <v>Yes</v>
      </c>
      <c r="AA126" s="5" t="str">
        <f>IFERROR(__xludf.DUMMYFUNCTION("""COMPUTED_VALUE"""),"Yes")</f>
        <v>Yes</v>
      </c>
      <c r="AB126" s="5" t="str">
        <f>IFERROR(__xludf.DUMMYFUNCTION("""COMPUTED_VALUE"""),"Yes")</f>
        <v>Yes</v>
      </c>
      <c r="AC126" s="5" t="str">
        <f>IFERROR(__xludf.DUMMYFUNCTION("""COMPUTED_VALUE"""),"No")</f>
        <v>No</v>
      </c>
    </row>
    <row r="127">
      <c r="A127" s="5" t="str">
        <f>IFERROR(__xludf.DUMMYFUNCTION("""COMPUTED_VALUE"""),"BurstingHot5Admiral")</f>
        <v>BurstingHot5Admiral</v>
      </c>
      <c r="B1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7" s="5" t="str">
        <f>IFERROR(__xludf.DUMMYFUNCTION("""COMPUTED_VALUE"""),"Yes")</f>
        <v>Yes</v>
      </c>
      <c r="D127" s="5" t="str">
        <f>IFERROR(__xludf.DUMMYFUNCTION("""COMPUTED_VALUE"""),"Yes")</f>
        <v>Yes</v>
      </c>
      <c r="E127" s="5" t="str">
        <f>IFERROR(__xludf.DUMMYFUNCTION("""COMPUTED_VALUE"""),"Yes")</f>
        <v>Yes</v>
      </c>
      <c r="F127" s="5" t="str">
        <f>IFERROR(__xludf.DUMMYFUNCTION("""COMPUTED_VALUE"""),"Yes")</f>
        <v>Yes</v>
      </c>
      <c r="G127" s="5" t="str">
        <f>IFERROR(__xludf.DUMMYFUNCTION("""COMPUTED_VALUE"""),"Yes")</f>
        <v>Yes</v>
      </c>
      <c r="H127" s="5" t="str">
        <f>IFERROR(__xludf.DUMMYFUNCTION("""COMPUTED_VALUE"""),"Yes")</f>
        <v>Yes</v>
      </c>
      <c r="I127" s="5" t="str">
        <f>IFERROR(__xludf.DUMMYFUNCTION("""COMPUTED_VALUE"""),"Yes")</f>
        <v>Yes</v>
      </c>
      <c r="J127" s="5" t="str">
        <f>IFERROR(__xludf.DUMMYFUNCTION("""COMPUTED_VALUE"""),"Yes")</f>
        <v>Yes</v>
      </c>
      <c r="K127" s="5" t="str">
        <f>IFERROR(__xludf.DUMMYFUNCTION("""COMPUTED_VALUE"""),"Yes")</f>
        <v>Yes</v>
      </c>
      <c r="L127" s="5" t="str">
        <f>IFERROR(__xludf.DUMMYFUNCTION("""COMPUTED_VALUE"""),"Yes")</f>
        <v>Yes</v>
      </c>
      <c r="M127" s="5" t="str">
        <f>IFERROR(__xludf.DUMMYFUNCTION("""COMPUTED_VALUE"""),"Yes")</f>
        <v>Yes</v>
      </c>
      <c r="N127" s="5" t="str">
        <f>IFERROR(__xludf.DUMMYFUNCTION("""COMPUTED_VALUE"""),"Yes")</f>
        <v>Yes</v>
      </c>
      <c r="O127" s="5" t="str">
        <f>IFERROR(__xludf.DUMMYFUNCTION("""COMPUTED_VALUE"""),"Yes")</f>
        <v>Yes</v>
      </c>
      <c r="P127" s="5" t="str">
        <f>IFERROR(__xludf.DUMMYFUNCTION("""COMPUTED_VALUE"""),"Yes")</f>
        <v>Yes</v>
      </c>
      <c r="Q127" s="5" t="str">
        <f>IFERROR(__xludf.DUMMYFUNCTION("""COMPUTED_VALUE"""),"Yes")</f>
        <v>Yes</v>
      </c>
      <c r="R127" s="5" t="str">
        <f>IFERROR(__xludf.DUMMYFUNCTION("""COMPUTED_VALUE"""),"Yes")</f>
        <v>Yes</v>
      </c>
      <c r="S127" s="5" t="str">
        <f>IFERROR(__xludf.DUMMYFUNCTION("""COMPUTED_VALUE"""),"Yes")</f>
        <v>Yes</v>
      </c>
      <c r="T127" s="5" t="str">
        <f>IFERROR(__xludf.DUMMYFUNCTION("""COMPUTED_VALUE"""),"Yes")</f>
        <v>Yes</v>
      </c>
      <c r="U127" s="5" t="str">
        <f>IFERROR(__xludf.DUMMYFUNCTION("""COMPUTED_VALUE"""),"Yes")</f>
        <v>Yes</v>
      </c>
      <c r="V127" s="5" t="str">
        <f>IFERROR(__xludf.DUMMYFUNCTION("""COMPUTED_VALUE"""),"Yes")</f>
        <v>Yes</v>
      </c>
      <c r="W127" s="5" t="str">
        <f>IFERROR(__xludf.DUMMYFUNCTION("""COMPUTED_VALUE"""),"Yes")</f>
        <v>Yes</v>
      </c>
      <c r="X127" s="5" t="str">
        <f>IFERROR(__xludf.DUMMYFUNCTION("""COMPUTED_VALUE"""),"Yes")</f>
        <v>Yes</v>
      </c>
      <c r="Y127" s="5" t="str">
        <f>IFERROR(__xludf.DUMMYFUNCTION("""COMPUTED_VALUE"""),"Yes")</f>
        <v>Yes</v>
      </c>
      <c r="Z127" s="5" t="str">
        <f>IFERROR(__xludf.DUMMYFUNCTION("""COMPUTED_VALUE"""),"Yes")</f>
        <v>Yes</v>
      </c>
      <c r="AA127" s="5" t="str">
        <f>IFERROR(__xludf.DUMMYFUNCTION("""COMPUTED_VALUE"""),"Yes")</f>
        <v>Yes</v>
      </c>
      <c r="AB127" s="5" t="str">
        <f>IFERROR(__xludf.DUMMYFUNCTION("""COMPUTED_VALUE"""),"Yes")</f>
        <v>Yes</v>
      </c>
      <c r="AC127" s="5" t="str">
        <f>IFERROR(__xludf.DUMMYFUNCTION("""COMPUTED_VALUE"""),"No")</f>
        <v>No</v>
      </c>
    </row>
    <row r="128">
      <c r="A128" s="5" t="str">
        <f>IFERROR(__xludf.DUMMYFUNCTION("""COMPUTED_VALUE"""),"GoldenCrown20BalkanBet")</f>
        <v>GoldenCrown20BalkanBet</v>
      </c>
      <c r="B1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8" s="5" t="str">
        <f>IFERROR(__xludf.DUMMYFUNCTION("""COMPUTED_VALUE"""),"Yes")</f>
        <v>Yes</v>
      </c>
      <c r="D128" s="5" t="str">
        <f>IFERROR(__xludf.DUMMYFUNCTION("""COMPUTED_VALUE"""),"Yes")</f>
        <v>Yes</v>
      </c>
      <c r="E128" s="5" t="str">
        <f>IFERROR(__xludf.DUMMYFUNCTION("""COMPUTED_VALUE"""),"Yes")</f>
        <v>Yes</v>
      </c>
      <c r="F128" s="5" t="str">
        <f>IFERROR(__xludf.DUMMYFUNCTION("""COMPUTED_VALUE"""),"Yes")</f>
        <v>Yes</v>
      </c>
      <c r="G128" s="5" t="str">
        <f>IFERROR(__xludf.DUMMYFUNCTION("""COMPUTED_VALUE"""),"Yes")</f>
        <v>Yes</v>
      </c>
      <c r="H128" s="5" t="str">
        <f>IFERROR(__xludf.DUMMYFUNCTION("""COMPUTED_VALUE"""),"Yes")</f>
        <v>Yes</v>
      </c>
      <c r="I128" s="5" t="str">
        <f>IFERROR(__xludf.DUMMYFUNCTION("""COMPUTED_VALUE"""),"Yes")</f>
        <v>Yes</v>
      </c>
      <c r="J128" s="5" t="str">
        <f>IFERROR(__xludf.DUMMYFUNCTION("""COMPUTED_VALUE"""),"Yes")</f>
        <v>Yes</v>
      </c>
      <c r="K128" s="5" t="str">
        <f>IFERROR(__xludf.DUMMYFUNCTION("""COMPUTED_VALUE"""),"Yes")</f>
        <v>Yes</v>
      </c>
      <c r="L128" s="5" t="str">
        <f>IFERROR(__xludf.DUMMYFUNCTION("""COMPUTED_VALUE"""),"Yes")</f>
        <v>Yes</v>
      </c>
      <c r="M128" s="5" t="str">
        <f>IFERROR(__xludf.DUMMYFUNCTION("""COMPUTED_VALUE"""),"Yes")</f>
        <v>Yes</v>
      </c>
      <c r="N128" s="5" t="str">
        <f>IFERROR(__xludf.DUMMYFUNCTION("""COMPUTED_VALUE"""),"Yes")</f>
        <v>Yes</v>
      </c>
      <c r="O128" s="5" t="str">
        <f>IFERROR(__xludf.DUMMYFUNCTION("""COMPUTED_VALUE"""),"Yes")</f>
        <v>Yes</v>
      </c>
      <c r="P128" s="5" t="str">
        <f>IFERROR(__xludf.DUMMYFUNCTION("""COMPUTED_VALUE"""),"Yes")</f>
        <v>Yes</v>
      </c>
      <c r="Q128" s="5" t="str">
        <f>IFERROR(__xludf.DUMMYFUNCTION("""COMPUTED_VALUE"""),"Yes")</f>
        <v>Yes</v>
      </c>
      <c r="R128" s="5" t="str">
        <f>IFERROR(__xludf.DUMMYFUNCTION("""COMPUTED_VALUE"""),"Yes")</f>
        <v>Yes</v>
      </c>
      <c r="S128" s="5" t="str">
        <f>IFERROR(__xludf.DUMMYFUNCTION("""COMPUTED_VALUE"""),"Yes")</f>
        <v>Yes</v>
      </c>
      <c r="T128" s="5" t="str">
        <f>IFERROR(__xludf.DUMMYFUNCTION("""COMPUTED_VALUE"""),"Yes")</f>
        <v>Yes</v>
      </c>
      <c r="U128" s="5" t="str">
        <f>IFERROR(__xludf.DUMMYFUNCTION("""COMPUTED_VALUE"""),"Yes")</f>
        <v>Yes</v>
      </c>
      <c r="V128" s="5" t="str">
        <f>IFERROR(__xludf.DUMMYFUNCTION("""COMPUTED_VALUE"""),"Yes")</f>
        <v>Yes</v>
      </c>
      <c r="W128" s="5" t="str">
        <f>IFERROR(__xludf.DUMMYFUNCTION("""COMPUTED_VALUE"""),"Yes")</f>
        <v>Yes</v>
      </c>
      <c r="X128" s="5" t="str">
        <f>IFERROR(__xludf.DUMMYFUNCTION("""COMPUTED_VALUE"""),"Yes")</f>
        <v>Yes</v>
      </c>
      <c r="Y128" s="5" t="str">
        <f>IFERROR(__xludf.DUMMYFUNCTION("""COMPUTED_VALUE"""),"Yes")</f>
        <v>Yes</v>
      </c>
      <c r="Z128" s="5" t="str">
        <f>IFERROR(__xludf.DUMMYFUNCTION("""COMPUTED_VALUE"""),"Yes")</f>
        <v>Yes</v>
      </c>
      <c r="AA128" s="5" t="str">
        <f>IFERROR(__xludf.DUMMYFUNCTION("""COMPUTED_VALUE"""),"Yes")</f>
        <v>Yes</v>
      </c>
      <c r="AB128" s="5" t="str">
        <f>IFERROR(__xludf.DUMMYFUNCTION("""COMPUTED_VALUE"""),"Yes")</f>
        <v>Yes</v>
      </c>
      <c r="AC128" s="5" t="str">
        <f>IFERROR(__xludf.DUMMYFUNCTION("""COMPUTED_VALUE"""),"No")</f>
        <v>No</v>
      </c>
    </row>
    <row r="129">
      <c r="A129" s="5" t="str">
        <f>IFERROR(__xludf.DUMMYFUNCTION("""COMPUTED_VALUE"""),"WildHot40Meridian")</f>
        <v>WildHot40Meridian</v>
      </c>
      <c r="B1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9" s="5" t="str">
        <f>IFERROR(__xludf.DUMMYFUNCTION("""COMPUTED_VALUE"""),"Yes")</f>
        <v>Yes</v>
      </c>
      <c r="D129" s="5" t="str">
        <f>IFERROR(__xludf.DUMMYFUNCTION("""COMPUTED_VALUE"""),"Yes")</f>
        <v>Yes</v>
      </c>
      <c r="E129" s="5" t="str">
        <f>IFERROR(__xludf.DUMMYFUNCTION("""COMPUTED_VALUE"""),"Yes")</f>
        <v>Yes</v>
      </c>
      <c r="F129" s="5" t="str">
        <f>IFERROR(__xludf.DUMMYFUNCTION("""COMPUTED_VALUE"""),"Yes")</f>
        <v>Yes</v>
      </c>
      <c r="G129" s="5" t="str">
        <f>IFERROR(__xludf.DUMMYFUNCTION("""COMPUTED_VALUE"""),"Yes")</f>
        <v>Yes</v>
      </c>
      <c r="H129" s="5" t="str">
        <f>IFERROR(__xludf.DUMMYFUNCTION("""COMPUTED_VALUE"""),"Yes")</f>
        <v>Yes</v>
      </c>
      <c r="I129" s="5" t="str">
        <f>IFERROR(__xludf.DUMMYFUNCTION("""COMPUTED_VALUE"""),"Yes")</f>
        <v>Yes</v>
      </c>
      <c r="J129" s="5" t="str">
        <f>IFERROR(__xludf.DUMMYFUNCTION("""COMPUTED_VALUE"""),"Yes")</f>
        <v>Yes</v>
      </c>
      <c r="K129" s="5" t="str">
        <f>IFERROR(__xludf.DUMMYFUNCTION("""COMPUTED_VALUE"""),"Yes")</f>
        <v>Yes</v>
      </c>
      <c r="L129" s="5" t="str">
        <f>IFERROR(__xludf.DUMMYFUNCTION("""COMPUTED_VALUE"""),"Yes")</f>
        <v>Yes</v>
      </c>
      <c r="M129" s="5" t="str">
        <f>IFERROR(__xludf.DUMMYFUNCTION("""COMPUTED_VALUE"""),"Yes")</f>
        <v>Yes</v>
      </c>
      <c r="N129" s="5" t="str">
        <f>IFERROR(__xludf.DUMMYFUNCTION("""COMPUTED_VALUE"""),"Yes")</f>
        <v>Yes</v>
      </c>
      <c r="O129" s="5" t="str">
        <f>IFERROR(__xludf.DUMMYFUNCTION("""COMPUTED_VALUE"""),"Yes")</f>
        <v>Yes</v>
      </c>
      <c r="P129" s="5" t="str">
        <f>IFERROR(__xludf.DUMMYFUNCTION("""COMPUTED_VALUE"""),"Yes")</f>
        <v>Yes</v>
      </c>
      <c r="Q129" s="5" t="str">
        <f>IFERROR(__xludf.DUMMYFUNCTION("""COMPUTED_VALUE"""),"Yes")</f>
        <v>Yes</v>
      </c>
      <c r="R129" s="5" t="str">
        <f>IFERROR(__xludf.DUMMYFUNCTION("""COMPUTED_VALUE"""),"Yes")</f>
        <v>Yes</v>
      </c>
      <c r="S129" s="5" t="str">
        <f>IFERROR(__xludf.DUMMYFUNCTION("""COMPUTED_VALUE"""),"Yes")</f>
        <v>Yes</v>
      </c>
      <c r="T129" s="5" t="str">
        <f>IFERROR(__xludf.DUMMYFUNCTION("""COMPUTED_VALUE"""),"Yes")</f>
        <v>Yes</v>
      </c>
      <c r="U129" s="5" t="str">
        <f>IFERROR(__xludf.DUMMYFUNCTION("""COMPUTED_VALUE"""),"Yes")</f>
        <v>Yes</v>
      </c>
      <c r="V129" s="5" t="str">
        <f>IFERROR(__xludf.DUMMYFUNCTION("""COMPUTED_VALUE"""),"Yes")</f>
        <v>Yes</v>
      </c>
      <c r="W129" s="5" t="str">
        <f>IFERROR(__xludf.DUMMYFUNCTION("""COMPUTED_VALUE"""),"Yes")</f>
        <v>Yes</v>
      </c>
      <c r="X129" s="5" t="str">
        <f>IFERROR(__xludf.DUMMYFUNCTION("""COMPUTED_VALUE"""),"Yes")</f>
        <v>Yes</v>
      </c>
      <c r="Y129" s="5" t="str">
        <f>IFERROR(__xludf.DUMMYFUNCTION("""COMPUTED_VALUE"""),"Yes")</f>
        <v>Yes</v>
      </c>
      <c r="Z129" s="5" t="str">
        <f>IFERROR(__xludf.DUMMYFUNCTION("""COMPUTED_VALUE"""),"Yes")</f>
        <v>Yes</v>
      </c>
      <c r="AA129" s="5" t="str">
        <f>IFERROR(__xludf.DUMMYFUNCTION("""COMPUTED_VALUE"""),"Yes")</f>
        <v>Yes</v>
      </c>
      <c r="AB129" s="5" t="str">
        <f>IFERROR(__xludf.DUMMYFUNCTION("""COMPUTED_VALUE"""),"Yes")</f>
        <v>Yes</v>
      </c>
      <c r="AC129" s="5" t="str">
        <f>IFERROR(__xludf.DUMMYFUNCTION("""COMPUTED_VALUE"""),"No")</f>
        <v>No</v>
      </c>
    </row>
    <row r="130">
      <c r="A130" s="5" t="str">
        <f>IFERROR(__xludf.DUMMYFUNCTION("""COMPUTED_VALUE"""),"CrystalHot40Free")</f>
        <v>CrystalHot40Free</v>
      </c>
      <c r="B1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0" s="5" t="str">
        <f>IFERROR(__xludf.DUMMYFUNCTION("""COMPUTED_VALUE"""),"Yes")</f>
        <v>Yes</v>
      </c>
      <c r="D130" s="5" t="str">
        <f>IFERROR(__xludf.DUMMYFUNCTION("""COMPUTED_VALUE"""),"Yes")</f>
        <v>Yes</v>
      </c>
      <c r="E130" s="5" t="str">
        <f>IFERROR(__xludf.DUMMYFUNCTION("""COMPUTED_VALUE"""),"Yes")</f>
        <v>Yes</v>
      </c>
      <c r="F130" s="5" t="str">
        <f>IFERROR(__xludf.DUMMYFUNCTION("""COMPUTED_VALUE"""),"Yes")</f>
        <v>Yes</v>
      </c>
      <c r="G130" s="5" t="str">
        <f>IFERROR(__xludf.DUMMYFUNCTION("""COMPUTED_VALUE"""),"Yes")</f>
        <v>Yes</v>
      </c>
      <c r="H130" s="5" t="str">
        <f>IFERROR(__xludf.DUMMYFUNCTION("""COMPUTED_VALUE"""),"Yes")</f>
        <v>Yes</v>
      </c>
      <c r="I130" s="5" t="str">
        <f>IFERROR(__xludf.DUMMYFUNCTION("""COMPUTED_VALUE"""),"Yes")</f>
        <v>Yes</v>
      </c>
      <c r="J130" s="5" t="str">
        <f>IFERROR(__xludf.DUMMYFUNCTION("""COMPUTED_VALUE"""),"Yes")</f>
        <v>Yes</v>
      </c>
      <c r="K130" s="5" t="str">
        <f>IFERROR(__xludf.DUMMYFUNCTION("""COMPUTED_VALUE"""),"Yes")</f>
        <v>Yes</v>
      </c>
      <c r="L130" s="5" t="str">
        <f>IFERROR(__xludf.DUMMYFUNCTION("""COMPUTED_VALUE"""),"Yes")</f>
        <v>Yes</v>
      </c>
      <c r="M130" s="5" t="str">
        <f>IFERROR(__xludf.DUMMYFUNCTION("""COMPUTED_VALUE"""),"Yes")</f>
        <v>Yes</v>
      </c>
      <c r="N130" s="5" t="str">
        <f>IFERROR(__xludf.DUMMYFUNCTION("""COMPUTED_VALUE"""),"Yes")</f>
        <v>Yes</v>
      </c>
      <c r="O130" s="5" t="str">
        <f>IFERROR(__xludf.DUMMYFUNCTION("""COMPUTED_VALUE"""),"Yes")</f>
        <v>Yes</v>
      </c>
      <c r="P130" s="5" t="str">
        <f>IFERROR(__xludf.DUMMYFUNCTION("""COMPUTED_VALUE"""),"Yes")</f>
        <v>Yes</v>
      </c>
      <c r="Q130" s="5" t="str">
        <f>IFERROR(__xludf.DUMMYFUNCTION("""COMPUTED_VALUE"""),"Yes")</f>
        <v>Yes</v>
      </c>
      <c r="R130" s="5" t="str">
        <f>IFERROR(__xludf.DUMMYFUNCTION("""COMPUTED_VALUE"""),"Yes")</f>
        <v>Yes</v>
      </c>
      <c r="S130" s="5" t="str">
        <f>IFERROR(__xludf.DUMMYFUNCTION("""COMPUTED_VALUE"""),"Yes")</f>
        <v>Yes</v>
      </c>
      <c r="T130" s="5" t="str">
        <f>IFERROR(__xludf.DUMMYFUNCTION("""COMPUTED_VALUE"""),"Yes")</f>
        <v>Yes</v>
      </c>
      <c r="U130" s="5" t="str">
        <f>IFERROR(__xludf.DUMMYFUNCTION("""COMPUTED_VALUE"""),"Yes")</f>
        <v>Yes</v>
      </c>
      <c r="V130" s="5" t="str">
        <f>IFERROR(__xludf.DUMMYFUNCTION("""COMPUTED_VALUE"""),"Yes")</f>
        <v>Yes</v>
      </c>
      <c r="W130" s="5" t="str">
        <f>IFERROR(__xludf.DUMMYFUNCTION("""COMPUTED_VALUE"""),"Yes")</f>
        <v>Yes</v>
      </c>
      <c r="X130" s="5" t="str">
        <f>IFERROR(__xludf.DUMMYFUNCTION("""COMPUTED_VALUE"""),"Yes")</f>
        <v>Yes</v>
      </c>
      <c r="Y130" s="5" t="str">
        <f>IFERROR(__xludf.DUMMYFUNCTION("""COMPUTED_VALUE"""),"Yes")</f>
        <v>Yes</v>
      </c>
      <c r="Z130" s="5" t="str">
        <f>IFERROR(__xludf.DUMMYFUNCTION("""COMPUTED_VALUE"""),"Yes")</f>
        <v>Yes</v>
      </c>
      <c r="AA130" s="5" t="str">
        <f>IFERROR(__xludf.DUMMYFUNCTION("""COMPUTED_VALUE"""),"Yes")</f>
        <v>Yes</v>
      </c>
      <c r="AB130" s="5" t="str">
        <f>IFERROR(__xludf.DUMMYFUNCTION("""COMPUTED_VALUE"""),"Yes")</f>
        <v>Yes</v>
      </c>
      <c r="AC130" s="5" t="str">
        <f>IFERROR(__xludf.DUMMYFUNCTION("""COMPUTED_VALUE"""),"No")</f>
        <v>No</v>
      </c>
    </row>
    <row r="131">
      <c r="A131" s="5" t="str">
        <f>IFERROR(__xludf.DUMMYFUNCTION("""COMPUTED_VALUE"""),"CrystalHot40Pw")</f>
        <v>CrystalHot40Pw</v>
      </c>
      <c r="B1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1" s="5" t="str">
        <f>IFERROR(__xludf.DUMMYFUNCTION("""COMPUTED_VALUE"""),"Yes")</f>
        <v>Yes</v>
      </c>
      <c r="D131" s="5" t="str">
        <f>IFERROR(__xludf.DUMMYFUNCTION("""COMPUTED_VALUE"""),"Yes")</f>
        <v>Yes</v>
      </c>
      <c r="E131" s="5" t="str">
        <f>IFERROR(__xludf.DUMMYFUNCTION("""COMPUTED_VALUE"""),"Yes")</f>
        <v>Yes</v>
      </c>
      <c r="F131" s="5" t="str">
        <f>IFERROR(__xludf.DUMMYFUNCTION("""COMPUTED_VALUE"""),"Yes")</f>
        <v>Yes</v>
      </c>
      <c r="G131" s="5" t="str">
        <f>IFERROR(__xludf.DUMMYFUNCTION("""COMPUTED_VALUE"""),"Yes")</f>
        <v>Yes</v>
      </c>
      <c r="H131" s="5" t="str">
        <f>IFERROR(__xludf.DUMMYFUNCTION("""COMPUTED_VALUE"""),"Yes")</f>
        <v>Yes</v>
      </c>
      <c r="I131" s="5" t="str">
        <f>IFERROR(__xludf.DUMMYFUNCTION("""COMPUTED_VALUE"""),"Yes")</f>
        <v>Yes</v>
      </c>
      <c r="J131" s="5" t="str">
        <f>IFERROR(__xludf.DUMMYFUNCTION("""COMPUTED_VALUE"""),"Yes")</f>
        <v>Yes</v>
      </c>
      <c r="K131" s="5" t="str">
        <f>IFERROR(__xludf.DUMMYFUNCTION("""COMPUTED_VALUE"""),"Yes")</f>
        <v>Yes</v>
      </c>
      <c r="L131" s="5" t="str">
        <f>IFERROR(__xludf.DUMMYFUNCTION("""COMPUTED_VALUE"""),"Yes")</f>
        <v>Yes</v>
      </c>
      <c r="M131" s="5" t="str">
        <f>IFERROR(__xludf.DUMMYFUNCTION("""COMPUTED_VALUE"""),"Yes")</f>
        <v>Yes</v>
      </c>
      <c r="N131" s="5" t="str">
        <f>IFERROR(__xludf.DUMMYFUNCTION("""COMPUTED_VALUE"""),"Yes")</f>
        <v>Yes</v>
      </c>
      <c r="O131" s="5" t="str">
        <f>IFERROR(__xludf.DUMMYFUNCTION("""COMPUTED_VALUE"""),"Yes")</f>
        <v>Yes</v>
      </c>
      <c r="P131" s="5" t="str">
        <f>IFERROR(__xludf.DUMMYFUNCTION("""COMPUTED_VALUE"""),"Yes")</f>
        <v>Yes</v>
      </c>
      <c r="Q131" s="5" t="str">
        <f>IFERROR(__xludf.DUMMYFUNCTION("""COMPUTED_VALUE"""),"Yes")</f>
        <v>Yes</v>
      </c>
      <c r="R131" s="5" t="str">
        <f>IFERROR(__xludf.DUMMYFUNCTION("""COMPUTED_VALUE"""),"Yes")</f>
        <v>Yes</v>
      </c>
      <c r="S131" s="5" t="str">
        <f>IFERROR(__xludf.DUMMYFUNCTION("""COMPUTED_VALUE"""),"Yes")</f>
        <v>Yes</v>
      </c>
      <c r="T131" s="5" t="str">
        <f>IFERROR(__xludf.DUMMYFUNCTION("""COMPUTED_VALUE"""),"Yes")</f>
        <v>Yes</v>
      </c>
      <c r="U131" s="5" t="str">
        <f>IFERROR(__xludf.DUMMYFUNCTION("""COMPUTED_VALUE"""),"Yes")</f>
        <v>Yes</v>
      </c>
      <c r="V131" s="5" t="str">
        <f>IFERROR(__xludf.DUMMYFUNCTION("""COMPUTED_VALUE"""),"Yes")</f>
        <v>Yes</v>
      </c>
      <c r="W131" s="5" t="str">
        <f>IFERROR(__xludf.DUMMYFUNCTION("""COMPUTED_VALUE"""),"Yes")</f>
        <v>Yes</v>
      </c>
      <c r="X131" s="5" t="str">
        <f>IFERROR(__xludf.DUMMYFUNCTION("""COMPUTED_VALUE"""),"Yes")</f>
        <v>Yes</v>
      </c>
      <c r="Y131" s="5" t="str">
        <f>IFERROR(__xludf.DUMMYFUNCTION("""COMPUTED_VALUE"""),"Yes")</f>
        <v>Yes</v>
      </c>
      <c r="Z131" s="5" t="str">
        <f>IFERROR(__xludf.DUMMYFUNCTION("""COMPUTED_VALUE"""),"Yes")</f>
        <v>Yes</v>
      </c>
      <c r="AA131" s="5" t="str">
        <f>IFERROR(__xludf.DUMMYFUNCTION("""COMPUTED_VALUE"""),"Yes")</f>
        <v>Yes</v>
      </c>
      <c r="AB131" s="5" t="str">
        <f>IFERROR(__xludf.DUMMYFUNCTION("""COMPUTED_VALUE"""),"Yes")</f>
        <v>Yes</v>
      </c>
      <c r="AC131" s="5" t="str">
        <f>IFERROR(__xludf.DUMMYFUNCTION("""COMPUTED_VALUE"""),"No")</f>
        <v>No</v>
      </c>
    </row>
    <row r="132">
      <c r="A132" s="5" t="str">
        <f>IFERROR(__xludf.DUMMYFUNCTION("""COMPUTED_VALUE"""),"ElGrandeToro")</f>
        <v>ElGrandeToro</v>
      </c>
      <c r="B1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2" s="5" t="str">
        <f>IFERROR(__xludf.DUMMYFUNCTION("""COMPUTED_VALUE"""),"Yes")</f>
        <v>Yes</v>
      </c>
      <c r="D132" s="5" t="str">
        <f>IFERROR(__xludf.DUMMYFUNCTION("""COMPUTED_VALUE"""),"Yes")</f>
        <v>Yes</v>
      </c>
      <c r="E132" s="5" t="str">
        <f>IFERROR(__xludf.DUMMYFUNCTION("""COMPUTED_VALUE"""),"Yes")</f>
        <v>Yes</v>
      </c>
      <c r="F132" s="5" t="str">
        <f>IFERROR(__xludf.DUMMYFUNCTION("""COMPUTED_VALUE"""),"Yes")</f>
        <v>Yes</v>
      </c>
      <c r="G132" s="5" t="str">
        <f>IFERROR(__xludf.DUMMYFUNCTION("""COMPUTED_VALUE"""),"Yes")</f>
        <v>Yes</v>
      </c>
      <c r="H132" s="5" t="str">
        <f>IFERROR(__xludf.DUMMYFUNCTION("""COMPUTED_VALUE"""),"Yes")</f>
        <v>Yes</v>
      </c>
      <c r="I132" s="5" t="str">
        <f>IFERROR(__xludf.DUMMYFUNCTION("""COMPUTED_VALUE"""),"Yes")</f>
        <v>Yes</v>
      </c>
      <c r="J132" s="5" t="str">
        <f>IFERROR(__xludf.DUMMYFUNCTION("""COMPUTED_VALUE"""),"Yes")</f>
        <v>Yes</v>
      </c>
      <c r="K132" s="5" t="str">
        <f>IFERROR(__xludf.DUMMYFUNCTION("""COMPUTED_VALUE"""),"Yes")</f>
        <v>Yes</v>
      </c>
      <c r="L132" s="5" t="str">
        <f>IFERROR(__xludf.DUMMYFUNCTION("""COMPUTED_VALUE"""),"Yes")</f>
        <v>Yes</v>
      </c>
      <c r="M132" s="5" t="str">
        <f>IFERROR(__xludf.DUMMYFUNCTION("""COMPUTED_VALUE"""),"Yes")</f>
        <v>Yes</v>
      </c>
      <c r="N132" s="5" t="str">
        <f>IFERROR(__xludf.DUMMYFUNCTION("""COMPUTED_VALUE"""),"Yes")</f>
        <v>Yes</v>
      </c>
      <c r="O132" s="5" t="str">
        <f>IFERROR(__xludf.DUMMYFUNCTION("""COMPUTED_VALUE"""),"Yes")</f>
        <v>Yes</v>
      </c>
      <c r="P132" s="5" t="str">
        <f>IFERROR(__xludf.DUMMYFUNCTION("""COMPUTED_VALUE"""),"Yes")</f>
        <v>Yes</v>
      </c>
      <c r="Q132" s="5" t="str">
        <f>IFERROR(__xludf.DUMMYFUNCTION("""COMPUTED_VALUE"""),"Yes")</f>
        <v>Yes</v>
      </c>
      <c r="R132" s="5" t="str">
        <f>IFERROR(__xludf.DUMMYFUNCTION("""COMPUTED_VALUE"""),"Yes")</f>
        <v>Yes</v>
      </c>
      <c r="S132" s="5" t="str">
        <f>IFERROR(__xludf.DUMMYFUNCTION("""COMPUTED_VALUE"""),"Yes")</f>
        <v>Yes</v>
      </c>
      <c r="T132" s="5" t="str">
        <f>IFERROR(__xludf.DUMMYFUNCTION("""COMPUTED_VALUE"""),"Yes")</f>
        <v>Yes</v>
      </c>
      <c r="U132" s="5" t="str">
        <f>IFERROR(__xludf.DUMMYFUNCTION("""COMPUTED_VALUE"""),"Yes")</f>
        <v>Yes</v>
      </c>
      <c r="V132" s="5" t="str">
        <f>IFERROR(__xludf.DUMMYFUNCTION("""COMPUTED_VALUE"""),"Yes")</f>
        <v>Yes</v>
      </c>
      <c r="W132" s="5" t="str">
        <f>IFERROR(__xludf.DUMMYFUNCTION("""COMPUTED_VALUE"""),"Yes")</f>
        <v>Yes</v>
      </c>
      <c r="X132" s="5" t="str">
        <f>IFERROR(__xludf.DUMMYFUNCTION("""COMPUTED_VALUE"""),"Yes")</f>
        <v>Yes</v>
      </c>
      <c r="Y132" s="5" t="str">
        <f>IFERROR(__xludf.DUMMYFUNCTION("""COMPUTED_VALUE"""),"Yes")</f>
        <v>Yes</v>
      </c>
      <c r="Z132" s="5" t="str">
        <f>IFERROR(__xludf.DUMMYFUNCTION("""COMPUTED_VALUE"""),"Yes")</f>
        <v>Yes</v>
      </c>
      <c r="AA132" s="5" t="str">
        <f>IFERROR(__xludf.DUMMYFUNCTION("""COMPUTED_VALUE"""),"Yes")</f>
        <v>Yes</v>
      </c>
      <c r="AB132" s="5" t="str">
        <f>IFERROR(__xludf.DUMMYFUNCTION("""COMPUTED_VALUE"""),"Yes")</f>
        <v>Yes</v>
      </c>
      <c r="AC132" s="5" t="str">
        <f>IFERROR(__xludf.DUMMYFUNCTION("""COMPUTED_VALUE"""),"No")</f>
        <v>No</v>
      </c>
    </row>
    <row r="133">
      <c r="A133" s="5" t="str">
        <f>IFERROR(__xludf.DUMMYFUNCTION("""COMPUTED_VALUE"""),"UnicornGreatWhale")</f>
        <v>UnicornGreatWhale</v>
      </c>
      <c r="B1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3" s="5" t="str">
        <f>IFERROR(__xludf.DUMMYFUNCTION("""COMPUTED_VALUE"""),"Yes")</f>
        <v>Yes</v>
      </c>
      <c r="D133" s="5" t="str">
        <f>IFERROR(__xludf.DUMMYFUNCTION("""COMPUTED_VALUE"""),"Yes")</f>
        <v>Yes</v>
      </c>
      <c r="E133" s="5" t="str">
        <f>IFERROR(__xludf.DUMMYFUNCTION("""COMPUTED_VALUE"""),"Yes")</f>
        <v>Yes</v>
      </c>
      <c r="F133" s="5" t="str">
        <f>IFERROR(__xludf.DUMMYFUNCTION("""COMPUTED_VALUE"""),"Yes")</f>
        <v>Yes</v>
      </c>
      <c r="G133" s="5" t="str">
        <f>IFERROR(__xludf.DUMMYFUNCTION("""COMPUTED_VALUE"""),"Yes")</f>
        <v>Yes</v>
      </c>
      <c r="H133" s="5" t="str">
        <f>IFERROR(__xludf.DUMMYFUNCTION("""COMPUTED_VALUE"""),"Yes")</f>
        <v>Yes</v>
      </c>
      <c r="I133" s="5" t="str">
        <f>IFERROR(__xludf.DUMMYFUNCTION("""COMPUTED_VALUE"""),"Yes")</f>
        <v>Yes</v>
      </c>
      <c r="J133" s="5" t="str">
        <f>IFERROR(__xludf.DUMMYFUNCTION("""COMPUTED_VALUE"""),"Yes")</f>
        <v>Yes</v>
      </c>
      <c r="K133" s="5" t="str">
        <f>IFERROR(__xludf.DUMMYFUNCTION("""COMPUTED_VALUE"""),"Yes")</f>
        <v>Yes</v>
      </c>
      <c r="L133" s="5" t="str">
        <f>IFERROR(__xludf.DUMMYFUNCTION("""COMPUTED_VALUE"""),"Yes")</f>
        <v>Yes</v>
      </c>
      <c r="M133" s="5" t="str">
        <f>IFERROR(__xludf.DUMMYFUNCTION("""COMPUTED_VALUE"""),"Yes")</f>
        <v>Yes</v>
      </c>
      <c r="N133" s="5" t="str">
        <f>IFERROR(__xludf.DUMMYFUNCTION("""COMPUTED_VALUE"""),"Yes")</f>
        <v>Yes</v>
      </c>
      <c r="O133" s="5" t="str">
        <f>IFERROR(__xludf.DUMMYFUNCTION("""COMPUTED_VALUE"""),"Yes")</f>
        <v>Yes</v>
      </c>
      <c r="P133" s="5" t="str">
        <f>IFERROR(__xludf.DUMMYFUNCTION("""COMPUTED_VALUE"""),"Yes")</f>
        <v>Yes</v>
      </c>
      <c r="Q133" s="5" t="str">
        <f>IFERROR(__xludf.DUMMYFUNCTION("""COMPUTED_VALUE"""),"Yes")</f>
        <v>Yes</v>
      </c>
      <c r="R133" s="5" t="str">
        <f>IFERROR(__xludf.DUMMYFUNCTION("""COMPUTED_VALUE"""),"Yes")</f>
        <v>Yes</v>
      </c>
      <c r="S133" s="5" t="str">
        <f>IFERROR(__xludf.DUMMYFUNCTION("""COMPUTED_VALUE"""),"Yes")</f>
        <v>Yes</v>
      </c>
      <c r="T133" s="5" t="str">
        <f>IFERROR(__xludf.DUMMYFUNCTION("""COMPUTED_VALUE"""),"Yes")</f>
        <v>Yes</v>
      </c>
      <c r="U133" s="5" t="str">
        <f>IFERROR(__xludf.DUMMYFUNCTION("""COMPUTED_VALUE"""),"Yes")</f>
        <v>Yes</v>
      </c>
      <c r="V133" s="5" t="str">
        <f>IFERROR(__xludf.DUMMYFUNCTION("""COMPUTED_VALUE"""),"Yes")</f>
        <v>Yes</v>
      </c>
      <c r="W133" s="5" t="str">
        <f>IFERROR(__xludf.DUMMYFUNCTION("""COMPUTED_VALUE"""),"Yes")</f>
        <v>Yes</v>
      </c>
      <c r="X133" s="5" t="str">
        <f>IFERROR(__xludf.DUMMYFUNCTION("""COMPUTED_VALUE"""),"Yes")</f>
        <v>Yes</v>
      </c>
      <c r="Y133" s="5" t="str">
        <f>IFERROR(__xludf.DUMMYFUNCTION("""COMPUTED_VALUE"""),"Yes")</f>
        <v>Yes</v>
      </c>
      <c r="Z133" s="5" t="str">
        <f>IFERROR(__xludf.DUMMYFUNCTION("""COMPUTED_VALUE"""),"Yes")</f>
        <v>Yes</v>
      </c>
      <c r="AA133" s="5" t="str">
        <f>IFERROR(__xludf.DUMMYFUNCTION("""COMPUTED_VALUE"""),"Yes")</f>
        <v>Yes</v>
      </c>
      <c r="AB133" s="5" t="str">
        <f>IFERROR(__xludf.DUMMYFUNCTION("""COMPUTED_VALUE"""),"Yes")</f>
        <v>Yes</v>
      </c>
      <c r="AC133" s="5"/>
    </row>
    <row r="134">
      <c r="A134" s="5" t="str">
        <f>IFERROR(__xludf.DUMMYFUNCTION("""COMPUTED_VALUE"""),"WinningStars")</f>
        <v>WinningStars</v>
      </c>
      <c r="B1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4" s="5" t="str">
        <f>IFERROR(__xludf.DUMMYFUNCTION("""COMPUTED_VALUE"""),"Yes")</f>
        <v>Yes</v>
      </c>
      <c r="D134" s="5" t="str">
        <f>IFERROR(__xludf.DUMMYFUNCTION("""COMPUTED_VALUE"""),"Yes")</f>
        <v>Yes</v>
      </c>
      <c r="E134" s="5" t="str">
        <f>IFERROR(__xludf.DUMMYFUNCTION("""COMPUTED_VALUE"""),"Yes")</f>
        <v>Yes</v>
      </c>
      <c r="F134" s="5" t="str">
        <f>IFERROR(__xludf.DUMMYFUNCTION("""COMPUTED_VALUE"""),"Yes")</f>
        <v>Yes</v>
      </c>
      <c r="G134" s="5" t="str">
        <f>IFERROR(__xludf.DUMMYFUNCTION("""COMPUTED_VALUE"""),"Yes")</f>
        <v>Yes</v>
      </c>
      <c r="H134" s="5" t="str">
        <f>IFERROR(__xludf.DUMMYFUNCTION("""COMPUTED_VALUE"""),"Yes")</f>
        <v>Yes</v>
      </c>
      <c r="I134" s="5" t="str">
        <f>IFERROR(__xludf.DUMMYFUNCTION("""COMPUTED_VALUE"""),"Yes")</f>
        <v>Yes</v>
      </c>
      <c r="J134" s="5" t="str">
        <f>IFERROR(__xludf.DUMMYFUNCTION("""COMPUTED_VALUE"""),"Yes")</f>
        <v>Yes</v>
      </c>
      <c r="K134" s="5" t="str">
        <f>IFERROR(__xludf.DUMMYFUNCTION("""COMPUTED_VALUE"""),"Yes")</f>
        <v>Yes</v>
      </c>
      <c r="L134" s="5" t="str">
        <f>IFERROR(__xludf.DUMMYFUNCTION("""COMPUTED_VALUE"""),"Yes")</f>
        <v>Yes</v>
      </c>
      <c r="M134" s="5" t="str">
        <f>IFERROR(__xludf.DUMMYFUNCTION("""COMPUTED_VALUE"""),"Yes")</f>
        <v>Yes</v>
      </c>
      <c r="N134" s="5" t="str">
        <f>IFERROR(__xludf.DUMMYFUNCTION("""COMPUTED_VALUE"""),"Yes")</f>
        <v>Yes</v>
      </c>
      <c r="O134" s="5" t="str">
        <f>IFERROR(__xludf.DUMMYFUNCTION("""COMPUTED_VALUE"""),"Yes")</f>
        <v>Yes</v>
      </c>
      <c r="P134" s="5" t="str">
        <f>IFERROR(__xludf.DUMMYFUNCTION("""COMPUTED_VALUE"""),"Yes")</f>
        <v>Yes</v>
      </c>
      <c r="Q134" s="5" t="str">
        <f>IFERROR(__xludf.DUMMYFUNCTION("""COMPUTED_VALUE"""),"Yes")</f>
        <v>Yes</v>
      </c>
      <c r="R134" s="5" t="str">
        <f>IFERROR(__xludf.DUMMYFUNCTION("""COMPUTED_VALUE"""),"Yes")</f>
        <v>Yes</v>
      </c>
      <c r="S134" s="5" t="str">
        <f>IFERROR(__xludf.DUMMYFUNCTION("""COMPUTED_VALUE"""),"Yes")</f>
        <v>Yes</v>
      </c>
      <c r="T134" s="5" t="str">
        <f>IFERROR(__xludf.DUMMYFUNCTION("""COMPUTED_VALUE"""),"Yes")</f>
        <v>Yes</v>
      </c>
      <c r="U134" s="5" t="str">
        <f>IFERROR(__xludf.DUMMYFUNCTION("""COMPUTED_VALUE"""),"Yes")</f>
        <v>Yes</v>
      </c>
      <c r="V134" s="5" t="str">
        <f>IFERROR(__xludf.DUMMYFUNCTION("""COMPUTED_VALUE"""),"Yes")</f>
        <v>Yes</v>
      </c>
      <c r="W134" s="5" t="str">
        <f>IFERROR(__xludf.DUMMYFUNCTION("""COMPUTED_VALUE"""),"Yes")</f>
        <v>Yes</v>
      </c>
      <c r="X134" s="5" t="str">
        <f>IFERROR(__xludf.DUMMYFUNCTION("""COMPUTED_VALUE"""),"Yes")</f>
        <v>Yes</v>
      </c>
      <c r="Y134" s="5" t="str">
        <f>IFERROR(__xludf.DUMMYFUNCTION("""COMPUTED_VALUE"""),"Yes")</f>
        <v>Yes</v>
      </c>
      <c r="Z134" s="5" t="str">
        <f>IFERROR(__xludf.DUMMYFUNCTION("""COMPUTED_VALUE"""),"Yes")</f>
        <v>Yes</v>
      </c>
      <c r="AA134" s="5" t="str">
        <f>IFERROR(__xludf.DUMMYFUNCTION("""COMPUTED_VALUE"""),"Yes")</f>
        <v>Yes</v>
      </c>
      <c r="AB134" s="5" t="str">
        <f>IFERROR(__xludf.DUMMYFUNCTION("""COMPUTED_VALUE"""),"Yes")</f>
        <v>Yes</v>
      </c>
      <c r="AC134" s="5" t="str">
        <f>IFERROR(__xludf.DUMMYFUNCTION("""COMPUTED_VALUE"""),"No")</f>
        <v>No</v>
      </c>
    </row>
    <row r="135">
      <c r="A135" s="5" t="str">
        <f>IFERROR(__xludf.DUMMYFUNCTION("""COMPUTED_VALUE"""),"BigBuddha")</f>
        <v>BigBuddha</v>
      </c>
      <c r="B1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5" s="5" t="str">
        <f>IFERROR(__xludf.DUMMYFUNCTION("""COMPUTED_VALUE"""),"Yes")</f>
        <v>Yes</v>
      </c>
      <c r="D135" s="5" t="str">
        <f>IFERROR(__xludf.DUMMYFUNCTION("""COMPUTED_VALUE"""),"Yes")</f>
        <v>Yes</v>
      </c>
      <c r="E135" s="5" t="str">
        <f>IFERROR(__xludf.DUMMYFUNCTION("""COMPUTED_VALUE"""),"Yes")</f>
        <v>Yes</v>
      </c>
      <c r="F135" s="5" t="str">
        <f>IFERROR(__xludf.DUMMYFUNCTION("""COMPUTED_VALUE"""),"Yes")</f>
        <v>Yes</v>
      </c>
      <c r="G135" s="5" t="str">
        <f>IFERROR(__xludf.DUMMYFUNCTION("""COMPUTED_VALUE"""),"Yes")</f>
        <v>Yes</v>
      </c>
      <c r="H135" s="5" t="str">
        <f>IFERROR(__xludf.DUMMYFUNCTION("""COMPUTED_VALUE"""),"Yes")</f>
        <v>Yes</v>
      </c>
      <c r="I135" s="5" t="str">
        <f>IFERROR(__xludf.DUMMYFUNCTION("""COMPUTED_VALUE"""),"Yes")</f>
        <v>Yes</v>
      </c>
      <c r="J135" s="5" t="str">
        <f>IFERROR(__xludf.DUMMYFUNCTION("""COMPUTED_VALUE"""),"Yes")</f>
        <v>Yes</v>
      </c>
      <c r="K135" s="5" t="str">
        <f>IFERROR(__xludf.DUMMYFUNCTION("""COMPUTED_VALUE"""),"Yes")</f>
        <v>Yes</v>
      </c>
      <c r="L135" s="5" t="str">
        <f>IFERROR(__xludf.DUMMYFUNCTION("""COMPUTED_VALUE"""),"Yes")</f>
        <v>Yes</v>
      </c>
      <c r="M135" s="5" t="str">
        <f>IFERROR(__xludf.DUMMYFUNCTION("""COMPUTED_VALUE"""),"Yes")</f>
        <v>Yes</v>
      </c>
      <c r="N135" s="5" t="str">
        <f>IFERROR(__xludf.DUMMYFUNCTION("""COMPUTED_VALUE"""),"Yes")</f>
        <v>Yes</v>
      </c>
      <c r="O135" s="5" t="str">
        <f>IFERROR(__xludf.DUMMYFUNCTION("""COMPUTED_VALUE"""),"Yes")</f>
        <v>Yes</v>
      </c>
      <c r="P135" s="5" t="str">
        <f>IFERROR(__xludf.DUMMYFUNCTION("""COMPUTED_VALUE"""),"Yes")</f>
        <v>Yes</v>
      </c>
      <c r="Q135" s="5" t="str">
        <f>IFERROR(__xludf.DUMMYFUNCTION("""COMPUTED_VALUE"""),"Yes")</f>
        <v>Yes</v>
      </c>
      <c r="R135" s="5" t="str">
        <f>IFERROR(__xludf.DUMMYFUNCTION("""COMPUTED_VALUE"""),"Yes")</f>
        <v>Yes</v>
      </c>
      <c r="S135" s="5" t="str">
        <f>IFERROR(__xludf.DUMMYFUNCTION("""COMPUTED_VALUE"""),"Yes")</f>
        <v>Yes</v>
      </c>
      <c r="T135" s="5" t="str">
        <f>IFERROR(__xludf.DUMMYFUNCTION("""COMPUTED_VALUE"""),"Yes")</f>
        <v>Yes</v>
      </c>
      <c r="U135" s="5" t="str">
        <f>IFERROR(__xludf.DUMMYFUNCTION("""COMPUTED_VALUE"""),"Yes")</f>
        <v>Yes</v>
      </c>
      <c r="V135" s="5" t="str">
        <f>IFERROR(__xludf.DUMMYFUNCTION("""COMPUTED_VALUE"""),"Yes")</f>
        <v>Yes</v>
      </c>
      <c r="W135" s="5" t="str">
        <f>IFERROR(__xludf.DUMMYFUNCTION("""COMPUTED_VALUE"""),"Yes")</f>
        <v>Yes</v>
      </c>
      <c r="X135" s="5" t="str">
        <f>IFERROR(__xludf.DUMMYFUNCTION("""COMPUTED_VALUE"""),"Yes")</f>
        <v>Yes</v>
      </c>
      <c r="Y135" s="5" t="str">
        <f>IFERROR(__xludf.DUMMYFUNCTION("""COMPUTED_VALUE"""),"Yes")</f>
        <v>Yes</v>
      </c>
      <c r="Z135" s="5" t="str">
        <f>IFERROR(__xludf.DUMMYFUNCTION("""COMPUTED_VALUE"""),"Yes")</f>
        <v>Yes</v>
      </c>
      <c r="AA135" s="5" t="str">
        <f>IFERROR(__xludf.DUMMYFUNCTION("""COMPUTED_VALUE"""),"Yes")</f>
        <v>Yes</v>
      </c>
      <c r="AB135" s="5" t="str">
        <f>IFERROR(__xludf.DUMMYFUNCTION("""COMPUTED_VALUE"""),"Yes")</f>
        <v>Yes</v>
      </c>
      <c r="AC135" s="5" t="str">
        <f>IFERROR(__xludf.DUMMYFUNCTION("""COMPUTED_VALUE"""),"No")</f>
        <v>No</v>
      </c>
    </row>
    <row r="136">
      <c r="A136" s="5" t="str">
        <f>IFERROR(__xludf.DUMMYFUNCTION("""COMPUTED_VALUE"""),"CrystalHot100")</f>
        <v>CrystalHot100</v>
      </c>
      <c r="B1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6" s="5" t="str">
        <f>IFERROR(__xludf.DUMMYFUNCTION("""COMPUTED_VALUE"""),"Yes")</f>
        <v>Yes</v>
      </c>
      <c r="D136" s="5" t="str">
        <f>IFERROR(__xludf.DUMMYFUNCTION("""COMPUTED_VALUE"""),"Yes")</f>
        <v>Yes</v>
      </c>
      <c r="E136" s="5" t="str">
        <f>IFERROR(__xludf.DUMMYFUNCTION("""COMPUTED_VALUE"""),"Yes")</f>
        <v>Yes</v>
      </c>
      <c r="F136" s="5" t="str">
        <f>IFERROR(__xludf.DUMMYFUNCTION("""COMPUTED_VALUE"""),"Yes")</f>
        <v>Yes</v>
      </c>
      <c r="G136" s="5" t="str">
        <f>IFERROR(__xludf.DUMMYFUNCTION("""COMPUTED_VALUE"""),"Yes")</f>
        <v>Yes</v>
      </c>
      <c r="H136" s="5" t="str">
        <f>IFERROR(__xludf.DUMMYFUNCTION("""COMPUTED_VALUE"""),"Yes")</f>
        <v>Yes</v>
      </c>
      <c r="I136" s="5" t="str">
        <f>IFERROR(__xludf.DUMMYFUNCTION("""COMPUTED_VALUE"""),"Yes")</f>
        <v>Yes</v>
      </c>
      <c r="J136" s="5" t="str">
        <f>IFERROR(__xludf.DUMMYFUNCTION("""COMPUTED_VALUE"""),"Yes")</f>
        <v>Yes</v>
      </c>
      <c r="K136" s="5" t="str">
        <f>IFERROR(__xludf.DUMMYFUNCTION("""COMPUTED_VALUE"""),"Yes")</f>
        <v>Yes</v>
      </c>
      <c r="L136" s="5" t="str">
        <f>IFERROR(__xludf.DUMMYFUNCTION("""COMPUTED_VALUE"""),"Yes")</f>
        <v>Yes</v>
      </c>
      <c r="M136" s="5" t="str">
        <f>IFERROR(__xludf.DUMMYFUNCTION("""COMPUTED_VALUE"""),"Yes")</f>
        <v>Yes</v>
      </c>
      <c r="N136" s="5" t="str">
        <f>IFERROR(__xludf.DUMMYFUNCTION("""COMPUTED_VALUE"""),"Yes")</f>
        <v>Yes</v>
      </c>
      <c r="O136" s="5" t="str">
        <f>IFERROR(__xludf.DUMMYFUNCTION("""COMPUTED_VALUE"""),"Yes")</f>
        <v>Yes</v>
      </c>
      <c r="P136" s="5" t="str">
        <f>IFERROR(__xludf.DUMMYFUNCTION("""COMPUTED_VALUE"""),"Yes")</f>
        <v>Yes</v>
      </c>
      <c r="Q136" s="5" t="str">
        <f>IFERROR(__xludf.DUMMYFUNCTION("""COMPUTED_VALUE"""),"Yes")</f>
        <v>Yes</v>
      </c>
      <c r="R136" s="5" t="str">
        <f>IFERROR(__xludf.DUMMYFUNCTION("""COMPUTED_VALUE"""),"Yes")</f>
        <v>Yes</v>
      </c>
      <c r="S136" s="5" t="str">
        <f>IFERROR(__xludf.DUMMYFUNCTION("""COMPUTED_VALUE"""),"Yes")</f>
        <v>Yes</v>
      </c>
      <c r="T136" s="5" t="str">
        <f>IFERROR(__xludf.DUMMYFUNCTION("""COMPUTED_VALUE"""),"Yes")</f>
        <v>Yes</v>
      </c>
      <c r="U136" s="5" t="str">
        <f>IFERROR(__xludf.DUMMYFUNCTION("""COMPUTED_VALUE"""),"Yes")</f>
        <v>Yes</v>
      </c>
      <c r="V136" s="5" t="str">
        <f>IFERROR(__xludf.DUMMYFUNCTION("""COMPUTED_VALUE"""),"Yes")</f>
        <v>Yes</v>
      </c>
      <c r="W136" s="5" t="str">
        <f>IFERROR(__xludf.DUMMYFUNCTION("""COMPUTED_VALUE"""),"Yes")</f>
        <v>Yes</v>
      </c>
      <c r="X136" s="5" t="str">
        <f>IFERROR(__xludf.DUMMYFUNCTION("""COMPUTED_VALUE"""),"Yes")</f>
        <v>Yes</v>
      </c>
      <c r="Y136" s="5" t="str">
        <f>IFERROR(__xludf.DUMMYFUNCTION("""COMPUTED_VALUE"""),"Yes")</f>
        <v>Yes</v>
      </c>
      <c r="Z136" s="5" t="str">
        <f>IFERROR(__xludf.DUMMYFUNCTION("""COMPUTED_VALUE"""),"Yes")</f>
        <v>Yes</v>
      </c>
      <c r="AA136" s="5" t="str">
        <f>IFERROR(__xludf.DUMMYFUNCTION("""COMPUTED_VALUE"""),"Yes")</f>
        <v>Yes</v>
      </c>
      <c r="AB136" s="5" t="str">
        <f>IFERROR(__xludf.DUMMYFUNCTION("""COMPUTED_VALUE"""),"Yes")</f>
        <v>Yes</v>
      </c>
      <c r="AC136" s="5" t="str">
        <f>IFERROR(__xludf.DUMMYFUNCTION("""COMPUTED_VALUE"""),"No")</f>
        <v>No</v>
      </c>
    </row>
    <row r="137">
      <c r="A137" s="5" t="str">
        <f>IFERROR(__xludf.DUMMYFUNCTION("""COMPUTED_VALUE"""),"TurboHot80")</f>
        <v>TurboHot80</v>
      </c>
      <c r="B1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7" s="5" t="str">
        <f>IFERROR(__xludf.DUMMYFUNCTION("""COMPUTED_VALUE"""),"Yes")</f>
        <v>Yes</v>
      </c>
      <c r="D137" s="5" t="str">
        <f>IFERROR(__xludf.DUMMYFUNCTION("""COMPUTED_VALUE"""),"Yes")</f>
        <v>Yes</v>
      </c>
      <c r="E137" s="5" t="str">
        <f>IFERROR(__xludf.DUMMYFUNCTION("""COMPUTED_VALUE"""),"Yes")</f>
        <v>Yes</v>
      </c>
      <c r="F137" s="5" t="str">
        <f>IFERROR(__xludf.DUMMYFUNCTION("""COMPUTED_VALUE"""),"Yes")</f>
        <v>Yes</v>
      </c>
      <c r="G137" s="5" t="str">
        <f>IFERROR(__xludf.DUMMYFUNCTION("""COMPUTED_VALUE"""),"Yes")</f>
        <v>Yes</v>
      </c>
      <c r="H137" s="5" t="str">
        <f>IFERROR(__xludf.DUMMYFUNCTION("""COMPUTED_VALUE"""),"Yes")</f>
        <v>Yes</v>
      </c>
      <c r="I137" s="5" t="str">
        <f>IFERROR(__xludf.DUMMYFUNCTION("""COMPUTED_VALUE"""),"Yes")</f>
        <v>Yes</v>
      </c>
      <c r="J137" s="5" t="str">
        <f>IFERROR(__xludf.DUMMYFUNCTION("""COMPUTED_VALUE"""),"Yes")</f>
        <v>Yes</v>
      </c>
      <c r="K137" s="5" t="str">
        <f>IFERROR(__xludf.DUMMYFUNCTION("""COMPUTED_VALUE"""),"Yes")</f>
        <v>Yes</v>
      </c>
      <c r="L137" s="5" t="str">
        <f>IFERROR(__xludf.DUMMYFUNCTION("""COMPUTED_VALUE"""),"Yes")</f>
        <v>Yes</v>
      </c>
      <c r="M137" s="5" t="str">
        <f>IFERROR(__xludf.DUMMYFUNCTION("""COMPUTED_VALUE"""),"Yes")</f>
        <v>Yes</v>
      </c>
      <c r="N137" s="5" t="str">
        <f>IFERROR(__xludf.DUMMYFUNCTION("""COMPUTED_VALUE"""),"Yes")</f>
        <v>Yes</v>
      </c>
      <c r="O137" s="5" t="str">
        <f>IFERROR(__xludf.DUMMYFUNCTION("""COMPUTED_VALUE"""),"Yes")</f>
        <v>Yes</v>
      </c>
      <c r="P137" s="5" t="str">
        <f>IFERROR(__xludf.DUMMYFUNCTION("""COMPUTED_VALUE"""),"Yes")</f>
        <v>Yes</v>
      </c>
      <c r="Q137" s="5" t="str">
        <f>IFERROR(__xludf.DUMMYFUNCTION("""COMPUTED_VALUE"""),"Yes")</f>
        <v>Yes</v>
      </c>
      <c r="R137" s="5" t="str">
        <f>IFERROR(__xludf.DUMMYFUNCTION("""COMPUTED_VALUE"""),"Yes")</f>
        <v>Yes</v>
      </c>
      <c r="S137" s="5" t="str">
        <f>IFERROR(__xludf.DUMMYFUNCTION("""COMPUTED_VALUE"""),"Yes")</f>
        <v>Yes</v>
      </c>
      <c r="T137" s="5" t="str">
        <f>IFERROR(__xludf.DUMMYFUNCTION("""COMPUTED_VALUE"""),"Yes")</f>
        <v>Yes</v>
      </c>
      <c r="U137" s="5" t="str">
        <f>IFERROR(__xludf.DUMMYFUNCTION("""COMPUTED_VALUE"""),"Yes")</f>
        <v>Yes</v>
      </c>
      <c r="V137" s="5" t="str">
        <f>IFERROR(__xludf.DUMMYFUNCTION("""COMPUTED_VALUE"""),"Yes")</f>
        <v>Yes</v>
      </c>
      <c r="W137" s="5" t="str">
        <f>IFERROR(__xludf.DUMMYFUNCTION("""COMPUTED_VALUE"""),"Yes")</f>
        <v>Yes</v>
      </c>
      <c r="X137" s="5" t="str">
        <f>IFERROR(__xludf.DUMMYFUNCTION("""COMPUTED_VALUE"""),"Yes")</f>
        <v>Yes</v>
      </c>
      <c r="Y137" s="5" t="str">
        <f>IFERROR(__xludf.DUMMYFUNCTION("""COMPUTED_VALUE"""),"Yes")</f>
        <v>Yes</v>
      </c>
      <c r="Z137" s="5" t="str">
        <f>IFERROR(__xludf.DUMMYFUNCTION("""COMPUTED_VALUE"""),"Yes")</f>
        <v>Yes</v>
      </c>
      <c r="AA137" s="5" t="str">
        <f>IFERROR(__xludf.DUMMYFUNCTION("""COMPUTED_VALUE"""),"Yes")</f>
        <v>Yes</v>
      </c>
      <c r="AB137" s="5" t="str">
        <f>IFERROR(__xludf.DUMMYFUNCTION("""COMPUTED_VALUE"""),"Yes")</f>
        <v>Yes</v>
      </c>
      <c r="AC137" s="5" t="str">
        <f>IFERROR(__xludf.DUMMYFUNCTION("""COMPUTED_VALUE"""),"No")</f>
        <v>No</v>
      </c>
    </row>
    <row r="138">
      <c r="A138" s="5" t="str">
        <f>IFERROR(__xludf.DUMMYFUNCTION("""COMPUTED_VALUE"""),"SevenClassicHot")</f>
        <v>SevenClassicHot</v>
      </c>
      <c r="B1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8" s="5" t="str">
        <f>IFERROR(__xludf.DUMMYFUNCTION("""COMPUTED_VALUE"""),"Yes")</f>
        <v>Yes</v>
      </c>
      <c r="D138" s="5" t="str">
        <f>IFERROR(__xludf.DUMMYFUNCTION("""COMPUTED_VALUE"""),"Yes")</f>
        <v>Yes</v>
      </c>
      <c r="E138" s="5" t="str">
        <f>IFERROR(__xludf.DUMMYFUNCTION("""COMPUTED_VALUE"""),"Yes")</f>
        <v>Yes</v>
      </c>
      <c r="F138" s="5" t="str">
        <f>IFERROR(__xludf.DUMMYFUNCTION("""COMPUTED_VALUE"""),"Yes")</f>
        <v>Yes</v>
      </c>
      <c r="G138" s="5" t="str">
        <f>IFERROR(__xludf.DUMMYFUNCTION("""COMPUTED_VALUE"""),"Yes")</f>
        <v>Yes</v>
      </c>
      <c r="H138" s="5" t="str">
        <f>IFERROR(__xludf.DUMMYFUNCTION("""COMPUTED_VALUE"""),"Yes")</f>
        <v>Yes</v>
      </c>
      <c r="I138" s="5" t="str">
        <f>IFERROR(__xludf.DUMMYFUNCTION("""COMPUTED_VALUE"""),"Yes")</f>
        <v>Yes</v>
      </c>
      <c r="J138" s="5" t="str">
        <f>IFERROR(__xludf.DUMMYFUNCTION("""COMPUTED_VALUE"""),"Yes")</f>
        <v>Yes</v>
      </c>
      <c r="K138" s="5" t="str">
        <f>IFERROR(__xludf.DUMMYFUNCTION("""COMPUTED_VALUE"""),"Yes")</f>
        <v>Yes</v>
      </c>
      <c r="L138" s="5" t="str">
        <f>IFERROR(__xludf.DUMMYFUNCTION("""COMPUTED_VALUE"""),"Yes")</f>
        <v>Yes</v>
      </c>
      <c r="M138" s="5" t="str">
        <f>IFERROR(__xludf.DUMMYFUNCTION("""COMPUTED_VALUE"""),"Yes")</f>
        <v>Yes</v>
      </c>
      <c r="N138" s="5" t="str">
        <f>IFERROR(__xludf.DUMMYFUNCTION("""COMPUTED_VALUE"""),"Yes")</f>
        <v>Yes</v>
      </c>
      <c r="O138" s="5" t="str">
        <f>IFERROR(__xludf.DUMMYFUNCTION("""COMPUTED_VALUE"""),"Yes")</f>
        <v>Yes</v>
      </c>
      <c r="P138" s="5" t="str">
        <f>IFERROR(__xludf.DUMMYFUNCTION("""COMPUTED_VALUE"""),"Yes")</f>
        <v>Yes</v>
      </c>
      <c r="Q138" s="5" t="str">
        <f>IFERROR(__xludf.DUMMYFUNCTION("""COMPUTED_VALUE"""),"Yes")</f>
        <v>Yes</v>
      </c>
      <c r="R138" s="5" t="str">
        <f>IFERROR(__xludf.DUMMYFUNCTION("""COMPUTED_VALUE"""),"Yes")</f>
        <v>Yes</v>
      </c>
      <c r="S138" s="5" t="str">
        <f>IFERROR(__xludf.DUMMYFUNCTION("""COMPUTED_VALUE"""),"Yes")</f>
        <v>Yes</v>
      </c>
      <c r="T138" s="5" t="str">
        <f>IFERROR(__xludf.DUMMYFUNCTION("""COMPUTED_VALUE"""),"Yes")</f>
        <v>Yes</v>
      </c>
      <c r="U138" s="5" t="str">
        <f>IFERROR(__xludf.DUMMYFUNCTION("""COMPUTED_VALUE"""),"Yes")</f>
        <v>Yes</v>
      </c>
      <c r="V138" s="5" t="str">
        <f>IFERROR(__xludf.DUMMYFUNCTION("""COMPUTED_VALUE"""),"Yes")</f>
        <v>Yes</v>
      </c>
      <c r="W138" s="5" t="str">
        <f>IFERROR(__xludf.DUMMYFUNCTION("""COMPUTED_VALUE"""),"Yes")</f>
        <v>Yes</v>
      </c>
      <c r="X138" s="5" t="str">
        <f>IFERROR(__xludf.DUMMYFUNCTION("""COMPUTED_VALUE"""),"Yes")</f>
        <v>Yes</v>
      </c>
      <c r="Y138" s="5" t="str">
        <f>IFERROR(__xludf.DUMMYFUNCTION("""COMPUTED_VALUE"""),"Yes")</f>
        <v>Yes</v>
      </c>
      <c r="Z138" s="5" t="str">
        <f>IFERROR(__xludf.DUMMYFUNCTION("""COMPUTED_VALUE"""),"Yes")</f>
        <v>Yes</v>
      </c>
      <c r="AA138" s="5" t="str">
        <f>IFERROR(__xludf.DUMMYFUNCTION("""COMPUTED_VALUE"""),"Yes")</f>
        <v>Yes</v>
      </c>
      <c r="AB138" s="5" t="str">
        <f>IFERROR(__xludf.DUMMYFUNCTION("""COMPUTED_VALUE"""),"Yes")</f>
        <v>Yes</v>
      </c>
      <c r="AC138" s="5" t="str">
        <f>IFERROR(__xludf.DUMMYFUNCTION("""COMPUTED_VALUE"""),"No")</f>
        <v>No</v>
      </c>
    </row>
    <row r="139">
      <c r="A139" s="5" t="str">
        <f>IFERROR(__xludf.DUMMYFUNCTION("""COMPUTED_VALUE"""),"TurboHot100")</f>
        <v>TurboHot100</v>
      </c>
      <c r="B1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9" s="5" t="str">
        <f>IFERROR(__xludf.DUMMYFUNCTION("""COMPUTED_VALUE"""),"Yes")</f>
        <v>Yes</v>
      </c>
      <c r="D139" s="5" t="str">
        <f>IFERROR(__xludf.DUMMYFUNCTION("""COMPUTED_VALUE"""),"Yes")</f>
        <v>Yes</v>
      </c>
      <c r="E139" s="5" t="str">
        <f>IFERROR(__xludf.DUMMYFUNCTION("""COMPUTED_VALUE"""),"Yes")</f>
        <v>Yes</v>
      </c>
      <c r="F139" s="5" t="str">
        <f>IFERROR(__xludf.DUMMYFUNCTION("""COMPUTED_VALUE"""),"Yes")</f>
        <v>Yes</v>
      </c>
      <c r="G139" s="5" t="str">
        <f>IFERROR(__xludf.DUMMYFUNCTION("""COMPUTED_VALUE"""),"Yes")</f>
        <v>Yes</v>
      </c>
      <c r="H139" s="5" t="str">
        <f>IFERROR(__xludf.DUMMYFUNCTION("""COMPUTED_VALUE"""),"Yes")</f>
        <v>Yes</v>
      </c>
      <c r="I139" s="5" t="str">
        <f>IFERROR(__xludf.DUMMYFUNCTION("""COMPUTED_VALUE"""),"Yes")</f>
        <v>Yes</v>
      </c>
      <c r="J139" s="5" t="str">
        <f>IFERROR(__xludf.DUMMYFUNCTION("""COMPUTED_VALUE"""),"Yes")</f>
        <v>Yes</v>
      </c>
      <c r="K139" s="5" t="str">
        <f>IFERROR(__xludf.DUMMYFUNCTION("""COMPUTED_VALUE"""),"Yes")</f>
        <v>Yes</v>
      </c>
      <c r="L139" s="5" t="str">
        <f>IFERROR(__xludf.DUMMYFUNCTION("""COMPUTED_VALUE"""),"Yes")</f>
        <v>Yes</v>
      </c>
      <c r="M139" s="5" t="str">
        <f>IFERROR(__xludf.DUMMYFUNCTION("""COMPUTED_VALUE"""),"Yes")</f>
        <v>Yes</v>
      </c>
      <c r="N139" s="5" t="str">
        <f>IFERROR(__xludf.DUMMYFUNCTION("""COMPUTED_VALUE"""),"Yes")</f>
        <v>Yes</v>
      </c>
      <c r="O139" s="5" t="str">
        <f>IFERROR(__xludf.DUMMYFUNCTION("""COMPUTED_VALUE"""),"Yes")</f>
        <v>Yes</v>
      </c>
      <c r="P139" s="5" t="str">
        <f>IFERROR(__xludf.DUMMYFUNCTION("""COMPUTED_VALUE"""),"Yes")</f>
        <v>Yes</v>
      </c>
      <c r="Q139" s="5" t="str">
        <f>IFERROR(__xludf.DUMMYFUNCTION("""COMPUTED_VALUE"""),"Yes")</f>
        <v>Yes</v>
      </c>
      <c r="R139" s="5" t="str">
        <f>IFERROR(__xludf.DUMMYFUNCTION("""COMPUTED_VALUE"""),"Yes")</f>
        <v>Yes</v>
      </c>
      <c r="S139" s="5" t="str">
        <f>IFERROR(__xludf.DUMMYFUNCTION("""COMPUTED_VALUE"""),"Yes")</f>
        <v>Yes</v>
      </c>
      <c r="T139" s="5" t="str">
        <f>IFERROR(__xludf.DUMMYFUNCTION("""COMPUTED_VALUE"""),"Yes")</f>
        <v>Yes</v>
      </c>
      <c r="U139" s="5" t="str">
        <f>IFERROR(__xludf.DUMMYFUNCTION("""COMPUTED_VALUE"""),"Yes")</f>
        <v>Yes</v>
      </c>
      <c r="V139" s="5" t="str">
        <f>IFERROR(__xludf.DUMMYFUNCTION("""COMPUTED_VALUE"""),"Yes")</f>
        <v>Yes</v>
      </c>
      <c r="W139" s="5" t="str">
        <f>IFERROR(__xludf.DUMMYFUNCTION("""COMPUTED_VALUE"""),"Yes")</f>
        <v>Yes</v>
      </c>
      <c r="X139" s="5" t="str">
        <f>IFERROR(__xludf.DUMMYFUNCTION("""COMPUTED_VALUE"""),"Yes")</f>
        <v>Yes</v>
      </c>
      <c r="Y139" s="5" t="str">
        <f>IFERROR(__xludf.DUMMYFUNCTION("""COMPUTED_VALUE"""),"Yes")</f>
        <v>Yes</v>
      </c>
      <c r="Z139" s="5" t="str">
        <f>IFERROR(__xludf.DUMMYFUNCTION("""COMPUTED_VALUE"""),"Yes")</f>
        <v>Yes</v>
      </c>
      <c r="AA139" s="5" t="str">
        <f>IFERROR(__xludf.DUMMYFUNCTION("""COMPUTED_VALUE"""),"Yes")</f>
        <v>Yes</v>
      </c>
      <c r="AB139" s="5" t="str">
        <f>IFERROR(__xludf.DUMMYFUNCTION("""COMPUTED_VALUE"""),"Yes")</f>
        <v>Yes</v>
      </c>
      <c r="AC139" s="5" t="str">
        <f>IFERROR(__xludf.DUMMYFUNCTION("""COMPUTED_VALUE"""),"No")</f>
        <v>No</v>
      </c>
    </row>
    <row r="140">
      <c r="A140" s="5" t="str">
        <f>IFERROR(__xludf.DUMMYFUNCTION("""COMPUTED_VALUE"""),"BonusBells")</f>
        <v>BonusBells</v>
      </c>
      <c r="B1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0" s="5" t="str">
        <f>IFERROR(__xludf.DUMMYFUNCTION("""COMPUTED_VALUE"""),"Yes")</f>
        <v>Yes</v>
      </c>
      <c r="D140" s="5" t="str">
        <f>IFERROR(__xludf.DUMMYFUNCTION("""COMPUTED_VALUE"""),"Yes")</f>
        <v>Yes</v>
      </c>
      <c r="E140" s="5" t="str">
        <f>IFERROR(__xludf.DUMMYFUNCTION("""COMPUTED_VALUE"""),"Yes")</f>
        <v>Yes</v>
      </c>
      <c r="F140" s="5" t="str">
        <f>IFERROR(__xludf.DUMMYFUNCTION("""COMPUTED_VALUE"""),"Yes")</f>
        <v>Yes</v>
      </c>
      <c r="G140" s="5" t="str">
        <f>IFERROR(__xludf.DUMMYFUNCTION("""COMPUTED_VALUE"""),"Yes")</f>
        <v>Yes</v>
      </c>
      <c r="H140" s="5" t="str">
        <f>IFERROR(__xludf.DUMMYFUNCTION("""COMPUTED_VALUE"""),"Yes")</f>
        <v>Yes</v>
      </c>
      <c r="I140" s="5" t="str">
        <f>IFERROR(__xludf.DUMMYFUNCTION("""COMPUTED_VALUE"""),"Yes")</f>
        <v>Yes</v>
      </c>
      <c r="J140" s="5" t="str">
        <f>IFERROR(__xludf.DUMMYFUNCTION("""COMPUTED_VALUE"""),"Yes")</f>
        <v>Yes</v>
      </c>
      <c r="K140" s="5" t="str">
        <f>IFERROR(__xludf.DUMMYFUNCTION("""COMPUTED_VALUE"""),"Yes")</f>
        <v>Yes</v>
      </c>
      <c r="L140" s="5" t="str">
        <f>IFERROR(__xludf.DUMMYFUNCTION("""COMPUTED_VALUE"""),"Yes")</f>
        <v>Yes</v>
      </c>
      <c r="M140" s="5" t="str">
        <f>IFERROR(__xludf.DUMMYFUNCTION("""COMPUTED_VALUE"""),"Yes")</f>
        <v>Yes</v>
      </c>
      <c r="N140" s="5" t="str">
        <f>IFERROR(__xludf.DUMMYFUNCTION("""COMPUTED_VALUE"""),"Yes")</f>
        <v>Yes</v>
      </c>
      <c r="O140" s="5" t="str">
        <f>IFERROR(__xludf.DUMMYFUNCTION("""COMPUTED_VALUE"""),"Yes")</f>
        <v>Yes</v>
      </c>
      <c r="P140" s="5" t="str">
        <f>IFERROR(__xludf.DUMMYFUNCTION("""COMPUTED_VALUE"""),"Yes")</f>
        <v>Yes</v>
      </c>
      <c r="Q140" s="5" t="str">
        <f>IFERROR(__xludf.DUMMYFUNCTION("""COMPUTED_VALUE"""),"Yes")</f>
        <v>Yes</v>
      </c>
      <c r="R140" s="5" t="str">
        <f>IFERROR(__xludf.DUMMYFUNCTION("""COMPUTED_VALUE"""),"Yes")</f>
        <v>Yes</v>
      </c>
      <c r="S140" s="5" t="str">
        <f>IFERROR(__xludf.DUMMYFUNCTION("""COMPUTED_VALUE"""),"Yes")</f>
        <v>Yes</v>
      </c>
      <c r="T140" s="5" t="str">
        <f>IFERROR(__xludf.DUMMYFUNCTION("""COMPUTED_VALUE"""),"Yes")</f>
        <v>Yes</v>
      </c>
      <c r="U140" s="5" t="str">
        <f>IFERROR(__xludf.DUMMYFUNCTION("""COMPUTED_VALUE"""),"Yes")</f>
        <v>Yes</v>
      </c>
      <c r="V140" s="5" t="str">
        <f>IFERROR(__xludf.DUMMYFUNCTION("""COMPUTED_VALUE"""),"Yes")</f>
        <v>Yes</v>
      </c>
      <c r="W140" s="5" t="str">
        <f>IFERROR(__xludf.DUMMYFUNCTION("""COMPUTED_VALUE"""),"Yes")</f>
        <v>Yes</v>
      </c>
      <c r="X140" s="5" t="str">
        <f>IFERROR(__xludf.DUMMYFUNCTION("""COMPUTED_VALUE"""),"Yes")</f>
        <v>Yes</v>
      </c>
      <c r="Y140" s="5" t="str">
        <f>IFERROR(__xludf.DUMMYFUNCTION("""COMPUTED_VALUE"""),"Yes")</f>
        <v>Yes</v>
      </c>
      <c r="Z140" s="5" t="str">
        <f>IFERROR(__xludf.DUMMYFUNCTION("""COMPUTED_VALUE"""),"Yes")</f>
        <v>Yes</v>
      </c>
      <c r="AA140" s="5" t="str">
        <f>IFERROR(__xludf.DUMMYFUNCTION("""COMPUTED_VALUE"""),"Yes")</f>
        <v>Yes</v>
      </c>
      <c r="AB140" s="5" t="str">
        <f>IFERROR(__xludf.DUMMYFUNCTION("""COMPUTED_VALUE"""),"Yes")</f>
        <v>Yes</v>
      </c>
      <c r="AC140" s="5" t="str">
        <f>IFERROR(__xludf.DUMMYFUNCTION("""COMPUTED_VALUE"""),"No")</f>
        <v>No</v>
      </c>
    </row>
    <row r="141">
      <c r="A141" s="5" t="str">
        <f>IFERROR(__xludf.DUMMYFUNCTION("""COMPUTED_VALUE"""),"FruityHot")</f>
        <v>FruityHot</v>
      </c>
      <c r="B1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1" s="5" t="str">
        <f>IFERROR(__xludf.DUMMYFUNCTION("""COMPUTED_VALUE"""),"Yes")</f>
        <v>Yes</v>
      </c>
      <c r="D141" s="5" t="str">
        <f>IFERROR(__xludf.DUMMYFUNCTION("""COMPUTED_VALUE"""),"Yes")</f>
        <v>Yes</v>
      </c>
      <c r="E141" s="5" t="str">
        <f>IFERROR(__xludf.DUMMYFUNCTION("""COMPUTED_VALUE"""),"Yes")</f>
        <v>Yes</v>
      </c>
      <c r="F141" s="5" t="str">
        <f>IFERROR(__xludf.DUMMYFUNCTION("""COMPUTED_VALUE"""),"Yes")</f>
        <v>Yes</v>
      </c>
      <c r="G141" s="5" t="str">
        <f>IFERROR(__xludf.DUMMYFUNCTION("""COMPUTED_VALUE"""),"Yes")</f>
        <v>Yes</v>
      </c>
      <c r="H141" s="5" t="str">
        <f>IFERROR(__xludf.DUMMYFUNCTION("""COMPUTED_VALUE"""),"Yes")</f>
        <v>Yes</v>
      </c>
      <c r="I141" s="5" t="str">
        <f>IFERROR(__xludf.DUMMYFUNCTION("""COMPUTED_VALUE"""),"Yes")</f>
        <v>Yes</v>
      </c>
      <c r="J141" s="5" t="str">
        <f>IFERROR(__xludf.DUMMYFUNCTION("""COMPUTED_VALUE"""),"Yes")</f>
        <v>Yes</v>
      </c>
      <c r="K141" s="5" t="str">
        <f>IFERROR(__xludf.DUMMYFUNCTION("""COMPUTED_VALUE"""),"Yes")</f>
        <v>Yes</v>
      </c>
      <c r="L141" s="5" t="str">
        <f>IFERROR(__xludf.DUMMYFUNCTION("""COMPUTED_VALUE"""),"Yes")</f>
        <v>Yes</v>
      </c>
      <c r="M141" s="5" t="str">
        <f>IFERROR(__xludf.DUMMYFUNCTION("""COMPUTED_VALUE"""),"Yes")</f>
        <v>Yes</v>
      </c>
      <c r="N141" s="5" t="str">
        <f>IFERROR(__xludf.DUMMYFUNCTION("""COMPUTED_VALUE"""),"Yes")</f>
        <v>Yes</v>
      </c>
      <c r="O141" s="5" t="str">
        <f>IFERROR(__xludf.DUMMYFUNCTION("""COMPUTED_VALUE"""),"Yes")</f>
        <v>Yes</v>
      </c>
      <c r="P141" s="5" t="str">
        <f>IFERROR(__xludf.DUMMYFUNCTION("""COMPUTED_VALUE"""),"Yes")</f>
        <v>Yes</v>
      </c>
      <c r="Q141" s="5" t="str">
        <f>IFERROR(__xludf.DUMMYFUNCTION("""COMPUTED_VALUE"""),"Yes")</f>
        <v>Yes</v>
      </c>
      <c r="R141" s="5" t="str">
        <f>IFERROR(__xludf.DUMMYFUNCTION("""COMPUTED_VALUE"""),"Yes")</f>
        <v>Yes</v>
      </c>
      <c r="S141" s="5" t="str">
        <f>IFERROR(__xludf.DUMMYFUNCTION("""COMPUTED_VALUE"""),"Yes")</f>
        <v>Yes</v>
      </c>
      <c r="T141" s="5" t="str">
        <f>IFERROR(__xludf.DUMMYFUNCTION("""COMPUTED_VALUE"""),"Yes")</f>
        <v>Yes</v>
      </c>
      <c r="U141" s="5" t="str">
        <f>IFERROR(__xludf.DUMMYFUNCTION("""COMPUTED_VALUE"""),"Yes")</f>
        <v>Yes</v>
      </c>
      <c r="V141" s="5" t="str">
        <f>IFERROR(__xludf.DUMMYFUNCTION("""COMPUTED_VALUE"""),"Yes")</f>
        <v>Yes</v>
      </c>
      <c r="W141" s="5" t="str">
        <f>IFERROR(__xludf.DUMMYFUNCTION("""COMPUTED_VALUE"""),"Yes")</f>
        <v>Yes</v>
      </c>
      <c r="X141" s="5" t="str">
        <f>IFERROR(__xludf.DUMMYFUNCTION("""COMPUTED_VALUE"""),"Yes")</f>
        <v>Yes</v>
      </c>
      <c r="Y141" s="5" t="str">
        <f>IFERROR(__xludf.DUMMYFUNCTION("""COMPUTED_VALUE"""),"Yes")</f>
        <v>Yes</v>
      </c>
      <c r="Z141" s="5" t="str">
        <f>IFERROR(__xludf.DUMMYFUNCTION("""COMPUTED_VALUE"""),"Yes")</f>
        <v>Yes</v>
      </c>
      <c r="AA141" s="5" t="str">
        <f>IFERROR(__xludf.DUMMYFUNCTION("""COMPUTED_VALUE"""),"Yes")</f>
        <v>Yes</v>
      </c>
      <c r="AB141" s="5" t="str">
        <f>IFERROR(__xludf.DUMMYFUNCTION("""COMPUTED_VALUE"""),"Yes")</f>
        <v>Yes</v>
      </c>
      <c r="AC141" s="5" t="str">
        <f>IFERROR(__xludf.DUMMYFUNCTION("""COMPUTED_VALUE"""),"No")</f>
        <v>No</v>
      </c>
    </row>
    <row r="142">
      <c r="A142" s="5" t="str">
        <f>IFERROR(__xludf.DUMMYFUNCTION("""COMPUTED_VALUE"""),"ActionHot40")</f>
        <v>ActionHot40</v>
      </c>
      <c r="B1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2" s="5" t="str">
        <f>IFERROR(__xludf.DUMMYFUNCTION("""COMPUTED_VALUE"""),"Yes")</f>
        <v>Yes</v>
      </c>
      <c r="D142" s="5" t="str">
        <f>IFERROR(__xludf.DUMMYFUNCTION("""COMPUTED_VALUE"""),"Yes")</f>
        <v>Yes</v>
      </c>
      <c r="E142" s="5" t="str">
        <f>IFERROR(__xludf.DUMMYFUNCTION("""COMPUTED_VALUE"""),"Yes")</f>
        <v>Yes</v>
      </c>
      <c r="F142" s="5" t="str">
        <f>IFERROR(__xludf.DUMMYFUNCTION("""COMPUTED_VALUE"""),"Yes")</f>
        <v>Yes</v>
      </c>
      <c r="G142" s="5" t="str">
        <f>IFERROR(__xludf.DUMMYFUNCTION("""COMPUTED_VALUE"""),"Yes")</f>
        <v>Yes</v>
      </c>
      <c r="H142" s="5" t="str">
        <f>IFERROR(__xludf.DUMMYFUNCTION("""COMPUTED_VALUE"""),"Yes")</f>
        <v>Yes</v>
      </c>
      <c r="I142" s="5" t="str">
        <f>IFERROR(__xludf.DUMMYFUNCTION("""COMPUTED_VALUE"""),"Yes")</f>
        <v>Yes</v>
      </c>
      <c r="J142" s="5" t="str">
        <f>IFERROR(__xludf.DUMMYFUNCTION("""COMPUTED_VALUE"""),"Yes")</f>
        <v>Yes</v>
      </c>
      <c r="K142" s="5" t="str">
        <f>IFERROR(__xludf.DUMMYFUNCTION("""COMPUTED_VALUE"""),"Yes")</f>
        <v>Yes</v>
      </c>
      <c r="L142" s="5" t="str">
        <f>IFERROR(__xludf.DUMMYFUNCTION("""COMPUTED_VALUE"""),"Yes")</f>
        <v>Yes</v>
      </c>
      <c r="M142" s="5" t="str">
        <f>IFERROR(__xludf.DUMMYFUNCTION("""COMPUTED_VALUE"""),"Yes")</f>
        <v>Yes</v>
      </c>
      <c r="N142" s="5" t="str">
        <f>IFERROR(__xludf.DUMMYFUNCTION("""COMPUTED_VALUE"""),"Yes")</f>
        <v>Yes</v>
      </c>
      <c r="O142" s="5" t="str">
        <f>IFERROR(__xludf.DUMMYFUNCTION("""COMPUTED_VALUE"""),"Yes")</f>
        <v>Yes</v>
      </c>
      <c r="P142" s="5" t="str">
        <f>IFERROR(__xludf.DUMMYFUNCTION("""COMPUTED_VALUE"""),"Yes")</f>
        <v>Yes</v>
      </c>
      <c r="Q142" s="5" t="str">
        <f>IFERROR(__xludf.DUMMYFUNCTION("""COMPUTED_VALUE"""),"Yes")</f>
        <v>Yes</v>
      </c>
      <c r="R142" s="5" t="str">
        <f>IFERROR(__xludf.DUMMYFUNCTION("""COMPUTED_VALUE"""),"Yes")</f>
        <v>Yes</v>
      </c>
      <c r="S142" s="5" t="str">
        <f>IFERROR(__xludf.DUMMYFUNCTION("""COMPUTED_VALUE"""),"Yes")</f>
        <v>Yes</v>
      </c>
      <c r="T142" s="5" t="str">
        <f>IFERROR(__xludf.DUMMYFUNCTION("""COMPUTED_VALUE"""),"Yes")</f>
        <v>Yes</v>
      </c>
      <c r="U142" s="5" t="str">
        <f>IFERROR(__xludf.DUMMYFUNCTION("""COMPUTED_VALUE"""),"Yes")</f>
        <v>Yes</v>
      </c>
      <c r="V142" s="5" t="str">
        <f>IFERROR(__xludf.DUMMYFUNCTION("""COMPUTED_VALUE"""),"Yes")</f>
        <v>Yes</v>
      </c>
      <c r="W142" s="5" t="str">
        <f>IFERROR(__xludf.DUMMYFUNCTION("""COMPUTED_VALUE"""),"Yes")</f>
        <v>Yes</v>
      </c>
      <c r="X142" s="5" t="str">
        <f>IFERROR(__xludf.DUMMYFUNCTION("""COMPUTED_VALUE"""),"Yes")</f>
        <v>Yes</v>
      </c>
      <c r="Y142" s="5" t="str">
        <f>IFERROR(__xludf.DUMMYFUNCTION("""COMPUTED_VALUE"""),"Yes")</f>
        <v>Yes</v>
      </c>
      <c r="Z142" s="5" t="str">
        <f>IFERROR(__xludf.DUMMYFUNCTION("""COMPUTED_VALUE"""),"Yes")</f>
        <v>Yes</v>
      </c>
      <c r="AA142" s="5" t="str">
        <f>IFERROR(__xludf.DUMMYFUNCTION("""COMPUTED_VALUE"""),"Yes")</f>
        <v>Yes</v>
      </c>
      <c r="AB142" s="5" t="str">
        <f>IFERROR(__xludf.DUMMYFUNCTION("""COMPUTED_VALUE"""),"Yes")</f>
        <v>Yes</v>
      </c>
      <c r="AC142" s="5"/>
    </row>
    <row r="143">
      <c r="A143" s="5" t="str">
        <f>IFERROR(__xludf.DUMMYFUNCTION("""COMPUTED_VALUE"""),"TurboPinn40")</f>
        <v>TurboPinn40</v>
      </c>
      <c r="B1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3" s="5" t="str">
        <f>IFERROR(__xludf.DUMMYFUNCTION("""COMPUTED_VALUE"""),"Yes")</f>
        <v>Yes</v>
      </c>
      <c r="D143" s="5" t="str">
        <f>IFERROR(__xludf.DUMMYFUNCTION("""COMPUTED_VALUE"""),"Yes")</f>
        <v>Yes</v>
      </c>
      <c r="E143" s="5" t="str">
        <f>IFERROR(__xludf.DUMMYFUNCTION("""COMPUTED_VALUE"""),"Yes")</f>
        <v>Yes</v>
      </c>
      <c r="F143" s="5" t="str">
        <f>IFERROR(__xludf.DUMMYFUNCTION("""COMPUTED_VALUE"""),"Yes")</f>
        <v>Yes</v>
      </c>
      <c r="G143" s="5" t="str">
        <f>IFERROR(__xludf.DUMMYFUNCTION("""COMPUTED_VALUE"""),"Yes")</f>
        <v>Yes</v>
      </c>
      <c r="H143" s="5" t="str">
        <f>IFERROR(__xludf.DUMMYFUNCTION("""COMPUTED_VALUE"""),"Yes")</f>
        <v>Yes</v>
      </c>
      <c r="I143" s="5" t="str">
        <f>IFERROR(__xludf.DUMMYFUNCTION("""COMPUTED_VALUE"""),"Yes")</f>
        <v>Yes</v>
      </c>
      <c r="J143" s="5" t="str">
        <f>IFERROR(__xludf.DUMMYFUNCTION("""COMPUTED_VALUE"""),"Yes")</f>
        <v>Yes</v>
      </c>
      <c r="K143" s="5" t="str">
        <f>IFERROR(__xludf.DUMMYFUNCTION("""COMPUTED_VALUE"""),"Yes")</f>
        <v>Yes</v>
      </c>
      <c r="L143" s="5" t="str">
        <f>IFERROR(__xludf.DUMMYFUNCTION("""COMPUTED_VALUE"""),"Yes")</f>
        <v>Yes</v>
      </c>
      <c r="M143" s="5" t="str">
        <f>IFERROR(__xludf.DUMMYFUNCTION("""COMPUTED_VALUE"""),"Yes")</f>
        <v>Yes</v>
      </c>
      <c r="N143" s="5" t="str">
        <f>IFERROR(__xludf.DUMMYFUNCTION("""COMPUTED_VALUE"""),"Yes")</f>
        <v>Yes</v>
      </c>
      <c r="O143" s="5" t="str">
        <f>IFERROR(__xludf.DUMMYFUNCTION("""COMPUTED_VALUE"""),"Yes")</f>
        <v>Yes</v>
      </c>
      <c r="P143" s="5" t="str">
        <f>IFERROR(__xludf.DUMMYFUNCTION("""COMPUTED_VALUE"""),"Yes")</f>
        <v>Yes</v>
      </c>
      <c r="Q143" s="5" t="str">
        <f>IFERROR(__xludf.DUMMYFUNCTION("""COMPUTED_VALUE"""),"Yes")</f>
        <v>Yes</v>
      </c>
      <c r="R143" s="5" t="str">
        <f>IFERROR(__xludf.DUMMYFUNCTION("""COMPUTED_VALUE"""),"Yes")</f>
        <v>Yes</v>
      </c>
      <c r="S143" s="5" t="str">
        <f>IFERROR(__xludf.DUMMYFUNCTION("""COMPUTED_VALUE"""),"Yes")</f>
        <v>Yes</v>
      </c>
      <c r="T143" s="5" t="str">
        <f>IFERROR(__xludf.DUMMYFUNCTION("""COMPUTED_VALUE"""),"Yes")</f>
        <v>Yes</v>
      </c>
      <c r="U143" s="5" t="str">
        <f>IFERROR(__xludf.DUMMYFUNCTION("""COMPUTED_VALUE"""),"Yes")</f>
        <v>Yes</v>
      </c>
      <c r="V143" s="5" t="str">
        <f>IFERROR(__xludf.DUMMYFUNCTION("""COMPUTED_VALUE"""),"Yes")</f>
        <v>Yes</v>
      </c>
      <c r="W143" s="5" t="str">
        <f>IFERROR(__xludf.DUMMYFUNCTION("""COMPUTED_VALUE"""),"Yes")</f>
        <v>Yes</v>
      </c>
      <c r="X143" s="5" t="str">
        <f>IFERROR(__xludf.DUMMYFUNCTION("""COMPUTED_VALUE"""),"Yes")</f>
        <v>Yes</v>
      </c>
      <c r="Y143" s="5" t="str">
        <f>IFERROR(__xludf.DUMMYFUNCTION("""COMPUTED_VALUE"""),"Yes")</f>
        <v>Yes</v>
      </c>
      <c r="Z143" s="5" t="str">
        <f>IFERROR(__xludf.DUMMYFUNCTION("""COMPUTED_VALUE"""),"Yes")</f>
        <v>Yes</v>
      </c>
      <c r="AA143" s="5" t="str">
        <f>IFERROR(__xludf.DUMMYFUNCTION("""COMPUTED_VALUE"""),"Yes")</f>
        <v>Yes</v>
      </c>
      <c r="AB143" s="5" t="str">
        <f>IFERROR(__xludf.DUMMYFUNCTION("""COMPUTED_VALUE"""),"Yes")</f>
        <v>Yes</v>
      </c>
      <c r="AC143" s="5" t="str">
        <f>IFERROR(__xludf.DUMMYFUNCTION("""COMPUTED_VALUE"""),"No")</f>
        <v>No</v>
      </c>
    </row>
    <row r="144">
      <c r="A144" s="5" t="str">
        <f>IFERROR(__xludf.DUMMYFUNCTION("""COMPUTED_VALUE"""),"StarsOfOktagon")</f>
        <v>StarsOfOktagon</v>
      </c>
      <c r="B1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4" s="5" t="str">
        <f>IFERROR(__xludf.DUMMYFUNCTION("""COMPUTED_VALUE"""),"Yes")</f>
        <v>Yes</v>
      </c>
      <c r="D144" s="5" t="str">
        <f>IFERROR(__xludf.DUMMYFUNCTION("""COMPUTED_VALUE"""),"Yes")</f>
        <v>Yes</v>
      </c>
      <c r="E144" s="5" t="str">
        <f>IFERROR(__xludf.DUMMYFUNCTION("""COMPUTED_VALUE"""),"Yes")</f>
        <v>Yes</v>
      </c>
      <c r="F144" s="5" t="str">
        <f>IFERROR(__xludf.DUMMYFUNCTION("""COMPUTED_VALUE"""),"Yes")</f>
        <v>Yes</v>
      </c>
      <c r="G144" s="5" t="str">
        <f>IFERROR(__xludf.DUMMYFUNCTION("""COMPUTED_VALUE"""),"Yes")</f>
        <v>Yes</v>
      </c>
      <c r="H144" s="5" t="str">
        <f>IFERROR(__xludf.DUMMYFUNCTION("""COMPUTED_VALUE"""),"Yes")</f>
        <v>Yes</v>
      </c>
      <c r="I144" s="5" t="str">
        <f>IFERROR(__xludf.DUMMYFUNCTION("""COMPUTED_VALUE"""),"Yes")</f>
        <v>Yes</v>
      </c>
      <c r="J144" s="5" t="str">
        <f>IFERROR(__xludf.DUMMYFUNCTION("""COMPUTED_VALUE"""),"Yes")</f>
        <v>Yes</v>
      </c>
      <c r="K144" s="5" t="str">
        <f>IFERROR(__xludf.DUMMYFUNCTION("""COMPUTED_VALUE"""),"Yes")</f>
        <v>Yes</v>
      </c>
      <c r="L144" s="5" t="str">
        <f>IFERROR(__xludf.DUMMYFUNCTION("""COMPUTED_VALUE"""),"Yes")</f>
        <v>Yes</v>
      </c>
      <c r="M144" s="5" t="str">
        <f>IFERROR(__xludf.DUMMYFUNCTION("""COMPUTED_VALUE"""),"Yes")</f>
        <v>Yes</v>
      </c>
      <c r="N144" s="5" t="str">
        <f>IFERROR(__xludf.DUMMYFUNCTION("""COMPUTED_VALUE"""),"Yes")</f>
        <v>Yes</v>
      </c>
      <c r="O144" s="5" t="str">
        <f>IFERROR(__xludf.DUMMYFUNCTION("""COMPUTED_VALUE"""),"Yes")</f>
        <v>Yes</v>
      </c>
      <c r="P144" s="5" t="str">
        <f>IFERROR(__xludf.DUMMYFUNCTION("""COMPUTED_VALUE"""),"Yes")</f>
        <v>Yes</v>
      </c>
      <c r="Q144" s="5" t="str">
        <f>IFERROR(__xludf.DUMMYFUNCTION("""COMPUTED_VALUE"""),"Yes")</f>
        <v>Yes</v>
      </c>
      <c r="R144" s="5" t="str">
        <f>IFERROR(__xludf.DUMMYFUNCTION("""COMPUTED_VALUE"""),"Yes")</f>
        <v>Yes</v>
      </c>
      <c r="S144" s="5" t="str">
        <f>IFERROR(__xludf.DUMMYFUNCTION("""COMPUTED_VALUE"""),"Yes")</f>
        <v>Yes</v>
      </c>
      <c r="T144" s="5" t="str">
        <f>IFERROR(__xludf.DUMMYFUNCTION("""COMPUTED_VALUE"""),"Yes")</f>
        <v>Yes</v>
      </c>
      <c r="U144" s="5" t="str">
        <f>IFERROR(__xludf.DUMMYFUNCTION("""COMPUTED_VALUE"""),"Yes")</f>
        <v>Yes</v>
      </c>
      <c r="V144" s="5" t="str">
        <f>IFERROR(__xludf.DUMMYFUNCTION("""COMPUTED_VALUE"""),"Yes")</f>
        <v>Yes</v>
      </c>
      <c r="W144" s="5" t="str">
        <f>IFERROR(__xludf.DUMMYFUNCTION("""COMPUTED_VALUE"""),"Yes")</f>
        <v>Yes</v>
      </c>
      <c r="X144" s="5" t="str">
        <f>IFERROR(__xludf.DUMMYFUNCTION("""COMPUTED_VALUE"""),"Yes")</f>
        <v>Yes</v>
      </c>
      <c r="Y144" s="5" t="str">
        <f>IFERROR(__xludf.DUMMYFUNCTION("""COMPUTED_VALUE"""),"Yes")</f>
        <v>Yes</v>
      </c>
      <c r="Z144" s="5" t="str">
        <f>IFERROR(__xludf.DUMMYFUNCTION("""COMPUTED_VALUE"""),"Yes")</f>
        <v>Yes</v>
      </c>
      <c r="AA144" s="5" t="str">
        <f>IFERROR(__xludf.DUMMYFUNCTION("""COMPUTED_VALUE"""),"Yes")</f>
        <v>Yes</v>
      </c>
      <c r="AB144" s="5" t="str">
        <f>IFERROR(__xludf.DUMMYFUNCTION("""COMPUTED_VALUE"""),"Yes")</f>
        <v>Yes</v>
      </c>
      <c r="AC144" s="5" t="str">
        <f>IFERROR(__xludf.DUMMYFUNCTION("""COMPUTED_VALUE"""),"No")</f>
        <v>No</v>
      </c>
    </row>
    <row r="145">
      <c r="A145" s="5" t="str">
        <f>IFERROR(__xludf.DUMMYFUNCTION("""COMPUTED_VALUE"""),"EyeOfTut")</f>
        <v>EyeOfTut</v>
      </c>
      <c r="B1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5" s="5" t="str">
        <f>IFERROR(__xludf.DUMMYFUNCTION("""COMPUTED_VALUE"""),"Yes")</f>
        <v>Yes</v>
      </c>
      <c r="D145" s="5" t="str">
        <f>IFERROR(__xludf.DUMMYFUNCTION("""COMPUTED_VALUE"""),"Yes")</f>
        <v>Yes</v>
      </c>
      <c r="E145" s="5" t="str">
        <f>IFERROR(__xludf.DUMMYFUNCTION("""COMPUTED_VALUE"""),"Yes")</f>
        <v>Yes</v>
      </c>
      <c r="F145" s="5" t="str">
        <f>IFERROR(__xludf.DUMMYFUNCTION("""COMPUTED_VALUE"""),"Yes")</f>
        <v>Yes</v>
      </c>
      <c r="G145" s="5" t="str">
        <f>IFERROR(__xludf.DUMMYFUNCTION("""COMPUTED_VALUE"""),"Yes")</f>
        <v>Yes</v>
      </c>
      <c r="H145" s="5" t="str">
        <f>IFERROR(__xludf.DUMMYFUNCTION("""COMPUTED_VALUE"""),"Yes")</f>
        <v>Yes</v>
      </c>
      <c r="I145" s="5" t="str">
        <f>IFERROR(__xludf.DUMMYFUNCTION("""COMPUTED_VALUE"""),"Yes")</f>
        <v>Yes</v>
      </c>
      <c r="J145" s="5" t="str">
        <f>IFERROR(__xludf.DUMMYFUNCTION("""COMPUTED_VALUE"""),"Yes")</f>
        <v>Yes</v>
      </c>
      <c r="K145" s="5" t="str">
        <f>IFERROR(__xludf.DUMMYFUNCTION("""COMPUTED_VALUE"""),"Yes")</f>
        <v>Yes</v>
      </c>
      <c r="L145" s="5" t="str">
        <f>IFERROR(__xludf.DUMMYFUNCTION("""COMPUTED_VALUE"""),"Yes")</f>
        <v>Yes</v>
      </c>
      <c r="M145" s="5" t="str">
        <f>IFERROR(__xludf.DUMMYFUNCTION("""COMPUTED_VALUE"""),"Yes")</f>
        <v>Yes</v>
      </c>
      <c r="N145" s="5" t="str">
        <f>IFERROR(__xludf.DUMMYFUNCTION("""COMPUTED_VALUE"""),"Yes")</f>
        <v>Yes</v>
      </c>
      <c r="O145" s="5" t="str">
        <f>IFERROR(__xludf.DUMMYFUNCTION("""COMPUTED_VALUE"""),"Yes")</f>
        <v>Yes</v>
      </c>
      <c r="P145" s="5" t="str">
        <f>IFERROR(__xludf.DUMMYFUNCTION("""COMPUTED_VALUE"""),"Yes")</f>
        <v>Yes</v>
      </c>
      <c r="Q145" s="5" t="str">
        <f>IFERROR(__xludf.DUMMYFUNCTION("""COMPUTED_VALUE"""),"Yes")</f>
        <v>Yes</v>
      </c>
      <c r="R145" s="5" t="str">
        <f>IFERROR(__xludf.DUMMYFUNCTION("""COMPUTED_VALUE"""),"Yes")</f>
        <v>Yes</v>
      </c>
      <c r="S145" s="5" t="str">
        <f>IFERROR(__xludf.DUMMYFUNCTION("""COMPUTED_VALUE"""),"Yes")</f>
        <v>Yes</v>
      </c>
      <c r="T145" s="5" t="str">
        <f>IFERROR(__xludf.DUMMYFUNCTION("""COMPUTED_VALUE"""),"Yes")</f>
        <v>Yes</v>
      </c>
      <c r="U145" s="5" t="str">
        <f>IFERROR(__xludf.DUMMYFUNCTION("""COMPUTED_VALUE"""),"Yes")</f>
        <v>Yes</v>
      </c>
      <c r="V145" s="5" t="str">
        <f>IFERROR(__xludf.DUMMYFUNCTION("""COMPUTED_VALUE"""),"Yes")</f>
        <v>Yes</v>
      </c>
      <c r="W145" s="5" t="str">
        <f>IFERROR(__xludf.DUMMYFUNCTION("""COMPUTED_VALUE"""),"Yes")</f>
        <v>Yes</v>
      </c>
      <c r="X145" s="5" t="str">
        <f>IFERROR(__xludf.DUMMYFUNCTION("""COMPUTED_VALUE"""),"Yes")</f>
        <v>Yes</v>
      </c>
      <c r="Y145" s="5" t="str">
        <f>IFERROR(__xludf.DUMMYFUNCTION("""COMPUTED_VALUE"""),"Yes")</f>
        <v>Yes</v>
      </c>
      <c r="Z145" s="5" t="str">
        <f>IFERROR(__xludf.DUMMYFUNCTION("""COMPUTED_VALUE"""),"Yes")</f>
        <v>Yes</v>
      </c>
      <c r="AA145" s="5" t="str">
        <f>IFERROR(__xludf.DUMMYFUNCTION("""COMPUTED_VALUE"""),"Yes")</f>
        <v>Yes</v>
      </c>
      <c r="AB145" s="5" t="str">
        <f>IFERROR(__xludf.DUMMYFUNCTION("""COMPUTED_VALUE"""),"Yes")</f>
        <v>Yes</v>
      </c>
      <c r="AC145" s="5" t="str">
        <f>IFERROR(__xludf.DUMMYFUNCTION("""COMPUTED_VALUE"""),"No")</f>
        <v>No</v>
      </c>
    </row>
    <row r="146">
      <c r="A146" s="5" t="str">
        <f>IFERROR(__xludf.DUMMYFUNCTION("""COMPUTED_VALUE"""),"FruityWin40")</f>
        <v>FruityWin40</v>
      </c>
      <c r="B1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6" s="5" t="str">
        <f>IFERROR(__xludf.DUMMYFUNCTION("""COMPUTED_VALUE"""),"Yes")</f>
        <v>Yes</v>
      </c>
      <c r="D146" s="5" t="str">
        <f>IFERROR(__xludf.DUMMYFUNCTION("""COMPUTED_VALUE"""),"Yes")</f>
        <v>Yes</v>
      </c>
      <c r="E146" s="5" t="str">
        <f>IFERROR(__xludf.DUMMYFUNCTION("""COMPUTED_VALUE"""),"Yes")</f>
        <v>Yes</v>
      </c>
      <c r="F146" s="5" t="str">
        <f>IFERROR(__xludf.DUMMYFUNCTION("""COMPUTED_VALUE"""),"Yes")</f>
        <v>Yes</v>
      </c>
      <c r="G146" s="5" t="str">
        <f>IFERROR(__xludf.DUMMYFUNCTION("""COMPUTED_VALUE"""),"Yes")</f>
        <v>Yes</v>
      </c>
      <c r="H146" s="5" t="str">
        <f>IFERROR(__xludf.DUMMYFUNCTION("""COMPUTED_VALUE"""),"Yes")</f>
        <v>Yes</v>
      </c>
      <c r="I146" s="5" t="str">
        <f>IFERROR(__xludf.DUMMYFUNCTION("""COMPUTED_VALUE"""),"Yes")</f>
        <v>Yes</v>
      </c>
      <c r="J146" s="5" t="str">
        <f>IFERROR(__xludf.DUMMYFUNCTION("""COMPUTED_VALUE"""),"Yes")</f>
        <v>Yes</v>
      </c>
      <c r="K146" s="5" t="str">
        <f>IFERROR(__xludf.DUMMYFUNCTION("""COMPUTED_VALUE"""),"Yes")</f>
        <v>Yes</v>
      </c>
      <c r="L146" s="5" t="str">
        <f>IFERROR(__xludf.DUMMYFUNCTION("""COMPUTED_VALUE"""),"Yes")</f>
        <v>Yes</v>
      </c>
      <c r="M146" s="5" t="str">
        <f>IFERROR(__xludf.DUMMYFUNCTION("""COMPUTED_VALUE"""),"Yes")</f>
        <v>Yes</v>
      </c>
      <c r="N146" s="5" t="str">
        <f>IFERROR(__xludf.DUMMYFUNCTION("""COMPUTED_VALUE"""),"Yes")</f>
        <v>Yes</v>
      </c>
      <c r="O146" s="5" t="str">
        <f>IFERROR(__xludf.DUMMYFUNCTION("""COMPUTED_VALUE"""),"Yes")</f>
        <v>Yes</v>
      </c>
      <c r="P146" s="5" t="str">
        <f>IFERROR(__xludf.DUMMYFUNCTION("""COMPUTED_VALUE"""),"Yes")</f>
        <v>Yes</v>
      </c>
      <c r="Q146" s="5" t="str">
        <f>IFERROR(__xludf.DUMMYFUNCTION("""COMPUTED_VALUE"""),"Yes")</f>
        <v>Yes</v>
      </c>
      <c r="R146" s="5" t="str">
        <f>IFERROR(__xludf.DUMMYFUNCTION("""COMPUTED_VALUE"""),"Yes")</f>
        <v>Yes</v>
      </c>
      <c r="S146" s="5" t="str">
        <f>IFERROR(__xludf.DUMMYFUNCTION("""COMPUTED_VALUE"""),"Yes")</f>
        <v>Yes</v>
      </c>
      <c r="T146" s="5" t="str">
        <f>IFERROR(__xludf.DUMMYFUNCTION("""COMPUTED_VALUE"""),"Yes")</f>
        <v>Yes</v>
      </c>
      <c r="U146" s="5" t="str">
        <f>IFERROR(__xludf.DUMMYFUNCTION("""COMPUTED_VALUE"""),"Yes")</f>
        <v>Yes</v>
      </c>
      <c r="V146" s="5" t="str">
        <f>IFERROR(__xludf.DUMMYFUNCTION("""COMPUTED_VALUE"""),"Yes")</f>
        <v>Yes</v>
      </c>
      <c r="W146" s="5" t="str">
        <f>IFERROR(__xludf.DUMMYFUNCTION("""COMPUTED_VALUE"""),"Yes")</f>
        <v>Yes</v>
      </c>
      <c r="X146" s="5" t="str">
        <f>IFERROR(__xludf.DUMMYFUNCTION("""COMPUTED_VALUE"""),"Yes")</f>
        <v>Yes</v>
      </c>
      <c r="Y146" s="5" t="str">
        <f>IFERROR(__xludf.DUMMYFUNCTION("""COMPUTED_VALUE"""),"Yes")</f>
        <v>Yes</v>
      </c>
      <c r="Z146" s="5" t="str">
        <f>IFERROR(__xludf.DUMMYFUNCTION("""COMPUTED_VALUE"""),"Yes")</f>
        <v>Yes</v>
      </c>
      <c r="AA146" s="5" t="str">
        <f>IFERROR(__xludf.DUMMYFUNCTION("""COMPUTED_VALUE"""),"Yes")</f>
        <v>Yes</v>
      </c>
      <c r="AB146" s="5" t="str">
        <f>IFERROR(__xludf.DUMMYFUNCTION("""COMPUTED_VALUE"""),"Yes")</f>
        <v>Yes</v>
      </c>
      <c r="AC146" s="5" t="str">
        <f>IFERROR(__xludf.DUMMYFUNCTION("""COMPUTED_VALUE"""),"No")</f>
        <v>No</v>
      </c>
    </row>
    <row r="147">
      <c r="A147" s="5" t="str">
        <f>IFERROR(__xludf.DUMMYFUNCTION("""COMPUTED_VALUE"""),"ActionHot20")</f>
        <v>ActionHot20</v>
      </c>
      <c r="B1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7" s="5" t="str">
        <f>IFERROR(__xludf.DUMMYFUNCTION("""COMPUTED_VALUE"""),"Yes")</f>
        <v>Yes</v>
      </c>
      <c r="D147" s="5" t="str">
        <f>IFERROR(__xludf.DUMMYFUNCTION("""COMPUTED_VALUE"""),"Yes")</f>
        <v>Yes</v>
      </c>
      <c r="E147" s="5" t="str">
        <f>IFERROR(__xludf.DUMMYFUNCTION("""COMPUTED_VALUE"""),"Yes")</f>
        <v>Yes</v>
      </c>
      <c r="F147" s="5" t="str">
        <f>IFERROR(__xludf.DUMMYFUNCTION("""COMPUTED_VALUE"""),"Yes")</f>
        <v>Yes</v>
      </c>
      <c r="G147" s="5" t="str">
        <f>IFERROR(__xludf.DUMMYFUNCTION("""COMPUTED_VALUE"""),"Yes")</f>
        <v>Yes</v>
      </c>
      <c r="H147" s="5" t="str">
        <f>IFERROR(__xludf.DUMMYFUNCTION("""COMPUTED_VALUE"""),"Yes")</f>
        <v>Yes</v>
      </c>
      <c r="I147" s="5" t="str">
        <f>IFERROR(__xludf.DUMMYFUNCTION("""COMPUTED_VALUE"""),"Yes")</f>
        <v>Yes</v>
      </c>
      <c r="J147" s="5" t="str">
        <f>IFERROR(__xludf.DUMMYFUNCTION("""COMPUTED_VALUE"""),"Yes")</f>
        <v>Yes</v>
      </c>
      <c r="K147" s="5" t="str">
        <f>IFERROR(__xludf.DUMMYFUNCTION("""COMPUTED_VALUE"""),"Yes")</f>
        <v>Yes</v>
      </c>
      <c r="L147" s="5" t="str">
        <f>IFERROR(__xludf.DUMMYFUNCTION("""COMPUTED_VALUE"""),"Yes")</f>
        <v>Yes</v>
      </c>
      <c r="M147" s="5" t="str">
        <f>IFERROR(__xludf.DUMMYFUNCTION("""COMPUTED_VALUE"""),"Yes")</f>
        <v>Yes</v>
      </c>
      <c r="N147" s="5" t="str">
        <f>IFERROR(__xludf.DUMMYFUNCTION("""COMPUTED_VALUE"""),"Yes")</f>
        <v>Yes</v>
      </c>
      <c r="O147" s="5" t="str">
        <f>IFERROR(__xludf.DUMMYFUNCTION("""COMPUTED_VALUE"""),"Yes")</f>
        <v>Yes</v>
      </c>
      <c r="P147" s="5" t="str">
        <f>IFERROR(__xludf.DUMMYFUNCTION("""COMPUTED_VALUE"""),"Yes")</f>
        <v>Yes</v>
      </c>
      <c r="Q147" s="5" t="str">
        <f>IFERROR(__xludf.DUMMYFUNCTION("""COMPUTED_VALUE"""),"Yes")</f>
        <v>Yes</v>
      </c>
      <c r="R147" s="5" t="str">
        <f>IFERROR(__xludf.DUMMYFUNCTION("""COMPUTED_VALUE"""),"Yes")</f>
        <v>Yes</v>
      </c>
      <c r="S147" s="5" t="str">
        <f>IFERROR(__xludf.DUMMYFUNCTION("""COMPUTED_VALUE"""),"Yes")</f>
        <v>Yes</v>
      </c>
      <c r="T147" s="5" t="str">
        <f>IFERROR(__xludf.DUMMYFUNCTION("""COMPUTED_VALUE"""),"Yes")</f>
        <v>Yes</v>
      </c>
      <c r="U147" s="5" t="str">
        <f>IFERROR(__xludf.DUMMYFUNCTION("""COMPUTED_VALUE"""),"Yes")</f>
        <v>Yes</v>
      </c>
      <c r="V147" s="5" t="str">
        <f>IFERROR(__xludf.DUMMYFUNCTION("""COMPUTED_VALUE"""),"Yes")</f>
        <v>Yes</v>
      </c>
      <c r="W147" s="5" t="str">
        <f>IFERROR(__xludf.DUMMYFUNCTION("""COMPUTED_VALUE"""),"Yes")</f>
        <v>Yes</v>
      </c>
      <c r="X147" s="5" t="str">
        <f>IFERROR(__xludf.DUMMYFUNCTION("""COMPUTED_VALUE"""),"Yes")</f>
        <v>Yes</v>
      </c>
      <c r="Y147" s="5" t="str">
        <f>IFERROR(__xludf.DUMMYFUNCTION("""COMPUTED_VALUE"""),"Yes")</f>
        <v>Yes</v>
      </c>
      <c r="Z147" s="5" t="str">
        <f>IFERROR(__xludf.DUMMYFUNCTION("""COMPUTED_VALUE"""),"Yes")</f>
        <v>Yes</v>
      </c>
      <c r="AA147" s="5" t="str">
        <f>IFERROR(__xludf.DUMMYFUNCTION("""COMPUTED_VALUE"""),"Yes")</f>
        <v>Yes</v>
      </c>
      <c r="AB147" s="5" t="str">
        <f>IFERROR(__xludf.DUMMYFUNCTION("""COMPUTED_VALUE"""),"Yes")</f>
        <v>Yes</v>
      </c>
      <c r="AC147" s="5"/>
    </row>
    <row r="148">
      <c r="A148" s="5" t="str">
        <f>IFERROR(__xludf.DUMMYFUNCTION("""COMPUTED_VALUE"""),"JokerQueen")</f>
        <v>JokerQueen</v>
      </c>
      <c r="B1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8" s="5" t="str">
        <f>IFERROR(__xludf.DUMMYFUNCTION("""COMPUTED_VALUE"""),"Yes")</f>
        <v>Yes</v>
      </c>
      <c r="D148" s="5" t="str">
        <f>IFERROR(__xludf.DUMMYFUNCTION("""COMPUTED_VALUE"""),"Yes")</f>
        <v>Yes</v>
      </c>
      <c r="E148" s="5" t="str">
        <f>IFERROR(__xludf.DUMMYFUNCTION("""COMPUTED_VALUE"""),"Yes")</f>
        <v>Yes</v>
      </c>
      <c r="F148" s="5" t="str">
        <f>IFERROR(__xludf.DUMMYFUNCTION("""COMPUTED_VALUE"""),"Yes")</f>
        <v>Yes</v>
      </c>
      <c r="G148" s="5" t="str">
        <f>IFERROR(__xludf.DUMMYFUNCTION("""COMPUTED_VALUE"""),"Yes")</f>
        <v>Yes</v>
      </c>
      <c r="H148" s="5" t="str">
        <f>IFERROR(__xludf.DUMMYFUNCTION("""COMPUTED_VALUE"""),"Yes")</f>
        <v>Yes</v>
      </c>
      <c r="I148" s="5" t="str">
        <f>IFERROR(__xludf.DUMMYFUNCTION("""COMPUTED_VALUE"""),"Yes")</f>
        <v>Yes</v>
      </c>
      <c r="J148" s="5" t="str">
        <f>IFERROR(__xludf.DUMMYFUNCTION("""COMPUTED_VALUE"""),"Yes")</f>
        <v>Yes</v>
      </c>
      <c r="K148" s="5" t="str">
        <f>IFERROR(__xludf.DUMMYFUNCTION("""COMPUTED_VALUE"""),"Yes")</f>
        <v>Yes</v>
      </c>
      <c r="L148" s="5" t="str">
        <f>IFERROR(__xludf.DUMMYFUNCTION("""COMPUTED_VALUE"""),"Yes")</f>
        <v>Yes</v>
      </c>
      <c r="M148" s="5" t="str">
        <f>IFERROR(__xludf.DUMMYFUNCTION("""COMPUTED_VALUE"""),"Yes")</f>
        <v>Yes</v>
      </c>
      <c r="N148" s="5" t="str">
        <f>IFERROR(__xludf.DUMMYFUNCTION("""COMPUTED_VALUE"""),"Yes")</f>
        <v>Yes</v>
      </c>
      <c r="O148" s="5" t="str">
        <f>IFERROR(__xludf.DUMMYFUNCTION("""COMPUTED_VALUE"""),"Yes")</f>
        <v>Yes</v>
      </c>
      <c r="P148" s="5" t="str">
        <f>IFERROR(__xludf.DUMMYFUNCTION("""COMPUTED_VALUE"""),"Yes")</f>
        <v>Yes</v>
      </c>
      <c r="Q148" s="5" t="str">
        <f>IFERROR(__xludf.DUMMYFUNCTION("""COMPUTED_VALUE"""),"Yes")</f>
        <v>Yes</v>
      </c>
      <c r="R148" s="5" t="str">
        <f>IFERROR(__xludf.DUMMYFUNCTION("""COMPUTED_VALUE"""),"Yes")</f>
        <v>Yes</v>
      </c>
      <c r="S148" s="5" t="str">
        <f>IFERROR(__xludf.DUMMYFUNCTION("""COMPUTED_VALUE"""),"Yes")</f>
        <v>Yes</v>
      </c>
      <c r="T148" s="5" t="str">
        <f>IFERROR(__xludf.DUMMYFUNCTION("""COMPUTED_VALUE"""),"Yes")</f>
        <v>Yes</v>
      </c>
      <c r="U148" s="5" t="str">
        <f>IFERROR(__xludf.DUMMYFUNCTION("""COMPUTED_VALUE"""),"Yes")</f>
        <v>Yes</v>
      </c>
      <c r="V148" s="5" t="str">
        <f>IFERROR(__xludf.DUMMYFUNCTION("""COMPUTED_VALUE"""),"Yes")</f>
        <v>Yes</v>
      </c>
      <c r="W148" s="5"/>
      <c r="X148" s="5"/>
      <c r="Y148" s="5"/>
      <c r="Z148" s="5" t="str">
        <f>IFERROR(__xludf.DUMMYFUNCTION("""COMPUTED_VALUE"""),"Yes")</f>
        <v>Yes</v>
      </c>
      <c r="AA148" s="5"/>
      <c r="AB148" s="5"/>
      <c r="AC148" s="5"/>
    </row>
    <row r="149">
      <c r="A149" s="5" t="str">
        <f>IFERROR(__xludf.DUMMYFUNCTION("""COMPUTED_VALUE"""),"RouletteOnDemand")</f>
        <v>RouletteOnDemand</v>
      </c>
      <c r="B1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9" s="5" t="str">
        <f>IFERROR(__xludf.DUMMYFUNCTION("""COMPUTED_VALUE"""),"Yes")</f>
        <v>Yes</v>
      </c>
      <c r="D149" s="5" t="str">
        <f>IFERROR(__xludf.DUMMYFUNCTION("""COMPUTED_VALUE"""),"Yes")</f>
        <v>Yes</v>
      </c>
      <c r="E149" s="5" t="str">
        <f>IFERROR(__xludf.DUMMYFUNCTION("""COMPUTED_VALUE"""),"Yes")</f>
        <v>Yes</v>
      </c>
      <c r="F149" s="5" t="str">
        <f>IFERROR(__xludf.DUMMYFUNCTION("""COMPUTED_VALUE"""),"Yes")</f>
        <v>Yes</v>
      </c>
      <c r="G149" s="5" t="str">
        <f>IFERROR(__xludf.DUMMYFUNCTION("""COMPUTED_VALUE"""),"Yes")</f>
        <v>Yes</v>
      </c>
      <c r="H149" s="5" t="str">
        <f>IFERROR(__xludf.DUMMYFUNCTION("""COMPUTED_VALUE"""),"Yes")</f>
        <v>Yes</v>
      </c>
      <c r="I149" s="5" t="str">
        <f>IFERROR(__xludf.DUMMYFUNCTION("""COMPUTED_VALUE"""),"Yes")</f>
        <v>Yes</v>
      </c>
      <c r="J149" s="5" t="str">
        <f>IFERROR(__xludf.DUMMYFUNCTION("""COMPUTED_VALUE"""),"Yes")</f>
        <v>Yes</v>
      </c>
      <c r="K149" s="5" t="str">
        <f>IFERROR(__xludf.DUMMYFUNCTION("""COMPUTED_VALUE"""),"Yes")</f>
        <v>Yes</v>
      </c>
      <c r="L149" s="5" t="str">
        <f>IFERROR(__xludf.DUMMYFUNCTION("""COMPUTED_VALUE"""),"Yes")</f>
        <v>Yes</v>
      </c>
      <c r="M149" s="5" t="str">
        <f>IFERROR(__xludf.DUMMYFUNCTION("""COMPUTED_VALUE"""),"Yes")</f>
        <v>Yes</v>
      </c>
      <c r="N149" s="5" t="str">
        <f>IFERROR(__xludf.DUMMYFUNCTION("""COMPUTED_VALUE"""),"Yes")</f>
        <v>Yes</v>
      </c>
      <c r="O149" s="5" t="str">
        <f>IFERROR(__xludf.DUMMYFUNCTION("""COMPUTED_VALUE"""),"Yes")</f>
        <v>Yes</v>
      </c>
      <c r="P149" s="5" t="str">
        <f>IFERROR(__xludf.DUMMYFUNCTION("""COMPUTED_VALUE"""),"Yes")</f>
        <v>Yes</v>
      </c>
      <c r="Q149" s="5" t="str">
        <f>IFERROR(__xludf.DUMMYFUNCTION("""COMPUTED_VALUE"""),"Yes")</f>
        <v>Yes</v>
      </c>
      <c r="R149" s="5" t="str">
        <f>IFERROR(__xludf.DUMMYFUNCTION("""COMPUTED_VALUE"""),"Yes")</f>
        <v>Yes</v>
      </c>
      <c r="S149" s="5" t="str">
        <f>IFERROR(__xludf.DUMMYFUNCTION("""COMPUTED_VALUE"""),"Yes")</f>
        <v>Yes</v>
      </c>
      <c r="T149" s="5" t="str">
        <f>IFERROR(__xludf.DUMMYFUNCTION("""COMPUTED_VALUE"""),"Yes")</f>
        <v>Yes</v>
      </c>
      <c r="U149" s="5" t="str">
        <f>IFERROR(__xludf.DUMMYFUNCTION("""COMPUTED_VALUE"""),"Yes")</f>
        <v>Yes</v>
      </c>
      <c r="V149" s="5" t="str">
        <f>IFERROR(__xludf.DUMMYFUNCTION("""COMPUTED_VALUE"""),"Yes")</f>
        <v>Yes</v>
      </c>
      <c r="W149" s="5"/>
      <c r="X149" s="5"/>
      <c r="Y149" s="5"/>
      <c r="Z149" s="5" t="str">
        <f>IFERROR(__xludf.DUMMYFUNCTION("""COMPUTED_VALUE"""),"Yes")</f>
        <v>Yes</v>
      </c>
      <c r="AA149" s="5"/>
      <c r="AB149" s="5"/>
      <c r="AC149" s="5"/>
    </row>
    <row r="150">
      <c r="A150" s="5" t="str">
        <f>IFERROR(__xludf.DUMMYFUNCTION("""COMPUTED_VALUE"""),"OlimpHot")</f>
        <v>OlimpHot</v>
      </c>
      <c r="B1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0" s="5" t="str">
        <f>IFERROR(__xludf.DUMMYFUNCTION("""COMPUTED_VALUE"""),"Yes")</f>
        <v>Yes</v>
      </c>
      <c r="D150" s="5" t="str">
        <f>IFERROR(__xludf.DUMMYFUNCTION("""COMPUTED_VALUE"""),"Yes")</f>
        <v>Yes</v>
      </c>
      <c r="E150" s="5" t="str">
        <f>IFERROR(__xludf.DUMMYFUNCTION("""COMPUTED_VALUE"""),"Yes")</f>
        <v>Yes</v>
      </c>
      <c r="F150" s="5" t="str">
        <f>IFERROR(__xludf.DUMMYFUNCTION("""COMPUTED_VALUE"""),"Yes")</f>
        <v>Yes</v>
      </c>
      <c r="G150" s="5" t="str">
        <f>IFERROR(__xludf.DUMMYFUNCTION("""COMPUTED_VALUE"""),"Yes")</f>
        <v>Yes</v>
      </c>
      <c r="H150" s="5" t="str">
        <f>IFERROR(__xludf.DUMMYFUNCTION("""COMPUTED_VALUE"""),"Yes")</f>
        <v>Yes</v>
      </c>
      <c r="I150" s="5" t="str">
        <f>IFERROR(__xludf.DUMMYFUNCTION("""COMPUTED_VALUE"""),"Yes")</f>
        <v>Yes</v>
      </c>
      <c r="J150" s="5" t="str">
        <f>IFERROR(__xludf.DUMMYFUNCTION("""COMPUTED_VALUE"""),"Yes")</f>
        <v>Yes</v>
      </c>
      <c r="K150" s="5" t="str">
        <f>IFERROR(__xludf.DUMMYFUNCTION("""COMPUTED_VALUE"""),"Yes")</f>
        <v>Yes</v>
      </c>
      <c r="L150" s="5" t="str">
        <f>IFERROR(__xludf.DUMMYFUNCTION("""COMPUTED_VALUE"""),"Yes")</f>
        <v>Yes</v>
      </c>
      <c r="M150" s="5" t="str">
        <f>IFERROR(__xludf.DUMMYFUNCTION("""COMPUTED_VALUE"""),"Yes")</f>
        <v>Yes</v>
      </c>
      <c r="N150" s="5" t="str">
        <f>IFERROR(__xludf.DUMMYFUNCTION("""COMPUTED_VALUE"""),"Yes")</f>
        <v>Yes</v>
      </c>
      <c r="O150" s="5" t="str">
        <f>IFERROR(__xludf.DUMMYFUNCTION("""COMPUTED_VALUE"""),"Yes")</f>
        <v>Yes</v>
      </c>
      <c r="P150" s="5" t="str">
        <f>IFERROR(__xludf.DUMMYFUNCTION("""COMPUTED_VALUE"""),"Yes")</f>
        <v>Yes</v>
      </c>
      <c r="Q150" s="5" t="str">
        <f>IFERROR(__xludf.DUMMYFUNCTION("""COMPUTED_VALUE"""),"Yes")</f>
        <v>Yes</v>
      </c>
      <c r="R150" s="5" t="str">
        <f>IFERROR(__xludf.DUMMYFUNCTION("""COMPUTED_VALUE"""),"Yes")</f>
        <v>Yes</v>
      </c>
      <c r="S150" s="5" t="str">
        <f>IFERROR(__xludf.DUMMYFUNCTION("""COMPUTED_VALUE"""),"Yes")</f>
        <v>Yes</v>
      </c>
      <c r="T150" s="5" t="str">
        <f>IFERROR(__xludf.DUMMYFUNCTION("""COMPUTED_VALUE"""),"Yes")</f>
        <v>Yes</v>
      </c>
      <c r="U150" s="5" t="str">
        <f>IFERROR(__xludf.DUMMYFUNCTION("""COMPUTED_VALUE"""),"Yes")</f>
        <v>Yes</v>
      </c>
      <c r="V150" s="5" t="str">
        <f>IFERROR(__xludf.DUMMYFUNCTION("""COMPUTED_VALUE"""),"Yes")</f>
        <v>Yes</v>
      </c>
      <c r="W150" s="5" t="str">
        <f>IFERROR(__xludf.DUMMYFUNCTION("""COMPUTED_VALUE"""),"Yes")</f>
        <v>Yes</v>
      </c>
      <c r="X150" s="5" t="str">
        <f>IFERROR(__xludf.DUMMYFUNCTION("""COMPUTED_VALUE"""),"Yes")</f>
        <v>Yes</v>
      </c>
      <c r="Y150" s="5" t="str">
        <f>IFERROR(__xludf.DUMMYFUNCTION("""COMPUTED_VALUE"""),"Yes")</f>
        <v>Yes</v>
      </c>
      <c r="Z150" s="5" t="str">
        <f>IFERROR(__xludf.DUMMYFUNCTION("""COMPUTED_VALUE"""),"Yes")</f>
        <v>Yes</v>
      </c>
      <c r="AA150" s="5" t="str">
        <f>IFERROR(__xludf.DUMMYFUNCTION("""COMPUTED_VALUE"""),"Yes")</f>
        <v>Yes</v>
      </c>
      <c r="AB150" s="5" t="str">
        <f>IFERROR(__xludf.DUMMYFUNCTION("""COMPUTED_VALUE"""),"Yes")</f>
        <v>Yes</v>
      </c>
      <c r="AC150" s="5" t="str">
        <f>IFERROR(__xludf.DUMMYFUNCTION("""COMPUTED_VALUE"""),"No")</f>
        <v>No</v>
      </c>
    </row>
    <row r="151">
      <c r="A151" s="5" t="str">
        <f>IFERROR(__xludf.DUMMYFUNCTION("""COMPUTED_VALUE"""),"CashBells40")</f>
        <v>CashBells40</v>
      </c>
      <c r="B1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1" s="5" t="str">
        <f>IFERROR(__xludf.DUMMYFUNCTION("""COMPUTED_VALUE"""),"Yes")</f>
        <v>Yes</v>
      </c>
      <c r="D151" s="5" t="str">
        <f>IFERROR(__xludf.DUMMYFUNCTION("""COMPUTED_VALUE"""),"Yes")</f>
        <v>Yes</v>
      </c>
      <c r="E151" s="5" t="str">
        <f>IFERROR(__xludf.DUMMYFUNCTION("""COMPUTED_VALUE"""),"Yes")</f>
        <v>Yes</v>
      </c>
      <c r="F151" s="5" t="str">
        <f>IFERROR(__xludf.DUMMYFUNCTION("""COMPUTED_VALUE"""),"Yes")</f>
        <v>Yes</v>
      </c>
      <c r="G151" s="5" t="str">
        <f>IFERROR(__xludf.DUMMYFUNCTION("""COMPUTED_VALUE"""),"Yes")</f>
        <v>Yes</v>
      </c>
      <c r="H151" s="5" t="str">
        <f>IFERROR(__xludf.DUMMYFUNCTION("""COMPUTED_VALUE"""),"Yes")</f>
        <v>Yes</v>
      </c>
      <c r="I151" s="5" t="str">
        <f>IFERROR(__xludf.DUMMYFUNCTION("""COMPUTED_VALUE"""),"Yes")</f>
        <v>Yes</v>
      </c>
      <c r="J151" s="5" t="str">
        <f>IFERROR(__xludf.DUMMYFUNCTION("""COMPUTED_VALUE"""),"Yes")</f>
        <v>Yes</v>
      </c>
      <c r="K151" s="5" t="str">
        <f>IFERROR(__xludf.DUMMYFUNCTION("""COMPUTED_VALUE"""),"Yes")</f>
        <v>Yes</v>
      </c>
      <c r="L151" s="5" t="str">
        <f>IFERROR(__xludf.DUMMYFUNCTION("""COMPUTED_VALUE"""),"Yes")</f>
        <v>Yes</v>
      </c>
      <c r="M151" s="5" t="str">
        <f>IFERROR(__xludf.DUMMYFUNCTION("""COMPUTED_VALUE"""),"Yes")</f>
        <v>Yes</v>
      </c>
      <c r="N151" s="5" t="str">
        <f>IFERROR(__xludf.DUMMYFUNCTION("""COMPUTED_VALUE"""),"Yes")</f>
        <v>Yes</v>
      </c>
      <c r="O151" s="5" t="str">
        <f>IFERROR(__xludf.DUMMYFUNCTION("""COMPUTED_VALUE"""),"Yes")</f>
        <v>Yes</v>
      </c>
      <c r="P151" s="5" t="str">
        <f>IFERROR(__xludf.DUMMYFUNCTION("""COMPUTED_VALUE"""),"Yes")</f>
        <v>Yes</v>
      </c>
      <c r="Q151" s="5" t="str">
        <f>IFERROR(__xludf.DUMMYFUNCTION("""COMPUTED_VALUE"""),"Yes")</f>
        <v>Yes</v>
      </c>
      <c r="R151" s="5" t="str">
        <f>IFERROR(__xludf.DUMMYFUNCTION("""COMPUTED_VALUE"""),"Yes")</f>
        <v>Yes</v>
      </c>
      <c r="S151" s="5" t="str">
        <f>IFERROR(__xludf.DUMMYFUNCTION("""COMPUTED_VALUE"""),"Yes")</f>
        <v>Yes</v>
      </c>
      <c r="T151" s="5" t="str">
        <f>IFERROR(__xludf.DUMMYFUNCTION("""COMPUTED_VALUE"""),"Yes")</f>
        <v>Yes</v>
      </c>
      <c r="U151" s="5" t="str">
        <f>IFERROR(__xludf.DUMMYFUNCTION("""COMPUTED_VALUE"""),"Yes")</f>
        <v>Yes</v>
      </c>
      <c r="V151" s="5" t="str">
        <f>IFERROR(__xludf.DUMMYFUNCTION("""COMPUTED_VALUE"""),"Yes")</f>
        <v>Yes</v>
      </c>
      <c r="W151" s="5"/>
      <c r="X151" s="5"/>
      <c r="Y151" s="5"/>
      <c r="Z151" s="5" t="str">
        <f>IFERROR(__xludf.DUMMYFUNCTION("""COMPUTED_VALUE"""),"Yes")</f>
        <v>Yes</v>
      </c>
      <c r="AA151" s="5"/>
      <c r="AB151" s="5"/>
      <c r="AC151" s="5"/>
    </row>
    <row r="152">
      <c r="A152" s="5" t="str">
        <f>IFERROR(__xludf.DUMMYFUNCTION("""COMPUTED_VALUE"""),"SimplyRunner")</f>
        <v>SimplyRunner</v>
      </c>
      <c r="B15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52" s="5" t="str">
        <f>IFERROR(__xludf.DUMMYFUNCTION("""COMPUTED_VALUE"""),"Yes")</f>
        <v>Yes</v>
      </c>
      <c r="D152" s="5" t="str">
        <f>IFERROR(__xludf.DUMMYFUNCTION("""COMPUTED_VALUE"""),"Yes")</f>
        <v>Yes</v>
      </c>
      <c r="E152" s="5" t="str">
        <f>IFERROR(__xludf.DUMMYFUNCTION("""COMPUTED_VALUE"""),"No")</f>
        <v>No</v>
      </c>
      <c r="F152" s="5" t="str">
        <f>IFERROR(__xludf.DUMMYFUNCTION("""COMPUTED_VALUE"""),"Yes")</f>
        <v>Yes</v>
      </c>
      <c r="G152" s="5" t="str">
        <f>IFERROR(__xludf.DUMMYFUNCTION("""COMPUTED_VALUE"""),"Yes")</f>
        <v>Yes</v>
      </c>
      <c r="H152" s="5" t="str">
        <f>IFERROR(__xludf.DUMMYFUNCTION("""COMPUTED_VALUE"""),"Yes")</f>
        <v>Yes</v>
      </c>
      <c r="I152" s="5" t="str">
        <f>IFERROR(__xludf.DUMMYFUNCTION("""COMPUTED_VALUE"""),"Yes")</f>
        <v>Yes</v>
      </c>
      <c r="J152" s="5" t="str">
        <f>IFERROR(__xludf.DUMMYFUNCTION("""COMPUTED_VALUE"""),"Yes")</f>
        <v>Yes</v>
      </c>
      <c r="K152" s="5" t="str">
        <f>IFERROR(__xludf.DUMMYFUNCTION("""COMPUTED_VALUE"""),"Yes")</f>
        <v>Yes</v>
      </c>
      <c r="L152" s="5" t="str">
        <f>IFERROR(__xludf.DUMMYFUNCTION("""COMPUTED_VALUE"""),"Yes")</f>
        <v>Yes</v>
      </c>
      <c r="M152" s="5" t="str">
        <f>IFERROR(__xludf.DUMMYFUNCTION("""COMPUTED_VALUE"""),"Yes")</f>
        <v>Yes</v>
      </c>
      <c r="N152" s="5" t="str">
        <f>IFERROR(__xludf.DUMMYFUNCTION("""COMPUTED_VALUE"""),"Yes")</f>
        <v>Yes</v>
      </c>
      <c r="O152" s="5" t="str">
        <f>IFERROR(__xludf.DUMMYFUNCTION("""COMPUTED_VALUE"""),"Yes")</f>
        <v>Yes</v>
      </c>
      <c r="P152" s="5" t="str">
        <f>IFERROR(__xludf.DUMMYFUNCTION("""COMPUTED_VALUE"""),"Yes")</f>
        <v>Yes</v>
      </c>
      <c r="Q152" s="5" t="str">
        <f>IFERROR(__xludf.DUMMYFUNCTION("""COMPUTED_VALUE"""),"Yes")</f>
        <v>Yes</v>
      </c>
      <c r="R152" s="5" t="str">
        <f>IFERROR(__xludf.DUMMYFUNCTION("""COMPUTED_VALUE"""),"No")</f>
        <v>No</v>
      </c>
      <c r="S152" s="5" t="str">
        <f>IFERROR(__xludf.DUMMYFUNCTION("""COMPUTED_VALUE"""),"No")</f>
        <v>No</v>
      </c>
      <c r="T152" s="5" t="str">
        <f>IFERROR(__xludf.DUMMYFUNCTION("""COMPUTED_VALUE"""),"No")</f>
        <v>No</v>
      </c>
      <c r="U152" s="5" t="str">
        <f>IFERROR(__xludf.DUMMYFUNCTION("""COMPUTED_VALUE"""),"No")</f>
        <v>No</v>
      </c>
      <c r="V152" s="5" t="str">
        <f>IFERROR(__xludf.DUMMYFUNCTION("""COMPUTED_VALUE"""),"No")</f>
        <v>No</v>
      </c>
      <c r="W152" s="5" t="str">
        <f>IFERROR(__xludf.DUMMYFUNCTION("""COMPUTED_VALUE"""),"No")</f>
        <v>No</v>
      </c>
      <c r="X152" s="5" t="str">
        <f>IFERROR(__xludf.DUMMYFUNCTION("""COMPUTED_VALUE"""),"No")</f>
        <v>No</v>
      </c>
      <c r="Y152" s="5" t="str">
        <f>IFERROR(__xludf.DUMMYFUNCTION("""COMPUTED_VALUE"""),"No")</f>
        <v>No</v>
      </c>
      <c r="Z152" s="5" t="str">
        <f>IFERROR(__xludf.DUMMYFUNCTION("""COMPUTED_VALUE"""),"No")</f>
        <v>No</v>
      </c>
      <c r="AA152" s="5" t="str">
        <f>IFERROR(__xludf.DUMMYFUNCTION("""COMPUTED_VALUE"""),"No")</f>
        <v>No</v>
      </c>
      <c r="AB152" s="5" t="str">
        <f>IFERROR(__xludf.DUMMYFUNCTION("""COMPUTED_VALUE"""),"Yes")</f>
        <v>Yes</v>
      </c>
      <c r="AC152" s="5" t="str">
        <f>IFERROR(__xludf.DUMMYFUNCTION("""COMPUTED_VALUE"""),"No")</f>
        <v>No</v>
      </c>
    </row>
    <row r="153">
      <c r="A153" s="5" t="str">
        <f>IFERROR(__xludf.DUMMYFUNCTION("""COMPUTED_VALUE"""),"Unicorn20MegaFlames")</f>
        <v>Unicorn20MegaFlames</v>
      </c>
      <c r="B1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3" s="5" t="str">
        <f>IFERROR(__xludf.DUMMYFUNCTION("""COMPUTED_VALUE"""),"Yes")</f>
        <v>Yes</v>
      </c>
      <c r="D153" s="5" t="str">
        <f>IFERROR(__xludf.DUMMYFUNCTION("""COMPUTED_VALUE"""),"Yes")</f>
        <v>Yes</v>
      </c>
      <c r="E153" s="5" t="str">
        <f>IFERROR(__xludf.DUMMYFUNCTION("""COMPUTED_VALUE"""),"Yes")</f>
        <v>Yes</v>
      </c>
      <c r="F153" s="5" t="str">
        <f>IFERROR(__xludf.DUMMYFUNCTION("""COMPUTED_VALUE"""),"Yes")</f>
        <v>Yes</v>
      </c>
      <c r="G153" s="5" t="str">
        <f>IFERROR(__xludf.DUMMYFUNCTION("""COMPUTED_VALUE"""),"Yes")</f>
        <v>Yes</v>
      </c>
      <c r="H153" s="5" t="str">
        <f>IFERROR(__xludf.DUMMYFUNCTION("""COMPUTED_VALUE"""),"Yes")</f>
        <v>Yes</v>
      </c>
      <c r="I153" s="5" t="str">
        <f>IFERROR(__xludf.DUMMYFUNCTION("""COMPUTED_VALUE"""),"Yes")</f>
        <v>Yes</v>
      </c>
      <c r="J153" s="5" t="str">
        <f>IFERROR(__xludf.DUMMYFUNCTION("""COMPUTED_VALUE"""),"Yes")</f>
        <v>Yes</v>
      </c>
      <c r="K153" s="5" t="str">
        <f>IFERROR(__xludf.DUMMYFUNCTION("""COMPUTED_VALUE"""),"Yes")</f>
        <v>Yes</v>
      </c>
      <c r="L153" s="5" t="str">
        <f>IFERROR(__xludf.DUMMYFUNCTION("""COMPUTED_VALUE"""),"Yes")</f>
        <v>Yes</v>
      </c>
      <c r="M153" s="5" t="str">
        <f>IFERROR(__xludf.DUMMYFUNCTION("""COMPUTED_VALUE"""),"Yes")</f>
        <v>Yes</v>
      </c>
      <c r="N153" s="5" t="str">
        <f>IFERROR(__xludf.DUMMYFUNCTION("""COMPUTED_VALUE"""),"Yes")</f>
        <v>Yes</v>
      </c>
      <c r="O153" s="5" t="str">
        <f>IFERROR(__xludf.DUMMYFUNCTION("""COMPUTED_VALUE"""),"Yes")</f>
        <v>Yes</v>
      </c>
      <c r="P153" s="5" t="str">
        <f>IFERROR(__xludf.DUMMYFUNCTION("""COMPUTED_VALUE"""),"Yes")</f>
        <v>Yes</v>
      </c>
      <c r="Q153" s="5" t="str">
        <f>IFERROR(__xludf.DUMMYFUNCTION("""COMPUTED_VALUE"""),"Yes")</f>
        <v>Yes</v>
      </c>
      <c r="R153" s="5" t="str">
        <f>IFERROR(__xludf.DUMMYFUNCTION("""COMPUTED_VALUE"""),"Yes")</f>
        <v>Yes</v>
      </c>
      <c r="S153" s="5" t="str">
        <f>IFERROR(__xludf.DUMMYFUNCTION("""COMPUTED_VALUE"""),"Yes")</f>
        <v>Yes</v>
      </c>
      <c r="T153" s="5" t="str">
        <f>IFERROR(__xludf.DUMMYFUNCTION("""COMPUTED_VALUE"""),"Yes")</f>
        <v>Yes</v>
      </c>
      <c r="U153" s="5" t="str">
        <f>IFERROR(__xludf.DUMMYFUNCTION("""COMPUTED_VALUE"""),"Yes")</f>
        <v>Yes</v>
      </c>
      <c r="V153" s="5" t="str">
        <f>IFERROR(__xludf.DUMMYFUNCTION("""COMPUTED_VALUE"""),"Yes")</f>
        <v>Yes</v>
      </c>
      <c r="W153" s="5"/>
      <c r="X153" s="5"/>
      <c r="Y153" s="5"/>
      <c r="Z153" s="5" t="str">
        <f>IFERROR(__xludf.DUMMYFUNCTION("""COMPUTED_VALUE"""),"Yes")</f>
        <v>Yes</v>
      </c>
      <c r="AA153" s="5"/>
      <c r="AB153" s="5"/>
      <c r="AC153" s="5"/>
    </row>
    <row r="154">
      <c r="A154" s="5" t="str">
        <f>IFERROR(__xludf.DUMMYFUNCTION("""COMPUTED_VALUE"""),"VeryHot20")</f>
        <v>VeryHot20</v>
      </c>
      <c r="B1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4" s="5" t="str">
        <f>IFERROR(__xludf.DUMMYFUNCTION("""COMPUTED_VALUE"""),"Yes")</f>
        <v>Yes</v>
      </c>
      <c r="D154" s="5" t="str">
        <f>IFERROR(__xludf.DUMMYFUNCTION("""COMPUTED_VALUE"""),"Yes")</f>
        <v>Yes</v>
      </c>
      <c r="E154" s="5" t="str">
        <f>IFERROR(__xludf.DUMMYFUNCTION("""COMPUTED_VALUE"""),"Yes")</f>
        <v>Yes</v>
      </c>
      <c r="F154" s="5" t="str">
        <f>IFERROR(__xludf.DUMMYFUNCTION("""COMPUTED_VALUE"""),"Yes")</f>
        <v>Yes</v>
      </c>
      <c r="G154" s="5" t="str">
        <f>IFERROR(__xludf.DUMMYFUNCTION("""COMPUTED_VALUE"""),"Yes")</f>
        <v>Yes</v>
      </c>
      <c r="H154" s="5" t="str">
        <f>IFERROR(__xludf.DUMMYFUNCTION("""COMPUTED_VALUE"""),"Yes")</f>
        <v>Yes</v>
      </c>
      <c r="I154" s="5" t="str">
        <f>IFERROR(__xludf.DUMMYFUNCTION("""COMPUTED_VALUE"""),"Yes")</f>
        <v>Yes</v>
      </c>
      <c r="J154" s="5" t="str">
        <f>IFERROR(__xludf.DUMMYFUNCTION("""COMPUTED_VALUE"""),"Yes")</f>
        <v>Yes</v>
      </c>
      <c r="K154" s="5" t="str">
        <f>IFERROR(__xludf.DUMMYFUNCTION("""COMPUTED_VALUE"""),"Yes")</f>
        <v>Yes</v>
      </c>
      <c r="L154" s="5" t="str">
        <f>IFERROR(__xludf.DUMMYFUNCTION("""COMPUTED_VALUE"""),"Yes")</f>
        <v>Yes</v>
      </c>
      <c r="M154" s="5" t="str">
        <f>IFERROR(__xludf.DUMMYFUNCTION("""COMPUTED_VALUE"""),"Yes")</f>
        <v>Yes</v>
      </c>
      <c r="N154" s="5" t="str">
        <f>IFERROR(__xludf.DUMMYFUNCTION("""COMPUTED_VALUE"""),"Yes")</f>
        <v>Yes</v>
      </c>
      <c r="O154" s="5" t="str">
        <f>IFERROR(__xludf.DUMMYFUNCTION("""COMPUTED_VALUE"""),"Yes")</f>
        <v>Yes</v>
      </c>
      <c r="P154" s="5" t="str">
        <f>IFERROR(__xludf.DUMMYFUNCTION("""COMPUTED_VALUE"""),"Yes")</f>
        <v>Yes</v>
      </c>
      <c r="Q154" s="5" t="str">
        <f>IFERROR(__xludf.DUMMYFUNCTION("""COMPUTED_VALUE"""),"Yes")</f>
        <v>Yes</v>
      </c>
      <c r="R154" s="5" t="str">
        <f>IFERROR(__xludf.DUMMYFUNCTION("""COMPUTED_VALUE"""),"Yes")</f>
        <v>Yes</v>
      </c>
      <c r="S154" s="5" t="str">
        <f>IFERROR(__xludf.DUMMYFUNCTION("""COMPUTED_VALUE"""),"Yes")</f>
        <v>Yes</v>
      </c>
      <c r="T154" s="5" t="str">
        <f>IFERROR(__xludf.DUMMYFUNCTION("""COMPUTED_VALUE"""),"Yes")</f>
        <v>Yes</v>
      </c>
      <c r="U154" s="5" t="str">
        <f>IFERROR(__xludf.DUMMYFUNCTION("""COMPUTED_VALUE"""),"Yes")</f>
        <v>Yes</v>
      </c>
      <c r="V154" s="5" t="str">
        <f>IFERROR(__xludf.DUMMYFUNCTION("""COMPUTED_VALUE"""),"Yes")</f>
        <v>Yes</v>
      </c>
      <c r="W154" s="5" t="str">
        <f>IFERROR(__xludf.DUMMYFUNCTION("""COMPUTED_VALUE"""),"Yes")</f>
        <v>Yes</v>
      </c>
      <c r="X154" s="5" t="str">
        <f>IFERROR(__xludf.DUMMYFUNCTION("""COMPUTED_VALUE"""),"Yes")</f>
        <v>Yes</v>
      </c>
      <c r="Y154" s="5" t="str">
        <f>IFERROR(__xludf.DUMMYFUNCTION("""COMPUTED_VALUE"""),"Yes")</f>
        <v>Yes</v>
      </c>
      <c r="Z154" s="5" t="str">
        <f>IFERROR(__xludf.DUMMYFUNCTION("""COMPUTED_VALUE"""),"Yes")</f>
        <v>Yes</v>
      </c>
      <c r="AA154" s="5" t="str">
        <f>IFERROR(__xludf.DUMMYFUNCTION("""COMPUTED_VALUE"""),"Yes")</f>
        <v>Yes</v>
      </c>
      <c r="AB154" s="5" t="str">
        <f>IFERROR(__xludf.DUMMYFUNCTION("""COMPUTED_VALUE"""),"Yes")</f>
        <v>Yes</v>
      </c>
      <c r="AC154" s="5" t="str">
        <f>IFERROR(__xludf.DUMMYFUNCTION("""COMPUTED_VALUE"""),"No")</f>
        <v>No</v>
      </c>
    </row>
    <row r="155">
      <c r="A155" s="5" t="str">
        <f>IFERROR(__xludf.DUMMYFUNCTION("""COMPUTED_VALUE"""),"KingOfThunder")</f>
        <v>KingOfThunder</v>
      </c>
      <c r="B1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5" s="5" t="str">
        <f>IFERROR(__xludf.DUMMYFUNCTION("""COMPUTED_VALUE"""),"Yes")</f>
        <v>Yes</v>
      </c>
      <c r="D155" s="5" t="str">
        <f>IFERROR(__xludf.DUMMYFUNCTION("""COMPUTED_VALUE"""),"Yes")</f>
        <v>Yes</v>
      </c>
      <c r="E155" s="5" t="str">
        <f>IFERROR(__xludf.DUMMYFUNCTION("""COMPUTED_VALUE"""),"Yes")</f>
        <v>Yes</v>
      </c>
      <c r="F155" s="5" t="str">
        <f>IFERROR(__xludf.DUMMYFUNCTION("""COMPUTED_VALUE"""),"Yes")</f>
        <v>Yes</v>
      </c>
      <c r="G155" s="5" t="str">
        <f>IFERROR(__xludf.DUMMYFUNCTION("""COMPUTED_VALUE"""),"Yes")</f>
        <v>Yes</v>
      </c>
      <c r="H155" s="5" t="str">
        <f>IFERROR(__xludf.DUMMYFUNCTION("""COMPUTED_VALUE"""),"Yes")</f>
        <v>Yes</v>
      </c>
      <c r="I155" s="5" t="str">
        <f>IFERROR(__xludf.DUMMYFUNCTION("""COMPUTED_VALUE"""),"Yes")</f>
        <v>Yes</v>
      </c>
      <c r="J155" s="5" t="str">
        <f>IFERROR(__xludf.DUMMYFUNCTION("""COMPUTED_VALUE"""),"Yes")</f>
        <v>Yes</v>
      </c>
      <c r="K155" s="5" t="str">
        <f>IFERROR(__xludf.DUMMYFUNCTION("""COMPUTED_VALUE"""),"Yes")</f>
        <v>Yes</v>
      </c>
      <c r="L155" s="5" t="str">
        <f>IFERROR(__xludf.DUMMYFUNCTION("""COMPUTED_VALUE"""),"Yes")</f>
        <v>Yes</v>
      </c>
      <c r="M155" s="5" t="str">
        <f>IFERROR(__xludf.DUMMYFUNCTION("""COMPUTED_VALUE"""),"Yes")</f>
        <v>Yes</v>
      </c>
      <c r="N155" s="5" t="str">
        <f>IFERROR(__xludf.DUMMYFUNCTION("""COMPUTED_VALUE"""),"Yes")</f>
        <v>Yes</v>
      </c>
      <c r="O155" s="5" t="str">
        <f>IFERROR(__xludf.DUMMYFUNCTION("""COMPUTED_VALUE"""),"Yes")</f>
        <v>Yes</v>
      </c>
      <c r="P155" s="5" t="str">
        <f>IFERROR(__xludf.DUMMYFUNCTION("""COMPUTED_VALUE"""),"Yes")</f>
        <v>Yes</v>
      </c>
      <c r="Q155" s="5" t="str">
        <f>IFERROR(__xludf.DUMMYFUNCTION("""COMPUTED_VALUE"""),"Yes")</f>
        <v>Yes</v>
      </c>
      <c r="R155" s="5" t="str">
        <f>IFERROR(__xludf.DUMMYFUNCTION("""COMPUTED_VALUE"""),"Yes")</f>
        <v>Yes</v>
      </c>
      <c r="S155" s="5" t="str">
        <f>IFERROR(__xludf.DUMMYFUNCTION("""COMPUTED_VALUE"""),"Yes")</f>
        <v>Yes</v>
      </c>
      <c r="T155" s="5" t="str">
        <f>IFERROR(__xludf.DUMMYFUNCTION("""COMPUTED_VALUE"""),"Yes")</f>
        <v>Yes</v>
      </c>
      <c r="U155" s="5" t="str">
        <f>IFERROR(__xludf.DUMMYFUNCTION("""COMPUTED_VALUE"""),"Yes")</f>
        <v>Yes</v>
      </c>
      <c r="V155" s="5" t="str">
        <f>IFERROR(__xludf.DUMMYFUNCTION("""COMPUTED_VALUE"""),"Yes")</f>
        <v>Yes</v>
      </c>
      <c r="W155" s="5" t="str">
        <f>IFERROR(__xludf.DUMMYFUNCTION("""COMPUTED_VALUE"""),"Yes")</f>
        <v>Yes</v>
      </c>
      <c r="X155" s="5" t="str">
        <f>IFERROR(__xludf.DUMMYFUNCTION("""COMPUTED_VALUE"""),"Yes")</f>
        <v>Yes</v>
      </c>
      <c r="Y155" s="5" t="str">
        <f>IFERROR(__xludf.DUMMYFUNCTION("""COMPUTED_VALUE"""),"Yes")</f>
        <v>Yes</v>
      </c>
      <c r="Z155" s="5" t="str">
        <f>IFERROR(__xludf.DUMMYFUNCTION("""COMPUTED_VALUE"""),"Yes")</f>
        <v>Yes</v>
      </c>
      <c r="AA155" s="5" t="str">
        <f>IFERROR(__xludf.DUMMYFUNCTION("""COMPUTED_VALUE"""),"Yes")</f>
        <v>Yes</v>
      </c>
      <c r="AB155" s="5" t="str">
        <f>IFERROR(__xludf.DUMMYFUNCTION("""COMPUTED_VALUE"""),"Yes")</f>
        <v>Yes</v>
      </c>
      <c r="AC155" s="5" t="str">
        <f>IFERROR(__xludf.DUMMYFUNCTION("""COMPUTED_VALUE"""),"No")</f>
        <v>No</v>
      </c>
    </row>
    <row r="156">
      <c r="A156" s="5" t="str">
        <f>IFERROR(__xludf.DUMMYFUNCTION("""COMPUTED_VALUE"""),"BookOfSpells2")</f>
        <v>BookOfSpells2</v>
      </c>
      <c r="B1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6" s="5" t="str">
        <f>IFERROR(__xludf.DUMMYFUNCTION("""COMPUTED_VALUE"""),"Yes")</f>
        <v>Yes</v>
      </c>
      <c r="D156" s="5" t="str">
        <f>IFERROR(__xludf.DUMMYFUNCTION("""COMPUTED_VALUE"""),"Yes")</f>
        <v>Yes</v>
      </c>
      <c r="E156" s="5" t="str">
        <f>IFERROR(__xludf.DUMMYFUNCTION("""COMPUTED_VALUE"""),"Yes")</f>
        <v>Yes</v>
      </c>
      <c r="F156" s="5" t="str">
        <f>IFERROR(__xludf.DUMMYFUNCTION("""COMPUTED_VALUE"""),"Yes")</f>
        <v>Yes</v>
      </c>
      <c r="G156" s="5" t="str">
        <f>IFERROR(__xludf.DUMMYFUNCTION("""COMPUTED_VALUE"""),"Yes")</f>
        <v>Yes</v>
      </c>
      <c r="H156" s="5" t="str">
        <f>IFERROR(__xludf.DUMMYFUNCTION("""COMPUTED_VALUE"""),"Yes")</f>
        <v>Yes</v>
      </c>
      <c r="I156" s="5" t="str">
        <f>IFERROR(__xludf.DUMMYFUNCTION("""COMPUTED_VALUE"""),"Yes")</f>
        <v>Yes</v>
      </c>
      <c r="J156" s="5" t="str">
        <f>IFERROR(__xludf.DUMMYFUNCTION("""COMPUTED_VALUE"""),"Yes")</f>
        <v>Yes</v>
      </c>
      <c r="K156" s="5" t="str">
        <f>IFERROR(__xludf.DUMMYFUNCTION("""COMPUTED_VALUE"""),"Yes")</f>
        <v>Yes</v>
      </c>
      <c r="L156" s="5" t="str">
        <f>IFERROR(__xludf.DUMMYFUNCTION("""COMPUTED_VALUE"""),"Yes")</f>
        <v>Yes</v>
      </c>
      <c r="M156" s="5" t="str">
        <f>IFERROR(__xludf.DUMMYFUNCTION("""COMPUTED_VALUE"""),"Yes")</f>
        <v>Yes</v>
      </c>
      <c r="N156" s="5" t="str">
        <f>IFERROR(__xludf.DUMMYFUNCTION("""COMPUTED_VALUE"""),"Yes")</f>
        <v>Yes</v>
      </c>
      <c r="O156" s="5" t="str">
        <f>IFERROR(__xludf.DUMMYFUNCTION("""COMPUTED_VALUE"""),"Yes")</f>
        <v>Yes</v>
      </c>
      <c r="P156" s="5" t="str">
        <f>IFERROR(__xludf.DUMMYFUNCTION("""COMPUTED_VALUE"""),"Yes")</f>
        <v>Yes</v>
      </c>
      <c r="Q156" s="5" t="str">
        <f>IFERROR(__xludf.DUMMYFUNCTION("""COMPUTED_VALUE"""),"Yes")</f>
        <v>Yes</v>
      </c>
      <c r="R156" s="5" t="str">
        <f>IFERROR(__xludf.DUMMYFUNCTION("""COMPUTED_VALUE"""),"Yes")</f>
        <v>Yes</v>
      </c>
      <c r="S156" s="5" t="str">
        <f>IFERROR(__xludf.DUMMYFUNCTION("""COMPUTED_VALUE"""),"Yes")</f>
        <v>Yes</v>
      </c>
      <c r="T156" s="5" t="str">
        <f>IFERROR(__xludf.DUMMYFUNCTION("""COMPUTED_VALUE"""),"Yes")</f>
        <v>Yes</v>
      </c>
      <c r="U156" s="5" t="str">
        <f>IFERROR(__xludf.DUMMYFUNCTION("""COMPUTED_VALUE"""),"Yes")</f>
        <v>Yes</v>
      </c>
      <c r="V156" s="5" t="str">
        <f>IFERROR(__xludf.DUMMYFUNCTION("""COMPUTED_VALUE"""),"Yes")</f>
        <v>Yes</v>
      </c>
      <c r="W156" s="5" t="str">
        <f>IFERROR(__xludf.DUMMYFUNCTION("""COMPUTED_VALUE"""),"Yes")</f>
        <v>Yes</v>
      </c>
      <c r="X156" s="5" t="str">
        <f>IFERROR(__xludf.DUMMYFUNCTION("""COMPUTED_VALUE"""),"Yes")</f>
        <v>Yes</v>
      </c>
      <c r="Y156" s="5" t="str">
        <f>IFERROR(__xludf.DUMMYFUNCTION("""COMPUTED_VALUE"""),"Yes")</f>
        <v>Yes</v>
      </c>
      <c r="Z156" s="5" t="str">
        <f>IFERROR(__xludf.DUMMYFUNCTION("""COMPUTED_VALUE"""),"Yes")</f>
        <v>Yes</v>
      </c>
      <c r="AA156" s="5" t="str">
        <f>IFERROR(__xludf.DUMMYFUNCTION("""COMPUTED_VALUE"""),"Yes")</f>
        <v>Yes</v>
      </c>
      <c r="AB156" s="5" t="str">
        <f>IFERROR(__xludf.DUMMYFUNCTION("""COMPUTED_VALUE"""),"Yes")</f>
        <v>Yes</v>
      </c>
      <c r="AC156" s="5" t="str">
        <f>IFERROR(__xludf.DUMMYFUNCTION("""COMPUTED_VALUE"""),"No")</f>
        <v>No</v>
      </c>
    </row>
    <row r="157">
      <c r="A157" s="5" t="str">
        <f>IFERROR(__xludf.DUMMYFUNCTION("""COMPUTED_VALUE"""),"CrystalHot40Max")</f>
        <v>CrystalHot40Max</v>
      </c>
      <c r="B1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7" s="5" t="str">
        <f>IFERROR(__xludf.DUMMYFUNCTION("""COMPUTED_VALUE"""),"Yes")</f>
        <v>Yes</v>
      </c>
      <c r="D157" s="5" t="str">
        <f>IFERROR(__xludf.DUMMYFUNCTION("""COMPUTED_VALUE"""),"Yes")</f>
        <v>Yes</v>
      </c>
      <c r="E157" s="5" t="str">
        <f>IFERROR(__xludf.DUMMYFUNCTION("""COMPUTED_VALUE"""),"Yes")</f>
        <v>Yes</v>
      </c>
      <c r="F157" s="5" t="str">
        <f>IFERROR(__xludf.DUMMYFUNCTION("""COMPUTED_VALUE"""),"Yes")</f>
        <v>Yes</v>
      </c>
      <c r="G157" s="5" t="str">
        <f>IFERROR(__xludf.DUMMYFUNCTION("""COMPUTED_VALUE"""),"Yes")</f>
        <v>Yes</v>
      </c>
      <c r="H157" s="5" t="str">
        <f>IFERROR(__xludf.DUMMYFUNCTION("""COMPUTED_VALUE"""),"Yes")</f>
        <v>Yes</v>
      </c>
      <c r="I157" s="5" t="str">
        <f>IFERROR(__xludf.DUMMYFUNCTION("""COMPUTED_VALUE"""),"Yes")</f>
        <v>Yes</v>
      </c>
      <c r="J157" s="5" t="str">
        <f>IFERROR(__xludf.DUMMYFUNCTION("""COMPUTED_VALUE"""),"Yes")</f>
        <v>Yes</v>
      </c>
      <c r="K157" s="5" t="str">
        <f>IFERROR(__xludf.DUMMYFUNCTION("""COMPUTED_VALUE"""),"Yes")</f>
        <v>Yes</v>
      </c>
      <c r="L157" s="5" t="str">
        <f>IFERROR(__xludf.DUMMYFUNCTION("""COMPUTED_VALUE"""),"Yes")</f>
        <v>Yes</v>
      </c>
      <c r="M157" s="5" t="str">
        <f>IFERROR(__xludf.DUMMYFUNCTION("""COMPUTED_VALUE"""),"Yes")</f>
        <v>Yes</v>
      </c>
      <c r="N157" s="5" t="str">
        <f>IFERROR(__xludf.DUMMYFUNCTION("""COMPUTED_VALUE"""),"Yes")</f>
        <v>Yes</v>
      </c>
      <c r="O157" s="5" t="str">
        <f>IFERROR(__xludf.DUMMYFUNCTION("""COMPUTED_VALUE"""),"Yes")</f>
        <v>Yes</v>
      </c>
      <c r="P157" s="5" t="str">
        <f>IFERROR(__xludf.DUMMYFUNCTION("""COMPUTED_VALUE"""),"Yes")</f>
        <v>Yes</v>
      </c>
      <c r="Q157" s="5" t="str">
        <f>IFERROR(__xludf.DUMMYFUNCTION("""COMPUTED_VALUE"""),"Yes")</f>
        <v>Yes</v>
      </c>
      <c r="R157" s="5" t="str">
        <f>IFERROR(__xludf.DUMMYFUNCTION("""COMPUTED_VALUE"""),"Yes")</f>
        <v>Yes</v>
      </c>
      <c r="S157" s="5" t="str">
        <f>IFERROR(__xludf.DUMMYFUNCTION("""COMPUTED_VALUE"""),"Yes")</f>
        <v>Yes</v>
      </c>
      <c r="T157" s="5" t="str">
        <f>IFERROR(__xludf.DUMMYFUNCTION("""COMPUTED_VALUE"""),"Yes")</f>
        <v>Yes</v>
      </c>
      <c r="U157" s="5" t="str">
        <f>IFERROR(__xludf.DUMMYFUNCTION("""COMPUTED_VALUE"""),"Yes")</f>
        <v>Yes</v>
      </c>
      <c r="V157" s="5" t="str">
        <f>IFERROR(__xludf.DUMMYFUNCTION("""COMPUTED_VALUE"""),"Yes")</f>
        <v>Yes</v>
      </c>
      <c r="W157" s="5" t="str">
        <f>IFERROR(__xludf.DUMMYFUNCTION("""COMPUTED_VALUE"""),"Yes")</f>
        <v>Yes</v>
      </c>
      <c r="X157" s="5" t="str">
        <f>IFERROR(__xludf.DUMMYFUNCTION("""COMPUTED_VALUE"""),"Yes")</f>
        <v>Yes</v>
      </c>
      <c r="Y157" s="5" t="str">
        <f>IFERROR(__xludf.DUMMYFUNCTION("""COMPUTED_VALUE"""),"Yes")</f>
        <v>Yes</v>
      </c>
      <c r="Z157" s="5" t="str">
        <f>IFERROR(__xludf.DUMMYFUNCTION("""COMPUTED_VALUE"""),"Yes")</f>
        <v>Yes</v>
      </c>
      <c r="AA157" s="5" t="str">
        <f>IFERROR(__xludf.DUMMYFUNCTION("""COMPUTED_VALUE"""),"Yes")</f>
        <v>Yes</v>
      </c>
      <c r="AB157" s="5" t="str">
        <f>IFERROR(__xludf.DUMMYFUNCTION("""COMPUTED_VALUE"""),"Yes")</f>
        <v>Yes</v>
      </c>
      <c r="AC157" s="5" t="str">
        <f>IFERROR(__xludf.DUMMYFUNCTION("""COMPUTED_VALUE"""),"No")</f>
        <v>No</v>
      </c>
    </row>
    <row r="158">
      <c r="A158" s="5" t="str">
        <f>IFERROR(__xludf.DUMMYFUNCTION("""COMPUTED_VALUE"""),"KingOfMyCastleDice")</f>
        <v>KingOfMyCastleDice</v>
      </c>
      <c r="B1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8" s="5" t="str">
        <f>IFERROR(__xludf.DUMMYFUNCTION("""COMPUTED_VALUE"""),"Yes")</f>
        <v>Yes</v>
      </c>
      <c r="D158" s="5" t="str">
        <f>IFERROR(__xludf.DUMMYFUNCTION("""COMPUTED_VALUE"""),"Yes")</f>
        <v>Yes</v>
      </c>
      <c r="E158" s="5" t="str">
        <f>IFERROR(__xludf.DUMMYFUNCTION("""COMPUTED_VALUE"""),"Yes")</f>
        <v>Yes</v>
      </c>
      <c r="F158" s="5" t="str">
        <f>IFERROR(__xludf.DUMMYFUNCTION("""COMPUTED_VALUE"""),"Yes")</f>
        <v>Yes</v>
      </c>
      <c r="G158" s="5" t="str">
        <f>IFERROR(__xludf.DUMMYFUNCTION("""COMPUTED_VALUE"""),"Yes")</f>
        <v>Yes</v>
      </c>
      <c r="H158" s="5" t="str">
        <f>IFERROR(__xludf.DUMMYFUNCTION("""COMPUTED_VALUE"""),"Yes")</f>
        <v>Yes</v>
      </c>
      <c r="I158" s="5" t="str">
        <f>IFERROR(__xludf.DUMMYFUNCTION("""COMPUTED_VALUE"""),"Yes")</f>
        <v>Yes</v>
      </c>
      <c r="J158" s="5" t="str">
        <f>IFERROR(__xludf.DUMMYFUNCTION("""COMPUTED_VALUE"""),"Yes")</f>
        <v>Yes</v>
      </c>
      <c r="K158" s="5" t="str">
        <f>IFERROR(__xludf.DUMMYFUNCTION("""COMPUTED_VALUE"""),"Yes")</f>
        <v>Yes</v>
      </c>
      <c r="L158" s="5" t="str">
        <f>IFERROR(__xludf.DUMMYFUNCTION("""COMPUTED_VALUE"""),"Yes")</f>
        <v>Yes</v>
      </c>
      <c r="M158" s="5" t="str">
        <f>IFERROR(__xludf.DUMMYFUNCTION("""COMPUTED_VALUE"""),"Yes")</f>
        <v>Yes</v>
      </c>
      <c r="N158" s="5" t="str">
        <f>IFERROR(__xludf.DUMMYFUNCTION("""COMPUTED_VALUE"""),"Yes")</f>
        <v>Yes</v>
      </c>
      <c r="O158" s="5" t="str">
        <f>IFERROR(__xludf.DUMMYFUNCTION("""COMPUTED_VALUE"""),"Yes")</f>
        <v>Yes</v>
      </c>
      <c r="P158" s="5" t="str">
        <f>IFERROR(__xludf.DUMMYFUNCTION("""COMPUTED_VALUE"""),"Yes")</f>
        <v>Yes</v>
      </c>
      <c r="Q158" s="5" t="str">
        <f>IFERROR(__xludf.DUMMYFUNCTION("""COMPUTED_VALUE"""),"Yes")</f>
        <v>Yes</v>
      </c>
      <c r="R158" s="5" t="str">
        <f>IFERROR(__xludf.DUMMYFUNCTION("""COMPUTED_VALUE"""),"Yes")</f>
        <v>Yes</v>
      </c>
      <c r="S158" s="5" t="str">
        <f>IFERROR(__xludf.DUMMYFUNCTION("""COMPUTED_VALUE"""),"Yes")</f>
        <v>Yes</v>
      </c>
      <c r="T158" s="5" t="str">
        <f>IFERROR(__xludf.DUMMYFUNCTION("""COMPUTED_VALUE"""),"Yes")</f>
        <v>Yes</v>
      </c>
      <c r="U158" s="5" t="str">
        <f>IFERROR(__xludf.DUMMYFUNCTION("""COMPUTED_VALUE"""),"Yes")</f>
        <v>Yes</v>
      </c>
      <c r="V158" s="5" t="str">
        <f>IFERROR(__xludf.DUMMYFUNCTION("""COMPUTED_VALUE"""),"Yes")</f>
        <v>Yes</v>
      </c>
      <c r="W158" s="5" t="str">
        <f>IFERROR(__xludf.DUMMYFUNCTION("""COMPUTED_VALUE"""),"Yes")</f>
        <v>Yes</v>
      </c>
      <c r="X158" s="5" t="str">
        <f>IFERROR(__xludf.DUMMYFUNCTION("""COMPUTED_VALUE"""),"Yes")</f>
        <v>Yes</v>
      </c>
      <c r="Y158" s="5" t="str">
        <f>IFERROR(__xludf.DUMMYFUNCTION("""COMPUTED_VALUE"""),"Yes")</f>
        <v>Yes</v>
      </c>
      <c r="Z158" s="5" t="str">
        <f>IFERROR(__xludf.DUMMYFUNCTION("""COMPUTED_VALUE"""),"Yes")</f>
        <v>Yes</v>
      </c>
      <c r="AA158" s="5" t="str">
        <f>IFERROR(__xludf.DUMMYFUNCTION("""COMPUTED_VALUE"""),"Yes")</f>
        <v>Yes</v>
      </c>
      <c r="AB158" s="5" t="str">
        <f>IFERROR(__xludf.DUMMYFUNCTION("""COMPUTED_VALUE"""),"Yes")</f>
        <v>Yes</v>
      </c>
      <c r="AC158" s="5" t="str">
        <f>IFERROR(__xludf.DUMMYFUNCTION("""COMPUTED_VALUE"""),"No")</f>
        <v>No</v>
      </c>
    </row>
    <row r="159">
      <c r="A159" s="5" t="str">
        <f>IFERROR(__xludf.DUMMYFUNCTION("""COMPUTED_VALUE"""),"KingOfMyCastle")</f>
        <v>KingOfMyCastle</v>
      </c>
      <c r="B1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9" s="5" t="str">
        <f>IFERROR(__xludf.DUMMYFUNCTION("""COMPUTED_VALUE"""),"Yes")</f>
        <v>Yes</v>
      </c>
      <c r="D159" s="5" t="str">
        <f>IFERROR(__xludf.DUMMYFUNCTION("""COMPUTED_VALUE"""),"Yes")</f>
        <v>Yes</v>
      </c>
      <c r="E159" s="5" t="str">
        <f>IFERROR(__xludf.DUMMYFUNCTION("""COMPUTED_VALUE"""),"Yes")</f>
        <v>Yes</v>
      </c>
      <c r="F159" s="5" t="str">
        <f>IFERROR(__xludf.DUMMYFUNCTION("""COMPUTED_VALUE"""),"Yes")</f>
        <v>Yes</v>
      </c>
      <c r="G159" s="5" t="str">
        <f>IFERROR(__xludf.DUMMYFUNCTION("""COMPUTED_VALUE"""),"Yes")</f>
        <v>Yes</v>
      </c>
      <c r="H159" s="5" t="str">
        <f>IFERROR(__xludf.DUMMYFUNCTION("""COMPUTED_VALUE"""),"Yes")</f>
        <v>Yes</v>
      </c>
      <c r="I159" s="5" t="str">
        <f>IFERROR(__xludf.DUMMYFUNCTION("""COMPUTED_VALUE"""),"Yes")</f>
        <v>Yes</v>
      </c>
      <c r="J159" s="5" t="str">
        <f>IFERROR(__xludf.DUMMYFUNCTION("""COMPUTED_VALUE"""),"Yes")</f>
        <v>Yes</v>
      </c>
      <c r="K159" s="5" t="str">
        <f>IFERROR(__xludf.DUMMYFUNCTION("""COMPUTED_VALUE"""),"Yes")</f>
        <v>Yes</v>
      </c>
      <c r="L159" s="5" t="str">
        <f>IFERROR(__xludf.DUMMYFUNCTION("""COMPUTED_VALUE"""),"Yes")</f>
        <v>Yes</v>
      </c>
      <c r="M159" s="5" t="str">
        <f>IFERROR(__xludf.DUMMYFUNCTION("""COMPUTED_VALUE"""),"Yes")</f>
        <v>Yes</v>
      </c>
      <c r="N159" s="5" t="str">
        <f>IFERROR(__xludf.DUMMYFUNCTION("""COMPUTED_VALUE"""),"Yes")</f>
        <v>Yes</v>
      </c>
      <c r="O159" s="5" t="str">
        <f>IFERROR(__xludf.DUMMYFUNCTION("""COMPUTED_VALUE"""),"Yes")</f>
        <v>Yes</v>
      </c>
      <c r="P159" s="5" t="str">
        <f>IFERROR(__xludf.DUMMYFUNCTION("""COMPUTED_VALUE"""),"Yes")</f>
        <v>Yes</v>
      </c>
      <c r="Q159" s="5" t="str">
        <f>IFERROR(__xludf.DUMMYFUNCTION("""COMPUTED_VALUE"""),"Yes")</f>
        <v>Yes</v>
      </c>
      <c r="R159" s="5" t="str">
        <f>IFERROR(__xludf.DUMMYFUNCTION("""COMPUTED_VALUE"""),"Yes")</f>
        <v>Yes</v>
      </c>
      <c r="S159" s="5" t="str">
        <f>IFERROR(__xludf.DUMMYFUNCTION("""COMPUTED_VALUE"""),"Yes")</f>
        <v>Yes</v>
      </c>
      <c r="T159" s="5" t="str">
        <f>IFERROR(__xludf.DUMMYFUNCTION("""COMPUTED_VALUE"""),"Yes")</f>
        <v>Yes</v>
      </c>
      <c r="U159" s="5" t="str">
        <f>IFERROR(__xludf.DUMMYFUNCTION("""COMPUTED_VALUE"""),"Yes")</f>
        <v>Yes</v>
      </c>
      <c r="V159" s="5" t="str">
        <f>IFERROR(__xludf.DUMMYFUNCTION("""COMPUTED_VALUE"""),"Yes")</f>
        <v>Yes</v>
      </c>
      <c r="W159" s="5" t="str">
        <f>IFERROR(__xludf.DUMMYFUNCTION("""COMPUTED_VALUE"""),"Yes")</f>
        <v>Yes</v>
      </c>
      <c r="X159" s="5" t="str">
        <f>IFERROR(__xludf.DUMMYFUNCTION("""COMPUTED_VALUE"""),"Yes")</f>
        <v>Yes</v>
      </c>
      <c r="Y159" s="5" t="str">
        <f>IFERROR(__xludf.DUMMYFUNCTION("""COMPUTED_VALUE"""),"Yes")</f>
        <v>Yes</v>
      </c>
      <c r="Z159" s="5" t="str">
        <f>IFERROR(__xludf.DUMMYFUNCTION("""COMPUTED_VALUE"""),"Yes")</f>
        <v>Yes</v>
      </c>
      <c r="AA159" s="5" t="str">
        <f>IFERROR(__xludf.DUMMYFUNCTION("""COMPUTED_VALUE"""),"Yes")</f>
        <v>Yes</v>
      </c>
      <c r="AB159" s="5" t="str">
        <f>IFERROR(__xludf.DUMMYFUNCTION("""COMPUTED_VALUE"""),"Yes")</f>
        <v>Yes</v>
      </c>
      <c r="AC159" s="5" t="str">
        <f>IFERROR(__xludf.DUMMYFUNCTION("""COMPUTED_VALUE"""),"No")</f>
        <v>No</v>
      </c>
    </row>
    <row r="160">
      <c r="A160" s="5" t="str">
        <f>IFERROR(__xludf.DUMMYFUNCTION("""COMPUTED_VALUE"""),"FruityWin20")</f>
        <v>FruityWin20</v>
      </c>
      <c r="B1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0" s="5" t="str">
        <f>IFERROR(__xludf.DUMMYFUNCTION("""COMPUTED_VALUE"""),"Yes")</f>
        <v>Yes</v>
      </c>
      <c r="D160" s="5" t="str">
        <f>IFERROR(__xludf.DUMMYFUNCTION("""COMPUTED_VALUE"""),"Yes")</f>
        <v>Yes</v>
      </c>
      <c r="E160" s="5" t="str">
        <f>IFERROR(__xludf.DUMMYFUNCTION("""COMPUTED_VALUE"""),"Yes")</f>
        <v>Yes</v>
      </c>
      <c r="F160" s="5" t="str">
        <f>IFERROR(__xludf.DUMMYFUNCTION("""COMPUTED_VALUE"""),"Yes")</f>
        <v>Yes</v>
      </c>
      <c r="G160" s="5" t="str">
        <f>IFERROR(__xludf.DUMMYFUNCTION("""COMPUTED_VALUE"""),"Yes")</f>
        <v>Yes</v>
      </c>
      <c r="H160" s="5" t="str">
        <f>IFERROR(__xludf.DUMMYFUNCTION("""COMPUTED_VALUE"""),"Yes")</f>
        <v>Yes</v>
      </c>
      <c r="I160" s="5" t="str">
        <f>IFERROR(__xludf.DUMMYFUNCTION("""COMPUTED_VALUE"""),"Yes")</f>
        <v>Yes</v>
      </c>
      <c r="J160" s="5" t="str">
        <f>IFERROR(__xludf.DUMMYFUNCTION("""COMPUTED_VALUE"""),"Yes")</f>
        <v>Yes</v>
      </c>
      <c r="K160" s="5" t="str">
        <f>IFERROR(__xludf.DUMMYFUNCTION("""COMPUTED_VALUE"""),"Yes")</f>
        <v>Yes</v>
      </c>
      <c r="L160" s="5" t="str">
        <f>IFERROR(__xludf.DUMMYFUNCTION("""COMPUTED_VALUE"""),"Yes")</f>
        <v>Yes</v>
      </c>
      <c r="M160" s="5" t="str">
        <f>IFERROR(__xludf.DUMMYFUNCTION("""COMPUTED_VALUE"""),"Yes")</f>
        <v>Yes</v>
      </c>
      <c r="N160" s="5" t="str">
        <f>IFERROR(__xludf.DUMMYFUNCTION("""COMPUTED_VALUE"""),"Yes")</f>
        <v>Yes</v>
      </c>
      <c r="O160" s="5" t="str">
        <f>IFERROR(__xludf.DUMMYFUNCTION("""COMPUTED_VALUE"""),"Yes")</f>
        <v>Yes</v>
      </c>
      <c r="P160" s="5" t="str">
        <f>IFERROR(__xludf.DUMMYFUNCTION("""COMPUTED_VALUE"""),"Yes")</f>
        <v>Yes</v>
      </c>
      <c r="Q160" s="5" t="str">
        <f>IFERROR(__xludf.DUMMYFUNCTION("""COMPUTED_VALUE"""),"Yes")</f>
        <v>Yes</v>
      </c>
      <c r="R160" s="5" t="str">
        <f>IFERROR(__xludf.DUMMYFUNCTION("""COMPUTED_VALUE"""),"Yes")</f>
        <v>Yes</v>
      </c>
      <c r="S160" s="5" t="str">
        <f>IFERROR(__xludf.DUMMYFUNCTION("""COMPUTED_VALUE"""),"Yes")</f>
        <v>Yes</v>
      </c>
      <c r="T160" s="5" t="str">
        <f>IFERROR(__xludf.DUMMYFUNCTION("""COMPUTED_VALUE"""),"Yes")</f>
        <v>Yes</v>
      </c>
      <c r="U160" s="5" t="str">
        <f>IFERROR(__xludf.DUMMYFUNCTION("""COMPUTED_VALUE"""),"Yes")</f>
        <v>Yes</v>
      </c>
      <c r="V160" s="5" t="str">
        <f>IFERROR(__xludf.DUMMYFUNCTION("""COMPUTED_VALUE"""),"Yes")</f>
        <v>Yes</v>
      </c>
      <c r="W160" s="5" t="str">
        <f>IFERROR(__xludf.DUMMYFUNCTION("""COMPUTED_VALUE"""),"Yes")</f>
        <v>Yes</v>
      </c>
      <c r="X160" s="5" t="str">
        <f>IFERROR(__xludf.DUMMYFUNCTION("""COMPUTED_VALUE"""),"Yes")</f>
        <v>Yes</v>
      </c>
      <c r="Y160" s="5" t="str">
        <f>IFERROR(__xludf.DUMMYFUNCTION("""COMPUTED_VALUE"""),"Yes")</f>
        <v>Yes</v>
      </c>
      <c r="Z160" s="5" t="str">
        <f>IFERROR(__xludf.DUMMYFUNCTION("""COMPUTED_VALUE"""),"Yes")</f>
        <v>Yes</v>
      </c>
      <c r="AA160" s="5" t="str">
        <f>IFERROR(__xludf.DUMMYFUNCTION("""COMPUTED_VALUE"""),"Yes")</f>
        <v>Yes</v>
      </c>
      <c r="AB160" s="5" t="str">
        <f>IFERROR(__xludf.DUMMYFUNCTION("""COMPUTED_VALUE"""),"Yes")</f>
        <v>Yes</v>
      </c>
      <c r="AC160" s="5" t="str">
        <f>IFERROR(__xludf.DUMMYFUNCTION("""COMPUTED_VALUE"""),"No")</f>
        <v>No</v>
      </c>
    </row>
    <row r="161">
      <c r="A161" s="5" t="str">
        <f>IFERROR(__xludf.DUMMYFUNCTION("""COMPUTED_VALUE"""),"FruityHot5")</f>
        <v>FruityHot5</v>
      </c>
      <c r="B1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1" s="5" t="str">
        <f>IFERROR(__xludf.DUMMYFUNCTION("""COMPUTED_VALUE"""),"Yes")</f>
        <v>Yes</v>
      </c>
      <c r="D161" s="5" t="str">
        <f>IFERROR(__xludf.DUMMYFUNCTION("""COMPUTED_VALUE"""),"Yes")</f>
        <v>Yes</v>
      </c>
      <c r="E161" s="5" t="str">
        <f>IFERROR(__xludf.DUMMYFUNCTION("""COMPUTED_VALUE"""),"Yes")</f>
        <v>Yes</v>
      </c>
      <c r="F161" s="5" t="str">
        <f>IFERROR(__xludf.DUMMYFUNCTION("""COMPUTED_VALUE"""),"Yes")</f>
        <v>Yes</v>
      </c>
      <c r="G161" s="5" t="str">
        <f>IFERROR(__xludf.DUMMYFUNCTION("""COMPUTED_VALUE"""),"Yes")</f>
        <v>Yes</v>
      </c>
      <c r="H161" s="5" t="str">
        <f>IFERROR(__xludf.DUMMYFUNCTION("""COMPUTED_VALUE"""),"Yes")</f>
        <v>Yes</v>
      </c>
      <c r="I161" s="5" t="str">
        <f>IFERROR(__xludf.DUMMYFUNCTION("""COMPUTED_VALUE"""),"Yes")</f>
        <v>Yes</v>
      </c>
      <c r="J161" s="5" t="str">
        <f>IFERROR(__xludf.DUMMYFUNCTION("""COMPUTED_VALUE"""),"Yes")</f>
        <v>Yes</v>
      </c>
      <c r="K161" s="5" t="str">
        <f>IFERROR(__xludf.DUMMYFUNCTION("""COMPUTED_VALUE"""),"Yes")</f>
        <v>Yes</v>
      </c>
      <c r="L161" s="5" t="str">
        <f>IFERROR(__xludf.DUMMYFUNCTION("""COMPUTED_VALUE"""),"Yes")</f>
        <v>Yes</v>
      </c>
      <c r="M161" s="5" t="str">
        <f>IFERROR(__xludf.DUMMYFUNCTION("""COMPUTED_VALUE"""),"Yes")</f>
        <v>Yes</v>
      </c>
      <c r="N161" s="5" t="str">
        <f>IFERROR(__xludf.DUMMYFUNCTION("""COMPUTED_VALUE"""),"Yes")</f>
        <v>Yes</v>
      </c>
      <c r="O161" s="5" t="str">
        <f>IFERROR(__xludf.DUMMYFUNCTION("""COMPUTED_VALUE"""),"Yes")</f>
        <v>Yes</v>
      </c>
      <c r="P161" s="5" t="str">
        <f>IFERROR(__xludf.DUMMYFUNCTION("""COMPUTED_VALUE"""),"Yes")</f>
        <v>Yes</v>
      </c>
      <c r="Q161" s="5" t="str">
        <f>IFERROR(__xludf.DUMMYFUNCTION("""COMPUTED_VALUE"""),"Yes")</f>
        <v>Yes</v>
      </c>
      <c r="R161" s="5" t="str">
        <f>IFERROR(__xludf.DUMMYFUNCTION("""COMPUTED_VALUE"""),"Yes")</f>
        <v>Yes</v>
      </c>
      <c r="S161" s="5" t="str">
        <f>IFERROR(__xludf.DUMMYFUNCTION("""COMPUTED_VALUE"""),"Yes")</f>
        <v>Yes</v>
      </c>
      <c r="T161" s="5" t="str">
        <f>IFERROR(__xludf.DUMMYFUNCTION("""COMPUTED_VALUE"""),"Yes")</f>
        <v>Yes</v>
      </c>
      <c r="U161" s="5" t="str">
        <f>IFERROR(__xludf.DUMMYFUNCTION("""COMPUTED_VALUE"""),"Yes")</f>
        <v>Yes</v>
      </c>
      <c r="V161" s="5" t="str">
        <f>IFERROR(__xludf.DUMMYFUNCTION("""COMPUTED_VALUE"""),"Yes")</f>
        <v>Yes</v>
      </c>
      <c r="W161" s="5" t="str">
        <f>IFERROR(__xludf.DUMMYFUNCTION("""COMPUTED_VALUE"""),"Yes")</f>
        <v>Yes</v>
      </c>
      <c r="X161" s="5" t="str">
        <f>IFERROR(__xludf.DUMMYFUNCTION("""COMPUTED_VALUE"""),"Yes")</f>
        <v>Yes</v>
      </c>
      <c r="Y161" s="5" t="str">
        <f>IFERROR(__xludf.DUMMYFUNCTION("""COMPUTED_VALUE"""),"Yes")</f>
        <v>Yes</v>
      </c>
      <c r="Z161" s="5" t="str">
        <f>IFERROR(__xludf.DUMMYFUNCTION("""COMPUTED_VALUE"""),"Yes")</f>
        <v>Yes</v>
      </c>
      <c r="AA161" s="5" t="str">
        <f>IFERROR(__xludf.DUMMYFUNCTION("""COMPUTED_VALUE"""),"Yes")</f>
        <v>Yes</v>
      </c>
      <c r="AB161" s="5" t="str">
        <f>IFERROR(__xludf.DUMMYFUNCTION("""COMPUTED_VALUE"""),"Yes")</f>
        <v>Yes</v>
      </c>
      <c r="AC161" s="5" t="str">
        <f>IFERROR(__xludf.DUMMYFUNCTION("""COMPUTED_VALUE"""),"No")</f>
        <v>No</v>
      </c>
    </row>
    <row r="162">
      <c r="A162" s="5" t="str">
        <f>IFERROR(__xludf.DUMMYFUNCTION("""COMPUTED_VALUE"""),"GigaHot40")</f>
        <v>GigaHot40</v>
      </c>
      <c r="B1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2" s="5" t="str">
        <f>IFERROR(__xludf.DUMMYFUNCTION("""COMPUTED_VALUE"""),"Yes")</f>
        <v>Yes</v>
      </c>
      <c r="D162" s="5" t="str">
        <f>IFERROR(__xludf.DUMMYFUNCTION("""COMPUTED_VALUE"""),"Yes")</f>
        <v>Yes</v>
      </c>
      <c r="E162" s="5" t="str">
        <f>IFERROR(__xludf.DUMMYFUNCTION("""COMPUTED_VALUE"""),"Yes")</f>
        <v>Yes</v>
      </c>
      <c r="F162" s="5" t="str">
        <f>IFERROR(__xludf.DUMMYFUNCTION("""COMPUTED_VALUE"""),"Yes")</f>
        <v>Yes</v>
      </c>
      <c r="G162" s="5" t="str">
        <f>IFERROR(__xludf.DUMMYFUNCTION("""COMPUTED_VALUE"""),"Yes")</f>
        <v>Yes</v>
      </c>
      <c r="H162" s="5" t="str">
        <f>IFERROR(__xludf.DUMMYFUNCTION("""COMPUTED_VALUE"""),"Yes")</f>
        <v>Yes</v>
      </c>
      <c r="I162" s="5" t="str">
        <f>IFERROR(__xludf.DUMMYFUNCTION("""COMPUTED_VALUE"""),"Yes")</f>
        <v>Yes</v>
      </c>
      <c r="J162" s="5" t="str">
        <f>IFERROR(__xludf.DUMMYFUNCTION("""COMPUTED_VALUE"""),"Yes")</f>
        <v>Yes</v>
      </c>
      <c r="K162" s="5" t="str">
        <f>IFERROR(__xludf.DUMMYFUNCTION("""COMPUTED_VALUE"""),"Yes")</f>
        <v>Yes</v>
      </c>
      <c r="L162" s="5" t="str">
        <f>IFERROR(__xludf.DUMMYFUNCTION("""COMPUTED_VALUE"""),"Yes")</f>
        <v>Yes</v>
      </c>
      <c r="M162" s="5" t="str">
        <f>IFERROR(__xludf.DUMMYFUNCTION("""COMPUTED_VALUE"""),"Yes")</f>
        <v>Yes</v>
      </c>
      <c r="N162" s="5" t="str">
        <f>IFERROR(__xludf.DUMMYFUNCTION("""COMPUTED_VALUE"""),"Yes")</f>
        <v>Yes</v>
      </c>
      <c r="O162" s="5" t="str">
        <f>IFERROR(__xludf.DUMMYFUNCTION("""COMPUTED_VALUE"""),"Yes")</f>
        <v>Yes</v>
      </c>
      <c r="P162" s="5" t="str">
        <f>IFERROR(__xludf.DUMMYFUNCTION("""COMPUTED_VALUE"""),"Yes")</f>
        <v>Yes</v>
      </c>
      <c r="Q162" s="5" t="str">
        <f>IFERROR(__xludf.DUMMYFUNCTION("""COMPUTED_VALUE"""),"Yes")</f>
        <v>Yes</v>
      </c>
      <c r="R162" s="5" t="str">
        <f>IFERROR(__xludf.DUMMYFUNCTION("""COMPUTED_VALUE"""),"Yes")</f>
        <v>Yes</v>
      </c>
      <c r="S162" s="5" t="str">
        <f>IFERROR(__xludf.DUMMYFUNCTION("""COMPUTED_VALUE"""),"Yes")</f>
        <v>Yes</v>
      </c>
      <c r="T162" s="5" t="str">
        <f>IFERROR(__xludf.DUMMYFUNCTION("""COMPUTED_VALUE"""),"Yes")</f>
        <v>Yes</v>
      </c>
      <c r="U162" s="5" t="str">
        <f>IFERROR(__xludf.DUMMYFUNCTION("""COMPUTED_VALUE"""),"Yes")</f>
        <v>Yes</v>
      </c>
      <c r="V162" s="5" t="str">
        <f>IFERROR(__xludf.DUMMYFUNCTION("""COMPUTED_VALUE"""),"Yes")</f>
        <v>Yes</v>
      </c>
      <c r="W162" s="5" t="str">
        <f>IFERROR(__xludf.DUMMYFUNCTION("""COMPUTED_VALUE"""),"Yes")</f>
        <v>Yes</v>
      </c>
      <c r="X162" s="5" t="str">
        <f>IFERROR(__xludf.DUMMYFUNCTION("""COMPUTED_VALUE"""),"Yes")</f>
        <v>Yes</v>
      </c>
      <c r="Y162" s="5" t="str">
        <f>IFERROR(__xludf.DUMMYFUNCTION("""COMPUTED_VALUE"""),"Yes")</f>
        <v>Yes</v>
      </c>
      <c r="Z162" s="5" t="str">
        <f>IFERROR(__xludf.DUMMYFUNCTION("""COMPUTED_VALUE"""),"Yes")</f>
        <v>Yes</v>
      </c>
      <c r="AA162" s="5" t="str">
        <f>IFERROR(__xludf.DUMMYFUNCTION("""COMPUTED_VALUE"""),"Yes")</f>
        <v>Yes</v>
      </c>
      <c r="AB162" s="5" t="str">
        <f>IFERROR(__xludf.DUMMYFUNCTION("""COMPUTED_VALUE"""),"Yes")</f>
        <v>Yes</v>
      </c>
      <c r="AC162" s="5" t="str">
        <f>IFERROR(__xludf.DUMMYFUNCTION("""COMPUTED_VALUE"""),"No")</f>
        <v>No</v>
      </c>
    </row>
    <row r="163">
      <c r="A163" s="5" t="str">
        <f>IFERROR(__xludf.DUMMYFUNCTION("""COMPUTED_VALUE"""),"UnicornDaVincisFruits")</f>
        <v>UnicornDaVincisFruits</v>
      </c>
      <c r="B1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3" s="5" t="str">
        <f>IFERROR(__xludf.DUMMYFUNCTION("""COMPUTED_VALUE"""),"Yes")</f>
        <v>Yes</v>
      </c>
      <c r="D163" s="5" t="str">
        <f>IFERROR(__xludf.DUMMYFUNCTION("""COMPUTED_VALUE"""),"Yes")</f>
        <v>Yes</v>
      </c>
      <c r="E163" s="5" t="str">
        <f>IFERROR(__xludf.DUMMYFUNCTION("""COMPUTED_VALUE"""),"Yes")</f>
        <v>Yes</v>
      </c>
      <c r="F163" s="5" t="str">
        <f>IFERROR(__xludf.DUMMYFUNCTION("""COMPUTED_VALUE"""),"Yes")</f>
        <v>Yes</v>
      </c>
      <c r="G163" s="5" t="str">
        <f>IFERROR(__xludf.DUMMYFUNCTION("""COMPUTED_VALUE"""),"Yes")</f>
        <v>Yes</v>
      </c>
      <c r="H163" s="5" t="str">
        <f>IFERROR(__xludf.DUMMYFUNCTION("""COMPUTED_VALUE"""),"Yes")</f>
        <v>Yes</v>
      </c>
      <c r="I163" s="5" t="str">
        <f>IFERROR(__xludf.DUMMYFUNCTION("""COMPUTED_VALUE"""),"Yes")</f>
        <v>Yes</v>
      </c>
      <c r="J163" s="5" t="str">
        <f>IFERROR(__xludf.DUMMYFUNCTION("""COMPUTED_VALUE"""),"Yes")</f>
        <v>Yes</v>
      </c>
      <c r="K163" s="5" t="str">
        <f>IFERROR(__xludf.DUMMYFUNCTION("""COMPUTED_VALUE"""),"Yes")</f>
        <v>Yes</v>
      </c>
      <c r="L163" s="5" t="str">
        <f>IFERROR(__xludf.DUMMYFUNCTION("""COMPUTED_VALUE"""),"Yes")</f>
        <v>Yes</v>
      </c>
      <c r="M163" s="5" t="str">
        <f>IFERROR(__xludf.DUMMYFUNCTION("""COMPUTED_VALUE"""),"Yes")</f>
        <v>Yes</v>
      </c>
      <c r="N163" s="5" t="str">
        <f>IFERROR(__xludf.DUMMYFUNCTION("""COMPUTED_VALUE"""),"Yes")</f>
        <v>Yes</v>
      </c>
      <c r="O163" s="5" t="str">
        <f>IFERROR(__xludf.DUMMYFUNCTION("""COMPUTED_VALUE"""),"Yes")</f>
        <v>Yes</v>
      </c>
      <c r="P163" s="5" t="str">
        <f>IFERROR(__xludf.DUMMYFUNCTION("""COMPUTED_VALUE"""),"Yes")</f>
        <v>Yes</v>
      </c>
      <c r="Q163" s="5" t="str">
        <f>IFERROR(__xludf.DUMMYFUNCTION("""COMPUTED_VALUE"""),"Yes")</f>
        <v>Yes</v>
      </c>
      <c r="R163" s="5" t="str">
        <f>IFERROR(__xludf.DUMMYFUNCTION("""COMPUTED_VALUE"""),"Yes")</f>
        <v>Yes</v>
      </c>
      <c r="S163" s="5" t="str">
        <f>IFERROR(__xludf.DUMMYFUNCTION("""COMPUTED_VALUE"""),"Yes")</f>
        <v>Yes</v>
      </c>
      <c r="T163" s="5" t="str">
        <f>IFERROR(__xludf.DUMMYFUNCTION("""COMPUTED_VALUE"""),"Yes")</f>
        <v>Yes</v>
      </c>
      <c r="U163" s="5" t="str">
        <f>IFERROR(__xludf.DUMMYFUNCTION("""COMPUTED_VALUE"""),"Yes")</f>
        <v>Yes</v>
      </c>
      <c r="V163" s="5" t="str">
        <f>IFERROR(__xludf.DUMMYFUNCTION("""COMPUTED_VALUE"""),"Yes")</f>
        <v>Yes</v>
      </c>
      <c r="W163" s="5" t="str">
        <f>IFERROR(__xludf.DUMMYFUNCTION("""COMPUTED_VALUE"""),"Yes")</f>
        <v>Yes</v>
      </c>
      <c r="X163" s="5" t="str">
        <f>IFERROR(__xludf.DUMMYFUNCTION("""COMPUTED_VALUE"""),"Yes")</f>
        <v>Yes</v>
      </c>
      <c r="Y163" s="5" t="str">
        <f>IFERROR(__xludf.DUMMYFUNCTION("""COMPUTED_VALUE"""),"Yes")</f>
        <v>Yes</v>
      </c>
      <c r="Z163" s="5" t="str">
        <f>IFERROR(__xludf.DUMMYFUNCTION("""COMPUTED_VALUE"""),"Yes")</f>
        <v>Yes</v>
      </c>
      <c r="AA163" s="5" t="str">
        <f>IFERROR(__xludf.DUMMYFUNCTION("""COMPUTED_VALUE"""),"Yes")</f>
        <v>Yes</v>
      </c>
      <c r="AB163" s="5" t="str">
        <f>IFERROR(__xludf.DUMMYFUNCTION("""COMPUTED_VALUE"""),"Yes")</f>
        <v>Yes</v>
      </c>
      <c r="AC163" s="5"/>
    </row>
    <row r="164">
      <c r="A164" s="5" t="str">
        <f>IFERROR(__xludf.DUMMYFUNCTION("""COMPUTED_VALUE"""),"UnicornFruitMagic")</f>
        <v>UnicornFruitMagic</v>
      </c>
      <c r="B1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4" s="5" t="str">
        <f>IFERROR(__xludf.DUMMYFUNCTION("""COMPUTED_VALUE"""),"Yes")</f>
        <v>Yes</v>
      </c>
      <c r="D164" s="5" t="str">
        <f>IFERROR(__xludf.DUMMYFUNCTION("""COMPUTED_VALUE"""),"Yes")</f>
        <v>Yes</v>
      </c>
      <c r="E164" s="5" t="str">
        <f>IFERROR(__xludf.DUMMYFUNCTION("""COMPUTED_VALUE"""),"Yes")</f>
        <v>Yes</v>
      </c>
      <c r="F164" s="5" t="str">
        <f>IFERROR(__xludf.DUMMYFUNCTION("""COMPUTED_VALUE"""),"No")</f>
        <v>No</v>
      </c>
      <c r="G164" s="5" t="str">
        <f>IFERROR(__xludf.DUMMYFUNCTION("""COMPUTED_VALUE"""),"No")</f>
        <v>No</v>
      </c>
      <c r="H164" s="5" t="str">
        <f>IFERROR(__xludf.DUMMYFUNCTION("""COMPUTED_VALUE"""),"No")</f>
        <v>No</v>
      </c>
      <c r="I164" s="5" t="str">
        <f>IFERROR(__xludf.DUMMYFUNCTION("""COMPUTED_VALUE"""),"No")</f>
        <v>No</v>
      </c>
      <c r="J164" s="5" t="str">
        <f>IFERROR(__xludf.DUMMYFUNCTION("""COMPUTED_VALUE"""),"No")</f>
        <v>No</v>
      </c>
      <c r="K164" s="5" t="str">
        <f>IFERROR(__xludf.DUMMYFUNCTION("""COMPUTED_VALUE"""),"Yes")</f>
        <v>Yes</v>
      </c>
      <c r="L164" s="5" t="str">
        <f>IFERROR(__xludf.DUMMYFUNCTION("""COMPUTED_VALUE"""),"Yes")</f>
        <v>Yes</v>
      </c>
      <c r="M164" s="5" t="str">
        <f>IFERROR(__xludf.DUMMYFUNCTION("""COMPUTED_VALUE"""),"Yes")</f>
        <v>Yes</v>
      </c>
      <c r="N164" s="5" t="str">
        <f>IFERROR(__xludf.DUMMYFUNCTION("""COMPUTED_VALUE"""),"Yes")</f>
        <v>Yes</v>
      </c>
      <c r="O164" s="5" t="str">
        <f>IFERROR(__xludf.DUMMYFUNCTION("""COMPUTED_VALUE"""),"Yes")</f>
        <v>Yes</v>
      </c>
      <c r="P164" s="5" t="str">
        <f>IFERROR(__xludf.DUMMYFUNCTION("""COMPUTED_VALUE"""),"No")</f>
        <v>No</v>
      </c>
      <c r="Q164" s="5" t="str">
        <f>IFERROR(__xludf.DUMMYFUNCTION("""COMPUTED_VALUE"""),"Yes")</f>
        <v>Yes</v>
      </c>
      <c r="R164" s="5" t="str">
        <f>IFERROR(__xludf.DUMMYFUNCTION("""COMPUTED_VALUE"""),"No")</f>
        <v>No</v>
      </c>
      <c r="S164" s="5" t="str">
        <f>IFERROR(__xludf.DUMMYFUNCTION("""COMPUTED_VALUE"""),"No")</f>
        <v>No</v>
      </c>
      <c r="T164" s="5" t="str">
        <f>IFERROR(__xludf.DUMMYFUNCTION("""COMPUTED_VALUE"""),"No")</f>
        <v>No</v>
      </c>
      <c r="U164" s="5" t="str">
        <f>IFERROR(__xludf.DUMMYFUNCTION("""COMPUTED_VALUE"""),"No")</f>
        <v>No</v>
      </c>
      <c r="V164" s="5" t="str">
        <f>IFERROR(__xludf.DUMMYFUNCTION("""COMPUTED_VALUE"""),"No")</f>
        <v>No</v>
      </c>
      <c r="W164" s="5"/>
      <c r="X164" s="5"/>
      <c r="Y164" s="5"/>
      <c r="Z164" s="5" t="str">
        <f>IFERROR(__xludf.DUMMYFUNCTION("""COMPUTED_VALUE"""),"No")</f>
        <v>No</v>
      </c>
      <c r="AA164" s="5"/>
      <c r="AB164" s="5"/>
      <c r="AC164" s="5"/>
    </row>
    <row r="165">
      <c r="A165" s="5" t="str">
        <f>IFERROR(__xludf.DUMMYFUNCTION("""COMPUTED_VALUE"""),"UnicornMoneyStandard")</f>
        <v>UnicornMoneyStandard</v>
      </c>
      <c r="B16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5" s="5" t="str">
        <f>IFERROR(__xludf.DUMMYFUNCTION("""COMPUTED_VALUE"""),"Yes")</f>
        <v>Yes</v>
      </c>
      <c r="D165" s="5" t="str">
        <f>IFERROR(__xludf.DUMMYFUNCTION("""COMPUTED_VALUE"""),"Yes")</f>
        <v>Yes</v>
      </c>
      <c r="E165" s="5" t="str">
        <f>IFERROR(__xludf.DUMMYFUNCTION("""COMPUTED_VALUE"""),"Yes")</f>
        <v>Yes</v>
      </c>
      <c r="F165" s="5" t="str">
        <f>IFERROR(__xludf.DUMMYFUNCTION("""COMPUTED_VALUE"""),"No")</f>
        <v>No</v>
      </c>
      <c r="G165" s="5" t="str">
        <f>IFERROR(__xludf.DUMMYFUNCTION("""COMPUTED_VALUE"""),"No")</f>
        <v>No</v>
      </c>
      <c r="H165" s="5" t="str">
        <f>IFERROR(__xludf.DUMMYFUNCTION("""COMPUTED_VALUE"""),"No")</f>
        <v>No</v>
      </c>
      <c r="I165" s="5" t="str">
        <f>IFERROR(__xludf.DUMMYFUNCTION("""COMPUTED_VALUE"""),"No")</f>
        <v>No</v>
      </c>
      <c r="J165" s="5" t="str">
        <f>IFERROR(__xludf.DUMMYFUNCTION("""COMPUTED_VALUE"""),"No")</f>
        <v>No</v>
      </c>
      <c r="K165" s="5" t="str">
        <f>IFERROR(__xludf.DUMMYFUNCTION("""COMPUTED_VALUE"""),"Yes")</f>
        <v>Yes</v>
      </c>
      <c r="L165" s="5" t="str">
        <f>IFERROR(__xludf.DUMMYFUNCTION("""COMPUTED_VALUE"""),"Yes")</f>
        <v>Yes</v>
      </c>
      <c r="M165" s="5" t="str">
        <f>IFERROR(__xludf.DUMMYFUNCTION("""COMPUTED_VALUE"""),"Yes")</f>
        <v>Yes</v>
      </c>
      <c r="N165" s="5" t="str">
        <f>IFERROR(__xludf.DUMMYFUNCTION("""COMPUTED_VALUE"""),"Yes")</f>
        <v>Yes</v>
      </c>
      <c r="O165" s="5" t="str">
        <f>IFERROR(__xludf.DUMMYFUNCTION("""COMPUTED_VALUE"""),"Yes")</f>
        <v>Yes</v>
      </c>
      <c r="P165" s="5" t="str">
        <f>IFERROR(__xludf.DUMMYFUNCTION("""COMPUTED_VALUE"""),"No")</f>
        <v>No</v>
      </c>
      <c r="Q165" s="5" t="str">
        <f>IFERROR(__xludf.DUMMYFUNCTION("""COMPUTED_VALUE"""),"Yes")</f>
        <v>Yes</v>
      </c>
      <c r="R165" s="5" t="str">
        <f>IFERROR(__xludf.DUMMYFUNCTION("""COMPUTED_VALUE"""),"No")</f>
        <v>No</v>
      </c>
      <c r="S165" s="5" t="str">
        <f>IFERROR(__xludf.DUMMYFUNCTION("""COMPUTED_VALUE"""),"No")</f>
        <v>No</v>
      </c>
      <c r="T165" s="5" t="str">
        <f>IFERROR(__xludf.DUMMYFUNCTION("""COMPUTED_VALUE"""),"No")</f>
        <v>No</v>
      </c>
      <c r="U165" s="5" t="str">
        <f>IFERROR(__xludf.DUMMYFUNCTION("""COMPUTED_VALUE"""),"No")</f>
        <v>No</v>
      </c>
      <c r="V165" s="5" t="str">
        <f>IFERROR(__xludf.DUMMYFUNCTION("""COMPUTED_VALUE"""),"No")</f>
        <v>No</v>
      </c>
      <c r="W165" s="5"/>
      <c r="X165" s="5"/>
      <c r="Y165" s="5"/>
      <c r="Z165" s="5" t="str">
        <f>IFERROR(__xludf.DUMMYFUNCTION("""COMPUTED_VALUE"""),"No")</f>
        <v>No</v>
      </c>
      <c r="AA165" s="5"/>
      <c r="AB165" s="5"/>
      <c r="AC165" s="5"/>
    </row>
    <row r="166">
      <c r="A166" s="5" t="str">
        <f>IFERROR(__xludf.DUMMYFUNCTION("""COMPUTED_VALUE"""),"WildDiamond10")</f>
        <v>WildDiamond10</v>
      </c>
      <c r="B16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66" s="5" t="str">
        <f>IFERROR(__xludf.DUMMYFUNCTION("""COMPUTED_VALUE"""),"Yes")</f>
        <v>Yes</v>
      </c>
      <c r="D166" s="5" t="str">
        <f>IFERROR(__xludf.DUMMYFUNCTION("""COMPUTED_VALUE"""),"Yes")</f>
        <v>Yes</v>
      </c>
      <c r="E166" s="5" t="str">
        <f>IFERROR(__xludf.DUMMYFUNCTION("""COMPUTED_VALUE"""),"Yes")</f>
        <v>Yes</v>
      </c>
      <c r="F166" s="5" t="str">
        <f>IFERROR(__xludf.DUMMYFUNCTION("""COMPUTED_VALUE"""),"No")</f>
        <v>No</v>
      </c>
      <c r="G166" s="5" t="str">
        <f>IFERROR(__xludf.DUMMYFUNCTION("""COMPUTED_VALUE"""),"No")</f>
        <v>No</v>
      </c>
      <c r="H166" s="5" t="str">
        <f>IFERROR(__xludf.DUMMYFUNCTION("""COMPUTED_VALUE"""),"No")</f>
        <v>No</v>
      </c>
      <c r="I166" s="5" t="str">
        <f>IFERROR(__xludf.DUMMYFUNCTION("""COMPUTED_VALUE"""),"No")</f>
        <v>No</v>
      </c>
      <c r="J166" s="5" t="str">
        <f>IFERROR(__xludf.DUMMYFUNCTION("""COMPUTED_VALUE"""),"No")</f>
        <v>No</v>
      </c>
      <c r="K166" s="5" t="str">
        <f>IFERROR(__xludf.DUMMYFUNCTION("""COMPUTED_VALUE"""),"Yes")</f>
        <v>Yes</v>
      </c>
      <c r="L166" s="5" t="str">
        <f>IFERROR(__xludf.DUMMYFUNCTION("""COMPUTED_VALUE"""),"Yes")</f>
        <v>Yes</v>
      </c>
      <c r="M166" s="5" t="str">
        <f>IFERROR(__xludf.DUMMYFUNCTION("""COMPUTED_VALUE"""),"Yes")</f>
        <v>Yes</v>
      </c>
      <c r="N166" s="5" t="str">
        <f>IFERROR(__xludf.DUMMYFUNCTION("""COMPUTED_VALUE"""),"Yes")</f>
        <v>Yes</v>
      </c>
      <c r="O166" s="5" t="str">
        <f>IFERROR(__xludf.DUMMYFUNCTION("""COMPUTED_VALUE"""),"Yes")</f>
        <v>Yes</v>
      </c>
      <c r="P166" s="5" t="str">
        <f>IFERROR(__xludf.DUMMYFUNCTION("""COMPUTED_VALUE"""),"No")</f>
        <v>No</v>
      </c>
      <c r="Q166" s="5" t="str">
        <f>IFERROR(__xludf.DUMMYFUNCTION("""COMPUTED_VALUE"""),"Yes")</f>
        <v>Yes</v>
      </c>
      <c r="R166" s="5" t="str">
        <f>IFERROR(__xludf.DUMMYFUNCTION("""COMPUTED_VALUE"""),"No")</f>
        <v>No</v>
      </c>
      <c r="S166" s="5" t="str">
        <f>IFERROR(__xludf.DUMMYFUNCTION("""COMPUTED_VALUE"""),"No")</f>
        <v>No</v>
      </c>
      <c r="T166" s="5" t="str">
        <f>IFERROR(__xludf.DUMMYFUNCTION("""COMPUTED_VALUE"""),"No")</f>
        <v>No</v>
      </c>
      <c r="U166" s="5" t="str">
        <f>IFERROR(__xludf.DUMMYFUNCTION("""COMPUTED_VALUE"""),"No")</f>
        <v>No</v>
      </c>
      <c r="V166" s="5" t="str">
        <f>IFERROR(__xludf.DUMMYFUNCTION("""COMPUTED_VALUE"""),"No")</f>
        <v>No</v>
      </c>
      <c r="W166" s="5"/>
      <c r="X166" s="5"/>
      <c r="Y166" s="5"/>
      <c r="Z166" s="5" t="str">
        <f>IFERROR(__xludf.DUMMYFUNCTION("""COMPUTED_VALUE"""),"No")</f>
        <v>No</v>
      </c>
      <c r="AA166" s="5"/>
      <c r="AB166" s="5"/>
      <c r="AC166" s="5"/>
    </row>
    <row r="167">
      <c r="A167" s="5" t="str">
        <f>IFERROR(__xludf.DUMMYFUNCTION("""COMPUTED_VALUE"""),"UnicornMiniMegaCash")</f>
        <v>UnicornMiniMegaCash</v>
      </c>
      <c r="B16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67" s="5" t="str">
        <f>IFERROR(__xludf.DUMMYFUNCTION("""COMPUTED_VALUE"""),"Yes")</f>
        <v>Yes</v>
      </c>
      <c r="D167" s="5" t="str">
        <f>IFERROR(__xludf.DUMMYFUNCTION("""COMPUTED_VALUE"""),"Yes")</f>
        <v>Yes</v>
      </c>
      <c r="E167" s="5" t="str">
        <f>IFERROR(__xludf.DUMMYFUNCTION("""COMPUTED_VALUE"""),"No")</f>
        <v>No</v>
      </c>
      <c r="F167" s="5" t="str">
        <f>IFERROR(__xludf.DUMMYFUNCTION("""COMPUTED_VALUE"""),"Yes")</f>
        <v>Yes</v>
      </c>
      <c r="G167" s="5" t="str">
        <f>IFERROR(__xludf.DUMMYFUNCTION("""COMPUTED_VALUE"""),"Yes")</f>
        <v>Yes</v>
      </c>
      <c r="H167" s="5" t="str">
        <f>IFERROR(__xludf.DUMMYFUNCTION("""COMPUTED_VALUE"""),"Yes")</f>
        <v>Yes</v>
      </c>
      <c r="I167" s="5" t="str">
        <f>IFERROR(__xludf.DUMMYFUNCTION("""COMPUTED_VALUE"""),"Yes")</f>
        <v>Yes</v>
      </c>
      <c r="J167" s="5" t="str">
        <f>IFERROR(__xludf.DUMMYFUNCTION("""COMPUTED_VALUE"""),"Yes")</f>
        <v>Yes</v>
      </c>
      <c r="K167" s="5" t="str">
        <f>IFERROR(__xludf.DUMMYFUNCTION("""COMPUTED_VALUE"""),"Yes")</f>
        <v>Yes</v>
      </c>
      <c r="L167" s="5" t="str">
        <f>IFERROR(__xludf.DUMMYFUNCTION("""COMPUTED_VALUE"""),"Yes")</f>
        <v>Yes</v>
      </c>
      <c r="M167" s="5" t="str">
        <f>IFERROR(__xludf.DUMMYFUNCTION("""COMPUTED_VALUE"""),"Yes")</f>
        <v>Yes</v>
      </c>
      <c r="N167" s="5" t="str">
        <f>IFERROR(__xludf.DUMMYFUNCTION("""COMPUTED_VALUE"""),"Yes")</f>
        <v>Yes</v>
      </c>
      <c r="O167" s="5" t="str">
        <f>IFERROR(__xludf.DUMMYFUNCTION("""COMPUTED_VALUE"""),"Yes")</f>
        <v>Yes</v>
      </c>
      <c r="P167" s="5" t="str">
        <f>IFERROR(__xludf.DUMMYFUNCTION("""COMPUTED_VALUE"""),"Yes")</f>
        <v>Yes</v>
      </c>
      <c r="Q167" s="5" t="str">
        <f>IFERROR(__xludf.DUMMYFUNCTION("""COMPUTED_VALUE"""),"Yes")</f>
        <v>Yes</v>
      </c>
      <c r="R167" s="5" t="str">
        <f>IFERROR(__xludf.DUMMYFUNCTION("""COMPUTED_VALUE"""),"No")</f>
        <v>No</v>
      </c>
      <c r="S167" s="5" t="str">
        <f>IFERROR(__xludf.DUMMYFUNCTION("""COMPUTED_VALUE"""),"No")</f>
        <v>No</v>
      </c>
      <c r="T167" s="5" t="str">
        <f>IFERROR(__xludf.DUMMYFUNCTION("""COMPUTED_VALUE"""),"No")</f>
        <v>No</v>
      </c>
      <c r="U167" s="5" t="str">
        <f>IFERROR(__xludf.DUMMYFUNCTION("""COMPUTED_VALUE"""),"No")</f>
        <v>No</v>
      </c>
      <c r="V167" s="5" t="str">
        <f>IFERROR(__xludf.DUMMYFUNCTION("""COMPUTED_VALUE"""),"No")</f>
        <v>No</v>
      </c>
      <c r="W167" s="5" t="str">
        <f>IFERROR(__xludf.DUMMYFUNCTION("""COMPUTED_VALUE"""),"No")</f>
        <v>No</v>
      </c>
      <c r="X167" s="5" t="str">
        <f>IFERROR(__xludf.DUMMYFUNCTION("""COMPUTED_VALUE"""),"No")</f>
        <v>No</v>
      </c>
      <c r="Y167" s="5" t="str">
        <f>IFERROR(__xludf.DUMMYFUNCTION("""COMPUTED_VALUE"""),"No")</f>
        <v>No</v>
      </c>
      <c r="Z167" s="5" t="str">
        <f>IFERROR(__xludf.DUMMYFUNCTION("""COMPUTED_VALUE"""),"No")</f>
        <v>No</v>
      </c>
      <c r="AA167" s="5" t="str">
        <f>IFERROR(__xludf.DUMMYFUNCTION("""COMPUTED_VALUE"""),"No")</f>
        <v>No</v>
      </c>
      <c r="AB167" s="5" t="str">
        <f>IFERROR(__xludf.DUMMYFUNCTION("""COMPUTED_VALUE"""),"Yes")</f>
        <v>Yes</v>
      </c>
      <c r="AC167" s="5" t="str">
        <f>IFERROR(__xludf.DUMMYFUNCTION("""COMPUTED_VALUE"""),"No")</f>
        <v>No</v>
      </c>
    </row>
    <row r="168">
      <c r="A168" s="5" t="str">
        <f>IFERROR(__xludf.DUMMYFUNCTION("""COMPUTED_VALUE"""),"FruityFace")</f>
        <v>FruityFace</v>
      </c>
      <c r="B1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8" s="5" t="str">
        <f>IFERROR(__xludf.DUMMYFUNCTION("""COMPUTED_VALUE"""),"Yes")</f>
        <v>Yes</v>
      </c>
      <c r="D168" s="5" t="str">
        <f>IFERROR(__xludf.DUMMYFUNCTION("""COMPUTED_VALUE"""),"Yes")</f>
        <v>Yes</v>
      </c>
      <c r="E168" s="5" t="str">
        <f>IFERROR(__xludf.DUMMYFUNCTION("""COMPUTED_VALUE"""),"Yes")</f>
        <v>Yes</v>
      </c>
      <c r="F168" s="5" t="str">
        <f>IFERROR(__xludf.DUMMYFUNCTION("""COMPUTED_VALUE"""),"Yes")</f>
        <v>Yes</v>
      </c>
      <c r="G168" s="5" t="str">
        <f>IFERROR(__xludf.DUMMYFUNCTION("""COMPUTED_VALUE"""),"Yes")</f>
        <v>Yes</v>
      </c>
      <c r="H168" s="5" t="str">
        <f>IFERROR(__xludf.DUMMYFUNCTION("""COMPUTED_VALUE"""),"Yes")</f>
        <v>Yes</v>
      </c>
      <c r="I168" s="5" t="str">
        <f>IFERROR(__xludf.DUMMYFUNCTION("""COMPUTED_VALUE"""),"Yes")</f>
        <v>Yes</v>
      </c>
      <c r="J168" s="5" t="str">
        <f>IFERROR(__xludf.DUMMYFUNCTION("""COMPUTED_VALUE"""),"Yes")</f>
        <v>Yes</v>
      </c>
      <c r="K168" s="5" t="str">
        <f>IFERROR(__xludf.DUMMYFUNCTION("""COMPUTED_VALUE"""),"Yes")</f>
        <v>Yes</v>
      </c>
      <c r="L168" s="5" t="str">
        <f>IFERROR(__xludf.DUMMYFUNCTION("""COMPUTED_VALUE"""),"Yes")</f>
        <v>Yes</v>
      </c>
      <c r="M168" s="5" t="str">
        <f>IFERROR(__xludf.DUMMYFUNCTION("""COMPUTED_VALUE"""),"Yes")</f>
        <v>Yes</v>
      </c>
      <c r="N168" s="5" t="str">
        <f>IFERROR(__xludf.DUMMYFUNCTION("""COMPUTED_VALUE"""),"Yes")</f>
        <v>Yes</v>
      </c>
      <c r="O168" s="5" t="str">
        <f>IFERROR(__xludf.DUMMYFUNCTION("""COMPUTED_VALUE"""),"Yes")</f>
        <v>Yes</v>
      </c>
      <c r="P168" s="5" t="str">
        <f>IFERROR(__xludf.DUMMYFUNCTION("""COMPUTED_VALUE"""),"Yes")</f>
        <v>Yes</v>
      </c>
      <c r="Q168" s="5" t="str">
        <f>IFERROR(__xludf.DUMMYFUNCTION("""COMPUTED_VALUE"""),"Yes")</f>
        <v>Yes</v>
      </c>
      <c r="R168" s="5" t="str">
        <f>IFERROR(__xludf.DUMMYFUNCTION("""COMPUTED_VALUE"""),"Yes")</f>
        <v>Yes</v>
      </c>
      <c r="S168" s="5" t="str">
        <f>IFERROR(__xludf.DUMMYFUNCTION("""COMPUTED_VALUE"""),"Yes")</f>
        <v>Yes</v>
      </c>
      <c r="T168" s="5" t="str">
        <f>IFERROR(__xludf.DUMMYFUNCTION("""COMPUTED_VALUE"""),"Yes")</f>
        <v>Yes</v>
      </c>
      <c r="U168" s="5" t="str">
        <f>IFERROR(__xludf.DUMMYFUNCTION("""COMPUTED_VALUE"""),"Yes")</f>
        <v>Yes</v>
      </c>
      <c r="V168" s="5" t="str">
        <f>IFERROR(__xludf.DUMMYFUNCTION("""COMPUTED_VALUE"""),"Yes")</f>
        <v>Yes</v>
      </c>
      <c r="W168" s="5" t="str">
        <f>IFERROR(__xludf.DUMMYFUNCTION("""COMPUTED_VALUE"""),"Yes")</f>
        <v>Yes</v>
      </c>
      <c r="X168" s="5" t="str">
        <f>IFERROR(__xludf.DUMMYFUNCTION("""COMPUTED_VALUE"""),"Yes")</f>
        <v>Yes</v>
      </c>
      <c r="Y168" s="5" t="str">
        <f>IFERROR(__xludf.DUMMYFUNCTION("""COMPUTED_VALUE"""),"Yes")</f>
        <v>Yes</v>
      </c>
      <c r="Z168" s="5" t="str">
        <f>IFERROR(__xludf.DUMMYFUNCTION("""COMPUTED_VALUE"""),"Yes")</f>
        <v>Yes</v>
      </c>
      <c r="AA168" s="5" t="str">
        <f>IFERROR(__xludf.DUMMYFUNCTION("""COMPUTED_VALUE"""),"Yes")</f>
        <v>Yes</v>
      </c>
      <c r="AB168" s="5" t="str">
        <f>IFERROR(__xludf.DUMMYFUNCTION("""COMPUTED_VALUE"""),"Yes")</f>
        <v>Yes</v>
      </c>
      <c r="AC168" s="5" t="str">
        <f>IFERROR(__xludf.DUMMYFUNCTION("""COMPUTED_VALUE"""),"No")</f>
        <v>No</v>
      </c>
    </row>
    <row r="169">
      <c r="A169" s="5" t="str">
        <f>IFERROR(__xludf.DUMMYFUNCTION("""COMPUTED_VALUE"""),"WildHeart5")</f>
        <v>WildHeart5</v>
      </c>
      <c r="B1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9" s="5" t="str">
        <f>IFERROR(__xludf.DUMMYFUNCTION("""COMPUTED_VALUE"""),"Yes")</f>
        <v>Yes</v>
      </c>
      <c r="D169" s="5" t="str">
        <f>IFERROR(__xludf.DUMMYFUNCTION("""COMPUTED_VALUE"""),"Yes")</f>
        <v>Yes</v>
      </c>
      <c r="E169" s="5" t="str">
        <f>IFERROR(__xludf.DUMMYFUNCTION("""COMPUTED_VALUE"""),"Yes")</f>
        <v>Yes</v>
      </c>
      <c r="F169" s="5" t="str">
        <f>IFERROR(__xludf.DUMMYFUNCTION("""COMPUTED_VALUE"""),"Yes")</f>
        <v>Yes</v>
      </c>
      <c r="G169" s="5" t="str">
        <f>IFERROR(__xludf.DUMMYFUNCTION("""COMPUTED_VALUE"""),"Yes")</f>
        <v>Yes</v>
      </c>
      <c r="H169" s="5" t="str">
        <f>IFERROR(__xludf.DUMMYFUNCTION("""COMPUTED_VALUE"""),"Yes")</f>
        <v>Yes</v>
      </c>
      <c r="I169" s="5" t="str">
        <f>IFERROR(__xludf.DUMMYFUNCTION("""COMPUTED_VALUE"""),"Yes")</f>
        <v>Yes</v>
      </c>
      <c r="J169" s="5" t="str">
        <f>IFERROR(__xludf.DUMMYFUNCTION("""COMPUTED_VALUE"""),"Yes")</f>
        <v>Yes</v>
      </c>
      <c r="K169" s="5" t="str">
        <f>IFERROR(__xludf.DUMMYFUNCTION("""COMPUTED_VALUE"""),"Yes")</f>
        <v>Yes</v>
      </c>
      <c r="L169" s="5" t="str">
        <f>IFERROR(__xludf.DUMMYFUNCTION("""COMPUTED_VALUE"""),"Yes")</f>
        <v>Yes</v>
      </c>
      <c r="M169" s="5" t="str">
        <f>IFERROR(__xludf.DUMMYFUNCTION("""COMPUTED_VALUE"""),"Yes")</f>
        <v>Yes</v>
      </c>
      <c r="N169" s="5" t="str">
        <f>IFERROR(__xludf.DUMMYFUNCTION("""COMPUTED_VALUE"""),"Yes")</f>
        <v>Yes</v>
      </c>
      <c r="O169" s="5" t="str">
        <f>IFERROR(__xludf.DUMMYFUNCTION("""COMPUTED_VALUE"""),"Yes")</f>
        <v>Yes</v>
      </c>
      <c r="P169" s="5" t="str">
        <f>IFERROR(__xludf.DUMMYFUNCTION("""COMPUTED_VALUE"""),"Yes")</f>
        <v>Yes</v>
      </c>
      <c r="Q169" s="5" t="str">
        <f>IFERROR(__xludf.DUMMYFUNCTION("""COMPUTED_VALUE"""),"Yes")</f>
        <v>Yes</v>
      </c>
      <c r="R169" s="5" t="str">
        <f>IFERROR(__xludf.DUMMYFUNCTION("""COMPUTED_VALUE"""),"Yes")</f>
        <v>Yes</v>
      </c>
      <c r="S169" s="5" t="str">
        <f>IFERROR(__xludf.DUMMYFUNCTION("""COMPUTED_VALUE"""),"Yes")</f>
        <v>Yes</v>
      </c>
      <c r="T169" s="5" t="str">
        <f>IFERROR(__xludf.DUMMYFUNCTION("""COMPUTED_VALUE"""),"Yes")</f>
        <v>Yes</v>
      </c>
      <c r="U169" s="5" t="str">
        <f>IFERROR(__xludf.DUMMYFUNCTION("""COMPUTED_VALUE"""),"Yes")</f>
        <v>Yes</v>
      </c>
      <c r="V169" s="5" t="str">
        <f>IFERROR(__xludf.DUMMYFUNCTION("""COMPUTED_VALUE"""),"Yes")</f>
        <v>Yes</v>
      </c>
      <c r="W169" s="5" t="str">
        <f>IFERROR(__xludf.DUMMYFUNCTION("""COMPUTED_VALUE"""),"Yes")</f>
        <v>Yes</v>
      </c>
      <c r="X169" s="5" t="str">
        <f>IFERROR(__xludf.DUMMYFUNCTION("""COMPUTED_VALUE"""),"Yes")</f>
        <v>Yes</v>
      </c>
      <c r="Y169" s="5" t="str">
        <f>IFERROR(__xludf.DUMMYFUNCTION("""COMPUTED_VALUE"""),"Yes")</f>
        <v>Yes</v>
      </c>
      <c r="Z169" s="5" t="str">
        <f>IFERROR(__xludf.DUMMYFUNCTION("""COMPUTED_VALUE"""),"Yes")</f>
        <v>Yes</v>
      </c>
      <c r="AA169" s="5" t="str">
        <f>IFERROR(__xludf.DUMMYFUNCTION("""COMPUTED_VALUE"""),"Yes")</f>
        <v>Yes</v>
      </c>
      <c r="AB169" s="5" t="str">
        <f>IFERROR(__xludf.DUMMYFUNCTION("""COMPUTED_VALUE"""),"Yes")</f>
        <v>Yes</v>
      </c>
      <c r="AC169" s="5"/>
    </row>
    <row r="170">
      <c r="A170" s="5" t="str">
        <f>IFERROR(__xludf.DUMMYFUNCTION("""COMPUTED_VALUE"""),"ClassicLuckySpin")</f>
        <v>ClassicLuckySpin</v>
      </c>
      <c r="B1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0" s="5" t="str">
        <f>IFERROR(__xludf.DUMMYFUNCTION("""COMPUTED_VALUE"""),"Yes")</f>
        <v>Yes</v>
      </c>
      <c r="D170" s="5" t="str">
        <f>IFERROR(__xludf.DUMMYFUNCTION("""COMPUTED_VALUE"""),"Yes")</f>
        <v>Yes</v>
      </c>
      <c r="E170" s="5" t="str">
        <f>IFERROR(__xludf.DUMMYFUNCTION("""COMPUTED_VALUE"""),"Yes")</f>
        <v>Yes</v>
      </c>
      <c r="F170" s="5" t="str">
        <f>IFERROR(__xludf.DUMMYFUNCTION("""COMPUTED_VALUE"""),"Yes")</f>
        <v>Yes</v>
      </c>
      <c r="G170" s="5" t="str">
        <f>IFERROR(__xludf.DUMMYFUNCTION("""COMPUTED_VALUE"""),"Yes")</f>
        <v>Yes</v>
      </c>
      <c r="H170" s="5" t="str">
        <f>IFERROR(__xludf.DUMMYFUNCTION("""COMPUTED_VALUE"""),"Yes")</f>
        <v>Yes</v>
      </c>
      <c r="I170" s="5" t="str">
        <f>IFERROR(__xludf.DUMMYFUNCTION("""COMPUTED_VALUE"""),"Yes")</f>
        <v>Yes</v>
      </c>
      <c r="J170" s="5" t="str">
        <f>IFERROR(__xludf.DUMMYFUNCTION("""COMPUTED_VALUE"""),"Yes")</f>
        <v>Yes</v>
      </c>
      <c r="K170" s="5" t="str">
        <f>IFERROR(__xludf.DUMMYFUNCTION("""COMPUTED_VALUE"""),"Yes")</f>
        <v>Yes</v>
      </c>
      <c r="L170" s="5" t="str">
        <f>IFERROR(__xludf.DUMMYFUNCTION("""COMPUTED_VALUE"""),"Yes")</f>
        <v>Yes</v>
      </c>
      <c r="M170" s="5" t="str">
        <f>IFERROR(__xludf.DUMMYFUNCTION("""COMPUTED_VALUE"""),"Yes")</f>
        <v>Yes</v>
      </c>
      <c r="N170" s="5" t="str">
        <f>IFERROR(__xludf.DUMMYFUNCTION("""COMPUTED_VALUE"""),"Yes")</f>
        <v>Yes</v>
      </c>
      <c r="O170" s="5" t="str">
        <f>IFERROR(__xludf.DUMMYFUNCTION("""COMPUTED_VALUE"""),"Yes")</f>
        <v>Yes</v>
      </c>
      <c r="P170" s="5" t="str">
        <f>IFERROR(__xludf.DUMMYFUNCTION("""COMPUTED_VALUE"""),"Yes")</f>
        <v>Yes</v>
      </c>
      <c r="Q170" s="5" t="str">
        <f>IFERROR(__xludf.DUMMYFUNCTION("""COMPUTED_VALUE"""),"Yes")</f>
        <v>Yes</v>
      </c>
      <c r="R170" s="5" t="str">
        <f>IFERROR(__xludf.DUMMYFUNCTION("""COMPUTED_VALUE"""),"Yes")</f>
        <v>Yes</v>
      </c>
      <c r="S170" s="5" t="str">
        <f>IFERROR(__xludf.DUMMYFUNCTION("""COMPUTED_VALUE"""),"Yes")</f>
        <v>Yes</v>
      </c>
      <c r="T170" s="5" t="str">
        <f>IFERROR(__xludf.DUMMYFUNCTION("""COMPUTED_VALUE"""),"Yes")</f>
        <v>Yes</v>
      </c>
      <c r="U170" s="5" t="str">
        <f>IFERROR(__xludf.DUMMYFUNCTION("""COMPUTED_VALUE"""),"Yes")</f>
        <v>Yes</v>
      </c>
      <c r="V170" s="5" t="str">
        <f>IFERROR(__xludf.DUMMYFUNCTION("""COMPUTED_VALUE"""),"Yes")</f>
        <v>Yes</v>
      </c>
      <c r="W170" s="5" t="str">
        <f>IFERROR(__xludf.DUMMYFUNCTION("""COMPUTED_VALUE"""),"Yes")</f>
        <v>Yes</v>
      </c>
      <c r="X170" s="5" t="str">
        <f>IFERROR(__xludf.DUMMYFUNCTION("""COMPUTED_VALUE"""),"Yes")</f>
        <v>Yes</v>
      </c>
      <c r="Y170" s="5" t="str">
        <f>IFERROR(__xludf.DUMMYFUNCTION("""COMPUTED_VALUE"""),"Yes")</f>
        <v>Yes</v>
      </c>
      <c r="Z170" s="5" t="str">
        <f>IFERROR(__xludf.DUMMYFUNCTION("""COMPUTED_VALUE"""),"Yes")</f>
        <v>Yes</v>
      </c>
      <c r="AA170" s="5" t="str">
        <f>IFERROR(__xludf.DUMMYFUNCTION("""COMPUTED_VALUE"""),"Yes")</f>
        <v>Yes</v>
      </c>
      <c r="AB170" s="5" t="str">
        <f>IFERROR(__xludf.DUMMYFUNCTION("""COMPUTED_VALUE"""),"Yes")</f>
        <v>Yes</v>
      </c>
      <c r="AC170" s="5" t="str">
        <f>IFERROR(__xludf.DUMMYFUNCTION("""COMPUTED_VALUE"""),"No")</f>
        <v>No</v>
      </c>
    </row>
    <row r="171">
      <c r="A171" s="5" t="str">
        <f>IFERROR(__xludf.DUMMYFUNCTION("""COMPUTED_VALUE"""),"Unicorn20DiceFlames")</f>
        <v>Unicorn20DiceFlames</v>
      </c>
      <c r="B1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1" s="5" t="str">
        <f>IFERROR(__xludf.DUMMYFUNCTION("""COMPUTED_VALUE"""),"Yes")</f>
        <v>Yes</v>
      </c>
      <c r="D171" s="5" t="str">
        <f>IFERROR(__xludf.DUMMYFUNCTION("""COMPUTED_VALUE"""),"Yes")</f>
        <v>Yes</v>
      </c>
      <c r="E171" s="5" t="str">
        <f>IFERROR(__xludf.DUMMYFUNCTION("""COMPUTED_VALUE"""),"Yes")</f>
        <v>Yes</v>
      </c>
      <c r="F171" s="5" t="str">
        <f>IFERROR(__xludf.DUMMYFUNCTION("""COMPUTED_VALUE"""),"Yes")</f>
        <v>Yes</v>
      </c>
      <c r="G171" s="5" t="str">
        <f>IFERROR(__xludf.DUMMYFUNCTION("""COMPUTED_VALUE"""),"Yes")</f>
        <v>Yes</v>
      </c>
      <c r="H171" s="5" t="str">
        <f>IFERROR(__xludf.DUMMYFUNCTION("""COMPUTED_VALUE"""),"Yes")</f>
        <v>Yes</v>
      </c>
      <c r="I171" s="5" t="str">
        <f>IFERROR(__xludf.DUMMYFUNCTION("""COMPUTED_VALUE"""),"Yes")</f>
        <v>Yes</v>
      </c>
      <c r="J171" s="5" t="str">
        <f>IFERROR(__xludf.DUMMYFUNCTION("""COMPUTED_VALUE"""),"Yes")</f>
        <v>Yes</v>
      </c>
      <c r="K171" s="5" t="str">
        <f>IFERROR(__xludf.DUMMYFUNCTION("""COMPUTED_VALUE"""),"Yes")</f>
        <v>Yes</v>
      </c>
      <c r="L171" s="5" t="str">
        <f>IFERROR(__xludf.DUMMYFUNCTION("""COMPUTED_VALUE"""),"Yes")</f>
        <v>Yes</v>
      </c>
      <c r="M171" s="5" t="str">
        <f>IFERROR(__xludf.DUMMYFUNCTION("""COMPUTED_VALUE"""),"Yes")</f>
        <v>Yes</v>
      </c>
      <c r="N171" s="5" t="str">
        <f>IFERROR(__xludf.DUMMYFUNCTION("""COMPUTED_VALUE"""),"Yes")</f>
        <v>Yes</v>
      </c>
      <c r="O171" s="5" t="str">
        <f>IFERROR(__xludf.DUMMYFUNCTION("""COMPUTED_VALUE"""),"Yes")</f>
        <v>Yes</v>
      </c>
      <c r="P171" s="5" t="str">
        <f>IFERROR(__xludf.DUMMYFUNCTION("""COMPUTED_VALUE"""),"Yes")</f>
        <v>Yes</v>
      </c>
      <c r="Q171" s="5" t="str">
        <f>IFERROR(__xludf.DUMMYFUNCTION("""COMPUTED_VALUE"""),"Yes")</f>
        <v>Yes</v>
      </c>
      <c r="R171" s="5" t="str">
        <f>IFERROR(__xludf.DUMMYFUNCTION("""COMPUTED_VALUE"""),"Yes")</f>
        <v>Yes</v>
      </c>
      <c r="S171" s="5" t="str">
        <f>IFERROR(__xludf.DUMMYFUNCTION("""COMPUTED_VALUE"""),"Yes")</f>
        <v>Yes</v>
      </c>
      <c r="T171" s="5" t="str">
        <f>IFERROR(__xludf.DUMMYFUNCTION("""COMPUTED_VALUE"""),"Yes")</f>
        <v>Yes</v>
      </c>
      <c r="U171" s="5" t="str">
        <f>IFERROR(__xludf.DUMMYFUNCTION("""COMPUTED_VALUE"""),"Yes")</f>
        <v>Yes</v>
      </c>
      <c r="V171" s="5" t="str">
        <f>IFERROR(__xludf.DUMMYFUNCTION("""COMPUTED_VALUE"""),"Yes")</f>
        <v>Yes</v>
      </c>
      <c r="W171" s="5" t="str">
        <f>IFERROR(__xludf.DUMMYFUNCTION("""COMPUTED_VALUE"""),"Yes")</f>
        <v>Yes</v>
      </c>
      <c r="X171" s="5" t="str">
        <f>IFERROR(__xludf.DUMMYFUNCTION("""COMPUTED_VALUE"""),"Yes")</f>
        <v>Yes</v>
      </c>
      <c r="Y171" s="5" t="str">
        <f>IFERROR(__xludf.DUMMYFUNCTION("""COMPUTED_VALUE"""),"Yes")</f>
        <v>Yes</v>
      </c>
      <c r="Z171" s="5" t="str">
        <f>IFERROR(__xludf.DUMMYFUNCTION("""COMPUTED_VALUE"""),"Yes")</f>
        <v>Yes</v>
      </c>
      <c r="AA171" s="5" t="str">
        <f>IFERROR(__xludf.DUMMYFUNCTION("""COMPUTED_VALUE"""),"Yes")</f>
        <v>Yes</v>
      </c>
      <c r="AB171" s="5" t="str">
        <f>IFERROR(__xludf.DUMMYFUNCTION("""COMPUTED_VALUE"""),"Yes")</f>
        <v>Yes</v>
      </c>
      <c r="AC171" s="5"/>
    </row>
    <row r="172">
      <c r="A172" s="5" t="str">
        <f>IFERROR(__xludf.DUMMYFUNCTION("""COMPUTED_VALUE"""),"VolcanoHot40")</f>
        <v>VolcanoHot40</v>
      </c>
      <c r="B1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2" s="5" t="str">
        <f>IFERROR(__xludf.DUMMYFUNCTION("""COMPUTED_VALUE"""),"Yes")</f>
        <v>Yes</v>
      </c>
      <c r="D172" s="5" t="str">
        <f>IFERROR(__xludf.DUMMYFUNCTION("""COMPUTED_VALUE"""),"Yes")</f>
        <v>Yes</v>
      </c>
      <c r="E172" s="5" t="str">
        <f>IFERROR(__xludf.DUMMYFUNCTION("""COMPUTED_VALUE"""),"Yes")</f>
        <v>Yes</v>
      </c>
      <c r="F172" s="5" t="str">
        <f>IFERROR(__xludf.DUMMYFUNCTION("""COMPUTED_VALUE"""),"Yes")</f>
        <v>Yes</v>
      </c>
      <c r="G172" s="5" t="str">
        <f>IFERROR(__xludf.DUMMYFUNCTION("""COMPUTED_VALUE"""),"Yes")</f>
        <v>Yes</v>
      </c>
      <c r="H172" s="5" t="str">
        <f>IFERROR(__xludf.DUMMYFUNCTION("""COMPUTED_VALUE"""),"Yes")</f>
        <v>Yes</v>
      </c>
      <c r="I172" s="5" t="str">
        <f>IFERROR(__xludf.DUMMYFUNCTION("""COMPUTED_VALUE"""),"Yes")</f>
        <v>Yes</v>
      </c>
      <c r="J172" s="5" t="str">
        <f>IFERROR(__xludf.DUMMYFUNCTION("""COMPUTED_VALUE"""),"Yes")</f>
        <v>Yes</v>
      </c>
      <c r="K172" s="5" t="str">
        <f>IFERROR(__xludf.DUMMYFUNCTION("""COMPUTED_VALUE"""),"Yes")</f>
        <v>Yes</v>
      </c>
      <c r="L172" s="5" t="str">
        <f>IFERROR(__xludf.DUMMYFUNCTION("""COMPUTED_VALUE"""),"Yes")</f>
        <v>Yes</v>
      </c>
      <c r="M172" s="5" t="str">
        <f>IFERROR(__xludf.DUMMYFUNCTION("""COMPUTED_VALUE"""),"Yes")</f>
        <v>Yes</v>
      </c>
      <c r="N172" s="5" t="str">
        <f>IFERROR(__xludf.DUMMYFUNCTION("""COMPUTED_VALUE"""),"Yes")</f>
        <v>Yes</v>
      </c>
      <c r="O172" s="5" t="str">
        <f>IFERROR(__xludf.DUMMYFUNCTION("""COMPUTED_VALUE"""),"Yes")</f>
        <v>Yes</v>
      </c>
      <c r="P172" s="5" t="str">
        <f>IFERROR(__xludf.DUMMYFUNCTION("""COMPUTED_VALUE"""),"Yes")</f>
        <v>Yes</v>
      </c>
      <c r="Q172" s="5" t="str">
        <f>IFERROR(__xludf.DUMMYFUNCTION("""COMPUTED_VALUE"""),"Yes")</f>
        <v>Yes</v>
      </c>
      <c r="R172" s="5" t="str">
        <f>IFERROR(__xludf.DUMMYFUNCTION("""COMPUTED_VALUE"""),"Yes")</f>
        <v>Yes</v>
      </c>
      <c r="S172" s="5" t="str">
        <f>IFERROR(__xludf.DUMMYFUNCTION("""COMPUTED_VALUE"""),"Yes")</f>
        <v>Yes</v>
      </c>
      <c r="T172" s="5" t="str">
        <f>IFERROR(__xludf.DUMMYFUNCTION("""COMPUTED_VALUE"""),"Yes")</f>
        <v>Yes</v>
      </c>
      <c r="U172" s="5" t="str">
        <f>IFERROR(__xludf.DUMMYFUNCTION("""COMPUTED_VALUE"""),"Yes")</f>
        <v>Yes</v>
      </c>
      <c r="V172" s="5" t="str">
        <f>IFERROR(__xludf.DUMMYFUNCTION("""COMPUTED_VALUE"""),"Yes")</f>
        <v>Yes</v>
      </c>
      <c r="W172" s="5" t="str">
        <f>IFERROR(__xludf.DUMMYFUNCTION("""COMPUTED_VALUE"""),"Yes")</f>
        <v>Yes</v>
      </c>
      <c r="X172" s="5" t="str">
        <f>IFERROR(__xludf.DUMMYFUNCTION("""COMPUTED_VALUE"""),"Yes")</f>
        <v>Yes</v>
      </c>
      <c r="Y172" s="5" t="str">
        <f>IFERROR(__xludf.DUMMYFUNCTION("""COMPUTED_VALUE"""),"Yes")</f>
        <v>Yes</v>
      </c>
      <c r="Z172" s="5" t="str">
        <f>IFERROR(__xludf.DUMMYFUNCTION("""COMPUTED_VALUE"""),"Yes")</f>
        <v>Yes</v>
      </c>
      <c r="AA172" s="5" t="str">
        <f>IFERROR(__xludf.DUMMYFUNCTION("""COMPUTED_VALUE"""),"Yes")</f>
        <v>Yes</v>
      </c>
      <c r="AB172" s="5" t="str">
        <f>IFERROR(__xludf.DUMMYFUNCTION("""COMPUTED_VALUE"""),"Yes")</f>
        <v>Yes</v>
      </c>
      <c r="AC172" s="5" t="str">
        <f>IFERROR(__xludf.DUMMYFUNCTION("""COMPUTED_VALUE"""),"No")</f>
        <v>No</v>
      </c>
    </row>
    <row r="173">
      <c r="A173" s="5" t="str">
        <f>IFERROR(__xludf.DUMMYFUNCTION("""COMPUTED_VALUE"""),"ZabranjenoVoce")</f>
        <v>ZabranjenoVoce</v>
      </c>
      <c r="B1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3" s="5" t="str">
        <f>IFERROR(__xludf.DUMMYFUNCTION("""COMPUTED_VALUE"""),"Yes")</f>
        <v>Yes</v>
      </c>
      <c r="D173" s="5" t="str">
        <f>IFERROR(__xludf.DUMMYFUNCTION("""COMPUTED_VALUE"""),"Yes")</f>
        <v>Yes</v>
      </c>
      <c r="E173" s="5" t="str">
        <f>IFERROR(__xludf.DUMMYFUNCTION("""COMPUTED_VALUE"""),"Yes")</f>
        <v>Yes</v>
      </c>
      <c r="F173" s="5" t="str">
        <f>IFERROR(__xludf.DUMMYFUNCTION("""COMPUTED_VALUE"""),"Yes")</f>
        <v>Yes</v>
      </c>
      <c r="G173" s="5" t="str">
        <f>IFERROR(__xludf.DUMMYFUNCTION("""COMPUTED_VALUE"""),"Yes")</f>
        <v>Yes</v>
      </c>
      <c r="H173" s="5" t="str">
        <f>IFERROR(__xludf.DUMMYFUNCTION("""COMPUTED_VALUE"""),"Yes")</f>
        <v>Yes</v>
      </c>
      <c r="I173" s="5" t="str">
        <f>IFERROR(__xludf.DUMMYFUNCTION("""COMPUTED_VALUE"""),"Yes")</f>
        <v>Yes</v>
      </c>
      <c r="J173" s="5" t="str">
        <f>IFERROR(__xludf.DUMMYFUNCTION("""COMPUTED_VALUE"""),"Yes")</f>
        <v>Yes</v>
      </c>
      <c r="K173" s="5" t="str">
        <f>IFERROR(__xludf.DUMMYFUNCTION("""COMPUTED_VALUE"""),"Yes")</f>
        <v>Yes</v>
      </c>
      <c r="L173" s="5" t="str">
        <f>IFERROR(__xludf.DUMMYFUNCTION("""COMPUTED_VALUE"""),"Yes")</f>
        <v>Yes</v>
      </c>
      <c r="M173" s="5" t="str">
        <f>IFERROR(__xludf.DUMMYFUNCTION("""COMPUTED_VALUE"""),"Yes")</f>
        <v>Yes</v>
      </c>
      <c r="N173" s="5" t="str">
        <f>IFERROR(__xludf.DUMMYFUNCTION("""COMPUTED_VALUE"""),"Yes")</f>
        <v>Yes</v>
      </c>
      <c r="O173" s="5" t="str">
        <f>IFERROR(__xludf.DUMMYFUNCTION("""COMPUTED_VALUE"""),"Yes")</f>
        <v>Yes</v>
      </c>
      <c r="P173" s="5" t="str">
        <f>IFERROR(__xludf.DUMMYFUNCTION("""COMPUTED_VALUE"""),"Yes")</f>
        <v>Yes</v>
      </c>
      <c r="Q173" s="5" t="str">
        <f>IFERROR(__xludf.DUMMYFUNCTION("""COMPUTED_VALUE"""),"Yes")</f>
        <v>Yes</v>
      </c>
      <c r="R173" s="5" t="str">
        <f>IFERROR(__xludf.DUMMYFUNCTION("""COMPUTED_VALUE"""),"Yes")</f>
        <v>Yes</v>
      </c>
      <c r="S173" s="5" t="str">
        <f>IFERROR(__xludf.DUMMYFUNCTION("""COMPUTED_VALUE"""),"Yes")</f>
        <v>Yes</v>
      </c>
      <c r="T173" s="5" t="str">
        <f>IFERROR(__xludf.DUMMYFUNCTION("""COMPUTED_VALUE"""),"Yes")</f>
        <v>Yes</v>
      </c>
      <c r="U173" s="5" t="str">
        <f>IFERROR(__xludf.DUMMYFUNCTION("""COMPUTED_VALUE"""),"Yes")</f>
        <v>Yes</v>
      </c>
      <c r="V173" s="5" t="str">
        <f>IFERROR(__xludf.DUMMYFUNCTION("""COMPUTED_VALUE"""),"Yes")</f>
        <v>Yes</v>
      </c>
      <c r="W173" s="5" t="str">
        <f>IFERROR(__xludf.DUMMYFUNCTION("""COMPUTED_VALUE"""),"Yes")</f>
        <v>Yes</v>
      </c>
      <c r="X173" s="5" t="str">
        <f>IFERROR(__xludf.DUMMYFUNCTION("""COMPUTED_VALUE"""),"Yes")</f>
        <v>Yes</v>
      </c>
      <c r="Y173" s="5" t="str">
        <f>IFERROR(__xludf.DUMMYFUNCTION("""COMPUTED_VALUE"""),"Yes")</f>
        <v>Yes</v>
      </c>
      <c r="Z173" s="5" t="str">
        <f>IFERROR(__xludf.DUMMYFUNCTION("""COMPUTED_VALUE"""),"Yes")</f>
        <v>Yes</v>
      </c>
      <c r="AA173" s="5" t="str">
        <f>IFERROR(__xludf.DUMMYFUNCTION("""COMPUTED_VALUE"""),"Yes")</f>
        <v>Yes</v>
      </c>
      <c r="AB173" s="5" t="str">
        <f>IFERROR(__xludf.DUMMYFUNCTION("""COMPUTED_VALUE"""),"Yes")</f>
        <v>Yes</v>
      </c>
      <c r="AC173" s="5" t="str">
        <f>IFERROR(__xludf.DUMMYFUNCTION("""COMPUTED_VALUE"""),"No")</f>
        <v>No</v>
      </c>
    </row>
    <row r="174">
      <c r="A174" s="5" t="str">
        <f>IFERROR(__xludf.DUMMYFUNCTION("""COMPUTED_VALUE"""),"UnicornSurfinHeat")</f>
        <v>UnicornSurfinHeat</v>
      </c>
      <c r="B1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4" s="5" t="str">
        <f>IFERROR(__xludf.DUMMYFUNCTION("""COMPUTED_VALUE"""),"Yes")</f>
        <v>Yes</v>
      </c>
      <c r="D174" s="5" t="str">
        <f>IFERROR(__xludf.DUMMYFUNCTION("""COMPUTED_VALUE"""),"Yes")</f>
        <v>Yes</v>
      </c>
      <c r="E174" s="5" t="str">
        <f>IFERROR(__xludf.DUMMYFUNCTION("""COMPUTED_VALUE"""),"Yes")</f>
        <v>Yes</v>
      </c>
      <c r="F174" s="5" t="str">
        <f>IFERROR(__xludf.DUMMYFUNCTION("""COMPUTED_VALUE"""),"Yes")</f>
        <v>Yes</v>
      </c>
      <c r="G174" s="5" t="str">
        <f>IFERROR(__xludf.DUMMYFUNCTION("""COMPUTED_VALUE"""),"Yes")</f>
        <v>Yes</v>
      </c>
      <c r="H174" s="5" t="str">
        <f>IFERROR(__xludf.DUMMYFUNCTION("""COMPUTED_VALUE"""),"Yes")</f>
        <v>Yes</v>
      </c>
      <c r="I174" s="5" t="str">
        <f>IFERROR(__xludf.DUMMYFUNCTION("""COMPUTED_VALUE"""),"Yes")</f>
        <v>Yes</v>
      </c>
      <c r="J174" s="5" t="str">
        <f>IFERROR(__xludf.DUMMYFUNCTION("""COMPUTED_VALUE"""),"Yes")</f>
        <v>Yes</v>
      </c>
      <c r="K174" s="5" t="str">
        <f>IFERROR(__xludf.DUMMYFUNCTION("""COMPUTED_VALUE"""),"Yes")</f>
        <v>Yes</v>
      </c>
      <c r="L174" s="5" t="str">
        <f>IFERROR(__xludf.DUMMYFUNCTION("""COMPUTED_VALUE"""),"Yes")</f>
        <v>Yes</v>
      </c>
      <c r="M174" s="5" t="str">
        <f>IFERROR(__xludf.DUMMYFUNCTION("""COMPUTED_VALUE"""),"Yes")</f>
        <v>Yes</v>
      </c>
      <c r="N174" s="5" t="str">
        <f>IFERROR(__xludf.DUMMYFUNCTION("""COMPUTED_VALUE"""),"Yes")</f>
        <v>Yes</v>
      </c>
      <c r="O174" s="5" t="str">
        <f>IFERROR(__xludf.DUMMYFUNCTION("""COMPUTED_VALUE"""),"Yes")</f>
        <v>Yes</v>
      </c>
      <c r="P174" s="5" t="str">
        <f>IFERROR(__xludf.DUMMYFUNCTION("""COMPUTED_VALUE"""),"Yes")</f>
        <v>Yes</v>
      </c>
      <c r="Q174" s="5" t="str">
        <f>IFERROR(__xludf.DUMMYFUNCTION("""COMPUTED_VALUE"""),"Yes")</f>
        <v>Yes</v>
      </c>
      <c r="R174" s="5" t="str">
        <f>IFERROR(__xludf.DUMMYFUNCTION("""COMPUTED_VALUE"""),"Yes")</f>
        <v>Yes</v>
      </c>
      <c r="S174" s="5" t="str">
        <f>IFERROR(__xludf.DUMMYFUNCTION("""COMPUTED_VALUE"""),"Yes")</f>
        <v>Yes</v>
      </c>
      <c r="T174" s="5" t="str">
        <f>IFERROR(__xludf.DUMMYFUNCTION("""COMPUTED_VALUE"""),"Yes")</f>
        <v>Yes</v>
      </c>
      <c r="U174" s="5" t="str">
        <f>IFERROR(__xludf.DUMMYFUNCTION("""COMPUTED_VALUE"""),"Yes")</f>
        <v>Yes</v>
      </c>
      <c r="V174" s="5" t="str">
        <f>IFERROR(__xludf.DUMMYFUNCTION("""COMPUTED_VALUE"""),"Yes")</f>
        <v>Yes</v>
      </c>
      <c r="W174" s="5"/>
      <c r="X174" s="5"/>
      <c r="Y174" s="5"/>
      <c r="Z174" s="5" t="str">
        <f>IFERROR(__xludf.DUMMYFUNCTION("""COMPUTED_VALUE"""),"Yes")</f>
        <v>Yes</v>
      </c>
      <c r="AA174" s="5"/>
      <c r="AB174" s="5"/>
      <c r="AC174" s="5"/>
    </row>
    <row r="175">
      <c r="A175" s="5" t="str">
        <f>IFERROR(__xludf.DUMMYFUNCTION("""COMPUTED_VALUE"""),"WildJokerHot")</f>
        <v>WildJokerHot</v>
      </c>
      <c r="B1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5" s="5" t="str">
        <f>IFERROR(__xludf.DUMMYFUNCTION("""COMPUTED_VALUE"""),"Yes")</f>
        <v>Yes</v>
      </c>
      <c r="D175" s="5" t="str">
        <f>IFERROR(__xludf.DUMMYFUNCTION("""COMPUTED_VALUE"""),"Yes")</f>
        <v>Yes</v>
      </c>
      <c r="E175" s="5" t="str">
        <f>IFERROR(__xludf.DUMMYFUNCTION("""COMPUTED_VALUE"""),"Yes")</f>
        <v>Yes</v>
      </c>
      <c r="F175" s="5" t="str">
        <f>IFERROR(__xludf.DUMMYFUNCTION("""COMPUTED_VALUE"""),"Yes")</f>
        <v>Yes</v>
      </c>
      <c r="G175" s="5" t="str">
        <f>IFERROR(__xludf.DUMMYFUNCTION("""COMPUTED_VALUE"""),"Yes")</f>
        <v>Yes</v>
      </c>
      <c r="H175" s="5" t="str">
        <f>IFERROR(__xludf.DUMMYFUNCTION("""COMPUTED_VALUE"""),"Yes")</f>
        <v>Yes</v>
      </c>
      <c r="I175" s="5" t="str">
        <f>IFERROR(__xludf.DUMMYFUNCTION("""COMPUTED_VALUE"""),"Yes")</f>
        <v>Yes</v>
      </c>
      <c r="J175" s="5" t="str">
        <f>IFERROR(__xludf.DUMMYFUNCTION("""COMPUTED_VALUE"""),"Yes")</f>
        <v>Yes</v>
      </c>
      <c r="K175" s="5" t="str">
        <f>IFERROR(__xludf.DUMMYFUNCTION("""COMPUTED_VALUE"""),"Yes")</f>
        <v>Yes</v>
      </c>
      <c r="L175" s="5" t="str">
        <f>IFERROR(__xludf.DUMMYFUNCTION("""COMPUTED_VALUE"""),"Yes")</f>
        <v>Yes</v>
      </c>
      <c r="M175" s="5" t="str">
        <f>IFERROR(__xludf.DUMMYFUNCTION("""COMPUTED_VALUE"""),"Yes")</f>
        <v>Yes</v>
      </c>
      <c r="N175" s="5" t="str">
        <f>IFERROR(__xludf.DUMMYFUNCTION("""COMPUTED_VALUE"""),"Yes")</f>
        <v>Yes</v>
      </c>
      <c r="O175" s="5" t="str">
        <f>IFERROR(__xludf.DUMMYFUNCTION("""COMPUTED_VALUE"""),"Yes")</f>
        <v>Yes</v>
      </c>
      <c r="P175" s="5" t="str">
        <f>IFERROR(__xludf.DUMMYFUNCTION("""COMPUTED_VALUE"""),"Yes")</f>
        <v>Yes</v>
      </c>
      <c r="Q175" s="5" t="str">
        <f>IFERROR(__xludf.DUMMYFUNCTION("""COMPUTED_VALUE"""),"Yes")</f>
        <v>Yes</v>
      </c>
      <c r="R175" s="5" t="str">
        <f>IFERROR(__xludf.DUMMYFUNCTION("""COMPUTED_VALUE"""),"Yes")</f>
        <v>Yes</v>
      </c>
      <c r="S175" s="5" t="str">
        <f>IFERROR(__xludf.DUMMYFUNCTION("""COMPUTED_VALUE"""),"Yes")</f>
        <v>Yes</v>
      </c>
      <c r="T175" s="5" t="str">
        <f>IFERROR(__xludf.DUMMYFUNCTION("""COMPUTED_VALUE"""),"Yes")</f>
        <v>Yes</v>
      </c>
      <c r="U175" s="5" t="str">
        <f>IFERROR(__xludf.DUMMYFUNCTION("""COMPUTED_VALUE"""),"Yes")</f>
        <v>Yes</v>
      </c>
      <c r="V175" s="5" t="str">
        <f>IFERROR(__xludf.DUMMYFUNCTION("""COMPUTED_VALUE"""),"Yes")</f>
        <v>Yes</v>
      </c>
      <c r="W175" s="5" t="str">
        <f>IFERROR(__xludf.DUMMYFUNCTION("""COMPUTED_VALUE"""),"Yes")</f>
        <v>Yes</v>
      </c>
      <c r="X175" s="5" t="str">
        <f>IFERROR(__xludf.DUMMYFUNCTION("""COMPUTED_VALUE"""),"Yes")</f>
        <v>Yes</v>
      </c>
      <c r="Y175" s="5" t="str">
        <f>IFERROR(__xludf.DUMMYFUNCTION("""COMPUTED_VALUE"""),"Yes")</f>
        <v>Yes</v>
      </c>
      <c r="Z175" s="5" t="str">
        <f>IFERROR(__xludf.DUMMYFUNCTION("""COMPUTED_VALUE"""),"Yes")</f>
        <v>Yes</v>
      </c>
      <c r="AA175" s="5" t="str">
        <f>IFERROR(__xludf.DUMMYFUNCTION("""COMPUTED_VALUE"""),"Yes")</f>
        <v>Yes</v>
      </c>
      <c r="AB175" s="5" t="str">
        <f>IFERROR(__xludf.DUMMYFUNCTION("""COMPUTED_VALUE"""),"Yes")</f>
        <v>Yes</v>
      </c>
      <c r="AC175" s="5" t="str">
        <f>IFERROR(__xludf.DUMMYFUNCTION("""COMPUTED_VALUE"""),"No")</f>
        <v>No</v>
      </c>
    </row>
    <row r="176">
      <c r="A176" s="5" t="str">
        <f>IFERROR(__xludf.DUMMYFUNCTION("""COMPUTED_VALUE"""),"WildDice10")</f>
        <v>WildDice10</v>
      </c>
      <c r="B1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6" s="5" t="str">
        <f>IFERROR(__xludf.DUMMYFUNCTION("""COMPUTED_VALUE"""),"Yes")</f>
        <v>Yes</v>
      </c>
      <c r="D176" s="5" t="str">
        <f>IFERROR(__xludf.DUMMYFUNCTION("""COMPUTED_VALUE"""),"Yes")</f>
        <v>Yes</v>
      </c>
      <c r="E176" s="5" t="str">
        <f>IFERROR(__xludf.DUMMYFUNCTION("""COMPUTED_VALUE"""),"Yes")</f>
        <v>Yes</v>
      </c>
      <c r="F176" s="5" t="str">
        <f>IFERROR(__xludf.DUMMYFUNCTION("""COMPUTED_VALUE"""),"Yes")</f>
        <v>Yes</v>
      </c>
      <c r="G176" s="5" t="str">
        <f>IFERROR(__xludf.DUMMYFUNCTION("""COMPUTED_VALUE"""),"Yes")</f>
        <v>Yes</v>
      </c>
      <c r="H176" s="5" t="str">
        <f>IFERROR(__xludf.DUMMYFUNCTION("""COMPUTED_VALUE"""),"Yes")</f>
        <v>Yes</v>
      </c>
      <c r="I176" s="5" t="str">
        <f>IFERROR(__xludf.DUMMYFUNCTION("""COMPUTED_VALUE"""),"Yes")</f>
        <v>Yes</v>
      </c>
      <c r="J176" s="5" t="str">
        <f>IFERROR(__xludf.DUMMYFUNCTION("""COMPUTED_VALUE"""),"Yes")</f>
        <v>Yes</v>
      </c>
      <c r="K176" s="5" t="str">
        <f>IFERROR(__xludf.DUMMYFUNCTION("""COMPUTED_VALUE"""),"Yes")</f>
        <v>Yes</v>
      </c>
      <c r="L176" s="5" t="str">
        <f>IFERROR(__xludf.DUMMYFUNCTION("""COMPUTED_VALUE"""),"Yes")</f>
        <v>Yes</v>
      </c>
      <c r="M176" s="5" t="str">
        <f>IFERROR(__xludf.DUMMYFUNCTION("""COMPUTED_VALUE"""),"Yes")</f>
        <v>Yes</v>
      </c>
      <c r="N176" s="5" t="str">
        <f>IFERROR(__xludf.DUMMYFUNCTION("""COMPUTED_VALUE"""),"Yes")</f>
        <v>Yes</v>
      </c>
      <c r="O176" s="5" t="str">
        <f>IFERROR(__xludf.DUMMYFUNCTION("""COMPUTED_VALUE"""),"Yes")</f>
        <v>Yes</v>
      </c>
      <c r="P176" s="5" t="str">
        <f>IFERROR(__xludf.DUMMYFUNCTION("""COMPUTED_VALUE"""),"Yes")</f>
        <v>Yes</v>
      </c>
      <c r="Q176" s="5" t="str">
        <f>IFERROR(__xludf.DUMMYFUNCTION("""COMPUTED_VALUE"""),"Yes")</f>
        <v>Yes</v>
      </c>
      <c r="R176" s="5" t="str">
        <f>IFERROR(__xludf.DUMMYFUNCTION("""COMPUTED_VALUE"""),"Yes")</f>
        <v>Yes</v>
      </c>
      <c r="S176" s="5" t="str">
        <f>IFERROR(__xludf.DUMMYFUNCTION("""COMPUTED_VALUE"""),"Yes")</f>
        <v>Yes</v>
      </c>
      <c r="T176" s="5" t="str">
        <f>IFERROR(__xludf.DUMMYFUNCTION("""COMPUTED_VALUE"""),"Yes")</f>
        <v>Yes</v>
      </c>
      <c r="U176" s="5" t="str">
        <f>IFERROR(__xludf.DUMMYFUNCTION("""COMPUTED_VALUE"""),"Yes")</f>
        <v>Yes</v>
      </c>
      <c r="V176" s="5" t="str">
        <f>IFERROR(__xludf.DUMMYFUNCTION("""COMPUTED_VALUE"""),"Yes")</f>
        <v>Yes</v>
      </c>
      <c r="W176" s="5" t="str">
        <f>IFERROR(__xludf.DUMMYFUNCTION("""COMPUTED_VALUE"""),"Yes")</f>
        <v>Yes</v>
      </c>
      <c r="X176" s="5" t="str">
        <f>IFERROR(__xludf.DUMMYFUNCTION("""COMPUTED_VALUE"""),"Yes")</f>
        <v>Yes</v>
      </c>
      <c r="Y176" s="5" t="str">
        <f>IFERROR(__xludf.DUMMYFUNCTION("""COMPUTED_VALUE"""),"Yes")</f>
        <v>Yes</v>
      </c>
      <c r="Z176" s="5" t="str">
        <f>IFERROR(__xludf.DUMMYFUNCTION("""COMPUTED_VALUE"""),"Yes")</f>
        <v>Yes</v>
      </c>
      <c r="AA176" s="5" t="str">
        <f>IFERROR(__xludf.DUMMYFUNCTION("""COMPUTED_VALUE"""),"Yes")</f>
        <v>Yes</v>
      </c>
      <c r="AB176" s="5" t="str">
        <f>IFERROR(__xludf.DUMMYFUNCTION("""COMPUTED_VALUE"""),"Yes")</f>
        <v>Yes</v>
      </c>
      <c r="AC176" s="5"/>
    </row>
    <row r="177">
      <c r="A177" s="5" t="str">
        <f>IFERROR(__xludf.DUMMYFUNCTION("""COMPUTED_VALUE"""),"HeatingFruits")</f>
        <v>HeatingFruits</v>
      </c>
      <c r="B1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7" s="5" t="str">
        <f>IFERROR(__xludf.DUMMYFUNCTION("""COMPUTED_VALUE"""),"Yes")</f>
        <v>Yes</v>
      </c>
      <c r="D177" s="5" t="str">
        <f>IFERROR(__xludf.DUMMYFUNCTION("""COMPUTED_VALUE"""),"Yes")</f>
        <v>Yes</v>
      </c>
      <c r="E177" s="5" t="str">
        <f>IFERROR(__xludf.DUMMYFUNCTION("""COMPUTED_VALUE"""),"Yes")</f>
        <v>Yes</v>
      </c>
      <c r="F177" s="5" t="str">
        <f>IFERROR(__xludf.DUMMYFUNCTION("""COMPUTED_VALUE"""),"Yes")</f>
        <v>Yes</v>
      </c>
      <c r="G177" s="5" t="str">
        <f>IFERROR(__xludf.DUMMYFUNCTION("""COMPUTED_VALUE"""),"Yes")</f>
        <v>Yes</v>
      </c>
      <c r="H177" s="5" t="str">
        <f>IFERROR(__xludf.DUMMYFUNCTION("""COMPUTED_VALUE"""),"Yes")</f>
        <v>Yes</v>
      </c>
      <c r="I177" s="5" t="str">
        <f>IFERROR(__xludf.DUMMYFUNCTION("""COMPUTED_VALUE"""),"Yes")</f>
        <v>Yes</v>
      </c>
      <c r="J177" s="5" t="str">
        <f>IFERROR(__xludf.DUMMYFUNCTION("""COMPUTED_VALUE"""),"Yes")</f>
        <v>Yes</v>
      </c>
      <c r="K177" s="5" t="str">
        <f>IFERROR(__xludf.DUMMYFUNCTION("""COMPUTED_VALUE"""),"Yes")</f>
        <v>Yes</v>
      </c>
      <c r="L177" s="5" t="str">
        <f>IFERROR(__xludf.DUMMYFUNCTION("""COMPUTED_VALUE"""),"Yes")</f>
        <v>Yes</v>
      </c>
      <c r="M177" s="5" t="str">
        <f>IFERROR(__xludf.DUMMYFUNCTION("""COMPUTED_VALUE"""),"Yes")</f>
        <v>Yes</v>
      </c>
      <c r="N177" s="5" t="str">
        <f>IFERROR(__xludf.DUMMYFUNCTION("""COMPUTED_VALUE"""),"Yes")</f>
        <v>Yes</v>
      </c>
      <c r="O177" s="5" t="str">
        <f>IFERROR(__xludf.DUMMYFUNCTION("""COMPUTED_VALUE"""),"Yes")</f>
        <v>Yes</v>
      </c>
      <c r="P177" s="5" t="str">
        <f>IFERROR(__xludf.DUMMYFUNCTION("""COMPUTED_VALUE"""),"Yes")</f>
        <v>Yes</v>
      </c>
      <c r="Q177" s="5" t="str">
        <f>IFERROR(__xludf.DUMMYFUNCTION("""COMPUTED_VALUE"""),"Yes")</f>
        <v>Yes</v>
      </c>
      <c r="R177" s="5" t="str">
        <f>IFERROR(__xludf.DUMMYFUNCTION("""COMPUTED_VALUE"""),"Yes")</f>
        <v>Yes</v>
      </c>
      <c r="S177" s="5" t="str">
        <f>IFERROR(__xludf.DUMMYFUNCTION("""COMPUTED_VALUE"""),"Yes")</f>
        <v>Yes</v>
      </c>
      <c r="T177" s="5" t="str">
        <f>IFERROR(__xludf.DUMMYFUNCTION("""COMPUTED_VALUE"""),"Yes")</f>
        <v>Yes</v>
      </c>
      <c r="U177" s="5" t="str">
        <f>IFERROR(__xludf.DUMMYFUNCTION("""COMPUTED_VALUE"""),"Yes")</f>
        <v>Yes</v>
      </c>
      <c r="V177" s="5" t="str">
        <f>IFERROR(__xludf.DUMMYFUNCTION("""COMPUTED_VALUE"""),"Yes")</f>
        <v>Yes</v>
      </c>
      <c r="W177" s="5" t="str">
        <f>IFERROR(__xludf.DUMMYFUNCTION("""COMPUTED_VALUE"""),"Yes")</f>
        <v>Yes</v>
      </c>
      <c r="X177" s="5" t="str">
        <f>IFERROR(__xludf.DUMMYFUNCTION("""COMPUTED_VALUE"""),"Yes")</f>
        <v>Yes</v>
      </c>
      <c r="Y177" s="5" t="str">
        <f>IFERROR(__xludf.DUMMYFUNCTION("""COMPUTED_VALUE"""),"Yes")</f>
        <v>Yes</v>
      </c>
      <c r="Z177" s="5" t="str">
        <f>IFERROR(__xludf.DUMMYFUNCTION("""COMPUTED_VALUE"""),"Yes")</f>
        <v>Yes</v>
      </c>
      <c r="AA177" s="5" t="str">
        <f>IFERROR(__xludf.DUMMYFUNCTION("""COMPUTED_VALUE"""),"Yes")</f>
        <v>Yes</v>
      </c>
      <c r="AB177" s="5" t="str">
        <f>IFERROR(__xludf.DUMMYFUNCTION("""COMPUTED_VALUE"""),"Yes")</f>
        <v>Yes</v>
      </c>
      <c r="AC177" s="5" t="str">
        <f>IFERROR(__xludf.DUMMYFUNCTION("""COMPUTED_VALUE"""),"No")</f>
        <v>No</v>
      </c>
    </row>
    <row r="178">
      <c r="A178" s="5" t="str">
        <f>IFERROR(__xludf.DUMMYFUNCTION("""COMPUTED_VALUE"""),"ExtraFlames10")</f>
        <v>ExtraFlames10</v>
      </c>
      <c r="B1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8" s="5" t="str">
        <f>IFERROR(__xludf.DUMMYFUNCTION("""COMPUTED_VALUE"""),"Yes")</f>
        <v>Yes</v>
      </c>
      <c r="D178" s="5" t="str">
        <f>IFERROR(__xludf.DUMMYFUNCTION("""COMPUTED_VALUE"""),"Yes")</f>
        <v>Yes</v>
      </c>
      <c r="E178" s="5" t="str">
        <f>IFERROR(__xludf.DUMMYFUNCTION("""COMPUTED_VALUE"""),"Yes")</f>
        <v>Yes</v>
      </c>
      <c r="F178" s="5" t="str">
        <f>IFERROR(__xludf.DUMMYFUNCTION("""COMPUTED_VALUE"""),"Yes")</f>
        <v>Yes</v>
      </c>
      <c r="G178" s="5" t="str">
        <f>IFERROR(__xludf.DUMMYFUNCTION("""COMPUTED_VALUE"""),"Yes")</f>
        <v>Yes</v>
      </c>
      <c r="H178" s="5" t="str">
        <f>IFERROR(__xludf.DUMMYFUNCTION("""COMPUTED_VALUE"""),"Yes")</f>
        <v>Yes</v>
      </c>
      <c r="I178" s="5" t="str">
        <f>IFERROR(__xludf.DUMMYFUNCTION("""COMPUTED_VALUE"""),"Yes")</f>
        <v>Yes</v>
      </c>
      <c r="J178" s="5" t="str">
        <f>IFERROR(__xludf.DUMMYFUNCTION("""COMPUTED_VALUE"""),"Yes")</f>
        <v>Yes</v>
      </c>
      <c r="K178" s="5" t="str">
        <f>IFERROR(__xludf.DUMMYFUNCTION("""COMPUTED_VALUE"""),"Yes")</f>
        <v>Yes</v>
      </c>
      <c r="L178" s="5" t="str">
        <f>IFERROR(__xludf.DUMMYFUNCTION("""COMPUTED_VALUE"""),"Yes")</f>
        <v>Yes</v>
      </c>
      <c r="M178" s="5" t="str">
        <f>IFERROR(__xludf.DUMMYFUNCTION("""COMPUTED_VALUE"""),"Yes")</f>
        <v>Yes</v>
      </c>
      <c r="N178" s="5" t="str">
        <f>IFERROR(__xludf.DUMMYFUNCTION("""COMPUTED_VALUE"""),"Yes")</f>
        <v>Yes</v>
      </c>
      <c r="O178" s="5" t="str">
        <f>IFERROR(__xludf.DUMMYFUNCTION("""COMPUTED_VALUE"""),"Yes")</f>
        <v>Yes</v>
      </c>
      <c r="P178" s="5" t="str">
        <f>IFERROR(__xludf.DUMMYFUNCTION("""COMPUTED_VALUE"""),"Yes")</f>
        <v>Yes</v>
      </c>
      <c r="Q178" s="5" t="str">
        <f>IFERROR(__xludf.DUMMYFUNCTION("""COMPUTED_VALUE"""),"Yes")</f>
        <v>Yes</v>
      </c>
      <c r="R178" s="5" t="str">
        <f>IFERROR(__xludf.DUMMYFUNCTION("""COMPUTED_VALUE"""),"Yes")</f>
        <v>Yes</v>
      </c>
      <c r="S178" s="5" t="str">
        <f>IFERROR(__xludf.DUMMYFUNCTION("""COMPUTED_VALUE"""),"Yes")</f>
        <v>Yes</v>
      </c>
      <c r="T178" s="5" t="str">
        <f>IFERROR(__xludf.DUMMYFUNCTION("""COMPUTED_VALUE"""),"Yes")</f>
        <v>Yes</v>
      </c>
      <c r="U178" s="5" t="str">
        <f>IFERROR(__xludf.DUMMYFUNCTION("""COMPUTED_VALUE"""),"Yes")</f>
        <v>Yes</v>
      </c>
      <c r="V178" s="5" t="str">
        <f>IFERROR(__xludf.DUMMYFUNCTION("""COMPUTED_VALUE"""),"Yes")</f>
        <v>Yes</v>
      </c>
      <c r="W178" s="5" t="str">
        <f>IFERROR(__xludf.DUMMYFUNCTION("""COMPUTED_VALUE"""),"Yes")</f>
        <v>Yes</v>
      </c>
      <c r="X178" s="5" t="str">
        <f>IFERROR(__xludf.DUMMYFUNCTION("""COMPUTED_VALUE"""),"Yes")</f>
        <v>Yes</v>
      </c>
      <c r="Y178" s="5" t="str">
        <f>IFERROR(__xludf.DUMMYFUNCTION("""COMPUTED_VALUE"""),"Yes")</f>
        <v>Yes</v>
      </c>
      <c r="Z178" s="5" t="str">
        <f>IFERROR(__xludf.DUMMYFUNCTION("""COMPUTED_VALUE"""),"Yes")</f>
        <v>Yes</v>
      </c>
      <c r="AA178" s="5" t="str">
        <f>IFERROR(__xludf.DUMMYFUNCTION("""COMPUTED_VALUE"""),"Yes")</f>
        <v>Yes</v>
      </c>
      <c r="AB178" s="5" t="str">
        <f>IFERROR(__xludf.DUMMYFUNCTION("""COMPUTED_VALUE"""),"Yes")</f>
        <v>Yes</v>
      </c>
      <c r="AC178" s="5"/>
    </row>
    <row r="179">
      <c r="A179" s="5" t="str">
        <f>IFERROR(__xludf.DUMMYFUNCTION("""COMPUTED_VALUE"""),"BookOfIbis")</f>
        <v>BookOfIbis</v>
      </c>
      <c r="B1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9" s="5" t="str">
        <f>IFERROR(__xludf.DUMMYFUNCTION("""COMPUTED_VALUE"""),"Yes")</f>
        <v>Yes</v>
      </c>
      <c r="D179" s="5" t="str">
        <f>IFERROR(__xludf.DUMMYFUNCTION("""COMPUTED_VALUE"""),"Yes")</f>
        <v>Yes</v>
      </c>
      <c r="E179" s="5" t="str">
        <f>IFERROR(__xludf.DUMMYFUNCTION("""COMPUTED_VALUE"""),"Yes")</f>
        <v>Yes</v>
      </c>
      <c r="F179" s="5" t="str">
        <f>IFERROR(__xludf.DUMMYFUNCTION("""COMPUTED_VALUE"""),"Yes")</f>
        <v>Yes</v>
      </c>
      <c r="G179" s="5" t="str">
        <f>IFERROR(__xludf.DUMMYFUNCTION("""COMPUTED_VALUE"""),"Yes")</f>
        <v>Yes</v>
      </c>
      <c r="H179" s="5" t="str">
        <f>IFERROR(__xludf.DUMMYFUNCTION("""COMPUTED_VALUE"""),"Yes")</f>
        <v>Yes</v>
      </c>
      <c r="I179" s="5" t="str">
        <f>IFERROR(__xludf.DUMMYFUNCTION("""COMPUTED_VALUE"""),"Yes")</f>
        <v>Yes</v>
      </c>
      <c r="J179" s="5" t="str">
        <f>IFERROR(__xludf.DUMMYFUNCTION("""COMPUTED_VALUE"""),"Yes")</f>
        <v>Yes</v>
      </c>
      <c r="K179" s="5" t="str">
        <f>IFERROR(__xludf.DUMMYFUNCTION("""COMPUTED_VALUE"""),"Yes")</f>
        <v>Yes</v>
      </c>
      <c r="L179" s="5" t="str">
        <f>IFERROR(__xludf.DUMMYFUNCTION("""COMPUTED_VALUE"""),"Yes")</f>
        <v>Yes</v>
      </c>
      <c r="M179" s="5" t="str">
        <f>IFERROR(__xludf.DUMMYFUNCTION("""COMPUTED_VALUE"""),"Yes")</f>
        <v>Yes</v>
      </c>
      <c r="N179" s="5" t="str">
        <f>IFERROR(__xludf.DUMMYFUNCTION("""COMPUTED_VALUE"""),"Yes")</f>
        <v>Yes</v>
      </c>
      <c r="O179" s="5" t="str">
        <f>IFERROR(__xludf.DUMMYFUNCTION("""COMPUTED_VALUE"""),"Yes")</f>
        <v>Yes</v>
      </c>
      <c r="P179" s="5" t="str">
        <f>IFERROR(__xludf.DUMMYFUNCTION("""COMPUTED_VALUE"""),"Yes")</f>
        <v>Yes</v>
      </c>
      <c r="Q179" s="5" t="str">
        <f>IFERROR(__xludf.DUMMYFUNCTION("""COMPUTED_VALUE"""),"Yes")</f>
        <v>Yes</v>
      </c>
      <c r="R179" s="5" t="str">
        <f>IFERROR(__xludf.DUMMYFUNCTION("""COMPUTED_VALUE"""),"Yes")</f>
        <v>Yes</v>
      </c>
      <c r="S179" s="5" t="str">
        <f>IFERROR(__xludf.DUMMYFUNCTION("""COMPUTED_VALUE"""),"Yes")</f>
        <v>Yes</v>
      </c>
      <c r="T179" s="5" t="str">
        <f>IFERROR(__xludf.DUMMYFUNCTION("""COMPUTED_VALUE"""),"Yes")</f>
        <v>Yes</v>
      </c>
      <c r="U179" s="5" t="str">
        <f>IFERROR(__xludf.DUMMYFUNCTION("""COMPUTED_VALUE"""),"Yes")</f>
        <v>Yes</v>
      </c>
      <c r="V179" s="5" t="str">
        <f>IFERROR(__xludf.DUMMYFUNCTION("""COMPUTED_VALUE"""),"Yes")</f>
        <v>Yes</v>
      </c>
      <c r="W179" s="5"/>
      <c r="X179" s="5"/>
      <c r="Y179" s="5"/>
      <c r="Z179" s="5" t="str">
        <f>IFERROR(__xludf.DUMMYFUNCTION("""COMPUTED_VALUE"""),"Yes")</f>
        <v>Yes</v>
      </c>
      <c r="AA179" s="5"/>
      <c r="AB179" s="5"/>
      <c r="AC179" s="5"/>
    </row>
    <row r="180">
      <c r="A180" s="5" t="str">
        <f>IFERROR(__xludf.DUMMYFUNCTION("""COMPUTED_VALUE"""),"CloverCoin")</f>
        <v>CloverCoin</v>
      </c>
      <c r="B18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80" s="5" t="str">
        <f>IFERROR(__xludf.DUMMYFUNCTION("""COMPUTED_VALUE"""),"Yes")</f>
        <v>Yes</v>
      </c>
      <c r="D180" s="5" t="str">
        <f>IFERROR(__xludf.DUMMYFUNCTION("""COMPUTED_VALUE"""),"Yes")</f>
        <v>Yes</v>
      </c>
      <c r="E180" s="5" t="str">
        <f>IFERROR(__xludf.DUMMYFUNCTION("""COMPUTED_VALUE"""),"No")</f>
        <v>No</v>
      </c>
      <c r="F180" s="5" t="str">
        <f>IFERROR(__xludf.DUMMYFUNCTION("""COMPUTED_VALUE"""),"Yes")</f>
        <v>Yes</v>
      </c>
      <c r="G180" s="5" t="str">
        <f>IFERROR(__xludf.DUMMYFUNCTION("""COMPUTED_VALUE"""),"Yes")</f>
        <v>Yes</v>
      </c>
      <c r="H180" s="5" t="str">
        <f>IFERROR(__xludf.DUMMYFUNCTION("""COMPUTED_VALUE"""),"Yes")</f>
        <v>Yes</v>
      </c>
      <c r="I180" s="5" t="str">
        <f>IFERROR(__xludf.DUMMYFUNCTION("""COMPUTED_VALUE"""),"Yes")</f>
        <v>Yes</v>
      </c>
      <c r="J180" s="5" t="str">
        <f>IFERROR(__xludf.DUMMYFUNCTION("""COMPUTED_VALUE"""),"Yes")</f>
        <v>Yes</v>
      </c>
      <c r="K180" s="5" t="str">
        <f>IFERROR(__xludf.DUMMYFUNCTION("""COMPUTED_VALUE"""),"Yes")</f>
        <v>Yes</v>
      </c>
      <c r="L180" s="5" t="str">
        <f>IFERROR(__xludf.DUMMYFUNCTION("""COMPUTED_VALUE"""),"Yes")</f>
        <v>Yes</v>
      </c>
      <c r="M180" s="5" t="str">
        <f>IFERROR(__xludf.DUMMYFUNCTION("""COMPUTED_VALUE"""),"Yes")</f>
        <v>Yes</v>
      </c>
      <c r="N180" s="5" t="str">
        <f>IFERROR(__xludf.DUMMYFUNCTION("""COMPUTED_VALUE"""),"Yes")</f>
        <v>Yes</v>
      </c>
      <c r="O180" s="5" t="str">
        <f>IFERROR(__xludf.DUMMYFUNCTION("""COMPUTED_VALUE"""),"Yes")</f>
        <v>Yes</v>
      </c>
      <c r="P180" s="5" t="str">
        <f>IFERROR(__xludf.DUMMYFUNCTION("""COMPUTED_VALUE"""),"Yes")</f>
        <v>Yes</v>
      </c>
      <c r="Q180" s="5" t="str">
        <f>IFERROR(__xludf.DUMMYFUNCTION("""COMPUTED_VALUE"""),"Yes")</f>
        <v>Yes</v>
      </c>
      <c r="R180" s="5" t="str">
        <f>IFERROR(__xludf.DUMMYFUNCTION("""COMPUTED_VALUE"""),"No")</f>
        <v>No</v>
      </c>
      <c r="S180" s="5" t="str">
        <f>IFERROR(__xludf.DUMMYFUNCTION("""COMPUTED_VALUE"""),"No")</f>
        <v>No</v>
      </c>
      <c r="T180" s="5" t="str">
        <f>IFERROR(__xludf.DUMMYFUNCTION("""COMPUTED_VALUE"""),"No")</f>
        <v>No</v>
      </c>
      <c r="U180" s="5" t="str">
        <f>IFERROR(__xludf.DUMMYFUNCTION("""COMPUTED_VALUE"""),"No")</f>
        <v>No</v>
      </c>
      <c r="V180" s="5" t="str">
        <f>IFERROR(__xludf.DUMMYFUNCTION("""COMPUTED_VALUE"""),"No")</f>
        <v>No</v>
      </c>
      <c r="W180" s="5" t="str">
        <f>IFERROR(__xludf.DUMMYFUNCTION("""COMPUTED_VALUE"""),"No")</f>
        <v>No</v>
      </c>
      <c r="X180" s="5" t="str">
        <f>IFERROR(__xludf.DUMMYFUNCTION("""COMPUTED_VALUE"""),"No")</f>
        <v>No</v>
      </c>
      <c r="Y180" s="5" t="str">
        <f>IFERROR(__xludf.DUMMYFUNCTION("""COMPUTED_VALUE"""),"No")</f>
        <v>No</v>
      </c>
      <c r="Z180" s="5" t="str">
        <f>IFERROR(__xludf.DUMMYFUNCTION("""COMPUTED_VALUE"""),"No")</f>
        <v>No</v>
      </c>
      <c r="AA180" s="5" t="str">
        <f>IFERROR(__xludf.DUMMYFUNCTION("""COMPUTED_VALUE"""),"No")</f>
        <v>No</v>
      </c>
      <c r="AB180" s="5" t="str">
        <f>IFERROR(__xludf.DUMMYFUNCTION("""COMPUTED_VALUE"""),"Yes")</f>
        <v>Yes</v>
      </c>
      <c r="AC180" s="5" t="str">
        <f>IFERROR(__xludf.DUMMYFUNCTION("""COMPUTED_VALUE"""),"No")</f>
        <v>No</v>
      </c>
    </row>
    <row r="181">
      <c r="A181" s="5" t="str">
        <f>IFERROR(__xludf.DUMMYFUNCTION("""COMPUTED_VALUE"""),"AdmiralHot5")</f>
        <v>AdmiralHot5</v>
      </c>
      <c r="B1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1" s="5" t="str">
        <f>IFERROR(__xludf.DUMMYFUNCTION("""COMPUTED_VALUE"""),"Yes")</f>
        <v>Yes</v>
      </c>
      <c r="D181" s="5" t="str">
        <f>IFERROR(__xludf.DUMMYFUNCTION("""COMPUTED_VALUE"""),"Yes")</f>
        <v>Yes</v>
      </c>
      <c r="E181" s="5" t="str">
        <f>IFERROR(__xludf.DUMMYFUNCTION("""COMPUTED_VALUE"""),"Yes")</f>
        <v>Yes</v>
      </c>
      <c r="F181" s="5" t="str">
        <f>IFERROR(__xludf.DUMMYFUNCTION("""COMPUTED_VALUE"""),"Yes")</f>
        <v>Yes</v>
      </c>
      <c r="G181" s="5" t="str">
        <f>IFERROR(__xludf.DUMMYFUNCTION("""COMPUTED_VALUE"""),"Yes")</f>
        <v>Yes</v>
      </c>
      <c r="H181" s="5" t="str">
        <f>IFERROR(__xludf.DUMMYFUNCTION("""COMPUTED_VALUE"""),"Yes")</f>
        <v>Yes</v>
      </c>
      <c r="I181" s="5" t="str">
        <f>IFERROR(__xludf.DUMMYFUNCTION("""COMPUTED_VALUE"""),"Yes")</f>
        <v>Yes</v>
      </c>
      <c r="J181" s="5" t="str">
        <f>IFERROR(__xludf.DUMMYFUNCTION("""COMPUTED_VALUE"""),"Yes")</f>
        <v>Yes</v>
      </c>
      <c r="K181" s="5" t="str">
        <f>IFERROR(__xludf.DUMMYFUNCTION("""COMPUTED_VALUE"""),"Yes")</f>
        <v>Yes</v>
      </c>
      <c r="L181" s="5" t="str">
        <f>IFERROR(__xludf.DUMMYFUNCTION("""COMPUTED_VALUE"""),"Yes")</f>
        <v>Yes</v>
      </c>
      <c r="M181" s="5" t="str">
        <f>IFERROR(__xludf.DUMMYFUNCTION("""COMPUTED_VALUE"""),"Yes")</f>
        <v>Yes</v>
      </c>
      <c r="N181" s="5" t="str">
        <f>IFERROR(__xludf.DUMMYFUNCTION("""COMPUTED_VALUE"""),"Yes")</f>
        <v>Yes</v>
      </c>
      <c r="O181" s="5" t="str">
        <f>IFERROR(__xludf.DUMMYFUNCTION("""COMPUTED_VALUE"""),"Yes")</f>
        <v>Yes</v>
      </c>
      <c r="P181" s="5" t="str">
        <f>IFERROR(__xludf.DUMMYFUNCTION("""COMPUTED_VALUE"""),"Yes")</f>
        <v>Yes</v>
      </c>
      <c r="Q181" s="5" t="str">
        <f>IFERROR(__xludf.DUMMYFUNCTION("""COMPUTED_VALUE"""),"Yes")</f>
        <v>Yes</v>
      </c>
      <c r="R181" s="5" t="str">
        <f>IFERROR(__xludf.DUMMYFUNCTION("""COMPUTED_VALUE"""),"Yes")</f>
        <v>Yes</v>
      </c>
      <c r="S181" s="5" t="str">
        <f>IFERROR(__xludf.DUMMYFUNCTION("""COMPUTED_VALUE"""),"Yes")</f>
        <v>Yes</v>
      </c>
      <c r="T181" s="5" t="str">
        <f>IFERROR(__xludf.DUMMYFUNCTION("""COMPUTED_VALUE"""),"Yes")</f>
        <v>Yes</v>
      </c>
      <c r="U181" s="5" t="str">
        <f>IFERROR(__xludf.DUMMYFUNCTION("""COMPUTED_VALUE"""),"Yes")</f>
        <v>Yes</v>
      </c>
      <c r="V181" s="5" t="str">
        <f>IFERROR(__xludf.DUMMYFUNCTION("""COMPUTED_VALUE"""),"Yes")</f>
        <v>Yes</v>
      </c>
      <c r="W181" s="5" t="str">
        <f>IFERROR(__xludf.DUMMYFUNCTION("""COMPUTED_VALUE"""),"Yes")</f>
        <v>Yes</v>
      </c>
      <c r="X181" s="5" t="str">
        <f>IFERROR(__xludf.DUMMYFUNCTION("""COMPUTED_VALUE"""),"Yes")</f>
        <v>Yes</v>
      </c>
      <c r="Y181" s="5" t="str">
        <f>IFERROR(__xludf.DUMMYFUNCTION("""COMPUTED_VALUE"""),"Yes")</f>
        <v>Yes</v>
      </c>
      <c r="Z181" s="5" t="str">
        <f>IFERROR(__xludf.DUMMYFUNCTION("""COMPUTED_VALUE"""),"Yes")</f>
        <v>Yes</v>
      </c>
      <c r="AA181" s="5" t="str">
        <f>IFERROR(__xludf.DUMMYFUNCTION("""COMPUTED_VALUE"""),"Yes")</f>
        <v>Yes</v>
      </c>
      <c r="AB181" s="5" t="str">
        <f>IFERROR(__xludf.DUMMYFUNCTION("""COMPUTED_VALUE"""),"Yes")</f>
        <v>Yes</v>
      </c>
      <c r="AC181" s="5" t="str">
        <f>IFERROR(__xludf.DUMMYFUNCTION("""COMPUTED_VALUE"""),"No")</f>
        <v>No</v>
      </c>
    </row>
    <row r="182">
      <c r="A182" s="5" t="str">
        <f>IFERROR(__xludf.DUMMYFUNCTION("""COMPUTED_VALUE"""),"ArenaHot40")</f>
        <v>ArenaHot40</v>
      </c>
      <c r="B1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2" s="5" t="str">
        <f>IFERROR(__xludf.DUMMYFUNCTION("""COMPUTED_VALUE"""),"Yes")</f>
        <v>Yes</v>
      </c>
      <c r="D182" s="5" t="str">
        <f>IFERROR(__xludf.DUMMYFUNCTION("""COMPUTED_VALUE"""),"Yes")</f>
        <v>Yes</v>
      </c>
      <c r="E182" s="5" t="str">
        <f>IFERROR(__xludf.DUMMYFUNCTION("""COMPUTED_VALUE"""),"Yes")</f>
        <v>Yes</v>
      </c>
      <c r="F182" s="5" t="str">
        <f>IFERROR(__xludf.DUMMYFUNCTION("""COMPUTED_VALUE"""),"Yes")</f>
        <v>Yes</v>
      </c>
      <c r="G182" s="5" t="str">
        <f>IFERROR(__xludf.DUMMYFUNCTION("""COMPUTED_VALUE"""),"Yes")</f>
        <v>Yes</v>
      </c>
      <c r="H182" s="5" t="str">
        <f>IFERROR(__xludf.DUMMYFUNCTION("""COMPUTED_VALUE"""),"Yes")</f>
        <v>Yes</v>
      </c>
      <c r="I182" s="5" t="str">
        <f>IFERROR(__xludf.DUMMYFUNCTION("""COMPUTED_VALUE"""),"Yes")</f>
        <v>Yes</v>
      </c>
      <c r="J182" s="5" t="str">
        <f>IFERROR(__xludf.DUMMYFUNCTION("""COMPUTED_VALUE"""),"Yes")</f>
        <v>Yes</v>
      </c>
      <c r="K182" s="5" t="str">
        <f>IFERROR(__xludf.DUMMYFUNCTION("""COMPUTED_VALUE"""),"Yes")</f>
        <v>Yes</v>
      </c>
      <c r="L182" s="5" t="str">
        <f>IFERROR(__xludf.DUMMYFUNCTION("""COMPUTED_VALUE"""),"Yes")</f>
        <v>Yes</v>
      </c>
      <c r="M182" s="5" t="str">
        <f>IFERROR(__xludf.DUMMYFUNCTION("""COMPUTED_VALUE"""),"Yes")</f>
        <v>Yes</v>
      </c>
      <c r="N182" s="5" t="str">
        <f>IFERROR(__xludf.DUMMYFUNCTION("""COMPUTED_VALUE"""),"Yes")</f>
        <v>Yes</v>
      </c>
      <c r="O182" s="5" t="str">
        <f>IFERROR(__xludf.DUMMYFUNCTION("""COMPUTED_VALUE"""),"Yes")</f>
        <v>Yes</v>
      </c>
      <c r="P182" s="5" t="str">
        <f>IFERROR(__xludf.DUMMYFUNCTION("""COMPUTED_VALUE"""),"Yes")</f>
        <v>Yes</v>
      </c>
      <c r="Q182" s="5" t="str">
        <f>IFERROR(__xludf.DUMMYFUNCTION("""COMPUTED_VALUE"""),"Yes")</f>
        <v>Yes</v>
      </c>
      <c r="R182" s="5" t="str">
        <f>IFERROR(__xludf.DUMMYFUNCTION("""COMPUTED_VALUE"""),"Yes")</f>
        <v>Yes</v>
      </c>
      <c r="S182" s="5" t="str">
        <f>IFERROR(__xludf.DUMMYFUNCTION("""COMPUTED_VALUE"""),"Yes")</f>
        <v>Yes</v>
      </c>
      <c r="T182" s="5" t="str">
        <f>IFERROR(__xludf.DUMMYFUNCTION("""COMPUTED_VALUE"""),"Yes")</f>
        <v>Yes</v>
      </c>
      <c r="U182" s="5" t="str">
        <f>IFERROR(__xludf.DUMMYFUNCTION("""COMPUTED_VALUE"""),"Yes")</f>
        <v>Yes</v>
      </c>
      <c r="V182" s="5" t="str">
        <f>IFERROR(__xludf.DUMMYFUNCTION("""COMPUTED_VALUE"""),"Yes")</f>
        <v>Yes</v>
      </c>
      <c r="W182" s="5" t="str">
        <f>IFERROR(__xludf.DUMMYFUNCTION("""COMPUTED_VALUE"""),"Yes")</f>
        <v>Yes</v>
      </c>
      <c r="X182" s="5" t="str">
        <f>IFERROR(__xludf.DUMMYFUNCTION("""COMPUTED_VALUE"""),"Yes")</f>
        <v>Yes</v>
      </c>
      <c r="Y182" s="5" t="str">
        <f>IFERROR(__xludf.DUMMYFUNCTION("""COMPUTED_VALUE"""),"Yes")</f>
        <v>Yes</v>
      </c>
      <c r="Z182" s="5" t="str">
        <f>IFERROR(__xludf.DUMMYFUNCTION("""COMPUTED_VALUE"""),"Yes")</f>
        <v>Yes</v>
      </c>
      <c r="AA182" s="5" t="str">
        <f>IFERROR(__xludf.DUMMYFUNCTION("""COMPUTED_VALUE"""),"Yes")</f>
        <v>Yes</v>
      </c>
      <c r="AB182" s="5" t="str">
        <f>IFERROR(__xludf.DUMMYFUNCTION("""COMPUTED_VALUE"""),"Yes")</f>
        <v>Yes</v>
      </c>
      <c r="AC182" s="5" t="str">
        <f>IFERROR(__xludf.DUMMYFUNCTION("""COMPUTED_VALUE"""),"No")</f>
        <v>No</v>
      </c>
    </row>
    <row r="183">
      <c r="A183" s="5" t="str">
        <f>IFERROR(__xludf.DUMMYFUNCTION("""COMPUTED_VALUE"""),"GermaniaHot40")</f>
        <v>GermaniaHot40</v>
      </c>
      <c r="B1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3" s="5" t="str">
        <f>IFERROR(__xludf.DUMMYFUNCTION("""COMPUTED_VALUE"""),"Yes")</f>
        <v>Yes</v>
      </c>
      <c r="D183" s="5" t="str">
        <f>IFERROR(__xludf.DUMMYFUNCTION("""COMPUTED_VALUE"""),"Yes")</f>
        <v>Yes</v>
      </c>
      <c r="E183" s="5" t="str">
        <f>IFERROR(__xludf.DUMMYFUNCTION("""COMPUTED_VALUE"""),"Yes")</f>
        <v>Yes</v>
      </c>
      <c r="F183" s="5" t="str">
        <f>IFERROR(__xludf.DUMMYFUNCTION("""COMPUTED_VALUE"""),"Yes")</f>
        <v>Yes</v>
      </c>
      <c r="G183" s="5" t="str">
        <f>IFERROR(__xludf.DUMMYFUNCTION("""COMPUTED_VALUE"""),"Yes")</f>
        <v>Yes</v>
      </c>
      <c r="H183" s="5" t="str">
        <f>IFERROR(__xludf.DUMMYFUNCTION("""COMPUTED_VALUE"""),"Yes")</f>
        <v>Yes</v>
      </c>
      <c r="I183" s="5" t="str">
        <f>IFERROR(__xludf.DUMMYFUNCTION("""COMPUTED_VALUE"""),"Yes")</f>
        <v>Yes</v>
      </c>
      <c r="J183" s="5" t="str">
        <f>IFERROR(__xludf.DUMMYFUNCTION("""COMPUTED_VALUE"""),"Yes")</f>
        <v>Yes</v>
      </c>
      <c r="K183" s="5" t="str">
        <f>IFERROR(__xludf.DUMMYFUNCTION("""COMPUTED_VALUE"""),"Yes")</f>
        <v>Yes</v>
      </c>
      <c r="L183" s="5" t="str">
        <f>IFERROR(__xludf.DUMMYFUNCTION("""COMPUTED_VALUE"""),"Yes")</f>
        <v>Yes</v>
      </c>
      <c r="M183" s="5" t="str">
        <f>IFERROR(__xludf.DUMMYFUNCTION("""COMPUTED_VALUE"""),"Yes")</f>
        <v>Yes</v>
      </c>
      <c r="N183" s="5" t="str">
        <f>IFERROR(__xludf.DUMMYFUNCTION("""COMPUTED_VALUE"""),"Yes")</f>
        <v>Yes</v>
      </c>
      <c r="O183" s="5" t="str">
        <f>IFERROR(__xludf.DUMMYFUNCTION("""COMPUTED_VALUE"""),"Yes")</f>
        <v>Yes</v>
      </c>
      <c r="P183" s="5" t="str">
        <f>IFERROR(__xludf.DUMMYFUNCTION("""COMPUTED_VALUE"""),"Yes")</f>
        <v>Yes</v>
      </c>
      <c r="Q183" s="5" t="str">
        <f>IFERROR(__xludf.DUMMYFUNCTION("""COMPUTED_VALUE"""),"Yes")</f>
        <v>Yes</v>
      </c>
      <c r="R183" s="5" t="str">
        <f>IFERROR(__xludf.DUMMYFUNCTION("""COMPUTED_VALUE"""),"Yes")</f>
        <v>Yes</v>
      </c>
      <c r="S183" s="5" t="str">
        <f>IFERROR(__xludf.DUMMYFUNCTION("""COMPUTED_VALUE"""),"Yes")</f>
        <v>Yes</v>
      </c>
      <c r="T183" s="5" t="str">
        <f>IFERROR(__xludf.DUMMYFUNCTION("""COMPUTED_VALUE"""),"Yes")</f>
        <v>Yes</v>
      </c>
      <c r="U183" s="5" t="str">
        <f>IFERROR(__xludf.DUMMYFUNCTION("""COMPUTED_VALUE"""),"Yes")</f>
        <v>Yes</v>
      </c>
      <c r="V183" s="5" t="str">
        <f>IFERROR(__xludf.DUMMYFUNCTION("""COMPUTED_VALUE"""),"Yes")</f>
        <v>Yes</v>
      </c>
      <c r="W183" s="5" t="str">
        <f>IFERROR(__xludf.DUMMYFUNCTION("""COMPUTED_VALUE"""),"Yes")</f>
        <v>Yes</v>
      </c>
      <c r="X183" s="5" t="str">
        <f>IFERROR(__xludf.DUMMYFUNCTION("""COMPUTED_VALUE"""),"Yes")</f>
        <v>Yes</v>
      </c>
      <c r="Y183" s="5" t="str">
        <f>IFERROR(__xludf.DUMMYFUNCTION("""COMPUTED_VALUE"""),"Yes")</f>
        <v>Yes</v>
      </c>
      <c r="Z183" s="5" t="str">
        <f>IFERROR(__xludf.DUMMYFUNCTION("""COMPUTED_VALUE"""),"Yes")</f>
        <v>Yes</v>
      </c>
      <c r="AA183" s="5" t="str">
        <f>IFERROR(__xludf.DUMMYFUNCTION("""COMPUTED_VALUE"""),"Yes")</f>
        <v>Yes</v>
      </c>
      <c r="AB183" s="5" t="str">
        <f>IFERROR(__xludf.DUMMYFUNCTION("""COMPUTED_VALUE"""),"Yes")</f>
        <v>Yes</v>
      </c>
      <c r="AC183" s="5" t="str">
        <f>IFERROR(__xludf.DUMMYFUNCTION("""COMPUTED_VALUE"""),"No")</f>
        <v>No</v>
      </c>
    </row>
    <row r="184">
      <c r="A184" s="5" t="str">
        <f>IFERROR(__xludf.DUMMYFUNCTION("""COMPUTED_VALUE"""),"WinXtip")</f>
        <v>WinXtip</v>
      </c>
      <c r="B1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4" s="5" t="str">
        <f>IFERROR(__xludf.DUMMYFUNCTION("""COMPUTED_VALUE"""),"Yes")</f>
        <v>Yes</v>
      </c>
      <c r="D184" s="5" t="str">
        <f>IFERROR(__xludf.DUMMYFUNCTION("""COMPUTED_VALUE"""),"Yes")</f>
        <v>Yes</v>
      </c>
      <c r="E184" s="5" t="str">
        <f>IFERROR(__xludf.DUMMYFUNCTION("""COMPUTED_VALUE"""),"Yes")</f>
        <v>Yes</v>
      </c>
      <c r="F184" s="5" t="str">
        <f>IFERROR(__xludf.DUMMYFUNCTION("""COMPUTED_VALUE"""),"Yes")</f>
        <v>Yes</v>
      </c>
      <c r="G184" s="5" t="str">
        <f>IFERROR(__xludf.DUMMYFUNCTION("""COMPUTED_VALUE"""),"Yes")</f>
        <v>Yes</v>
      </c>
      <c r="H184" s="5" t="str">
        <f>IFERROR(__xludf.DUMMYFUNCTION("""COMPUTED_VALUE"""),"Yes")</f>
        <v>Yes</v>
      </c>
      <c r="I184" s="5" t="str">
        <f>IFERROR(__xludf.DUMMYFUNCTION("""COMPUTED_VALUE"""),"Yes")</f>
        <v>Yes</v>
      </c>
      <c r="J184" s="5" t="str">
        <f>IFERROR(__xludf.DUMMYFUNCTION("""COMPUTED_VALUE"""),"Yes")</f>
        <v>Yes</v>
      </c>
      <c r="K184" s="5" t="str">
        <f>IFERROR(__xludf.DUMMYFUNCTION("""COMPUTED_VALUE"""),"Yes")</f>
        <v>Yes</v>
      </c>
      <c r="L184" s="5" t="str">
        <f>IFERROR(__xludf.DUMMYFUNCTION("""COMPUTED_VALUE"""),"Yes")</f>
        <v>Yes</v>
      </c>
      <c r="M184" s="5" t="str">
        <f>IFERROR(__xludf.DUMMYFUNCTION("""COMPUTED_VALUE"""),"Yes")</f>
        <v>Yes</v>
      </c>
      <c r="N184" s="5" t="str">
        <f>IFERROR(__xludf.DUMMYFUNCTION("""COMPUTED_VALUE"""),"Yes")</f>
        <v>Yes</v>
      </c>
      <c r="O184" s="5" t="str">
        <f>IFERROR(__xludf.DUMMYFUNCTION("""COMPUTED_VALUE"""),"Yes")</f>
        <v>Yes</v>
      </c>
      <c r="P184" s="5" t="str">
        <f>IFERROR(__xludf.DUMMYFUNCTION("""COMPUTED_VALUE"""),"Yes")</f>
        <v>Yes</v>
      </c>
      <c r="Q184" s="5" t="str">
        <f>IFERROR(__xludf.DUMMYFUNCTION("""COMPUTED_VALUE"""),"Yes")</f>
        <v>Yes</v>
      </c>
      <c r="R184" s="5" t="str">
        <f>IFERROR(__xludf.DUMMYFUNCTION("""COMPUTED_VALUE"""),"Yes")</f>
        <v>Yes</v>
      </c>
      <c r="S184" s="5" t="str">
        <f>IFERROR(__xludf.DUMMYFUNCTION("""COMPUTED_VALUE"""),"Yes")</f>
        <v>Yes</v>
      </c>
      <c r="T184" s="5" t="str">
        <f>IFERROR(__xludf.DUMMYFUNCTION("""COMPUTED_VALUE"""),"Yes")</f>
        <v>Yes</v>
      </c>
      <c r="U184" s="5" t="str">
        <f>IFERROR(__xludf.DUMMYFUNCTION("""COMPUTED_VALUE"""),"Yes")</f>
        <v>Yes</v>
      </c>
      <c r="V184" s="5" t="str">
        <f>IFERROR(__xludf.DUMMYFUNCTION("""COMPUTED_VALUE"""),"Yes")</f>
        <v>Yes</v>
      </c>
      <c r="W184" s="5" t="str">
        <f>IFERROR(__xludf.DUMMYFUNCTION("""COMPUTED_VALUE"""),"Yes")</f>
        <v>Yes</v>
      </c>
      <c r="X184" s="5" t="str">
        <f>IFERROR(__xludf.DUMMYFUNCTION("""COMPUTED_VALUE"""),"Yes")</f>
        <v>Yes</v>
      </c>
      <c r="Y184" s="5" t="str">
        <f>IFERROR(__xludf.DUMMYFUNCTION("""COMPUTED_VALUE"""),"Yes")</f>
        <v>Yes</v>
      </c>
      <c r="Z184" s="5" t="str">
        <f>IFERROR(__xludf.DUMMYFUNCTION("""COMPUTED_VALUE"""),"Yes")</f>
        <v>Yes</v>
      </c>
      <c r="AA184" s="5" t="str">
        <f>IFERROR(__xludf.DUMMYFUNCTION("""COMPUTED_VALUE"""),"Yes")</f>
        <v>Yes</v>
      </c>
      <c r="AB184" s="5" t="str">
        <f>IFERROR(__xludf.DUMMYFUNCTION("""COMPUTED_VALUE"""),"Yes")</f>
        <v>Yes</v>
      </c>
      <c r="AC184" s="5" t="str">
        <f>IFERROR(__xludf.DUMMYFUNCTION("""COMPUTED_VALUE"""),"No")</f>
        <v>No</v>
      </c>
    </row>
    <row r="185">
      <c r="A185" s="5" t="str">
        <f>IFERROR(__xludf.DUMMYFUNCTION("""COMPUTED_VALUE"""),"PskHot40")</f>
        <v>PskHot40</v>
      </c>
      <c r="B1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5" s="5" t="str">
        <f>IFERROR(__xludf.DUMMYFUNCTION("""COMPUTED_VALUE"""),"Yes")</f>
        <v>Yes</v>
      </c>
      <c r="D185" s="5" t="str">
        <f>IFERROR(__xludf.DUMMYFUNCTION("""COMPUTED_VALUE"""),"Yes")</f>
        <v>Yes</v>
      </c>
      <c r="E185" s="5" t="str">
        <f>IFERROR(__xludf.DUMMYFUNCTION("""COMPUTED_VALUE"""),"Yes")</f>
        <v>Yes</v>
      </c>
      <c r="F185" s="5" t="str">
        <f>IFERROR(__xludf.DUMMYFUNCTION("""COMPUTED_VALUE"""),"Yes")</f>
        <v>Yes</v>
      </c>
      <c r="G185" s="5" t="str">
        <f>IFERROR(__xludf.DUMMYFUNCTION("""COMPUTED_VALUE"""),"Yes")</f>
        <v>Yes</v>
      </c>
      <c r="H185" s="5" t="str">
        <f>IFERROR(__xludf.DUMMYFUNCTION("""COMPUTED_VALUE"""),"Yes")</f>
        <v>Yes</v>
      </c>
      <c r="I185" s="5" t="str">
        <f>IFERROR(__xludf.DUMMYFUNCTION("""COMPUTED_VALUE"""),"Yes")</f>
        <v>Yes</v>
      </c>
      <c r="J185" s="5" t="str">
        <f>IFERROR(__xludf.DUMMYFUNCTION("""COMPUTED_VALUE"""),"Yes")</f>
        <v>Yes</v>
      </c>
      <c r="K185" s="5" t="str">
        <f>IFERROR(__xludf.DUMMYFUNCTION("""COMPUTED_VALUE"""),"Yes")</f>
        <v>Yes</v>
      </c>
      <c r="L185" s="5" t="str">
        <f>IFERROR(__xludf.DUMMYFUNCTION("""COMPUTED_VALUE"""),"Yes")</f>
        <v>Yes</v>
      </c>
      <c r="M185" s="5" t="str">
        <f>IFERROR(__xludf.DUMMYFUNCTION("""COMPUTED_VALUE"""),"Yes")</f>
        <v>Yes</v>
      </c>
      <c r="N185" s="5" t="str">
        <f>IFERROR(__xludf.DUMMYFUNCTION("""COMPUTED_VALUE"""),"Yes")</f>
        <v>Yes</v>
      </c>
      <c r="O185" s="5" t="str">
        <f>IFERROR(__xludf.DUMMYFUNCTION("""COMPUTED_VALUE"""),"Yes")</f>
        <v>Yes</v>
      </c>
      <c r="P185" s="5" t="str">
        <f>IFERROR(__xludf.DUMMYFUNCTION("""COMPUTED_VALUE"""),"Yes")</f>
        <v>Yes</v>
      </c>
      <c r="Q185" s="5" t="str">
        <f>IFERROR(__xludf.DUMMYFUNCTION("""COMPUTED_VALUE"""),"Yes")</f>
        <v>Yes</v>
      </c>
      <c r="R185" s="5" t="str">
        <f>IFERROR(__xludf.DUMMYFUNCTION("""COMPUTED_VALUE"""),"Yes")</f>
        <v>Yes</v>
      </c>
      <c r="S185" s="5" t="str">
        <f>IFERROR(__xludf.DUMMYFUNCTION("""COMPUTED_VALUE"""),"Yes")</f>
        <v>Yes</v>
      </c>
      <c r="T185" s="5" t="str">
        <f>IFERROR(__xludf.DUMMYFUNCTION("""COMPUTED_VALUE"""),"Yes")</f>
        <v>Yes</v>
      </c>
      <c r="U185" s="5" t="str">
        <f>IFERROR(__xludf.DUMMYFUNCTION("""COMPUTED_VALUE"""),"Yes")</f>
        <v>Yes</v>
      </c>
      <c r="V185" s="5" t="str">
        <f>IFERROR(__xludf.DUMMYFUNCTION("""COMPUTED_VALUE"""),"Yes")</f>
        <v>Yes</v>
      </c>
      <c r="W185" s="5" t="str">
        <f>IFERROR(__xludf.DUMMYFUNCTION("""COMPUTED_VALUE"""),"Yes")</f>
        <v>Yes</v>
      </c>
      <c r="X185" s="5" t="str">
        <f>IFERROR(__xludf.DUMMYFUNCTION("""COMPUTED_VALUE"""),"Yes")</f>
        <v>Yes</v>
      </c>
      <c r="Y185" s="5" t="str">
        <f>IFERROR(__xludf.DUMMYFUNCTION("""COMPUTED_VALUE"""),"Yes")</f>
        <v>Yes</v>
      </c>
      <c r="Z185" s="5" t="str">
        <f>IFERROR(__xludf.DUMMYFUNCTION("""COMPUTED_VALUE"""),"Yes")</f>
        <v>Yes</v>
      </c>
      <c r="AA185" s="5" t="str">
        <f>IFERROR(__xludf.DUMMYFUNCTION("""COMPUTED_VALUE"""),"Yes")</f>
        <v>Yes</v>
      </c>
      <c r="AB185" s="5" t="str">
        <f>IFERROR(__xludf.DUMMYFUNCTION("""COMPUTED_VALUE"""),"Yes")</f>
        <v>Yes</v>
      </c>
      <c r="AC185" s="5" t="str">
        <f>IFERROR(__xludf.DUMMYFUNCTION("""COMPUTED_VALUE"""),"No")</f>
        <v>No</v>
      </c>
    </row>
    <row r="186">
      <c r="A186" s="5" t="str">
        <f>IFERROR(__xludf.DUMMYFUNCTION("""COMPUTED_VALUE"""),"SuperCasinoCrown")</f>
        <v>SuperCasinoCrown</v>
      </c>
      <c r="B1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6" s="5" t="str">
        <f>IFERROR(__xludf.DUMMYFUNCTION("""COMPUTED_VALUE"""),"Yes")</f>
        <v>Yes</v>
      </c>
      <c r="D186" s="5" t="str">
        <f>IFERROR(__xludf.DUMMYFUNCTION("""COMPUTED_VALUE"""),"Yes")</f>
        <v>Yes</v>
      </c>
      <c r="E186" s="5" t="str">
        <f>IFERROR(__xludf.DUMMYFUNCTION("""COMPUTED_VALUE"""),"Yes")</f>
        <v>Yes</v>
      </c>
      <c r="F186" s="5" t="str">
        <f>IFERROR(__xludf.DUMMYFUNCTION("""COMPUTED_VALUE"""),"Yes")</f>
        <v>Yes</v>
      </c>
      <c r="G186" s="5" t="str">
        <f>IFERROR(__xludf.DUMMYFUNCTION("""COMPUTED_VALUE"""),"Yes")</f>
        <v>Yes</v>
      </c>
      <c r="H186" s="5" t="str">
        <f>IFERROR(__xludf.DUMMYFUNCTION("""COMPUTED_VALUE"""),"Yes")</f>
        <v>Yes</v>
      </c>
      <c r="I186" s="5" t="str">
        <f>IFERROR(__xludf.DUMMYFUNCTION("""COMPUTED_VALUE"""),"Yes")</f>
        <v>Yes</v>
      </c>
      <c r="J186" s="5" t="str">
        <f>IFERROR(__xludf.DUMMYFUNCTION("""COMPUTED_VALUE"""),"Yes")</f>
        <v>Yes</v>
      </c>
      <c r="K186" s="5" t="str">
        <f>IFERROR(__xludf.DUMMYFUNCTION("""COMPUTED_VALUE"""),"Yes")</f>
        <v>Yes</v>
      </c>
      <c r="L186" s="5" t="str">
        <f>IFERROR(__xludf.DUMMYFUNCTION("""COMPUTED_VALUE"""),"Yes")</f>
        <v>Yes</v>
      </c>
      <c r="M186" s="5" t="str">
        <f>IFERROR(__xludf.DUMMYFUNCTION("""COMPUTED_VALUE"""),"Yes")</f>
        <v>Yes</v>
      </c>
      <c r="N186" s="5" t="str">
        <f>IFERROR(__xludf.DUMMYFUNCTION("""COMPUTED_VALUE"""),"Yes")</f>
        <v>Yes</v>
      </c>
      <c r="O186" s="5" t="str">
        <f>IFERROR(__xludf.DUMMYFUNCTION("""COMPUTED_VALUE"""),"Yes")</f>
        <v>Yes</v>
      </c>
      <c r="P186" s="5" t="str">
        <f>IFERROR(__xludf.DUMMYFUNCTION("""COMPUTED_VALUE"""),"Yes")</f>
        <v>Yes</v>
      </c>
      <c r="Q186" s="5" t="str">
        <f>IFERROR(__xludf.DUMMYFUNCTION("""COMPUTED_VALUE"""),"Yes")</f>
        <v>Yes</v>
      </c>
      <c r="R186" s="5" t="str">
        <f>IFERROR(__xludf.DUMMYFUNCTION("""COMPUTED_VALUE"""),"Yes")</f>
        <v>Yes</v>
      </c>
      <c r="S186" s="5" t="str">
        <f>IFERROR(__xludf.DUMMYFUNCTION("""COMPUTED_VALUE"""),"Yes")</f>
        <v>Yes</v>
      </c>
      <c r="T186" s="5" t="str">
        <f>IFERROR(__xludf.DUMMYFUNCTION("""COMPUTED_VALUE"""),"Yes")</f>
        <v>Yes</v>
      </c>
      <c r="U186" s="5" t="str">
        <f>IFERROR(__xludf.DUMMYFUNCTION("""COMPUTED_VALUE"""),"Yes")</f>
        <v>Yes</v>
      </c>
      <c r="V186" s="5" t="str">
        <f>IFERROR(__xludf.DUMMYFUNCTION("""COMPUTED_VALUE"""),"Yes")</f>
        <v>Yes</v>
      </c>
      <c r="W186" s="5" t="str">
        <f>IFERROR(__xludf.DUMMYFUNCTION("""COMPUTED_VALUE"""),"Yes")</f>
        <v>Yes</v>
      </c>
      <c r="X186" s="5" t="str">
        <f>IFERROR(__xludf.DUMMYFUNCTION("""COMPUTED_VALUE"""),"Yes")</f>
        <v>Yes</v>
      </c>
      <c r="Y186" s="5" t="str">
        <f>IFERROR(__xludf.DUMMYFUNCTION("""COMPUTED_VALUE"""),"Yes")</f>
        <v>Yes</v>
      </c>
      <c r="Z186" s="5" t="str">
        <f>IFERROR(__xludf.DUMMYFUNCTION("""COMPUTED_VALUE"""),"Yes")</f>
        <v>Yes</v>
      </c>
      <c r="AA186" s="5" t="str">
        <f>IFERROR(__xludf.DUMMYFUNCTION("""COMPUTED_VALUE"""),"Yes")</f>
        <v>Yes</v>
      </c>
      <c r="AB186" s="5" t="str">
        <f>IFERROR(__xludf.DUMMYFUNCTION("""COMPUTED_VALUE"""),"Yes")</f>
        <v>Yes</v>
      </c>
      <c r="AC186" s="5" t="str">
        <f>IFERROR(__xludf.DUMMYFUNCTION("""COMPUTED_VALUE"""),"No")</f>
        <v>No</v>
      </c>
    </row>
    <row r="187">
      <c r="A187" s="5" t="str">
        <f>IFERROR(__xludf.DUMMYFUNCTION("""COMPUTED_VALUE"""),"TopHot20")</f>
        <v>TopHot20</v>
      </c>
      <c r="B1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7" s="5" t="str">
        <f>IFERROR(__xludf.DUMMYFUNCTION("""COMPUTED_VALUE"""),"Yes")</f>
        <v>Yes</v>
      </c>
      <c r="D187" s="5" t="str">
        <f>IFERROR(__xludf.DUMMYFUNCTION("""COMPUTED_VALUE"""),"Yes")</f>
        <v>Yes</v>
      </c>
      <c r="E187" s="5" t="str">
        <f>IFERROR(__xludf.DUMMYFUNCTION("""COMPUTED_VALUE"""),"Yes")</f>
        <v>Yes</v>
      </c>
      <c r="F187" s="5" t="str">
        <f>IFERROR(__xludf.DUMMYFUNCTION("""COMPUTED_VALUE"""),"Yes")</f>
        <v>Yes</v>
      </c>
      <c r="G187" s="5" t="str">
        <f>IFERROR(__xludf.DUMMYFUNCTION("""COMPUTED_VALUE"""),"Yes")</f>
        <v>Yes</v>
      </c>
      <c r="H187" s="5" t="str">
        <f>IFERROR(__xludf.DUMMYFUNCTION("""COMPUTED_VALUE"""),"Yes")</f>
        <v>Yes</v>
      </c>
      <c r="I187" s="5" t="str">
        <f>IFERROR(__xludf.DUMMYFUNCTION("""COMPUTED_VALUE"""),"Yes")</f>
        <v>Yes</v>
      </c>
      <c r="J187" s="5" t="str">
        <f>IFERROR(__xludf.DUMMYFUNCTION("""COMPUTED_VALUE"""),"Yes")</f>
        <v>Yes</v>
      </c>
      <c r="K187" s="5" t="str">
        <f>IFERROR(__xludf.DUMMYFUNCTION("""COMPUTED_VALUE"""),"Yes")</f>
        <v>Yes</v>
      </c>
      <c r="L187" s="5" t="str">
        <f>IFERROR(__xludf.DUMMYFUNCTION("""COMPUTED_VALUE"""),"Yes")</f>
        <v>Yes</v>
      </c>
      <c r="M187" s="5" t="str">
        <f>IFERROR(__xludf.DUMMYFUNCTION("""COMPUTED_VALUE"""),"Yes")</f>
        <v>Yes</v>
      </c>
      <c r="N187" s="5" t="str">
        <f>IFERROR(__xludf.DUMMYFUNCTION("""COMPUTED_VALUE"""),"Yes")</f>
        <v>Yes</v>
      </c>
      <c r="O187" s="5" t="str">
        <f>IFERROR(__xludf.DUMMYFUNCTION("""COMPUTED_VALUE"""),"Yes")</f>
        <v>Yes</v>
      </c>
      <c r="P187" s="5" t="str">
        <f>IFERROR(__xludf.DUMMYFUNCTION("""COMPUTED_VALUE"""),"Yes")</f>
        <v>Yes</v>
      </c>
      <c r="Q187" s="5" t="str">
        <f>IFERROR(__xludf.DUMMYFUNCTION("""COMPUTED_VALUE"""),"Yes")</f>
        <v>Yes</v>
      </c>
      <c r="R187" s="5" t="str">
        <f>IFERROR(__xludf.DUMMYFUNCTION("""COMPUTED_VALUE"""),"Yes")</f>
        <v>Yes</v>
      </c>
      <c r="S187" s="5" t="str">
        <f>IFERROR(__xludf.DUMMYFUNCTION("""COMPUTED_VALUE"""),"Yes")</f>
        <v>Yes</v>
      </c>
      <c r="T187" s="5" t="str">
        <f>IFERROR(__xludf.DUMMYFUNCTION("""COMPUTED_VALUE"""),"Yes")</f>
        <v>Yes</v>
      </c>
      <c r="U187" s="5" t="str">
        <f>IFERROR(__xludf.DUMMYFUNCTION("""COMPUTED_VALUE"""),"Yes")</f>
        <v>Yes</v>
      </c>
      <c r="V187" s="5" t="str">
        <f>IFERROR(__xludf.DUMMYFUNCTION("""COMPUTED_VALUE"""),"Yes")</f>
        <v>Yes</v>
      </c>
      <c r="W187" s="5" t="str">
        <f>IFERROR(__xludf.DUMMYFUNCTION("""COMPUTED_VALUE"""),"Yes")</f>
        <v>Yes</v>
      </c>
      <c r="X187" s="5" t="str">
        <f>IFERROR(__xludf.DUMMYFUNCTION("""COMPUTED_VALUE"""),"Yes")</f>
        <v>Yes</v>
      </c>
      <c r="Y187" s="5" t="str">
        <f>IFERROR(__xludf.DUMMYFUNCTION("""COMPUTED_VALUE"""),"Yes")</f>
        <v>Yes</v>
      </c>
      <c r="Z187" s="5" t="str">
        <f>IFERROR(__xludf.DUMMYFUNCTION("""COMPUTED_VALUE"""),"Yes")</f>
        <v>Yes</v>
      </c>
      <c r="AA187" s="5" t="str">
        <f>IFERROR(__xludf.DUMMYFUNCTION("""COMPUTED_VALUE"""),"Yes")</f>
        <v>Yes</v>
      </c>
      <c r="AB187" s="5" t="str">
        <f>IFERROR(__xludf.DUMMYFUNCTION("""COMPUTED_VALUE"""),"Yes")</f>
        <v>Yes</v>
      </c>
      <c r="AC187" s="5" t="str">
        <f>IFERROR(__xludf.DUMMYFUNCTION("""COMPUTED_VALUE"""),"No")</f>
        <v>No</v>
      </c>
    </row>
    <row r="188">
      <c r="A188" s="5" t="str">
        <f>IFERROR(__xludf.DUMMYFUNCTION("""COMPUTED_VALUE"""),"PariHot40")</f>
        <v>PariHot40</v>
      </c>
      <c r="B1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8" s="5" t="str">
        <f>IFERROR(__xludf.DUMMYFUNCTION("""COMPUTED_VALUE"""),"Yes")</f>
        <v>Yes</v>
      </c>
      <c r="D188" s="5" t="str">
        <f>IFERROR(__xludf.DUMMYFUNCTION("""COMPUTED_VALUE"""),"Yes")</f>
        <v>Yes</v>
      </c>
      <c r="E188" s="5" t="str">
        <f>IFERROR(__xludf.DUMMYFUNCTION("""COMPUTED_VALUE"""),"Yes")</f>
        <v>Yes</v>
      </c>
      <c r="F188" s="5" t="str">
        <f>IFERROR(__xludf.DUMMYFUNCTION("""COMPUTED_VALUE"""),"Yes")</f>
        <v>Yes</v>
      </c>
      <c r="G188" s="5" t="str">
        <f>IFERROR(__xludf.DUMMYFUNCTION("""COMPUTED_VALUE"""),"Yes")</f>
        <v>Yes</v>
      </c>
      <c r="H188" s="5" t="str">
        <f>IFERROR(__xludf.DUMMYFUNCTION("""COMPUTED_VALUE"""),"Yes")</f>
        <v>Yes</v>
      </c>
      <c r="I188" s="5" t="str">
        <f>IFERROR(__xludf.DUMMYFUNCTION("""COMPUTED_VALUE"""),"Yes")</f>
        <v>Yes</v>
      </c>
      <c r="J188" s="5" t="str">
        <f>IFERROR(__xludf.DUMMYFUNCTION("""COMPUTED_VALUE"""),"Yes")</f>
        <v>Yes</v>
      </c>
      <c r="K188" s="5" t="str">
        <f>IFERROR(__xludf.DUMMYFUNCTION("""COMPUTED_VALUE"""),"Yes")</f>
        <v>Yes</v>
      </c>
      <c r="L188" s="5" t="str">
        <f>IFERROR(__xludf.DUMMYFUNCTION("""COMPUTED_VALUE"""),"Yes")</f>
        <v>Yes</v>
      </c>
      <c r="M188" s="5" t="str">
        <f>IFERROR(__xludf.DUMMYFUNCTION("""COMPUTED_VALUE"""),"Yes")</f>
        <v>Yes</v>
      </c>
      <c r="N188" s="5" t="str">
        <f>IFERROR(__xludf.DUMMYFUNCTION("""COMPUTED_VALUE"""),"Yes")</f>
        <v>Yes</v>
      </c>
      <c r="O188" s="5" t="str">
        <f>IFERROR(__xludf.DUMMYFUNCTION("""COMPUTED_VALUE"""),"Yes")</f>
        <v>Yes</v>
      </c>
      <c r="P188" s="5" t="str">
        <f>IFERROR(__xludf.DUMMYFUNCTION("""COMPUTED_VALUE"""),"Yes")</f>
        <v>Yes</v>
      </c>
      <c r="Q188" s="5" t="str">
        <f>IFERROR(__xludf.DUMMYFUNCTION("""COMPUTED_VALUE"""),"Yes")</f>
        <v>Yes</v>
      </c>
      <c r="R188" s="5" t="str">
        <f>IFERROR(__xludf.DUMMYFUNCTION("""COMPUTED_VALUE"""),"Yes")</f>
        <v>Yes</v>
      </c>
      <c r="S188" s="5" t="str">
        <f>IFERROR(__xludf.DUMMYFUNCTION("""COMPUTED_VALUE"""),"Yes")</f>
        <v>Yes</v>
      </c>
      <c r="T188" s="5" t="str">
        <f>IFERROR(__xludf.DUMMYFUNCTION("""COMPUTED_VALUE"""),"Yes")</f>
        <v>Yes</v>
      </c>
      <c r="U188" s="5" t="str">
        <f>IFERROR(__xludf.DUMMYFUNCTION("""COMPUTED_VALUE"""),"Yes")</f>
        <v>Yes</v>
      </c>
      <c r="V188" s="5" t="str">
        <f>IFERROR(__xludf.DUMMYFUNCTION("""COMPUTED_VALUE"""),"Yes")</f>
        <v>Yes</v>
      </c>
      <c r="W188" s="5" t="str">
        <f>IFERROR(__xludf.DUMMYFUNCTION("""COMPUTED_VALUE"""),"Yes")</f>
        <v>Yes</v>
      </c>
      <c r="X188" s="5" t="str">
        <f>IFERROR(__xludf.DUMMYFUNCTION("""COMPUTED_VALUE"""),"Yes")</f>
        <v>Yes</v>
      </c>
      <c r="Y188" s="5" t="str">
        <f>IFERROR(__xludf.DUMMYFUNCTION("""COMPUTED_VALUE"""),"Yes")</f>
        <v>Yes</v>
      </c>
      <c r="Z188" s="5" t="str">
        <f>IFERROR(__xludf.DUMMYFUNCTION("""COMPUTED_VALUE"""),"Yes")</f>
        <v>Yes</v>
      </c>
      <c r="AA188" s="5" t="str">
        <f>IFERROR(__xludf.DUMMYFUNCTION("""COMPUTED_VALUE"""),"Yes")</f>
        <v>Yes</v>
      </c>
      <c r="AB188" s="5" t="str">
        <f>IFERROR(__xludf.DUMMYFUNCTION("""COMPUTED_VALUE"""),"Yes")</f>
        <v>Yes</v>
      </c>
      <c r="AC188" s="5" t="str">
        <f>IFERROR(__xludf.DUMMYFUNCTION("""COMPUTED_VALUE"""),"No")</f>
        <v>No</v>
      </c>
    </row>
    <row r="189">
      <c r="A189" s="5" t="str">
        <f>IFERROR(__xludf.DUMMYFUNCTION("""COMPUTED_VALUE"""),"PowerOfTheGreat")</f>
        <v>PowerOfTheGreat</v>
      </c>
      <c r="B1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9" s="5" t="str">
        <f>IFERROR(__xludf.DUMMYFUNCTION("""COMPUTED_VALUE"""),"Yes")</f>
        <v>Yes</v>
      </c>
      <c r="D189" s="5" t="str">
        <f>IFERROR(__xludf.DUMMYFUNCTION("""COMPUTED_VALUE"""),"Yes")</f>
        <v>Yes</v>
      </c>
      <c r="E189" s="5" t="str">
        <f>IFERROR(__xludf.DUMMYFUNCTION("""COMPUTED_VALUE"""),"Yes")</f>
        <v>Yes</v>
      </c>
      <c r="F189" s="5" t="str">
        <f>IFERROR(__xludf.DUMMYFUNCTION("""COMPUTED_VALUE"""),"Yes")</f>
        <v>Yes</v>
      </c>
      <c r="G189" s="5" t="str">
        <f>IFERROR(__xludf.DUMMYFUNCTION("""COMPUTED_VALUE"""),"Yes")</f>
        <v>Yes</v>
      </c>
      <c r="H189" s="5" t="str">
        <f>IFERROR(__xludf.DUMMYFUNCTION("""COMPUTED_VALUE"""),"Yes")</f>
        <v>Yes</v>
      </c>
      <c r="I189" s="5" t="str">
        <f>IFERROR(__xludf.DUMMYFUNCTION("""COMPUTED_VALUE"""),"Yes")</f>
        <v>Yes</v>
      </c>
      <c r="J189" s="5" t="str">
        <f>IFERROR(__xludf.DUMMYFUNCTION("""COMPUTED_VALUE"""),"Yes")</f>
        <v>Yes</v>
      </c>
      <c r="K189" s="5" t="str">
        <f>IFERROR(__xludf.DUMMYFUNCTION("""COMPUTED_VALUE"""),"Yes")</f>
        <v>Yes</v>
      </c>
      <c r="L189" s="5" t="str">
        <f>IFERROR(__xludf.DUMMYFUNCTION("""COMPUTED_VALUE"""),"Yes")</f>
        <v>Yes</v>
      </c>
      <c r="M189" s="5" t="str">
        <f>IFERROR(__xludf.DUMMYFUNCTION("""COMPUTED_VALUE"""),"Yes")</f>
        <v>Yes</v>
      </c>
      <c r="N189" s="5" t="str">
        <f>IFERROR(__xludf.DUMMYFUNCTION("""COMPUTED_VALUE"""),"Yes")</f>
        <v>Yes</v>
      </c>
      <c r="O189" s="5" t="str">
        <f>IFERROR(__xludf.DUMMYFUNCTION("""COMPUTED_VALUE"""),"Yes")</f>
        <v>Yes</v>
      </c>
      <c r="P189" s="5" t="str">
        <f>IFERROR(__xludf.DUMMYFUNCTION("""COMPUTED_VALUE"""),"Yes")</f>
        <v>Yes</v>
      </c>
      <c r="Q189" s="5" t="str">
        <f>IFERROR(__xludf.DUMMYFUNCTION("""COMPUTED_VALUE"""),"Yes")</f>
        <v>Yes</v>
      </c>
      <c r="R189" s="5" t="str">
        <f>IFERROR(__xludf.DUMMYFUNCTION("""COMPUTED_VALUE"""),"Yes")</f>
        <v>Yes</v>
      </c>
      <c r="S189" s="5" t="str">
        <f>IFERROR(__xludf.DUMMYFUNCTION("""COMPUTED_VALUE"""),"Yes")</f>
        <v>Yes</v>
      </c>
      <c r="T189" s="5" t="str">
        <f>IFERROR(__xludf.DUMMYFUNCTION("""COMPUTED_VALUE"""),"Yes")</f>
        <v>Yes</v>
      </c>
      <c r="U189" s="5" t="str">
        <f>IFERROR(__xludf.DUMMYFUNCTION("""COMPUTED_VALUE"""),"Yes")</f>
        <v>Yes</v>
      </c>
      <c r="V189" s="5" t="str">
        <f>IFERROR(__xludf.DUMMYFUNCTION("""COMPUTED_VALUE"""),"Yes")</f>
        <v>Yes</v>
      </c>
      <c r="W189" s="5" t="str">
        <f>IFERROR(__xludf.DUMMYFUNCTION("""COMPUTED_VALUE"""),"Yes")</f>
        <v>Yes</v>
      </c>
      <c r="X189" s="5" t="str">
        <f>IFERROR(__xludf.DUMMYFUNCTION("""COMPUTED_VALUE"""),"Yes")</f>
        <v>Yes</v>
      </c>
      <c r="Y189" s="5" t="str">
        <f>IFERROR(__xludf.DUMMYFUNCTION("""COMPUTED_VALUE"""),"Yes")</f>
        <v>Yes</v>
      </c>
      <c r="Z189" s="5" t="str">
        <f>IFERROR(__xludf.DUMMYFUNCTION("""COMPUTED_VALUE"""),"Yes")</f>
        <v>Yes</v>
      </c>
      <c r="AA189" s="5" t="str">
        <f>IFERROR(__xludf.DUMMYFUNCTION("""COMPUTED_VALUE"""),"Yes")</f>
        <v>Yes</v>
      </c>
      <c r="AB189" s="5" t="str">
        <f>IFERROR(__xludf.DUMMYFUNCTION("""COMPUTED_VALUE"""),"Yes")</f>
        <v>Yes</v>
      </c>
      <c r="AC189" s="5" t="str">
        <f>IFERROR(__xludf.DUMMYFUNCTION("""COMPUTED_VALUE"""),"No")</f>
        <v>No</v>
      </c>
    </row>
    <row r="190">
      <c r="A190" s="5" t="str">
        <f>IFERROR(__xludf.DUMMYFUNCTION("""COMPUTED_VALUE"""),"Unicorn40MegaFlames")</f>
        <v>Unicorn40MegaFlames</v>
      </c>
      <c r="B1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0" s="5" t="str">
        <f>IFERROR(__xludf.DUMMYFUNCTION("""COMPUTED_VALUE"""),"Yes")</f>
        <v>Yes</v>
      </c>
      <c r="D190" s="5" t="str">
        <f>IFERROR(__xludf.DUMMYFUNCTION("""COMPUTED_VALUE"""),"Yes")</f>
        <v>Yes</v>
      </c>
      <c r="E190" s="5" t="str">
        <f>IFERROR(__xludf.DUMMYFUNCTION("""COMPUTED_VALUE"""),"Yes")</f>
        <v>Yes</v>
      </c>
      <c r="F190" s="5" t="str">
        <f>IFERROR(__xludf.DUMMYFUNCTION("""COMPUTED_VALUE"""),"Yes")</f>
        <v>Yes</v>
      </c>
      <c r="G190" s="5" t="str">
        <f>IFERROR(__xludf.DUMMYFUNCTION("""COMPUTED_VALUE"""),"Yes")</f>
        <v>Yes</v>
      </c>
      <c r="H190" s="5" t="str">
        <f>IFERROR(__xludf.DUMMYFUNCTION("""COMPUTED_VALUE"""),"Yes")</f>
        <v>Yes</v>
      </c>
      <c r="I190" s="5" t="str">
        <f>IFERROR(__xludf.DUMMYFUNCTION("""COMPUTED_VALUE"""),"Yes")</f>
        <v>Yes</v>
      </c>
      <c r="J190" s="5" t="str">
        <f>IFERROR(__xludf.DUMMYFUNCTION("""COMPUTED_VALUE"""),"Yes")</f>
        <v>Yes</v>
      </c>
      <c r="K190" s="5" t="str">
        <f>IFERROR(__xludf.DUMMYFUNCTION("""COMPUTED_VALUE"""),"Yes")</f>
        <v>Yes</v>
      </c>
      <c r="L190" s="5" t="str">
        <f>IFERROR(__xludf.DUMMYFUNCTION("""COMPUTED_VALUE"""),"Yes")</f>
        <v>Yes</v>
      </c>
      <c r="M190" s="5" t="str">
        <f>IFERROR(__xludf.DUMMYFUNCTION("""COMPUTED_VALUE"""),"Yes")</f>
        <v>Yes</v>
      </c>
      <c r="N190" s="5" t="str">
        <f>IFERROR(__xludf.DUMMYFUNCTION("""COMPUTED_VALUE"""),"Yes")</f>
        <v>Yes</v>
      </c>
      <c r="O190" s="5" t="str">
        <f>IFERROR(__xludf.DUMMYFUNCTION("""COMPUTED_VALUE"""),"Yes")</f>
        <v>Yes</v>
      </c>
      <c r="P190" s="5" t="str">
        <f>IFERROR(__xludf.DUMMYFUNCTION("""COMPUTED_VALUE"""),"Yes")</f>
        <v>Yes</v>
      </c>
      <c r="Q190" s="5" t="str">
        <f>IFERROR(__xludf.DUMMYFUNCTION("""COMPUTED_VALUE"""),"Yes")</f>
        <v>Yes</v>
      </c>
      <c r="R190" s="5" t="str">
        <f>IFERROR(__xludf.DUMMYFUNCTION("""COMPUTED_VALUE"""),"Yes")</f>
        <v>Yes</v>
      </c>
      <c r="S190" s="5" t="str">
        <f>IFERROR(__xludf.DUMMYFUNCTION("""COMPUTED_VALUE"""),"Yes")</f>
        <v>Yes</v>
      </c>
      <c r="T190" s="5" t="str">
        <f>IFERROR(__xludf.DUMMYFUNCTION("""COMPUTED_VALUE"""),"Yes")</f>
        <v>Yes</v>
      </c>
      <c r="U190" s="5" t="str">
        <f>IFERROR(__xludf.DUMMYFUNCTION("""COMPUTED_VALUE"""),"Yes")</f>
        <v>Yes</v>
      </c>
      <c r="V190" s="5" t="str">
        <f>IFERROR(__xludf.DUMMYFUNCTION("""COMPUTED_VALUE"""),"Yes")</f>
        <v>Yes</v>
      </c>
      <c r="W190" s="5" t="str">
        <f>IFERROR(__xludf.DUMMYFUNCTION("""COMPUTED_VALUE"""),"Yes")</f>
        <v>Yes</v>
      </c>
      <c r="X190" s="5" t="str">
        <f>IFERROR(__xludf.DUMMYFUNCTION("""COMPUTED_VALUE"""),"Yes")</f>
        <v>Yes</v>
      </c>
      <c r="Y190" s="5" t="str">
        <f>IFERROR(__xludf.DUMMYFUNCTION("""COMPUTED_VALUE"""),"Yes")</f>
        <v>Yes</v>
      </c>
      <c r="Z190" s="5" t="str">
        <f>IFERROR(__xludf.DUMMYFUNCTION("""COMPUTED_VALUE"""),"Yes")</f>
        <v>Yes</v>
      </c>
      <c r="AA190" s="5" t="str">
        <f>IFERROR(__xludf.DUMMYFUNCTION("""COMPUTED_VALUE"""),"Yes")</f>
        <v>Yes</v>
      </c>
      <c r="AB190" s="5" t="str">
        <f>IFERROR(__xludf.DUMMYFUNCTION("""COMPUTED_VALUE"""),"Yes")</f>
        <v>Yes</v>
      </c>
      <c r="AC190" s="5"/>
    </row>
    <row r="191">
      <c r="A191" s="5" t="str">
        <f>IFERROR(__xludf.DUMMYFUNCTION("""COMPUTED_VALUE"""),"Unicorn40DiceFlames")</f>
        <v>Unicorn40DiceFlames</v>
      </c>
      <c r="B19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91" s="5" t="str">
        <f>IFERROR(__xludf.DUMMYFUNCTION("""COMPUTED_VALUE"""),"Yes")</f>
        <v>Yes</v>
      </c>
      <c r="D191" s="5" t="str">
        <f>IFERROR(__xludf.DUMMYFUNCTION("""COMPUTED_VALUE"""),"Yes")</f>
        <v>Yes</v>
      </c>
      <c r="E191" s="5" t="str">
        <f>IFERROR(__xludf.DUMMYFUNCTION("""COMPUTED_VALUE"""),"Yes")</f>
        <v>Yes</v>
      </c>
      <c r="F191" s="5" t="str">
        <f>IFERROR(__xludf.DUMMYFUNCTION("""COMPUTED_VALUE"""),"No")</f>
        <v>No</v>
      </c>
      <c r="G191" s="5" t="str">
        <f>IFERROR(__xludf.DUMMYFUNCTION("""COMPUTED_VALUE"""),"No")</f>
        <v>No</v>
      </c>
      <c r="H191" s="5" t="str">
        <f>IFERROR(__xludf.DUMMYFUNCTION("""COMPUTED_VALUE"""),"No")</f>
        <v>No</v>
      </c>
      <c r="I191" s="5" t="str">
        <f>IFERROR(__xludf.DUMMYFUNCTION("""COMPUTED_VALUE"""),"No")</f>
        <v>No</v>
      </c>
      <c r="J191" s="5" t="str">
        <f>IFERROR(__xludf.DUMMYFUNCTION("""COMPUTED_VALUE"""),"No")</f>
        <v>No</v>
      </c>
      <c r="K191" s="5" t="str">
        <f>IFERROR(__xludf.DUMMYFUNCTION("""COMPUTED_VALUE"""),"Yes")</f>
        <v>Yes</v>
      </c>
      <c r="L191" s="5" t="str">
        <f>IFERROR(__xludf.DUMMYFUNCTION("""COMPUTED_VALUE"""),"Yes")</f>
        <v>Yes</v>
      </c>
      <c r="M191" s="5" t="str">
        <f>IFERROR(__xludf.DUMMYFUNCTION("""COMPUTED_VALUE"""),"Yes")</f>
        <v>Yes</v>
      </c>
      <c r="N191" s="5" t="str">
        <f>IFERROR(__xludf.DUMMYFUNCTION("""COMPUTED_VALUE"""),"Yes")</f>
        <v>Yes</v>
      </c>
      <c r="O191" s="5" t="str">
        <f>IFERROR(__xludf.DUMMYFUNCTION("""COMPUTED_VALUE"""),"Yes")</f>
        <v>Yes</v>
      </c>
      <c r="P191" s="5" t="str">
        <f>IFERROR(__xludf.DUMMYFUNCTION("""COMPUTED_VALUE"""),"No")</f>
        <v>No</v>
      </c>
      <c r="Q191" s="5" t="str">
        <f>IFERROR(__xludf.DUMMYFUNCTION("""COMPUTED_VALUE"""),"Yes")</f>
        <v>Yes</v>
      </c>
      <c r="R191" s="5" t="str">
        <f>IFERROR(__xludf.DUMMYFUNCTION("""COMPUTED_VALUE"""),"No")</f>
        <v>No</v>
      </c>
      <c r="S191" s="5" t="str">
        <f>IFERROR(__xludf.DUMMYFUNCTION("""COMPUTED_VALUE"""),"No")</f>
        <v>No</v>
      </c>
      <c r="T191" s="5" t="str">
        <f>IFERROR(__xludf.DUMMYFUNCTION("""COMPUTED_VALUE"""),"No")</f>
        <v>No</v>
      </c>
      <c r="U191" s="5" t="str">
        <f>IFERROR(__xludf.DUMMYFUNCTION("""COMPUTED_VALUE"""),"No")</f>
        <v>No</v>
      </c>
      <c r="V191" s="5" t="str">
        <f>IFERROR(__xludf.DUMMYFUNCTION("""COMPUTED_VALUE"""),"No")</f>
        <v>No</v>
      </c>
      <c r="W191" s="5"/>
      <c r="X191" s="5"/>
      <c r="Y191" s="5"/>
      <c r="Z191" s="5" t="str">
        <f>IFERROR(__xludf.DUMMYFUNCTION("""COMPUTED_VALUE"""),"No")</f>
        <v>No</v>
      </c>
      <c r="AA191" s="5"/>
      <c r="AB191" s="5"/>
      <c r="AC191" s="5"/>
    </row>
    <row r="192">
      <c r="A192" s="5" t="str">
        <f>IFERROR(__xludf.DUMMYFUNCTION("""COMPUTED_VALUE"""),"HeatClassic5")</f>
        <v>HeatClassic5</v>
      </c>
      <c r="B19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192" s="5" t="str">
        <f>IFERROR(__xludf.DUMMYFUNCTION("""COMPUTED_VALUE"""),"Yes")</f>
        <v>Yes</v>
      </c>
      <c r="D192" s="5" t="str">
        <f>IFERROR(__xludf.DUMMYFUNCTION("""COMPUTED_VALUE"""),"Yes")</f>
        <v>Yes</v>
      </c>
      <c r="E192" s="5" t="str">
        <f>IFERROR(__xludf.DUMMYFUNCTION("""COMPUTED_VALUE"""),"Yes")</f>
        <v>Yes</v>
      </c>
      <c r="F192" s="5" t="str">
        <f>IFERROR(__xludf.DUMMYFUNCTION("""COMPUTED_VALUE"""),"No")</f>
        <v>No</v>
      </c>
      <c r="G192" s="5" t="str">
        <f>IFERROR(__xludf.DUMMYFUNCTION("""COMPUTED_VALUE"""),"No")</f>
        <v>No</v>
      </c>
      <c r="H192" s="5" t="str">
        <f>IFERROR(__xludf.DUMMYFUNCTION("""COMPUTED_VALUE"""),"No")</f>
        <v>No</v>
      </c>
      <c r="I192" s="5" t="str">
        <f>IFERROR(__xludf.DUMMYFUNCTION("""COMPUTED_VALUE"""),"No")</f>
        <v>No</v>
      </c>
      <c r="J192" s="5" t="str">
        <f>IFERROR(__xludf.DUMMYFUNCTION("""COMPUTED_VALUE"""),"No")</f>
        <v>No</v>
      </c>
      <c r="K192" s="5" t="str">
        <f>IFERROR(__xludf.DUMMYFUNCTION("""COMPUTED_VALUE"""),"Yes")</f>
        <v>Yes</v>
      </c>
      <c r="L192" s="5" t="str">
        <f>IFERROR(__xludf.DUMMYFUNCTION("""COMPUTED_VALUE"""),"Yes")</f>
        <v>Yes</v>
      </c>
      <c r="M192" s="5" t="str">
        <f>IFERROR(__xludf.DUMMYFUNCTION("""COMPUTED_VALUE"""),"Yes")</f>
        <v>Yes</v>
      </c>
      <c r="N192" s="5" t="str">
        <f>IFERROR(__xludf.DUMMYFUNCTION("""COMPUTED_VALUE"""),"Yes")</f>
        <v>Yes</v>
      </c>
      <c r="O192" s="5" t="str">
        <f>IFERROR(__xludf.DUMMYFUNCTION("""COMPUTED_VALUE"""),"Yes")</f>
        <v>Yes</v>
      </c>
      <c r="P192" s="5" t="str">
        <f>IFERROR(__xludf.DUMMYFUNCTION("""COMPUTED_VALUE"""),"No")</f>
        <v>No</v>
      </c>
      <c r="Q192" s="5" t="str">
        <f>IFERROR(__xludf.DUMMYFUNCTION("""COMPUTED_VALUE"""),"Yes")</f>
        <v>Yes</v>
      </c>
      <c r="R192" s="5" t="str">
        <f>IFERROR(__xludf.DUMMYFUNCTION("""COMPUTED_VALUE"""),"No")</f>
        <v>No</v>
      </c>
      <c r="S192" s="5" t="str">
        <f>IFERROR(__xludf.DUMMYFUNCTION("""COMPUTED_VALUE"""),"No")</f>
        <v>No</v>
      </c>
      <c r="T192" s="5" t="str">
        <f>IFERROR(__xludf.DUMMYFUNCTION("""COMPUTED_VALUE"""),"No")</f>
        <v>No</v>
      </c>
      <c r="U192" s="5" t="str">
        <f>IFERROR(__xludf.DUMMYFUNCTION("""COMPUTED_VALUE"""),"No")</f>
        <v>No</v>
      </c>
      <c r="V192" s="5" t="str">
        <f>IFERROR(__xludf.DUMMYFUNCTION("""COMPUTED_VALUE"""),"No")</f>
        <v>No</v>
      </c>
      <c r="W192" s="5"/>
      <c r="X192" s="5"/>
      <c r="Y192" s="5"/>
      <c r="Z192" s="5" t="str">
        <f>IFERROR(__xludf.DUMMYFUNCTION("""COMPUTED_VALUE"""),"No")</f>
        <v>No</v>
      </c>
      <c r="AA192" s="5"/>
      <c r="AB192" s="5"/>
      <c r="AC192" s="5"/>
    </row>
    <row r="193">
      <c r="A193" s="5" t="str">
        <f>IFERROR(__xludf.DUMMYFUNCTION("""COMPUTED_VALUE"""),"WildHot40Halloween")</f>
        <v>WildHot40Halloween</v>
      </c>
      <c r="B1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3" s="5" t="str">
        <f>IFERROR(__xludf.DUMMYFUNCTION("""COMPUTED_VALUE"""),"Yes")</f>
        <v>Yes</v>
      </c>
      <c r="D193" s="5" t="str">
        <f>IFERROR(__xludf.DUMMYFUNCTION("""COMPUTED_VALUE"""),"Yes")</f>
        <v>Yes</v>
      </c>
      <c r="E193" s="5" t="str">
        <f>IFERROR(__xludf.DUMMYFUNCTION("""COMPUTED_VALUE"""),"Yes")</f>
        <v>Yes</v>
      </c>
      <c r="F193" s="5" t="str">
        <f>IFERROR(__xludf.DUMMYFUNCTION("""COMPUTED_VALUE"""),"Yes")</f>
        <v>Yes</v>
      </c>
      <c r="G193" s="5" t="str">
        <f>IFERROR(__xludf.DUMMYFUNCTION("""COMPUTED_VALUE"""),"Yes")</f>
        <v>Yes</v>
      </c>
      <c r="H193" s="5" t="str">
        <f>IFERROR(__xludf.DUMMYFUNCTION("""COMPUTED_VALUE"""),"Yes")</f>
        <v>Yes</v>
      </c>
      <c r="I193" s="5" t="str">
        <f>IFERROR(__xludf.DUMMYFUNCTION("""COMPUTED_VALUE"""),"Yes")</f>
        <v>Yes</v>
      </c>
      <c r="J193" s="5" t="str">
        <f>IFERROR(__xludf.DUMMYFUNCTION("""COMPUTED_VALUE"""),"Yes")</f>
        <v>Yes</v>
      </c>
      <c r="K193" s="5" t="str">
        <f>IFERROR(__xludf.DUMMYFUNCTION("""COMPUTED_VALUE"""),"Yes")</f>
        <v>Yes</v>
      </c>
      <c r="L193" s="5" t="str">
        <f>IFERROR(__xludf.DUMMYFUNCTION("""COMPUTED_VALUE"""),"Yes")</f>
        <v>Yes</v>
      </c>
      <c r="M193" s="5" t="str">
        <f>IFERROR(__xludf.DUMMYFUNCTION("""COMPUTED_VALUE"""),"Yes")</f>
        <v>Yes</v>
      </c>
      <c r="N193" s="5" t="str">
        <f>IFERROR(__xludf.DUMMYFUNCTION("""COMPUTED_VALUE"""),"Yes")</f>
        <v>Yes</v>
      </c>
      <c r="O193" s="5" t="str">
        <f>IFERROR(__xludf.DUMMYFUNCTION("""COMPUTED_VALUE"""),"Yes")</f>
        <v>Yes</v>
      </c>
      <c r="P193" s="5" t="str">
        <f>IFERROR(__xludf.DUMMYFUNCTION("""COMPUTED_VALUE"""),"Yes")</f>
        <v>Yes</v>
      </c>
      <c r="Q193" s="5" t="str">
        <f>IFERROR(__xludf.DUMMYFUNCTION("""COMPUTED_VALUE"""),"Yes")</f>
        <v>Yes</v>
      </c>
      <c r="R193" s="5" t="str">
        <f>IFERROR(__xludf.DUMMYFUNCTION("""COMPUTED_VALUE"""),"Yes")</f>
        <v>Yes</v>
      </c>
      <c r="S193" s="5" t="str">
        <f>IFERROR(__xludf.DUMMYFUNCTION("""COMPUTED_VALUE"""),"Yes")</f>
        <v>Yes</v>
      </c>
      <c r="T193" s="5" t="str">
        <f>IFERROR(__xludf.DUMMYFUNCTION("""COMPUTED_VALUE"""),"Yes")</f>
        <v>Yes</v>
      </c>
      <c r="U193" s="5" t="str">
        <f>IFERROR(__xludf.DUMMYFUNCTION("""COMPUTED_VALUE"""),"Yes")</f>
        <v>Yes</v>
      </c>
      <c r="V193" s="5" t="str">
        <f>IFERROR(__xludf.DUMMYFUNCTION("""COMPUTED_VALUE"""),"Yes")</f>
        <v>Yes</v>
      </c>
      <c r="W193" s="5" t="str">
        <f>IFERROR(__xludf.DUMMYFUNCTION("""COMPUTED_VALUE"""),"Yes")</f>
        <v>Yes</v>
      </c>
      <c r="X193" s="5" t="str">
        <f>IFERROR(__xludf.DUMMYFUNCTION("""COMPUTED_VALUE"""),"Yes")</f>
        <v>Yes</v>
      </c>
      <c r="Y193" s="5" t="str">
        <f>IFERROR(__xludf.DUMMYFUNCTION("""COMPUTED_VALUE"""),"Yes")</f>
        <v>Yes</v>
      </c>
      <c r="Z193" s="5" t="str">
        <f>IFERROR(__xludf.DUMMYFUNCTION("""COMPUTED_VALUE"""),"Yes")</f>
        <v>Yes</v>
      </c>
      <c r="AA193" s="5" t="str">
        <f>IFERROR(__xludf.DUMMYFUNCTION("""COMPUTED_VALUE"""),"Yes")</f>
        <v>Yes</v>
      </c>
      <c r="AB193" s="5" t="str">
        <f>IFERROR(__xludf.DUMMYFUNCTION("""COMPUTED_VALUE"""),"Yes")</f>
        <v>Yes</v>
      </c>
      <c r="AC193" s="5" t="str">
        <f>IFERROR(__xludf.DUMMYFUNCTION("""COMPUTED_VALUE"""),"No")</f>
        <v>No</v>
      </c>
    </row>
    <row r="194">
      <c r="A194" s="5" t="str">
        <f>IFERROR(__xludf.DUMMYFUNCTION("""COMPUTED_VALUE"""),"CrystalHot40Halloween")</f>
        <v>CrystalHot40Halloween</v>
      </c>
      <c r="B1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4" s="5" t="str">
        <f>IFERROR(__xludf.DUMMYFUNCTION("""COMPUTED_VALUE"""),"Yes")</f>
        <v>Yes</v>
      </c>
      <c r="D194" s="5" t="str">
        <f>IFERROR(__xludf.DUMMYFUNCTION("""COMPUTED_VALUE"""),"Yes")</f>
        <v>Yes</v>
      </c>
      <c r="E194" s="5" t="str">
        <f>IFERROR(__xludf.DUMMYFUNCTION("""COMPUTED_VALUE"""),"Yes")</f>
        <v>Yes</v>
      </c>
      <c r="F194" s="5" t="str">
        <f>IFERROR(__xludf.DUMMYFUNCTION("""COMPUTED_VALUE"""),"Yes")</f>
        <v>Yes</v>
      </c>
      <c r="G194" s="5" t="str">
        <f>IFERROR(__xludf.DUMMYFUNCTION("""COMPUTED_VALUE"""),"Yes")</f>
        <v>Yes</v>
      </c>
      <c r="H194" s="5" t="str">
        <f>IFERROR(__xludf.DUMMYFUNCTION("""COMPUTED_VALUE"""),"Yes")</f>
        <v>Yes</v>
      </c>
      <c r="I194" s="5" t="str">
        <f>IFERROR(__xludf.DUMMYFUNCTION("""COMPUTED_VALUE"""),"Yes")</f>
        <v>Yes</v>
      </c>
      <c r="J194" s="5" t="str">
        <f>IFERROR(__xludf.DUMMYFUNCTION("""COMPUTED_VALUE"""),"Yes")</f>
        <v>Yes</v>
      </c>
      <c r="K194" s="5" t="str">
        <f>IFERROR(__xludf.DUMMYFUNCTION("""COMPUTED_VALUE"""),"Yes")</f>
        <v>Yes</v>
      </c>
      <c r="L194" s="5" t="str">
        <f>IFERROR(__xludf.DUMMYFUNCTION("""COMPUTED_VALUE"""),"Yes")</f>
        <v>Yes</v>
      </c>
      <c r="M194" s="5" t="str">
        <f>IFERROR(__xludf.DUMMYFUNCTION("""COMPUTED_VALUE"""),"Yes")</f>
        <v>Yes</v>
      </c>
      <c r="N194" s="5" t="str">
        <f>IFERROR(__xludf.DUMMYFUNCTION("""COMPUTED_VALUE"""),"Yes")</f>
        <v>Yes</v>
      </c>
      <c r="O194" s="5" t="str">
        <f>IFERROR(__xludf.DUMMYFUNCTION("""COMPUTED_VALUE"""),"Yes")</f>
        <v>Yes</v>
      </c>
      <c r="P194" s="5" t="str">
        <f>IFERROR(__xludf.DUMMYFUNCTION("""COMPUTED_VALUE"""),"Yes")</f>
        <v>Yes</v>
      </c>
      <c r="Q194" s="5" t="str">
        <f>IFERROR(__xludf.DUMMYFUNCTION("""COMPUTED_VALUE"""),"Yes")</f>
        <v>Yes</v>
      </c>
      <c r="R194" s="5" t="str">
        <f>IFERROR(__xludf.DUMMYFUNCTION("""COMPUTED_VALUE"""),"Yes")</f>
        <v>Yes</v>
      </c>
      <c r="S194" s="5" t="str">
        <f>IFERROR(__xludf.DUMMYFUNCTION("""COMPUTED_VALUE"""),"Yes")</f>
        <v>Yes</v>
      </c>
      <c r="T194" s="5" t="str">
        <f>IFERROR(__xludf.DUMMYFUNCTION("""COMPUTED_VALUE"""),"Yes")</f>
        <v>Yes</v>
      </c>
      <c r="U194" s="5" t="str">
        <f>IFERROR(__xludf.DUMMYFUNCTION("""COMPUTED_VALUE"""),"Yes")</f>
        <v>Yes</v>
      </c>
      <c r="V194" s="5" t="str">
        <f>IFERROR(__xludf.DUMMYFUNCTION("""COMPUTED_VALUE"""),"Yes")</f>
        <v>Yes</v>
      </c>
      <c r="W194" s="5" t="str">
        <f>IFERROR(__xludf.DUMMYFUNCTION("""COMPUTED_VALUE"""),"Yes")</f>
        <v>Yes</v>
      </c>
      <c r="X194" s="5" t="str">
        <f>IFERROR(__xludf.DUMMYFUNCTION("""COMPUTED_VALUE"""),"Yes")</f>
        <v>Yes</v>
      </c>
      <c r="Y194" s="5" t="str">
        <f>IFERROR(__xludf.DUMMYFUNCTION("""COMPUTED_VALUE"""),"Yes")</f>
        <v>Yes</v>
      </c>
      <c r="Z194" s="5" t="str">
        <f>IFERROR(__xludf.DUMMYFUNCTION("""COMPUTED_VALUE"""),"Yes")</f>
        <v>Yes</v>
      </c>
      <c r="AA194" s="5" t="str">
        <f>IFERROR(__xludf.DUMMYFUNCTION("""COMPUTED_VALUE"""),"Yes")</f>
        <v>Yes</v>
      </c>
      <c r="AB194" s="5" t="str">
        <f>IFERROR(__xludf.DUMMYFUNCTION("""COMPUTED_VALUE"""),"Yes")</f>
        <v>Yes</v>
      </c>
      <c r="AC194" s="5" t="str">
        <f>IFERROR(__xludf.DUMMYFUNCTION("""COMPUTED_VALUE"""),"No")</f>
        <v>No</v>
      </c>
    </row>
    <row r="195">
      <c r="A195" s="5" t="str">
        <f>IFERROR(__xludf.DUMMYFUNCTION("""COMPUTED_VALUE"""),"VeryHot40Dice")</f>
        <v>VeryHot40Dice</v>
      </c>
      <c r="B1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5" s="5" t="str">
        <f>IFERROR(__xludf.DUMMYFUNCTION("""COMPUTED_VALUE"""),"Yes")</f>
        <v>Yes</v>
      </c>
      <c r="D195" s="5" t="str">
        <f>IFERROR(__xludf.DUMMYFUNCTION("""COMPUTED_VALUE"""),"Yes")</f>
        <v>Yes</v>
      </c>
      <c r="E195" s="5" t="str">
        <f>IFERROR(__xludf.DUMMYFUNCTION("""COMPUTED_VALUE"""),"Yes")</f>
        <v>Yes</v>
      </c>
      <c r="F195" s="5" t="str">
        <f>IFERROR(__xludf.DUMMYFUNCTION("""COMPUTED_VALUE"""),"Yes")</f>
        <v>Yes</v>
      </c>
      <c r="G195" s="5" t="str">
        <f>IFERROR(__xludf.DUMMYFUNCTION("""COMPUTED_VALUE"""),"Yes")</f>
        <v>Yes</v>
      </c>
      <c r="H195" s="5" t="str">
        <f>IFERROR(__xludf.DUMMYFUNCTION("""COMPUTED_VALUE"""),"Yes")</f>
        <v>Yes</v>
      </c>
      <c r="I195" s="5" t="str">
        <f>IFERROR(__xludf.DUMMYFUNCTION("""COMPUTED_VALUE"""),"Yes")</f>
        <v>Yes</v>
      </c>
      <c r="J195" s="5" t="str">
        <f>IFERROR(__xludf.DUMMYFUNCTION("""COMPUTED_VALUE"""),"Yes")</f>
        <v>Yes</v>
      </c>
      <c r="K195" s="5" t="str">
        <f>IFERROR(__xludf.DUMMYFUNCTION("""COMPUTED_VALUE"""),"Yes")</f>
        <v>Yes</v>
      </c>
      <c r="L195" s="5" t="str">
        <f>IFERROR(__xludf.DUMMYFUNCTION("""COMPUTED_VALUE"""),"Yes")</f>
        <v>Yes</v>
      </c>
      <c r="M195" s="5" t="str">
        <f>IFERROR(__xludf.DUMMYFUNCTION("""COMPUTED_VALUE"""),"Yes")</f>
        <v>Yes</v>
      </c>
      <c r="N195" s="5" t="str">
        <f>IFERROR(__xludf.DUMMYFUNCTION("""COMPUTED_VALUE"""),"Yes")</f>
        <v>Yes</v>
      </c>
      <c r="O195" s="5" t="str">
        <f>IFERROR(__xludf.DUMMYFUNCTION("""COMPUTED_VALUE"""),"Yes")</f>
        <v>Yes</v>
      </c>
      <c r="P195" s="5" t="str">
        <f>IFERROR(__xludf.DUMMYFUNCTION("""COMPUTED_VALUE"""),"Yes")</f>
        <v>Yes</v>
      </c>
      <c r="Q195" s="5" t="str">
        <f>IFERROR(__xludf.DUMMYFUNCTION("""COMPUTED_VALUE"""),"Yes")</f>
        <v>Yes</v>
      </c>
      <c r="R195" s="5" t="str">
        <f>IFERROR(__xludf.DUMMYFUNCTION("""COMPUTED_VALUE"""),"Yes")</f>
        <v>Yes</v>
      </c>
      <c r="S195" s="5" t="str">
        <f>IFERROR(__xludf.DUMMYFUNCTION("""COMPUTED_VALUE"""),"Yes")</f>
        <v>Yes</v>
      </c>
      <c r="T195" s="5" t="str">
        <f>IFERROR(__xludf.DUMMYFUNCTION("""COMPUTED_VALUE"""),"Yes")</f>
        <v>Yes</v>
      </c>
      <c r="U195" s="5" t="str">
        <f>IFERROR(__xludf.DUMMYFUNCTION("""COMPUTED_VALUE"""),"Yes")</f>
        <v>Yes</v>
      </c>
      <c r="V195" s="5" t="str">
        <f>IFERROR(__xludf.DUMMYFUNCTION("""COMPUTED_VALUE"""),"Yes")</f>
        <v>Yes</v>
      </c>
      <c r="W195" s="5" t="str">
        <f>IFERROR(__xludf.DUMMYFUNCTION("""COMPUTED_VALUE"""),"Yes")</f>
        <v>Yes</v>
      </c>
      <c r="X195" s="5" t="str">
        <f>IFERROR(__xludf.DUMMYFUNCTION("""COMPUTED_VALUE"""),"Yes")</f>
        <v>Yes</v>
      </c>
      <c r="Y195" s="5" t="str">
        <f>IFERROR(__xludf.DUMMYFUNCTION("""COMPUTED_VALUE"""),"Yes")</f>
        <v>Yes</v>
      </c>
      <c r="Z195" s="5" t="str">
        <f>IFERROR(__xludf.DUMMYFUNCTION("""COMPUTED_VALUE"""),"Yes")</f>
        <v>Yes</v>
      </c>
      <c r="AA195" s="5" t="str">
        <f>IFERROR(__xludf.DUMMYFUNCTION("""COMPUTED_VALUE"""),"Yes")</f>
        <v>Yes</v>
      </c>
      <c r="AB195" s="5" t="str">
        <f>IFERROR(__xludf.DUMMYFUNCTION("""COMPUTED_VALUE"""),"Yes")</f>
        <v>Yes</v>
      </c>
      <c r="AC195" s="5" t="str">
        <f>IFERROR(__xludf.DUMMYFUNCTION("""COMPUTED_VALUE"""),"No")</f>
        <v>No</v>
      </c>
    </row>
    <row r="196">
      <c r="A196" s="5" t="str">
        <f>IFERROR(__xludf.DUMMYFUNCTION("""COMPUTED_VALUE"""),"WildLuckyClover")</f>
        <v>WildLuckyClover</v>
      </c>
      <c r="B1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6" s="5" t="str">
        <f>IFERROR(__xludf.DUMMYFUNCTION("""COMPUTED_VALUE"""),"Yes")</f>
        <v>Yes</v>
      </c>
      <c r="D196" s="5" t="str">
        <f>IFERROR(__xludf.DUMMYFUNCTION("""COMPUTED_VALUE"""),"Yes")</f>
        <v>Yes</v>
      </c>
      <c r="E196" s="5" t="str">
        <f>IFERROR(__xludf.DUMMYFUNCTION("""COMPUTED_VALUE"""),"Yes")</f>
        <v>Yes</v>
      </c>
      <c r="F196" s="5" t="str">
        <f>IFERROR(__xludf.DUMMYFUNCTION("""COMPUTED_VALUE"""),"Yes")</f>
        <v>Yes</v>
      </c>
      <c r="G196" s="5" t="str">
        <f>IFERROR(__xludf.DUMMYFUNCTION("""COMPUTED_VALUE"""),"Yes")</f>
        <v>Yes</v>
      </c>
      <c r="H196" s="5" t="str">
        <f>IFERROR(__xludf.DUMMYFUNCTION("""COMPUTED_VALUE"""),"Yes")</f>
        <v>Yes</v>
      </c>
      <c r="I196" s="5" t="str">
        <f>IFERROR(__xludf.DUMMYFUNCTION("""COMPUTED_VALUE"""),"Yes")</f>
        <v>Yes</v>
      </c>
      <c r="J196" s="5" t="str">
        <f>IFERROR(__xludf.DUMMYFUNCTION("""COMPUTED_VALUE"""),"Yes")</f>
        <v>Yes</v>
      </c>
      <c r="K196" s="5" t="str">
        <f>IFERROR(__xludf.DUMMYFUNCTION("""COMPUTED_VALUE"""),"Yes")</f>
        <v>Yes</v>
      </c>
      <c r="L196" s="5" t="str">
        <f>IFERROR(__xludf.DUMMYFUNCTION("""COMPUTED_VALUE"""),"Yes")</f>
        <v>Yes</v>
      </c>
      <c r="M196" s="5" t="str">
        <f>IFERROR(__xludf.DUMMYFUNCTION("""COMPUTED_VALUE"""),"Yes")</f>
        <v>Yes</v>
      </c>
      <c r="N196" s="5" t="str">
        <f>IFERROR(__xludf.DUMMYFUNCTION("""COMPUTED_VALUE"""),"Yes")</f>
        <v>Yes</v>
      </c>
      <c r="O196" s="5" t="str">
        <f>IFERROR(__xludf.DUMMYFUNCTION("""COMPUTED_VALUE"""),"Yes")</f>
        <v>Yes</v>
      </c>
      <c r="P196" s="5" t="str">
        <f>IFERROR(__xludf.DUMMYFUNCTION("""COMPUTED_VALUE"""),"Yes")</f>
        <v>Yes</v>
      </c>
      <c r="Q196" s="5" t="str">
        <f>IFERROR(__xludf.DUMMYFUNCTION("""COMPUTED_VALUE"""),"Yes")</f>
        <v>Yes</v>
      </c>
      <c r="R196" s="5" t="str">
        <f>IFERROR(__xludf.DUMMYFUNCTION("""COMPUTED_VALUE"""),"Yes")</f>
        <v>Yes</v>
      </c>
      <c r="S196" s="5" t="str">
        <f>IFERROR(__xludf.DUMMYFUNCTION("""COMPUTED_VALUE"""),"Yes")</f>
        <v>Yes</v>
      </c>
      <c r="T196" s="5" t="str">
        <f>IFERROR(__xludf.DUMMYFUNCTION("""COMPUTED_VALUE"""),"Yes")</f>
        <v>Yes</v>
      </c>
      <c r="U196" s="5" t="str">
        <f>IFERROR(__xludf.DUMMYFUNCTION("""COMPUTED_VALUE"""),"Yes")</f>
        <v>Yes</v>
      </c>
      <c r="V196" s="5" t="str">
        <f>IFERROR(__xludf.DUMMYFUNCTION("""COMPUTED_VALUE"""),"Yes")</f>
        <v>Yes</v>
      </c>
      <c r="W196" s="5" t="str">
        <f>IFERROR(__xludf.DUMMYFUNCTION("""COMPUTED_VALUE"""),"Yes")</f>
        <v>Yes</v>
      </c>
      <c r="X196" s="5" t="str">
        <f>IFERROR(__xludf.DUMMYFUNCTION("""COMPUTED_VALUE"""),"Yes")</f>
        <v>Yes</v>
      </c>
      <c r="Y196" s="5" t="str">
        <f>IFERROR(__xludf.DUMMYFUNCTION("""COMPUTED_VALUE"""),"Yes")</f>
        <v>Yes</v>
      </c>
      <c r="Z196" s="5" t="str">
        <f>IFERROR(__xludf.DUMMYFUNCTION("""COMPUTED_VALUE"""),"Yes")</f>
        <v>Yes</v>
      </c>
      <c r="AA196" s="5" t="str">
        <f>IFERROR(__xludf.DUMMYFUNCTION("""COMPUTED_VALUE"""),"Yes")</f>
        <v>Yes</v>
      </c>
      <c r="AB196" s="5" t="str">
        <f>IFERROR(__xludf.DUMMYFUNCTION("""COMPUTED_VALUE"""),"Yes")</f>
        <v>Yes</v>
      </c>
      <c r="AC196" s="5" t="str">
        <f>IFERROR(__xludf.DUMMYFUNCTION("""COMPUTED_VALUE"""),"No")</f>
        <v>No</v>
      </c>
    </row>
    <row r="197">
      <c r="A197" s="5" t="str">
        <f>IFERROR(__xludf.DUMMYFUNCTION("""COMPUTED_VALUE"""),"FruitsAndStars20Deluxe")</f>
        <v>FruitsAndStars20Deluxe</v>
      </c>
      <c r="B1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7" s="5" t="str">
        <f>IFERROR(__xludf.DUMMYFUNCTION("""COMPUTED_VALUE"""),"Yes")</f>
        <v>Yes</v>
      </c>
      <c r="D197" s="5" t="str">
        <f>IFERROR(__xludf.DUMMYFUNCTION("""COMPUTED_VALUE"""),"Yes")</f>
        <v>Yes</v>
      </c>
      <c r="E197" s="5" t="str">
        <f>IFERROR(__xludf.DUMMYFUNCTION("""COMPUTED_VALUE"""),"Yes")</f>
        <v>Yes</v>
      </c>
      <c r="F197" s="5" t="str">
        <f>IFERROR(__xludf.DUMMYFUNCTION("""COMPUTED_VALUE"""),"Yes")</f>
        <v>Yes</v>
      </c>
      <c r="G197" s="5" t="str">
        <f>IFERROR(__xludf.DUMMYFUNCTION("""COMPUTED_VALUE"""),"Yes")</f>
        <v>Yes</v>
      </c>
      <c r="H197" s="5" t="str">
        <f>IFERROR(__xludf.DUMMYFUNCTION("""COMPUTED_VALUE"""),"Yes")</f>
        <v>Yes</v>
      </c>
      <c r="I197" s="5" t="str">
        <f>IFERROR(__xludf.DUMMYFUNCTION("""COMPUTED_VALUE"""),"Yes")</f>
        <v>Yes</v>
      </c>
      <c r="J197" s="5" t="str">
        <f>IFERROR(__xludf.DUMMYFUNCTION("""COMPUTED_VALUE"""),"Yes")</f>
        <v>Yes</v>
      </c>
      <c r="K197" s="5" t="str">
        <f>IFERROR(__xludf.DUMMYFUNCTION("""COMPUTED_VALUE"""),"Yes")</f>
        <v>Yes</v>
      </c>
      <c r="L197" s="5" t="str">
        <f>IFERROR(__xludf.DUMMYFUNCTION("""COMPUTED_VALUE"""),"Yes")</f>
        <v>Yes</v>
      </c>
      <c r="M197" s="5" t="str">
        <f>IFERROR(__xludf.DUMMYFUNCTION("""COMPUTED_VALUE"""),"Yes")</f>
        <v>Yes</v>
      </c>
      <c r="N197" s="5" t="str">
        <f>IFERROR(__xludf.DUMMYFUNCTION("""COMPUTED_VALUE"""),"Yes")</f>
        <v>Yes</v>
      </c>
      <c r="O197" s="5" t="str">
        <f>IFERROR(__xludf.DUMMYFUNCTION("""COMPUTED_VALUE"""),"Yes")</f>
        <v>Yes</v>
      </c>
      <c r="P197" s="5" t="str">
        <f>IFERROR(__xludf.DUMMYFUNCTION("""COMPUTED_VALUE"""),"Yes")</f>
        <v>Yes</v>
      </c>
      <c r="Q197" s="5" t="str">
        <f>IFERROR(__xludf.DUMMYFUNCTION("""COMPUTED_VALUE"""),"Yes")</f>
        <v>Yes</v>
      </c>
      <c r="R197" s="5" t="str">
        <f>IFERROR(__xludf.DUMMYFUNCTION("""COMPUTED_VALUE"""),"Yes")</f>
        <v>Yes</v>
      </c>
      <c r="S197" s="5" t="str">
        <f>IFERROR(__xludf.DUMMYFUNCTION("""COMPUTED_VALUE"""),"Yes")</f>
        <v>Yes</v>
      </c>
      <c r="T197" s="5" t="str">
        <f>IFERROR(__xludf.DUMMYFUNCTION("""COMPUTED_VALUE"""),"Yes")</f>
        <v>Yes</v>
      </c>
      <c r="U197" s="5" t="str">
        <f>IFERROR(__xludf.DUMMYFUNCTION("""COMPUTED_VALUE"""),"Yes")</f>
        <v>Yes</v>
      </c>
      <c r="V197" s="5" t="str">
        <f>IFERROR(__xludf.DUMMYFUNCTION("""COMPUTED_VALUE"""),"Yes")</f>
        <v>Yes</v>
      </c>
      <c r="W197" s="5" t="str">
        <f>IFERROR(__xludf.DUMMYFUNCTION("""COMPUTED_VALUE"""),"Yes")</f>
        <v>Yes</v>
      </c>
      <c r="X197" s="5" t="str">
        <f>IFERROR(__xludf.DUMMYFUNCTION("""COMPUTED_VALUE"""),"Yes")</f>
        <v>Yes</v>
      </c>
      <c r="Y197" s="5" t="str">
        <f>IFERROR(__xludf.DUMMYFUNCTION("""COMPUTED_VALUE"""),"Yes")</f>
        <v>Yes</v>
      </c>
      <c r="Z197" s="5" t="str">
        <f>IFERROR(__xludf.DUMMYFUNCTION("""COMPUTED_VALUE"""),"Yes")</f>
        <v>Yes</v>
      </c>
      <c r="AA197" s="5" t="str">
        <f>IFERROR(__xludf.DUMMYFUNCTION("""COMPUTED_VALUE"""),"Yes")</f>
        <v>Yes</v>
      </c>
      <c r="AB197" s="5" t="str">
        <f>IFERROR(__xludf.DUMMYFUNCTION("""COMPUTED_VALUE"""),"Yes")</f>
        <v>Yes</v>
      </c>
      <c r="AC197" s="5" t="str">
        <f>IFERROR(__xludf.DUMMYFUNCTION("""COMPUTED_VALUE"""),"No")</f>
        <v>No</v>
      </c>
    </row>
    <row r="198">
      <c r="A198" s="5" t="str">
        <f>IFERROR(__xludf.DUMMYFUNCTION("""COMPUTED_VALUE"""),"VeryHot40Respin")</f>
        <v>VeryHot40Respin</v>
      </c>
      <c r="B1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8" s="5" t="str">
        <f>IFERROR(__xludf.DUMMYFUNCTION("""COMPUTED_VALUE"""),"Yes")</f>
        <v>Yes</v>
      </c>
      <c r="D198" s="5" t="str">
        <f>IFERROR(__xludf.DUMMYFUNCTION("""COMPUTED_VALUE"""),"Yes")</f>
        <v>Yes</v>
      </c>
      <c r="E198" s="5" t="str">
        <f>IFERROR(__xludf.DUMMYFUNCTION("""COMPUTED_VALUE"""),"Yes")</f>
        <v>Yes</v>
      </c>
      <c r="F198" s="5" t="str">
        <f>IFERROR(__xludf.DUMMYFUNCTION("""COMPUTED_VALUE"""),"Yes")</f>
        <v>Yes</v>
      </c>
      <c r="G198" s="5" t="str">
        <f>IFERROR(__xludf.DUMMYFUNCTION("""COMPUTED_VALUE"""),"Yes")</f>
        <v>Yes</v>
      </c>
      <c r="H198" s="5" t="str">
        <f>IFERROR(__xludf.DUMMYFUNCTION("""COMPUTED_VALUE"""),"Yes")</f>
        <v>Yes</v>
      </c>
      <c r="I198" s="5" t="str">
        <f>IFERROR(__xludf.DUMMYFUNCTION("""COMPUTED_VALUE"""),"Yes")</f>
        <v>Yes</v>
      </c>
      <c r="J198" s="5" t="str">
        <f>IFERROR(__xludf.DUMMYFUNCTION("""COMPUTED_VALUE"""),"Yes")</f>
        <v>Yes</v>
      </c>
      <c r="K198" s="5" t="str">
        <f>IFERROR(__xludf.DUMMYFUNCTION("""COMPUTED_VALUE"""),"Yes")</f>
        <v>Yes</v>
      </c>
      <c r="L198" s="5" t="str">
        <f>IFERROR(__xludf.DUMMYFUNCTION("""COMPUTED_VALUE"""),"Yes")</f>
        <v>Yes</v>
      </c>
      <c r="M198" s="5" t="str">
        <f>IFERROR(__xludf.DUMMYFUNCTION("""COMPUTED_VALUE"""),"Yes")</f>
        <v>Yes</v>
      </c>
      <c r="N198" s="5" t="str">
        <f>IFERROR(__xludf.DUMMYFUNCTION("""COMPUTED_VALUE"""),"Yes")</f>
        <v>Yes</v>
      </c>
      <c r="O198" s="5" t="str">
        <f>IFERROR(__xludf.DUMMYFUNCTION("""COMPUTED_VALUE"""),"Yes")</f>
        <v>Yes</v>
      </c>
      <c r="P198" s="5" t="str">
        <f>IFERROR(__xludf.DUMMYFUNCTION("""COMPUTED_VALUE"""),"Yes")</f>
        <v>Yes</v>
      </c>
      <c r="Q198" s="5" t="str">
        <f>IFERROR(__xludf.DUMMYFUNCTION("""COMPUTED_VALUE"""),"Yes")</f>
        <v>Yes</v>
      </c>
      <c r="R198" s="5" t="str">
        <f>IFERROR(__xludf.DUMMYFUNCTION("""COMPUTED_VALUE"""),"Yes")</f>
        <v>Yes</v>
      </c>
      <c r="S198" s="5" t="str">
        <f>IFERROR(__xludf.DUMMYFUNCTION("""COMPUTED_VALUE"""),"Yes")</f>
        <v>Yes</v>
      </c>
      <c r="T198" s="5" t="str">
        <f>IFERROR(__xludf.DUMMYFUNCTION("""COMPUTED_VALUE"""),"Yes")</f>
        <v>Yes</v>
      </c>
      <c r="U198" s="5" t="str">
        <f>IFERROR(__xludf.DUMMYFUNCTION("""COMPUTED_VALUE"""),"Yes")</f>
        <v>Yes</v>
      </c>
      <c r="V198" s="5" t="str">
        <f>IFERROR(__xludf.DUMMYFUNCTION("""COMPUTED_VALUE"""),"Yes")</f>
        <v>Yes</v>
      </c>
      <c r="W198" s="5" t="str">
        <f>IFERROR(__xludf.DUMMYFUNCTION("""COMPUTED_VALUE"""),"Yes")</f>
        <v>Yes</v>
      </c>
      <c r="X198" s="5" t="str">
        <f>IFERROR(__xludf.DUMMYFUNCTION("""COMPUTED_VALUE"""),"Yes")</f>
        <v>Yes</v>
      </c>
      <c r="Y198" s="5" t="str">
        <f>IFERROR(__xludf.DUMMYFUNCTION("""COMPUTED_VALUE"""),"Yes")</f>
        <v>Yes</v>
      </c>
      <c r="Z198" s="5" t="str">
        <f>IFERROR(__xludf.DUMMYFUNCTION("""COMPUTED_VALUE"""),"Yes")</f>
        <v>Yes</v>
      </c>
      <c r="AA198" s="5" t="str">
        <f>IFERROR(__xludf.DUMMYFUNCTION("""COMPUTED_VALUE"""),"Yes")</f>
        <v>Yes</v>
      </c>
      <c r="AB198" s="5" t="str">
        <f>IFERROR(__xludf.DUMMYFUNCTION("""COMPUTED_VALUE"""),"Yes")</f>
        <v>Yes</v>
      </c>
      <c r="AC198" s="5" t="str">
        <f>IFERROR(__xludf.DUMMYFUNCTION("""COMPUTED_VALUE"""),"No")</f>
        <v>No</v>
      </c>
    </row>
    <row r="199">
      <c r="A199" s="5" t="str">
        <f>IFERROR(__xludf.DUMMYFUNCTION("""COMPUTED_VALUE"""),"BookOfDread")</f>
        <v>BookOfDread</v>
      </c>
      <c r="B1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9" s="5" t="str">
        <f>IFERROR(__xludf.DUMMYFUNCTION("""COMPUTED_VALUE"""),"Yes")</f>
        <v>Yes</v>
      </c>
      <c r="D199" s="5" t="str">
        <f>IFERROR(__xludf.DUMMYFUNCTION("""COMPUTED_VALUE"""),"Yes")</f>
        <v>Yes</v>
      </c>
      <c r="E199" s="5" t="str">
        <f>IFERROR(__xludf.DUMMYFUNCTION("""COMPUTED_VALUE"""),"Yes")</f>
        <v>Yes</v>
      </c>
      <c r="F199" s="5" t="str">
        <f>IFERROR(__xludf.DUMMYFUNCTION("""COMPUTED_VALUE"""),"Yes")</f>
        <v>Yes</v>
      </c>
      <c r="G199" s="5" t="str">
        <f>IFERROR(__xludf.DUMMYFUNCTION("""COMPUTED_VALUE"""),"Yes")</f>
        <v>Yes</v>
      </c>
      <c r="H199" s="5" t="str">
        <f>IFERROR(__xludf.DUMMYFUNCTION("""COMPUTED_VALUE"""),"Yes")</f>
        <v>Yes</v>
      </c>
      <c r="I199" s="5" t="str">
        <f>IFERROR(__xludf.DUMMYFUNCTION("""COMPUTED_VALUE"""),"Yes")</f>
        <v>Yes</v>
      </c>
      <c r="J199" s="5" t="str">
        <f>IFERROR(__xludf.DUMMYFUNCTION("""COMPUTED_VALUE"""),"Yes")</f>
        <v>Yes</v>
      </c>
      <c r="K199" s="5" t="str">
        <f>IFERROR(__xludf.DUMMYFUNCTION("""COMPUTED_VALUE"""),"Yes")</f>
        <v>Yes</v>
      </c>
      <c r="L199" s="5" t="str">
        <f>IFERROR(__xludf.DUMMYFUNCTION("""COMPUTED_VALUE"""),"Yes")</f>
        <v>Yes</v>
      </c>
      <c r="M199" s="5" t="str">
        <f>IFERROR(__xludf.DUMMYFUNCTION("""COMPUTED_VALUE"""),"Yes")</f>
        <v>Yes</v>
      </c>
      <c r="N199" s="5" t="str">
        <f>IFERROR(__xludf.DUMMYFUNCTION("""COMPUTED_VALUE"""),"Yes")</f>
        <v>Yes</v>
      </c>
      <c r="O199" s="5" t="str">
        <f>IFERROR(__xludf.DUMMYFUNCTION("""COMPUTED_VALUE"""),"Yes")</f>
        <v>Yes</v>
      </c>
      <c r="P199" s="5" t="str">
        <f>IFERROR(__xludf.DUMMYFUNCTION("""COMPUTED_VALUE"""),"Yes")</f>
        <v>Yes</v>
      </c>
      <c r="Q199" s="5" t="str">
        <f>IFERROR(__xludf.DUMMYFUNCTION("""COMPUTED_VALUE"""),"Yes")</f>
        <v>Yes</v>
      </c>
      <c r="R199" s="5" t="str">
        <f>IFERROR(__xludf.DUMMYFUNCTION("""COMPUTED_VALUE"""),"Yes")</f>
        <v>Yes</v>
      </c>
      <c r="S199" s="5" t="str">
        <f>IFERROR(__xludf.DUMMYFUNCTION("""COMPUTED_VALUE"""),"Yes")</f>
        <v>Yes</v>
      </c>
      <c r="T199" s="5" t="str">
        <f>IFERROR(__xludf.DUMMYFUNCTION("""COMPUTED_VALUE"""),"Yes")</f>
        <v>Yes</v>
      </c>
      <c r="U199" s="5" t="str">
        <f>IFERROR(__xludf.DUMMYFUNCTION("""COMPUTED_VALUE"""),"Yes")</f>
        <v>Yes</v>
      </c>
      <c r="V199" s="5" t="str">
        <f>IFERROR(__xludf.DUMMYFUNCTION("""COMPUTED_VALUE"""),"Yes")</f>
        <v>Yes</v>
      </c>
      <c r="W199" s="5" t="str">
        <f>IFERROR(__xludf.DUMMYFUNCTION("""COMPUTED_VALUE"""),"Yes")</f>
        <v>Yes</v>
      </c>
      <c r="X199" s="5" t="str">
        <f>IFERROR(__xludf.DUMMYFUNCTION("""COMPUTED_VALUE"""),"Yes")</f>
        <v>Yes</v>
      </c>
      <c r="Y199" s="5" t="str">
        <f>IFERROR(__xludf.DUMMYFUNCTION("""COMPUTED_VALUE"""),"Yes")</f>
        <v>Yes</v>
      </c>
      <c r="Z199" s="5" t="str">
        <f>IFERROR(__xludf.DUMMYFUNCTION("""COMPUTED_VALUE"""),"Yes")</f>
        <v>Yes</v>
      </c>
      <c r="AA199" s="5" t="str">
        <f>IFERROR(__xludf.DUMMYFUNCTION("""COMPUTED_VALUE"""),"Yes")</f>
        <v>Yes</v>
      </c>
      <c r="AB199" s="5" t="str">
        <f>IFERROR(__xludf.DUMMYFUNCTION("""COMPUTED_VALUE"""),"Yes")</f>
        <v>Yes</v>
      </c>
      <c r="AC199" s="5"/>
    </row>
    <row r="200">
      <c r="A200" s="5" t="str">
        <f>IFERROR(__xludf.DUMMYFUNCTION("""COMPUTED_VALUE"""),"WildPumpkin10")</f>
        <v>WildPumpkin10</v>
      </c>
      <c r="B20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00" s="5" t="str">
        <f>IFERROR(__xludf.DUMMYFUNCTION("""COMPUTED_VALUE"""),"Yes")</f>
        <v>Yes</v>
      </c>
      <c r="D200" s="5" t="str">
        <f>IFERROR(__xludf.DUMMYFUNCTION("""COMPUTED_VALUE"""),"Yes")</f>
        <v>Yes</v>
      </c>
      <c r="E200" s="5" t="str">
        <f>IFERROR(__xludf.DUMMYFUNCTION("""COMPUTED_VALUE"""),"No")</f>
        <v>No</v>
      </c>
      <c r="F200" s="5" t="str">
        <f>IFERROR(__xludf.DUMMYFUNCTION("""COMPUTED_VALUE"""),"Yes")</f>
        <v>Yes</v>
      </c>
      <c r="G200" s="5" t="str">
        <f>IFERROR(__xludf.DUMMYFUNCTION("""COMPUTED_VALUE"""),"Yes")</f>
        <v>Yes</v>
      </c>
      <c r="H200" s="5" t="str">
        <f>IFERROR(__xludf.DUMMYFUNCTION("""COMPUTED_VALUE"""),"Yes")</f>
        <v>Yes</v>
      </c>
      <c r="I200" s="5" t="str">
        <f>IFERROR(__xludf.DUMMYFUNCTION("""COMPUTED_VALUE"""),"Yes")</f>
        <v>Yes</v>
      </c>
      <c r="J200" s="5" t="str">
        <f>IFERROR(__xludf.DUMMYFUNCTION("""COMPUTED_VALUE"""),"Yes")</f>
        <v>Yes</v>
      </c>
      <c r="K200" s="5" t="str">
        <f>IFERROR(__xludf.DUMMYFUNCTION("""COMPUTED_VALUE"""),"Yes")</f>
        <v>Yes</v>
      </c>
      <c r="L200" s="5" t="str">
        <f>IFERROR(__xludf.DUMMYFUNCTION("""COMPUTED_VALUE"""),"Yes")</f>
        <v>Yes</v>
      </c>
      <c r="M200" s="5" t="str">
        <f>IFERROR(__xludf.DUMMYFUNCTION("""COMPUTED_VALUE"""),"Yes")</f>
        <v>Yes</v>
      </c>
      <c r="N200" s="5" t="str">
        <f>IFERROR(__xludf.DUMMYFUNCTION("""COMPUTED_VALUE"""),"Yes")</f>
        <v>Yes</v>
      </c>
      <c r="O200" s="5" t="str">
        <f>IFERROR(__xludf.DUMMYFUNCTION("""COMPUTED_VALUE"""),"Yes")</f>
        <v>Yes</v>
      </c>
      <c r="P200" s="5" t="str">
        <f>IFERROR(__xludf.DUMMYFUNCTION("""COMPUTED_VALUE"""),"Yes")</f>
        <v>Yes</v>
      </c>
      <c r="Q200" s="5" t="str">
        <f>IFERROR(__xludf.DUMMYFUNCTION("""COMPUTED_VALUE"""),"Yes")</f>
        <v>Yes</v>
      </c>
      <c r="R200" s="5" t="str">
        <f>IFERROR(__xludf.DUMMYFUNCTION("""COMPUTED_VALUE"""),"No")</f>
        <v>No</v>
      </c>
      <c r="S200" s="5" t="str">
        <f>IFERROR(__xludf.DUMMYFUNCTION("""COMPUTED_VALUE"""),"No")</f>
        <v>No</v>
      </c>
      <c r="T200" s="5" t="str">
        <f>IFERROR(__xludf.DUMMYFUNCTION("""COMPUTED_VALUE"""),"No")</f>
        <v>No</v>
      </c>
      <c r="U200" s="5" t="str">
        <f>IFERROR(__xludf.DUMMYFUNCTION("""COMPUTED_VALUE"""),"No")</f>
        <v>No</v>
      </c>
      <c r="V200" s="5" t="str">
        <f>IFERROR(__xludf.DUMMYFUNCTION("""COMPUTED_VALUE"""),"No")</f>
        <v>No</v>
      </c>
      <c r="W200" s="5" t="str">
        <f>IFERROR(__xludf.DUMMYFUNCTION("""COMPUTED_VALUE"""),"No")</f>
        <v>No</v>
      </c>
      <c r="X200" s="5" t="str">
        <f>IFERROR(__xludf.DUMMYFUNCTION("""COMPUTED_VALUE"""),"No")</f>
        <v>No</v>
      </c>
      <c r="Y200" s="5" t="str">
        <f>IFERROR(__xludf.DUMMYFUNCTION("""COMPUTED_VALUE"""),"No")</f>
        <v>No</v>
      </c>
      <c r="Z200" s="5" t="str">
        <f>IFERROR(__xludf.DUMMYFUNCTION("""COMPUTED_VALUE"""),"No")</f>
        <v>No</v>
      </c>
      <c r="AA200" s="5" t="str">
        <f>IFERROR(__xludf.DUMMYFUNCTION("""COMPUTED_VALUE"""),"No")</f>
        <v>No</v>
      </c>
      <c r="AB200" s="5" t="str">
        <f>IFERROR(__xludf.DUMMYFUNCTION("""COMPUTED_VALUE"""),"Yes")</f>
        <v>Yes</v>
      </c>
      <c r="AC200" s="5" t="str">
        <f>IFERROR(__xludf.DUMMYFUNCTION("""COMPUTED_VALUE"""),"No")</f>
        <v>No</v>
      </c>
    </row>
    <row r="201">
      <c r="A201" s="5" t="str">
        <f>IFERROR(__xludf.DUMMYFUNCTION("""COMPUTED_VALUE"""),"AfricanTreasure")</f>
        <v>AfricanTreasure</v>
      </c>
      <c r="B2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1" s="5" t="str">
        <f>IFERROR(__xludf.DUMMYFUNCTION("""COMPUTED_VALUE"""),"Yes")</f>
        <v>Yes</v>
      </c>
      <c r="D201" s="5" t="str">
        <f>IFERROR(__xludf.DUMMYFUNCTION("""COMPUTED_VALUE"""),"Yes")</f>
        <v>Yes</v>
      </c>
      <c r="E201" s="5" t="str">
        <f>IFERROR(__xludf.DUMMYFUNCTION("""COMPUTED_VALUE"""),"Yes")</f>
        <v>Yes</v>
      </c>
      <c r="F201" s="5" t="str">
        <f>IFERROR(__xludf.DUMMYFUNCTION("""COMPUTED_VALUE"""),"Yes")</f>
        <v>Yes</v>
      </c>
      <c r="G201" s="5" t="str">
        <f>IFERROR(__xludf.DUMMYFUNCTION("""COMPUTED_VALUE"""),"Yes")</f>
        <v>Yes</v>
      </c>
      <c r="H201" s="5" t="str">
        <f>IFERROR(__xludf.DUMMYFUNCTION("""COMPUTED_VALUE"""),"Yes")</f>
        <v>Yes</v>
      </c>
      <c r="I201" s="5" t="str">
        <f>IFERROR(__xludf.DUMMYFUNCTION("""COMPUTED_VALUE"""),"Yes")</f>
        <v>Yes</v>
      </c>
      <c r="J201" s="5" t="str">
        <f>IFERROR(__xludf.DUMMYFUNCTION("""COMPUTED_VALUE"""),"Yes")</f>
        <v>Yes</v>
      </c>
      <c r="K201" s="5" t="str">
        <f>IFERROR(__xludf.DUMMYFUNCTION("""COMPUTED_VALUE"""),"Yes")</f>
        <v>Yes</v>
      </c>
      <c r="L201" s="5" t="str">
        <f>IFERROR(__xludf.DUMMYFUNCTION("""COMPUTED_VALUE"""),"Yes")</f>
        <v>Yes</v>
      </c>
      <c r="M201" s="5" t="str">
        <f>IFERROR(__xludf.DUMMYFUNCTION("""COMPUTED_VALUE"""),"Yes")</f>
        <v>Yes</v>
      </c>
      <c r="N201" s="5" t="str">
        <f>IFERROR(__xludf.DUMMYFUNCTION("""COMPUTED_VALUE"""),"Yes")</f>
        <v>Yes</v>
      </c>
      <c r="O201" s="5" t="str">
        <f>IFERROR(__xludf.DUMMYFUNCTION("""COMPUTED_VALUE"""),"Yes")</f>
        <v>Yes</v>
      </c>
      <c r="P201" s="5" t="str">
        <f>IFERROR(__xludf.DUMMYFUNCTION("""COMPUTED_VALUE"""),"Yes")</f>
        <v>Yes</v>
      </c>
      <c r="Q201" s="5" t="str">
        <f>IFERROR(__xludf.DUMMYFUNCTION("""COMPUTED_VALUE"""),"Yes")</f>
        <v>Yes</v>
      </c>
      <c r="R201" s="5" t="str">
        <f>IFERROR(__xludf.DUMMYFUNCTION("""COMPUTED_VALUE"""),"Yes")</f>
        <v>Yes</v>
      </c>
      <c r="S201" s="5" t="str">
        <f>IFERROR(__xludf.DUMMYFUNCTION("""COMPUTED_VALUE"""),"Yes")</f>
        <v>Yes</v>
      </c>
      <c r="T201" s="5" t="str">
        <f>IFERROR(__xludf.DUMMYFUNCTION("""COMPUTED_VALUE"""),"Yes")</f>
        <v>Yes</v>
      </c>
      <c r="U201" s="5" t="str">
        <f>IFERROR(__xludf.DUMMYFUNCTION("""COMPUTED_VALUE"""),"Yes")</f>
        <v>Yes</v>
      </c>
      <c r="V201" s="5" t="str">
        <f>IFERROR(__xludf.DUMMYFUNCTION("""COMPUTED_VALUE"""),"Yes")</f>
        <v>Yes</v>
      </c>
      <c r="W201" s="5" t="str">
        <f>IFERROR(__xludf.DUMMYFUNCTION("""COMPUTED_VALUE"""),"Yes")</f>
        <v>Yes</v>
      </c>
      <c r="X201" s="5" t="str">
        <f>IFERROR(__xludf.DUMMYFUNCTION("""COMPUTED_VALUE"""),"Yes")</f>
        <v>Yes</v>
      </c>
      <c r="Y201" s="5" t="str">
        <f>IFERROR(__xludf.DUMMYFUNCTION("""COMPUTED_VALUE"""),"Yes")</f>
        <v>Yes</v>
      </c>
      <c r="Z201" s="5" t="str">
        <f>IFERROR(__xludf.DUMMYFUNCTION("""COMPUTED_VALUE"""),"Yes")</f>
        <v>Yes</v>
      </c>
      <c r="AA201" s="5" t="str">
        <f>IFERROR(__xludf.DUMMYFUNCTION("""COMPUTED_VALUE"""),"Yes")</f>
        <v>Yes</v>
      </c>
      <c r="AB201" s="5" t="str">
        <f>IFERROR(__xludf.DUMMYFUNCTION("""COMPUTED_VALUE"""),"Yes")</f>
        <v>Yes</v>
      </c>
      <c r="AC201" s="5" t="str">
        <f>IFERROR(__xludf.DUMMYFUNCTION("""COMPUTED_VALUE"""),"No")</f>
        <v>No</v>
      </c>
    </row>
    <row r="202">
      <c r="A202" s="5" t="str">
        <f>IFERROR(__xludf.DUMMYFUNCTION("""COMPUTED_VALUE"""),"UnicornDaVincisDice")</f>
        <v>UnicornDaVincisDice</v>
      </c>
      <c r="B2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2" s="5" t="str">
        <f>IFERROR(__xludf.DUMMYFUNCTION("""COMPUTED_VALUE"""),"Yes")</f>
        <v>Yes</v>
      </c>
      <c r="D202" s="5" t="str">
        <f>IFERROR(__xludf.DUMMYFUNCTION("""COMPUTED_VALUE"""),"Yes")</f>
        <v>Yes</v>
      </c>
      <c r="E202" s="5" t="str">
        <f>IFERROR(__xludf.DUMMYFUNCTION("""COMPUTED_VALUE"""),"Yes")</f>
        <v>Yes</v>
      </c>
      <c r="F202" s="5" t="str">
        <f>IFERROR(__xludf.DUMMYFUNCTION("""COMPUTED_VALUE"""),"Yes")</f>
        <v>Yes</v>
      </c>
      <c r="G202" s="5" t="str">
        <f>IFERROR(__xludf.DUMMYFUNCTION("""COMPUTED_VALUE"""),"Yes")</f>
        <v>Yes</v>
      </c>
      <c r="H202" s="5" t="str">
        <f>IFERROR(__xludf.DUMMYFUNCTION("""COMPUTED_VALUE"""),"Yes")</f>
        <v>Yes</v>
      </c>
      <c r="I202" s="5" t="str">
        <f>IFERROR(__xludf.DUMMYFUNCTION("""COMPUTED_VALUE"""),"Yes")</f>
        <v>Yes</v>
      </c>
      <c r="J202" s="5" t="str">
        <f>IFERROR(__xludf.DUMMYFUNCTION("""COMPUTED_VALUE"""),"Yes")</f>
        <v>Yes</v>
      </c>
      <c r="K202" s="5" t="str">
        <f>IFERROR(__xludf.DUMMYFUNCTION("""COMPUTED_VALUE"""),"Yes")</f>
        <v>Yes</v>
      </c>
      <c r="L202" s="5" t="str">
        <f>IFERROR(__xludf.DUMMYFUNCTION("""COMPUTED_VALUE"""),"Yes")</f>
        <v>Yes</v>
      </c>
      <c r="M202" s="5" t="str">
        <f>IFERROR(__xludf.DUMMYFUNCTION("""COMPUTED_VALUE"""),"Yes")</f>
        <v>Yes</v>
      </c>
      <c r="N202" s="5" t="str">
        <f>IFERROR(__xludf.DUMMYFUNCTION("""COMPUTED_VALUE"""),"Yes")</f>
        <v>Yes</v>
      </c>
      <c r="O202" s="5" t="str">
        <f>IFERROR(__xludf.DUMMYFUNCTION("""COMPUTED_VALUE"""),"Yes")</f>
        <v>Yes</v>
      </c>
      <c r="P202" s="5" t="str">
        <f>IFERROR(__xludf.DUMMYFUNCTION("""COMPUTED_VALUE"""),"Yes")</f>
        <v>Yes</v>
      </c>
      <c r="Q202" s="5" t="str">
        <f>IFERROR(__xludf.DUMMYFUNCTION("""COMPUTED_VALUE"""),"Yes")</f>
        <v>Yes</v>
      </c>
      <c r="R202" s="5" t="str">
        <f>IFERROR(__xludf.DUMMYFUNCTION("""COMPUTED_VALUE"""),"Yes")</f>
        <v>Yes</v>
      </c>
      <c r="S202" s="5" t="str">
        <f>IFERROR(__xludf.DUMMYFUNCTION("""COMPUTED_VALUE"""),"Yes")</f>
        <v>Yes</v>
      </c>
      <c r="T202" s="5" t="str">
        <f>IFERROR(__xludf.DUMMYFUNCTION("""COMPUTED_VALUE"""),"Yes")</f>
        <v>Yes</v>
      </c>
      <c r="U202" s="5" t="str">
        <f>IFERROR(__xludf.DUMMYFUNCTION("""COMPUTED_VALUE"""),"Yes")</f>
        <v>Yes</v>
      </c>
      <c r="V202" s="5" t="str">
        <f>IFERROR(__xludf.DUMMYFUNCTION("""COMPUTED_VALUE"""),"Yes")</f>
        <v>Yes</v>
      </c>
      <c r="W202" s="5" t="str">
        <f>IFERROR(__xludf.DUMMYFUNCTION("""COMPUTED_VALUE"""),"Yes")</f>
        <v>Yes</v>
      </c>
      <c r="X202" s="5" t="str">
        <f>IFERROR(__xludf.DUMMYFUNCTION("""COMPUTED_VALUE"""),"Yes")</f>
        <v>Yes</v>
      </c>
      <c r="Y202" s="5" t="str">
        <f>IFERROR(__xludf.DUMMYFUNCTION("""COMPUTED_VALUE"""),"Yes")</f>
        <v>Yes</v>
      </c>
      <c r="Z202" s="5" t="str">
        <f>IFERROR(__xludf.DUMMYFUNCTION("""COMPUTED_VALUE"""),"Yes")</f>
        <v>Yes</v>
      </c>
      <c r="AA202" s="5" t="str">
        <f>IFERROR(__xludf.DUMMYFUNCTION("""COMPUTED_VALUE"""),"Yes")</f>
        <v>Yes</v>
      </c>
      <c r="AB202" s="5" t="str">
        <f>IFERROR(__xludf.DUMMYFUNCTION("""COMPUTED_VALUE"""),"Yes")</f>
        <v>Yes</v>
      </c>
      <c r="AC202" s="5"/>
    </row>
    <row r="203">
      <c r="A203" s="5" t="str">
        <f>IFERROR(__xludf.DUMMYFUNCTION("""COMPUTED_VALUE"""),"UnicornWinterFruits")</f>
        <v>UnicornWinterFruits</v>
      </c>
      <c r="B20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03" s="5" t="str">
        <f>IFERROR(__xludf.DUMMYFUNCTION("""COMPUTED_VALUE"""),"Yes")</f>
        <v>Yes</v>
      </c>
      <c r="D203" s="5" t="str">
        <f>IFERROR(__xludf.DUMMYFUNCTION("""COMPUTED_VALUE"""),"Yes")</f>
        <v>Yes</v>
      </c>
      <c r="E203" s="5" t="str">
        <f>IFERROR(__xludf.DUMMYFUNCTION("""COMPUTED_VALUE"""),"Yes")</f>
        <v>Yes</v>
      </c>
      <c r="F203" s="5" t="str">
        <f>IFERROR(__xludf.DUMMYFUNCTION("""COMPUTED_VALUE"""),"No")</f>
        <v>No</v>
      </c>
      <c r="G203" s="5" t="str">
        <f>IFERROR(__xludf.DUMMYFUNCTION("""COMPUTED_VALUE"""),"No")</f>
        <v>No</v>
      </c>
      <c r="H203" s="5" t="str">
        <f>IFERROR(__xludf.DUMMYFUNCTION("""COMPUTED_VALUE"""),"No")</f>
        <v>No</v>
      </c>
      <c r="I203" s="5" t="str">
        <f>IFERROR(__xludf.DUMMYFUNCTION("""COMPUTED_VALUE"""),"No")</f>
        <v>No</v>
      </c>
      <c r="J203" s="5" t="str">
        <f>IFERROR(__xludf.DUMMYFUNCTION("""COMPUTED_VALUE"""),"No")</f>
        <v>No</v>
      </c>
      <c r="K203" s="5" t="str">
        <f>IFERROR(__xludf.DUMMYFUNCTION("""COMPUTED_VALUE"""),"Yes")</f>
        <v>Yes</v>
      </c>
      <c r="L203" s="5" t="str">
        <f>IFERROR(__xludf.DUMMYFUNCTION("""COMPUTED_VALUE"""),"Yes")</f>
        <v>Yes</v>
      </c>
      <c r="M203" s="5" t="str">
        <f>IFERROR(__xludf.DUMMYFUNCTION("""COMPUTED_VALUE"""),"Yes")</f>
        <v>Yes</v>
      </c>
      <c r="N203" s="5" t="str">
        <f>IFERROR(__xludf.DUMMYFUNCTION("""COMPUTED_VALUE"""),"Yes")</f>
        <v>Yes</v>
      </c>
      <c r="O203" s="5" t="str">
        <f>IFERROR(__xludf.DUMMYFUNCTION("""COMPUTED_VALUE"""),"Yes")</f>
        <v>Yes</v>
      </c>
      <c r="P203" s="5" t="str">
        <f>IFERROR(__xludf.DUMMYFUNCTION("""COMPUTED_VALUE"""),"No")</f>
        <v>No</v>
      </c>
      <c r="Q203" s="5" t="str">
        <f>IFERROR(__xludf.DUMMYFUNCTION("""COMPUTED_VALUE"""),"Yes")</f>
        <v>Yes</v>
      </c>
      <c r="R203" s="5" t="str">
        <f>IFERROR(__xludf.DUMMYFUNCTION("""COMPUTED_VALUE"""),"No")</f>
        <v>No</v>
      </c>
      <c r="S203" s="5" t="str">
        <f>IFERROR(__xludf.DUMMYFUNCTION("""COMPUTED_VALUE"""),"No")</f>
        <v>No</v>
      </c>
      <c r="T203" s="5" t="str">
        <f>IFERROR(__xludf.DUMMYFUNCTION("""COMPUTED_VALUE"""),"No")</f>
        <v>No</v>
      </c>
      <c r="U203" s="5" t="str">
        <f>IFERROR(__xludf.DUMMYFUNCTION("""COMPUTED_VALUE"""),"No")</f>
        <v>No</v>
      </c>
      <c r="V203" s="5" t="str">
        <f>IFERROR(__xludf.DUMMYFUNCTION("""COMPUTED_VALUE"""),"No")</f>
        <v>No</v>
      </c>
      <c r="W203" s="5"/>
      <c r="X203" s="5"/>
      <c r="Y203" s="5"/>
      <c r="Z203" s="5" t="str">
        <f>IFERROR(__xludf.DUMMYFUNCTION("""COMPUTED_VALUE"""),"No")</f>
        <v>No</v>
      </c>
      <c r="AA203" s="5"/>
      <c r="AB203" s="5"/>
      <c r="AC203" s="5"/>
    </row>
    <row r="204">
      <c r="A204" s="5" t="str">
        <f>IFERROR(__xludf.DUMMYFUNCTION("""COMPUTED_VALUE"""),"CrystalHot40Christmas")</f>
        <v>CrystalHot40Christmas</v>
      </c>
      <c r="B2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4" s="5" t="str">
        <f>IFERROR(__xludf.DUMMYFUNCTION("""COMPUTED_VALUE"""),"Yes")</f>
        <v>Yes</v>
      </c>
      <c r="D204" s="5" t="str">
        <f>IFERROR(__xludf.DUMMYFUNCTION("""COMPUTED_VALUE"""),"Yes")</f>
        <v>Yes</v>
      </c>
      <c r="E204" s="5" t="str">
        <f>IFERROR(__xludf.DUMMYFUNCTION("""COMPUTED_VALUE"""),"Yes")</f>
        <v>Yes</v>
      </c>
      <c r="F204" s="5" t="str">
        <f>IFERROR(__xludf.DUMMYFUNCTION("""COMPUTED_VALUE"""),"Yes")</f>
        <v>Yes</v>
      </c>
      <c r="G204" s="5" t="str">
        <f>IFERROR(__xludf.DUMMYFUNCTION("""COMPUTED_VALUE"""),"Yes")</f>
        <v>Yes</v>
      </c>
      <c r="H204" s="5" t="str">
        <f>IFERROR(__xludf.DUMMYFUNCTION("""COMPUTED_VALUE"""),"Yes")</f>
        <v>Yes</v>
      </c>
      <c r="I204" s="5" t="str">
        <f>IFERROR(__xludf.DUMMYFUNCTION("""COMPUTED_VALUE"""),"Yes")</f>
        <v>Yes</v>
      </c>
      <c r="J204" s="5" t="str">
        <f>IFERROR(__xludf.DUMMYFUNCTION("""COMPUTED_VALUE"""),"Yes")</f>
        <v>Yes</v>
      </c>
      <c r="K204" s="5" t="str">
        <f>IFERROR(__xludf.DUMMYFUNCTION("""COMPUTED_VALUE"""),"Yes")</f>
        <v>Yes</v>
      </c>
      <c r="L204" s="5" t="str">
        <f>IFERROR(__xludf.DUMMYFUNCTION("""COMPUTED_VALUE"""),"Yes")</f>
        <v>Yes</v>
      </c>
      <c r="M204" s="5" t="str">
        <f>IFERROR(__xludf.DUMMYFUNCTION("""COMPUTED_VALUE"""),"Yes")</f>
        <v>Yes</v>
      </c>
      <c r="N204" s="5" t="str">
        <f>IFERROR(__xludf.DUMMYFUNCTION("""COMPUTED_VALUE"""),"Yes")</f>
        <v>Yes</v>
      </c>
      <c r="O204" s="5" t="str">
        <f>IFERROR(__xludf.DUMMYFUNCTION("""COMPUTED_VALUE"""),"Yes")</f>
        <v>Yes</v>
      </c>
      <c r="P204" s="5" t="str">
        <f>IFERROR(__xludf.DUMMYFUNCTION("""COMPUTED_VALUE"""),"Yes")</f>
        <v>Yes</v>
      </c>
      <c r="Q204" s="5" t="str">
        <f>IFERROR(__xludf.DUMMYFUNCTION("""COMPUTED_VALUE"""),"Yes")</f>
        <v>Yes</v>
      </c>
      <c r="R204" s="5" t="str">
        <f>IFERROR(__xludf.DUMMYFUNCTION("""COMPUTED_VALUE"""),"Yes")</f>
        <v>Yes</v>
      </c>
      <c r="S204" s="5" t="str">
        <f>IFERROR(__xludf.DUMMYFUNCTION("""COMPUTED_VALUE"""),"Yes")</f>
        <v>Yes</v>
      </c>
      <c r="T204" s="5" t="str">
        <f>IFERROR(__xludf.DUMMYFUNCTION("""COMPUTED_VALUE"""),"Yes")</f>
        <v>Yes</v>
      </c>
      <c r="U204" s="5" t="str">
        <f>IFERROR(__xludf.DUMMYFUNCTION("""COMPUTED_VALUE"""),"Yes")</f>
        <v>Yes</v>
      </c>
      <c r="V204" s="5" t="str">
        <f>IFERROR(__xludf.DUMMYFUNCTION("""COMPUTED_VALUE"""),"Yes")</f>
        <v>Yes</v>
      </c>
      <c r="W204" s="5" t="str">
        <f>IFERROR(__xludf.DUMMYFUNCTION("""COMPUTED_VALUE"""),"Yes")</f>
        <v>Yes</v>
      </c>
      <c r="X204" s="5" t="str">
        <f>IFERROR(__xludf.DUMMYFUNCTION("""COMPUTED_VALUE"""),"Yes")</f>
        <v>Yes</v>
      </c>
      <c r="Y204" s="5" t="str">
        <f>IFERROR(__xludf.DUMMYFUNCTION("""COMPUTED_VALUE"""),"Yes")</f>
        <v>Yes</v>
      </c>
      <c r="Z204" s="5" t="str">
        <f>IFERROR(__xludf.DUMMYFUNCTION("""COMPUTED_VALUE"""),"Yes")</f>
        <v>Yes</v>
      </c>
      <c r="AA204" s="5" t="str">
        <f>IFERROR(__xludf.DUMMYFUNCTION("""COMPUTED_VALUE"""),"Yes")</f>
        <v>Yes</v>
      </c>
      <c r="AB204" s="5" t="str">
        <f>IFERROR(__xludf.DUMMYFUNCTION("""COMPUTED_VALUE"""),"Yes")</f>
        <v>Yes</v>
      </c>
      <c r="AC204" s="5" t="str">
        <f>IFERROR(__xludf.DUMMYFUNCTION("""COMPUTED_VALUE"""),"No")</f>
        <v>No</v>
      </c>
    </row>
    <row r="205">
      <c r="A205" s="5" t="str">
        <f>IFERROR(__xludf.DUMMYFUNCTION("""COMPUTED_VALUE"""),"FruitsAndStarsChristmas")</f>
        <v>FruitsAndStarsChristmas</v>
      </c>
      <c r="B2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5" s="5" t="str">
        <f>IFERROR(__xludf.DUMMYFUNCTION("""COMPUTED_VALUE"""),"Yes")</f>
        <v>Yes</v>
      </c>
      <c r="D205" s="5" t="str">
        <f>IFERROR(__xludf.DUMMYFUNCTION("""COMPUTED_VALUE"""),"Yes")</f>
        <v>Yes</v>
      </c>
      <c r="E205" s="5" t="str">
        <f>IFERROR(__xludf.DUMMYFUNCTION("""COMPUTED_VALUE"""),"Yes")</f>
        <v>Yes</v>
      </c>
      <c r="F205" s="5" t="str">
        <f>IFERROR(__xludf.DUMMYFUNCTION("""COMPUTED_VALUE"""),"Yes")</f>
        <v>Yes</v>
      </c>
      <c r="G205" s="5" t="str">
        <f>IFERROR(__xludf.DUMMYFUNCTION("""COMPUTED_VALUE"""),"Yes")</f>
        <v>Yes</v>
      </c>
      <c r="H205" s="5" t="str">
        <f>IFERROR(__xludf.DUMMYFUNCTION("""COMPUTED_VALUE"""),"Yes")</f>
        <v>Yes</v>
      </c>
      <c r="I205" s="5" t="str">
        <f>IFERROR(__xludf.DUMMYFUNCTION("""COMPUTED_VALUE"""),"Yes")</f>
        <v>Yes</v>
      </c>
      <c r="J205" s="5" t="str">
        <f>IFERROR(__xludf.DUMMYFUNCTION("""COMPUTED_VALUE"""),"Yes")</f>
        <v>Yes</v>
      </c>
      <c r="K205" s="5" t="str">
        <f>IFERROR(__xludf.DUMMYFUNCTION("""COMPUTED_VALUE"""),"Yes")</f>
        <v>Yes</v>
      </c>
      <c r="L205" s="5" t="str">
        <f>IFERROR(__xludf.DUMMYFUNCTION("""COMPUTED_VALUE"""),"Yes")</f>
        <v>Yes</v>
      </c>
      <c r="M205" s="5" t="str">
        <f>IFERROR(__xludf.DUMMYFUNCTION("""COMPUTED_VALUE"""),"Yes")</f>
        <v>Yes</v>
      </c>
      <c r="N205" s="5" t="str">
        <f>IFERROR(__xludf.DUMMYFUNCTION("""COMPUTED_VALUE"""),"Yes")</f>
        <v>Yes</v>
      </c>
      <c r="O205" s="5" t="str">
        <f>IFERROR(__xludf.DUMMYFUNCTION("""COMPUTED_VALUE"""),"Yes")</f>
        <v>Yes</v>
      </c>
      <c r="P205" s="5" t="str">
        <f>IFERROR(__xludf.DUMMYFUNCTION("""COMPUTED_VALUE"""),"Yes")</f>
        <v>Yes</v>
      </c>
      <c r="Q205" s="5" t="str">
        <f>IFERROR(__xludf.DUMMYFUNCTION("""COMPUTED_VALUE"""),"Yes")</f>
        <v>Yes</v>
      </c>
      <c r="R205" s="5" t="str">
        <f>IFERROR(__xludf.DUMMYFUNCTION("""COMPUTED_VALUE"""),"Yes")</f>
        <v>Yes</v>
      </c>
      <c r="S205" s="5" t="str">
        <f>IFERROR(__xludf.DUMMYFUNCTION("""COMPUTED_VALUE"""),"Yes")</f>
        <v>Yes</v>
      </c>
      <c r="T205" s="5" t="str">
        <f>IFERROR(__xludf.DUMMYFUNCTION("""COMPUTED_VALUE"""),"Yes")</f>
        <v>Yes</v>
      </c>
      <c r="U205" s="5" t="str">
        <f>IFERROR(__xludf.DUMMYFUNCTION("""COMPUTED_VALUE"""),"Yes")</f>
        <v>Yes</v>
      </c>
      <c r="V205" s="5" t="str">
        <f>IFERROR(__xludf.DUMMYFUNCTION("""COMPUTED_VALUE"""),"Yes")</f>
        <v>Yes</v>
      </c>
      <c r="W205" s="5" t="str">
        <f>IFERROR(__xludf.DUMMYFUNCTION("""COMPUTED_VALUE"""),"Yes")</f>
        <v>Yes</v>
      </c>
      <c r="X205" s="5" t="str">
        <f>IFERROR(__xludf.DUMMYFUNCTION("""COMPUTED_VALUE"""),"Yes")</f>
        <v>Yes</v>
      </c>
      <c r="Y205" s="5" t="str">
        <f>IFERROR(__xludf.DUMMYFUNCTION("""COMPUTED_VALUE"""),"Yes")</f>
        <v>Yes</v>
      </c>
      <c r="Z205" s="5" t="str">
        <f>IFERROR(__xludf.DUMMYFUNCTION("""COMPUTED_VALUE"""),"Yes")</f>
        <v>Yes</v>
      </c>
      <c r="AA205" s="5" t="str">
        <f>IFERROR(__xludf.DUMMYFUNCTION("""COMPUTED_VALUE"""),"Yes")</f>
        <v>Yes</v>
      </c>
      <c r="AB205" s="5" t="str">
        <f>IFERROR(__xludf.DUMMYFUNCTION("""COMPUTED_VALUE"""),"Yes")</f>
        <v>Yes</v>
      </c>
      <c r="AC205" s="5" t="str">
        <f>IFERROR(__xludf.DUMMYFUNCTION("""COMPUTED_VALUE"""),"No")</f>
        <v>No</v>
      </c>
    </row>
    <row r="206">
      <c r="A206" s="5" t="str">
        <f>IFERROR(__xludf.DUMMYFUNCTION("""COMPUTED_VALUE"""),"HotStarsChristmas")</f>
        <v>HotStarsChristmas</v>
      </c>
      <c r="B2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6" s="5" t="str">
        <f>IFERROR(__xludf.DUMMYFUNCTION("""COMPUTED_VALUE"""),"Yes")</f>
        <v>Yes</v>
      </c>
      <c r="D206" s="5" t="str">
        <f>IFERROR(__xludf.DUMMYFUNCTION("""COMPUTED_VALUE"""),"Yes")</f>
        <v>Yes</v>
      </c>
      <c r="E206" s="5" t="str">
        <f>IFERROR(__xludf.DUMMYFUNCTION("""COMPUTED_VALUE"""),"Yes")</f>
        <v>Yes</v>
      </c>
      <c r="F206" s="5" t="str">
        <f>IFERROR(__xludf.DUMMYFUNCTION("""COMPUTED_VALUE"""),"Yes")</f>
        <v>Yes</v>
      </c>
      <c r="G206" s="5" t="str">
        <f>IFERROR(__xludf.DUMMYFUNCTION("""COMPUTED_VALUE"""),"Yes")</f>
        <v>Yes</v>
      </c>
      <c r="H206" s="5" t="str">
        <f>IFERROR(__xludf.DUMMYFUNCTION("""COMPUTED_VALUE"""),"Yes")</f>
        <v>Yes</v>
      </c>
      <c r="I206" s="5" t="str">
        <f>IFERROR(__xludf.DUMMYFUNCTION("""COMPUTED_VALUE"""),"Yes")</f>
        <v>Yes</v>
      </c>
      <c r="J206" s="5" t="str">
        <f>IFERROR(__xludf.DUMMYFUNCTION("""COMPUTED_VALUE"""),"Yes")</f>
        <v>Yes</v>
      </c>
      <c r="K206" s="5" t="str">
        <f>IFERROR(__xludf.DUMMYFUNCTION("""COMPUTED_VALUE"""),"Yes")</f>
        <v>Yes</v>
      </c>
      <c r="L206" s="5" t="str">
        <f>IFERROR(__xludf.DUMMYFUNCTION("""COMPUTED_VALUE"""),"Yes")</f>
        <v>Yes</v>
      </c>
      <c r="M206" s="5" t="str">
        <f>IFERROR(__xludf.DUMMYFUNCTION("""COMPUTED_VALUE"""),"Yes")</f>
        <v>Yes</v>
      </c>
      <c r="N206" s="5" t="str">
        <f>IFERROR(__xludf.DUMMYFUNCTION("""COMPUTED_VALUE"""),"Yes")</f>
        <v>Yes</v>
      </c>
      <c r="O206" s="5" t="str">
        <f>IFERROR(__xludf.DUMMYFUNCTION("""COMPUTED_VALUE"""),"Yes")</f>
        <v>Yes</v>
      </c>
      <c r="P206" s="5" t="str">
        <f>IFERROR(__xludf.DUMMYFUNCTION("""COMPUTED_VALUE"""),"Yes")</f>
        <v>Yes</v>
      </c>
      <c r="Q206" s="5" t="str">
        <f>IFERROR(__xludf.DUMMYFUNCTION("""COMPUTED_VALUE"""),"Yes")</f>
        <v>Yes</v>
      </c>
      <c r="R206" s="5" t="str">
        <f>IFERROR(__xludf.DUMMYFUNCTION("""COMPUTED_VALUE"""),"Yes")</f>
        <v>Yes</v>
      </c>
      <c r="S206" s="5" t="str">
        <f>IFERROR(__xludf.DUMMYFUNCTION("""COMPUTED_VALUE"""),"Yes")</f>
        <v>Yes</v>
      </c>
      <c r="T206" s="5" t="str">
        <f>IFERROR(__xludf.DUMMYFUNCTION("""COMPUTED_VALUE"""),"Yes")</f>
        <v>Yes</v>
      </c>
      <c r="U206" s="5" t="str">
        <f>IFERROR(__xludf.DUMMYFUNCTION("""COMPUTED_VALUE"""),"Yes")</f>
        <v>Yes</v>
      </c>
      <c r="V206" s="5" t="str">
        <f>IFERROR(__xludf.DUMMYFUNCTION("""COMPUTED_VALUE"""),"Yes")</f>
        <v>Yes</v>
      </c>
      <c r="W206" s="5" t="str">
        <f>IFERROR(__xludf.DUMMYFUNCTION("""COMPUTED_VALUE"""),"Yes")</f>
        <v>Yes</v>
      </c>
      <c r="X206" s="5" t="str">
        <f>IFERROR(__xludf.DUMMYFUNCTION("""COMPUTED_VALUE"""),"Yes")</f>
        <v>Yes</v>
      </c>
      <c r="Y206" s="5" t="str">
        <f>IFERROR(__xludf.DUMMYFUNCTION("""COMPUTED_VALUE"""),"Yes")</f>
        <v>Yes</v>
      </c>
      <c r="Z206" s="5" t="str">
        <f>IFERROR(__xludf.DUMMYFUNCTION("""COMPUTED_VALUE"""),"Yes")</f>
        <v>Yes</v>
      </c>
      <c r="AA206" s="5" t="str">
        <f>IFERROR(__xludf.DUMMYFUNCTION("""COMPUTED_VALUE"""),"Yes")</f>
        <v>Yes</v>
      </c>
      <c r="AB206" s="5" t="str">
        <f>IFERROR(__xludf.DUMMYFUNCTION("""COMPUTED_VALUE"""),"Yes")</f>
        <v>Yes</v>
      </c>
      <c r="AC206" s="5" t="str">
        <f>IFERROR(__xludf.DUMMYFUNCTION("""COMPUTED_VALUE"""),"No")</f>
        <v>No</v>
      </c>
    </row>
    <row r="207">
      <c r="A207" s="5" t="str">
        <f>IFERROR(__xludf.DUMMYFUNCTION("""COMPUTED_VALUE"""),"TurboHot40Christmas")</f>
        <v>TurboHot40Christmas</v>
      </c>
      <c r="B2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7" s="5" t="str">
        <f>IFERROR(__xludf.DUMMYFUNCTION("""COMPUTED_VALUE"""),"Yes")</f>
        <v>Yes</v>
      </c>
      <c r="D207" s="5" t="str">
        <f>IFERROR(__xludf.DUMMYFUNCTION("""COMPUTED_VALUE"""),"Yes")</f>
        <v>Yes</v>
      </c>
      <c r="E207" s="5" t="str">
        <f>IFERROR(__xludf.DUMMYFUNCTION("""COMPUTED_VALUE"""),"Yes")</f>
        <v>Yes</v>
      </c>
      <c r="F207" s="5" t="str">
        <f>IFERROR(__xludf.DUMMYFUNCTION("""COMPUTED_VALUE"""),"Yes")</f>
        <v>Yes</v>
      </c>
      <c r="G207" s="5" t="str">
        <f>IFERROR(__xludf.DUMMYFUNCTION("""COMPUTED_VALUE"""),"Yes")</f>
        <v>Yes</v>
      </c>
      <c r="H207" s="5" t="str">
        <f>IFERROR(__xludf.DUMMYFUNCTION("""COMPUTED_VALUE"""),"Yes")</f>
        <v>Yes</v>
      </c>
      <c r="I207" s="5" t="str">
        <f>IFERROR(__xludf.DUMMYFUNCTION("""COMPUTED_VALUE"""),"Yes")</f>
        <v>Yes</v>
      </c>
      <c r="J207" s="5" t="str">
        <f>IFERROR(__xludf.DUMMYFUNCTION("""COMPUTED_VALUE"""),"Yes")</f>
        <v>Yes</v>
      </c>
      <c r="K207" s="5" t="str">
        <f>IFERROR(__xludf.DUMMYFUNCTION("""COMPUTED_VALUE"""),"Yes")</f>
        <v>Yes</v>
      </c>
      <c r="L207" s="5" t="str">
        <f>IFERROR(__xludf.DUMMYFUNCTION("""COMPUTED_VALUE"""),"Yes")</f>
        <v>Yes</v>
      </c>
      <c r="M207" s="5" t="str">
        <f>IFERROR(__xludf.DUMMYFUNCTION("""COMPUTED_VALUE"""),"Yes")</f>
        <v>Yes</v>
      </c>
      <c r="N207" s="5" t="str">
        <f>IFERROR(__xludf.DUMMYFUNCTION("""COMPUTED_VALUE"""),"Yes")</f>
        <v>Yes</v>
      </c>
      <c r="O207" s="5" t="str">
        <f>IFERROR(__xludf.DUMMYFUNCTION("""COMPUTED_VALUE"""),"Yes")</f>
        <v>Yes</v>
      </c>
      <c r="P207" s="5" t="str">
        <f>IFERROR(__xludf.DUMMYFUNCTION("""COMPUTED_VALUE"""),"Yes")</f>
        <v>Yes</v>
      </c>
      <c r="Q207" s="5" t="str">
        <f>IFERROR(__xludf.DUMMYFUNCTION("""COMPUTED_VALUE"""),"Yes")</f>
        <v>Yes</v>
      </c>
      <c r="R207" s="5" t="str">
        <f>IFERROR(__xludf.DUMMYFUNCTION("""COMPUTED_VALUE"""),"Yes")</f>
        <v>Yes</v>
      </c>
      <c r="S207" s="5" t="str">
        <f>IFERROR(__xludf.DUMMYFUNCTION("""COMPUTED_VALUE"""),"Yes")</f>
        <v>Yes</v>
      </c>
      <c r="T207" s="5" t="str">
        <f>IFERROR(__xludf.DUMMYFUNCTION("""COMPUTED_VALUE"""),"Yes")</f>
        <v>Yes</v>
      </c>
      <c r="U207" s="5" t="str">
        <f>IFERROR(__xludf.DUMMYFUNCTION("""COMPUTED_VALUE"""),"Yes")</f>
        <v>Yes</v>
      </c>
      <c r="V207" s="5" t="str">
        <f>IFERROR(__xludf.DUMMYFUNCTION("""COMPUTED_VALUE"""),"Yes")</f>
        <v>Yes</v>
      </c>
      <c r="W207" s="5" t="str">
        <f>IFERROR(__xludf.DUMMYFUNCTION("""COMPUTED_VALUE"""),"Yes")</f>
        <v>Yes</v>
      </c>
      <c r="X207" s="5" t="str">
        <f>IFERROR(__xludf.DUMMYFUNCTION("""COMPUTED_VALUE"""),"Yes")</f>
        <v>Yes</v>
      </c>
      <c r="Y207" s="5" t="str">
        <f>IFERROR(__xludf.DUMMYFUNCTION("""COMPUTED_VALUE"""),"Yes")</f>
        <v>Yes</v>
      </c>
      <c r="Z207" s="5" t="str">
        <f>IFERROR(__xludf.DUMMYFUNCTION("""COMPUTED_VALUE"""),"Yes")</f>
        <v>Yes</v>
      </c>
      <c r="AA207" s="5" t="str">
        <f>IFERROR(__xludf.DUMMYFUNCTION("""COMPUTED_VALUE"""),"Yes")</f>
        <v>Yes</v>
      </c>
      <c r="AB207" s="5" t="str">
        <f>IFERROR(__xludf.DUMMYFUNCTION("""COMPUTED_VALUE"""),"Yes")</f>
        <v>Yes</v>
      </c>
      <c r="AC207" s="5" t="str">
        <f>IFERROR(__xludf.DUMMYFUNCTION("""COMPUTED_VALUE"""),"No")</f>
        <v>No</v>
      </c>
    </row>
    <row r="208">
      <c r="A208" s="5" t="str">
        <f>IFERROR(__xludf.DUMMYFUNCTION("""COMPUTED_VALUE"""),"Retro7HotChristmas")</f>
        <v>Retro7HotChristmas</v>
      </c>
      <c r="B2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8" s="5" t="str">
        <f>IFERROR(__xludf.DUMMYFUNCTION("""COMPUTED_VALUE"""),"Yes")</f>
        <v>Yes</v>
      </c>
      <c r="D208" s="5" t="str">
        <f>IFERROR(__xludf.DUMMYFUNCTION("""COMPUTED_VALUE"""),"Yes")</f>
        <v>Yes</v>
      </c>
      <c r="E208" s="5" t="str">
        <f>IFERROR(__xludf.DUMMYFUNCTION("""COMPUTED_VALUE"""),"Yes")</f>
        <v>Yes</v>
      </c>
      <c r="F208" s="5" t="str">
        <f>IFERROR(__xludf.DUMMYFUNCTION("""COMPUTED_VALUE"""),"Yes")</f>
        <v>Yes</v>
      </c>
      <c r="G208" s="5" t="str">
        <f>IFERROR(__xludf.DUMMYFUNCTION("""COMPUTED_VALUE"""),"Yes")</f>
        <v>Yes</v>
      </c>
      <c r="H208" s="5" t="str">
        <f>IFERROR(__xludf.DUMMYFUNCTION("""COMPUTED_VALUE"""),"Yes")</f>
        <v>Yes</v>
      </c>
      <c r="I208" s="5" t="str">
        <f>IFERROR(__xludf.DUMMYFUNCTION("""COMPUTED_VALUE"""),"Yes")</f>
        <v>Yes</v>
      </c>
      <c r="J208" s="5" t="str">
        <f>IFERROR(__xludf.DUMMYFUNCTION("""COMPUTED_VALUE"""),"Yes")</f>
        <v>Yes</v>
      </c>
      <c r="K208" s="5" t="str">
        <f>IFERROR(__xludf.DUMMYFUNCTION("""COMPUTED_VALUE"""),"Yes")</f>
        <v>Yes</v>
      </c>
      <c r="L208" s="5" t="str">
        <f>IFERROR(__xludf.DUMMYFUNCTION("""COMPUTED_VALUE"""),"Yes")</f>
        <v>Yes</v>
      </c>
      <c r="M208" s="5" t="str">
        <f>IFERROR(__xludf.DUMMYFUNCTION("""COMPUTED_VALUE"""),"Yes")</f>
        <v>Yes</v>
      </c>
      <c r="N208" s="5" t="str">
        <f>IFERROR(__xludf.DUMMYFUNCTION("""COMPUTED_VALUE"""),"Yes")</f>
        <v>Yes</v>
      </c>
      <c r="O208" s="5" t="str">
        <f>IFERROR(__xludf.DUMMYFUNCTION("""COMPUTED_VALUE"""),"Yes")</f>
        <v>Yes</v>
      </c>
      <c r="P208" s="5" t="str">
        <f>IFERROR(__xludf.DUMMYFUNCTION("""COMPUTED_VALUE"""),"Yes")</f>
        <v>Yes</v>
      </c>
      <c r="Q208" s="5" t="str">
        <f>IFERROR(__xludf.DUMMYFUNCTION("""COMPUTED_VALUE"""),"Yes")</f>
        <v>Yes</v>
      </c>
      <c r="R208" s="5" t="str">
        <f>IFERROR(__xludf.DUMMYFUNCTION("""COMPUTED_VALUE"""),"Yes")</f>
        <v>Yes</v>
      </c>
      <c r="S208" s="5" t="str">
        <f>IFERROR(__xludf.DUMMYFUNCTION("""COMPUTED_VALUE"""),"Yes")</f>
        <v>Yes</v>
      </c>
      <c r="T208" s="5" t="str">
        <f>IFERROR(__xludf.DUMMYFUNCTION("""COMPUTED_VALUE"""),"Yes")</f>
        <v>Yes</v>
      </c>
      <c r="U208" s="5" t="str">
        <f>IFERROR(__xludf.DUMMYFUNCTION("""COMPUTED_VALUE"""),"Yes")</f>
        <v>Yes</v>
      </c>
      <c r="V208" s="5" t="str">
        <f>IFERROR(__xludf.DUMMYFUNCTION("""COMPUTED_VALUE"""),"Yes")</f>
        <v>Yes</v>
      </c>
      <c r="W208" s="5" t="str">
        <f>IFERROR(__xludf.DUMMYFUNCTION("""COMPUTED_VALUE"""),"Yes")</f>
        <v>Yes</v>
      </c>
      <c r="X208" s="5" t="str">
        <f>IFERROR(__xludf.DUMMYFUNCTION("""COMPUTED_VALUE"""),"Yes")</f>
        <v>Yes</v>
      </c>
      <c r="Y208" s="5" t="str">
        <f>IFERROR(__xludf.DUMMYFUNCTION("""COMPUTED_VALUE"""),"Yes")</f>
        <v>Yes</v>
      </c>
      <c r="Z208" s="5" t="str">
        <f>IFERROR(__xludf.DUMMYFUNCTION("""COMPUTED_VALUE"""),"Yes")</f>
        <v>Yes</v>
      </c>
      <c r="AA208" s="5" t="str">
        <f>IFERROR(__xludf.DUMMYFUNCTION("""COMPUTED_VALUE"""),"Yes")</f>
        <v>Yes</v>
      </c>
      <c r="AB208" s="5" t="str">
        <f>IFERROR(__xludf.DUMMYFUNCTION("""COMPUTED_VALUE"""),"Yes")</f>
        <v>Yes</v>
      </c>
      <c r="AC208" s="5" t="str">
        <f>IFERROR(__xludf.DUMMYFUNCTION("""COMPUTED_VALUE"""),"No")</f>
        <v>No</v>
      </c>
    </row>
    <row r="209">
      <c r="A209" s="5" t="str">
        <f>IFERROR(__xludf.DUMMYFUNCTION("""COMPUTED_VALUE"""),"FruitsAndStars40Christmas")</f>
        <v>FruitsAndStars40Christmas</v>
      </c>
      <c r="B2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9" s="5" t="str">
        <f>IFERROR(__xludf.DUMMYFUNCTION("""COMPUTED_VALUE"""),"Yes")</f>
        <v>Yes</v>
      </c>
      <c r="D209" s="5" t="str">
        <f>IFERROR(__xludf.DUMMYFUNCTION("""COMPUTED_VALUE"""),"Yes")</f>
        <v>Yes</v>
      </c>
      <c r="E209" s="5" t="str">
        <f>IFERROR(__xludf.DUMMYFUNCTION("""COMPUTED_VALUE"""),"Yes")</f>
        <v>Yes</v>
      </c>
      <c r="F209" s="5" t="str">
        <f>IFERROR(__xludf.DUMMYFUNCTION("""COMPUTED_VALUE"""),"Yes")</f>
        <v>Yes</v>
      </c>
      <c r="G209" s="5" t="str">
        <f>IFERROR(__xludf.DUMMYFUNCTION("""COMPUTED_VALUE"""),"Yes")</f>
        <v>Yes</v>
      </c>
      <c r="H209" s="5" t="str">
        <f>IFERROR(__xludf.DUMMYFUNCTION("""COMPUTED_VALUE"""),"Yes")</f>
        <v>Yes</v>
      </c>
      <c r="I209" s="5" t="str">
        <f>IFERROR(__xludf.DUMMYFUNCTION("""COMPUTED_VALUE"""),"Yes")</f>
        <v>Yes</v>
      </c>
      <c r="J209" s="5" t="str">
        <f>IFERROR(__xludf.DUMMYFUNCTION("""COMPUTED_VALUE"""),"Yes")</f>
        <v>Yes</v>
      </c>
      <c r="K209" s="5" t="str">
        <f>IFERROR(__xludf.DUMMYFUNCTION("""COMPUTED_VALUE"""),"Yes")</f>
        <v>Yes</v>
      </c>
      <c r="L209" s="5" t="str">
        <f>IFERROR(__xludf.DUMMYFUNCTION("""COMPUTED_VALUE"""),"Yes")</f>
        <v>Yes</v>
      </c>
      <c r="M209" s="5" t="str">
        <f>IFERROR(__xludf.DUMMYFUNCTION("""COMPUTED_VALUE"""),"Yes")</f>
        <v>Yes</v>
      </c>
      <c r="N209" s="5" t="str">
        <f>IFERROR(__xludf.DUMMYFUNCTION("""COMPUTED_VALUE"""),"Yes")</f>
        <v>Yes</v>
      </c>
      <c r="O209" s="5" t="str">
        <f>IFERROR(__xludf.DUMMYFUNCTION("""COMPUTED_VALUE"""),"Yes")</f>
        <v>Yes</v>
      </c>
      <c r="P209" s="5" t="str">
        <f>IFERROR(__xludf.DUMMYFUNCTION("""COMPUTED_VALUE"""),"Yes")</f>
        <v>Yes</v>
      </c>
      <c r="Q209" s="5" t="str">
        <f>IFERROR(__xludf.DUMMYFUNCTION("""COMPUTED_VALUE"""),"Yes")</f>
        <v>Yes</v>
      </c>
      <c r="R209" s="5" t="str">
        <f>IFERROR(__xludf.DUMMYFUNCTION("""COMPUTED_VALUE"""),"Yes")</f>
        <v>Yes</v>
      </c>
      <c r="S209" s="5" t="str">
        <f>IFERROR(__xludf.DUMMYFUNCTION("""COMPUTED_VALUE"""),"Yes")</f>
        <v>Yes</v>
      </c>
      <c r="T209" s="5" t="str">
        <f>IFERROR(__xludf.DUMMYFUNCTION("""COMPUTED_VALUE"""),"Yes")</f>
        <v>Yes</v>
      </c>
      <c r="U209" s="5" t="str">
        <f>IFERROR(__xludf.DUMMYFUNCTION("""COMPUTED_VALUE"""),"Yes")</f>
        <v>Yes</v>
      </c>
      <c r="V209" s="5" t="str">
        <f>IFERROR(__xludf.DUMMYFUNCTION("""COMPUTED_VALUE"""),"Yes")</f>
        <v>Yes</v>
      </c>
      <c r="W209" s="5" t="str">
        <f>IFERROR(__xludf.DUMMYFUNCTION("""COMPUTED_VALUE"""),"Yes")</f>
        <v>Yes</v>
      </c>
      <c r="X209" s="5" t="str">
        <f>IFERROR(__xludf.DUMMYFUNCTION("""COMPUTED_VALUE"""),"Yes")</f>
        <v>Yes</v>
      </c>
      <c r="Y209" s="5" t="str">
        <f>IFERROR(__xludf.DUMMYFUNCTION("""COMPUTED_VALUE"""),"Yes")</f>
        <v>Yes</v>
      </c>
      <c r="Z209" s="5" t="str">
        <f>IFERROR(__xludf.DUMMYFUNCTION("""COMPUTED_VALUE"""),"Yes")</f>
        <v>Yes</v>
      </c>
      <c r="AA209" s="5" t="str">
        <f>IFERROR(__xludf.DUMMYFUNCTION("""COMPUTED_VALUE"""),"Yes")</f>
        <v>Yes</v>
      </c>
      <c r="AB209" s="5" t="str">
        <f>IFERROR(__xludf.DUMMYFUNCTION("""COMPUTED_VALUE"""),"Yes")</f>
        <v>Yes</v>
      </c>
      <c r="AC209" s="5" t="str">
        <f>IFERROR(__xludf.DUMMYFUNCTION("""COMPUTED_VALUE"""),"No")</f>
        <v>No</v>
      </c>
    </row>
    <row r="210">
      <c r="A210" s="5" t="str">
        <f>IFERROR(__xludf.DUMMYFUNCTION("""COMPUTED_VALUE"""),"TwinklingHot40Christmas")</f>
        <v>TwinklingHot40Christmas</v>
      </c>
      <c r="B2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0" s="5" t="str">
        <f>IFERROR(__xludf.DUMMYFUNCTION("""COMPUTED_VALUE"""),"Yes")</f>
        <v>Yes</v>
      </c>
      <c r="D210" s="5" t="str">
        <f>IFERROR(__xludf.DUMMYFUNCTION("""COMPUTED_VALUE"""),"Yes")</f>
        <v>Yes</v>
      </c>
      <c r="E210" s="5" t="str">
        <f>IFERROR(__xludf.DUMMYFUNCTION("""COMPUTED_VALUE"""),"Yes")</f>
        <v>Yes</v>
      </c>
      <c r="F210" s="5" t="str">
        <f>IFERROR(__xludf.DUMMYFUNCTION("""COMPUTED_VALUE"""),"Yes")</f>
        <v>Yes</v>
      </c>
      <c r="G210" s="5" t="str">
        <f>IFERROR(__xludf.DUMMYFUNCTION("""COMPUTED_VALUE"""),"Yes")</f>
        <v>Yes</v>
      </c>
      <c r="H210" s="5" t="str">
        <f>IFERROR(__xludf.DUMMYFUNCTION("""COMPUTED_VALUE"""),"Yes")</f>
        <v>Yes</v>
      </c>
      <c r="I210" s="5" t="str">
        <f>IFERROR(__xludf.DUMMYFUNCTION("""COMPUTED_VALUE"""),"Yes")</f>
        <v>Yes</v>
      </c>
      <c r="J210" s="5" t="str">
        <f>IFERROR(__xludf.DUMMYFUNCTION("""COMPUTED_VALUE"""),"Yes")</f>
        <v>Yes</v>
      </c>
      <c r="K210" s="5" t="str">
        <f>IFERROR(__xludf.DUMMYFUNCTION("""COMPUTED_VALUE"""),"Yes")</f>
        <v>Yes</v>
      </c>
      <c r="L210" s="5" t="str">
        <f>IFERROR(__xludf.DUMMYFUNCTION("""COMPUTED_VALUE"""),"Yes")</f>
        <v>Yes</v>
      </c>
      <c r="M210" s="5" t="str">
        <f>IFERROR(__xludf.DUMMYFUNCTION("""COMPUTED_VALUE"""),"Yes")</f>
        <v>Yes</v>
      </c>
      <c r="N210" s="5" t="str">
        <f>IFERROR(__xludf.DUMMYFUNCTION("""COMPUTED_VALUE"""),"Yes")</f>
        <v>Yes</v>
      </c>
      <c r="O210" s="5" t="str">
        <f>IFERROR(__xludf.DUMMYFUNCTION("""COMPUTED_VALUE"""),"Yes")</f>
        <v>Yes</v>
      </c>
      <c r="P210" s="5" t="str">
        <f>IFERROR(__xludf.DUMMYFUNCTION("""COMPUTED_VALUE"""),"Yes")</f>
        <v>Yes</v>
      </c>
      <c r="Q210" s="5" t="str">
        <f>IFERROR(__xludf.DUMMYFUNCTION("""COMPUTED_VALUE"""),"Yes")</f>
        <v>Yes</v>
      </c>
      <c r="R210" s="5" t="str">
        <f>IFERROR(__xludf.DUMMYFUNCTION("""COMPUTED_VALUE"""),"Yes")</f>
        <v>Yes</v>
      </c>
      <c r="S210" s="5" t="str">
        <f>IFERROR(__xludf.DUMMYFUNCTION("""COMPUTED_VALUE"""),"Yes")</f>
        <v>Yes</v>
      </c>
      <c r="T210" s="5" t="str">
        <f>IFERROR(__xludf.DUMMYFUNCTION("""COMPUTED_VALUE"""),"Yes")</f>
        <v>Yes</v>
      </c>
      <c r="U210" s="5" t="str">
        <f>IFERROR(__xludf.DUMMYFUNCTION("""COMPUTED_VALUE"""),"Yes")</f>
        <v>Yes</v>
      </c>
      <c r="V210" s="5" t="str">
        <f>IFERROR(__xludf.DUMMYFUNCTION("""COMPUTED_VALUE"""),"Yes")</f>
        <v>Yes</v>
      </c>
      <c r="W210" s="5" t="str">
        <f>IFERROR(__xludf.DUMMYFUNCTION("""COMPUTED_VALUE"""),"Yes")</f>
        <v>Yes</v>
      </c>
      <c r="X210" s="5" t="str">
        <f>IFERROR(__xludf.DUMMYFUNCTION("""COMPUTED_VALUE"""),"Yes")</f>
        <v>Yes</v>
      </c>
      <c r="Y210" s="5" t="str">
        <f>IFERROR(__xludf.DUMMYFUNCTION("""COMPUTED_VALUE"""),"Yes")</f>
        <v>Yes</v>
      </c>
      <c r="Z210" s="5" t="str">
        <f>IFERROR(__xludf.DUMMYFUNCTION("""COMPUTED_VALUE"""),"Yes")</f>
        <v>Yes</v>
      </c>
      <c r="AA210" s="5" t="str">
        <f>IFERROR(__xludf.DUMMYFUNCTION("""COMPUTED_VALUE"""),"Yes")</f>
        <v>Yes</v>
      </c>
      <c r="AB210" s="5" t="str">
        <f>IFERROR(__xludf.DUMMYFUNCTION("""COMPUTED_VALUE"""),"Yes")</f>
        <v>Yes</v>
      </c>
      <c r="AC210" s="5" t="str">
        <f>IFERROR(__xludf.DUMMYFUNCTION("""COMPUTED_VALUE"""),"No")</f>
        <v>No</v>
      </c>
    </row>
    <row r="211">
      <c r="A211" s="5" t="str">
        <f>IFERROR(__xludf.DUMMYFUNCTION("""COMPUTED_VALUE"""),"GoldenCrownChristmas")</f>
        <v>GoldenCrownChristmas</v>
      </c>
      <c r="B2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1" s="5" t="str">
        <f>IFERROR(__xludf.DUMMYFUNCTION("""COMPUTED_VALUE"""),"Yes")</f>
        <v>Yes</v>
      </c>
      <c r="D211" s="5" t="str">
        <f>IFERROR(__xludf.DUMMYFUNCTION("""COMPUTED_VALUE"""),"Yes")</f>
        <v>Yes</v>
      </c>
      <c r="E211" s="5" t="str">
        <f>IFERROR(__xludf.DUMMYFUNCTION("""COMPUTED_VALUE"""),"Yes")</f>
        <v>Yes</v>
      </c>
      <c r="F211" s="5" t="str">
        <f>IFERROR(__xludf.DUMMYFUNCTION("""COMPUTED_VALUE"""),"Yes")</f>
        <v>Yes</v>
      </c>
      <c r="G211" s="5" t="str">
        <f>IFERROR(__xludf.DUMMYFUNCTION("""COMPUTED_VALUE"""),"Yes")</f>
        <v>Yes</v>
      </c>
      <c r="H211" s="5" t="str">
        <f>IFERROR(__xludf.DUMMYFUNCTION("""COMPUTED_VALUE"""),"Yes")</f>
        <v>Yes</v>
      </c>
      <c r="I211" s="5" t="str">
        <f>IFERROR(__xludf.DUMMYFUNCTION("""COMPUTED_VALUE"""),"Yes")</f>
        <v>Yes</v>
      </c>
      <c r="J211" s="5" t="str">
        <f>IFERROR(__xludf.DUMMYFUNCTION("""COMPUTED_VALUE"""),"Yes")</f>
        <v>Yes</v>
      </c>
      <c r="K211" s="5" t="str">
        <f>IFERROR(__xludf.DUMMYFUNCTION("""COMPUTED_VALUE"""),"Yes")</f>
        <v>Yes</v>
      </c>
      <c r="L211" s="5" t="str">
        <f>IFERROR(__xludf.DUMMYFUNCTION("""COMPUTED_VALUE"""),"Yes")</f>
        <v>Yes</v>
      </c>
      <c r="M211" s="5" t="str">
        <f>IFERROR(__xludf.DUMMYFUNCTION("""COMPUTED_VALUE"""),"Yes")</f>
        <v>Yes</v>
      </c>
      <c r="N211" s="5" t="str">
        <f>IFERROR(__xludf.DUMMYFUNCTION("""COMPUTED_VALUE"""),"Yes")</f>
        <v>Yes</v>
      </c>
      <c r="O211" s="5" t="str">
        <f>IFERROR(__xludf.DUMMYFUNCTION("""COMPUTED_VALUE"""),"Yes")</f>
        <v>Yes</v>
      </c>
      <c r="P211" s="5" t="str">
        <f>IFERROR(__xludf.DUMMYFUNCTION("""COMPUTED_VALUE"""),"Yes")</f>
        <v>Yes</v>
      </c>
      <c r="Q211" s="5" t="str">
        <f>IFERROR(__xludf.DUMMYFUNCTION("""COMPUTED_VALUE"""),"Yes")</f>
        <v>Yes</v>
      </c>
      <c r="R211" s="5" t="str">
        <f>IFERROR(__xludf.DUMMYFUNCTION("""COMPUTED_VALUE"""),"Yes")</f>
        <v>Yes</v>
      </c>
      <c r="S211" s="5" t="str">
        <f>IFERROR(__xludf.DUMMYFUNCTION("""COMPUTED_VALUE"""),"Yes")</f>
        <v>Yes</v>
      </c>
      <c r="T211" s="5" t="str">
        <f>IFERROR(__xludf.DUMMYFUNCTION("""COMPUTED_VALUE"""),"Yes")</f>
        <v>Yes</v>
      </c>
      <c r="U211" s="5" t="str">
        <f>IFERROR(__xludf.DUMMYFUNCTION("""COMPUTED_VALUE"""),"Yes")</f>
        <v>Yes</v>
      </c>
      <c r="V211" s="5" t="str">
        <f>IFERROR(__xludf.DUMMYFUNCTION("""COMPUTED_VALUE"""),"Yes")</f>
        <v>Yes</v>
      </c>
      <c r="W211" s="5" t="str">
        <f>IFERROR(__xludf.DUMMYFUNCTION("""COMPUTED_VALUE"""),"Yes")</f>
        <v>Yes</v>
      </c>
      <c r="X211" s="5" t="str">
        <f>IFERROR(__xludf.DUMMYFUNCTION("""COMPUTED_VALUE"""),"Yes")</f>
        <v>Yes</v>
      </c>
      <c r="Y211" s="5" t="str">
        <f>IFERROR(__xludf.DUMMYFUNCTION("""COMPUTED_VALUE"""),"Yes")</f>
        <v>Yes</v>
      </c>
      <c r="Z211" s="5" t="str">
        <f>IFERROR(__xludf.DUMMYFUNCTION("""COMPUTED_VALUE"""),"Yes")</f>
        <v>Yes</v>
      </c>
      <c r="AA211" s="5" t="str">
        <f>IFERROR(__xludf.DUMMYFUNCTION("""COMPUTED_VALUE"""),"Yes")</f>
        <v>Yes</v>
      </c>
      <c r="AB211" s="5" t="str">
        <f>IFERROR(__xludf.DUMMYFUNCTION("""COMPUTED_VALUE"""),"Yes")</f>
        <v>Yes</v>
      </c>
      <c r="AC211" s="5" t="str">
        <f>IFERROR(__xludf.DUMMYFUNCTION("""COMPUTED_VALUE"""),"No")</f>
        <v>No</v>
      </c>
    </row>
    <row r="212">
      <c r="A212" s="5" t="str">
        <f>IFERROR(__xludf.DUMMYFUNCTION("""COMPUTED_VALUE"""),"LollasWorldChristmas")</f>
        <v>LollasWorldChristmas</v>
      </c>
      <c r="B2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2" s="5" t="str">
        <f>IFERROR(__xludf.DUMMYFUNCTION("""COMPUTED_VALUE"""),"Yes")</f>
        <v>Yes</v>
      </c>
      <c r="D212" s="5" t="str">
        <f>IFERROR(__xludf.DUMMYFUNCTION("""COMPUTED_VALUE"""),"Yes")</f>
        <v>Yes</v>
      </c>
      <c r="E212" s="5" t="str">
        <f>IFERROR(__xludf.DUMMYFUNCTION("""COMPUTED_VALUE"""),"Yes")</f>
        <v>Yes</v>
      </c>
      <c r="F212" s="5" t="str">
        <f>IFERROR(__xludf.DUMMYFUNCTION("""COMPUTED_VALUE"""),"Yes")</f>
        <v>Yes</v>
      </c>
      <c r="G212" s="5" t="str">
        <f>IFERROR(__xludf.DUMMYFUNCTION("""COMPUTED_VALUE"""),"Yes")</f>
        <v>Yes</v>
      </c>
      <c r="H212" s="5" t="str">
        <f>IFERROR(__xludf.DUMMYFUNCTION("""COMPUTED_VALUE"""),"Yes")</f>
        <v>Yes</v>
      </c>
      <c r="I212" s="5" t="str">
        <f>IFERROR(__xludf.DUMMYFUNCTION("""COMPUTED_VALUE"""),"Yes")</f>
        <v>Yes</v>
      </c>
      <c r="J212" s="5" t="str">
        <f>IFERROR(__xludf.DUMMYFUNCTION("""COMPUTED_VALUE"""),"Yes")</f>
        <v>Yes</v>
      </c>
      <c r="K212" s="5" t="str">
        <f>IFERROR(__xludf.DUMMYFUNCTION("""COMPUTED_VALUE"""),"Yes")</f>
        <v>Yes</v>
      </c>
      <c r="L212" s="5" t="str">
        <f>IFERROR(__xludf.DUMMYFUNCTION("""COMPUTED_VALUE"""),"Yes")</f>
        <v>Yes</v>
      </c>
      <c r="M212" s="5" t="str">
        <f>IFERROR(__xludf.DUMMYFUNCTION("""COMPUTED_VALUE"""),"Yes")</f>
        <v>Yes</v>
      </c>
      <c r="N212" s="5" t="str">
        <f>IFERROR(__xludf.DUMMYFUNCTION("""COMPUTED_VALUE"""),"Yes")</f>
        <v>Yes</v>
      </c>
      <c r="O212" s="5" t="str">
        <f>IFERROR(__xludf.DUMMYFUNCTION("""COMPUTED_VALUE"""),"Yes")</f>
        <v>Yes</v>
      </c>
      <c r="P212" s="5" t="str">
        <f>IFERROR(__xludf.DUMMYFUNCTION("""COMPUTED_VALUE"""),"Yes")</f>
        <v>Yes</v>
      </c>
      <c r="Q212" s="5" t="str">
        <f>IFERROR(__xludf.DUMMYFUNCTION("""COMPUTED_VALUE"""),"Yes")</f>
        <v>Yes</v>
      </c>
      <c r="R212" s="5" t="str">
        <f>IFERROR(__xludf.DUMMYFUNCTION("""COMPUTED_VALUE"""),"Yes")</f>
        <v>Yes</v>
      </c>
      <c r="S212" s="5" t="str">
        <f>IFERROR(__xludf.DUMMYFUNCTION("""COMPUTED_VALUE"""),"Yes")</f>
        <v>Yes</v>
      </c>
      <c r="T212" s="5" t="str">
        <f>IFERROR(__xludf.DUMMYFUNCTION("""COMPUTED_VALUE"""),"Yes")</f>
        <v>Yes</v>
      </c>
      <c r="U212" s="5" t="str">
        <f>IFERROR(__xludf.DUMMYFUNCTION("""COMPUTED_VALUE"""),"Yes")</f>
        <v>Yes</v>
      </c>
      <c r="V212" s="5" t="str">
        <f>IFERROR(__xludf.DUMMYFUNCTION("""COMPUTED_VALUE"""),"Yes")</f>
        <v>Yes</v>
      </c>
      <c r="W212" s="5" t="str">
        <f>IFERROR(__xludf.DUMMYFUNCTION("""COMPUTED_VALUE"""),"Yes")</f>
        <v>Yes</v>
      </c>
      <c r="X212" s="5" t="str">
        <f>IFERROR(__xludf.DUMMYFUNCTION("""COMPUTED_VALUE"""),"Yes")</f>
        <v>Yes</v>
      </c>
      <c r="Y212" s="5" t="str">
        <f>IFERROR(__xludf.DUMMYFUNCTION("""COMPUTED_VALUE"""),"Yes")</f>
        <v>Yes</v>
      </c>
      <c r="Z212" s="5" t="str">
        <f>IFERROR(__xludf.DUMMYFUNCTION("""COMPUTED_VALUE"""),"Yes")</f>
        <v>Yes</v>
      </c>
      <c r="AA212" s="5" t="str">
        <f>IFERROR(__xludf.DUMMYFUNCTION("""COMPUTED_VALUE"""),"Yes")</f>
        <v>Yes</v>
      </c>
      <c r="AB212" s="5" t="str">
        <f>IFERROR(__xludf.DUMMYFUNCTION("""COMPUTED_VALUE"""),"Yes")</f>
        <v>Yes</v>
      </c>
      <c r="AC212" s="5" t="str">
        <f>IFERROR(__xludf.DUMMYFUNCTION("""COMPUTED_VALUE"""),"No")</f>
        <v>No</v>
      </c>
    </row>
    <row r="213">
      <c r="A213" s="5" t="str">
        <f>IFERROR(__xludf.DUMMYFUNCTION("""COMPUTED_VALUE"""),"WildHot40Christmas")</f>
        <v>WildHot40Christmas</v>
      </c>
      <c r="B2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3" s="5" t="str">
        <f>IFERROR(__xludf.DUMMYFUNCTION("""COMPUTED_VALUE"""),"Yes")</f>
        <v>Yes</v>
      </c>
      <c r="D213" s="5" t="str">
        <f>IFERROR(__xludf.DUMMYFUNCTION("""COMPUTED_VALUE"""),"Yes")</f>
        <v>Yes</v>
      </c>
      <c r="E213" s="5" t="str">
        <f>IFERROR(__xludf.DUMMYFUNCTION("""COMPUTED_VALUE"""),"Yes")</f>
        <v>Yes</v>
      </c>
      <c r="F213" s="5" t="str">
        <f>IFERROR(__xludf.DUMMYFUNCTION("""COMPUTED_VALUE"""),"Yes")</f>
        <v>Yes</v>
      </c>
      <c r="G213" s="5" t="str">
        <f>IFERROR(__xludf.DUMMYFUNCTION("""COMPUTED_VALUE"""),"Yes")</f>
        <v>Yes</v>
      </c>
      <c r="H213" s="5" t="str">
        <f>IFERROR(__xludf.DUMMYFUNCTION("""COMPUTED_VALUE"""),"Yes")</f>
        <v>Yes</v>
      </c>
      <c r="I213" s="5" t="str">
        <f>IFERROR(__xludf.DUMMYFUNCTION("""COMPUTED_VALUE"""),"Yes")</f>
        <v>Yes</v>
      </c>
      <c r="J213" s="5" t="str">
        <f>IFERROR(__xludf.DUMMYFUNCTION("""COMPUTED_VALUE"""),"Yes")</f>
        <v>Yes</v>
      </c>
      <c r="K213" s="5" t="str">
        <f>IFERROR(__xludf.DUMMYFUNCTION("""COMPUTED_VALUE"""),"Yes")</f>
        <v>Yes</v>
      </c>
      <c r="L213" s="5" t="str">
        <f>IFERROR(__xludf.DUMMYFUNCTION("""COMPUTED_VALUE"""),"Yes")</f>
        <v>Yes</v>
      </c>
      <c r="M213" s="5" t="str">
        <f>IFERROR(__xludf.DUMMYFUNCTION("""COMPUTED_VALUE"""),"Yes")</f>
        <v>Yes</v>
      </c>
      <c r="N213" s="5" t="str">
        <f>IFERROR(__xludf.DUMMYFUNCTION("""COMPUTED_VALUE"""),"Yes")</f>
        <v>Yes</v>
      </c>
      <c r="O213" s="5" t="str">
        <f>IFERROR(__xludf.DUMMYFUNCTION("""COMPUTED_VALUE"""),"Yes")</f>
        <v>Yes</v>
      </c>
      <c r="P213" s="5" t="str">
        <f>IFERROR(__xludf.DUMMYFUNCTION("""COMPUTED_VALUE"""),"Yes")</f>
        <v>Yes</v>
      </c>
      <c r="Q213" s="5" t="str">
        <f>IFERROR(__xludf.DUMMYFUNCTION("""COMPUTED_VALUE"""),"Yes")</f>
        <v>Yes</v>
      </c>
      <c r="R213" s="5" t="str">
        <f>IFERROR(__xludf.DUMMYFUNCTION("""COMPUTED_VALUE"""),"Yes")</f>
        <v>Yes</v>
      </c>
      <c r="S213" s="5" t="str">
        <f>IFERROR(__xludf.DUMMYFUNCTION("""COMPUTED_VALUE"""),"Yes")</f>
        <v>Yes</v>
      </c>
      <c r="T213" s="5" t="str">
        <f>IFERROR(__xludf.DUMMYFUNCTION("""COMPUTED_VALUE"""),"Yes")</f>
        <v>Yes</v>
      </c>
      <c r="U213" s="5" t="str">
        <f>IFERROR(__xludf.DUMMYFUNCTION("""COMPUTED_VALUE"""),"Yes")</f>
        <v>Yes</v>
      </c>
      <c r="V213" s="5" t="str">
        <f>IFERROR(__xludf.DUMMYFUNCTION("""COMPUTED_VALUE"""),"Yes")</f>
        <v>Yes</v>
      </c>
      <c r="W213" s="5" t="str">
        <f>IFERROR(__xludf.DUMMYFUNCTION("""COMPUTED_VALUE"""),"Yes")</f>
        <v>Yes</v>
      </c>
      <c r="X213" s="5" t="str">
        <f>IFERROR(__xludf.DUMMYFUNCTION("""COMPUTED_VALUE"""),"Yes")</f>
        <v>Yes</v>
      </c>
      <c r="Y213" s="5" t="str">
        <f>IFERROR(__xludf.DUMMYFUNCTION("""COMPUTED_VALUE"""),"Yes")</f>
        <v>Yes</v>
      </c>
      <c r="Z213" s="5" t="str">
        <f>IFERROR(__xludf.DUMMYFUNCTION("""COMPUTED_VALUE"""),"Yes")</f>
        <v>Yes</v>
      </c>
      <c r="AA213" s="5" t="str">
        <f>IFERROR(__xludf.DUMMYFUNCTION("""COMPUTED_VALUE"""),"Yes")</f>
        <v>Yes</v>
      </c>
      <c r="AB213" s="5" t="str">
        <f>IFERROR(__xludf.DUMMYFUNCTION("""COMPUTED_VALUE"""),"Yes")</f>
        <v>Yes</v>
      </c>
      <c r="AC213" s="5" t="str">
        <f>IFERROR(__xludf.DUMMYFUNCTION("""COMPUTED_VALUE"""),"No")</f>
        <v>No</v>
      </c>
    </row>
    <row r="214">
      <c r="A214" s="5" t="str">
        <f>IFERROR(__xludf.DUMMYFUNCTION("""COMPUTED_VALUE"""),"VeryHot5Christmas")</f>
        <v>VeryHot5Christmas</v>
      </c>
      <c r="B2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4" s="5" t="str">
        <f>IFERROR(__xludf.DUMMYFUNCTION("""COMPUTED_VALUE"""),"Yes")</f>
        <v>Yes</v>
      </c>
      <c r="D214" s="5" t="str">
        <f>IFERROR(__xludf.DUMMYFUNCTION("""COMPUTED_VALUE"""),"Yes")</f>
        <v>Yes</v>
      </c>
      <c r="E214" s="5" t="str">
        <f>IFERROR(__xludf.DUMMYFUNCTION("""COMPUTED_VALUE"""),"Yes")</f>
        <v>Yes</v>
      </c>
      <c r="F214" s="5" t="str">
        <f>IFERROR(__xludf.DUMMYFUNCTION("""COMPUTED_VALUE"""),"Yes")</f>
        <v>Yes</v>
      </c>
      <c r="G214" s="5" t="str">
        <f>IFERROR(__xludf.DUMMYFUNCTION("""COMPUTED_VALUE"""),"Yes")</f>
        <v>Yes</v>
      </c>
      <c r="H214" s="5" t="str">
        <f>IFERROR(__xludf.DUMMYFUNCTION("""COMPUTED_VALUE"""),"Yes")</f>
        <v>Yes</v>
      </c>
      <c r="I214" s="5" t="str">
        <f>IFERROR(__xludf.DUMMYFUNCTION("""COMPUTED_VALUE"""),"Yes")</f>
        <v>Yes</v>
      </c>
      <c r="J214" s="5" t="str">
        <f>IFERROR(__xludf.DUMMYFUNCTION("""COMPUTED_VALUE"""),"Yes")</f>
        <v>Yes</v>
      </c>
      <c r="K214" s="5" t="str">
        <f>IFERROR(__xludf.DUMMYFUNCTION("""COMPUTED_VALUE"""),"Yes")</f>
        <v>Yes</v>
      </c>
      <c r="L214" s="5" t="str">
        <f>IFERROR(__xludf.DUMMYFUNCTION("""COMPUTED_VALUE"""),"Yes")</f>
        <v>Yes</v>
      </c>
      <c r="M214" s="5" t="str">
        <f>IFERROR(__xludf.DUMMYFUNCTION("""COMPUTED_VALUE"""),"Yes")</f>
        <v>Yes</v>
      </c>
      <c r="N214" s="5" t="str">
        <f>IFERROR(__xludf.DUMMYFUNCTION("""COMPUTED_VALUE"""),"Yes")</f>
        <v>Yes</v>
      </c>
      <c r="O214" s="5" t="str">
        <f>IFERROR(__xludf.DUMMYFUNCTION("""COMPUTED_VALUE"""),"Yes")</f>
        <v>Yes</v>
      </c>
      <c r="P214" s="5" t="str">
        <f>IFERROR(__xludf.DUMMYFUNCTION("""COMPUTED_VALUE"""),"Yes")</f>
        <v>Yes</v>
      </c>
      <c r="Q214" s="5" t="str">
        <f>IFERROR(__xludf.DUMMYFUNCTION("""COMPUTED_VALUE"""),"Yes")</f>
        <v>Yes</v>
      </c>
      <c r="R214" s="5" t="str">
        <f>IFERROR(__xludf.DUMMYFUNCTION("""COMPUTED_VALUE"""),"Yes")</f>
        <v>Yes</v>
      </c>
      <c r="S214" s="5" t="str">
        <f>IFERROR(__xludf.DUMMYFUNCTION("""COMPUTED_VALUE"""),"Yes")</f>
        <v>Yes</v>
      </c>
      <c r="T214" s="5" t="str">
        <f>IFERROR(__xludf.DUMMYFUNCTION("""COMPUTED_VALUE"""),"Yes")</f>
        <v>Yes</v>
      </c>
      <c r="U214" s="5" t="str">
        <f>IFERROR(__xludf.DUMMYFUNCTION("""COMPUTED_VALUE"""),"Yes")</f>
        <v>Yes</v>
      </c>
      <c r="V214" s="5" t="str">
        <f>IFERROR(__xludf.DUMMYFUNCTION("""COMPUTED_VALUE"""),"Yes")</f>
        <v>Yes</v>
      </c>
      <c r="W214" s="5" t="str">
        <f>IFERROR(__xludf.DUMMYFUNCTION("""COMPUTED_VALUE"""),"Yes")</f>
        <v>Yes</v>
      </c>
      <c r="X214" s="5" t="str">
        <f>IFERROR(__xludf.DUMMYFUNCTION("""COMPUTED_VALUE"""),"Yes")</f>
        <v>Yes</v>
      </c>
      <c r="Y214" s="5" t="str">
        <f>IFERROR(__xludf.DUMMYFUNCTION("""COMPUTED_VALUE"""),"Yes")</f>
        <v>Yes</v>
      </c>
      <c r="Z214" s="5" t="str">
        <f>IFERROR(__xludf.DUMMYFUNCTION("""COMPUTED_VALUE"""),"Yes")</f>
        <v>Yes</v>
      </c>
      <c r="AA214" s="5" t="str">
        <f>IFERROR(__xludf.DUMMYFUNCTION("""COMPUTED_VALUE"""),"Yes")</f>
        <v>Yes</v>
      </c>
      <c r="AB214" s="5" t="str">
        <f>IFERROR(__xludf.DUMMYFUNCTION("""COMPUTED_VALUE"""),"Yes")</f>
        <v>Yes</v>
      </c>
      <c r="AC214" s="5" t="str">
        <f>IFERROR(__xludf.DUMMYFUNCTION("""COMPUTED_VALUE"""),"No")</f>
        <v>No</v>
      </c>
    </row>
    <row r="215">
      <c r="A215" s="5" t="str">
        <f>IFERROR(__xludf.DUMMYFUNCTION("""COMPUTED_VALUE"""),"VeryHot40Christmas")</f>
        <v>VeryHot40Christmas</v>
      </c>
      <c r="B2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5" s="5" t="str">
        <f>IFERROR(__xludf.DUMMYFUNCTION("""COMPUTED_VALUE"""),"Yes")</f>
        <v>Yes</v>
      </c>
      <c r="D215" s="5" t="str">
        <f>IFERROR(__xludf.DUMMYFUNCTION("""COMPUTED_VALUE"""),"Yes")</f>
        <v>Yes</v>
      </c>
      <c r="E215" s="5" t="str">
        <f>IFERROR(__xludf.DUMMYFUNCTION("""COMPUTED_VALUE"""),"Yes")</f>
        <v>Yes</v>
      </c>
      <c r="F215" s="5" t="str">
        <f>IFERROR(__xludf.DUMMYFUNCTION("""COMPUTED_VALUE"""),"Yes")</f>
        <v>Yes</v>
      </c>
      <c r="G215" s="5" t="str">
        <f>IFERROR(__xludf.DUMMYFUNCTION("""COMPUTED_VALUE"""),"Yes")</f>
        <v>Yes</v>
      </c>
      <c r="H215" s="5" t="str">
        <f>IFERROR(__xludf.DUMMYFUNCTION("""COMPUTED_VALUE"""),"Yes")</f>
        <v>Yes</v>
      </c>
      <c r="I215" s="5" t="str">
        <f>IFERROR(__xludf.DUMMYFUNCTION("""COMPUTED_VALUE"""),"Yes")</f>
        <v>Yes</v>
      </c>
      <c r="J215" s="5" t="str">
        <f>IFERROR(__xludf.DUMMYFUNCTION("""COMPUTED_VALUE"""),"Yes")</f>
        <v>Yes</v>
      </c>
      <c r="K215" s="5" t="str">
        <f>IFERROR(__xludf.DUMMYFUNCTION("""COMPUTED_VALUE"""),"Yes")</f>
        <v>Yes</v>
      </c>
      <c r="L215" s="5" t="str">
        <f>IFERROR(__xludf.DUMMYFUNCTION("""COMPUTED_VALUE"""),"Yes")</f>
        <v>Yes</v>
      </c>
      <c r="M215" s="5" t="str">
        <f>IFERROR(__xludf.DUMMYFUNCTION("""COMPUTED_VALUE"""),"Yes")</f>
        <v>Yes</v>
      </c>
      <c r="N215" s="5" t="str">
        <f>IFERROR(__xludf.DUMMYFUNCTION("""COMPUTED_VALUE"""),"Yes")</f>
        <v>Yes</v>
      </c>
      <c r="O215" s="5" t="str">
        <f>IFERROR(__xludf.DUMMYFUNCTION("""COMPUTED_VALUE"""),"Yes")</f>
        <v>Yes</v>
      </c>
      <c r="P215" s="5" t="str">
        <f>IFERROR(__xludf.DUMMYFUNCTION("""COMPUTED_VALUE"""),"Yes")</f>
        <v>Yes</v>
      </c>
      <c r="Q215" s="5" t="str">
        <f>IFERROR(__xludf.DUMMYFUNCTION("""COMPUTED_VALUE"""),"Yes")</f>
        <v>Yes</v>
      </c>
      <c r="R215" s="5" t="str">
        <f>IFERROR(__xludf.DUMMYFUNCTION("""COMPUTED_VALUE"""),"Yes")</f>
        <v>Yes</v>
      </c>
      <c r="S215" s="5" t="str">
        <f>IFERROR(__xludf.DUMMYFUNCTION("""COMPUTED_VALUE"""),"Yes")</f>
        <v>Yes</v>
      </c>
      <c r="T215" s="5" t="str">
        <f>IFERROR(__xludf.DUMMYFUNCTION("""COMPUTED_VALUE"""),"Yes")</f>
        <v>Yes</v>
      </c>
      <c r="U215" s="5" t="str">
        <f>IFERROR(__xludf.DUMMYFUNCTION("""COMPUTED_VALUE"""),"Yes")</f>
        <v>Yes</v>
      </c>
      <c r="V215" s="5" t="str">
        <f>IFERROR(__xludf.DUMMYFUNCTION("""COMPUTED_VALUE"""),"Yes")</f>
        <v>Yes</v>
      </c>
      <c r="W215" s="5" t="str">
        <f>IFERROR(__xludf.DUMMYFUNCTION("""COMPUTED_VALUE"""),"Yes")</f>
        <v>Yes</v>
      </c>
      <c r="X215" s="5" t="str">
        <f>IFERROR(__xludf.DUMMYFUNCTION("""COMPUTED_VALUE"""),"Yes")</f>
        <v>Yes</v>
      </c>
      <c r="Y215" s="5" t="str">
        <f>IFERROR(__xludf.DUMMYFUNCTION("""COMPUTED_VALUE"""),"Yes")</f>
        <v>Yes</v>
      </c>
      <c r="Z215" s="5" t="str">
        <f>IFERROR(__xludf.DUMMYFUNCTION("""COMPUTED_VALUE"""),"Yes")</f>
        <v>Yes</v>
      </c>
      <c r="AA215" s="5" t="str">
        <f>IFERROR(__xludf.DUMMYFUNCTION("""COMPUTED_VALUE"""),"Yes")</f>
        <v>Yes</v>
      </c>
      <c r="AB215" s="5" t="str">
        <f>IFERROR(__xludf.DUMMYFUNCTION("""COMPUTED_VALUE"""),"Yes")</f>
        <v>Yes</v>
      </c>
      <c r="AC215" s="5" t="str">
        <f>IFERROR(__xludf.DUMMYFUNCTION("""COMPUTED_VALUE"""),"No")</f>
        <v>No</v>
      </c>
    </row>
    <row r="216">
      <c r="A216" s="5" t="str">
        <f>IFERROR(__xludf.DUMMYFUNCTION("""COMPUTED_VALUE"""),"CrownFire5")</f>
        <v>CrownFire5</v>
      </c>
      <c r="B2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6" s="5" t="str">
        <f>IFERROR(__xludf.DUMMYFUNCTION("""COMPUTED_VALUE"""),"Yes")</f>
        <v>Yes</v>
      </c>
      <c r="D216" s="5" t="str">
        <f>IFERROR(__xludf.DUMMYFUNCTION("""COMPUTED_VALUE"""),"Yes")</f>
        <v>Yes</v>
      </c>
      <c r="E216" s="5" t="str">
        <f>IFERROR(__xludf.DUMMYFUNCTION("""COMPUTED_VALUE"""),"Yes")</f>
        <v>Yes</v>
      </c>
      <c r="F216" s="5" t="str">
        <f>IFERROR(__xludf.DUMMYFUNCTION("""COMPUTED_VALUE"""),"Yes")</f>
        <v>Yes</v>
      </c>
      <c r="G216" s="5" t="str">
        <f>IFERROR(__xludf.DUMMYFUNCTION("""COMPUTED_VALUE"""),"Yes")</f>
        <v>Yes</v>
      </c>
      <c r="H216" s="5" t="str">
        <f>IFERROR(__xludf.DUMMYFUNCTION("""COMPUTED_VALUE"""),"Yes")</f>
        <v>Yes</v>
      </c>
      <c r="I216" s="5" t="str">
        <f>IFERROR(__xludf.DUMMYFUNCTION("""COMPUTED_VALUE"""),"Yes")</f>
        <v>Yes</v>
      </c>
      <c r="J216" s="5" t="str">
        <f>IFERROR(__xludf.DUMMYFUNCTION("""COMPUTED_VALUE"""),"Yes")</f>
        <v>Yes</v>
      </c>
      <c r="K216" s="5" t="str">
        <f>IFERROR(__xludf.DUMMYFUNCTION("""COMPUTED_VALUE"""),"Yes")</f>
        <v>Yes</v>
      </c>
      <c r="L216" s="5" t="str">
        <f>IFERROR(__xludf.DUMMYFUNCTION("""COMPUTED_VALUE"""),"Yes")</f>
        <v>Yes</v>
      </c>
      <c r="M216" s="5" t="str">
        <f>IFERROR(__xludf.DUMMYFUNCTION("""COMPUTED_VALUE"""),"Yes")</f>
        <v>Yes</v>
      </c>
      <c r="N216" s="5" t="str">
        <f>IFERROR(__xludf.DUMMYFUNCTION("""COMPUTED_VALUE"""),"Yes")</f>
        <v>Yes</v>
      </c>
      <c r="O216" s="5" t="str">
        <f>IFERROR(__xludf.DUMMYFUNCTION("""COMPUTED_VALUE"""),"Yes")</f>
        <v>Yes</v>
      </c>
      <c r="P216" s="5" t="str">
        <f>IFERROR(__xludf.DUMMYFUNCTION("""COMPUTED_VALUE"""),"Yes")</f>
        <v>Yes</v>
      </c>
      <c r="Q216" s="5" t="str">
        <f>IFERROR(__xludf.DUMMYFUNCTION("""COMPUTED_VALUE"""),"Yes")</f>
        <v>Yes</v>
      </c>
      <c r="R216" s="5" t="str">
        <f>IFERROR(__xludf.DUMMYFUNCTION("""COMPUTED_VALUE"""),"Yes")</f>
        <v>Yes</v>
      </c>
      <c r="S216" s="5" t="str">
        <f>IFERROR(__xludf.DUMMYFUNCTION("""COMPUTED_VALUE"""),"Yes")</f>
        <v>Yes</v>
      </c>
      <c r="T216" s="5" t="str">
        <f>IFERROR(__xludf.DUMMYFUNCTION("""COMPUTED_VALUE"""),"Yes")</f>
        <v>Yes</v>
      </c>
      <c r="U216" s="5" t="str">
        <f>IFERROR(__xludf.DUMMYFUNCTION("""COMPUTED_VALUE"""),"Yes")</f>
        <v>Yes</v>
      </c>
      <c r="V216" s="5" t="str">
        <f>IFERROR(__xludf.DUMMYFUNCTION("""COMPUTED_VALUE"""),"Yes")</f>
        <v>Yes</v>
      </c>
      <c r="W216" s="5"/>
      <c r="X216" s="5"/>
      <c r="Y216" s="5"/>
      <c r="Z216" s="5" t="str">
        <f>IFERROR(__xludf.DUMMYFUNCTION("""COMPUTED_VALUE"""),"Yes")</f>
        <v>Yes</v>
      </c>
      <c r="AA216" s="5"/>
      <c r="AB216" s="5"/>
      <c r="AC216" s="5"/>
    </row>
    <row r="217">
      <c r="A217" s="5" t="str">
        <f>IFERROR(__xludf.DUMMYFUNCTION("""COMPUTED_VALUE"""),"ShiningPresents")</f>
        <v>ShiningPresents</v>
      </c>
      <c r="B21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7" s="5" t="str">
        <f>IFERROR(__xludf.DUMMYFUNCTION("""COMPUTED_VALUE"""),"Yes")</f>
        <v>Yes</v>
      </c>
      <c r="D217" s="5" t="str">
        <f>IFERROR(__xludf.DUMMYFUNCTION("""COMPUTED_VALUE"""),"Yes")</f>
        <v>Yes</v>
      </c>
      <c r="E217" s="5" t="str">
        <f>IFERROR(__xludf.DUMMYFUNCTION("""COMPUTED_VALUE"""),"No")</f>
        <v>No</v>
      </c>
      <c r="F217" s="5" t="str">
        <f>IFERROR(__xludf.DUMMYFUNCTION("""COMPUTED_VALUE"""),"Yes")</f>
        <v>Yes</v>
      </c>
      <c r="G217" s="5" t="str">
        <f>IFERROR(__xludf.DUMMYFUNCTION("""COMPUTED_VALUE"""),"Yes")</f>
        <v>Yes</v>
      </c>
      <c r="H217" s="5" t="str">
        <f>IFERROR(__xludf.DUMMYFUNCTION("""COMPUTED_VALUE"""),"Yes")</f>
        <v>Yes</v>
      </c>
      <c r="I217" s="5" t="str">
        <f>IFERROR(__xludf.DUMMYFUNCTION("""COMPUTED_VALUE"""),"Yes")</f>
        <v>Yes</v>
      </c>
      <c r="J217" s="5" t="str">
        <f>IFERROR(__xludf.DUMMYFUNCTION("""COMPUTED_VALUE"""),"Yes")</f>
        <v>Yes</v>
      </c>
      <c r="K217" s="5" t="str">
        <f>IFERROR(__xludf.DUMMYFUNCTION("""COMPUTED_VALUE"""),"Yes")</f>
        <v>Yes</v>
      </c>
      <c r="L217" s="5" t="str">
        <f>IFERROR(__xludf.DUMMYFUNCTION("""COMPUTED_VALUE"""),"Yes")</f>
        <v>Yes</v>
      </c>
      <c r="M217" s="5" t="str">
        <f>IFERROR(__xludf.DUMMYFUNCTION("""COMPUTED_VALUE"""),"Yes")</f>
        <v>Yes</v>
      </c>
      <c r="N217" s="5" t="str">
        <f>IFERROR(__xludf.DUMMYFUNCTION("""COMPUTED_VALUE"""),"Yes")</f>
        <v>Yes</v>
      </c>
      <c r="O217" s="5" t="str">
        <f>IFERROR(__xludf.DUMMYFUNCTION("""COMPUTED_VALUE"""),"Yes")</f>
        <v>Yes</v>
      </c>
      <c r="P217" s="5" t="str">
        <f>IFERROR(__xludf.DUMMYFUNCTION("""COMPUTED_VALUE"""),"Yes")</f>
        <v>Yes</v>
      </c>
      <c r="Q217" s="5" t="str">
        <f>IFERROR(__xludf.DUMMYFUNCTION("""COMPUTED_VALUE"""),"Yes")</f>
        <v>Yes</v>
      </c>
      <c r="R217" s="5" t="str">
        <f>IFERROR(__xludf.DUMMYFUNCTION("""COMPUTED_VALUE"""),"No")</f>
        <v>No</v>
      </c>
      <c r="S217" s="5" t="str">
        <f>IFERROR(__xludf.DUMMYFUNCTION("""COMPUTED_VALUE"""),"No")</f>
        <v>No</v>
      </c>
      <c r="T217" s="5" t="str">
        <f>IFERROR(__xludf.DUMMYFUNCTION("""COMPUTED_VALUE"""),"No")</f>
        <v>No</v>
      </c>
      <c r="U217" s="5" t="str">
        <f>IFERROR(__xludf.DUMMYFUNCTION("""COMPUTED_VALUE"""),"No")</f>
        <v>No</v>
      </c>
      <c r="V217" s="5" t="str">
        <f>IFERROR(__xludf.DUMMYFUNCTION("""COMPUTED_VALUE"""),"No")</f>
        <v>No</v>
      </c>
      <c r="W217" s="5" t="str">
        <f>IFERROR(__xludf.DUMMYFUNCTION("""COMPUTED_VALUE"""),"No")</f>
        <v>No</v>
      </c>
      <c r="X217" s="5" t="str">
        <f>IFERROR(__xludf.DUMMYFUNCTION("""COMPUTED_VALUE"""),"No")</f>
        <v>No</v>
      </c>
      <c r="Y217" s="5" t="str">
        <f>IFERROR(__xludf.DUMMYFUNCTION("""COMPUTED_VALUE"""),"No")</f>
        <v>No</v>
      </c>
      <c r="Z217" s="5" t="str">
        <f>IFERROR(__xludf.DUMMYFUNCTION("""COMPUTED_VALUE"""),"No")</f>
        <v>No</v>
      </c>
      <c r="AA217" s="5" t="str">
        <f>IFERROR(__xludf.DUMMYFUNCTION("""COMPUTED_VALUE"""),"No")</f>
        <v>No</v>
      </c>
      <c r="AB217" s="5" t="str">
        <f>IFERROR(__xludf.DUMMYFUNCTION("""COMPUTED_VALUE"""),"Yes")</f>
        <v>Yes</v>
      </c>
      <c r="AC217" s="5" t="str">
        <f>IFERROR(__xludf.DUMMYFUNCTION("""COMPUTED_VALUE"""),"No")</f>
        <v>No</v>
      </c>
    </row>
    <row r="218">
      <c r="A218" s="5" t="str">
        <f>IFERROR(__xludf.DUMMYFUNCTION("""COMPUTED_VALUE"""),"WildSanta10")</f>
        <v>WildSanta10</v>
      </c>
      <c r="B2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8" s="5" t="str">
        <f>IFERROR(__xludf.DUMMYFUNCTION("""COMPUTED_VALUE"""),"Yes")</f>
        <v>Yes</v>
      </c>
      <c r="D218" s="5" t="str">
        <f>IFERROR(__xludf.DUMMYFUNCTION("""COMPUTED_VALUE"""),"Yes")</f>
        <v>Yes</v>
      </c>
      <c r="E218" s="5" t="str">
        <f>IFERROR(__xludf.DUMMYFUNCTION("""COMPUTED_VALUE"""),"Yes")</f>
        <v>Yes</v>
      </c>
      <c r="F218" s="5" t="str">
        <f>IFERROR(__xludf.DUMMYFUNCTION("""COMPUTED_VALUE"""),"Yes")</f>
        <v>Yes</v>
      </c>
      <c r="G218" s="5" t="str">
        <f>IFERROR(__xludf.DUMMYFUNCTION("""COMPUTED_VALUE"""),"Yes")</f>
        <v>Yes</v>
      </c>
      <c r="H218" s="5" t="str">
        <f>IFERROR(__xludf.DUMMYFUNCTION("""COMPUTED_VALUE"""),"Yes")</f>
        <v>Yes</v>
      </c>
      <c r="I218" s="5" t="str">
        <f>IFERROR(__xludf.DUMMYFUNCTION("""COMPUTED_VALUE"""),"Yes")</f>
        <v>Yes</v>
      </c>
      <c r="J218" s="5" t="str">
        <f>IFERROR(__xludf.DUMMYFUNCTION("""COMPUTED_VALUE"""),"Yes")</f>
        <v>Yes</v>
      </c>
      <c r="K218" s="5" t="str">
        <f>IFERROR(__xludf.DUMMYFUNCTION("""COMPUTED_VALUE"""),"Yes")</f>
        <v>Yes</v>
      </c>
      <c r="L218" s="5" t="str">
        <f>IFERROR(__xludf.DUMMYFUNCTION("""COMPUTED_VALUE"""),"Yes")</f>
        <v>Yes</v>
      </c>
      <c r="M218" s="5" t="str">
        <f>IFERROR(__xludf.DUMMYFUNCTION("""COMPUTED_VALUE"""),"Yes")</f>
        <v>Yes</v>
      </c>
      <c r="N218" s="5" t="str">
        <f>IFERROR(__xludf.DUMMYFUNCTION("""COMPUTED_VALUE"""),"Yes")</f>
        <v>Yes</v>
      </c>
      <c r="O218" s="5" t="str">
        <f>IFERROR(__xludf.DUMMYFUNCTION("""COMPUTED_VALUE"""),"Yes")</f>
        <v>Yes</v>
      </c>
      <c r="P218" s="5" t="str">
        <f>IFERROR(__xludf.DUMMYFUNCTION("""COMPUTED_VALUE"""),"Yes")</f>
        <v>Yes</v>
      </c>
      <c r="Q218" s="5" t="str">
        <f>IFERROR(__xludf.DUMMYFUNCTION("""COMPUTED_VALUE"""),"Yes")</f>
        <v>Yes</v>
      </c>
      <c r="R218" s="5" t="str">
        <f>IFERROR(__xludf.DUMMYFUNCTION("""COMPUTED_VALUE"""),"Yes")</f>
        <v>Yes</v>
      </c>
      <c r="S218" s="5" t="str">
        <f>IFERROR(__xludf.DUMMYFUNCTION("""COMPUTED_VALUE"""),"Yes")</f>
        <v>Yes</v>
      </c>
      <c r="T218" s="5" t="str">
        <f>IFERROR(__xludf.DUMMYFUNCTION("""COMPUTED_VALUE"""),"Yes")</f>
        <v>Yes</v>
      </c>
      <c r="U218" s="5" t="str">
        <f>IFERROR(__xludf.DUMMYFUNCTION("""COMPUTED_VALUE"""),"Yes")</f>
        <v>Yes</v>
      </c>
      <c r="V218" s="5" t="str">
        <f>IFERROR(__xludf.DUMMYFUNCTION("""COMPUTED_VALUE"""),"Yes")</f>
        <v>Yes</v>
      </c>
      <c r="W218" s="5"/>
      <c r="X218" s="5"/>
      <c r="Y218" s="5"/>
      <c r="Z218" s="5" t="str">
        <f>IFERROR(__xludf.DUMMYFUNCTION("""COMPUTED_VALUE"""),"Yes")</f>
        <v>Yes</v>
      </c>
      <c r="AA218" s="5"/>
      <c r="AB218" s="5"/>
      <c r="AC218" s="5"/>
    </row>
    <row r="219">
      <c r="A219" s="5" t="str">
        <f>IFERROR(__xludf.DUMMYFUNCTION("""COMPUTED_VALUE"""),"UnicornFastFruits")</f>
        <v>UnicornFastFruits</v>
      </c>
      <c r="B21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9" s="5" t="str">
        <f>IFERROR(__xludf.DUMMYFUNCTION("""COMPUTED_VALUE"""),"Yes")</f>
        <v>Yes</v>
      </c>
      <c r="D219" s="5" t="str">
        <f>IFERROR(__xludf.DUMMYFUNCTION("""COMPUTED_VALUE"""),"Yes")</f>
        <v>Yes</v>
      </c>
      <c r="E219" s="5" t="str">
        <f>IFERROR(__xludf.DUMMYFUNCTION("""COMPUTED_VALUE"""),"No")</f>
        <v>No</v>
      </c>
      <c r="F219" s="5" t="str">
        <f>IFERROR(__xludf.DUMMYFUNCTION("""COMPUTED_VALUE"""),"Yes")</f>
        <v>Yes</v>
      </c>
      <c r="G219" s="5" t="str">
        <f>IFERROR(__xludf.DUMMYFUNCTION("""COMPUTED_VALUE"""),"Yes")</f>
        <v>Yes</v>
      </c>
      <c r="H219" s="5" t="str">
        <f>IFERROR(__xludf.DUMMYFUNCTION("""COMPUTED_VALUE"""),"Yes")</f>
        <v>Yes</v>
      </c>
      <c r="I219" s="5" t="str">
        <f>IFERROR(__xludf.DUMMYFUNCTION("""COMPUTED_VALUE"""),"Yes")</f>
        <v>Yes</v>
      </c>
      <c r="J219" s="5" t="str">
        <f>IFERROR(__xludf.DUMMYFUNCTION("""COMPUTED_VALUE"""),"Yes")</f>
        <v>Yes</v>
      </c>
      <c r="K219" s="5" t="str">
        <f>IFERROR(__xludf.DUMMYFUNCTION("""COMPUTED_VALUE"""),"Yes")</f>
        <v>Yes</v>
      </c>
      <c r="L219" s="5" t="str">
        <f>IFERROR(__xludf.DUMMYFUNCTION("""COMPUTED_VALUE"""),"Yes")</f>
        <v>Yes</v>
      </c>
      <c r="M219" s="5" t="str">
        <f>IFERROR(__xludf.DUMMYFUNCTION("""COMPUTED_VALUE"""),"Yes")</f>
        <v>Yes</v>
      </c>
      <c r="N219" s="5" t="str">
        <f>IFERROR(__xludf.DUMMYFUNCTION("""COMPUTED_VALUE"""),"Yes")</f>
        <v>Yes</v>
      </c>
      <c r="O219" s="5" t="str">
        <f>IFERROR(__xludf.DUMMYFUNCTION("""COMPUTED_VALUE"""),"Yes")</f>
        <v>Yes</v>
      </c>
      <c r="P219" s="5" t="str">
        <f>IFERROR(__xludf.DUMMYFUNCTION("""COMPUTED_VALUE"""),"Yes")</f>
        <v>Yes</v>
      </c>
      <c r="Q219" s="5" t="str">
        <f>IFERROR(__xludf.DUMMYFUNCTION("""COMPUTED_VALUE"""),"Yes")</f>
        <v>Yes</v>
      </c>
      <c r="R219" s="5" t="str">
        <f>IFERROR(__xludf.DUMMYFUNCTION("""COMPUTED_VALUE"""),"No")</f>
        <v>No</v>
      </c>
      <c r="S219" s="5" t="str">
        <f>IFERROR(__xludf.DUMMYFUNCTION("""COMPUTED_VALUE"""),"No")</f>
        <v>No</v>
      </c>
      <c r="T219" s="5" t="str">
        <f>IFERROR(__xludf.DUMMYFUNCTION("""COMPUTED_VALUE"""),"No")</f>
        <v>No</v>
      </c>
      <c r="U219" s="5" t="str">
        <f>IFERROR(__xludf.DUMMYFUNCTION("""COMPUTED_VALUE"""),"No")</f>
        <v>No</v>
      </c>
      <c r="V219" s="5" t="str">
        <f>IFERROR(__xludf.DUMMYFUNCTION("""COMPUTED_VALUE"""),"No")</f>
        <v>No</v>
      </c>
      <c r="W219" s="5" t="str">
        <f>IFERROR(__xludf.DUMMYFUNCTION("""COMPUTED_VALUE"""),"No")</f>
        <v>No</v>
      </c>
      <c r="X219" s="5" t="str">
        <f>IFERROR(__xludf.DUMMYFUNCTION("""COMPUTED_VALUE"""),"No")</f>
        <v>No</v>
      </c>
      <c r="Y219" s="5" t="str">
        <f>IFERROR(__xludf.DUMMYFUNCTION("""COMPUTED_VALUE"""),"No")</f>
        <v>No</v>
      </c>
      <c r="Z219" s="5" t="str">
        <f>IFERROR(__xludf.DUMMYFUNCTION("""COMPUTED_VALUE"""),"No")</f>
        <v>No</v>
      </c>
      <c r="AA219" s="5" t="str">
        <f>IFERROR(__xludf.DUMMYFUNCTION("""COMPUTED_VALUE"""),"No")</f>
        <v>No</v>
      </c>
      <c r="AB219" s="5" t="str">
        <f>IFERROR(__xludf.DUMMYFUNCTION("""COMPUTED_VALUE"""),"Yes")</f>
        <v>Yes</v>
      </c>
      <c r="AC219" s="5" t="str">
        <f>IFERROR(__xludf.DUMMYFUNCTION("""COMPUTED_VALUE"""),"No")</f>
        <v>No</v>
      </c>
    </row>
    <row r="220">
      <c r="A220" s="5" t="str">
        <f>IFERROR(__xludf.DUMMYFUNCTION("""COMPUTED_VALUE"""),"UnicornMoneyStandardWild")</f>
        <v>UnicornMoneyStandardWild</v>
      </c>
      <c r="B22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0" s="5" t="str">
        <f>IFERROR(__xludf.DUMMYFUNCTION("""COMPUTED_VALUE"""),"Yes")</f>
        <v>Yes</v>
      </c>
      <c r="D220" s="5" t="str">
        <f>IFERROR(__xludf.DUMMYFUNCTION("""COMPUTED_VALUE"""),"Yes")</f>
        <v>Yes</v>
      </c>
      <c r="E220" s="5" t="str">
        <f>IFERROR(__xludf.DUMMYFUNCTION("""COMPUTED_VALUE"""),"Yes")</f>
        <v>Yes</v>
      </c>
      <c r="F220" s="5" t="str">
        <f>IFERROR(__xludf.DUMMYFUNCTION("""COMPUTED_VALUE"""),"No")</f>
        <v>No</v>
      </c>
      <c r="G220" s="5" t="str">
        <f>IFERROR(__xludf.DUMMYFUNCTION("""COMPUTED_VALUE"""),"No")</f>
        <v>No</v>
      </c>
      <c r="H220" s="5" t="str">
        <f>IFERROR(__xludf.DUMMYFUNCTION("""COMPUTED_VALUE"""),"No")</f>
        <v>No</v>
      </c>
      <c r="I220" s="5" t="str">
        <f>IFERROR(__xludf.DUMMYFUNCTION("""COMPUTED_VALUE"""),"No")</f>
        <v>No</v>
      </c>
      <c r="J220" s="5" t="str">
        <f>IFERROR(__xludf.DUMMYFUNCTION("""COMPUTED_VALUE"""),"No")</f>
        <v>No</v>
      </c>
      <c r="K220" s="5" t="str">
        <f>IFERROR(__xludf.DUMMYFUNCTION("""COMPUTED_VALUE"""),"Yes")</f>
        <v>Yes</v>
      </c>
      <c r="L220" s="5" t="str">
        <f>IFERROR(__xludf.DUMMYFUNCTION("""COMPUTED_VALUE"""),"Yes")</f>
        <v>Yes</v>
      </c>
      <c r="M220" s="5" t="str">
        <f>IFERROR(__xludf.DUMMYFUNCTION("""COMPUTED_VALUE"""),"Yes")</f>
        <v>Yes</v>
      </c>
      <c r="N220" s="5" t="str">
        <f>IFERROR(__xludf.DUMMYFUNCTION("""COMPUTED_VALUE"""),"Yes")</f>
        <v>Yes</v>
      </c>
      <c r="O220" s="5" t="str">
        <f>IFERROR(__xludf.DUMMYFUNCTION("""COMPUTED_VALUE"""),"Yes")</f>
        <v>Yes</v>
      </c>
      <c r="P220" s="5" t="str">
        <f>IFERROR(__xludf.DUMMYFUNCTION("""COMPUTED_VALUE"""),"No")</f>
        <v>No</v>
      </c>
      <c r="Q220" s="5" t="str">
        <f>IFERROR(__xludf.DUMMYFUNCTION("""COMPUTED_VALUE"""),"Yes")</f>
        <v>Yes</v>
      </c>
      <c r="R220" s="5" t="str">
        <f>IFERROR(__xludf.DUMMYFUNCTION("""COMPUTED_VALUE"""),"No")</f>
        <v>No</v>
      </c>
      <c r="S220" s="5" t="str">
        <f>IFERROR(__xludf.DUMMYFUNCTION("""COMPUTED_VALUE"""),"No")</f>
        <v>No</v>
      </c>
      <c r="T220" s="5" t="str">
        <f>IFERROR(__xludf.DUMMYFUNCTION("""COMPUTED_VALUE"""),"No")</f>
        <v>No</v>
      </c>
      <c r="U220" s="5" t="str">
        <f>IFERROR(__xludf.DUMMYFUNCTION("""COMPUTED_VALUE"""),"No")</f>
        <v>No</v>
      </c>
      <c r="V220" s="5" t="str">
        <f>IFERROR(__xludf.DUMMYFUNCTION("""COMPUTED_VALUE"""),"No")</f>
        <v>No</v>
      </c>
      <c r="W220" s="5"/>
      <c r="X220" s="5"/>
      <c r="Y220" s="5"/>
      <c r="Z220" s="5" t="str">
        <f>IFERROR(__xludf.DUMMYFUNCTION("""COMPUTED_VALUE"""),"No")</f>
        <v>No</v>
      </c>
      <c r="AA220" s="5"/>
      <c r="AB220" s="5"/>
      <c r="AC220" s="5"/>
    </row>
    <row r="221">
      <c r="A221" s="5" t="str">
        <f>IFERROR(__xludf.DUMMYFUNCTION("""COMPUTED_VALUE"""),"WildHot40Blow")</f>
        <v>WildHot40Blow</v>
      </c>
      <c r="B2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1" s="5" t="str">
        <f>IFERROR(__xludf.DUMMYFUNCTION("""COMPUTED_VALUE"""),"Yes")</f>
        <v>Yes</v>
      </c>
      <c r="D221" s="5" t="str">
        <f>IFERROR(__xludf.DUMMYFUNCTION("""COMPUTED_VALUE"""),"Yes")</f>
        <v>Yes</v>
      </c>
      <c r="E221" s="5" t="str">
        <f>IFERROR(__xludf.DUMMYFUNCTION("""COMPUTED_VALUE"""),"Yes")</f>
        <v>Yes</v>
      </c>
      <c r="F221" s="5" t="str">
        <f>IFERROR(__xludf.DUMMYFUNCTION("""COMPUTED_VALUE"""),"Yes")</f>
        <v>Yes</v>
      </c>
      <c r="G221" s="5" t="str">
        <f>IFERROR(__xludf.DUMMYFUNCTION("""COMPUTED_VALUE"""),"Yes")</f>
        <v>Yes</v>
      </c>
      <c r="H221" s="5" t="str">
        <f>IFERROR(__xludf.DUMMYFUNCTION("""COMPUTED_VALUE"""),"Yes")</f>
        <v>Yes</v>
      </c>
      <c r="I221" s="5" t="str">
        <f>IFERROR(__xludf.DUMMYFUNCTION("""COMPUTED_VALUE"""),"Yes")</f>
        <v>Yes</v>
      </c>
      <c r="J221" s="5" t="str">
        <f>IFERROR(__xludf.DUMMYFUNCTION("""COMPUTED_VALUE"""),"Yes")</f>
        <v>Yes</v>
      </c>
      <c r="K221" s="5" t="str">
        <f>IFERROR(__xludf.DUMMYFUNCTION("""COMPUTED_VALUE"""),"Yes")</f>
        <v>Yes</v>
      </c>
      <c r="L221" s="5" t="str">
        <f>IFERROR(__xludf.DUMMYFUNCTION("""COMPUTED_VALUE"""),"Yes")</f>
        <v>Yes</v>
      </c>
      <c r="M221" s="5" t="str">
        <f>IFERROR(__xludf.DUMMYFUNCTION("""COMPUTED_VALUE"""),"Yes")</f>
        <v>Yes</v>
      </c>
      <c r="N221" s="5" t="str">
        <f>IFERROR(__xludf.DUMMYFUNCTION("""COMPUTED_VALUE"""),"Yes")</f>
        <v>Yes</v>
      </c>
      <c r="O221" s="5" t="str">
        <f>IFERROR(__xludf.DUMMYFUNCTION("""COMPUTED_VALUE"""),"Yes")</f>
        <v>Yes</v>
      </c>
      <c r="P221" s="5" t="str">
        <f>IFERROR(__xludf.DUMMYFUNCTION("""COMPUTED_VALUE"""),"Yes")</f>
        <v>Yes</v>
      </c>
      <c r="Q221" s="5" t="str">
        <f>IFERROR(__xludf.DUMMYFUNCTION("""COMPUTED_VALUE"""),"Yes")</f>
        <v>Yes</v>
      </c>
      <c r="R221" s="5" t="str">
        <f>IFERROR(__xludf.DUMMYFUNCTION("""COMPUTED_VALUE"""),"Yes")</f>
        <v>Yes</v>
      </c>
      <c r="S221" s="5" t="str">
        <f>IFERROR(__xludf.DUMMYFUNCTION("""COMPUTED_VALUE"""),"Yes")</f>
        <v>Yes</v>
      </c>
      <c r="T221" s="5" t="str">
        <f>IFERROR(__xludf.DUMMYFUNCTION("""COMPUTED_VALUE"""),"Yes")</f>
        <v>Yes</v>
      </c>
      <c r="U221" s="5" t="str">
        <f>IFERROR(__xludf.DUMMYFUNCTION("""COMPUTED_VALUE"""),"Yes")</f>
        <v>Yes</v>
      </c>
      <c r="V221" s="5" t="str">
        <f>IFERROR(__xludf.DUMMYFUNCTION("""COMPUTED_VALUE"""),"Yes")</f>
        <v>Yes</v>
      </c>
      <c r="W221" s="5" t="str">
        <f>IFERROR(__xludf.DUMMYFUNCTION("""COMPUTED_VALUE"""),"Yes")</f>
        <v>Yes</v>
      </c>
      <c r="X221" s="5" t="str">
        <f>IFERROR(__xludf.DUMMYFUNCTION("""COMPUTED_VALUE"""),"Yes")</f>
        <v>Yes</v>
      </c>
      <c r="Y221" s="5" t="str">
        <f>IFERROR(__xludf.DUMMYFUNCTION("""COMPUTED_VALUE"""),"Yes")</f>
        <v>Yes</v>
      </c>
      <c r="Z221" s="5" t="str">
        <f>IFERROR(__xludf.DUMMYFUNCTION("""COMPUTED_VALUE"""),"Yes")</f>
        <v>Yes</v>
      </c>
      <c r="AA221" s="5" t="str">
        <f>IFERROR(__xludf.DUMMYFUNCTION("""COMPUTED_VALUE"""),"Yes")</f>
        <v>Yes</v>
      </c>
      <c r="AB221" s="5" t="str">
        <f>IFERROR(__xludf.DUMMYFUNCTION("""COMPUTED_VALUE"""),"Yes")</f>
        <v>Yes</v>
      </c>
      <c r="AC221" s="5" t="str">
        <f>IFERROR(__xludf.DUMMYFUNCTION("""COMPUTED_VALUE"""),"No")</f>
        <v>No</v>
      </c>
    </row>
    <row r="222">
      <c r="A222" s="5" t="str">
        <f>IFERROR(__xludf.DUMMYFUNCTION("""COMPUTED_VALUE"""),"UnicornDiceMegaCash")</f>
        <v>UnicornDiceMegaCash</v>
      </c>
      <c r="B2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2" s="5" t="str">
        <f>IFERROR(__xludf.DUMMYFUNCTION("""COMPUTED_VALUE"""),"Yes")</f>
        <v>Yes</v>
      </c>
      <c r="D222" s="5" t="str">
        <f>IFERROR(__xludf.DUMMYFUNCTION("""COMPUTED_VALUE"""),"Yes")</f>
        <v>Yes</v>
      </c>
      <c r="E222" s="5" t="str">
        <f>IFERROR(__xludf.DUMMYFUNCTION("""COMPUTED_VALUE"""),"Yes")</f>
        <v>Yes</v>
      </c>
      <c r="F222" s="5" t="str">
        <f>IFERROR(__xludf.DUMMYFUNCTION("""COMPUTED_VALUE"""),"Yes")</f>
        <v>Yes</v>
      </c>
      <c r="G222" s="5" t="str">
        <f>IFERROR(__xludf.DUMMYFUNCTION("""COMPUTED_VALUE"""),"Yes")</f>
        <v>Yes</v>
      </c>
      <c r="H222" s="5" t="str">
        <f>IFERROR(__xludf.DUMMYFUNCTION("""COMPUTED_VALUE"""),"Yes")</f>
        <v>Yes</v>
      </c>
      <c r="I222" s="5" t="str">
        <f>IFERROR(__xludf.DUMMYFUNCTION("""COMPUTED_VALUE"""),"Yes")</f>
        <v>Yes</v>
      </c>
      <c r="J222" s="5" t="str">
        <f>IFERROR(__xludf.DUMMYFUNCTION("""COMPUTED_VALUE"""),"Yes")</f>
        <v>Yes</v>
      </c>
      <c r="K222" s="5" t="str">
        <f>IFERROR(__xludf.DUMMYFUNCTION("""COMPUTED_VALUE"""),"Yes")</f>
        <v>Yes</v>
      </c>
      <c r="L222" s="5" t="str">
        <f>IFERROR(__xludf.DUMMYFUNCTION("""COMPUTED_VALUE"""),"Yes")</f>
        <v>Yes</v>
      </c>
      <c r="M222" s="5" t="str">
        <f>IFERROR(__xludf.DUMMYFUNCTION("""COMPUTED_VALUE"""),"Yes")</f>
        <v>Yes</v>
      </c>
      <c r="N222" s="5" t="str">
        <f>IFERROR(__xludf.DUMMYFUNCTION("""COMPUTED_VALUE"""),"Yes")</f>
        <v>Yes</v>
      </c>
      <c r="O222" s="5" t="str">
        <f>IFERROR(__xludf.DUMMYFUNCTION("""COMPUTED_VALUE"""),"Yes")</f>
        <v>Yes</v>
      </c>
      <c r="P222" s="5" t="str">
        <f>IFERROR(__xludf.DUMMYFUNCTION("""COMPUTED_VALUE"""),"Yes")</f>
        <v>Yes</v>
      </c>
      <c r="Q222" s="5" t="str">
        <f>IFERROR(__xludf.DUMMYFUNCTION("""COMPUTED_VALUE"""),"Yes")</f>
        <v>Yes</v>
      </c>
      <c r="R222" s="5" t="str">
        <f>IFERROR(__xludf.DUMMYFUNCTION("""COMPUTED_VALUE"""),"Yes")</f>
        <v>Yes</v>
      </c>
      <c r="S222" s="5" t="str">
        <f>IFERROR(__xludf.DUMMYFUNCTION("""COMPUTED_VALUE"""),"Yes")</f>
        <v>Yes</v>
      </c>
      <c r="T222" s="5" t="str">
        <f>IFERROR(__xludf.DUMMYFUNCTION("""COMPUTED_VALUE"""),"Yes")</f>
        <v>Yes</v>
      </c>
      <c r="U222" s="5" t="str">
        <f>IFERROR(__xludf.DUMMYFUNCTION("""COMPUTED_VALUE"""),"Yes")</f>
        <v>Yes</v>
      </c>
      <c r="V222" s="5" t="str">
        <f>IFERROR(__xludf.DUMMYFUNCTION("""COMPUTED_VALUE"""),"Yes")</f>
        <v>Yes</v>
      </c>
      <c r="W222" s="5" t="str">
        <f>IFERROR(__xludf.DUMMYFUNCTION("""COMPUTED_VALUE"""),"Yes")</f>
        <v>Yes</v>
      </c>
      <c r="X222" s="5" t="str">
        <f>IFERROR(__xludf.DUMMYFUNCTION("""COMPUTED_VALUE"""),"Yes")</f>
        <v>Yes</v>
      </c>
      <c r="Y222" s="5" t="str">
        <f>IFERROR(__xludf.DUMMYFUNCTION("""COMPUTED_VALUE"""),"Yes")</f>
        <v>Yes</v>
      </c>
      <c r="Z222" s="5" t="str">
        <f>IFERROR(__xludf.DUMMYFUNCTION("""COMPUTED_VALUE"""),"Yes")</f>
        <v>Yes</v>
      </c>
      <c r="AA222" s="5" t="str">
        <f>IFERROR(__xludf.DUMMYFUNCTION("""COMPUTED_VALUE"""),"Yes")</f>
        <v>Yes</v>
      </c>
      <c r="AB222" s="5" t="str">
        <f>IFERROR(__xludf.DUMMYFUNCTION("""COMPUTED_VALUE"""),"Yes")</f>
        <v>Yes</v>
      </c>
      <c r="AC222" s="5"/>
    </row>
    <row r="223">
      <c r="A223" s="5" t="str">
        <f>IFERROR(__xludf.DUMMYFUNCTION("""COMPUTED_VALUE"""),"Unicorn40HotStrike")</f>
        <v>Unicorn40HotStrike</v>
      </c>
      <c r="B22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3" s="5" t="str">
        <f>IFERROR(__xludf.DUMMYFUNCTION("""COMPUTED_VALUE"""),"Yes")</f>
        <v>Yes</v>
      </c>
      <c r="D223" s="5" t="str">
        <f>IFERROR(__xludf.DUMMYFUNCTION("""COMPUTED_VALUE"""),"Yes")</f>
        <v>Yes</v>
      </c>
      <c r="E223" s="5" t="str">
        <f>IFERROR(__xludf.DUMMYFUNCTION("""COMPUTED_VALUE"""),"Yes")</f>
        <v>Yes</v>
      </c>
      <c r="F223" s="5" t="str">
        <f>IFERROR(__xludf.DUMMYFUNCTION("""COMPUTED_VALUE"""),"No")</f>
        <v>No</v>
      </c>
      <c r="G223" s="5" t="str">
        <f>IFERROR(__xludf.DUMMYFUNCTION("""COMPUTED_VALUE"""),"No")</f>
        <v>No</v>
      </c>
      <c r="H223" s="5" t="str">
        <f>IFERROR(__xludf.DUMMYFUNCTION("""COMPUTED_VALUE"""),"No")</f>
        <v>No</v>
      </c>
      <c r="I223" s="5" t="str">
        <f>IFERROR(__xludf.DUMMYFUNCTION("""COMPUTED_VALUE"""),"No")</f>
        <v>No</v>
      </c>
      <c r="J223" s="5" t="str">
        <f>IFERROR(__xludf.DUMMYFUNCTION("""COMPUTED_VALUE"""),"No")</f>
        <v>No</v>
      </c>
      <c r="K223" s="5" t="str">
        <f>IFERROR(__xludf.DUMMYFUNCTION("""COMPUTED_VALUE"""),"Yes")</f>
        <v>Yes</v>
      </c>
      <c r="L223" s="5" t="str">
        <f>IFERROR(__xludf.DUMMYFUNCTION("""COMPUTED_VALUE"""),"Yes")</f>
        <v>Yes</v>
      </c>
      <c r="M223" s="5" t="str">
        <f>IFERROR(__xludf.DUMMYFUNCTION("""COMPUTED_VALUE"""),"Yes")</f>
        <v>Yes</v>
      </c>
      <c r="N223" s="5" t="str">
        <f>IFERROR(__xludf.DUMMYFUNCTION("""COMPUTED_VALUE"""),"Yes")</f>
        <v>Yes</v>
      </c>
      <c r="O223" s="5" t="str">
        <f>IFERROR(__xludf.DUMMYFUNCTION("""COMPUTED_VALUE"""),"Yes")</f>
        <v>Yes</v>
      </c>
      <c r="P223" s="5" t="str">
        <f>IFERROR(__xludf.DUMMYFUNCTION("""COMPUTED_VALUE"""),"No")</f>
        <v>No</v>
      </c>
      <c r="Q223" s="5" t="str">
        <f>IFERROR(__xludf.DUMMYFUNCTION("""COMPUTED_VALUE"""),"Yes")</f>
        <v>Yes</v>
      </c>
      <c r="R223" s="5" t="str">
        <f>IFERROR(__xludf.DUMMYFUNCTION("""COMPUTED_VALUE"""),"No")</f>
        <v>No</v>
      </c>
      <c r="S223" s="5" t="str">
        <f>IFERROR(__xludf.DUMMYFUNCTION("""COMPUTED_VALUE"""),"No")</f>
        <v>No</v>
      </c>
      <c r="T223" s="5" t="str">
        <f>IFERROR(__xludf.DUMMYFUNCTION("""COMPUTED_VALUE"""),"No")</f>
        <v>No</v>
      </c>
      <c r="U223" s="5" t="str">
        <f>IFERROR(__xludf.DUMMYFUNCTION("""COMPUTED_VALUE"""),"No")</f>
        <v>No</v>
      </c>
      <c r="V223" s="5" t="str">
        <f>IFERROR(__xludf.DUMMYFUNCTION("""COMPUTED_VALUE"""),"No")</f>
        <v>No</v>
      </c>
      <c r="W223" s="5"/>
      <c r="X223" s="5"/>
      <c r="Y223" s="5"/>
      <c r="Z223" s="5" t="str">
        <f>IFERROR(__xludf.DUMMYFUNCTION("""COMPUTED_VALUE"""),"No")</f>
        <v>No</v>
      </c>
      <c r="AA223" s="5"/>
      <c r="AB223" s="5"/>
      <c r="AC223" s="5"/>
    </row>
    <row r="224">
      <c r="A224" s="5" t="str">
        <f>IFERROR(__xludf.DUMMYFUNCTION("""COMPUTED_VALUE"""),"ShiningRush")</f>
        <v>ShiningRush</v>
      </c>
      <c r="B22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4" s="5" t="str">
        <f>IFERROR(__xludf.DUMMYFUNCTION("""COMPUTED_VALUE"""),"Yes")</f>
        <v>Yes</v>
      </c>
      <c r="D224" s="5" t="str">
        <f>IFERROR(__xludf.DUMMYFUNCTION("""COMPUTED_VALUE"""),"Yes")</f>
        <v>Yes</v>
      </c>
      <c r="E224" s="5" t="str">
        <f>IFERROR(__xludf.DUMMYFUNCTION("""COMPUTED_VALUE"""),"Yes")</f>
        <v>Yes</v>
      </c>
      <c r="F224" s="5" t="str">
        <f>IFERROR(__xludf.DUMMYFUNCTION("""COMPUTED_VALUE"""),"No")</f>
        <v>No</v>
      </c>
      <c r="G224" s="5" t="str">
        <f>IFERROR(__xludf.DUMMYFUNCTION("""COMPUTED_VALUE"""),"No")</f>
        <v>No</v>
      </c>
      <c r="H224" s="5" t="str">
        <f>IFERROR(__xludf.DUMMYFUNCTION("""COMPUTED_VALUE"""),"No")</f>
        <v>No</v>
      </c>
      <c r="I224" s="5" t="str">
        <f>IFERROR(__xludf.DUMMYFUNCTION("""COMPUTED_VALUE"""),"No")</f>
        <v>No</v>
      </c>
      <c r="J224" s="5" t="str">
        <f>IFERROR(__xludf.DUMMYFUNCTION("""COMPUTED_VALUE"""),"No")</f>
        <v>No</v>
      </c>
      <c r="K224" s="5" t="str">
        <f>IFERROR(__xludf.DUMMYFUNCTION("""COMPUTED_VALUE"""),"Yes")</f>
        <v>Yes</v>
      </c>
      <c r="L224" s="5" t="str">
        <f>IFERROR(__xludf.DUMMYFUNCTION("""COMPUTED_VALUE"""),"Yes")</f>
        <v>Yes</v>
      </c>
      <c r="M224" s="5" t="str">
        <f>IFERROR(__xludf.DUMMYFUNCTION("""COMPUTED_VALUE"""),"Yes")</f>
        <v>Yes</v>
      </c>
      <c r="N224" s="5" t="str">
        <f>IFERROR(__xludf.DUMMYFUNCTION("""COMPUTED_VALUE"""),"Yes")</f>
        <v>Yes</v>
      </c>
      <c r="O224" s="5" t="str">
        <f>IFERROR(__xludf.DUMMYFUNCTION("""COMPUTED_VALUE"""),"Yes")</f>
        <v>Yes</v>
      </c>
      <c r="P224" s="5" t="str">
        <f>IFERROR(__xludf.DUMMYFUNCTION("""COMPUTED_VALUE"""),"No")</f>
        <v>No</v>
      </c>
      <c r="Q224" s="5" t="str">
        <f>IFERROR(__xludf.DUMMYFUNCTION("""COMPUTED_VALUE"""),"Yes")</f>
        <v>Yes</v>
      </c>
      <c r="R224" s="5" t="str">
        <f>IFERROR(__xludf.DUMMYFUNCTION("""COMPUTED_VALUE"""),"No")</f>
        <v>No</v>
      </c>
      <c r="S224" s="5" t="str">
        <f>IFERROR(__xludf.DUMMYFUNCTION("""COMPUTED_VALUE"""),"No")</f>
        <v>No</v>
      </c>
      <c r="T224" s="5" t="str">
        <f>IFERROR(__xludf.DUMMYFUNCTION("""COMPUTED_VALUE"""),"No")</f>
        <v>No</v>
      </c>
      <c r="U224" s="5" t="str">
        <f>IFERROR(__xludf.DUMMYFUNCTION("""COMPUTED_VALUE"""),"No")</f>
        <v>No</v>
      </c>
      <c r="V224" s="5" t="str">
        <f>IFERROR(__xludf.DUMMYFUNCTION("""COMPUTED_VALUE"""),"No")</f>
        <v>No</v>
      </c>
      <c r="W224" s="5"/>
      <c r="X224" s="5"/>
      <c r="Y224" s="5"/>
      <c r="Z224" s="5" t="str">
        <f>IFERROR(__xludf.DUMMYFUNCTION("""COMPUTED_VALUE"""),"No")</f>
        <v>No</v>
      </c>
      <c r="AA224" s="5"/>
      <c r="AB224" s="5"/>
      <c r="AC224" s="5"/>
    </row>
    <row r="225">
      <c r="A225" s="5" t="str">
        <f>IFERROR(__xludf.DUMMYFUNCTION("""COMPUTED_VALUE"""),"GoldenExplosion")</f>
        <v>GoldenExplosion</v>
      </c>
      <c r="B2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5" s="5" t="str">
        <f>IFERROR(__xludf.DUMMYFUNCTION("""COMPUTED_VALUE"""),"Yes")</f>
        <v>Yes</v>
      </c>
      <c r="D225" s="5" t="str">
        <f>IFERROR(__xludf.DUMMYFUNCTION("""COMPUTED_VALUE"""),"Yes")</f>
        <v>Yes</v>
      </c>
      <c r="E225" s="5" t="str">
        <f>IFERROR(__xludf.DUMMYFUNCTION("""COMPUTED_VALUE"""),"Yes")</f>
        <v>Yes</v>
      </c>
      <c r="F225" s="5" t="str">
        <f>IFERROR(__xludf.DUMMYFUNCTION("""COMPUTED_VALUE"""),"Yes")</f>
        <v>Yes</v>
      </c>
      <c r="G225" s="5" t="str">
        <f>IFERROR(__xludf.DUMMYFUNCTION("""COMPUTED_VALUE"""),"Yes")</f>
        <v>Yes</v>
      </c>
      <c r="H225" s="5" t="str">
        <f>IFERROR(__xludf.DUMMYFUNCTION("""COMPUTED_VALUE"""),"Yes")</f>
        <v>Yes</v>
      </c>
      <c r="I225" s="5" t="str">
        <f>IFERROR(__xludf.DUMMYFUNCTION("""COMPUTED_VALUE"""),"Yes")</f>
        <v>Yes</v>
      </c>
      <c r="J225" s="5" t="str">
        <f>IFERROR(__xludf.DUMMYFUNCTION("""COMPUTED_VALUE"""),"Yes")</f>
        <v>Yes</v>
      </c>
      <c r="K225" s="5" t="str">
        <f>IFERROR(__xludf.DUMMYFUNCTION("""COMPUTED_VALUE"""),"Yes")</f>
        <v>Yes</v>
      </c>
      <c r="L225" s="5" t="str">
        <f>IFERROR(__xludf.DUMMYFUNCTION("""COMPUTED_VALUE"""),"Yes")</f>
        <v>Yes</v>
      </c>
      <c r="M225" s="5" t="str">
        <f>IFERROR(__xludf.DUMMYFUNCTION("""COMPUTED_VALUE"""),"Yes")</f>
        <v>Yes</v>
      </c>
      <c r="N225" s="5" t="str">
        <f>IFERROR(__xludf.DUMMYFUNCTION("""COMPUTED_VALUE"""),"Yes")</f>
        <v>Yes</v>
      </c>
      <c r="O225" s="5" t="str">
        <f>IFERROR(__xludf.DUMMYFUNCTION("""COMPUTED_VALUE"""),"Yes")</f>
        <v>Yes</v>
      </c>
      <c r="P225" s="5" t="str">
        <f>IFERROR(__xludf.DUMMYFUNCTION("""COMPUTED_VALUE"""),"Yes")</f>
        <v>Yes</v>
      </c>
      <c r="Q225" s="5" t="str">
        <f>IFERROR(__xludf.DUMMYFUNCTION("""COMPUTED_VALUE"""),"Yes")</f>
        <v>Yes</v>
      </c>
      <c r="R225" s="5" t="str">
        <f>IFERROR(__xludf.DUMMYFUNCTION("""COMPUTED_VALUE"""),"Yes")</f>
        <v>Yes</v>
      </c>
      <c r="S225" s="5" t="str">
        <f>IFERROR(__xludf.DUMMYFUNCTION("""COMPUTED_VALUE"""),"Yes")</f>
        <v>Yes</v>
      </c>
      <c r="T225" s="5" t="str">
        <f>IFERROR(__xludf.DUMMYFUNCTION("""COMPUTED_VALUE"""),"Yes")</f>
        <v>Yes</v>
      </c>
      <c r="U225" s="5" t="str">
        <f>IFERROR(__xludf.DUMMYFUNCTION("""COMPUTED_VALUE"""),"Yes")</f>
        <v>Yes</v>
      </c>
      <c r="V225" s="5" t="str">
        <f>IFERROR(__xludf.DUMMYFUNCTION("""COMPUTED_VALUE"""),"Yes")</f>
        <v>Yes</v>
      </c>
      <c r="W225" s="5" t="str">
        <f>IFERROR(__xludf.DUMMYFUNCTION("""COMPUTED_VALUE"""),"Yes")</f>
        <v>Yes</v>
      </c>
      <c r="X225" s="5" t="str">
        <f>IFERROR(__xludf.DUMMYFUNCTION("""COMPUTED_VALUE"""),"Yes")</f>
        <v>Yes</v>
      </c>
      <c r="Y225" s="5" t="str">
        <f>IFERROR(__xludf.DUMMYFUNCTION("""COMPUTED_VALUE"""),"Yes")</f>
        <v>Yes</v>
      </c>
      <c r="Z225" s="5" t="str">
        <f>IFERROR(__xludf.DUMMYFUNCTION("""COMPUTED_VALUE"""),"Yes")</f>
        <v>Yes</v>
      </c>
      <c r="AA225" s="5" t="str">
        <f>IFERROR(__xludf.DUMMYFUNCTION("""COMPUTED_VALUE"""),"Yes")</f>
        <v>Yes</v>
      </c>
      <c r="AB225" s="5" t="str">
        <f>IFERROR(__xludf.DUMMYFUNCTION("""COMPUTED_VALUE"""),"Yes")</f>
        <v>Yes</v>
      </c>
      <c r="AC225" s="5" t="str">
        <f>IFERROR(__xludf.DUMMYFUNCTION("""COMPUTED_VALUE"""),"No")</f>
        <v>No</v>
      </c>
    </row>
    <row r="226">
      <c r="A226" s="5" t="str">
        <f>IFERROR(__xludf.DUMMYFUNCTION("""COMPUTED_VALUE"""),"VeryHot5Extreme")</f>
        <v>VeryHot5Extreme</v>
      </c>
      <c r="B2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6" s="5" t="str">
        <f>IFERROR(__xludf.DUMMYFUNCTION("""COMPUTED_VALUE"""),"Yes")</f>
        <v>Yes</v>
      </c>
      <c r="D226" s="5" t="str">
        <f>IFERROR(__xludf.DUMMYFUNCTION("""COMPUTED_VALUE"""),"Yes")</f>
        <v>Yes</v>
      </c>
      <c r="E226" s="5" t="str">
        <f>IFERROR(__xludf.DUMMYFUNCTION("""COMPUTED_VALUE"""),"Yes")</f>
        <v>Yes</v>
      </c>
      <c r="F226" s="5" t="str">
        <f>IFERROR(__xludf.DUMMYFUNCTION("""COMPUTED_VALUE"""),"Yes")</f>
        <v>Yes</v>
      </c>
      <c r="G226" s="5" t="str">
        <f>IFERROR(__xludf.DUMMYFUNCTION("""COMPUTED_VALUE"""),"Yes")</f>
        <v>Yes</v>
      </c>
      <c r="H226" s="5" t="str">
        <f>IFERROR(__xludf.DUMMYFUNCTION("""COMPUTED_VALUE"""),"Yes")</f>
        <v>Yes</v>
      </c>
      <c r="I226" s="5" t="str">
        <f>IFERROR(__xludf.DUMMYFUNCTION("""COMPUTED_VALUE"""),"Yes")</f>
        <v>Yes</v>
      </c>
      <c r="J226" s="5" t="str">
        <f>IFERROR(__xludf.DUMMYFUNCTION("""COMPUTED_VALUE"""),"Yes")</f>
        <v>Yes</v>
      </c>
      <c r="K226" s="5" t="str">
        <f>IFERROR(__xludf.DUMMYFUNCTION("""COMPUTED_VALUE"""),"Yes")</f>
        <v>Yes</v>
      </c>
      <c r="L226" s="5" t="str">
        <f>IFERROR(__xludf.DUMMYFUNCTION("""COMPUTED_VALUE"""),"Yes")</f>
        <v>Yes</v>
      </c>
      <c r="M226" s="5" t="str">
        <f>IFERROR(__xludf.DUMMYFUNCTION("""COMPUTED_VALUE"""),"Yes")</f>
        <v>Yes</v>
      </c>
      <c r="N226" s="5" t="str">
        <f>IFERROR(__xludf.DUMMYFUNCTION("""COMPUTED_VALUE"""),"Yes")</f>
        <v>Yes</v>
      </c>
      <c r="O226" s="5" t="str">
        <f>IFERROR(__xludf.DUMMYFUNCTION("""COMPUTED_VALUE"""),"Yes")</f>
        <v>Yes</v>
      </c>
      <c r="P226" s="5" t="str">
        <f>IFERROR(__xludf.DUMMYFUNCTION("""COMPUTED_VALUE"""),"Yes")</f>
        <v>Yes</v>
      </c>
      <c r="Q226" s="5" t="str">
        <f>IFERROR(__xludf.DUMMYFUNCTION("""COMPUTED_VALUE"""),"Yes")</f>
        <v>Yes</v>
      </c>
      <c r="R226" s="5" t="str">
        <f>IFERROR(__xludf.DUMMYFUNCTION("""COMPUTED_VALUE"""),"Yes")</f>
        <v>Yes</v>
      </c>
      <c r="S226" s="5" t="str">
        <f>IFERROR(__xludf.DUMMYFUNCTION("""COMPUTED_VALUE"""),"Yes")</f>
        <v>Yes</v>
      </c>
      <c r="T226" s="5" t="str">
        <f>IFERROR(__xludf.DUMMYFUNCTION("""COMPUTED_VALUE"""),"Yes")</f>
        <v>Yes</v>
      </c>
      <c r="U226" s="5" t="str">
        <f>IFERROR(__xludf.DUMMYFUNCTION("""COMPUTED_VALUE"""),"Yes")</f>
        <v>Yes</v>
      </c>
      <c r="V226" s="5" t="str">
        <f>IFERROR(__xludf.DUMMYFUNCTION("""COMPUTED_VALUE"""),"Yes")</f>
        <v>Yes</v>
      </c>
      <c r="W226" s="5" t="str">
        <f>IFERROR(__xludf.DUMMYFUNCTION("""COMPUTED_VALUE"""),"Yes")</f>
        <v>Yes</v>
      </c>
      <c r="X226" s="5" t="str">
        <f>IFERROR(__xludf.DUMMYFUNCTION("""COMPUTED_VALUE"""),"Yes")</f>
        <v>Yes</v>
      </c>
      <c r="Y226" s="5" t="str">
        <f>IFERROR(__xludf.DUMMYFUNCTION("""COMPUTED_VALUE"""),"Yes")</f>
        <v>Yes</v>
      </c>
      <c r="Z226" s="5" t="str">
        <f>IFERROR(__xludf.DUMMYFUNCTION("""COMPUTED_VALUE"""),"Yes")</f>
        <v>Yes</v>
      </c>
      <c r="AA226" s="5" t="str">
        <f>IFERROR(__xludf.DUMMYFUNCTION("""COMPUTED_VALUE"""),"Yes")</f>
        <v>Yes</v>
      </c>
      <c r="AB226" s="5" t="str">
        <f>IFERROR(__xludf.DUMMYFUNCTION("""COMPUTED_VALUE"""),"Yes")</f>
        <v>Yes</v>
      </c>
      <c r="AC226" s="5" t="str">
        <f>IFERROR(__xludf.DUMMYFUNCTION("""COMPUTED_VALUE"""),"No")</f>
        <v>No</v>
      </c>
    </row>
    <row r="227">
      <c r="A227" s="5" t="str">
        <f>IFERROR(__xludf.DUMMYFUNCTION("""COMPUTED_VALUE"""),"PixelHot40")</f>
        <v>PixelHot40</v>
      </c>
      <c r="B2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7" s="5" t="str">
        <f>IFERROR(__xludf.DUMMYFUNCTION("""COMPUTED_VALUE"""),"Yes")</f>
        <v>Yes</v>
      </c>
      <c r="D227" s="5" t="str">
        <f>IFERROR(__xludf.DUMMYFUNCTION("""COMPUTED_VALUE"""),"Yes")</f>
        <v>Yes</v>
      </c>
      <c r="E227" s="5" t="str">
        <f>IFERROR(__xludf.DUMMYFUNCTION("""COMPUTED_VALUE"""),"Yes")</f>
        <v>Yes</v>
      </c>
      <c r="F227" s="5" t="str">
        <f>IFERROR(__xludf.DUMMYFUNCTION("""COMPUTED_VALUE"""),"Yes")</f>
        <v>Yes</v>
      </c>
      <c r="G227" s="5" t="str">
        <f>IFERROR(__xludf.DUMMYFUNCTION("""COMPUTED_VALUE"""),"Yes")</f>
        <v>Yes</v>
      </c>
      <c r="H227" s="5" t="str">
        <f>IFERROR(__xludf.DUMMYFUNCTION("""COMPUTED_VALUE"""),"Yes")</f>
        <v>Yes</v>
      </c>
      <c r="I227" s="5" t="str">
        <f>IFERROR(__xludf.DUMMYFUNCTION("""COMPUTED_VALUE"""),"Yes")</f>
        <v>Yes</v>
      </c>
      <c r="J227" s="5" t="str">
        <f>IFERROR(__xludf.DUMMYFUNCTION("""COMPUTED_VALUE"""),"Yes")</f>
        <v>Yes</v>
      </c>
      <c r="K227" s="5" t="str">
        <f>IFERROR(__xludf.DUMMYFUNCTION("""COMPUTED_VALUE"""),"Yes")</f>
        <v>Yes</v>
      </c>
      <c r="L227" s="5" t="str">
        <f>IFERROR(__xludf.DUMMYFUNCTION("""COMPUTED_VALUE"""),"Yes")</f>
        <v>Yes</v>
      </c>
      <c r="M227" s="5" t="str">
        <f>IFERROR(__xludf.DUMMYFUNCTION("""COMPUTED_VALUE"""),"Yes")</f>
        <v>Yes</v>
      </c>
      <c r="N227" s="5" t="str">
        <f>IFERROR(__xludf.DUMMYFUNCTION("""COMPUTED_VALUE"""),"Yes")</f>
        <v>Yes</v>
      </c>
      <c r="O227" s="5" t="str">
        <f>IFERROR(__xludf.DUMMYFUNCTION("""COMPUTED_VALUE"""),"Yes")</f>
        <v>Yes</v>
      </c>
      <c r="P227" s="5" t="str">
        <f>IFERROR(__xludf.DUMMYFUNCTION("""COMPUTED_VALUE"""),"Yes")</f>
        <v>Yes</v>
      </c>
      <c r="Q227" s="5" t="str">
        <f>IFERROR(__xludf.DUMMYFUNCTION("""COMPUTED_VALUE"""),"Yes")</f>
        <v>Yes</v>
      </c>
      <c r="R227" s="5" t="str">
        <f>IFERROR(__xludf.DUMMYFUNCTION("""COMPUTED_VALUE"""),"Yes")</f>
        <v>Yes</v>
      </c>
      <c r="S227" s="5" t="str">
        <f>IFERROR(__xludf.DUMMYFUNCTION("""COMPUTED_VALUE"""),"Yes")</f>
        <v>Yes</v>
      </c>
      <c r="T227" s="5" t="str">
        <f>IFERROR(__xludf.DUMMYFUNCTION("""COMPUTED_VALUE"""),"Yes")</f>
        <v>Yes</v>
      </c>
      <c r="U227" s="5" t="str">
        <f>IFERROR(__xludf.DUMMYFUNCTION("""COMPUTED_VALUE"""),"Yes")</f>
        <v>Yes</v>
      </c>
      <c r="V227" s="5" t="str">
        <f>IFERROR(__xludf.DUMMYFUNCTION("""COMPUTED_VALUE"""),"Yes")</f>
        <v>Yes</v>
      </c>
      <c r="W227" s="5" t="str">
        <f>IFERROR(__xludf.DUMMYFUNCTION("""COMPUTED_VALUE"""),"Yes")</f>
        <v>Yes</v>
      </c>
      <c r="X227" s="5" t="str">
        <f>IFERROR(__xludf.DUMMYFUNCTION("""COMPUTED_VALUE"""),"Yes")</f>
        <v>Yes</v>
      </c>
      <c r="Y227" s="5" t="str">
        <f>IFERROR(__xludf.DUMMYFUNCTION("""COMPUTED_VALUE"""),"Yes")</f>
        <v>Yes</v>
      </c>
      <c r="Z227" s="5" t="str">
        <f>IFERROR(__xludf.DUMMYFUNCTION("""COMPUTED_VALUE"""),"Yes")</f>
        <v>Yes</v>
      </c>
      <c r="AA227" s="5" t="str">
        <f>IFERROR(__xludf.DUMMYFUNCTION("""COMPUTED_VALUE"""),"Yes")</f>
        <v>Yes</v>
      </c>
      <c r="AB227" s="5" t="str">
        <f>IFERROR(__xludf.DUMMYFUNCTION("""COMPUTED_VALUE"""),"Yes")</f>
        <v>Yes</v>
      </c>
      <c r="AC227" s="5" t="str">
        <f>IFERROR(__xludf.DUMMYFUNCTION("""COMPUTED_VALUE"""),"No")</f>
        <v>No</v>
      </c>
    </row>
    <row r="228">
      <c r="A228" s="5" t="str">
        <f>IFERROR(__xludf.DUMMYFUNCTION("""COMPUTED_VALUE"""),"Unicorn40HotStrikeDice")</f>
        <v>Unicorn40HotStrikeDice</v>
      </c>
      <c r="B2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8" s="5" t="str">
        <f>IFERROR(__xludf.DUMMYFUNCTION("""COMPUTED_VALUE"""),"Yes")</f>
        <v>Yes</v>
      </c>
      <c r="D228" s="5" t="str">
        <f>IFERROR(__xludf.DUMMYFUNCTION("""COMPUTED_VALUE"""),"Yes")</f>
        <v>Yes</v>
      </c>
      <c r="E228" s="5" t="str">
        <f>IFERROR(__xludf.DUMMYFUNCTION("""COMPUTED_VALUE"""),"Yes")</f>
        <v>Yes</v>
      </c>
      <c r="F228" s="5" t="str">
        <f>IFERROR(__xludf.DUMMYFUNCTION("""COMPUTED_VALUE"""),"Yes")</f>
        <v>Yes</v>
      </c>
      <c r="G228" s="5" t="str">
        <f>IFERROR(__xludf.DUMMYFUNCTION("""COMPUTED_VALUE"""),"Yes")</f>
        <v>Yes</v>
      </c>
      <c r="H228" s="5" t="str">
        <f>IFERROR(__xludf.DUMMYFUNCTION("""COMPUTED_VALUE"""),"Yes")</f>
        <v>Yes</v>
      </c>
      <c r="I228" s="5" t="str">
        <f>IFERROR(__xludf.DUMMYFUNCTION("""COMPUTED_VALUE"""),"Yes")</f>
        <v>Yes</v>
      </c>
      <c r="J228" s="5" t="str">
        <f>IFERROR(__xludf.DUMMYFUNCTION("""COMPUTED_VALUE"""),"Yes")</f>
        <v>Yes</v>
      </c>
      <c r="K228" s="5" t="str">
        <f>IFERROR(__xludf.DUMMYFUNCTION("""COMPUTED_VALUE"""),"Yes")</f>
        <v>Yes</v>
      </c>
      <c r="L228" s="5" t="str">
        <f>IFERROR(__xludf.DUMMYFUNCTION("""COMPUTED_VALUE"""),"Yes")</f>
        <v>Yes</v>
      </c>
      <c r="M228" s="5" t="str">
        <f>IFERROR(__xludf.DUMMYFUNCTION("""COMPUTED_VALUE"""),"Yes")</f>
        <v>Yes</v>
      </c>
      <c r="N228" s="5" t="str">
        <f>IFERROR(__xludf.DUMMYFUNCTION("""COMPUTED_VALUE"""),"Yes")</f>
        <v>Yes</v>
      </c>
      <c r="O228" s="5" t="str">
        <f>IFERROR(__xludf.DUMMYFUNCTION("""COMPUTED_VALUE"""),"Yes")</f>
        <v>Yes</v>
      </c>
      <c r="P228" s="5" t="str">
        <f>IFERROR(__xludf.DUMMYFUNCTION("""COMPUTED_VALUE"""),"Yes")</f>
        <v>Yes</v>
      </c>
      <c r="Q228" s="5" t="str">
        <f>IFERROR(__xludf.DUMMYFUNCTION("""COMPUTED_VALUE"""),"Yes")</f>
        <v>Yes</v>
      </c>
      <c r="R228" s="5" t="str">
        <f>IFERROR(__xludf.DUMMYFUNCTION("""COMPUTED_VALUE"""),"Yes")</f>
        <v>Yes</v>
      </c>
      <c r="S228" s="5" t="str">
        <f>IFERROR(__xludf.DUMMYFUNCTION("""COMPUTED_VALUE"""),"Yes")</f>
        <v>Yes</v>
      </c>
      <c r="T228" s="5" t="str">
        <f>IFERROR(__xludf.DUMMYFUNCTION("""COMPUTED_VALUE"""),"Yes")</f>
        <v>Yes</v>
      </c>
      <c r="U228" s="5" t="str">
        <f>IFERROR(__xludf.DUMMYFUNCTION("""COMPUTED_VALUE"""),"Yes")</f>
        <v>Yes</v>
      </c>
      <c r="V228" s="5" t="str">
        <f>IFERROR(__xludf.DUMMYFUNCTION("""COMPUTED_VALUE"""),"Yes")</f>
        <v>Yes</v>
      </c>
      <c r="W228" s="5" t="str">
        <f>IFERROR(__xludf.DUMMYFUNCTION("""COMPUTED_VALUE"""),"Yes")</f>
        <v>Yes</v>
      </c>
      <c r="X228" s="5" t="str">
        <f>IFERROR(__xludf.DUMMYFUNCTION("""COMPUTED_VALUE"""),"Yes")</f>
        <v>Yes</v>
      </c>
      <c r="Y228" s="5" t="str">
        <f>IFERROR(__xludf.DUMMYFUNCTION("""COMPUTED_VALUE"""),"Yes")</f>
        <v>Yes</v>
      </c>
      <c r="Z228" s="5" t="str">
        <f>IFERROR(__xludf.DUMMYFUNCTION("""COMPUTED_VALUE"""),"Yes")</f>
        <v>Yes</v>
      </c>
      <c r="AA228" s="5" t="str">
        <f>IFERROR(__xludf.DUMMYFUNCTION("""COMPUTED_VALUE"""),"Yes")</f>
        <v>Yes</v>
      </c>
      <c r="AB228" s="5" t="str">
        <f>IFERROR(__xludf.DUMMYFUNCTION("""COMPUTED_VALUE"""),"Yes")</f>
        <v>Yes</v>
      </c>
      <c r="AC228" s="5"/>
    </row>
    <row r="229">
      <c r="A229" s="5" t="str">
        <f>IFERROR(__xludf.DUMMYFUNCTION("""COMPUTED_VALUE"""),"Unicorn20HotStrike")</f>
        <v>Unicorn20HotStrike</v>
      </c>
      <c r="B2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29" s="5" t="str">
        <f>IFERROR(__xludf.DUMMYFUNCTION("""COMPUTED_VALUE"""),"Yes")</f>
        <v>Yes</v>
      </c>
      <c r="D229" s="5" t="str">
        <f>IFERROR(__xludf.DUMMYFUNCTION("""COMPUTED_VALUE"""),"Yes")</f>
        <v>Yes</v>
      </c>
      <c r="E229" s="5" t="str">
        <f>IFERROR(__xludf.DUMMYFUNCTION("""COMPUTED_VALUE"""),"Yes")</f>
        <v>Yes</v>
      </c>
      <c r="F229" s="5" t="str">
        <f>IFERROR(__xludf.DUMMYFUNCTION("""COMPUTED_VALUE"""),"No")</f>
        <v>No</v>
      </c>
      <c r="G229" s="5" t="str">
        <f>IFERROR(__xludf.DUMMYFUNCTION("""COMPUTED_VALUE"""),"No")</f>
        <v>No</v>
      </c>
      <c r="H229" s="5" t="str">
        <f>IFERROR(__xludf.DUMMYFUNCTION("""COMPUTED_VALUE"""),"No")</f>
        <v>No</v>
      </c>
      <c r="I229" s="5" t="str">
        <f>IFERROR(__xludf.DUMMYFUNCTION("""COMPUTED_VALUE"""),"No")</f>
        <v>No</v>
      </c>
      <c r="J229" s="5" t="str">
        <f>IFERROR(__xludf.DUMMYFUNCTION("""COMPUTED_VALUE"""),"No")</f>
        <v>No</v>
      </c>
      <c r="K229" s="5" t="str">
        <f>IFERROR(__xludf.DUMMYFUNCTION("""COMPUTED_VALUE"""),"Yes")</f>
        <v>Yes</v>
      </c>
      <c r="L229" s="5" t="str">
        <f>IFERROR(__xludf.DUMMYFUNCTION("""COMPUTED_VALUE"""),"Yes")</f>
        <v>Yes</v>
      </c>
      <c r="M229" s="5" t="str">
        <f>IFERROR(__xludf.DUMMYFUNCTION("""COMPUTED_VALUE"""),"Yes")</f>
        <v>Yes</v>
      </c>
      <c r="N229" s="5" t="str">
        <f>IFERROR(__xludf.DUMMYFUNCTION("""COMPUTED_VALUE"""),"Yes")</f>
        <v>Yes</v>
      </c>
      <c r="O229" s="5" t="str">
        <f>IFERROR(__xludf.DUMMYFUNCTION("""COMPUTED_VALUE"""),"Yes")</f>
        <v>Yes</v>
      </c>
      <c r="P229" s="5" t="str">
        <f>IFERROR(__xludf.DUMMYFUNCTION("""COMPUTED_VALUE"""),"No")</f>
        <v>No</v>
      </c>
      <c r="Q229" s="5" t="str">
        <f>IFERROR(__xludf.DUMMYFUNCTION("""COMPUTED_VALUE"""),"Yes")</f>
        <v>Yes</v>
      </c>
      <c r="R229" s="5" t="str">
        <f>IFERROR(__xludf.DUMMYFUNCTION("""COMPUTED_VALUE"""),"No")</f>
        <v>No</v>
      </c>
      <c r="S229" s="5" t="str">
        <f>IFERROR(__xludf.DUMMYFUNCTION("""COMPUTED_VALUE"""),"No")</f>
        <v>No</v>
      </c>
      <c r="T229" s="5" t="str">
        <f>IFERROR(__xludf.DUMMYFUNCTION("""COMPUTED_VALUE"""),"No")</f>
        <v>No</v>
      </c>
      <c r="U229" s="5" t="str">
        <f>IFERROR(__xludf.DUMMYFUNCTION("""COMPUTED_VALUE"""),"No")</f>
        <v>No</v>
      </c>
      <c r="V229" s="5" t="str">
        <f>IFERROR(__xludf.DUMMYFUNCTION("""COMPUTED_VALUE"""),"No")</f>
        <v>No</v>
      </c>
      <c r="W229" s="5"/>
      <c r="X229" s="5"/>
      <c r="Y229" s="5"/>
      <c r="Z229" s="5" t="str">
        <f>IFERROR(__xludf.DUMMYFUNCTION("""COMPUTED_VALUE"""),"No")</f>
        <v>No</v>
      </c>
      <c r="AA229" s="5"/>
      <c r="AB229" s="5"/>
      <c r="AC229" s="5"/>
    </row>
    <row r="230">
      <c r="A230" s="5" t="str">
        <f>IFERROR(__xludf.DUMMYFUNCTION("""COMPUTED_VALUE"""),"FireCash20")</f>
        <v>FireCash20</v>
      </c>
      <c r="B23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30" s="5" t="str">
        <f>IFERROR(__xludf.DUMMYFUNCTION("""COMPUTED_VALUE"""),"Yes")</f>
        <v>Yes</v>
      </c>
      <c r="D230" s="5" t="str">
        <f>IFERROR(__xludf.DUMMYFUNCTION("""COMPUTED_VALUE"""),"Yes")</f>
        <v>Yes</v>
      </c>
      <c r="E230" s="5" t="str">
        <f>IFERROR(__xludf.DUMMYFUNCTION("""COMPUTED_VALUE"""),"Yes")</f>
        <v>Yes</v>
      </c>
      <c r="F230" s="5" t="str">
        <f>IFERROR(__xludf.DUMMYFUNCTION("""COMPUTED_VALUE"""),"No")</f>
        <v>No</v>
      </c>
      <c r="G230" s="5" t="str">
        <f>IFERROR(__xludf.DUMMYFUNCTION("""COMPUTED_VALUE"""),"No")</f>
        <v>No</v>
      </c>
      <c r="H230" s="5" t="str">
        <f>IFERROR(__xludf.DUMMYFUNCTION("""COMPUTED_VALUE"""),"No")</f>
        <v>No</v>
      </c>
      <c r="I230" s="5" t="str">
        <f>IFERROR(__xludf.DUMMYFUNCTION("""COMPUTED_VALUE"""),"No")</f>
        <v>No</v>
      </c>
      <c r="J230" s="5" t="str">
        <f>IFERROR(__xludf.DUMMYFUNCTION("""COMPUTED_VALUE"""),"No")</f>
        <v>No</v>
      </c>
      <c r="K230" s="5" t="str">
        <f>IFERROR(__xludf.DUMMYFUNCTION("""COMPUTED_VALUE"""),"Yes")</f>
        <v>Yes</v>
      </c>
      <c r="L230" s="5" t="str">
        <f>IFERROR(__xludf.DUMMYFUNCTION("""COMPUTED_VALUE"""),"Yes")</f>
        <v>Yes</v>
      </c>
      <c r="M230" s="5" t="str">
        <f>IFERROR(__xludf.DUMMYFUNCTION("""COMPUTED_VALUE"""),"Yes")</f>
        <v>Yes</v>
      </c>
      <c r="N230" s="5" t="str">
        <f>IFERROR(__xludf.DUMMYFUNCTION("""COMPUTED_VALUE"""),"Yes")</f>
        <v>Yes</v>
      </c>
      <c r="O230" s="5" t="str">
        <f>IFERROR(__xludf.DUMMYFUNCTION("""COMPUTED_VALUE"""),"Yes")</f>
        <v>Yes</v>
      </c>
      <c r="P230" s="5" t="str">
        <f>IFERROR(__xludf.DUMMYFUNCTION("""COMPUTED_VALUE"""),"No")</f>
        <v>No</v>
      </c>
      <c r="Q230" s="5" t="str">
        <f>IFERROR(__xludf.DUMMYFUNCTION("""COMPUTED_VALUE"""),"Yes")</f>
        <v>Yes</v>
      </c>
      <c r="R230" s="5" t="str">
        <f>IFERROR(__xludf.DUMMYFUNCTION("""COMPUTED_VALUE"""),"No")</f>
        <v>No</v>
      </c>
      <c r="S230" s="5" t="str">
        <f>IFERROR(__xludf.DUMMYFUNCTION("""COMPUTED_VALUE"""),"No")</f>
        <v>No</v>
      </c>
      <c r="T230" s="5" t="str">
        <f>IFERROR(__xludf.DUMMYFUNCTION("""COMPUTED_VALUE"""),"No")</f>
        <v>No</v>
      </c>
      <c r="U230" s="5" t="str">
        <f>IFERROR(__xludf.DUMMYFUNCTION("""COMPUTED_VALUE"""),"No")</f>
        <v>No</v>
      </c>
      <c r="V230" s="5" t="str">
        <f>IFERROR(__xludf.DUMMYFUNCTION("""COMPUTED_VALUE"""),"No")</f>
        <v>No</v>
      </c>
      <c r="W230" s="5"/>
      <c r="X230" s="5"/>
      <c r="Y230" s="5"/>
      <c r="Z230" s="5" t="str">
        <f>IFERROR(__xludf.DUMMYFUNCTION("""COMPUTED_VALUE"""),"No")</f>
        <v>No</v>
      </c>
      <c r="AA230" s="5"/>
      <c r="AB230" s="5"/>
      <c r="AC230" s="5"/>
    </row>
    <row r="231">
      <c r="A231" s="5" t="str">
        <f>IFERROR(__xludf.DUMMYFUNCTION("""COMPUTED_VALUE"""),"UnicornCoyoteSevens")</f>
        <v>UnicornCoyoteSevens</v>
      </c>
      <c r="B231" s="5" t="str">
        <f>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C231" s="5" t="str">
        <f>IFERROR(__xludf.DUMMYFUNCTION("""COMPUTED_VALUE"""),"Yes")</f>
        <v>Yes</v>
      </c>
      <c r="D231" s="5" t="str">
        <f>IFERROR(__xludf.DUMMYFUNCTION("""COMPUTED_VALUE"""),"Yes")</f>
        <v>Yes</v>
      </c>
      <c r="E231" s="5" t="str">
        <f>IFERROR(__xludf.DUMMYFUNCTION("""COMPUTED_VALUE"""),"No")</f>
        <v>No</v>
      </c>
      <c r="F231" s="5" t="str">
        <f>IFERROR(__xludf.DUMMYFUNCTION("""COMPUTED_VALUE"""),"Yes")</f>
        <v>Yes</v>
      </c>
      <c r="G231" s="5" t="str">
        <f>IFERROR(__xludf.DUMMYFUNCTION("""COMPUTED_VALUE"""),"Yes")</f>
        <v>Yes</v>
      </c>
      <c r="H231" s="5" t="str">
        <f>IFERROR(__xludf.DUMMYFUNCTION("""COMPUTED_VALUE"""),"Yes")</f>
        <v>Yes</v>
      </c>
      <c r="I231" s="5" t="str">
        <f>IFERROR(__xludf.DUMMYFUNCTION("""COMPUTED_VALUE"""),"Yes")</f>
        <v>Yes</v>
      </c>
      <c r="J231" s="5" t="str">
        <f>IFERROR(__xludf.DUMMYFUNCTION("""COMPUTED_VALUE"""),"Yes")</f>
        <v>Yes</v>
      </c>
      <c r="K231" s="5" t="str">
        <f>IFERROR(__xludf.DUMMYFUNCTION("""COMPUTED_VALUE"""),"Yes")</f>
        <v>Yes</v>
      </c>
      <c r="L231" s="5" t="str">
        <f>IFERROR(__xludf.DUMMYFUNCTION("""COMPUTED_VALUE"""),"Yes")</f>
        <v>Yes</v>
      </c>
      <c r="M231" s="5" t="str">
        <f>IFERROR(__xludf.DUMMYFUNCTION("""COMPUTED_VALUE"""),"Yes")</f>
        <v>Yes</v>
      </c>
      <c r="N231" s="5" t="str">
        <f>IFERROR(__xludf.DUMMYFUNCTION("""COMPUTED_VALUE"""),"Yes")</f>
        <v>Yes</v>
      </c>
      <c r="O231" s="5" t="str">
        <f>IFERROR(__xludf.DUMMYFUNCTION("""COMPUTED_VALUE"""),"Yes")</f>
        <v>Yes</v>
      </c>
      <c r="P231" s="5" t="str">
        <f>IFERROR(__xludf.DUMMYFUNCTION("""COMPUTED_VALUE"""),"Yes")</f>
        <v>Yes</v>
      </c>
      <c r="Q231" s="5" t="str">
        <f>IFERROR(__xludf.DUMMYFUNCTION("""COMPUTED_VALUE"""),"Yes")</f>
        <v>Yes</v>
      </c>
      <c r="R231" s="5" t="str">
        <f>IFERROR(__xludf.DUMMYFUNCTION("""COMPUTED_VALUE"""),"Yes")</f>
        <v>Yes</v>
      </c>
      <c r="S231" s="5" t="str">
        <f>IFERROR(__xludf.DUMMYFUNCTION("""COMPUTED_VALUE"""),"Yes")</f>
        <v>Yes</v>
      </c>
      <c r="T231" s="5" t="str">
        <f>IFERROR(__xludf.DUMMYFUNCTION("""COMPUTED_VALUE"""),"No")</f>
        <v>No</v>
      </c>
      <c r="U231" s="5" t="str">
        <f>IFERROR(__xludf.DUMMYFUNCTION("""COMPUTED_VALUE"""),"No")</f>
        <v>No</v>
      </c>
      <c r="V231" s="5" t="str">
        <f>IFERROR(__xludf.DUMMYFUNCTION("""COMPUTED_VALUE"""),"No")</f>
        <v>No</v>
      </c>
      <c r="W231" s="5" t="str">
        <f>IFERROR(__xludf.DUMMYFUNCTION("""COMPUTED_VALUE"""),"No")</f>
        <v>No</v>
      </c>
      <c r="X231" s="5" t="str">
        <f>IFERROR(__xludf.DUMMYFUNCTION("""COMPUTED_VALUE"""),"No")</f>
        <v>No</v>
      </c>
      <c r="Y231" s="5" t="str">
        <f>IFERROR(__xludf.DUMMYFUNCTION("""COMPUTED_VALUE"""),"No")</f>
        <v>No</v>
      </c>
      <c r="Z231" s="5" t="str">
        <f>IFERROR(__xludf.DUMMYFUNCTION("""COMPUTED_VALUE"""),"No")</f>
        <v>No</v>
      </c>
      <c r="AA231" s="5" t="str">
        <f>IFERROR(__xludf.DUMMYFUNCTION("""COMPUTED_VALUE"""),"No")</f>
        <v>No</v>
      </c>
      <c r="AB231" s="5" t="str">
        <f>IFERROR(__xludf.DUMMYFUNCTION("""COMPUTED_VALUE"""),"Yes")</f>
        <v>Yes</v>
      </c>
      <c r="AC231" s="5" t="str">
        <f>IFERROR(__xludf.DUMMYFUNCTION("""COMPUTED_VALUE"""),"No")</f>
        <v>No</v>
      </c>
    </row>
    <row r="232">
      <c r="A232" s="5" t="str">
        <f>IFERROR(__xludf.DUMMYFUNCTION("""COMPUTED_VALUE"""),"EpicFire40")</f>
        <v>EpicFire40</v>
      </c>
      <c r="B2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2" s="5" t="str">
        <f>IFERROR(__xludf.DUMMYFUNCTION("""COMPUTED_VALUE"""),"Yes")</f>
        <v>Yes</v>
      </c>
      <c r="D232" s="5" t="str">
        <f>IFERROR(__xludf.DUMMYFUNCTION("""COMPUTED_VALUE"""),"Yes")</f>
        <v>Yes</v>
      </c>
      <c r="E232" s="5" t="str">
        <f>IFERROR(__xludf.DUMMYFUNCTION("""COMPUTED_VALUE"""),"Yes")</f>
        <v>Yes</v>
      </c>
      <c r="F232" s="5" t="str">
        <f>IFERROR(__xludf.DUMMYFUNCTION("""COMPUTED_VALUE"""),"Yes")</f>
        <v>Yes</v>
      </c>
      <c r="G232" s="5" t="str">
        <f>IFERROR(__xludf.DUMMYFUNCTION("""COMPUTED_VALUE"""),"Yes")</f>
        <v>Yes</v>
      </c>
      <c r="H232" s="5" t="str">
        <f>IFERROR(__xludf.DUMMYFUNCTION("""COMPUTED_VALUE"""),"Yes")</f>
        <v>Yes</v>
      </c>
      <c r="I232" s="5" t="str">
        <f>IFERROR(__xludf.DUMMYFUNCTION("""COMPUTED_VALUE"""),"Yes")</f>
        <v>Yes</v>
      </c>
      <c r="J232" s="5" t="str">
        <f>IFERROR(__xludf.DUMMYFUNCTION("""COMPUTED_VALUE"""),"Yes")</f>
        <v>Yes</v>
      </c>
      <c r="K232" s="5" t="str">
        <f>IFERROR(__xludf.DUMMYFUNCTION("""COMPUTED_VALUE"""),"Yes")</f>
        <v>Yes</v>
      </c>
      <c r="L232" s="5" t="str">
        <f>IFERROR(__xludf.DUMMYFUNCTION("""COMPUTED_VALUE"""),"Yes")</f>
        <v>Yes</v>
      </c>
      <c r="M232" s="5" t="str">
        <f>IFERROR(__xludf.DUMMYFUNCTION("""COMPUTED_VALUE"""),"Yes")</f>
        <v>Yes</v>
      </c>
      <c r="N232" s="5" t="str">
        <f>IFERROR(__xludf.DUMMYFUNCTION("""COMPUTED_VALUE"""),"Yes")</f>
        <v>Yes</v>
      </c>
      <c r="O232" s="5" t="str">
        <f>IFERROR(__xludf.DUMMYFUNCTION("""COMPUTED_VALUE"""),"Yes")</f>
        <v>Yes</v>
      </c>
      <c r="P232" s="5" t="str">
        <f>IFERROR(__xludf.DUMMYFUNCTION("""COMPUTED_VALUE"""),"Yes")</f>
        <v>Yes</v>
      </c>
      <c r="Q232" s="5" t="str">
        <f>IFERROR(__xludf.DUMMYFUNCTION("""COMPUTED_VALUE"""),"Yes")</f>
        <v>Yes</v>
      </c>
      <c r="R232" s="5" t="str">
        <f>IFERROR(__xludf.DUMMYFUNCTION("""COMPUTED_VALUE"""),"Yes")</f>
        <v>Yes</v>
      </c>
      <c r="S232" s="5" t="str">
        <f>IFERROR(__xludf.DUMMYFUNCTION("""COMPUTED_VALUE"""),"Yes")</f>
        <v>Yes</v>
      </c>
      <c r="T232" s="5" t="str">
        <f>IFERROR(__xludf.DUMMYFUNCTION("""COMPUTED_VALUE"""),"Yes")</f>
        <v>Yes</v>
      </c>
      <c r="U232" s="5" t="str">
        <f>IFERROR(__xludf.DUMMYFUNCTION("""COMPUTED_VALUE"""),"Yes")</f>
        <v>Yes</v>
      </c>
      <c r="V232" s="5" t="str">
        <f>IFERROR(__xludf.DUMMYFUNCTION("""COMPUTED_VALUE"""),"Yes")</f>
        <v>Yes</v>
      </c>
      <c r="W232" s="5" t="str">
        <f>IFERROR(__xludf.DUMMYFUNCTION("""COMPUTED_VALUE"""),"Yes")</f>
        <v>Yes</v>
      </c>
      <c r="X232" s="5" t="str">
        <f>IFERROR(__xludf.DUMMYFUNCTION("""COMPUTED_VALUE"""),"Yes")</f>
        <v>Yes</v>
      </c>
      <c r="Y232" s="5" t="str">
        <f>IFERROR(__xludf.DUMMYFUNCTION("""COMPUTED_VALUE"""),"Yes")</f>
        <v>Yes</v>
      </c>
      <c r="Z232" s="5" t="str">
        <f>IFERROR(__xludf.DUMMYFUNCTION("""COMPUTED_VALUE"""),"Yes")</f>
        <v>Yes</v>
      </c>
      <c r="AA232" s="5" t="str">
        <f>IFERROR(__xludf.DUMMYFUNCTION("""COMPUTED_VALUE"""),"Yes")</f>
        <v>Yes</v>
      </c>
      <c r="AB232" s="5" t="str">
        <f>IFERROR(__xludf.DUMMYFUNCTION("""COMPUTED_VALUE"""),"Yes")</f>
        <v>Yes</v>
      </c>
      <c r="AC232" s="5" t="str">
        <f>IFERROR(__xludf.DUMMYFUNCTION("""COMPUTED_VALUE"""),"No")</f>
        <v>No</v>
      </c>
    </row>
    <row r="233">
      <c r="A233" s="5" t="str">
        <f>IFERROR(__xludf.DUMMYFUNCTION("""COMPUTED_VALUE"""),"GoldenCrown40")</f>
        <v>GoldenCrown40</v>
      </c>
      <c r="B23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3" s="5" t="str">
        <f>IFERROR(__xludf.DUMMYFUNCTION("""COMPUTED_VALUE"""),"Yes")</f>
        <v>Yes</v>
      </c>
      <c r="D233" s="5" t="str">
        <f>IFERROR(__xludf.DUMMYFUNCTION("""COMPUTED_VALUE"""),"Yes")</f>
        <v>Yes</v>
      </c>
      <c r="E233" s="5" t="str">
        <f>IFERROR(__xludf.DUMMYFUNCTION("""COMPUTED_VALUE"""),"Yes")</f>
        <v>Yes</v>
      </c>
      <c r="F233" s="5" t="str">
        <f>IFERROR(__xludf.DUMMYFUNCTION("""COMPUTED_VALUE"""),"Yes")</f>
        <v>Yes</v>
      </c>
      <c r="G233" s="5" t="str">
        <f>IFERROR(__xludf.DUMMYFUNCTION("""COMPUTED_VALUE"""),"Yes")</f>
        <v>Yes</v>
      </c>
      <c r="H233" s="5" t="str">
        <f>IFERROR(__xludf.DUMMYFUNCTION("""COMPUTED_VALUE"""),"Yes")</f>
        <v>Yes</v>
      </c>
      <c r="I233" s="5" t="str">
        <f>IFERROR(__xludf.DUMMYFUNCTION("""COMPUTED_VALUE"""),"Yes")</f>
        <v>Yes</v>
      </c>
      <c r="J233" s="5" t="str">
        <f>IFERROR(__xludf.DUMMYFUNCTION("""COMPUTED_VALUE"""),"Yes")</f>
        <v>Yes</v>
      </c>
      <c r="K233" s="5" t="str">
        <f>IFERROR(__xludf.DUMMYFUNCTION("""COMPUTED_VALUE"""),"Yes")</f>
        <v>Yes</v>
      </c>
      <c r="L233" s="5" t="str">
        <f>IFERROR(__xludf.DUMMYFUNCTION("""COMPUTED_VALUE"""),"Yes")</f>
        <v>Yes</v>
      </c>
      <c r="M233" s="5" t="str">
        <f>IFERROR(__xludf.DUMMYFUNCTION("""COMPUTED_VALUE"""),"Yes")</f>
        <v>Yes</v>
      </c>
      <c r="N233" s="5" t="str">
        <f>IFERROR(__xludf.DUMMYFUNCTION("""COMPUTED_VALUE"""),"Yes")</f>
        <v>Yes</v>
      </c>
      <c r="O233" s="5" t="str">
        <f>IFERROR(__xludf.DUMMYFUNCTION("""COMPUTED_VALUE"""),"Yes")</f>
        <v>Yes</v>
      </c>
      <c r="P233" s="5" t="str">
        <f>IFERROR(__xludf.DUMMYFUNCTION("""COMPUTED_VALUE"""),"Yes")</f>
        <v>Yes</v>
      </c>
      <c r="Q233" s="5" t="str">
        <f>IFERROR(__xludf.DUMMYFUNCTION("""COMPUTED_VALUE"""),"Yes")</f>
        <v>Yes</v>
      </c>
      <c r="R233" s="5" t="str">
        <f>IFERROR(__xludf.DUMMYFUNCTION("""COMPUTED_VALUE"""),"Yes")</f>
        <v>Yes</v>
      </c>
      <c r="S233" s="5" t="str">
        <f>IFERROR(__xludf.DUMMYFUNCTION("""COMPUTED_VALUE"""),"Yes")</f>
        <v>Yes</v>
      </c>
      <c r="T233" s="5" t="str">
        <f>IFERROR(__xludf.DUMMYFUNCTION("""COMPUTED_VALUE"""),"Yes")</f>
        <v>Yes</v>
      </c>
      <c r="U233" s="5" t="str">
        <f>IFERROR(__xludf.DUMMYFUNCTION("""COMPUTED_VALUE"""),"Yes")</f>
        <v>Yes</v>
      </c>
      <c r="V233" s="5" t="str">
        <f>IFERROR(__xludf.DUMMYFUNCTION("""COMPUTED_VALUE"""),"Yes")</f>
        <v>Yes</v>
      </c>
      <c r="W233" s="5" t="str">
        <f>IFERROR(__xludf.DUMMYFUNCTION("""COMPUTED_VALUE"""),"Yes")</f>
        <v>Yes</v>
      </c>
      <c r="X233" s="5" t="str">
        <f>IFERROR(__xludf.DUMMYFUNCTION("""COMPUTED_VALUE"""),"Yes")</f>
        <v>Yes</v>
      </c>
      <c r="Y233" s="5" t="str">
        <f>IFERROR(__xludf.DUMMYFUNCTION("""COMPUTED_VALUE"""),"Yes")</f>
        <v>Yes</v>
      </c>
      <c r="Z233" s="5" t="str">
        <f>IFERROR(__xludf.DUMMYFUNCTION("""COMPUTED_VALUE"""),"Yes")</f>
        <v>Yes</v>
      </c>
      <c r="AA233" s="5" t="str">
        <f>IFERROR(__xludf.DUMMYFUNCTION("""COMPUTED_VALUE"""),"Yes")</f>
        <v>Yes</v>
      </c>
      <c r="AB233" s="5" t="str">
        <f>IFERROR(__xludf.DUMMYFUNCTION("""COMPUTED_VALUE"""),"Yes")</f>
        <v>Yes</v>
      </c>
      <c r="AC233" s="5" t="str">
        <f>IFERROR(__xludf.DUMMYFUNCTION("""COMPUTED_VALUE"""),"No")</f>
        <v>No</v>
      </c>
    </row>
    <row r="234">
      <c r="A234" s="5" t="str">
        <f>IFERROR(__xludf.DUMMYFUNCTION("""COMPUTED_VALUE"""),"UnicornCoyoteDice")</f>
        <v>UnicornCoyoteDice</v>
      </c>
      <c r="B23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4" s="5" t="str">
        <f>IFERROR(__xludf.DUMMYFUNCTION("""COMPUTED_VALUE"""),"Yes")</f>
        <v>Yes</v>
      </c>
      <c r="D234" s="5" t="str">
        <f>IFERROR(__xludf.DUMMYFUNCTION("""COMPUTED_VALUE"""),"Yes")</f>
        <v>Yes</v>
      </c>
      <c r="E234" s="5" t="str">
        <f>IFERROR(__xludf.DUMMYFUNCTION("""COMPUTED_VALUE"""),"Yes")</f>
        <v>Yes</v>
      </c>
      <c r="F234" s="5" t="str">
        <f>IFERROR(__xludf.DUMMYFUNCTION("""COMPUTED_VALUE"""),"Yes")</f>
        <v>Yes</v>
      </c>
      <c r="G234" s="5" t="str">
        <f>IFERROR(__xludf.DUMMYFUNCTION("""COMPUTED_VALUE"""),"Yes")</f>
        <v>Yes</v>
      </c>
      <c r="H234" s="5" t="str">
        <f>IFERROR(__xludf.DUMMYFUNCTION("""COMPUTED_VALUE"""),"Yes")</f>
        <v>Yes</v>
      </c>
      <c r="I234" s="5" t="str">
        <f>IFERROR(__xludf.DUMMYFUNCTION("""COMPUTED_VALUE"""),"Yes")</f>
        <v>Yes</v>
      </c>
      <c r="J234" s="5" t="str">
        <f>IFERROR(__xludf.DUMMYFUNCTION("""COMPUTED_VALUE"""),"Yes")</f>
        <v>Yes</v>
      </c>
      <c r="K234" s="5" t="str">
        <f>IFERROR(__xludf.DUMMYFUNCTION("""COMPUTED_VALUE"""),"Yes")</f>
        <v>Yes</v>
      </c>
      <c r="L234" s="5" t="str">
        <f>IFERROR(__xludf.DUMMYFUNCTION("""COMPUTED_VALUE"""),"Yes")</f>
        <v>Yes</v>
      </c>
      <c r="M234" s="5" t="str">
        <f>IFERROR(__xludf.DUMMYFUNCTION("""COMPUTED_VALUE"""),"Yes")</f>
        <v>Yes</v>
      </c>
      <c r="N234" s="5" t="str">
        <f>IFERROR(__xludf.DUMMYFUNCTION("""COMPUTED_VALUE"""),"Yes")</f>
        <v>Yes</v>
      </c>
      <c r="O234" s="5" t="str">
        <f>IFERROR(__xludf.DUMMYFUNCTION("""COMPUTED_VALUE"""),"Yes")</f>
        <v>Yes</v>
      </c>
      <c r="P234" s="5" t="str">
        <f>IFERROR(__xludf.DUMMYFUNCTION("""COMPUTED_VALUE"""),"Yes")</f>
        <v>Yes</v>
      </c>
      <c r="Q234" s="5" t="str">
        <f>IFERROR(__xludf.DUMMYFUNCTION("""COMPUTED_VALUE"""),"Yes")</f>
        <v>Yes</v>
      </c>
      <c r="R234" s="5" t="str">
        <f>IFERROR(__xludf.DUMMYFUNCTION("""COMPUTED_VALUE"""),"Yes")</f>
        <v>Yes</v>
      </c>
      <c r="S234" s="5" t="str">
        <f>IFERROR(__xludf.DUMMYFUNCTION("""COMPUTED_VALUE"""),"Yes")</f>
        <v>Yes</v>
      </c>
      <c r="T234" s="5" t="str">
        <f>IFERROR(__xludf.DUMMYFUNCTION("""COMPUTED_VALUE"""),"Yes")</f>
        <v>Yes</v>
      </c>
      <c r="U234" s="5" t="str">
        <f>IFERROR(__xludf.DUMMYFUNCTION("""COMPUTED_VALUE"""),"Yes")</f>
        <v>Yes</v>
      </c>
      <c r="V234" s="5" t="str">
        <f>IFERROR(__xludf.DUMMYFUNCTION("""COMPUTED_VALUE"""),"Yes")</f>
        <v>Yes</v>
      </c>
      <c r="W234" s="5" t="str">
        <f>IFERROR(__xludf.DUMMYFUNCTION("""COMPUTED_VALUE"""),"Yes")</f>
        <v>Yes</v>
      </c>
      <c r="X234" s="5" t="str">
        <f>IFERROR(__xludf.DUMMYFUNCTION("""COMPUTED_VALUE"""),"Yes")</f>
        <v>Yes</v>
      </c>
      <c r="Y234" s="5" t="str">
        <f>IFERROR(__xludf.DUMMYFUNCTION("""COMPUTED_VALUE"""),"Yes")</f>
        <v>Yes</v>
      </c>
      <c r="Z234" s="5" t="str">
        <f>IFERROR(__xludf.DUMMYFUNCTION("""COMPUTED_VALUE"""),"Yes")</f>
        <v>Yes</v>
      </c>
      <c r="AA234" s="5" t="str">
        <f>IFERROR(__xludf.DUMMYFUNCTION("""COMPUTED_VALUE"""),"Yes")</f>
        <v>Yes</v>
      </c>
      <c r="AB234" s="5" t="str">
        <f>IFERROR(__xludf.DUMMYFUNCTION("""COMPUTED_VALUE"""),"Yes")</f>
        <v>Yes</v>
      </c>
      <c r="AC234" s="5"/>
    </row>
    <row r="235">
      <c r="A235" s="5" t="str">
        <f>IFERROR(__xludf.DUMMYFUNCTION("""COMPUTED_VALUE"""),"Wild27")</f>
        <v>Wild27</v>
      </c>
      <c r="B2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5" s="5" t="str">
        <f>IFERROR(__xludf.DUMMYFUNCTION("""COMPUTED_VALUE"""),"Yes")</f>
        <v>Yes</v>
      </c>
      <c r="D235" s="5" t="str">
        <f>IFERROR(__xludf.DUMMYFUNCTION("""COMPUTED_VALUE"""),"Yes")</f>
        <v>Yes</v>
      </c>
      <c r="E235" s="5" t="str">
        <f>IFERROR(__xludf.DUMMYFUNCTION("""COMPUTED_VALUE"""),"Yes")</f>
        <v>Yes</v>
      </c>
      <c r="F235" s="5" t="str">
        <f>IFERROR(__xludf.DUMMYFUNCTION("""COMPUTED_VALUE"""),"Yes")</f>
        <v>Yes</v>
      </c>
      <c r="G235" s="5" t="str">
        <f>IFERROR(__xludf.DUMMYFUNCTION("""COMPUTED_VALUE"""),"Yes")</f>
        <v>Yes</v>
      </c>
      <c r="H235" s="5" t="str">
        <f>IFERROR(__xludf.DUMMYFUNCTION("""COMPUTED_VALUE"""),"Yes")</f>
        <v>Yes</v>
      </c>
      <c r="I235" s="5" t="str">
        <f>IFERROR(__xludf.DUMMYFUNCTION("""COMPUTED_VALUE"""),"Yes")</f>
        <v>Yes</v>
      </c>
      <c r="J235" s="5" t="str">
        <f>IFERROR(__xludf.DUMMYFUNCTION("""COMPUTED_VALUE"""),"Yes")</f>
        <v>Yes</v>
      </c>
      <c r="K235" s="5" t="str">
        <f>IFERROR(__xludf.DUMMYFUNCTION("""COMPUTED_VALUE"""),"Yes")</f>
        <v>Yes</v>
      </c>
      <c r="L235" s="5" t="str">
        <f>IFERROR(__xludf.DUMMYFUNCTION("""COMPUTED_VALUE"""),"Yes")</f>
        <v>Yes</v>
      </c>
      <c r="M235" s="5" t="str">
        <f>IFERROR(__xludf.DUMMYFUNCTION("""COMPUTED_VALUE"""),"Yes")</f>
        <v>Yes</v>
      </c>
      <c r="N235" s="5" t="str">
        <f>IFERROR(__xludf.DUMMYFUNCTION("""COMPUTED_VALUE"""),"Yes")</f>
        <v>Yes</v>
      </c>
      <c r="O235" s="5" t="str">
        <f>IFERROR(__xludf.DUMMYFUNCTION("""COMPUTED_VALUE"""),"Yes")</f>
        <v>Yes</v>
      </c>
      <c r="P235" s="5" t="str">
        <f>IFERROR(__xludf.DUMMYFUNCTION("""COMPUTED_VALUE"""),"Yes")</f>
        <v>Yes</v>
      </c>
      <c r="Q235" s="5" t="str">
        <f>IFERROR(__xludf.DUMMYFUNCTION("""COMPUTED_VALUE"""),"Yes")</f>
        <v>Yes</v>
      </c>
      <c r="R235" s="5" t="str">
        <f>IFERROR(__xludf.DUMMYFUNCTION("""COMPUTED_VALUE"""),"Yes")</f>
        <v>Yes</v>
      </c>
      <c r="S235" s="5" t="str">
        <f>IFERROR(__xludf.DUMMYFUNCTION("""COMPUTED_VALUE"""),"Yes")</f>
        <v>Yes</v>
      </c>
      <c r="T235" s="5" t="str">
        <f>IFERROR(__xludf.DUMMYFUNCTION("""COMPUTED_VALUE"""),"Yes")</f>
        <v>Yes</v>
      </c>
      <c r="U235" s="5" t="str">
        <f>IFERROR(__xludf.DUMMYFUNCTION("""COMPUTED_VALUE"""),"Yes")</f>
        <v>Yes</v>
      </c>
      <c r="V235" s="5" t="str">
        <f>IFERROR(__xludf.DUMMYFUNCTION("""COMPUTED_VALUE"""),"Yes")</f>
        <v>Yes</v>
      </c>
      <c r="W235" s="5" t="str">
        <f>IFERROR(__xludf.DUMMYFUNCTION("""COMPUTED_VALUE"""),"Yes")</f>
        <v>Yes</v>
      </c>
      <c r="X235" s="5" t="str">
        <f>IFERROR(__xludf.DUMMYFUNCTION("""COMPUTED_VALUE"""),"Yes")</f>
        <v>Yes</v>
      </c>
      <c r="Y235" s="5" t="str">
        <f>IFERROR(__xludf.DUMMYFUNCTION("""COMPUTED_VALUE"""),"Yes")</f>
        <v>Yes</v>
      </c>
      <c r="Z235" s="5" t="str">
        <f>IFERROR(__xludf.DUMMYFUNCTION("""COMPUTED_VALUE"""),"Yes")</f>
        <v>Yes</v>
      </c>
      <c r="AA235" s="5" t="str">
        <f>IFERROR(__xludf.DUMMYFUNCTION("""COMPUTED_VALUE"""),"Yes")</f>
        <v>Yes</v>
      </c>
      <c r="AB235" s="5" t="str">
        <f>IFERROR(__xludf.DUMMYFUNCTION("""COMPUTED_VALUE"""),"Yes")</f>
        <v>Yes</v>
      </c>
      <c r="AC235" s="5" t="str">
        <f>IFERROR(__xludf.DUMMYFUNCTION("""COMPUTED_VALUE"""),"No")</f>
        <v>No</v>
      </c>
    </row>
    <row r="236">
      <c r="A236" s="5" t="str">
        <f>IFERROR(__xludf.DUMMYFUNCTION("""COMPUTED_VALUE"""),"UnicornFruitWildLines")</f>
        <v>UnicornFruitWildLines</v>
      </c>
      <c r="B2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36" s="5" t="str">
        <f>IFERROR(__xludf.DUMMYFUNCTION("""COMPUTED_VALUE"""),"Yes")</f>
        <v>Yes</v>
      </c>
      <c r="D236" s="5" t="str">
        <f>IFERROR(__xludf.DUMMYFUNCTION("""COMPUTED_VALUE"""),"Yes")</f>
        <v>Yes</v>
      </c>
      <c r="E236" s="5" t="str">
        <f>IFERROR(__xludf.DUMMYFUNCTION("""COMPUTED_VALUE"""),"Yes")</f>
        <v>Yes</v>
      </c>
      <c r="F236" s="5" t="str">
        <f>IFERROR(__xludf.DUMMYFUNCTION("""COMPUTED_VALUE"""),"Yes")</f>
        <v>Yes</v>
      </c>
      <c r="G236" s="5" t="str">
        <f>IFERROR(__xludf.DUMMYFUNCTION("""COMPUTED_VALUE"""),"Yes")</f>
        <v>Yes</v>
      </c>
      <c r="H236" s="5" t="str">
        <f>IFERROR(__xludf.DUMMYFUNCTION("""COMPUTED_VALUE"""),"Yes")</f>
        <v>Yes</v>
      </c>
      <c r="I236" s="5" t="str">
        <f>IFERROR(__xludf.DUMMYFUNCTION("""COMPUTED_VALUE"""),"Yes")</f>
        <v>Yes</v>
      </c>
      <c r="J236" s="5" t="str">
        <f>IFERROR(__xludf.DUMMYFUNCTION("""COMPUTED_VALUE"""),"Yes")</f>
        <v>Yes</v>
      </c>
      <c r="K236" s="5" t="str">
        <f>IFERROR(__xludf.DUMMYFUNCTION("""COMPUTED_VALUE"""),"Yes")</f>
        <v>Yes</v>
      </c>
      <c r="L236" s="5" t="str">
        <f>IFERROR(__xludf.DUMMYFUNCTION("""COMPUTED_VALUE"""),"Yes")</f>
        <v>Yes</v>
      </c>
      <c r="M236" s="5" t="str">
        <f>IFERROR(__xludf.DUMMYFUNCTION("""COMPUTED_VALUE"""),"Yes")</f>
        <v>Yes</v>
      </c>
      <c r="N236" s="5" t="str">
        <f>IFERROR(__xludf.DUMMYFUNCTION("""COMPUTED_VALUE"""),"Yes")</f>
        <v>Yes</v>
      </c>
      <c r="O236" s="5" t="str">
        <f>IFERROR(__xludf.DUMMYFUNCTION("""COMPUTED_VALUE"""),"Yes")</f>
        <v>Yes</v>
      </c>
      <c r="P236" s="5" t="str">
        <f>IFERROR(__xludf.DUMMYFUNCTION("""COMPUTED_VALUE"""),"Yes")</f>
        <v>Yes</v>
      </c>
      <c r="Q236" s="5" t="str">
        <f>IFERROR(__xludf.DUMMYFUNCTION("""COMPUTED_VALUE"""),"Yes")</f>
        <v>Yes</v>
      </c>
      <c r="R236" s="5" t="str">
        <f>IFERROR(__xludf.DUMMYFUNCTION("""COMPUTED_VALUE"""),"Yes")</f>
        <v>Yes</v>
      </c>
      <c r="S236" s="5" t="str">
        <f>IFERROR(__xludf.DUMMYFUNCTION("""COMPUTED_VALUE"""),"Yes")</f>
        <v>Yes</v>
      </c>
      <c r="T236" s="5" t="str">
        <f>IFERROR(__xludf.DUMMYFUNCTION("""COMPUTED_VALUE"""),"Yes")</f>
        <v>Yes</v>
      </c>
      <c r="U236" s="5" t="str">
        <f>IFERROR(__xludf.DUMMYFUNCTION("""COMPUTED_VALUE"""),"Yes")</f>
        <v>Yes</v>
      </c>
      <c r="V236" s="5" t="str">
        <f>IFERROR(__xludf.DUMMYFUNCTION("""COMPUTED_VALUE"""),"Yes")</f>
        <v>Yes</v>
      </c>
      <c r="W236" s="5" t="str">
        <f>IFERROR(__xludf.DUMMYFUNCTION("""COMPUTED_VALUE"""),"Yes")</f>
        <v>Yes</v>
      </c>
      <c r="X236" s="5"/>
      <c r="Y236" s="5"/>
      <c r="Z236" s="5" t="str">
        <f>IFERROR(__xludf.DUMMYFUNCTION("""COMPUTED_VALUE"""),"Yes")</f>
        <v>Yes</v>
      </c>
      <c r="AA236" s="5"/>
      <c r="AB236" s="5"/>
      <c r="AC236" s="5"/>
    </row>
    <row r="237">
      <c r="A237" s="5" t="str">
        <f>IFERROR(__xludf.DUMMYFUNCTION("""COMPUTED_VALUE"""),"FireCash40")</f>
        <v>FireCash40</v>
      </c>
      <c r="B23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37" s="5" t="str">
        <f>IFERROR(__xludf.DUMMYFUNCTION("""COMPUTED_VALUE"""),"Yes")</f>
        <v>Yes</v>
      </c>
      <c r="D237" s="5" t="str">
        <f>IFERROR(__xludf.DUMMYFUNCTION("""COMPUTED_VALUE"""),"Yes")</f>
        <v>Yes</v>
      </c>
      <c r="E237" s="5" t="str">
        <f>IFERROR(__xludf.DUMMYFUNCTION("""COMPUTED_VALUE"""),"Yes")</f>
        <v>Yes</v>
      </c>
      <c r="F237" s="5" t="str">
        <f>IFERROR(__xludf.DUMMYFUNCTION("""COMPUTED_VALUE"""),"No")</f>
        <v>No</v>
      </c>
      <c r="G237" s="5" t="str">
        <f>IFERROR(__xludf.DUMMYFUNCTION("""COMPUTED_VALUE"""),"No")</f>
        <v>No</v>
      </c>
      <c r="H237" s="5" t="str">
        <f>IFERROR(__xludf.DUMMYFUNCTION("""COMPUTED_VALUE"""),"No")</f>
        <v>No</v>
      </c>
      <c r="I237" s="5" t="str">
        <f>IFERROR(__xludf.DUMMYFUNCTION("""COMPUTED_VALUE"""),"No")</f>
        <v>No</v>
      </c>
      <c r="J237" s="5" t="str">
        <f>IFERROR(__xludf.DUMMYFUNCTION("""COMPUTED_VALUE"""),"No")</f>
        <v>No</v>
      </c>
      <c r="K237" s="5" t="str">
        <f>IFERROR(__xludf.DUMMYFUNCTION("""COMPUTED_VALUE"""),"Yes")</f>
        <v>Yes</v>
      </c>
      <c r="L237" s="5" t="str">
        <f>IFERROR(__xludf.DUMMYFUNCTION("""COMPUTED_VALUE"""),"Yes")</f>
        <v>Yes</v>
      </c>
      <c r="M237" s="5" t="str">
        <f>IFERROR(__xludf.DUMMYFUNCTION("""COMPUTED_VALUE"""),"Yes")</f>
        <v>Yes</v>
      </c>
      <c r="N237" s="5" t="str">
        <f>IFERROR(__xludf.DUMMYFUNCTION("""COMPUTED_VALUE"""),"Yes")</f>
        <v>Yes</v>
      </c>
      <c r="O237" s="5" t="str">
        <f>IFERROR(__xludf.DUMMYFUNCTION("""COMPUTED_VALUE"""),"Yes")</f>
        <v>Yes</v>
      </c>
      <c r="P237" s="5" t="str">
        <f>IFERROR(__xludf.DUMMYFUNCTION("""COMPUTED_VALUE"""),"No")</f>
        <v>No</v>
      </c>
      <c r="Q237" s="5" t="str">
        <f>IFERROR(__xludf.DUMMYFUNCTION("""COMPUTED_VALUE"""),"Yes")</f>
        <v>Yes</v>
      </c>
      <c r="R237" s="5" t="str">
        <f>IFERROR(__xludf.DUMMYFUNCTION("""COMPUTED_VALUE"""),"No")</f>
        <v>No</v>
      </c>
      <c r="S237" s="5" t="str">
        <f>IFERROR(__xludf.DUMMYFUNCTION("""COMPUTED_VALUE"""),"No")</f>
        <v>No</v>
      </c>
      <c r="T237" s="5" t="str">
        <f>IFERROR(__xludf.DUMMYFUNCTION("""COMPUTED_VALUE"""),"No")</f>
        <v>No</v>
      </c>
      <c r="U237" s="5" t="str">
        <f>IFERROR(__xludf.DUMMYFUNCTION("""COMPUTED_VALUE"""),"No")</f>
        <v>No</v>
      </c>
      <c r="V237" s="5" t="str">
        <f>IFERROR(__xludf.DUMMYFUNCTION("""COMPUTED_VALUE"""),"No")</f>
        <v>No</v>
      </c>
      <c r="W237" s="5"/>
      <c r="X237" s="5"/>
      <c r="Y237" s="5"/>
      <c r="Z237" s="5" t="str">
        <f>IFERROR(__xludf.DUMMYFUNCTION("""COMPUTED_VALUE"""),"No")</f>
        <v>No</v>
      </c>
      <c r="AA237" s="5"/>
      <c r="AB237" s="5"/>
      <c r="AC237" s="5"/>
    </row>
    <row r="238">
      <c r="A238" s="5" t="str">
        <f>IFERROR(__xludf.DUMMYFUNCTION("""COMPUTED_VALUE"""),"WildHot40FreeSpins")</f>
        <v>WildHot40FreeSpins</v>
      </c>
      <c r="B2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8" s="5" t="str">
        <f>IFERROR(__xludf.DUMMYFUNCTION("""COMPUTED_VALUE"""),"Yes")</f>
        <v>Yes</v>
      </c>
      <c r="D238" s="5" t="str">
        <f>IFERROR(__xludf.DUMMYFUNCTION("""COMPUTED_VALUE"""),"Yes")</f>
        <v>Yes</v>
      </c>
      <c r="E238" s="5" t="str">
        <f>IFERROR(__xludf.DUMMYFUNCTION("""COMPUTED_VALUE"""),"Yes")</f>
        <v>Yes</v>
      </c>
      <c r="F238" s="5" t="str">
        <f>IFERROR(__xludf.DUMMYFUNCTION("""COMPUTED_VALUE"""),"Yes")</f>
        <v>Yes</v>
      </c>
      <c r="G238" s="5" t="str">
        <f>IFERROR(__xludf.DUMMYFUNCTION("""COMPUTED_VALUE"""),"Yes")</f>
        <v>Yes</v>
      </c>
      <c r="H238" s="5" t="str">
        <f>IFERROR(__xludf.DUMMYFUNCTION("""COMPUTED_VALUE"""),"Yes")</f>
        <v>Yes</v>
      </c>
      <c r="I238" s="5" t="str">
        <f>IFERROR(__xludf.DUMMYFUNCTION("""COMPUTED_VALUE"""),"Yes")</f>
        <v>Yes</v>
      </c>
      <c r="J238" s="5" t="str">
        <f>IFERROR(__xludf.DUMMYFUNCTION("""COMPUTED_VALUE"""),"Yes")</f>
        <v>Yes</v>
      </c>
      <c r="K238" s="5" t="str">
        <f>IFERROR(__xludf.DUMMYFUNCTION("""COMPUTED_VALUE"""),"Yes")</f>
        <v>Yes</v>
      </c>
      <c r="L238" s="5" t="str">
        <f>IFERROR(__xludf.DUMMYFUNCTION("""COMPUTED_VALUE"""),"Yes")</f>
        <v>Yes</v>
      </c>
      <c r="M238" s="5" t="str">
        <f>IFERROR(__xludf.DUMMYFUNCTION("""COMPUTED_VALUE"""),"Yes")</f>
        <v>Yes</v>
      </c>
      <c r="N238" s="5" t="str">
        <f>IFERROR(__xludf.DUMMYFUNCTION("""COMPUTED_VALUE"""),"Yes")</f>
        <v>Yes</v>
      </c>
      <c r="O238" s="5" t="str">
        <f>IFERROR(__xludf.DUMMYFUNCTION("""COMPUTED_VALUE"""),"Yes")</f>
        <v>Yes</v>
      </c>
      <c r="P238" s="5" t="str">
        <f>IFERROR(__xludf.DUMMYFUNCTION("""COMPUTED_VALUE"""),"Yes")</f>
        <v>Yes</v>
      </c>
      <c r="Q238" s="5" t="str">
        <f>IFERROR(__xludf.DUMMYFUNCTION("""COMPUTED_VALUE"""),"Yes")</f>
        <v>Yes</v>
      </c>
      <c r="R238" s="5" t="str">
        <f>IFERROR(__xludf.DUMMYFUNCTION("""COMPUTED_VALUE"""),"Yes")</f>
        <v>Yes</v>
      </c>
      <c r="S238" s="5" t="str">
        <f>IFERROR(__xludf.DUMMYFUNCTION("""COMPUTED_VALUE"""),"Yes")</f>
        <v>Yes</v>
      </c>
      <c r="T238" s="5" t="str">
        <f>IFERROR(__xludf.DUMMYFUNCTION("""COMPUTED_VALUE"""),"Yes")</f>
        <v>Yes</v>
      </c>
      <c r="U238" s="5" t="str">
        <f>IFERROR(__xludf.DUMMYFUNCTION("""COMPUTED_VALUE"""),"Yes")</f>
        <v>Yes</v>
      </c>
      <c r="V238" s="5" t="str">
        <f>IFERROR(__xludf.DUMMYFUNCTION("""COMPUTED_VALUE"""),"Yes")</f>
        <v>Yes</v>
      </c>
      <c r="W238" s="5" t="str">
        <f>IFERROR(__xludf.DUMMYFUNCTION("""COMPUTED_VALUE"""),"Yes")</f>
        <v>Yes</v>
      </c>
      <c r="X238" s="5" t="str">
        <f>IFERROR(__xludf.DUMMYFUNCTION("""COMPUTED_VALUE"""),"Yes")</f>
        <v>Yes</v>
      </c>
      <c r="Y238" s="5" t="str">
        <f>IFERROR(__xludf.DUMMYFUNCTION("""COMPUTED_VALUE"""),"Yes")</f>
        <v>Yes</v>
      </c>
      <c r="Z238" s="5" t="str">
        <f>IFERROR(__xludf.DUMMYFUNCTION("""COMPUTED_VALUE"""),"Yes")</f>
        <v>Yes</v>
      </c>
      <c r="AA238" s="5" t="str">
        <f>IFERROR(__xludf.DUMMYFUNCTION("""COMPUTED_VALUE"""),"Yes")</f>
        <v>Yes</v>
      </c>
      <c r="AB238" s="5" t="str">
        <f>IFERROR(__xludf.DUMMYFUNCTION("""COMPUTED_VALUE"""),"Yes")</f>
        <v>Yes</v>
      </c>
      <c r="AC238" s="5" t="str">
        <f>IFERROR(__xludf.DUMMYFUNCTION("""COMPUTED_VALUE"""),"No")</f>
        <v>No</v>
      </c>
    </row>
    <row r="239">
      <c r="A239" s="5" t="str">
        <f>IFERROR(__xludf.DUMMYFUNCTION("""COMPUTED_VALUE"""),"UnicornMoneyStandardDice")</f>
        <v>UnicornMoneyStandardDice</v>
      </c>
      <c r="B2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9" s="5" t="str">
        <f>IFERROR(__xludf.DUMMYFUNCTION("""COMPUTED_VALUE"""),"Yes")</f>
        <v>Yes</v>
      </c>
      <c r="D239" s="5" t="str">
        <f>IFERROR(__xludf.DUMMYFUNCTION("""COMPUTED_VALUE"""),"Yes")</f>
        <v>Yes</v>
      </c>
      <c r="E239" s="5" t="str">
        <f>IFERROR(__xludf.DUMMYFUNCTION("""COMPUTED_VALUE"""),"Yes")</f>
        <v>Yes</v>
      </c>
      <c r="F239" s="5" t="str">
        <f>IFERROR(__xludf.DUMMYFUNCTION("""COMPUTED_VALUE"""),"Yes")</f>
        <v>Yes</v>
      </c>
      <c r="G239" s="5" t="str">
        <f>IFERROR(__xludf.DUMMYFUNCTION("""COMPUTED_VALUE"""),"Yes")</f>
        <v>Yes</v>
      </c>
      <c r="H239" s="5" t="str">
        <f>IFERROR(__xludf.DUMMYFUNCTION("""COMPUTED_VALUE"""),"Yes")</f>
        <v>Yes</v>
      </c>
      <c r="I239" s="5" t="str">
        <f>IFERROR(__xludf.DUMMYFUNCTION("""COMPUTED_VALUE"""),"Yes")</f>
        <v>Yes</v>
      </c>
      <c r="J239" s="5" t="str">
        <f>IFERROR(__xludf.DUMMYFUNCTION("""COMPUTED_VALUE"""),"Yes")</f>
        <v>Yes</v>
      </c>
      <c r="K239" s="5" t="str">
        <f>IFERROR(__xludf.DUMMYFUNCTION("""COMPUTED_VALUE"""),"Yes")</f>
        <v>Yes</v>
      </c>
      <c r="L239" s="5" t="str">
        <f>IFERROR(__xludf.DUMMYFUNCTION("""COMPUTED_VALUE"""),"Yes")</f>
        <v>Yes</v>
      </c>
      <c r="M239" s="5" t="str">
        <f>IFERROR(__xludf.DUMMYFUNCTION("""COMPUTED_VALUE"""),"Yes")</f>
        <v>Yes</v>
      </c>
      <c r="N239" s="5" t="str">
        <f>IFERROR(__xludf.DUMMYFUNCTION("""COMPUTED_VALUE"""),"Yes")</f>
        <v>Yes</v>
      </c>
      <c r="O239" s="5" t="str">
        <f>IFERROR(__xludf.DUMMYFUNCTION("""COMPUTED_VALUE"""),"Yes")</f>
        <v>Yes</v>
      </c>
      <c r="P239" s="5" t="str">
        <f>IFERROR(__xludf.DUMMYFUNCTION("""COMPUTED_VALUE"""),"Yes")</f>
        <v>Yes</v>
      </c>
      <c r="Q239" s="5" t="str">
        <f>IFERROR(__xludf.DUMMYFUNCTION("""COMPUTED_VALUE"""),"Yes")</f>
        <v>Yes</v>
      </c>
      <c r="R239" s="5" t="str">
        <f>IFERROR(__xludf.DUMMYFUNCTION("""COMPUTED_VALUE"""),"Yes")</f>
        <v>Yes</v>
      </c>
      <c r="S239" s="5" t="str">
        <f>IFERROR(__xludf.DUMMYFUNCTION("""COMPUTED_VALUE"""),"Yes")</f>
        <v>Yes</v>
      </c>
      <c r="T239" s="5" t="str">
        <f>IFERROR(__xludf.DUMMYFUNCTION("""COMPUTED_VALUE"""),"Yes")</f>
        <v>Yes</v>
      </c>
      <c r="U239" s="5" t="str">
        <f>IFERROR(__xludf.DUMMYFUNCTION("""COMPUTED_VALUE"""),"Yes")</f>
        <v>Yes</v>
      </c>
      <c r="V239" s="5" t="str">
        <f>IFERROR(__xludf.DUMMYFUNCTION("""COMPUTED_VALUE"""),"Yes")</f>
        <v>Yes</v>
      </c>
      <c r="W239" s="5" t="str">
        <f>IFERROR(__xludf.DUMMYFUNCTION("""COMPUTED_VALUE"""),"Yes")</f>
        <v>Yes</v>
      </c>
      <c r="X239" s="5" t="str">
        <f>IFERROR(__xludf.DUMMYFUNCTION("""COMPUTED_VALUE"""),"Yes")</f>
        <v>Yes</v>
      </c>
      <c r="Y239" s="5" t="str">
        <f>IFERROR(__xludf.DUMMYFUNCTION("""COMPUTED_VALUE"""),"Yes")</f>
        <v>Yes</v>
      </c>
      <c r="Z239" s="5" t="str">
        <f>IFERROR(__xludf.DUMMYFUNCTION("""COMPUTED_VALUE"""),"Yes")</f>
        <v>Yes</v>
      </c>
      <c r="AA239" s="5" t="str">
        <f>IFERROR(__xludf.DUMMYFUNCTION("""COMPUTED_VALUE"""),"Yes")</f>
        <v>Yes</v>
      </c>
      <c r="AB239" s="5" t="str">
        <f>IFERROR(__xludf.DUMMYFUNCTION("""COMPUTED_VALUE"""),"Yes")</f>
        <v>Yes</v>
      </c>
      <c r="AC239" s="5"/>
    </row>
    <row r="240">
      <c r="A240" s="5" t="str">
        <f>IFERROR(__xludf.DUMMYFUNCTION("""COMPUTED_VALUE"""),"UnicornDoubleWildDice")</f>
        <v>UnicornDoubleWildDice</v>
      </c>
      <c r="B24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40" s="5" t="str">
        <f>IFERROR(__xludf.DUMMYFUNCTION("""COMPUTED_VALUE"""),"Yes")</f>
        <v>Yes</v>
      </c>
      <c r="D240" s="5" t="str">
        <f>IFERROR(__xludf.DUMMYFUNCTION("""COMPUTED_VALUE"""),"Yes")</f>
        <v>Yes</v>
      </c>
      <c r="E240" s="5" t="str">
        <f>IFERROR(__xludf.DUMMYFUNCTION("""COMPUTED_VALUE"""),"Yes")</f>
        <v>Yes</v>
      </c>
      <c r="F240" s="5" t="str">
        <f>IFERROR(__xludf.DUMMYFUNCTION("""COMPUTED_VALUE"""),"No")</f>
        <v>No</v>
      </c>
      <c r="G240" s="5" t="str">
        <f>IFERROR(__xludf.DUMMYFUNCTION("""COMPUTED_VALUE"""),"No")</f>
        <v>No</v>
      </c>
      <c r="H240" s="5" t="str">
        <f>IFERROR(__xludf.DUMMYFUNCTION("""COMPUTED_VALUE"""),"No")</f>
        <v>No</v>
      </c>
      <c r="I240" s="5" t="str">
        <f>IFERROR(__xludf.DUMMYFUNCTION("""COMPUTED_VALUE"""),"No")</f>
        <v>No</v>
      </c>
      <c r="J240" s="5" t="str">
        <f>IFERROR(__xludf.DUMMYFUNCTION("""COMPUTED_VALUE"""),"No")</f>
        <v>No</v>
      </c>
      <c r="K240" s="5" t="str">
        <f>IFERROR(__xludf.DUMMYFUNCTION("""COMPUTED_VALUE"""),"Yes")</f>
        <v>Yes</v>
      </c>
      <c r="L240" s="5" t="str">
        <f>IFERROR(__xludf.DUMMYFUNCTION("""COMPUTED_VALUE"""),"Yes")</f>
        <v>Yes</v>
      </c>
      <c r="M240" s="5" t="str">
        <f>IFERROR(__xludf.DUMMYFUNCTION("""COMPUTED_VALUE"""),"Yes")</f>
        <v>Yes</v>
      </c>
      <c r="N240" s="5" t="str">
        <f>IFERROR(__xludf.DUMMYFUNCTION("""COMPUTED_VALUE"""),"Yes")</f>
        <v>Yes</v>
      </c>
      <c r="O240" s="5" t="str">
        <f>IFERROR(__xludf.DUMMYFUNCTION("""COMPUTED_VALUE"""),"Yes")</f>
        <v>Yes</v>
      </c>
      <c r="P240" s="5" t="str">
        <f>IFERROR(__xludf.DUMMYFUNCTION("""COMPUTED_VALUE"""),"No")</f>
        <v>No</v>
      </c>
      <c r="Q240" s="5" t="str">
        <f>IFERROR(__xludf.DUMMYFUNCTION("""COMPUTED_VALUE"""),"Yes")</f>
        <v>Yes</v>
      </c>
      <c r="R240" s="5" t="str">
        <f>IFERROR(__xludf.DUMMYFUNCTION("""COMPUTED_VALUE"""),"No")</f>
        <v>No</v>
      </c>
      <c r="S240" s="5" t="str">
        <f>IFERROR(__xludf.DUMMYFUNCTION("""COMPUTED_VALUE"""),"No")</f>
        <v>No</v>
      </c>
      <c r="T240" s="5" t="str">
        <f>IFERROR(__xludf.DUMMYFUNCTION("""COMPUTED_VALUE"""),"No")</f>
        <v>No</v>
      </c>
      <c r="U240" s="5" t="str">
        <f>IFERROR(__xludf.DUMMYFUNCTION("""COMPUTED_VALUE"""),"No")</f>
        <v>No</v>
      </c>
      <c r="V240" s="5" t="str">
        <f>IFERROR(__xludf.DUMMYFUNCTION("""COMPUTED_VALUE"""),"No")</f>
        <v>No</v>
      </c>
      <c r="W240" s="5"/>
      <c r="X240" s="5"/>
      <c r="Y240" s="5"/>
      <c r="Z240" s="5" t="str">
        <f>IFERROR(__xludf.DUMMYFUNCTION("""COMPUTED_VALUE"""),"No")</f>
        <v>No</v>
      </c>
      <c r="AA240" s="5"/>
      <c r="AB240" s="5"/>
      <c r="AC240" s="5"/>
    </row>
    <row r="241">
      <c r="A241" s="5" t="str">
        <f>IFERROR(__xludf.DUMMYFUNCTION("""COMPUTED_VALUE"""),"PiratesFazi")</f>
        <v>PiratesFazi</v>
      </c>
      <c r="B2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1" s="5" t="str">
        <f>IFERROR(__xludf.DUMMYFUNCTION("""COMPUTED_VALUE"""),"Yes")</f>
        <v>Yes</v>
      </c>
      <c r="D241" s="5" t="str">
        <f>IFERROR(__xludf.DUMMYFUNCTION("""COMPUTED_VALUE"""),"Yes")</f>
        <v>Yes</v>
      </c>
      <c r="E241" s="5" t="str">
        <f>IFERROR(__xludf.DUMMYFUNCTION("""COMPUTED_VALUE"""),"Yes")</f>
        <v>Yes</v>
      </c>
      <c r="F241" s="5" t="str">
        <f>IFERROR(__xludf.DUMMYFUNCTION("""COMPUTED_VALUE"""),"Yes")</f>
        <v>Yes</v>
      </c>
      <c r="G241" s="5" t="str">
        <f>IFERROR(__xludf.DUMMYFUNCTION("""COMPUTED_VALUE"""),"Yes")</f>
        <v>Yes</v>
      </c>
      <c r="H241" s="5" t="str">
        <f>IFERROR(__xludf.DUMMYFUNCTION("""COMPUTED_VALUE"""),"Yes")</f>
        <v>Yes</v>
      </c>
      <c r="I241" s="5" t="str">
        <f>IFERROR(__xludf.DUMMYFUNCTION("""COMPUTED_VALUE"""),"Yes")</f>
        <v>Yes</v>
      </c>
      <c r="J241" s="5" t="str">
        <f>IFERROR(__xludf.DUMMYFUNCTION("""COMPUTED_VALUE"""),"Yes")</f>
        <v>Yes</v>
      </c>
      <c r="K241" s="5" t="str">
        <f>IFERROR(__xludf.DUMMYFUNCTION("""COMPUTED_VALUE"""),"Yes")</f>
        <v>Yes</v>
      </c>
      <c r="L241" s="5" t="str">
        <f>IFERROR(__xludf.DUMMYFUNCTION("""COMPUTED_VALUE"""),"Yes")</f>
        <v>Yes</v>
      </c>
      <c r="M241" s="5" t="str">
        <f>IFERROR(__xludf.DUMMYFUNCTION("""COMPUTED_VALUE"""),"Yes")</f>
        <v>Yes</v>
      </c>
      <c r="N241" s="5" t="str">
        <f>IFERROR(__xludf.DUMMYFUNCTION("""COMPUTED_VALUE"""),"Yes")</f>
        <v>Yes</v>
      </c>
      <c r="O241" s="5" t="str">
        <f>IFERROR(__xludf.DUMMYFUNCTION("""COMPUTED_VALUE"""),"Yes")</f>
        <v>Yes</v>
      </c>
      <c r="P241" s="5" t="str">
        <f>IFERROR(__xludf.DUMMYFUNCTION("""COMPUTED_VALUE"""),"Yes")</f>
        <v>Yes</v>
      </c>
      <c r="Q241" s="5" t="str">
        <f>IFERROR(__xludf.DUMMYFUNCTION("""COMPUTED_VALUE"""),"Yes")</f>
        <v>Yes</v>
      </c>
      <c r="R241" s="5" t="str">
        <f>IFERROR(__xludf.DUMMYFUNCTION("""COMPUTED_VALUE"""),"Yes")</f>
        <v>Yes</v>
      </c>
      <c r="S241" s="5" t="str">
        <f>IFERROR(__xludf.DUMMYFUNCTION("""COMPUTED_VALUE"""),"Yes")</f>
        <v>Yes</v>
      </c>
      <c r="T241" s="5" t="str">
        <f>IFERROR(__xludf.DUMMYFUNCTION("""COMPUTED_VALUE"""),"Yes")</f>
        <v>Yes</v>
      </c>
      <c r="U241" s="5" t="str">
        <f>IFERROR(__xludf.DUMMYFUNCTION("""COMPUTED_VALUE"""),"Yes")</f>
        <v>Yes</v>
      </c>
      <c r="V241" s="5" t="str">
        <f>IFERROR(__xludf.DUMMYFUNCTION("""COMPUTED_VALUE"""),"Yes")</f>
        <v>Yes</v>
      </c>
      <c r="W241" s="5" t="str">
        <f>IFERROR(__xludf.DUMMYFUNCTION("""COMPUTED_VALUE"""),"Yes")</f>
        <v>Yes</v>
      </c>
      <c r="X241" s="5" t="str">
        <f>IFERROR(__xludf.DUMMYFUNCTION("""COMPUTED_VALUE"""),"Yes")</f>
        <v>Yes</v>
      </c>
      <c r="Y241" s="5" t="str">
        <f>IFERROR(__xludf.DUMMYFUNCTION("""COMPUTED_VALUE"""),"Yes")</f>
        <v>Yes</v>
      </c>
      <c r="Z241" s="5" t="str">
        <f>IFERROR(__xludf.DUMMYFUNCTION("""COMPUTED_VALUE"""),"Yes")</f>
        <v>Yes</v>
      </c>
      <c r="AA241" s="5" t="str">
        <f>IFERROR(__xludf.DUMMYFUNCTION("""COMPUTED_VALUE"""),"Yes")</f>
        <v>Yes</v>
      </c>
      <c r="AB241" s="5" t="str">
        <f>IFERROR(__xludf.DUMMYFUNCTION("""COMPUTED_VALUE"""),"Yes")</f>
        <v>Yes</v>
      </c>
      <c r="AC241" s="5" t="str">
        <f>IFERROR(__xludf.DUMMYFUNCTION("""COMPUTED_VALUE"""),"No")</f>
        <v>No</v>
      </c>
    </row>
    <row r="242">
      <c r="A242" s="5" t="str">
        <f>IFERROR(__xludf.DUMMYFUNCTION("""COMPUTED_VALUE"""),"SuperLucky")</f>
        <v>SuperLucky</v>
      </c>
      <c r="B2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2" s="5" t="str">
        <f>IFERROR(__xludf.DUMMYFUNCTION("""COMPUTED_VALUE"""),"Yes")</f>
        <v>Yes</v>
      </c>
      <c r="D242" s="5" t="str">
        <f>IFERROR(__xludf.DUMMYFUNCTION("""COMPUTED_VALUE"""),"Yes")</f>
        <v>Yes</v>
      </c>
      <c r="E242" s="5" t="str">
        <f>IFERROR(__xludf.DUMMYFUNCTION("""COMPUTED_VALUE"""),"Yes")</f>
        <v>Yes</v>
      </c>
      <c r="F242" s="5" t="str">
        <f>IFERROR(__xludf.DUMMYFUNCTION("""COMPUTED_VALUE"""),"Yes")</f>
        <v>Yes</v>
      </c>
      <c r="G242" s="5" t="str">
        <f>IFERROR(__xludf.DUMMYFUNCTION("""COMPUTED_VALUE"""),"Yes")</f>
        <v>Yes</v>
      </c>
      <c r="H242" s="5" t="str">
        <f>IFERROR(__xludf.DUMMYFUNCTION("""COMPUTED_VALUE"""),"Yes")</f>
        <v>Yes</v>
      </c>
      <c r="I242" s="5" t="str">
        <f>IFERROR(__xludf.DUMMYFUNCTION("""COMPUTED_VALUE"""),"Yes")</f>
        <v>Yes</v>
      </c>
      <c r="J242" s="5" t="str">
        <f>IFERROR(__xludf.DUMMYFUNCTION("""COMPUTED_VALUE"""),"Yes")</f>
        <v>Yes</v>
      </c>
      <c r="K242" s="5" t="str">
        <f>IFERROR(__xludf.DUMMYFUNCTION("""COMPUTED_VALUE"""),"Yes")</f>
        <v>Yes</v>
      </c>
      <c r="L242" s="5" t="str">
        <f>IFERROR(__xludf.DUMMYFUNCTION("""COMPUTED_VALUE"""),"Yes")</f>
        <v>Yes</v>
      </c>
      <c r="M242" s="5" t="str">
        <f>IFERROR(__xludf.DUMMYFUNCTION("""COMPUTED_VALUE"""),"Yes")</f>
        <v>Yes</v>
      </c>
      <c r="N242" s="5" t="str">
        <f>IFERROR(__xludf.DUMMYFUNCTION("""COMPUTED_VALUE"""),"Yes")</f>
        <v>Yes</v>
      </c>
      <c r="O242" s="5" t="str">
        <f>IFERROR(__xludf.DUMMYFUNCTION("""COMPUTED_VALUE"""),"Yes")</f>
        <v>Yes</v>
      </c>
      <c r="P242" s="5" t="str">
        <f>IFERROR(__xludf.DUMMYFUNCTION("""COMPUTED_VALUE"""),"Yes")</f>
        <v>Yes</v>
      </c>
      <c r="Q242" s="5" t="str">
        <f>IFERROR(__xludf.DUMMYFUNCTION("""COMPUTED_VALUE"""),"Yes")</f>
        <v>Yes</v>
      </c>
      <c r="R242" s="5" t="str">
        <f>IFERROR(__xludf.DUMMYFUNCTION("""COMPUTED_VALUE"""),"Yes")</f>
        <v>Yes</v>
      </c>
      <c r="S242" s="5" t="str">
        <f>IFERROR(__xludf.DUMMYFUNCTION("""COMPUTED_VALUE"""),"Yes")</f>
        <v>Yes</v>
      </c>
      <c r="T242" s="5" t="str">
        <f>IFERROR(__xludf.DUMMYFUNCTION("""COMPUTED_VALUE"""),"Yes")</f>
        <v>Yes</v>
      </c>
      <c r="U242" s="5" t="str">
        <f>IFERROR(__xludf.DUMMYFUNCTION("""COMPUTED_VALUE"""),"Yes")</f>
        <v>Yes</v>
      </c>
      <c r="V242" s="5" t="str">
        <f>IFERROR(__xludf.DUMMYFUNCTION("""COMPUTED_VALUE"""),"Yes")</f>
        <v>Yes</v>
      </c>
      <c r="W242" s="5" t="str">
        <f>IFERROR(__xludf.DUMMYFUNCTION("""COMPUTED_VALUE"""),"Yes")</f>
        <v>Yes</v>
      </c>
      <c r="X242" s="5"/>
      <c r="Y242" s="5"/>
      <c r="Z242" s="5" t="str">
        <f>IFERROR(__xludf.DUMMYFUNCTION("""COMPUTED_VALUE"""),"Yes")</f>
        <v>Yes</v>
      </c>
      <c r="AA242" s="5"/>
      <c r="AB242" s="5"/>
      <c r="AC242" s="5"/>
    </row>
    <row r="243">
      <c r="A243" s="5" t="str">
        <f>IFERROR(__xludf.DUMMYFUNCTION("""COMPUTED_VALUE"""),"EpicClover40")</f>
        <v>EpicClover40</v>
      </c>
      <c r="B2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3" s="5" t="str">
        <f>IFERROR(__xludf.DUMMYFUNCTION("""COMPUTED_VALUE"""),"Yes")</f>
        <v>Yes</v>
      </c>
      <c r="D243" s="5" t="str">
        <f>IFERROR(__xludf.DUMMYFUNCTION("""COMPUTED_VALUE"""),"Yes")</f>
        <v>Yes</v>
      </c>
      <c r="E243" s="5" t="str">
        <f>IFERROR(__xludf.DUMMYFUNCTION("""COMPUTED_VALUE"""),"Yes")</f>
        <v>Yes</v>
      </c>
      <c r="F243" s="5" t="str">
        <f>IFERROR(__xludf.DUMMYFUNCTION("""COMPUTED_VALUE"""),"Yes")</f>
        <v>Yes</v>
      </c>
      <c r="G243" s="5" t="str">
        <f>IFERROR(__xludf.DUMMYFUNCTION("""COMPUTED_VALUE"""),"Yes")</f>
        <v>Yes</v>
      </c>
      <c r="H243" s="5" t="str">
        <f>IFERROR(__xludf.DUMMYFUNCTION("""COMPUTED_VALUE"""),"Yes")</f>
        <v>Yes</v>
      </c>
      <c r="I243" s="5" t="str">
        <f>IFERROR(__xludf.DUMMYFUNCTION("""COMPUTED_VALUE"""),"Yes")</f>
        <v>Yes</v>
      </c>
      <c r="J243" s="5" t="str">
        <f>IFERROR(__xludf.DUMMYFUNCTION("""COMPUTED_VALUE"""),"Yes")</f>
        <v>Yes</v>
      </c>
      <c r="K243" s="5" t="str">
        <f>IFERROR(__xludf.DUMMYFUNCTION("""COMPUTED_VALUE"""),"Yes")</f>
        <v>Yes</v>
      </c>
      <c r="L243" s="5" t="str">
        <f>IFERROR(__xludf.DUMMYFUNCTION("""COMPUTED_VALUE"""),"Yes")</f>
        <v>Yes</v>
      </c>
      <c r="M243" s="5" t="str">
        <f>IFERROR(__xludf.DUMMYFUNCTION("""COMPUTED_VALUE"""),"Yes")</f>
        <v>Yes</v>
      </c>
      <c r="N243" s="5" t="str">
        <f>IFERROR(__xludf.DUMMYFUNCTION("""COMPUTED_VALUE"""),"Yes")</f>
        <v>Yes</v>
      </c>
      <c r="O243" s="5" t="str">
        <f>IFERROR(__xludf.DUMMYFUNCTION("""COMPUTED_VALUE"""),"Yes")</f>
        <v>Yes</v>
      </c>
      <c r="P243" s="5" t="str">
        <f>IFERROR(__xludf.DUMMYFUNCTION("""COMPUTED_VALUE"""),"Yes")</f>
        <v>Yes</v>
      </c>
      <c r="Q243" s="5" t="str">
        <f>IFERROR(__xludf.DUMMYFUNCTION("""COMPUTED_VALUE"""),"Yes")</f>
        <v>Yes</v>
      </c>
      <c r="R243" s="5" t="str">
        <f>IFERROR(__xludf.DUMMYFUNCTION("""COMPUTED_VALUE"""),"Yes")</f>
        <v>Yes</v>
      </c>
      <c r="S243" s="5" t="str">
        <f>IFERROR(__xludf.DUMMYFUNCTION("""COMPUTED_VALUE"""),"Yes")</f>
        <v>Yes</v>
      </c>
      <c r="T243" s="5" t="str">
        <f>IFERROR(__xludf.DUMMYFUNCTION("""COMPUTED_VALUE"""),"Yes")</f>
        <v>Yes</v>
      </c>
      <c r="U243" s="5" t="str">
        <f>IFERROR(__xludf.DUMMYFUNCTION("""COMPUTED_VALUE"""),"Yes")</f>
        <v>Yes</v>
      </c>
      <c r="V243" s="5" t="str">
        <f>IFERROR(__xludf.DUMMYFUNCTION("""COMPUTED_VALUE"""),"Yes")</f>
        <v>Yes</v>
      </c>
      <c r="W243" s="5" t="str">
        <f>IFERROR(__xludf.DUMMYFUNCTION("""COMPUTED_VALUE"""),"Yes")</f>
        <v>Yes</v>
      </c>
      <c r="X243" s="5" t="str">
        <f>IFERROR(__xludf.DUMMYFUNCTION("""COMPUTED_VALUE"""),"Yes")</f>
        <v>Yes</v>
      </c>
      <c r="Y243" s="5" t="str">
        <f>IFERROR(__xludf.DUMMYFUNCTION("""COMPUTED_VALUE"""),"Yes")</f>
        <v>Yes</v>
      </c>
      <c r="Z243" s="5" t="str">
        <f>IFERROR(__xludf.DUMMYFUNCTION("""COMPUTED_VALUE"""),"Yes")</f>
        <v>Yes</v>
      </c>
      <c r="AA243" s="5" t="str">
        <f>IFERROR(__xludf.DUMMYFUNCTION("""COMPUTED_VALUE"""),"Yes")</f>
        <v>Yes</v>
      </c>
      <c r="AB243" s="5" t="str">
        <f>IFERROR(__xludf.DUMMYFUNCTION("""COMPUTED_VALUE"""),"Yes")</f>
        <v>Yes</v>
      </c>
      <c r="AC243" s="5" t="str">
        <f>IFERROR(__xludf.DUMMYFUNCTION("""COMPUTED_VALUE"""),"No")</f>
        <v>No</v>
      </c>
    </row>
    <row r="244">
      <c r="A244" s="5" t="str">
        <f>IFERROR(__xludf.DUMMYFUNCTION("""COMPUTED_VALUE"""),"WildLuckyClover2")</f>
        <v>WildLuckyClover2</v>
      </c>
      <c r="B2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4" s="5" t="str">
        <f>IFERROR(__xludf.DUMMYFUNCTION("""COMPUTED_VALUE"""),"Yes")</f>
        <v>Yes</v>
      </c>
      <c r="D244" s="5" t="str">
        <f>IFERROR(__xludf.DUMMYFUNCTION("""COMPUTED_VALUE"""),"Yes")</f>
        <v>Yes</v>
      </c>
      <c r="E244" s="5" t="str">
        <f>IFERROR(__xludf.DUMMYFUNCTION("""COMPUTED_VALUE"""),"Yes")</f>
        <v>Yes</v>
      </c>
      <c r="F244" s="5" t="str">
        <f>IFERROR(__xludf.DUMMYFUNCTION("""COMPUTED_VALUE"""),"Yes")</f>
        <v>Yes</v>
      </c>
      <c r="G244" s="5" t="str">
        <f>IFERROR(__xludf.DUMMYFUNCTION("""COMPUTED_VALUE"""),"Yes")</f>
        <v>Yes</v>
      </c>
      <c r="H244" s="5" t="str">
        <f>IFERROR(__xludf.DUMMYFUNCTION("""COMPUTED_VALUE"""),"Yes")</f>
        <v>Yes</v>
      </c>
      <c r="I244" s="5" t="str">
        <f>IFERROR(__xludf.DUMMYFUNCTION("""COMPUTED_VALUE"""),"Yes")</f>
        <v>Yes</v>
      </c>
      <c r="J244" s="5" t="str">
        <f>IFERROR(__xludf.DUMMYFUNCTION("""COMPUTED_VALUE"""),"Yes")</f>
        <v>Yes</v>
      </c>
      <c r="K244" s="5" t="str">
        <f>IFERROR(__xludf.DUMMYFUNCTION("""COMPUTED_VALUE"""),"Yes")</f>
        <v>Yes</v>
      </c>
      <c r="L244" s="5" t="str">
        <f>IFERROR(__xludf.DUMMYFUNCTION("""COMPUTED_VALUE"""),"Yes")</f>
        <v>Yes</v>
      </c>
      <c r="M244" s="5" t="str">
        <f>IFERROR(__xludf.DUMMYFUNCTION("""COMPUTED_VALUE"""),"Yes")</f>
        <v>Yes</v>
      </c>
      <c r="N244" s="5" t="str">
        <f>IFERROR(__xludf.DUMMYFUNCTION("""COMPUTED_VALUE"""),"Yes")</f>
        <v>Yes</v>
      </c>
      <c r="O244" s="5" t="str">
        <f>IFERROR(__xludf.DUMMYFUNCTION("""COMPUTED_VALUE"""),"Yes")</f>
        <v>Yes</v>
      </c>
      <c r="P244" s="5" t="str">
        <f>IFERROR(__xludf.DUMMYFUNCTION("""COMPUTED_VALUE"""),"Yes")</f>
        <v>Yes</v>
      </c>
      <c r="Q244" s="5" t="str">
        <f>IFERROR(__xludf.DUMMYFUNCTION("""COMPUTED_VALUE"""),"Yes")</f>
        <v>Yes</v>
      </c>
      <c r="R244" s="5" t="str">
        <f>IFERROR(__xludf.DUMMYFUNCTION("""COMPUTED_VALUE"""),"Yes")</f>
        <v>Yes</v>
      </c>
      <c r="S244" s="5" t="str">
        <f>IFERROR(__xludf.DUMMYFUNCTION("""COMPUTED_VALUE"""),"Yes")</f>
        <v>Yes</v>
      </c>
      <c r="T244" s="5" t="str">
        <f>IFERROR(__xludf.DUMMYFUNCTION("""COMPUTED_VALUE"""),"Yes")</f>
        <v>Yes</v>
      </c>
      <c r="U244" s="5" t="str">
        <f>IFERROR(__xludf.DUMMYFUNCTION("""COMPUTED_VALUE"""),"Yes")</f>
        <v>Yes</v>
      </c>
      <c r="V244" s="5" t="str">
        <f>IFERROR(__xludf.DUMMYFUNCTION("""COMPUTED_VALUE"""),"Yes")</f>
        <v>Yes</v>
      </c>
      <c r="W244" s="5" t="str">
        <f>IFERROR(__xludf.DUMMYFUNCTION("""COMPUTED_VALUE"""),"Yes")</f>
        <v>Yes</v>
      </c>
      <c r="X244" s="5" t="str">
        <f>IFERROR(__xludf.DUMMYFUNCTION("""COMPUTED_VALUE"""),"Yes")</f>
        <v>Yes</v>
      </c>
      <c r="Y244" s="5" t="str">
        <f>IFERROR(__xludf.DUMMYFUNCTION("""COMPUTED_VALUE"""),"Yes")</f>
        <v>Yes</v>
      </c>
      <c r="Z244" s="5" t="str">
        <f>IFERROR(__xludf.DUMMYFUNCTION("""COMPUTED_VALUE"""),"Yes")</f>
        <v>Yes</v>
      </c>
      <c r="AA244" s="5" t="str">
        <f>IFERROR(__xludf.DUMMYFUNCTION("""COMPUTED_VALUE"""),"Yes")</f>
        <v>Yes</v>
      </c>
      <c r="AB244" s="5" t="str">
        <f>IFERROR(__xludf.DUMMYFUNCTION("""COMPUTED_VALUE"""),"Yes")</f>
        <v>Yes</v>
      </c>
      <c r="AC244" s="5" t="str">
        <f>IFERROR(__xludf.DUMMYFUNCTION("""COMPUTED_VALUE"""),"No")</f>
        <v>No</v>
      </c>
    </row>
    <row r="245">
      <c r="A245" s="5" t="str">
        <f>IFERROR(__xludf.DUMMYFUNCTION("""COMPUTED_VALUE"""),"Unicorn40FruitReels")</f>
        <v>Unicorn40FruitReels</v>
      </c>
      <c r="B2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5" s="5" t="str">
        <f>IFERROR(__xludf.DUMMYFUNCTION("""COMPUTED_VALUE"""),"Yes")</f>
        <v>Yes</v>
      </c>
      <c r="D245" s="5" t="str">
        <f>IFERROR(__xludf.DUMMYFUNCTION("""COMPUTED_VALUE"""),"Yes")</f>
        <v>Yes</v>
      </c>
      <c r="E245" s="5" t="str">
        <f>IFERROR(__xludf.DUMMYFUNCTION("""COMPUTED_VALUE"""),"Yes")</f>
        <v>Yes</v>
      </c>
      <c r="F245" s="5" t="str">
        <f>IFERROR(__xludf.DUMMYFUNCTION("""COMPUTED_VALUE"""),"Yes")</f>
        <v>Yes</v>
      </c>
      <c r="G245" s="5" t="str">
        <f>IFERROR(__xludf.DUMMYFUNCTION("""COMPUTED_VALUE"""),"Yes")</f>
        <v>Yes</v>
      </c>
      <c r="H245" s="5" t="str">
        <f>IFERROR(__xludf.DUMMYFUNCTION("""COMPUTED_VALUE"""),"Yes")</f>
        <v>Yes</v>
      </c>
      <c r="I245" s="5" t="str">
        <f>IFERROR(__xludf.DUMMYFUNCTION("""COMPUTED_VALUE"""),"Yes")</f>
        <v>Yes</v>
      </c>
      <c r="J245" s="5" t="str">
        <f>IFERROR(__xludf.DUMMYFUNCTION("""COMPUTED_VALUE"""),"Yes")</f>
        <v>Yes</v>
      </c>
      <c r="K245" s="5" t="str">
        <f>IFERROR(__xludf.DUMMYFUNCTION("""COMPUTED_VALUE"""),"Yes")</f>
        <v>Yes</v>
      </c>
      <c r="L245" s="5" t="str">
        <f>IFERROR(__xludf.DUMMYFUNCTION("""COMPUTED_VALUE"""),"Yes")</f>
        <v>Yes</v>
      </c>
      <c r="M245" s="5" t="str">
        <f>IFERROR(__xludf.DUMMYFUNCTION("""COMPUTED_VALUE"""),"Yes")</f>
        <v>Yes</v>
      </c>
      <c r="N245" s="5" t="str">
        <f>IFERROR(__xludf.DUMMYFUNCTION("""COMPUTED_VALUE"""),"Yes")</f>
        <v>Yes</v>
      </c>
      <c r="O245" s="5" t="str">
        <f>IFERROR(__xludf.DUMMYFUNCTION("""COMPUTED_VALUE"""),"Yes")</f>
        <v>Yes</v>
      </c>
      <c r="P245" s="5" t="str">
        <f>IFERROR(__xludf.DUMMYFUNCTION("""COMPUTED_VALUE"""),"Yes")</f>
        <v>Yes</v>
      </c>
      <c r="Q245" s="5" t="str">
        <f>IFERROR(__xludf.DUMMYFUNCTION("""COMPUTED_VALUE"""),"Yes")</f>
        <v>Yes</v>
      </c>
      <c r="R245" s="5" t="str">
        <f>IFERROR(__xludf.DUMMYFUNCTION("""COMPUTED_VALUE"""),"Yes")</f>
        <v>Yes</v>
      </c>
      <c r="S245" s="5" t="str">
        <f>IFERROR(__xludf.DUMMYFUNCTION("""COMPUTED_VALUE"""),"Yes")</f>
        <v>Yes</v>
      </c>
      <c r="T245" s="5" t="str">
        <f>IFERROR(__xludf.DUMMYFUNCTION("""COMPUTED_VALUE"""),"Yes")</f>
        <v>Yes</v>
      </c>
      <c r="U245" s="5" t="str">
        <f>IFERROR(__xludf.DUMMYFUNCTION("""COMPUTED_VALUE"""),"Yes")</f>
        <v>Yes</v>
      </c>
      <c r="V245" s="5" t="str">
        <f>IFERROR(__xludf.DUMMYFUNCTION("""COMPUTED_VALUE"""),"Yes")</f>
        <v>Yes</v>
      </c>
      <c r="W245" s="5" t="str">
        <f>IFERROR(__xludf.DUMMYFUNCTION("""COMPUTED_VALUE"""),"Yes")</f>
        <v>Yes</v>
      </c>
      <c r="X245" s="5" t="str">
        <f>IFERROR(__xludf.DUMMYFUNCTION("""COMPUTED_VALUE"""),"Yes")</f>
        <v>Yes</v>
      </c>
      <c r="Y245" s="5" t="str">
        <f>IFERROR(__xludf.DUMMYFUNCTION("""COMPUTED_VALUE"""),"Yes")</f>
        <v>Yes</v>
      </c>
      <c r="Z245" s="5" t="str">
        <f>IFERROR(__xludf.DUMMYFUNCTION("""COMPUTED_VALUE"""),"Yes")</f>
        <v>Yes</v>
      </c>
      <c r="AA245" s="5" t="str">
        <f>IFERROR(__xludf.DUMMYFUNCTION("""COMPUTED_VALUE"""),"Yes")</f>
        <v>Yes</v>
      </c>
      <c r="AB245" s="5" t="str">
        <f>IFERROR(__xludf.DUMMYFUNCTION("""COMPUTED_VALUE"""),"Yes")</f>
        <v>Yes</v>
      </c>
      <c r="AC245" s="5"/>
    </row>
    <row r="246">
      <c r="A246" s="5" t="str">
        <f>IFERROR(__xludf.DUMMYFUNCTION("""COMPUTED_VALUE"""),"EpicCrown10")</f>
        <v>EpicCrown10</v>
      </c>
      <c r="B2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6" s="5" t="str">
        <f>IFERROR(__xludf.DUMMYFUNCTION("""COMPUTED_VALUE"""),"Yes")</f>
        <v>Yes</v>
      </c>
      <c r="D246" s="5" t="str">
        <f>IFERROR(__xludf.DUMMYFUNCTION("""COMPUTED_VALUE"""),"Yes")</f>
        <v>Yes</v>
      </c>
      <c r="E246" s="5" t="str">
        <f>IFERROR(__xludf.DUMMYFUNCTION("""COMPUTED_VALUE"""),"Yes")</f>
        <v>Yes</v>
      </c>
      <c r="F246" s="5" t="str">
        <f>IFERROR(__xludf.DUMMYFUNCTION("""COMPUTED_VALUE"""),"Yes")</f>
        <v>Yes</v>
      </c>
      <c r="G246" s="5" t="str">
        <f>IFERROR(__xludf.DUMMYFUNCTION("""COMPUTED_VALUE"""),"Yes")</f>
        <v>Yes</v>
      </c>
      <c r="H246" s="5" t="str">
        <f>IFERROR(__xludf.DUMMYFUNCTION("""COMPUTED_VALUE"""),"Yes")</f>
        <v>Yes</v>
      </c>
      <c r="I246" s="5" t="str">
        <f>IFERROR(__xludf.DUMMYFUNCTION("""COMPUTED_VALUE"""),"Yes")</f>
        <v>Yes</v>
      </c>
      <c r="J246" s="5" t="str">
        <f>IFERROR(__xludf.DUMMYFUNCTION("""COMPUTED_VALUE"""),"Yes")</f>
        <v>Yes</v>
      </c>
      <c r="K246" s="5" t="str">
        <f>IFERROR(__xludf.DUMMYFUNCTION("""COMPUTED_VALUE"""),"Yes")</f>
        <v>Yes</v>
      </c>
      <c r="L246" s="5" t="str">
        <f>IFERROR(__xludf.DUMMYFUNCTION("""COMPUTED_VALUE"""),"Yes")</f>
        <v>Yes</v>
      </c>
      <c r="M246" s="5" t="str">
        <f>IFERROR(__xludf.DUMMYFUNCTION("""COMPUTED_VALUE"""),"Yes")</f>
        <v>Yes</v>
      </c>
      <c r="N246" s="5" t="str">
        <f>IFERROR(__xludf.DUMMYFUNCTION("""COMPUTED_VALUE"""),"Yes")</f>
        <v>Yes</v>
      </c>
      <c r="O246" s="5" t="str">
        <f>IFERROR(__xludf.DUMMYFUNCTION("""COMPUTED_VALUE"""),"Yes")</f>
        <v>Yes</v>
      </c>
      <c r="P246" s="5" t="str">
        <f>IFERROR(__xludf.DUMMYFUNCTION("""COMPUTED_VALUE"""),"Yes")</f>
        <v>Yes</v>
      </c>
      <c r="Q246" s="5" t="str">
        <f>IFERROR(__xludf.DUMMYFUNCTION("""COMPUTED_VALUE"""),"Yes")</f>
        <v>Yes</v>
      </c>
      <c r="R246" s="5" t="str">
        <f>IFERROR(__xludf.DUMMYFUNCTION("""COMPUTED_VALUE"""),"Yes")</f>
        <v>Yes</v>
      </c>
      <c r="S246" s="5" t="str">
        <f>IFERROR(__xludf.DUMMYFUNCTION("""COMPUTED_VALUE"""),"Yes")</f>
        <v>Yes</v>
      </c>
      <c r="T246" s="5" t="str">
        <f>IFERROR(__xludf.DUMMYFUNCTION("""COMPUTED_VALUE"""),"Yes")</f>
        <v>Yes</v>
      </c>
      <c r="U246" s="5" t="str">
        <f>IFERROR(__xludf.DUMMYFUNCTION("""COMPUTED_VALUE"""),"Yes")</f>
        <v>Yes</v>
      </c>
      <c r="V246" s="5" t="str">
        <f>IFERROR(__xludf.DUMMYFUNCTION("""COMPUTED_VALUE"""),"Yes")</f>
        <v>Yes</v>
      </c>
      <c r="W246" s="5" t="str">
        <f>IFERROR(__xludf.DUMMYFUNCTION("""COMPUTED_VALUE"""),"Yes")</f>
        <v>Yes</v>
      </c>
      <c r="X246" s="5" t="str">
        <f>IFERROR(__xludf.DUMMYFUNCTION("""COMPUTED_VALUE"""),"Yes")</f>
        <v>Yes</v>
      </c>
      <c r="Y246" s="5" t="str">
        <f>IFERROR(__xludf.DUMMYFUNCTION("""COMPUTED_VALUE"""),"Yes")</f>
        <v>Yes</v>
      </c>
      <c r="Z246" s="5" t="str">
        <f>IFERROR(__xludf.DUMMYFUNCTION("""COMPUTED_VALUE"""),"Yes")</f>
        <v>Yes</v>
      </c>
      <c r="AA246" s="5" t="str">
        <f>IFERROR(__xludf.DUMMYFUNCTION("""COMPUTED_VALUE"""),"Yes")</f>
        <v>Yes</v>
      </c>
      <c r="AB246" s="5" t="str">
        <f>IFERROR(__xludf.DUMMYFUNCTION("""COMPUTED_VALUE"""),"Yes")</f>
        <v>Yes</v>
      </c>
      <c r="AC246" s="5" t="str">
        <f>IFERROR(__xludf.DUMMYFUNCTION("""COMPUTED_VALUE"""),"No")</f>
        <v>No</v>
      </c>
    </row>
    <row r="247">
      <c r="A247" s="5" t="str">
        <f>IFERROR(__xludf.DUMMYFUNCTION("""COMPUTED_VALUE"""),"JokerTripleDouble")</f>
        <v>JokerTripleDouble</v>
      </c>
      <c r="B2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7" s="5" t="str">
        <f>IFERROR(__xludf.DUMMYFUNCTION("""COMPUTED_VALUE"""),"Yes")</f>
        <v>Yes</v>
      </c>
      <c r="D247" s="5" t="str">
        <f>IFERROR(__xludf.DUMMYFUNCTION("""COMPUTED_VALUE"""),"Yes")</f>
        <v>Yes</v>
      </c>
      <c r="E247" s="5" t="str">
        <f>IFERROR(__xludf.DUMMYFUNCTION("""COMPUTED_VALUE"""),"Yes")</f>
        <v>Yes</v>
      </c>
      <c r="F247" s="5" t="str">
        <f>IFERROR(__xludf.DUMMYFUNCTION("""COMPUTED_VALUE"""),"Yes")</f>
        <v>Yes</v>
      </c>
      <c r="G247" s="5" t="str">
        <f>IFERROR(__xludf.DUMMYFUNCTION("""COMPUTED_VALUE"""),"Yes")</f>
        <v>Yes</v>
      </c>
      <c r="H247" s="5" t="str">
        <f>IFERROR(__xludf.DUMMYFUNCTION("""COMPUTED_VALUE"""),"Yes")</f>
        <v>Yes</v>
      </c>
      <c r="I247" s="5" t="str">
        <f>IFERROR(__xludf.DUMMYFUNCTION("""COMPUTED_VALUE"""),"Yes")</f>
        <v>Yes</v>
      </c>
      <c r="J247" s="5" t="str">
        <f>IFERROR(__xludf.DUMMYFUNCTION("""COMPUTED_VALUE"""),"Yes")</f>
        <v>Yes</v>
      </c>
      <c r="K247" s="5" t="str">
        <f>IFERROR(__xludf.DUMMYFUNCTION("""COMPUTED_VALUE"""),"Yes")</f>
        <v>Yes</v>
      </c>
      <c r="L247" s="5" t="str">
        <f>IFERROR(__xludf.DUMMYFUNCTION("""COMPUTED_VALUE"""),"Yes")</f>
        <v>Yes</v>
      </c>
      <c r="M247" s="5" t="str">
        <f>IFERROR(__xludf.DUMMYFUNCTION("""COMPUTED_VALUE"""),"Yes")</f>
        <v>Yes</v>
      </c>
      <c r="N247" s="5" t="str">
        <f>IFERROR(__xludf.DUMMYFUNCTION("""COMPUTED_VALUE"""),"Yes")</f>
        <v>Yes</v>
      </c>
      <c r="O247" s="5" t="str">
        <f>IFERROR(__xludf.DUMMYFUNCTION("""COMPUTED_VALUE"""),"Yes")</f>
        <v>Yes</v>
      </c>
      <c r="P247" s="5" t="str">
        <f>IFERROR(__xludf.DUMMYFUNCTION("""COMPUTED_VALUE"""),"Yes")</f>
        <v>Yes</v>
      </c>
      <c r="Q247" s="5" t="str">
        <f>IFERROR(__xludf.DUMMYFUNCTION("""COMPUTED_VALUE"""),"Yes")</f>
        <v>Yes</v>
      </c>
      <c r="R247" s="5" t="str">
        <f>IFERROR(__xludf.DUMMYFUNCTION("""COMPUTED_VALUE"""),"Yes")</f>
        <v>Yes</v>
      </c>
      <c r="S247" s="5" t="str">
        <f>IFERROR(__xludf.DUMMYFUNCTION("""COMPUTED_VALUE"""),"Yes")</f>
        <v>Yes</v>
      </c>
      <c r="T247" s="5" t="str">
        <f>IFERROR(__xludf.DUMMYFUNCTION("""COMPUTED_VALUE"""),"Yes")</f>
        <v>Yes</v>
      </c>
      <c r="U247" s="5" t="str">
        <f>IFERROR(__xludf.DUMMYFUNCTION("""COMPUTED_VALUE"""),"Yes")</f>
        <v>Yes</v>
      </c>
      <c r="V247" s="5" t="str">
        <f>IFERROR(__xludf.DUMMYFUNCTION("""COMPUTED_VALUE"""),"Yes")</f>
        <v>Yes</v>
      </c>
      <c r="W247" s="5" t="str">
        <f>IFERROR(__xludf.DUMMYFUNCTION("""COMPUTED_VALUE"""),"Yes")</f>
        <v>Yes</v>
      </c>
      <c r="X247" s="5" t="str">
        <f>IFERROR(__xludf.DUMMYFUNCTION("""COMPUTED_VALUE"""),"Yes")</f>
        <v>Yes</v>
      </c>
      <c r="Y247" s="5" t="str">
        <f>IFERROR(__xludf.DUMMYFUNCTION("""COMPUTED_VALUE"""),"Yes")</f>
        <v>Yes</v>
      </c>
      <c r="Z247" s="5" t="str">
        <f>IFERROR(__xludf.DUMMYFUNCTION("""COMPUTED_VALUE"""),"Yes")</f>
        <v>Yes</v>
      </c>
      <c r="AA247" s="5" t="str">
        <f>IFERROR(__xludf.DUMMYFUNCTION("""COMPUTED_VALUE"""),"Yes")</f>
        <v>Yes</v>
      </c>
      <c r="AB247" s="5" t="str">
        <f>IFERROR(__xludf.DUMMYFUNCTION("""COMPUTED_VALUE"""),"Yes")</f>
        <v>Yes</v>
      </c>
      <c r="AC247" s="5" t="str">
        <f>IFERROR(__xludf.DUMMYFUNCTION("""COMPUTED_VALUE"""),"No")</f>
        <v>No</v>
      </c>
    </row>
    <row r="248">
      <c r="A248" s="5" t="str">
        <f>IFERROR(__xludf.DUMMYFUNCTION("""COMPUTED_VALUE"""),"HeatDouble")</f>
        <v>HeatDouble</v>
      </c>
      <c r="B2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8" s="5" t="str">
        <f>IFERROR(__xludf.DUMMYFUNCTION("""COMPUTED_VALUE"""),"Yes")</f>
        <v>Yes</v>
      </c>
      <c r="D248" s="5" t="str">
        <f>IFERROR(__xludf.DUMMYFUNCTION("""COMPUTED_VALUE"""),"Yes")</f>
        <v>Yes</v>
      </c>
      <c r="E248" s="5" t="str">
        <f>IFERROR(__xludf.DUMMYFUNCTION("""COMPUTED_VALUE"""),"Yes")</f>
        <v>Yes</v>
      </c>
      <c r="F248" s="5" t="str">
        <f>IFERROR(__xludf.DUMMYFUNCTION("""COMPUTED_VALUE"""),"Yes")</f>
        <v>Yes</v>
      </c>
      <c r="G248" s="5" t="str">
        <f>IFERROR(__xludf.DUMMYFUNCTION("""COMPUTED_VALUE"""),"Yes")</f>
        <v>Yes</v>
      </c>
      <c r="H248" s="5" t="str">
        <f>IFERROR(__xludf.DUMMYFUNCTION("""COMPUTED_VALUE"""),"Yes")</f>
        <v>Yes</v>
      </c>
      <c r="I248" s="5" t="str">
        <f>IFERROR(__xludf.DUMMYFUNCTION("""COMPUTED_VALUE"""),"Yes")</f>
        <v>Yes</v>
      </c>
      <c r="J248" s="5" t="str">
        <f>IFERROR(__xludf.DUMMYFUNCTION("""COMPUTED_VALUE"""),"Yes")</f>
        <v>Yes</v>
      </c>
      <c r="K248" s="5" t="str">
        <f>IFERROR(__xludf.DUMMYFUNCTION("""COMPUTED_VALUE"""),"Yes")</f>
        <v>Yes</v>
      </c>
      <c r="L248" s="5" t="str">
        <f>IFERROR(__xludf.DUMMYFUNCTION("""COMPUTED_VALUE"""),"Yes")</f>
        <v>Yes</v>
      </c>
      <c r="M248" s="5" t="str">
        <f>IFERROR(__xludf.DUMMYFUNCTION("""COMPUTED_VALUE"""),"Yes")</f>
        <v>Yes</v>
      </c>
      <c r="N248" s="5" t="str">
        <f>IFERROR(__xludf.DUMMYFUNCTION("""COMPUTED_VALUE"""),"Yes")</f>
        <v>Yes</v>
      </c>
      <c r="O248" s="5" t="str">
        <f>IFERROR(__xludf.DUMMYFUNCTION("""COMPUTED_VALUE"""),"Yes")</f>
        <v>Yes</v>
      </c>
      <c r="P248" s="5" t="str">
        <f>IFERROR(__xludf.DUMMYFUNCTION("""COMPUTED_VALUE"""),"Yes")</f>
        <v>Yes</v>
      </c>
      <c r="Q248" s="5" t="str">
        <f>IFERROR(__xludf.DUMMYFUNCTION("""COMPUTED_VALUE"""),"Yes")</f>
        <v>Yes</v>
      </c>
      <c r="R248" s="5" t="str">
        <f>IFERROR(__xludf.DUMMYFUNCTION("""COMPUTED_VALUE"""),"Yes")</f>
        <v>Yes</v>
      </c>
      <c r="S248" s="5" t="str">
        <f>IFERROR(__xludf.DUMMYFUNCTION("""COMPUTED_VALUE"""),"Yes")</f>
        <v>Yes</v>
      </c>
      <c r="T248" s="5" t="str">
        <f>IFERROR(__xludf.DUMMYFUNCTION("""COMPUTED_VALUE"""),"Yes")</f>
        <v>Yes</v>
      </c>
      <c r="U248" s="5" t="str">
        <f>IFERROR(__xludf.DUMMYFUNCTION("""COMPUTED_VALUE"""),"Yes")</f>
        <v>Yes</v>
      </c>
      <c r="V248" s="5" t="str">
        <f>IFERROR(__xludf.DUMMYFUNCTION("""COMPUTED_VALUE"""),"Yes")</f>
        <v>Yes</v>
      </c>
      <c r="W248" s="5" t="str">
        <f>IFERROR(__xludf.DUMMYFUNCTION("""COMPUTED_VALUE"""),"Yes")</f>
        <v>Yes</v>
      </c>
      <c r="X248" s="5"/>
      <c r="Y248" s="5"/>
      <c r="Z248" s="5" t="str">
        <f>IFERROR(__xludf.DUMMYFUNCTION("""COMPUTED_VALUE"""),"Yes")</f>
        <v>Yes</v>
      </c>
      <c r="AA248" s="5"/>
      <c r="AB248" s="5"/>
      <c r="AC248" s="5"/>
    </row>
    <row r="249">
      <c r="A249" s="5" t="str">
        <f>IFERROR(__xludf.DUMMYFUNCTION("""COMPUTED_VALUE"""),"Unicorn5HotStrike")</f>
        <v>Unicorn5HotStrike</v>
      </c>
      <c r="B2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9" s="5" t="str">
        <f>IFERROR(__xludf.DUMMYFUNCTION("""COMPUTED_VALUE"""),"Yes")</f>
        <v>Yes</v>
      </c>
      <c r="D249" s="5" t="str">
        <f>IFERROR(__xludf.DUMMYFUNCTION("""COMPUTED_VALUE"""),"Yes")</f>
        <v>Yes</v>
      </c>
      <c r="E249" s="5" t="str">
        <f>IFERROR(__xludf.DUMMYFUNCTION("""COMPUTED_VALUE"""),"Yes")</f>
        <v>Yes</v>
      </c>
      <c r="F249" s="5" t="str">
        <f>IFERROR(__xludf.DUMMYFUNCTION("""COMPUTED_VALUE"""),"Yes")</f>
        <v>Yes</v>
      </c>
      <c r="G249" s="5" t="str">
        <f>IFERROR(__xludf.DUMMYFUNCTION("""COMPUTED_VALUE"""),"Yes")</f>
        <v>Yes</v>
      </c>
      <c r="H249" s="5" t="str">
        <f>IFERROR(__xludf.DUMMYFUNCTION("""COMPUTED_VALUE"""),"Yes")</f>
        <v>Yes</v>
      </c>
      <c r="I249" s="5" t="str">
        <f>IFERROR(__xludf.DUMMYFUNCTION("""COMPUTED_VALUE"""),"Yes")</f>
        <v>Yes</v>
      </c>
      <c r="J249" s="5" t="str">
        <f>IFERROR(__xludf.DUMMYFUNCTION("""COMPUTED_VALUE"""),"Yes")</f>
        <v>Yes</v>
      </c>
      <c r="K249" s="5" t="str">
        <f>IFERROR(__xludf.DUMMYFUNCTION("""COMPUTED_VALUE"""),"Yes")</f>
        <v>Yes</v>
      </c>
      <c r="L249" s="5" t="str">
        <f>IFERROR(__xludf.DUMMYFUNCTION("""COMPUTED_VALUE"""),"Yes")</f>
        <v>Yes</v>
      </c>
      <c r="M249" s="5" t="str">
        <f>IFERROR(__xludf.DUMMYFUNCTION("""COMPUTED_VALUE"""),"Yes")</f>
        <v>Yes</v>
      </c>
      <c r="N249" s="5" t="str">
        <f>IFERROR(__xludf.DUMMYFUNCTION("""COMPUTED_VALUE"""),"Yes")</f>
        <v>Yes</v>
      </c>
      <c r="O249" s="5" t="str">
        <f>IFERROR(__xludf.DUMMYFUNCTION("""COMPUTED_VALUE"""),"Yes")</f>
        <v>Yes</v>
      </c>
      <c r="P249" s="5" t="str">
        <f>IFERROR(__xludf.DUMMYFUNCTION("""COMPUTED_VALUE"""),"Yes")</f>
        <v>Yes</v>
      </c>
      <c r="Q249" s="5" t="str">
        <f>IFERROR(__xludf.DUMMYFUNCTION("""COMPUTED_VALUE"""),"Yes")</f>
        <v>Yes</v>
      </c>
      <c r="R249" s="5" t="str">
        <f>IFERROR(__xludf.DUMMYFUNCTION("""COMPUTED_VALUE"""),"Yes")</f>
        <v>Yes</v>
      </c>
      <c r="S249" s="5" t="str">
        <f>IFERROR(__xludf.DUMMYFUNCTION("""COMPUTED_VALUE"""),"Yes")</f>
        <v>Yes</v>
      </c>
      <c r="T249" s="5" t="str">
        <f>IFERROR(__xludf.DUMMYFUNCTION("""COMPUTED_VALUE"""),"Yes")</f>
        <v>Yes</v>
      </c>
      <c r="U249" s="5" t="str">
        <f>IFERROR(__xludf.DUMMYFUNCTION("""COMPUTED_VALUE"""),"Yes")</f>
        <v>Yes</v>
      </c>
      <c r="V249" s="5" t="str">
        <f>IFERROR(__xludf.DUMMYFUNCTION("""COMPUTED_VALUE"""),"Yes")</f>
        <v>Yes</v>
      </c>
      <c r="W249" s="5"/>
      <c r="X249" s="5"/>
      <c r="Y249" s="5"/>
      <c r="Z249" s="5" t="str">
        <f>IFERROR(__xludf.DUMMYFUNCTION("""COMPUTED_VALUE"""),"Yes")</f>
        <v>Yes</v>
      </c>
      <c r="AA249" s="5"/>
      <c r="AB249" s="5"/>
      <c r="AC249" s="5"/>
    </row>
    <row r="250">
      <c r="A250" s="5" t="str">
        <f>IFERROR(__xludf.DUMMYFUNCTION("""COMPUTED_VALUE"""),"UnicornBikiniFruits")</f>
        <v>UnicornBikiniFruits</v>
      </c>
      <c r="B25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0" s="5" t="str">
        <f>IFERROR(__xludf.DUMMYFUNCTION("""COMPUTED_VALUE"""),"Yes")</f>
        <v>Yes</v>
      </c>
      <c r="D250" s="5" t="str">
        <f>IFERROR(__xludf.DUMMYFUNCTION("""COMPUTED_VALUE"""),"Yes")</f>
        <v>Yes</v>
      </c>
      <c r="E250" s="5" t="str">
        <f>IFERROR(__xludf.DUMMYFUNCTION("""COMPUTED_VALUE"""),"Yes")</f>
        <v>Yes</v>
      </c>
      <c r="F250" s="5" t="str">
        <f>IFERROR(__xludf.DUMMYFUNCTION("""COMPUTED_VALUE"""),"No")</f>
        <v>No</v>
      </c>
      <c r="G250" s="5" t="str">
        <f>IFERROR(__xludf.DUMMYFUNCTION("""COMPUTED_VALUE"""),"No")</f>
        <v>No</v>
      </c>
      <c r="H250" s="5" t="str">
        <f>IFERROR(__xludf.DUMMYFUNCTION("""COMPUTED_VALUE"""),"No")</f>
        <v>No</v>
      </c>
      <c r="I250" s="5" t="str">
        <f>IFERROR(__xludf.DUMMYFUNCTION("""COMPUTED_VALUE"""),"No")</f>
        <v>No</v>
      </c>
      <c r="J250" s="5" t="str">
        <f>IFERROR(__xludf.DUMMYFUNCTION("""COMPUTED_VALUE"""),"No")</f>
        <v>No</v>
      </c>
      <c r="K250" s="5" t="str">
        <f>IFERROR(__xludf.DUMMYFUNCTION("""COMPUTED_VALUE"""),"Yes")</f>
        <v>Yes</v>
      </c>
      <c r="L250" s="5" t="str">
        <f>IFERROR(__xludf.DUMMYFUNCTION("""COMPUTED_VALUE"""),"Yes")</f>
        <v>Yes</v>
      </c>
      <c r="M250" s="5" t="str">
        <f>IFERROR(__xludf.DUMMYFUNCTION("""COMPUTED_VALUE"""),"Yes")</f>
        <v>Yes</v>
      </c>
      <c r="N250" s="5" t="str">
        <f>IFERROR(__xludf.DUMMYFUNCTION("""COMPUTED_VALUE"""),"Yes")</f>
        <v>Yes</v>
      </c>
      <c r="O250" s="5" t="str">
        <f>IFERROR(__xludf.DUMMYFUNCTION("""COMPUTED_VALUE"""),"Yes")</f>
        <v>Yes</v>
      </c>
      <c r="P250" s="5" t="str">
        <f>IFERROR(__xludf.DUMMYFUNCTION("""COMPUTED_VALUE"""),"No")</f>
        <v>No</v>
      </c>
      <c r="Q250" s="5" t="str">
        <f>IFERROR(__xludf.DUMMYFUNCTION("""COMPUTED_VALUE"""),"Yes")</f>
        <v>Yes</v>
      </c>
      <c r="R250" s="5" t="str">
        <f>IFERROR(__xludf.DUMMYFUNCTION("""COMPUTED_VALUE"""),"No")</f>
        <v>No</v>
      </c>
      <c r="S250" s="5" t="str">
        <f>IFERROR(__xludf.DUMMYFUNCTION("""COMPUTED_VALUE"""),"No")</f>
        <v>No</v>
      </c>
      <c r="T250" s="5" t="str">
        <f>IFERROR(__xludf.DUMMYFUNCTION("""COMPUTED_VALUE"""),"No")</f>
        <v>No</v>
      </c>
      <c r="U250" s="5" t="str">
        <f>IFERROR(__xludf.DUMMYFUNCTION("""COMPUTED_VALUE"""),"No")</f>
        <v>No</v>
      </c>
      <c r="V250" s="5" t="str">
        <f>IFERROR(__xludf.DUMMYFUNCTION("""COMPUTED_VALUE"""),"No")</f>
        <v>No</v>
      </c>
      <c r="W250" s="5"/>
      <c r="X250" s="5"/>
      <c r="Y250" s="5"/>
      <c r="Z250" s="5" t="str">
        <f>IFERROR(__xludf.DUMMYFUNCTION("""COMPUTED_VALUE"""),"No")</f>
        <v>No</v>
      </c>
      <c r="AA250" s="5"/>
      <c r="AB250" s="5"/>
      <c r="AC250" s="5"/>
    </row>
    <row r="251">
      <c r="A251" s="5" t="str">
        <f>IFERROR(__xludf.DUMMYFUNCTION("""COMPUTED_VALUE"""),"UnicornQueenOfPyramids")</f>
        <v>UnicornQueenOfPyramids</v>
      </c>
      <c r="B25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1" s="5" t="str">
        <f>IFERROR(__xludf.DUMMYFUNCTION("""COMPUTED_VALUE"""),"Yes")</f>
        <v>Yes</v>
      </c>
      <c r="D251" s="5" t="str">
        <f>IFERROR(__xludf.DUMMYFUNCTION("""COMPUTED_VALUE"""),"Yes")</f>
        <v>Yes</v>
      </c>
      <c r="E251" s="5" t="str">
        <f>IFERROR(__xludf.DUMMYFUNCTION("""COMPUTED_VALUE"""),"Yes")</f>
        <v>Yes</v>
      </c>
      <c r="F251" s="5" t="str">
        <f>IFERROR(__xludf.DUMMYFUNCTION("""COMPUTED_VALUE"""),"No")</f>
        <v>No</v>
      </c>
      <c r="G251" s="5" t="str">
        <f>IFERROR(__xludf.DUMMYFUNCTION("""COMPUTED_VALUE"""),"No")</f>
        <v>No</v>
      </c>
      <c r="H251" s="5" t="str">
        <f>IFERROR(__xludf.DUMMYFUNCTION("""COMPUTED_VALUE"""),"No")</f>
        <v>No</v>
      </c>
      <c r="I251" s="5" t="str">
        <f>IFERROR(__xludf.DUMMYFUNCTION("""COMPUTED_VALUE"""),"No")</f>
        <v>No</v>
      </c>
      <c r="J251" s="5" t="str">
        <f>IFERROR(__xludf.DUMMYFUNCTION("""COMPUTED_VALUE"""),"No")</f>
        <v>No</v>
      </c>
      <c r="K251" s="5" t="str">
        <f>IFERROR(__xludf.DUMMYFUNCTION("""COMPUTED_VALUE"""),"Yes")</f>
        <v>Yes</v>
      </c>
      <c r="L251" s="5" t="str">
        <f>IFERROR(__xludf.DUMMYFUNCTION("""COMPUTED_VALUE"""),"Yes")</f>
        <v>Yes</v>
      </c>
      <c r="M251" s="5" t="str">
        <f>IFERROR(__xludf.DUMMYFUNCTION("""COMPUTED_VALUE"""),"Yes")</f>
        <v>Yes</v>
      </c>
      <c r="N251" s="5" t="str">
        <f>IFERROR(__xludf.DUMMYFUNCTION("""COMPUTED_VALUE"""),"Yes")</f>
        <v>Yes</v>
      </c>
      <c r="O251" s="5" t="str">
        <f>IFERROR(__xludf.DUMMYFUNCTION("""COMPUTED_VALUE"""),"Yes")</f>
        <v>Yes</v>
      </c>
      <c r="P251" s="5" t="str">
        <f>IFERROR(__xludf.DUMMYFUNCTION("""COMPUTED_VALUE"""),"No")</f>
        <v>No</v>
      </c>
      <c r="Q251" s="5" t="str">
        <f>IFERROR(__xludf.DUMMYFUNCTION("""COMPUTED_VALUE"""),"Yes")</f>
        <v>Yes</v>
      </c>
      <c r="R251" s="5" t="str">
        <f>IFERROR(__xludf.DUMMYFUNCTION("""COMPUTED_VALUE"""),"No")</f>
        <v>No</v>
      </c>
      <c r="S251" s="5" t="str">
        <f>IFERROR(__xludf.DUMMYFUNCTION("""COMPUTED_VALUE"""),"No")</f>
        <v>No</v>
      </c>
      <c r="T251" s="5" t="str">
        <f>IFERROR(__xludf.DUMMYFUNCTION("""COMPUTED_VALUE"""),"No")</f>
        <v>No</v>
      </c>
      <c r="U251" s="5" t="str">
        <f>IFERROR(__xludf.DUMMYFUNCTION("""COMPUTED_VALUE"""),"No")</f>
        <v>No</v>
      </c>
      <c r="V251" s="5" t="str">
        <f>IFERROR(__xludf.DUMMYFUNCTION("""COMPUTED_VALUE"""),"No")</f>
        <v>No</v>
      </c>
      <c r="W251" s="5"/>
      <c r="X251" s="5"/>
      <c r="Y251" s="5"/>
      <c r="Z251" s="5" t="str">
        <f>IFERROR(__xludf.DUMMYFUNCTION("""COMPUTED_VALUE"""),"No")</f>
        <v>No</v>
      </c>
      <c r="AA251" s="5"/>
      <c r="AB251" s="5"/>
      <c r="AC251" s="5"/>
    </row>
    <row r="252">
      <c r="A252" s="5" t="str">
        <f>IFERROR(__xludf.DUMMYFUNCTION("""COMPUTED_VALUE"""),"KettysFashionWorld")</f>
        <v>KettysFashionWorld</v>
      </c>
      <c r="B2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2" s="5" t="str">
        <f>IFERROR(__xludf.DUMMYFUNCTION("""COMPUTED_VALUE"""),"Yes")</f>
        <v>Yes</v>
      </c>
      <c r="D252" s="5" t="str">
        <f>IFERROR(__xludf.DUMMYFUNCTION("""COMPUTED_VALUE"""),"Yes")</f>
        <v>Yes</v>
      </c>
      <c r="E252" s="5" t="str">
        <f>IFERROR(__xludf.DUMMYFUNCTION("""COMPUTED_VALUE"""),"Yes")</f>
        <v>Yes</v>
      </c>
      <c r="F252" s="5" t="str">
        <f>IFERROR(__xludf.DUMMYFUNCTION("""COMPUTED_VALUE"""),"Yes")</f>
        <v>Yes</v>
      </c>
      <c r="G252" s="5" t="str">
        <f>IFERROR(__xludf.DUMMYFUNCTION("""COMPUTED_VALUE"""),"Yes")</f>
        <v>Yes</v>
      </c>
      <c r="H252" s="5" t="str">
        <f>IFERROR(__xludf.DUMMYFUNCTION("""COMPUTED_VALUE"""),"Yes")</f>
        <v>Yes</v>
      </c>
      <c r="I252" s="5" t="str">
        <f>IFERROR(__xludf.DUMMYFUNCTION("""COMPUTED_VALUE"""),"Yes")</f>
        <v>Yes</v>
      </c>
      <c r="J252" s="5" t="str">
        <f>IFERROR(__xludf.DUMMYFUNCTION("""COMPUTED_VALUE"""),"Yes")</f>
        <v>Yes</v>
      </c>
      <c r="K252" s="5" t="str">
        <f>IFERROR(__xludf.DUMMYFUNCTION("""COMPUTED_VALUE"""),"Yes")</f>
        <v>Yes</v>
      </c>
      <c r="L252" s="5" t="str">
        <f>IFERROR(__xludf.DUMMYFUNCTION("""COMPUTED_VALUE"""),"Yes")</f>
        <v>Yes</v>
      </c>
      <c r="M252" s="5" t="str">
        <f>IFERROR(__xludf.DUMMYFUNCTION("""COMPUTED_VALUE"""),"Yes")</f>
        <v>Yes</v>
      </c>
      <c r="N252" s="5" t="str">
        <f>IFERROR(__xludf.DUMMYFUNCTION("""COMPUTED_VALUE"""),"Yes")</f>
        <v>Yes</v>
      </c>
      <c r="O252" s="5" t="str">
        <f>IFERROR(__xludf.DUMMYFUNCTION("""COMPUTED_VALUE"""),"Yes")</f>
        <v>Yes</v>
      </c>
      <c r="P252" s="5" t="str">
        <f>IFERROR(__xludf.DUMMYFUNCTION("""COMPUTED_VALUE"""),"Yes")</f>
        <v>Yes</v>
      </c>
      <c r="Q252" s="5" t="str">
        <f>IFERROR(__xludf.DUMMYFUNCTION("""COMPUTED_VALUE"""),"Yes")</f>
        <v>Yes</v>
      </c>
      <c r="R252" s="5" t="str">
        <f>IFERROR(__xludf.DUMMYFUNCTION("""COMPUTED_VALUE"""),"Yes")</f>
        <v>Yes</v>
      </c>
      <c r="S252" s="5" t="str">
        <f>IFERROR(__xludf.DUMMYFUNCTION("""COMPUTED_VALUE"""),"Yes")</f>
        <v>Yes</v>
      </c>
      <c r="T252" s="5" t="str">
        <f>IFERROR(__xludf.DUMMYFUNCTION("""COMPUTED_VALUE"""),"Yes")</f>
        <v>Yes</v>
      </c>
      <c r="U252" s="5" t="str">
        <f>IFERROR(__xludf.DUMMYFUNCTION("""COMPUTED_VALUE"""),"Yes")</f>
        <v>Yes</v>
      </c>
      <c r="V252" s="5" t="str">
        <f>IFERROR(__xludf.DUMMYFUNCTION("""COMPUTED_VALUE"""),"Yes")</f>
        <v>Yes</v>
      </c>
      <c r="W252" s="5" t="str">
        <f>IFERROR(__xludf.DUMMYFUNCTION("""COMPUTED_VALUE"""),"Yes")</f>
        <v>Yes</v>
      </c>
      <c r="X252" s="5" t="str">
        <f>IFERROR(__xludf.DUMMYFUNCTION("""COMPUTED_VALUE"""),"Yes")</f>
        <v>Yes</v>
      </c>
      <c r="Y252" s="5" t="str">
        <f>IFERROR(__xludf.DUMMYFUNCTION("""COMPUTED_VALUE"""),"Yes")</f>
        <v>Yes</v>
      </c>
      <c r="Z252" s="5" t="str">
        <f>IFERROR(__xludf.DUMMYFUNCTION("""COMPUTED_VALUE"""),"Yes")</f>
        <v>Yes</v>
      </c>
      <c r="AA252" s="5" t="str">
        <f>IFERROR(__xludf.DUMMYFUNCTION("""COMPUTED_VALUE"""),"Yes")</f>
        <v>Yes</v>
      </c>
      <c r="AB252" s="5" t="str">
        <f>IFERROR(__xludf.DUMMYFUNCTION("""COMPUTED_VALUE"""),"Yes")</f>
        <v>Yes</v>
      </c>
      <c r="AC252" s="5" t="str">
        <f>IFERROR(__xludf.DUMMYFUNCTION("""COMPUTED_VALUE"""),"No")</f>
        <v>No</v>
      </c>
    </row>
    <row r="253">
      <c r="A253" s="5" t="str">
        <f>IFERROR(__xludf.DUMMYFUNCTION("""COMPUTED_VALUE"""),"RetroFire")</f>
        <v>RetroFire</v>
      </c>
      <c r="B2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3" s="5" t="str">
        <f>IFERROR(__xludf.DUMMYFUNCTION("""COMPUTED_VALUE"""),"Yes")</f>
        <v>Yes</v>
      </c>
      <c r="D253" s="5" t="str">
        <f>IFERROR(__xludf.DUMMYFUNCTION("""COMPUTED_VALUE"""),"Yes")</f>
        <v>Yes</v>
      </c>
      <c r="E253" s="5" t="str">
        <f>IFERROR(__xludf.DUMMYFUNCTION("""COMPUTED_VALUE"""),"Yes")</f>
        <v>Yes</v>
      </c>
      <c r="F253" s="5" t="str">
        <f>IFERROR(__xludf.DUMMYFUNCTION("""COMPUTED_VALUE"""),"Yes")</f>
        <v>Yes</v>
      </c>
      <c r="G253" s="5" t="str">
        <f>IFERROR(__xludf.DUMMYFUNCTION("""COMPUTED_VALUE"""),"Yes")</f>
        <v>Yes</v>
      </c>
      <c r="H253" s="5" t="str">
        <f>IFERROR(__xludf.DUMMYFUNCTION("""COMPUTED_VALUE"""),"Yes")</f>
        <v>Yes</v>
      </c>
      <c r="I253" s="5" t="str">
        <f>IFERROR(__xludf.DUMMYFUNCTION("""COMPUTED_VALUE"""),"Yes")</f>
        <v>Yes</v>
      </c>
      <c r="J253" s="5" t="str">
        <f>IFERROR(__xludf.DUMMYFUNCTION("""COMPUTED_VALUE"""),"Yes")</f>
        <v>Yes</v>
      </c>
      <c r="K253" s="5" t="str">
        <f>IFERROR(__xludf.DUMMYFUNCTION("""COMPUTED_VALUE"""),"Yes")</f>
        <v>Yes</v>
      </c>
      <c r="L253" s="5" t="str">
        <f>IFERROR(__xludf.DUMMYFUNCTION("""COMPUTED_VALUE"""),"Yes")</f>
        <v>Yes</v>
      </c>
      <c r="M253" s="5" t="str">
        <f>IFERROR(__xludf.DUMMYFUNCTION("""COMPUTED_VALUE"""),"Yes")</f>
        <v>Yes</v>
      </c>
      <c r="N253" s="5" t="str">
        <f>IFERROR(__xludf.DUMMYFUNCTION("""COMPUTED_VALUE"""),"Yes")</f>
        <v>Yes</v>
      </c>
      <c r="O253" s="5" t="str">
        <f>IFERROR(__xludf.DUMMYFUNCTION("""COMPUTED_VALUE"""),"Yes")</f>
        <v>Yes</v>
      </c>
      <c r="P253" s="5" t="str">
        <f>IFERROR(__xludf.DUMMYFUNCTION("""COMPUTED_VALUE"""),"Yes")</f>
        <v>Yes</v>
      </c>
      <c r="Q253" s="5" t="str">
        <f>IFERROR(__xludf.DUMMYFUNCTION("""COMPUTED_VALUE"""),"Yes")</f>
        <v>Yes</v>
      </c>
      <c r="R253" s="5" t="str">
        <f>IFERROR(__xludf.DUMMYFUNCTION("""COMPUTED_VALUE"""),"Yes")</f>
        <v>Yes</v>
      </c>
      <c r="S253" s="5" t="str">
        <f>IFERROR(__xludf.DUMMYFUNCTION("""COMPUTED_VALUE"""),"Yes")</f>
        <v>Yes</v>
      </c>
      <c r="T253" s="5" t="str">
        <f>IFERROR(__xludf.DUMMYFUNCTION("""COMPUTED_VALUE"""),"Yes")</f>
        <v>Yes</v>
      </c>
      <c r="U253" s="5" t="str">
        <f>IFERROR(__xludf.DUMMYFUNCTION("""COMPUTED_VALUE"""),"Yes")</f>
        <v>Yes</v>
      </c>
      <c r="V253" s="5" t="str">
        <f>IFERROR(__xludf.DUMMYFUNCTION("""COMPUTED_VALUE"""),"Yes")</f>
        <v>Yes</v>
      </c>
      <c r="W253" s="5" t="str">
        <f>IFERROR(__xludf.DUMMYFUNCTION("""COMPUTED_VALUE"""),"Yes")</f>
        <v>Yes</v>
      </c>
      <c r="X253" s="5" t="str">
        <f>IFERROR(__xludf.DUMMYFUNCTION("""COMPUTED_VALUE"""),"Yes")</f>
        <v>Yes</v>
      </c>
      <c r="Y253" s="5" t="str">
        <f>IFERROR(__xludf.DUMMYFUNCTION("""COMPUTED_VALUE"""),"Yes")</f>
        <v>Yes</v>
      </c>
      <c r="Z253" s="5" t="str">
        <f>IFERROR(__xludf.DUMMYFUNCTION("""COMPUTED_VALUE"""),"Yes")</f>
        <v>Yes</v>
      </c>
      <c r="AA253" s="5" t="str">
        <f>IFERROR(__xludf.DUMMYFUNCTION("""COMPUTED_VALUE"""),"Yes")</f>
        <v>Yes</v>
      </c>
      <c r="AB253" s="5" t="str">
        <f>IFERROR(__xludf.DUMMYFUNCTION("""COMPUTED_VALUE"""),"Yes")</f>
        <v>Yes</v>
      </c>
      <c r="AC253" s="5" t="str">
        <f>IFERROR(__xludf.DUMMYFUNCTION("""COMPUTED_VALUE"""),"No")</f>
        <v>No</v>
      </c>
    </row>
    <row r="254">
      <c r="A254" s="5" t="str">
        <f>IFERROR(__xludf.DUMMYFUNCTION("""COMPUTED_VALUE"""),"Money5")</f>
        <v>Money5</v>
      </c>
      <c r="B2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4" s="5" t="str">
        <f>IFERROR(__xludf.DUMMYFUNCTION("""COMPUTED_VALUE"""),"Yes")</f>
        <v>Yes</v>
      </c>
      <c r="D254" s="5" t="str">
        <f>IFERROR(__xludf.DUMMYFUNCTION("""COMPUTED_VALUE"""),"Yes")</f>
        <v>Yes</v>
      </c>
      <c r="E254" s="5" t="str">
        <f>IFERROR(__xludf.DUMMYFUNCTION("""COMPUTED_VALUE"""),"Yes")</f>
        <v>Yes</v>
      </c>
      <c r="F254" s="5" t="str">
        <f>IFERROR(__xludf.DUMMYFUNCTION("""COMPUTED_VALUE"""),"Yes")</f>
        <v>Yes</v>
      </c>
      <c r="G254" s="5" t="str">
        <f>IFERROR(__xludf.DUMMYFUNCTION("""COMPUTED_VALUE"""),"Yes")</f>
        <v>Yes</v>
      </c>
      <c r="H254" s="5" t="str">
        <f>IFERROR(__xludf.DUMMYFUNCTION("""COMPUTED_VALUE"""),"Yes")</f>
        <v>Yes</v>
      </c>
      <c r="I254" s="5" t="str">
        <f>IFERROR(__xludf.DUMMYFUNCTION("""COMPUTED_VALUE"""),"Yes")</f>
        <v>Yes</v>
      </c>
      <c r="J254" s="5" t="str">
        <f>IFERROR(__xludf.DUMMYFUNCTION("""COMPUTED_VALUE"""),"Yes")</f>
        <v>Yes</v>
      </c>
      <c r="K254" s="5" t="str">
        <f>IFERROR(__xludf.DUMMYFUNCTION("""COMPUTED_VALUE"""),"Yes")</f>
        <v>Yes</v>
      </c>
      <c r="L254" s="5" t="str">
        <f>IFERROR(__xludf.DUMMYFUNCTION("""COMPUTED_VALUE"""),"Yes")</f>
        <v>Yes</v>
      </c>
      <c r="M254" s="5" t="str">
        <f>IFERROR(__xludf.DUMMYFUNCTION("""COMPUTED_VALUE"""),"Yes")</f>
        <v>Yes</v>
      </c>
      <c r="N254" s="5" t="str">
        <f>IFERROR(__xludf.DUMMYFUNCTION("""COMPUTED_VALUE"""),"Yes")</f>
        <v>Yes</v>
      </c>
      <c r="O254" s="5" t="str">
        <f>IFERROR(__xludf.DUMMYFUNCTION("""COMPUTED_VALUE"""),"Yes")</f>
        <v>Yes</v>
      </c>
      <c r="P254" s="5" t="str">
        <f>IFERROR(__xludf.DUMMYFUNCTION("""COMPUTED_VALUE"""),"Yes")</f>
        <v>Yes</v>
      </c>
      <c r="Q254" s="5" t="str">
        <f>IFERROR(__xludf.DUMMYFUNCTION("""COMPUTED_VALUE"""),"Yes")</f>
        <v>Yes</v>
      </c>
      <c r="R254" s="5" t="str">
        <f>IFERROR(__xludf.DUMMYFUNCTION("""COMPUTED_VALUE"""),"Yes")</f>
        <v>Yes</v>
      </c>
      <c r="S254" s="5" t="str">
        <f>IFERROR(__xludf.DUMMYFUNCTION("""COMPUTED_VALUE"""),"Yes")</f>
        <v>Yes</v>
      </c>
      <c r="T254" s="5" t="str">
        <f>IFERROR(__xludf.DUMMYFUNCTION("""COMPUTED_VALUE"""),"Yes")</f>
        <v>Yes</v>
      </c>
      <c r="U254" s="5" t="str">
        <f>IFERROR(__xludf.DUMMYFUNCTION("""COMPUTED_VALUE"""),"Yes")</f>
        <v>Yes</v>
      </c>
      <c r="V254" s="5" t="str">
        <f>IFERROR(__xludf.DUMMYFUNCTION("""COMPUTED_VALUE"""),"Yes")</f>
        <v>Yes</v>
      </c>
      <c r="W254" s="5" t="str">
        <f>IFERROR(__xludf.DUMMYFUNCTION("""COMPUTED_VALUE"""),"Yes")</f>
        <v>Yes</v>
      </c>
      <c r="X254" s="5" t="str">
        <f>IFERROR(__xludf.DUMMYFUNCTION("""COMPUTED_VALUE"""),"Yes")</f>
        <v>Yes</v>
      </c>
      <c r="Y254" s="5" t="str">
        <f>IFERROR(__xludf.DUMMYFUNCTION("""COMPUTED_VALUE"""),"Yes")</f>
        <v>Yes</v>
      </c>
      <c r="Z254" s="5" t="str">
        <f>IFERROR(__xludf.DUMMYFUNCTION("""COMPUTED_VALUE"""),"Yes")</f>
        <v>Yes</v>
      </c>
      <c r="AA254" s="5" t="str">
        <f>IFERROR(__xludf.DUMMYFUNCTION("""COMPUTED_VALUE"""),"Yes")</f>
        <v>Yes</v>
      </c>
      <c r="AB254" s="5" t="str">
        <f>IFERROR(__xludf.DUMMYFUNCTION("""COMPUTED_VALUE"""),"Yes")</f>
        <v>Yes</v>
      </c>
      <c r="AC254" s="5" t="str">
        <f>IFERROR(__xludf.DUMMYFUNCTION("""COMPUTED_VALUE"""),"No")</f>
        <v>No</v>
      </c>
    </row>
    <row r="255">
      <c r="A255" s="5" t="str">
        <f>IFERROR(__xludf.DUMMYFUNCTION("""COMPUTED_VALUE"""),"BlazingHeat")</f>
        <v>BlazingHeat</v>
      </c>
      <c r="B2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5" s="5" t="str">
        <f>IFERROR(__xludf.DUMMYFUNCTION("""COMPUTED_VALUE"""),"Yes")</f>
        <v>Yes</v>
      </c>
      <c r="D255" s="5" t="str">
        <f>IFERROR(__xludf.DUMMYFUNCTION("""COMPUTED_VALUE"""),"Yes")</f>
        <v>Yes</v>
      </c>
      <c r="E255" s="5" t="str">
        <f>IFERROR(__xludf.DUMMYFUNCTION("""COMPUTED_VALUE"""),"Yes")</f>
        <v>Yes</v>
      </c>
      <c r="F255" s="5" t="str">
        <f>IFERROR(__xludf.DUMMYFUNCTION("""COMPUTED_VALUE"""),"Yes")</f>
        <v>Yes</v>
      </c>
      <c r="G255" s="5" t="str">
        <f>IFERROR(__xludf.DUMMYFUNCTION("""COMPUTED_VALUE"""),"Yes")</f>
        <v>Yes</v>
      </c>
      <c r="H255" s="5" t="str">
        <f>IFERROR(__xludf.DUMMYFUNCTION("""COMPUTED_VALUE"""),"Yes")</f>
        <v>Yes</v>
      </c>
      <c r="I255" s="5" t="str">
        <f>IFERROR(__xludf.DUMMYFUNCTION("""COMPUTED_VALUE"""),"Yes")</f>
        <v>Yes</v>
      </c>
      <c r="J255" s="5" t="str">
        <f>IFERROR(__xludf.DUMMYFUNCTION("""COMPUTED_VALUE"""),"Yes")</f>
        <v>Yes</v>
      </c>
      <c r="K255" s="5" t="str">
        <f>IFERROR(__xludf.DUMMYFUNCTION("""COMPUTED_VALUE"""),"Yes")</f>
        <v>Yes</v>
      </c>
      <c r="L255" s="5" t="str">
        <f>IFERROR(__xludf.DUMMYFUNCTION("""COMPUTED_VALUE"""),"Yes")</f>
        <v>Yes</v>
      </c>
      <c r="M255" s="5" t="str">
        <f>IFERROR(__xludf.DUMMYFUNCTION("""COMPUTED_VALUE"""),"Yes")</f>
        <v>Yes</v>
      </c>
      <c r="N255" s="5" t="str">
        <f>IFERROR(__xludf.DUMMYFUNCTION("""COMPUTED_VALUE"""),"Yes")</f>
        <v>Yes</v>
      </c>
      <c r="O255" s="5" t="str">
        <f>IFERROR(__xludf.DUMMYFUNCTION("""COMPUTED_VALUE"""),"Yes")</f>
        <v>Yes</v>
      </c>
      <c r="P255" s="5" t="str">
        <f>IFERROR(__xludf.DUMMYFUNCTION("""COMPUTED_VALUE"""),"Yes")</f>
        <v>Yes</v>
      </c>
      <c r="Q255" s="5" t="str">
        <f>IFERROR(__xludf.DUMMYFUNCTION("""COMPUTED_VALUE"""),"Yes")</f>
        <v>Yes</v>
      </c>
      <c r="R255" s="5" t="str">
        <f>IFERROR(__xludf.DUMMYFUNCTION("""COMPUTED_VALUE"""),"Yes")</f>
        <v>Yes</v>
      </c>
      <c r="S255" s="5" t="str">
        <f>IFERROR(__xludf.DUMMYFUNCTION("""COMPUTED_VALUE"""),"Yes")</f>
        <v>Yes</v>
      </c>
      <c r="T255" s="5" t="str">
        <f>IFERROR(__xludf.DUMMYFUNCTION("""COMPUTED_VALUE"""),"Yes")</f>
        <v>Yes</v>
      </c>
      <c r="U255" s="5" t="str">
        <f>IFERROR(__xludf.DUMMYFUNCTION("""COMPUTED_VALUE"""),"Yes")</f>
        <v>Yes</v>
      </c>
      <c r="V255" s="5" t="str">
        <f>IFERROR(__xludf.DUMMYFUNCTION("""COMPUTED_VALUE"""),"Yes")</f>
        <v>Yes</v>
      </c>
      <c r="W255" s="5" t="str">
        <f>IFERROR(__xludf.DUMMYFUNCTION("""COMPUTED_VALUE"""),"Yes")</f>
        <v>Yes</v>
      </c>
      <c r="X255" s="5" t="str">
        <f>IFERROR(__xludf.DUMMYFUNCTION("""COMPUTED_VALUE"""),"Yes")</f>
        <v>Yes</v>
      </c>
      <c r="Y255" s="5" t="str">
        <f>IFERROR(__xludf.DUMMYFUNCTION("""COMPUTED_VALUE"""),"Yes")</f>
        <v>Yes</v>
      </c>
      <c r="Z255" s="5" t="str">
        <f>IFERROR(__xludf.DUMMYFUNCTION("""COMPUTED_VALUE"""),"Yes")</f>
        <v>Yes</v>
      </c>
      <c r="AA255" s="5" t="str">
        <f>IFERROR(__xludf.DUMMYFUNCTION("""COMPUTED_VALUE"""),"Yes")</f>
        <v>Yes</v>
      </c>
      <c r="AB255" s="5" t="str">
        <f>IFERROR(__xludf.DUMMYFUNCTION("""COMPUTED_VALUE"""),"Yes")</f>
        <v>Yes</v>
      </c>
      <c r="AC255" s="5"/>
    </row>
    <row r="256">
      <c r="A256" s="5" t="str">
        <f>IFERROR(__xludf.DUMMYFUNCTION("""COMPUTED_VALUE"""),"UnicornFireStars")</f>
        <v>UnicornFireStars</v>
      </c>
      <c r="B256" s="5" t="str">
        <f>IFERROR(__xludf.DUMMYFUNCTION("""COMPUTED_VALUE"""),"English(""eng"")")</f>
        <v>English("eng")</v>
      </c>
      <c r="C256" s="5" t="str">
        <f>IFERROR(__xludf.DUMMYFUNCTION("""COMPUTED_VALUE"""),"Yes")</f>
        <v>Yes</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row>
    <row r="257">
      <c r="A257" s="5" t="str">
        <f>IFERROR(__xludf.DUMMYFUNCTION("""COMPUTED_VALUE"""),"Unicorn20HotStrikeDice")</f>
        <v>Unicorn20HotStrikeDice</v>
      </c>
      <c r="B25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7" s="5" t="str">
        <f>IFERROR(__xludf.DUMMYFUNCTION("""COMPUTED_VALUE"""),"Yes")</f>
        <v>Yes</v>
      </c>
      <c r="D257" s="5" t="str">
        <f>IFERROR(__xludf.DUMMYFUNCTION("""COMPUTED_VALUE"""),"Yes")</f>
        <v>Yes</v>
      </c>
      <c r="E257" s="5" t="str">
        <f>IFERROR(__xludf.DUMMYFUNCTION("""COMPUTED_VALUE"""),"Yes")</f>
        <v>Yes</v>
      </c>
      <c r="F257" s="5" t="str">
        <f>IFERROR(__xludf.DUMMYFUNCTION("""COMPUTED_VALUE"""),"No")</f>
        <v>No</v>
      </c>
      <c r="G257" s="5" t="str">
        <f>IFERROR(__xludf.DUMMYFUNCTION("""COMPUTED_VALUE"""),"No")</f>
        <v>No</v>
      </c>
      <c r="H257" s="5" t="str">
        <f>IFERROR(__xludf.DUMMYFUNCTION("""COMPUTED_VALUE"""),"No")</f>
        <v>No</v>
      </c>
      <c r="I257" s="5" t="str">
        <f>IFERROR(__xludf.DUMMYFUNCTION("""COMPUTED_VALUE"""),"No")</f>
        <v>No</v>
      </c>
      <c r="J257" s="5" t="str">
        <f>IFERROR(__xludf.DUMMYFUNCTION("""COMPUTED_VALUE"""),"No")</f>
        <v>No</v>
      </c>
      <c r="K257" s="5" t="str">
        <f>IFERROR(__xludf.DUMMYFUNCTION("""COMPUTED_VALUE"""),"Yes")</f>
        <v>Yes</v>
      </c>
      <c r="L257" s="5" t="str">
        <f>IFERROR(__xludf.DUMMYFUNCTION("""COMPUTED_VALUE"""),"Yes")</f>
        <v>Yes</v>
      </c>
      <c r="M257" s="5" t="str">
        <f>IFERROR(__xludf.DUMMYFUNCTION("""COMPUTED_VALUE"""),"Yes")</f>
        <v>Yes</v>
      </c>
      <c r="N257" s="5" t="str">
        <f>IFERROR(__xludf.DUMMYFUNCTION("""COMPUTED_VALUE"""),"Yes")</f>
        <v>Yes</v>
      </c>
      <c r="O257" s="5" t="str">
        <f>IFERROR(__xludf.DUMMYFUNCTION("""COMPUTED_VALUE"""),"Yes")</f>
        <v>Yes</v>
      </c>
      <c r="P257" s="5" t="str">
        <f>IFERROR(__xludf.DUMMYFUNCTION("""COMPUTED_VALUE"""),"No")</f>
        <v>No</v>
      </c>
      <c r="Q257" s="5" t="str">
        <f>IFERROR(__xludf.DUMMYFUNCTION("""COMPUTED_VALUE"""),"Yes")</f>
        <v>Yes</v>
      </c>
      <c r="R257" s="5" t="str">
        <f>IFERROR(__xludf.DUMMYFUNCTION("""COMPUTED_VALUE"""),"No")</f>
        <v>No</v>
      </c>
      <c r="S257" s="5" t="str">
        <f>IFERROR(__xludf.DUMMYFUNCTION("""COMPUTED_VALUE"""),"No")</f>
        <v>No</v>
      </c>
      <c r="T257" s="5" t="str">
        <f>IFERROR(__xludf.DUMMYFUNCTION("""COMPUTED_VALUE"""),"No")</f>
        <v>No</v>
      </c>
      <c r="U257" s="5" t="str">
        <f>IFERROR(__xludf.DUMMYFUNCTION("""COMPUTED_VALUE"""),"No")</f>
        <v>No</v>
      </c>
      <c r="V257" s="5"/>
      <c r="W257" s="5"/>
      <c r="X257" s="5"/>
      <c r="Y257" s="5"/>
      <c r="Z257" s="5" t="str">
        <f>IFERROR(__xludf.DUMMYFUNCTION("""COMPUTED_VALUE"""),"No")</f>
        <v>No</v>
      </c>
      <c r="AA257" s="5"/>
      <c r="AB257" s="5"/>
      <c r="AC257" s="5"/>
    </row>
    <row r="258">
      <c r="A258" s="5" t="str">
        <f>IFERROR(__xludf.DUMMYFUNCTION("""COMPUTED_VALUE"""),"UnicornBikiniDice")</f>
        <v>UnicornBikiniDice</v>
      </c>
      <c r="B258"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8" s="5" t="str">
        <f>IFERROR(__xludf.DUMMYFUNCTION("""COMPUTED_VALUE"""),"Yes")</f>
        <v>Yes</v>
      </c>
      <c r="D258" s="5" t="str">
        <f>IFERROR(__xludf.DUMMYFUNCTION("""COMPUTED_VALUE"""),"Yes")</f>
        <v>Yes</v>
      </c>
      <c r="E258" s="5" t="str">
        <f>IFERROR(__xludf.DUMMYFUNCTION("""COMPUTED_VALUE"""),"Yes")</f>
        <v>Yes</v>
      </c>
      <c r="F258" s="5" t="str">
        <f>IFERROR(__xludf.DUMMYFUNCTION("""COMPUTED_VALUE"""),"No")</f>
        <v>No</v>
      </c>
      <c r="G258" s="5" t="str">
        <f>IFERROR(__xludf.DUMMYFUNCTION("""COMPUTED_VALUE"""),"No")</f>
        <v>No</v>
      </c>
      <c r="H258" s="5" t="str">
        <f>IFERROR(__xludf.DUMMYFUNCTION("""COMPUTED_VALUE"""),"No")</f>
        <v>No</v>
      </c>
      <c r="I258" s="5" t="str">
        <f>IFERROR(__xludf.DUMMYFUNCTION("""COMPUTED_VALUE"""),"No")</f>
        <v>No</v>
      </c>
      <c r="J258" s="5" t="str">
        <f>IFERROR(__xludf.DUMMYFUNCTION("""COMPUTED_VALUE"""),"No")</f>
        <v>No</v>
      </c>
      <c r="K258" s="5" t="str">
        <f>IFERROR(__xludf.DUMMYFUNCTION("""COMPUTED_VALUE"""),"Yes")</f>
        <v>Yes</v>
      </c>
      <c r="L258" s="5" t="str">
        <f>IFERROR(__xludf.DUMMYFUNCTION("""COMPUTED_VALUE"""),"Yes")</f>
        <v>Yes</v>
      </c>
      <c r="M258" s="5" t="str">
        <f>IFERROR(__xludf.DUMMYFUNCTION("""COMPUTED_VALUE"""),"Yes")</f>
        <v>Yes</v>
      </c>
      <c r="N258" s="5" t="str">
        <f>IFERROR(__xludf.DUMMYFUNCTION("""COMPUTED_VALUE"""),"Yes")</f>
        <v>Yes</v>
      </c>
      <c r="O258" s="5" t="str">
        <f>IFERROR(__xludf.DUMMYFUNCTION("""COMPUTED_VALUE"""),"Yes")</f>
        <v>Yes</v>
      </c>
      <c r="P258" s="5" t="str">
        <f>IFERROR(__xludf.DUMMYFUNCTION("""COMPUTED_VALUE"""),"No")</f>
        <v>No</v>
      </c>
      <c r="Q258" s="5" t="str">
        <f>IFERROR(__xludf.DUMMYFUNCTION("""COMPUTED_VALUE"""),"Yes")</f>
        <v>Yes</v>
      </c>
      <c r="R258" s="5" t="str">
        <f>IFERROR(__xludf.DUMMYFUNCTION("""COMPUTED_VALUE"""),"No")</f>
        <v>No</v>
      </c>
      <c r="S258" s="5" t="str">
        <f>IFERROR(__xludf.DUMMYFUNCTION("""COMPUTED_VALUE"""),"No")</f>
        <v>No</v>
      </c>
      <c r="T258" s="5" t="str">
        <f>IFERROR(__xludf.DUMMYFUNCTION("""COMPUTED_VALUE"""),"No")</f>
        <v>No</v>
      </c>
      <c r="U258" s="5" t="str">
        <f>IFERROR(__xludf.DUMMYFUNCTION("""COMPUTED_VALUE"""),"No")</f>
        <v>No</v>
      </c>
      <c r="V258" s="5"/>
      <c r="W258" s="5"/>
      <c r="X258" s="5"/>
      <c r="Y258" s="5"/>
      <c r="Z258" s="5" t="str">
        <f>IFERROR(__xludf.DUMMYFUNCTION("""COMPUTED_VALUE"""),"No")</f>
        <v>No</v>
      </c>
      <c r="AA258" s="5"/>
      <c r="AB258" s="5"/>
      <c r="AC258" s="5"/>
    </row>
    <row r="259">
      <c r="A259" s="5" t="str">
        <f>IFERROR(__xludf.DUMMYFUNCTION("""COMPUTED_VALUE"""),"HotHotStereoWin")</f>
        <v>HotHotStereoWin</v>
      </c>
      <c r="B25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59" s="5" t="str">
        <f>IFERROR(__xludf.DUMMYFUNCTION("""COMPUTED_VALUE"""),"Yes")</f>
        <v>Yes</v>
      </c>
      <c r="D259" s="5" t="str">
        <f>IFERROR(__xludf.DUMMYFUNCTION("""COMPUTED_VALUE"""),"Yes")</f>
        <v>Yes</v>
      </c>
      <c r="E259" s="5" t="str">
        <f>IFERROR(__xludf.DUMMYFUNCTION("""COMPUTED_VALUE"""),"Yes")</f>
        <v>Yes</v>
      </c>
      <c r="F259" s="5" t="str">
        <f>IFERROR(__xludf.DUMMYFUNCTION("""COMPUTED_VALUE"""),"No")</f>
        <v>No</v>
      </c>
      <c r="G259" s="5" t="str">
        <f>IFERROR(__xludf.DUMMYFUNCTION("""COMPUTED_VALUE"""),"No")</f>
        <v>No</v>
      </c>
      <c r="H259" s="5" t="str">
        <f>IFERROR(__xludf.DUMMYFUNCTION("""COMPUTED_VALUE"""),"No")</f>
        <v>No</v>
      </c>
      <c r="I259" s="5" t="str">
        <f>IFERROR(__xludf.DUMMYFUNCTION("""COMPUTED_VALUE"""),"No")</f>
        <v>No</v>
      </c>
      <c r="J259" s="5" t="str">
        <f>IFERROR(__xludf.DUMMYFUNCTION("""COMPUTED_VALUE"""),"No")</f>
        <v>No</v>
      </c>
      <c r="K259" s="5" t="str">
        <f>IFERROR(__xludf.DUMMYFUNCTION("""COMPUTED_VALUE"""),"Yes")</f>
        <v>Yes</v>
      </c>
      <c r="L259" s="5" t="str">
        <f>IFERROR(__xludf.DUMMYFUNCTION("""COMPUTED_VALUE"""),"Yes")</f>
        <v>Yes</v>
      </c>
      <c r="M259" s="5" t="str">
        <f>IFERROR(__xludf.DUMMYFUNCTION("""COMPUTED_VALUE"""),"Yes")</f>
        <v>Yes</v>
      </c>
      <c r="N259" s="5" t="str">
        <f>IFERROR(__xludf.DUMMYFUNCTION("""COMPUTED_VALUE"""),"Yes")</f>
        <v>Yes</v>
      </c>
      <c r="O259" s="5" t="str">
        <f>IFERROR(__xludf.DUMMYFUNCTION("""COMPUTED_VALUE"""),"Yes")</f>
        <v>Yes</v>
      </c>
      <c r="P259" s="5" t="str">
        <f>IFERROR(__xludf.DUMMYFUNCTION("""COMPUTED_VALUE"""),"No")</f>
        <v>No</v>
      </c>
      <c r="Q259" s="5" t="str">
        <f>IFERROR(__xludf.DUMMYFUNCTION("""COMPUTED_VALUE"""),"Yes")</f>
        <v>Yes</v>
      </c>
      <c r="R259" s="5" t="str">
        <f>IFERROR(__xludf.DUMMYFUNCTION("""COMPUTED_VALUE"""),"No")</f>
        <v>No</v>
      </c>
      <c r="S259" s="5" t="str">
        <f>IFERROR(__xludf.DUMMYFUNCTION("""COMPUTED_VALUE"""),"No")</f>
        <v>No</v>
      </c>
      <c r="T259" s="5" t="str">
        <f>IFERROR(__xludf.DUMMYFUNCTION("""COMPUTED_VALUE"""),"No")</f>
        <v>No</v>
      </c>
      <c r="U259" s="5" t="str">
        <f>IFERROR(__xludf.DUMMYFUNCTION("""COMPUTED_VALUE"""),"No")</f>
        <v>No</v>
      </c>
      <c r="V259" s="5"/>
      <c r="W259" s="5"/>
      <c r="X259" s="5"/>
      <c r="Y259" s="5"/>
      <c r="Z259" s="5" t="str">
        <f>IFERROR(__xludf.DUMMYFUNCTION("""COMPUTED_VALUE"""),"No")</f>
        <v>No</v>
      </c>
      <c r="AA259" s="5"/>
      <c r="AB259" s="5"/>
      <c r="AC259" s="5"/>
    </row>
    <row r="260">
      <c r="A260" s="5" t="str">
        <f>IFERROR(__xludf.DUMMYFUNCTION("""COMPUTED_VALUE"""),"EpicCrown5")</f>
        <v>EpicCrown5</v>
      </c>
      <c r="B2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0" s="5" t="str">
        <f>IFERROR(__xludf.DUMMYFUNCTION("""COMPUTED_VALUE"""),"Yes")</f>
        <v>Yes</v>
      </c>
      <c r="D260" s="5" t="str">
        <f>IFERROR(__xludf.DUMMYFUNCTION("""COMPUTED_VALUE"""),"Yes")</f>
        <v>Yes</v>
      </c>
      <c r="E260" s="5" t="str">
        <f>IFERROR(__xludf.DUMMYFUNCTION("""COMPUTED_VALUE"""),"Yes")</f>
        <v>Yes</v>
      </c>
      <c r="F260" s="5" t="str">
        <f>IFERROR(__xludf.DUMMYFUNCTION("""COMPUTED_VALUE"""),"Yes")</f>
        <v>Yes</v>
      </c>
      <c r="G260" s="5" t="str">
        <f>IFERROR(__xludf.DUMMYFUNCTION("""COMPUTED_VALUE"""),"Yes")</f>
        <v>Yes</v>
      </c>
      <c r="H260" s="5" t="str">
        <f>IFERROR(__xludf.DUMMYFUNCTION("""COMPUTED_VALUE"""),"Yes")</f>
        <v>Yes</v>
      </c>
      <c r="I260" s="5" t="str">
        <f>IFERROR(__xludf.DUMMYFUNCTION("""COMPUTED_VALUE"""),"Yes")</f>
        <v>Yes</v>
      </c>
      <c r="J260" s="5" t="str">
        <f>IFERROR(__xludf.DUMMYFUNCTION("""COMPUTED_VALUE"""),"Yes")</f>
        <v>Yes</v>
      </c>
      <c r="K260" s="5" t="str">
        <f>IFERROR(__xludf.DUMMYFUNCTION("""COMPUTED_VALUE"""),"Yes")</f>
        <v>Yes</v>
      </c>
      <c r="L260" s="5" t="str">
        <f>IFERROR(__xludf.DUMMYFUNCTION("""COMPUTED_VALUE"""),"Yes")</f>
        <v>Yes</v>
      </c>
      <c r="M260" s="5" t="str">
        <f>IFERROR(__xludf.DUMMYFUNCTION("""COMPUTED_VALUE"""),"Yes")</f>
        <v>Yes</v>
      </c>
      <c r="N260" s="5" t="str">
        <f>IFERROR(__xludf.DUMMYFUNCTION("""COMPUTED_VALUE"""),"Yes")</f>
        <v>Yes</v>
      </c>
      <c r="O260" s="5" t="str">
        <f>IFERROR(__xludf.DUMMYFUNCTION("""COMPUTED_VALUE"""),"Yes")</f>
        <v>Yes</v>
      </c>
      <c r="P260" s="5" t="str">
        <f>IFERROR(__xludf.DUMMYFUNCTION("""COMPUTED_VALUE"""),"Yes")</f>
        <v>Yes</v>
      </c>
      <c r="Q260" s="5" t="str">
        <f>IFERROR(__xludf.DUMMYFUNCTION("""COMPUTED_VALUE"""),"Yes")</f>
        <v>Yes</v>
      </c>
      <c r="R260" s="5" t="str">
        <f>IFERROR(__xludf.DUMMYFUNCTION("""COMPUTED_VALUE"""),"Yes")</f>
        <v>Yes</v>
      </c>
      <c r="S260" s="5" t="str">
        <f>IFERROR(__xludf.DUMMYFUNCTION("""COMPUTED_VALUE"""),"Yes")</f>
        <v>Yes</v>
      </c>
      <c r="T260" s="5" t="str">
        <f>IFERROR(__xludf.DUMMYFUNCTION("""COMPUTED_VALUE"""),"Yes")</f>
        <v>Yes</v>
      </c>
      <c r="U260" s="5" t="str">
        <f>IFERROR(__xludf.DUMMYFUNCTION("""COMPUTED_VALUE"""),"Yes")</f>
        <v>Yes</v>
      </c>
      <c r="V260" s="5" t="str">
        <f>IFERROR(__xludf.DUMMYFUNCTION("""COMPUTED_VALUE"""),"Yes")</f>
        <v>Yes</v>
      </c>
      <c r="W260" s="5" t="str">
        <f>IFERROR(__xludf.DUMMYFUNCTION("""COMPUTED_VALUE"""),"Yes")</f>
        <v>Yes</v>
      </c>
      <c r="X260" s="5" t="str">
        <f>IFERROR(__xludf.DUMMYFUNCTION("""COMPUTED_VALUE"""),"Yes")</f>
        <v>Yes</v>
      </c>
      <c r="Y260" s="5" t="str">
        <f>IFERROR(__xludf.DUMMYFUNCTION("""COMPUTED_VALUE"""),"Yes")</f>
        <v>Yes</v>
      </c>
      <c r="Z260" s="5" t="str">
        <f>IFERROR(__xludf.DUMMYFUNCTION("""COMPUTED_VALUE"""),"Yes")</f>
        <v>Yes</v>
      </c>
      <c r="AA260" s="5" t="str">
        <f>IFERROR(__xludf.DUMMYFUNCTION("""COMPUTED_VALUE"""),"Yes")</f>
        <v>Yes</v>
      </c>
      <c r="AB260" s="5" t="str">
        <f>IFERROR(__xludf.DUMMYFUNCTION("""COMPUTED_VALUE"""),"Yes")</f>
        <v>Yes</v>
      </c>
      <c r="AC260" s="5" t="str">
        <f>IFERROR(__xludf.DUMMYFUNCTION("""COMPUTED_VALUE"""),"No")</f>
        <v>No</v>
      </c>
    </row>
    <row r="261">
      <c r="A261" s="5" t="str">
        <f>IFERROR(__xludf.DUMMYFUNCTION("""COMPUTED_VALUE"""),"UnicornSimplySevens")</f>
        <v>UnicornSimplySevens</v>
      </c>
      <c r="B2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1" s="5" t="str">
        <f>IFERROR(__xludf.DUMMYFUNCTION("""COMPUTED_VALUE"""),"Yes")</f>
        <v>Yes</v>
      </c>
      <c r="D261" s="5" t="str">
        <f>IFERROR(__xludf.DUMMYFUNCTION("""COMPUTED_VALUE"""),"Yes")</f>
        <v>Yes</v>
      </c>
      <c r="E261" s="5" t="str">
        <f>IFERROR(__xludf.DUMMYFUNCTION("""COMPUTED_VALUE"""),"Yes")</f>
        <v>Yes</v>
      </c>
      <c r="F261" s="5" t="str">
        <f>IFERROR(__xludf.DUMMYFUNCTION("""COMPUTED_VALUE"""),"Yes")</f>
        <v>Yes</v>
      </c>
      <c r="G261" s="5" t="str">
        <f>IFERROR(__xludf.DUMMYFUNCTION("""COMPUTED_VALUE"""),"Yes")</f>
        <v>Yes</v>
      </c>
      <c r="H261" s="5" t="str">
        <f>IFERROR(__xludf.DUMMYFUNCTION("""COMPUTED_VALUE"""),"Yes")</f>
        <v>Yes</v>
      </c>
      <c r="I261" s="5" t="str">
        <f>IFERROR(__xludf.DUMMYFUNCTION("""COMPUTED_VALUE"""),"Yes")</f>
        <v>Yes</v>
      </c>
      <c r="J261" s="5" t="str">
        <f>IFERROR(__xludf.DUMMYFUNCTION("""COMPUTED_VALUE"""),"Yes")</f>
        <v>Yes</v>
      </c>
      <c r="K261" s="5" t="str">
        <f>IFERROR(__xludf.DUMMYFUNCTION("""COMPUTED_VALUE"""),"Yes")</f>
        <v>Yes</v>
      </c>
      <c r="L261" s="5" t="str">
        <f>IFERROR(__xludf.DUMMYFUNCTION("""COMPUTED_VALUE"""),"Yes")</f>
        <v>Yes</v>
      </c>
      <c r="M261" s="5" t="str">
        <f>IFERROR(__xludf.DUMMYFUNCTION("""COMPUTED_VALUE"""),"Yes")</f>
        <v>Yes</v>
      </c>
      <c r="N261" s="5" t="str">
        <f>IFERROR(__xludf.DUMMYFUNCTION("""COMPUTED_VALUE"""),"Yes")</f>
        <v>Yes</v>
      </c>
      <c r="O261" s="5" t="str">
        <f>IFERROR(__xludf.DUMMYFUNCTION("""COMPUTED_VALUE"""),"Yes")</f>
        <v>Yes</v>
      </c>
      <c r="P261" s="5" t="str">
        <f>IFERROR(__xludf.DUMMYFUNCTION("""COMPUTED_VALUE"""),"Yes")</f>
        <v>Yes</v>
      </c>
      <c r="Q261" s="5" t="str">
        <f>IFERROR(__xludf.DUMMYFUNCTION("""COMPUTED_VALUE"""),"Yes")</f>
        <v>Yes</v>
      </c>
      <c r="R261" s="5" t="str">
        <f>IFERROR(__xludf.DUMMYFUNCTION("""COMPUTED_VALUE"""),"Yes")</f>
        <v>Yes</v>
      </c>
      <c r="S261" s="5" t="str">
        <f>IFERROR(__xludf.DUMMYFUNCTION("""COMPUTED_VALUE"""),"Yes")</f>
        <v>Yes</v>
      </c>
      <c r="T261" s="5" t="str">
        <f>IFERROR(__xludf.DUMMYFUNCTION("""COMPUTED_VALUE"""),"Yes")</f>
        <v>Yes</v>
      </c>
      <c r="U261" s="5" t="str">
        <f>IFERROR(__xludf.DUMMYFUNCTION("""COMPUTED_VALUE"""),"Yes")</f>
        <v>Yes</v>
      </c>
      <c r="V261" s="5"/>
      <c r="W261" s="5" t="str">
        <f>IFERROR(__xludf.DUMMYFUNCTION("""COMPUTED_VALUE"""),"Yes")</f>
        <v>Yes</v>
      </c>
      <c r="X261" s="5" t="str">
        <f>IFERROR(__xludf.DUMMYFUNCTION("""COMPUTED_VALUE"""),"Yes")</f>
        <v>Yes</v>
      </c>
      <c r="Y261" s="5" t="str">
        <f>IFERROR(__xludf.DUMMYFUNCTION("""COMPUTED_VALUE"""),"Yes")</f>
        <v>Yes</v>
      </c>
      <c r="Z261" s="5" t="str">
        <f>IFERROR(__xludf.DUMMYFUNCTION("""COMPUTED_VALUE"""),"Yes")</f>
        <v>Yes</v>
      </c>
      <c r="AA261" s="5" t="str">
        <f>IFERROR(__xludf.DUMMYFUNCTION("""COMPUTED_VALUE"""),"Yes")</f>
        <v>Yes</v>
      </c>
      <c r="AB261" s="5" t="str">
        <f>IFERROR(__xludf.DUMMYFUNCTION("""COMPUTED_VALUE"""),"Yes")</f>
        <v>Yes</v>
      </c>
      <c r="AC261" s="5"/>
    </row>
    <row r="262">
      <c r="A262" s="5" t="str">
        <f>IFERROR(__xludf.DUMMYFUNCTION("""COMPUTED_VALUE"""),"DeadNight")</f>
        <v>DeadNight</v>
      </c>
      <c r="B2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2" s="5" t="str">
        <f>IFERROR(__xludf.DUMMYFUNCTION("""COMPUTED_VALUE"""),"Yes")</f>
        <v>Yes</v>
      </c>
      <c r="D262" s="5" t="str">
        <f>IFERROR(__xludf.DUMMYFUNCTION("""COMPUTED_VALUE"""),"Yes")</f>
        <v>Yes</v>
      </c>
      <c r="E262" s="5" t="str">
        <f>IFERROR(__xludf.DUMMYFUNCTION("""COMPUTED_VALUE"""),"Yes")</f>
        <v>Yes</v>
      </c>
      <c r="F262" s="5" t="str">
        <f>IFERROR(__xludf.DUMMYFUNCTION("""COMPUTED_VALUE"""),"Yes")</f>
        <v>Yes</v>
      </c>
      <c r="G262" s="5" t="str">
        <f>IFERROR(__xludf.DUMMYFUNCTION("""COMPUTED_VALUE"""),"Yes")</f>
        <v>Yes</v>
      </c>
      <c r="H262" s="5" t="str">
        <f>IFERROR(__xludf.DUMMYFUNCTION("""COMPUTED_VALUE"""),"Yes")</f>
        <v>Yes</v>
      </c>
      <c r="I262" s="5" t="str">
        <f>IFERROR(__xludf.DUMMYFUNCTION("""COMPUTED_VALUE"""),"Yes")</f>
        <v>Yes</v>
      </c>
      <c r="J262" s="5" t="str">
        <f>IFERROR(__xludf.DUMMYFUNCTION("""COMPUTED_VALUE"""),"Yes")</f>
        <v>Yes</v>
      </c>
      <c r="K262" s="5" t="str">
        <f>IFERROR(__xludf.DUMMYFUNCTION("""COMPUTED_VALUE"""),"Yes")</f>
        <v>Yes</v>
      </c>
      <c r="L262" s="5" t="str">
        <f>IFERROR(__xludf.DUMMYFUNCTION("""COMPUTED_VALUE"""),"Yes")</f>
        <v>Yes</v>
      </c>
      <c r="M262" s="5" t="str">
        <f>IFERROR(__xludf.DUMMYFUNCTION("""COMPUTED_VALUE"""),"Yes")</f>
        <v>Yes</v>
      </c>
      <c r="N262" s="5" t="str">
        <f>IFERROR(__xludf.DUMMYFUNCTION("""COMPUTED_VALUE"""),"Yes")</f>
        <v>Yes</v>
      </c>
      <c r="O262" s="5" t="str">
        <f>IFERROR(__xludf.DUMMYFUNCTION("""COMPUTED_VALUE"""),"Yes")</f>
        <v>Yes</v>
      </c>
      <c r="P262" s="5" t="str">
        <f>IFERROR(__xludf.DUMMYFUNCTION("""COMPUTED_VALUE"""),"Yes")</f>
        <v>Yes</v>
      </c>
      <c r="Q262" s="5" t="str">
        <f>IFERROR(__xludf.DUMMYFUNCTION("""COMPUTED_VALUE"""),"Yes")</f>
        <v>Yes</v>
      </c>
      <c r="R262" s="5" t="str">
        <f>IFERROR(__xludf.DUMMYFUNCTION("""COMPUTED_VALUE"""),"Yes")</f>
        <v>Yes</v>
      </c>
      <c r="S262" s="5" t="str">
        <f>IFERROR(__xludf.DUMMYFUNCTION("""COMPUTED_VALUE"""),"Yes")</f>
        <v>Yes</v>
      </c>
      <c r="T262" s="5" t="str">
        <f>IFERROR(__xludf.DUMMYFUNCTION("""COMPUTED_VALUE"""),"Yes")</f>
        <v>Yes</v>
      </c>
      <c r="U262" s="5" t="str">
        <f>IFERROR(__xludf.DUMMYFUNCTION("""COMPUTED_VALUE"""),"Yes")</f>
        <v>Yes</v>
      </c>
      <c r="V262" s="5" t="str">
        <f>IFERROR(__xludf.DUMMYFUNCTION("""COMPUTED_VALUE"""),"Yes")</f>
        <v>Yes</v>
      </c>
      <c r="W262" s="5" t="str">
        <f>IFERROR(__xludf.DUMMYFUNCTION("""COMPUTED_VALUE"""),"Yes")</f>
        <v>Yes</v>
      </c>
      <c r="X262" s="5" t="str">
        <f>IFERROR(__xludf.DUMMYFUNCTION("""COMPUTED_VALUE"""),"Yes")</f>
        <v>Yes</v>
      </c>
      <c r="Y262" s="5" t="str">
        <f>IFERROR(__xludf.DUMMYFUNCTION("""COMPUTED_VALUE"""),"Yes")</f>
        <v>Yes</v>
      </c>
      <c r="Z262" s="5" t="str">
        <f>IFERROR(__xludf.DUMMYFUNCTION("""COMPUTED_VALUE"""),"Yes")</f>
        <v>Yes</v>
      </c>
      <c r="AA262" s="5" t="str">
        <f>IFERROR(__xludf.DUMMYFUNCTION("""COMPUTED_VALUE"""),"Yes")</f>
        <v>Yes</v>
      </c>
      <c r="AB262" s="5" t="str">
        <f>IFERROR(__xludf.DUMMYFUNCTION("""COMPUTED_VALUE"""),"Yes")</f>
        <v>Yes</v>
      </c>
      <c r="AC262" s="5" t="str">
        <f>IFERROR(__xludf.DUMMYFUNCTION("""COMPUTED_VALUE"""),"No")</f>
        <v>No</v>
      </c>
    </row>
    <row r="263">
      <c r="A263" s="5" t="str">
        <f>IFERROR(__xludf.DUMMYFUNCTION("""COMPUTED_VALUE"""),"WinningClover5")</f>
        <v>WinningClover5</v>
      </c>
      <c r="B2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3" s="5" t="str">
        <f>IFERROR(__xludf.DUMMYFUNCTION("""COMPUTED_VALUE"""),"Yes")</f>
        <v>Yes</v>
      </c>
      <c r="D263" s="5" t="str">
        <f>IFERROR(__xludf.DUMMYFUNCTION("""COMPUTED_VALUE"""),"Yes")</f>
        <v>Yes</v>
      </c>
      <c r="E263" s="5" t="str">
        <f>IFERROR(__xludf.DUMMYFUNCTION("""COMPUTED_VALUE"""),"Yes")</f>
        <v>Yes</v>
      </c>
      <c r="F263" s="5" t="str">
        <f>IFERROR(__xludf.DUMMYFUNCTION("""COMPUTED_VALUE"""),"Yes")</f>
        <v>Yes</v>
      </c>
      <c r="G263" s="5" t="str">
        <f>IFERROR(__xludf.DUMMYFUNCTION("""COMPUTED_VALUE"""),"Yes")</f>
        <v>Yes</v>
      </c>
      <c r="H263" s="5" t="str">
        <f>IFERROR(__xludf.DUMMYFUNCTION("""COMPUTED_VALUE"""),"Yes")</f>
        <v>Yes</v>
      </c>
      <c r="I263" s="5" t="str">
        <f>IFERROR(__xludf.DUMMYFUNCTION("""COMPUTED_VALUE"""),"Yes")</f>
        <v>Yes</v>
      </c>
      <c r="J263" s="5" t="str">
        <f>IFERROR(__xludf.DUMMYFUNCTION("""COMPUTED_VALUE"""),"Yes")</f>
        <v>Yes</v>
      </c>
      <c r="K263" s="5" t="str">
        <f>IFERROR(__xludf.DUMMYFUNCTION("""COMPUTED_VALUE"""),"Yes")</f>
        <v>Yes</v>
      </c>
      <c r="L263" s="5" t="str">
        <f>IFERROR(__xludf.DUMMYFUNCTION("""COMPUTED_VALUE"""),"Yes")</f>
        <v>Yes</v>
      </c>
      <c r="M263" s="5" t="str">
        <f>IFERROR(__xludf.DUMMYFUNCTION("""COMPUTED_VALUE"""),"Yes")</f>
        <v>Yes</v>
      </c>
      <c r="N263" s="5" t="str">
        <f>IFERROR(__xludf.DUMMYFUNCTION("""COMPUTED_VALUE"""),"Yes")</f>
        <v>Yes</v>
      </c>
      <c r="O263" s="5" t="str">
        <f>IFERROR(__xludf.DUMMYFUNCTION("""COMPUTED_VALUE"""),"Yes")</f>
        <v>Yes</v>
      </c>
      <c r="P263" s="5" t="str">
        <f>IFERROR(__xludf.DUMMYFUNCTION("""COMPUTED_VALUE"""),"Yes")</f>
        <v>Yes</v>
      </c>
      <c r="Q263" s="5" t="str">
        <f>IFERROR(__xludf.DUMMYFUNCTION("""COMPUTED_VALUE"""),"Yes")</f>
        <v>Yes</v>
      </c>
      <c r="R263" s="5" t="str">
        <f>IFERROR(__xludf.DUMMYFUNCTION("""COMPUTED_VALUE"""),"Yes")</f>
        <v>Yes</v>
      </c>
      <c r="S263" s="5" t="str">
        <f>IFERROR(__xludf.DUMMYFUNCTION("""COMPUTED_VALUE"""),"Yes")</f>
        <v>Yes</v>
      </c>
      <c r="T263" s="5" t="str">
        <f>IFERROR(__xludf.DUMMYFUNCTION("""COMPUTED_VALUE"""),"Yes")</f>
        <v>Yes</v>
      </c>
      <c r="U263" s="5" t="str">
        <f>IFERROR(__xludf.DUMMYFUNCTION("""COMPUTED_VALUE"""),"Yes")</f>
        <v>Yes</v>
      </c>
      <c r="V263" s="5" t="str">
        <f>IFERROR(__xludf.DUMMYFUNCTION("""COMPUTED_VALUE"""),"Yes")</f>
        <v>Yes</v>
      </c>
      <c r="W263" s="5" t="str">
        <f>IFERROR(__xludf.DUMMYFUNCTION("""COMPUTED_VALUE"""),"Yes")</f>
        <v>Yes</v>
      </c>
      <c r="X263" s="5" t="str">
        <f>IFERROR(__xludf.DUMMYFUNCTION("""COMPUTED_VALUE"""),"Yes")</f>
        <v>Yes</v>
      </c>
      <c r="Y263" s="5" t="str">
        <f>IFERROR(__xludf.DUMMYFUNCTION("""COMPUTED_VALUE"""),"Yes")</f>
        <v>Yes</v>
      </c>
      <c r="Z263" s="5" t="str">
        <f>IFERROR(__xludf.DUMMYFUNCTION("""COMPUTED_VALUE"""),"Yes")</f>
        <v>Yes</v>
      </c>
      <c r="AA263" s="5" t="str">
        <f>IFERROR(__xludf.DUMMYFUNCTION("""COMPUTED_VALUE"""),"Yes")</f>
        <v>Yes</v>
      </c>
      <c r="AB263" s="5" t="str">
        <f>IFERROR(__xludf.DUMMYFUNCTION("""COMPUTED_VALUE"""),"Yes")</f>
        <v>Yes</v>
      </c>
      <c r="AC263" s="5" t="str">
        <f>IFERROR(__xludf.DUMMYFUNCTION("""COMPUTED_VALUE"""),"No")</f>
        <v>No</v>
      </c>
    </row>
    <row r="264">
      <c r="A264" s="5" t="str">
        <f>IFERROR(__xludf.DUMMYFUNCTION("""COMPUTED_VALUE"""),"TurboFire")</f>
        <v>TurboFire</v>
      </c>
      <c r="B2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4" s="5" t="str">
        <f>IFERROR(__xludf.DUMMYFUNCTION("""COMPUTED_VALUE"""),"Yes")</f>
        <v>Yes</v>
      </c>
      <c r="D264" s="5" t="str">
        <f>IFERROR(__xludf.DUMMYFUNCTION("""COMPUTED_VALUE"""),"Yes")</f>
        <v>Yes</v>
      </c>
      <c r="E264" s="5" t="str">
        <f>IFERROR(__xludf.DUMMYFUNCTION("""COMPUTED_VALUE"""),"Yes")</f>
        <v>Yes</v>
      </c>
      <c r="F264" s="5" t="str">
        <f>IFERROR(__xludf.DUMMYFUNCTION("""COMPUTED_VALUE"""),"Yes")</f>
        <v>Yes</v>
      </c>
      <c r="G264" s="5" t="str">
        <f>IFERROR(__xludf.DUMMYFUNCTION("""COMPUTED_VALUE"""),"Yes")</f>
        <v>Yes</v>
      </c>
      <c r="H264" s="5" t="str">
        <f>IFERROR(__xludf.DUMMYFUNCTION("""COMPUTED_VALUE"""),"Yes")</f>
        <v>Yes</v>
      </c>
      <c r="I264" s="5" t="str">
        <f>IFERROR(__xludf.DUMMYFUNCTION("""COMPUTED_VALUE"""),"Yes")</f>
        <v>Yes</v>
      </c>
      <c r="J264" s="5" t="str">
        <f>IFERROR(__xludf.DUMMYFUNCTION("""COMPUTED_VALUE"""),"Yes")</f>
        <v>Yes</v>
      </c>
      <c r="K264" s="5" t="str">
        <f>IFERROR(__xludf.DUMMYFUNCTION("""COMPUTED_VALUE"""),"Yes")</f>
        <v>Yes</v>
      </c>
      <c r="L264" s="5" t="str">
        <f>IFERROR(__xludf.DUMMYFUNCTION("""COMPUTED_VALUE"""),"Yes")</f>
        <v>Yes</v>
      </c>
      <c r="M264" s="5" t="str">
        <f>IFERROR(__xludf.DUMMYFUNCTION("""COMPUTED_VALUE"""),"Yes")</f>
        <v>Yes</v>
      </c>
      <c r="N264" s="5" t="str">
        <f>IFERROR(__xludf.DUMMYFUNCTION("""COMPUTED_VALUE"""),"Yes")</f>
        <v>Yes</v>
      </c>
      <c r="O264" s="5" t="str">
        <f>IFERROR(__xludf.DUMMYFUNCTION("""COMPUTED_VALUE"""),"Yes")</f>
        <v>Yes</v>
      </c>
      <c r="P264" s="5" t="str">
        <f>IFERROR(__xludf.DUMMYFUNCTION("""COMPUTED_VALUE"""),"Yes")</f>
        <v>Yes</v>
      </c>
      <c r="Q264" s="5" t="str">
        <f>IFERROR(__xludf.DUMMYFUNCTION("""COMPUTED_VALUE"""),"Yes")</f>
        <v>Yes</v>
      </c>
      <c r="R264" s="5" t="str">
        <f>IFERROR(__xludf.DUMMYFUNCTION("""COMPUTED_VALUE"""),"Yes")</f>
        <v>Yes</v>
      </c>
      <c r="S264" s="5" t="str">
        <f>IFERROR(__xludf.DUMMYFUNCTION("""COMPUTED_VALUE"""),"Yes")</f>
        <v>Yes</v>
      </c>
      <c r="T264" s="5" t="str">
        <f>IFERROR(__xludf.DUMMYFUNCTION("""COMPUTED_VALUE"""),"Yes")</f>
        <v>Yes</v>
      </c>
      <c r="U264" s="5" t="str">
        <f>IFERROR(__xludf.DUMMYFUNCTION("""COMPUTED_VALUE"""),"Yes")</f>
        <v>Yes</v>
      </c>
      <c r="V264" s="5" t="str">
        <f>IFERROR(__xludf.DUMMYFUNCTION("""COMPUTED_VALUE"""),"Yes")</f>
        <v>Yes</v>
      </c>
      <c r="W264" s="5" t="str">
        <f>IFERROR(__xludf.DUMMYFUNCTION("""COMPUTED_VALUE"""),"Yes")</f>
        <v>Yes</v>
      </c>
      <c r="X264" s="5" t="str">
        <f>IFERROR(__xludf.DUMMYFUNCTION("""COMPUTED_VALUE"""),"Yes")</f>
        <v>Yes</v>
      </c>
      <c r="Y264" s="5" t="str">
        <f>IFERROR(__xludf.DUMMYFUNCTION("""COMPUTED_VALUE"""),"Yes")</f>
        <v>Yes</v>
      </c>
      <c r="Z264" s="5" t="str">
        <f>IFERROR(__xludf.DUMMYFUNCTION("""COMPUTED_VALUE"""),"Yes")</f>
        <v>Yes</v>
      </c>
      <c r="AA264" s="5" t="str">
        <f>IFERROR(__xludf.DUMMYFUNCTION("""COMPUTED_VALUE"""),"Yes")</f>
        <v>Yes</v>
      </c>
      <c r="AB264" s="5" t="str">
        <f>IFERROR(__xludf.DUMMYFUNCTION("""COMPUTED_VALUE"""),"Yes")</f>
        <v>Yes</v>
      </c>
      <c r="AC264" s="5" t="str">
        <f>IFERROR(__xludf.DUMMYFUNCTION("""COMPUTED_VALUE"""),"No")</f>
        <v>No</v>
      </c>
    </row>
    <row r="265">
      <c r="A265" s="5" t="str">
        <f>IFERROR(__xludf.DUMMYFUNCTION("""COMPUTED_VALUE"""),"Unicorn10JingleFruits")</f>
        <v>Unicorn10JingleFruits</v>
      </c>
      <c r="B2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5" s="5" t="str">
        <f>IFERROR(__xludf.DUMMYFUNCTION("""COMPUTED_VALUE"""),"Yes")</f>
        <v>Yes</v>
      </c>
      <c r="D265" s="5" t="str">
        <f>IFERROR(__xludf.DUMMYFUNCTION("""COMPUTED_VALUE"""),"Yes")</f>
        <v>Yes</v>
      </c>
      <c r="E265" s="5" t="str">
        <f>IFERROR(__xludf.DUMMYFUNCTION("""COMPUTED_VALUE"""),"Yes")</f>
        <v>Yes</v>
      </c>
      <c r="F265" s="5" t="str">
        <f>IFERROR(__xludf.DUMMYFUNCTION("""COMPUTED_VALUE"""),"Yes")</f>
        <v>Yes</v>
      </c>
      <c r="G265" s="5" t="str">
        <f>IFERROR(__xludf.DUMMYFUNCTION("""COMPUTED_VALUE"""),"Yes")</f>
        <v>Yes</v>
      </c>
      <c r="H265" s="5" t="str">
        <f>IFERROR(__xludf.DUMMYFUNCTION("""COMPUTED_VALUE"""),"Yes")</f>
        <v>Yes</v>
      </c>
      <c r="I265" s="5" t="str">
        <f>IFERROR(__xludf.DUMMYFUNCTION("""COMPUTED_VALUE"""),"Yes")</f>
        <v>Yes</v>
      </c>
      <c r="J265" s="5" t="str">
        <f>IFERROR(__xludf.DUMMYFUNCTION("""COMPUTED_VALUE"""),"Yes")</f>
        <v>Yes</v>
      </c>
      <c r="K265" s="5" t="str">
        <f>IFERROR(__xludf.DUMMYFUNCTION("""COMPUTED_VALUE"""),"Yes")</f>
        <v>Yes</v>
      </c>
      <c r="L265" s="5" t="str">
        <f>IFERROR(__xludf.DUMMYFUNCTION("""COMPUTED_VALUE"""),"Yes")</f>
        <v>Yes</v>
      </c>
      <c r="M265" s="5" t="str">
        <f>IFERROR(__xludf.DUMMYFUNCTION("""COMPUTED_VALUE"""),"Yes")</f>
        <v>Yes</v>
      </c>
      <c r="N265" s="5" t="str">
        <f>IFERROR(__xludf.DUMMYFUNCTION("""COMPUTED_VALUE"""),"Yes")</f>
        <v>Yes</v>
      </c>
      <c r="O265" s="5" t="str">
        <f>IFERROR(__xludf.DUMMYFUNCTION("""COMPUTED_VALUE"""),"Yes")</f>
        <v>Yes</v>
      </c>
      <c r="P265" s="5" t="str">
        <f>IFERROR(__xludf.DUMMYFUNCTION("""COMPUTED_VALUE"""),"Yes")</f>
        <v>Yes</v>
      </c>
      <c r="Q265" s="5" t="str">
        <f>IFERROR(__xludf.DUMMYFUNCTION("""COMPUTED_VALUE"""),"Yes")</f>
        <v>Yes</v>
      </c>
      <c r="R265" s="5" t="str">
        <f>IFERROR(__xludf.DUMMYFUNCTION("""COMPUTED_VALUE"""),"Yes")</f>
        <v>Yes</v>
      </c>
      <c r="S265" s="5" t="str">
        <f>IFERROR(__xludf.DUMMYFUNCTION("""COMPUTED_VALUE"""),"Yes")</f>
        <v>Yes</v>
      </c>
      <c r="T265" s="5" t="str">
        <f>IFERROR(__xludf.DUMMYFUNCTION("""COMPUTED_VALUE"""),"Yes")</f>
        <v>Yes</v>
      </c>
      <c r="U265" s="5" t="str">
        <f>IFERROR(__xludf.DUMMYFUNCTION("""COMPUTED_VALUE"""),"Yes")</f>
        <v>Yes</v>
      </c>
      <c r="V265" s="5"/>
      <c r="W265" s="5" t="str">
        <f>IFERROR(__xludf.DUMMYFUNCTION("""COMPUTED_VALUE"""),"Yes")</f>
        <v>Yes</v>
      </c>
      <c r="X265" s="5"/>
      <c r="Y265" s="5"/>
      <c r="Z265" s="5" t="str">
        <f>IFERROR(__xludf.DUMMYFUNCTION("""COMPUTED_VALUE"""),"Yes")</f>
        <v>Yes</v>
      </c>
      <c r="AA265" s="5"/>
      <c r="AB265" s="5"/>
      <c r="AC265" s="5"/>
    </row>
    <row r="266">
      <c r="A266" s="5" t="str">
        <f>IFERROR(__xludf.DUMMYFUNCTION("""COMPUTED_VALUE"""),"WinningClover5Extreme")</f>
        <v>WinningClover5Extreme</v>
      </c>
      <c r="B2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6" s="5" t="str">
        <f>IFERROR(__xludf.DUMMYFUNCTION("""COMPUTED_VALUE"""),"Yes")</f>
        <v>Yes</v>
      </c>
      <c r="D266" s="5" t="str">
        <f>IFERROR(__xludf.DUMMYFUNCTION("""COMPUTED_VALUE"""),"Yes")</f>
        <v>Yes</v>
      </c>
      <c r="E266" s="5" t="str">
        <f>IFERROR(__xludf.DUMMYFUNCTION("""COMPUTED_VALUE"""),"Yes")</f>
        <v>Yes</v>
      </c>
      <c r="F266" s="5" t="str">
        <f>IFERROR(__xludf.DUMMYFUNCTION("""COMPUTED_VALUE"""),"Yes")</f>
        <v>Yes</v>
      </c>
      <c r="G266" s="5" t="str">
        <f>IFERROR(__xludf.DUMMYFUNCTION("""COMPUTED_VALUE"""),"Yes")</f>
        <v>Yes</v>
      </c>
      <c r="H266" s="5" t="str">
        <f>IFERROR(__xludf.DUMMYFUNCTION("""COMPUTED_VALUE"""),"Yes")</f>
        <v>Yes</v>
      </c>
      <c r="I266" s="5" t="str">
        <f>IFERROR(__xludf.DUMMYFUNCTION("""COMPUTED_VALUE"""),"Yes")</f>
        <v>Yes</v>
      </c>
      <c r="J266" s="5" t="str">
        <f>IFERROR(__xludf.DUMMYFUNCTION("""COMPUTED_VALUE"""),"Yes")</f>
        <v>Yes</v>
      </c>
      <c r="K266" s="5" t="str">
        <f>IFERROR(__xludf.DUMMYFUNCTION("""COMPUTED_VALUE"""),"Yes")</f>
        <v>Yes</v>
      </c>
      <c r="L266" s="5" t="str">
        <f>IFERROR(__xludf.DUMMYFUNCTION("""COMPUTED_VALUE"""),"Yes")</f>
        <v>Yes</v>
      </c>
      <c r="M266" s="5" t="str">
        <f>IFERROR(__xludf.DUMMYFUNCTION("""COMPUTED_VALUE"""),"Yes")</f>
        <v>Yes</v>
      </c>
      <c r="N266" s="5" t="str">
        <f>IFERROR(__xludf.DUMMYFUNCTION("""COMPUTED_VALUE"""),"Yes")</f>
        <v>Yes</v>
      </c>
      <c r="O266" s="5" t="str">
        <f>IFERROR(__xludf.DUMMYFUNCTION("""COMPUTED_VALUE"""),"Yes")</f>
        <v>Yes</v>
      </c>
      <c r="P266" s="5" t="str">
        <f>IFERROR(__xludf.DUMMYFUNCTION("""COMPUTED_VALUE"""),"Yes")</f>
        <v>Yes</v>
      </c>
      <c r="Q266" s="5" t="str">
        <f>IFERROR(__xludf.DUMMYFUNCTION("""COMPUTED_VALUE"""),"Yes")</f>
        <v>Yes</v>
      </c>
      <c r="R266" s="5" t="str">
        <f>IFERROR(__xludf.DUMMYFUNCTION("""COMPUTED_VALUE"""),"Yes")</f>
        <v>Yes</v>
      </c>
      <c r="S266" s="5" t="str">
        <f>IFERROR(__xludf.DUMMYFUNCTION("""COMPUTED_VALUE"""),"Yes")</f>
        <v>Yes</v>
      </c>
      <c r="T266" s="5" t="str">
        <f>IFERROR(__xludf.DUMMYFUNCTION("""COMPUTED_VALUE"""),"Yes")</f>
        <v>Yes</v>
      </c>
      <c r="U266" s="5" t="str">
        <f>IFERROR(__xludf.DUMMYFUNCTION("""COMPUTED_VALUE"""),"Yes")</f>
        <v>Yes</v>
      </c>
      <c r="V266" s="5" t="str">
        <f>IFERROR(__xludf.DUMMYFUNCTION("""COMPUTED_VALUE"""),"Yes")</f>
        <v>Yes</v>
      </c>
      <c r="W266" s="5" t="str">
        <f>IFERROR(__xludf.DUMMYFUNCTION("""COMPUTED_VALUE"""),"Yes")</f>
        <v>Yes</v>
      </c>
      <c r="X266" s="5" t="str">
        <f>IFERROR(__xludf.DUMMYFUNCTION("""COMPUTED_VALUE"""),"Yes")</f>
        <v>Yes</v>
      </c>
      <c r="Y266" s="5" t="str">
        <f>IFERROR(__xludf.DUMMYFUNCTION("""COMPUTED_VALUE"""),"Yes")</f>
        <v>Yes</v>
      </c>
      <c r="Z266" s="5" t="str">
        <f>IFERROR(__xludf.DUMMYFUNCTION("""COMPUTED_VALUE"""),"Yes")</f>
        <v>Yes</v>
      </c>
      <c r="AA266" s="5" t="str">
        <f>IFERROR(__xludf.DUMMYFUNCTION("""COMPUTED_VALUE"""),"Yes")</f>
        <v>Yes</v>
      </c>
      <c r="AB266" s="5" t="str">
        <f>IFERROR(__xludf.DUMMYFUNCTION("""COMPUTED_VALUE"""),"Yes")</f>
        <v>Yes</v>
      </c>
      <c r="AC266" s="5" t="str">
        <f>IFERROR(__xludf.DUMMYFUNCTION("""COMPUTED_VALUE"""),"No")</f>
        <v>No</v>
      </c>
    </row>
    <row r="267">
      <c r="A267" s="5" t="str">
        <f>IFERROR(__xludf.DUMMYFUNCTION("""COMPUTED_VALUE"""),"CloverBlast5")</f>
        <v>CloverBlast5</v>
      </c>
      <c r="B2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7" s="5" t="str">
        <f>IFERROR(__xludf.DUMMYFUNCTION("""COMPUTED_VALUE"""),"Yes")</f>
        <v>Yes</v>
      </c>
      <c r="D267" s="5" t="str">
        <f>IFERROR(__xludf.DUMMYFUNCTION("""COMPUTED_VALUE"""),"Yes")</f>
        <v>Yes</v>
      </c>
      <c r="E267" s="5" t="str">
        <f>IFERROR(__xludf.DUMMYFUNCTION("""COMPUTED_VALUE"""),"Yes")</f>
        <v>Yes</v>
      </c>
      <c r="F267" s="5" t="str">
        <f>IFERROR(__xludf.DUMMYFUNCTION("""COMPUTED_VALUE"""),"Yes")</f>
        <v>Yes</v>
      </c>
      <c r="G267" s="5" t="str">
        <f>IFERROR(__xludf.DUMMYFUNCTION("""COMPUTED_VALUE"""),"Yes")</f>
        <v>Yes</v>
      </c>
      <c r="H267" s="5" t="str">
        <f>IFERROR(__xludf.DUMMYFUNCTION("""COMPUTED_VALUE"""),"Yes")</f>
        <v>Yes</v>
      </c>
      <c r="I267" s="5" t="str">
        <f>IFERROR(__xludf.DUMMYFUNCTION("""COMPUTED_VALUE"""),"Yes")</f>
        <v>Yes</v>
      </c>
      <c r="J267" s="5" t="str">
        <f>IFERROR(__xludf.DUMMYFUNCTION("""COMPUTED_VALUE"""),"Yes")</f>
        <v>Yes</v>
      </c>
      <c r="K267" s="5" t="str">
        <f>IFERROR(__xludf.DUMMYFUNCTION("""COMPUTED_VALUE"""),"Yes")</f>
        <v>Yes</v>
      </c>
      <c r="L267" s="5" t="str">
        <f>IFERROR(__xludf.DUMMYFUNCTION("""COMPUTED_VALUE"""),"Yes")</f>
        <v>Yes</v>
      </c>
      <c r="M267" s="5" t="str">
        <f>IFERROR(__xludf.DUMMYFUNCTION("""COMPUTED_VALUE"""),"Yes")</f>
        <v>Yes</v>
      </c>
      <c r="N267" s="5" t="str">
        <f>IFERROR(__xludf.DUMMYFUNCTION("""COMPUTED_VALUE"""),"Yes")</f>
        <v>Yes</v>
      </c>
      <c r="O267" s="5" t="str">
        <f>IFERROR(__xludf.DUMMYFUNCTION("""COMPUTED_VALUE"""),"Yes")</f>
        <v>Yes</v>
      </c>
      <c r="P267" s="5" t="str">
        <f>IFERROR(__xludf.DUMMYFUNCTION("""COMPUTED_VALUE"""),"Yes")</f>
        <v>Yes</v>
      </c>
      <c r="Q267" s="5" t="str">
        <f>IFERROR(__xludf.DUMMYFUNCTION("""COMPUTED_VALUE"""),"Yes")</f>
        <v>Yes</v>
      </c>
      <c r="R267" s="5" t="str">
        <f>IFERROR(__xludf.DUMMYFUNCTION("""COMPUTED_VALUE"""),"Yes")</f>
        <v>Yes</v>
      </c>
      <c r="S267" s="5" t="str">
        <f>IFERROR(__xludf.DUMMYFUNCTION("""COMPUTED_VALUE"""),"Yes")</f>
        <v>Yes</v>
      </c>
      <c r="T267" s="5" t="str">
        <f>IFERROR(__xludf.DUMMYFUNCTION("""COMPUTED_VALUE"""),"Yes")</f>
        <v>Yes</v>
      </c>
      <c r="U267" s="5" t="str">
        <f>IFERROR(__xludf.DUMMYFUNCTION("""COMPUTED_VALUE"""),"Yes")</f>
        <v>Yes</v>
      </c>
      <c r="V267" s="5"/>
      <c r="W267" s="5" t="str">
        <f>IFERROR(__xludf.DUMMYFUNCTION("""COMPUTED_VALUE"""),"Yes")</f>
        <v>Yes</v>
      </c>
      <c r="X267" s="5"/>
      <c r="Y267" s="5"/>
      <c r="Z267" s="5" t="str">
        <f>IFERROR(__xludf.DUMMYFUNCTION("""COMPUTED_VALUE"""),"Yes")</f>
        <v>Yes</v>
      </c>
      <c r="AA267" s="5"/>
      <c r="AB267" s="5"/>
      <c r="AC267" s="5"/>
    </row>
    <row r="268">
      <c r="A268" s="5" t="str">
        <f>IFERROR(__xludf.DUMMYFUNCTION("""COMPUTED_VALUE"""),"WildHot40Dice")</f>
        <v>WildHot40Dice</v>
      </c>
      <c r="B2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8" s="5" t="str">
        <f>IFERROR(__xludf.DUMMYFUNCTION("""COMPUTED_VALUE"""),"Yes")</f>
        <v>Yes</v>
      </c>
      <c r="D268" s="5" t="str">
        <f>IFERROR(__xludf.DUMMYFUNCTION("""COMPUTED_VALUE"""),"Yes")</f>
        <v>Yes</v>
      </c>
      <c r="E268" s="5" t="str">
        <f>IFERROR(__xludf.DUMMYFUNCTION("""COMPUTED_VALUE"""),"Yes")</f>
        <v>Yes</v>
      </c>
      <c r="F268" s="5" t="str">
        <f>IFERROR(__xludf.DUMMYFUNCTION("""COMPUTED_VALUE"""),"Yes")</f>
        <v>Yes</v>
      </c>
      <c r="G268" s="5" t="str">
        <f>IFERROR(__xludf.DUMMYFUNCTION("""COMPUTED_VALUE"""),"Yes")</f>
        <v>Yes</v>
      </c>
      <c r="H268" s="5" t="str">
        <f>IFERROR(__xludf.DUMMYFUNCTION("""COMPUTED_VALUE"""),"Yes")</f>
        <v>Yes</v>
      </c>
      <c r="I268" s="5" t="str">
        <f>IFERROR(__xludf.DUMMYFUNCTION("""COMPUTED_VALUE"""),"Yes")</f>
        <v>Yes</v>
      </c>
      <c r="J268" s="5" t="str">
        <f>IFERROR(__xludf.DUMMYFUNCTION("""COMPUTED_VALUE"""),"Yes")</f>
        <v>Yes</v>
      </c>
      <c r="K268" s="5" t="str">
        <f>IFERROR(__xludf.DUMMYFUNCTION("""COMPUTED_VALUE"""),"Yes")</f>
        <v>Yes</v>
      </c>
      <c r="L268" s="5" t="str">
        <f>IFERROR(__xludf.DUMMYFUNCTION("""COMPUTED_VALUE"""),"Yes")</f>
        <v>Yes</v>
      </c>
      <c r="M268" s="5" t="str">
        <f>IFERROR(__xludf.DUMMYFUNCTION("""COMPUTED_VALUE"""),"Yes")</f>
        <v>Yes</v>
      </c>
      <c r="N268" s="5" t="str">
        <f>IFERROR(__xludf.DUMMYFUNCTION("""COMPUTED_VALUE"""),"Yes")</f>
        <v>Yes</v>
      </c>
      <c r="O268" s="5" t="str">
        <f>IFERROR(__xludf.DUMMYFUNCTION("""COMPUTED_VALUE"""),"Yes")</f>
        <v>Yes</v>
      </c>
      <c r="P268" s="5" t="str">
        <f>IFERROR(__xludf.DUMMYFUNCTION("""COMPUTED_VALUE"""),"Yes")</f>
        <v>Yes</v>
      </c>
      <c r="Q268" s="5" t="str">
        <f>IFERROR(__xludf.DUMMYFUNCTION("""COMPUTED_VALUE"""),"Yes")</f>
        <v>Yes</v>
      </c>
      <c r="R268" s="5" t="str">
        <f>IFERROR(__xludf.DUMMYFUNCTION("""COMPUTED_VALUE"""),"Yes")</f>
        <v>Yes</v>
      </c>
      <c r="S268" s="5" t="str">
        <f>IFERROR(__xludf.DUMMYFUNCTION("""COMPUTED_VALUE"""),"Yes")</f>
        <v>Yes</v>
      </c>
      <c r="T268" s="5" t="str">
        <f>IFERROR(__xludf.DUMMYFUNCTION("""COMPUTED_VALUE"""),"Yes")</f>
        <v>Yes</v>
      </c>
      <c r="U268" s="5" t="str">
        <f>IFERROR(__xludf.DUMMYFUNCTION("""COMPUTED_VALUE"""),"Yes")</f>
        <v>Yes</v>
      </c>
      <c r="V268" s="5" t="str">
        <f>IFERROR(__xludf.DUMMYFUNCTION("""COMPUTED_VALUE"""),"Yes")</f>
        <v>Yes</v>
      </c>
      <c r="W268" s="5" t="str">
        <f>IFERROR(__xludf.DUMMYFUNCTION("""COMPUTED_VALUE"""),"Yes")</f>
        <v>Yes</v>
      </c>
      <c r="X268" s="5" t="str">
        <f>IFERROR(__xludf.DUMMYFUNCTION("""COMPUTED_VALUE"""),"Yes")</f>
        <v>Yes</v>
      </c>
      <c r="Y268" s="5" t="str">
        <f>IFERROR(__xludf.DUMMYFUNCTION("""COMPUTED_VALUE"""),"Yes")</f>
        <v>Yes</v>
      </c>
      <c r="Z268" s="5" t="str">
        <f>IFERROR(__xludf.DUMMYFUNCTION("""COMPUTED_VALUE"""),"Yes")</f>
        <v>Yes</v>
      </c>
      <c r="AA268" s="5" t="str">
        <f>IFERROR(__xludf.DUMMYFUNCTION("""COMPUTED_VALUE"""),"Yes")</f>
        <v>Yes</v>
      </c>
      <c r="AB268" s="5" t="str">
        <f>IFERROR(__xludf.DUMMYFUNCTION("""COMPUTED_VALUE"""),"Yes")</f>
        <v>Yes</v>
      </c>
      <c r="AC268" s="5" t="str">
        <f>IFERROR(__xludf.DUMMYFUNCTION("""COMPUTED_VALUE"""),"No")</f>
        <v>No</v>
      </c>
    </row>
    <row r="269">
      <c r="A269" s="5" t="str">
        <f>IFERROR(__xludf.DUMMYFUNCTION("""COMPUTED_VALUE"""),"UnicornGoldLine")</f>
        <v>UnicornGoldLine</v>
      </c>
      <c r="B2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9" s="5" t="str">
        <f>IFERROR(__xludf.DUMMYFUNCTION("""COMPUTED_VALUE"""),"Yes")</f>
        <v>Yes</v>
      </c>
      <c r="D269" s="5" t="str">
        <f>IFERROR(__xludf.DUMMYFUNCTION("""COMPUTED_VALUE"""),"Yes")</f>
        <v>Yes</v>
      </c>
      <c r="E269" s="5" t="str">
        <f>IFERROR(__xludf.DUMMYFUNCTION("""COMPUTED_VALUE"""),"Yes")</f>
        <v>Yes</v>
      </c>
      <c r="F269" s="5" t="str">
        <f>IFERROR(__xludf.DUMMYFUNCTION("""COMPUTED_VALUE"""),"Yes")</f>
        <v>Yes</v>
      </c>
      <c r="G269" s="5" t="str">
        <f>IFERROR(__xludf.DUMMYFUNCTION("""COMPUTED_VALUE"""),"Yes")</f>
        <v>Yes</v>
      </c>
      <c r="H269" s="5" t="str">
        <f>IFERROR(__xludf.DUMMYFUNCTION("""COMPUTED_VALUE"""),"Yes")</f>
        <v>Yes</v>
      </c>
      <c r="I269" s="5" t="str">
        <f>IFERROR(__xludf.DUMMYFUNCTION("""COMPUTED_VALUE"""),"Yes")</f>
        <v>Yes</v>
      </c>
      <c r="J269" s="5" t="str">
        <f>IFERROR(__xludf.DUMMYFUNCTION("""COMPUTED_VALUE"""),"Yes")</f>
        <v>Yes</v>
      </c>
      <c r="K269" s="5" t="str">
        <f>IFERROR(__xludf.DUMMYFUNCTION("""COMPUTED_VALUE"""),"Yes")</f>
        <v>Yes</v>
      </c>
      <c r="L269" s="5" t="str">
        <f>IFERROR(__xludf.DUMMYFUNCTION("""COMPUTED_VALUE"""),"Yes")</f>
        <v>Yes</v>
      </c>
      <c r="M269" s="5" t="str">
        <f>IFERROR(__xludf.DUMMYFUNCTION("""COMPUTED_VALUE"""),"Yes")</f>
        <v>Yes</v>
      </c>
      <c r="N269" s="5" t="str">
        <f>IFERROR(__xludf.DUMMYFUNCTION("""COMPUTED_VALUE"""),"Yes")</f>
        <v>Yes</v>
      </c>
      <c r="O269" s="5" t="str">
        <f>IFERROR(__xludf.DUMMYFUNCTION("""COMPUTED_VALUE"""),"Yes")</f>
        <v>Yes</v>
      </c>
      <c r="P269" s="5" t="str">
        <f>IFERROR(__xludf.DUMMYFUNCTION("""COMPUTED_VALUE"""),"Yes")</f>
        <v>Yes</v>
      </c>
      <c r="Q269" s="5" t="str">
        <f>IFERROR(__xludf.DUMMYFUNCTION("""COMPUTED_VALUE"""),"Yes")</f>
        <v>Yes</v>
      </c>
      <c r="R269" s="5" t="str">
        <f>IFERROR(__xludf.DUMMYFUNCTION("""COMPUTED_VALUE"""),"Yes")</f>
        <v>Yes</v>
      </c>
      <c r="S269" s="5" t="str">
        <f>IFERROR(__xludf.DUMMYFUNCTION("""COMPUTED_VALUE"""),"Yes")</f>
        <v>Yes</v>
      </c>
      <c r="T269" s="5" t="str">
        <f>IFERROR(__xludf.DUMMYFUNCTION("""COMPUTED_VALUE"""),"Yes")</f>
        <v>Yes</v>
      </c>
      <c r="U269" s="5" t="str">
        <f>IFERROR(__xludf.DUMMYFUNCTION("""COMPUTED_VALUE"""),"Yes")</f>
        <v>Yes</v>
      </c>
      <c r="V269" s="5"/>
      <c r="W269" s="5" t="str">
        <f>IFERROR(__xludf.DUMMYFUNCTION("""COMPUTED_VALUE"""),"Yes")</f>
        <v>Yes</v>
      </c>
      <c r="X269" s="5" t="str">
        <f>IFERROR(__xludf.DUMMYFUNCTION("""COMPUTED_VALUE"""),"Yes")</f>
        <v>Yes</v>
      </c>
      <c r="Y269" s="5" t="str">
        <f>IFERROR(__xludf.DUMMYFUNCTION("""COMPUTED_VALUE"""),"Yes")</f>
        <v>Yes</v>
      </c>
      <c r="Z269" s="5" t="str">
        <f>IFERROR(__xludf.DUMMYFUNCTION("""COMPUTED_VALUE"""),"Yes")</f>
        <v>Yes</v>
      </c>
      <c r="AA269" s="5" t="str">
        <f>IFERROR(__xludf.DUMMYFUNCTION("""COMPUTED_VALUE"""),"Yes")</f>
        <v>Yes</v>
      </c>
      <c r="AB269" s="5" t="str">
        <f>IFERROR(__xludf.DUMMYFUNCTION("""COMPUTED_VALUE"""),"Yes")</f>
        <v>Yes</v>
      </c>
      <c r="AC269" s="5"/>
    </row>
    <row r="270">
      <c r="A270" s="5" t="str">
        <f>IFERROR(__xludf.DUMMYFUNCTION("""COMPUTED_VALUE"""),"HotLine1X")</f>
        <v>HotLine1X</v>
      </c>
      <c r="B2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0" s="5" t="str">
        <f>IFERROR(__xludf.DUMMYFUNCTION("""COMPUTED_VALUE"""),"Yes")</f>
        <v>Yes</v>
      </c>
      <c r="D270" s="5" t="str">
        <f>IFERROR(__xludf.DUMMYFUNCTION("""COMPUTED_VALUE"""),"Yes")</f>
        <v>Yes</v>
      </c>
      <c r="E270" s="5" t="str">
        <f>IFERROR(__xludf.DUMMYFUNCTION("""COMPUTED_VALUE"""),"Yes")</f>
        <v>Yes</v>
      </c>
      <c r="F270" s="5" t="str">
        <f>IFERROR(__xludf.DUMMYFUNCTION("""COMPUTED_VALUE"""),"Yes")</f>
        <v>Yes</v>
      </c>
      <c r="G270" s="5" t="str">
        <f>IFERROR(__xludf.DUMMYFUNCTION("""COMPUTED_VALUE"""),"Yes")</f>
        <v>Yes</v>
      </c>
      <c r="H270" s="5" t="str">
        <f>IFERROR(__xludf.DUMMYFUNCTION("""COMPUTED_VALUE"""),"Yes")</f>
        <v>Yes</v>
      </c>
      <c r="I270" s="5" t="str">
        <f>IFERROR(__xludf.DUMMYFUNCTION("""COMPUTED_VALUE"""),"Yes")</f>
        <v>Yes</v>
      </c>
      <c r="J270" s="5" t="str">
        <f>IFERROR(__xludf.DUMMYFUNCTION("""COMPUTED_VALUE"""),"Yes")</f>
        <v>Yes</v>
      </c>
      <c r="K270" s="5" t="str">
        <f>IFERROR(__xludf.DUMMYFUNCTION("""COMPUTED_VALUE"""),"Yes")</f>
        <v>Yes</v>
      </c>
      <c r="L270" s="5" t="str">
        <f>IFERROR(__xludf.DUMMYFUNCTION("""COMPUTED_VALUE"""),"Yes")</f>
        <v>Yes</v>
      </c>
      <c r="M270" s="5" t="str">
        <f>IFERROR(__xludf.DUMMYFUNCTION("""COMPUTED_VALUE"""),"Yes")</f>
        <v>Yes</v>
      </c>
      <c r="N270" s="5" t="str">
        <f>IFERROR(__xludf.DUMMYFUNCTION("""COMPUTED_VALUE"""),"Yes")</f>
        <v>Yes</v>
      </c>
      <c r="O270" s="5" t="str">
        <f>IFERROR(__xludf.DUMMYFUNCTION("""COMPUTED_VALUE"""),"Yes")</f>
        <v>Yes</v>
      </c>
      <c r="P270" s="5" t="str">
        <f>IFERROR(__xludf.DUMMYFUNCTION("""COMPUTED_VALUE"""),"Yes")</f>
        <v>Yes</v>
      </c>
      <c r="Q270" s="5" t="str">
        <f>IFERROR(__xludf.DUMMYFUNCTION("""COMPUTED_VALUE"""),"Yes")</f>
        <v>Yes</v>
      </c>
      <c r="R270" s="5" t="str">
        <f>IFERROR(__xludf.DUMMYFUNCTION("""COMPUTED_VALUE"""),"Yes")</f>
        <v>Yes</v>
      </c>
      <c r="S270" s="5" t="str">
        <f>IFERROR(__xludf.DUMMYFUNCTION("""COMPUTED_VALUE"""),"Yes")</f>
        <v>Yes</v>
      </c>
      <c r="T270" s="5" t="str">
        <f>IFERROR(__xludf.DUMMYFUNCTION("""COMPUTED_VALUE"""),"Yes")</f>
        <v>Yes</v>
      </c>
      <c r="U270" s="5" t="str">
        <f>IFERROR(__xludf.DUMMYFUNCTION("""COMPUTED_VALUE"""),"Yes")</f>
        <v>Yes</v>
      </c>
      <c r="V270" s="5" t="str">
        <f>IFERROR(__xludf.DUMMYFUNCTION("""COMPUTED_VALUE"""),"Yes")</f>
        <v>Yes</v>
      </c>
      <c r="W270" s="5" t="str">
        <f>IFERROR(__xludf.DUMMYFUNCTION("""COMPUTED_VALUE"""),"Yes")</f>
        <v>Yes</v>
      </c>
      <c r="X270" s="5" t="str">
        <f>IFERROR(__xludf.DUMMYFUNCTION("""COMPUTED_VALUE"""),"Yes")</f>
        <v>Yes</v>
      </c>
      <c r="Y270" s="5" t="str">
        <f>IFERROR(__xludf.DUMMYFUNCTION("""COMPUTED_VALUE"""),"Yes")</f>
        <v>Yes</v>
      </c>
      <c r="Z270" s="5" t="str">
        <f>IFERROR(__xludf.DUMMYFUNCTION("""COMPUTED_VALUE"""),"Yes")</f>
        <v>Yes</v>
      </c>
      <c r="AA270" s="5" t="str">
        <f>IFERROR(__xludf.DUMMYFUNCTION("""COMPUTED_VALUE"""),"Yes")</f>
        <v>Yes</v>
      </c>
      <c r="AB270" s="5" t="str">
        <f>IFERROR(__xludf.DUMMYFUNCTION("""COMPUTED_VALUE"""),"Yes")</f>
        <v>Yes</v>
      </c>
      <c r="AC270" s="5" t="str">
        <f>IFERROR(__xludf.DUMMYFUNCTION("""COMPUTED_VALUE"""),"No")</f>
        <v>No</v>
      </c>
    </row>
    <row r="271">
      <c r="A271" s="5" t="str">
        <f>IFERROR(__xludf.DUMMYFUNCTION("""COMPUTED_VALUE"""),"WildHot40BlowDice")</f>
        <v>WildHot40BlowDice</v>
      </c>
      <c r="B2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1" s="5" t="str">
        <f>IFERROR(__xludf.DUMMYFUNCTION("""COMPUTED_VALUE"""),"Yes")</f>
        <v>Yes</v>
      </c>
      <c r="D271" s="5" t="str">
        <f>IFERROR(__xludf.DUMMYFUNCTION("""COMPUTED_VALUE"""),"Yes")</f>
        <v>Yes</v>
      </c>
      <c r="E271" s="5" t="str">
        <f>IFERROR(__xludf.DUMMYFUNCTION("""COMPUTED_VALUE"""),"Yes")</f>
        <v>Yes</v>
      </c>
      <c r="F271" s="5" t="str">
        <f>IFERROR(__xludf.DUMMYFUNCTION("""COMPUTED_VALUE"""),"Yes")</f>
        <v>Yes</v>
      </c>
      <c r="G271" s="5" t="str">
        <f>IFERROR(__xludf.DUMMYFUNCTION("""COMPUTED_VALUE"""),"Yes")</f>
        <v>Yes</v>
      </c>
      <c r="H271" s="5" t="str">
        <f>IFERROR(__xludf.DUMMYFUNCTION("""COMPUTED_VALUE"""),"Yes")</f>
        <v>Yes</v>
      </c>
      <c r="I271" s="5" t="str">
        <f>IFERROR(__xludf.DUMMYFUNCTION("""COMPUTED_VALUE"""),"Yes")</f>
        <v>Yes</v>
      </c>
      <c r="J271" s="5" t="str">
        <f>IFERROR(__xludf.DUMMYFUNCTION("""COMPUTED_VALUE"""),"Yes")</f>
        <v>Yes</v>
      </c>
      <c r="K271" s="5" t="str">
        <f>IFERROR(__xludf.DUMMYFUNCTION("""COMPUTED_VALUE"""),"Yes")</f>
        <v>Yes</v>
      </c>
      <c r="L271" s="5" t="str">
        <f>IFERROR(__xludf.DUMMYFUNCTION("""COMPUTED_VALUE"""),"Yes")</f>
        <v>Yes</v>
      </c>
      <c r="M271" s="5" t="str">
        <f>IFERROR(__xludf.DUMMYFUNCTION("""COMPUTED_VALUE"""),"Yes")</f>
        <v>Yes</v>
      </c>
      <c r="N271" s="5" t="str">
        <f>IFERROR(__xludf.DUMMYFUNCTION("""COMPUTED_VALUE"""),"Yes")</f>
        <v>Yes</v>
      </c>
      <c r="O271" s="5" t="str">
        <f>IFERROR(__xludf.DUMMYFUNCTION("""COMPUTED_VALUE"""),"Yes")</f>
        <v>Yes</v>
      </c>
      <c r="P271" s="5" t="str">
        <f>IFERROR(__xludf.DUMMYFUNCTION("""COMPUTED_VALUE"""),"Yes")</f>
        <v>Yes</v>
      </c>
      <c r="Q271" s="5" t="str">
        <f>IFERROR(__xludf.DUMMYFUNCTION("""COMPUTED_VALUE"""),"Yes")</f>
        <v>Yes</v>
      </c>
      <c r="R271" s="5" t="str">
        <f>IFERROR(__xludf.DUMMYFUNCTION("""COMPUTED_VALUE"""),"Yes")</f>
        <v>Yes</v>
      </c>
      <c r="S271" s="5" t="str">
        <f>IFERROR(__xludf.DUMMYFUNCTION("""COMPUTED_VALUE"""),"Yes")</f>
        <v>Yes</v>
      </c>
      <c r="T271" s="5" t="str">
        <f>IFERROR(__xludf.DUMMYFUNCTION("""COMPUTED_VALUE"""),"Yes")</f>
        <v>Yes</v>
      </c>
      <c r="U271" s="5" t="str">
        <f>IFERROR(__xludf.DUMMYFUNCTION("""COMPUTED_VALUE"""),"Yes")</f>
        <v>Yes</v>
      </c>
      <c r="V271" s="5" t="str">
        <f>IFERROR(__xludf.DUMMYFUNCTION("""COMPUTED_VALUE"""),"Yes")</f>
        <v>Yes</v>
      </c>
      <c r="W271" s="5" t="str">
        <f>IFERROR(__xludf.DUMMYFUNCTION("""COMPUTED_VALUE"""),"Yes")</f>
        <v>Yes</v>
      </c>
      <c r="X271" s="5" t="str">
        <f>IFERROR(__xludf.DUMMYFUNCTION("""COMPUTED_VALUE"""),"Yes")</f>
        <v>Yes</v>
      </c>
      <c r="Y271" s="5" t="str">
        <f>IFERROR(__xludf.DUMMYFUNCTION("""COMPUTED_VALUE"""),"Yes")</f>
        <v>Yes</v>
      </c>
      <c r="Z271" s="5" t="str">
        <f>IFERROR(__xludf.DUMMYFUNCTION("""COMPUTED_VALUE"""),"Yes")</f>
        <v>Yes</v>
      </c>
      <c r="AA271" s="5" t="str">
        <f>IFERROR(__xludf.DUMMYFUNCTION("""COMPUTED_VALUE"""),"Yes")</f>
        <v>Yes</v>
      </c>
      <c r="AB271" s="5" t="str">
        <f>IFERROR(__xludf.DUMMYFUNCTION("""COMPUTED_VALUE"""),"Yes")</f>
        <v>Yes</v>
      </c>
      <c r="AC271" s="5" t="str">
        <f>IFERROR(__xludf.DUMMYFUNCTION("""COMPUTED_VALUE"""),"No")</f>
        <v>No</v>
      </c>
    </row>
    <row r="272">
      <c r="A272" s="5" t="str">
        <f>IFERROR(__xludf.DUMMYFUNCTION("""COMPUTED_VALUE"""),"FashionNight")</f>
        <v>FashionNight</v>
      </c>
      <c r="B2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2" s="5" t="str">
        <f>IFERROR(__xludf.DUMMYFUNCTION("""COMPUTED_VALUE"""),"Yes")</f>
        <v>Yes</v>
      </c>
      <c r="D272" s="5" t="str">
        <f>IFERROR(__xludf.DUMMYFUNCTION("""COMPUTED_VALUE"""),"Yes")</f>
        <v>Yes</v>
      </c>
      <c r="E272" s="5" t="str">
        <f>IFERROR(__xludf.DUMMYFUNCTION("""COMPUTED_VALUE"""),"Yes")</f>
        <v>Yes</v>
      </c>
      <c r="F272" s="5" t="str">
        <f>IFERROR(__xludf.DUMMYFUNCTION("""COMPUTED_VALUE"""),"Yes")</f>
        <v>Yes</v>
      </c>
      <c r="G272" s="5" t="str">
        <f>IFERROR(__xludf.DUMMYFUNCTION("""COMPUTED_VALUE"""),"Yes")</f>
        <v>Yes</v>
      </c>
      <c r="H272" s="5" t="str">
        <f>IFERROR(__xludf.DUMMYFUNCTION("""COMPUTED_VALUE"""),"Yes")</f>
        <v>Yes</v>
      </c>
      <c r="I272" s="5" t="str">
        <f>IFERROR(__xludf.DUMMYFUNCTION("""COMPUTED_VALUE"""),"Yes")</f>
        <v>Yes</v>
      </c>
      <c r="J272" s="5" t="str">
        <f>IFERROR(__xludf.DUMMYFUNCTION("""COMPUTED_VALUE"""),"Yes")</f>
        <v>Yes</v>
      </c>
      <c r="K272" s="5" t="str">
        <f>IFERROR(__xludf.DUMMYFUNCTION("""COMPUTED_VALUE"""),"Yes")</f>
        <v>Yes</v>
      </c>
      <c r="L272" s="5" t="str">
        <f>IFERROR(__xludf.DUMMYFUNCTION("""COMPUTED_VALUE"""),"Yes")</f>
        <v>Yes</v>
      </c>
      <c r="M272" s="5" t="str">
        <f>IFERROR(__xludf.DUMMYFUNCTION("""COMPUTED_VALUE"""),"Yes")</f>
        <v>Yes</v>
      </c>
      <c r="N272" s="5" t="str">
        <f>IFERROR(__xludf.DUMMYFUNCTION("""COMPUTED_VALUE"""),"Yes")</f>
        <v>Yes</v>
      </c>
      <c r="O272" s="5" t="str">
        <f>IFERROR(__xludf.DUMMYFUNCTION("""COMPUTED_VALUE"""),"Yes")</f>
        <v>Yes</v>
      </c>
      <c r="P272" s="5" t="str">
        <f>IFERROR(__xludf.DUMMYFUNCTION("""COMPUTED_VALUE"""),"Yes")</f>
        <v>Yes</v>
      </c>
      <c r="Q272" s="5" t="str">
        <f>IFERROR(__xludf.DUMMYFUNCTION("""COMPUTED_VALUE"""),"Yes")</f>
        <v>Yes</v>
      </c>
      <c r="R272" s="5" t="str">
        <f>IFERROR(__xludf.DUMMYFUNCTION("""COMPUTED_VALUE"""),"Yes")</f>
        <v>Yes</v>
      </c>
      <c r="S272" s="5" t="str">
        <f>IFERROR(__xludf.DUMMYFUNCTION("""COMPUTED_VALUE"""),"Yes")</f>
        <v>Yes</v>
      </c>
      <c r="T272" s="5" t="str">
        <f>IFERROR(__xludf.DUMMYFUNCTION("""COMPUTED_VALUE"""),"Yes")</f>
        <v>Yes</v>
      </c>
      <c r="U272" s="5" t="str">
        <f>IFERROR(__xludf.DUMMYFUNCTION("""COMPUTED_VALUE"""),"Yes")</f>
        <v>Yes</v>
      </c>
      <c r="V272" s="5" t="str">
        <f>IFERROR(__xludf.DUMMYFUNCTION("""COMPUTED_VALUE"""),"Yes")</f>
        <v>Yes</v>
      </c>
      <c r="W272" s="5" t="str">
        <f>IFERROR(__xludf.DUMMYFUNCTION("""COMPUTED_VALUE"""),"Yes")</f>
        <v>Yes</v>
      </c>
      <c r="X272" s="5" t="str">
        <f>IFERROR(__xludf.DUMMYFUNCTION("""COMPUTED_VALUE"""),"Yes")</f>
        <v>Yes</v>
      </c>
      <c r="Y272" s="5" t="str">
        <f>IFERROR(__xludf.DUMMYFUNCTION("""COMPUTED_VALUE"""),"Yes")</f>
        <v>Yes</v>
      </c>
      <c r="Z272" s="5" t="str">
        <f>IFERROR(__xludf.DUMMYFUNCTION("""COMPUTED_VALUE"""),"Yes")</f>
        <v>Yes</v>
      </c>
      <c r="AA272" s="5" t="str">
        <f>IFERROR(__xludf.DUMMYFUNCTION("""COMPUTED_VALUE"""),"Yes")</f>
        <v>Yes</v>
      </c>
      <c r="AB272" s="5" t="str">
        <f>IFERROR(__xludf.DUMMYFUNCTION("""COMPUTED_VALUE"""),"Yes")</f>
        <v>Yes</v>
      </c>
      <c r="AC272" s="5" t="str">
        <f>IFERROR(__xludf.DUMMYFUNCTION("""COMPUTED_VALUE"""),"No")</f>
        <v>No</v>
      </c>
    </row>
    <row r="273">
      <c r="A273" s="5" t="str">
        <f>IFERROR(__xludf.DUMMYFUNCTION("""COMPUTED_VALUE"""),"MayansBattle")</f>
        <v>MayansBattle</v>
      </c>
      <c r="B2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3" s="5" t="str">
        <f>IFERROR(__xludf.DUMMYFUNCTION("""COMPUTED_VALUE"""),"Yes")</f>
        <v>Yes</v>
      </c>
      <c r="D273" s="5" t="str">
        <f>IFERROR(__xludf.DUMMYFUNCTION("""COMPUTED_VALUE"""),"Yes")</f>
        <v>Yes</v>
      </c>
      <c r="E273" s="5" t="str">
        <f>IFERROR(__xludf.DUMMYFUNCTION("""COMPUTED_VALUE"""),"Yes")</f>
        <v>Yes</v>
      </c>
      <c r="F273" s="5" t="str">
        <f>IFERROR(__xludf.DUMMYFUNCTION("""COMPUTED_VALUE"""),"Yes")</f>
        <v>Yes</v>
      </c>
      <c r="G273" s="5" t="str">
        <f>IFERROR(__xludf.DUMMYFUNCTION("""COMPUTED_VALUE"""),"Yes")</f>
        <v>Yes</v>
      </c>
      <c r="H273" s="5" t="str">
        <f>IFERROR(__xludf.DUMMYFUNCTION("""COMPUTED_VALUE"""),"Yes")</f>
        <v>Yes</v>
      </c>
      <c r="I273" s="5" t="str">
        <f>IFERROR(__xludf.DUMMYFUNCTION("""COMPUTED_VALUE"""),"Yes")</f>
        <v>Yes</v>
      </c>
      <c r="J273" s="5" t="str">
        <f>IFERROR(__xludf.DUMMYFUNCTION("""COMPUTED_VALUE"""),"Yes")</f>
        <v>Yes</v>
      </c>
      <c r="K273" s="5" t="str">
        <f>IFERROR(__xludf.DUMMYFUNCTION("""COMPUTED_VALUE"""),"Yes")</f>
        <v>Yes</v>
      </c>
      <c r="L273" s="5" t="str">
        <f>IFERROR(__xludf.DUMMYFUNCTION("""COMPUTED_VALUE"""),"Yes")</f>
        <v>Yes</v>
      </c>
      <c r="M273" s="5" t="str">
        <f>IFERROR(__xludf.DUMMYFUNCTION("""COMPUTED_VALUE"""),"Yes")</f>
        <v>Yes</v>
      </c>
      <c r="N273" s="5" t="str">
        <f>IFERROR(__xludf.DUMMYFUNCTION("""COMPUTED_VALUE"""),"Yes")</f>
        <v>Yes</v>
      </c>
      <c r="O273" s="5" t="str">
        <f>IFERROR(__xludf.DUMMYFUNCTION("""COMPUTED_VALUE"""),"Yes")</f>
        <v>Yes</v>
      </c>
      <c r="P273" s="5" t="str">
        <f>IFERROR(__xludf.DUMMYFUNCTION("""COMPUTED_VALUE"""),"Yes")</f>
        <v>Yes</v>
      </c>
      <c r="Q273" s="5" t="str">
        <f>IFERROR(__xludf.DUMMYFUNCTION("""COMPUTED_VALUE"""),"Yes")</f>
        <v>Yes</v>
      </c>
      <c r="R273" s="5" t="str">
        <f>IFERROR(__xludf.DUMMYFUNCTION("""COMPUTED_VALUE"""),"Yes")</f>
        <v>Yes</v>
      </c>
      <c r="S273" s="5" t="str">
        <f>IFERROR(__xludf.DUMMYFUNCTION("""COMPUTED_VALUE"""),"Yes")</f>
        <v>Yes</v>
      </c>
      <c r="T273" s="5" t="str">
        <f>IFERROR(__xludf.DUMMYFUNCTION("""COMPUTED_VALUE"""),"Yes")</f>
        <v>Yes</v>
      </c>
      <c r="U273" s="5" t="str">
        <f>IFERROR(__xludf.DUMMYFUNCTION("""COMPUTED_VALUE"""),"Yes")</f>
        <v>Yes</v>
      </c>
      <c r="V273" s="5" t="str">
        <f>IFERROR(__xludf.DUMMYFUNCTION("""COMPUTED_VALUE"""),"Yes")</f>
        <v>Yes</v>
      </c>
      <c r="W273" s="5" t="str">
        <f>IFERROR(__xludf.DUMMYFUNCTION("""COMPUTED_VALUE"""),"Yes")</f>
        <v>Yes</v>
      </c>
      <c r="X273" s="5" t="str">
        <f>IFERROR(__xludf.DUMMYFUNCTION("""COMPUTED_VALUE"""),"Yes")</f>
        <v>Yes</v>
      </c>
      <c r="Y273" s="5" t="str">
        <f>IFERROR(__xludf.DUMMYFUNCTION("""COMPUTED_VALUE"""),"Yes")</f>
        <v>Yes</v>
      </c>
      <c r="Z273" s="5" t="str">
        <f>IFERROR(__xludf.DUMMYFUNCTION("""COMPUTED_VALUE"""),"Yes")</f>
        <v>Yes</v>
      </c>
      <c r="AA273" s="5" t="str">
        <f>IFERROR(__xludf.DUMMYFUNCTION("""COMPUTED_VALUE"""),"Yes")</f>
        <v>Yes</v>
      </c>
      <c r="AB273" s="5" t="str">
        <f>IFERROR(__xludf.DUMMYFUNCTION("""COMPUTED_VALUE"""),"Yes")</f>
        <v>Yes</v>
      </c>
      <c r="AC273" s="5" t="str">
        <f>IFERROR(__xludf.DUMMYFUNCTION("""COMPUTED_VALUE"""),"No")</f>
        <v>No</v>
      </c>
    </row>
    <row r="274">
      <c r="A274" s="5" t="str">
        <f>IFERROR(__xludf.DUMMYFUNCTION("""COMPUTED_VALUE"""),"UnicornFrootMachine")</f>
        <v>UnicornFrootMachine</v>
      </c>
      <c r="B2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274" s="5" t="str">
        <f>IFERROR(__xludf.DUMMYFUNCTION("""COMPUTED_VALUE"""),"Yes")</f>
        <v>Yes</v>
      </c>
      <c r="D274" s="5" t="str">
        <f>IFERROR(__xludf.DUMMYFUNCTION("""COMPUTED_VALUE"""),"Yes")</f>
        <v>Yes</v>
      </c>
      <c r="E274" s="5" t="str">
        <f>IFERROR(__xludf.DUMMYFUNCTION("""COMPUTED_VALUE"""),"Yes")</f>
        <v>Yes</v>
      </c>
      <c r="F274" s="5" t="str">
        <f>IFERROR(__xludf.DUMMYFUNCTION("""COMPUTED_VALUE"""),"Yes")</f>
        <v>Yes</v>
      </c>
      <c r="G274" s="5" t="str">
        <f>IFERROR(__xludf.DUMMYFUNCTION("""COMPUTED_VALUE"""),"Yes")</f>
        <v>Yes</v>
      </c>
      <c r="H274" s="5" t="str">
        <f>IFERROR(__xludf.DUMMYFUNCTION("""COMPUTED_VALUE"""),"Yes")</f>
        <v>Yes</v>
      </c>
      <c r="I274" s="5" t="str">
        <f>IFERROR(__xludf.DUMMYFUNCTION("""COMPUTED_VALUE"""),"Yes")</f>
        <v>Yes</v>
      </c>
      <c r="J274" s="5" t="str">
        <f>IFERROR(__xludf.DUMMYFUNCTION("""COMPUTED_VALUE"""),"Yes")</f>
        <v>Yes</v>
      </c>
      <c r="K274" s="5" t="str">
        <f>IFERROR(__xludf.DUMMYFUNCTION("""COMPUTED_VALUE"""),"Yes")</f>
        <v>Yes</v>
      </c>
      <c r="L274" s="5" t="str">
        <f>IFERROR(__xludf.DUMMYFUNCTION("""COMPUTED_VALUE"""),"Yes")</f>
        <v>Yes</v>
      </c>
      <c r="M274" s="5" t="str">
        <f>IFERROR(__xludf.DUMMYFUNCTION("""COMPUTED_VALUE"""),"Yes")</f>
        <v>Yes</v>
      </c>
      <c r="N274" s="5" t="str">
        <f>IFERROR(__xludf.DUMMYFUNCTION("""COMPUTED_VALUE"""),"Yes")</f>
        <v>Yes</v>
      </c>
      <c r="O274" s="5" t="str">
        <f>IFERROR(__xludf.DUMMYFUNCTION("""COMPUTED_VALUE"""),"Yes")</f>
        <v>Yes</v>
      </c>
      <c r="P274" s="5" t="str">
        <f>IFERROR(__xludf.DUMMYFUNCTION("""COMPUTED_VALUE"""),"Yes")</f>
        <v>Yes</v>
      </c>
      <c r="Q274" s="5" t="str">
        <f>IFERROR(__xludf.DUMMYFUNCTION("""COMPUTED_VALUE"""),"Yes")</f>
        <v>Yes</v>
      </c>
      <c r="R274" s="5" t="str">
        <f>IFERROR(__xludf.DUMMYFUNCTION("""COMPUTED_VALUE"""),"Yes")</f>
        <v>Yes</v>
      </c>
      <c r="S274" s="5" t="str">
        <f>IFERROR(__xludf.DUMMYFUNCTION("""COMPUTED_VALUE"""),"Yes")</f>
        <v>Yes</v>
      </c>
      <c r="T274" s="5" t="str">
        <f>IFERROR(__xludf.DUMMYFUNCTION("""COMPUTED_VALUE"""),"Yes")</f>
        <v>Yes</v>
      </c>
      <c r="U274" s="5" t="str">
        <f>IFERROR(__xludf.DUMMYFUNCTION("""COMPUTED_VALUE"""),"Yes")</f>
        <v>Yes</v>
      </c>
      <c r="V274" s="5"/>
      <c r="W274" s="5"/>
      <c r="X274" s="5"/>
      <c r="Y274" s="5"/>
      <c r="Z274" s="5" t="str">
        <f>IFERROR(__xludf.DUMMYFUNCTION("""COMPUTED_VALUE"""),"Yes")</f>
        <v>Yes</v>
      </c>
      <c r="AA274" s="5"/>
      <c r="AB274" s="5"/>
      <c r="AC274" s="5"/>
    </row>
    <row r="275">
      <c r="A275" s="5" t="str">
        <f>IFERROR(__xludf.DUMMYFUNCTION("""COMPUTED_VALUE"""),"UnicornSimplySevensDice")</f>
        <v>UnicornSimplySevensDice</v>
      </c>
      <c r="B27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75" s="5" t="str">
        <f>IFERROR(__xludf.DUMMYFUNCTION("""COMPUTED_VALUE"""),"Yes")</f>
        <v>Yes</v>
      </c>
      <c r="D275" s="5" t="str">
        <f>IFERROR(__xludf.DUMMYFUNCTION("""COMPUTED_VALUE"""),"Yes")</f>
        <v>Yes</v>
      </c>
      <c r="E275" s="5" t="str">
        <f>IFERROR(__xludf.DUMMYFUNCTION("""COMPUTED_VALUE"""),"Yes")</f>
        <v>Yes</v>
      </c>
      <c r="F275" s="5" t="str">
        <f>IFERROR(__xludf.DUMMYFUNCTION("""COMPUTED_VALUE"""),"No")</f>
        <v>No</v>
      </c>
      <c r="G275" s="5" t="str">
        <f>IFERROR(__xludf.DUMMYFUNCTION("""COMPUTED_VALUE"""),"No")</f>
        <v>No</v>
      </c>
      <c r="H275" s="5" t="str">
        <f>IFERROR(__xludf.DUMMYFUNCTION("""COMPUTED_VALUE"""),"No")</f>
        <v>No</v>
      </c>
      <c r="I275" s="5" t="str">
        <f>IFERROR(__xludf.DUMMYFUNCTION("""COMPUTED_VALUE"""),"No")</f>
        <v>No</v>
      </c>
      <c r="J275" s="5" t="str">
        <f>IFERROR(__xludf.DUMMYFUNCTION("""COMPUTED_VALUE"""),"No")</f>
        <v>No</v>
      </c>
      <c r="K275" s="5" t="str">
        <f>IFERROR(__xludf.DUMMYFUNCTION("""COMPUTED_VALUE"""),"Yes")</f>
        <v>Yes</v>
      </c>
      <c r="L275" s="5" t="str">
        <f>IFERROR(__xludf.DUMMYFUNCTION("""COMPUTED_VALUE"""),"Yes")</f>
        <v>Yes</v>
      </c>
      <c r="M275" s="5" t="str">
        <f>IFERROR(__xludf.DUMMYFUNCTION("""COMPUTED_VALUE"""),"Yes")</f>
        <v>Yes</v>
      </c>
      <c r="N275" s="5" t="str">
        <f>IFERROR(__xludf.DUMMYFUNCTION("""COMPUTED_VALUE"""),"Yes")</f>
        <v>Yes</v>
      </c>
      <c r="O275" s="5" t="str">
        <f>IFERROR(__xludf.DUMMYFUNCTION("""COMPUTED_VALUE"""),"Yes")</f>
        <v>Yes</v>
      </c>
      <c r="P275" s="5" t="str">
        <f>IFERROR(__xludf.DUMMYFUNCTION("""COMPUTED_VALUE"""),"No")</f>
        <v>No</v>
      </c>
      <c r="Q275" s="5" t="str">
        <f>IFERROR(__xludf.DUMMYFUNCTION("""COMPUTED_VALUE"""),"Yes")</f>
        <v>Yes</v>
      </c>
      <c r="R275" s="5" t="str">
        <f>IFERROR(__xludf.DUMMYFUNCTION("""COMPUTED_VALUE"""),"No")</f>
        <v>No</v>
      </c>
      <c r="S275" s="5" t="str">
        <f>IFERROR(__xludf.DUMMYFUNCTION("""COMPUTED_VALUE"""),"No")</f>
        <v>No</v>
      </c>
      <c r="T275" s="5" t="str">
        <f>IFERROR(__xludf.DUMMYFUNCTION("""COMPUTED_VALUE"""),"No")</f>
        <v>No</v>
      </c>
      <c r="U275" s="5" t="str">
        <f>IFERROR(__xludf.DUMMYFUNCTION("""COMPUTED_VALUE"""),"No")</f>
        <v>No</v>
      </c>
      <c r="V275" s="5"/>
      <c r="W275" s="5"/>
      <c r="X275" s="5"/>
      <c r="Y275" s="5"/>
      <c r="Z275" s="5" t="str">
        <f>IFERROR(__xludf.DUMMYFUNCTION("""COMPUTED_VALUE"""),"No")</f>
        <v>No</v>
      </c>
      <c r="AA275" s="5"/>
      <c r="AB275" s="5"/>
      <c r="AC275" s="5"/>
    </row>
    <row r="276">
      <c r="A276" s="5" t="str">
        <f>IFERROR(__xludf.DUMMYFUNCTION("""COMPUTED_VALUE"""),"WildCraps")</f>
        <v>WildCraps</v>
      </c>
      <c r="B2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6" s="5" t="str">
        <f>IFERROR(__xludf.DUMMYFUNCTION("""COMPUTED_VALUE"""),"Yes")</f>
        <v>Yes</v>
      </c>
      <c r="D276" s="5" t="str">
        <f>IFERROR(__xludf.DUMMYFUNCTION("""COMPUTED_VALUE"""),"Yes")</f>
        <v>Yes</v>
      </c>
      <c r="E276" s="5" t="str">
        <f>IFERROR(__xludf.DUMMYFUNCTION("""COMPUTED_VALUE"""),"Yes")</f>
        <v>Yes</v>
      </c>
      <c r="F276" s="5" t="str">
        <f>IFERROR(__xludf.DUMMYFUNCTION("""COMPUTED_VALUE"""),"Yes")</f>
        <v>Yes</v>
      </c>
      <c r="G276" s="5" t="str">
        <f>IFERROR(__xludf.DUMMYFUNCTION("""COMPUTED_VALUE"""),"Yes")</f>
        <v>Yes</v>
      </c>
      <c r="H276" s="5" t="str">
        <f>IFERROR(__xludf.DUMMYFUNCTION("""COMPUTED_VALUE"""),"Yes")</f>
        <v>Yes</v>
      </c>
      <c r="I276" s="5" t="str">
        <f>IFERROR(__xludf.DUMMYFUNCTION("""COMPUTED_VALUE"""),"Yes")</f>
        <v>Yes</v>
      </c>
      <c r="J276" s="5" t="str">
        <f>IFERROR(__xludf.DUMMYFUNCTION("""COMPUTED_VALUE"""),"Yes")</f>
        <v>Yes</v>
      </c>
      <c r="K276" s="5" t="str">
        <f>IFERROR(__xludf.DUMMYFUNCTION("""COMPUTED_VALUE"""),"Yes")</f>
        <v>Yes</v>
      </c>
      <c r="L276" s="5" t="str">
        <f>IFERROR(__xludf.DUMMYFUNCTION("""COMPUTED_VALUE"""),"Yes")</f>
        <v>Yes</v>
      </c>
      <c r="M276" s="5" t="str">
        <f>IFERROR(__xludf.DUMMYFUNCTION("""COMPUTED_VALUE"""),"Yes")</f>
        <v>Yes</v>
      </c>
      <c r="N276" s="5" t="str">
        <f>IFERROR(__xludf.DUMMYFUNCTION("""COMPUTED_VALUE"""),"Yes")</f>
        <v>Yes</v>
      </c>
      <c r="O276" s="5" t="str">
        <f>IFERROR(__xludf.DUMMYFUNCTION("""COMPUTED_VALUE"""),"Yes")</f>
        <v>Yes</v>
      </c>
      <c r="P276" s="5" t="str">
        <f>IFERROR(__xludf.DUMMYFUNCTION("""COMPUTED_VALUE"""),"Yes")</f>
        <v>Yes</v>
      </c>
      <c r="Q276" s="5" t="str">
        <f>IFERROR(__xludf.DUMMYFUNCTION("""COMPUTED_VALUE"""),"Yes")</f>
        <v>Yes</v>
      </c>
      <c r="R276" s="5" t="str">
        <f>IFERROR(__xludf.DUMMYFUNCTION("""COMPUTED_VALUE"""),"Yes")</f>
        <v>Yes</v>
      </c>
      <c r="S276" s="5" t="str">
        <f>IFERROR(__xludf.DUMMYFUNCTION("""COMPUTED_VALUE"""),"Yes")</f>
        <v>Yes</v>
      </c>
      <c r="T276" s="5" t="str">
        <f>IFERROR(__xludf.DUMMYFUNCTION("""COMPUTED_VALUE"""),"Yes")</f>
        <v>Yes</v>
      </c>
      <c r="U276" s="5" t="str">
        <f>IFERROR(__xludf.DUMMYFUNCTION("""COMPUTED_VALUE"""),"Yes")</f>
        <v>Yes</v>
      </c>
      <c r="V276" s="5" t="str">
        <f>IFERROR(__xludf.DUMMYFUNCTION("""COMPUTED_VALUE"""),"Yes")</f>
        <v>Yes</v>
      </c>
      <c r="W276" s="5" t="str">
        <f>IFERROR(__xludf.DUMMYFUNCTION("""COMPUTED_VALUE"""),"Yes")</f>
        <v>Yes</v>
      </c>
      <c r="X276" s="5" t="str">
        <f>IFERROR(__xludf.DUMMYFUNCTION("""COMPUTED_VALUE"""),"Yes")</f>
        <v>Yes</v>
      </c>
      <c r="Y276" s="5" t="str">
        <f>IFERROR(__xludf.DUMMYFUNCTION("""COMPUTED_VALUE"""),"Yes")</f>
        <v>Yes</v>
      </c>
      <c r="Z276" s="5" t="str">
        <f>IFERROR(__xludf.DUMMYFUNCTION("""COMPUTED_VALUE"""),"Yes")</f>
        <v>Yes</v>
      </c>
      <c r="AA276" s="5" t="str">
        <f>IFERROR(__xludf.DUMMYFUNCTION("""COMPUTED_VALUE"""),"Yes")</f>
        <v>Yes</v>
      </c>
      <c r="AB276" s="5" t="str">
        <f>IFERROR(__xludf.DUMMYFUNCTION("""COMPUTED_VALUE"""),"Yes")</f>
        <v>Yes</v>
      </c>
      <c r="AC276" s="5" t="str">
        <f>IFERROR(__xludf.DUMMYFUNCTION("""COMPUTED_VALUE"""),"No")</f>
        <v>No</v>
      </c>
    </row>
    <row r="277">
      <c r="A277" s="5" t="str">
        <f>IFERROR(__xludf.DUMMYFUNCTION("""COMPUTED_VALUE"""),"RedstoneFearOfDark")</f>
        <v>RedstoneFearOfDark</v>
      </c>
      <c r="B2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7" s="5" t="str">
        <f>IFERROR(__xludf.DUMMYFUNCTION("""COMPUTED_VALUE"""),"Yes")</f>
        <v>Yes</v>
      </c>
      <c r="D277" s="5" t="str">
        <f>IFERROR(__xludf.DUMMYFUNCTION("""COMPUTED_VALUE"""),"Yes")</f>
        <v>Yes</v>
      </c>
      <c r="E277" s="5" t="str">
        <f>IFERROR(__xludf.DUMMYFUNCTION("""COMPUTED_VALUE"""),"Yes")</f>
        <v>Yes</v>
      </c>
      <c r="F277" s="5" t="str">
        <f>IFERROR(__xludf.DUMMYFUNCTION("""COMPUTED_VALUE"""),"Yes")</f>
        <v>Yes</v>
      </c>
      <c r="G277" s="5" t="str">
        <f>IFERROR(__xludf.DUMMYFUNCTION("""COMPUTED_VALUE"""),"Yes")</f>
        <v>Yes</v>
      </c>
      <c r="H277" s="5" t="str">
        <f>IFERROR(__xludf.DUMMYFUNCTION("""COMPUTED_VALUE"""),"Yes")</f>
        <v>Yes</v>
      </c>
      <c r="I277" s="5" t="str">
        <f>IFERROR(__xludf.DUMMYFUNCTION("""COMPUTED_VALUE"""),"Yes")</f>
        <v>Yes</v>
      </c>
      <c r="J277" s="5" t="str">
        <f>IFERROR(__xludf.DUMMYFUNCTION("""COMPUTED_VALUE"""),"Yes")</f>
        <v>Yes</v>
      </c>
      <c r="K277" s="5" t="str">
        <f>IFERROR(__xludf.DUMMYFUNCTION("""COMPUTED_VALUE"""),"Yes")</f>
        <v>Yes</v>
      </c>
      <c r="L277" s="5" t="str">
        <f>IFERROR(__xludf.DUMMYFUNCTION("""COMPUTED_VALUE"""),"Yes")</f>
        <v>Yes</v>
      </c>
      <c r="M277" s="5" t="str">
        <f>IFERROR(__xludf.DUMMYFUNCTION("""COMPUTED_VALUE"""),"Yes")</f>
        <v>Yes</v>
      </c>
      <c r="N277" s="5" t="str">
        <f>IFERROR(__xludf.DUMMYFUNCTION("""COMPUTED_VALUE"""),"Yes")</f>
        <v>Yes</v>
      </c>
      <c r="O277" s="5" t="str">
        <f>IFERROR(__xludf.DUMMYFUNCTION("""COMPUTED_VALUE"""),"Yes")</f>
        <v>Yes</v>
      </c>
      <c r="P277" s="5" t="str">
        <f>IFERROR(__xludf.DUMMYFUNCTION("""COMPUTED_VALUE"""),"Yes")</f>
        <v>Yes</v>
      </c>
      <c r="Q277" s="5" t="str">
        <f>IFERROR(__xludf.DUMMYFUNCTION("""COMPUTED_VALUE"""),"Yes")</f>
        <v>Yes</v>
      </c>
      <c r="R277" s="5" t="str">
        <f>IFERROR(__xludf.DUMMYFUNCTION("""COMPUTED_VALUE"""),"Yes")</f>
        <v>Yes</v>
      </c>
      <c r="S277" s="5" t="str">
        <f>IFERROR(__xludf.DUMMYFUNCTION("""COMPUTED_VALUE"""),"Yes")</f>
        <v>Yes</v>
      </c>
      <c r="T277" s="5" t="str">
        <f>IFERROR(__xludf.DUMMYFUNCTION("""COMPUTED_VALUE"""),"Yes")</f>
        <v>Yes</v>
      </c>
      <c r="U277" s="5" t="str">
        <f>IFERROR(__xludf.DUMMYFUNCTION("""COMPUTED_VALUE"""),"Yes")</f>
        <v>Yes</v>
      </c>
      <c r="V277" s="5"/>
      <c r="W277" s="5" t="str">
        <f>IFERROR(__xludf.DUMMYFUNCTION("""COMPUTED_VALUE"""),"Yes")</f>
        <v>Yes</v>
      </c>
      <c r="X277" s="5" t="str">
        <f>IFERROR(__xludf.DUMMYFUNCTION("""COMPUTED_VALUE"""),"Yes")</f>
        <v>Yes</v>
      </c>
      <c r="Y277" s="5" t="str">
        <f>IFERROR(__xludf.DUMMYFUNCTION("""COMPUTED_VALUE"""),"Yes")</f>
        <v>Yes</v>
      </c>
      <c r="Z277" s="5" t="str">
        <f>IFERROR(__xludf.DUMMYFUNCTION("""COMPUTED_VALUE"""),"Yes")</f>
        <v>Yes</v>
      </c>
      <c r="AA277" s="5" t="str">
        <f>IFERROR(__xludf.DUMMYFUNCTION("""COMPUTED_VALUE"""),"Yes")</f>
        <v>Yes</v>
      </c>
      <c r="AB277" s="5" t="str">
        <f>IFERROR(__xludf.DUMMYFUNCTION("""COMPUTED_VALUE"""),"Yes")</f>
        <v>Yes</v>
      </c>
      <c r="AC277" s="5"/>
    </row>
    <row r="278">
      <c r="A278" s="5" t="str">
        <f>IFERROR(__xludf.DUMMYFUNCTION("""COMPUTED_VALUE"""),"MrFirstCryptonium")</f>
        <v>MrFirstCryptonium</v>
      </c>
      <c r="B2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8" s="5" t="str">
        <f>IFERROR(__xludf.DUMMYFUNCTION("""COMPUTED_VALUE"""),"Yes")</f>
        <v>Yes</v>
      </c>
      <c r="D278" s="5" t="str">
        <f>IFERROR(__xludf.DUMMYFUNCTION("""COMPUTED_VALUE"""),"Yes")</f>
        <v>Yes</v>
      </c>
      <c r="E278" s="5" t="str">
        <f>IFERROR(__xludf.DUMMYFUNCTION("""COMPUTED_VALUE"""),"Yes")</f>
        <v>Yes</v>
      </c>
      <c r="F278" s="5" t="str">
        <f>IFERROR(__xludf.DUMMYFUNCTION("""COMPUTED_VALUE"""),"Yes")</f>
        <v>Yes</v>
      </c>
      <c r="G278" s="5" t="str">
        <f>IFERROR(__xludf.DUMMYFUNCTION("""COMPUTED_VALUE"""),"Yes")</f>
        <v>Yes</v>
      </c>
      <c r="H278" s="5" t="str">
        <f>IFERROR(__xludf.DUMMYFUNCTION("""COMPUTED_VALUE"""),"Yes")</f>
        <v>Yes</v>
      </c>
      <c r="I278" s="5" t="str">
        <f>IFERROR(__xludf.DUMMYFUNCTION("""COMPUTED_VALUE"""),"Yes")</f>
        <v>Yes</v>
      </c>
      <c r="J278" s="5" t="str">
        <f>IFERROR(__xludf.DUMMYFUNCTION("""COMPUTED_VALUE"""),"Yes")</f>
        <v>Yes</v>
      </c>
      <c r="K278" s="5" t="str">
        <f>IFERROR(__xludf.DUMMYFUNCTION("""COMPUTED_VALUE"""),"Yes")</f>
        <v>Yes</v>
      </c>
      <c r="L278" s="5" t="str">
        <f>IFERROR(__xludf.DUMMYFUNCTION("""COMPUTED_VALUE"""),"Yes")</f>
        <v>Yes</v>
      </c>
      <c r="M278" s="5" t="str">
        <f>IFERROR(__xludf.DUMMYFUNCTION("""COMPUTED_VALUE"""),"Yes")</f>
        <v>Yes</v>
      </c>
      <c r="N278" s="5" t="str">
        <f>IFERROR(__xludf.DUMMYFUNCTION("""COMPUTED_VALUE"""),"Yes")</f>
        <v>Yes</v>
      </c>
      <c r="O278" s="5" t="str">
        <f>IFERROR(__xludf.DUMMYFUNCTION("""COMPUTED_VALUE"""),"Yes")</f>
        <v>Yes</v>
      </c>
      <c r="P278" s="5" t="str">
        <f>IFERROR(__xludf.DUMMYFUNCTION("""COMPUTED_VALUE"""),"Yes")</f>
        <v>Yes</v>
      </c>
      <c r="Q278" s="5" t="str">
        <f>IFERROR(__xludf.DUMMYFUNCTION("""COMPUTED_VALUE"""),"Yes")</f>
        <v>Yes</v>
      </c>
      <c r="R278" s="5" t="str">
        <f>IFERROR(__xludf.DUMMYFUNCTION("""COMPUTED_VALUE"""),"Yes")</f>
        <v>Yes</v>
      </c>
      <c r="S278" s="5" t="str">
        <f>IFERROR(__xludf.DUMMYFUNCTION("""COMPUTED_VALUE"""),"Yes")</f>
        <v>Yes</v>
      </c>
      <c r="T278" s="5" t="str">
        <f>IFERROR(__xludf.DUMMYFUNCTION("""COMPUTED_VALUE"""),"Yes")</f>
        <v>Yes</v>
      </c>
      <c r="U278" s="5" t="str">
        <f>IFERROR(__xludf.DUMMYFUNCTION("""COMPUTED_VALUE"""),"Yes")</f>
        <v>Yes</v>
      </c>
      <c r="V278" s="5" t="str">
        <f>IFERROR(__xludf.DUMMYFUNCTION("""COMPUTED_VALUE"""),"Yes")</f>
        <v>Yes</v>
      </c>
      <c r="W278" s="5" t="str">
        <f>IFERROR(__xludf.DUMMYFUNCTION("""COMPUTED_VALUE"""),"Yes")</f>
        <v>Yes</v>
      </c>
      <c r="X278" s="5" t="str">
        <f>IFERROR(__xludf.DUMMYFUNCTION("""COMPUTED_VALUE"""),"Yes")</f>
        <v>Yes</v>
      </c>
      <c r="Y278" s="5" t="str">
        <f>IFERROR(__xludf.DUMMYFUNCTION("""COMPUTED_VALUE"""),"Yes")</f>
        <v>Yes</v>
      </c>
      <c r="Z278" s="5" t="str">
        <f>IFERROR(__xludf.DUMMYFUNCTION("""COMPUTED_VALUE"""),"Yes")</f>
        <v>Yes</v>
      </c>
      <c r="AA278" s="5" t="str">
        <f>IFERROR(__xludf.DUMMYFUNCTION("""COMPUTED_VALUE"""),"Yes")</f>
        <v>Yes</v>
      </c>
      <c r="AB278" s="5" t="str">
        <f>IFERROR(__xludf.DUMMYFUNCTION("""COMPUTED_VALUE"""),"Yes")</f>
        <v>Yes</v>
      </c>
      <c r="AC278" s="5" t="str">
        <f>IFERROR(__xludf.DUMMYFUNCTION("""COMPUTED_VALUE"""),"No")</f>
        <v>No</v>
      </c>
    </row>
    <row r="279">
      <c r="A279" s="5" t="str">
        <f>IFERROR(__xludf.DUMMYFUNCTION("""COMPUTED_VALUE"""),"UnicornFruitIslandChristmas")</f>
        <v>UnicornFruitIslandChristmas</v>
      </c>
      <c r="B27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9" s="5" t="str">
        <f>IFERROR(__xludf.DUMMYFUNCTION("""COMPUTED_VALUE"""),"Yes")</f>
        <v>Yes</v>
      </c>
      <c r="D279" s="5" t="str">
        <f>IFERROR(__xludf.DUMMYFUNCTION("""COMPUTED_VALUE"""),"Yes")</f>
        <v>Yes</v>
      </c>
      <c r="E279" s="5" t="str">
        <f>IFERROR(__xludf.DUMMYFUNCTION("""COMPUTED_VALUE"""),"Yes")</f>
        <v>Yes</v>
      </c>
      <c r="F279" s="5" t="str">
        <f>IFERROR(__xludf.DUMMYFUNCTION("""COMPUTED_VALUE"""),"Yes")</f>
        <v>Yes</v>
      </c>
      <c r="G279" s="5" t="str">
        <f>IFERROR(__xludf.DUMMYFUNCTION("""COMPUTED_VALUE"""),"Yes")</f>
        <v>Yes</v>
      </c>
      <c r="H279" s="5" t="str">
        <f>IFERROR(__xludf.DUMMYFUNCTION("""COMPUTED_VALUE"""),"Yes")</f>
        <v>Yes</v>
      </c>
      <c r="I279" s="5" t="str">
        <f>IFERROR(__xludf.DUMMYFUNCTION("""COMPUTED_VALUE"""),"Yes")</f>
        <v>Yes</v>
      </c>
      <c r="J279" s="5" t="str">
        <f>IFERROR(__xludf.DUMMYFUNCTION("""COMPUTED_VALUE"""),"Yes")</f>
        <v>Yes</v>
      </c>
      <c r="K279" s="5" t="str">
        <f>IFERROR(__xludf.DUMMYFUNCTION("""COMPUTED_VALUE"""),"Yes")</f>
        <v>Yes</v>
      </c>
      <c r="L279" s="5" t="str">
        <f>IFERROR(__xludf.DUMMYFUNCTION("""COMPUTED_VALUE"""),"Yes")</f>
        <v>Yes</v>
      </c>
      <c r="M279" s="5" t="str">
        <f>IFERROR(__xludf.DUMMYFUNCTION("""COMPUTED_VALUE"""),"Yes")</f>
        <v>Yes</v>
      </c>
      <c r="N279" s="5" t="str">
        <f>IFERROR(__xludf.DUMMYFUNCTION("""COMPUTED_VALUE"""),"Yes")</f>
        <v>Yes</v>
      </c>
      <c r="O279" s="5" t="str">
        <f>IFERROR(__xludf.DUMMYFUNCTION("""COMPUTED_VALUE"""),"Yes")</f>
        <v>Yes</v>
      </c>
      <c r="P279" s="5" t="str">
        <f>IFERROR(__xludf.DUMMYFUNCTION("""COMPUTED_VALUE"""),"Yes")</f>
        <v>Yes</v>
      </c>
      <c r="Q279" s="5" t="str">
        <f>IFERROR(__xludf.DUMMYFUNCTION("""COMPUTED_VALUE"""),"Yes")</f>
        <v>Yes</v>
      </c>
      <c r="R279" s="5" t="str">
        <f>IFERROR(__xludf.DUMMYFUNCTION("""COMPUTED_VALUE"""),"Yes")</f>
        <v>Yes</v>
      </c>
      <c r="S279" s="5" t="str">
        <f>IFERROR(__xludf.DUMMYFUNCTION("""COMPUTED_VALUE"""),"Yes")</f>
        <v>Yes</v>
      </c>
      <c r="T279" s="5" t="str">
        <f>IFERROR(__xludf.DUMMYFUNCTION("""COMPUTED_VALUE"""),"Yes")</f>
        <v>Yes</v>
      </c>
      <c r="U279" s="5" t="str">
        <f>IFERROR(__xludf.DUMMYFUNCTION("""COMPUTED_VALUE"""),"Yes")</f>
        <v>Yes</v>
      </c>
      <c r="V279" s="5"/>
      <c r="W279" s="5" t="str">
        <f>IFERROR(__xludf.DUMMYFUNCTION("""COMPUTED_VALUE"""),"Yes")</f>
        <v>Yes</v>
      </c>
      <c r="X279" s="5" t="str">
        <f>IFERROR(__xludf.DUMMYFUNCTION("""COMPUTED_VALUE"""),"Yes")</f>
        <v>Yes</v>
      </c>
      <c r="Y279" s="5" t="str">
        <f>IFERROR(__xludf.DUMMYFUNCTION("""COMPUTED_VALUE"""),"Yes")</f>
        <v>Yes</v>
      </c>
      <c r="Z279" s="5" t="str">
        <f>IFERROR(__xludf.DUMMYFUNCTION("""COMPUTED_VALUE"""),"Yes")</f>
        <v>Yes</v>
      </c>
      <c r="AA279" s="5" t="str">
        <f>IFERROR(__xludf.DUMMYFUNCTION("""COMPUTED_VALUE"""),"Yes")</f>
        <v>Yes</v>
      </c>
      <c r="AB279" s="5" t="str">
        <f>IFERROR(__xludf.DUMMYFUNCTION("""COMPUTED_VALUE"""),"Yes")</f>
        <v>Yes</v>
      </c>
      <c r="AC279" s="5"/>
    </row>
    <row r="280">
      <c r="A280" s="5" t="str">
        <f>IFERROR(__xludf.DUMMYFUNCTION("""COMPUTED_VALUE"""),"UnicornStarDiceChristmas")</f>
        <v>UnicornStarDiceChristmas</v>
      </c>
      <c r="B280"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80" s="5" t="str">
        <f>IFERROR(__xludf.DUMMYFUNCTION("""COMPUTED_VALUE"""),"Yes")</f>
        <v>Yes</v>
      </c>
      <c r="D280" s="5" t="str">
        <f>IFERROR(__xludf.DUMMYFUNCTION("""COMPUTED_VALUE"""),"Yes")</f>
        <v>Yes</v>
      </c>
      <c r="E280" s="5" t="str">
        <f>IFERROR(__xludf.DUMMYFUNCTION("""COMPUTED_VALUE"""),"Yes")</f>
        <v>Yes</v>
      </c>
      <c r="F280" s="5" t="str">
        <f>IFERROR(__xludf.DUMMYFUNCTION("""COMPUTED_VALUE"""),"No")</f>
        <v>No</v>
      </c>
      <c r="G280" s="5" t="str">
        <f>IFERROR(__xludf.DUMMYFUNCTION("""COMPUTED_VALUE"""),"No")</f>
        <v>No</v>
      </c>
      <c r="H280" s="5" t="str">
        <f>IFERROR(__xludf.DUMMYFUNCTION("""COMPUTED_VALUE"""),"No")</f>
        <v>No</v>
      </c>
      <c r="I280" s="5" t="str">
        <f>IFERROR(__xludf.DUMMYFUNCTION("""COMPUTED_VALUE"""),"No")</f>
        <v>No</v>
      </c>
      <c r="J280" s="5" t="str">
        <f>IFERROR(__xludf.DUMMYFUNCTION("""COMPUTED_VALUE"""),"No")</f>
        <v>No</v>
      </c>
      <c r="K280" s="5" t="str">
        <f>IFERROR(__xludf.DUMMYFUNCTION("""COMPUTED_VALUE"""),"Yes")</f>
        <v>Yes</v>
      </c>
      <c r="L280" s="5" t="str">
        <f>IFERROR(__xludf.DUMMYFUNCTION("""COMPUTED_VALUE"""),"Yes")</f>
        <v>Yes</v>
      </c>
      <c r="M280" s="5" t="str">
        <f>IFERROR(__xludf.DUMMYFUNCTION("""COMPUTED_VALUE"""),"Yes")</f>
        <v>Yes</v>
      </c>
      <c r="N280" s="5" t="str">
        <f>IFERROR(__xludf.DUMMYFUNCTION("""COMPUTED_VALUE"""),"Yes")</f>
        <v>Yes</v>
      </c>
      <c r="O280" s="5" t="str">
        <f>IFERROR(__xludf.DUMMYFUNCTION("""COMPUTED_VALUE"""),"Yes")</f>
        <v>Yes</v>
      </c>
      <c r="P280" s="5" t="str">
        <f>IFERROR(__xludf.DUMMYFUNCTION("""COMPUTED_VALUE"""),"No")</f>
        <v>No</v>
      </c>
      <c r="Q280" s="5" t="str">
        <f>IFERROR(__xludf.DUMMYFUNCTION("""COMPUTED_VALUE"""),"Yes")</f>
        <v>Yes</v>
      </c>
      <c r="R280" s="5" t="str">
        <f>IFERROR(__xludf.DUMMYFUNCTION("""COMPUTED_VALUE"""),"No")</f>
        <v>No</v>
      </c>
      <c r="S280" s="5" t="str">
        <f>IFERROR(__xludf.DUMMYFUNCTION("""COMPUTED_VALUE"""),"No")</f>
        <v>No</v>
      </c>
      <c r="T280" s="5" t="str">
        <f>IFERROR(__xludf.DUMMYFUNCTION("""COMPUTED_VALUE"""),"No")</f>
        <v>No</v>
      </c>
      <c r="U280" s="5" t="str">
        <f>IFERROR(__xludf.DUMMYFUNCTION("""COMPUTED_VALUE"""),"No")</f>
        <v>No</v>
      </c>
      <c r="V280" s="5"/>
      <c r="W280" s="5"/>
      <c r="X280" s="5"/>
      <c r="Y280" s="5"/>
      <c r="Z280" s="5" t="str">
        <f>IFERROR(__xludf.DUMMYFUNCTION("""COMPUTED_VALUE"""),"No")</f>
        <v>No</v>
      </c>
      <c r="AA280" s="5"/>
      <c r="AB280" s="5"/>
      <c r="AC280" s="5"/>
    </row>
    <row r="281">
      <c r="A281" s="5" t="str">
        <f>IFERROR(__xludf.DUMMYFUNCTION("""COMPUTED_VALUE"""),"UnicornChristmasPresents")</f>
        <v>UnicornChristmasPresents</v>
      </c>
      <c r="B28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281" s="5" t="str">
        <f>IFERROR(__xludf.DUMMYFUNCTION("""COMPUTED_VALUE"""),"Yes")</f>
        <v>Yes</v>
      </c>
      <c r="D281" s="5" t="str">
        <f>IFERROR(__xludf.DUMMYFUNCTION("""COMPUTED_VALUE"""),"Yes")</f>
        <v>Yes</v>
      </c>
      <c r="E281" s="5" t="str">
        <f>IFERROR(__xludf.DUMMYFUNCTION("""COMPUTED_VALUE"""),"Yes")</f>
        <v>Yes</v>
      </c>
      <c r="F281" s="5" t="str">
        <f>IFERROR(__xludf.DUMMYFUNCTION("""COMPUTED_VALUE"""),"No")</f>
        <v>No</v>
      </c>
      <c r="G281" s="5" t="str">
        <f>IFERROR(__xludf.DUMMYFUNCTION("""COMPUTED_VALUE"""),"No")</f>
        <v>No</v>
      </c>
      <c r="H281" s="5" t="str">
        <f>IFERROR(__xludf.DUMMYFUNCTION("""COMPUTED_VALUE"""),"No")</f>
        <v>No</v>
      </c>
      <c r="I281" s="5" t="str">
        <f>IFERROR(__xludf.DUMMYFUNCTION("""COMPUTED_VALUE"""),"No")</f>
        <v>No</v>
      </c>
      <c r="J281" s="5" t="str">
        <f>IFERROR(__xludf.DUMMYFUNCTION("""COMPUTED_VALUE"""),"No")</f>
        <v>No</v>
      </c>
      <c r="K281" s="5" t="str">
        <f>IFERROR(__xludf.DUMMYFUNCTION("""COMPUTED_VALUE"""),"Yes")</f>
        <v>Yes</v>
      </c>
      <c r="L281" s="5" t="str">
        <f>IFERROR(__xludf.DUMMYFUNCTION("""COMPUTED_VALUE"""),"Yes")</f>
        <v>Yes</v>
      </c>
      <c r="M281" s="5" t="str">
        <f>IFERROR(__xludf.DUMMYFUNCTION("""COMPUTED_VALUE"""),"Yes")</f>
        <v>Yes</v>
      </c>
      <c r="N281" s="5" t="str">
        <f>IFERROR(__xludf.DUMMYFUNCTION("""COMPUTED_VALUE"""),"Yes")</f>
        <v>Yes</v>
      </c>
      <c r="O281" s="5" t="str">
        <f>IFERROR(__xludf.DUMMYFUNCTION("""COMPUTED_VALUE"""),"Yes")</f>
        <v>Yes</v>
      </c>
      <c r="P281" s="5" t="str">
        <f>IFERROR(__xludf.DUMMYFUNCTION("""COMPUTED_VALUE"""),"No")</f>
        <v>No</v>
      </c>
      <c r="Q281" s="5" t="str">
        <f>IFERROR(__xludf.DUMMYFUNCTION("""COMPUTED_VALUE"""),"Yes")</f>
        <v>Yes</v>
      </c>
      <c r="R281" s="5" t="str">
        <f>IFERROR(__xludf.DUMMYFUNCTION("""COMPUTED_VALUE"""),"No")</f>
        <v>No</v>
      </c>
      <c r="S281" s="5" t="str">
        <f>IFERROR(__xludf.DUMMYFUNCTION("""COMPUTED_VALUE"""),"No")</f>
        <v>No</v>
      </c>
      <c r="T281" s="5" t="str">
        <f>IFERROR(__xludf.DUMMYFUNCTION("""COMPUTED_VALUE"""),"No")</f>
        <v>No</v>
      </c>
      <c r="U281" s="5" t="str">
        <f>IFERROR(__xludf.DUMMYFUNCTION("""COMPUTED_VALUE"""),"No")</f>
        <v>No</v>
      </c>
      <c r="V281" s="5"/>
      <c r="W281" s="5"/>
      <c r="X281" s="5"/>
      <c r="Y281" s="5"/>
      <c r="Z281" s="5" t="str">
        <f>IFERROR(__xludf.DUMMYFUNCTION("""COMPUTED_VALUE"""),"No")</f>
        <v>No</v>
      </c>
      <c r="AA281" s="5"/>
      <c r="AB281" s="5"/>
      <c r="AC281" s="5"/>
    </row>
    <row r="282">
      <c r="A282" s="5" t="str">
        <f>IFERROR(__xludf.DUMMYFUNCTION("""COMPUTED_VALUE"""),"SantasPresents")</f>
        <v>SantasPresents</v>
      </c>
      <c r="B28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2" s="5" t="str">
        <f>IFERROR(__xludf.DUMMYFUNCTION("""COMPUTED_VALUE"""),"Yes")</f>
        <v>Yes</v>
      </c>
      <c r="D282" s="5" t="str">
        <f>IFERROR(__xludf.DUMMYFUNCTION("""COMPUTED_VALUE"""),"Yes")</f>
        <v>Yes</v>
      </c>
      <c r="E282" s="5" t="str">
        <f>IFERROR(__xludf.DUMMYFUNCTION("""COMPUTED_VALUE"""),"Yes")</f>
        <v>Yes</v>
      </c>
      <c r="F282" s="5" t="str">
        <f>IFERROR(__xludf.DUMMYFUNCTION("""COMPUTED_VALUE"""),"Yes")</f>
        <v>Yes</v>
      </c>
      <c r="G282" s="5" t="str">
        <f>IFERROR(__xludf.DUMMYFUNCTION("""COMPUTED_VALUE"""),"Yes")</f>
        <v>Yes</v>
      </c>
      <c r="H282" s="5" t="str">
        <f>IFERROR(__xludf.DUMMYFUNCTION("""COMPUTED_VALUE"""),"Yes")</f>
        <v>Yes</v>
      </c>
      <c r="I282" s="5" t="str">
        <f>IFERROR(__xludf.DUMMYFUNCTION("""COMPUTED_VALUE"""),"Yes")</f>
        <v>Yes</v>
      </c>
      <c r="J282" s="5" t="str">
        <f>IFERROR(__xludf.DUMMYFUNCTION("""COMPUTED_VALUE"""),"Yes")</f>
        <v>Yes</v>
      </c>
      <c r="K282" s="5" t="str">
        <f>IFERROR(__xludf.DUMMYFUNCTION("""COMPUTED_VALUE"""),"Yes")</f>
        <v>Yes</v>
      </c>
      <c r="L282" s="5" t="str">
        <f>IFERROR(__xludf.DUMMYFUNCTION("""COMPUTED_VALUE"""),"Yes")</f>
        <v>Yes</v>
      </c>
      <c r="M282" s="5" t="str">
        <f>IFERROR(__xludf.DUMMYFUNCTION("""COMPUTED_VALUE"""),"Yes")</f>
        <v>Yes</v>
      </c>
      <c r="N282" s="5" t="str">
        <f>IFERROR(__xludf.DUMMYFUNCTION("""COMPUTED_VALUE"""),"Yes")</f>
        <v>Yes</v>
      </c>
      <c r="O282" s="5" t="str">
        <f>IFERROR(__xludf.DUMMYFUNCTION("""COMPUTED_VALUE"""),"Yes")</f>
        <v>Yes</v>
      </c>
      <c r="P282" s="5" t="str">
        <f>IFERROR(__xludf.DUMMYFUNCTION("""COMPUTED_VALUE"""),"Yes")</f>
        <v>Yes</v>
      </c>
      <c r="Q282" s="5" t="str">
        <f>IFERROR(__xludf.DUMMYFUNCTION("""COMPUTED_VALUE"""),"Yes")</f>
        <v>Yes</v>
      </c>
      <c r="R282" s="5" t="str">
        <f>IFERROR(__xludf.DUMMYFUNCTION("""COMPUTED_VALUE"""),"Yes")</f>
        <v>Yes</v>
      </c>
      <c r="S282" s="5" t="str">
        <f>IFERROR(__xludf.DUMMYFUNCTION("""COMPUTED_VALUE"""),"Yes")</f>
        <v>Yes</v>
      </c>
      <c r="T282" s="5" t="str">
        <f>IFERROR(__xludf.DUMMYFUNCTION("""COMPUTED_VALUE"""),"Yes")</f>
        <v>Yes</v>
      </c>
      <c r="U282" s="5" t="str">
        <f>IFERROR(__xludf.DUMMYFUNCTION("""COMPUTED_VALUE"""),"Yes")</f>
        <v>Yes</v>
      </c>
      <c r="V282" s="5" t="str">
        <f>IFERROR(__xludf.DUMMYFUNCTION("""COMPUTED_VALUE"""),"Yes")</f>
        <v>Yes</v>
      </c>
      <c r="W282" s="5" t="str">
        <f>IFERROR(__xludf.DUMMYFUNCTION("""COMPUTED_VALUE"""),"Yes")</f>
        <v>Yes</v>
      </c>
      <c r="X282" s="5" t="str">
        <f>IFERROR(__xludf.DUMMYFUNCTION("""COMPUTED_VALUE"""),"Yes")</f>
        <v>Yes</v>
      </c>
      <c r="Y282" s="5" t="str">
        <f>IFERROR(__xludf.DUMMYFUNCTION("""COMPUTED_VALUE"""),"Yes")</f>
        <v>Yes</v>
      </c>
      <c r="Z282" s="5" t="str">
        <f>IFERROR(__xludf.DUMMYFUNCTION("""COMPUTED_VALUE"""),"Yes")</f>
        <v>Yes</v>
      </c>
      <c r="AA282" s="5" t="str">
        <f>IFERROR(__xludf.DUMMYFUNCTION("""COMPUTED_VALUE"""),"Yes")</f>
        <v>Yes</v>
      </c>
      <c r="AB282" s="5" t="str">
        <f>IFERROR(__xludf.DUMMYFUNCTION("""COMPUTED_VALUE"""),"Yes")</f>
        <v>Yes</v>
      </c>
      <c r="AC282" s="5" t="str">
        <f>IFERROR(__xludf.DUMMYFUNCTION("""COMPUTED_VALUE"""),"No")</f>
        <v>No</v>
      </c>
    </row>
    <row r="283">
      <c r="A283" s="5" t="str">
        <f>IFERROR(__xludf.DUMMYFUNCTION("""COMPUTED_VALUE"""),"GoldenVegas")</f>
        <v>GoldenVegas</v>
      </c>
      <c r="B2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3" s="5" t="str">
        <f>IFERROR(__xludf.DUMMYFUNCTION("""COMPUTED_VALUE"""),"Yes")</f>
        <v>Yes</v>
      </c>
      <c r="D283" s="5" t="str">
        <f>IFERROR(__xludf.DUMMYFUNCTION("""COMPUTED_VALUE"""),"Yes")</f>
        <v>Yes</v>
      </c>
      <c r="E283" s="5" t="str">
        <f>IFERROR(__xludf.DUMMYFUNCTION("""COMPUTED_VALUE"""),"Yes")</f>
        <v>Yes</v>
      </c>
      <c r="F283" s="5" t="str">
        <f>IFERROR(__xludf.DUMMYFUNCTION("""COMPUTED_VALUE"""),"Yes")</f>
        <v>Yes</v>
      </c>
      <c r="G283" s="5" t="str">
        <f>IFERROR(__xludf.DUMMYFUNCTION("""COMPUTED_VALUE"""),"Yes")</f>
        <v>Yes</v>
      </c>
      <c r="H283" s="5" t="str">
        <f>IFERROR(__xludf.DUMMYFUNCTION("""COMPUTED_VALUE"""),"Yes")</f>
        <v>Yes</v>
      </c>
      <c r="I283" s="5" t="str">
        <f>IFERROR(__xludf.DUMMYFUNCTION("""COMPUTED_VALUE"""),"Yes")</f>
        <v>Yes</v>
      </c>
      <c r="J283" s="5" t="str">
        <f>IFERROR(__xludf.DUMMYFUNCTION("""COMPUTED_VALUE"""),"Yes")</f>
        <v>Yes</v>
      </c>
      <c r="K283" s="5" t="str">
        <f>IFERROR(__xludf.DUMMYFUNCTION("""COMPUTED_VALUE"""),"Yes")</f>
        <v>Yes</v>
      </c>
      <c r="L283" s="5" t="str">
        <f>IFERROR(__xludf.DUMMYFUNCTION("""COMPUTED_VALUE"""),"Yes")</f>
        <v>Yes</v>
      </c>
      <c r="M283" s="5" t="str">
        <f>IFERROR(__xludf.DUMMYFUNCTION("""COMPUTED_VALUE"""),"Yes")</f>
        <v>Yes</v>
      </c>
      <c r="N283" s="5" t="str">
        <f>IFERROR(__xludf.DUMMYFUNCTION("""COMPUTED_VALUE"""),"Yes")</f>
        <v>Yes</v>
      </c>
      <c r="O283" s="5" t="str">
        <f>IFERROR(__xludf.DUMMYFUNCTION("""COMPUTED_VALUE"""),"Yes")</f>
        <v>Yes</v>
      </c>
      <c r="P283" s="5" t="str">
        <f>IFERROR(__xludf.DUMMYFUNCTION("""COMPUTED_VALUE"""),"Yes")</f>
        <v>Yes</v>
      </c>
      <c r="Q283" s="5" t="str">
        <f>IFERROR(__xludf.DUMMYFUNCTION("""COMPUTED_VALUE"""),"Yes")</f>
        <v>Yes</v>
      </c>
      <c r="R283" s="5" t="str">
        <f>IFERROR(__xludf.DUMMYFUNCTION("""COMPUTED_VALUE"""),"Yes")</f>
        <v>Yes</v>
      </c>
      <c r="S283" s="5" t="str">
        <f>IFERROR(__xludf.DUMMYFUNCTION("""COMPUTED_VALUE"""),"Yes")</f>
        <v>Yes</v>
      </c>
      <c r="T283" s="5" t="str">
        <f>IFERROR(__xludf.DUMMYFUNCTION("""COMPUTED_VALUE"""),"Yes")</f>
        <v>Yes</v>
      </c>
      <c r="U283" s="5" t="str">
        <f>IFERROR(__xludf.DUMMYFUNCTION("""COMPUTED_VALUE"""),"Yes")</f>
        <v>Yes</v>
      </c>
      <c r="V283" s="5" t="str">
        <f>IFERROR(__xludf.DUMMYFUNCTION("""COMPUTED_VALUE"""),"Yes")</f>
        <v>Yes</v>
      </c>
      <c r="W283" s="5" t="str">
        <f>IFERROR(__xludf.DUMMYFUNCTION("""COMPUTED_VALUE"""),"Yes")</f>
        <v>Yes</v>
      </c>
      <c r="X283" s="5" t="str">
        <f>IFERROR(__xludf.DUMMYFUNCTION("""COMPUTED_VALUE"""),"Yes")</f>
        <v>Yes</v>
      </c>
      <c r="Y283" s="5" t="str">
        <f>IFERROR(__xludf.DUMMYFUNCTION("""COMPUTED_VALUE"""),"Yes")</f>
        <v>Yes</v>
      </c>
      <c r="Z283" s="5" t="str">
        <f>IFERROR(__xludf.DUMMYFUNCTION("""COMPUTED_VALUE"""),"Yes")</f>
        <v>Yes</v>
      </c>
      <c r="AA283" s="5" t="str">
        <f>IFERROR(__xludf.DUMMYFUNCTION("""COMPUTED_VALUE"""),"Yes")</f>
        <v>Yes</v>
      </c>
      <c r="AB283" s="5" t="str">
        <f>IFERROR(__xludf.DUMMYFUNCTION("""COMPUTED_VALUE"""),"Yes")</f>
        <v>Yes</v>
      </c>
      <c r="AC283" s="5" t="str">
        <f>IFERROR(__xludf.DUMMYFUNCTION("""COMPUTED_VALUE"""),"No")</f>
        <v>No</v>
      </c>
    </row>
    <row r="284">
      <c r="A284" s="5" t="str">
        <f>IFERROR(__xludf.DUMMYFUNCTION("""COMPUTED_VALUE"""),"ChilliRespin")</f>
        <v>ChilliRespin</v>
      </c>
      <c r="B2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4" s="5" t="str">
        <f>IFERROR(__xludf.DUMMYFUNCTION("""COMPUTED_VALUE"""),"Yes")</f>
        <v>Yes</v>
      </c>
      <c r="D284" s="5" t="str">
        <f>IFERROR(__xludf.DUMMYFUNCTION("""COMPUTED_VALUE"""),"Yes")</f>
        <v>Yes</v>
      </c>
      <c r="E284" s="5" t="str">
        <f>IFERROR(__xludf.DUMMYFUNCTION("""COMPUTED_VALUE"""),"Yes")</f>
        <v>Yes</v>
      </c>
      <c r="F284" s="5" t="str">
        <f>IFERROR(__xludf.DUMMYFUNCTION("""COMPUTED_VALUE"""),"Yes")</f>
        <v>Yes</v>
      </c>
      <c r="G284" s="5" t="str">
        <f>IFERROR(__xludf.DUMMYFUNCTION("""COMPUTED_VALUE"""),"Yes")</f>
        <v>Yes</v>
      </c>
      <c r="H284" s="5" t="str">
        <f>IFERROR(__xludf.DUMMYFUNCTION("""COMPUTED_VALUE"""),"Yes")</f>
        <v>Yes</v>
      </c>
      <c r="I284" s="5" t="str">
        <f>IFERROR(__xludf.DUMMYFUNCTION("""COMPUTED_VALUE"""),"Yes")</f>
        <v>Yes</v>
      </c>
      <c r="J284" s="5" t="str">
        <f>IFERROR(__xludf.DUMMYFUNCTION("""COMPUTED_VALUE"""),"Yes")</f>
        <v>Yes</v>
      </c>
      <c r="K284" s="5" t="str">
        <f>IFERROR(__xludf.DUMMYFUNCTION("""COMPUTED_VALUE"""),"Yes")</f>
        <v>Yes</v>
      </c>
      <c r="L284" s="5" t="str">
        <f>IFERROR(__xludf.DUMMYFUNCTION("""COMPUTED_VALUE"""),"Yes")</f>
        <v>Yes</v>
      </c>
      <c r="M284" s="5" t="str">
        <f>IFERROR(__xludf.DUMMYFUNCTION("""COMPUTED_VALUE"""),"Yes")</f>
        <v>Yes</v>
      </c>
      <c r="N284" s="5" t="str">
        <f>IFERROR(__xludf.DUMMYFUNCTION("""COMPUTED_VALUE"""),"Yes")</f>
        <v>Yes</v>
      </c>
      <c r="O284" s="5" t="str">
        <f>IFERROR(__xludf.DUMMYFUNCTION("""COMPUTED_VALUE"""),"Yes")</f>
        <v>Yes</v>
      </c>
      <c r="P284" s="5" t="str">
        <f>IFERROR(__xludf.DUMMYFUNCTION("""COMPUTED_VALUE"""),"Yes")</f>
        <v>Yes</v>
      </c>
      <c r="Q284" s="5" t="str">
        <f>IFERROR(__xludf.DUMMYFUNCTION("""COMPUTED_VALUE"""),"Yes")</f>
        <v>Yes</v>
      </c>
      <c r="R284" s="5" t="str">
        <f>IFERROR(__xludf.DUMMYFUNCTION("""COMPUTED_VALUE"""),"Yes")</f>
        <v>Yes</v>
      </c>
      <c r="S284" s="5" t="str">
        <f>IFERROR(__xludf.DUMMYFUNCTION("""COMPUTED_VALUE"""),"Yes")</f>
        <v>Yes</v>
      </c>
      <c r="T284" s="5" t="str">
        <f>IFERROR(__xludf.DUMMYFUNCTION("""COMPUTED_VALUE"""),"Yes")</f>
        <v>Yes</v>
      </c>
      <c r="U284" s="5" t="str">
        <f>IFERROR(__xludf.DUMMYFUNCTION("""COMPUTED_VALUE"""),"Yes")</f>
        <v>Yes</v>
      </c>
      <c r="V284" s="5" t="str">
        <f>IFERROR(__xludf.DUMMYFUNCTION("""COMPUTED_VALUE"""),"Yes")</f>
        <v>Yes</v>
      </c>
      <c r="W284" s="5" t="str">
        <f>IFERROR(__xludf.DUMMYFUNCTION("""COMPUTED_VALUE"""),"Yes")</f>
        <v>Yes</v>
      </c>
      <c r="X284" s="5" t="str">
        <f>IFERROR(__xludf.DUMMYFUNCTION("""COMPUTED_VALUE"""),"Yes")</f>
        <v>Yes</v>
      </c>
      <c r="Y284" s="5" t="str">
        <f>IFERROR(__xludf.DUMMYFUNCTION("""COMPUTED_VALUE"""),"Yes")</f>
        <v>Yes</v>
      </c>
      <c r="Z284" s="5" t="str">
        <f>IFERROR(__xludf.DUMMYFUNCTION("""COMPUTED_VALUE"""),"Yes")</f>
        <v>Yes</v>
      </c>
      <c r="AA284" s="5" t="str">
        <f>IFERROR(__xludf.DUMMYFUNCTION("""COMPUTED_VALUE"""),"Yes")</f>
        <v>Yes</v>
      </c>
      <c r="AB284" s="5" t="str">
        <f>IFERROR(__xludf.DUMMYFUNCTION("""COMPUTED_VALUE"""),"Yes")</f>
        <v>Yes</v>
      </c>
      <c r="AC284" s="5" t="str">
        <f>IFERROR(__xludf.DUMMYFUNCTION("""COMPUTED_VALUE"""),"No")</f>
        <v>No</v>
      </c>
    </row>
    <row r="285">
      <c r="A285" s="5" t="str">
        <f>IFERROR(__xludf.DUMMYFUNCTION("""COMPUTED_VALUE"""),"RedstoneChilliHot5")</f>
        <v>RedstoneChilliHot5</v>
      </c>
      <c r="B2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85" s="5" t="str">
        <f>IFERROR(__xludf.DUMMYFUNCTION("""COMPUTED_VALUE"""),"Yes")</f>
        <v>Yes</v>
      </c>
      <c r="D285" s="5" t="str">
        <f>IFERROR(__xludf.DUMMYFUNCTION("""COMPUTED_VALUE"""),"Yes")</f>
        <v>Yes</v>
      </c>
      <c r="E285" s="5" t="str">
        <f>IFERROR(__xludf.DUMMYFUNCTION("""COMPUTED_VALUE"""),"Yes")</f>
        <v>Yes</v>
      </c>
      <c r="F285" s="5" t="str">
        <f>IFERROR(__xludf.DUMMYFUNCTION("""COMPUTED_VALUE"""),"Yes")</f>
        <v>Yes</v>
      </c>
      <c r="G285" s="5" t="str">
        <f>IFERROR(__xludf.DUMMYFUNCTION("""COMPUTED_VALUE"""),"Yes")</f>
        <v>Yes</v>
      </c>
      <c r="H285" s="5" t="str">
        <f>IFERROR(__xludf.DUMMYFUNCTION("""COMPUTED_VALUE"""),"Yes")</f>
        <v>Yes</v>
      </c>
      <c r="I285" s="5" t="str">
        <f>IFERROR(__xludf.DUMMYFUNCTION("""COMPUTED_VALUE"""),"Yes")</f>
        <v>Yes</v>
      </c>
      <c r="J285" s="5" t="str">
        <f>IFERROR(__xludf.DUMMYFUNCTION("""COMPUTED_VALUE"""),"Yes")</f>
        <v>Yes</v>
      </c>
      <c r="K285" s="5" t="str">
        <f>IFERROR(__xludf.DUMMYFUNCTION("""COMPUTED_VALUE"""),"Yes")</f>
        <v>Yes</v>
      </c>
      <c r="L285" s="5" t="str">
        <f>IFERROR(__xludf.DUMMYFUNCTION("""COMPUTED_VALUE"""),"Yes")</f>
        <v>Yes</v>
      </c>
      <c r="M285" s="5" t="str">
        <f>IFERROR(__xludf.DUMMYFUNCTION("""COMPUTED_VALUE"""),"Yes")</f>
        <v>Yes</v>
      </c>
      <c r="N285" s="5" t="str">
        <f>IFERROR(__xludf.DUMMYFUNCTION("""COMPUTED_VALUE"""),"Yes")</f>
        <v>Yes</v>
      </c>
      <c r="O285" s="5" t="str">
        <f>IFERROR(__xludf.DUMMYFUNCTION("""COMPUTED_VALUE"""),"Yes")</f>
        <v>Yes</v>
      </c>
      <c r="P285" s="5" t="str">
        <f>IFERROR(__xludf.DUMMYFUNCTION("""COMPUTED_VALUE"""),"Yes")</f>
        <v>Yes</v>
      </c>
      <c r="Q285" s="5" t="str">
        <f>IFERROR(__xludf.DUMMYFUNCTION("""COMPUTED_VALUE"""),"Yes")</f>
        <v>Yes</v>
      </c>
      <c r="R285" s="5" t="str">
        <f>IFERROR(__xludf.DUMMYFUNCTION("""COMPUTED_VALUE"""),"Yes")</f>
        <v>Yes</v>
      </c>
      <c r="S285" s="5" t="str">
        <f>IFERROR(__xludf.DUMMYFUNCTION("""COMPUTED_VALUE"""),"Yes")</f>
        <v>Yes</v>
      </c>
      <c r="T285" s="5" t="str">
        <f>IFERROR(__xludf.DUMMYFUNCTION("""COMPUTED_VALUE"""),"Yes")</f>
        <v>Yes</v>
      </c>
      <c r="U285" s="5" t="str">
        <f>IFERROR(__xludf.DUMMYFUNCTION("""COMPUTED_VALUE"""),"Yes")</f>
        <v>Yes</v>
      </c>
      <c r="V285" s="5"/>
      <c r="W285" s="5" t="str">
        <f>IFERROR(__xludf.DUMMYFUNCTION("""COMPUTED_VALUE"""),"Yes")</f>
        <v>Yes</v>
      </c>
      <c r="X285" s="5"/>
      <c r="Y285" s="5"/>
      <c r="Z285" s="5" t="str">
        <f>IFERROR(__xludf.DUMMYFUNCTION("""COMPUTED_VALUE"""),"Yes")</f>
        <v>Yes</v>
      </c>
      <c r="AA285" s="5"/>
      <c r="AB285" s="5"/>
      <c r="AC285" s="5"/>
    </row>
    <row r="286">
      <c r="A286" s="5" t="str">
        <f>IFERROR(__xludf.DUMMYFUNCTION("""COMPUTED_VALUE"""),"Redstone40HotJoker")</f>
        <v>Redstone40HotJoker</v>
      </c>
      <c r="B28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6" s="5" t="str">
        <f>IFERROR(__xludf.DUMMYFUNCTION("""COMPUTED_VALUE"""),"Yes")</f>
        <v>Yes</v>
      </c>
      <c r="D286" s="5" t="str">
        <f>IFERROR(__xludf.DUMMYFUNCTION("""COMPUTED_VALUE"""),"Yes")</f>
        <v>Yes</v>
      </c>
      <c r="E286" s="5" t="str">
        <f>IFERROR(__xludf.DUMMYFUNCTION("""COMPUTED_VALUE"""),"No")</f>
        <v>No</v>
      </c>
      <c r="F286" s="5" t="str">
        <f>IFERROR(__xludf.DUMMYFUNCTION("""COMPUTED_VALUE"""),"Yes")</f>
        <v>Yes</v>
      </c>
      <c r="G286" s="5" t="str">
        <f>IFERROR(__xludf.DUMMYFUNCTION("""COMPUTED_VALUE"""),"Yes")</f>
        <v>Yes</v>
      </c>
      <c r="H286" s="5" t="str">
        <f>IFERROR(__xludf.DUMMYFUNCTION("""COMPUTED_VALUE"""),"Yes")</f>
        <v>Yes</v>
      </c>
      <c r="I286" s="5" t="str">
        <f>IFERROR(__xludf.DUMMYFUNCTION("""COMPUTED_VALUE"""),"Yes")</f>
        <v>Yes</v>
      </c>
      <c r="J286" s="5" t="str">
        <f>IFERROR(__xludf.DUMMYFUNCTION("""COMPUTED_VALUE"""),"Yes")</f>
        <v>Yes</v>
      </c>
      <c r="K286" s="5" t="str">
        <f>IFERROR(__xludf.DUMMYFUNCTION("""COMPUTED_VALUE"""),"Yes")</f>
        <v>Yes</v>
      </c>
      <c r="L286" s="5" t="str">
        <f>IFERROR(__xludf.DUMMYFUNCTION("""COMPUTED_VALUE"""),"Yes")</f>
        <v>Yes</v>
      </c>
      <c r="M286" s="5" t="str">
        <f>IFERROR(__xludf.DUMMYFUNCTION("""COMPUTED_VALUE"""),"Yes")</f>
        <v>Yes</v>
      </c>
      <c r="N286" s="5" t="str">
        <f>IFERROR(__xludf.DUMMYFUNCTION("""COMPUTED_VALUE"""),"Yes")</f>
        <v>Yes</v>
      </c>
      <c r="O286" s="5" t="str">
        <f>IFERROR(__xludf.DUMMYFUNCTION("""COMPUTED_VALUE"""),"Yes")</f>
        <v>Yes</v>
      </c>
      <c r="P286" s="5" t="str">
        <f>IFERROR(__xludf.DUMMYFUNCTION("""COMPUTED_VALUE"""),"Yes")</f>
        <v>Yes</v>
      </c>
      <c r="Q286" s="5" t="str">
        <f>IFERROR(__xludf.DUMMYFUNCTION("""COMPUTED_VALUE"""),"Yes")</f>
        <v>Yes</v>
      </c>
      <c r="R286" s="5" t="str">
        <f>IFERROR(__xludf.DUMMYFUNCTION("""COMPUTED_VALUE"""),"No")</f>
        <v>No</v>
      </c>
      <c r="S286" s="5" t="str">
        <f>IFERROR(__xludf.DUMMYFUNCTION("""COMPUTED_VALUE"""),"No")</f>
        <v>No</v>
      </c>
      <c r="T286" s="5" t="str">
        <f>IFERROR(__xludf.DUMMYFUNCTION("""COMPUTED_VALUE"""),"No")</f>
        <v>No</v>
      </c>
      <c r="U286" s="5" t="str">
        <f>IFERROR(__xludf.DUMMYFUNCTION("""COMPUTED_VALUE"""),"No")</f>
        <v>No</v>
      </c>
      <c r="V286" s="5" t="str">
        <f>IFERROR(__xludf.DUMMYFUNCTION("""COMPUTED_VALUE"""),"No")</f>
        <v>No</v>
      </c>
      <c r="W286" s="5" t="str">
        <f>IFERROR(__xludf.DUMMYFUNCTION("""COMPUTED_VALUE"""),"No")</f>
        <v>No</v>
      </c>
      <c r="X286" s="5" t="str">
        <f>IFERROR(__xludf.DUMMYFUNCTION("""COMPUTED_VALUE"""),"No")</f>
        <v>No</v>
      </c>
      <c r="Y286" s="5" t="str">
        <f>IFERROR(__xludf.DUMMYFUNCTION("""COMPUTED_VALUE"""),"No")</f>
        <v>No</v>
      </c>
      <c r="Z286" s="5" t="str">
        <f>IFERROR(__xludf.DUMMYFUNCTION("""COMPUTED_VALUE"""),"No")</f>
        <v>No</v>
      </c>
      <c r="AA286" s="5" t="str">
        <f>IFERROR(__xludf.DUMMYFUNCTION("""COMPUTED_VALUE"""),"No")</f>
        <v>No</v>
      </c>
      <c r="AB286" s="5" t="str">
        <f>IFERROR(__xludf.DUMMYFUNCTION("""COMPUTED_VALUE"""),"Yes")</f>
        <v>Yes</v>
      </c>
      <c r="AC286" s="5" t="str">
        <f>IFERROR(__xludf.DUMMYFUNCTION("""COMPUTED_VALUE"""),"No")</f>
        <v>No</v>
      </c>
    </row>
    <row r="287">
      <c r="A287" s="5" t="str">
        <f>IFERROR(__xludf.DUMMYFUNCTION("""COMPUTED_VALUE"""),"RedstoneJollyPresents")</f>
        <v>RedstoneJollyPresents</v>
      </c>
      <c r="B28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7" s="5" t="str">
        <f>IFERROR(__xludf.DUMMYFUNCTION("""COMPUTED_VALUE"""),"Yes")</f>
        <v>Yes</v>
      </c>
      <c r="D287" s="5" t="str">
        <f>IFERROR(__xludf.DUMMYFUNCTION("""COMPUTED_VALUE"""),"Yes")</f>
        <v>Yes</v>
      </c>
      <c r="E287" s="5" t="str">
        <f>IFERROR(__xludf.DUMMYFUNCTION("""COMPUTED_VALUE"""),"No")</f>
        <v>No</v>
      </c>
      <c r="F287" s="5" t="str">
        <f>IFERROR(__xludf.DUMMYFUNCTION("""COMPUTED_VALUE"""),"Yes")</f>
        <v>Yes</v>
      </c>
      <c r="G287" s="5" t="str">
        <f>IFERROR(__xludf.DUMMYFUNCTION("""COMPUTED_VALUE"""),"Yes")</f>
        <v>Yes</v>
      </c>
      <c r="H287" s="5" t="str">
        <f>IFERROR(__xludf.DUMMYFUNCTION("""COMPUTED_VALUE"""),"Yes")</f>
        <v>Yes</v>
      </c>
      <c r="I287" s="5" t="str">
        <f>IFERROR(__xludf.DUMMYFUNCTION("""COMPUTED_VALUE"""),"Yes")</f>
        <v>Yes</v>
      </c>
      <c r="J287" s="5" t="str">
        <f>IFERROR(__xludf.DUMMYFUNCTION("""COMPUTED_VALUE"""),"Yes")</f>
        <v>Yes</v>
      </c>
      <c r="K287" s="5" t="str">
        <f>IFERROR(__xludf.DUMMYFUNCTION("""COMPUTED_VALUE"""),"Yes")</f>
        <v>Yes</v>
      </c>
      <c r="L287" s="5" t="str">
        <f>IFERROR(__xludf.DUMMYFUNCTION("""COMPUTED_VALUE"""),"Yes")</f>
        <v>Yes</v>
      </c>
      <c r="M287" s="5" t="str">
        <f>IFERROR(__xludf.DUMMYFUNCTION("""COMPUTED_VALUE"""),"Yes")</f>
        <v>Yes</v>
      </c>
      <c r="N287" s="5" t="str">
        <f>IFERROR(__xludf.DUMMYFUNCTION("""COMPUTED_VALUE"""),"Yes")</f>
        <v>Yes</v>
      </c>
      <c r="O287" s="5" t="str">
        <f>IFERROR(__xludf.DUMMYFUNCTION("""COMPUTED_VALUE"""),"Yes")</f>
        <v>Yes</v>
      </c>
      <c r="P287" s="5" t="str">
        <f>IFERROR(__xludf.DUMMYFUNCTION("""COMPUTED_VALUE"""),"Yes")</f>
        <v>Yes</v>
      </c>
      <c r="Q287" s="5" t="str">
        <f>IFERROR(__xludf.DUMMYFUNCTION("""COMPUTED_VALUE"""),"Yes")</f>
        <v>Yes</v>
      </c>
      <c r="R287" s="5" t="str">
        <f>IFERROR(__xludf.DUMMYFUNCTION("""COMPUTED_VALUE"""),"No")</f>
        <v>No</v>
      </c>
      <c r="S287" s="5" t="str">
        <f>IFERROR(__xludf.DUMMYFUNCTION("""COMPUTED_VALUE"""),"No")</f>
        <v>No</v>
      </c>
      <c r="T287" s="5" t="str">
        <f>IFERROR(__xludf.DUMMYFUNCTION("""COMPUTED_VALUE"""),"No")</f>
        <v>No</v>
      </c>
      <c r="U287" s="5" t="str">
        <f>IFERROR(__xludf.DUMMYFUNCTION("""COMPUTED_VALUE"""),"No")</f>
        <v>No</v>
      </c>
      <c r="V287" s="5" t="str">
        <f>IFERROR(__xludf.DUMMYFUNCTION("""COMPUTED_VALUE"""),"No")</f>
        <v>No</v>
      </c>
      <c r="W287" s="5" t="str">
        <f>IFERROR(__xludf.DUMMYFUNCTION("""COMPUTED_VALUE"""),"No")</f>
        <v>No</v>
      </c>
      <c r="X287" s="5" t="str">
        <f>IFERROR(__xludf.DUMMYFUNCTION("""COMPUTED_VALUE"""),"No")</f>
        <v>No</v>
      </c>
      <c r="Y287" s="5" t="str">
        <f>IFERROR(__xludf.DUMMYFUNCTION("""COMPUTED_VALUE"""),"No")</f>
        <v>No</v>
      </c>
      <c r="Z287" s="5" t="str">
        <f>IFERROR(__xludf.DUMMYFUNCTION("""COMPUTED_VALUE"""),"No")</f>
        <v>No</v>
      </c>
      <c r="AA287" s="5" t="str">
        <f>IFERROR(__xludf.DUMMYFUNCTION("""COMPUTED_VALUE"""),"No")</f>
        <v>No</v>
      </c>
      <c r="AB287" s="5" t="str">
        <f>IFERROR(__xludf.DUMMYFUNCTION("""COMPUTED_VALUE"""),"Yes")</f>
        <v>Yes</v>
      </c>
      <c r="AC287" s="5" t="str">
        <f>IFERROR(__xludf.DUMMYFUNCTION("""COMPUTED_VALUE"""),"No")</f>
        <v>No</v>
      </c>
    </row>
    <row r="288">
      <c r="A288" s="5" t="str">
        <f>IFERROR(__xludf.DUMMYFUNCTION("""COMPUTED_VALUE"""),"Redstone20FruitFrenzy")</f>
        <v>Redstone20FruitFrenzy</v>
      </c>
      <c r="B28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8" s="5" t="str">
        <f>IFERROR(__xludf.DUMMYFUNCTION("""COMPUTED_VALUE"""),"Yes")</f>
        <v>Yes</v>
      </c>
      <c r="D288" s="5" t="str">
        <f>IFERROR(__xludf.DUMMYFUNCTION("""COMPUTED_VALUE"""),"Yes")</f>
        <v>Yes</v>
      </c>
      <c r="E288" s="5" t="str">
        <f>IFERROR(__xludf.DUMMYFUNCTION("""COMPUTED_VALUE"""),"No")</f>
        <v>No</v>
      </c>
      <c r="F288" s="5" t="str">
        <f>IFERROR(__xludf.DUMMYFUNCTION("""COMPUTED_VALUE"""),"Yes")</f>
        <v>Yes</v>
      </c>
      <c r="G288" s="5" t="str">
        <f>IFERROR(__xludf.DUMMYFUNCTION("""COMPUTED_VALUE"""),"Yes")</f>
        <v>Yes</v>
      </c>
      <c r="H288" s="5" t="str">
        <f>IFERROR(__xludf.DUMMYFUNCTION("""COMPUTED_VALUE"""),"Yes")</f>
        <v>Yes</v>
      </c>
      <c r="I288" s="5" t="str">
        <f>IFERROR(__xludf.DUMMYFUNCTION("""COMPUTED_VALUE"""),"Yes")</f>
        <v>Yes</v>
      </c>
      <c r="J288" s="5" t="str">
        <f>IFERROR(__xludf.DUMMYFUNCTION("""COMPUTED_VALUE"""),"Yes")</f>
        <v>Yes</v>
      </c>
      <c r="K288" s="5" t="str">
        <f>IFERROR(__xludf.DUMMYFUNCTION("""COMPUTED_VALUE"""),"Yes")</f>
        <v>Yes</v>
      </c>
      <c r="L288" s="5" t="str">
        <f>IFERROR(__xludf.DUMMYFUNCTION("""COMPUTED_VALUE"""),"Yes")</f>
        <v>Yes</v>
      </c>
      <c r="M288" s="5" t="str">
        <f>IFERROR(__xludf.DUMMYFUNCTION("""COMPUTED_VALUE"""),"Yes")</f>
        <v>Yes</v>
      </c>
      <c r="N288" s="5" t="str">
        <f>IFERROR(__xludf.DUMMYFUNCTION("""COMPUTED_VALUE"""),"Yes")</f>
        <v>Yes</v>
      </c>
      <c r="O288" s="5" t="str">
        <f>IFERROR(__xludf.DUMMYFUNCTION("""COMPUTED_VALUE"""),"Yes")</f>
        <v>Yes</v>
      </c>
      <c r="P288" s="5" t="str">
        <f>IFERROR(__xludf.DUMMYFUNCTION("""COMPUTED_VALUE"""),"Yes")</f>
        <v>Yes</v>
      </c>
      <c r="Q288" s="5" t="str">
        <f>IFERROR(__xludf.DUMMYFUNCTION("""COMPUTED_VALUE"""),"Yes")</f>
        <v>Yes</v>
      </c>
      <c r="R288" s="5" t="str">
        <f>IFERROR(__xludf.DUMMYFUNCTION("""COMPUTED_VALUE"""),"No")</f>
        <v>No</v>
      </c>
      <c r="S288" s="5" t="str">
        <f>IFERROR(__xludf.DUMMYFUNCTION("""COMPUTED_VALUE"""),"No")</f>
        <v>No</v>
      </c>
      <c r="T288" s="5" t="str">
        <f>IFERROR(__xludf.DUMMYFUNCTION("""COMPUTED_VALUE"""),"No")</f>
        <v>No</v>
      </c>
      <c r="U288" s="5" t="str">
        <f>IFERROR(__xludf.DUMMYFUNCTION("""COMPUTED_VALUE"""),"No")</f>
        <v>No</v>
      </c>
      <c r="V288" s="5" t="str">
        <f>IFERROR(__xludf.DUMMYFUNCTION("""COMPUTED_VALUE"""),"No")</f>
        <v>No</v>
      </c>
      <c r="W288" s="5" t="str">
        <f>IFERROR(__xludf.DUMMYFUNCTION("""COMPUTED_VALUE"""),"No")</f>
        <v>No</v>
      </c>
      <c r="X288" s="5" t="str">
        <f>IFERROR(__xludf.DUMMYFUNCTION("""COMPUTED_VALUE"""),"No")</f>
        <v>No</v>
      </c>
      <c r="Y288" s="5" t="str">
        <f>IFERROR(__xludf.DUMMYFUNCTION("""COMPUTED_VALUE"""),"No")</f>
        <v>No</v>
      </c>
      <c r="Z288" s="5" t="str">
        <f>IFERROR(__xludf.DUMMYFUNCTION("""COMPUTED_VALUE"""),"No")</f>
        <v>No</v>
      </c>
      <c r="AA288" s="5" t="str">
        <f>IFERROR(__xludf.DUMMYFUNCTION("""COMPUTED_VALUE"""),"No")</f>
        <v>No</v>
      </c>
      <c r="AB288" s="5" t="str">
        <f>IFERROR(__xludf.DUMMYFUNCTION("""COMPUTED_VALUE"""),"Yes")</f>
        <v>Yes</v>
      </c>
      <c r="AC288" s="5" t="str">
        <f>IFERROR(__xludf.DUMMYFUNCTION("""COMPUTED_VALUE"""),"No")</f>
        <v>No</v>
      </c>
    </row>
    <row r="289">
      <c r="A289" s="5" t="str">
        <f>IFERROR(__xludf.DUMMYFUNCTION("""COMPUTED_VALUE"""),"Redstone40FruitFrenzy")</f>
        <v>Redstone40FruitFrenzy</v>
      </c>
      <c r="B28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9" s="5" t="str">
        <f>IFERROR(__xludf.DUMMYFUNCTION("""COMPUTED_VALUE"""),"Yes")</f>
        <v>Yes</v>
      </c>
      <c r="D289" s="5" t="str">
        <f>IFERROR(__xludf.DUMMYFUNCTION("""COMPUTED_VALUE"""),"Yes")</f>
        <v>Yes</v>
      </c>
      <c r="E289" s="5" t="str">
        <f>IFERROR(__xludf.DUMMYFUNCTION("""COMPUTED_VALUE"""),"No")</f>
        <v>No</v>
      </c>
      <c r="F289" s="5" t="str">
        <f>IFERROR(__xludf.DUMMYFUNCTION("""COMPUTED_VALUE"""),"Yes")</f>
        <v>Yes</v>
      </c>
      <c r="G289" s="5" t="str">
        <f>IFERROR(__xludf.DUMMYFUNCTION("""COMPUTED_VALUE"""),"Yes")</f>
        <v>Yes</v>
      </c>
      <c r="H289" s="5" t="str">
        <f>IFERROR(__xludf.DUMMYFUNCTION("""COMPUTED_VALUE"""),"Yes")</f>
        <v>Yes</v>
      </c>
      <c r="I289" s="5" t="str">
        <f>IFERROR(__xludf.DUMMYFUNCTION("""COMPUTED_VALUE"""),"Yes")</f>
        <v>Yes</v>
      </c>
      <c r="J289" s="5" t="str">
        <f>IFERROR(__xludf.DUMMYFUNCTION("""COMPUTED_VALUE"""),"Yes")</f>
        <v>Yes</v>
      </c>
      <c r="K289" s="5" t="str">
        <f>IFERROR(__xludf.DUMMYFUNCTION("""COMPUTED_VALUE"""),"Yes")</f>
        <v>Yes</v>
      </c>
      <c r="L289" s="5" t="str">
        <f>IFERROR(__xludf.DUMMYFUNCTION("""COMPUTED_VALUE"""),"Yes")</f>
        <v>Yes</v>
      </c>
      <c r="M289" s="5" t="str">
        <f>IFERROR(__xludf.DUMMYFUNCTION("""COMPUTED_VALUE"""),"Yes")</f>
        <v>Yes</v>
      </c>
      <c r="N289" s="5" t="str">
        <f>IFERROR(__xludf.DUMMYFUNCTION("""COMPUTED_VALUE"""),"Yes")</f>
        <v>Yes</v>
      </c>
      <c r="O289" s="5" t="str">
        <f>IFERROR(__xludf.DUMMYFUNCTION("""COMPUTED_VALUE"""),"Yes")</f>
        <v>Yes</v>
      </c>
      <c r="P289" s="5" t="str">
        <f>IFERROR(__xludf.DUMMYFUNCTION("""COMPUTED_VALUE"""),"Yes")</f>
        <v>Yes</v>
      </c>
      <c r="Q289" s="5" t="str">
        <f>IFERROR(__xludf.DUMMYFUNCTION("""COMPUTED_VALUE"""),"Yes")</f>
        <v>Yes</v>
      </c>
      <c r="R289" s="5" t="str">
        <f>IFERROR(__xludf.DUMMYFUNCTION("""COMPUTED_VALUE"""),"No")</f>
        <v>No</v>
      </c>
      <c r="S289" s="5" t="str">
        <f>IFERROR(__xludf.DUMMYFUNCTION("""COMPUTED_VALUE"""),"No")</f>
        <v>No</v>
      </c>
      <c r="T289" s="5" t="str">
        <f>IFERROR(__xludf.DUMMYFUNCTION("""COMPUTED_VALUE"""),"No")</f>
        <v>No</v>
      </c>
      <c r="U289" s="5" t="str">
        <f>IFERROR(__xludf.DUMMYFUNCTION("""COMPUTED_VALUE"""),"No")</f>
        <v>No</v>
      </c>
      <c r="V289" s="5" t="str">
        <f>IFERROR(__xludf.DUMMYFUNCTION("""COMPUTED_VALUE"""),"No")</f>
        <v>No</v>
      </c>
      <c r="W289" s="5" t="str">
        <f>IFERROR(__xludf.DUMMYFUNCTION("""COMPUTED_VALUE"""),"No")</f>
        <v>No</v>
      </c>
      <c r="X289" s="5" t="str">
        <f>IFERROR(__xludf.DUMMYFUNCTION("""COMPUTED_VALUE"""),"No")</f>
        <v>No</v>
      </c>
      <c r="Y289" s="5" t="str">
        <f>IFERROR(__xludf.DUMMYFUNCTION("""COMPUTED_VALUE"""),"No")</f>
        <v>No</v>
      </c>
      <c r="Z289" s="5" t="str">
        <f>IFERROR(__xludf.DUMMYFUNCTION("""COMPUTED_VALUE"""),"No")</f>
        <v>No</v>
      </c>
      <c r="AA289" s="5" t="str">
        <f>IFERROR(__xludf.DUMMYFUNCTION("""COMPUTED_VALUE"""),"No")</f>
        <v>No</v>
      </c>
      <c r="AB289" s="5" t="str">
        <f>IFERROR(__xludf.DUMMYFUNCTION("""COMPUTED_VALUE"""),"Yes")</f>
        <v>Yes</v>
      </c>
      <c r="AC289" s="5" t="str">
        <f>IFERROR(__xludf.DUMMYFUNCTION("""COMPUTED_VALUE"""),"No")</f>
        <v>No</v>
      </c>
    </row>
    <row r="290">
      <c r="A290" s="5" t="str">
        <f>IFERROR(__xludf.DUMMYFUNCTION("""COMPUTED_VALUE"""),"RedstoneWildHeartBeat")</f>
        <v>RedstoneWildHeartBeat</v>
      </c>
      <c r="B29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0" s="5" t="str">
        <f>IFERROR(__xludf.DUMMYFUNCTION("""COMPUTED_VALUE"""),"Yes")</f>
        <v>Yes</v>
      </c>
      <c r="D290" s="5" t="str">
        <f>IFERROR(__xludf.DUMMYFUNCTION("""COMPUTED_VALUE"""),"Yes")</f>
        <v>Yes</v>
      </c>
      <c r="E290" s="5" t="str">
        <f>IFERROR(__xludf.DUMMYFUNCTION("""COMPUTED_VALUE"""),"No")</f>
        <v>No</v>
      </c>
      <c r="F290" s="5" t="str">
        <f>IFERROR(__xludf.DUMMYFUNCTION("""COMPUTED_VALUE"""),"Yes")</f>
        <v>Yes</v>
      </c>
      <c r="G290" s="5" t="str">
        <f>IFERROR(__xludf.DUMMYFUNCTION("""COMPUTED_VALUE"""),"Yes")</f>
        <v>Yes</v>
      </c>
      <c r="H290" s="5" t="str">
        <f>IFERROR(__xludf.DUMMYFUNCTION("""COMPUTED_VALUE"""),"Yes")</f>
        <v>Yes</v>
      </c>
      <c r="I290" s="5" t="str">
        <f>IFERROR(__xludf.DUMMYFUNCTION("""COMPUTED_VALUE"""),"Yes")</f>
        <v>Yes</v>
      </c>
      <c r="J290" s="5" t="str">
        <f>IFERROR(__xludf.DUMMYFUNCTION("""COMPUTED_VALUE"""),"Yes")</f>
        <v>Yes</v>
      </c>
      <c r="K290" s="5" t="str">
        <f>IFERROR(__xludf.DUMMYFUNCTION("""COMPUTED_VALUE"""),"Yes")</f>
        <v>Yes</v>
      </c>
      <c r="L290" s="5" t="str">
        <f>IFERROR(__xludf.DUMMYFUNCTION("""COMPUTED_VALUE"""),"Yes")</f>
        <v>Yes</v>
      </c>
      <c r="M290" s="5" t="str">
        <f>IFERROR(__xludf.DUMMYFUNCTION("""COMPUTED_VALUE"""),"Yes")</f>
        <v>Yes</v>
      </c>
      <c r="N290" s="5" t="str">
        <f>IFERROR(__xludf.DUMMYFUNCTION("""COMPUTED_VALUE"""),"Yes")</f>
        <v>Yes</v>
      </c>
      <c r="O290" s="5" t="str">
        <f>IFERROR(__xludf.DUMMYFUNCTION("""COMPUTED_VALUE"""),"Yes")</f>
        <v>Yes</v>
      </c>
      <c r="P290" s="5" t="str">
        <f>IFERROR(__xludf.DUMMYFUNCTION("""COMPUTED_VALUE"""),"Yes")</f>
        <v>Yes</v>
      </c>
      <c r="Q290" s="5" t="str">
        <f>IFERROR(__xludf.DUMMYFUNCTION("""COMPUTED_VALUE"""),"Yes")</f>
        <v>Yes</v>
      </c>
      <c r="R290" s="5" t="str">
        <f>IFERROR(__xludf.DUMMYFUNCTION("""COMPUTED_VALUE"""),"No")</f>
        <v>No</v>
      </c>
      <c r="S290" s="5" t="str">
        <f>IFERROR(__xludf.DUMMYFUNCTION("""COMPUTED_VALUE"""),"No")</f>
        <v>No</v>
      </c>
      <c r="T290" s="5" t="str">
        <f>IFERROR(__xludf.DUMMYFUNCTION("""COMPUTED_VALUE"""),"No")</f>
        <v>No</v>
      </c>
      <c r="U290" s="5" t="str">
        <f>IFERROR(__xludf.DUMMYFUNCTION("""COMPUTED_VALUE"""),"No")</f>
        <v>No</v>
      </c>
      <c r="V290" s="5" t="str">
        <f>IFERROR(__xludf.DUMMYFUNCTION("""COMPUTED_VALUE"""),"No")</f>
        <v>No</v>
      </c>
      <c r="W290" s="5" t="str">
        <f>IFERROR(__xludf.DUMMYFUNCTION("""COMPUTED_VALUE"""),"No")</f>
        <v>No</v>
      </c>
      <c r="X290" s="5" t="str">
        <f>IFERROR(__xludf.DUMMYFUNCTION("""COMPUTED_VALUE"""),"No")</f>
        <v>No</v>
      </c>
      <c r="Y290" s="5" t="str">
        <f>IFERROR(__xludf.DUMMYFUNCTION("""COMPUTED_VALUE"""),"No")</f>
        <v>No</v>
      </c>
      <c r="Z290" s="5" t="str">
        <f>IFERROR(__xludf.DUMMYFUNCTION("""COMPUTED_VALUE"""),"No")</f>
        <v>No</v>
      </c>
      <c r="AA290" s="5" t="str">
        <f>IFERROR(__xludf.DUMMYFUNCTION("""COMPUTED_VALUE"""),"No")</f>
        <v>No</v>
      </c>
      <c r="AB290" s="5" t="str">
        <f>IFERROR(__xludf.DUMMYFUNCTION("""COMPUTED_VALUE"""),"Yes")</f>
        <v>Yes</v>
      </c>
      <c r="AC290" s="5" t="str">
        <f>IFERROR(__xludf.DUMMYFUNCTION("""COMPUTED_VALUE"""),"No")</f>
        <v>No</v>
      </c>
    </row>
    <row r="291">
      <c r="A291" s="5" t="str">
        <f>IFERROR(__xludf.DUMMYFUNCTION("""COMPUTED_VALUE"""),"RedstoneWildTrail")</f>
        <v>RedstoneWildTrail</v>
      </c>
      <c r="B29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1" s="5" t="str">
        <f>IFERROR(__xludf.DUMMYFUNCTION("""COMPUTED_VALUE"""),"Yes")</f>
        <v>Yes</v>
      </c>
      <c r="D291" s="5" t="str">
        <f>IFERROR(__xludf.DUMMYFUNCTION("""COMPUTED_VALUE"""),"Yes")</f>
        <v>Yes</v>
      </c>
      <c r="E291" s="5" t="str">
        <f>IFERROR(__xludf.DUMMYFUNCTION("""COMPUTED_VALUE"""),"No")</f>
        <v>No</v>
      </c>
      <c r="F291" s="5" t="str">
        <f>IFERROR(__xludf.DUMMYFUNCTION("""COMPUTED_VALUE"""),"Yes")</f>
        <v>Yes</v>
      </c>
      <c r="G291" s="5" t="str">
        <f>IFERROR(__xludf.DUMMYFUNCTION("""COMPUTED_VALUE"""),"Yes")</f>
        <v>Yes</v>
      </c>
      <c r="H291" s="5" t="str">
        <f>IFERROR(__xludf.DUMMYFUNCTION("""COMPUTED_VALUE"""),"Yes")</f>
        <v>Yes</v>
      </c>
      <c r="I291" s="5" t="str">
        <f>IFERROR(__xludf.DUMMYFUNCTION("""COMPUTED_VALUE"""),"Yes")</f>
        <v>Yes</v>
      </c>
      <c r="J291" s="5" t="str">
        <f>IFERROR(__xludf.DUMMYFUNCTION("""COMPUTED_VALUE"""),"Yes")</f>
        <v>Yes</v>
      </c>
      <c r="K291" s="5" t="str">
        <f>IFERROR(__xludf.DUMMYFUNCTION("""COMPUTED_VALUE"""),"Yes")</f>
        <v>Yes</v>
      </c>
      <c r="L291" s="5" t="str">
        <f>IFERROR(__xludf.DUMMYFUNCTION("""COMPUTED_VALUE"""),"Yes")</f>
        <v>Yes</v>
      </c>
      <c r="M291" s="5" t="str">
        <f>IFERROR(__xludf.DUMMYFUNCTION("""COMPUTED_VALUE"""),"Yes")</f>
        <v>Yes</v>
      </c>
      <c r="N291" s="5" t="str">
        <f>IFERROR(__xludf.DUMMYFUNCTION("""COMPUTED_VALUE"""),"Yes")</f>
        <v>Yes</v>
      </c>
      <c r="O291" s="5" t="str">
        <f>IFERROR(__xludf.DUMMYFUNCTION("""COMPUTED_VALUE"""),"Yes")</f>
        <v>Yes</v>
      </c>
      <c r="P291" s="5" t="str">
        <f>IFERROR(__xludf.DUMMYFUNCTION("""COMPUTED_VALUE"""),"Yes")</f>
        <v>Yes</v>
      </c>
      <c r="Q291" s="5" t="str">
        <f>IFERROR(__xludf.DUMMYFUNCTION("""COMPUTED_VALUE"""),"Yes")</f>
        <v>Yes</v>
      </c>
      <c r="R291" s="5" t="str">
        <f>IFERROR(__xludf.DUMMYFUNCTION("""COMPUTED_VALUE"""),"No")</f>
        <v>No</v>
      </c>
      <c r="S291" s="5" t="str">
        <f>IFERROR(__xludf.DUMMYFUNCTION("""COMPUTED_VALUE"""),"No")</f>
        <v>No</v>
      </c>
      <c r="T291" s="5" t="str">
        <f>IFERROR(__xludf.DUMMYFUNCTION("""COMPUTED_VALUE"""),"No")</f>
        <v>No</v>
      </c>
      <c r="U291" s="5" t="str">
        <f>IFERROR(__xludf.DUMMYFUNCTION("""COMPUTED_VALUE"""),"No")</f>
        <v>No</v>
      </c>
      <c r="V291" s="5" t="str">
        <f>IFERROR(__xludf.DUMMYFUNCTION("""COMPUTED_VALUE"""),"No")</f>
        <v>No</v>
      </c>
      <c r="W291" s="5" t="str">
        <f>IFERROR(__xludf.DUMMYFUNCTION("""COMPUTED_VALUE"""),"No")</f>
        <v>No</v>
      </c>
      <c r="X291" s="5" t="str">
        <f>IFERROR(__xludf.DUMMYFUNCTION("""COMPUTED_VALUE"""),"No")</f>
        <v>No</v>
      </c>
      <c r="Y291" s="5" t="str">
        <f>IFERROR(__xludf.DUMMYFUNCTION("""COMPUTED_VALUE"""),"No")</f>
        <v>No</v>
      </c>
      <c r="Z291" s="5" t="str">
        <f>IFERROR(__xludf.DUMMYFUNCTION("""COMPUTED_VALUE"""),"No")</f>
        <v>No</v>
      </c>
      <c r="AA291" s="5" t="str">
        <f>IFERROR(__xludf.DUMMYFUNCTION("""COMPUTED_VALUE"""),"No")</f>
        <v>No</v>
      </c>
      <c r="AB291" s="5" t="str">
        <f>IFERROR(__xludf.DUMMYFUNCTION("""COMPUTED_VALUE"""),"Yes")</f>
        <v>Yes</v>
      </c>
      <c r="AC291" s="5" t="str">
        <f>IFERROR(__xludf.DUMMYFUNCTION("""COMPUTED_VALUE"""),"No")</f>
        <v>No</v>
      </c>
    </row>
    <row r="292">
      <c r="A292" s="5" t="str">
        <f>IFERROR(__xludf.DUMMYFUNCTION("""COMPUTED_VALUE"""),"Redstone40JokersFreeGames")</f>
        <v>Redstone40JokersFreeGames</v>
      </c>
      <c r="B29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2" s="5" t="str">
        <f>IFERROR(__xludf.DUMMYFUNCTION("""COMPUTED_VALUE"""),"Yes")</f>
        <v>Yes</v>
      </c>
      <c r="D292" s="5" t="str">
        <f>IFERROR(__xludf.DUMMYFUNCTION("""COMPUTED_VALUE"""),"Yes")</f>
        <v>Yes</v>
      </c>
      <c r="E292" s="5" t="str">
        <f>IFERROR(__xludf.DUMMYFUNCTION("""COMPUTED_VALUE"""),"No")</f>
        <v>No</v>
      </c>
      <c r="F292" s="5" t="str">
        <f>IFERROR(__xludf.DUMMYFUNCTION("""COMPUTED_VALUE"""),"Yes")</f>
        <v>Yes</v>
      </c>
      <c r="G292" s="5" t="str">
        <f>IFERROR(__xludf.DUMMYFUNCTION("""COMPUTED_VALUE"""),"Yes")</f>
        <v>Yes</v>
      </c>
      <c r="H292" s="5" t="str">
        <f>IFERROR(__xludf.DUMMYFUNCTION("""COMPUTED_VALUE"""),"Yes")</f>
        <v>Yes</v>
      </c>
      <c r="I292" s="5" t="str">
        <f>IFERROR(__xludf.DUMMYFUNCTION("""COMPUTED_VALUE"""),"Yes")</f>
        <v>Yes</v>
      </c>
      <c r="J292" s="5" t="str">
        <f>IFERROR(__xludf.DUMMYFUNCTION("""COMPUTED_VALUE"""),"Yes")</f>
        <v>Yes</v>
      </c>
      <c r="K292" s="5" t="str">
        <f>IFERROR(__xludf.DUMMYFUNCTION("""COMPUTED_VALUE"""),"Yes")</f>
        <v>Yes</v>
      </c>
      <c r="L292" s="5" t="str">
        <f>IFERROR(__xludf.DUMMYFUNCTION("""COMPUTED_VALUE"""),"Yes")</f>
        <v>Yes</v>
      </c>
      <c r="M292" s="5" t="str">
        <f>IFERROR(__xludf.DUMMYFUNCTION("""COMPUTED_VALUE"""),"Yes")</f>
        <v>Yes</v>
      </c>
      <c r="N292" s="5" t="str">
        <f>IFERROR(__xludf.DUMMYFUNCTION("""COMPUTED_VALUE"""),"Yes")</f>
        <v>Yes</v>
      </c>
      <c r="O292" s="5" t="str">
        <f>IFERROR(__xludf.DUMMYFUNCTION("""COMPUTED_VALUE"""),"Yes")</f>
        <v>Yes</v>
      </c>
      <c r="P292" s="5" t="str">
        <f>IFERROR(__xludf.DUMMYFUNCTION("""COMPUTED_VALUE"""),"Yes")</f>
        <v>Yes</v>
      </c>
      <c r="Q292" s="5" t="str">
        <f>IFERROR(__xludf.DUMMYFUNCTION("""COMPUTED_VALUE"""),"Yes")</f>
        <v>Yes</v>
      </c>
      <c r="R292" s="5" t="str">
        <f>IFERROR(__xludf.DUMMYFUNCTION("""COMPUTED_VALUE"""),"No")</f>
        <v>No</v>
      </c>
      <c r="S292" s="5" t="str">
        <f>IFERROR(__xludf.DUMMYFUNCTION("""COMPUTED_VALUE"""),"No")</f>
        <v>No</v>
      </c>
      <c r="T292" s="5" t="str">
        <f>IFERROR(__xludf.DUMMYFUNCTION("""COMPUTED_VALUE"""),"No")</f>
        <v>No</v>
      </c>
      <c r="U292" s="5" t="str">
        <f>IFERROR(__xludf.DUMMYFUNCTION("""COMPUTED_VALUE"""),"No")</f>
        <v>No</v>
      </c>
      <c r="V292" s="5" t="str">
        <f>IFERROR(__xludf.DUMMYFUNCTION("""COMPUTED_VALUE"""),"No")</f>
        <v>No</v>
      </c>
      <c r="W292" s="5" t="str">
        <f>IFERROR(__xludf.DUMMYFUNCTION("""COMPUTED_VALUE"""),"No")</f>
        <v>No</v>
      </c>
      <c r="X292" s="5" t="str">
        <f>IFERROR(__xludf.DUMMYFUNCTION("""COMPUTED_VALUE"""),"No")</f>
        <v>No</v>
      </c>
      <c r="Y292" s="5" t="str">
        <f>IFERROR(__xludf.DUMMYFUNCTION("""COMPUTED_VALUE"""),"No")</f>
        <v>No</v>
      </c>
      <c r="Z292" s="5" t="str">
        <f>IFERROR(__xludf.DUMMYFUNCTION("""COMPUTED_VALUE"""),"No")</f>
        <v>No</v>
      </c>
      <c r="AA292" s="5" t="str">
        <f>IFERROR(__xludf.DUMMYFUNCTION("""COMPUTED_VALUE"""),"No")</f>
        <v>No</v>
      </c>
      <c r="AB292" s="5" t="str">
        <f>IFERROR(__xludf.DUMMYFUNCTION("""COMPUTED_VALUE"""),"Yes")</f>
        <v>Yes</v>
      </c>
      <c r="AC292" s="5" t="str">
        <f>IFERROR(__xludf.DUMMYFUNCTION("""COMPUTED_VALUE"""),"No")</f>
        <v>No</v>
      </c>
    </row>
    <row r="293">
      <c r="A293" s="5" t="str">
        <f>IFERROR(__xludf.DUMMYFUNCTION("""COMPUTED_VALUE"""),"RedstoneMoonDog")</f>
        <v>RedstoneMoonDog</v>
      </c>
      <c r="B29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3" s="5" t="str">
        <f>IFERROR(__xludf.DUMMYFUNCTION("""COMPUTED_VALUE"""),"Yes")</f>
        <v>Yes</v>
      </c>
      <c r="D293" s="5" t="str">
        <f>IFERROR(__xludf.DUMMYFUNCTION("""COMPUTED_VALUE"""),"Yes")</f>
        <v>Yes</v>
      </c>
      <c r="E293" s="5" t="str">
        <f>IFERROR(__xludf.DUMMYFUNCTION("""COMPUTED_VALUE"""),"No")</f>
        <v>No</v>
      </c>
      <c r="F293" s="5" t="str">
        <f>IFERROR(__xludf.DUMMYFUNCTION("""COMPUTED_VALUE"""),"Yes")</f>
        <v>Yes</v>
      </c>
      <c r="G293" s="5" t="str">
        <f>IFERROR(__xludf.DUMMYFUNCTION("""COMPUTED_VALUE"""),"Yes")</f>
        <v>Yes</v>
      </c>
      <c r="H293" s="5" t="str">
        <f>IFERROR(__xludf.DUMMYFUNCTION("""COMPUTED_VALUE"""),"Yes")</f>
        <v>Yes</v>
      </c>
      <c r="I293" s="5" t="str">
        <f>IFERROR(__xludf.DUMMYFUNCTION("""COMPUTED_VALUE"""),"Yes")</f>
        <v>Yes</v>
      </c>
      <c r="J293" s="5" t="str">
        <f>IFERROR(__xludf.DUMMYFUNCTION("""COMPUTED_VALUE"""),"Yes")</f>
        <v>Yes</v>
      </c>
      <c r="K293" s="5" t="str">
        <f>IFERROR(__xludf.DUMMYFUNCTION("""COMPUTED_VALUE"""),"Yes")</f>
        <v>Yes</v>
      </c>
      <c r="L293" s="5" t="str">
        <f>IFERROR(__xludf.DUMMYFUNCTION("""COMPUTED_VALUE"""),"Yes")</f>
        <v>Yes</v>
      </c>
      <c r="M293" s="5" t="str">
        <f>IFERROR(__xludf.DUMMYFUNCTION("""COMPUTED_VALUE"""),"Yes")</f>
        <v>Yes</v>
      </c>
      <c r="N293" s="5" t="str">
        <f>IFERROR(__xludf.DUMMYFUNCTION("""COMPUTED_VALUE"""),"Yes")</f>
        <v>Yes</v>
      </c>
      <c r="O293" s="5" t="str">
        <f>IFERROR(__xludf.DUMMYFUNCTION("""COMPUTED_VALUE"""),"Yes")</f>
        <v>Yes</v>
      </c>
      <c r="P293" s="5" t="str">
        <f>IFERROR(__xludf.DUMMYFUNCTION("""COMPUTED_VALUE"""),"Yes")</f>
        <v>Yes</v>
      </c>
      <c r="Q293" s="5" t="str">
        <f>IFERROR(__xludf.DUMMYFUNCTION("""COMPUTED_VALUE"""),"Yes")</f>
        <v>Yes</v>
      </c>
      <c r="R293" s="5" t="str">
        <f>IFERROR(__xludf.DUMMYFUNCTION("""COMPUTED_VALUE"""),"No")</f>
        <v>No</v>
      </c>
      <c r="S293" s="5" t="str">
        <f>IFERROR(__xludf.DUMMYFUNCTION("""COMPUTED_VALUE"""),"No")</f>
        <v>No</v>
      </c>
      <c r="T293" s="5" t="str">
        <f>IFERROR(__xludf.DUMMYFUNCTION("""COMPUTED_VALUE"""),"No")</f>
        <v>No</v>
      </c>
      <c r="U293" s="5" t="str">
        <f>IFERROR(__xludf.DUMMYFUNCTION("""COMPUTED_VALUE"""),"No")</f>
        <v>No</v>
      </c>
      <c r="V293" s="5" t="str">
        <f>IFERROR(__xludf.DUMMYFUNCTION("""COMPUTED_VALUE"""),"No")</f>
        <v>No</v>
      </c>
      <c r="W293" s="5" t="str">
        <f>IFERROR(__xludf.DUMMYFUNCTION("""COMPUTED_VALUE"""),"No")</f>
        <v>No</v>
      </c>
      <c r="X293" s="5" t="str">
        <f>IFERROR(__xludf.DUMMYFUNCTION("""COMPUTED_VALUE"""),"No")</f>
        <v>No</v>
      </c>
      <c r="Y293" s="5" t="str">
        <f>IFERROR(__xludf.DUMMYFUNCTION("""COMPUTED_VALUE"""),"No")</f>
        <v>No</v>
      </c>
      <c r="Z293" s="5" t="str">
        <f>IFERROR(__xludf.DUMMYFUNCTION("""COMPUTED_VALUE"""),"No")</f>
        <v>No</v>
      </c>
      <c r="AA293" s="5" t="str">
        <f>IFERROR(__xludf.DUMMYFUNCTION("""COMPUTED_VALUE"""),"No")</f>
        <v>No</v>
      </c>
      <c r="AB293" s="5" t="str">
        <f>IFERROR(__xludf.DUMMYFUNCTION("""COMPUTED_VALUE"""),"Yes")</f>
        <v>Yes</v>
      </c>
      <c r="AC293" s="5" t="str">
        <f>IFERROR(__xludf.DUMMYFUNCTION("""COMPUTED_VALUE"""),"No")</f>
        <v>No</v>
      </c>
    </row>
    <row r="294">
      <c r="A294" s="5" t="str">
        <f>IFERROR(__xludf.DUMMYFUNCTION("""COMPUTED_VALUE"""),"BonusEpicCrown")</f>
        <v>BonusEpicCrown</v>
      </c>
      <c r="B2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4" s="5" t="str">
        <f>IFERROR(__xludf.DUMMYFUNCTION("""COMPUTED_VALUE"""),"Yes")</f>
        <v>Yes</v>
      </c>
      <c r="D294" s="5" t="str">
        <f>IFERROR(__xludf.DUMMYFUNCTION("""COMPUTED_VALUE"""),"Yes")</f>
        <v>Yes</v>
      </c>
      <c r="E294" s="5" t="str">
        <f>IFERROR(__xludf.DUMMYFUNCTION("""COMPUTED_VALUE"""),"Yes")</f>
        <v>Yes</v>
      </c>
      <c r="F294" s="5" t="str">
        <f>IFERROR(__xludf.DUMMYFUNCTION("""COMPUTED_VALUE"""),"Yes")</f>
        <v>Yes</v>
      </c>
      <c r="G294" s="5" t="str">
        <f>IFERROR(__xludf.DUMMYFUNCTION("""COMPUTED_VALUE"""),"Yes")</f>
        <v>Yes</v>
      </c>
      <c r="H294" s="5" t="str">
        <f>IFERROR(__xludf.DUMMYFUNCTION("""COMPUTED_VALUE"""),"Yes")</f>
        <v>Yes</v>
      </c>
      <c r="I294" s="5" t="str">
        <f>IFERROR(__xludf.DUMMYFUNCTION("""COMPUTED_VALUE"""),"Yes")</f>
        <v>Yes</v>
      </c>
      <c r="J294" s="5" t="str">
        <f>IFERROR(__xludf.DUMMYFUNCTION("""COMPUTED_VALUE"""),"Yes")</f>
        <v>Yes</v>
      </c>
      <c r="K294" s="5" t="str">
        <f>IFERROR(__xludf.DUMMYFUNCTION("""COMPUTED_VALUE"""),"Yes")</f>
        <v>Yes</v>
      </c>
      <c r="L294" s="5" t="str">
        <f>IFERROR(__xludf.DUMMYFUNCTION("""COMPUTED_VALUE"""),"Yes")</f>
        <v>Yes</v>
      </c>
      <c r="M294" s="5" t="str">
        <f>IFERROR(__xludf.DUMMYFUNCTION("""COMPUTED_VALUE"""),"Yes")</f>
        <v>Yes</v>
      </c>
      <c r="N294" s="5" t="str">
        <f>IFERROR(__xludf.DUMMYFUNCTION("""COMPUTED_VALUE"""),"Yes")</f>
        <v>Yes</v>
      </c>
      <c r="O294" s="5" t="str">
        <f>IFERROR(__xludf.DUMMYFUNCTION("""COMPUTED_VALUE"""),"Yes")</f>
        <v>Yes</v>
      </c>
      <c r="P294" s="5" t="str">
        <f>IFERROR(__xludf.DUMMYFUNCTION("""COMPUTED_VALUE"""),"Yes")</f>
        <v>Yes</v>
      </c>
      <c r="Q294" s="5" t="str">
        <f>IFERROR(__xludf.DUMMYFUNCTION("""COMPUTED_VALUE"""),"Yes")</f>
        <v>Yes</v>
      </c>
      <c r="R294" s="5" t="str">
        <f>IFERROR(__xludf.DUMMYFUNCTION("""COMPUTED_VALUE"""),"Yes")</f>
        <v>Yes</v>
      </c>
      <c r="S294" s="5" t="str">
        <f>IFERROR(__xludf.DUMMYFUNCTION("""COMPUTED_VALUE"""),"Yes")</f>
        <v>Yes</v>
      </c>
      <c r="T294" s="5" t="str">
        <f>IFERROR(__xludf.DUMMYFUNCTION("""COMPUTED_VALUE"""),"Yes")</f>
        <v>Yes</v>
      </c>
      <c r="U294" s="5" t="str">
        <f>IFERROR(__xludf.DUMMYFUNCTION("""COMPUTED_VALUE"""),"Yes")</f>
        <v>Yes</v>
      </c>
      <c r="V294" s="5" t="str">
        <f>IFERROR(__xludf.DUMMYFUNCTION("""COMPUTED_VALUE"""),"Yes")</f>
        <v>Yes</v>
      </c>
      <c r="W294" s="5" t="str">
        <f>IFERROR(__xludf.DUMMYFUNCTION("""COMPUTED_VALUE"""),"Yes")</f>
        <v>Yes</v>
      </c>
      <c r="X294" s="5" t="str">
        <f>IFERROR(__xludf.DUMMYFUNCTION("""COMPUTED_VALUE"""),"Yes")</f>
        <v>Yes</v>
      </c>
      <c r="Y294" s="5" t="str">
        <f>IFERROR(__xludf.DUMMYFUNCTION("""COMPUTED_VALUE"""),"Yes")</f>
        <v>Yes</v>
      </c>
      <c r="Z294" s="5" t="str">
        <f>IFERROR(__xludf.DUMMYFUNCTION("""COMPUTED_VALUE"""),"Yes")</f>
        <v>Yes</v>
      </c>
      <c r="AA294" s="5" t="str">
        <f>IFERROR(__xludf.DUMMYFUNCTION("""COMPUTED_VALUE"""),"Yes")</f>
        <v>Yes</v>
      </c>
      <c r="AB294" s="5" t="str">
        <f>IFERROR(__xludf.DUMMYFUNCTION("""COMPUTED_VALUE"""),"Yes")</f>
        <v>Yes</v>
      </c>
      <c r="AC294" s="5" t="str">
        <f>IFERROR(__xludf.DUMMYFUNCTION("""COMPUTED_VALUE"""),"No")</f>
        <v>No</v>
      </c>
    </row>
    <row r="295">
      <c r="A295" s="5" t="str">
        <f>IFERROR(__xludf.DUMMYFUNCTION("""COMPUTED_VALUE"""),"Redstone20WildCrown")</f>
        <v>Redstone20WildCrown</v>
      </c>
      <c r="B2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95" s="5" t="str">
        <f>IFERROR(__xludf.DUMMYFUNCTION("""COMPUTED_VALUE"""),"Yes")</f>
        <v>Yes</v>
      </c>
      <c r="D295" s="5" t="str">
        <f>IFERROR(__xludf.DUMMYFUNCTION("""COMPUTED_VALUE"""),"Yes")</f>
        <v>Yes</v>
      </c>
      <c r="E295" s="5" t="str">
        <f>IFERROR(__xludf.DUMMYFUNCTION("""COMPUTED_VALUE"""),"Yes")</f>
        <v>Yes</v>
      </c>
      <c r="F295" s="5" t="str">
        <f>IFERROR(__xludf.DUMMYFUNCTION("""COMPUTED_VALUE"""),"Yes")</f>
        <v>Yes</v>
      </c>
      <c r="G295" s="5" t="str">
        <f>IFERROR(__xludf.DUMMYFUNCTION("""COMPUTED_VALUE"""),"Yes")</f>
        <v>Yes</v>
      </c>
      <c r="H295" s="5" t="str">
        <f>IFERROR(__xludf.DUMMYFUNCTION("""COMPUTED_VALUE"""),"Yes")</f>
        <v>Yes</v>
      </c>
      <c r="I295" s="5" t="str">
        <f>IFERROR(__xludf.DUMMYFUNCTION("""COMPUTED_VALUE"""),"Yes")</f>
        <v>Yes</v>
      </c>
      <c r="J295" s="5" t="str">
        <f>IFERROR(__xludf.DUMMYFUNCTION("""COMPUTED_VALUE"""),"Yes")</f>
        <v>Yes</v>
      </c>
      <c r="K295" s="5" t="str">
        <f>IFERROR(__xludf.DUMMYFUNCTION("""COMPUTED_VALUE"""),"Yes")</f>
        <v>Yes</v>
      </c>
      <c r="L295" s="5" t="str">
        <f>IFERROR(__xludf.DUMMYFUNCTION("""COMPUTED_VALUE"""),"Yes")</f>
        <v>Yes</v>
      </c>
      <c r="M295" s="5" t="str">
        <f>IFERROR(__xludf.DUMMYFUNCTION("""COMPUTED_VALUE"""),"Yes")</f>
        <v>Yes</v>
      </c>
      <c r="N295" s="5" t="str">
        <f>IFERROR(__xludf.DUMMYFUNCTION("""COMPUTED_VALUE"""),"Yes")</f>
        <v>Yes</v>
      </c>
      <c r="O295" s="5" t="str">
        <f>IFERROR(__xludf.DUMMYFUNCTION("""COMPUTED_VALUE"""),"Yes")</f>
        <v>Yes</v>
      </c>
      <c r="P295" s="5" t="str">
        <f>IFERROR(__xludf.DUMMYFUNCTION("""COMPUTED_VALUE"""),"Yes")</f>
        <v>Yes</v>
      </c>
      <c r="Q295" s="5" t="str">
        <f>IFERROR(__xludf.DUMMYFUNCTION("""COMPUTED_VALUE"""),"Yes")</f>
        <v>Yes</v>
      </c>
      <c r="R295" s="5" t="str">
        <f>IFERROR(__xludf.DUMMYFUNCTION("""COMPUTED_VALUE"""),"Yes")</f>
        <v>Yes</v>
      </c>
      <c r="S295" s="5" t="str">
        <f>IFERROR(__xludf.DUMMYFUNCTION("""COMPUTED_VALUE"""),"Yes")</f>
        <v>Yes</v>
      </c>
      <c r="T295" s="5" t="str">
        <f>IFERROR(__xludf.DUMMYFUNCTION("""COMPUTED_VALUE"""),"Yes")</f>
        <v>Yes</v>
      </c>
      <c r="U295" s="5" t="str">
        <f>IFERROR(__xludf.DUMMYFUNCTION("""COMPUTED_VALUE"""),"Yes")</f>
        <v>Yes</v>
      </c>
      <c r="V295" s="5"/>
      <c r="W295" s="5" t="str">
        <f>IFERROR(__xludf.DUMMYFUNCTION("""COMPUTED_VALUE"""),"Yes")</f>
        <v>Yes</v>
      </c>
      <c r="X295" s="5"/>
      <c r="Y295" s="5"/>
      <c r="Z295" s="5" t="str">
        <f>IFERROR(__xludf.DUMMYFUNCTION("""COMPUTED_VALUE"""),"Yes")</f>
        <v>Yes</v>
      </c>
      <c r="AA295" s="5"/>
      <c r="AB295" s="5"/>
      <c r="AC295" s="5"/>
    </row>
    <row r="296">
      <c r="A296" s="5" t="str">
        <f>IFERROR(__xludf.DUMMYFUNCTION("""COMPUTED_VALUE"""),"EpicClover100")</f>
        <v>EpicClover100</v>
      </c>
      <c r="B2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6" s="5" t="str">
        <f>IFERROR(__xludf.DUMMYFUNCTION("""COMPUTED_VALUE"""),"Yes")</f>
        <v>Yes</v>
      </c>
      <c r="D296" s="5" t="str">
        <f>IFERROR(__xludf.DUMMYFUNCTION("""COMPUTED_VALUE"""),"Yes")</f>
        <v>Yes</v>
      </c>
      <c r="E296" s="5" t="str">
        <f>IFERROR(__xludf.DUMMYFUNCTION("""COMPUTED_VALUE"""),"Yes")</f>
        <v>Yes</v>
      </c>
      <c r="F296" s="5" t="str">
        <f>IFERROR(__xludf.DUMMYFUNCTION("""COMPUTED_VALUE"""),"Yes")</f>
        <v>Yes</v>
      </c>
      <c r="G296" s="5" t="str">
        <f>IFERROR(__xludf.DUMMYFUNCTION("""COMPUTED_VALUE"""),"Yes")</f>
        <v>Yes</v>
      </c>
      <c r="H296" s="5" t="str">
        <f>IFERROR(__xludf.DUMMYFUNCTION("""COMPUTED_VALUE"""),"Yes")</f>
        <v>Yes</v>
      </c>
      <c r="I296" s="5" t="str">
        <f>IFERROR(__xludf.DUMMYFUNCTION("""COMPUTED_VALUE"""),"Yes")</f>
        <v>Yes</v>
      </c>
      <c r="J296" s="5" t="str">
        <f>IFERROR(__xludf.DUMMYFUNCTION("""COMPUTED_VALUE"""),"Yes")</f>
        <v>Yes</v>
      </c>
      <c r="K296" s="5" t="str">
        <f>IFERROR(__xludf.DUMMYFUNCTION("""COMPUTED_VALUE"""),"Yes")</f>
        <v>Yes</v>
      </c>
      <c r="L296" s="5" t="str">
        <f>IFERROR(__xludf.DUMMYFUNCTION("""COMPUTED_VALUE"""),"Yes")</f>
        <v>Yes</v>
      </c>
      <c r="M296" s="5" t="str">
        <f>IFERROR(__xludf.DUMMYFUNCTION("""COMPUTED_VALUE"""),"Yes")</f>
        <v>Yes</v>
      </c>
      <c r="N296" s="5" t="str">
        <f>IFERROR(__xludf.DUMMYFUNCTION("""COMPUTED_VALUE"""),"Yes")</f>
        <v>Yes</v>
      </c>
      <c r="O296" s="5" t="str">
        <f>IFERROR(__xludf.DUMMYFUNCTION("""COMPUTED_VALUE"""),"Yes")</f>
        <v>Yes</v>
      </c>
      <c r="P296" s="5" t="str">
        <f>IFERROR(__xludf.DUMMYFUNCTION("""COMPUTED_VALUE"""),"Yes")</f>
        <v>Yes</v>
      </c>
      <c r="Q296" s="5" t="str">
        <f>IFERROR(__xludf.DUMMYFUNCTION("""COMPUTED_VALUE"""),"Yes")</f>
        <v>Yes</v>
      </c>
      <c r="R296" s="5" t="str">
        <f>IFERROR(__xludf.DUMMYFUNCTION("""COMPUTED_VALUE"""),"Yes")</f>
        <v>Yes</v>
      </c>
      <c r="S296" s="5" t="str">
        <f>IFERROR(__xludf.DUMMYFUNCTION("""COMPUTED_VALUE"""),"Yes")</f>
        <v>Yes</v>
      </c>
      <c r="T296" s="5" t="str">
        <f>IFERROR(__xludf.DUMMYFUNCTION("""COMPUTED_VALUE"""),"Yes")</f>
        <v>Yes</v>
      </c>
      <c r="U296" s="5" t="str">
        <f>IFERROR(__xludf.DUMMYFUNCTION("""COMPUTED_VALUE"""),"Yes")</f>
        <v>Yes</v>
      </c>
      <c r="V296" s="5" t="str">
        <f>IFERROR(__xludf.DUMMYFUNCTION("""COMPUTED_VALUE"""),"Yes")</f>
        <v>Yes</v>
      </c>
      <c r="W296" s="5" t="str">
        <f>IFERROR(__xludf.DUMMYFUNCTION("""COMPUTED_VALUE"""),"Yes")</f>
        <v>Yes</v>
      </c>
      <c r="X296" s="5" t="str">
        <f>IFERROR(__xludf.DUMMYFUNCTION("""COMPUTED_VALUE"""),"Yes")</f>
        <v>Yes</v>
      </c>
      <c r="Y296" s="5" t="str">
        <f>IFERROR(__xludf.DUMMYFUNCTION("""COMPUTED_VALUE"""),"Yes")</f>
        <v>Yes</v>
      </c>
      <c r="Z296" s="5" t="str">
        <f>IFERROR(__xludf.DUMMYFUNCTION("""COMPUTED_VALUE"""),"Yes")</f>
        <v>Yes</v>
      </c>
      <c r="AA296" s="5" t="str">
        <f>IFERROR(__xludf.DUMMYFUNCTION("""COMPUTED_VALUE"""),"Yes")</f>
        <v>Yes</v>
      </c>
      <c r="AB296" s="5" t="str">
        <f>IFERROR(__xludf.DUMMYFUNCTION("""COMPUTED_VALUE"""),"Yes")</f>
        <v>Yes</v>
      </c>
      <c r="AC296" s="5" t="str">
        <f>IFERROR(__xludf.DUMMYFUNCTION("""COMPUTED_VALUE"""),"No")</f>
        <v>No</v>
      </c>
    </row>
    <row r="297">
      <c r="A297" s="5" t="str">
        <f>IFERROR(__xludf.DUMMYFUNCTION("""COMPUTED_VALUE"""),"AmazingJoker")</f>
        <v>AmazingJoker</v>
      </c>
      <c r="B2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7" s="5" t="str">
        <f>IFERROR(__xludf.DUMMYFUNCTION("""COMPUTED_VALUE"""),"Yes")</f>
        <v>Yes</v>
      </c>
      <c r="D297" s="5" t="str">
        <f>IFERROR(__xludf.DUMMYFUNCTION("""COMPUTED_VALUE"""),"Yes")</f>
        <v>Yes</v>
      </c>
      <c r="E297" s="5" t="str">
        <f>IFERROR(__xludf.DUMMYFUNCTION("""COMPUTED_VALUE"""),"Yes")</f>
        <v>Yes</v>
      </c>
      <c r="F297" s="5" t="str">
        <f>IFERROR(__xludf.DUMMYFUNCTION("""COMPUTED_VALUE"""),"Yes")</f>
        <v>Yes</v>
      </c>
      <c r="G297" s="5" t="str">
        <f>IFERROR(__xludf.DUMMYFUNCTION("""COMPUTED_VALUE"""),"Yes")</f>
        <v>Yes</v>
      </c>
      <c r="H297" s="5" t="str">
        <f>IFERROR(__xludf.DUMMYFUNCTION("""COMPUTED_VALUE"""),"Yes")</f>
        <v>Yes</v>
      </c>
      <c r="I297" s="5" t="str">
        <f>IFERROR(__xludf.DUMMYFUNCTION("""COMPUTED_VALUE"""),"Yes")</f>
        <v>Yes</v>
      </c>
      <c r="J297" s="5" t="str">
        <f>IFERROR(__xludf.DUMMYFUNCTION("""COMPUTED_VALUE"""),"Yes")</f>
        <v>Yes</v>
      </c>
      <c r="K297" s="5" t="str">
        <f>IFERROR(__xludf.DUMMYFUNCTION("""COMPUTED_VALUE"""),"Yes")</f>
        <v>Yes</v>
      </c>
      <c r="L297" s="5" t="str">
        <f>IFERROR(__xludf.DUMMYFUNCTION("""COMPUTED_VALUE"""),"Yes")</f>
        <v>Yes</v>
      </c>
      <c r="M297" s="5" t="str">
        <f>IFERROR(__xludf.DUMMYFUNCTION("""COMPUTED_VALUE"""),"Yes")</f>
        <v>Yes</v>
      </c>
      <c r="N297" s="5" t="str">
        <f>IFERROR(__xludf.DUMMYFUNCTION("""COMPUTED_VALUE"""),"Yes")</f>
        <v>Yes</v>
      </c>
      <c r="O297" s="5" t="str">
        <f>IFERROR(__xludf.DUMMYFUNCTION("""COMPUTED_VALUE"""),"Yes")</f>
        <v>Yes</v>
      </c>
      <c r="P297" s="5" t="str">
        <f>IFERROR(__xludf.DUMMYFUNCTION("""COMPUTED_VALUE"""),"Yes")</f>
        <v>Yes</v>
      </c>
      <c r="Q297" s="5" t="str">
        <f>IFERROR(__xludf.DUMMYFUNCTION("""COMPUTED_VALUE"""),"Yes")</f>
        <v>Yes</v>
      </c>
      <c r="R297" s="5" t="str">
        <f>IFERROR(__xludf.DUMMYFUNCTION("""COMPUTED_VALUE"""),"Yes")</f>
        <v>Yes</v>
      </c>
      <c r="S297" s="5" t="str">
        <f>IFERROR(__xludf.DUMMYFUNCTION("""COMPUTED_VALUE"""),"Yes")</f>
        <v>Yes</v>
      </c>
      <c r="T297" s="5" t="str">
        <f>IFERROR(__xludf.DUMMYFUNCTION("""COMPUTED_VALUE"""),"Yes")</f>
        <v>Yes</v>
      </c>
      <c r="U297" s="5" t="str">
        <f>IFERROR(__xludf.DUMMYFUNCTION("""COMPUTED_VALUE"""),"Yes")</f>
        <v>Yes</v>
      </c>
      <c r="V297" s="5" t="str">
        <f>IFERROR(__xludf.DUMMYFUNCTION("""COMPUTED_VALUE"""),"Yes")</f>
        <v>Yes</v>
      </c>
      <c r="W297" s="5" t="str">
        <f>IFERROR(__xludf.DUMMYFUNCTION("""COMPUTED_VALUE"""),"Yes")</f>
        <v>Yes</v>
      </c>
      <c r="X297" s="5" t="str">
        <f>IFERROR(__xludf.DUMMYFUNCTION("""COMPUTED_VALUE"""),"Yes")</f>
        <v>Yes</v>
      </c>
      <c r="Y297" s="5" t="str">
        <f>IFERROR(__xludf.DUMMYFUNCTION("""COMPUTED_VALUE"""),"Yes")</f>
        <v>Yes</v>
      </c>
      <c r="Z297" s="5" t="str">
        <f>IFERROR(__xludf.DUMMYFUNCTION("""COMPUTED_VALUE"""),"Yes")</f>
        <v>Yes</v>
      </c>
      <c r="AA297" s="5" t="str">
        <f>IFERROR(__xludf.DUMMYFUNCTION("""COMPUTED_VALUE"""),"Yes")</f>
        <v>Yes</v>
      </c>
      <c r="AB297" s="5" t="str">
        <f>IFERROR(__xludf.DUMMYFUNCTION("""COMPUTED_VALUE"""),"Yes")</f>
        <v>Yes</v>
      </c>
      <c r="AC297" s="5" t="str">
        <f>IFERROR(__xludf.DUMMYFUNCTION("""COMPUTED_VALUE"""),"No")</f>
        <v>No</v>
      </c>
    </row>
    <row r="298">
      <c r="A298" s="5" t="str">
        <f>IFERROR(__xludf.DUMMYFUNCTION("""COMPUTED_VALUE"""),"GrandpashabetCrown")</f>
        <v>GrandpashabetCrown</v>
      </c>
      <c r="B2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8" s="5" t="str">
        <f>IFERROR(__xludf.DUMMYFUNCTION("""COMPUTED_VALUE"""),"Yes")</f>
        <v>Yes</v>
      </c>
      <c r="D298" s="5" t="str">
        <f>IFERROR(__xludf.DUMMYFUNCTION("""COMPUTED_VALUE"""),"Yes")</f>
        <v>Yes</v>
      </c>
      <c r="E298" s="5" t="str">
        <f>IFERROR(__xludf.DUMMYFUNCTION("""COMPUTED_VALUE"""),"Yes")</f>
        <v>Yes</v>
      </c>
      <c r="F298" s="5" t="str">
        <f>IFERROR(__xludf.DUMMYFUNCTION("""COMPUTED_VALUE"""),"Yes")</f>
        <v>Yes</v>
      </c>
      <c r="G298" s="5" t="str">
        <f>IFERROR(__xludf.DUMMYFUNCTION("""COMPUTED_VALUE"""),"Yes")</f>
        <v>Yes</v>
      </c>
      <c r="H298" s="5" t="str">
        <f>IFERROR(__xludf.DUMMYFUNCTION("""COMPUTED_VALUE"""),"Yes")</f>
        <v>Yes</v>
      </c>
      <c r="I298" s="5" t="str">
        <f>IFERROR(__xludf.DUMMYFUNCTION("""COMPUTED_VALUE"""),"Yes")</f>
        <v>Yes</v>
      </c>
      <c r="J298" s="5" t="str">
        <f>IFERROR(__xludf.DUMMYFUNCTION("""COMPUTED_VALUE"""),"Yes")</f>
        <v>Yes</v>
      </c>
      <c r="K298" s="5" t="str">
        <f>IFERROR(__xludf.DUMMYFUNCTION("""COMPUTED_VALUE"""),"Yes")</f>
        <v>Yes</v>
      </c>
      <c r="L298" s="5" t="str">
        <f>IFERROR(__xludf.DUMMYFUNCTION("""COMPUTED_VALUE"""),"Yes")</f>
        <v>Yes</v>
      </c>
      <c r="M298" s="5" t="str">
        <f>IFERROR(__xludf.DUMMYFUNCTION("""COMPUTED_VALUE"""),"Yes")</f>
        <v>Yes</v>
      </c>
      <c r="N298" s="5" t="str">
        <f>IFERROR(__xludf.DUMMYFUNCTION("""COMPUTED_VALUE"""),"Yes")</f>
        <v>Yes</v>
      </c>
      <c r="O298" s="5" t="str">
        <f>IFERROR(__xludf.DUMMYFUNCTION("""COMPUTED_VALUE"""),"Yes")</f>
        <v>Yes</v>
      </c>
      <c r="P298" s="5" t="str">
        <f>IFERROR(__xludf.DUMMYFUNCTION("""COMPUTED_VALUE"""),"Yes")</f>
        <v>Yes</v>
      </c>
      <c r="Q298" s="5" t="str">
        <f>IFERROR(__xludf.DUMMYFUNCTION("""COMPUTED_VALUE"""),"Yes")</f>
        <v>Yes</v>
      </c>
      <c r="R298" s="5" t="str">
        <f>IFERROR(__xludf.DUMMYFUNCTION("""COMPUTED_VALUE"""),"Yes")</f>
        <v>Yes</v>
      </c>
      <c r="S298" s="5" t="str">
        <f>IFERROR(__xludf.DUMMYFUNCTION("""COMPUTED_VALUE"""),"Yes")</f>
        <v>Yes</v>
      </c>
      <c r="T298" s="5" t="str">
        <f>IFERROR(__xludf.DUMMYFUNCTION("""COMPUTED_VALUE"""),"Yes")</f>
        <v>Yes</v>
      </c>
      <c r="U298" s="5" t="str">
        <f>IFERROR(__xludf.DUMMYFUNCTION("""COMPUTED_VALUE"""),"Yes")</f>
        <v>Yes</v>
      </c>
      <c r="V298" s="5" t="str">
        <f>IFERROR(__xludf.DUMMYFUNCTION("""COMPUTED_VALUE"""),"Yes")</f>
        <v>Yes</v>
      </c>
      <c r="W298" s="5" t="str">
        <f>IFERROR(__xludf.DUMMYFUNCTION("""COMPUTED_VALUE"""),"Yes")</f>
        <v>Yes</v>
      </c>
      <c r="X298" s="5" t="str">
        <f>IFERROR(__xludf.DUMMYFUNCTION("""COMPUTED_VALUE"""),"Yes")</f>
        <v>Yes</v>
      </c>
      <c r="Y298" s="5" t="str">
        <f>IFERROR(__xludf.DUMMYFUNCTION("""COMPUTED_VALUE"""),"Yes")</f>
        <v>Yes</v>
      </c>
      <c r="Z298" s="5" t="str">
        <f>IFERROR(__xludf.DUMMYFUNCTION("""COMPUTED_VALUE"""),"Yes")</f>
        <v>Yes</v>
      </c>
      <c r="AA298" s="5" t="str">
        <f>IFERROR(__xludf.DUMMYFUNCTION("""COMPUTED_VALUE"""),"Yes")</f>
        <v>Yes</v>
      </c>
      <c r="AB298" s="5" t="str">
        <f>IFERROR(__xludf.DUMMYFUNCTION("""COMPUTED_VALUE"""),"Yes")</f>
        <v>Yes</v>
      </c>
      <c r="AC298" s="5" t="str">
        <f>IFERROR(__xludf.DUMMYFUNCTION("""COMPUTED_VALUE"""),"No")</f>
        <v>No</v>
      </c>
    </row>
    <row r="299">
      <c r="A299" s="5" t="str">
        <f>IFERROR(__xludf.DUMMYFUNCTION("""COMPUTED_VALUE"""),"TripleFieldsOfLuck")</f>
        <v>TripleFieldsOfLuck</v>
      </c>
      <c r="B2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9" s="5" t="str">
        <f>IFERROR(__xludf.DUMMYFUNCTION("""COMPUTED_VALUE"""),"Yes")</f>
        <v>Yes</v>
      </c>
      <c r="D299" s="5" t="str">
        <f>IFERROR(__xludf.DUMMYFUNCTION("""COMPUTED_VALUE"""),"Yes")</f>
        <v>Yes</v>
      </c>
      <c r="E299" s="5" t="str">
        <f>IFERROR(__xludf.DUMMYFUNCTION("""COMPUTED_VALUE"""),"Yes")</f>
        <v>Yes</v>
      </c>
      <c r="F299" s="5" t="str">
        <f>IFERROR(__xludf.DUMMYFUNCTION("""COMPUTED_VALUE"""),"Yes")</f>
        <v>Yes</v>
      </c>
      <c r="G299" s="5" t="str">
        <f>IFERROR(__xludf.DUMMYFUNCTION("""COMPUTED_VALUE"""),"Yes")</f>
        <v>Yes</v>
      </c>
      <c r="H299" s="5" t="str">
        <f>IFERROR(__xludf.DUMMYFUNCTION("""COMPUTED_VALUE"""),"Yes")</f>
        <v>Yes</v>
      </c>
      <c r="I299" s="5" t="str">
        <f>IFERROR(__xludf.DUMMYFUNCTION("""COMPUTED_VALUE"""),"Yes")</f>
        <v>Yes</v>
      </c>
      <c r="J299" s="5" t="str">
        <f>IFERROR(__xludf.DUMMYFUNCTION("""COMPUTED_VALUE"""),"Yes")</f>
        <v>Yes</v>
      </c>
      <c r="K299" s="5" t="str">
        <f>IFERROR(__xludf.DUMMYFUNCTION("""COMPUTED_VALUE"""),"Yes")</f>
        <v>Yes</v>
      </c>
      <c r="L299" s="5" t="str">
        <f>IFERROR(__xludf.DUMMYFUNCTION("""COMPUTED_VALUE"""),"Yes")</f>
        <v>Yes</v>
      </c>
      <c r="M299" s="5" t="str">
        <f>IFERROR(__xludf.DUMMYFUNCTION("""COMPUTED_VALUE"""),"Yes")</f>
        <v>Yes</v>
      </c>
      <c r="N299" s="5" t="str">
        <f>IFERROR(__xludf.DUMMYFUNCTION("""COMPUTED_VALUE"""),"Yes")</f>
        <v>Yes</v>
      </c>
      <c r="O299" s="5" t="str">
        <f>IFERROR(__xludf.DUMMYFUNCTION("""COMPUTED_VALUE"""),"Yes")</f>
        <v>Yes</v>
      </c>
      <c r="P299" s="5" t="str">
        <f>IFERROR(__xludf.DUMMYFUNCTION("""COMPUTED_VALUE"""),"Yes")</f>
        <v>Yes</v>
      </c>
      <c r="Q299" s="5" t="str">
        <f>IFERROR(__xludf.DUMMYFUNCTION("""COMPUTED_VALUE"""),"Yes")</f>
        <v>Yes</v>
      </c>
      <c r="R299" s="5" t="str">
        <f>IFERROR(__xludf.DUMMYFUNCTION("""COMPUTED_VALUE"""),"Yes")</f>
        <v>Yes</v>
      </c>
      <c r="S299" s="5" t="str">
        <f>IFERROR(__xludf.DUMMYFUNCTION("""COMPUTED_VALUE"""),"Yes")</f>
        <v>Yes</v>
      </c>
      <c r="T299" s="5" t="str">
        <f>IFERROR(__xludf.DUMMYFUNCTION("""COMPUTED_VALUE"""),"Yes")</f>
        <v>Yes</v>
      </c>
      <c r="U299" s="5" t="str">
        <f>IFERROR(__xludf.DUMMYFUNCTION("""COMPUTED_VALUE"""),"Yes")</f>
        <v>Yes</v>
      </c>
      <c r="V299" s="5" t="str">
        <f>IFERROR(__xludf.DUMMYFUNCTION("""COMPUTED_VALUE"""),"Yes")</f>
        <v>Yes</v>
      </c>
      <c r="W299" s="5" t="str">
        <f>IFERROR(__xludf.DUMMYFUNCTION("""COMPUTED_VALUE"""),"Yes")</f>
        <v>Yes</v>
      </c>
      <c r="X299" s="5" t="str">
        <f>IFERROR(__xludf.DUMMYFUNCTION("""COMPUTED_VALUE"""),"Yes")</f>
        <v>Yes</v>
      </c>
      <c r="Y299" s="5" t="str">
        <f>IFERROR(__xludf.DUMMYFUNCTION("""COMPUTED_VALUE"""),"Yes")</f>
        <v>Yes</v>
      </c>
      <c r="Z299" s="5" t="str">
        <f>IFERROR(__xludf.DUMMYFUNCTION("""COMPUTED_VALUE"""),"Yes")</f>
        <v>Yes</v>
      </c>
      <c r="AA299" s="5" t="str">
        <f>IFERROR(__xludf.DUMMYFUNCTION("""COMPUTED_VALUE"""),"Yes")</f>
        <v>Yes</v>
      </c>
      <c r="AB299" s="5" t="str">
        <f>IFERROR(__xludf.DUMMYFUNCTION("""COMPUTED_VALUE"""),"Yes")</f>
        <v>Yes</v>
      </c>
      <c r="AC299" s="5" t="str">
        <f>IFERROR(__xludf.DUMMYFUNCTION("""COMPUTED_VALUE"""),"No")</f>
        <v>No</v>
      </c>
    </row>
    <row r="300">
      <c r="A300" s="5" t="str">
        <f>IFERROR(__xludf.DUMMYFUNCTION("""COMPUTED_VALUE"""),"RedstoneChilliDouble")</f>
        <v>RedstoneChilliDouble</v>
      </c>
      <c r="B3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00" s="5" t="str">
        <f>IFERROR(__xludf.DUMMYFUNCTION("""COMPUTED_VALUE"""),"Yes")</f>
        <v>Yes</v>
      </c>
      <c r="D300" s="5" t="str">
        <f>IFERROR(__xludf.DUMMYFUNCTION("""COMPUTED_VALUE"""),"Yes")</f>
        <v>Yes</v>
      </c>
      <c r="E300" s="5" t="str">
        <f>IFERROR(__xludf.DUMMYFUNCTION("""COMPUTED_VALUE"""),"Yes")</f>
        <v>Yes</v>
      </c>
      <c r="F300" s="5" t="str">
        <f>IFERROR(__xludf.DUMMYFUNCTION("""COMPUTED_VALUE"""),"Yes")</f>
        <v>Yes</v>
      </c>
      <c r="G300" s="5" t="str">
        <f>IFERROR(__xludf.DUMMYFUNCTION("""COMPUTED_VALUE"""),"Yes")</f>
        <v>Yes</v>
      </c>
      <c r="H300" s="5" t="str">
        <f>IFERROR(__xludf.DUMMYFUNCTION("""COMPUTED_VALUE"""),"Yes")</f>
        <v>Yes</v>
      </c>
      <c r="I300" s="5" t="str">
        <f>IFERROR(__xludf.DUMMYFUNCTION("""COMPUTED_VALUE"""),"Yes")</f>
        <v>Yes</v>
      </c>
      <c r="J300" s="5" t="str">
        <f>IFERROR(__xludf.DUMMYFUNCTION("""COMPUTED_VALUE"""),"Yes")</f>
        <v>Yes</v>
      </c>
      <c r="K300" s="5" t="str">
        <f>IFERROR(__xludf.DUMMYFUNCTION("""COMPUTED_VALUE"""),"Yes")</f>
        <v>Yes</v>
      </c>
      <c r="L300" s="5" t="str">
        <f>IFERROR(__xludf.DUMMYFUNCTION("""COMPUTED_VALUE"""),"Yes")</f>
        <v>Yes</v>
      </c>
      <c r="M300" s="5" t="str">
        <f>IFERROR(__xludf.DUMMYFUNCTION("""COMPUTED_VALUE"""),"Yes")</f>
        <v>Yes</v>
      </c>
      <c r="N300" s="5" t="str">
        <f>IFERROR(__xludf.DUMMYFUNCTION("""COMPUTED_VALUE"""),"Yes")</f>
        <v>Yes</v>
      </c>
      <c r="O300" s="5" t="str">
        <f>IFERROR(__xludf.DUMMYFUNCTION("""COMPUTED_VALUE"""),"Yes")</f>
        <v>Yes</v>
      </c>
      <c r="P300" s="5" t="str">
        <f>IFERROR(__xludf.DUMMYFUNCTION("""COMPUTED_VALUE"""),"Yes")</f>
        <v>Yes</v>
      </c>
      <c r="Q300" s="5" t="str">
        <f>IFERROR(__xludf.DUMMYFUNCTION("""COMPUTED_VALUE"""),"Yes")</f>
        <v>Yes</v>
      </c>
      <c r="R300" s="5" t="str">
        <f>IFERROR(__xludf.DUMMYFUNCTION("""COMPUTED_VALUE"""),"Yes")</f>
        <v>Yes</v>
      </c>
      <c r="S300" s="5" t="str">
        <f>IFERROR(__xludf.DUMMYFUNCTION("""COMPUTED_VALUE"""),"Yes")</f>
        <v>Yes</v>
      </c>
      <c r="T300" s="5" t="str">
        <f>IFERROR(__xludf.DUMMYFUNCTION("""COMPUTED_VALUE"""),"Yes")</f>
        <v>Yes</v>
      </c>
      <c r="U300" s="5" t="str">
        <f>IFERROR(__xludf.DUMMYFUNCTION("""COMPUTED_VALUE"""),"Yes")</f>
        <v>Yes</v>
      </c>
      <c r="V300" s="5"/>
      <c r="W300" s="5" t="str">
        <f>IFERROR(__xludf.DUMMYFUNCTION("""COMPUTED_VALUE"""),"Yes")</f>
        <v>Yes</v>
      </c>
      <c r="X300" s="5" t="str">
        <f>IFERROR(__xludf.DUMMYFUNCTION("""COMPUTED_VALUE"""),"Yes")</f>
        <v>Yes</v>
      </c>
      <c r="Y300" s="5" t="str">
        <f>IFERROR(__xludf.DUMMYFUNCTION("""COMPUTED_VALUE"""),"Yes")</f>
        <v>Yes</v>
      </c>
      <c r="Z300" s="5" t="str">
        <f>IFERROR(__xludf.DUMMYFUNCTION("""COMPUTED_VALUE"""),"Yes")</f>
        <v>Yes</v>
      </c>
      <c r="AA300" s="5" t="str">
        <f>IFERROR(__xludf.DUMMYFUNCTION("""COMPUTED_VALUE"""),"Yes")</f>
        <v>Yes</v>
      </c>
      <c r="AB300" s="5" t="str">
        <f>IFERROR(__xludf.DUMMYFUNCTION("""COMPUTED_VALUE"""),"Yes")</f>
        <v>Yes</v>
      </c>
      <c r="AC300" s="5"/>
    </row>
    <row r="301">
      <c r="A301" s="5" t="str">
        <f>IFERROR(__xludf.DUMMYFUNCTION("""COMPUTED_VALUE"""),"RedstoneHotRushCrownBurst")</f>
        <v>RedstoneHotRushCrownBurst</v>
      </c>
      <c r="B3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1" s="5" t="str">
        <f>IFERROR(__xludf.DUMMYFUNCTION("""COMPUTED_VALUE"""),"Yes")</f>
        <v>Yes</v>
      </c>
      <c r="D301" s="5" t="str">
        <f>IFERROR(__xludf.DUMMYFUNCTION("""COMPUTED_VALUE"""),"Yes")</f>
        <v>Yes</v>
      </c>
      <c r="E301" s="5" t="str">
        <f>IFERROR(__xludf.DUMMYFUNCTION("""COMPUTED_VALUE"""),"Yes")</f>
        <v>Yes</v>
      </c>
      <c r="F301" s="5" t="str">
        <f>IFERROR(__xludf.DUMMYFUNCTION("""COMPUTED_VALUE"""),"Yes")</f>
        <v>Yes</v>
      </c>
      <c r="G301" s="5" t="str">
        <f>IFERROR(__xludf.DUMMYFUNCTION("""COMPUTED_VALUE"""),"Yes")</f>
        <v>Yes</v>
      </c>
      <c r="H301" s="5" t="str">
        <f>IFERROR(__xludf.DUMMYFUNCTION("""COMPUTED_VALUE"""),"Yes")</f>
        <v>Yes</v>
      </c>
      <c r="I301" s="5" t="str">
        <f>IFERROR(__xludf.DUMMYFUNCTION("""COMPUTED_VALUE"""),"Yes")</f>
        <v>Yes</v>
      </c>
      <c r="J301" s="5" t="str">
        <f>IFERROR(__xludf.DUMMYFUNCTION("""COMPUTED_VALUE"""),"Yes")</f>
        <v>Yes</v>
      </c>
      <c r="K301" s="5" t="str">
        <f>IFERROR(__xludf.DUMMYFUNCTION("""COMPUTED_VALUE"""),"Yes")</f>
        <v>Yes</v>
      </c>
      <c r="L301" s="5" t="str">
        <f>IFERROR(__xludf.DUMMYFUNCTION("""COMPUTED_VALUE"""),"Yes")</f>
        <v>Yes</v>
      </c>
      <c r="M301" s="5" t="str">
        <f>IFERROR(__xludf.DUMMYFUNCTION("""COMPUTED_VALUE"""),"Yes")</f>
        <v>Yes</v>
      </c>
      <c r="N301" s="5" t="str">
        <f>IFERROR(__xludf.DUMMYFUNCTION("""COMPUTED_VALUE"""),"Yes")</f>
        <v>Yes</v>
      </c>
      <c r="O301" s="5" t="str">
        <f>IFERROR(__xludf.DUMMYFUNCTION("""COMPUTED_VALUE"""),"Yes")</f>
        <v>Yes</v>
      </c>
      <c r="P301" s="5" t="str">
        <f>IFERROR(__xludf.DUMMYFUNCTION("""COMPUTED_VALUE"""),"Yes")</f>
        <v>Yes</v>
      </c>
      <c r="Q301" s="5" t="str">
        <f>IFERROR(__xludf.DUMMYFUNCTION("""COMPUTED_VALUE"""),"Yes")</f>
        <v>Yes</v>
      </c>
      <c r="R301" s="5" t="str">
        <f>IFERROR(__xludf.DUMMYFUNCTION("""COMPUTED_VALUE"""),"Yes")</f>
        <v>Yes</v>
      </c>
      <c r="S301" s="5" t="str">
        <f>IFERROR(__xludf.DUMMYFUNCTION("""COMPUTED_VALUE"""),"Yes")</f>
        <v>Yes</v>
      </c>
      <c r="T301" s="5" t="str">
        <f>IFERROR(__xludf.DUMMYFUNCTION("""COMPUTED_VALUE"""),"Yes")</f>
        <v>Yes</v>
      </c>
      <c r="U301" s="5" t="str">
        <f>IFERROR(__xludf.DUMMYFUNCTION("""COMPUTED_VALUE"""),"Yes")</f>
        <v>Yes</v>
      </c>
      <c r="V301" s="5"/>
      <c r="W301" s="5"/>
      <c r="X301" s="5"/>
      <c r="Y301" s="5"/>
      <c r="Z301" s="5" t="str">
        <f>IFERROR(__xludf.DUMMYFUNCTION("""COMPUTED_VALUE"""),"Yes")</f>
        <v>Yes</v>
      </c>
      <c r="AA301" s="5"/>
      <c r="AB301" s="5"/>
      <c r="AC301" s="5"/>
    </row>
    <row r="302">
      <c r="A302" s="5" t="str">
        <f>IFERROR(__xludf.DUMMYFUNCTION("""COMPUTED_VALUE"""),"MozzartHot5")</f>
        <v>MozzartHot5</v>
      </c>
      <c r="B3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2" s="5" t="str">
        <f>IFERROR(__xludf.DUMMYFUNCTION("""COMPUTED_VALUE"""),"Yes")</f>
        <v>Yes</v>
      </c>
      <c r="D302" s="5" t="str">
        <f>IFERROR(__xludf.DUMMYFUNCTION("""COMPUTED_VALUE"""),"Yes")</f>
        <v>Yes</v>
      </c>
      <c r="E302" s="5" t="str">
        <f>IFERROR(__xludf.DUMMYFUNCTION("""COMPUTED_VALUE"""),"Yes")</f>
        <v>Yes</v>
      </c>
      <c r="F302" s="5" t="str">
        <f>IFERROR(__xludf.DUMMYFUNCTION("""COMPUTED_VALUE"""),"Yes")</f>
        <v>Yes</v>
      </c>
      <c r="G302" s="5" t="str">
        <f>IFERROR(__xludf.DUMMYFUNCTION("""COMPUTED_VALUE"""),"Yes")</f>
        <v>Yes</v>
      </c>
      <c r="H302" s="5" t="str">
        <f>IFERROR(__xludf.DUMMYFUNCTION("""COMPUTED_VALUE"""),"Yes")</f>
        <v>Yes</v>
      </c>
      <c r="I302" s="5" t="str">
        <f>IFERROR(__xludf.DUMMYFUNCTION("""COMPUTED_VALUE"""),"Yes")</f>
        <v>Yes</v>
      </c>
      <c r="J302" s="5" t="str">
        <f>IFERROR(__xludf.DUMMYFUNCTION("""COMPUTED_VALUE"""),"Yes")</f>
        <v>Yes</v>
      </c>
      <c r="K302" s="5" t="str">
        <f>IFERROR(__xludf.DUMMYFUNCTION("""COMPUTED_VALUE"""),"Yes")</f>
        <v>Yes</v>
      </c>
      <c r="L302" s="5" t="str">
        <f>IFERROR(__xludf.DUMMYFUNCTION("""COMPUTED_VALUE"""),"Yes")</f>
        <v>Yes</v>
      </c>
      <c r="M302" s="5" t="str">
        <f>IFERROR(__xludf.DUMMYFUNCTION("""COMPUTED_VALUE"""),"Yes")</f>
        <v>Yes</v>
      </c>
      <c r="N302" s="5" t="str">
        <f>IFERROR(__xludf.DUMMYFUNCTION("""COMPUTED_VALUE"""),"Yes")</f>
        <v>Yes</v>
      </c>
      <c r="O302" s="5" t="str">
        <f>IFERROR(__xludf.DUMMYFUNCTION("""COMPUTED_VALUE"""),"Yes")</f>
        <v>Yes</v>
      </c>
      <c r="P302" s="5" t="str">
        <f>IFERROR(__xludf.DUMMYFUNCTION("""COMPUTED_VALUE"""),"Yes")</f>
        <v>Yes</v>
      </c>
      <c r="Q302" s="5" t="str">
        <f>IFERROR(__xludf.DUMMYFUNCTION("""COMPUTED_VALUE"""),"Yes")</f>
        <v>Yes</v>
      </c>
      <c r="R302" s="5" t="str">
        <f>IFERROR(__xludf.DUMMYFUNCTION("""COMPUTED_VALUE"""),"Yes")</f>
        <v>Yes</v>
      </c>
      <c r="S302" s="5" t="str">
        <f>IFERROR(__xludf.DUMMYFUNCTION("""COMPUTED_VALUE"""),"Yes")</f>
        <v>Yes</v>
      </c>
      <c r="T302" s="5" t="str">
        <f>IFERROR(__xludf.DUMMYFUNCTION("""COMPUTED_VALUE"""),"Yes")</f>
        <v>Yes</v>
      </c>
      <c r="U302" s="5" t="str">
        <f>IFERROR(__xludf.DUMMYFUNCTION("""COMPUTED_VALUE"""),"Yes")</f>
        <v>Yes</v>
      </c>
      <c r="V302" s="5" t="str">
        <f>IFERROR(__xludf.DUMMYFUNCTION("""COMPUTED_VALUE"""),"Yes")</f>
        <v>Yes</v>
      </c>
      <c r="W302" s="5" t="str">
        <f>IFERROR(__xludf.DUMMYFUNCTION("""COMPUTED_VALUE"""),"Yes")</f>
        <v>Yes</v>
      </c>
      <c r="X302" s="5" t="str">
        <f>IFERROR(__xludf.DUMMYFUNCTION("""COMPUTED_VALUE"""),"Yes")</f>
        <v>Yes</v>
      </c>
      <c r="Y302" s="5" t="str">
        <f>IFERROR(__xludf.DUMMYFUNCTION("""COMPUTED_VALUE"""),"Yes")</f>
        <v>Yes</v>
      </c>
      <c r="Z302" s="5" t="str">
        <f>IFERROR(__xludf.DUMMYFUNCTION("""COMPUTED_VALUE"""),"Yes")</f>
        <v>Yes</v>
      </c>
      <c r="AA302" s="5" t="str">
        <f>IFERROR(__xludf.DUMMYFUNCTION("""COMPUTED_VALUE"""),"Yes")</f>
        <v>Yes</v>
      </c>
      <c r="AB302" s="5" t="str">
        <f>IFERROR(__xludf.DUMMYFUNCTION("""COMPUTED_VALUE"""),"Yes")</f>
        <v>Yes</v>
      </c>
      <c r="AC302" s="5" t="str">
        <f>IFERROR(__xludf.DUMMYFUNCTION("""COMPUTED_VALUE"""),"No")</f>
        <v>No</v>
      </c>
    </row>
    <row r="303">
      <c r="A303" s="5" t="str">
        <f>IFERROR(__xludf.DUMMYFUNCTION("""COMPUTED_VALUE"""),"MozzartHot40")</f>
        <v>MozzartHot40</v>
      </c>
      <c r="B30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3" s="5" t="str">
        <f>IFERROR(__xludf.DUMMYFUNCTION("""COMPUTED_VALUE"""),"Yes")</f>
        <v>Yes</v>
      </c>
      <c r="D303" s="5" t="str">
        <f>IFERROR(__xludf.DUMMYFUNCTION("""COMPUTED_VALUE"""),"Yes")</f>
        <v>Yes</v>
      </c>
      <c r="E303" s="5" t="str">
        <f>IFERROR(__xludf.DUMMYFUNCTION("""COMPUTED_VALUE"""),"Yes")</f>
        <v>Yes</v>
      </c>
      <c r="F303" s="5" t="str">
        <f>IFERROR(__xludf.DUMMYFUNCTION("""COMPUTED_VALUE"""),"Yes")</f>
        <v>Yes</v>
      </c>
      <c r="G303" s="5" t="str">
        <f>IFERROR(__xludf.DUMMYFUNCTION("""COMPUTED_VALUE"""),"Yes")</f>
        <v>Yes</v>
      </c>
      <c r="H303" s="5" t="str">
        <f>IFERROR(__xludf.DUMMYFUNCTION("""COMPUTED_VALUE"""),"Yes")</f>
        <v>Yes</v>
      </c>
      <c r="I303" s="5" t="str">
        <f>IFERROR(__xludf.DUMMYFUNCTION("""COMPUTED_VALUE"""),"Yes")</f>
        <v>Yes</v>
      </c>
      <c r="J303" s="5" t="str">
        <f>IFERROR(__xludf.DUMMYFUNCTION("""COMPUTED_VALUE"""),"Yes")</f>
        <v>Yes</v>
      </c>
      <c r="K303" s="5" t="str">
        <f>IFERROR(__xludf.DUMMYFUNCTION("""COMPUTED_VALUE"""),"Yes")</f>
        <v>Yes</v>
      </c>
      <c r="L303" s="5" t="str">
        <f>IFERROR(__xludf.DUMMYFUNCTION("""COMPUTED_VALUE"""),"Yes")</f>
        <v>Yes</v>
      </c>
      <c r="M303" s="5" t="str">
        <f>IFERROR(__xludf.DUMMYFUNCTION("""COMPUTED_VALUE"""),"Yes")</f>
        <v>Yes</v>
      </c>
      <c r="N303" s="5" t="str">
        <f>IFERROR(__xludf.DUMMYFUNCTION("""COMPUTED_VALUE"""),"Yes")</f>
        <v>Yes</v>
      </c>
      <c r="O303" s="5" t="str">
        <f>IFERROR(__xludf.DUMMYFUNCTION("""COMPUTED_VALUE"""),"Yes")</f>
        <v>Yes</v>
      </c>
      <c r="P303" s="5" t="str">
        <f>IFERROR(__xludf.DUMMYFUNCTION("""COMPUTED_VALUE"""),"Yes")</f>
        <v>Yes</v>
      </c>
      <c r="Q303" s="5" t="str">
        <f>IFERROR(__xludf.DUMMYFUNCTION("""COMPUTED_VALUE"""),"Yes")</f>
        <v>Yes</v>
      </c>
      <c r="R303" s="5" t="str">
        <f>IFERROR(__xludf.DUMMYFUNCTION("""COMPUTED_VALUE"""),"Yes")</f>
        <v>Yes</v>
      </c>
      <c r="S303" s="5" t="str">
        <f>IFERROR(__xludf.DUMMYFUNCTION("""COMPUTED_VALUE"""),"Yes")</f>
        <v>Yes</v>
      </c>
      <c r="T303" s="5" t="str">
        <f>IFERROR(__xludf.DUMMYFUNCTION("""COMPUTED_VALUE"""),"Yes")</f>
        <v>Yes</v>
      </c>
      <c r="U303" s="5" t="str">
        <f>IFERROR(__xludf.DUMMYFUNCTION("""COMPUTED_VALUE"""),"Yes")</f>
        <v>Yes</v>
      </c>
      <c r="V303" s="5" t="str">
        <f>IFERROR(__xludf.DUMMYFUNCTION("""COMPUTED_VALUE"""),"Yes")</f>
        <v>Yes</v>
      </c>
      <c r="W303" s="5" t="str">
        <f>IFERROR(__xludf.DUMMYFUNCTION("""COMPUTED_VALUE"""),"Yes")</f>
        <v>Yes</v>
      </c>
      <c r="X303" s="5" t="str">
        <f>IFERROR(__xludf.DUMMYFUNCTION("""COMPUTED_VALUE"""),"Yes")</f>
        <v>Yes</v>
      </c>
      <c r="Y303" s="5" t="str">
        <f>IFERROR(__xludf.DUMMYFUNCTION("""COMPUTED_VALUE"""),"Yes")</f>
        <v>Yes</v>
      </c>
      <c r="Z303" s="5" t="str">
        <f>IFERROR(__xludf.DUMMYFUNCTION("""COMPUTED_VALUE"""),"Yes")</f>
        <v>Yes</v>
      </c>
      <c r="AA303" s="5" t="str">
        <f>IFERROR(__xludf.DUMMYFUNCTION("""COMPUTED_VALUE"""),"Yes")</f>
        <v>Yes</v>
      </c>
      <c r="AB303" s="5" t="str">
        <f>IFERROR(__xludf.DUMMYFUNCTION("""COMPUTED_VALUE"""),"Yes")</f>
        <v>Yes</v>
      </c>
      <c r="AC303" s="5" t="str">
        <f>IFERROR(__xludf.DUMMYFUNCTION("""COMPUTED_VALUE"""),"No")</f>
        <v>No</v>
      </c>
    </row>
    <row r="304">
      <c r="A304" s="5" t="str">
        <f>IFERROR(__xludf.DUMMYFUNCTION("""COMPUTED_VALUE"""),"CrownOfMozzart")</f>
        <v>CrownOfMozzart</v>
      </c>
      <c r="B3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4" s="5" t="str">
        <f>IFERROR(__xludf.DUMMYFUNCTION("""COMPUTED_VALUE"""),"Yes")</f>
        <v>Yes</v>
      </c>
      <c r="D304" s="5" t="str">
        <f>IFERROR(__xludf.DUMMYFUNCTION("""COMPUTED_VALUE"""),"Yes")</f>
        <v>Yes</v>
      </c>
      <c r="E304" s="5" t="str">
        <f>IFERROR(__xludf.DUMMYFUNCTION("""COMPUTED_VALUE"""),"Yes")</f>
        <v>Yes</v>
      </c>
      <c r="F304" s="5" t="str">
        <f>IFERROR(__xludf.DUMMYFUNCTION("""COMPUTED_VALUE"""),"Yes")</f>
        <v>Yes</v>
      </c>
      <c r="G304" s="5" t="str">
        <f>IFERROR(__xludf.DUMMYFUNCTION("""COMPUTED_VALUE"""),"Yes")</f>
        <v>Yes</v>
      </c>
      <c r="H304" s="5" t="str">
        <f>IFERROR(__xludf.DUMMYFUNCTION("""COMPUTED_VALUE"""),"Yes")</f>
        <v>Yes</v>
      </c>
      <c r="I304" s="5" t="str">
        <f>IFERROR(__xludf.DUMMYFUNCTION("""COMPUTED_VALUE"""),"Yes")</f>
        <v>Yes</v>
      </c>
      <c r="J304" s="5" t="str">
        <f>IFERROR(__xludf.DUMMYFUNCTION("""COMPUTED_VALUE"""),"Yes")</f>
        <v>Yes</v>
      </c>
      <c r="K304" s="5" t="str">
        <f>IFERROR(__xludf.DUMMYFUNCTION("""COMPUTED_VALUE"""),"Yes")</f>
        <v>Yes</v>
      </c>
      <c r="L304" s="5" t="str">
        <f>IFERROR(__xludf.DUMMYFUNCTION("""COMPUTED_VALUE"""),"Yes")</f>
        <v>Yes</v>
      </c>
      <c r="M304" s="5" t="str">
        <f>IFERROR(__xludf.DUMMYFUNCTION("""COMPUTED_VALUE"""),"Yes")</f>
        <v>Yes</v>
      </c>
      <c r="N304" s="5" t="str">
        <f>IFERROR(__xludf.DUMMYFUNCTION("""COMPUTED_VALUE"""),"Yes")</f>
        <v>Yes</v>
      </c>
      <c r="O304" s="5" t="str">
        <f>IFERROR(__xludf.DUMMYFUNCTION("""COMPUTED_VALUE"""),"Yes")</f>
        <v>Yes</v>
      </c>
      <c r="P304" s="5" t="str">
        <f>IFERROR(__xludf.DUMMYFUNCTION("""COMPUTED_VALUE"""),"Yes")</f>
        <v>Yes</v>
      </c>
      <c r="Q304" s="5" t="str">
        <f>IFERROR(__xludf.DUMMYFUNCTION("""COMPUTED_VALUE"""),"Yes")</f>
        <v>Yes</v>
      </c>
      <c r="R304" s="5" t="str">
        <f>IFERROR(__xludf.DUMMYFUNCTION("""COMPUTED_VALUE"""),"Yes")</f>
        <v>Yes</v>
      </c>
      <c r="S304" s="5" t="str">
        <f>IFERROR(__xludf.DUMMYFUNCTION("""COMPUTED_VALUE"""),"Yes")</f>
        <v>Yes</v>
      </c>
      <c r="T304" s="5" t="str">
        <f>IFERROR(__xludf.DUMMYFUNCTION("""COMPUTED_VALUE"""),"Yes")</f>
        <v>Yes</v>
      </c>
      <c r="U304" s="5" t="str">
        <f>IFERROR(__xludf.DUMMYFUNCTION("""COMPUTED_VALUE"""),"Yes")</f>
        <v>Yes</v>
      </c>
      <c r="V304" s="5" t="str">
        <f>IFERROR(__xludf.DUMMYFUNCTION("""COMPUTED_VALUE"""),"Yes")</f>
        <v>Yes</v>
      </c>
      <c r="W304" s="5" t="str">
        <f>IFERROR(__xludf.DUMMYFUNCTION("""COMPUTED_VALUE"""),"Yes")</f>
        <v>Yes</v>
      </c>
      <c r="X304" s="5" t="str">
        <f>IFERROR(__xludf.DUMMYFUNCTION("""COMPUTED_VALUE"""),"Yes")</f>
        <v>Yes</v>
      </c>
      <c r="Y304" s="5" t="str">
        <f>IFERROR(__xludf.DUMMYFUNCTION("""COMPUTED_VALUE"""),"Yes")</f>
        <v>Yes</v>
      </c>
      <c r="Z304" s="5" t="str">
        <f>IFERROR(__xludf.DUMMYFUNCTION("""COMPUTED_VALUE"""),"Yes")</f>
        <v>Yes</v>
      </c>
      <c r="AA304" s="5" t="str">
        <f>IFERROR(__xludf.DUMMYFUNCTION("""COMPUTED_VALUE"""),"Yes")</f>
        <v>Yes</v>
      </c>
      <c r="AB304" s="5" t="str">
        <f>IFERROR(__xludf.DUMMYFUNCTION("""COMPUTED_VALUE"""),"Yes")</f>
        <v>Yes</v>
      </c>
      <c r="AC304" s="5" t="str">
        <f>IFERROR(__xludf.DUMMYFUNCTION("""COMPUTED_VALUE"""),"No")</f>
        <v>No</v>
      </c>
    </row>
    <row r="305">
      <c r="A305" s="5" t="str">
        <f>IFERROR(__xludf.DUMMYFUNCTION("""COMPUTED_VALUE"""),"MozzartsWorld")</f>
        <v>MozzartsWorld</v>
      </c>
      <c r="B3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5" s="5" t="str">
        <f>IFERROR(__xludf.DUMMYFUNCTION("""COMPUTED_VALUE"""),"Yes")</f>
        <v>Yes</v>
      </c>
      <c r="D305" s="5" t="str">
        <f>IFERROR(__xludf.DUMMYFUNCTION("""COMPUTED_VALUE"""),"Yes")</f>
        <v>Yes</v>
      </c>
      <c r="E305" s="5" t="str">
        <f>IFERROR(__xludf.DUMMYFUNCTION("""COMPUTED_VALUE"""),"Yes")</f>
        <v>Yes</v>
      </c>
      <c r="F305" s="5" t="str">
        <f>IFERROR(__xludf.DUMMYFUNCTION("""COMPUTED_VALUE"""),"Yes")</f>
        <v>Yes</v>
      </c>
      <c r="G305" s="5" t="str">
        <f>IFERROR(__xludf.DUMMYFUNCTION("""COMPUTED_VALUE"""),"Yes")</f>
        <v>Yes</v>
      </c>
      <c r="H305" s="5" t="str">
        <f>IFERROR(__xludf.DUMMYFUNCTION("""COMPUTED_VALUE"""),"Yes")</f>
        <v>Yes</v>
      </c>
      <c r="I305" s="5" t="str">
        <f>IFERROR(__xludf.DUMMYFUNCTION("""COMPUTED_VALUE"""),"Yes")</f>
        <v>Yes</v>
      </c>
      <c r="J305" s="5" t="str">
        <f>IFERROR(__xludf.DUMMYFUNCTION("""COMPUTED_VALUE"""),"Yes")</f>
        <v>Yes</v>
      </c>
      <c r="K305" s="5" t="str">
        <f>IFERROR(__xludf.DUMMYFUNCTION("""COMPUTED_VALUE"""),"Yes")</f>
        <v>Yes</v>
      </c>
      <c r="L305" s="5" t="str">
        <f>IFERROR(__xludf.DUMMYFUNCTION("""COMPUTED_VALUE"""),"Yes")</f>
        <v>Yes</v>
      </c>
      <c r="M305" s="5" t="str">
        <f>IFERROR(__xludf.DUMMYFUNCTION("""COMPUTED_VALUE"""),"Yes")</f>
        <v>Yes</v>
      </c>
      <c r="N305" s="5" t="str">
        <f>IFERROR(__xludf.DUMMYFUNCTION("""COMPUTED_VALUE"""),"Yes")</f>
        <v>Yes</v>
      </c>
      <c r="O305" s="5" t="str">
        <f>IFERROR(__xludf.DUMMYFUNCTION("""COMPUTED_VALUE"""),"Yes")</f>
        <v>Yes</v>
      </c>
      <c r="P305" s="5" t="str">
        <f>IFERROR(__xludf.DUMMYFUNCTION("""COMPUTED_VALUE"""),"Yes")</f>
        <v>Yes</v>
      </c>
      <c r="Q305" s="5" t="str">
        <f>IFERROR(__xludf.DUMMYFUNCTION("""COMPUTED_VALUE"""),"Yes")</f>
        <v>Yes</v>
      </c>
      <c r="R305" s="5" t="str">
        <f>IFERROR(__xludf.DUMMYFUNCTION("""COMPUTED_VALUE"""),"Yes")</f>
        <v>Yes</v>
      </c>
      <c r="S305" s="5" t="str">
        <f>IFERROR(__xludf.DUMMYFUNCTION("""COMPUTED_VALUE"""),"Yes")</f>
        <v>Yes</v>
      </c>
      <c r="T305" s="5" t="str">
        <f>IFERROR(__xludf.DUMMYFUNCTION("""COMPUTED_VALUE"""),"Yes")</f>
        <v>Yes</v>
      </c>
      <c r="U305" s="5" t="str">
        <f>IFERROR(__xludf.DUMMYFUNCTION("""COMPUTED_VALUE"""),"Yes")</f>
        <v>Yes</v>
      </c>
      <c r="V305" s="5" t="str">
        <f>IFERROR(__xludf.DUMMYFUNCTION("""COMPUTED_VALUE"""),"Yes")</f>
        <v>Yes</v>
      </c>
      <c r="W305" s="5" t="str">
        <f>IFERROR(__xludf.DUMMYFUNCTION("""COMPUTED_VALUE"""),"Yes")</f>
        <v>Yes</v>
      </c>
      <c r="X305" s="5" t="str">
        <f>IFERROR(__xludf.DUMMYFUNCTION("""COMPUTED_VALUE"""),"Yes")</f>
        <v>Yes</v>
      </c>
      <c r="Y305" s="5" t="str">
        <f>IFERROR(__xludf.DUMMYFUNCTION("""COMPUTED_VALUE"""),"Yes")</f>
        <v>Yes</v>
      </c>
      <c r="Z305" s="5" t="str">
        <f>IFERROR(__xludf.DUMMYFUNCTION("""COMPUTED_VALUE"""),"Yes")</f>
        <v>Yes</v>
      </c>
      <c r="AA305" s="5" t="str">
        <f>IFERROR(__xludf.DUMMYFUNCTION("""COMPUTED_VALUE"""),"Yes")</f>
        <v>Yes</v>
      </c>
      <c r="AB305" s="5" t="str">
        <f>IFERROR(__xludf.DUMMYFUNCTION("""COMPUTED_VALUE"""),"Yes")</f>
        <v>Yes</v>
      </c>
      <c r="AC305" s="5" t="str">
        <f>IFERROR(__xludf.DUMMYFUNCTION("""COMPUTED_VALUE"""),"No")</f>
        <v>No</v>
      </c>
    </row>
    <row r="306">
      <c r="A306" s="5" t="str">
        <f>IFERROR(__xludf.DUMMYFUNCTION("""COMPUTED_VALUE"""),"BookOfMozzart")</f>
        <v>BookOfMozzart</v>
      </c>
      <c r="B3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6" s="5" t="str">
        <f>IFERROR(__xludf.DUMMYFUNCTION("""COMPUTED_VALUE"""),"Yes")</f>
        <v>Yes</v>
      </c>
      <c r="D306" s="5" t="str">
        <f>IFERROR(__xludf.DUMMYFUNCTION("""COMPUTED_VALUE"""),"Yes")</f>
        <v>Yes</v>
      </c>
      <c r="E306" s="5" t="str">
        <f>IFERROR(__xludf.DUMMYFUNCTION("""COMPUTED_VALUE"""),"Yes")</f>
        <v>Yes</v>
      </c>
      <c r="F306" s="5" t="str">
        <f>IFERROR(__xludf.DUMMYFUNCTION("""COMPUTED_VALUE"""),"Yes")</f>
        <v>Yes</v>
      </c>
      <c r="G306" s="5" t="str">
        <f>IFERROR(__xludf.DUMMYFUNCTION("""COMPUTED_VALUE"""),"Yes")</f>
        <v>Yes</v>
      </c>
      <c r="H306" s="5" t="str">
        <f>IFERROR(__xludf.DUMMYFUNCTION("""COMPUTED_VALUE"""),"Yes")</f>
        <v>Yes</v>
      </c>
      <c r="I306" s="5" t="str">
        <f>IFERROR(__xludf.DUMMYFUNCTION("""COMPUTED_VALUE"""),"Yes")</f>
        <v>Yes</v>
      </c>
      <c r="J306" s="5" t="str">
        <f>IFERROR(__xludf.DUMMYFUNCTION("""COMPUTED_VALUE"""),"Yes")</f>
        <v>Yes</v>
      </c>
      <c r="K306" s="5" t="str">
        <f>IFERROR(__xludf.DUMMYFUNCTION("""COMPUTED_VALUE"""),"Yes")</f>
        <v>Yes</v>
      </c>
      <c r="L306" s="5" t="str">
        <f>IFERROR(__xludf.DUMMYFUNCTION("""COMPUTED_VALUE"""),"Yes")</f>
        <v>Yes</v>
      </c>
      <c r="M306" s="5" t="str">
        <f>IFERROR(__xludf.DUMMYFUNCTION("""COMPUTED_VALUE"""),"Yes")</f>
        <v>Yes</v>
      </c>
      <c r="N306" s="5" t="str">
        <f>IFERROR(__xludf.DUMMYFUNCTION("""COMPUTED_VALUE"""),"Yes")</f>
        <v>Yes</v>
      </c>
      <c r="O306" s="5" t="str">
        <f>IFERROR(__xludf.DUMMYFUNCTION("""COMPUTED_VALUE"""),"Yes")</f>
        <v>Yes</v>
      </c>
      <c r="P306" s="5" t="str">
        <f>IFERROR(__xludf.DUMMYFUNCTION("""COMPUTED_VALUE"""),"Yes")</f>
        <v>Yes</v>
      </c>
      <c r="Q306" s="5" t="str">
        <f>IFERROR(__xludf.DUMMYFUNCTION("""COMPUTED_VALUE"""),"Yes")</f>
        <v>Yes</v>
      </c>
      <c r="R306" s="5" t="str">
        <f>IFERROR(__xludf.DUMMYFUNCTION("""COMPUTED_VALUE"""),"Yes")</f>
        <v>Yes</v>
      </c>
      <c r="S306" s="5" t="str">
        <f>IFERROR(__xludf.DUMMYFUNCTION("""COMPUTED_VALUE"""),"Yes")</f>
        <v>Yes</v>
      </c>
      <c r="T306" s="5" t="str">
        <f>IFERROR(__xludf.DUMMYFUNCTION("""COMPUTED_VALUE"""),"Yes")</f>
        <v>Yes</v>
      </c>
      <c r="U306" s="5" t="str">
        <f>IFERROR(__xludf.DUMMYFUNCTION("""COMPUTED_VALUE"""),"Yes")</f>
        <v>Yes</v>
      </c>
      <c r="V306" s="5" t="str">
        <f>IFERROR(__xludf.DUMMYFUNCTION("""COMPUTED_VALUE"""),"Yes")</f>
        <v>Yes</v>
      </c>
      <c r="W306" s="5" t="str">
        <f>IFERROR(__xludf.DUMMYFUNCTION("""COMPUTED_VALUE"""),"Yes")</f>
        <v>Yes</v>
      </c>
      <c r="X306" s="5" t="str">
        <f>IFERROR(__xludf.DUMMYFUNCTION("""COMPUTED_VALUE"""),"Yes")</f>
        <v>Yes</v>
      </c>
      <c r="Y306" s="5" t="str">
        <f>IFERROR(__xludf.DUMMYFUNCTION("""COMPUTED_VALUE"""),"Yes")</f>
        <v>Yes</v>
      </c>
      <c r="Z306" s="5" t="str">
        <f>IFERROR(__xludf.DUMMYFUNCTION("""COMPUTED_VALUE"""),"Yes")</f>
        <v>Yes</v>
      </c>
      <c r="AA306" s="5" t="str">
        <f>IFERROR(__xludf.DUMMYFUNCTION("""COMPUTED_VALUE"""),"Yes")</f>
        <v>Yes</v>
      </c>
      <c r="AB306" s="5" t="str">
        <f>IFERROR(__xludf.DUMMYFUNCTION("""COMPUTED_VALUE"""),"Yes")</f>
        <v>Yes</v>
      </c>
      <c r="AC306" s="5" t="str">
        <f>IFERROR(__xludf.DUMMYFUNCTION("""COMPUTED_VALUE"""),"No")</f>
        <v>No</v>
      </c>
    </row>
    <row r="307">
      <c r="A307" s="5" t="str">
        <f>IFERROR(__xludf.DUMMYFUNCTION("""COMPUTED_VALUE"""),"LuckyMozzart")</f>
        <v>LuckyMozzart</v>
      </c>
      <c r="B3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7" s="5" t="str">
        <f>IFERROR(__xludf.DUMMYFUNCTION("""COMPUTED_VALUE"""),"Yes")</f>
        <v>Yes</v>
      </c>
      <c r="D307" s="5" t="str">
        <f>IFERROR(__xludf.DUMMYFUNCTION("""COMPUTED_VALUE"""),"Yes")</f>
        <v>Yes</v>
      </c>
      <c r="E307" s="5" t="str">
        <f>IFERROR(__xludf.DUMMYFUNCTION("""COMPUTED_VALUE"""),"Yes")</f>
        <v>Yes</v>
      </c>
      <c r="F307" s="5" t="str">
        <f>IFERROR(__xludf.DUMMYFUNCTION("""COMPUTED_VALUE"""),"Yes")</f>
        <v>Yes</v>
      </c>
      <c r="G307" s="5" t="str">
        <f>IFERROR(__xludf.DUMMYFUNCTION("""COMPUTED_VALUE"""),"Yes")</f>
        <v>Yes</v>
      </c>
      <c r="H307" s="5" t="str">
        <f>IFERROR(__xludf.DUMMYFUNCTION("""COMPUTED_VALUE"""),"Yes")</f>
        <v>Yes</v>
      </c>
      <c r="I307" s="5" t="str">
        <f>IFERROR(__xludf.DUMMYFUNCTION("""COMPUTED_VALUE"""),"Yes")</f>
        <v>Yes</v>
      </c>
      <c r="J307" s="5" t="str">
        <f>IFERROR(__xludf.DUMMYFUNCTION("""COMPUTED_VALUE"""),"Yes")</f>
        <v>Yes</v>
      </c>
      <c r="K307" s="5" t="str">
        <f>IFERROR(__xludf.DUMMYFUNCTION("""COMPUTED_VALUE"""),"Yes")</f>
        <v>Yes</v>
      </c>
      <c r="L307" s="5" t="str">
        <f>IFERROR(__xludf.DUMMYFUNCTION("""COMPUTED_VALUE"""),"Yes")</f>
        <v>Yes</v>
      </c>
      <c r="M307" s="5" t="str">
        <f>IFERROR(__xludf.DUMMYFUNCTION("""COMPUTED_VALUE"""),"Yes")</f>
        <v>Yes</v>
      </c>
      <c r="N307" s="5" t="str">
        <f>IFERROR(__xludf.DUMMYFUNCTION("""COMPUTED_VALUE"""),"Yes")</f>
        <v>Yes</v>
      </c>
      <c r="O307" s="5" t="str">
        <f>IFERROR(__xludf.DUMMYFUNCTION("""COMPUTED_VALUE"""),"Yes")</f>
        <v>Yes</v>
      </c>
      <c r="P307" s="5" t="str">
        <f>IFERROR(__xludf.DUMMYFUNCTION("""COMPUTED_VALUE"""),"Yes")</f>
        <v>Yes</v>
      </c>
      <c r="Q307" s="5" t="str">
        <f>IFERROR(__xludf.DUMMYFUNCTION("""COMPUTED_VALUE"""),"Yes")</f>
        <v>Yes</v>
      </c>
      <c r="R307" s="5" t="str">
        <f>IFERROR(__xludf.DUMMYFUNCTION("""COMPUTED_VALUE"""),"Yes")</f>
        <v>Yes</v>
      </c>
      <c r="S307" s="5" t="str">
        <f>IFERROR(__xludf.DUMMYFUNCTION("""COMPUTED_VALUE"""),"Yes")</f>
        <v>Yes</v>
      </c>
      <c r="T307" s="5" t="str">
        <f>IFERROR(__xludf.DUMMYFUNCTION("""COMPUTED_VALUE"""),"Yes")</f>
        <v>Yes</v>
      </c>
      <c r="U307" s="5" t="str">
        <f>IFERROR(__xludf.DUMMYFUNCTION("""COMPUTED_VALUE"""),"Yes")</f>
        <v>Yes</v>
      </c>
      <c r="V307" s="5" t="str">
        <f>IFERROR(__xludf.DUMMYFUNCTION("""COMPUTED_VALUE"""),"Yes")</f>
        <v>Yes</v>
      </c>
      <c r="W307" s="5" t="str">
        <f>IFERROR(__xludf.DUMMYFUNCTION("""COMPUTED_VALUE"""),"Yes")</f>
        <v>Yes</v>
      </c>
      <c r="X307" s="5" t="str">
        <f>IFERROR(__xludf.DUMMYFUNCTION("""COMPUTED_VALUE"""),"Yes")</f>
        <v>Yes</v>
      </c>
      <c r="Y307" s="5" t="str">
        <f>IFERROR(__xludf.DUMMYFUNCTION("""COMPUTED_VALUE"""),"Yes")</f>
        <v>Yes</v>
      </c>
      <c r="Z307" s="5" t="str">
        <f>IFERROR(__xludf.DUMMYFUNCTION("""COMPUTED_VALUE"""),"Yes")</f>
        <v>Yes</v>
      </c>
      <c r="AA307" s="5" t="str">
        <f>IFERROR(__xludf.DUMMYFUNCTION("""COMPUTED_VALUE"""),"Yes")</f>
        <v>Yes</v>
      </c>
      <c r="AB307" s="5" t="str">
        <f>IFERROR(__xludf.DUMMYFUNCTION("""COMPUTED_VALUE"""),"Yes")</f>
        <v>Yes</v>
      </c>
      <c r="AC307" s="5" t="str">
        <f>IFERROR(__xludf.DUMMYFUNCTION("""COMPUTED_VALUE"""),"No")</f>
        <v>No</v>
      </c>
    </row>
    <row r="308">
      <c r="A308" s="5" t="str">
        <f>IFERROR(__xludf.DUMMYFUNCTION("""COMPUTED_VALUE"""),"RedstoneLadyTripleFortune")</f>
        <v>RedstoneLadyTripleFortune</v>
      </c>
      <c r="B3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8" s="5" t="str">
        <f>IFERROR(__xludf.DUMMYFUNCTION("""COMPUTED_VALUE"""),"Yes")</f>
        <v>Yes</v>
      </c>
      <c r="D308" s="5" t="str">
        <f>IFERROR(__xludf.DUMMYFUNCTION("""COMPUTED_VALUE"""),"Yes")</f>
        <v>Yes</v>
      </c>
      <c r="E308" s="5" t="str">
        <f>IFERROR(__xludf.DUMMYFUNCTION("""COMPUTED_VALUE"""),"Yes")</f>
        <v>Yes</v>
      </c>
      <c r="F308" s="5" t="str">
        <f>IFERROR(__xludf.DUMMYFUNCTION("""COMPUTED_VALUE"""),"Yes")</f>
        <v>Yes</v>
      </c>
      <c r="G308" s="5" t="str">
        <f>IFERROR(__xludf.DUMMYFUNCTION("""COMPUTED_VALUE"""),"Yes")</f>
        <v>Yes</v>
      </c>
      <c r="H308" s="5" t="str">
        <f>IFERROR(__xludf.DUMMYFUNCTION("""COMPUTED_VALUE"""),"Yes")</f>
        <v>Yes</v>
      </c>
      <c r="I308" s="5" t="str">
        <f>IFERROR(__xludf.DUMMYFUNCTION("""COMPUTED_VALUE"""),"Yes")</f>
        <v>Yes</v>
      </c>
      <c r="J308" s="5" t="str">
        <f>IFERROR(__xludf.DUMMYFUNCTION("""COMPUTED_VALUE"""),"Yes")</f>
        <v>Yes</v>
      </c>
      <c r="K308" s="5" t="str">
        <f>IFERROR(__xludf.DUMMYFUNCTION("""COMPUTED_VALUE"""),"Yes")</f>
        <v>Yes</v>
      </c>
      <c r="L308" s="5" t="str">
        <f>IFERROR(__xludf.DUMMYFUNCTION("""COMPUTED_VALUE"""),"Yes")</f>
        <v>Yes</v>
      </c>
      <c r="M308" s="5" t="str">
        <f>IFERROR(__xludf.DUMMYFUNCTION("""COMPUTED_VALUE"""),"Yes")</f>
        <v>Yes</v>
      </c>
      <c r="N308" s="5" t="str">
        <f>IFERROR(__xludf.DUMMYFUNCTION("""COMPUTED_VALUE"""),"Yes")</f>
        <v>Yes</v>
      </c>
      <c r="O308" s="5" t="str">
        <f>IFERROR(__xludf.DUMMYFUNCTION("""COMPUTED_VALUE"""),"Yes")</f>
        <v>Yes</v>
      </c>
      <c r="P308" s="5" t="str">
        <f>IFERROR(__xludf.DUMMYFUNCTION("""COMPUTED_VALUE"""),"Yes")</f>
        <v>Yes</v>
      </c>
      <c r="Q308" s="5" t="str">
        <f>IFERROR(__xludf.DUMMYFUNCTION("""COMPUTED_VALUE"""),"Yes")</f>
        <v>Yes</v>
      </c>
      <c r="R308" s="5" t="str">
        <f>IFERROR(__xludf.DUMMYFUNCTION("""COMPUTED_VALUE"""),"Yes")</f>
        <v>Yes</v>
      </c>
      <c r="S308" s="5" t="str">
        <f>IFERROR(__xludf.DUMMYFUNCTION("""COMPUTED_VALUE"""),"Yes")</f>
        <v>Yes</v>
      </c>
      <c r="T308" s="5" t="str">
        <f>IFERROR(__xludf.DUMMYFUNCTION("""COMPUTED_VALUE"""),"Yes")</f>
        <v>Yes</v>
      </c>
      <c r="U308" s="5" t="str">
        <f>IFERROR(__xludf.DUMMYFUNCTION("""COMPUTED_VALUE"""),"Yes")</f>
        <v>Yes</v>
      </c>
      <c r="V308" s="5"/>
      <c r="W308" s="5"/>
      <c r="X308" s="5"/>
      <c r="Y308" s="5"/>
      <c r="Z308" s="5" t="str">
        <f>IFERROR(__xludf.DUMMYFUNCTION("""COMPUTED_VALUE"""),"Yes")</f>
        <v>Yes</v>
      </c>
      <c r="AA308" s="5"/>
      <c r="AB308" s="5"/>
      <c r="AC308" s="5"/>
    </row>
    <row r="309">
      <c r="A309" s="5" t="str">
        <f>IFERROR(__xludf.DUMMYFUNCTION("""COMPUTED_VALUE"""),"RedstoneHotRushStarsDeluxe")</f>
        <v>RedstoneHotRushStarsDeluxe</v>
      </c>
      <c r="B30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09" s="5" t="str">
        <f>IFERROR(__xludf.DUMMYFUNCTION("""COMPUTED_VALUE"""),"Yes")</f>
        <v>Yes</v>
      </c>
      <c r="D309" s="5" t="str">
        <f>IFERROR(__xludf.DUMMYFUNCTION("""COMPUTED_VALUE"""),"Yes")</f>
        <v>Yes</v>
      </c>
      <c r="E309" s="5" t="str">
        <f>IFERROR(__xludf.DUMMYFUNCTION("""COMPUTED_VALUE"""),"No")</f>
        <v>No</v>
      </c>
      <c r="F309" s="5" t="str">
        <f>IFERROR(__xludf.DUMMYFUNCTION("""COMPUTED_VALUE"""),"Yes")</f>
        <v>Yes</v>
      </c>
      <c r="G309" s="5" t="str">
        <f>IFERROR(__xludf.DUMMYFUNCTION("""COMPUTED_VALUE"""),"Yes")</f>
        <v>Yes</v>
      </c>
      <c r="H309" s="5" t="str">
        <f>IFERROR(__xludf.DUMMYFUNCTION("""COMPUTED_VALUE"""),"Yes")</f>
        <v>Yes</v>
      </c>
      <c r="I309" s="5" t="str">
        <f>IFERROR(__xludf.DUMMYFUNCTION("""COMPUTED_VALUE"""),"Yes")</f>
        <v>Yes</v>
      </c>
      <c r="J309" s="5" t="str">
        <f>IFERROR(__xludf.DUMMYFUNCTION("""COMPUTED_VALUE"""),"Yes")</f>
        <v>Yes</v>
      </c>
      <c r="K309" s="5" t="str">
        <f>IFERROR(__xludf.DUMMYFUNCTION("""COMPUTED_VALUE"""),"Yes")</f>
        <v>Yes</v>
      </c>
      <c r="L309" s="5" t="str">
        <f>IFERROR(__xludf.DUMMYFUNCTION("""COMPUTED_VALUE"""),"Yes")</f>
        <v>Yes</v>
      </c>
      <c r="M309" s="5" t="str">
        <f>IFERROR(__xludf.DUMMYFUNCTION("""COMPUTED_VALUE"""),"Yes")</f>
        <v>Yes</v>
      </c>
      <c r="N309" s="5" t="str">
        <f>IFERROR(__xludf.DUMMYFUNCTION("""COMPUTED_VALUE"""),"Yes")</f>
        <v>Yes</v>
      </c>
      <c r="O309" s="5" t="str">
        <f>IFERROR(__xludf.DUMMYFUNCTION("""COMPUTED_VALUE"""),"Yes")</f>
        <v>Yes</v>
      </c>
      <c r="P309" s="5" t="str">
        <f>IFERROR(__xludf.DUMMYFUNCTION("""COMPUTED_VALUE"""),"Yes")</f>
        <v>Yes</v>
      </c>
      <c r="Q309" s="5" t="str">
        <f>IFERROR(__xludf.DUMMYFUNCTION("""COMPUTED_VALUE"""),"Yes")</f>
        <v>Yes</v>
      </c>
      <c r="R309" s="5" t="str">
        <f>IFERROR(__xludf.DUMMYFUNCTION("""COMPUTED_VALUE"""),"No")</f>
        <v>No</v>
      </c>
      <c r="S309" s="5" t="str">
        <f>IFERROR(__xludf.DUMMYFUNCTION("""COMPUTED_VALUE"""),"No")</f>
        <v>No</v>
      </c>
      <c r="T309" s="5" t="str">
        <f>IFERROR(__xludf.DUMMYFUNCTION("""COMPUTED_VALUE"""),"No")</f>
        <v>No</v>
      </c>
      <c r="U309" s="5" t="str">
        <f>IFERROR(__xludf.DUMMYFUNCTION("""COMPUTED_VALUE"""),"No")</f>
        <v>No</v>
      </c>
      <c r="V309" s="5" t="str">
        <f>IFERROR(__xludf.DUMMYFUNCTION("""COMPUTED_VALUE"""),"No")</f>
        <v>No</v>
      </c>
      <c r="W309" s="5" t="str">
        <f>IFERROR(__xludf.DUMMYFUNCTION("""COMPUTED_VALUE"""),"No")</f>
        <v>No</v>
      </c>
      <c r="X309" s="5" t="str">
        <f>IFERROR(__xludf.DUMMYFUNCTION("""COMPUTED_VALUE"""),"No")</f>
        <v>No</v>
      </c>
      <c r="Y309" s="5" t="str">
        <f>IFERROR(__xludf.DUMMYFUNCTION("""COMPUTED_VALUE"""),"No")</f>
        <v>No</v>
      </c>
      <c r="Z309" s="5" t="str">
        <f>IFERROR(__xludf.DUMMYFUNCTION("""COMPUTED_VALUE"""),"No")</f>
        <v>No</v>
      </c>
      <c r="AA309" s="5" t="str">
        <f>IFERROR(__xludf.DUMMYFUNCTION("""COMPUTED_VALUE"""),"No")</f>
        <v>No</v>
      </c>
      <c r="AB309" s="5" t="str">
        <f>IFERROR(__xludf.DUMMYFUNCTION("""COMPUTED_VALUE"""),"Yes")</f>
        <v>Yes</v>
      </c>
      <c r="AC309" s="5" t="str">
        <f>IFERROR(__xludf.DUMMYFUNCTION("""COMPUTED_VALUE"""),"No")</f>
        <v>No</v>
      </c>
    </row>
    <row r="310">
      <c r="A310" s="5" t="str">
        <f>IFERROR(__xludf.DUMMYFUNCTION("""COMPUTED_VALUE"""),"Wild81")</f>
        <v>Wild81</v>
      </c>
      <c r="B3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0" s="5" t="str">
        <f>IFERROR(__xludf.DUMMYFUNCTION("""COMPUTED_VALUE"""),"Yes")</f>
        <v>Yes</v>
      </c>
      <c r="D310" s="5" t="str">
        <f>IFERROR(__xludf.DUMMYFUNCTION("""COMPUTED_VALUE"""),"Yes")</f>
        <v>Yes</v>
      </c>
      <c r="E310" s="5" t="str">
        <f>IFERROR(__xludf.DUMMYFUNCTION("""COMPUTED_VALUE"""),"Yes")</f>
        <v>Yes</v>
      </c>
      <c r="F310" s="5" t="str">
        <f>IFERROR(__xludf.DUMMYFUNCTION("""COMPUTED_VALUE"""),"Yes")</f>
        <v>Yes</v>
      </c>
      <c r="G310" s="5" t="str">
        <f>IFERROR(__xludf.DUMMYFUNCTION("""COMPUTED_VALUE"""),"Yes")</f>
        <v>Yes</v>
      </c>
      <c r="H310" s="5" t="str">
        <f>IFERROR(__xludf.DUMMYFUNCTION("""COMPUTED_VALUE"""),"Yes")</f>
        <v>Yes</v>
      </c>
      <c r="I310" s="5" t="str">
        <f>IFERROR(__xludf.DUMMYFUNCTION("""COMPUTED_VALUE"""),"Yes")</f>
        <v>Yes</v>
      </c>
      <c r="J310" s="5" t="str">
        <f>IFERROR(__xludf.DUMMYFUNCTION("""COMPUTED_VALUE"""),"Yes")</f>
        <v>Yes</v>
      </c>
      <c r="K310" s="5" t="str">
        <f>IFERROR(__xludf.DUMMYFUNCTION("""COMPUTED_VALUE"""),"Yes")</f>
        <v>Yes</v>
      </c>
      <c r="L310" s="5" t="str">
        <f>IFERROR(__xludf.DUMMYFUNCTION("""COMPUTED_VALUE"""),"Yes")</f>
        <v>Yes</v>
      </c>
      <c r="M310" s="5" t="str">
        <f>IFERROR(__xludf.DUMMYFUNCTION("""COMPUTED_VALUE"""),"Yes")</f>
        <v>Yes</v>
      </c>
      <c r="N310" s="5" t="str">
        <f>IFERROR(__xludf.DUMMYFUNCTION("""COMPUTED_VALUE"""),"Yes")</f>
        <v>Yes</v>
      </c>
      <c r="O310" s="5" t="str">
        <f>IFERROR(__xludf.DUMMYFUNCTION("""COMPUTED_VALUE"""),"Yes")</f>
        <v>Yes</v>
      </c>
      <c r="P310" s="5" t="str">
        <f>IFERROR(__xludf.DUMMYFUNCTION("""COMPUTED_VALUE"""),"Yes")</f>
        <v>Yes</v>
      </c>
      <c r="Q310" s="5" t="str">
        <f>IFERROR(__xludf.DUMMYFUNCTION("""COMPUTED_VALUE"""),"Yes")</f>
        <v>Yes</v>
      </c>
      <c r="R310" s="5" t="str">
        <f>IFERROR(__xludf.DUMMYFUNCTION("""COMPUTED_VALUE"""),"Yes")</f>
        <v>Yes</v>
      </c>
      <c r="S310" s="5" t="str">
        <f>IFERROR(__xludf.DUMMYFUNCTION("""COMPUTED_VALUE"""),"Yes")</f>
        <v>Yes</v>
      </c>
      <c r="T310" s="5" t="str">
        <f>IFERROR(__xludf.DUMMYFUNCTION("""COMPUTED_VALUE"""),"Yes")</f>
        <v>Yes</v>
      </c>
      <c r="U310" s="5" t="str">
        <f>IFERROR(__xludf.DUMMYFUNCTION("""COMPUTED_VALUE"""),"Yes")</f>
        <v>Yes</v>
      </c>
      <c r="V310" s="5" t="str">
        <f>IFERROR(__xludf.DUMMYFUNCTION("""COMPUTED_VALUE"""),"Yes")</f>
        <v>Yes</v>
      </c>
      <c r="W310" s="5" t="str">
        <f>IFERROR(__xludf.DUMMYFUNCTION("""COMPUTED_VALUE"""),"Yes")</f>
        <v>Yes</v>
      </c>
      <c r="X310" s="5" t="str">
        <f>IFERROR(__xludf.DUMMYFUNCTION("""COMPUTED_VALUE"""),"Yes")</f>
        <v>Yes</v>
      </c>
      <c r="Y310" s="5" t="str">
        <f>IFERROR(__xludf.DUMMYFUNCTION("""COMPUTED_VALUE"""),"Yes")</f>
        <v>Yes</v>
      </c>
      <c r="Z310" s="5" t="str">
        <f>IFERROR(__xludf.DUMMYFUNCTION("""COMPUTED_VALUE"""),"Yes")</f>
        <v>Yes</v>
      </c>
      <c r="AA310" s="5" t="str">
        <f>IFERROR(__xludf.DUMMYFUNCTION("""COMPUTED_VALUE"""),"Yes")</f>
        <v>Yes</v>
      </c>
      <c r="AB310" s="5" t="str">
        <f>IFERROR(__xludf.DUMMYFUNCTION("""COMPUTED_VALUE"""),"Yes")</f>
        <v>Yes</v>
      </c>
      <c r="AC310" s="5" t="str">
        <f>IFERROR(__xludf.DUMMYFUNCTION("""COMPUTED_VALUE"""),"No")</f>
        <v>No</v>
      </c>
    </row>
    <row r="311">
      <c r="A311" s="5" t="str">
        <f>IFERROR(__xludf.DUMMYFUNCTION("""COMPUTED_VALUE"""),"MysticJungle")</f>
        <v>MysticJungle</v>
      </c>
      <c r="B3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1" s="5" t="str">
        <f>IFERROR(__xludf.DUMMYFUNCTION("""COMPUTED_VALUE"""),"Yes")</f>
        <v>Yes</v>
      </c>
      <c r="D311" s="5" t="str">
        <f>IFERROR(__xludf.DUMMYFUNCTION("""COMPUTED_VALUE"""),"Yes")</f>
        <v>Yes</v>
      </c>
      <c r="E311" s="5" t="str">
        <f>IFERROR(__xludf.DUMMYFUNCTION("""COMPUTED_VALUE"""),"Yes")</f>
        <v>Yes</v>
      </c>
      <c r="F311" s="5" t="str">
        <f>IFERROR(__xludf.DUMMYFUNCTION("""COMPUTED_VALUE"""),"Yes")</f>
        <v>Yes</v>
      </c>
      <c r="G311" s="5" t="str">
        <f>IFERROR(__xludf.DUMMYFUNCTION("""COMPUTED_VALUE"""),"Yes")</f>
        <v>Yes</v>
      </c>
      <c r="H311" s="5" t="str">
        <f>IFERROR(__xludf.DUMMYFUNCTION("""COMPUTED_VALUE"""),"Yes")</f>
        <v>Yes</v>
      </c>
      <c r="I311" s="5" t="str">
        <f>IFERROR(__xludf.DUMMYFUNCTION("""COMPUTED_VALUE"""),"Yes")</f>
        <v>Yes</v>
      </c>
      <c r="J311" s="5" t="str">
        <f>IFERROR(__xludf.DUMMYFUNCTION("""COMPUTED_VALUE"""),"Yes")</f>
        <v>Yes</v>
      </c>
      <c r="K311" s="5" t="str">
        <f>IFERROR(__xludf.DUMMYFUNCTION("""COMPUTED_VALUE"""),"Yes")</f>
        <v>Yes</v>
      </c>
      <c r="L311" s="5" t="str">
        <f>IFERROR(__xludf.DUMMYFUNCTION("""COMPUTED_VALUE"""),"Yes")</f>
        <v>Yes</v>
      </c>
      <c r="M311" s="5" t="str">
        <f>IFERROR(__xludf.DUMMYFUNCTION("""COMPUTED_VALUE"""),"Yes")</f>
        <v>Yes</v>
      </c>
      <c r="N311" s="5" t="str">
        <f>IFERROR(__xludf.DUMMYFUNCTION("""COMPUTED_VALUE"""),"Yes")</f>
        <v>Yes</v>
      </c>
      <c r="O311" s="5" t="str">
        <f>IFERROR(__xludf.DUMMYFUNCTION("""COMPUTED_VALUE"""),"Yes")</f>
        <v>Yes</v>
      </c>
      <c r="P311" s="5" t="str">
        <f>IFERROR(__xludf.DUMMYFUNCTION("""COMPUTED_VALUE"""),"Yes")</f>
        <v>Yes</v>
      </c>
      <c r="Q311" s="5" t="str">
        <f>IFERROR(__xludf.DUMMYFUNCTION("""COMPUTED_VALUE"""),"Yes")</f>
        <v>Yes</v>
      </c>
      <c r="R311" s="5" t="str">
        <f>IFERROR(__xludf.DUMMYFUNCTION("""COMPUTED_VALUE"""),"Yes")</f>
        <v>Yes</v>
      </c>
      <c r="S311" s="5" t="str">
        <f>IFERROR(__xludf.DUMMYFUNCTION("""COMPUTED_VALUE"""),"Yes")</f>
        <v>Yes</v>
      </c>
      <c r="T311" s="5" t="str">
        <f>IFERROR(__xludf.DUMMYFUNCTION("""COMPUTED_VALUE"""),"Yes")</f>
        <v>Yes</v>
      </c>
      <c r="U311" s="5" t="str">
        <f>IFERROR(__xludf.DUMMYFUNCTION("""COMPUTED_VALUE"""),"Yes")</f>
        <v>Yes</v>
      </c>
      <c r="V311" s="5" t="str">
        <f>IFERROR(__xludf.DUMMYFUNCTION("""COMPUTED_VALUE"""),"Yes")</f>
        <v>Yes</v>
      </c>
      <c r="W311" s="5" t="str">
        <f>IFERROR(__xludf.DUMMYFUNCTION("""COMPUTED_VALUE"""),"Yes")</f>
        <v>Yes</v>
      </c>
      <c r="X311" s="5" t="str">
        <f>IFERROR(__xludf.DUMMYFUNCTION("""COMPUTED_VALUE"""),"Yes")</f>
        <v>Yes</v>
      </c>
      <c r="Y311" s="5" t="str">
        <f>IFERROR(__xludf.DUMMYFUNCTION("""COMPUTED_VALUE"""),"Yes")</f>
        <v>Yes</v>
      </c>
      <c r="Z311" s="5" t="str">
        <f>IFERROR(__xludf.DUMMYFUNCTION("""COMPUTED_VALUE"""),"Yes")</f>
        <v>Yes</v>
      </c>
      <c r="AA311" s="5" t="str">
        <f>IFERROR(__xludf.DUMMYFUNCTION("""COMPUTED_VALUE"""),"Yes")</f>
        <v>Yes</v>
      </c>
      <c r="AB311" s="5" t="str">
        <f>IFERROR(__xludf.DUMMYFUNCTION("""COMPUTED_VALUE"""),"Yes")</f>
        <v>Yes</v>
      </c>
      <c r="AC311" s="5" t="str">
        <f>IFERROR(__xludf.DUMMYFUNCTION("""COMPUTED_VALUE"""),"No")</f>
        <v>No</v>
      </c>
    </row>
    <row r="312">
      <c r="A312" s="5" t="str">
        <f>IFERROR(__xludf.DUMMYFUNCTION("""COMPUTED_VALUE"""),"RedstoneSlotRoyale")</f>
        <v>RedstoneSlotRoyale</v>
      </c>
      <c r="B3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12" s="5" t="str">
        <f>IFERROR(__xludf.DUMMYFUNCTION("""COMPUTED_VALUE"""),"Yes")</f>
        <v>Yes</v>
      </c>
      <c r="D312" s="5" t="str">
        <f>IFERROR(__xludf.DUMMYFUNCTION("""COMPUTED_VALUE"""),"Yes")</f>
        <v>Yes</v>
      </c>
      <c r="E312" s="5" t="str">
        <f>IFERROR(__xludf.DUMMYFUNCTION("""COMPUTED_VALUE"""),"Yes")</f>
        <v>Yes</v>
      </c>
      <c r="F312" s="5" t="str">
        <f>IFERROR(__xludf.DUMMYFUNCTION("""COMPUTED_VALUE"""),"Yes")</f>
        <v>Yes</v>
      </c>
      <c r="G312" s="5" t="str">
        <f>IFERROR(__xludf.DUMMYFUNCTION("""COMPUTED_VALUE"""),"Yes")</f>
        <v>Yes</v>
      </c>
      <c r="H312" s="5" t="str">
        <f>IFERROR(__xludf.DUMMYFUNCTION("""COMPUTED_VALUE"""),"Yes")</f>
        <v>Yes</v>
      </c>
      <c r="I312" s="5" t="str">
        <f>IFERROR(__xludf.DUMMYFUNCTION("""COMPUTED_VALUE"""),"Yes")</f>
        <v>Yes</v>
      </c>
      <c r="J312" s="5" t="str">
        <f>IFERROR(__xludf.DUMMYFUNCTION("""COMPUTED_VALUE"""),"Yes")</f>
        <v>Yes</v>
      </c>
      <c r="K312" s="5" t="str">
        <f>IFERROR(__xludf.DUMMYFUNCTION("""COMPUTED_VALUE"""),"Yes")</f>
        <v>Yes</v>
      </c>
      <c r="L312" s="5" t="str">
        <f>IFERROR(__xludf.DUMMYFUNCTION("""COMPUTED_VALUE"""),"Yes")</f>
        <v>Yes</v>
      </c>
      <c r="M312" s="5" t="str">
        <f>IFERROR(__xludf.DUMMYFUNCTION("""COMPUTED_VALUE"""),"Yes")</f>
        <v>Yes</v>
      </c>
      <c r="N312" s="5" t="str">
        <f>IFERROR(__xludf.DUMMYFUNCTION("""COMPUTED_VALUE"""),"Yes")</f>
        <v>Yes</v>
      </c>
      <c r="O312" s="5" t="str">
        <f>IFERROR(__xludf.DUMMYFUNCTION("""COMPUTED_VALUE"""),"Yes")</f>
        <v>Yes</v>
      </c>
      <c r="P312" s="5" t="str">
        <f>IFERROR(__xludf.DUMMYFUNCTION("""COMPUTED_VALUE"""),"Yes")</f>
        <v>Yes</v>
      </c>
      <c r="Q312" s="5" t="str">
        <f>IFERROR(__xludf.DUMMYFUNCTION("""COMPUTED_VALUE"""),"Yes")</f>
        <v>Yes</v>
      </c>
      <c r="R312" s="5" t="str">
        <f>IFERROR(__xludf.DUMMYFUNCTION("""COMPUTED_VALUE"""),"Yes")</f>
        <v>Yes</v>
      </c>
      <c r="S312" s="5" t="str">
        <f>IFERROR(__xludf.DUMMYFUNCTION("""COMPUTED_VALUE"""),"Yes")</f>
        <v>Yes</v>
      </c>
      <c r="T312" s="5" t="str">
        <f>IFERROR(__xludf.DUMMYFUNCTION("""COMPUTED_VALUE"""),"Yes")</f>
        <v>Yes</v>
      </c>
      <c r="U312" s="5" t="str">
        <f>IFERROR(__xludf.DUMMYFUNCTION("""COMPUTED_VALUE"""),"Yes")</f>
        <v>Yes</v>
      </c>
      <c r="V312" s="5"/>
      <c r="W312" s="5" t="str">
        <f>IFERROR(__xludf.DUMMYFUNCTION("""COMPUTED_VALUE"""),"Yes")</f>
        <v>Yes</v>
      </c>
      <c r="X312" s="5"/>
      <c r="Y312" s="5"/>
      <c r="Z312" s="5" t="str">
        <f>IFERROR(__xludf.DUMMYFUNCTION("""COMPUTED_VALUE"""),"Yes")</f>
        <v>Yes</v>
      </c>
      <c r="AA312" s="5"/>
      <c r="AB312" s="5"/>
      <c r="AC312" s="5"/>
    </row>
    <row r="313">
      <c r="A313" s="5" t="str">
        <f>IFERROR(__xludf.DUMMYFUNCTION("""COMPUTED_VALUE"""),"RedstoneClover5LockAndCash")</f>
        <v>RedstoneClover5LockAndCash</v>
      </c>
      <c r="B31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13" s="5" t="str">
        <f>IFERROR(__xludf.DUMMYFUNCTION("""COMPUTED_VALUE"""),"Yes")</f>
        <v>Yes</v>
      </c>
      <c r="D313" s="5" t="str">
        <f>IFERROR(__xludf.DUMMYFUNCTION("""COMPUTED_VALUE"""),"Yes")</f>
        <v>Yes</v>
      </c>
      <c r="E313" s="5" t="str">
        <f>IFERROR(__xludf.DUMMYFUNCTION("""COMPUTED_VALUE"""),"No")</f>
        <v>No</v>
      </c>
      <c r="F313" s="5" t="str">
        <f>IFERROR(__xludf.DUMMYFUNCTION("""COMPUTED_VALUE"""),"Yes")</f>
        <v>Yes</v>
      </c>
      <c r="G313" s="5" t="str">
        <f>IFERROR(__xludf.DUMMYFUNCTION("""COMPUTED_VALUE"""),"Yes")</f>
        <v>Yes</v>
      </c>
      <c r="H313" s="5" t="str">
        <f>IFERROR(__xludf.DUMMYFUNCTION("""COMPUTED_VALUE"""),"Yes")</f>
        <v>Yes</v>
      </c>
      <c r="I313" s="5" t="str">
        <f>IFERROR(__xludf.DUMMYFUNCTION("""COMPUTED_VALUE"""),"Yes")</f>
        <v>Yes</v>
      </c>
      <c r="J313" s="5" t="str">
        <f>IFERROR(__xludf.DUMMYFUNCTION("""COMPUTED_VALUE"""),"Yes")</f>
        <v>Yes</v>
      </c>
      <c r="K313" s="5" t="str">
        <f>IFERROR(__xludf.DUMMYFUNCTION("""COMPUTED_VALUE"""),"Yes")</f>
        <v>Yes</v>
      </c>
      <c r="L313" s="5" t="str">
        <f>IFERROR(__xludf.DUMMYFUNCTION("""COMPUTED_VALUE"""),"Yes")</f>
        <v>Yes</v>
      </c>
      <c r="M313" s="5" t="str">
        <f>IFERROR(__xludf.DUMMYFUNCTION("""COMPUTED_VALUE"""),"Yes")</f>
        <v>Yes</v>
      </c>
      <c r="N313" s="5" t="str">
        <f>IFERROR(__xludf.DUMMYFUNCTION("""COMPUTED_VALUE"""),"Yes")</f>
        <v>Yes</v>
      </c>
      <c r="O313" s="5" t="str">
        <f>IFERROR(__xludf.DUMMYFUNCTION("""COMPUTED_VALUE"""),"Yes")</f>
        <v>Yes</v>
      </c>
      <c r="P313" s="5" t="str">
        <f>IFERROR(__xludf.DUMMYFUNCTION("""COMPUTED_VALUE"""),"Yes")</f>
        <v>Yes</v>
      </c>
      <c r="Q313" s="5" t="str">
        <f>IFERROR(__xludf.DUMMYFUNCTION("""COMPUTED_VALUE"""),"Yes")</f>
        <v>Yes</v>
      </c>
      <c r="R313" s="5" t="str">
        <f>IFERROR(__xludf.DUMMYFUNCTION("""COMPUTED_VALUE"""),"No")</f>
        <v>No</v>
      </c>
      <c r="S313" s="5" t="str">
        <f>IFERROR(__xludf.DUMMYFUNCTION("""COMPUTED_VALUE"""),"No")</f>
        <v>No</v>
      </c>
      <c r="T313" s="5" t="str">
        <f>IFERROR(__xludf.DUMMYFUNCTION("""COMPUTED_VALUE"""),"No")</f>
        <v>No</v>
      </c>
      <c r="U313" s="5" t="str">
        <f>IFERROR(__xludf.DUMMYFUNCTION("""COMPUTED_VALUE"""),"No")</f>
        <v>No</v>
      </c>
      <c r="V313" s="5" t="str">
        <f>IFERROR(__xludf.DUMMYFUNCTION("""COMPUTED_VALUE"""),"No")</f>
        <v>No</v>
      </c>
      <c r="W313" s="5" t="str">
        <f>IFERROR(__xludf.DUMMYFUNCTION("""COMPUTED_VALUE"""),"No")</f>
        <v>No</v>
      </c>
      <c r="X313" s="5" t="str">
        <f>IFERROR(__xludf.DUMMYFUNCTION("""COMPUTED_VALUE"""),"No")</f>
        <v>No</v>
      </c>
      <c r="Y313" s="5" t="str">
        <f>IFERROR(__xludf.DUMMYFUNCTION("""COMPUTED_VALUE"""),"No")</f>
        <v>No</v>
      </c>
      <c r="Z313" s="5" t="str">
        <f>IFERROR(__xludf.DUMMYFUNCTION("""COMPUTED_VALUE"""),"No")</f>
        <v>No</v>
      </c>
      <c r="AA313" s="5" t="str">
        <f>IFERROR(__xludf.DUMMYFUNCTION("""COMPUTED_VALUE"""),"No")</f>
        <v>No</v>
      </c>
      <c r="AB313" s="5" t="str">
        <f>IFERROR(__xludf.DUMMYFUNCTION("""COMPUTED_VALUE"""),"Yes")</f>
        <v>Yes</v>
      </c>
      <c r="AC313" s="5" t="str">
        <f>IFERROR(__xludf.DUMMYFUNCTION("""COMPUTED_VALUE"""),"No")</f>
        <v>No</v>
      </c>
    </row>
    <row r="314">
      <c r="A314" s="5" t="str">
        <f>IFERROR(__xludf.DUMMYFUNCTION("""COMPUTED_VALUE"""),"WildLuckyDice")</f>
        <v>WildLuckyDice</v>
      </c>
      <c r="B3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4" s="5" t="str">
        <f>IFERROR(__xludf.DUMMYFUNCTION("""COMPUTED_VALUE"""),"Yes")</f>
        <v>Yes</v>
      </c>
      <c r="D314" s="5" t="str">
        <f>IFERROR(__xludf.DUMMYFUNCTION("""COMPUTED_VALUE"""),"Yes")</f>
        <v>Yes</v>
      </c>
      <c r="E314" s="5" t="str">
        <f>IFERROR(__xludf.DUMMYFUNCTION("""COMPUTED_VALUE"""),"Yes")</f>
        <v>Yes</v>
      </c>
      <c r="F314" s="5" t="str">
        <f>IFERROR(__xludf.DUMMYFUNCTION("""COMPUTED_VALUE"""),"Yes")</f>
        <v>Yes</v>
      </c>
      <c r="G314" s="5" t="str">
        <f>IFERROR(__xludf.DUMMYFUNCTION("""COMPUTED_VALUE"""),"Yes")</f>
        <v>Yes</v>
      </c>
      <c r="H314" s="5" t="str">
        <f>IFERROR(__xludf.DUMMYFUNCTION("""COMPUTED_VALUE"""),"Yes")</f>
        <v>Yes</v>
      </c>
      <c r="I314" s="5" t="str">
        <f>IFERROR(__xludf.DUMMYFUNCTION("""COMPUTED_VALUE"""),"Yes")</f>
        <v>Yes</v>
      </c>
      <c r="J314" s="5" t="str">
        <f>IFERROR(__xludf.DUMMYFUNCTION("""COMPUTED_VALUE"""),"Yes")</f>
        <v>Yes</v>
      </c>
      <c r="K314" s="5" t="str">
        <f>IFERROR(__xludf.DUMMYFUNCTION("""COMPUTED_VALUE"""),"Yes")</f>
        <v>Yes</v>
      </c>
      <c r="L314" s="5" t="str">
        <f>IFERROR(__xludf.DUMMYFUNCTION("""COMPUTED_VALUE"""),"Yes")</f>
        <v>Yes</v>
      </c>
      <c r="M314" s="5" t="str">
        <f>IFERROR(__xludf.DUMMYFUNCTION("""COMPUTED_VALUE"""),"Yes")</f>
        <v>Yes</v>
      </c>
      <c r="N314" s="5" t="str">
        <f>IFERROR(__xludf.DUMMYFUNCTION("""COMPUTED_VALUE"""),"Yes")</f>
        <v>Yes</v>
      </c>
      <c r="O314" s="5" t="str">
        <f>IFERROR(__xludf.DUMMYFUNCTION("""COMPUTED_VALUE"""),"Yes")</f>
        <v>Yes</v>
      </c>
      <c r="P314" s="5" t="str">
        <f>IFERROR(__xludf.DUMMYFUNCTION("""COMPUTED_VALUE"""),"Yes")</f>
        <v>Yes</v>
      </c>
      <c r="Q314" s="5" t="str">
        <f>IFERROR(__xludf.DUMMYFUNCTION("""COMPUTED_VALUE"""),"Yes")</f>
        <v>Yes</v>
      </c>
      <c r="R314" s="5" t="str">
        <f>IFERROR(__xludf.DUMMYFUNCTION("""COMPUTED_VALUE"""),"Yes")</f>
        <v>Yes</v>
      </c>
      <c r="S314" s="5" t="str">
        <f>IFERROR(__xludf.DUMMYFUNCTION("""COMPUTED_VALUE"""),"Yes")</f>
        <v>Yes</v>
      </c>
      <c r="T314" s="5" t="str">
        <f>IFERROR(__xludf.DUMMYFUNCTION("""COMPUTED_VALUE"""),"Yes")</f>
        <v>Yes</v>
      </c>
      <c r="U314" s="5" t="str">
        <f>IFERROR(__xludf.DUMMYFUNCTION("""COMPUTED_VALUE"""),"Yes")</f>
        <v>Yes</v>
      </c>
      <c r="V314" s="5" t="str">
        <f>IFERROR(__xludf.DUMMYFUNCTION("""COMPUTED_VALUE"""),"Yes")</f>
        <v>Yes</v>
      </c>
      <c r="W314" s="5" t="str">
        <f>IFERROR(__xludf.DUMMYFUNCTION("""COMPUTED_VALUE"""),"Yes")</f>
        <v>Yes</v>
      </c>
      <c r="X314" s="5" t="str">
        <f>IFERROR(__xludf.DUMMYFUNCTION("""COMPUTED_VALUE"""),"Yes")</f>
        <v>Yes</v>
      </c>
      <c r="Y314" s="5" t="str">
        <f>IFERROR(__xludf.DUMMYFUNCTION("""COMPUTED_VALUE"""),"Yes")</f>
        <v>Yes</v>
      </c>
      <c r="Z314" s="5" t="str">
        <f>IFERROR(__xludf.DUMMYFUNCTION("""COMPUTED_VALUE"""),"Yes")</f>
        <v>Yes</v>
      </c>
      <c r="AA314" s="5" t="str">
        <f>IFERROR(__xludf.DUMMYFUNCTION("""COMPUTED_VALUE"""),"Yes")</f>
        <v>Yes</v>
      </c>
      <c r="AB314" s="5" t="str">
        <f>IFERROR(__xludf.DUMMYFUNCTION("""COMPUTED_VALUE"""),"Yes")</f>
        <v>Yes</v>
      </c>
      <c r="AC314" s="5" t="str">
        <f>IFERROR(__xludf.DUMMYFUNCTION("""COMPUTED_VALUE"""),"No")</f>
        <v>No</v>
      </c>
    </row>
    <row r="315">
      <c r="A315" s="5" t="str">
        <f>IFERROR(__xludf.DUMMYFUNCTION("""COMPUTED_VALUE"""),"EggspandingRush")</f>
        <v>EggspandingRush</v>
      </c>
      <c r="B3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5" s="5" t="str">
        <f>IFERROR(__xludf.DUMMYFUNCTION("""COMPUTED_VALUE"""),"Yes")</f>
        <v>Yes</v>
      </c>
      <c r="D315" s="5" t="str">
        <f>IFERROR(__xludf.DUMMYFUNCTION("""COMPUTED_VALUE"""),"Yes")</f>
        <v>Yes</v>
      </c>
      <c r="E315" s="5" t="str">
        <f>IFERROR(__xludf.DUMMYFUNCTION("""COMPUTED_VALUE"""),"Yes")</f>
        <v>Yes</v>
      </c>
      <c r="F315" s="5" t="str">
        <f>IFERROR(__xludf.DUMMYFUNCTION("""COMPUTED_VALUE"""),"Yes")</f>
        <v>Yes</v>
      </c>
      <c r="G315" s="5" t="str">
        <f>IFERROR(__xludf.DUMMYFUNCTION("""COMPUTED_VALUE"""),"Yes")</f>
        <v>Yes</v>
      </c>
      <c r="H315" s="5" t="str">
        <f>IFERROR(__xludf.DUMMYFUNCTION("""COMPUTED_VALUE"""),"Yes")</f>
        <v>Yes</v>
      </c>
      <c r="I315" s="5" t="str">
        <f>IFERROR(__xludf.DUMMYFUNCTION("""COMPUTED_VALUE"""),"Yes")</f>
        <v>Yes</v>
      </c>
      <c r="J315" s="5" t="str">
        <f>IFERROR(__xludf.DUMMYFUNCTION("""COMPUTED_VALUE"""),"Yes")</f>
        <v>Yes</v>
      </c>
      <c r="K315" s="5" t="str">
        <f>IFERROR(__xludf.DUMMYFUNCTION("""COMPUTED_VALUE"""),"Yes")</f>
        <v>Yes</v>
      </c>
      <c r="L315" s="5" t="str">
        <f>IFERROR(__xludf.DUMMYFUNCTION("""COMPUTED_VALUE"""),"Yes")</f>
        <v>Yes</v>
      </c>
      <c r="M315" s="5" t="str">
        <f>IFERROR(__xludf.DUMMYFUNCTION("""COMPUTED_VALUE"""),"Yes")</f>
        <v>Yes</v>
      </c>
      <c r="N315" s="5" t="str">
        <f>IFERROR(__xludf.DUMMYFUNCTION("""COMPUTED_VALUE"""),"Yes")</f>
        <v>Yes</v>
      </c>
      <c r="O315" s="5" t="str">
        <f>IFERROR(__xludf.DUMMYFUNCTION("""COMPUTED_VALUE"""),"Yes")</f>
        <v>Yes</v>
      </c>
      <c r="P315" s="5" t="str">
        <f>IFERROR(__xludf.DUMMYFUNCTION("""COMPUTED_VALUE"""),"Yes")</f>
        <v>Yes</v>
      </c>
      <c r="Q315" s="5" t="str">
        <f>IFERROR(__xludf.DUMMYFUNCTION("""COMPUTED_VALUE"""),"Yes")</f>
        <v>Yes</v>
      </c>
      <c r="R315" s="5" t="str">
        <f>IFERROR(__xludf.DUMMYFUNCTION("""COMPUTED_VALUE"""),"Yes")</f>
        <v>Yes</v>
      </c>
      <c r="S315" s="5" t="str">
        <f>IFERROR(__xludf.DUMMYFUNCTION("""COMPUTED_VALUE"""),"Yes")</f>
        <v>Yes</v>
      </c>
      <c r="T315" s="5" t="str">
        <f>IFERROR(__xludf.DUMMYFUNCTION("""COMPUTED_VALUE"""),"Yes")</f>
        <v>Yes</v>
      </c>
      <c r="U315" s="5" t="str">
        <f>IFERROR(__xludf.DUMMYFUNCTION("""COMPUTED_VALUE"""),"Yes")</f>
        <v>Yes</v>
      </c>
      <c r="V315" s="5" t="str">
        <f>IFERROR(__xludf.DUMMYFUNCTION("""COMPUTED_VALUE"""),"Yes")</f>
        <v>Yes</v>
      </c>
      <c r="W315" s="5" t="str">
        <f>IFERROR(__xludf.DUMMYFUNCTION("""COMPUTED_VALUE"""),"Yes")</f>
        <v>Yes</v>
      </c>
      <c r="X315" s="5" t="str">
        <f>IFERROR(__xludf.DUMMYFUNCTION("""COMPUTED_VALUE"""),"Yes")</f>
        <v>Yes</v>
      </c>
      <c r="Y315" s="5" t="str">
        <f>IFERROR(__xludf.DUMMYFUNCTION("""COMPUTED_VALUE"""),"Yes")</f>
        <v>Yes</v>
      </c>
      <c r="Z315" s="5" t="str">
        <f>IFERROR(__xludf.DUMMYFUNCTION("""COMPUTED_VALUE"""),"Yes")</f>
        <v>Yes</v>
      </c>
      <c r="AA315" s="5" t="str">
        <f>IFERROR(__xludf.DUMMYFUNCTION("""COMPUTED_VALUE"""),"Yes")</f>
        <v>Yes</v>
      </c>
      <c r="AB315" s="5" t="str">
        <f>IFERROR(__xludf.DUMMYFUNCTION("""COMPUTED_VALUE"""),"Yes")</f>
        <v>Yes</v>
      </c>
      <c r="AC315" s="5" t="str">
        <f>IFERROR(__xludf.DUMMYFUNCTION("""COMPUTED_VALUE"""),"No")</f>
        <v>No</v>
      </c>
    </row>
    <row r="316">
      <c r="A316" s="5" t="str">
        <f>IFERROR(__xludf.DUMMYFUNCTION("""COMPUTED_VALUE"""),"MozzartWild40")</f>
        <v>MozzartWild40</v>
      </c>
      <c r="B3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6" s="5" t="str">
        <f>IFERROR(__xludf.DUMMYFUNCTION("""COMPUTED_VALUE"""),"Yes")</f>
        <v>Yes</v>
      </c>
      <c r="D316" s="5" t="str">
        <f>IFERROR(__xludf.DUMMYFUNCTION("""COMPUTED_VALUE"""),"Yes")</f>
        <v>Yes</v>
      </c>
      <c r="E316" s="5" t="str">
        <f>IFERROR(__xludf.DUMMYFUNCTION("""COMPUTED_VALUE"""),"Yes")</f>
        <v>Yes</v>
      </c>
      <c r="F316" s="5" t="str">
        <f>IFERROR(__xludf.DUMMYFUNCTION("""COMPUTED_VALUE"""),"Yes")</f>
        <v>Yes</v>
      </c>
      <c r="G316" s="5" t="str">
        <f>IFERROR(__xludf.DUMMYFUNCTION("""COMPUTED_VALUE"""),"Yes")</f>
        <v>Yes</v>
      </c>
      <c r="H316" s="5" t="str">
        <f>IFERROR(__xludf.DUMMYFUNCTION("""COMPUTED_VALUE"""),"Yes")</f>
        <v>Yes</v>
      </c>
      <c r="I316" s="5" t="str">
        <f>IFERROR(__xludf.DUMMYFUNCTION("""COMPUTED_VALUE"""),"Yes")</f>
        <v>Yes</v>
      </c>
      <c r="J316" s="5" t="str">
        <f>IFERROR(__xludf.DUMMYFUNCTION("""COMPUTED_VALUE"""),"Yes")</f>
        <v>Yes</v>
      </c>
      <c r="K316" s="5" t="str">
        <f>IFERROR(__xludf.DUMMYFUNCTION("""COMPUTED_VALUE"""),"Yes")</f>
        <v>Yes</v>
      </c>
      <c r="L316" s="5" t="str">
        <f>IFERROR(__xludf.DUMMYFUNCTION("""COMPUTED_VALUE"""),"Yes")</f>
        <v>Yes</v>
      </c>
      <c r="M316" s="5" t="str">
        <f>IFERROR(__xludf.DUMMYFUNCTION("""COMPUTED_VALUE"""),"Yes")</f>
        <v>Yes</v>
      </c>
      <c r="N316" s="5" t="str">
        <f>IFERROR(__xludf.DUMMYFUNCTION("""COMPUTED_VALUE"""),"Yes")</f>
        <v>Yes</v>
      </c>
      <c r="O316" s="5" t="str">
        <f>IFERROR(__xludf.DUMMYFUNCTION("""COMPUTED_VALUE"""),"Yes")</f>
        <v>Yes</v>
      </c>
      <c r="P316" s="5" t="str">
        <f>IFERROR(__xludf.DUMMYFUNCTION("""COMPUTED_VALUE"""),"Yes")</f>
        <v>Yes</v>
      </c>
      <c r="Q316" s="5" t="str">
        <f>IFERROR(__xludf.DUMMYFUNCTION("""COMPUTED_VALUE"""),"Yes")</f>
        <v>Yes</v>
      </c>
      <c r="R316" s="5" t="str">
        <f>IFERROR(__xludf.DUMMYFUNCTION("""COMPUTED_VALUE"""),"Yes")</f>
        <v>Yes</v>
      </c>
      <c r="S316" s="5" t="str">
        <f>IFERROR(__xludf.DUMMYFUNCTION("""COMPUTED_VALUE"""),"Yes")</f>
        <v>Yes</v>
      </c>
      <c r="T316" s="5" t="str">
        <f>IFERROR(__xludf.DUMMYFUNCTION("""COMPUTED_VALUE"""),"Yes")</f>
        <v>Yes</v>
      </c>
      <c r="U316" s="5" t="str">
        <f>IFERROR(__xludf.DUMMYFUNCTION("""COMPUTED_VALUE"""),"Yes")</f>
        <v>Yes</v>
      </c>
      <c r="V316" s="5" t="str">
        <f>IFERROR(__xludf.DUMMYFUNCTION("""COMPUTED_VALUE"""),"Yes")</f>
        <v>Yes</v>
      </c>
      <c r="W316" s="5" t="str">
        <f>IFERROR(__xludf.DUMMYFUNCTION("""COMPUTED_VALUE"""),"Yes")</f>
        <v>Yes</v>
      </c>
      <c r="X316" s="5" t="str">
        <f>IFERROR(__xludf.DUMMYFUNCTION("""COMPUTED_VALUE"""),"Yes")</f>
        <v>Yes</v>
      </c>
      <c r="Y316" s="5" t="str">
        <f>IFERROR(__xludf.DUMMYFUNCTION("""COMPUTED_VALUE"""),"Yes")</f>
        <v>Yes</v>
      </c>
      <c r="Z316" s="5" t="str">
        <f>IFERROR(__xludf.DUMMYFUNCTION("""COMPUTED_VALUE"""),"Yes")</f>
        <v>Yes</v>
      </c>
      <c r="AA316" s="5" t="str">
        <f>IFERROR(__xludf.DUMMYFUNCTION("""COMPUTED_VALUE"""),"Yes")</f>
        <v>Yes</v>
      </c>
      <c r="AB316" s="5" t="str">
        <f>IFERROR(__xludf.DUMMYFUNCTION("""COMPUTED_VALUE"""),"Yes")</f>
        <v>Yes</v>
      </c>
      <c r="AC316" s="5" t="str">
        <f>IFERROR(__xludf.DUMMYFUNCTION("""COMPUTED_VALUE"""),"No")</f>
        <v>No</v>
      </c>
    </row>
    <row r="317">
      <c r="A317" s="5" t="str">
        <f>IFERROR(__xludf.DUMMYFUNCTION("""COMPUTED_VALUE"""),"MozzartFruits")</f>
        <v>MozzartFruits</v>
      </c>
      <c r="B3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7" s="5" t="str">
        <f>IFERROR(__xludf.DUMMYFUNCTION("""COMPUTED_VALUE"""),"Yes")</f>
        <v>Yes</v>
      </c>
      <c r="D317" s="5" t="str">
        <f>IFERROR(__xludf.DUMMYFUNCTION("""COMPUTED_VALUE"""),"Yes")</f>
        <v>Yes</v>
      </c>
      <c r="E317" s="5" t="str">
        <f>IFERROR(__xludf.DUMMYFUNCTION("""COMPUTED_VALUE"""),"Yes")</f>
        <v>Yes</v>
      </c>
      <c r="F317" s="5" t="str">
        <f>IFERROR(__xludf.DUMMYFUNCTION("""COMPUTED_VALUE"""),"Yes")</f>
        <v>Yes</v>
      </c>
      <c r="G317" s="5" t="str">
        <f>IFERROR(__xludf.DUMMYFUNCTION("""COMPUTED_VALUE"""),"Yes")</f>
        <v>Yes</v>
      </c>
      <c r="H317" s="5" t="str">
        <f>IFERROR(__xludf.DUMMYFUNCTION("""COMPUTED_VALUE"""),"Yes")</f>
        <v>Yes</v>
      </c>
      <c r="I317" s="5" t="str">
        <f>IFERROR(__xludf.DUMMYFUNCTION("""COMPUTED_VALUE"""),"Yes")</f>
        <v>Yes</v>
      </c>
      <c r="J317" s="5" t="str">
        <f>IFERROR(__xludf.DUMMYFUNCTION("""COMPUTED_VALUE"""),"Yes")</f>
        <v>Yes</v>
      </c>
      <c r="K317" s="5" t="str">
        <f>IFERROR(__xludf.DUMMYFUNCTION("""COMPUTED_VALUE"""),"Yes")</f>
        <v>Yes</v>
      </c>
      <c r="L317" s="5" t="str">
        <f>IFERROR(__xludf.DUMMYFUNCTION("""COMPUTED_VALUE"""),"Yes")</f>
        <v>Yes</v>
      </c>
      <c r="M317" s="5" t="str">
        <f>IFERROR(__xludf.DUMMYFUNCTION("""COMPUTED_VALUE"""),"Yes")</f>
        <v>Yes</v>
      </c>
      <c r="N317" s="5" t="str">
        <f>IFERROR(__xludf.DUMMYFUNCTION("""COMPUTED_VALUE"""),"Yes")</f>
        <v>Yes</v>
      </c>
      <c r="O317" s="5" t="str">
        <f>IFERROR(__xludf.DUMMYFUNCTION("""COMPUTED_VALUE"""),"Yes")</f>
        <v>Yes</v>
      </c>
      <c r="P317" s="5" t="str">
        <f>IFERROR(__xludf.DUMMYFUNCTION("""COMPUTED_VALUE"""),"Yes")</f>
        <v>Yes</v>
      </c>
      <c r="Q317" s="5" t="str">
        <f>IFERROR(__xludf.DUMMYFUNCTION("""COMPUTED_VALUE"""),"Yes")</f>
        <v>Yes</v>
      </c>
      <c r="R317" s="5" t="str">
        <f>IFERROR(__xludf.DUMMYFUNCTION("""COMPUTED_VALUE"""),"Yes")</f>
        <v>Yes</v>
      </c>
      <c r="S317" s="5" t="str">
        <f>IFERROR(__xludf.DUMMYFUNCTION("""COMPUTED_VALUE"""),"Yes")</f>
        <v>Yes</v>
      </c>
      <c r="T317" s="5" t="str">
        <f>IFERROR(__xludf.DUMMYFUNCTION("""COMPUTED_VALUE"""),"Yes")</f>
        <v>Yes</v>
      </c>
      <c r="U317" s="5" t="str">
        <f>IFERROR(__xludf.DUMMYFUNCTION("""COMPUTED_VALUE"""),"Yes")</f>
        <v>Yes</v>
      </c>
      <c r="V317" s="5" t="str">
        <f>IFERROR(__xludf.DUMMYFUNCTION("""COMPUTED_VALUE"""),"Yes")</f>
        <v>Yes</v>
      </c>
      <c r="W317" s="5" t="str">
        <f>IFERROR(__xludf.DUMMYFUNCTION("""COMPUTED_VALUE"""),"Yes")</f>
        <v>Yes</v>
      </c>
      <c r="X317" s="5" t="str">
        <f>IFERROR(__xludf.DUMMYFUNCTION("""COMPUTED_VALUE"""),"Yes")</f>
        <v>Yes</v>
      </c>
      <c r="Y317" s="5" t="str">
        <f>IFERROR(__xludf.DUMMYFUNCTION("""COMPUTED_VALUE"""),"Yes")</f>
        <v>Yes</v>
      </c>
      <c r="Z317" s="5" t="str">
        <f>IFERROR(__xludf.DUMMYFUNCTION("""COMPUTED_VALUE"""),"Yes")</f>
        <v>Yes</v>
      </c>
      <c r="AA317" s="5" t="str">
        <f>IFERROR(__xludf.DUMMYFUNCTION("""COMPUTED_VALUE"""),"Yes")</f>
        <v>Yes</v>
      </c>
      <c r="AB317" s="5" t="str">
        <f>IFERROR(__xludf.DUMMYFUNCTION("""COMPUTED_VALUE"""),"Yes")</f>
        <v>Yes</v>
      </c>
      <c r="AC317" s="5" t="str">
        <f>IFERROR(__xludf.DUMMYFUNCTION("""COMPUTED_VALUE"""),"No")</f>
        <v>No</v>
      </c>
    </row>
    <row r="318">
      <c r="A318" s="5" t="str">
        <f>IFERROR(__xludf.DUMMYFUNCTION("""COMPUTED_VALUE"""),"MozzartHeat")</f>
        <v>MozzartHeat</v>
      </c>
      <c r="B3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8" s="5" t="str">
        <f>IFERROR(__xludf.DUMMYFUNCTION("""COMPUTED_VALUE"""),"Yes")</f>
        <v>Yes</v>
      </c>
      <c r="D318" s="5" t="str">
        <f>IFERROR(__xludf.DUMMYFUNCTION("""COMPUTED_VALUE"""),"Yes")</f>
        <v>Yes</v>
      </c>
      <c r="E318" s="5" t="str">
        <f>IFERROR(__xludf.DUMMYFUNCTION("""COMPUTED_VALUE"""),"Yes")</f>
        <v>Yes</v>
      </c>
      <c r="F318" s="5" t="str">
        <f>IFERROR(__xludf.DUMMYFUNCTION("""COMPUTED_VALUE"""),"Yes")</f>
        <v>Yes</v>
      </c>
      <c r="G318" s="5" t="str">
        <f>IFERROR(__xludf.DUMMYFUNCTION("""COMPUTED_VALUE"""),"Yes")</f>
        <v>Yes</v>
      </c>
      <c r="H318" s="5" t="str">
        <f>IFERROR(__xludf.DUMMYFUNCTION("""COMPUTED_VALUE"""),"Yes")</f>
        <v>Yes</v>
      </c>
      <c r="I318" s="5" t="str">
        <f>IFERROR(__xludf.DUMMYFUNCTION("""COMPUTED_VALUE"""),"Yes")</f>
        <v>Yes</v>
      </c>
      <c r="J318" s="5" t="str">
        <f>IFERROR(__xludf.DUMMYFUNCTION("""COMPUTED_VALUE"""),"Yes")</f>
        <v>Yes</v>
      </c>
      <c r="K318" s="5" t="str">
        <f>IFERROR(__xludf.DUMMYFUNCTION("""COMPUTED_VALUE"""),"Yes")</f>
        <v>Yes</v>
      </c>
      <c r="L318" s="5" t="str">
        <f>IFERROR(__xludf.DUMMYFUNCTION("""COMPUTED_VALUE"""),"Yes")</f>
        <v>Yes</v>
      </c>
      <c r="M318" s="5" t="str">
        <f>IFERROR(__xludf.DUMMYFUNCTION("""COMPUTED_VALUE"""),"Yes")</f>
        <v>Yes</v>
      </c>
      <c r="N318" s="5" t="str">
        <f>IFERROR(__xludf.DUMMYFUNCTION("""COMPUTED_VALUE"""),"Yes")</f>
        <v>Yes</v>
      </c>
      <c r="O318" s="5" t="str">
        <f>IFERROR(__xludf.DUMMYFUNCTION("""COMPUTED_VALUE"""),"Yes")</f>
        <v>Yes</v>
      </c>
      <c r="P318" s="5" t="str">
        <f>IFERROR(__xludf.DUMMYFUNCTION("""COMPUTED_VALUE"""),"Yes")</f>
        <v>Yes</v>
      </c>
      <c r="Q318" s="5" t="str">
        <f>IFERROR(__xludf.DUMMYFUNCTION("""COMPUTED_VALUE"""),"Yes")</f>
        <v>Yes</v>
      </c>
      <c r="R318" s="5" t="str">
        <f>IFERROR(__xludf.DUMMYFUNCTION("""COMPUTED_VALUE"""),"Yes")</f>
        <v>Yes</v>
      </c>
      <c r="S318" s="5" t="str">
        <f>IFERROR(__xludf.DUMMYFUNCTION("""COMPUTED_VALUE"""),"Yes")</f>
        <v>Yes</v>
      </c>
      <c r="T318" s="5" t="str">
        <f>IFERROR(__xludf.DUMMYFUNCTION("""COMPUTED_VALUE"""),"Yes")</f>
        <v>Yes</v>
      </c>
      <c r="U318" s="5" t="str">
        <f>IFERROR(__xludf.DUMMYFUNCTION("""COMPUTED_VALUE"""),"Yes")</f>
        <v>Yes</v>
      </c>
      <c r="V318" s="5" t="str">
        <f>IFERROR(__xludf.DUMMYFUNCTION("""COMPUTED_VALUE"""),"Yes")</f>
        <v>Yes</v>
      </c>
      <c r="W318" s="5" t="str">
        <f>IFERROR(__xludf.DUMMYFUNCTION("""COMPUTED_VALUE"""),"Yes")</f>
        <v>Yes</v>
      </c>
      <c r="X318" s="5" t="str">
        <f>IFERROR(__xludf.DUMMYFUNCTION("""COMPUTED_VALUE"""),"Yes")</f>
        <v>Yes</v>
      </c>
      <c r="Y318" s="5" t="str">
        <f>IFERROR(__xludf.DUMMYFUNCTION("""COMPUTED_VALUE"""),"Yes")</f>
        <v>Yes</v>
      </c>
      <c r="Z318" s="5" t="str">
        <f>IFERROR(__xludf.DUMMYFUNCTION("""COMPUTED_VALUE"""),"Yes")</f>
        <v>Yes</v>
      </c>
      <c r="AA318" s="5" t="str">
        <f>IFERROR(__xludf.DUMMYFUNCTION("""COMPUTED_VALUE"""),"Yes")</f>
        <v>Yes</v>
      </c>
      <c r="AB318" s="5" t="str">
        <f>IFERROR(__xludf.DUMMYFUNCTION("""COMPUTED_VALUE"""),"Yes")</f>
        <v>Yes</v>
      </c>
      <c r="AC318" s="5" t="str">
        <f>IFERROR(__xludf.DUMMYFUNCTION("""COMPUTED_VALUE"""),"No")</f>
        <v>No</v>
      </c>
    </row>
    <row r="319">
      <c r="A319" s="5" t="str">
        <f>IFERROR(__xludf.DUMMYFUNCTION("""COMPUTED_VALUE"""),"CrystalsOfMozzart")</f>
        <v>CrystalsOfMozzart</v>
      </c>
      <c r="B3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9" s="5" t="str">
        <f>IFERROR(__xludf.DUMMYFUNCTION("""COMPUTED_VALUE"""),"Yes")</f>
        <v>Yes</v>
      </c>
      <c r="D319" s="5" t="str">
        <f>IFERROR(__xludf.DUMMYFUNCTION("""COMPUTED_VALUE"""),"Yes")</f>
        <v>Yes</v>
      </c>
      <c r="E319" s="5" t="str">
        <f>IFERROR(__xludf.DUMMYFUNCTION("""COMPUTED_VALUE"""),"Yes")</f>
        <v>Yes</v>
      </c>
      <c r="F319" s="5" t="str">
        <f>IFERROR(__xludf.DUMMYFUNCTION("""COMPUTED_VALUE"""),"Yes")</f>
        <v>Yes</v>
      </c>
      <c r="G319" s="5" t="str">
        <f>IFERROR(__xludf.DUMMYFUNCTION("""COMPUTED_VALUE"""),"Yes")</f>
        <v>Yes</v>
      </c>
      <c r="H319" s="5" t="str">
        <f>IFERROR(__xludf.DUMMYFUNCTION("""COMPUTED_VALUE"""),"Yes")</f>
        <v>Yes</v>
      </c>
      <c r="I319" s="5" t="str">
        <f>IFERROR(__xludf.DUMMYFUNCTION("""COMPUTED_VALUE"""),"Yes")</f>
        <v>Yes</v>
      </c>
      <c r="J319" s="5" t="str">
        <f>IFERROR(__xludf.DUMMYFUNCTION("""COMPUTED_VALUE"""),"Yes")</f>
        <v>Yes</v>
      </c>
      <c r="K319" s="5" t="str">
        <f>IFERROR(__xludf.DUMMYFUNCTION("""COMPUTED_VALUE"""),"Yes")</f>
        <v>Yes</v>
      </c>
      <c r="L319" s="5" t="str">
        <f>IFERROR(__xludf.DUMMYFUNCTION("""COMPUTED_VALUE"""),"Yes")</f>
        <v>Yes</v>
      </c>
      <c r="M319" s="5" t="str">
        <f>IFERROR(__xludf.DUMMYFUNCTION("""COMPUTED_VALUE"""),"Yes")</f>
        <v>Yes</v>
      </c>
      <c r="N319" s="5" t="str">
        <f>IFERROR(__xludf.DUMMYFUNCTION("""COMPUTED_VALUE"""),"Yes")</f>
        <v>Yes</v>
      </c>
      <c r="O319" s="5" t="str">
        <f>IFERROR(__xludf.DUMMYFUNCTION("""COMPUTED_VALUE"""),"Yes")</f>
        <v>Yes</v>
      </c>
      <c r="P319" s="5" t="str">
        <f>IFERROR(__xludf.DUMMYFUNCTION("""COMPUTED_VALUE"""),"Yes")</f>
        <v>Yes</v>
      </c>
      <c r="Q319" s="5" t="str">
        <f>IFERROR(__xludf.DUMMYFUNCTION("""COMPUTED_VALUE"""),"Yes")</f>
        <v>Yes</v>
      </c>
      <c r="R319" s="5" t="str">
        <f>IFERROR(__xludf.DUMMYFUNCTION("""COMPUTED_VALUE"""),"Yes")</f>
        <v>Yes</v>
      </c>
      <c r="S319" s="5" t="str">
        <f>IFERROR(__xludf.DUMMYFUNCTION("""COMPUTED_VALUE"""),"Yes")</f>
        <v>Yes</v>
      </c>
      <c r="T319" s="5" t="str">
        <f>IFERROR(__xludf.DUMMYFUNCTION("""COMPUTED_VALUE"""),"Yes")</f>
        <v>Yes</v>
      </c>
      <c r="U319" s="5" t="str">
        <f>IFERROR(__xludf.DUMMYFUNCTION("""COMPUTED_VALUE"""),"Yes")</f>
        <v>Yes</v>
      </c>
      <c r="V319" s="5" t="str">
        <f>IFERROR(__xludf.DUMMYFUNCTION("""COMPUTED_VALUE"""),"Yes")</f>
        <v>Yes</v>
      </c>
      <c r="W319" s="5" t="str">
        <f>IFERROR(__xludf.DUMMYFUNCTION("""COMPUTED_VALUE"""),"Yes")</f>
        <v>Yes</v>
      </c>
      <c r="X319" s="5" t="str">
        <f>IFERROR(__xludf.DUMMYFUNCTION("""COMPUTED_VALUE"""),"Yes")</f>
        <v>Yes</v>
      </c>
      <c r="Y319" s="5" t="str">
        <f>IFERROR(__xludf.DUMMYFUNCTION("""COMPUTED_VALUE"""),"Yes")</f>
        <v>Yes</v>
      </c>
      <c r="Z319" s="5" t="str">
        <f>IFERROR(__xludf.DUMMYFUNCTION("""COMPUTED_VALUE"""),"Yes")</f>
        <v>Yes</v>
      </c>
      <c r="AA319" s="5" t="str">
        <f>IFERROR(__xludf.DUMMYFUNCTION("""COMPUTED_VALUE"""),"Yes")</f>
        <v>Yes</v>
      </c>
      <c r="AB319" s="5" t="str">
        <f>IFERROR(__xludf.DUMMYFUNCTION("""COMPUTED_VALUE"""),"Yes")</f>
        <v>Yes</v>
      </c>
      <c r="AC319" s="5" t="str">
        <f>IFERROR(__xludf.DUMMYFUNCTION("""COMPUTED_VALUE"""),"No")</f>
        <v>No</v>
      </c>
    </row>
    <row r="320">
      <c r="A320" s="5" t="str">
        <f>IFERROR(__xludf.DUMMYFUNCTION("""COMPUTED_VALUE"""),"VintageFruits40")</f>
        <v>VintageFruits40</v>
      </c>
      <c r="B3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0" s="5" t="str">
        <f>IFERROR(__xludf.DUMMYFUNCTION("""COMPUTED_VALUE"""),"Yes")</f>
        <v>Yes</v>
      </c>
      <c r="D320" s="5" t="str">
        <f>IFERROR(__xludf.DUMMYFUNCTION("""COMPUTED_VALUE"""),"Yes")</f>
        <v>Yes</v>
      </c>
      <c r="E320" s="5" t="str">
        <f>IFERROR(__xludf.DUMMYFUNCTION("""COMPUTED_VALUE"""),"Yes")</f>
        <v>Yes</v>
      </c>
      <c r="F320" s="5" t="str">
        <f>IFERROR(__xludf.DUMMYFUNCTION("""COMPUTED_VALUE"""),"Yes")</f>
        <v>Yes</v>
      </c>
      <c r="G320" s="5" t="str">
        <f>IFERROR(__xludf.DUMMYFUNCTION("""COMPUTED_VALUE"""),"Yes")</f>
        <v>Yes</v>
      </c>
      <c r="H320" s="5" t="str">
        <f>IFERROR(__xludf.DUMMYFUNCTION("""COMPUTED_VALUE"""),"Yes")</f>
        <v>Yes</v>
      </c>
      <c r="I320" s="5" t="str">
        <f>IFERROR(__xludf.DUMMYFUNCTION("""COMPUTED_VALUE"""),"Yes")</f>
        <v>Yes</v>
      </c>
      <c r="J320" s="5" t="str">
        <f>IFERROR(__xludf.DUMMYFUNCTION("""COMPUTED_VALUE"""),"Yes")</f>
        <v>Yes</v>
      </c>
      <c r="K320" s="5" t="str">
        <f>IFERROR(__xludf.DUMMYFUNCTION("""COMPUTED_VALUE"""),"Yes")</f>
        <v>Yes</v>
      </c>
      <c r="L320" s="5" t="str">
        <f>IFERROR(__xludf.DUMMYFUNCTION("""COMPUTED_VALUE"""),"Yes")</f>
        <v>Yes</v>
      </c>
      <c r="M320" s="5" t="str">
        <f>IFERROR(__xludf.DUMMYFUNCTION("""COMPUTED_VALUE"""),"Yes")</f>
        <v>Yes</v>
      </c>
      <c r="N320" s="5" t="str">
        <f>IFERROR(__xludf.DUMMYFUNCTION("""COMPUTED_VALUE"""),"Yes")</f>
        <v>Yes</v>
      </c>
      <c r="O320" s="5" t="str">
        <f>IFERROR(__xludf.DUMMYFUNCTION("""COMPUTED_VALUE"""),"Yes")</f>
        <v>Yes</v>
      </c>
      <c r="P320" s="5" t="str">
        <f>IFERROR(__xludf.DUMMYFUNCTION("""COMPUTED_VALUE"""),"Yes")</f>
        <v>Yes</v>
      </c>
      <c r="Q320" s="5" t="str">
        <f>IFERROR(__xludf.DUMMYFUNCTION("""COMPUTED_VALUE"""),"Yes")</f>
        <v>Yes</v>
      </c>
      <c r="R320" s="5" t="str">
        <f>IFERROR(__xludf.DUMMYFUNCTION("""COMPUTED_VALUE"""),"Yes")</f>
        <v>Yes</v>
      </c>
      <c r="S320" s="5" t="str">
        <f>IFERROR(__xludf.DUMMYFUNCTION("""COMPUTED_VALUE"""),"Yes")</f>
        <v>Yes</v>
      </c>
      <c r="T320" s="5" t="str">
        <f>IFERROR(__xludf.DUMMYFUNCTION("""COMPUTED_VALUE"""),"Yes")</f>
        <v>Yes</v>
      </c>
      <c r="U320" s="5" t="str">
        <f>IFERROR(__xludf.DUMMYFUNCTION("""COMPUTED_VALUE"""),"Yes")</f>
        <v>Yes</v>
      </c>
      <c r="V320" s="5" t="str">
        <f>IFERROR(__xludf.DUMMYFUNCTION("""COMPUTED_VALUE"""),"Yes")</f>
        <v>Yes</v>
      </c>
      <c r="W320" s="5" t="str">
        <f>IFERROR(__xludf.DUMMYFUNCTION("""COMPUTED_VALUE"""),"Yes")</f>
        <v>Yes</v>
      </c>
      <c r="X320" s="5" t="str">
        <f>IFERROR(__xludf.DUMMYFUNCTION("""COMPUTED_VALUE"""),"Yes")</f>
        <v>Yes</v>
      </c>
      <c r="Y320" s="5" t="str">
        <f>IFERROR(__xludf.DUMMYFUNCTION("""COMPUTED_VALUE"""),"Yes")</f>
        <v>Yes</v>
      </c>
      <c r="Z320" s="5" t="str">
        <f>IFERROR(__xludf.DUMMYFUNCTION("""COMPUTED_VALUE"""),"Yes")</f>
        <v>Yes</v>
      </c>
      <c r="AA320" s="5" t="str">
        <f>IFERROR(__xludf.DUMMYFUNCTION("""COMPUTED_VALUE"""),"Yes")</f>
        <v>Yes</v>
      </c>
      <c r="AB320" s="5" t="str">
        <f>IFERROR(__xludf.DUMMYFUNCTION("""COMPUTED_VALUE"""),"Yes")</f>
        <v>Yes</v>
      </c>
      <c r="AC320" s="5" t="str">
        <f>IFERROR(__xludf.DUMMYFUNCTION("""COMPUTED_VALUE"""),"No")</f>
        <v>No</v>
      </c>
    </row>
    <row r="321">
      <c r="A321" s="5" t="str">
        <f>IFERROR(__xludf.DUMMYFUNCTION("""COMPUTED_VALUE"""),"SummerRush")</f>
        <v>SummerRush</v>
      </c>
      <c r="B3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1" s="5" t="str">
        <f>IFERROR(__xludf.DUMMYFUNCTION("""COMPUTED_VALUE"""),"Yes")</f>
        <v>Yes</v>
      </c>
      <c r="D321" s="5" t="str">
        <f>IFERROR(__xludf.DUMMYFUNCTION("""COMPUTED_VALUE"""),"Yes")</f>
        <v>Yes</v>
      </c>
      <c r="E321" s="5" t="str">
        <f>IFERROR(__xludf.DUMMYFUNCTION("""COMPUTED_VALUE"""),"Yes")</f>
        <v>Yes</v>
      </c>
      <c r="F321" s="5" t="str">
        <f>IFERROR(__xludf.DUMMYFUNCTION("""COMPUTED_VALUE"""),"Yes")</f>
        <v>Yes</v>
      </c>
      <c r="G321" s="5" t="str">
        <f>IFERROR(__xludf.DUMMYFUNCTION("""COMPUTED_VALUE"""),"Yes")</f>
        <v>Yes</v>
      </c>
      <c r="H321" s="5" t="str">
        <f>IFERROR(__xludf.DUMMYFUNCTION("""COMPUTED_VALUE"""),"Yes")</f>
        <v>Yes</v>
      </c>
      <c r="I321" s="5" t="str">
        <f>IFERROR(__xludf.DUMMYFUNCTION("""COMPUTED_VALUE"""),"Yes")</f>
        <v>Yes</v>
      </c>
      <c r="J321" s="5" t="str">
        <f>IFERROR(__xludf.DUMMYFUNCTION("""COMPUTED_VALUE"""),"Yes")</f>
        <v>Yes</v>
      </c>
      <c r="K321" s="5" t="str">
        <f>IFERROR(__xludf.DUMMYFUNCTION("""COMPUTED_VALUE"""),"Yes")</f>
        <v>Yes</v>
      </c>
      <c r="L321" s="5" t="str">
        <f>IFERROR(__xludf.DUMMYFUNCTION("""COMPUTED_VALUE"""),"Yes")</f>
        <v>Yes</v>
      </c>
      <c r="M321" s="5" t="str">
        <f>IFERROR(__xludf.DUMMYFUNCTION("""COMPUTED_VALUE"""),"Yes")</f>
        <v>Yes</v>
      </c>
      <c r="N321" s="5" t="str">
        <f>IFERROR(__xludf.DUMMYFUNCTION("""COMPUTED_VALUE"""),"Yes")</f>
        <v>Yes</v>
      </c>
      <c r="O321" s="5" t="str">
        <f>IFERROR(__xludf.DUMMYFUNCTION("""COMPUTED_VALUE"""),"Yes")</f>
        <v>Yes</v>
      </c>
      <c r="P321" s="5" t="str">
        <f>IFERROR(__xludf.DUMMYFUNCTION("""COMPUTED_VALUE"""),"Yes")</f>
        <v>Yes</v>
      </c>
      <c r="Q321" s="5" t="str">
        <f>IFERROR(__xludf.DUMMYFUNCTION("""COMPUTED_VALUE"""),"Yes")</f>
        <v>Yes</v>
      </c>
      <c r="R321" s="5" t="str">
        <f>IFERROR(__xludf.DUMMYFUNCTION("""COMPUTED_VALUE"""),"Yes")</f>
        <v>Yes</v>
      </c>
      <c r="S321" s="5" t="str">
        <f>IFERROR(__xludf.DUMMYFUNCTION("""COMPUTED_VALUE"""),"Yes")</f>
        <v>Yes</v>
      </c>
      <c r="T321" s="5" t="str">
        <f>IFERROR(__xludf.DUMMYFUNCTION("""COMPUTED_VALUE"""),"Yes")</f>
        <v>Yes</v>
      </c>
      <c r="U321" s="5" t="str">
        <f>IFERROR(__xludf.DUMMYFUNCTION("""COMPUTED_VALUE"""),"Yes")</f>
        <v>Yes</v>
      </c>
      <c r="V321" s="5" t="str">
        <f>IFERROR(__xludf.DUMMYFUNCTION("""COMPUTED_VALUE"""),"Yes")</f>
        <v>Yes</v>
      </c>
      <c r="W321" s="5" t="str">
        <f>IFERROR(__xludf.DUMMYFUNCTION("""COMPUTED_VALUE"""),"Yes")</f>
        <v>Yes</v>
      </c>
      <c r="X321" s="5" t="str">
        <f>IFERROR(__xludf.DUMMYFUNCTION("""COMPUTED_VALUE"""),"Yes")</f>
        <v>Yes</v>
      </c>
      <c r="Y321" s="5" t="str">
        <f>IFERROR(__xludf.DUMMYFUNCTION("""COMPUTED_VALUE"""),"Yes")</f>
        <v>Yes</v>
      </c>
      <c r="Z321" s="5" t="str">
        <f>IFERROR(__xludf.DUMMYFUNCTION("""COMPUTED_VALUE"""),"Yes")</f>
        <v>Yes</v>
      </c>
      <c r="AA321" s="5" t="str">
        <f>IFERROR(__xludf.DUMMYFUNCTION("""COMPUTED_VALUE"""),"Yes")</f>
        <v>Yes</v>
      </c>
      <c r="AB321" s="5" t="str">
        <f>IFERROR(__xludf.DUMMYFUNCTION("""COMPUTED_VALUE"""),"Yes")</f>
        <v>Yes</v>
      </c>
      <c r="AC321" s="5" t="str">
        <f>IFERROR(__xludf.DUMMYFUNCTION("""COMPUTED_VALUE"""),"No")</f>
        <v>No</v>
      </c>
    </row>
    <row r="322">
      <c r="A322" s="5" t="str">
        <f>IFERROR(__xludf.DUMMYFUNCTION("""COMPUTED_VALUE"""),"FootballVictory")</f>
        <v>FootballVictory</v>
      </c>
      <c r="B3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2" s="5" t="str">
        <f>IFERROR(__xludf.DUMMYFUNCTION("""COMPUTED_VALUE"""),"Yes")</f>
        <v>Yes</v>
      </c>
      <c r="D322" s="5" t="str">
        <f>IFERROR(__xludf.DUMMYFUNCTION("""COMPUTED_VALUE"""),"Yes")</f>
        <v>Yes</v>
      </c>
      <c r="E322" s="5" t="str">
        <f>IFERROR(__xludf.DUMMYFUNCTION("""COMPUTED_VALUE"""),"Yes")</f>
        <v>Yes</v>
      </c>
      <c r="F322" s="5" t="str">
        <f>IFERROR(__xludf.DUMMYFUNCTION("""COMPUTED_VALUE"""),"Yes")</f>
        <v>Yes</v>
      </c>
      <c r="G322" s="5" t="str">
        <f>IFERROR(__xludf.DUMMYFUNCTION("""COMPUTED_VALUE"""),"Yes")</f>
        <v>Yes</v>
      </c>
      <c r="H322" s="5" t="str">
        <f>IFERROR(__xludf.DUMMYFUNCTION("""COMPUTED_VALUE"""),"Yes")</f>
        <v>Yes</v>
      </c>
      <c r="I322" s="5" t="str">
        <f>IFERROR(__xludf.DUMMYFUNCTION("""COMPUTED_VALUE"""),"Yes")</f>
        <v>Yes</v>
      </c>
      <c r="J322" s="5" t="str">
        <f>IFERROR(__xludf.DUMMYFUNCTION("""COMPUTED_VALUE"""),"Yes")</f>
        <v>Yes</v>
      </c>
      <c r="K322" s="5" t="str">
        <f>IFERROR(__xludf.DUMMYFUNCTION("""COMPUTED_VALUE"""),"Yes")</f>
        <v>Yes</v>
      </c>
      <c r="L322" s="5" t="str">
        <f>IFERROR(__xludf.DUMMYFUNCTION("""COMPUTED_VALUE"""),"Yes")</f>
        <v>Yes</v>
      </c>
      <c r="M322" s="5" t="str">
        <f>IFERROR(__xludf.DUMMYFUNCTION("""COMPUTED_VALUE"""),"Yes")</f>
        <v>Yes</v>
      </c>
      <c r="N322" s="5" t="str">
        <f>IFERROR(__xludf.DUMMYFUNCTION("""COMPUTED_VALUE"""),"Yes")</f>
        <v>Yes</v>
      </c>
      <c r="O322" s="5" t="str">
        <f>IFERROR(__xludf.DUMMYFUNCTION("""COMPUTED_VALUE"""),"Yes")</f>
        <v>Yes</v>
      </c>
      <c r="P322" s="5" t="str">
        <f>IFERROR(__xludf.DUMMYFUNCTION("""COMPUTED_VALUE"""),"Yes")</f>
        <v>Yes</v>
      </c>
      <c r="Q322" s="5" t="str">
        <f>IFERROR(__xludf.DUMMYFUNCTION("""COMPUTED_VALUE"""),"Yes")</f>
        <v>Yes</v>
      </c>
      <c r="R322" s="5" t="str">
        <f>IFERROR(__xludf.DUMMYFUNCTION("""COMPUTED_VALUE"""),"Yes")</f>
        <v>Yes</v>
      </c>
      <c r="S322" s="5" t="str">
        <f>IFERROR(__xludf.DUMMYFUNCTION("""COMPUTED_VALUE"""),"Yes")</f>
        <v>Yes</v>
      </c>
      <c r="T322" s="5" t="str">
        <f>IFERROR(__xludf.DUMMYFUNCTION("""COMPUTED_VALUE"""),"Yes")</f>
        <v>Yes</v>
      </c>
      <c r="U322" s="5" t="str">
        <f>IFERROR(__xludf.DUMMYFUNCTION("""COMPUTED_VALUE"""),"Yes")</f>
        <v>Yes</v>
      </c>
      <c r="V322" s="5" t="str">
        <f>IFERROR(__xludf.DUMMYFUNCTION("""COMPUTED_VALUE"""),"Yes")</f>
        <v>Yes</v>
      </c>
      <c r="W322" s="5" t="str">
        <f>IFERROR(__xludf.DUMMYFUNCTION("""COMPUTED_VALUE"""),"Yes")</f>
        <v>Yes</v>
      </c>
      <c r="X322" s="5" t="str">
        <f>IFERROR(__xludf.DUMMYFUNCTION("""COMPUTED_VALUE"""),"Yes")</f>
        <v>Yes</v>
      </c>
      <c r="Y322" s="5" t="str">
        <f>IFERROR(__xludf.DUMMYFUNCTION("""COMPUTED_VALUE"""),"Yes")</f>
        <v>Yes</v>
      </c>
      <c r="Z322" s="5" t="str">
        <f>IFERROR(__xludf.DUMMYFUNCTION("""COMPUTED_VALUE"""),"Yes")</f>
        <v>Yes</v>
      </c>
      <c r="AA322" s="5" t="str">
        <f>IFERROR(__xludf.DUMMYFUNCTION("""COMPUTED_VALUE"""),"Yes")</f>
        <v>Yes</v>
      </c>
      <c r="AB322" s="5" t="str">
        <f>IFERROR(__xludf.DUMMYFUNCTION("""COMPUTED_VALUE"""),"Yes")</f>
        <v>Yes</v>
      </c>
      <c r="AC322" s="5" t="str">
        <f>IFERROR(__xludf.DUMMYFUNCTION("""COMPUTED_VALUE"""),"No")</f>
        <v>No</v>
      </c>
    </row>
    <row r="323">
      <c r="A323" s="5" t="str">
        <f>IFERROR(__xludf.DUMMYFUNCTION("""COMPUTED_VALUE"""),"RedstoneCapsAndCrowns")</f>
        <v>RedstoneCapsAndCrowns</v>
      </c>
      <c r="B3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23" s="5" t="str">
        <f>IFERROR(__xludf.DUMMYFUNCTION("""COMPUTED_VALUE"""),"Yes")</f>
        <v>Yes</v>
      </c>
      <c r="D323" s="5" t="str">
        <f>IFERROR(__xludf.DUMMYFUNCTION("""COMPUTED_VALUE"""),"Yes")</f>
        <v>Yes</v>
      </c>
      <c r="E323" s="5" t="str">
        <f>IFERROR(__xludf.DUMMYFUNCTION("""COMPUTED_VALUE"""),"Yes")</f>
        <v>Yes</v>
      </c>
      <c r="F323" s="5" t="str">
        <f>IFERROR(__xludf.DUMMYFUNCTION("""COMPUTED_VALUE"""),"Yes")</f>
        <v>Yes</v>
      </c>
      <c r="G323" s="5" t="str">
        <f>IFERROR(__xludf.DUMMYFUNCTION("""COMPUTED_VALUE"""),"Yes")</f>
        <v>Yes</v>
      </c>
      <c r="H323" s="5" t="str">
        <f>IFERROR(__xludf.DUMMYFUNCTION("""COMPUTED_VALUE"""),"Yes")</f>
        <v>Yes</v>
      </c>
      <c r="I323" s="5" t="str">
        <f>IFERROR(__xludf.DUMMYFUNCTION("""COMPUTED_VALUE"""),"Yes")</f>
        <v>Yes</v>
      </c>
      <c r="J323" s="5" t="str">
        <f>IFERROR(__xludf.DUMMYFUNCTION("""COMPUTED_VALUE"""),"Yes")</f>
        <v>Yes</v>
      </c>
      <c r="K323" s="5" t="str">
        <f>IFERROR(__xludf.DUMMYFUNCTION("""COMPUTED_VALUE"""),"Yes")</f>
        <v>Yes</v>
      </c>
      <c r="L323" s="5" t="str">
        <f>IFERROR(__xludf.DUMMYFUNCTION("""COMPUTED_VALUE"""),"Yes")</f>
        <v>Yes</v>
      </c>
      <c r="M323" s="5" t="str">
        <f>IFERROR(__xludf.DUMMYFUNCTION("""COMPUTED_VALUE"""),"Yes")</f>
        <v>Yes</v>
      </c>
      <c r="N323" s="5" t="str">
        <f>IFERROR(__xludf.DUMMYFUNCTION("""COMPUTED_VALUE"""),"Yes")</f>
        <v>Yes</v>
      </c>
      <c r="O323" s="5" t="str">
        <f>IFERROR(__xludf.DUMMYFUNCTION("""COMPUTED_VALUE"""),"Yes")</f>
        <v>Yes</v>
      </c>
      <c r="P323" s="5" t="str">
        <f>IFERROR(__xludf.DUMMYFUNCTION("""COMPUTED_VALUE"""),"Yes")</f>
        <v>Yes</v>
      </c>
      <c r="Q323" s="5" t="str">
        <f>IFERROR(__xludf.DUMMYFUNCTION("""COMPUTED_VALUE"""),"Yes")</f>
        <v>Yes</v>
      </c>
      <c r="R323" s="5" t="str">
        <f>IFERROR(__xludf.DUMMYFUNCTION("""COMPUTED_VALUE"""),"Yes")</f>
        <v>Yes</v>
      </c>
      <c r="S323" s="5" t="str">
        <f>IFERROR(__xludf.DUMMYFUNCTION("""COMPUTED_VALUE"""),"Yes")</f>
        <v>Yes</v>
      </c>
      <c r="T323" s="5" t="str">
        <f>IFERROR(__xludf.DUMMYFUNCTION("""COMPUTED_VALUE"""),"Yes")</f>
        <v>Yes</v>
      </c>
      <c r="U323" s="5" t="str">
        <f>IFERROR(__xludf.DUMMYFUNCTION("""COMPUTED_VALUE"""),"Yes")</f>
        <v>Yes</v>
      </c>
      <c r="V323" s="5"/>
      <c r="W323" s="5" t="str">
        <f>IFERROR(__xludf.DUMMYFUNCTION("""COMPUTED_VALUE"""),"Yes")</f>
        <v>Yes</v>
      </c>
      <c r="X323" s="5" t="str">
        <f>IFERROR(__xludf.DUMMYFUNCTION("""COMPUTED_VALUE"""),"Yes")</f>
        <v>Yes</v>
      </c>
      <c r="Y323" s="5" t="str">
        <f>IFERROR(__xludf.DUMMYFUNCTION("""COMPUTED_VALUE"""),"Yes")</f>
        <v>Yes</v>
      </c>
      <c r="Z323" s="5" t="str">
        <f>IFERROR(__xludf.DUMMYFUNCTION("""COMPUTED_VALUE"""),"Yes")</f>
        <v>Yes</v>
      </c>
      <c r="AA323" s="5" t="str">
        <f>IFERROR(__xludf.DUMMYFUNCTION("""COMPUTED_VALUE"""),"Yes")</f>
        <v>Yes</v>
      </c>
      <c r="AB323" s="5" t="str">
        <f>IFERROR(__xludf.DUMMYFUNCTION("""COMPUTED_VALUE"""),"Yes")</f>
        <v>Yes</v>
      </c>
      <c r="AC323" s="5"/>
    </row>
    <row r="324">
      <c r="A324" s="5" t="str">
        <f>IFERROR(__xludf.DUMMYFUNCTION("""COMPUTED_VALUE"""),"UnicornLavaDiamonds")</f>
        <v>UnicornLavaDiamonds</v>
      </c>
      <c r="B32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4" s="5" t="str">
        <f>IFERROR(__xludf.DUMMYFUNCTION("""COMPUTED_VALUE"""),"Yes")</f>
        <v>Yes</v>
      </c>
      <c r="D324" s="5" t="str">
        <f>IFERROR(__xludf.DUMMYFUNCTION("""COMPUTED_VALUE"""),"Yes")</f>
        <v>Yes</v>
      </c>
      <c r="E324" s="5" t="str">
        <f>IFERROR(__xludf.DUMMYFUNCTION("""COMPUTED_VALUE"""),"No")</f>
        <v>No</v>
      </c>
      <c r="F324" s="5" t="str">
        <f>IFERROR(__xludf.DUMMYFUNCTION("""COMPUTED_VALUE"""),"Yes")</f>
        <v>Yes</v>
      </c>
      <c r="G324" s="5" t="str">
        <f>IFERROR(__xludf.DUMMYFUNCTION("""COMPUTED_VALUE"""),"Yes")</f>
        <v>Yes</v>
      </c>
      <c r="H324" s="5" t="str">
        <f>IFERROR(__xludf.DUMMYFUNCTION("""COMPUTED_VALUE"""),"Yes")</f>
        <v>Yes</v>
      </c>
      <c r="I324" s="5" t="str">
        <f>IFERROR(__xludf.DUMMYFUNCTION("""COMPUTED_VALUE"""),"Yes")</f>
        <v>Yes</v>
      </c>
      <c r="J324" s="5" t="str">
        <f>IFERROR(__xludf.DUMMYFUNCTION("""COMPUTED_VALUE"""),"Yes")</f>
        <v>Yes</v>
      </c>
      <c r="K324" s="5" t="str">
        <f>IFERROR(__xludf.DUMMYFUNCTION("""COMPUTED_VALUE"""),"Yes")</f>
        <v>Yes</v>
      </c>
      <c r="L324" s="5" t="str">
        <f>IFERROR(__xludf.DUMMYFUNCTION("""COMPUTED_VALUE"""),"Yes")</f>
        <v>Yes</v>
      </c>
      <c r="M324" s="5" t="str">
        <f>IFERROR(__xludf.DUMMYFUNCTION("""COMPUTED_VALUE"""),"Yes")</f>
        <v>Yes</v>
      </c>
      <c r="N324" s="5" t="str">
        <f>IFERROR(__xludf.DUMMYFUNCTION("""COMPUTED_VALUE"""),"Yes")</f>
        <v>Yes</v>
      </c>
      <c r="O324" s="5" t="str">
        <f>IFERROR(__xludf.DUMMYFUNCTION("""COMPUTED_VALUE"""),"Yes")</f>
        <v>Yes</v>
      </c>
      <c r="P324" s="5" t="str">
        <f>IFERROR(__xludf.DUMMYFUNCTION("""COMPUTED_VALUE"""),"Yes")</f>
        <v>Yes</v>
      </c>
      <c r="Q324" s="5" t="str">
        <f>IFERROR(__xludf.DUMMYFUNCTION("""COMPUTED_VALUE"""),"Yes")</f>
        <v>Yes</v>
      </c>
      <c r="R324" s="5" t="str">
        <f>IFERROR(__xludf.DUMMYFUNCTION("""COMPUTED_VALUE"""),"No")</f>
        <v>No</v>
      </c>
      <c r="S324" s="5" t="str">
        <f>IFERROR(__xludf.DUMMYFUNCTION("""COMPUTED_VALUE"""),"No")</f>
        <v>No</v>
      </c>
      <c r="T324" s="5" t="str">
        <f>IFERROR(__xludf.DUMMYFUNCTION("""COMPUTED_VALUE"""),"No")</f>
        <v>No</v>
      </c>
      <c r="U324" s="5" t="str">
        <f>IFERROR(__xludf.DUMMYFUNCTION("""COMPUTED_VALUE"""),"No")</f>
        <v>No</v>
      </c>
      <c r="V324" s="5" t="str">
        <f>IFERROR(__xludf.DUMMYFUNCTION("""COMPUTED_VALUE"""),"No")</f>
        <v>No</v>
      </c>
      <c r="W324" s="5" t="str">
        <f>IFERROR(__xludf.DUMMYFUNCTION("""COMPUTED_VALUE"""),"No")</f>
        <v>No</v>
      </c>
      <c r="X324" s="5" t="str">
        <f>IFERROR(__xludf.DUMMYFUNCTION("""COMPUTED_VALUE"""),"No")</f>
        <v>No</v>
      </c>
      <c r="Y324" s="5" t="str">
        <f>IFERROR(__xludf.DUMMYFUNCTION("""COMPUTED_VALUE"""),"No")</f>
        <v>No</v>
      </c>
      <c r="Z324" s="5" t="str">
        <f>IFERROR(__xludf.DUMMYFUNCTION("""COMPUTED_VALUE"""),"No")</f>
        <v>No</v>
      </c>
      <c r="AA324" s="5" t="str">
        <f>IFERROR(__xludf.DUMMYFUNCTION("""COMPUTED_VALUE"""),"No")</f>
        <v>No</v>
      </c>
      <c r="AB324" s="5" t="str">
        <f>IFERROR(__xludf.DUMMYFUNCTION("""COMPUTED_VALUE"""),"Yes")</f>
        <v>Yes</v>
      </c>
      <c r="AC324" s="5" t="str">
        <f>IFERROR(__xludf.DUMMYFUNCTION("""COMPUTED_VALUE"""),"No")</f>
        <v>No</v>
      </c>
    </row>
    <row r="325">
      <c r="A325" s="5" t="str">
        <f>IFERROR(__xludf.DUMMYFUNCTION("""COMPUTED_VALUE"""),"Unicorn5HotStrikeDice")</f>
        <v>Unicorn5HotStrikeDice</v>
      </c>
      <c r="B32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5" s="5" t="str">
        <f>IFERROR(__xludf.DUMMYFUNCTION("""COMPUTED_VALUE"""),"Yes")</f>
        <v>Yes</v>
      </c>
      <c r="D325" s="5" t="str">
        <f>IFERROR(__xludf.DUMMYFUNCTION("""COMPUTED_VALUE"""),"Yes")</f>
        <v>Yes</v>
      </c>
      <c r="E325" s="5" t="str">
        <f>IFERROR(__xludf.DUMMYFUNCTION("""COMPUTED_VALUE"""),"Yes")</f>
        <v>Yes</v>
      </c>
      <c r="F325" s="5" t="str">
        <f>IFERROR(__xludf.DUMMYFUNCTION("""COMPUTED_VALUE"""),"No")</f>
        <v>No</v>
      </c>
      <c r="G325" s="5" t="str">
        <f>IFERROR(__xludf.DUMMYFUNCTION("""COMPUTED_VALUE"""),"No")</f>
        <v>No</v>
      </c>
      <c r="H325" s="5" t="str">
        <f>IFERROR(__xludf.DUMMYFUNCTION("""COMPUTED_VALUE"""),"No")</f>
        <v>No</v>
      </c>
      <c r="I325" s="5" t="str">
        <f>IFERROR(__xludf.DUMMYFUNCTION("""COMPUTED_VALUE"""),"No")</f>
        <v>No</v>
      </c>
      <c r="J325" s="5" t="str">
        <f>IFERROR(__xludf.DUMMYFUNCTION("""COMPUTED_VALUE"""),"No")</f>
        <v>No</v>
      </c>
      <c r="K325" s="5" t="str">
        <f>IFERROR(__xludf.DUMMYFUNCTION("""COMPUTED_VALUE"""),"Yes")</f>
        <v>Yes</v>
      </c>
      <c r="L325" s="5" t="str">
        <f>IFERROR(__xludf.DUMMYFUNCTION("""COMPUTED_VALUE"""),"Yes")</f>
        <v>Yes</v>
      </c>
      <c r="M325" s="5" t="str">
        <f>IFERROR(__xludf.DUMMYFUNCTION("""COMPUTED_VALUE"""),"Yes")</f>
        <v>Yes</v>
      </c>
      <c r="N325" s="5" t="str">
        <f>IFERROR(__xludf.DUMMYFUNCTION("""COMPUTED_VALUE"""),"Yes")</f>
        <v>Yes</v>
      </c>
      <c r="O325" s="5" t="str">
        <f>IFERROR(__xludf.DUMMYFUNCTION("""COMPUTED_VALUE"""),"Yes")</f>
        <v>Yes</v>
      </c>
      <c r="P325" s="5" t="str">
        <f>IFERROR(__xludf.DUMMYFUNCTION("""COMPUTED_VALUE"""),"No")</f>
        <v>No</v>
      </c>
      <c r="Q325" s="5" t="str">
        <f>IFERROR(__xludf.DUMMYFUNCTION("""COMPUTED_VALUE"""),"Yes")</f>
        <v>Yes</v>
      </c>
      <c r="R325" s="5" t="str">
        <f>IFERROR(__xludf.DUMMYFUNCTION("""COMPUTED_VALUE"""),"No")</f>
        <v>No</v>
      </c>
      <c r="S325" s="5" t="str">
        <f>IFERROR(__xludf.DUMMYFUNCTION("""COMPUTED_VALUE"""),"No")</f>
        <v>No</v>
      </c>
      <c r="T325" s="5" t="str">
        <f>IFERROR(__xludf.DUMMYFUNCTION("""COMPUTED_VALUE"""),"No")</f>
        <v>No</v>
      </c>
      <c r="U325" s="5" t="str">
        <f>IFERROR(__xludf.DUMMYFUNCTION("""COMPUTED_VALUE"""),"No")</f>
        <v>No</v>
      </c>
      <c r="V325" s="5"/>
      <c r="W325" s="5"/>
      <c r="X325" s="5"/>
      <c r="Y325" s="5"/>
      <c r="Z325" s="5" t="str">
        <f>IFERROR(__xludf.DUMMYFUNCTION("""COMPUTED_VALUE"""),"No")</f>
        <v>No</v>
      </c>
      <c r="AA325" s="5"/>
      <c r="AB325" s="5"/>
      <c r="AC325" s="5"/>
    </row>
    <row r="326">
      <c r="A326" s="5" t="str">
        <f>IFERROR(__xludf.DUMMYFUNCTION("""COMPUTED_VALUE"""),"RedstoneHotRushBothWays")</f>
        <v>RedstoneHotRushBothWays</v>
      </c>
      <c r="B32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6" s="5" t="str">
        <f>IFERROR(__xludf.DUMMYFUNCTION("""COMPUTED_VALUE"""),"Yes")</f>
        <v>Yes</v>
      </c>
      <c r="D326" s="5" t="str">
        <f>IFERROR(__xludf.DUMMYFUNCTION("""COMPUTED_VALUE"""),"Yes")</f>
        <v>Yes</v>
      </c>
      <c r="E326" s="5" t="str">
        <f>IFERROR(__xludf.DUMMYFUNCTION("""COMPUTED_VALUE"""),"Yes")</f>
        <v>Yes</v>
      </c>
      <c r="F326" s="5" t="str">
        <f>IFERROR(__xludf.DUMMYFUNCTION("""COMPUTED_VALUE"""),"No")</f>
        <v>No</v>
      </c>
      <c r="G326" s="5" t="str">
        <f>IFERROR(__xludf.DUMMYFUNCTION("""COMPUTED_VALUE"""),"No")</f>
        <v>No</v>
      </c>
      <c r="H326" s="5" t="str">
        <f>IFERROR(__xludf.DUMMYFUNCTION("""COMPUTED_VALUE"""),"No")</f>
        <v>No</v>
      </c>
      <c r="I326" s="5" t="str">
        <f>IFERROR(__xludf.DUMMYFUNCTION("""COMPUTED_VALUE"""),"No")</f>
        <v>No</v>
      </c>
      <c r="J326" s="5" t="str">
        <f>IFERROR(__xludf.DUMMYFUNCTION("""COMPUTED_VALUE"""),"No")</f>
        <v>No</v>
      </c>
      <c r="K326" s="5" t="str">
        <f>IFERROR(__xludf.DUMMYFUNCTION("""COMPUTED_VALUE"""),"Yes")</f>
        <v>Yes</v>
      </c>
      <c r="L326" s="5" t="str">
        <f>IFERROR(__xludf.DUMMYFUNCTION("""COMPUTED_VALUE"""),"Yes")</f>
        <v>Yes</v>
      </c>
      <c r="M326" s="5" t="str">
        <f>IFERROR(__xludf.DUMMYFUNCTION("""COMPUTED_VALUE"""),"Yes")</f>
        <v>Yes</v>
      </c>
      <c r="N326" s="5" t="str">
        <f>IFERROR(__xludf.DUMMYFUNCTION("""COMPUTED_VALUE"""),"Yes")</f>
        <v>Yes</v>
      </c>
      <c r="O326" s="5" t="str">
        <f>IFERROR(__xludf.DUMMYFUNCTION("""COMPUTED_VALUE"""),"Yes")</f>
        <v>Yes</v>
      </c>
      <c r="P326" s="5" t="str">
        <f>IFERROR(__xludf.DUMMYFUNCTION("""COMPUTED_VALUE"""),"No")</f>
        <v>No</v>
      </c>
      <c r="Q326" s="5" t="str">
        <f>IFERROR(__xludf.DUMMYFUNCTION("""COMPUTED_VALUE"""),"Yes")</f>
        <v>Yes</v>
      </c>
      <c r="R326" s="5" t="str">
        <f>IFERROR(__xludf.DUMMYFUNCTION("""COMPUTED_VALUE"""),"No")</f>
        <v>No</v>
      </c>
      <c r="S326" s="5" t="str">
        <f>IFERROR(__xludf.DUMMYFUNCTION("""COMPUTED_VALUE"""),"No")</f>
        <v>No</v>
      </c>
      <c r="T326" s="5" t="str">
        <f>IFERROR(__xludf.DUMMYFUNCTION("""COMPUTED_VALUE"""),"No")</f>
        <v>No</v>
      </c>
      <c r="U326" s="5" t="str">
        <f>IFERROR(__xludf.DUMMYFUNCTION("""COMPUTED_VALUE"""),"No")</f>
        <v>No</v>
      </c>
      <c r="V326" s="5"/>
      <c r="W326" s="5"/>
      <c r="X326" s="5"/>
      <c r="Y326" s="5"/>
      <c r="Z326" s="5" t="str">
        <f>IFERROR(__xludf.DUMMYFUNCTION("""COMPUTED_VALUE"""),"No")</f>
        <v>No</v>
      </c>
      <c r="AA326" s="5"/>
      <c r="AB326" s="5"/>
      <c r="AC326" s="5"/>
    </row>
    <row r="327">
      <c r="A327" s="5" t="str">
        <f>IFERROR(__xludf.DUMMYFUNCTION("""COMPUTED_VALUE"""),"RedstoneBookOfScorpio")</f>
        <v>RedstoneBookOfScorpio</v>
      </c>
      <c r="B32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7" s="5" t="str">
        <f>IFERROR(__xludf.DUMMYFUNCTION("""COMPUTED_VALUE"""),"Yes")</f>
        <v>Yes</v>
      </c>
      <c r="D327" s="5" t="str">
        <f>IFERROR(__xludf.DUMMYFUNCTION("""COMPUTED_VALUE"""),"Yes")</f>
        <v>Yes</v>
      </c>
      <c r="E327" s="5" t="str">
        <f>IFERROR(__xludf.DUMMYFUNCTION("""COMPUTED_VALUE"""),"No")</f>
        <v>No</v>
      </c>
      <c r="F327" s="5" t="str">
        <f>IFERROR(__xludf.DUMMYFUNCTION("""COMPUTED_VALUE"""),"Yes")</f>
        <v>Yes</v>
      </c>
      <c r="G327" s="5" t="str">
        <f>IFERROR(__xludf.DUMMYFUNCTION("""COMPUTED_VALUE"""),"Yes")</f>
        <v>Yes</v>
      </c>
      <c r="H327" s="5" t="str">
        <f>IFERROR(__xludf.DUMMYFUNCTION("""COMPUTED_VALUE"""),"Yes")</f>
        <v>Yes</v>
      </c>
      <c r="I327" s="5" t="str">
        <f>IFERROR(__xludf.DUMMYFUNCTION("""COMPUTED_VALUE"""),"Yes")</f>
        <v>Yes</v>
      </c>
      <c r="J327" s="5" t="str">
        <f>IFERROR(__xludf.DUMMYFUNCTION("""COMPUTED_VALUE"""),"Yes")</f>
        <v>Yes</v>
      </c>
      <c r="K327" s="5" t="str">
        <f>IFERROR(__xludf.DUMMYFUNCTION("""COMPUTED_VALUE"""),"Yes")</f>
        <v>Yes</v>
      </c>
      <c r="L327" s="5" t="str">
        <f>IFERROR(__xludf.DUMMYFUNCTION("""COMPUTED_VALUE"""),"Yes")</f>
        <v>Yes</v>
      </c>
      <c r="M327" s="5" t="str">
        <f>IFERROR(__xludf.DUMMYFUNCTION("""COMPUTED_VALUE"""),"Yes")</f>
        <v>Yes</v>
      </c>
      <c r="N327" s="5" t="str">
        <f>IFERROR(__xludf.DUMMYFUNCTION("""COMPUTED_VALUE"""),"Yes")</f>
        <v>Yes</v>
      </c>
      <c r="O327" s="5" t="str">
        <f>IFERROR(__xludf.DUMMYFUNCTION("""COMPUTED_VALUE"""),"Yes")</f>
        <v>Yes</v>
      </c>
      <c r="P327" s="5" t="str">
        <f>IFERROR(__xludf.DUMMYFUNCTION("""COMPUTED_VALUE"""),"Yes")</f>
        <v>Yes</v>
      </c>
      <c r="Q327" s="5" t="str">
        <f>IFERROR(__xludf.DUMMYFUNCTION("""COMPUTED_VALUE"""),"Yes")</f>
        <v>Yes</v>
      </c>
      <c r="R327" s="5" t="str">
        <f>IFERROR(__xludf.DUMMYFUNCTION("""COMPUTED_VALUE"""),"No")</f>
        <v>No</v>
      </c>
      <c r="S327" s="5" t="str">
        <f>IFERROR(__xludf.DUMMYFUNCTION("""COMPUTED_VALUE"""),"No")</f>
        <v>No</v>
      </c>
      <c r="T327" s="5" t="str">
        <f>IFERROR(__xludf.DUMMYFUNCTION("""COMPUTED_VALUE"""),"No")</f>
        <v>No</v>
      </c>
      <c r="U327" s="5" t="str">
        <f>IFERROR(__xludf.DUMMYFUNCTION("""COMPUTED_VALUE"""),"No")</f>
        <v>No</v>
      </c>
      <c r="V327" s="5" t="str">
        <f>IFERROR(__xludf.DUMMYFUNCTION("""COMPUTED_VALUE"""),"No")</f>
        <v>No</v>
      </c>
      <c r="W327" s="5" t="str">
        <f>IFERROR(__xludf.DUMMYFUNCTION("""COMPUTED_VALUE"""),"No")</f>
        <v>No</v>
      </c>
      <c r="X327" s="5" t="str">
        <f>IFERROR(__xludf.DUMMYFUNCTION("""COMPUTED_VALUE"""),"No")</f>
        <v>No</v>
      </c>
      <c r="Y327" s="5" t="str">
        <f>IFERROR(__xludf.DUMMYFUNCTION("""COMPUTED_VALUE"""),"No")</f>
        <v>No</v>
      </c>
      <c r="Z327" s="5" t="str">
        <f>IFERROR(__xludf.DUMMYFUNCTION("""COMPUTED_VALUE"""),"No")</f>
        <v>No</v>
      </c>
      <c r="AA327" s="5" t="str">
        <f>IFERROR(__xludf.DUMMYFUNCTION("""COMPUTED_VALUE"""),"No")</f>
        <v>No</v>
      </c>
      <c r="AB327" s="5" t="str">
        <f>IFERROR(__xludf.DUMMYFUNCTION("""COMPUTED_VALUE"""),"Yes")</f>
        <v>Yes</v>
      </c>
      <c r="AC327" s="5" t="str">
        <f>IFERROR(__xludf.DUMMYFUNCTION("""COMPUTED_VALUE"""),"No")</f>
        <v>No</v>
      </c>
    </row>
    <row r="328">
      <c r="A328" s="5" t="str">
        <f>IFERROR(__xludf.DUMMYFUNCTION("""COMPUTED_VALUE"""),"UnicornBuffaloSevens")</f>
        <v>UnicornBuffaloSevens</v>
      </c>
      <c r="B328" s="5" t="str">
        <f>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C328" s="5" t="str">
        <f>IFERROR(__xludf.DUMMYFUNCTION("""COMPUTED_VALUE"""),"Yes")</f>
        <v>Yes</v>
      </c>
      <c r="D328" s="5" t="str">
        <f>IFERROR(__xludf.DUMMYFUNCTION("""COMPUTED_VALUE"""),"Yes")</f>
        <v>Yes</v>
      </c>
      <c r="E328" s="5" t="str">
        <f>IFERROR(__xludf.DUMMYFUNCTION("""COMPUTED_VALUE"""),"No")</f>
        <v>No</v>
      </c>
      <c r="F328" s="5" t="str">
        <f>IFERROR(__xludf.DUMMYFUNCTION("""COMPUTED_VALUE"""),"Yes")</f>
        <v>Yes</v>
      </c>
      <c r="G328" s="5" t="str">
        <f>IFERROR(__xludf.DUMMYFUNCTION("""COMPUTED_VALUE"""),"Yes")</f>
        <v>Yes</v>
      </c>
      <c r="H328" s="5" t="str">
        <f>IFERROR(__xludf.DUMMYFUNCTION("""COMPUTED_VALUE"""),"Yes")</f>
        <v>Yes</v>
      </c>
      <c r="I328" s="5" t="str">
        <f>IFERROR(__xludf.DUMMYFUNCTION("""COMPUTED_VALUE"""),"Yes")</f>
        <v>Yes</v>
      </c>
      <c r="J328" s="5" t="str">
        <f>IFERROR(__xludf.DUMMYFUNCTION("""COMPUTED_VALUE"""),"Yes")</f>
        <v>Yes</v>
      </c>
      <c r="K328" s="5" t="str">
        <f>IFERROR(__xludf.DUMMYFUNCTION("""COMPUTED_VALUE"""),"Yes")</f>
        <v>Yes</v>
      </c>
      <c r="L328" s="5" t="str">
        <f>IFERROR(__xludf.DUMMYFUNCTION("""COMPUTED_VALUE"""),"Yes")</f>
        <v>Yes</v>
      </c>
      <c r="M328" s="5" t="str">
        <f>IFERROR(__xludf.DUMMYFUNCTION("""COMPUTED_VALUE"""),"Yes")</f>
        <v>Yes</v>
      </c>
      <c r="N328" s="5" t="str">
        <f>IFERROR(__xludf.DUMMYFUNCTION("""COMPUTED_VALUE"""),"Yes")</f>
        <v>Yes</v>
      </c>
      <c r="O328" s="5" t="str">
        <f>IFERROR(__xludf.DUMMYFUNCTION("""COMPUTED_VALUE"""),"Yes")</f>
        <v>Yes</v>
      </c>
      <c r="P328" s="5" t="str">
        <f>IFERROR(__xludf.DUMMYFUNCTION("""COMPUTED_VALUE"""),"Yes")</f>
        <v>Yes</v>
      </c>
      <c r="Q328" s="5" t="str">
        <f>IFERROR(__xludf.DUMMYFUNCTION("""COMPUTED_VALUE"""),"Yes")</f>
        <v>Yes</v>
      </c>
      <c r="R328" s="5" t="str">
        <f>IFERROR(__xludf.DUMMYFUNCTION("""COMPUTED_VALUE"""),"No")</f>
        <v>No</v>
      </c>
      <c r="S328" s="5" t="str">
        <f>IFERROR(__xludf.DUMMYFUNCTION("""COMPUTED_VALUE"""),"No")</f>
        <v>No</v>
      </c>
      <c r="T328" s="5" t="str">
        <f>IFERROR(__xludf.DUMMYFUNCTION("""COMPUTED_VALUE"""),"No")</f>
        <v>No</v>
      </c>
      <c r="U328" s="5" t="str">
        <f>IFERROR(__xludf.DUMMYFUNCTION("""COMPUTED_VALUE"""),"No")</f>
        <v>No</v>
      </c>
      <c r="V328" s="5" t="str">
        <f>IFERROR(__xludf.DUMMYFUNCTION("""COMPUTED_VALUE"""),"No")</f>
        <v>No</v>
      </c>
      <c r="W328" s="5" t="str">
        <f>IFERROR(__xludf.DUMMYFUNCTION("""COMPUTED_VALUE"""),"No")</f>
        <v>No</v>
      </c>
      <c r="X328" s="5" t="str">
        <f>IFERROR(__xludf.DUMMYFUNCTION("""COMPUTED_VALUE"""),"No")</f>
        <v>No</v>
      </c>
      <c r="Y328" s="5" t="str">
        <f>IFERROR(__xludf.DUMMYFUNCTION("""COMPUTED_VALUE"""),"No")</f>
        <v>No</v>
      </c>
      <c r="Z328" s="5" t="str">
        <f>IFERROR(__xludf.DUMMYFUNCTION("""COMPUTED_VALUE"""),"Yes")</f>
        <v>Yes</v>
      </c>
      <c r="AA328" s="5" t="str">
        <f>IFERROR(__xludf.DUMMYFUNCTION("""COMPUTED_VALUE"""),"No")</f>
        <v>No</v>
      </c>
      <c r="AB328" s="5" t="str">
        <f>IFERROR(__xludf.DUMMYFUNCTION("""COMPUTED_VALUE"""),"Yes")</f>
        <v>Yes</v>
      </c>
      <c r="AC328" s="5" t="str">
        <f>IFERROR(__xludf.DUMMYFUNCTION("""COMPUTED_VALUE"""),"No")</f>
        <v>No</v>
      </c>
    </row>
    <row r="329">
      <c r="A329" s="5" t="str">
        <f>IFERROR(__xludf.DUMMYFUNCTION("""COMPUTED_VALUE"""),"UnicornMisterLuck")</f>
        <v>UnicornMisterLuck</v>
      </c>
      <c r="B3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29" s="5" t="str">
        <f>IFERROR(__xludf.DUMMYFUNCTION("""COMPUTED_VALUE"""),"Yes")</f>
        <v>Yes</v>
      </c>
      <c r="D329" s="5" t="str">
        <f>IFERROR(__xludf.DUMMYFUNCTION("""COMPUTED_VALUE"""),"Yes")</f>
        <v>Yes</v>
      </c>
      <c r="E329" s="5" t="str">
        <f>IFERROR(__xludf.DUMMYFUNCTION("""COMPUTED_VALUE"""),"Yes")</f>
        <v>Yes</v>
      </c>
      <c r="F329" s="5" t="str">
        <f>IFERROR(__xludf.DUMMYFUNCTION("""COMPUTED_VALUE"""),"No")</f>
        <v>No</v>
      </c>
      <c r="G329" s="5" t="str">
        <f>IFERROR(__xludf.DUMMYFUNCTION("""COMPUTED_VALUE"""),"No")</f>
        <v>No</v>
      </c>
      <c r="H329" s="5" t="str">
        <f>IFERROR(__xludf.DUMMYFUNCTION("""COMPUTED_VALUE"""),"No")</f>
        <v>No</v>
      </c>
      <c r="I329" s="5" t="str">
        <f>IFERROR(__xludf.DUMMYFUNCTION("""COMPUTED_VALUE"""),"No")</f>
        <v>No</v>
      </c>
      <c r="J329" s="5" t="str">
        <f>IFERROR(__xludf.DUMMYFUNCTION("""COMPUTED_VALUE"""),"No")</f>
        <v>No</v>
      </c>
      <c r="K329" s="5" t="str">
        <f>IFERROR(__xludf.DUMMYFUNCTION("""COMPUTED_VALUE"""),"Yes")</f>
        <v>Yes</v>
      </c>
      <c r="L329" s="5" t="str">
        <f>IFERROR(__xludf.DUMMYFUNCTION("""COMPUTED_VALUE"""),"Yes")</f>
        <v>Yes</v>
      </c>
      <c r="M329" s="5" t="str">
        <f>IFERROR(__xludf.DUMMYFUNCTION("""COMPUTED_VALUE"""),"Yes")</f>
        <v>Yes</v>
      </c>
      <c r="N329" s="5" t="str">
        <f>IFERROR(__xludf.DUMMYFUNCTION("""COMPUTED_VALUE"""),"Yes")</f>
        <v>Yes</v>
      </c>
      <c r="O329" s="5" t="str">
        <f>IFERROR(__xludf.DUMMYFUNCTION("""COMPUTED_VALUE"""),"Yes")</f>
        <v>Yes</v>
      </c>
      <c r="P329" s="5" t="str">
        <f>IFERROR(__xludf.DUMMYFUNCTION("""COMPUTED_VALUE"""),"No")</f>
        <v>No</v>
      </c>
      <c r="Q329" s="5" t="str">
        <f>IFERROR(__xludf.DUMMYFUNCTION("""COMPUTED_VALUE"""),"Yes")</f>
        <v>Yes</v>
      </c>
      <c r="R329" s="5" t="str">
        <f>IFERROR(__xludf.DUMMYFUNCTION("""COMPUTED_VALUE"""),"No")</f>
        <v>No</v>
      </c>
      <c r="S329" s="5" t="str">
        <f>IFERROR(__xludf.DUMMYFUNCTION("""COMPUTED_VALUE"""),"No")</f>
        <v>No</v>
      </c>
      <c r="T329" s="5" t="str">
        <f>IFERROR(__xludf.DUMMYFUNCTION("""COMPUTED_VALUE"""),"No")</f>
        <v>No</v>
      </c>
      <c r="U329" s="5" t="str">
        <f>IFERROR(__xludf.DUMMYFUNCTION("""COMPUTED_VALUE"""),"No")</f>
        <v>No</v>
      </c>
      <c r="V329" s="5"/>
      <c r="W329" s="5"/>
      <c r="X329" s="5"/>
      <c r="Y329" s="5"/>
      <c r="Z329" s="5" t="str">
        <f>IFERROR(__xludf.DUMMYFUNCTION("""COMPUTED_VALUE"""),"No")</f>
        <v>No</v>
      </c>
      <c r="AA329" s="5"/>
      <c r="AB329" s="5"/>
      <c r="AC329" s="5"/>
    </row>
    <row r="330">
      <c r="A330" s="5" t="str">
        <f>IFERROR(__xludf.DUMMYFUNCTION("""COMPUTED_VALUE"""),"WildSunburst")</f>
        <v>WildSunburst</v>
      </c>
      <c r="B3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0" s="5" t="str">
        <f>IFERROR(__xludf.DUMMYFUNCTION("""COMPUTED_VALUE"""),"Yes")</f>
        <v>Yes</v>
      </c>
      <c r="D330" s="5" t="str">
        <f>IFERROR(__xludf.DUMMYFUNCTION("""COMPUTED_VALUE"""),"Yes")</f>
        <v>Yes</v>
      </c>
      <c r="E330" s="5" t="str">
        <f>IFERROR(__xludf.DUMMYFUNCTION("""COMPUTED_VALUE"""),"Yes")</f>
        <v>Yes</v>
      </c>
      <c r="F330" s="5" t="str">
        <f>IFERROR(__xludf.DUMMYFUNCTION("""COMPUTED_VALUE"""),"Yes")</f>
        <v>Yes</v>
      </c>
      <c r="G330" s="5" t="str">
        <f>IFERROR(__xludf.DUMMYFUNCTION("""COMPUTED_VALUE"""),"Yes")</f>
        <v>Yes</v>
      </c>
      <c r="H330" s="5" t="str">
        <f>IFERROR(__xludf.DUMMYFUNCTION("""COMPUTED_VALUE"""),"Yes")</f>
        <v>Yes</v>
      </c>
      <c r="I330" s="5" t="str">
        <f>IFERROR(__xludf.DUMMYFUNCTION("""COMPUTED_VALUE"""),"Yes")</f>
        <v>Yes</v>
      </c>
      <c r="J330" s="5" t="str">
        <f>IFERROR(__xludf.DUMMYFUNCTION("""COMPUTED_VALUE"""),"Yes")</f>
        <v>Yes</v>
      </c>
      <c r="K330" s="5" t="str">
        <f>IFERROR(__xludf.DUMMYFUNCTION("""COMPUTED_VALUE"""),"Yes")</f>
        <v>Yes</v>
      </c>
      <c r="L330" s="5" t="str">
        <f>IFERROR(__xludf.DUMMYFUNCTION("""COMPUTED_VALUE"""),"Yes")</f>
        <v>Yes</v>
      </c>
      <c r="M330" s="5" t="str">
        <f>IFERROR(__xludf.DUMMYFUNCTION("""COMPUTED_VALUE"""),"Yes")</f>
        <v>Yes</v>
      </c>
      <c r="N330" s="5" t="str">
        <f>IFERROR(__xludf.DUMMYFUNCTION("""COMPUTED_VALUE"""),"Yes")</f>
        <v>Yes</v>
      </c>
      <c r="O330" s="5" t="str">
        <f>IFERROR(__xludf.DUMMYFUNCTION("""COMPUTED_VALUE"""),"Yes")</f>
        <v>Yes</v>
      </c>
      <c r="P330" s="5" t="str">
        <f>IFERROR(__xludf.DUMMYFUNCTION("""COMPUTED_VALUE"""),"Yes")</f>
        <v>Yes</v>
      </c>
      <c r="Q330" s="5" t="str">
        <f>IFERROR(__xludf.DUMMYFUNCTION("""COMPUTED_VALUE"""),"Yes")</f>
        <v>Yes</v>
      </c>
      <c r="R330" s="5" t="str">
        <f>IFERROR(__xludf.DUMMYFUNCTION("""COMPUTED_VALUE"""),"Yes")</f>
        <v>Yes</v>
      </c>
      <c r="S330" s="5" t="str">
        <f>IFERROR(__xludf.DUMMYFUNCTION("""COMPUTED_VALUE"""),"Yes")</f>
        <v>Yes</v>
      </c>
      <c r="T330" s="5" t="str">
        <f>IFERROR(__xludf.DUMMYFUNCTION("""COMPUTED_VALUE"""),"Yes")</f>
        <v>Yes</v>
      </c>
      <c r="U330" s="5" t="str">
        <f>IFERROR(__xludf.DUMMYFUNCTION("""COMPUTED_VALUE"""),"Yes")</f>
        <v>Yes</v>
      </c>
      <c r="V330" s="5" t="str">
        <f>IFERROR(__xludf.DUMMYFUNCTION("""COMPUTED_VALUE"""),"Yes")</f>
        <v>Yes</v>
      </c>
      <c r="W330" s="5" t="str">
        <f>IFERROR(__xludf.DUMMYFUNCTION("""COMPUTED_VALUE"""),"Yes")</f>
        <v>Yes</v>
      </c>
      <c r="X330" s="5" t="str">
        <f>IFERROR(__xludf.DUMMYFUNCTION("""COMPUTED_VALUE"""),"Yes")</f>
        <v>Yes</v>
      </c>
      <c r="Y330" s="5" t="str">
        <f>IFERROR(__xludf.DUMMYFUNCTION("""COMPUTED_VALUE"""),"Yes")</f>
        <v>Yes</v>
      </c>
      <c r="Z330" s="5" t="str">
        <f>IFERROR(__xludf.DUMMYFUNCTION("""COMPUTED_VALUE"""),"Yes")</f>
        <v>Yes</v>
      </c>
      <c r="AA330" s="5" t="str">
        <f>IFERROR(__xludf.DUMMYFUNCTION("""COMPUTED_VALUE"""),"Yes")</f>
        <v>Yes</v>
      </c>
      <c r="AB330" s="5" t="str">
        <f>IFERROR(__xludf.DUMMYFUNCTION("""COMPUTED_VALUE"""),"Yes")</f>
        <v>Yes</v>
      </c>
      <c r="AC330" s="5" t="str">
        <f>IFERROR(__xludf.DUMMYFUNCTION("""COMPUTED_VALUE"""),"No")</f>
        <v>No</v>
      </c>
    </row>
    <row r="331">
      <c r="A331" s="5" t="str">
        <f>IFERROR(__xludf.DUMMYFUNCTION("""COMPUTED_VALUE"""),"ToxicHaze")</f>
        <v>ToxicHaze</v>
      </c>
      <c r="B3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1" s="5" t="str">
        <f>IFERROR(__xludf.DUMMYFUNCTION("""COMPUTED_VALUE"""),"Yes")</f>
        <v>Yes</v>
      </c>
      <c r="D331" s="5" t="str">
        <f>IFERROR(__xludf.DUMMYFUNCTION("""COMPUTED_VALUE"""),"Yes")</f>
        <v>Yes</v>
      </c>
      <c r="E331" s="5" t="str">
        <f>IFERROR(__xludf.DUMMYFUNCTION("""COMPUTED_VALUE"""),"Yes")</f>
        <v>Yes</v>
      </c>
      <c r="F331" s="5" t="str">
        <f>IFERROR(__xludf.DUMMYFUNCTION("""COMPUTED_VALUE"""),"Yes")</f>
        <v>Yes</v>
      </c>
      <c r="G331" s="5" t="str">
        <f>IFERROR(__xludf.DUMMYFUNCTION("""COMPUTED_VALUE"""),"Yes")</f>
        <v>Yes</v>
      </c>
      <c r="H331" s="5" t="str">
        <f>IFERROR(__xludf.DUMMYFUNCTION("""COMPUTED_VALUE"""),"Yes")</f>
        <v>Yes</v>
      </c>
      <c r="I331" s="5" t="str">
        <f>IFERROR(__xludf.DUMMYFUNCTION("""COMPUTED_VALUE"""),"Yes")</f>
        <v>Yes</v>
      </c>
      <c r="J331" s="5" t="str">
        <f>IFERROR(__xludf.DUMMYFUNCTION("""COMPUTED_VALUE"""),"Yes")</f>
        <v>Yes</v>
      </c>
      <c r="K331" s="5" t="str">
        <f>IFERROR(__xludf.DUMMYFUNCTION("""COMPUTED_VALUE"""),"Yes")</f>
        <v>Yes</v>
      </c>
      <c r="L331" s="5" t="str">
        <f>IFERROR(__xludf.DUMMYFUNCTION("""COMPUTED_VALUE"""),"Yes")</f>
        <v>Yes</v>
      </c>
      <c r="M331" s="5" t="str">
        <f>IFERROR(__xludf.DUMMYFUNCTION("""COMPUTED_VALUE"""),"Yes")</f>
        <v>Yes</v>
      </c>
      <c r="N331" s="5" t="str">
        <f>IFERROR(__xludf.DUMMYFUNCTION("""COMPUTED_VALUE"""),"Yes")</f>
        <v>Yes</v>
      </c>
      <c r="O331" s="5" t="str">
        <f>IFERROR(__xludf.DUMMYFUNCTION("""COMPUTED_VALUE"""),"Yes")</f>
        <v>Yes</v>
      </c>
      <c r="P331" s="5" t="str">
        <f>IFERROR(__xludf.DUMMYFUNCTION("""COMPUTED_VALUE"""),"Yes")</f>
        <v>Yes</v>
      </c>
      <c r="Q331" s="5" t="str">
        <f>IFERROR(__xludf.DUMMYFUNCTION("""COMPUTED_VALUE"""),"Yes")</f>
        <v>Yes</v>
      </c>
      <c r="R331" s="5" t="str">
        <f>IFERROR(__xludf.DUMMYFUNCTION("""COMPUTED_VALUE"""),"Yes")</f>
        <v>Yes</v>
      </c>
      <c r="S331" s="5" t="str">
        <f>IFERROR(__xludf.DUMMYFUNCTION("""COMPUTED_VALUE"""),"Yes")</f>
        <v>Yes</v>
      </c>
      <c r="T331" s="5" t="str">
        <f>IFERROR(__xludf.DUMMYFUNCTION("""COMPUTED_VALUE"""),"Yes")</f>
        <v>Yes</v>
      </c>
      <c r="U331" s="5" t="str">
        <f>IFERROR(__xludf.DUMMYFUNCTION("""COMPUTED_VALUE"""),"Yes")</f>
        <v>Yes</v>
      </c>
      <c r="V331" s="5" t="str">
        <f>IFERROR(__xludf.DUMMYFUNCTION("""COMPUTED_VALUE"""),"Yes")</f>
        <v>Yes</v>
      </c>
      <c r="W331" s="5" t="str">
        <f>IFERROR(__xludf.DUMMYFUNCTION("""COMPUTED_VALUE"""),"Yes")</f>
        <v>Yes</v>
      </c>
      <c r="X331" s="5" t="str">
        <f>IFERROR(__xludf.DUMMYFUNCTION("""COMPUTED_VALUE"""),"Yes")</f>
        <v>Yes</v>
      </c>
      <c r="Y331" s="5" t="str">
        <f>IFERROR(__xludf.DUMMYFUNCTION("""COMPUTED_VALUE"""),"Yes")</f>
        <v>Yes</v>
      </c>
      <c r="Z331" s="5" t="str">
        <f>IFERROR(__xludf.DUMMYFUNCTION("""COMPUTED_VALUE"""),"Yes")</f>
        <v>Yes</v>
      </c>
      <c r="AA331" s="5" t="str">
        <f>IFERROR(__xludf.DUMMYFUNCTION("""COMPUTED_VALUE"""),"Yes")</f>
        <v>Yes</v>
      </c>
      <c r="AB331" s="5" t="str">
        <f>IFERROR(__xludf.DUMMYFUNCTION("""COMPUTED_VALUE"""),"Yes")</f>
        <v>Yes</v>
      </c>
      <c r="AC331" s="5" t="str">
        <f>IFERROR(__xludf.DUMMYFUNCTION("""COMPUTED_VALUE"""),"No")</f>
        <v>No</v>
      </c>
    </row>
    <row r="332">
      <c r="A332" s="5" t="str">
        <f>IFERROR(__xludf.DUMMYFUNCTION("""COMPUTED_VALUE"""),"UnicornFrootClassic")</f>
        <v>UnicornFrootClassic</v>
      </c>
      <c r="B33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32" s="5" t="str">
        <f>IFERROR(__xludf.DUMMYFUNCTION("""COMPUTED_VALUE"""),"Yes")</f>
        <v>Yes</v>
      </c>
      <c r="D332" s="5" t="str">
        <f>IFERROR(__xludf.DUMMYFUNCTION("""COMPUTED_VALUE"""),"Yes")</f>
        <v>Yes</v>
      </c>
      <c r="E332" s="5" t="str">
        <f>IFERROR(__xludf.DUMMYFUNCTION("""COMPUTED_VALUE"""),"Yes")</f>
        <v>Yes</v>
      </c>
      <c r="F332" s="5" t="str">
        <f>IFERROR(__xludf.DUMMYFUNCTION("""COMPUTED_VALUE"""),"Yes")</f>
        <v>Yes</v>
      </c>
      <c r="G332" s="5" t="str">
        <f>IFERROR(__xludf.DUMMYFUNCTION("""COMPUTED_VALUE"""),"Yes")</f>
        <v>Yes</v>
      </c>
      <c r="H332" s="5" t="str">
        <f>IFERROR(__xludf.DUMMYFUNCTION("""COMPUTED_VALUE"""),"Yes")</f>
        <v>Yes</v>
      </c>
      <c r="I332" s="5" t="str">
        <f>IFERROR(__xludf.DUMMYFUNCTION("""COMPUTED_VALUE"""),"Yes")</f>
        <v>Yes</v>
      </c>
      <c r="J332" s="5" t="str">
        <f>IFERROR(__xludf.DUMMYFUNCTION("""COMPUTED_VALUE"""),"Yes")</f>
        <v>Yes</v>
      </c>
      <c r="K332" s="5" t="str">
        <f>IFERROR(__xludf.DUMMYFUNCTION("""COMPUTED_VALUE"""),"Yes")</f>
        <v>Yes</v>
      </c>
      <c r="L332" s="5" t="str">
        <f>IFERROR(__xludf.DUMMYFUNCTION("""COMPUTED_VALUE"""),"Yes")</f>
        <v>Yes</v>
      </c>
      <c r="M332" s="5" t="str">
        <f>IFERROR(__xludf.DUMMYFUNCTION("""COMPUTED_VALUE"""),"Yes")</f>
        <v>Yes</v>
      </c>
      <c r="N332" s="5" t="str">
        <f>IFERROR(__xludf.DUMMYFUNCTION("""COMPUTED_VALUE"""),"Yes")</f>
        <v>Yes</v>
      </c>
      <c r="O332" s="5" t="str">
        <f>IFERROR(__xludf.DUMMYFUNCTION("""COMPUTED_VALUE"""),"Yes")</f>
        <v>Yes</v>
      </c>
      <c r="P332" s="5" t="str">
        <f>IFERROR(__xludf.DUMMYFUNCTION("""COMPUTED_VALUE"""),"Yes")</f>
        <v>Yes</v>
      </c>
      <c r="Q332" s="5" t="str">
        <f>IFERROR(__xludf.DUMMYFUNCTION("""COMPUTED_VALUE"""),"Yes")</f>
        <v>Yes</v>
      </c>
      <c r="R332" s="5" t="str">
        <f>IFERROR(__xludf.DUMMYFUNCTION("""COMPUTED_VALUE"""),"Yes")</f>
        <v>Yes</v>
      </c>
      <c r="S332" s="5" t="str">
        <f>IFERROR(__xludf.DUMMYFUNCTION("""COMPUTED_VALUE"""),"Yes")</f>
        <v>Yes</v>
      </c>
      <c r="T332" s="5" t="str">
        <f>IFERROR(__xludf.DUMMYFUNCTION("""COMPUTED_VALUE"""),"Yes")</f>
        <v>Yes</v>
      </c>
      <c r="U332" s="5" t="str">
        <f>IFERROR(__xludf.DUMMYFUNCTION("""COMPUTED_VALUE"""),"Yes")</f>
        <v>Yes</v>
      </c>
      <c r="V332" s="5"/>
      <c r="W332" s="5" t="str">
        <f>IFERROR(__xludf.DUMMYFUNCTION("""COMPUTED_VALUE"""),"Yes")</f>
        <v>Yes</v>
      </c>
      <c r="X332" s="5"/>
      <c r="Y332" s="5"/>
      <c r="Z332" s="5" t="str">
        <f>IFERROR(__xludf.DUMMYFUNCTION("""COMPUTED_VALUE"""),"Yes")</f>
        <v>Yes</v>
      </c>
      <c r="AA332" s="5"/>
      <c r="AB332" s="5"/>
      <c r="AC332" s="5"/>
    </row>
    <row r="333">
      <c r="A333" s="5" t="str">
        <f>IFERROR(__xludf.DUMMYFUNCTION("""COMPUTED_VALUE"""),"UnicornDiceWildLines")</f>
        <v>UnicornDiceWildLines</v>
      </c>
      <c r="B333"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33" s="5" t="str">
        <f>IFERROR(__xludf.DUMMYFUNCTION("""COMPUTED_VALUE"""),"Yes")</f>
        <v>Yes</v>
      </c>
      <c r="D333" s="5" t="str">
        <f>IFERROR(__xludf.DUMMYFUNCTION("""COMPUTED_VALUE"""),"Yes")</f>
        <v>Yes</v>
      </c>
      <c r="E333" s="5" t="str">
        <f>IFERROR(__xludf.DUMMYFUNCTION("""COMPUTED_VALUE"""),"Yes")</f>
        <v>Yes</v>
      </c>
      <c r="F333" s="5" t="str">
        <f>IFERROR(__xludf.DUMMYFUNCTION("""COMPUTED_VALUE"""),"No")</f>
        <v>No</v>
      </c>
      <c r="G333" s="5" t="str">
        <f>IFERROR(__xludf.DUMMYFUNCTION("""COMPUTED_VALUE"""),"No")</f>
        <v>No</v>
      </c>
      <c r="H333" s="5" t="str">
        <f>IFERROR(__xludf.DUMMYFUNCTION("""COMPUTED_VALUE"""),"No")</f>
        <v>No</v>
      </c>
      <c r="I333" s="5" t="str">
        <f>IFERROR(__xludf.DUMMYFUNCTION("""COMPUTED_VALUE"""),"No")</f>
        <v>No</v>
      </c>
      <c r="J333" s="5" t="str">
        <f>IFERROR(__xludf.DUMMYFUNCTION("""COMPUTED_VALUE"""),"No")</f>
        <v>No</v>
      </c>
      <c r="K333" s="5" t="str">
        <f>IFERROR(__xludf.DUMMYFUNCTION("""COMPUTED_VALUE"""),"Yes")</f>
        <v>Yes</v>
      </c>
      <c r="L333" s="5" t="str">
        <f>IFERROR(__xludf.DUMMYFUNCTION("""COMPUTED_VALUE"""),"Yes")</f>
        <v>Yes</v>
      </c>
      <c r="M333" s="5" t="str">
        <f>IFERROR(__xludf.DUMMYFUNCTION("""COMPUTED_VALUE"""),"Yes")</f>
        <v>Yes</v>
      </c>
      <c r="N333" s="5" t="str">
        <f>IFERROR(__xludf.DUMMYFUNCTION("""COMPUTED_VALUE"""),"Yes")</f>
        <v>Yes</v>
      </c>
      <c r="O333" s="5" t="str">
        <f>IFERROR(__xludf.DUMMYFUNCTION("""COMPUTED_VALUE"""),"Yes")</f>
        <v>Yes</v>
      </c>
      <c r="P333" s="5" t="str">
        <f>IFERROR(__xludf.DUMMYFUNCTION("""COMPUTED_VALUE"""),"No")</f>
        <v>No</v>
      </c>
      <c r="Q333" s="5" t="str">
        <f>IFERROR(__xludf.DUMMYFUNCTION("""COMPUTED_VALUE"""),"Yes")</f>
        <v>Yes</v>
      </c>
      <c r="R333" s="5" t="str">
        <f>IFERROR(__xludf.DUMMYFUNCTION("""COMPUTED_VALUE"""),"No")</f>
        <v>No</v>
      </c>
      <c r="S333" s="5" t="str">
        <f>IFERROR(__xludf.DUMMYFUNCTION("""COMPUTED_VALUE"""),"No")</f>
        <v>No</v>
      </c>
      <c r="T333" s="5" t="str">
        <f>IFERROR(__xludf.DUMMYFUNCTION("""COMPUTED_VALUE"""),"No")</f>
        <v>No</v>
      </c>
      <c r="U333" s="5" t="str">
        <f>IFERROR(__xludf.DUMMYFUNCTION("""COMPUTED_VALUE"""),"No")</f>
        <v>No</v>
      </c>
      <c r="V333" s="5"/>
      <c r="W333" s="5"/>
      <c r="X333" s="5"/>
      <c r="Y333" s="5"/>
      <c r="Z333" s="5" t="str">
        <f>IFERROR(__xludf.DUMMYFUNCTION("""COMPUTED_VALUE"""),"No")</f>
        <v>No</v>
      </c>
      <c r="AA333" s="5"/>
      <c r="AB333" s="5"/>
      <c r="AC333" s="5"/>
    </row>
    <row r="334">
      <c r="A334" s="5" t="str">
        <f>IFERROR(__xludf.DUMMYFUNCTION("""COMPUTED_VALUE"""),"RedstoneSpinUp")</f>
        <v>RedstoneSpinUp</v>
      </c>
      <c r="B33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34" s="5" t="str">
        <f>IFERROR(__xludf.DUMMYFUNCTION("""COMPUTED_VALUE"""),"Yes")</f>
        <v>Yes</v>
      </c>
      <c r="D334" s="5" t="str">
        <f>IFERROR(__xludf.DUMMYFUNCTION("""COMPUTED_VALUE"""),"Yes")</f>
        <v>Yes</v>
      </c>
      <c r="E334" s="5" t="str">
        <f>IFERROR(__xludf.DUMMYFUNCTION("""COMPUTED_VALUE"""),"Yes")</f>
        <v>Yes</v>
      </c>
      <c r="F334" s="5" t="str">
        <f>IFERROR(__xludf.DUMMYFUNCTION("""COMPUTED_VALUE"""),"No")</f>
        <v>No</v>
      </c>
      <c r="G334" s="5" t="str">
        <f>IFERROR(__xludf.DUMMYFUNCTION("""COMPUTED_VALUE"""),"No")</f>
        <v>No</v>
      </c>
      <c r="H334" s="5" t="str">
        <f>IFERROR(__xludf.DUMMYFUNCTION("""COMPUTED_VALUE"""),"No")</f>
        <v>No</v>
      </c>
      <c r="I334" s="5" t="str">
        <f>IFERROR(__xludf.DUMMYFUNCTION("""COMPUTED_VALUE"""),"No")</f>
        <v>No</v>
      </c>
      <c r="J334" s="5" t="str">
        <f>IFERROR(__xludf.DUMMYFUNCTION("""COMPUTED_VALUE"""),"No")</f>
        <v>No</v>
      </c>
      <c r="K334" s="5" t="str">
        <f>IFERROR(__xludf.DUMMYFUNCTION("""COMPUTED_VALUE"""),"Yes")</f>
        <v>Yes</v>
      </c>
      <c r="L334" s="5" t="str">
        <f>IFERROR(__xludf.DUMMYFUNCTION("""COMPUTED_VALUE"""),"Yes")</f>
        <v>Yes</v>
      </c>
      <c r="M334" s="5" t="str">
        <f>IFERROR(__xludf.DUMMYFUNCTION("""COMPUTED_VALUE"""),"Yes")</f>
        <v>Yes</v>
      </c>
      <c r="N334" s="5" t="str">
        <f>IFERROR(__xludf.DUMMYFUNCTION("""COMPUTED_VALUE"""),"Yes")</f>
        <v>Yes</v>
      </c>
      <c r="O334" s="5" t="str">
        <f>IFERROR(__xludf.DUMMYFUNCTION("""COMPUTED_VALUE"""),"Yes")</f>
        <v>Yes</v>
      </c>
      <c r="P334" s="5" t="str">
        <f>IFERROR(__xludf.DUMMYFUNCTION("""COMPUTED_VALUE"""),"No")</f>
        <v>No</v>
      </c>
      <c r="Q334" s="5" t="str">
        <f>IFERROR(__xludf.DUMMYFUNCTION("""COMPUTED_VALUE"""),"Yes")</f>
        <v>Yes</v>
      </c>
      <c r="R334" s="5" t="str">
        <f>IFERROR(__xludf.DUMMYFUNCTION("""COMPUTED_VALUE"""),"No")</f>
        <v>No</v>
      </c>
      <c r="S334" s="5" t="str">
        <f>IFERROR(__xludf.DUMMYFUNCTION("""COMPUTED_VALUE"""),"No")</f>
        <v>No</v>
      </c>
      <c r="T334" s="5" t="str">
        <f>IFERROR(__xludf.DUMMYFUNCTION("""COMPUTED_VALUE"""),"No")</f>
        <v>No</v>
      </c>
      <c r="U334" s="5" t="str">
        <f>IFERROR(__xludf.DUMMYFUNCTION("""COMPUTED_VALUE"""),"No")</f>
        <v>No</v>
      </c>
      <c r="V334" s="5"/>
      <c r="W334" s="5"/>
      <c r="X334" s="5"/>
      <c r="Y334" s="5"/>
      <c r="Z334" s="5" t="str">
        <f>IFERROR(__xludf.DUMMYFUNCTION("""COMPUTED_VALUE"""),"No")</f>
        <v>No</v>
      </c>
      <c r="AA334" s="5"/>
      <c r="AB334" s="5"/>
      <c r="AC334" s="5"/>
    </row>
    <row r="335">
      <c r="A335" s="5" t="str">
        <f>IFERROR(__xludf.DUMMYFUNCTION("""COMPUTED_VALUE"""),"UnicornStickyHot")</f>
        <v>UnicornStickyHot</v>
      </c>
      <c r="B335"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35" s="5" t="str">
        <f>IFERROR(__xludf.DUMMYFUNCTION("""COMPUTED_VALUE"""),"Yes")</f>
        <v>Yes</v>
      </c>
      <c r="D335" s="5" t="str">
        <f>IFERROR(__xludf.DUMMYFUNCTION("""COMPUTED_VALUE"""),"Yes")</f>
        <v>Yes</v>
      </c>
      <c r="E335" s="5" t="str">
        <f>IFERROR(__xludf.DUMMYFUNCTION("""COMPUTED_VALUE"""),"No")</f>
        <v>No</v>
      </c>
      <c r="F335" s="5" t="str">
        <f>IFERROR(__xludf.DUMMYFUNCTION("""COMPUTED_VALUE"""),"Yes")</f>
        <v>Yes</v>
      </c>
      <c r="G335" s="5" t="str">
        <f>IFERROR(__xludf.DUMMYFUNCTION("""COMPUTED_VALUE"""),"Yes")</f>
        <v>Yes</v>
      </c>
      <c r="H335" s="5" t="str">
        <f>IFERROR(__xludf.DUMMYFUNCTION("""COMPUTED_VALUE"""),"Yes")</f>
        <v>Yes</v>
      </c>
      <c r="I335" s="5" t="str">
        <f>IFERROR(__xludf.DUMMYFUNCTION("""COMPUTED_VALUE"""),"Yes")</f>
        <v>Yes</v>
      </c>
      <c r="J335" s="5" t="str">
        <f>IFERROR(__xludf.DUMMYFUNCTION("""COMPUTED_VALUE"""),"Yes")</f>
        <v>Yes</v>
      </c>
      <c r="K335" s="5" t="str">
        <f>IFERROR(__xludf.DUMMYFUNCTION("""COMPUTED_VALUE"""),"Yes")</f>
        <v>Yes</v>
      </c>
      <c r="L335" s="5" t="str">
        <f>IFERROR(__xludf.DUMMYFUNCTION("""COMPUTED_VALUE"""),"Yes")</f>
        <v>Yes</v>
      </c>
      <c r="M335" s="5" t="str">
        <f>IFERROR(__xludf.DUMMYFUNCTION("""COMPUTED_VALUE"""),"Yes")</f>
        <v>Yes</v>
      </c>
      <c r="N335" s="5" t="str">
        <f>IFERROR(__xludf.DUMMYFUNCTION("""COMPUTED_VALUE"""),"Yes")</f>
        <v>Yes</v>
      </c>
      <c r="O335" s="5" t="str">
        <f>IFERROR(__xludf.DUMMYFUNCTION("""COMPUTED_VALUE"""),"Yes")</f>
        <v>Yes</v>
      </c>
      <c r="P335" s="5" t="str">
        <f>IFERROR(__xludf.DUMMYFUNCTION("""COMPUTED_VALUE"""),"No")</f>
        <v>No</v>
      </c>
      <c r="Q335" s="5" t="str">
        <f>IFERROR(__xludf.DUMMYFUNCTION("""COMPUTED_VALUE"""),"Yes")</f>
        <v>Yes</v>
      </c>
      <c r="R335" s="5" t="str">
        <f>IFERROR(__xludf.DUMMYFUNCTION("""COMPUTED_VALUE"""),"No")</f>
        <v>No</v>
      </c>
      <c r="S335" s="5" t="str">
        <f>IFERROR(__xludf.DUMMYFUNCTION("""COMPUTED_VALUE"""),"No")</f>
        <v>No</v>
      </c>
      <c r="T335" s="5" t="str">
        <f>IFERROR(__xludf.DUMMYFUNCTION("""COMPUTED_VALUE"""),"No")</f>
        <v>No</v>
      </c>
      <c r="U335" s="5" t="str">
        <f>IFERROR(__xludf.DUMMYFUNCTION("""COMPUTED_VALUE"""),"No")</f>
        <v>No</v>
      </c>
      <c r="V335" s="5" t="str">
        <f>IFERROR(__xludf.DUMMYFUNCTION("""COMPUTED_VALUE"""),"No")</f>
        <v>No</v>
      </c>
      <c r="W335" s="5" t="str">
        <f>IFERROR(__xludf.DUMMYFUNCTION("""COMPUTED_VALUE"""),"No")</f>
        <v>No</v>
      </c>
      <c r="X335" s="5" t="str">
        <f>IFERROR(__xludf.DUMMYFUNCTION("""COMPUTED_VALUE"""),"No")</f>
        <v>No</v>
      </c>
      <c r="Y335" s="5" t="str">
        <f>IFERROR(__xludf.DUMMYFUNCTION("""COMPUTED_VALUE"""),"No")</f>
        <v>No</v>
      </c>
      <c r="Z335" s="5" t="str">
        <f>IFERROR(__xludf.DUMMYFUNCTION("""COMPUTED_VALUE"""),"No")</f>
        <v>No</v>
      </c>
      <c r="AA335" s="5" t="str">
        <f>IFERROR(__xludf.DUMMYFUNCTION("""COMPUTED_VALUE"""),"No")</f>
        <v>No</v>
      </c>
      <c r="AB335" s="5" t="str">
        <f>IFERROR(__xludf.DUMMYFUNCTION("""COMPUTED_VALUE"""),"Yes")</f>
        <v>Yes</v>
      </c>
      <c r="AC335" s="5" t="str">
        <f>IFERROR(__xludf.DUMMYFUNCTION("""COMPUTED_VALUE"""),"No")</f>
        <v>No</v>
      </c>
    </row>
    <row r="336">
      <c r="A336" s="5" t="str">
        <f>IFERROR(__xludf.DUMMYFUNCTION("""COMPUTED_VALUE"""),"MegaHot10")</f>
        <v>MegaHot10</v>
      </c>
      <c r="B3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6" s="5" t="str">
        <f>IFERROR(__xludf.DUMMYFUNCTION("""COMPUTED_VALUE"""),"Yes")</f>
        <v>Yes</v>
      </c>
      <c r="D336" s="5" t="str">
        <f>IFERROR(__xludf.DUMMYFUNCTION("""COMPUTED_VALUE"""),"Yes")</f>
        <v>Yes</v>
      </c>
      <c r="E336" s="5" t="str">
        <f>IFERROR(__xludf.DUMMYFUNCTION("""COMPUTED_VALUE"""),"Yes")</f>
        <v>Yes</v>
      </c>
      <c r="F336" s="5" t="str">
        <f>IFERROR(__xludf.DUMMYFUNCTION("""COMPUTED_VALUE"""),"Yes")</f>
        <v>Yes</v>
      </c>
      <c r="G336" s="5" t="str">
        <f>IFERROR(__xludf.DUMMYFUNCTION("""COMPUTED_VALUE"""),"Yes")</f>
        <v>Yes</v>
      </c>
      <c r="H336" s="5" t="str">
        <f>IFERROR(__xludf.DUMMYFUNCTION("""COMPUTED_VALUE"""),"Yes")</f>
        <v>Yes</v>
      </c>
      <c r="I336" s="5" t="str">
        <f>IFERROR(__xludf.DUMMYFUNCTION("""COMPUTED_VALUE"""),"Yes")</f>
        <v>Yes</v>
      </c>
      <c r="J336" s="5" t="str">
        <f>IFERROR(__xludf.DUMMYFUNCTION("""COMPUTED_VALUE"""),"Yes")</f>
        <v>Yes</v>
      </c>
      <c r="K336" s="5" t="str">
        <f>IFERROR(__xludf.DUMMYFUNCTION("""COMPUTED_VALUE"""),"Yes")</f>
        <v>Yes</v>
      </c>
      <c r="L336" s="5" t="str">
        <f>IFERROR(__xludf.DUMMYFUNCTION("""COMPUTED_VALUE"""),"Yes")</f>
        <v>Yes</v>
      </c>
      <c r="M336" s="5" t="str">
        <f>IFERROR(__xludf.DUMMYFUNCTION("""COMPUTED_VALUE"""),"Yes")</f>
        <v>Yes</v>
      </c>
      <c r="N336" s="5" t="str">
        <f>IFERROR(__xludf.DUMMYFUNCTION("""COMPUTED_VALUE"""),"Yes")</f>
        <v>Yes</v>
      </c>
      <c r="O336" s="5" t="str">
        <f>IFERROR(__xludf.DUMMYFUNCTION("""COMPUTED_VALUE"""),"Yes")</f>
        <v>Yes</v>
      </c>
      <c r="P336" s="5" t="str">
        <f>IFERROR(__xludf.DUMMYFUNCTION("""COMPUTED_VALUE"""),"Yes")</f>
        <v>Yes</v>
      </c>
      <c r="Q336" s="5" t="str">
        <f>IFERROR(__xludf.DUMMYFUNCTION("""COMPUTED_VALUE"""),"Yes")</f>
        <v>Yes</v>
      </c>
      <c r="R336" s="5" t="str">
        <f>IFERROR(__xludf.DUMMYFUNCTION("""COMPUTED_VALUE"""),"Yes")</f>
        <v>Yes</v>
      </c>
      <c r="S336" s="5" t="str">
        <f>IFERROR(__xludf.DUMMYFUNCTION("""COMPUTED_VALUE"""),"Yes")</f>
        <v>Yes</v>
      </c>
      <c r="T336" s="5" t="str">
        <f>IFERROR(__xludf.DUMMYFUNCTION("""COMPUTED_VALUE"""),"Yes")</f>
        <v>Yes</v>
      </c>
      <c r="U336" s="5" t="str">
        <f>IFERROR(__xludf.DUMMYFUNCTION("""COMPUTED_VALUE"""),"Yes")</f>
        <v>Yes</v>
      </c>
      <c r="V336" s="5" t="str">
        <f>IFERROR(__xludf.DUMMYFUNCTION("""COMPUTED_VALUE"""),"Yes")</f>
        <v>Yes</v>
      </c>
      <c r="W336" s="5" t="str">
        <f>IFERROR(__xludf.DUMMYFUNCTION("""COMPUTED_VALUE"""),"Yes")</f>
        <v>Yes</v>
      </c>
      <c r="X336" s="5" t="str">
        <f>IFERROR(__xludf.DUMMYFUNCTION("""COMPUTED_VALUE"""),"Yes")</f>
        <v>Yes</v>
      </c>
      <c r="Y336" s="5" t="str">
        <f>IFERROR(__xludf.DUMMYFUNCTION("""COMPUTED_VALUE"""),"Yes")</f>
        <v>Yes</v>
      </c>
      <c r="Z336" s="5" t="str">
        <f>IFERROR(__xludf.DUMMYFUNCTION("""COMPUTED_VALUE"""),"Yes")</f>
        <v>Yes</v>
      </c>
      <c r="AA336" s="5" t="str">
        <f>IFERROR(__xludf.DUMMYFUNCTION("""COMPUTED_VALUE"""),"Yes")</f>
        <v>Yes</v>
      </c>
      <c r="AB336" s="5" t="str">
        <f>IFERROR(__xludf.DUMMYFUNCTION("""COMPUTED_VALUE"""),"Yes")</f>
        <v>Yes</v>
      </c>
      <c r="AC336" s="5" t="str">
        <f>IFERROR(__xludf.DUMMYFUNCTION("""COMPUTED_VALUE"""),"No")</f>
        <v>No</v>
      </c>
    </row>
    <row r="337">
      <c r="A337" s="5" t="str">
        <f>IFERROR(__xludf.DUMMYFUNCTION("""COMPUTED_VALUE"""),"WildHeat40")</f>
        <v>WildHeat40</v>
      </c>
      <c r="B3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7" s="5" t="str">
        <f>IFERROR(__xludf.DUMMYFUNCTION("""COMPUTED_VALUE"""),"Yes")</f>
        <v>Yes</v>
      </c>
      <c r="D337" s="5" t="str">
        <f>IFERROR(__xludf.DUMMYFUNCTION("""COMPUTED_VALUE"""),"Yes")</f>
        <v>Yes</v>
      </c>
      <c r="E337" s="5" t="str">
        <f>IFERROR(__xludf.DUMMYFUNCTION("""COMPUTED_VALUE"""),"Yes")</f>
        <v>Yes</v>
      </c>
      <c r="F337" s="5" t="str">
        <f>IFERROR(__xludf.DUMMYFUNCTION("""COMPUTED_VALUE"""),"Yes")</f>
        <v>Yes</v>
      </c>
      <c r="G337" s="5" t="str">
        <f>IFERROR(__xludf.DUMMYFUNCTION("""COMPUTED_VALUE"""),"Yes")</f>
        <v>Yes</v>
      </c>
      <c r="H337" s="5" t="str">
        <f>IFERROR(__xludf.DUMMYFUNCTION("""COMPUTED_VALUE"""),"Yes")</f>
        <v>Yes</v>
      </c>
      <c r="I337" s="5" t="str">
        <f>IFERROR(__xludf.DUMMYFUNCTION("""COMPUTED_VALUE"""),"Yes")</f>
        <v>Yes</v>
      </c>
      <c r="J337" s="5" t="str">
        <f>IFERROR(__xludf.DUMMYFUNCTION("""COMPUTED_VALUE"""),"Yes")</f>
        <v>Yes</v>
      </c>
      <c r="K337" s="5" t="str">
        <f>IFERROR(__xludf.DUMMYFUNCTION("""COMPUTED_VALUE"""),"Yes")</f>
        <v>Yes</v>
      </c>
      <c r="L337" s="5" t="str">
        <f>IFERROR(__xludf.DUMMYFUNCTION("""COMPUTED_VALUE"""),"Yes")</f>
        <v>Yes</v>
      </c>
      <c r="M337" s="5" t="str">
        <f>IFERROR(__xludf.DUMMYFUNCTION("""COMPUTED_VALUE"""),"Yes")</f>
        <v>Yes</v>
      </c>
      <c r="N337" s="5" t="str">
        <f>IFERROR(__xludf.DUMMYFUNCTION("""COMPUTED_VALUE"""),"Yes")</f>
        <v>Yes</v>
      </c>
      <c r="O337" s="5" t="str">
        <f>IFERROR(__xludf.DUMMYFUNCTION("""COMPUTED_VALUE"""),"Yes")</f>
        <v>Yes</v>
      </c>
      <c r="P337" s="5" t="str">
        <f>IFERROR(__xludf.DUMMYFUNCTION("""COMPUTED_VALUE"""),"Yes")</f>
        <v>Yes</v>
      </c>
      <c r="Q337" s="5" t="str">
        <f>IFERROR(__xludf.DUMMYFUNCTION("""COMPUTED_VALUE"""),"Yes")</f>
        <v>Yes</v>
      </c>
      <c r="R337" s="5" t="str">
        <f>IFERROR(__xludf.DUMMYFUNCTION("""COMPUTED_VALUE"""),"Yes")</f>
        <v>Yes</v>
      </c>
      <c r="S337" s="5" t="str">
        <f>IFERROR(__xludf.DUMMYFUNCTION("""COMPUTED_VALUE"""),"Yes")</f>
        <v>Yes</v>
      </c>
      <c r="T337" s="5" t="str">
        <f>IFERROR(__xludf.DUMMYFUNCTION("""COMPUTED_VALUE"""),"Yes")</f>
        <v>Yes</v>
      </c>
      <c r="U337" s="5" t="str">
        <f>IFERROR(__xludf.DUMMYFUNCTION("""COMPUTED_VALUE"""),"Yes")</f>
        <v>Yes</v>
      </c>
      <c r="V337" s="5" t="str">
        <f>IFERROR(__xludf.DUMMYFUNCTION("""COMPUTED_VALUE"""),"Yes")</f>
        <v>Yes</v>
      </c>
      <c r="W337" s="5" t="str">
        <f>IFERROR(__xludf.DUMMYFUNCTION("""COMPUTED_VALUE"""),"Yes")</f>
        <v>Yes</v>
      </c>
      <c r="X337" s="5" t="str">
        <f>IFERROR(__xludf.DUMMYFUNCTION("""COMPUTED_VALUE"""),"Yes")</f>
        <v>Yes</v>
      </c>
      <c r="Y337" s="5" t="str">
        <f>IFERROR(__xludf.DUMMYFUNCTION("""COMPUTED_VALUE"""),"Yes")</f>
        <v>Yes</v>
      </c>
      <c r="Z337" s="5" t="str">
        <f>IFERROR(__xludf.DUMMYFUNCTION("""COMPUTED_VALUE"""),"Yes")</f>
        <v>Yes</v>
      </c>
      <c r="AA337" s="5" t="str">
        <f>IFERROR(__xludf.DUMMYFUNCTION("""COMPUTED_VALUE"""),"Yes")</f>
        <v>Yes</v>
      </c>
      <c r="AB337" s="5" t="str">
        <f>IFERROR(__xludf.DUMMYFUNCTION("""COMPUTED_VALUE"""),"Yes")</f>
        <v>Yes</v>
      </c>
      <c r="AC337" s="5" t="str">
        <f>IFERROR(__xludf.DUMMYFUNCTION("""COMPUTED_VALUE"""),"No")</f>
        <v>No</v>
      </c>
    </row>
    <row r="338">
      <c r="A338" s="5" t="str">
        <f>IFERROR(__xludf.DUMMYFUNCTION("""COMPUTED_VALUE"""),"BlowFruits40")</f>
        <v>BlowFruits40</v>
      </c>
      <c r="B3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8" s="5" t="str">
        <f>IFERROR(__xludf.DUMMYFUNCTION("""COMPUTED_VALUE"""),"Yes")</f>
        <v>Yes</v>
      </c>
      <c r="D338" s="5" t="str">
        <f>IFERROR(__xludf.DUMMYFUNCTION("""COMPUTED_VALUE"""),"Yes")</f>
        <v>Yes</v>
      </c>
      <c r="E338" s="5" t="str">
        <f>IFERROR(__xludf.DUMMYFUNCTION("""COMPUTED_VALUE"""),"Yes")</f>
        <v>Yes</v>
      </c>
      <c r="F338" s="5" t="str">
        <f>IFERROR(__xludf.DUMMYFUNCTION("""COMPUTED_VALUE"""),"Yes")</f>
        <v>Yes</v>
      </c>
      <c r="G338" s="5" t="str">
        <f>IFERROR(__xludf.DUMMYFUNCTION("""COMPUTED_VALUE"""),"Yes")</f>
        <v>Yes</v>
      </c>
      <c r="H338" s="5" t="str">
        <f>IFERROR(__xludf.DUMMYFUNCTION("""COMPUTED_VALUE"""),"Yes")</f>
        <v>Yes</v>
      </c>
      <c r="I338" s="5" t="str">
        <f>IFERROR(__xludf.DUMMYFUNCTION("""COMPUTED_VALUE"""),"Yes")</f>
        <v>Yes</v>
      </c>
      <c r="J338" s="5" t="str">
        <f>IFERROR(__xludf.DUMMYFUNCTION("""COMPUTED_VALUE"""),"Yes")</f>
        <v>Yes</v>
      </c>
      <c r="K338" s="5" t="str">
        <f>IFERROR(__xludf.DUMMYFUNCTION("""COMPUTED_VALUE"""),"Yes")</f>
        <v>Yes</v>
      </c>
      <c r="L338" s="5" t="str">
        <f>IFERROR(__xludf.DUMMYFUNCTION("""COMPUTED_VALUE"""),"Yes")</f>
        <v>Yes</v>
      </c>
      <c r="M338" s="5" t="str">
        <f>IFERROR(__xludf.DUMMYFUNCTION("""COMPUTED_VALUE"""),"Yes")</f>
        <v>Yes</v>
      </c>
      <c r="N338" s="5" t="str">
        <f>IFERROR(__xludf.DUMMYFUNCTION("""COMPUTED_VALUE"""),"Yes")</f>
        <v>Yes</v>
      </c>
      <c r="O338" s="5" t="str">
        <f>IFERROR(__xludf.DUMMYFUNCTION("""COMPUTED_VALUE"""),"Yes")</f>
        <v>Yes</v>
      </c>
      <c r="P338" s="5" t="str">
        <f>IFERROR(__xludf.DUMMYFUNCTION("""COMPUTED_VALUE"""),"Yes")</f>
        <v>Yes</v>
      </c>
      <c r="Q338" s="5" t="str">
        <f>IFERROR(__xludf.DUMMYFUNCTION("""COMPUTED_VALUE"""),"Yes")</f>
        <v>Yes</v>
      </c>
      <c r="R338" s="5" t="str">
        <f>IFERROR(__xludf.DUMMYFUNCTION("""COMPUTED_VALUE"""),"Yes")</f>
        <v>Yes</v>
      </c>
      <c r="S338" s="5" t="str">
        <f>IFERROR(__xludf.DUMMYFUNCTION("""COMPUTED_VALUE"""),"Yes")</f>
        <v>Yes</v>
      </c>
      <c r="T338" s="5" t="str">
        <f>IFERROR(__xludf.DUMMYFUNCTION("""COMPUTED_VALUE"""),"Yes")</f>
        <v>Yes</v>
      </c>
      <c r="U338" s="5" t="str">
        <f>IFERROR(__xludf.DUMMYFUNCTION("""COMPUTED_VALUE"""),"Yes")</f>
        <v>Yes</v>
      </c>
      <c r="V338" s="5" t="str">
        <f>IFERROR(__xludf.DUMMYFUNCTION("""COMPUTED_VALUE"""),"Yes")</f>
        <v>Yes</v>
      </c>
      <c r="W338" s="5" t="str">
        <f>IFERROR(__xludf.DUMMYFUNCTION("""COMPUTED_VALUE"""),"Yes")</f>
        <v>Yes</v>
      </c>
      <c r="X338" s="5" t="str">
        <f>IFERROR(__xludf.DUMMYFUNCTION("""COMPUTED_VALUE"""),"Yes")</f>
        <v>Yes</v>
      </c>
      <c r="Y338" s="5" t="str">
        <f>IFERROR(__xludf.DUMMYFUNCTION("""COMPUTED_VALUE"""),"Yes")</f>
        <v>Yes</v>
      </c>
      <c r="Z338" s="5" t="str">
        <f>IFERROR(__xludf.DUMMYFUNCTION("""COMPUTED_VALUE"""),"Yes")</f>
        <v>Yes</v>
      </c>
      <c r="AA338" s="5" t="str">
        <f>IFERROR(__xludf.DUMMYFUNCTION("""COMPUTED_VALUE"""),"Yes")</f>
        <v>Yes</v>
      </c>
      <c r="AB338" s="5" t="str">
        <f>IFERROR(__xludf.DUMMYFUNCTION("""COMPUTED_VALUE"""),"Yes")</f>
        <v>Yes</v>
      </c>
      <c r="AC338" s="5" t="str">
        <f>IFERROR(__xludf.DUMMYFUNCTION("""COMPUTED_VALUE"""),"No")</f>
        <v>No</v>
      </c>
    </row>
    <row r="339">
      <c r="A339" s="5" t="str">
        <f>IFERROR(__xludf.DUMMYFUNCTION("""COMPUTED_VALUE"""),"AgeOfRome")</f>
        <v>AgeOfRome</v>
      </c>
      <c r="B3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9" s="5" t="str">
        <f>IFERROR(__xludf.DUMMYFUNCTION("""COMPUTED_VALUE"""),"Yes")</f>
        <v>Yes</v>
      </c>
      <c r="D339" s="5" t="str">
        <f>IFERROR(__xludf.DUMMYFUNCTION("""COMPUTED_VALUE"""),"Yes")</f>
        <v>Yes</v>
      </c>
      <c r="E339" s="5" t="str">
        <f>IFERROR(__xludf.DUMMYFUNCTION("""COMPUTED_VALUE"""),"Yes")</f>
        <v>Yes</v>
      </c>
      <c r="F339" s="5" t="str">
        <f>IFERROR(__xludf.DUMMYFUNCTION("""COMPUTED_VALUE"""),"Yes")</f>
        <v>Yes</v>
      </c>
      <c r="G339" s="5" t="str">
        <f>IFERROR(__xludf.DUMMYFUNCTION("""COMPUTED_VALUE"""),"Yes")</f>
        <v>Yes</v>
      </c>
      <c r="H339" s="5" t="str">
        <f>IFERROR(__xludf.DUMMYFUNCTION("""COMPUTED_VALUE"""),"Yes")</f>
        <v>Yes</v>
      </c>
      <c r="I339" s="5" t="str">
        <f>IFERROR(__xludf.DUMMYFUNCTION("""COMPUTED_VALUE"""),"Yes")</f>
        <v>Yes</v>
      </c>
      <c r="J339" s="5" t="str">
        <f>IFERROR(__xludf.DUMMYFUNCTION("""COMPUTED_VALUE"""),"Yes")</f>
        <v>Yes</v>
      </c>
      <c r="K339" s="5" t="str">
        <f>IFERROR(__xludf.DUMMYFUNCTION("""COMPUTED_VALUE"""),"Yes")</f>
        <v>Yes</v>
      </c>
      <c r="L339" s="5" t="str">
        <f>IFERROR(__xludf.DUMMYFUNCTION("""COMPUTED_VALUE"""),"Yes")</f>
        <v>Yes</v>
      </c>
      <c r="M339" s="5" t="str">
        <f>IFERROR(__xludf.DUMMYFUNCTION("""COMPUTED_VALUE"""),"Yes")</f>
        <v>Yes</v>
      </c>
      <c r="N339" s="5" t="str">
        <f>IFERROR(__xludf.DUMMYFUNCTION("""COMPUTED_VALUE"""),"Yes")</f>
        <v>Yes</v>
      </c>
      <c r="O339" s="5" t="str">
        <f>IFERROR(__xludf.DUMMYFUNCTION("""COMPUTED_VALUE"""),"Yes")</f>
        <v>Yes</v>
      </c>
      <c r="P339" s="5" t="str">
        <f>IFERROR(__xludf.DUMMYFUNCTION("""COMPUTED_VALUE"""),"Yes")</f>
        <v>Yes</v>
      </c>
      <c r="Q339" s="5" t="str">
        <f>IFERROR(__xludf.DUMMYFUNCTION("""COMPUTED_VALUE"""),"Yes")</f>
        <v>Yes</v>
      </c>
      <c r="R339" s="5" t="str">
        <f>IFERROR(__xludf.DUMMYFUNCTION("""COMPUTED_VALUE"""),"Yes")</f>
        <v>Yes</v>
      </c>
      <c r="S339" s="5" t="str">
        <f>IFERROR(__xludf.DUMMYFUNCTION("""COMPUTED_VALUE"""),"Yes")</f>
        <v>Yes</v>
      </c>
      <c r="T339" s="5" t="str">
        <f>IFERROR(__xludf.DUMMYFUNCTION("""COMPUTED_VALUE"""),"Yes")</f>
        <v>Yes</v>
      </c>
      <c r="U339" s="5" t="str">
        <f>IFERROR(__xludf.DUMMYFUNCTION("""COMPUTED_VALUE"""),"Yes")</f>
        <v>Yes</v>
      </c>
      <c r="V339" s="5" t="str">
        <f>IFERROR(__xludf.DUMMYFUNCTION("""COMPUTED_VALUE"""),"Yes")</f>
        <v>Yes</v>
      </c>
      <c r="W339" s="5" t="str">
        <f>IFERROR(__xludf.DUMMYFUNCTION("""COMPUTED_VALUE"""),"Yes")</f>
        <v>Yes</v>
      </c>
      <c r="X339" s="5" t="str">
        <f>IFERROR(__xludf.DUMMYFUNCTION("""COMPUTED_VALUE"""),"Yes")</f>
        <v>Yes</v>
      </c>
      <c r="Y339" s="5" t="str">
        <f>IFERROR(__xludf.DUMMYFUNCTION("""COMPUTED_VALUE"""),"Yes")</f>
        <v>Yes</v>
      </c>
      <c r="Z339" s="5" t="str">
        <f>IFERROR(__xludf.DUMMYFUNCTION("""COMPUTED_VALUE"""),"Yes")</f>
        <v>Yes</v>
      </c>
      <c r="AA339" s="5" t="str">
        <f>IFERROR(__xludf.DUMMYFUNCTION("""COMPUTED_VALUE"""),"Yes")</f>
        <v>Yes</v>
      </c>
      <c r="AB339" s="5" t="str">
        <f>IFERROR(__xludf.DUMMYFUNCTION("""COMPUTED_VALUE"""),"Yes")</f>
        <v>Yes</v>
      </c>
      <c r="AC339" s="5" t="str">
        <f>IFERROR(__xludf.DUMMYFUNCTION("""COMPUTED_VALUE"""),"No")</f>
        <v>No</v>
      </c>
    </row>
    <row r="340">
      <c r="A340" s="5" t="str">
        <f>IFERROR(__xludf.DUMMYFUNCTION("""COMPUTED_VALUE"""),"FruityForce40")</f>
        <v>FruityForce40</v>
      </c>
      <c r="B3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0" s="5" t="str">
        <f>IFERROR(__xludf.DUMMYFUNCTION("""COMPUTED_VALUE"""),"Yes")</f>
        <v>Yes</v>
      </c>
      <c r="D340" s="5" t="str">
        <f>IFERROR(__xludf.DUMMYFUNCTION("""COMPUTED_VALUE"""),"Yes")</f>
        <v>Yes</v>
      </c>
      <c r="E340" s="5" t="str">
        <f>IFERROR(__xludf.DUMMYFUNCTION("""COMPUTED_VALUE"""),"Yes")</f>
        <v>Yes</v>
      </c>
      <c r="F340" s="5" t="str">
        <f>IFERROR(__xludf.DUMMYFUNCTION("""COMPUTED_VALUE"""),"Yes")</f>
        <v>Yes</v>
      </c>
      <c r="G340" s="5" t="str">
        <f>IFERROR(__xludf.DUMMYFUNCTION("""COMPUTED_VALUE"""),"Yes")</f>
        <v>Yes</v>
      </c>
      <c r="H340" s="5" t="str">
        <f>IFERROR(__xludf.DUMMYFUNCTION("""COMPUTED_VALUE"""),"Yes")</f>
        <v>Yes</v>
      </c>
      <c r="I340" s="5" t="str">
        <f>IFERROR(__xludf.DUMMYFUNCTION("""COMPUTED_VALUE"""),"Yes")</f>
        <v>Yes</v>
      </c>
      <c r="J340" s="5" t="str">
        <f>IFERROR(__xludf.DUMMYFUNCTION("""COMPUTED_VALUE"""),"Yes")</f>
        <v>Yes</v>
      </c>
      <c r="K340" s="5" t="str">
        <f>IFERROR(__xludf.DUMMYFUNCTION("""COMPUTED_VALUE"""),"Yes")</f>
        <v>Yes</v>
      </c>
      <c r="L340" s="5" t="str">
        <f>IFERROR(__xludf.DUMMYFUNCTION("""COMPUTED_VALUE"""),"Yes")</f>
        <v>Yes</v>
      </c>
      <c r="M340" s="5" t="str">
        <f>IFERROR(__xludf.DUMMYFUNCTION("""COMPUTED_VALUE"""),"Yes")</f>
        <v>Yes</v>
      </c>
      <c r="N340" s="5" t="str">
        <f>IFERROR(__xludf.DUMMYFUNCTION("""COMPUTED_VALUE"""),"Yes")</f>
        <v>Yes</v>
      </c>
      <c r="O340" s="5" t="str">
        <f>IFERROR(__xludf.DUMMYFUNCTION("""COMPUTED_VALUE"""),"Yes")</f>
        <v>Yes</v>
      </c>
      <c r="P340" s="5" t="str">
        <f>IFERROR(__xludf.DUMMYFUNCTION("""COMPUTED_VALUE"""),"Yes")</f>
        <v>Yes</v>
      </c>
      <c r="Q340" s="5" t="str">
        <f>IFERROR(__xludf.DUMMYFUNCTION("""COMPUTED_VALUE"""),"Yes")</f>
        <v>Yes</v>
      </c>
      <c r="R340" s="5" t="str">
        <f>IFERROR(__xludf.DUMMYFUNCTION("""COMPUTED_VALUE"""),"Yes")</f>
        <v>Yes</v>
      </c>
      <c r="S340" s="5" t="str">
        <f>IFERROR(__xludf.DUMMYFUNCTION("""COMPUTED_VALUE"""),"Yes")</f>
        <v>Yes</v>
      </c>
      <c r="T340" s="5" t="str">
        <f>IFERROR(__xludf.DUMMYFUNCTION("""COMPUTED_VALUE"""),"Yes")</f>
        <v>Yes</v>
      </c>
      <c r="U340" s="5" t="str">
        <f>IFERROR(__xludf.DUMMYFUNCTION("""COMPUTED_VALUE"""),"Yes")</f>
        <v>Yes</v>
      </c>
      <c r="V340" s="5" t="str">
        <f>IFERROR(__xludf.DUMMYFUNCTION("""COMPUTED_VALUE"""),"Yes")</f>
        <v>Yes</v>
      </c>
      <c r="W340" s="5" t="str">
        <f>IFERROR(__xludf.DUMMYFUNCTION("""COMPUTED_VALUE"""),"Yes")</f>
        <v>Yes</v>
      </c>
      <c r="X340" s="5" t="str">
        <f>IFERROR(__xludf.DUMMYFUNCTION("""COMPUTED_VALUE"""),"Yes")</f>
        <v>Yes</v>
      </c>
      <c r="Y340" s="5" t="str">
        <f>IFERROR(__xludf.DUMMYFUNCTION("""COMPUTED_VALUE"""),"Yes")</f>
        <v>Yes</v>
      </c>
      <c r="Z340" s="5" t="str">
        <f>IFERROR(__xludf.DUMMYFUNCTION("""COMPUTED_VALUE"""),"Yes")</f>
        <v>Yes</v>
      </c>
      <c r="AA340" s="5" t="str">
        <f>IFERROR(__xludf.DUMMYFUNCTION("""COMPUTED_VALUE"""),"Yes")</f>
        <v>Yes</v>
      </c>
      <c r="AB340" s="5" t="str">
        <f>IFERROR(__xludf.DUMMYFUNCTION("""COMPUTED_VALUE"""),"Yes")</f>
        <v>Yes</v>
      </c>
      <c r="AC340" s="5" t="str">
        <f>IFERROR(__xludf.DUMMYFUNCTION("""COMPUTED_VALUE"""),"No")</f>
        <v>No</v>
      </c>
    </row>
    <row r="341">
      <c r="A341" s="5" t="str">
        <f>IFERROR(__xludf.DUMMYFUNCTION("""COMPUTED_VALUE"""),"BonusCrown")</f>
        <v>BonusCrown</v>
      </c>
      <c r="B3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1" s="5" t="str">
        <f>IFERROR(__xludf.DUMMYFUNCTION("""COMPUTED_VALUE"""),"Yes")</f>
        <v>Yes</v>
      </c>
      <c r="D341" s="5" t="str">
        <f>IFERROR(__xludf.DUMMYFUNCTION("""COMPUTED_VALUE"""),"Yes")</f>
        <v>Yes</v>
      </c>
      <c r="E341" s="5" t="str">
        <f>IFERROR(__xludf.DUMMYFUNCTION("""COMPUTED_VALUE"""),"Yes")</f>
        <v>Yes</v>
      </c>
      <c r="F341" s="5" t="str">
        <f>IFERROR(__xludf.DUMMYFUNCTION("""COMPUTED_VALUE"""),"Yes")</f>
        <v>Yes</v>
      </c>
      <c r="G341" s="5" t="str">
        <f>IFERROR(__xludf.DUMMYFUNCTION("""COMPUTED_VALUE"""),"Yes")</f>
        <v>Yes</v>
      </c>
      <c r="H341" s="5" t="str">
        <f>IFERROR(__xludf.DUMMYFUNCTION("""COMPUTED_VALUE"""),"Yes")</f>
        <v>Yes</v>
      </c>
      <c r="I341" s="5" t="str">
        <f>IFERROR(__xludf.DUMMYFUNCTION("""COMPUTED_VALUE"""),"Yes")</f>
        <v>Yes</v>
      </c>
      <c r="J341" s="5" t="str">
        <f>IFERROR(__xludf.DUMMYFUNCTION("""COMPUTED_VALUE"""),"Yes")</f>
        <v>Yes</v>
      </c>
      <c r="K341" s="5" t="str">
        <f>IFERROR(__xludf.DUMMYFUNCTION("""COMPUTED_VALUE"""),"Yes")</f>
        <v>Yes</v>
      </c>
      <c r="L341" s="5" t="str">
        <f>IFERROR(__xludf.DUMMYFUNCTION("""COMPUTED_VALUE"""),"Yes")</f>
        <v>Yes</v>
      </c>
      <c r="M341" s="5" t="str">
        <f>IFERROR(__xludf.DUMMYFUNCTION("""COMPUTED_VALUE"""),"Yes")</f>
        <v>Yes</v>
      </c>
      <c r="N341" s="5" t="str">
        <f>IFERROR(__xludf.DUMMYFUNCTION("""COMPUTED_VALUE"""),"Yes")</f>
        <v>Yes</v>
      </c>
      <c r="O341" s="5" t="str">
        <f>IFERROR(__xludf.DUMMYFUNCTION("""COMPUTED_VALUE"""),"Yes")</f>
        <v>Yes</v>
      </c>
      <c r="P341" s="5" t="str">
        <f>IFERROR(__xludf.DUMMYFUNCTION("""COMPUTED_VALUE"""),"Yes")</f>
        <v>Yes</v>
      </c>
      <c r="Q341" s="5" t="str">
        <f>IFERROR(__xludf.DUMMYFUNCTION("""COMPUTED_VALUE"""),"Yes")</f>
        <v>Yes</v>
      </c>
      <c r="R341" s="5" t="str">
        <f>IFERROR(__xludf.DUMMYFUNCTION("""COMPUTED_VALUE"""),"Yes")</f>
        <v>Yes</v>
      </c>
      <c r="S341" s="5" t="str">
        <f>IFERROR(__xludf.DUMMYFUNCTION("""COMPUTED_VALUE"""),"Yes")</f>
        <v>Yes</v>
      </c>
      <c r="T341" s="5" t="str">
        <f>IFERROR(__xludf.DUMMYFUNCTION("""COMPUTED_VALUE"""),"Yes")</f>
        <v>Yes</v>
      </c>
      <c r="U341" s="5" t="str">
        <f>IFERROR(__xludf.DUMMYFUNCTION("""COMPUTED_VALUE"""),"Yes")</f>
        <v>Yes</v>
      </c>
      <c r="V341" s="5" t="str">
        <f>IFERROR(__xludf.DUMMYFUNCTION("""COMPUTED_VALUE"""),"Yes")</f>
        <v>Yes</v>
      </c>
      <c r="W341" s="5" t="str">
        <f>IFERROR(__xludf.DUMMYFUNCTION("""COMPUTED_VALUE"""),"Yes")</f>
        <v>Yes</v>
      </c>
      <c r="X341" s="5" t="str">
        <f>IFERROR(__xludf.DUMMYFUNCTION("""COMPUTED_VALUE"""),"Yes")</f>
        <v>Yes</v>
      </c>
      <c r="Y341" s="5" t="str">
        <f>IFERROR(__xludf.DUMMYFUNCTION("""COMPUTED_VALUE"""),"Yes")</f>
        <v>Yes</v>
      </c>
      <c r="Z341" s="5" t="str">
        <f>IFERROR(__xludf.DUMMYFUNCTION("""COMPUTED_VALUE"""),"Yes")</f>
        <v>Yes</v>
      </c>
      <c r="AA341" s="5" t="str">
        <f>IFERROR(__xludf.DUMMYFUNCTION("""COMPUTED_VALUE"""),"Yes")</f>
        <v>Yes</v>
      </c>
      <c r="AB341" s="5" t="str">
        <f>IFERROR(__xludf.DUMMYFUNCTION("""COMPUTED_VALUE"""),"Yes")</f>
        <v>Yes</v>
      </c>
      <c r="AC341" s="5" t="str">
        <f>IFERROR(__xludf.DUMMYFUNCTION("""COMPUTED_VALUE"""),"No")</f>
        <v>No</v>
      </c>
    </row>
    <row r="342">
      <c r="A342" s="5" t="str">
        <f>IFERROR(__xludf.DUMMYFUNCTION("""COMPUTED_VALUE"""),"AquaFlame")</f>
        <v>AquaFlame</v>
      </c>
      <c r="B3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2" s="5" t="str">
        <f>IFERROR(__xludf.DUMMYFUNCTION("""COMPUTED_VALUE"""),"Yes")</f>
        <v>Yes</v>
      </c>
      <c r="D342" s="5" t="str">
        <f>IFERROR(__xludf.DUMMYFUNCTION("""COMPUTED_VALUE"""),"Yes")</f>
        <v>Yes</v>
      </c>
      <c r="E342" s="5" t="str">
        <f>IFERROR(__xludf.DUMMYFUNCTION("""COMPUTED_VALUE"""),"Yes")</f>
        <v>Yes</v>
      </c>
      <c r="F342" s="5" t="str">
        <f>IFERROR(__xludf.DUMMYFUNCTION("""COMPUTED_VALUE"""),"Yes")</f>
        <v>Yes</v>
      </c>
      <c r="G342" s="5" t="str">
        <f>IFERROR(__xludf.DUMMYFUNCTION("""COMPUTED_VALUE"""),"Yes")</f>
        <v>Yes</v>
      </c>
      <c r="H342" s="5" t="str">
        <f>IFERROR(__xludf.DUMMYFUNCTION("""COMPUTED_VALUE"""),"Yes")</f>
        <v>Yes</v>
      </c>
      <c r="I342" s="5" t="str">
        <f>IFERROR(__xludf.DUMMYFUNCTION("""COMPUTED_VALUE"""),"Yes")</f>
        <v>Yes</v>
      </c>
      <c r="J342" s="5" t="str">
        <f>IFERROR(__xludf.DUMMYFUNCTION("""COMPUTED_VALUE"""),"Yes")</f>
        <v>Yes</v>
      </c>
      <c r="K342" s="5" t="str">
        <f>IFERROR(__xludf.DUMMYFUNCTION("""COMPUTED_VALUE"""),"Yes")</f>
        <v>Yes</v>
      </c>
      <c r="L342" s="5" t="str">
        <f>IFERROR(__xludf.DUMMYFUNCTION("""COMPUTED_VALUE"""),"Yes")</f>
        <v>Yes</v>
      </c>
      <c r="M342" s="5" t="str">
        <f>IFERROR(__xludf.DUMMYFUNCTION("""COMPUTED_VALUE"""),"Yes")</f>
        <v>Yes</v>
      </c>
      <c r="N342" s="5" t="str">
        <f>IFERROR(__xludf.DUMMYFUNCTION("""COMPUTED_VALUE"""),"Yes")</f>
        <v>Yes</v>
      </c>
      <c r="O342" s="5" t="str">
        <f>IFERROR(__xludf.DUMMYFUNCTION("""COMPUTED_VALUE"""),"Yes")</f>
        <v>Yes</v>
      </c>
      <c r="P342" s="5" t="str">
        <f>IFERROR(__xludf.DUMMYFUNCTION("""COMPUTED_VALUE"""),"Yes")</f>
        <v>Yes</v>
      </c>
      <c r="Q342" s="5" t="str">
        <f>IFERROR(__xludf.DUMMYFUNCTION("""COMPUTED_VALUE"""),"Yes")</f>
        <v>Yes</v>
      </c>
      <c r="R342" s="5" t="str">
        <f>IFERROR(__xludf.DUMMYFUNCTION("""COMPUTED_VALUE"""),"Yes")</f>
        <v>Yes</v>
      </c>
      <c r="S342" s="5" t="str">
        <f>IFERROR(__xludf.DUMMYFUNCTION("""COMPUTED_VALUE"""),"Yes")</f>
        <v>Yes</v>
      </c>
      <c r="T342" s="5" t="str">
        <f>IFERROR(__xludf.DUMMYFUNCTION("""COMPUTED_VALUE"""),"Yes")</f>
        <v>Yes</v>
      </c>
      <c r="U342" s="5" t="str">
        <f>IFERROR(__xludf.DUMMYFUNCTION("""COMPUTED_VALUE"""),"Yes")</f>
        <v>Yes</v>
      </c>
      <c r="V342" s="5" t="str">
        <f>IFERROR(__xludf.DUMMYFUNCTION("""COMPUTED_VALUE"""),"Yes")</f>
        <v>Yes</v>
      </c>
      <c r="W342" s="5" t="str">
        <f>IFERROR(__xludf.DUMMYFUNCTION("""COMPUTED_VALUE"""),"Yes")</f>
        <v>Yes</v>
      </c>
      <c r="X342" s="5" t="str">
        <f>IFERROR(__xludf.DUMMYFUNCTION("""COMPUTED_VALUE"""),"Yes")</f>
        <v>Yes</v>
      </c>
      <c r="Y342" s="5" t="str">
        <f>IFERROR(__xludf.DUMMYFUNCTION("""COMPUTED_VALUE"""),"Yes")</f>
        <v>Yes</v>
      </c>
      <c r="Z342" s="5" t="str">
        <f>IFERROR(__xludf.DUMMYFUNCTION("""COMPUTED_VALUE"""),"Yes")</f>
        <v>Yes</v>
      </c>
      <c r="AA342" s="5" t="str">
        <f>IFERROR(__xludf.DUMMYFUNCTION("""COMPUTED_VALUE"""),"Yes")</f>
        <v>Yes</v>
      </c>
      <c r="AB342" s="5" t="str">
        <f>IFERROR(__xludf.DUMMYFUNCTION("""COMPUTED_VALUE"""),"Yes")</f>
        <v>Yes</v>
      </c>
      <c r="AC342" s="5" t="str">
        <f>IFERROR(__xludf.DUMMYFUNCTION("""COMPUTED_VALUE"""),"No")</f>
        <v>No</v>
      </c>
    </row>
    <row r="343">
      <c r="A343" s="5" t="str">
        <f>IFERROR(__xludf.DUMMYFUNCTION("""COMPUTED_VALUE"""),"CrownOfSecret")</f>
        <v>CrownOfSecret</v>
      </c>
      <c r="B3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3" s="5" t="str">
        <f>IFERROR(__xludf.DUMMYFUNCTION("""COMPUTED_VALUE"""),"Yes")</f>
        <v>Yes</v>
      </c>
      <c r="D343" s="5" t="str">
        <f>IFERROR(__xludf.DUMMYFUNCTION("""COMPUTED_VALUE"""),"Yes")</f>
        <v>Yes</v>
      </c>
      <c r="E343" s="5" t="str">
        <f>IFERROR(__xludf.DUMMYFUNCTION("""COMPUTED_VALUE"""),"Yes")</f>
        <v>Yes</v>
      </c>
      <c r="F343" s="5" t="str">
        <f>IFERROR(__xludf.DUMMYFUNCTION("""COMPUTED_VALUE"""),"Yes")</f>
        <v>Yes</v>
      </c>
      <c r="G343" s="5" t="str">
        <f>IFERROR(__xludf.DUMMYFUNCTION("""COMPUTED_VALUE"""),"Yes")</f>
        <v>Yes</v>
      </c>
      <c r="H343" s="5" t="str">
        <f>IFERROR(__xludf.DUMMYFUNCTION("""COMPUTED_VALUE"""),"Yes")</f>
        <v>Yes</v>
      </c>
      <c r="I343" s="5" t="str">
        <f>IFERROR(__xludf.DUMMYFUNCTION("""COMPUTED_VALUE"""),"Yes")</f>
        <v>Yes</v>
      </c>
      <c r="J343" s="5" t="str">
        <f>IFERROR(__xludf.DUMMYFUNCTION("""COMPUTED_VALUE"""),"Yes")</f>
        <v>Yes</v>
      </c>
      <c r="K343" s="5" t="str">
        <f>IFERROR(__xludf.DUMMYFUNCTION("""COMPUTED_VALUE"""),"Yes")</f>
        <v>Yes</v>
      </c>
      <c r="L343" s="5" t="str">
        <f>IFERROR(__xludf.DUMMYFUNCTION("""COMPUTED_VALUE"""),"Yes")</f>
        <v>Yes</v>
      </c>
      <c r="M343" s="5" t="str">
        <f>IFERROR(__xludf.DUMMYFUNCTION("""COMPUTED_VALUE"""),"Yes")</f>
        <v>Yes</v>
      </c>
      <c r="N343" s="5" t="str">
        <f>IFERROR(__xludf.DUMMYFUNCTION("""COMPUTED_VALUE"""),"Yes")</f>
        <v>Yes</v>
      </c>
      <c r="O343" s="5" t="str">
        <f>IFERROR(__xludf.DUMMYFUNCTION("""COMPUTED_VALUE"""),"Yes")</f>
        <v>Yes</v>
      </c>
      <c r="P343" s="5" t="str">
        <f>IFERROR(__xludf.DUMMYFUNCTION("""COMPUTED_VALUE"""),"Yes")</f>
        <v>Yes</v>
      </c>
      <c r="Q343" s="5" t="str">
        <f>IFERROR(__xludf.DUMMYFUNCTION("""COMPUTED_VALUE"""),"Yes")</f>
        <v>Yes</v>
      </c>
      <c r="R343" s="5" t="str">
        <f>IFERROR(__xludf.DUMMYFUNCTION("""COMPUTED_VALUE"""),"Yes")</f>
        <v>Yes</v>
      </c>
      <c r="S343" s="5" t="str">
        <f>IFERROR(__xludf.DUMMYFUNCTION("""COMPUTED_VALUE"""),"Yes")</f>
        <v>Yes</v>
      </c>
      <c r="T343" s="5" t="str">
        <f>IFERROR(__xludf.DUMMYFUNCTION("""COMPUTED_VALUE"""),"Yes")</f>
        <v>Yes</v>
      </c>
      <c r="U343" s="5" t="str">
        <f>IFERROR(__xludf.DUMMYFUNCTION("""COMPUTED_VALUE"""),"Yes")</f>
        <v>Yes</v>
      </c>
      <c r="V343" s="5" t="str">
        <f>IFERROR(__xludf.DUMMYFUNCTION("""COMPUTED_VALUE"""),"Yes")</f>
        <v>Yes</v>
      </c>
      <c r="W343" s="5" t="str">
        <f>IFERROR(__xludf.DUMMYFUNCTION("""COMPUTED_VALUE"""),"Yes")</f>
        <v>Yes</v>
      </c>
      <c r="X343" s="5" t="str">
        <f>IFERROR(__xludf.DUMMYFUNCTION("""COMPUTED_VALUE"""),"Yes")</f>
        <v>Yes</v>
      </c>
      <c r="Y343" s="5" t="str">
        <f>IFERROR(__xludf.DUMMYFUNCTION("""COMPUTED_VALUE"""),"Yes")</f>
        <v>Yes</v>
      </c>
      <c r="Z343" s="5" t="str">
        <f>IFERROR(__xludf.DUMMYFUNCTION("""COMPUTED_VALUE"""),"Yes")</f>
        <v>Yes</v>
      </c>
      <c r="AA343" s="5" t="str">
        <f>IFERROR(__xludf.DUMMYFUNCTION("""COMPUTED_VALUE"""),"Yes")</f>
        <v>Yes</v>
      </c>
      <c r="AB343" s="5" t="str">
        <f>IFERROR(__xludf.DUMMYFUNCTION("""COMPUTED_VALUE"""),"Yes")</f>
        <v>Yes</v>
      </c>
      <c r="AC343" s="5" t="str">
        <f>IFERROR(__xludf.DUMMYFUNCTION("""COMPUTED_VALUE"""),"No")</f>
        <v>No</v>
      </c>
    </row>
    <row r="344">
      <c r="A344" s="5" t="str">
        <f>IFERROR(__xludf.DUMMYFUNCTION("""COMPUTED_VALUE"""),"VeryHot40Extreme")</f>
        <v>VeryHot40Extreme</v>
      </c>
      <c r="B3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4" s="5" t="str">
        <f>IFERROR(__xludf.DUMMYFUNCTION("""COMPUTED_VALUE"""),"Yes")</f>
        <v>Yes</v>
      </c>
      <c r="D344" s="5" t="str">
        <f>IFERROR(__xludf.DUMMYFUNCTION("""COMPUTED_VALUE"""),"Yes")</f>
        <v>Yes</v>
      </c>
      <c r="E344" s="5" t="str">
        <f>IFERROR(__xludf.DUMMYFUNCTION("""COMPUTED_VALUE"""),"Yes")</f>
        <v>Yes</v>
      </c>
      <c r="F344" s="5" t="str">
        <f>IFERROR(__xludf.DUMMYFUNCTION("""COMPUTED_VALUE"""),"Yes")</f>
        <v>Yes</v>
      </c>
      <c r="G344" s="5" t="str">
        <f>IFERROR(__xludf.DUMMYFUNCTION("""COMPUTED_VALUE"""),"Yes")</f>
        <v>Yes</v>
      </c>
      <c r="H344" s="5" t="str">
        <f>IFERROR(__xludf.DUMMYFUNCTION("""COMPUTED_VALUE"""),"Yes")</f>
        <v>Yes</v>
      </c>
      <c r="I344" s="5" t="str">
        <f>IFERROR(__xludf.DUMMYFUNCTION("""COMPUTED_VALUE"""),"Yes")</f>
        <v>Yes</v>
      </c>
      <c r="J344" s="5" t="str">
        <f>IFERROR(__xludf.DUMMYFUNCTION("""COMPUTED_VALUE"""),"Yes")</f>
        <v>Yes</v>
      </c>
      <c r="K344" s="5" t="str">
        <f>IFERROR(__xludf.DUMMYFUNCTION("""COMPUTED_VALUE"""),"Yes")</f>
        <v>Yes</v>
      </c>
      <c r="L344" s="5" t="str">
        <f>IFERROR(__xludf.DUMMYFUNCTION("""COMPUTED_VALUE"""),"Yes")</f>
        <v>Yes</v>
      </c>
      <c r="M344" s="5" t="str">
        <f>IFERROR(__xludf.DUMMYFUNCTION("""COMPUTED_VALUE"""),"Yes")</f>
        <v>Yes</v>
      </c>
      <c r="N344" s="5" t="str">
        <f>IFERROR(__xludf.DUMMYFUNCTION("""COMPUTED_VALUE"""),"Yes")</f>
        <v>Yes</v>
      </c>
      <c r="O344" s="5" t="str">
        <f>IFERROR(__xludf.DUMMYFUNCTION("""COMPUTED_VALUE"""),"Yes")</f>
        <v>Yes</v>
      </c>
      <c r="P344" s="5" t="str">
        <f>IFERROR(__xludf.DUMMYFUNCTION("""COMPUTED_VALUE"""),"Yes")</f>
        <v>Yes</v>
      </c>
      <c r="Q344" s="5" t="str">
        <f>IFERROR(__xludf.DUMMYFUNCTION("""COMPUTED_VALUE"""),"Yes")</f>
        <v>Yes</v>
      </c>
      <c r="R344" s="5" t="str">
        <f>IFERROR(__xludf.DUMMYFUNCTION("""COMPUTED_VALUE"""),"Yes")</f>
        <v>Yes</v>
      </c>
      <c r="S344" s="5" t="str">
        <f>IFERROR(__xludf.DUMMYFUNCTION("""COMPUTED_VALUE"""),"Yes")</f>
        <v>Yes</v>
      </c>
      <c r="T344" s="5" t="str">
        <f>IFERROR(__xludf.DUMMYFUNCTION("""COMPUTED_VALUE"""),"Yes")</f>
        <v>Yes</v>
      </c>
      <c r="U344" s="5" t="str">
        <f>IFERROR(__xludf.DUMMYFUNCTION("""COMPUTED_VALUE"""),"Yes")</f>
        <v>Yes</v>
      </c>
      <c r="V344" s="5" t="str">
        <f>IFERROR(__xludf.DUMMYFUNCTION("""COMPUTED_VALUE"""),"Yes")</f>
        <v>Yes</v>
      </c>
      <c r="W344" s="5" t="str">
        <f>IFERROR(__xludf.DUMMYFUNCTION("""COMPUTED_VALUE"""),"Yes")</f>
        <v>Yes</v>
      </c>
      <c r="X344" s="5" t="str">
        <f>IFERROR(__xludf.DUMMYFUNCTION("""COMPUTED_VALUE"""),"Yes")</f>
        <v>Yes</v>
      </c>
      <c r="Y344" s="5" t="str">
        <f>IFERROR(__xludf.DUMMYFUNCTION("""COMPUTED_VALUE"""),"Yes")</f>
        <v>Yes</v>
      </c>
      <c r="Z344" s="5" t="str">
        <f>IFERROR(__xludf.DUMMYFUNCTION("""COMPUTED_VALUE"""),"Yes")</f>
        <v>Yes</v>
      </c>
      <c r="AA344" s="5" t="str">
        <f>IFERROR(__xludf.DUMMYFUNCTION("""COMPUTED_VALUE"""),"Yes")</f>
        <v>Yes</v>
      </c>
      <c r="AB344" s="5" t="str">
        <f>IFERROR(__xludf.DUMMYFUNCTION("""COMPUTED_VALUE"""),"Yes")</f>
        <v>Yes</v>
      </c>
      <c r="AC344" s="5" t="str">
        <f>IFERROR(__xludf.DUMMYFUNCTION("""COMPUTED_VALUE"""),"No")</f>
        <v>No</v>
      </c>
    </row>
    <row r="345">
      <c r="A345" s="5" t="str">
        <f>IFERROR(__xludf.DUMMYFUNCTION("""COMPUTED_VALUE"""),"SpecialFruits")</f>
        <v>SpecialFruits</v>
      </c>
      <c r="B3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5" s="5" t="str">
        <f>IFERROR(__xludf.DUMMYFUNCTION("""COMPUTED_VALUE"""),"Yes")</f>
        <v>Yes</v>
      </c>
      <c r="D345" s="5" t="str">
        <f>IFERROR(__xludf.DUMMYFUNCTION("""COMPUTED_VALUE"""),"Yes")</f>
        <v>Yes</v>
      </c>
      <c r="E345" s="5" t="str">
        <f>IFERROR(__xludf.DUMMYFUNCTION("""COMPUTED_VALUE"""),"Yes")</f>
        <v>Yes</v>
      </c>
      <c r="F345" s="5" t="str">
        <f>IFERROR(__xludf.DUMMYFUNCTION("""COMPUTED_VALUE"""),"Yes")</f>
        <v>Yes</v>
      </c>
      <c r="G345" s="5" t="str">
        <f>IFERROR(__xludf.DUMMYFUNCTION("""COMPUTED_VALUE"""),"Yes")</f>
        <v>Yes</v>
      </c>
      <c r="H345" s="5" t="str">
        <f>IFERROR(__xludf.DUMMYFUNCTION("""COMPUTED_VALUE"""),"Yes")</f>
        <v>Yes</v>
      </c>
      <c r="I345" s="5" t="str">
        <f>IFERROR(__xludf.DUMMYFUNCTION("""COMPUTED_VALUE"""),"Yes")</f>
        <v>Yes</v>
      </c>
      <c r="J345" s="5" t="str">
        <f>IFERROR(__xludf.DUMMYFUNCTION("""COMPUTED_VALUE"""),"Yes")</f>
        <v>Yes</v>
      </c>
      <c r="K345" s="5" t="str">
        <f>IFERROR(__xludf.DUMMYFUNCTION("""COMPUTED_VALUE"""),"Yes")</f>
        <v>Yes</v>
      </c>
      <c r="L345" s="5" t="str">
        <f>IFERROR(__xludf.DUMMYFUNCTION("""COMPUTED_VALUE"""),"Yes")</f>
        <v>Yes</v>
      </c>
      <c r="M345" s="5" t="str">
        <f>IFERROR(__xludf.DUMMYFUNCTION("""COMPUTED_VALUE"""),"Yes")</f>
        <v>Yes</v>
      </c>
      <c r="N345" s="5" t="str">
        <f>IFERROR(__xludf.DUMMYFUNCTION("""COMPUTED_VALUE"""),"Yes")</f>
        <v>Yes</v>
      </c>
      <c r="O345" s="5" t="str">
        <f>IFERROR(__xludf.DUMMYFUNCTION("""COMPUTED_VALUE"""),"Yes")</f>
        <v>Yes</v>
      </c>
      <c r="P345" s="5" t="str">
        <f>IFERROR(__xludf.DUMMYFUNCTION("""COMPUTED_VALUE"""),"Yes")</f>
        <v>Yes</v>
      </c>
      <c r="Q345" s="5" t="str">
        <f>IFERROR(__xludf.DUMMYFUNCTION("""COMPUTED_VALUE"""),"Yes")</f>
        <v>Yes</v>
      </c>
      <c r="R345" s="5" t="str">
        <f>IFERROR(__xludf.DUMMYFUNCTION("""COMPUTED_VALUE"""),"Yes")</f>
        <v>Yes</v>
      </c>
      <c r="S345" s="5" t="str">
        <f>IFERROR(__xludf.DUMMYFUNCTION("""COMPUTED_VALUE"""),"Yes")</f>
        <v>Yes</v>
      </c>
      <c r="T345" s="5" t="str">
        <f>IFERROR(__xludf.DUMMYFUNCTION("""COMPUTED_VALUE"""),"Yes")</f>
        <v>Yes</v>
      </c>
      <c r="U345" s="5" t="str">
        <f>IFERROR(__xludf.DUMMYFUNCTION("""COMPUTED_VALUE"""),"Yes")</f>
        <v>Yes</v>
      </c>
      <c r="V345" s="5" t="str">
        <f>IFERROR(__xludf.DUMMYFUNCTION("""COMPUTED_VALUE"""),"Yes")</f>
        <v>Yes</v>
      </c>
      <c r="W345" s="5" t="str">
        <f>IFERROR(__xludf.DUMMYFUNCTION("""COMPUTED_VALUE"""),"Yes")</f>
        <v>Yes</v>
      </c>
      <c r="X345" s="5" t="str">
        <f>IFERROR(__xludf.DUMMYFUNCTION("""COMPUTED_VALUE"""),"Yes")</f>
        <v>Yes</v>
      </c>
      <c r="Y345" s="5" t="str">
        <f>IFERROR(__xludf.DUMMYFUNCTION("""COMPUTED_VALUE"""),"Yes")</f>
        <v>Yes</v>
      </c>
      <c r="Z345" s="5" t="str">
        <f>IFERROR(__xludf.DUMMYFUNCTION("""COMPUTED_VALUE"""),"Yes")</f>
        <v>Yes</v>
      </c>
      <c r="AA345" s="5" t="str">
        <f>IFERROR(__xludf.DUMMYFUNCTION("""COMPUTED_VALUE"""),"Yes")</f>
        <v>Yes</v>
      </c>
      <c r="AB345" s="5" t="str">
        <f>IFERROR(__xludf.DUMMYFUNCTION("""COMPUTED_VALUE"""),"Yes")</f>
        <v>Yes</v>
      </c>
      <c r="AC345" s="5" t="str">
        <f>IFERROR(__xludf.DUMMYFUNCTION("""COMPUTED_VALUE"""),"No")</f>
        <v>No</v>
      </c>
    </row>
    <row r="346">
      <c r="A346" s="5" t="str">
        <f>IFERROR(__xludf.DUMMYFUNCTION("""COMPUTED_VALUE"""),"TurboStars10")</f>
        <v>TurboStars10</v>
      </c>
      <c r="B3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6" s="5" t="str">
        <f>IFERROR(__xludf.DUMMYFUNCTION("""COMPUTED_VALUE"""),"Yes")</f>
        <v>Yes</v>
      </c>
      <c r="D346" s="5" t="str">
        <f>IFERROR(__xludf.DUMMYFUNCTION("""COMPUTED_VALUE"""),"Yes")</f>
        <v>Yes</v>
      </c>
      <c r="E346" s="5" t="str">
        <f>IFERROR(__xludf.DUMMYFUNCTION("""COMPUTED_VALUE"""),"Yes")</f>
        <v>Yes</v>
      </c>
      <c r="F346" s="5" t="str">
        <f>IFERROR(__xludf.DUMMYFUNCTION("""COMPUTED_VALUE"""),"Yes")</f>
        <v>Yes</v>
      </c>
      <c r="G346" s="5" t="str">
        <f>IFERROR(__xludf.DUMMYFUNCTION("""COMPUTED_VALUE"""),"Yes")</f>
        <v>Yes</v>
      </c>
      <c r="H346" s="5" t="str">
        <f>IFERROR(__xludf.DUMMYFUNCTION("""COMPUTED_VALUE"""),"Yes")</f>
        <v>Yes</v>
      </c>
      <c r="I346" s="5" t="str">
        <f>IFERROR(__xludf.DUMMYFUNCTION("""COMPUTED_VALUE"""),"Yes")</f>
        <v>Yes</v>
      </c>
      <c r="J346" s="5" t="str">
        <f>IFERROR(__xludf.DUMMYFUNCTION("""COMPUTED_VALUE"""),"Yes")</f>
        <v>Yes</v>
      </c>
      <c r="K346" s="5" t="str">
        <f>IFERROR(__xludf.DUMMYFUNCTION("""COMPUTED_VALUE"""),"Yes")</f>
        <v>Yes</v>
      </c>
      <c r="L346" s="5" t="str">
        <f>IFERROR(__xludf.DUMMYFUNCTION("""COMPUTED_VALUE"""),"Yes")</f>
        <v>Yes</v>
      </c>
      <c r="M346" s="5" t="str">
        <f>IFERROR(__xludf.DUMMYFUNCTION("""COMPUTED_VALUE"""),"Yes")</f>
        <v>Yes</v>
      </c>
      <c r="N346" s="5" t="str">
        <f>IFERROR(__xludf.DUMMYFUNCTION("""COMPUTED_VALUE"""),"Yes")</f>
        <v>Yes</v>
      </c>
      <c r="O346" s="5" t="str">
        <f>IFERROR(__xludf.DUMMYFUNCTION("""COMPUTED_VALUE"""),"Yes")</f>
        <v>Yes</v>
      </c>
      <c r="P346" s="5" t="str">
        <f>IFERROR(__xludf.DUMMYFUNCTION("""COMPUTED_VALUE"""),"Yes")</f>
        <v>Yes</v>
      </c>
      <c r="Q346" s="5" t="str">
        <f>IFERROR(__xludf.DUMMYFUNCTION("""COMPUTED_VALUE"""),"Yes")</f>
        <v>Yes</v>
      </c>
      <c r="R346" s="5" t="str">
        <f>IFERROR(__xludf.DUMMYFUNCTION("""COMPUTED_VALUE"""),"Yes")</f>
        <v>Yes</v>
      </c>
      <c r="S346" s="5" t="str">
        <f>IFERROR(__xludf.DUMMYFUNCTION("""COMPUTED_VALUE"""),"Yes")</f>
        <v>Yes</v>
      </c>
      <c r="T346" s="5" t="str">
        <f>IFERROR(__xludf.DUMMYFUNCTION("""COMPUTED_VALUE"""),"Yes")</f>
        <v>Yes</v>
      </c>
      <c r="U346" s="5" t="str">
        <f>IFERROR(__xludf.DUMMYFUNCTION("""COMPUTED_VALUE"""),"Yes")</f>
        <v>Yes</v>
      </c>
      <c r="V346" s="5" t="str">
        <f>IFERROR(__xludf.DUMMYFUNCTION("""COMPUTED_VALUE"""),"Yes")</f>
        <v>Yes</v>
      </c>
      <c r="W346" s="5" t="str">
        <f>IFERROR(__xludf.DUMMYFUNCTION("""COMPUTED_VALUE"""),"Yes")</f>
        <v>Yes</v>
      </c>
      <c r="X346" s="5" t="str">
        <f>IFERROR(__xludf.DUMMYFUNCTION("""COMPUTED_VALUE"""),"Yes")</f>
        <v>Yes</v>
      </c>
      <c r="Y346" s="5" t="str">
        <f>IFERROR(__xludf.DUMMYFUNCTION("""COMPUTED_VALUE"""),"Yes")</f>
        <v>Yes</v>
      </c>
      <c r="Z346" s="5" t="str">
        <f>IFERROR(__xludf.DUMMYFUNCTION("""COMPUTED_VALUE"""),"Yes")</f>
        <v>Yes</v>
      </c>
      <c r="AA346" s="5" t="str">
        <f>IFERROR(__xludf.DUMMYFUNCTION("""COMPUTED_VALUE"""),"Yes")</f>
        <v>Yes</v>
      </c>
      <c r="AB346" s="5" t="str">
        <f>IFERROR(__xludf.DUMMYFUNCTION("""COMPUTED_VALUE"""),"Yes")</f>
        <v>Yes</v>
      </c>
      <c r="AC346" s="5" t="str">
        <f>IFERROR(__xludf.DUMMYFUNCTION("""COMPUTED_VALUE"""),"No")</f>
        <v>No</v>
      </c>
    </row>
    <row r="347">
      <c r="A347" s="5" t="str">
        <f>IFERROR(__xludf.DUMMYFUNCTION("""COMPUTED_VALUE"""),"TurboStars40")</f>
        <v>TurboStars40</v>
      </c>
      <c r="B3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7" s="5" t="str">
        <f>IFERROR(__xludf.DUMMYFUNCTION("""COMPUTED_VALUE"""),"Yes")</f>
        <v>Yes</v>
      </c>
      <c r="D347" s="5" t="str">
        <f>IFERROR(__xludf.DUMMYFUNCTION("""COMPUTED_VALUE"""),"Yes")</f>
        <v>Yes</v>
      </c>
      <c r="E347" s="5" t="str">
        <f>IFERROR(__xludf.DUMMYFUNCTION("""COMPUTED_VALUE"""),"Yes")</f>
        <v>Yes</v>
      </c>
      <c r="F347" s="5" t="str">
        <f>IFERROR(__xludf.DUMMYFUNCTION("""COMPUTED_VALUE"""),"Yes")</f>
        <v>Yes</v>
      </c>
      <c r="G347" s="5" t="str">
        <f>IFERROR(__xludf.DUMMYFUNCTION("""COMPUTED_VALUE"""),"Yes")</f>
        <v>Yes</v>
      </c>
      <c r="H347" s="5" t="str">
        <f>IFERROR(__xludf.DUMMYFUNCTION("""COMPUTED_VALUE"""),"Yes")</f>
        <v>Yes</v>
      </c>
      <c r="I347" s="5" t="str">
        <f>IFERROR(__xludf.DUMMYFUNCTION("""COMPUTED_VALUE"""),"Yes")</f>
        <v>Yes</v>
      </c>
      <c r="J347" s="5" t="str">
        <f>IFERROR(__xludf.DUMMYFUNCTION("""COMPUTED_VALUE"""),"Yes")</f>
        <v>Yes</v>
      </c>
      <c r="K347" s="5" t="str">
        <f>IFERROR(__xludf.DUMMYFUNCTION("""COMPUTED_VALUE"""),"Yes")</f>
        <v>Yes</v>
      </c>
      <c r="L347" s="5" t="str">
        <f>IFERROR(__xludf.DUMMYFUNCTION("""COMPUTED_VALUE"""),"Yes")</f>
        <v>Yes</v>
      </c>
      <c r="M347" s="5" t="str">
        <f>IFERROR(__xludf.DUMMYFUNCTION("""COMPUTED_VALUE"""),"Yes")</f>
        <v>Yes</v>
      </c>
      <c r="N347" s="5" t="str">
        <f>IFERROR(__xludf.DUMMYFUNCTION("""COMPUTED_VALUE"""),"Yes")</f>
        <v>Yes</v>
      </c>
      <c r="O347" s="5" t="str">
        <f>IFERROR(__xludf.DUMMYFUNCTION("""COMPUTED_VALUE"""),"Yes")</f>
        <v>Yes</v>
      </c>
      <c r="P347" s="5" t="str">
        <f>IFERROR(__xludf.DUMMYFUNCTION("""COMPUTED_VALUE"""),"Yes")</f>
        <v>Yes</v>
      </c>
      <c r="Q347" s="5" t="str">
        <f>IFERROR(__xludf.DUMMYFUNCTION("""COMPUTED_VALUE"""),"Yes")</f>
        <v>Yes</v>
      </c>
      <c r="R347" s="5" t="str">
        <f>IFERROR(__xludf.DUMMYFUNCTION("""COMPUTED_VALUE"""),"Yes")</f>
        <v>Yes</v>
      </c>
      <c r="S347" s="5" t="str">
        <f>IFERROR(__xludf.DUMMYFUNCTION("""COMPUTED_VALUE"""),"Yes")</f>
        <v>Yes</v>
      </c>
      <c r="T347" s="5" t="str">
        <f>IFERROR(__xludf.DUMMYFUNCTION("""COMPUTED_VALUE"""),"Yes")</f>
        <v>Yes</v>
      </c>
      <c r="U347" s="5" t="str">
        <f>IFERROR(__xludf.DUMMYFUNCTION("""COMPUTED_VALUE"""),"Yes")</f>
        <v>Yes</v>
      </c>
      <c r="V347" s="5" t="str">
        <f>IFERROR(__xludf.DUMMYFUNCTION("""COMPUTED_VALUE"""),"Yes")</f>
        <v>Yes</v>
      </c>
      <c r="W347" s="5" t="str">
        <f>IFERROR(__xludf.DUMMYFUNCTION("""COMPUTED_VALUE"""),"Yes")</f>
        <v>Yes</v>
      </c>
      <c r="X347" s="5" t="str">
        <f>IFERROR(__xludf.DUMMYFUNCTION("""COMPUTED_VALUE"""),"Yes")</f>
        <v>Yes</v>
      </c>
      <c r="Y347" s="5" t="str">
        <f>IFERROR(__xludf.DUMMYFUNCTION("""COMPUTED_VALUE"""),"Yes")</f>
        <v>Yes</v>
      </c>
      <c r="Z347" s="5" t="str">
        <f>IFERROR(__xludf.DUMMYFUNCTION("""COMPUTED_VALUE"""),"Yes")</f>
        <v>Yes</v>
      </c>
      <c r="AA347" s="5" t="str">
        <f>IFERROR(__xludf.DUMMYFUNCTION("""COMPUTED_VALUE"""),"Yes")</f>
        <v>Yes</v>
      </c>
      <c r="AB347" s="5" t="str">
        <f>IFERROR(__xludf.DUMMYFUNCTION("""COMPUTED_VALUE"""),"Yes")</f>
        <v>Yes</v>
      </c>
      <c r="AC347" s="5" t="str">
        <f>IFERROR(__xludf.DUMMYFUNCTION("""COMPUTED_VALUE"""),"No")</f>
        <v>No</v>
      </c>
    </row>
    <row r="348">
      <c r="A348" s="5" t="str">
        <f>IFERROR(__xludf.DUMMYFUNCTION("""COMPUTED_VALUE"""),"TurboStars20")</f>
        <v>TurboStars20</v>
      </c>
      <c r="B3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8" s="5" t="str">
        <f>IFERROR(__xludf.DUMMYFUNCTION("""COMPUTED_VALUE"""),"Yes")</f>
        <v>Yes</v>
      </c>
      <c r="D348" s="5" t="str">
        <f>IFERROR(__xludf.DUMMYFUNCTION("""COMPUTED_VALUE"""),"Yes")</f>
        <v>Yes</v>
      </c>
      <c r="E348" s="5" t="str">
        <f>IFERROR(__xludf.DUMMYFUNCTION("""COMPUTED_VALUE"""),"Yes")</f>
        <v>Yes</v>
      </c>
      <c r="F348" s="5" t="str">
        <f>IFERROR(__xludf.DUMMYFUNCTION("""COMPUTED_VALUE"""),"Yes")</f>
        <v>Yes</v>
      </c>
      <c r="G348" s="5" t="str">
        <f>IFERROR(__xludf.DUMMYFUNCTION("""COMPUTED_VALUE"""),"Yes")</f>
        <v>Yes</v>
      </c>
      <c r="H348" s="5" t="str">
        <f>IFERROR(__xludf.DUMMYFUNCTION("""COMPUTED_VALUE"""),"Yes")</f>
        <v>Yes</v>
      </c>
      <c r="I348" s="5" t="str">
        <f>IFERROR(__xludf.DUMMYFUNCTION("""COMPUTED_VALUE"""),"Yes")</f>
        <v>Yes</v>
      </c>
      <c r="J348" s="5" t="str">
        <f>IFERROR(__xludf.DUMMYFUNCTION("""COMPUTED_VALUE"""),"Yes")</f>
        <v>Yes</v>
      </c>
      <c r="K348" s="5" t="str">
        <f>IFERROR(__xludf.DUMMYFUNCTION("""COMPUTED_VALUE"""),"Yes")</f>
        <v>Yes</v>
      </c>
      <c r="L348" s="5" t="str">
        <f>IFERROR(__xludf.DUMMYFUNCTION("""COMPUTED_VALUE"""),"Yes")</f>
        <v>Yes</v>
      </c>
      <c r="M348" s="5" t="str">
        <f>IFERROR(__xludf.DUMMYFUNCTION("""COMPUTED_VALUE"""),"Yes")</f>
        <v>Yes</v>
      </c>
      <c r="N348" s="5" t="str">
        <f>IFERROR(__xludf.DUMMYFUNCTION("""COMPUTED_VALUE"""),"Yes")</f>
        <v>Yes</v>
      </c>
      <c r="O348" s="5" t="str">
        <f>IFERROR(__xludf.DUMMYFUNCTION("""COMPUTED_VALUE"""),"Yes")</f>
        <v>Yes</v>
      </c>
      <c r="P348" s="5" t="str">
        <f>IFERROR(__xludf.DUMMYFUNCTION("""COMPUTED_VALUE"""),"Yes")</f>
        <v>Yes</v>
      </c>
      <c r="Q348" s="5" t="str">
        <f>IFERROR(__xludf.DUMMYFUNCTION("""COMPUTED_VALUE"""),"Yes")</f>
        <v>Yes</v>
      </c>
      <c r="R348" s="5" t="str">
        <f>IFERROR(__xludf.DUMMYFUNCTION("""COMPUTED_VALUE"""),"Yes")</f>
        <v>Yes</v>
      </c>
      <c r="S348" s="5" t="str">
        <f>IFERROR(__xludf.DUMMYFUNCTION("""COMPUTED_VALUE"""),"Yes")</f>
        <v>Yes</v>
      </c>
      <c r="T348" s="5" t="str">
        <f>IFERROR(__xludf.DUMMYFUNCTION("""COMPUTED_VALUE"""),"Yes")</f>
        <v>Yes</v>
      </c>
      <c r="U348" s="5" t="str">
        <f>IFERROR(__xludf.DUMMYFUNCTION("""COMPUTED_VALUE"""),"Yes")</f>
        <v>Yes</v>
      </c>
      <c r="V348" s="5" t="str">
        <f>IFERROR(__xludf.DUMMYFUNCTION("""COMPUTED_VALUE"""),"Yes")</f>
        <v>Yes</v>
      </c>
      <c r="W348" s="5" t="str">
        <f>IFERROR(__xludf.DUMMYFUNCTION("""COMPUTED_VALUE"""),"Yes")</f>
        <v>Yes</v>
      </c>
      <c r="X348" s="5" t="str">
        <f>IFERROR(__xludf.DUMMYFUNCTION("""COMPUTED_VALUE"""),"Yes")</f>
        <v>Yes</v>
      </c>
      <c r="Y348" s="5" t="str">
        <f>IFERROR(__xludf.DUMMYFUNCTION("""COMPUTED_VALUE"""),"Yes")</f>
        <v>Yes</v>
      </c>
      <c r="Z348" s="5" t="str">
        <f>IFERROR(__xludf.DUMMYFUNCTION("""COMPUTED_VALUE"""),"Yes")</f>
        <v>Yes</v>
      </c>
      <c r="AA348" s="5" t="str">
        <f>IFERROR(__xludf.DUMMYFUNCTION("""COMPUTED_VALUE"""),"Yes")</f>
        <v>Yes</v>
      </c>
      <c r="AB348" s="5" t="str">
        <f>IFERROR(__xludf.DUMMYFUNCTION("""COMPUTED_VALUE"""),"Yes")</f>
        <v>Yes</v>
      </c>
      <c r="AC348" s="5" t="str">
        <f>IFERROR(__xludf.DUMMYFUNCTION("""COMPUTED_VALUE"""),"No")</f>
        <v>No</v>
      </c>
    </row>
    <row r="349">
      <c r="A349" s="5" t="str">
        <f>IFERROR(__xludf.DUMMYFUNCTION("""COMPUTED_VALUE"""),"RizkHot40")</f>
        <v>RizkHot40</v>
      </c>
      <c r="B3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9" s="5" t="str">
        <f>IFERROR(__xludf.DUMMYFUNCTION("""COMPUTED_VALUE"""),"Yes")</f>
        <v>Yes</v>
      </c>
      <c r="D349" s="5" t="str">
        <f>IFERROR(__xludf.DUMMYFUNCTION("""COMPUTED_VALUE"""),"Yes")</f>
        <v>Yes</v>
      </c>
      <c r="E349" s="5" t="str">
        <f>IFERROR(__xludf.DUMMYFUNCTION("""COMPUTED_VALUE"""),"Yes")</f>
        <v>Yes</v>
      </c>
      <c r="F349" s="5" t="str">
        <f>IFERROR(__xludf.DUMMYFUNCTION("""COMPUTED_VALUE"""),"Yes")</f>
        <v>Yes</v>
      </c>
      <c r="G349" s="5" t="str">
        <f>IFERROR(__xludf.DUMMYFUNCTION("""COMPUTED_VALUE"""),"Yes")</f>
        <v>Yes</v>
      </c>
      <c r="H349" s="5" t="str">
        <f>IFERROR(__xludf.DUMMYFUNCTION("""COMPUTED_VALUE"""),"Yes")</f>
        <v>Yes</v>
      </c>
      <c r="I349" s="5" t="str">
        <f>IFERROR(__xludf.DUMMYFUNCTION("""COMPUTED_VALUE"""),"Yes")</f>
        <v>Yes</v>
      </c>
      <c r="J349" s="5" t="str">
        <f>IFERROR(__xludf.DUMMYFUNCTION("""COMPUTED_VALUE"""),"Yes")</f>
        <v>Yes</v>
      </c>
      <c r="K349" s="5" t="str">
        <f>IFERROR(__xludf.DUMMYFUNCTION("""COMPUTED_VALUE"""),"Yes")</f>
        <v>Yes</v>
      </c>
      <c r="L349" s="5" t="str">
        <f>IFERROR(__xludf.DUMMYFUNCTION("""COMPUTED_VALUE"""),"Yes")</f>
        <v>Yes</v>
      </c>
      <c r="M349" s="5" t="str">
        <f>IFERROR(__xludf.DUMMYFUNCTION("""COMPUTED_VALUE"""),"Yes")</f>
        <v>Yes</v>
      </c>
      <c r="N349" s="5" t="str">
        <f>IFERROR(__xludf.DUMMYFUNCTION("""COMPUTED_VALUE"""),"Yes")</f>
        <v>Yes</v>
      </c>
      <c r="O349" s="5" t="str">
        <f>IFERROR(__xludf.DUMMYFUNCTION("""COMPUTED_VALUE"""),"Yes")</f>
        <v>Yes</v>
      </c>
      <c r="P349" s="5" t="str">
        <f>IFERROR(__xludf.DUMMYFUNCTION("""COMPUTED_VALUE"""),"Yes")</f>
        <v>Yes</v>
      </c>
      <c r="Q349" s="5" t="str">
        <f>IFERROR(__xludf.DUMMYFUNCTION("""COMPUTED_VALUE"""),"Yes")</f>
        <v>Yes</v>
      </c>
      <c r="R349" s="5" t="str">
        <f>IFERROR(__xludf.DUMMYFUNCTION("""COMPUTED_VALUE"""),"Yes")</f>
        <v>Yes</v>
      </c>
      <c r="S349" s="5" t="str">
        <f>IFERROR(__xludf.DUMMYFUNCTION("""COMPUTED_VALUE"""),"Yes")</f>
        <v>Yes</v>
      </c>
      <c r="T349" s="5" t="str">
        <f>IFERROR(__xludf.DUMMYFUNCTION("""COMPUTED_VALUE"""),"Yes")</f>
        <v>Yes</v>
      </c>
      <c r="U349" s="5" t="str">
        <f>IFERROR(__xludf.DUMMYFUNCTION("""COMPUTED_VALUE"""),"Yes")</f>
        <v>Yes</v>
      </c>
      <c r="V349" s="5" t="str">
        <f>IFERROR(__xludf.DUMMYFUNCTION("""COMPUTED_VALUE"""),"Yes")</f>
        <v>Yes</v>
      </c>
      <c r="W349" s="5" t="str">
        <f>IFERROR(__xludf.DUMMYFUNCTION("""COMPUTED_VALUE"""),"Yes")</f>
        <v>Yes</v>
      </c>
      <c r="X349" s="5" t="str">
        <f>IFERROR(__xludf.DUMMYFUNCTION("""COMPUTED_VALUE"""),"Yes")</f>
        <v>Yes</v>
      </c>
      <c r="Y349" s="5" t="str">
        <f>IFERROR(__xludf.DUMMYFUNCTION("""COMPUTED_VALUE"""),"Yes")</f>
        <v>Yes</v>
      </c>
      <c r="Z349" s="5" t="str">
        <f>IFERROR(__xludf.DUMMYFUNCTION("""COMPUTED_VALUE"""),"Yes")</f>
        <v>Yes</v>
      </c>
      <c r="AA349" s="5" t="str">
        <f>IFERROR(__xludf.DUMMYFUNCTION("""COMPUTED_VALUE"""),"Yes")</f>
        <v>Yes</v>
      </c>
      <c r="AB349" s="5" t="str">
        <f>IFERROR(__xludf.DUMMYFUNCTION("""COMPUTED_VALUE"""),"Yes")</f>
        <v>Yes</v>
      </c>
      <c r="AC349" s="5" t="str">
        <f>IFERROR(__xludf.DUMMYFUNCTION("""COMPUTED_VALUE"""),"No")</f>
        <v>No</v>
      </c>
    </row>
    <row r="350">
      <c r="A350" s="5" t="str">
        <f>IFERROR(__xludf.DUMMYFUNCTION("""COMPUTED_VALUE"""),"BetOleHot40")</f>
        <v>BetOleHot40</v>
      </c>
      <c r="B3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0" s="5" t="str">
        <f>IFERROR(__xludf.DUMMYFUNCTION("""COMPUTED_VALUE"""),"Yes")</f>
        <v>Yes</v>
      </c>
      <c r="D350" s="5" t="str">
        <f>IFERROR(__xludf.DUMMYFUNCTION("""COMPUTED_VALUE"""),"Yes")</f>
        <v>Yes</v>
      </c>
      <c r="E350" s="5" t="str">
        <f>IFERROR(__xludf.DUMMYFUNCTION("""COMPUTED_VALUE"""),"Yes")</f>
        <v>Yes</v>
      </c>
      <c r="F350" s="5" t="str">
        <f>IFERROR(__xludf.DUMMYFUNCTION("""COMPUTED_VALUE"""),"Yes")</f>
        <v>Yes</v>
      </c>
      <c r="G350" s="5" t="str">
        <f>IFERROR(__xludf.DUMMYFUNCTION("""COMPUTED_VALUE"""),"Yes")</f>
        <v>Yes</v>
      </c>
      <c r="H350" s="5" t="str">
        <f>IFERROR(__xludf.DUMMYFUNCTION("""COMPUTED_VALUE"""),"Yes")</f>
        <v>Yes</v>
      </c>
      <c r="I350" s="5" t="str">
        <f>IFERROR(__xludf.DUMMYFUNCTION("""COMPUTED_VALUE"""),"Yes")</f>
        <v>Yes</v>
      </c>
      <c r="J350" s="5" t="str">
        <f>IFERROR(__xludf.DUMMYFUNCTION("""COMPUTED_VALUE"""),"Yes")</f>
        <v>Yes</v>
      </c>
      <c r="K350" s="5" t="str">
        <f>IFERROR(__xludf.DUMMYFUNCTION("""COMPUTED_VALUE"""),"Yes")</f>
        <v>Yes</v>
      </c>
      <c r="L350" s="5" t="str">
        <f>IFERROR(__xludf.DUMMYFUNCTION("""COMPUTED_VALUE"""),"Yes")</f>
        <v>Yes</v>
      </c>
      <c r="M350" s="5" t="str">
        <f>IFERROR(__xludf.DUMMYFUNCTION("""COMPUTED_VALUE"""),"Yes")</f>
        <v>Yes</v>
      </c>
      <c r="N350" s="5" t="str">
        <f>IFERROR(__xludf.DUMMYFUNCTION("""COMPUTED_VALUE"""),"Yes")</f>
        <v>Yes</v>
      </c>
      <c r="O350" s="5" t="str">
        <f>IFERROR(__xludf.DUMMYFUNCTION("""COMPUTED_VALUE"""),"Yes")</f>
        <v>Yes</v>
      </c>
      <c r="P350" s="5" t="str">
        <f>IFERROR(__xludf.DUMMYFUNCTION("""COMPUTED_VALUE"""),"Yes")</f>
        <v>Yes</v>
      </c>
      <c r="Q350" s="5" t="str">
        <f>IFERROR(__xludf.DUMMYFUNCTION("""COMPUTED_VALUE"""),"Yes")</f>
        <v>Yes</v>
      </c>
      <c r="R350" s="5" t="str">
        <f>IFERROR(__xludf.DUMMYFUNCTION("""COMPUTED_VALUE"""),"Yes")</f>
        <v>Yes</v>
      </c>
      <c r="S350" s="5" t="str">
        <f>IFERROR(__xludf.DUMMYFUNCTION("""COMPUTED_VALUE"""),"Yes")</f>
        <v>Yes</v>
      </c>
      <c r="T350" s="5" t="str">
        <f>IFERROR(__xludf.DUMMYFUNCTION("""COMPUTED_VALUE"""),"Yes")</f>
        <v>Yes</v>
      </c>
      <c r="U350" s="5" t="str">
        <f>IFERROR(__xludf.DUMMYFUNCTION("""COMPUTED_VALUE"""),"Yes")</f>
        <v>Yes</v>
      </c>
      <c r="V350" s="5" t="str">
        <f>IFERROR(__xludf.DUMMYFUNCTION("""COMPUTED_VALUE"""),"Yes")</f>
        <v>Yes</v>
      </c>
      <c r="W350" s="5" t="str">
        <f>IFERROR(__xludf.DUMMYFUNCTION("""COMPUTED_VALUE"""),"Yes")</f>
        <v>Yes</v>
      </c>
      <c r="X350" s="5" t="str">
        <f>IFERROR(__xludf.DUMMYFUNCTION("""COMPUTED_VALUE"""),"Yes")</f>
        <v>Yes</v>
      </c>
      <c r="Y350" s="5" t="str">
        <f>IFERROR(__xludf.DUMMYFUNCTION("""COMPUTED_VALUE"""),"Yes")</f>
        <v>Yes</v>
      </c>
      <c r="Z350" s="5" t="str">
        <f>IFERROR(__xludf.DUMMYFUNCTION("""COMPUTED_VALUE"""),"Yes")</f>
        <v>Yes</v>
      </c>
      <c r="AA350" s="5" t="str">
        <f>IFERROR(__xludf.DUMMYFUNCTION("""COMPUTED_VALUE"""),"Yes")</f>
        <v>Yes</v>
      </c>
      <c r="AB350" s="5" t="str">
        <f>IFERROR(__xludf.DUMMYFUNCTION("""COMPUTED_VALUE"""),"Yes")</f>
        <v>Yes</v>
      </c>
      <c r="AC350" s="5" t="str">
        <f>IFERROR(__xludf.DUMMYFUNCTION("""COMPUTED_VALUE"""),"No")</f>
        <v>No</v>
      </c>
    </row>
    <row r="351">
      <c r="A351" s="5" t="str">
        <f>IFERROR(__xludf.DUMMYFUNCTION("""COMPUTED_VALUE"""),"WildLuckyBetebet")</f>
        <v>WildLuckyBetebet</v>
      </c>
      <c r="B3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1" s="5" t="str">
        <f>IFERROR(__xludf.DUMMYFUNCTION("""COMPUTED_VALUE"""),"Yes")</f>
        <v>Yes</v>
      </c>
      <c r="D351" s="5" t="str">
        <f>IFERROR(__xludf.DUMMYFUNCTION("""COMPUTED_VALUE"""),"Yes")</f>
        <v>Yes</v>
      </c>
      <c r="E351" s="5" t="str">
        <f>IFERROR(__xludf.DUMMYFUNCTION("""COMPUTED_VALUE"""),"Yes")</f>
        <v>Yes</v>
      </c>
      <c r="F351" s="5" t="str">
        <f>IFERROR(__xludf.DUMMYFUNCTION("""COMPUTED_VALUE"""),"Yes")</f>
        <v>Yes</v>
      </c>
      <c r="G351" s="5" t="str">
        <f>IFERROR(__xludf.DUMMYFUNCTION("""COMPUTED_VALUE"""),"Yes")</f>
        <v>Yes</v>
      </c>
      <c r="H351" s="5" t="str">
        <f>IFERROR(__xludf.DUMMYFUNCTION("""COMPUTED_VALUE"""),"Yes")</f>
        <v>Yes</v>
      </c>
      <c r="I351" s="5" t="str">
        <f>IFERROR(__xludf.DUMMYFUNCTION("""COMPUTED_VALUE"""),"Yes")</f>
        <v>Yes</v>
      </c>
      <c r="J351" s="5" t="str">
        <f>IFERROR(__xludf.DUMMYFUNCTION("""COMPUTED_VALUE"""),"Yes")</f>
        <v>Yes</v>
      </c>
      <c r="K351" s="5" t="str">
        <f>IFERROR(__xludf.DUMMYFUNCTION("""COMPUTED_VALUE"""),"Yes")</f>
        <v>Yes</v>
      </c>
      <c r="L351" s="5" t="str">
        <f>IFERROR(__xludf.DUMMYFUNCTION("""COMPUTED_VALUE"""),"Yes")</f>
        <v>Yes</v>
      </c>
      <c r="M351" s="5" t="str">
        <f>IFERROR(__xludf.DUMMYFUNCTION("""COMPUTED_VALUE"""),"Yes")</f>
        <v>Yes</v>
      </c>
      <c r="N351" s="5" t="str">
        <f>IFERROR(__xludf.DUMMYFUNCTION("""COMPUTED_VALUE"""),"Yes")</f>
        <v>Yes</v>
      </c>
      <c r="O351" s="5" t="str">
        <f>IFERROR(__xludf.DUMMYFUNCTION("""COMPUTED_VALUE"""),"Yes")</f>
        <v>Yes</v>
      </c>
      <c r="P351" s="5" t="str">
        <f>IFERROR(__xludf.DUMMYFUNCTION("""COMPUTED_VALUE"""),"Yes")</f>
        <v>Yes</v>
      </c>
      <c r="Q351" s="5" t="str">
        <f>IFERROR(__xludf.DUMMYFUNCTION("""COMPUTED_VALUE"""),"Yes")</f>
        <v>Yes</v>
      </c>
      <c r="R351" s="5" t="str">
        <f>IFERROR(__xludf.DUMMYFUNCTION("""COMPUTED_VALUE"""),"Yes")</f>
        <v>Yes</v>
      </c>
      <c r="S351" s="5" t="str">
        <f>IFERROR(__xludf.DUMMYFUNCTION("""COMPUTED_VALUE"""),"Yes")</f>
        <v>Yes</v>
      </c>
      <c r="T351" s="5" t="str">
        <f>IFERROR(__xludf.DUMMYFUNCTION("""COMPUTED_VALUE"""),"Yes")</f>
        <v>Yes</v>
      </c>
      <c r="U351" s="5" t="str">
        <f>IFERROR(__xludf.DUMMYFUNCTION("""COMPUTED_VALUE"""),"Yes")</f>
        <v>Yes</v>
      </c>
      <c r="V351" s="5" t="str">
        <f>IFERROR(__xludf.DUMMYFUNCTION("""COMPUTED_VALUE"""),"Yes")</f>
        <v>Yes</v>
      </c>
      <c r="W351" s="5" t="str">
        <f>IFERROR(__xludf.DUMMYFUNCTION("""COMPUTED_VALUE"""),"Yes")</f>
        <v>Yes</v>
      </c>
      <c r="X351" s="5" t="str">
        <f>IFERROR(__xludf.DUMMYFUNCTION("""COMPUTED_VALUE"""),"Yes")</f>
        <v>Yes</v>
      </c>
      <c r="Y351" s="5" t="str">
        <f>IFERROR(__xludf.DUMMYFUNCTION("""COMPUTED_VALUE"""),"Yes")</f>
        <v>Yes</v>
      </c>
      <c r="Z351" s="5" t="str">
        <f>IFERROR(__xludf.DUMMYFUNCTION("""COMPUTED_VALUE"""),"Yes")</f>
        <v>Yes</v>
      </c>
      <c r="AA351" s="5" t="str">
        <f>IFERROR(__xludf.DUMMYFUNCTION("""COMPUTED_VALUE"""),"Yes")</f>
        <v>Yes</v>
      </c>
      <c r="AB351" s="5" t="str">
        <f>IFERROR(__xludf.DUMMYFUNCTION("""COMPUTED_VALUE"""),"Yes")</f>
        <v>Yes</v>
      </c>
      <c r="AC351" s="5" t="str">
        <f>IFERROR(__xludf.DUMMYFUNCTION("""COMPUTED_VALUE"""),"No")</f>
        <v>No</v>
      </c>
    </row>
    <row r="352">
      <c r="A352" s="5" t="str">
        <f>IFERROR(__xludf.DUMMYFUNCTION("""COMPUTED_VALUE"""),"QuickWinCrown10")</f>
        <v>QuickWinCrown10</v>
      </c>
      <c r="B3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2" s="5" t="str">
        <f>IFERROR(__xludf.DUMMYFUNCTION("""COMPUTED_VALUE"""),"Yes")</f>
        <v>Yes</v>
      </c>
      <c r="D352" s="5" t="str">
        <f>IFERROR(__xludf.DUMMYFUNCTION("""COMPUTED_VALUE"""),"Yes")</f>
        <v>Yes</v>
      </c>
      <c r="E352" s="5" t="str">
        <f>IFERROR(__xludf.DUMMYFUNCTION("""COMPUTED_VALUE"""),"Yes")</f>
        <v>Yes</v>
      </c>
      <c r="F352" s="5" t="str">
        <f>IFERROR(__xludf.DUMMYFUNCTION("""COMPUTED_VALUE"""),"Yes")</f>
        <v>Yes</v>
      </c>
      <c r="G352" s="5" t="str">
        <f>IFERROR(__xludf.DUMMYFUNCTION("""COMPUTED_VALUE"""),"Yes")</f>
        <v>Yes</v>
      </c>
      <c r="H352" s="5" t="str">
        <f>IFERROR(__xludf.DUMMYFUNCTION("""COMPUTED_VALUE"""),"Yes")</f>
        <v>Yes</v>
      </c>
      <c r="I352" s="5" t="str">
        <f>IFERROR(__xludf.DUMMYFUNCTION("""COMPUTED_VALUE"""),"Yes")</f>
        <v>Yes</v>
      </c>
      <c r="J352" s="5" t="str">
        <f>IFERROR(__xludf.DUMMYFUNCTION("""COMPUTED_VALUE"""),"Yes")</f>
        <v>Yes</v>
      </c>
      <c r="K352" s="5" t="str">
        <f>IFERROR(__xludf.DUMMYFUNCTION("""COMPUTED_VALUE"""),"Yes")</f>
        <v>Yes</v>
      </c>
      <c r="L352" s="5" t="str">
        <f>IFERROR(__xludf.DUMMYFUNCTION("""COMPUTED_VALUE"""),"Yes")</f>
        <v>Yes</v>
      </c>
      <c r="M352" s="5" t="str">
        <f>IFERROR(__xludf.DUMMYFUNCTION("""COMPUTED_VALUE"""),"Yes")</f>
        <v>Yes</v>
      </c>
      <c r="N352" s="5" t="str">
        <f>IFERROR(__xludf.DUMMYFUNCTION("""COMPUTED_VALUE"""),"Yes")</f>
        <v>Yes</v>
      </c>
      <c r="O352" s="5" t="str">
        <f>IFERROR(__xludf.DUMMYFUNCTION("""COMPUTED_VALUE"""),"Yes")</f>
        <v>Yes</v>
      </c>
      <c r="P352" s="5" t="str">
        <f>IFERROR(__xludf.DUMMYFUNCTION("""COMPUTED_VALUE"""),"Yes")</f>
        <v>Yes</v>
      </c>
      <c r="Q352" s="5" t="str">
        <f>IFERROR(__xludf.DUMMYFUNCTION("""COMPUTED_VALUE"""),"Yes")</f>
        <v>Yes</v>
      </c>
      <c r="R352" s="5" t="str">
        <f>IFERROR(__xludf.DUMMYFUNCTION("""COMPUTED_VALUE"""),"Yes")</f>
        <v>Yes</v>
      </c>
      <c r="S352" s="5" t="str">
        <f>IFERROR(__xludf.DUMMYFUNCTION("""COMPUTED_VALUE"""),"Yes")</f>
        <v>Yes</v>
      </c>
      <c r="T352" s="5" t="str">
        <f>IFERROR(__xludf.DUMMYFUNCTION("""COMPUTED_VALUE"""),"Yes")</f>
        <v>Yes</v>
      </c>
      <c r="U352" s="5" t="str">
        <f>IFERROR(__xludf.DUMMYFUNCTION("""COMPUTED_VALUE"""),"Yes")</f>
        <v>Yes</v>
      </c>
      <c r="V352" s="5" t="str">
        <f>IFERROR(__xludf.DUMMYFUNCTION("""COMPUTED_VALUE"""),"Yes")</f>
        <v>Yes</v>
      </c>
      <c r="W352" s="5" t="str">
        <f>IFERROR(__xludf.DUMMYFUNCTION("""COMPUTED_VALUE"""),"Yes")</f>
        <v>Yes</v>
      </c>
      <c r="X352" s="5" t="str">
        <f>IFERROR(__xludf.DUMMYFUNCTION("""COMPUTED_VALUE"""),"Yes")</f>
        <v>Yes</v>
      </c>
      <c r="Y352" s="5" t="str">
        <f>IFERROR(__xludf.DUMMYFUNCTION("""COMPUTED_VALUE"""),"Yes")</f>
        <v>Yes</v>
      </c>
      <c r="Z352" s="5" t="str">
        <f>IFERROR(__xludf.DUMMYFUNCTION("""COMPUTED_VALUE"""),"Yes")</f>
        <v>Yes</v>
      </c>
      <c r="AA352" s="5" t="str">
        <f>IFERROR(__xludf.DUMMYFUNCTION("""COMPUTED_VALUE"""),"Yes")</f>
        <v>Yes</v>
      </c>
      <c r="AB352" s="5" t="str">
        <f>IFERROR(__xludf.DUMMYFUNCTION("""COMPUTED_VALUE"""),"Yes")</f>
        <v>Yes</v>
      </c>
      <c r="AC352" s="5" t="str">
        <f>IFERROR(__xludf.DUMMYFUNCTION("""COMPUTED_VALUE"""),"No")</f>
        <v>No</v>
      </c>
    </row>
    <row r="353">
      <c r="A353" s="5" t="str">
        <f>IFERROR(__xludf.DUMMYFUNCTION("""COMPUTED_VALUE"""),"LollasSoccerWorld")</f>
        <v>LollasSoccerWorld</v>
      </c>
      <c r="B3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3" s="5" t="str">
        <f>IFERROR(__xludf.DUMMYFUNCTION("""COMPUTED_VALUE"""),"Yes")</f>
        <v>Yes</v>
      </c>
      <c r="D353" s="5" t="str">
        <f>IFERROR(__xludf.DUMMYFUNCTION("""COMPUTED_VALUE"""),"Yes")</f>
        <v>Yes</v>
      </c>
      <c r="E353" s="5" t="str">
        <f>IFERROR(__xludf.DUMMYFUNCTION("""COMPUTED_VALUE"""),"Yes")</f>
        <v>Yes</v>
      </c>
      <c r="F353" s="5" t="str">
        <f>IFERROR(__xludf.DUMMYFUNCTION("""COMPUTED_VALUE"""),"Yes")</f>
        <v>Yes</v>
      </c>
      <c r="G353" s="5" t="str">
        <f>IFERROR(__xludf.DUMMYFUNCTION("""COMPUTED_VALUE"""),"Yes")</f>
        <v>Yes</v>
      </c>
      <c r="H353" s="5" t="str">
        <f>IFERROR(__xludf.DUMMYFUNCTION("""COMPUTED_VALUE"""),"Yes")</f>
        <v>Yes</v>
      </c>
      <c r="I353" s="5" t="str">
        <f>IFERROR(__xludf.DUMMYFUNCTION("""COMPUTED_VALUE"""),"Yes")</f>
        <v>Yes</v>
      </c>
      <c r="J353" s="5" t="str">
        <f>IFERROR(__xludf.DUMMYFUNCTION("""COMPUTED_VALUE"""),"Yes")</f>
        <v>Yes</v>
      </c>
      <c r="K353" s="5" t="str">
        <f>IFERROR(__xludf.DUMMYFUNCTION("""COMPUTED_VALUE"""),"Yes")</f>
        <v>Yes</v>
      </c>
      <c r="L353" s="5" t="str">
        <f>IFERROR(__xludf.DUMMYFUNCTION("""COMPUTED_VALUE"""),"Yes")</f>
        <v>Yes</v>
      </c>
      <c r="M353" s="5" t="str">
        <f>IFERROR(__xludf.DUMMYFUNCTION("""COMPUTED_VALUE"""),"Yes")</f>
        <v>Yes</v>
      </c>
      <c r="N353" s="5" t="str">
        <f>IFERROR(__xludf.DUMMYFUNCTION("""COMPUTED_VALUE"""),"Yes")</f>
        <v>Yes</v>
      </c>
      <c r="O353" s="5" t="str">
        <f>IFERROR(__xludf.DUMMYFUNCTION("""COMPUTED_VALUE"""),"Yes")</f>
        <v>Yes</v>
      </c>
      <c r="P353" s="5" t="str">
        <f>IFERROR(__xludf.DUMMYFUNCTION("""COMPUTED_VALUE"""),"Yes")</f>
        <v>Yes</v>
      </c>
      <c r="Q353" s="5" t="str">
        <f>IFERROR(__xludf.DUMMYFUNCTION("""COMPUTED_VALUE"""),"Yes")</f>
        <v>Yes</v>
      </c>
      <c r="R353" s="5" t="str">
        <f>IFERROR(__xludf.DUMMYFUNCTION("""COMPUTED_VALUE"""),"Yes")</f>
        <v>Yes</v>
      </c>
      <c r="S353" s="5" t="str">
        <f>IFERROR(__xludf.DUMMYFUNCTION("""COMPUTED_VALUE"""),"Yes")</f>
        <v>Yes</v>
      </c>
      <c r="T353" s="5" t="str">
        <f>IFERROR(__xludf.DUMMYFUNCTION("""COMPUTED_VALUE"""),"Yes")</f>
        <v>Yes</v>
      </c>
      <c r="U353" s="5" t="str">
        <f>IFERROR(__xludf.DUMMYFUNCTION("""COMPUTED_VALUE"""),"Yes")</f>
        <v>Yes</v>
      </c>
      <c r="V353" s="5" t="str">
        <f>IFERROR(__xludf.DUMMYFUNCTION("""COMPUTED_VALUE"""),"Yes")</f>
        <v>Yes</v>
      </c>
      <c r="W353" s="5" t="str">
        <f>IFERROR(__xludf.DUMMYFUNCTION("""COMPUTED_VALUE"""),"Yes")</f>
        <v>Yes</v>
      </c>
      <c r="X353" s="5" t="str">
        <f>IFERROR(__xludf.DUMMYFUNCTION("""COMPUTED_VALUE"""),"Yes")</f>
        <v>Yes</v>
      </c>
      <c r="Y353" s="5" t="str">
        <f>IFERROR(__xludf.DUMMYFUNCTION("""COMPUTED_VALUE"""),"Yes")</f>
        <v>Yes</v>
      </c>
      <c r="Z353" s="5" t="str">
        <f>IFERROR(__xludf.DUMMYFUNCTION("""COMPUTED_VALUE"""),"Yes")</f>
        <v>Yes</v>
      </c>
      <c r="AA353" s="5" t="str">
        <f>IFERROR(__xludf.DUMMYFUNCTION("""COMPUTED_VALUE"""),"Yes")</f>
        <v>Yes</v>
      </c>
      <c r="AB353" s="5" t="str">
        <f>IFERROR(__xludf.DUMMYFUNCTION("""COMPUTED_VALUE"""),"Yes")</f>
        <v>Yes</v>
      </c>
      <c r="AC353" s="5" t="str">
        <f>IFERROR(__xludf.DUMMYFUNCTION("""COMPUTED_VALUE"""),"No")</f>
        <v>No</v>
      </c>
    </row>
    <row r="354">
      <c r="A354" s="5" t="str">
        <f>IFERROR(__xludf.DUMMYFUNCTION("""COMPUTED_VALUE"""),"SoccersClover")</f>
        <v>SoccersClover</v>
      </c>
      <c r="B3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4" s="5" t="str">
        <f>IFERROR(__xludf.DUMMYFUNCTION("""COMPUTED_VALUE"""),"Yes")</f>
        <v>Yes</v>
      </c>
      <c r="D354" s="5" t="str">
        <f>IFERROR(__xludf.DUMMYFUNCTION("""COMPUTED_VALUE"""),"Yes")</f>
        <v>Yes</v>
      </c>
      <c r="E354" s="5" t="str">
        <f>IFERROR(__xludf.DUMMYFUNCTION("""COMPUTED_VALUE"""),"Yes")</f>
        <v>Yes</v>
      </c>
      <c r="F354" s="5" t="str">
        <f>IFERROR(__xludf.DUMMYFUNCTION("""COMPUTED_VALUE"""),"Yes")</f>
        <v>Yes</v>
      </c>
      <c r="G354" s="5" t="str">
        <f>IFERROR(__xludf.DUMMYFUNCTION("""COMPUTED_VALUE"""),"Yes")</f>
        <v>Yes</v>
      </c>
      <c r="H354" s="5" t="str">
        <f>IFERROR(__xludf.DUMMYFUNCTION("""COMPUTED_VALUE"""),"Yes")</f>
        <v>Yes</v>
      </c>
      <c r="I354" s="5" t="str">
        <f>IFERROR(__xludf.DUMMYFUNCTION("""COMPUTED_VALUE"""),"Yes")</f>
        <v>Yes</v>
      </c>
      <c r="J354" s="5" t="str">
        <f>IFERROR(__xludf.DUMMYFUNCTION("""COMPUTED_VALUE"""),"Yes")</f>
        <v>Yes</v>
      </c>
      <c r="K354" s="5" t="str">
        <f>IFERROR(__xludf.DUMMYFUNCTION("""COMPUTED_VALUE"""),"Yes")</f>
        <v>Yes</v>
      </c>
      <c r="L354" s="5" t="str">
        <f>IFERROR(__xludf.DUMMYFUNCTION("""COMPUTED_VALUE"""),"Yes")</f>
        <v>Yes</v>
      </c>
      <c r="M354" s="5" t="str">
        <f>IFERROR(__xludf.DUMMYFUNCTION("""COMPUTED_VALUE"""),"Yes")</f>
        <v>Yes</v>
      </c>
      <c r="N354" s="5" t="str">
        <f>IFERROR(__xludf.DUMMYFUNCTION("""COMPUTED_VALUE"""),"Yes")</f>
        <v>Yes</v>
      </c>
      <c r="O354" s="5" t="str">
        <f>IFERROR(__xludf.DUMMYFUNCTION("""COMPUTED_VALUE"""),"Yes")</f>
        <v>Yes</v>
      </c>
      <c r="P354" s="5" t="str">
        <f>IFERROR(__xludf.DUMMYFUNCTION("""COMPUTED_VALUE"""),"Yes")</f>
        <v>Yes</v>
      </c>
      <c r="Q354" s="5" t="str">
        <f>IFERROR(__xludf.DUMMYFUNCTION("""COMPUTED_VALUE"""),"Yes")</f>
        <v>Yes</v>
      </c>
      <c r="R354" s="5" t="str">
        <f>IFERROR(__xludf.DUMMYFUNCTION("""COMPUTED_VALUE"""),"Yes")</f>
        <v>Yes</v>
      </c>
      <c r="S354" s="5" t="str">
        <f>IFERROR(__xludf.DUMMYFUNCTION("""COMPUTED_VALUE"""),"Yes")</f>
        <v>Yes</v>
      </c>
      <c r="T354" s="5" t="str">
        <f>IFERROR(__xludf.DUMMYFUNCTION("""COMPUTED_VALUE"""),"Yes")</f>
        <v>Yes</v>
      </c>
      <c r="U354" s="5" t="str">
        <f>IFERROR(__xludf.DUMMYFUNCTION("""COMPUTED_VALUE"""),"Yes")</f>
        <v>Yes</v>
      </c>
      <c r="V354" s="5" t="str">
        <f>IFERROR(__xludf.DUMMYFUNCTION("""COMPUTED_VALUE"""),"Yes")</f>
        <v>Yes</v>
      </c>
      <c r="W354" s="5" t="str">
        <f>IFERROR(__xludf.DUMMYFUNCTION("""COMPUTED_VALUE"""),"Yes")</f>
        <v>Yes</v>
      </c>
      <c r="X354" s="5" t="str">
        <f>IFERROR(__xludf.DUMMYFUNCTION("""COMPUTED_VALUE"""),"Yes")</f>
        <v>Yes</v>
      </c>
      <c r="Y354" s="5" t="str">
        <f>IFERROR(__xludf.DUMMYFUNCTION("""COMPUTED_VALUE"""),"Yes")</f>
        <v>Yes</v>
      </c>
      <c r="Z354" s="5" t="str">
        <f>IFERROR(__xludf.DUMMYFUNCTION("""COMPUTED_VALUE"""),"Yes")</f>
        <v>Yes</v>
      </c>
      <c r="AA354" s="5" t="str">
        <f>IFERROR(__xludf.DUMMYFUNCTION("""COMPUTED_VALUE"""),"Yes")</f>
        <v>Yes</v>
      </c>
      <c r="AB354" s="5" t="str">
        <f>IFERROR(__xludf.DUMMYFUNCTION("""COMPUTED_VALUE"""),"Yes")</f>
        <v>Yes</v>
      </c>
      <c r="AC354" s="5" t="str">
        <f>IFERROR(__xludf.DUMMYFUNCTION("""COMPUTED_VALUE"""),"No")</f>
        <v>No</v>
      </c>
    </row>
    <row r="355">
      <c r="A355" s="5" t="str">
        <f>IFERROR(__xludf.DUMMYFUNCTION("""COMPUTED_VALUE"""),"SoccerHot40FreeSpins")</f>
        <v>SoccerHot40FreeSpins</v>
      </c>
      <c r="B3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5" s="5" t="str">
        <f>IFERROR(__xludf.DUMMYFUNCTION("""COMPUTED_VALUE"""),"Yes")</f>
        <v>Yes</v>
      </c>
      <c r="D355" s="5" t="str">
        <f>IFERROR(__xludf.DUMMYFUNCTION("""COMPUTED_VALUE"""),"Yes")</f>
        <v>Yes</v>
      </c>
      <c r="E355" s="5" t="str">
        <f>IFERROR(__xludf.DUMMYFUNCTION("""COMPUTED_VALUE"""),"Yes")</f>
        <v>Yes</v>
      </c>
      <c r="F355" s="5" t="str">
        <f>IFERROR(__xludf.DUMMYFUNCTION("""COMPUTED_VALUE"""),"Yes")</f>
        <v>Yes</v>
      </c>
      <c r="G355" s="5" t="str">
        <f>IFERROR(__xludf.DUMMYFUNCTION("""COMPUTED_VALUE"""),"Yes")</f>
        <v>Yes</v>
      </c>
      <c r="H355" s="5" t="str">
        <f>IFERROR(__xludf.DUMMYFUNCTION("""COMPUTED_VALUE"""),"Yes")</f>
        <v>Yes</v>
      </c>
      <c r="I355" s="5" t="str">
        <f>IFERROR(__xludf.DUMMYFUNCTION("""COMPUTED_VALUE"""),"Yes")</f>
        <v>Yes</v>
      </c>
      <c r="J355" s="5" t="str">
        <f>IFERROR(__xludf.DUMMYFUNCTION("""COMPUTED_VALUE"""),"Yes")</f>
        <v>Yes</v>
      </c>
      <c r="K355" s="5" t="str">
        <f>IFERROR(__xludf.DUMMYFUNCTION("""COMPUTED_VALUE"""),"Yes")</f>
        <v>Yes</v>
      </c>
      <c r="L355" s="5" t="str">
        <f>IFERROR(__xludf.DUMMYFUNCTION("""COMPUTED_VALUE"""),"Yes")</f>
        <v>Yes</v>
      </c>
      <c r="M355" s="5" t="str">
        <f>IFERROR(__xludf.DUMMYFUNCTION("""COMPUTED_VALUE"""),"Yes")</f>
        <v>Yes</v>
      </c>
      <c r="N355" s="5" t="str">
        <f>IFERROR(__xludf.DUMMYFUNCTION("""COMPUTED_VALUE"""),"Yes")</f>
        <v>Yes</v>
      </c>
      <c r="O355" s="5" t="str">
        <f>IFERROR(__xludf.DUMMYFUNCTION("""COMPUTED_VALUE"""),"Yes")</f>
        <v>Yes</v>
      </c>
      <c r="P355" s="5" t="str">
        <f>IFERROR(__xludf.DUMMYFUNCTION("""COMPUTED_VALUE"""),"Yes")</f>
        <v>Yes</v>
      </c>
      <c r="Q355" s="5" t="str">
        <f>IFERROR(__xludf.DUMMYFUNCTION("""COMPUTED_VALUE"""),"Yes")</f>
        <v>Yes</v>
      </c>
      <c r="R355" s="5" t="str">
        <f>IFERROR(__xludf.DUMMYFUNCTION("""COMPUTED_VALUE"""),"Yes")</f>
        <v>Yes</v>
      </c>
      <c r="S355" s="5" t="str">
        <f>IFERROR(__xludf.DUMMYFUNCTION("""COMPUTED_VALUE"""),"Yes")</f>
        <v>Yes</v>
      </c>
      <c r="T355" s="5" t="str">
        <f>IFERROR(__xludf.DUMMYFUNCTION("""COMPUTED_VALUE"""),"Yes")</f>
        <v>Yes</v>
      </c>
      <c r="U355" s="5" t="str">
        <f>IFERROR(__xludf.DUMMYFUNCTION("""COMPUTED_VALUE"""),"Yes")</f>
        <v>Yes</v>
      </c>
      <c r="V355" s="5" t="str">
        <f>IFERROR(__xludf.DUMMYFUNCTION("""COMPUTED_VALUE"""),"Yes")</f>
        <v>Yes</v>
      </c>
      <c r="W355" s="5" t="str">
        <f>IFERROR(__xludf.DUMMYFUNCTION("""COMPUTED_VALUE"""),"Yes")</f>
        <v>Yes</v>
      </c>
      <c r="X355" s="5" t="str">
        <f>IFERROR(__xludf.DUMMYFUNCTION("""COMPUTED_VALUE"""),"Yes")</f>
        <v>Yes</v>
      </c>
      <c r="Y355" s="5" t="str">
        <f>IFERROR(__xludf.DUMMYFUNCTION("""COMPUTED_VALUE"""),"Yes")</f>
        <v>Yes</v>
      </c>
      <c r="Z355" s="5" t="str">
        <f>IFERROR(__xludf.DUMMYFUNCTION("""COMPUTED_VALUE"""),"Yes")</f>
        <v>Yes</v>
      </c>
      <c r="AA355" s="5" t="str">
        <f>IFERROR(__xludf.DUMMYFUNCTION("""COMPUTED_VALUE"""),"Yes")</f>
        <v>Yes</v>
      </c>
      <c r="AB355" s="5" t="str">
        <f>IFERROR(__xludf.DUMMYFUNCTION("""COMPUTED_VALUE"""),"Yes")</f>
        <v>Yes</v>
      </c>
      <c r="AC355" s="5" t="str">
        <f>IFERROR(__xludf.DUMMYFUNCTION("""COMPUTED_VALUE"""),"No")</f>
        <v>No</v>
      </c>
    </row>
    <row r="356">
      <c r="A356" s="5" t="str">
        <f>IFERROR(__xludf.DUMMYFUNCTION("""COMPUTED_VALUE"""),"EpicDice100")</f>
        <v>EpicDice100</v>
      </c>
      <c r="B3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6" s="5" t="str">
        <f>IFERROR(__xludf.DUMMYFUNCTION("""COMPUTED_VALUE"""),"Yes")</f>
        <v>Yes</v>
      </c>
      <c r="D356" s="5" t="str">
        <f>IFERROR(__xludf.DUMMYFUNCTION("""COMPUTED_VALUE"""),"Yes")</f>
        <v>Yes</v>
      </c>
      <c r="E356" s="5" t="str">
        <f>IFERROR(__xludf.DUMMYFUNCTION("""COMPUTED_VALUE"""),"Yes")</f>
        <v>Yes</v>
      </c>
      <c r="F356" s="5" t="str">
        <f>IFERROR(__xludf.DUMMYFUNCTION("""COMPUTED_VALUE"""),"Yes")</f>
        <v>Yes</v>
      </c>
      <c r="G356" s="5" t="str">
        <f>IFERROR(__xludf.DUMMYFUNCTION("""COMPUTED_VALUE"""),"Yes")</f>
        <v>Yes</v>
      </c>
      <c r="H356" s="5" t="str">
        <f>IFERROR(__xludf.DUMMYFUNCTION("""COMPUTED_VALUE"""),"Yes")</f>
        <v>Yes</v>
      </c>
      <c r="I356" s="5" t="str">
        <f>IFERROR(__xludf.DUMMYFUNCTION("""COMPUTED_VALUE"""),"Yes")</f>
        <v>Yes</v>
      </c>
      <c r="J356" s="5" t="str">
        <f>IFERROR(__xludf.DUMMYFUNCTION("""COMPUTED_VALUE"""),"Yes")</f>
        <v>Yes</v>
      </c>
      <c r="K356" s="5" t="str">
        <f>IFERROR(__xludf.DUMMYFUNCTION("""COMPUTED_VALUE"""),"Yes")</f>
        <v>Yes</v>
      </c>
      <c r="L356" s="5" t="str">
        <f>IFERROR(__xludf.DUMMYFUNCTION("""COMPUTED_VALUE"""),"Yes")</f>
        <v>Yes</v>
      </c>
      <c r="M356" s="5" t="str">
        <f>IFERROR(__xludf.DUMMYFUNCTION("""COMPUTED_VALUE"""),"Yes")</f>
        <v>Yes</v>
      </c>
      <c r="N356" s="5" t="str">
        <f>IFERROR(__xludf.DUMMYFUNCTION("""COMPUTED_VALUE"""),"Yes")</f>
        <v>Yes</v>
      </c>
      <c r="O356" s="5" t="str">
        <f>IFERROR(__xludf.DUMMYFUNCTION("""COMPUTED_VALUE"""),"Yes")</f>
        <v>Yes</v>
      </c>
      <c r="P356" s="5" t="str">
        <f>IFERROR(__xludf.DUMMYFUNCTION("""COMPUTED_VALUE"""),"Yes")</f>
        <v>Yes</v>
      </c>
      <c r="Q356" s="5" t="str">
        <f>IFERROR(__xludf.DUMMYFUNCTION("""COMPUTED_VALUE"""),"Yes")</f>
        <v>Yes</v>
      </c>
      <c r="R356" s="5" t="str">
        <f>IFERROR(__xludf.DUMMYFUNCTION("""COMPUTED_VALUE"""),"Yes")</f>
        <v>Yes</v>
      </c>
      <c r="S356" s="5" t="str">
        <f>IFERROR(__xludf.DUMMYFUNCTION("""COMPUTED_VALUE"""),"Yes")</f>
        <v>Yes</v>
      </c>
      <c r="T356" s="5" t="str">
        <f>IFERROR(__xludf.DUMMYFUNCTION("""COMPUTED_VALUE"""),"Yes")</f>
        <v>Yes</v>
      </c>
      <c r="U356" s="5" t="str">
        <f>IFERROR(__xludf.DUMMYFUNCTION("""COMPUTED_VALUE"""),"Yes")</f>
        <v>Yes</v>
      </c>
      <c r="V356" s="5" t="str">
        <f>IFERROR(__xludf.DUMMYFUNCTION("""COMPUTED_VALUE"""),"Yes")</f>
        <v>Yes</v>
      </c>
      <c r="W356" s="5" t="str">
        <f>IFERROR(__xludf.DUMMYFUNCTION("""COMPUTED_VALUE"""),"Yes")</f>
        <v>Yes</v>
      </c>
      <c r="X356" s="5" t="str">
        <f>IFERROR(__xludf.DUMMYFUNCTION("""COMPUTED_VALUE"""),"Yes")</f>
        <v>Yes</v>
      </c>
      <c r="Y356" s="5" t="str">
        <f>IFERROR(__xludf.DUMMYFUNCTION("""COMPUTED_VALUE"""),"Yes")</f>
        <v>Yes</v>
      </c>
      <c r="Z356" s="5" t="str">
        <f>IFERROR(__xludf.DUMMYFUNCTION("""COMPUTED_VALUE"""),"Yes")</f>
        <v>Yes</v>
      </c>
      <c r="AA356" s="5" t="str">
        <f>IFERROR(__xludf.DUMMYFUNCTION("""COMPUTED_VALUE"""),"Yes")</f>
        <v>Yes</v>
      </c>
      <c r="AB356" s="5" t="str">
        <f>IFERROR(__xludf.DUMMYFUNCTION("""COMPUTED_VALUE"""),"Yes")</f>
        <v>Yes</v>
      </c>
      <c r="AC356" s="5" t="str">
        <f>IFERROR(__xludf.DUMMYFUNCTION("""COMPUTED_VALUE"""),"No")</f>
        <v>No</v>
      </c>
    </row>
    <row r="357">
      <c r="A357" s="5" t="str">
        <f>IFERROR(__xludf.DUMMYFUNCTION("""COMPUTED_VALUE"""),"MegaHot20")</f>
        <v>MegaHot20</v>
      </c>
      <c r="B3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7" s="5" t="str">
        <f>IFERROR(__xludf.DUMMYFUNCTION("""COMPUTED_VALUE"""),"Yes")</f>
        <v>Yes</v>
      </c>
      <c r="D357" s="5" t="str">
        <f>IFERROR(__xludf.DUMMYFUNCTION("""COMPUTED_VALUE"""),"Yes")</f>
        <v>Yes</v>
      </c>
      <c r="E357" s="5" t="str">
        <f>IFERROR(__xludf.DUMMYFUNCTION("""COMPUTED_VALUE"""),"Yes")</f>
        <v>Yes</v>
      </c>
      <c r="F357" s="5" t="str">
        <f>IFERROR(__xludf.DUMMYFUNCTION("""COMPUTED_VALUE"""),"Yes")</f>
        <v>Yes</v>
      </c>
      <c r="G357" s="5" t="str">
        <f>IFERROR(__xludf.DUMMYFUNCTION("""COMPUTED_VALUE"""),"Yes")</f>
        <v>Yes</v>
      </c>
      <c r="H357" s="5" t="str">
        <f>IFERROR(__xludf.DUMMYFUNCTION("""COMPUTED_VALUE"""),"Yes")</f>
        <v>Yes</v>
      </c>
      <c r="I357" s="5" t="str">
        <f>IFERROR(__xludf.DUMMYFUNCTION("""COMPUTED_VALUE"""),"Yes")</f>
        <v>Yes</v>
      </c>
      <c r="J357" s="5" t="str">
        <f>IFERROR(__xludf.DUMMYFUNCTION("""COMPUTED_VALUE"""),"Yes")</f>
        <v>Yes</v>
      </c>
      <c r="K357" s="5" t="str">
        <f>IFERROR(__xludf.DUMMYFUNCTION("""COMPUTED_VALUE"""),"Yes")</f>
        <v>Yes</v>
      </c>
      <c r="L357" s="5" t="str">
        <f>IFERROR(__xludf.DUMMYFUNCTION("""COMPUTED_VALUE"""),"Yes")</f>
        <v>Yes</v>
      </c>
      <c r="M357" s="5" t="str">
        <f>IFERROR(__xludf.DUMMYFUNCTION("""COMPUTED_VALUE"""),"Yes")</f>
        <v>Yes</v>
      </c>
      <c r="N357" s="5" t="str">
        <f>IFERROR(__xludf.DUMMYFUNCTION("""COMPUTED_VALUE"""),"Yes")</f>
        <v>Yes</v>
      </c>
      <c r="O357" s="5" t="str">
        <f>IFERROR(__xludf.DUMMYFUNCTION("""COMPUTED_VALUE"""),"Yes")</f>
        <v>Yes</v>
      </c>
      <c r="P357" s="5" t="str">
        <f>IFERROR(__xludf.DUMMYFUNCTION("""COMPUTED_VALUE"""),"Yes")</f>
        <v>Yes</v>
      </c>
      <c r="Q357" s="5" t="str">
        <f>IFERROR(__xludf.DUMMYFUNCTION("""COMPUTED_VALUE"""),"Yes")</f>
        <v>Yes</v>
      </c>
      <c r="R357" s="5" t="str">
        <f>IFERROR(__xludf.DUMMYFUNCTION("""COMPUTED_VALUE"""),"Yes")</f>
        <v>Yes</v>
      </c>
      <c r="S357" s="5" t="str">
        <f>IFERROR(__xludf.DUMMYFUNCTION("""COMPUTED_VALUE"""),"Yes")</f>
        <v>Yes</v>
      </c>
      <c r="T357" s="5" t="str">
        <f>IFERROR(__xludf.DUMMYFUNCTION("""COMPUTED_VALUE"""),"Yes")</f>
        <v>Yes</v>
      </c>
      <c r="U357" s="5" t="str">
        <f>IFERROR(__xludf.DUMMYFUNCTION("""COMPUTED_VALUE"""),"Yes")</f>
        <v>Yes</v>
      </c>
      <c r="V357" s="5" t="str">
        <f>IFERROR(__xludf.DUMMYFUNCTION("""COMPUTED_VALUE"""),"Yes")</f>
        <v>Yes</v>
      </c>
      <c r="W357" s="5" t="str">
        <f>IFERROR(__xludf.DUMMYFUNCTION("""COMPUTED_VALUE"""),"Yes")</f>
        <v>Yes</v>
      </c>
      <c r="X357" s="5" t="str">
        <f>IFERROR(__xludf.DUMMYFUNCTION("""COMPUTED_VALUE"""),"Yes")</f>
        <v>Yes</v>
      </c>
      <c r="Y357" s="5" t="str">
        <f>IFERROR(__xludf.DUMMYFUNCTION("""COMPUTED_VALUE"""),"Yes")</f>
        <v>Yes</v>
      </c>
      <c r="Z357" s="5" t="str">
        <f>IFERROR(__xludf.DUMMYFUNCTION("""COMPUTED_VALUE"""),"Yes")</f>
        <v>Yes</v>
      </c>
      <c r="AA357" s="5" t="str">
        <f>IFERROR(__xludf.DUMMYFUNCTION("""COMPUTED_VALUE"""),"Yes")</f>
        <v>Yes</v>
      </c>
      <c r="AB357" s="5" t="str">
        <f>IFERROR(__xludf.DUMMYFUNCTION("""COMPUTED_VALUE"""),"Yes")</f>
        <v>Yes</v>
      </c>
      <c r="AC357" s="5" t="str">
        <f>IFERROR(__xludf.DUMMYFUNCTION("""COMPUTED_VALUE"""),"No")</f>
        <v>No</v>
      </c>
    </row>
    <row r="358">
      <c r="A358" s="5" t="str">
        <f>IFERROR(__xludf.DUMMYFUNCTION("""COMPUTED_VALUE"""),"CloversAndStars")</f>
        <v>CloversAndStars</v>
      </c>
      <c r="B3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8" s="5" t="str">
        <f>IFERROR(__xludf.DUMMYFUNCTION("""COMPUTED_VALUE"""),"Yes")</f>
        <v>Yes</v>
      </c>
      <c r="D358" s="5" t="str">
        <f>IFERROR(__xludf.DUMMYFUNCTION("""COMPUTED_VALUE"""),"Yes")</f>
        <v>Yes</v>
      </c>
      <c r="E358" s="5" t="str">
        <f>IFERROR(__xludf.DUMMYFUNCTION("""COMPUTED_VALUE"""),"Yes")</f>
        <v>Yes</v>
      </c>
      <c r="F358" s="5" t="str">
        <f>IFERROR(__xludf.DUMMYFUNCTION("""COMPUTED_VALUE"""),"Yes")</f>
        <v>Yes</v>
      </c>
      <c r="G358" s="5" t="str">
        <f>IFERROR(__xludf.DUMMYFUNCTION("""COMPUTED_VALUE"""),"Yes")</f>
        <v>Yes</v>
      </c>
      <c r="H358" s="5" t="str">
        <f>IFERROR(__xludf.DUMMYFUNCTION("""COMPUTED_VALUE"""),"Yes")</f>
        <v>Yes</v>
      </c>
      <c r="I358" s="5" t="str">
        <f>IFERROR(__xludf.DUMMYFUNCTION("""COMPUTED_VALUE"""),"Yes")</f>
        <v>Yes</v>
      </c>
      <c r="J358" s="5" t="str">
        <f>IFERROR(__xludf.DUMMYFUNCTION("""COMPUTED_VALUE"""),"Yes")</f>
        <v>Yes</v>
      </c>
      <c r="K358" s="5" t="str">
        <f>IFERROR(__xludf.DUMMYFUNCTION("""COMPUTED_VALUE"""),"Yes")</f>
        <v>Yes</v>
      </c>
      <c r="L358" s="5" t="str">
        <f>IFERROR(__xludf.DUMMYFUNCTION("""COMPUTED_VALUE"""),"Yes")</f>
        <v>Yes</v>
      </c>
      <c r="M358" s="5" t="str">
        <f>IFERROR(__xludf.DUMMYFUNCTION("""COMPUTED_VALUE"""),"Yes")</f>
        <v>Yes</v>
      </c>
      <c r="N358" s="5" t="str">
        <f>IFERROR(__xludf.DUMMYFUNCTION("""COMPUTED_VALUE"""),"Yes")</f>
        <v>Yes</v>
      </c>
      <c r="O358" s="5" t="str">
        <f>IFERROR(__xludf.DUMMYFUNCTION("""COMPUTED_VALUE"""),"Yes")</f>
        <v>Yes</v>
      </c>
      <c r="P358" s="5" t="str">
        <f>IFERROR(__xludf.DUMMYFUNCTION("""COMPUTED_VALUE"""),"Yes")</f>
        <v>Yes</v>
      </c>
      <c r="Q358" s="5" t="str">
        <f>IFERROR(__xludf.DUMMYFUNCTION("""COMPUTED_VALUE"""),"Yes")</f>
        <v>Yes</v>
      </c>
      <c r="R358" s="5" t="str">
        <f>IFERROR(__xludf.DUMMYFUNCTION("""COMPUTED_VALUE"""),"Yes")</f>
        <v>Yes</v>
      </c>
      <c r="S358" s="5" t="str">
        <f>IFERROR(__xludf.DUMMYFUNCTION("""COMPUTED_VALUE"""),"Yes")</f>
        <v>Yes</v>
      </c>
      <c r="T358" s="5" t="str">
        <f>IFERROR(__xludf.DUMMYFUNCTION("""COMPUTED_VALUE"""),"Yes")</f>
        <v>Yes</v>
      </c>
      <c r="U358" s="5" t="str">
        <f>IFERROR(__xludf.DUMMYFUNCTION("""COMPUTED_VALUE"""),"Yes")</f>
        <v>Yes</v>
      </c>
      <c r="V358" s="5" t="str">
        <f>IFERROR(__xludf.DUMMYFUNCTION("""COMPUTED_VALUE"""),"Yes")</f>
        <v>Yes</v>
      </c>
      <c r="W358" s="5" t="str">
        <f>IFERROR(__xludf.DUMMYFUNCTION("""COMPUTED_VALUE"""),"Yes")</f>
        <v>Yes</v>
      </c>
      <c r="X358" s="5" t="str">
        <f>IFERROR(__xludf.DUMMYFUNCTION("""COMPUTED_VALUE"""),"Yes")</f>
        <v>Yes</v>
      </c>
      <c r="Y358" s="5" t="str">
        <f>IFERROR(__xludf.DUMMYFUNCTION("""COMPUTED_VALUE"""),"Yes")</f>
        <v>Yes</v>
      </c>
      <c r="Z358" s="5" t="str">
        <f>IFERROR(__xludf.DUMMYFUNCTION("""COMPUTED_VALUE"""),"Yes")</f>
        <v>Yes</v>
      </c>
      <c r="AA358" s="5" t="str">
        <f>IFERROR(__xludf.DUMMYFUNCTION("""COMPUTED_VALUE"""),"Yes")</f>
        <v>Yes</v>
      </c>
      <c r="AB358" s="5" t="str">
        <f>IFERROR(__xludf.DUMMYFUNCTION("""COMPUTED_VALUE"""),"Yes")</f>
        <v>Yes</v>
      </c>
      <c r="AC358" s="5" t="str">
        <f>IFERROR(__xludf.DUMMYFUNCTION("""COMPUTED_VALUE"""),"No")</f>
        <v>No</v>
      </c>
    </row>
    <row r="359">
      <c r="A359" s="5" t="str">
        <f>IFERROR(__xludf.DUMMYFUNCTION("""COMPUTED_VALUE"""),"FortuneParrot")</f>
        <v>FortuneParrot</v>
      </c>
      <c r="B3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9" s="5" t="str">
        <f>IFERROR(__xludf.DUMMYFUNCTION("""COMPUTED_VALUE"""),"Yes")</f>
        <v>Yes</v>
      </c>
      <c r="D359" s="5" t="str">
        <f>IFERROR(__xludf.DUMMYFUNCTION("""COMPUTED_VALUE"""),"Yes")</f>
        <v>Yes</v>
      </c>
      <c r="E359" s="5" t="str">
        <f>IFERROR(__xludf.DUMMYFUNCTION("""COMPUTED_VALUE"""),"Yes")</f>
        <v>Yes</v>
      </c>
      <c r="F359" s="5" t="str">
        <f>IFERROR(__xludf.DUMMYFUNCTION("""COMPUTED_VALUE"""),"Yes")</f>
        <v>Yes</v>
      </c>
      <c r="G359" s="5" t="str">
        <f>IFERROR(__xludf.DUMMYFUNCTION("""COMPUTED_VALUE"""),"Yes")</f>
        <v>Yes</v>
      </c>
      <c r="H359" s="5" t="str">
        <f>IFERROR(__xludf.DUMMYFUNCTION("""COMPUTED_VALUE"""),"Yes")</f>
        <v>Yes</v>
      </c>
      <c r="I359" s="5" t="str">
        <f>IFERROR(__xludf.DUMMYFUNCTION("""COMPUTED_VALUE"""),"Yes")</f>
        <v>Yes</v>
      </c>
      <c r="J359" s="5" t="str">
        <f>IFERROR(__xludf.DUMMYFUNCTION("""COMPUTED_VALUE"""),"Yes")</f>
        <v>Yes</v>
      </c>
      <c r="K359" s="5" t="str">
        <f>IFERROR(__xludf.DUMMYFUNCTION("""COMPUTED_VALUE"""),"Yes")</f>
        <v>Yes</v>
      </c>
      <c r="L359" s="5" t="str">
        <f>IFERROR(__xludf.DUMMYFUNCTION("""COMPUTED_VALUE"""),"Yes")</f>
        <v>Yes</v>
      </c>
      <c r="M359" s="5" t="str">
        <f>IFERROR(__xludf.DUMMYFUNCTION("""COMPUTED_VALUE"""),"Yes")</f>
        <v>Yes</v>
      </c>
      <c r="N359" s="5" t="str">
        <f>IFERROR(__xludf.DUMMYFUNCTION("""COMPUTED_VALUE"""),"Yes")</f>
        <v>Yes</v>
      </c>
      <c r="O359" s="5" t="str">
        <f>IFERROR(__xludf.DUMMYFUNCTION("""COMPUTED_VALUE"""),"Yes")</f>
        <v>Yes</v>
      </c>
      <c r="P359" s="5" t="str">
        <f>IFERROR(__xludf.DUMMYFUNCTION("""COMPUTED_VALUE"""),"Yes")</f>
        <v>Yes</v>
      </c>
      <c r="Q359" s="5" t="str">
        <f>IFERROR(__xludf.DUMMYFUNCTION("""COMPUTED_VALUE"""),"Yes")</f>
        <v>Yes</v>
      </c>
      <c r="R359" s="5" t="str">
        <f>IFERROR(__xludf.DUMMYFUNCTION("""COMPUTED_VALUE"""),"Yes")</f>
        <v>Yes</v>
      </c>
      <c r="S359" s="5" t="str">
        <f>IFERROR(__xludf.DUMMYFUNCTION("""COMPUTED_VALUE"""),"Yes")</f>
        <v>Yes</v>
      </c>
      <c r="T359" s="5" t="str">
        <f>IFERROR(__xludf.DUMMYFUNCTION("""COMPUTED_VALUE"""),"Yes")</f>
        <v>Yes</v>
      </c>
      <c r="U359" s="5" t="str">
        <f>IFERROR(__xludf.DUMMYFUNCTION("""COMPUTED_VALUE"""),"Yes")</f>
        <v>Yes</v>
      </c>
      <c r="V359" s="5" t="str">
        <f>IFERROR(__xludf.DUMMYFUNCTION("""COMPUTED_VALUE"""),"Yes")</f>
        <v>Yes</v>
      </c>
      <c r="W359" s="5" t="str">
        <f>IFERROR(__xludf.DUMMYFUNCTION("""COMPUTED_VALUE"""),"Yes")</f>
        <v>Yes</v>
      </c>
      <c r="X359" s="5" t="str">
        <f>IFERROR(__xludf.DUMMYFUNCTION("""COMPUTED_VALUE"""),"Yes")</f>
        <v>Yes</v>
      </c>
      <c r="Y359" s="5" t="str">
        <f>IFERROR(__xludf.DUMMYFUNCTION("""COMPUTED_VALUE"""),"Yes")</f>
        <v>Yes</v>
      </c>
      <c r="Z359" s="5" t="str">
        <f>IFERROR(__xludf.DUMMYFUNCTION("""COMPUTED_VALUE"""),"Yes")</f>
        <v>Yes</v>
      </c>
      <c r="AA359" s="5" t="str">
        <f>IFERROR(__xludf.DUMMYFUNCTION("""COMPUTED_VALUE"""),"Yes")</f>
        <v>Yes</v>
      </c>
      <c r="AB359" s="5" t="str">
        <f>IFERROR(__xludf.DUMMYFUNCTION("""COMPUTED_VALUE"""),"Yes")</f>
        <v>Yes</v>
      </c>
      <c r="AC359" s="5" t="str">
        <f>IFERROR(__xludf.DUMMYFUNCTION("""COMPUTED_VALUE"""),"No")</f>
        <v>No</v>
      </c>
    </row>
    <row r="360">
      <c r="A360" s="5" t="str">
        <f>IFERROR(__xludf.DUMMYFUNCTION("""COMPUTED_VALUE"""),"GoldenCrownMax")</f>
        <v>GoldenCrownMax</v>
      </c>
      <c r="B3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0" s="5" t="str">
        <f>IFERROR(__xludf.DUMMYFUNCTION("""COMPUTED_VALUE"""),"Yes")</f>
        <v>Yes</v>
      </c>
      <c r="D360" s="5" t="str">
        <f>IFERROR(__xludf.DUMMYFUNCTION("""COMPUTED_VALUE"""),"Yes")</f>
        <v>Yes</v>
      </c>
      <c r="E360" s="5" t="str">
        <f>IFERROR(__xludf.DUMMYFUNCTION("""COMPUTED_VALUE"""),"Yes")</f>
        <v>Yes</v>
      </c>
      <c r="F360" s="5" t="str">
        <f>IFERROR(__xludf.DUMMYFUNCTION("""COMPUTED_VALUE"""),"Yes")</f>
        <v>Yes</v>
      </c>
      <c r="G360" s="5" t="str">
        <f>IFERROR(__xludf.DUMMYFUNCTION("""COMPUTED_VALUE"""),"Yes")</f>
        <v>Yes</v>
      </c>
      <c r="H360" s="5" t="str">
        <f>IFERROR(__xludf.DUMMYFUNCTION("""COMPUTED_VALUE"""),"Yes")</f>
        <v>Yes</v>
      </c>
      <c r="I360" s="5" t="str">
        <f>IFERROR(__xludf.DUMMYFUNCTION("""COMPUTED_VALUE"""),"Yes")</f>
        <v>Yes</v>
      </c>
      <c r="J360" s="5" t="str">
        <f>IFERROR(__xludf.DUMMYFUNCTION("""COMPUTED_VALUE"""),"Yes")</f>
        <v>Yes</v>
      </c>
      <c r="K360" s="5" t="str">
        <f>IFERROR(__xludf.DUMMYFUNCTION("""COMPUTED_VALUE"""),"Yes")</f>
        <v>Yes</v>
      </c>
      <c r="L360" s="5" t="str">
        <f>IFERROR(__xludf.DUMMYFUNCTION("""COMPUTED_VALUE"""),"Yes")</f>
        <v>Yes</v>
      </c>
      <c r="M360" s="5" t="str">
        <f>IFERROR(__xludf.DUMMYFUNCTION("""COMPUTED_VALUE"""),"Yes")</f>
        <v>Yes</v>
      </c>
      <c r="N360" s="5" t="str">
        <f>IFERROR(__xludf.DUMMYFUNCTION("""COMPUTED_VALUE"""),"Yes")</f>
        <v>Yes</v>
      </c>
      <c r="O360" s="5" t="str">
        <f>IFERROR(__xludf.DUMMYFUNCTION("""COMPUTED_VALUE"""),"Yes")</f>
        <v>Yes</v>
      </c>
      <c r="P360" s="5" t="str">
        <f>IFERROR(__xludf.DUMMYFUNCTION("""COMPUTED_VALUE"""),"Yes")</f>
        <v>Yes</v>
      </c>
      <c r="Q360" s="5" t="str">
        <f>IFERROR(__xludf.DUMMYFUNCTION("""COMPUTED_VALUE"""),"Yes")</f>
        <v>Yes</v>
      </c>
      <c r="R360" s="5" t="str">
        <f>IFERROR(__xludf.DUMMYFUNCTION("""COMPUTED_VALUE"""),"Yes")</f>
        <v>Yes</v>
      </c>
      <c r="S360" s="5" t="str">
        <f>IFERROR(__xludf.DUMMYFUNCTION("""COMPUTED_VALUE"""),"Yes")</f>
        <v>Yes</v>
      </c>
      <c r="T360" s="5" t="str">
        <f>IFERROR(__xludf.DUMMYFUNCTION("""COMPUTED_VALUE"""),"Yes")</f>
        <v>Yes</v>
      </c>
      <c r="U360" s="5" t="str">
        <f>IFERROR(__xludf.DUMMYFUNCTION("""COMPUTED_VALUE"""),"Yes")</f>
        <v>Yes</v>
      </c>
      <c r="V360" s="5" t="str">
        <f>IFERROR(__xludf.DUMMYFUNCTION("""COMPUTED_VALUE"""),"Yes")</f>
        <v>Yes</v>
      </c>
      <c r="W360" s="5" t="str">
        <f>IFERROR(__xludf.DUMMYFUNCTION("""COMPUTED_VALUE"""),"Yes")</f>
        <v>Yes</v>
      </c>
      <c r="X360" s="5" t="str">
        <f>IFERROR(__xludf.DUMMYFUNCTION("""COMPUTED_VALUE"""),"Yes")</f>
        <v>Yes</v>
      </c>
      <c r="Y360" s="5" t="str">
        <f>IFERROR(__xludf.DUMMYFUNCTION("""COMPUTED_VALUE"""),"Yes")</f>
        <v>Yes</v>
      </c>
      <c r="Z360" s="5" t="str">
        <f>IFERROR(__xludf.DUMMYFUNCTION("""COMPUTED_VALUE"""),"Yes")</f>
        <v>Yes</v>
      </c>
      <c r="AA360" s="5" t="str">
        <f>IFERROR(__xludf.DUMMYFUNCTION("""COMPUTED_VALUE"""),"Yes")</f>
        <v>Yes</v>
      </c>
      <c r="AB360" s="5" t="str">
        <f>IFERROR(__xludf.DUMMYFUNCTION("""COMPUTED_VALUE"""),"Yes")</f>
        <v>Yes</v>
      </c>
      <c r="AC360" s="5" t="str">
        <f>IFERROR(__xludf.DUMMYFUNCTION("""COMPUTED_VALUE"""),"No")</f>
        <v>No</v>
      </c>
    </row>
    <row r="361">
      <c r="A361" s="5" t="str">
        <f>IFERROR(__xludf.DUMMYFUNCTION("""COMPUTED_VALUE"""),"UnicornBuffaloDice")</f>
        <v>UnicornBuffaloDice</v>
      </c>
      <c r="B3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61" s="5" t="str">
        <f>IFERROR(__xludf.DUMMYFUNCTION("""COMPUTED_VALUE"""),"Yes")</f>
        <v>Yes</v>
      </c>
      <c r="D361" s="5" t="str">
        <f>IFERROR(__xludf.DUMMYFUNCTION("""COMPUTED_VALUE"""),"Yes")</f>
        <v>Yes</v>
      </c>
      <c r="E361" s="5" t="str">
        <f>IFERROR(__xludf.DUMMYFUNCTION("""COMPUTED_VALUE"""),"Yes")</f>
        <v>Yes</v>
      </c>
      <c r="F361" s="5" t="str">
        <f>IFERROR(__xludf.DUMMYFUNCTION("""COMPUTED_VALUE"""),"Yes")</f>
        <v>Yes</v>
      </c>
      <c r="G361" s="5" t="str">
        <f>IFERROR(__xludf.DUMMYFUNCTION("""COMPUTED_VALUE"""),"Yes")</f>
        <v>Yes</v>
      </c>
      <c r="H361" s="5" t="str">
        <f>IFERROR(__xludf.DUMMYFUNCTION("""COMPUTED_VALUE"""),"Yes")</f>
        <v>Yes</v>
      </c>
      <c r="I361" s="5" t="str">
        <f>IFERROR(__xludf.DUMMYFUNCTION("""COMPUTED_VALUE"""),"Yes")</f>
        <v>Yes</v>
      </c>
      <c r="J361" s="5" t="str">
        <f>IFERROR(__xludf.DUMMYFUNCTION("""COMPUTED_VALUE"""),"Yes")</f>
        <v>Yes</v>
      </c>
      <c r="K361" s="5" t="str">
        <f>IFERROR(__xludf.DUMMYFUNCTION("""COMPUTED_VALUE"""),"Yes")</f>
        <v>Yes</v>
      </c>
      <c r="L361" s="5" t="str">
        <f>IFERROR(__xludf.DUMMYFUNCTION("""COMPUTED_VALUE"""),"Yes")</f>
        <v>Yes</v>
      </c>
      <c r="M361" s="5" t="str">
        <f>IFERROR(__xludf.DUMMYFUNCTION("""COMPUTED_VALUE"""),"Yes")</f>
        <v>Yes</v>
      </c>
      <c r="N361" s="5" t="str">
        <f>IFERROR(__xludf.DUMMYFUNCTION("""COMPUTED_VALUE"""),"Yes")</f>
        <v>Yes</v>
      </c>
      <c r="O361" s="5" t="str">
        <f>IFERROR(__xludf.DUMMYFUNCTION("""COMPUTED_VALUE"""),"Yes")</f>
        <v>Yes</v>
      </c>
      <c r="P361" s="5" t="str">
        <f>IFERROR(__xludf.DUMMYFUNCTION("""COMPUTED_VALUE"""),"Yes")</f>
        <v>Yes</v>
      </c>
      <c r="Q361" s="5" t="str">
        <f>IFERROR(__xludf.DUMMYFUNCTION("""COMPUTED_VALUE"""),"Yes")</f>
        <v>Yes</v>
      </c>
      <c r="R361" s="5" t="str">
        <f>IFERROR(__xludf.DUMMYFUNCTION("""COMPUTED_VALUE"""),"Yes")</f>
        <v>Yes</v>
      </c>
      <c r="S361" s="5" t="str">
        <f>IFERROR(__xludf.DUMMYFUNCTION("""COMPUTED_VALUE"""),"Yes")</f>
        <v>Yes</v>
      </c>
      <c r="T361" s="5" t="str">
        <f>IFERROR(__xludf.DUMMYFUNCTION("""COMPUTED_VALUE"""),"Yes")</f>
        <v>Yes</v>
      </c>
      <c r="U361" s="5" t="str">
        <f>IFERROR(__xludf.DUMMYFUNCTION("""COMPUTED_VALUE"""),"Yes")</f>
        <v>Yes</v>
      </c>
      <c r="V361" s="5"/>
      <c r="W361" s="5" t="str">
        <f>IFERROR(__xludf.DUMMYFUNCTION("""COMPUTED_VALUE"""),"Yes")</f>
        <v>Yes</v>
      </c>
      <c r="X361" s="5" t="str">
        <f>IFERROR(__xludf.DUMMYFUNCTION("""COMPUTED_VALUE"""),"Yes")</f>
        <v>Yes</v>
      </c>
      <c r="Y361" s="5" t="str">
        <f>IFERROR(__xludf.DUMMYFUNCTION("""COMPUTED_VALUE"""),"Yes")</f>
        <v>Yes</v>
      </c>
      <c r="Z361" s="5" t="str">
        <f>IFERROR(__xludf.DUMMYFUNCTION("""COMPUTED_VALUE"""),"Yes")</f>
        <v>Yes</v>
      </c>
      <c r="AA361" s="5" t="str">
        <f>IFERROR(__xludf.DUMMYFUNCTION("""COMPUTED_VALUE"""),"Yes")</f>
        <v>Yes</v>
      </c>
      <c r="AB361" s="5" t="str">
        <f>IFERROR(__xludf.DUMMYFUNCTION("""COMPUTED_VALUE"""),"Yes")</f>
        <v>Yes</v>
      </c>
      <c r="AC361" s="5"/>
    </row>
    <row r="362">
      <c r="A362" s="5" t="str">
        <f>IFERROR(__xludf.DUMMYFUNCTION("""COMPUTED_VALUE"""),"Redstone81VegasCrown")</f>
        <v>Redstone81VegasCrown</v>
      </c>
      <c r="B36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62" s="5" t="str">
        <f>IFERROR(__xludf.DUMMYFUNCTION("""COMPUTED_VALUE"""),"Yes")</f>
        <v>Yes</v>
      </c>
      <c r="D362" s="5" t="str">
        <f>IFERROR(__xludf.DUMMYFUNCTION("""COMPUTED_VALUE"""),"Yes")</f>
        <v>Yes</v>
      </c>
      <c r="E362" s="5" t="str">
        <f>IFERROR(__xludf.DUMMYFUNCTION("""COMPUTED_VALUE"""),"Yes")</f>
        <v>Yes</v>
      </c>
      <c r="F362" s="5" t="str">
        <f>IFERROR(__xludf.DUMMYFUNCTION("""COMPUTED_VALUE"""),"No")</f>
        <v>No</v>
      </c>
      <c r="G362" s="5" t="str">
        <f>IFERROR(__xludf.DUMMYFUNCTION("""COMPUTED_VALUE"""),"No")</f>
        <v>No</v>
      </c>
      <c r="H362" s="5" t="str">
        <f>IFERROR(__xludf.DUMMYFUNCTION("""COMPUTED_VALUE"""),"No")</f>
        <v>No</v>
      </c>
      <c r="I362" s="5" t="str">
        <f>IFERROR(__xludf.DUMMYFUNCTION("""COMPUTED_VALUE"""),"No")</f>
        <v>No</v>
      </c>
      <c r="J362" s="5" t="str">
        <f>IFERROR(__xludf.DUMMYFUNCTION("""COMPUTED_VALUE"""),"No")</f>
        <v>No</v>
      </c>
      <c r="K362" s="5" t="str">
        <f>IFERROR(__xludf.DUMMYFUNCTION("""COMPUTED_VALUE"""),"Yes")</f>
        <v>Yes</v>
      </c>
      <c r="L362" s="5" t="str">
        <f>IFERROR(__xludf.DUMMYFUNCTION("""COMPUTED_VALUE"""),"Yes")</f>
        <v>Yes</v>
      </c>
      <c r="M362" s="5" t="str">
        <f>IFERROR(__xludf.DUMMYFUNCTION("""COMPUTED_VALUE"""),"Yes")</f>
        <v>Yes</v>
      </c>
      <c r="N362" s="5" t="str">
        <f>IFERROR(__xludf.DUMMYFUNCTION("""COMPUTED_VALUE"""),"Yes")</f>
        <v>Yes</v>
      </c>
      <c r="O362" s="5" t="str">
        <f>IFERROR(__xludf.DUMMYFUNCTION("""COMPUTED_VALUE"""),"Yes")</f>
        <v>Yes</v>
      </c>
      <c r="P362" s="5" t="str">
        <f>IFERROR(__xludf.DUMMYFUNCTION("""COMPUTED_VALUE"""),"No")</f>
        <v>No</v>
      </c>
      <c r="Q362" s="5" t="str">
        <f>IFERROR(__xludf.DUMMYFUNCTION("""COMPUTED_VALUE"""),"Yes")</f>
        <v>Yes</v>
      </c>
      <c r="R362" s="5" t="str">
        <f>IFERROR(__xludf.DUMMYFUNCTION("""COMPUTED_VALUE"""),"No")</f>
        <v>No</v>
      </c>
      <c r="S362" s="5" t="str">
        <f>IFERROR(__xludf.DUMMYFUNCTION("""COMPUTED_VALUE"""),"No")</f>
        <v>No</v>
      </c>
      <c r="T362" s="5" t="str">
        <f>IFERROR(__xludf.DUMMYFUNCTION("""COMPUTED_VALUE"""),"No")</f>
        <v>No</v>
      </c>
      <c r="U362" s="5" t="str">
        <f>IFERROR(__xludf.DUMMYFUNCTION("""COMPUTED_VALUE"""),"No")</f>
        <v>No</v>
      </c>
      <c r="V362" s="5"/>
      <c r="W362" s="5" t="str">
        <f>IFERROR(__xludf.DUMMYFUNCTION("""COMPUTED_VALUE"""),"No")</f>
        <v>No</v>
      </c>
      <c r="X362" s="5" t="str">
        <f>IFERROR(__xludf.DUMMYFUNCTION("""COMPUTED_VALUE"""),"No")</f>
        <v>No</v>
      </c>
      <c r="Y362" s="5" t="str">
        <f>IFERROR(__xludf.DUMMYFUNCTION("""COMPUTED_VALUE"""),"No")</f>
        <v>No</v>
      </c>
      <c r="Z362" s="5" t="str">
        <f>IFERROR(__xludf.DUMMYFUNCTION("""COMPUTED_VALUE"""),"No")</f>
        <v>No</v>
      </c>
      <c r="AA362" s="5" t="str">
        <f>IFERROR(__xludf.DUMMYFUNCTION("""COMPUTED_VALUE"""),"No")</f>
        <v>No</v>
      </c>
      <c r="AB362" s="5" t="str">
        <f>IFERROR(__xludf.DUMMYFUNCTION("""COMPUTED_VALUE"""),"No")</f>
        <v>No</v>
      </c>
      <c r="AC362" s="5"/>
    </row>
    <row r="363">
      <c r="A363" s="5" t="str">
        <f>IFERROR(__xludf.DUMMYFUNCTION("""COMPUTED_VALUE"""),"UnicornLavaDice")</f>
        <v>UnicornLavaDice</v>
      </c>
      <c r="B363"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3" s="5" t="str">
        <f>IFERROR(__xludf.DUMMYFUNCTION("""COMPUTED_VALUE"""),"Yes")</f>
        <v>Yes</v>
      </c>
      <c r="D363" s="5" t="str">
        <f>IFERROR(__xludf.DUMMYFUNCTION("""COMPUTED_VALUE"""),"Yes")</f>
        <v>Yes</v>
      </c>
      <c r="E363" s="5" t="str">
        <f>IFERROR(__xludf.DUMMYFUNCTION("""COMPUTED_VALUE"""),"No")</f>
        <v>No</v>
      </c>
      <c r="F363" s="5" t="str">
        <f>IFERROR(__xludf.DUMMYFUNCTION("""COMPUTED_VALUE"""),"Yes")</f>
        <v>Yes</v>
      </c>
      <c r="G363" s="5" t="str">
        <f>IFERROR(__xludf.DUMMYFUNCTION("""COMPUTED_VALUE"""),"Yes")</f>
        <v>Yes</v>
      </c>
      <c r="H363" s="5" t="str">
        <f>IFERROR(__xludf.DUMMYFUNCTION("""COMPUTED_VALUE"""),"Yes")</f>
        <v>Yes</v>
      </c>
      <c r="I363" s="5" t="str">
        <f>IFERROR(__xludf.DUMMYFUNCTION("""COMPUTED_VALUE"""),"Yes")</f>
        <v>Yes</v>
      </c>
      <c r="J363" s="5" t="str">
        <f>IFERROR(__xludf.DUMMYFUNCTION("""COMPUTED_VALUE"""),"Yes")</f>
        <v>Yes</v>
      </c>
      <c r="K363" s="5" t="str">
        <f>IFERROR(__xludf.DUMMYFUNCTION("""COMPUTED_VALUE"""),"Yes")</f>
        <v>Yes</v>
      </c>
      <c r="L363" s="5" t="str">
        <f>IFERROR(__xludf.DUMMYFUNCTION("""COMPUTED_VALUE"""),"Yes")</f>
        <v>Yes</v>
      </c>
      <c r="M363" s="5" t="str">
        <f>IFERROR(__xludf.DUMMYFUNCTION("""COMPUTED_VALUE"""),"Yes")</f>
        <v>Yes</v>
      </c>
      <c r="N363" s="5" t="str">
        <f>IFERROR(__xludf.DUMMYFUNCTION("""COMPUTED_VALUE"""),"Yes")</f>
        <v>Yes</v>
      </c>
      <c r="O363" s="5" t="str">
        <f>IFERROR(__xludf.DUMMYFUNCTION("""COMPUTED_VALUE"""),"Yes")</f>
        <v>Yes</v>
      </c>
      <c r="P363" s="5" t="str">
        <f>IFERROR(__xludf.DUMMYFUNCTION("""COMPUTED_VALUE"""),"No")</f>
        <v>No</v>
      </c>
      <c r="Q363" s="5" t="str">
        <f>IFERROR(__xludf.DUMMYFUNCTION("""COMPUTED_VALUE"""),"Yes")</f>
        <v>Yes</v>
      </c>
      <c r="R363" s="5" t="str">
        <f>IFERROR(__xludf.DUMMYFUNCTION("""COMPUTED_VALUE"""),"No")</f>
        <v>No</v>
      </c>
      <c r="S363" s="5" t="str">
        <f>IFERROR(__xludf.DUMMYFUNCTION("""COMPUTED_VALUE"""),"No")</f>
        <v>No</v>
      </c>
      <c r="T363" s="5" t="str">
        <f>IFERROR(__xludf.DUMMYFUNCTION("""COMPUTED_VALUE"""),"No")</f>
        <v>No</v>
      </c>
      <c r="U363" s="5" t="str">
        <f>IFERROR(__xludf.DUMMYFUNCTION("""COMPUTED_VALUE"""),"No")</f>
        <v>No</v>
      </c>
      <c r="V363" s="5" t="str">
        <f>IFERROR(__xludf.DUMMYFUNCTION("""COMPUTED_VALUE"""),"No")</f>
        <v>No</v>
      </c>
      <c r="W363" s="5" t="str">
        <f>IFERROR(__xludf.DUMMYFUNCTION("""COMPUTED_VALUE"""),"No")</f>
        <v>No</v>
      </c>
      <c r="X363" s="5" t="str">
        <f>IFERROR(__xludf.DUMMYFUNCTION("""COMPUTED_VALUE"""),"No")</f>
        <v>No</v>
      </c>
      <c r="Y363" s="5" t="str">
        <f>IFERROR(__xludf.DUMMYFUNCTION("""COMPUTED_VALUE"""),"No")</f>
        <v>No</v>
      </c>
      <c r="Z363" s="5" t="str">
        <f>IFERROR(__xludf.DUMMYFUNCTION("""COMPUTED_VALUE"""),"No")</f>
        <v>No</v>
      </c>
      <c r="AA363" s="5" t="str">
        <f>IFERROR(__xludf.DUMMYFUNCTION("""COMPUTED_VALUE"""),"No")</f>
        <v>No</v>
      </c>
      <c r="AB363" s="5" t="str">
        <f>IFERROR(__xludf.DUMMYFUNCTION("""COMPUTED_VALUE"""),"Yes")</f>
        <v>Yes</v>
      </c>
      <c r="AC363" s="5" t="str">
        <f>IFERROR(__xludf.DUMMYFUNCTION("""COMPUTED_VALUE"""),"No")</f>
        <v>No</v>
      </c>
    </row>
    <row r="364">
      <c r="A364" s="5" t="str">
        <f>IFERROR(__xludf.DUMMYFUNCTION("""COMPUTED_VALUE"""),"RedstoneApollo27Classic")</f>
        <v>RedstoneApollo27Classic</v>
      </c>
      <c r="B36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64" s="5" t="str">
        <f>IFERROR(__xludf.DUMMYFUNCTION("""COMPUTED_VALUE"""),"Yes")</f>
        <v>Yes</v>
      </c>
      <c r="D364" s="5" t="str">
        <f>IFERROR(__xludf.DUMMYFUNCTION("""COMPUTED_VALUE"""),"Yes")</f>
        <v>Yes</v>
      </c>
      <c r="E364" s="5" t="str">
        <f>IFERROR(__xludf.DUMMYFUNCTION("""COMPUTED_VALUE"""),"Yes")</f>
        <v>Yes</v>
      </c>
      <c r="F364" s="5" t="str">
        <f>IFERROR(__xludf.DUMMYFUNCTION("""COMPUTED_VALUE"""),"No")</f>
        <v>No</v>
      </c>
      <c r="G364" s="5" t="str">
        <f>IFERROR(__xludf.DUMMYFUNCTION("""COMPUTED_VALUE"""),"No")</f>
        <v>No</v>
      </c>
      <c r="H364" s="5" t="str">
        <f>IFERROR(__xludf.DUMMYFUNCTION("""COMPUTED_VALUE"""),"No")</f>
        <v>No</v>
      </c>
      <c r="I364" s="5" t="str">
        <f>IFERROR(__xludf.DUMMYFUNCTION("""COMPUTED_VALUE"""),"No")</f>
        <v>No</v>
      </c>
      <c r="J364" s="5" t="str">
        <f>IFERROR(__xludf.DUMMYFUNCTION("""COMPUTED_VALUE"""),"No")</f>
        <v>No</v>
      </c>
      <c r="K364" s="5" t="str">
        <f>IFERROR(__xludf.DUMMYFUNCTION("""COMPUTED_VALUE"""),"Yes")</f>
        <v>Yes</v>
      </c>
      <c r="L364" s="5" t="str">
        <f>IFERROR(__xludf.DUMMYFUNCTION("""COMPUTED_VALUE"""),"Yes")</f>
        <v>Yes</v>
      </c>
      <c r="M364" s="5" t="str">
        <f>IFERROR(__xludf.DUMMYFUNCTION("""COMPUTED_VALUE"""),"Yes")</f>
        <v>Yes</v>
      </c>
      <c r="N364" s="5" t="str">
        <f>IFERROR(__xludf.DUMMYFUNCTION("""COMPUTED_VALUE"""),"Yes")</f>
        <v>Yes</v>
      </c>
      <c r="O364" s="5" t="str">
        <f>IFERROR(__xludf.DUMMYFUNCTION("""COMPUTED_VALUE"""),"Yes")</f>
        <v>Yes</v>
      </c>
      <c r="P364" s="5" t="str">
        <f>IFERROR(__xludf.DUMMYFUNCTION("""COMPUTED_VALUE"""),"No")</f>
        <v>No</v>
      </c>
      <c r="Q364" s="5" t="str">
        <f>IFERROR(__xludf.DUMMYFUNCTION("""COMPUTED_VALUE"""),"Yes")</f>
        <v>Yes</v>
      </c>
      <c r="R364" s="5" t="str">
        <f>IFERROR(__xludf.DUMMYFUNCTION("""COMPUTED_VALUE"""),"No")</f>
        <v>No</v>
      </c>
      <c r="S364" s="5" t="str">
        <f>IFERROR(__xludf.DUMMYFUNCTION("""COMPUTED_VALUE"""),"No")</f>
        <v>No</v>
      </c>
      <c r="T364" s="5" t="str">
        <f>IFERROR(__xludf.DUMMYFUNCTION("""COMPUTED_VALUE"""),"No")</f>
        <v>No</v>
      </c>
      <c r="U364" s="5" t="str">
        <f>IFERROR(__xludf.DUMMYFUNCTION("""COMPUTED_VALUE"""),"No")</f>
        <v>No</v>
      </c>
      <c r="V364" s="5"/>
      <c r="W364" s="5"/>
      <c r="X364" s="5"/>
      <c r="Y364" s="5"/>
      <c r="Z364" s="5" t="str">
        <f>IFERROR(__xludf.DUMMYFUNCTION("""COMPUTED_VALUE"""),"No")</f>
        <v>No</v>
      </c>
      <c r="AA364" s="5"/>
      <c r="AB364" s="5"/>
      <c r="AC364" s="5"/>
    </row>
    <row r="365">
      <c r="A365" s="5" t="str">
        <f>IFERROR(__xludf.DUMMYFUNCTION("""COMPUTED_VALUE"""),"FortuneClover5")</f>
        <v>FortuneClover5</v>
      </c>
      <c r="B365" s="5" t="str">
        <f>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5" s="5" t="str">
        <f>IFERROR(__xludf.DUMMYFUNCTION("""COMPUTED_VALUE"""),"Yes")</f>
        <v>Yes</v>
      </c>
      <c r="D365" s="5" t="str">
        <f>IFERROR(__xludf.DUMMYFUNCTION("""COMPUTED_VALUE"""),"Yes")</f>
        <v>Yes</v>
      </c>
      <c r="E365" s="5" t="str">
        <f>IFERROR(__xludf.DUMMYFUNCTION("""COMPUTED_VALUE"""),"No")</f>
        <v>No</v>
      </c>
      <c r="F365" s="5" t="str">
        <f>IFERROR(__xludf.DUMMYFUNCTION("""COMPUTED_VALUE"""),"Yes")</f>
        <v>Yes</v>
      </c>
      <c r="G365" s="5" t="str">
        <f>IFERROR(__xludf.DUMMYFUNCTION("""COMPUTED_VALUE"""),"Yes")</f>
        <v>Yes</v>
      </c>
      <c r="H365" s="5" t="str">
        <f>IFERROR(__xludf.DUMMYFUNCTION("""COMPUTED_VALUE"""),"Yes")</f>
        <v>Yes</v>
      </c>
      <c r="I365" s="5" t="str">
        <f>IFERROR(__xludf.DUMMYFUNCTION("""COMPUTED_VALUE"""),"Yes")</f>
        <v>Yes</v>
      </c>
      <c r="J365" s="5" t="str">
        <f>IFERROR(__xludf.DUMMYFUNCTION("""COMPUTED_VALUE"""),"Yes")</f>
        <v>Yes</v>
      </c>
      <c r="K365" s="5" t="str">
        <f>IFERROR(__xludf.DUMMYFUNCTION("""COMPUTED_VALUE"""),"Yes")</f>
        <v>Yes</v>
      </c>
      <c r="L365" s="5" t="str">
        <f>IFERROR(__xludf.DUMMYFUNCTION("""COMPUTED_VALUE"""),"Yes")</f>
        <v>Yes</v>
      </c>
      <c r="M365" s="5" t="str">
        <f>IFERROR(__xludf.DUMMYFUNCTION("""COMPUTED_VALUE"""),"Yes")</f>
        <v>Yes</v>
      </c>
      <c r="N365" s="5" t="str">
        <f>IFERROR(__xludf.DUMMYFUNCTION("""COMPUTED_VALUE"""),"Yes")</f>
        <v>Yes</v>
      </c>
      <c r="O365" s="5" t="str">
        <f>IFERROR(__xludf.DUMMYFUNCTION("""COMPUTED_VALUE"""),"Yes")</f>
        <v>Yes</v>
      </c>
      <c r="P365" s="5" t="str">
        <f>IFERROR(__xludf.DUMMYFUNCTION("""COMPUTED_VALUE"""),"No")</f>
        <v>No</v>
      </c>
      <c r="Q365" s="5" t="str">
        <f>IFERROR(__xludf.DUMMYFUNCTION("""COMPUTED_VALUE"""),"Yes")</f>
        <v>Yes</v>
      </c>
      <c r="R365" s="5" t="str">
        <f>IFERROR(__xludf.DUMMYFUNCTION("""COMPUTED_VALUE"""),"No")</f>
        <v>No</v>
      </c>
      <c r="S365" s="5" t="str">
        <f>IFERROR(__xludf.DUMMYFUNCTION("""COMPUTED_VALUE"""),"No")</f>
        <v>No</v>
      </c>
      <c r="T365" s="5" t="str">
        <f>IFERROR(__xludf.DUMMYFUNCTION("""COMPUTED_VALUE"""),"No")</f>
        <v>No</v>
      </c>
      <c r="U365" s="5" t="str">
        <f>IFERROR(__xludf.DUMMYFUNCTION("""COMPUTED_VALUE"""),"No")</f>
        <v>No</v>
      </c>
      <c r="V365" s="5" t="str">
        <f>IFERROR(__xludf.DUMMYFUNCTION("""COMPUTED_VALUE"""),"No")</f>
        <v>No</v>
      </c>
      <c r="W365" s="5" t="str">
        <f>IFERROR(__xludf.DUMMYFUNCTION("""COMPUTED_VALUE"""),"No")</f>
        <v>No</v>
      </c>
      <c r="X365" s="5" t="str">
        <f>IFERROR(__xludf.DUMMYFUNCTION("""COMPUTED_VALUE"""),"No")</f>
        <v>No</v>
      </c>
      <c r="Y365" s="5" t="str">
        <f>IFERROR(__xludf.DUMMYFUNCTION("""COMPUTED_VALUE"""),"No")</f>
        <v>No</v>
      </c>
      <c r="Z365" s="5" t="str">
        <f>IFERROR(__xludf.DUMMYFUNCTION("""COMPUTED_VALUE"""),"No")</f>
        <v>No</v>
      </c>
      <c r="AA365" s="5" t="str">
        <f>IFERROR(__xludf.DUMMYFUNCTION("""COMPUTED_VALUE"""),"No")</f>
        <v>No</v>
      </c>
      <c r="AB365" s="5" t="str">
        <f>IFERROR(__xludf.DUMMYFUNCTION("""COMPUTED_VALUE"""),"Yes")</f>
        <v>Yes</v>
      </c>
      <c r="AC365" s="5" t="str">
        <f>IFERROR(__xludf.DUMMYFUNCTION("""COMPUTED_VALUE"""),"No")</f>
        <v>No</v>
      </c>
    </row>
    <row r="366">
      <c r="A366" s="5" t="str">
        <f>IFERROR(__xludf.DUMMYFUNCTION("""COMPUTED_VALUE"""),"MajesticCrown10")</f>
        <v>MajesticCrown10</v>
      </c>
      <c r="B36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6" s="5" t="str">
        <f>IFERROR(__xludf.DUMMYFUNCTION("""COMPUTED_VALUE"""),"Yes")</f>
        <v>Yes</v>
      </c>
      <c r="D366" s="5" t="str">
        <f>IFERROR(__xludf.DUMMYFUNCTION("""COMPUTED_VALUE"""),"Yes")</f>
        <v>Yes</v>
      </c>
      <c r="E366" s="5" t="str">
        <f>IFERROR(__xludf.DUMMYFUNCTION("""COMPUTED_VALUE"""),"Yes")</f>
        <v>Yes</v>
      </c>
      <c r="F366" s="5" t="str">
        <f>IFERROR(__xludf.DUMMYFUNCTION("""COMPUTED_VALUE"""),"Yes")</f>
        <v>Yes</v>
      </c>
      <c r="G366" s="5" t="str">
        <f>IFERROR(__xludf.DUMMYFUNCTION("""COMPUTED_VALUE"""),"Yes")</f>
        <v>Yes</v>
      </c>
      <c r="H366" s="5" t="str">
        <f>IFERROR(__xludf.DUMMYFUNCTION("""COMPUTED_VALUE"""),"Yes")</f>
        <v>Yes</v>
      </c>
      <c r="I366" s="5" t="str">
        <f>IFERROR(__xludf.DUMMYFUNCTION("""COMPUTED_VALUE"""),"Yes")</f>
        <v>Yes</v>
      </c>
      <c r="J366" s="5" t="str">
        <f>IFERROR(__xludf.DUMMYFUNCTION("""COMPUTED_VALUE"""),"Yes")</f>
        <v>Yes</v>
      </c>
      <c r="K366" s="5" t="str">
        <f>IFERROR(__xludf.DUMMYFUNCTION("""COMPUTED_VALUE"""),"Yes")</f>
        <v>Yes</v>
      </c>
      <c r="L366" s="5" t="str">
        <f>IFERROR(__xludf.DUMMYFUNCTION("""COMPUTED_VALUE"""),"Yes")</f>
        <v>Yes</v>
      </c>
      <c r="M366" s="5" t="str">
        <f>IFERROR(__xludf.DUMMYFUNCTION("""COMPUTED_VALUE"""),"Yes")</f>
        <v>Yes</v>
      </c>
      <c r="N366" s="5" t="str">
        <f>IFERROR(__xludf.DUMMYFUNCTION("""COMPUTED_VALUE"""),"Yes")</f>
        <v>Yes</v>
      </c>
      <c r="O366" s="5" t="str">
        <f>IFERROR(__xludf.DUMMYFUNCTION("""COMPUTED_VALUE"""),"Yes")</f>
        <v>Yes</v>
      </c>
      <c r="P366" s="5" t="str">
        <f>IFERROR(__xludf.DUMMYFUNCTION("""COMPUTED_VALUE"""),"Yes")</f>
        <v>Yes</v>
      </c>
      <c r="Q366" s="5" t="str">
        <f>IFERROR(__xludf.DUMMYFUNCTION("""COMPUTED_VALUE"""),"Yes")</f>
        <v>Yes</v>
      </c>
      <c r="R366" s="5" t="str">
        <f>IFERROR(__xludf.DUMMYFUNCTION("""COMPUTED_VALUE"""),"No")</f>
        <v>No</v>
      </c>
      <c r="S366" s="5" t="str">
        <f>IFERROR(__xludf.DUMMYFUNCTION("""COMPUTED_VALUE"""),"No")</f>
        <v>No</v>
      </c>
      <c r="T366" s="5" t="str">
        <f>IFERROR(__xludf.DUMMYFUNCTION("""COMPUTED_VALUE"""),"No")</f>
        <v>No</v>
      </c>
      <c r="U366" s="5" t="str">
        <f>IFERROR(__xludf.DUMMYFUNCTION("""COMPUTED_VALUE"""),"No")</f>
        <v>No</v>
      </c>
      <c r="V366" s="5"/>
      <c r="W366" s="5"/>
      <c r="X366" s="5"/>
      <c r="Y366" s="5"/>
      <c r="Z366" s="5" t="str">
        <f>IFERROR(__xludf.DUMMYFUNCTION("""COMPUTED_VALUE"""),"No")</f>
        <v>No</v>
      </c>
      <c r="AA366" s="5"/>
      <c r="AB366" s="5" t="str">
        <f>IFERROR(__xludf.DUMMYFUNCTION("""COMPUTED_VALUE"""),"Yes")</f>
        <v>Yes</v>
      </c>
      <c r="AC366" s="5"/>
    </row>
    <row r="367">
      <c r="A367" s="5" t="str">
        <f>IFERROR(__xludf.DUMMYFUNCTION("""COMPUTED_VALUE"""),"RedstoneDoubleFireClover")</f>
        <v>RedstoneDoubleFireClover</v>
      </c>
      <c r="B3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67" s="5" t="str">
        <f>IFERROR(__xludf.DUMMYFUNCTION("""COMPUTED_VALUE"""),"Yes")</f>
        <v>Yes</v>
      </c>
      <c r="D367" s="5" t="str">
        <f>IFERROR(__xludf.DUMMYFUNCTION("""COMPUTED_VALUE"""),"Yes")</f>
        <v>Yes</v>
      </c>
      <c r="E367" s="5" t="str">
        <f>IFERROR(__xludf.DUMMYFUNCTION("""COMPUTED_VALUE"""),"Yes")</f>
        <v>Yes</v>
      </c>
      <c r="F367" s="5" t="str">
        <f>IFERROR(__xludf.DUMMYFUNCTION("""COMPUTED_VALUE"""),"Yes")</f>
        <v>Yes</v>
      </c>
      <c r="G367" s="5" t="str">
        <f>IFERROR(__xludf.DUMMYFUNCTION("""COMPUTED_VALUE"""),"Yes")</f>
        <v>Yes</v>
      </c>
      <c r="H367" s="5" t="str">
        <f>IFERROR(__xludf.DUMMYFUNCTION("""COMPUTED_VALUE"""),"Yes")</f>
        <v>Yes</v>
      </c>
      <c r="I367" s="5" t="str">
        <f>IFERROR(__xludf.DUMMYFUNCTION("""COMPUTED_VALUE"""),"Yes")</f>
        <v>Yes</v>
      </c>
      <c r="J367" s="5" t="str">
        <f>IFERROR(__xludf.DUMMYFUNCTION("""COMPUTED_VALUE"""),"Yes")</f>
        <v>Yes</v>
      </c>
      <c r="K367" s="5" t="str">
        <f>IFERROR(__xludf.DUMMYFUNCTION("""COMPUTED_VALUE"""),"Yes")</f>
        <v>Yes</v>
      </c>
      <c r="L367" s="5" t="str">
        <f>IFERROR(__xludf.DUMMYFUNCTION("""COMPUTED_VALUE"""),"Yes")</f>
        <v>Yes</v>
      </c>
      <c r="M367" s="5" t="str">
        <f>IFERROR(__xludf.DUMMYFUNCTION("""COMPUTED_VALUE"""),"Yes")</f>
        <v>Yes</v>
      </c>
      <c r="N367" s="5" t="str">
        <f>IFERROR(__xludf.DUMMYFUNCTION("""COMPUTED_VALUE"""),"Yes")</f>
        <v>Yes</v>
      </c>
      <c r="O367" s="5" t="str">
        <f>IFERROR(__xludf.DUMMYFUNCTION("""COMPUTED_VALUE"""),"Yes")</f>
        <v>Yes</v>
      </c>
      <c r="P367" s="5" t="str">
        <f>IFERROR(__xludf.DUMMYFUNCTION("""COMPUTED_VALUE"""),"Yes")</f>
        <v>Yes</v>
      </c>
      <c r="Q367" s="5" t="str">
        <f>IFERROR(__xludf.DUMMYFUNCTION("""COMPUTED_VALUE"""),"Yes")</f>
        <v>Yes</v>
      </c>
      <c r="R367" s="5" t="str">
        <f>IFERROR(__xludf.DUMMYFUNCTION("""COMPUTED_VALUE"""),"Yes")</f>
        <v>Yes</v>
      </c>
      <c r="S367" s="5" t="str">
        <f>IFERROR(__xludf.DUMMYFUNCTION("""COMPUTED_VALUE"""),"Yes")</f>
        <v>Yes</v>
      </c>
      <c r="T367" s="5" t="str">
        <f>IFERROR(__xludf.DUMMYFUNCTION("""COMPUTED_VALUE"""),"Yes")</f>
        <v>Yes</v>
      </c>
      <c r="U367" s="5" t="str">
        <f>IFERROR(__xludf.DUMMYFUNCTION("""COMPUTED_VALUE"""),"Yes")</f>
        <v>Yes</v>
      </c>
      <c r="V367" s="5"/>
      <c r="W367" s="5"/>
      <c r="X367" s="5"/>
      <c r="Y367" s="5"/>
      <c r="Z367" s="5" t="str">
        <f>IFERROR(__xludf.DUMMYFUNCTION("""COMPUTED_VALUE"""),"Yes")</f>
        <v>Yes</v>
      </c>
      <c r="AA367" s="5"/>
      <c r="AB367" s="5"/>
      <c r="AC367" s="5"/>
    </row>
    <row r="368">
      <c r="A368" s="5" t="str">
        <f>IFERROR(__xludf.DUMMYFUNCTION("""COMPUTED_VALUE"""),"PlayNetFortuneClover40")</f>
        <v>PlayNetFortuneClover40</v>
      </c>
      <c r="B36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8" s="5" t="str">
        <f>IFERROR(__xludf.DUMMYFUNCTION("""COMPUTED_VALUE"""),"Yes")</f>
        <v>Yes</v>
      </c>
      <c r="D368" s="5" t="str">
        <f>IFERROR(__xludf.DUMMYFUNCTION("""COMPUTED_VALUE"""),"Yes")</f>
        <v>Yes</v>
      </c>
      <c r="E368" s="5" t="str">
        <f>IFERROR(__xludf.DUMMYFUNCTION("""COMPUTED_VALUE"""),"Yes")</f>
        <v>Yes</v>
      </c>
      <c r="F368" s="5" t="str">
        <f>IFERROR(__xludf.DUMMYFUNCTION("""COMPUTED_VALUE"""),"Yes")</f>
        <v>Yes</v>
      </c>
      <c r="G368" s="5" t="str">
        <f>IFERROR(__xludf.DUMMYFUNCTION("""COMPUTED_VALUE"""),"Yes")</f>
        <v>Yes</v>
      </c>
      <c r="H368" s="5" t="str">
        <f>IFERROR(__xludf.DUMMYFUNCTION("""COMPUTED_VALUE"""),"Yes")</f>
        <v>Yes</v>
      </c>
      <c r="I368" s="5" t="str">
        <f>IFERROR(__xludf.DUMMYFUNCTION("""COMPUTED_VALUE"""),"Yes")</f>
        <v>Yes</v>
      </c>
      <c r="J368" s="5" t="str">
        <f>IFERROR(__xludf.DUMMYFUNCTION("""COMPUTED_VALUE"""),"Yes")</f>
        <v>Yes</v>
      </c>
      <c r="K368" s="5" t="str">
        <f>IFERROR(__xludf.DUMMYFUNCTION("""COMPUTED_VALUE"""),"Yes")</f>
        <v>Yes</v>
      </c>
      <c r="L368" s="5" t="str">
        <f>IFERROR(__xludf.DUMMYFUNCTION("""COMPUTED_VALUE"""),"Yes")</f>
        <v>Yes</v>
      </c>
      <c r="M368" s="5" t="str">
        <f>IFERROR(__xludf.DUMMYFUNCTION("""COMPUTED_VALUE"""),"Yes")</f>
        <v>Yes</v>
      </c>
      <c r="N368" s="5" t="str">
        <f>IFERROR(__xludf.DUMMYFUNCTION("""COMPUTED_VALUE"""),"Yes")</f>
        <v>Yes</v>
      </c>
      <c r="O368" s="5" t="str">
        <f>IFERROR(__xludf.DUMMYFUNCTION("""COMPUTED_VALUE"""),"Yes")</f>
        <v>Yes</v>
      </c>
      <c r="P368" s="5" t="str">
        <f>IFERROR(__xludf.DUMMYFUNCTION("""COMPUTED_VALUE"""),"Yes")</f>
        <v>Yes</v>
      </c>
      <c r="Q368" s="5" t="str">
        <f>IFERROR(__xludf.DUMMYFUNCTION("""COMPUTED_VALUE"""),"Yes")</f>
        <v>Yes</v>
      </c>
      <c r="R368" s="5" t="str">
        <f>IFERROR(__xludf.DUMMYFUNCTION("""COMPUTED_VALUE"""),"No")</f>
        <v>No</v>
      </c>
      <c r="S368" s="5" t="str">
        <f>IFERROR(__xludf.DUMMYFUNCTION("""COMPUTED_VALUE"""),"No")</f>
        <v>No</v>
      </c>
      <c r="T368" s="5" t="str">
        <f>IFERROR(__xludf.DUMMYFUNCTION("""COMPUTED_VALUE"""),"No")</f>
        <v>No</v>
      </c>
      <c r="U368" s="5" t="str">
        <f>IFERROR(__xludf.DUMMYFUNCTION("""COMPUTED_VALUE"""),"No")</f>
        <v>No</v>
      </c>
      <c r="V368" s="5" t="str">
        <f>IFERROR(__xludf.DUMMYFUNCTION("""COMPUTED_VALUE"""),"No")</f>
        <v>No</v>
      </c>
      <c r="W368" s="5" t="str">
        <f>IFERROR(__xludf.DUMMYFUNCTION("""COMPUTED_VALUE"""),"No")</f>
        <v>No</v>
      </c>
      <c r="X368" s="5" t="str">
        <f>IFERROR(__xludf.DUMMYFUNCTION("""COMPUTED_VALUE"""),"No")</f>
        <v>No</v>
      </c>
      <c r="Y368" s="5" t="str">
        <f>IFERROR(__xludf.DUMMYFUNCTION("""COMPUTED_VALUE"""),"No")</f>
        <v>No</v>
      </c>
      <c r="Z368" s="5" t="str">
        <f>IFERROR(__xludf.DUMMYFUNCTION("""COMPUTED_VALUE"""),"No")</f>
        <v>No</v>
      </c>
      <c r="AA368" s="5" t="str">
        <f>IFERROR(__xludf.DUMMYFUNCTION("""COMPUTED_VALUE"""),"No")</f>
        <v>No</v>
      </c>
      <c r="AB368" s="5" t="str">
        <f>IFERROR(__xludf.DUMMYFUNCTION("""COMPUTED_VALUE"""),"Yes")</f>
        <v>Yes</v>
      </c>
      <c r="AC368" s="5" t="str">
        <f>IFERROR(__xludf.DUMMYFUNCTION("""COMPUTED_VALUE"""),"No")</f>
        <v>No</v>
      </c>
    </row>
    <row r="369">
      <c r="A369" s="5" t="str">
        <f>IFERROR(__xludf.DUMMYFUNCTION("""COMPUTED_VALUE"""),"PlayNetDiamondHeart5")</f>
        <v>PlayNetDiamondHeart5</v>
      </c>
      <c r="B36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9" s="5" t="str">
        <f>IFERROR(__xludf.DUMMYFUNCTION("""COMPUTED_VALUE"""),"Yes")</f>
        <v>Yes</v>
      </c>
      <c r="D369" s="5" t="str">
        <f>IFERROR(__xludf.DUMMYFUNCTION("""COMPUTED_VALUE"""),"Yes")</f>
        <v>Yes</v>
      </c>
      <c r="E369" s="5" t="str">
        <f>IFERROR(__xludf.DUMMYFUNCTION("""COMPUTED_VALUE"""),"Yes")</f>
        <v>Yes</v>
      </c>
      <c r="F369" s="5" t="str">
        <f>IFERROR(__xludf.DUMMYFUNCTION("""COMPUTED_VALUE"""),"Yes")</f>
        <v>Yes</v>
      </c>
      <c r="G369" s="5" t="str">
        <f>IFERROR(__xludf.DUMMYFUNCTION("""COMPUTED_VALUE"""),"Yes")</f>
        <v>Yes</v>
      </c>
      <c r="H369" s="5" t="str">
        <f>IFERROR(__xludf.DUMMYFUNCTION("""COMPUTED_VALUE"""),"Yes")</f>
        <v>Yes</v>
      </c>
      <c r="I369" s="5" t="str">
        <f>IFERROR(__xludf.DUMMYFUNCTION("""COMPUTED_VALUE"""),"Yes")</f>
        <v>Yes</v>
      </c>
      <c r="J369" s="5" t="str">
        <f>IFERROR(__xludf.DUMMYFUNCTION("""COMPUTED_VALUE"""),"Yes")</f>
        <v>Yes</v>
      </c>
      <c r="K369" s="5" t="str">
        <f>IFERROR(__xludf.DUMMYFUNCTION("""COMPUTED_VALUE"""),"Yes")</f>
        <v>Yes</v>
      </c>
      <c r="L369" s="5" t="str">
        <f>IFERROR(__xludf.DUMMYFUNCTION("""COMPUTED_VALUE"""),"Yes")</f>
        <v>Yes</v>
      </c>
      <c r="M369" s="5" t="str">
        <f>IFERROR(__xludf.DUMMYFUNCTION("""COMPUTED_VALUE"""),"Yes")</f>
        <v>Yes</v>
      </c>
      <c r="N369" s="5" t="str">
        <f>IFERROR(__xludf.DUMMYFUNCTION("""COMPUTED_VALUE"""),"Yes")</f>
        <v>Yes</v>
      </c>
      <c r="O369" s="5" t="str">
        <f>IFERROR(__xludf.DUMMYFUNCTION("""COMPUTED_VALUE"""),"Yes")</f>
        <v>Yes</v>
      </c>
      <c r="P369" s="5" t="str">
        <f>IFERROR(__xludf.DUMMYFUNCTION("""COMPUTED_VALUE"""),"Yes")</f>
        <v>Yes</v>
      </c>
      <c r="Q369" s="5" t="str">
        <f>IFERROR(__xludf.DUMMYFUNCTION("""COMPUTED_VALUE"""),"Yes")</f>
        <v>Yes</v>
      </c>
      <c r="R369" s="5" t="str">
        <f>IFERROR(__xludf.DUMMYFUNCTION("""COMPUTED_VALUE"""),"No")</f>
        <v>No</v>
      </c>
      <c r="S369" s="5" t="str">
        <f>IFERROR(__xludf.DUMMYFUNCTION("""COMPUTED_VALUE"""),"No")</f>
        <v>No</v>
      </c>
      <c r="T369" s="5" t="str">
        <f>IFERROR(__xludf.DUMMYFUNCTION("""COMPUTED_VALUE"""),"No")</f>
        <v>No</v>
      </c>
      <c r="U369" s="5" t="str">
        <f>IFERROR(__xludf.DUMMYFUNCTION("""COMPUTED_VALUE"""),"No")</f>
        <v>No</v>
      </c>
      <c r="V369" s="5"/>
      <c r="W369" s="5"/>
      <c r="X369" s="5"/>
      <c r="Y369" s="5"/>
      <c r="Z369" s="5" t="str">
        <f>IFERROR(__xludf.DUMMYFUNCTION("""COMPUTED_VALUE"""),"No")</f>
        <v>No</v>
      </c>
      <c r="AA369" s="5"/>
      <c r="AB369" s="5" t="str">
        <f>IFERROR(__xludf.DUMMYFUNCTION("""COMPUTED_VALUE"""),"Yes")</f>
        <v>Yes</v>
      </c>
      <c r="AC369" s="5"/>
    </row>
    <row r="370">
      <c r="A370" s="5" t="str">
        <f>IFERROR(__xludf.DUMMYFUNCTION("""COMPUTED_VALUE"""),"Redstone100CloverFire")</f>
        <v>Redstone100CloverFire</v>
      </c>
      <c r="B3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0" s="5" t="str">
        <f>IFERROR(__xludf.DUMMYFUNCTION("""COMPUTED_VALUE"""),"Yes")</f>
        <v>Yes</v>
      </c>
      <c r="D370" s="5" t="str">
        <f>IFERROR(__xludf.DUMMYFUNCTION("""COMPUTED_VALUE"""),"Yes")</f>
        <v>Yes</v>
      </c>
      <c r="E370" s="5" t="str">
        <f>IFERROR(__xludf.DUMMYFUNCTION("""COMPUTED_VALUE"""),"Yes")</f>
        <v>Yes</v>
      </c>
      <c r="F370" s="5" t="str">
        <f>IFERROR(__xludf.DUMMYFUNCTION("""COMPUTED_VALUE"""),"Yes")</f>
        <v>Yes</v>
      </c>
      <c r="G370" s="5" t="str">
        <f>IFERROR(__xludf.DUMMYFUNCTION("""COMPUTED_VALUE"""),"Yes")</f>
        <v>Yes</v>
      </c>
      <c r="H370" s="5" t="str">
        <f>IFERROR(__xludf.DUMMYFUNCTION("""COMPUTED_VALUE"""),"Yes")</f>
        <v>Yes</v>
      </c>
      <c r="I370" s="5" t="str">
        <f>IFERROR(__xludf.DUMMYFUNCTION("""COMPUTED_VALUE"""),"Yes")</f>
        <v>Yes</v>
      </c>
      <c r="J370" s="5" t="str">
        <f>IFERROR(__xludf.DUMMYFUNCTION("""COMPUTED_VALUE"""),"Yes")</f>
        <v>Yes</v>
      </c>
      <c r="K370" s="5" t="str">
        <f>IFERROR(__xludf.DUMMYFUNCTION("""COMPUTED_VALUE"""),"Yes")</f>
        <v>Yes</v>
      </c>
      <c r="L370" s="5" t="str">
        <f>IFERROR(__xludf.DUMMYFUNCTION("""COMPUTED_VALUE"""),"Yes")</f>
        <v>Yes</v>
      </c>
      <c r="M370" s="5" t="str">
        <f>IFERROR(__xludf.DUMMYFUNCTION("""COMPUTED_VALUE"""),"Yes")</f>
        <v>Yes</v>
      </c>
      <c r="N370" s="5" t="str">
        <f>IFERROR(__xludf.DUMMYFUNCTION("""COMPUTED_VALUE"""),"Yes")</f>
        <v>Yes</v>
      </c>
      <c r="O370" s="5" t="str">
        <f>IFERROR(__xludf.DUMMYFUNCTION("""COMPUTED_VALUE"""),"Yes")</f>
        <v>Yes</v>
      </c>
      <c r="P370" s="5" t="str">
        <f>IFERROR(__xludf.DUMMYFUNCTION("""COMPUTED_VALUE"""),"Yes")</f>
        <v>Yes</v>
      </c>
      <c r="Q370" s="5" t="str">
        <f>IFERROR(__xludf.DUMMYFUNCTION("""COMPUTED_VALUE"""),"Yes")</f>
        <v>Yes</v>
      </c>
      <c r="R370" s="5" t="str">
        <f>IFERROR(__xludf.DUMMYFUNCTION("""COMPUTED_VALUE"""),"Yes")</f>
        <v>Yes</v>
      </c>
      <c r="S370" s="5" t="str">
        <f>IFERROR(__xludf.DUMMYFUNCTION("""COMPUTED_VALUE"""),"Yes")</f>
        <v>Yes</v>
      </c>
      <c r="T370" s="5" t="str">
        <f>IFERROR(__xludf.DUMMYFUNCTION("""COMPUTED_VALUE"""),"Yes")</f>
        <v>Yes</v>
      </c>
      <c r="U370" s="5" t="str">
        <f>IFERROR(__xludf.DUMMYFUNCTION("""COMPUTED_VALUE"""),"Yes")</f>
        <v>Yes</v>
      </c>
      <c r="V370" s="5"/>
      <c r="W370" s="5"/>
      <c r="X370" s="5"/>
      <c r="Y370" s="5"/>
      <c r="Z370" s="5" t="str">
        <f>IFERROR(__xludf.DUMMYFUNCTION("""COMPUTED_VALUE"""),"Yes")</f>
        <v>Yes</v>
      </c>
      <c r="AA370" s="5"/>
      <c r="AB370" s="5"/>
      <c r="AC370" s="5"/>
    </row>
    <row r="371">
      <c r="A371" s="5" t="str">
        <f>IFERROR(__xludf.DUMMYFUNCTION("""COMPUTED_VALUE"""),"RedstoneVolcanoCrown")</f>
        <v>RedstoneVolcanoCrown</v>
      </c>
      <c r="B37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1" s="5" t="str">
        <f>IFERROR(__xludf.DUMMYFUNCTION("""COMPUTED_VALUE"""),"Yes")</f>
        <v>Yes</v>
      </c>
      <c r="D371" s="5" t="str">
        <f>IFERROR(__xludf.DUMMYFUNCTION("""COMPUTED_VALUE"""),"Yes")</f>
        <v>Yes</v>
      </c>
      <c r="E371" s="5" t="str">
        <f>IFERROR(__xludf.DUMMYFUNCTION("""COMPUTED_VALUE"""),"No")</f>
        <v>No</v>
      </c>
      <c r="F371" s="5" t="str">
        <f>IFERROR(__xludf.DUMMYFUNCTION("""COMPUTED_VALUE"""),"Yes")</f>
        <v>Yes</v>
      </c>
      <c r="G371" s="5" t="str">
        <f>IFERROR(__xludf.DUMMYFUNCTION("""COMPUTED_VALUE"""),"Yes")</f>
        <v>Yes</v>
      </c>
      <c r="H371" s="5" t="str">
        <f>IFERROR(__xludf.DUMMYFUNCTION("""COMPUTED_VALUE"""),"Yes")</f>
        <v>Yes</v>
      </c>
      <c r="I371" s="5" t="str">
        <f>IFERROR(__xludf.DUMMYFUNCTION("""COMPUTED_VALUE"""),"Yes")</f>
        <v>Yes</v>
      </c>
      <c r="J371" s="5" t="str">
        <f>IFERROR(__xludf.DUMMYFUNCTION("""COMPUTED_VALUE"""),"Yes")</f>
        <v>Yes</v>
      </c>
      <c r="K371" s="5" t="str">
        <f>IFERROR(__xludf.DUMMYFUNCTION("""COMPUTED_VALUE"""),"Yes")</f>
        <v>Yes</v>
      </c>
      <c r="L371" s="5" t="str">
        <f>IFERROR(__xludf.DUMMYFUNCTION("""COMPUTED_VALUE"""),"Yes")</f>
        <v>Yes</v>
      </c>
      <c r="M371" s="5" t="str">
        <f>IFERROR(__xludf.DUMMYFUNCTION("""COMPUTED_VALUE"""),"Yes")</f>
        <v>Yes</v>
      </c>
      <c r="N371" s="5" t="str">
        <f>IFERROR(__xludf.DUMMYFUNCTION("""COMPUTED_VALUE"""),"Yes")</f>
        <v>Yes</v>
      </c>
      <c r="O371" s="5" t="str">
        <f>IFERROR(__xludf.DUMMYFUNCTION("""COMPUTED_VALUE"""),"Yes")</f>
        <v>Yes</v>
      </c>
      <c r="P371" s="5" t="str">
        <f>IFERROR(__xludf.DUMMYFUNCTION("""COMPUTED_VALUE"""),"Yes")</f>
        <v>Yes</v>
      </c>
      <c r="Q371" s="5" t="str">
        <f>IFERROR(__xludf.DUMMYFUNCTION("""COMPUTED_VALUE"""),"Yes")</f>
        <v>Yes</v>
      </c>
      <c r="R371" s="5" t="str">
        <f>IFERROR(__xludf.DUMMYFUNCTION("""COMPUTED_VALUE"""),"No")</f>
        <v>No</v>
      </c>
      <c r="S371" s="5" t="str">
        <f>IFERROR(__xludf.DUMMYFUNCTION("""COMPUTED_VALUE"""),"No")</f>
        <v>No</v>
      </c>
      <c r="T371" s="5" t="str">
        <f>IFERROR(__xludf.DUMMYFUNCTION("""COMPUTED_VALUE"""),"No")</f>
        <v>No</v>
      </c>
      <c r="U371" s="5" t="str">
        <f>IFERROR(__xludf.DUMMYFUNCTION("""COMPUTED_VALUE"""),"No")</f>
        <v>No</v>
      </c>
      <c r="V371" s="5" t="str">
        <f>IFERROR(__xludf.DUMMYFUNCTION("""COMPUTED_VALUE"""),"No")</f>
        <v>No</v>
      </c>
      <c r="W371" s="5" t="str">
        <f>IFERROR(__xludf.DUMMYFUNCTION("""COMPUTED_VALUE"""),"No")</f>
        <v>No</v>
      </c>
      <c r="X371" s="5" t="str">
        <f>IFERROR(__xludf.DUMMYFUNCTION("""COMPUTED_VALUE"""),"No")</f>
        <v>No</v>
      </c>
      <c r="Y371" s="5" t="str">
        <f>IFERROR(__xludf.DUMMYFUNCTION("""COMPUTED_VALUE"""),"No")</f>
        <v>No</v>
      </c>
      <c r="Z371" s="5" t="str">
        <f>IFERROR(__xludf.DUMMYFUNCTION("""COMPUTED_VALUE"""),"No")</f>
        <v>No</v>
      </c>
      <c r="AA371" s="5" t="str">
        <f>IFERROR(__xludf.DUMMYFUNCTION("""COMPUTED_VALUE"""),"No")</f>
        <v>No</v>
      </c>
      <c r="AB371" s="5" t="str">
        <f>IFERROR(__xludf.DUMMYFUNCTION("""COMPUTED_VALUE"""),"Yes")</f>
        <v>Yes</v>
      </c>
      <c r="AC371" s="5" t="str">
        <f>IFERROR(__xludf.DUMMYFUNCTION("""COMPUTED_VALUE"""),"No")</f>
        <v>No</v>
      </c>
    </row>
    <row r="372">
      <c r="A372" s="5" t="str">
        <f>IFERROR(__xludf.DUMMYFUNCTION("""COMPUTED_VALUE"""),"UnicornGoldLineDice")</f>
        <v>UnicornGoldLineDice</v>
      </c>
      <c r="B37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2" s="5" t="str">
        <f>IFERROR(__xludf.DUMMYFUNCTION("""COMPUTED_VALUE"""),"Yes")</f>
        <v>Yes</v>
      </c>
      <c r="D372" s="5" t="str">
        <f>IFERROR(__xludf.DUMMYFUNCTION("""COMPUTED_VALUE"""),"Yes")</f>
        <v>Yes</v>
      </c>
      <c r="E372" s="5" t="str">
        <f>IFERROR(__xludf.DUMMYFUNCTION("""COMPUTED_VALUE"""),"No")</f>
        <v>No</v>
      </c>
      <c r="F372" s="5" t="str">
        <f>IFERROR(__xludf.DUMMYFUNCTION("""COMPUTED_VALUE"""),"Yes")</f>
        <v>Yes</v>
      </c>
      <c r="G372" s="5" t="str">
        <f>IFERROR(__xludf.DUMMYFUNCTION("""COMPUTED_VALUE"""),"Yes")</f>
        <v>Yes</v>
      </c>
      <c r="H372" s="5" t="str">
        <f>IFERROR(__xludf.DUMMYFUNCTION("""COMPUTED_VALUE"""),"Yes")</f>
        <v>Yes</v>
      </c>
      <c r="I372" s="5" t="str">
        <f>IFERROR(__xludf.DUMMYFUNCTION("""COMPUTED_VALUE"""),"Yes")</f>
        <v>Yes</v>
      </c>
      <c r="J372" s="5" t="str">
        <f>IFERROR(__xludf.DUMMYFUNCTION("""COMPUTED_VALUE"""),"Yes")</f>
        <v>Yes</v>
      </c>
      <c r="K372" s="5" t="str">
        <f>IFERROR(__xludf.DUMMYFUNCTION("""COMPUTED_VALUE"""),"Yes")</f>
        <v>Yes</v>
      </c>
      <c r="L372" s="5" t="str">
        <f>IFERROR(__xludf.DUMMYFUNCTION("""COMPUTED_VALUE"""),"Yes")</f>
        <v>Yes</v>
      </c>
      <c r="M372" s="5" t="str">
        <f>IFERROR(__xludf.DUMMYFUNCTION("""COMPUTED_VALUE"""),"Yes")</f>
        <v>Yes</v>
      </c>
      <c r="N372" s="5" t="str">
        <f>IFERROR(__xludf.DUMMYFUNCTION("""COMPUTED_VALUE"""),"Yes")</f>
        <v>Yes</v>
      </c>
      <c r="O372" s="5" t="str">
        <f>IFERROR(__xludf.DUMMYFUNCTION("""COMPUTED_VALUE"""),"Yes")</f>
        <v>Yes</v>
      </c>
      <c r="P372" s="5" t="str">
        <f>IFERROR(__xludf.DUMMYFUNCTION("""COMPUTED_VALUE"""),"Yes")</f>
        <v>Yes</v>
      </c>
      <c r="Q372" s="5" t="str">
        <f>IFERROR(__xludf.DUMMYFUNCTION("""COMPUTED_VALUE"""),"Yes")</f>
        <v>Yes</v>
      </c>
      <c r="R372" s="5" t="str">
        <f>IFERROR(__xludf.DUMMYFUNCTION("""COMPUTED_VALUE"""),"No")</f>
        <v>No</v>
      </c>
      <c r="S372" s="5" t="str">
        <f>IFERROR(__xludf.DUMMYFUNCTION("""COMPUTED_VALUE"""),"No")</f>
        <v>No</v>
      </c>
      <c r="T372" s="5" t="str">
        <f>IFERROR(__xludf.DUMMYFUNCTION("""COMPUTED_VALUE"""),"No")</f>
        <v>No</v>
      </c>
      <c r="U372" s="5" t="str">
        <f>IFERROR(__xludf.DUMMYFUNCTION("""COMPUTED_VALUE"""),"No")</f>
        <v>No</v>
      </c>
      <c r="V372" s="5" t="str">
        <f>IFERROR(__xludf.DUMMYFUNCTION("""COMPUTED_VALUE"""),"No")</f>
        <v>No</v>
      </c>
      <c r="W372" s="5" t="str">
        <f>IFERROR(__xludf.DUMMYFUNCTION("""COMPUTED_VALUE"""),"No")</f>
        <v>No</v>
      </c>
      <c r="X372" s="5" t="str">
        <f>IFERROR(__xludf.DUMMYFUNCTION("""COMPUTED_VALUE"""),"No")</f>
        <v>No</v>
      </c>
      <c r="Y372" s="5" t="str">
        <f>IFERROR(__xludf.DUMMYFUNCTION("""COMPUTED_VALUE"""),"No")</f>
        <v>No</v>
      </c>
      <c r="Z372" s="5" t="str">
        <f>IFERROR(__xludf.DUMMYFUNCTION("""COMPUTED_VALUE"""),"No")</f>
        <v>No</v>
      </c>
      <c r="AA372" s="5" t="str">
        <f>IFERROR(__xludf.DUMMYFUNCTION("""COMPUTED_VALUE"""),"No")</f>
        <v>No</v>
      </c>
      <c r="AB372" s="5" t="str">
        <f>IFERROR(__xludf.DUMMYFUNCTION("""COMPUTED_VALUE"""),"Yes")</f>
        <v>Yes</v>
      </c>
      <c r="AC372" s="5" t="str">
        <f>IFERROR(__xludf.DUMMYFUNCTION("""COMPUTED_VALUE"""),"No")</f>
        <v>No</v>
      </c>
    </row>
    <row r="373">
      <c r="A373" s="5" t="str">
        <f>IFERROR(__xludf.DUMMYFUNCTION("""COMPUTED_VALUE"""),"UnicornLavaDiamondsChristmas")</f>
        <v>UnicornLavaDiamondsChristmas</v>
      </c>
      <c r="B3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3" s="5" t="str">
        <f>IFERROR(__xludf.DUMMYFUNCTION("""COMPUTED_VALUE"""),"Yes")</f>
        <v>Yes</v>
      </c>
      <c r="D373" s="5" t="str">
        <f>IFERROR(__xludf.DUMMYFUNCTION("""COMPUTED_VALUE"""),"Yes")</f>
        <v>Yes</v>
      </c>
      <c r="E373" s="5" t="str">
        <f>IFERROR(__xludf.DUMMYFUNCTION("""COMPUTED_VALUE"""),"Yes")</f>
        <v>Yes</v>
      </c>
      <c r="F373" s="5" t="str">
        <f>IFERROR(__xludf.DUMMYFUNCTION("""COMPUTED_VALUE"""),"Yes")</f>
        <v>Yes</v>
      </c>
      <c r="G373" s="5" t="str">
        <f>IFERROR(__xludf.DUMMYFUNCTION("""COMPUTED_VALUE"""),"Yes")</f>
        <v>Yes</v>
      </c>
      <c r="H373" s="5" t="str">
        <f>IFERROR(__xludf.DUMMYFUNCTION("""COMPUTED_VALUE"""),"Yes")</f>
        <v>Yes</v>
      </c>
      <c r="I373" s="5" t="str">
        <f>IFERROR(__xludf.DUMMYFUNCTION("""COMPUTED_VALUE"""),"Yes")</f>
        <v>Yes</v>
      </c>
      <c r="J373" s="5" t="str">
        <f>IFERROR(__xludf.DUMMYFUNCTION("""COMPUTED_VALUE"""),"Yes")</f>
        <v>Yes</v>
      </c>
      <c r="K373" s="5" t="str">
        <f>IFERROR(__xludf.DUMMYFUNCTION("""COMPUTED_VALUE"""),"Yes")</f>
        <v>Yes</v>
      </c>
      <c r="L373" s="5" t="str">
        <f>IFERROR(__xludf.DUMMYFUNCTION("""COMPUTED_VALUE"""),"Yes")</f>
        <v>Yes</v>
      </c>
      <c r="M373" s="5" t="str">
        <f>IFERROR(__xludf.DUMMYFUNCTION("""COMPUTED_VALUE"""),"Yes")</f>
        <v>Yes</v>
      </c>
      <c r="N373" s="5" t="str">
        <f>IFERROR(__xludf.DUMMYFUNCTION("""COMPUTED_VALUE"""),"Yes")</f>
        <v>Yes</v>
      </c>
      <c r="O373" s="5" t="str">
        <f>IFERROR(__xludf.DUMMYFUNCTION("""COMPUTED_VALUE"""),"Yes")</f>
        <v>Yes</v>
      </c>
      <c r="P373" s="5" t="str">
        <f>IFERROR(__xludf.DUMMYFUNCTION("""COMPUTED_VALUE"""),"Yes")</f>
        <v>Yes</v>
      </c>
      <c r="Q373" s="5" t="str">
        <f>IFERROR(__xludf.DUMMYFUNCTION("""COMPUTED_VALUE"""),"Yes")</f>
        <v>Yes</v>
      </c>
      <c r="R373" s="5" t="str">
        <f>IFERROR(__xludf.DUMMYFUNCTION("""COMPUTED_VALUE"""),"Yes")</f>
        <v>Yes</v>
      </c>
      <c r="S373" s="5" t="str">
        <f>IFERROR(__xludf.DUMMYFUNCTION("""COMPUTED_VALUE"""),"Yes")</f>
        <v>Yes</v>
      </c>
      <c r="T373" s="5" t="str">
        <f>IFERROR(__xludf.DUMMYFUNCTION("""COMPUTED_VALUE"""),"Yes")</f>
        <v>Yes</v>
      </c>
      <c r="U373" s="5" t="str">
        <f>IFERROR(__xludf.DUMMYFUNCTION("""COMPUTED_VALUE"""),"Yes")</f>
        <v>Yes</v>
      </c>
      <c r="V373" s="5"/>
      <c r="W373" s="5"/>
      <c r="X373" s="5"/>
      <c r="Y373" s="5"/>
      <c r="Z373" s="5" t="str">
        <f>IFERROR(__xludf.DUMMYFUNCTION("""COMPUTED_VALUE"""),"Yes")</f>
        <v>Yes</v>
      </c>
      <c r="AA373" s="5"/>
      <c r="AB373" s="5"/>
      <c r="AC373" s="5"/>
    </row>
    <row r="374">
      <c r="A374" s="5" t="str">
        <f>IFERROR(__xludf.DUMMYFUNCTION("""COMPUTED_VALUE"""),"UnicornPumpkinHorror")</f>
        <v>UnicornPumpkinHorror</v>
      </c>
      <c r="B374"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4" s="5" t="str">
        <f>IFERROR(__xludf.DUMMYFUNCTION("""COMPUTED_VALUE"""),"Yes")</f>
        <v>Yes</v>
      </c>
      <c r="D374" s="5" t="str">
        <f>IFERROR(__xludf.DUMMYFUNCTION("""COMPUTED_VALUE"""),"Yes")</f>
        <v>Yes</v>
      </c>
      <c r="E374" s="5" t="str">
        <f>IFERROR(__xludf.DUMMYFUNCTION("""COMPUTED_VALUE"""),"Yes")</f>
        <v>Yes</v>
      </c>
      <c r="F374" s="5" t="str">
        <f>IFERROR(__xludf.DUMMYFUNCTION("""COMPUTED_VALUE"""),"No")</f>
        <v>No</v>
      </c>
      <c r="G374" s="5" t="str">
        <f>IFERROR(__xludf.DUMMYFUNCTION("""COMPUTED_VALUE"""),"No")</f>
        <v>No</v>
      </c>
      <c r="H374" s="5" t="str">
        <f>IFERROR(__xludf.DUMMYFUNCTION("""COMPUTED_VALUE"""),"No")</f>
        <v>No</v>
      </c>
      <c r="I374" s="5" t="str">
        <f>IFERROR(__xludf.DUMMYFUNCTION("""COMPUTED_VALUE"""),"No")</f>
        <v>No</v>
      </c>
      <c r="J374" s="5" t="str">
        <f>IFERROR(__xludf.DUMMYFUNCTION("""COMPUTED_VALUE"""),"No")</f>
        <v>No</v>
      </c>
      <c r="K374" s="5" t="str">
        <f>IFERROR(__xludf.DUMMYFUNCTION("""COMPUTED_VALUE"""),"Yes")</f>
        <v>Yes</v>
      </c>
      <c r="L374" s="5" t="str">
        <f>IFERROR(__xludf.DUMMYFUNCTION("""COMPUTED_VALUE"""),"Yes")</f>
        <v>Yes</v>
      </c>
      <c r="M374" s="5" t="str">
        <f>IFERROR(__xludf.DUMMYFUNCTION("""COMPUTED_VALUE"""),"Yes")</f>
        <v>Yes</v>
      </c>
      <c r="N374" s="5" t="str">
        <f>IFERROR(__xludf.DUMMYFUNCTION("""COMPUTED_VALUE"""),"Yes")</f>
        <v>Yes</v>
      </c>
      <c r="O374" s="5" t="str">
        <f>IFERROR(__xludf.DUMMYFUNCTION("""COMPUTED_VALUE"""),"Yes")</f>
        <v>Yes</v>
      </c>
      <c r="P374" s="5" t="str">
        <f>IFERROR(__xludf.DUMMYFUNCTION("""COMPUTED_VALUE"""),"No")</f>
        <v>No</v>
      </c>
      <c r="Q374" s="5" t="str">
        <f>IFERROR(__xludf.DUMMYFUNCTION("""COMPUTED_VALUE"""),"Yes")</f>
        <v>Yes</v>
      </c>
      <c r="R374" s="5" t="str">
        <f>IFERROR(__xludf.DUMMYFUNCTION("""COMPUTED_VALUE"""),"No")</f>
        <v>No</v>
      </c>
      <c r="S374" s="5" t="str">
        <f>IFERROR(__xludf.DUMMYFUNCTION("""COMPUTED_VALUE"""),"No")</f>
        <v>No</v>
      </c>
      <c r="T374" s="5" t="str">
        <f>IFERROR(__xludf.DUMMYFUNCTION("""COMPUTED_VALUE"""),"No")</f>
        <v>No</v>
      </c>
      <c r="U374" s="5" t="str">
        <f>IFERROR(__xludf.DUMMYFUNCTION("""COMPUTED_VALUE"""),"No")</f>
        <v>No</v>
      </c>
      <c r="V374" s="5"/>
      <c r="W374" s="5"/>
      <c r="X374" s="5"/>
      <c r="Y374" s="5"/>
      <c r="Z374" s="5" t="str">
        <f>IFERROR(__xludf.DUMMYFUNCTION("""COMPUTED_VALUE"""),"No")</f>
        <v>No</v>
      </c>
      <c r="AA374" s="5"/>
      <c r="AB374" s="5"/>
      <c r="AC374" s="5"/>
    </row>
    <row r="375">
      <c r="A375" s="5" t="str">
        <f>IFERROR(__xludf.DUMMYFUNCTION("""COMPUTED_VALUE"""),"PlayNetMajesticCrown20")</f>
        <v>PlayNetMajesticCrown20</v>
      </c>
      <c r="B37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75" s="5" t="str">
        <f>IFERROR(__xludf.DUMMYFUNCTION("""COMPUTED_VALUE"""),"Yes")</f>
        <v>Yes</v>
      </c>
      <c r="D375" s="5" t="str">
        <f>IFERROR(__xludf.DUMMYFUNCTION("""COMPUTED_VALUE"""),"Yes")</f>
        <v>Yes</v>
      </c>
      <c r="E375" s="5" t="str">
        <f>IFERROR(__xludf.DUMMYFUNCTION("""COMPUTED_VALUE"""),"Yes")</f>
        <v>Yes</v>
      </c>
      <c r="F375" s="5" t="str">
        <f>IFERROR(__xludf.DUMMYFUNCTION("""COMPUTED_VALUE"""),"Yes")</f>
        <v>Yes</v>
      </c>
      <c r="G375" s="5" t="str">
        <f>IFERROR(__xludf.DUMMYFUNCTION("""COMPUTED_VALUE"""),"Yes")</f>
        <v>Yes</v>
      </c>
      <c r="H375" s="5" t="str">
        <f>IFERROR(__xludf.DUMMYFUNCTION("""COMPUTED_VALUE"""),"Yes")</f>
        <v>Yes</v>
      </c>
      <c r="I375" s="5" t="str">
        <f>IFERROR(__xludf.DUMMYFUNCTION("""COMPUTED_VALUE"""),"Yes")</f>
        <v>Yes</v>
      </c>
      <c r="J375" s="5" t="str">
        <f>IFERROR(__xludf.DUMMYFUNCTION("""COMPUTED_VALUE"""),"Yes")</f>
        <v>Yes</v>
      </c>
      <c r="K375" s="5" t="str">
        <f>IFERROR(__xludf.DUMMYFUNCTION("""COMPUTED_VALUE"""),"Yes")</f>
        <v>Yes</v>
      </c>
      <c r="L375" s="5" t="str">
        <f>IFERROR(__xludf.DUMMYFUNCTION("""COMPUTED_VALUE"""),"Yes")</f>
        <v>Yes</v>
      </c>
      <c r="M375" s="5" t="str">
        <f>IFERROR(__xludf.DUMMYFUNCTION("""COMPUTED_VALUE"""),"Yes")</f>
        <v>Yes</v>
      </c>
      <c r="N375" s="5" t="str">
        <f>IFERROR(__xludf.DUMMYFUNCTION("""COMPUTED_VALUE"""),"Yes")</f>
        <v>Yes</v>
      </c>
      <c r="O375" s="5" t="str">
        <f>IFERROR(__xludf.DUMMYFUNCTION("""COMPUTED_VALUE"""),"Yes")</f>
        <v>Yes</v>
      </c>
      <c r="P375" s="5" t="str">
        <f>IFERROR(__xludf.DUMMYFUNCTION("""COMPUTED_VALUE"""),"Yes")</f>
        <v>Yes</v>
      </c>
      <c r="Q375" s="5" t="str">
        <f>IFERROR(__xludf.DUMMYFUNCTION("""COMPUTED_VALUE"""),"Yes")</f>
        <v>Yes</v>
      </c>
      <c r="R375" s="5" t="str">
        <f>IFERROR(__xludf.DUMMYFUNCTION("""COMPUTED_VALUE"""),"No")</f>
        <v>No</v>
      </c>
      <c r="S375" s="5" t="str">
        <f>IFERROR(__xludf.DUMMYFUNCTION("""COMPUTED_VALUE"""),"No")</f>
        <v>No</v>
      </c>
      <c r="T375" s="5" t="str">
        <f>IFERROR(__xludf.DUMMYFUNCTION("""COMPUTED_VALUE"""),"No")</f>
        <v>No</v>
      </c>
      <c r="U375" s="5" t="str">
        <f>IFERROR(__xludf.DUMMYFUNCTION("""COMPUTED_VALUE"""),"No")</f>
        <v>No</v>
      </c>
      <c r="V375" s="5"/>
      <c r="W375" s="5"/>
      <c r="X375" s="5"/>
      <c r="Y375" s="5"/>
      <c r="Z375" s="5" t="str">
        <f>IFERROR(__xludf.DUMMYFUNCTION("""COMPUTED_VALUE"""),"No")</f>
        <v>No</v>
      </c>
      <c r="AA375" s="5"/>
      <c r="AB375" s="5" t="str">
        <f>IFERROR(__xludf.DUMMYFUNCTION("""COMPUTED_VALUE"""),"Yes")</f>
        <v>Yes</v>
      </c>
      <c r="AC375" s="5"/>
    </row>
    <row r="376">
      <c r="A376" s="5" t="str">
        <f>IFERROR(__xludf.DUMMYFUNCTION("""COMPUTED_VALUE"""),"PlayNetDiamondHeart40")</f>
        <v>PlayNetDiamondHeart40</v>
      </c>
      <c r="B376"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6" s="5" t="str">
        <f>IFERROR(__xludf.DUMMYFUNCTION("""COMPUTED_VALUE"""),"Yes")</f>
        <v>Yes</v>
      </c>
      <c r="D376" s="5" t="str">
        <f>IFERROR(__xludf.DUMMYFUNCTION("""COMPUTED_VALUE"""),"Yes")</f>
        <v>Yes</v>
      </c>
      <c r="E376" s="5" t="str">
        <f>IFERROR(__xludf.DUMMYFUNCTION("""COMPUTED_VALUE"""),"Yes")</f>
        <v>Yes</v>
      </c>
      <c r="F376" s="5" t="str">
        <f>IFERROR(__xludf.DUMMYFUNCTION("""COMPUTED_VALUE"""),"No")</f>
        <v>No</v>
      </c>
      <c r="G376" s="5" t="str">
        <f>IFERROR(__xludf.DUMMYFUNCTION("""COMPUTED_VALUE"""),"No")</f>
        <v>No</v>
      </c>
      <c r="H376" s="5" t="str">
        <f>IFERROR(__xludf.DUMMYFUNCTION("""COMPUTED_VALUE"""),"No")</f>
        <v>No</v>
      </c>
      <c r="I376" s="5" t="str">
        <f>IFERROR(__xludf.DUMMYFUNCTION("""COMPUTED_VALUE"""),"No")</f>
        <v>No</v>
      </c>
      <c r="J376" s="5" t="str">
        <f>IFERROR(__xludf.DUMMYFUNCTION("""COMPUTED_VALUE"""),"No")</f>
        <v>No</v>
      </c>
      <c r="K376" s="5" t="str">
        <f>IFERROR(__xludf.DUMMYFUNCTION("""COMPUTED_VALUE"""),"Yes")</f>
        <v>Yes</v>
      </c>
      <c r="L376" s="5" t="str">
        <f>IFERROR(__xludf.DUMMYFUNCTION("""COMPUTED_VALUE"""),"Yes")</f>
        <v>Yes</v>
      </c>
      <c r="M376" s="5" t="str">
        <f>IFERROR(__xludf.DUMMYFUNCTION("""COMPUTED_VALUE"""),"Yes")</f>
        <v>Yes</v>
      </c>
      <c r="N376" s="5" t="str">
        <f>IFERROR(__xludf.DUMMYFUNCTION("""COMPUTED_VALUE"""),"Yes")</f>
        <v>Yes</v>
      </c>
      <c r="O376" s="5" t="str">
        <f>IFERROR(__xludf.DUMMYFUNCTION("""COMPUTED_VALUE"""),"Yes")</f>
        <v>Yes</v>
      </c>
      <c r="P376" s="5" t="str">
        <f>IFERROR(__xludf.DUMMYFUNCTION("""COMPUTED_VALUE"""),"No")</f>
        <v>No</v>
      </c>
      <c r="Q376" s="5" t="str">
        <f>IFERROR(__xludf.DUMMYFUNCTION("""COMPUTED_VALUE"""),"Yes")</f>
        <v>Yes</v>
      </c>
      <c r="R376" s="5" t="str">
        <f>IFERROR(__xludf.DUMMYFUNCTION("""COMPUTED_VALUE"""),"No")</f>
        <v>No</v>
      </c>
      <c r="S376" s="5" t="str">
        <f>IFERROR(__xludf.DUMMYFUNCTION("""COMPUTED_VALUE"""),"No")</f>
        <v>No</v>
      </c>
      <c r="T376" s="5" t="str">
        <f>IFERROR(__xludf.DUMMYFUNCTION("""COMPUTED_VALUE"""),"No")</f>
        <v>No</v>
      </c>
      <c r="U376" s="5" t="str">
        <f>IFERROR(__xludf.DUMMYFUNCTION("""COMPUTED_VALUE"""),"No")</f>
        <v>No</v>
      </c>
      <c r="V376" s="5"/>
      <c r="W376" s="5"/>
      <c r="X376" s="5"/>
      <c r="Y376" s="5"/>
      <c r="Z376" s="5" t="str">
        <f>IFERROR(__xludf.DUMMYFUNCTION("""COMPUTED_VALUE"""),"No")</f>
        <v>No</v>
      </c>
      <c r="AA376" s="5"/>
      <c r="AB376" s="5"/>
      <c r="AC376" s="5"/>
    </row>
    <row r="377">
      <c r="A377" s="5" t="str">
        <f>IFERROR(__xludf.DUMMYFUNCTION("""COMPUTED_VALUE"""),"UnicornHitLine")</f>
        <v>UnicornHitLine</v>
      </c>
      <c r="B37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77" s="5" t="str">
        <f>IFERROR(__xludf.DUMMYFUNCTION("""COMPUTED_VALUE"""),"Yes")</f>
        <v>Yes</v>
      </c>
      <c r="D377" s="5" t="str">
        <f>IFERROR(__xludf.DUMMYFUNCTION("""COMPUTED_VALUE"""),"Yes")</f>
        <v>Yes</v>
      </c>
      <c r="E377" s="5" t="str">
        <f>IFERROR(__xludf.DUMMYFUNCTION("""COMPUTED_VALUE"""),"Yes")</f>
        <v>Yes</v>
      </c>
      <c r="F377" s="5" t="str">
        <f>IFERROR(__xludf.DUMMYFUNCTION("""COMPUTED_VALUE"""),"No")</f>
        <v>No</v>
      </c>
      <c r="G377" s="5" t="str">
        <f>IFERROR(__xludf.DUMMYFUNCTION("""COMPUTED_VALUE"""),"No")</f>
        <v>No</v>
      </c>
      <c r="H377" s="5" t="str">
        <f>IFERROR(__xludf.DUMMYFUNCTION("""COMPUTED_VALUE"""),"No")</f>
        <v>No</v>
      </c>
      <c r="I377" s="5" t="str">
        <f>IFERROR(__xludf.DUMMYFUNCTION("""COMPUTED_VALUE"""),"No")</f>
        <v>No</v>
      </c>
      <c r="J377" s="5" t="str">
        <f>IFERROR(__xludf.DUMMYFUNCTION("""COMPUTED_VALUE"""),"No")</f>
        <v>No</v>
      </c>
      <c r="K377" s="5" t="str">
        <f>IFERROR(__xludf.DUMMYFUNCTION("""COMPUTED_VALUE"""),"Yes")</f>
        <v>Yes</v>
      </c>
      <c r="L377" s="5" t="str">
        <f>IFERROR(__xludf.DUMMYFUNCTION("""COMPUTED_VALUE"""),"Yes")</f>
        <v>Yes</v>
      </c>
      <c r="M377" s="5" t="str">
        <f>IFERROR(__xludf.DUMMYFUNCTION("""COMPUTED_VALUE"""),"Yes")</f>
        <v>Yes</v>
      </c>
      <c r="N377" s="5" t="str">
        <f>IFERROR(__xludf.DUMMYFUNCTION("""COMPUTED_VALUE"""),"Yes")</f>
        <v>Yes</v>
      </c>
      <c r="O377" s="5" t="str">
        <f>IFERROR(__xludf.DUMMYFUNCTION("""COMPUTED_VALUE"""),"Yes")</f>
        <v>Yes</v>
      </c>
      <c r="P377" s="5" t="str">
        <f>IFERROR(__xludf.DUMMYFUNCTION("""COMPUTED_VALUE"""),"No")</f>
        <v>No</v>
      </c>
      <c r="Q377" s="5" t="str">
        <f>IFERROR(__xludf.DUMMYFUNCTION("""COMPUTED_VALUE"""),"Yes")</f>
        <v>Yes</v>
      </c>
      <c r="R377" s="5" t="str">
        <f>IFERROR(__xludf.DUMMYFUNCTION("""COMPUTED_VALUE"""),"No")</f>
        <v>No</v>
      </c>
      <c r="S377" s="5" t="str">
        <f>IFERROR(__xludf.DUMMYFUNCTION("""COMPUTED_VALUE"""),"No")</f>
        <v>No</v>
      </c>
      <c r="T377" s="5" t="str">
        <f>IFERROR(__xludf.DUMMYFUNCTION("""COMPUTED_VALUE"""),"No")</f>
        <v>No</v>
      </c>
      <c r="U377" s="5" t="str">
        <f>IFERROR(__xludf.DUMMYFUNCTION("""COMPUTED_VALUE"""),"No")</f>
        <v>No</v>
      </c>
      <c r="V377" s="5"/>
      <c r="W377" s="5"/>
      <c r="X377" s="5"/>
      <c r="Y377" s="5"/>
      <c r="Z377" s="5" t="str">
        <f>IFERROR(__xludf.DUMMYFUNCTION("""COMPUTED_VALUE"""),"No")</f>
        <v>No</v>
      </c>
      <c r="AA377" s="5"/>
      <c r="AB377" s="5"/>
      <c r="AC377" s="5"/>
    </row>
    <row r="378">
      <c r="A378" s="5" t="str">
        <f>IFERROR(__xludf.DUMMYFUNCTION("""COMPUTED_VALUE"""),"RedstoneSpookySpins")</f>
        <v>RedstoneSpookySpins</v>
      </c>
      <c r="B37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8" s="5" t="str">
        <f>IFERROR(__xludf.DUMMYFUNCTION("""COMPUTED_VALUE"""),"Yes")</f>
        <v>Yes</v>
      </c>
      <c r="D378" s="5" t="str">
        <f>IFERROR(__xludf.DUMMYFUNCTION("""COMPUTED_VALUE"""),"Yes")</f>
        <v>Yes</v>
      </c>
      <c r="E378" s="5" t="str">
        <f>IFERROR(__xludf.DUMMYFUNCTION("""COMPUTED_VALUE"""),"Yes")</f>
        <v>Yes</v>
      </c>
      <c r="F378" s="5" t="str">
        <f>IFERROR(__xludf.DUMMYFUNCTION("""COMPUTED_VALUE"""),"Yes")</f>
        <v>Yes</v>
      </c>
      <c r="G378" s="5" t="str">
        <f>IFERROR(__xludf.DUMMYFUNCTION("""COMPUTED_VALUE"""),"Yes")</f>
        <v>Yes</v>
      </c>
      <c r="H378" s="5" t="str">
        <f>IFERROR(__xludf.DUMMYFUNCTION("""COMPUTED_VALUE"""),"Yes")</f>
        <v>Yes</v>
      </c>
      <c r="I378" s="5" t="str">
        <f>IFERROR(__xludf.DUMMYFUNCTION("""COMPUTED_VALUE"""),"Yes")</f>
        <v>Yes</v>
      </c>
      <c r="J378" s="5" t="str">
        <f>IFERROR(__xludf.DUMMYFUNCTION("""COMPUTED_VALUE"""),"Yes")</f>
        <v>Yes</v>
      </c>
      <c r="K378" s="5" t="str">
        <f>IFERROR(__xludf.DUMMYFUNCTION("""COMPUTED_VALUE"""),"Yes")</f>
        <v>Yes</v>
      </c>
      <c r="L378" s="5" t="str">
        <f>IFERROR(__xludf.DUMMYFUNCTION("""COMPUTED_VALUE"""),"Yes")</f>
        <v>Yes</v>
      </c>
      <c r="M378" s="5" t="str">
        <f>IFERROR(__xludf.DUMMYFUNCTION("""COMPUTED_VALUE"""),"Yes")</f>
        <v>Yes</v>
      </c>
      <c r="N378" s="5" t="str">
        <f>IFERROR(__xludf.DUMMYFUNCTION("""COMPUTED_VALUE"""),"Yes")</f>
        <v>Yes</v>
      </c>
      <c r="O378" s="5" t="str">
        <f>IFERROR(__xludf.DUMMYFUNCTION("""COMPUTED_VALUE"""),"Yes")</f>
        <v>Yes</v>
      </c>
      <c r="P378" s="5" t="str">
        <f>IFERROR(__xludf.DUMMYFUNCTION("""COMPUTED_VALUE"""),"Yes")</f>
        <v>Yes</v>
      </c>
      <c r="Q378" s="5" t="str">
        <f>IFERROR(__xludf.DUMMYFUNCTION("""COMPUTED_VALUE"""),"Yes")</f>
        <v>Yes</v>
      </c>
      <c r="R378" s="5" t="str">
        <f>IFERROR(__xludf.DUMMYFUNCTION("""COMPUTED_VALUE"""),"Yes")</f>
        <v>Yes</v>
      </c>
      <c r="S378" s="5" t="str">
        <f>IFERROR(__xludf.DUMMYFUNCTION("""COMPUTED_VALUE"""),"Yes")</f>
        <v>Yes</v>
      </c>
      <c r="T378" s="5" t="str">
        <f>IFERROR(__xludf.DUMMYFUNCTION("""COMPUTED_VALUE"""),"Yes")</f>
        <v>Yes</v>
      </c>
      <c r="U378" s="5" t="str">
        <f>IFERROR(__xludf.DUMMYFUNCTION("""COMPUTED_VALUE"""),"Yes")</f>
        <v>Yes</v>
      </c>
      <c r="V378" s="5"/>
      <c r="W378" s="5"/>
      <c r="X378" s="5"/>
      <c r="Y378" s="5"/>
      <c r="Z378" s="5" t="str">
        <f>IFERROR(__xludf.DUMMYFUNCTION("""COMPUTED_VALUE"""),"Yes")</f>
        <v>Yes</v>
      </c>
      <c r="AA378" s="5"/>
      <c r="AB378" s="5"/>
      <c r="AC378" s="5"/>
    </row>
    <row r="379">
      <c r="A379" s="5" t="str">
        <f>IFERROR(__xludf.DUMMYFUNCTION("""COMPUTED_VALUE"""),"Unicorn20SuperFlames")</f>
        <v>Unicorn20SuperFlames</v>
      </c>
      <c r="B37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9" s="5" t="str">
        <f>IFERROR(__xludf.DUMMYFUNCTION("""COMPUTED_VALUE"""),"Yes")</f>
        <v>Yes</v>
      </c>
      <c r="D379" s="5" t="str">
        <f>IFERROR(__xludf.DUMMYFUNCTION("""COMPUTED_VALUE"""),"Yes")</f>
        <v>Yes</v>
      </c>
      <c r="E379" s="5" t="str">
        <f>IFERROR(__xludf.DUMMYFUNCTION("""COMPUTED_VALUE"""),"No")</f>
        <v>No</v>
      </c>
      <c r="F379" s="5" t="str">
        <f>IFERROR(__xludf.DUMMYFUNCTION("""COMPUTED_VALUE"""),"Yes")</f>
        <v>Yes</v>
      </c>
      <c r="G379" s="5" t="str">
        <f>IFERROR(__xludf.DUMMYFUNCTION("""COMPUTED_VALUE"""),"Yes")</f>
        <v>Yes</v>
      </c>
      <c r="H379" s="5" t="str">
        <f>IFERROR(__xludf.DUMMYFUNCTION("""COMPUTED_VALUE"""),"Yes")</f>
        <v>Yes</v>
      </c>
      <c r="I379" s="5" t="str">
        <f>IFERROR(__xludf.DUMMYFUNCTION("""COMPUTED_VALUE"""),"Yes")</f>
        <v>Yes</v>
      </c>
      <c r="J379" s="5" t="str">
        <f>IFERROR(__xludf.DUMMYFUNCTION("""COMPUTED_VALUE"""),"Yes")</f>
        <v>Yes</v>
      </c>
      <c r="K379" s="5" t="str">
        <f>IFERROR(__xludf.DUMMYFUNCTION("""COMPUTED_VALUE"""),"Yes")</f>
        <v>Yes</v>
      </c>
      <c r="L379" s="5" t="str">
        <f>IFERROR(__xludf.DUMMYFUNCTION("""COMPUTED_VALUE"""),"Yes")</f>
        <v>Yes</v>
      </c>
      <c r="M379" s="5" t="str">
        <f>IFERROR(__xludf.DUMMYFUNCTION("""COMPUTED_VALUE"""),"Yes")</f>
        <v>Yes</v>
      </c>
      <c r="N379" s="5" t="str">
        <f>IFERROR(__xludf.DUMMYFUNCTION("""COMPUTED_VALUE"""),"Yes")</f>
        <v>Yes</v>
      </c>
      <c r="O379" s="5" t="str">
        <f>IFERROR(__xludf.DUMMYFUNCTION("""COMPUTED_VALUE"""),"Yes")</f>
        <v>Yes</v>
      </c>
      <c r="P379" s="5" t="str">
        <f>IFERROR(__xludf.DUMMYFUNCTION("""COMPUTED_VALUE"""),"Yes")</f>
        <v>Yes</v>
      </c>
      <c r="Q379" s="5" t="str">
        <f>IFERROR(__xludf.DUMMYFUNCTION("""COMPUTED_VALUE"""),"Yes")</f>
        <v>Yes</v>
      </c>
      <c r="R379" s="5" t="str">
        <f>IFERROR(__xludf.DUMMYFUNCTION("""COMPUTED_VALUE"""),"No")</f>
        <v>No</v>
      </c>
      <c r="S379" s="5" t="str">
        <f>IFERROR(__xludf.DUMMYFUNCTION("""COMPUTED_VALUE"""),"No")</f>
        <v>No</v>
      </c>
      <c r="T379" s="5" t="str">
        <f>IFERROR(__xludf.DUMMYFUNCTION("""COMPUTED_VALUE"""),"No")</f>
        <v>No</v>
      </c>
      <c r="U379" s="5" t="str">
        <f>IFERROR(__xludf.DUMMYFUNCTION("""COMPUTED_VALUE"""),"No")</f>
        <v>No</v>
      </c>
      <c r="V379" s="5" t="str">
        <f>IFERROR(__xludf.DUMMYFUNCTION("""COMPUTED_VALUE"""),"No")</f>
        <v>No</v>
      </c>
      <c r="W379" s="5" t="str">
        <f>IFERROR(__xludf.DUMMYFUNCTION("""COMPUTED_VALUE"""),"No")</f>
        <v>No</v>
      </c>
      <c r="X379" s="5" t="str">
        <f>IFERROR(__xludf.DUMMYFUNCTION("""COMPUTED_VALUE"""),"No")</f>
        <v>No</v>
      </c>
      <c r="Y379" s="5" t="str">
        <f>IFERROR(__xludf.DUMMYFUNCTION("""COMPUTED_VALUE"""),"No")</f>
        <v>No</v>
      </c>
      <c r="Z379" s="5" t="str">
        <f>IFERROR(__xludf.DUMMYFUNCTION("""COMPUTED_VALUE"""),"No")</f>
        <v>No</v>
      </c>
      <c r="AA379" s="5" t="str">
        <f>IFERROR(__xludf.DUMMYFUNCTION("""COMPUTED_VALUE"""),"No")</f>
        <v>No</v>
      </c>
      <c r="AB379" s="5" t="str">
        <f>IFERROR(__xludf.DUMMYFUNCTION("""COMPUTED_VALUE"""),"Yes")</f>
        <v>Yes</v>
      </c>
      <c r="AC379" s="5" t="str">
        <f>IFERROR(__xludf.DUMMYFUNCTION("""COMPUTED_VALUE"""),"No")</f>
        <v>No</v>
      </c>
    </row>
    <row r="380">
      <c r="A380" s="5" t="str">
        <f>IFERROR(__xludf.DUMMYFUNCTION("""COMPUTED_VALUE"""),"PlayNet27WildStacks")</f>
        <v>PlayNet27WildStacks</v>
      </c>
      <c r="B38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0" s="5" t="str">
        <f>IFERROR(__xludf.DUMMYFUNCTION("""COMPUTED_VALUE"""),"Yes")</f>
        <v>Yes</v>
      </c>
      <c r="D380" s="5" t="str">
        <f>IFERROR(__xludf.DUMMYFUNCTION("""COMPUTED_VALUE"""),"Yes")</f>
        <v>Yes</v>
      </c>
      <c r="E380" s="5" t="str">
        <f>IFERROR(__xludf.DUMMYFUNCTION("""COMPUTED_VALUE"""),"Yes")</f>
        <v>Yes</v>
      </c>
      <c r="F380" s="5" t="str">
        <f>IFERROR(__xludf.DUMMYFUNCTION("""COMPUTED_VALUE"""),"Yes")</f>
        <v>Yes</v>
      </c>
      <c r="G380" s="5" t="str">
        <f>IFERROR(__xludf.DUMMYFUNCTION("""COMPUTED_VALUE"""),"Yes")</f>
        <v>Yes</v>
      </c>
      <c r="H380" s="5" t="str">
        <f>IFERROR(__xludf.DUMMYFUNCTION("""COMPUTED_VALUE"""),"Yes")</f>
        <v>Yes</v>
      </c>
      <c r="I380" s="5" t="str">
        <f>IFERROR(__xludf.DUMMYFUNCTION("""COMPUTED_VALUE"""),"Yes")</f>
        <v>Yes</v>
      </c>
      <c r="J380" s="5" t="str">
        <f>IFERROR(__xludf.DUMMYFUNCTION("""COMPUTED_VALUE"""),"Yes")</f>
        <v>Yes</v>
      </c>
      <c r="K380" s="5" t="str">
        <f>IFERROR(__xludf.DUMMYFUNCTION("""COMPUTED_VALUE"""),"Yes")</f>
        <v>Yes</v>
      </c>
      <c r="L380" s="5" t="str">
        <f>IFERROR(__xludf.DUMMYFUNCTION("""COMPUTED_VALUE"""),"Yes")</f>
        <v>Yes</v>
      </c>
      <c r="M380" s="5" t="str">
        <f>IFERROR(__xludf.DUMMYFUNCTION("""COMPUTED_VALUE"""),"Yes")</f>
        <v>Yes</v>
      </c>
      <c r="N380" s="5" t="str">
        <f>IFERROR(__xludf.DUMMYFUNCTION("""COMPUTED_VALUE"""),"Yes")</f>
        <v>Yes</v>
      </c>
      <c r="O380" s="5" t="str">
        <f>IFERROR(__xludf.DUMMYFUNCTION("""COMPUTED_VALUE"""),"Yes")</f>
        <v>Yes</v>
      </c>
      <c r="P380" s="5" t="str">
        <f>IFERROR(__xludf.DUMMYFUNCTION("""COMPUTED_VALUE"""),"Yes")</f>
        <v>Yes</v>
      </c>
      <c r="Q380" s="5" t="str">
        <f>IFERROR(__xludf.DUMMYFUNCTION("""COMPUTED_VALUE"""),"Yes")</f>
        <v>Yes</v>
      </c>
      <c r="R380" s="5" t="str">
        <f>IFERROR(__xludf.DUMMYFUNCTION("""COMPUTED_VALUE"""),"No")</f>
        <v>No</v>
      </c>
      <c r="S380" s="5" t="str">
        <f>IFERROR(__xludf.DUMMYFUNCTION("""COMPUTED_VALUE"""),"No")</f>
        <v>No</v>
      </c>
      <c r="T380" s="5" t="str">
        <f>IFERROR(__xludf.DUMMYFUNCTION("""COMPUTED_VALUE"""),"No")</f>
        <v>No</v>
      </c>
      <c r="U380" s="5" t="str">
        <f>IFERROR(__xludf.DUMMYFUNCTION("""COMPUTED_VALUE"""),"No")</f>
        <v>No</v>
      </c>
      <c r="V380" s="5"/>
      <c r="W380" s="5"/>
      <c r="X380" s="5"/>
      <c r="Y380" s="5"/>
      <c r="Z380" s="5" t="str">
        <f>IFERROR(__xludf.DUMMYFUNCTION("""COMPUTED_VALUE"""),"No")</f>
        <v>No</v>
      </c>
      <c r="AA380" s="5"/>
      <c r="AB380" s="5" t="str">
        <f>IFERROR(__xludf.DUMMYFUNCTION("""COMPUTED_VALUE"""),"Yes")</f>
        <v>Yes</v>
      </c>
      <c r="AC380" s="5"/>
    </row>
    <row r="381">
      <c r="A381" s="5" t="str">
        <f>IFERROR(__xludf.DUMMYFUNCTION("""COMPUTED_VALUE"""),"PlayNetDashingHot5")</f>
        <v>PlayNetDashingHot5</v>
      </c>
      <c r="B381"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1" s="5" t="str">
        <f>IFERROR(__xludf.DUMMYFUNCTION("""COMPUTED_VALUE"""),"Yes")</f>
        <v>Yes</v>
      </c>
      <c r="D381" s="5" t="str">
        <f>IFERROR(__xludf.DUMMYFUNCTION("""COMPUTED_VALUE"""),"Yes")</f>
        <v>Yes</v>
      </c>
      <c r="E381" s="5" t="str">
        <f>IFERROR(__xludf.DUMMYFUNCTION("""COMPUTED_VALUE"""),"Yes")</f>
        <v>Yes</v>
      </c>
      <c r="F381" s="5" t="str">
        <f>IFERROR(__xludf.DUMMYFUNCTION("""COMPUTED_VALUE"""),"No")</f>
        <v>No</v>
      </c>
      <c r="G381" s="5" t="str">
        <f>IFERROR(__xludf.DUMMYFUNCTION("""COMPUTED_VALUE"""),"No")</f>
        <v>No</v>
      </c>
      <c r="H381" s="5" t="str">
        <f>IFERROR(__xludf.DUMMYFUNCTION("""COMPUTED_VALUE"""),"No")</f>
        <v>No</v>
      </c>
      <c r="I381" s="5" t="str">
        <f>IFERROR(__xludf.DUMMYFUNCTION("""COMPUTED_VALUE"""),"No")</f>
        <v>No</v>
      </c>
      <c r="J381" s="5" t="str">
        <f>IFERROR(__xludf.DUMMYFUNCTION("""COMPUTED_VALUE"""),"No")</f>
        <v>No</v>
      </c>
      <c r="K381" s="5" t="str">
        <f>IFERROR(__xludf.DUMMYFUNCTION("""COMPUTED_VALUE"""),"Yes")</f>
        <v>Yes</v>
      </c>
      <c r="L381" s="5" t="str">
        <f>IFERROR(__xludf.DUMMYFUNCTION("""COMPUTED_VALUE"""),"Yes")</f>
        <v>Yes</v>
      </c>
      <c r="M381" s="5" t="str">
        <f>IFERROR(__xludf.DUMMYFUNCTION("""COMPUTED_VALUE"""),"Yes")</f>
        <v>Yes</v>
      </c>
      <c r="N381" s="5" t="str">
        <f>IFERROR(__xludf.DUMMYFUNCTION("""COMPUTED_VALUE"""),"Yes")</f>
        <v>Yes</v>
      </c>
      <c r="O381" s="5" t="str">
        <f>IFERROR(__xludf.DUMMYFUNCTION("""COMPUTED_VALUE"""),"Yes")</f>
        <v>Yes</v>
      </c>
      <c r="P381" s="5" t="str">
        <f>IFERROR(__xludf.DUMMYFUNCTION("""COMPUTED_VALUE"""),"No")</f>
        <v>No</v>
      </c>
      <c r="Q381" s="5" t="str">
        <f>IFERROR(__xludf.DUMMYFUNCTION("""COMPUTED_VALUE"""),"Yes")</f>
        <v>Yes</v>
      </c>
      <c r="R381" s="5" t="str">
        <f>IFERROR(__xludf.DUMMYFUNCTION("""COMPUTED_VALUE"""),"No")</f>
        <v>No</v>
      </c>
      <c r="S381" s="5" t="str">
        <f>IFERROR(__xludf.DUMMYFUNCTION("""COMPUTED_VALUE"""),"No")</f>
        <v>No</v>
      </c>
      <c r="T381" s="5" t="str">
        <f>IFERROR(__xludf.DUMMYFUNCTION("""COMPUTED_VALUE"""),"No")</f>
        <v>No</v>
      </c>
      <c r="U381" s="5" t="str">
        <f>IFERROR(__xludf.DUMMYFUNCTION("""COMPUTED_VALUE"""),"No")</f>
        <v>No</v>
      </c>
      <c r="V381" s="5"/>
      <c r="W381" s="5"/>
      <c r="X381" s="5"/>
      <c r="Y381" s="5"/>
      <c r="Z381" s="5" t="str">
        <f>IFERROR(__xludf.DUMMYFUNCTION("""COMPUTED_VALUE"""),"No")</f>
        <v>No</v>
      </c>
      <c r="AA381" s="5"/>
      <c r="AB381" s="5"/>
      <c r="AC381" s="5"/>
    </row>
    <row r="382">
      <c r="A382" s="5" t="str">
        <f>IFERROR(__xludf.DUMMYFUNCTION("""COMPUTED_VALUE"""),"Unicorn20HotStrikeJackpot")</f>
        <v>Unicorn20HotStrikeJackpot</v>
      </c>
      <c r="B382"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2" s="5" t="str">
        <f>IFERROR(__xludf.DUMMYFUNCTION("""COMPUTED_VALUE"""),"Yes")</f>
        <v>Yes</v>
      </c>
      <c r="D382" s="5" t="str">
        <f>IFERROR(__xludf.DUMMYFUNCTION("""COMPUTED_VALUE"""),"Yes")</f>
        <v>Yes</v>
      </c>
      <c r="E382" s="5" t="str">
        <f>IFERROR(__xludf.DUMMYFUNCTION("""COMPUTED_VALUE"""),"Yes")</f>
        <v>Yes</v>
      </c>
      <c r="F382" s="5" t="str">
        <f>IFERROR(__xludf.DUMMYFUNCTION("""COMPUTED_VALUE"""),"No")</f>
        <v>No</v>
      </c>
      <c r="G382" s="5" t="str">
        <f>IFERROR(__xludf.DUMMYFUNCTION("""COMPUTED_VALUE"""),"No")</f>
        <v>No</v>
      </c>
      <c r="H382" s="5" t="str">
        <f>IFERROR(__xludf.DUMMYFUNCTION("""COMPUTED_VALUE"""),"No")</f>
        <v>No</v>
      </c>
      <c r="I382" s="5" t="str">
        <f>IFERROR(__xludf.DUMMYFUNCTION("""COMPUTED_VALUE"""),"No")</f>
        <v>No</v>
      </c>
      <c r="J382" s="5" t="str">
        <f>IFERROR(__xludf.DUMMYFUNCTION("""COMPUTED_VALUE"""),"No")</f>
        <v>No</v>
      </c>
      <c r="K382" s="5" t="str">
        <f>IFERROR(__xludf.DUMMYFUNCTION("""COMPUTED_VALUE"""),"Yes")</f>
        <v>Yes</v>
      </c>
      <c r="L382" s="5" t="str">
        <f>IFERROR(__xludf.DUMMYFUNCTION("""COMPUTED_VALUE"""),"Yes")</f>
        <v>Yes</v>
      </c>
      <c r="M382" s="5" t="str">
        <f>IFERROR(__xludf.DUMMYFUNCTION("""COMPUTED_VALUE"""),"Yes")</f>
        <v>Yes</v>
      </c>
      <c r="N382" s="5" t="str">
        <f>IFERROR(__xludf.DUMMYFUNCTION("""COMPUTED_VALUE"""),"Yes")</f>
        <v>Yes</v>
      </c>
      <c r="O382" s="5" t="str">
        <f>IFERROR(__xludf.DUMMYFUNCTION("""COMPUTED_VALUE"""),"Yes")</f>
        <v>Yes</v>
      </c>
      <c r="P382" s="5" t="str">
        <f>IFERROR(__xludf.DUMMYFUNCTION("""COMPUTED_VALUE"""),"No")</f>
        <v>No</v>
      </c>
      <c r="Q382" s="5" t="str">
        <f>IFERROR(__xludf.DUMMYFUNCTION("""COMPUTED_VALUE"""),"Yes")</f>
        <v>Yes</v>
      </c>
      <c r="R382" s="5" t="str">
        <f>IFERROR(__xludf.DUMMYFUNCTION("""COMPUTED_VALUE"""),"No")</f>
        <v>No</v>
      </c>
      <c r="S382" s="5" t="str">
        <f>IFERROR(__xludf.DUMMYFUNCTION("""COMPUTED_VALUE"""),"No")</f>
        <v>No</v>
      </c>
      <c r="T382" s="5" t="str">
        <f>IFERROR(__xludf.DUMMYFUNCTION("""COMPUTED_VALUE"""),"No")</f>
        <v>No</v>
      </c>
      <c r="U382" s="5" t="str">
        <f>IFERROR(__xludf.DUMMYFUNCTION("""COMPUTED_VALUE"""),"No")</f>
        <v>No</v>
      </c>
      <c r="V382" s="5"/>
      <c r="W382" s="5"/>
      <c r="X382" s="5" t="str">
        <f>IFERROR(__xludf.DUMMYFUNCTION("""COMPUTED_VALUE"""),"No")</f>
        <v>No</v>
      </c>
      <c r="Y382" s="5"/>
      <c r="Z382" s="5" t="str">
        <f>IFERROR(__xludf.DUMMYFUNCTION("""COMPUTED_VALUE"""),"No")</f>
        <v>No</v>
      </c>
      <c r="AA382" s="5"/>
      <c r="AB382" s="5"/>
      <c r="AC382" s="5"/>
    </row>
    <row r="383">
      <c r="A383" s="5" t="str">
        <f>IFERROR(__xludf.DUMMYFUNCTION("""COMPUTED_VALUE"""),"Redstone5WildFire")</f>
        <v>Redstone5WildFire</v>
      </c>
      <c r="B38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3" s="5" t="str">
        <f>IFERROR(__xludf.DUMMYFUNCTION("""COMPUTED_VALUE"""),"Yes")</f>
        <v>Yes</v>
      </c>
      <c r="D383" s="5" t="str">
        <f>IFERROR(__xludf.DUMMYFUNCTION("""COMPUTED_VALUE"""),"Yes")</f>
        <v>Yes</v>
      </c>
      <c r="E383" s="5" t="str">
        <f>IFERROR(__xludf.DUMMYFUNCTION("""COMPUTED_VALUE"""),"Yes")</f>
        <v>Yes</v>
      </c>
      <c r="F383" s="5" t="str">
        <f>IFERROR(__xludf.DUMMYFUNCTION("""COMPUTED_VALUE"""),"Yes")</f>
        <v>Yes</v>
      </c>
      <c r="G383" s="5" t="str">
        <f>IFERROR(__xludf.DUMMYFUNCTION("""COMPUTED_VALUE"""),"Yes")</f>
        <v>Yes</v>
      </c>
      <c r="H383" s="5" t="str">
        <f>IFERROR(__xludf.DUMMYFUNCTION("""COMPUTED_VALUE"""),"Yes")</f>
        <v>Yes</v>
      </c>
      <c r="I383" s="5" t="str">
        <f>IFERROR(__xludf.DUMMYFUNCTION("""COMPUTED_VALUE"""),"Yes")</f>
        <v>Yes</v>
      </c>
      <c r="J383" s="5" t="str">
        <f>IFERROR(__xludf.DUMMYFUNCTION("""COMPUTED_VALUE"""),"Yes")</f>
        <v>Yes</v>
      </c>
      <c r="K383" s="5" t="str">
        <f>IFERROR(__xludf.DUMMYFUNCTION("""COMPUTED_VALUE"""),"Yes")</f>
        <v>Yes</v>
      </c>
      <c r="L383" s="5" t="str">
        <f>IFERROR(__xludf.DUMMYFUNCTION("""COMPUTED_VALUE"""),"Yes")</f>
        <v>Yes</v>
      </c>
      <c r="M383" s="5" t="str">
        <f>IFERROR(__xludf.DUMMYFUNCTION("""COMPUTED_VALUE"""),"Yes")</f>
        <v>Yes</v>
      </c>
      <c r="N383" s="5" t="str">
        <f>IFERROR(__xludf.DUMMYFUNCTION("""COMPUTED_VALUE"""),"Yes")</f>
        <v>Yes</v>
      </c>
      <c r="O383" s="5" t="str">
        <f>IFERROR(__xludf.DUMMYFUNCTION("""COMPUTED_VALUE"""),"Yes")</f>
        <v>Yes</v>
      </c>
      <c r="P383" s="5" t="str">
        <f>IFERROR(__xludf.DUMMYFUNCTION("""COMPUTED_VALUE"""),"Yes")</f>
        <v>Yes</v>
      </c>
      <c r="Q383" s="5" t="str">
        <f>IFERROR(__xludf.DUMMYFUNCTION("""COMPUTED_VALUE"""),"Yes")</f>
        <v>Yes</v>
      </c>
      <c r="R383" s="5" t="str">
        <f>IFERROR(__xludf.DUMMYFUNCTION("""COMPUTED_VALUE"""),"Yes")</f>
        <v>Yes</v>
      </c>
      <c r="S383" s="5" t="str">
        <f>IFERROR(__xludf.DUMMYFUNCTION("""COMPUTED_VALUE"""),"Yes")</f>
        <v>Yes</v>
      </c>
      <c r="T383" s="5" t="str">
        <f>IFERROR(__xludf.DUMMYFUNCTION("""COMPUTED_VALUE"""),"Yes")</f>
        <v>Yes</v>
      </c>
      <c r="U383" s="5" t="str">
        <f>IFERROR(__xludf.DUMMYFUNCTION("""COMPUTED_VALUE"""),"Yes")</f>
        <v>Yes</v>
      </c>
      <c r="V383" s="5"/>
      <c r="W383" s="5"/>
      <c r="X383" s="5"/>
      <c r="Y383" s="5"/>
      <c r="Z383" s="5" t="str">
        <f>IFERROR(__xludf.DUMMYFUNCTION("""COMPUTED_VALUE"""),"Yes")</f>
        <v>Yes</v>
      </c>
      <c r="AA383" s="5"/>
      <c r="AB383" s="5"/>
      <c r="AC383" s="5"/>
    </row>
    <row r="384">
      <c r="A384" s="5" t="str">
        <f>IFERROR(__xludf.DUMMYFUNCTION("""COMPUTED_VALUE"""),"PlayNetWildForties")</f>
        <v>PlayNetWildForties</v>
      </c>
      <c r="B384"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84" s="5" t="str">
        <f>IFERROR(__xludf.DUMMYFUNCTION("""COMPUTED_VALUE"""),"Yes")</f>
        <v>Yes</v>
      </c>
      <c r="D384" s="5" t="str">
        <f>IFERROR(__xludf.DUMMYFUNCTION("""COMPUTED_VALUE"""),"Yes")</f>
        <v>Yes</v>
      </c>
      <c r="E384" s="5" t="str">
        <f>IFERROR(__xludf.DUMMYFUNCTION("""COMPUTED_VALUE"""),"No")</f>
        <v>No</v>
      </c>
      <c r="F384" s="5" t="str">
        <f>IFERROR(__xludf.DUMMYFUNCTION("""COMPUTED_VALUE"""),"Yes")</f>
        <v>Yes</v>
      </c>
      <c r="G384" s="5" t="str">
        <f>IFERROR(__xludf.DUMMYFUNCTION("""COMPUTED_VALUE"""),"Yes")</f>
        <v>Yes</v>
      </c>
      <c r="H384" s="5" t="str">
        <f>IFERROR(__xludf.DUMMYFUNCTION("""COMPUTED_VALUE"""),"Yes")</f>
        <v>Yes</v>
      </c>
      <c r="I384" s="5" t="str">
        <f>IFERROR(__xludf.DUMMYFUNCTION("""COMPUTED_VALUE"""),"Yes")</f>
        <v>Yes</v>
      </c>
      <c r="J384" s="5" t="str">
        <f>IFERROR(__xludf.DUMMYFUNCTION("""COMPUTED_VALUE"""),"Yes")</f>
        <v>Yes</v>
      </c>
      <c r="K384" s="5" t="str">
        <f>IFERROR(__xludf.DUMMYFUNCTION("""COMPUTED_VALUE"""),"Yes")</f>
        <v>Yes</v>
      </c>
      <c r="L384" s="5" t="str">
        <f>IFERROR(__xludf.DUMMYFUNCTION("""COMPUTED_VALUE"""),"Yes")</f>
        <v>Yes</v>
      </c>
      <c r="M384" s="5" t="str">
        <f>IFERROR(__xludf.DUMMYFUNCTION("""COMPUTED_VALUE"""),"Yes")</f>
        <v>Yes</v>
      </c>
      <c r="N384" s="5" t="str">
        <f>IFERROR(__xludf.DUMMYFUNCTION("""COMPUTED_VALUE"""),"Yes")</f>
        <v>Yes</v>
      </c>
      <c r="O384" s="5" t="str">
        <f>IFERROR(__xludf.DUMMYFUNCTION("""COMPUTED_VALUE"""),"Yes")</f>
        <v>Yes</v>
      </c>
      <c r="P384" s="5" t="str">
        <f>IFERROR(__xludf.DUMMYFUNCTION("""COMPUTED_VALUE"""),"Yes")</f>
        <v>Yes</v>
      </c>
      <c r="Q384" s="5" t="str">
        <f>IFERROR(__xludf.DUMMYFUNCTION("""COMPUTED_VALUE"""),"Yes")</f>
        <v>Yes</v>
      </c>
      <c r="R384" s="5" t="str">
        <f>IFERROR(__xludf.DUMMYFUNCTION("""COMPUTED_VALUE"""),"No")</f>
        <v>No</v>
      </c>
      <c r="S384" s="5" t="str">
        <f>IFERROR(__xludf.DUMMYFUNCTION("""COMPUTED_VALUE"""),"No")</f>
        <v>No</v>
      </c>
      <c r="T384" s="5" t="str">
        <f>IFERROR(__xludf.DUMMYFUNCTION("""COMPUTED_VALUE"""),"No")</f>
        <v>No</v>
      </c>
      <c r="U384" s="5" t="str">
        <f>IFERROR(__xludf.DUMMYFUNCTION("""COMPUTED_VALUE"""),"No")</f>
        <v>No</v>
      </c>
      <c r="V384" s="5" t="str">
        <f>IFERROR(__xludf.DUMMYFUNCTION("""COMPUTED_VALUE"""),"No")</f>
        <v>No</v>
      </c>
      <c r="W384" s="5" t="str">
        <f>IFERROR(__xludf.DUMMYFUNCTION("""COMPUTED_VALUE"""),"No")</f>
        <v>No</v>
      </c>
      <c r="X384" s="5" t="str">
        <f>IFERROR(__xludf.DUMMYFUNCTION("""COMPUTED_VALUE"""),"No")</f>
        <v>No</v>
      </c>
      <c r="Y384" s="5" t="str">
        <f>IFERROR(__xludf.DUMMYFUNCTION("""COMPUTED_VALUE"""),"No")</f>
        <v>No</v>
      </c>
      <c r="Z384" s="5" t="str">
        <f>IFERROR(__xludf.DUMMYFUNCTION("""COMPUTED_VALUE"""),"No")</f>
        <v>No</v>
      </c>
      <c r="AA384" s="5" t="str">
        <f>IFERROR(__xludf.DUMMYFUNCTION("""COMPUTED_VALUE"""),"No")</f>
        <v>No</v>
      </c>
      <c r="AB384" s="5" t="str">
        <f>IFERROR(__xludf.DUMMYFUNCTION("""COMPUTED_VALUE"""),"Yes")</f>
        <v>Yes</v>
      </c>
      <c r="AC384" s="5" t="str">
        <f>IFERROR(__xludf.DUMMYFUNCTION("""COMPUTED_VALUE"""),"No")</f>
        <v>No</v>
      </c>
    </row>
    <row r="385">
      <c r="A385" s="5" t="str">
        <f>IFERROR(__xludf.DUMMYFUNCTION("""COMPUTED_VALUE"""),"UnicornHitLineDice")</f>
        <v>UnicornHitLineDice</v>
      </c>
      <c r="B385"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5" s="5" t="str">
        <f>IFERROR(__xludf.DUMMYFUNCTION("""COMPUTED_VALUE"""),"Yes")</f>
        <v>Yes</v>
      </c>
      <c r="D385" s="5" t="str">
        <f>IFERROR(__xludf.DUMMYFUNCTION("""COMPUTED_VALUE"""),"Yes")</f>
        <v>Yes</v>
      </c>
      <c r="E385" s="5" t="str">
        <f>IFERROR(__xludf.DUMMYFUNCTION("""COMPUTED_VALUE"""),"Yes")</f>
        <v>Yes</v>
      </c>
      <c r="F385" s="5" t="str">
        <f>IFERROR(__xludf.DUMMYFUNCTION("""COMPUTED_VALUE"""),"No")</f>
        <v>No</v>
      </c>
      <c r="G385" s="5" t="str">
        <f>IFERROR(__xludf.DUMMYFUNCTION("""COMPUTED_VALUE"""),"No")</f>
        <v>No</v>
      </c>
      <c r="H385" s="5" t="str">
        <f>IFERROR(__xludf.DUMMYFUNCTION("""COMPUTED_VALUE"""),"No")</f>
        <v>No</v>
      </c>
      <c r="I385" s="5" t="str">
        <f>IFERROR(__xludf.DUMMYFUNCTION("""COMPUTED_VALUE"""),"No")</f>
        <v>No</v>
      </c>
      <c r="J385" s="5" t="str">
        <f>IFERROR(__xludf.DUMMYFUNCTION("""COMPUTED_VALUE"""),"No")</f>
        <v>No</v>
      </c>
      <c r="K385" s="5" t="str">
        <f>IFERROR(__xludf.DUMMYFUNCTION("""COMPUTED_VALUE"""),"Yes")</f>
        <v>Yes</v>
      </c>
      <c r="L385" s="5" t="str">
        <f>IFERROR(__xludf.DUMMYFUNCTION("""COMPUTED_VALUE"""),"Yes")</f>
        <v>Yes</v>
      </c>
      <c r="M385" s="5" t="str">
        <f>IFERROR(__xludf.DUMMYFUNCTION("""COMPUTED_VALUE"""),"Yes")</f>
        <v>Yes</v>
      </c>
      <c r="N385" s="5" t="str">
        <f>IFERROR(__xludf.DUMMYFUNCTION("""COMPUTED_VALUE"""),"Yes")</f>
        <v>Yes</v>
      </c>
      <c r="O385" s="5" t="str">
        <f>IFERROR(__xludf.DUMMYFUNCTION("""COMPUTED_VALUE"""),"Yes")</f>
        <v>Yes</v>
      </c>
      <c r="P385" s="5" t="str">
        <f>IFERROR(__xludf.DUMMYFUNCTION("""COMPUTED_VALUE"""),"No")</f>
        <v>No</v>
      </c>
      <c r="Q385" s="5" t="str">
        <f>IFERROR(__xludf.DUMMYFUNCTION("""COMPUTED_VALUE"""),"Yes")</f>
        <v>Yes</v>
      </c>
      <c r="R385" s="5" t="str">
        <f>IFERROR(__xludf.DUMMYFUNCTION("""COMPUTED_VALUE"""),"No")</f>
        <v>No</v>
      </c>
      <c r="S385" s="5" t="str">
        <f>IFERROR(__xludf.DUMMYFUNCTION("""COMPUTED_VALUE"""),"No")</f>
        <v>No</v>
      </c>
      <c r="T385" s="5" t="str">
        <f>IFERROR(__xludf.DUMMYFUNCTION("""COMPUTED_VALUE"""),"No")</f>
        <v>No</v>
      </c>
      <c r="U385" s="5" t="str">
        <f>IFERROR(__xludf.DUMMYFUNCTION("""COMPUTED_VALUE"""),"No")</f>
        <v>No</v>
      </c>
      <c r="V385" s="5"/>
      <c r="W385" s="5"/>
      <c r="X385" s="5"/>
      <c r="Y385" s="5"/>
      <c r="Z385" s="5" t="str">
        <f>IFERROR(__xludf.DUMMYFUNCTION("""COMPUTED_VALUE"""),"No")</f>
        <v>No</v>
      </c>
      <c r="AA385" s="5"/>
      <c r="AB385" s="5"/>
      <c r="AC385" s="5"/>
    </row>
    <row r="386">
      <c r="A386" s="5" t="str">
        <f>IFERROR(__xludf.DUMMYFUNCTION("""COMPUTED_VALUE"""),"PlayNetBookOfAmun")</f>
        <v>PlayNetBookOfAmun</v>
      </c>
      <c r="B38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6" s="5" t="str">
        <f>IFERROR(__xludf.DUMMYFUNCTION("""COMPUTED_VALUE"""),"Yes")</f>
        <v>Yes</v>
      </c>
      <c r="D386" s="5" t="str">
        <f>IFERROR(__xludf.DUMMYFUNCTION("""COMPUTED_VALUE"""),"Yes")</f>
        <v>Yes</v>
      </c>
      <c r="E386" s="5" t="str">
        <f>IFERROR(__xludf.DUMMYFUNCTION("""COMPUTED_VALUE"""),"Yes")</f>
        <v>Yes</v>
      </c>
      <c r="F386" s="5" t="str">
        <f>IFERROR(__xludf.DUMMYFUNCTION("""COMPUTED_VALUE"""),"Yes")</f>
        <v>Yes</v>
      </c>
      <c r="G386" s="5" t="str">
        <f>IFERROR(__xludf.DUMMYFUNCTION("""COMPUTED_VALUE"""),"Yes")</f>
        <v>Yes</v>
      </c>
      <c r="H386" s="5" t="str">
        <f>IFERROR(__xludf.DUMMYFUNCTION("""COMPUTED_VALUE"""),"Yes")</f>
        <v>Yes</v>
      </c>
      <c r="I386" s="5" t="str">
        <f>IFERROR(__xludf.DUMMYFUNCTION("""COMPUTED_VALUE"""),"Yes")</f>
        <v>Yes</v>
      </c>
      <c r="J386" s="5" t="str">
        <f>IFERROR(__xludf.DUMMYFUNCTION("""COMPUTED_VALUE"""),"Yes")</f>
        <v>Yes</v>
      </c>
      <c r="K386" s="5" t="str">
        <f>IFERROR(__xludf.DUMMYFUNCTION("""COMPUTED_VALUE"""),"Yes")</f>
        <v>Yes</v>
      </c>
      <c r="L386" s="5" t="str">
        <f>IFERROR(__xludf.DUMMYFUNCTION("""COMPUTED_VALUE"""),"Yes")</f>
        <v>Yes</v>
      </c>
      <c r="M386" s="5" t="str">
        <f>IFERROR(__xludf.DUMMYFUNCTION("""COMPUTED_VALUE"""),"Yes")</f>
        <v>Yes</v>
      </c>
      <c r="N386" s="5" t="str">
        <f>IFERROR(__xludf.DUMMYFUNCTION("""COMPUTED_VALUE"""),"Yes")</f>
        <v>Yes</v>
      </c>
      <c r="O386" s="5" t="str">
        <f>IFERROR(__xludf.DUMMYFUNCTION("""COMPUTED_VALUE"""),"Yes")</f>
        <v>Yes</v>
      </c>
      <c r="P386" s="5" t="str">
        <f>IFERROR(__xludf.DUMMYFUNCTION("""COMPUTED_VALUE"""),"Yes")</f>
        <v>Yes</v>
      </c>
      <c r="Q386" s="5" t="str">
        <f>IFERROR(__xludf.DUMMYFUNCTION("""COMPUTED_VALUE"""),"Yes")</f>
        <v>Yes</v>
      </c>
      <c r="R386" s="5" t="str">
        <f>IFERROR(__xludf.DUMMYFUNCTION("""COMPUTED_VALUE"""),"No")</f>
        <v>No</v>
      </c>
      <c r="S386" s="5" t="str">
        <f>IFERROR(__xludf.DUMMYFUNCTION("""COMPUTED_VALUE"""),"No")</f>
        <v>No</v>
      </c>
      <c r="T386" s="5" t="str">
        <f>IFERROR(__xludf.DUMMYFUNCTION("""COMPUTED_VALUE"""),"No")</f>
        <v>No</v>
      </c>
      <c r="U386" s="5" t="str">
        <f>IFERROR(__xludf.DUMMYFUNCTION("""COMPUTED_VALUE"""),"No")</f>
        <v>No</v>
      </c>
      <c r="V386" s="5"/>
      <c r="W386" s="5"/>
      <c r="X386" s="5"/>
      <c r="Y386" s="5"/>
      <c r="Z386" s="5" t="str">
        <f>IFERROR(__xludf.DUMMYFUNCTION("""COMPUTED_VALUE"""),"No")</f>
        <v>No</v>
      </c>
      <c r="AA386" s="5"/>
      <c r="AB386" s="5" t="str">
        <f>IFERROR(__xludf.DUMMYFUNCTION("""COMPUTED_VALUE"""),"Yes")</f>
        <v>Yes</v>
      </c>
      <c r="AC386" s="5"/>
    </row>
    <row r="387">
      <c r="A387" s="5" t="str">
        <f>IFERROR(__xludf.DUMMYFUNCTION("""COMPUTED_VALUE"""),"Redstone81DoubleMagic")</f>
        <v>Redstone81DoubleMagic</v>
      </c>
      <c r="B387"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387" s="5" t="str">
        <f>IFERROR(__xludf.DUMMYFUNCTION("""COMPUTED_VALUE"""),"Yes")</f>
        <v>Yes</v>
      </c>
      <c r="D387" s="5" t="str">
        <f>IFERROR(__xludf.DUMMYFUNCTION("""COMPUTED_VALUE"""),"Yes")</f>
        <v>Yes</v>
      </c>
      <c r="E387" s="5" t="str">
        <f>IFERROR(__xludf.DUMMYFUNCTION("""COMPUTED_VALUE"""),"Yes")</f>
        <v>Yes</v>
      </c>
      <c r="F387" s="5" t="str">
        <f>IFERROR(__xludf.DUMMYFUNCTION("""COMPUTED_VALUE"""),"No")</f>
        <v>No</v>
      </c>
      <c r="G387" s="5" t="str">
        <f>IFERROR(__xludf.DUMMYFUNCTION("""COMPUTED_VALUE"""),"No")</f>
        <v>No</v>
      </c>
      <c r="H387" s="5" t="str">
        <f>IFERROR(__xludf.DUMMYFUNCTION("""COMPUTED_VALUE"""),"No")</f>
        <v>No</v>
      </c>
      <c r="I387" s="5" t="str">
        <f>IFERROR(__xludf.DUMMYFUNCTION("""COMPUTED_VALUE"""),"No")</f>
        <v>No</v>
      </c>
      <c r="J387" s="5" t="str">
        <f>IFERROR(__xludf.DUMMYFUNCTION("""COMPUTED_VALUE"""),"No")</f>
        <v>No</v>
      </c>
      <c r="K387" s="5" t="str">
        <f>IFERROR(__xludf.DUMMYFUNCTION("""COMPUTED_VALUE"""),"Yes")</f>
        <v>Yes</v>
      </c>
      <c r="L387" s="5" t="str">
        <f>IFERROR(__xludf.DUMMYFUNCTION("""COMPUTED_VALUE"""),"Yes")</f>
        <v>Yes</v>
      </c>
      <c r="M387" s="5" t="str">
        <f>IFERROR(__xludf.DUMMYFUNCTION("""COMPUTED_VALUE"""),"Yes")</f>
        <v>Yes</v>
      </c>
      <c r="N387" s="5" t="str">
        <f>IFERROR(__xludf.DUMMYFUNCTION("""COMPUTED_VALUE"""),"Yes")</f>
        <v>Yes</v>
      </c>
      <c r="O387" s="5" t="str">
        <f>IFERROR(__xludf.DUMMYFUNCTION("""COMPUTED_VALUE"""),"Yes")</f>
        <v>Yes</v>
      </c>
      <c r="P387" s="5" t="str">
        <f>IFERROR(__xludf.DUMMYFUNCTION("""COMPUTED_VALUE"""),"No")</f>
        <v>No</v>
      </c>
      <c r="Q387" s="5" t="str">
        <f>IFERROR(__xludf.DUMMYFUNCTION("""COMPUTED_VALUE"""),"Yes")</f>
        <v>Yes</v>
      </c>
      <c r="R387" s="5" t="str">
        <f>IFERROR(__xludf.DUMMYFUNCTION("""COMPUTED_VALUE"""),"No")</f>
        <v>No</v>
      </c>
      <c r="S387" s="5" t="str">
        <f>IFERROR(__xludf.DUMMYFUNCTION("""COMPUTED_VALUE"""),"No")</f>
        <v>No</v>
      </c>
      <c r="T387" s="5" t="str">
        <f>IFERROR(__xludf.DUMMYFUNCTION("""COMPUTED_VALUE"""),"No")</f>
        <v>No</v>
      </c>
      <c r="U387" s="5" t="str">
        <f>IFERROR(__xludf.DUMMYFUNCTION("""COMPUTED_VALUE"""),"No")</f>
        <v>No</v>
      </c>
      <c r="V387" s="5"/>
      <c r="W387" s="5"/>
      <c r="X387" s="5" t="str">
        <f>IFERROR(__xludf.DUMMYFUNCTION("""COMPUTED_VALUE"""),"No")</f>
        <v>No</v>
      </c>
      <c r="Y387" s="5"/>
      <c r="Z387" s="5" t="str">
        <f>IFERROR(__xludf.DUMMYFUNCTION("""COMPUTED_VALUE"""),"No")</f>
        <v>No</v>
      </c>
      <c r="AA387" s="5"/>
      <c r="AB387" s="5" t="str">
        <f>IFERROR(__xludf.DUMMYFUNCTION("""COMPUTED_VALUE"""),"No")</f>
        <v>No</v>
      </c>
      <c r="AC387" s="5" t="str">
        <f>IFERROR(__xludf.DUMMYFUNCTION("""COMPUTED_VALUE"""),"No")</f>
        <v>No</v>
      </c>
    </row>
    <row r="388">
      <c r="A388" s="5" t="str">
        <f>IFERROR(__xludf.DUMMYFUNCTION("""COMPUTED_VALUE"""),"UnicornDynamiteRun")</f>
        <v>UnicornDynamiteRun</v>
      </c>
      <c r="B388" s="5" t="str">
        <f>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C388" s="5" t="str">
        <f>IFERROR(__xludf.DUMMYFUNCTION("""COMPUTED_VALUE"""),"Yes")</f>
        <v>Yes</v>
      </c>
      <c r="D388" s="5" t="str">
        <f>IFERROR(__xludf.DUMMYFUNCTION("""COMPUTED_VALUE"""),"Yes")</f>
        <v>Yes</v>
      </c>
      <c r="E388" s="5" t="str">
        <f>IFERROR(__xludf.DUMMYFUNCTION("""COMPUTED_VALUE"""),"No")</f>
        <v>No</v>
      </c>
      <c r="F388" s="5" t="str">
        <f>IFERROR(__xludf.DUMMYFUNCTION("""COMPUTED_VALUE"""),"No")</f>
        <v>No</v>
      </c>
      <c r="G388" s="5" t="str">
        <f>IFERROR(__xludf.DUMMYFUNCTION("""COMPUTED_VALUE"""),"Yes")</f>
        <v>Yes</v>
      </c>
      <c r="H388" s="5" t="str">
        <f>IFERROR(__xludf.DUMMYFUNCTION("""COMPUTED_VALUE"""),"Yes")</f>
        <v>Yes</v>
      </c>
      <c r="I388" s="5" t="str">
        <f>IFERROR(__xludf.DUMMYFUNCTION("""COMPUTED_VALUE"""),"Yes")</f>
        <v>Yes</v>
      </c>
      <c r="J388" s="5" t="str">
        <f>IFERROR(__xludf.DUMMYFUNCTION("""COMPUTED_VALUE"""),"Yes")</f>
        <v>Yes</v>
      </c>
      <c r="K388" s="5" t="str">
        <f>IFERROR(__xludf.DUMMYFUNCTION("""COMPUTED_VALUE"""),"Yes")</f>
        <v>Yes</v>
      </c>
      <c r="L388" s="5" t="str">
        <f>IFERROR(__xludf.DUMMYFUNCTION("""COMPUTED_VALUE"""),"Yes")</f>
        <v>Yes</v>
      </c>
      <c r="M388" s="5" t="str">
        <f>IFERROR(__xludf.DUMMYFUNCTION("""COMPUTED_VALUE"""),"Yes")</f>
        <v>Yes</v>
      </c>
      <c r="N388" s="5" t="str">
        <f>IFERROR(__xludf.DUMMYFUNCTION("""COMPUTED_VALUE"""),"Yes")</f>
        <v>Yes</v>
      </c>
      <c r="O388" s="5" t="str">
        <f>IFERROR(__xludf.DUMMYFUNCTION("""COMPUTED_VALUE"""),"Yes")</f>
        <v>Yes</v>
      </c>
      <c r="P388" s="5" t="str">
        <f>IFERROR(__xludf.DUMMYFUNCTION("""COMPUTED_VALUE"""),"Yes")</f>
        <v>Yes</v>
      </c>
      <c r="Q388" s="5" t="str">
        <f>IFERROR(__xludf.DUMMYFUNCTION("""COMPUTED_VALUE"""),"Yes")</f>
        <v>Yes</v>
      </c>
      <c r="R388" s="5" t="str">
        <f>IFERROR(__xludf.DUMMYFUNCTION("""COMPUTED_VALUE"""),"No")</f>
        <v>No</v>
      </c>
      <c r="S388" s="5" t="str">
        <f>IFERROR(__xludf.DUMMYFUNCTION("""COMPUTED_VALUE"""),"No")</f>
        <v>No</v>
      </c>
      <c r="T388" s="5" t="str">
        <f>IFERROR(__xludf.DUMMYFUNCTION("""COMPUTED_VALUE"""),"No")</f>
        <v>No</v>
      </c>
      <c r="U388" s="5" t="str">
        <f>IFERROR(__xludf.DUMMYFUNCTION("""COMPUTED_VALUE"""),"No")</f>
        <v>No</v>
      </c>
      <c r="V388" s="5" t="str">
        <f>IFERROR(__xludf.DUMMYFUNCTION("""COMPUTED_VALUE"""),"No")</f>
        <v>No</v>
      </c>
      <c r="W388" s="5" t="str">
        <f>IFERROR(__xludf.DUMMYFUNCTION("""COMPUTED_VALUE"""),"No")</f>
        <v>No</v>
      </c>
      <c r="X388" s="5" t="str">
        <f>IFERROR(__xludf.DUMMYFUNCTION("""COMPUTED_VALUE"""),"No")</f>
        <v>No</v>
      </c>
      <c r="Y388" s="5" t="str">
        <f>IFERROR(__xludf.DUMMYFUNCTION("""COMPUTED_VALUE"""),"No")</f>
        <v>No</v>
      </c>
      <c r="Z388" s="5" t="str">
        <f>IFERROR(__xludf.DUMMYFUNCTION("""COMPUTED_VALUE"""),"No")</f>
        <v>No</v>
      </c>
      <c r="AA388" s="5" t="str">
        <f>IFERROR(__xludf.DUMMYFUNCTION("""COMPUTED_VALUE"""),"No")</f>
        <v>No</v>
      </c>
      <c r="AB388" s="5" t="str">
        <f>IFERROR(__xludf.DUMMYFUNCTION("""COMPUTED_VALUE"""),"Yes")</f>
        <v>Yes</v>
      </c>
      <c r="AC388" s="5" t="str">
        <f>IFERROR(__xludf.DUMMYFUNCTION("""COMPUTED_VALUE"""),"No")</f>
        <v>No</v>
      </c>
    </row>
    <row r="389">
      <c r="A389" s="5" t="str">
        <f>IFERROR(__xludf.DUMMYFUNCTION("""COMPUTED_VALUE"""),"RedstoneOnlyAnime")</f>
        <v>RedstoneOnlyAnime</v>
      </c>
      <c r="B3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9" s="5" t="str">
        <f>IFERROR(__xludf.DUMMYFUNCTION("""COMPUTED_VALUE"""),"Yes")</f>
        <v>Yes</v>
      </c>
      <c r="D389" s="5" t="str">
        <f>IFERROR(__xludf.DUMMYFUNCTION("""COMPUTED_VALUE"""),"Yes")</f>
        <v>Yes</v>
      </c>
      <c r="E389" s="5" t="str">
        <f>IFERROR(__xludf.DUMMYFUNCTION("""COMPUTED_VALUE"""),"Yes")</f>
        <v>Yes</v>
      </c>
      <c r="F389" s="5" t="str">
        <f>IFERROR(__xludf.DUMMYFUNCTION("""COMPUTED_VALUE"""),"Yes")</f>
        <v>Yes</v>
      </c>
      <c r="G389" s="5" t="str">
        <f>IFERROR(__xludf.DUMMYFUNCTION("""COMPUTED_VALUE"""),"Yes")</f>
        <v>Yes</v>
      </c>
      <c r="H389" s="5" t="str">
        <f>IFERROR(__xludf.DUMMYFUNCTION("""COMPUTED_VALUE"""),"Yes")</f>
        <v>Yes</v>
      </c>
      <c r="I389" s="5" t="str">
        <f>IFERROR(__xludf.DUMMYFUNCTION("""COMPUTED_VALUE"""),"Yes")</f>
        <v>Yes</v>
      </c>
      <c r="J389" s="5" t="str">
        <f>IFERROR(__xludf.DUMMYFUNCTION("""COMPUTED_VALUE"""),"Yes")</f>
        <v>Yes</v>
      </c>
      <c r="K389" s="5" t="str">
        <f>IFERROR(__xludf.DUMMYFUNCTION("""COMPUTED_VALUE"""),"Yes")</f>
        <v>Yes</v>
      </c>
      <c r="L389" s="5" t="str">
        <f>IFERROR(__xludf.DUMMYFUNCTION("""COMPUTED_VALUE"""),"Yes")</f>
        <v>Yes</v>
      </c>
      <c r="M389" s="5" t="str">
        <f>IFERROR(__xludf.DUMMYFUNCTION("""COMPUTED_VALUE"""),"Yes")</f>
        <v>Yes</v>
      </c>
      <c r="N389" s="5" t="str">
        <f>IFERROR(__xludf.DUMMYFUNCTION("""COMPUTED_VALUE"""),"Yes")</f>
        <v>Yes</v>
      </c>
      <c r="O389" s="5" t="str">
        <f>IFERROR(__xludf.DUMMYFUNCTION("""COMPUTED_VALUE"""),"Yes")</f>
        <v>Yes</v>
      </c>
      <c r="P389" s="5" t="str">
        <f>IFERROR(__xludf.DUMMYFUNCTION("""COMPUTED_VALUE"""),"Yes")</f>
        <v>Yes</v>
      </c>
      <c r="Q389" s="5" t="str">
        <f>IFERROR(__xludf.DUMMYFUNCTION("""COMPUTED_VALUE"""),"Yes")</f>
        <v>Yes</v>
      </c>
      <c r="R389" s="5" t="str">
        <f>IFERROR(__xludf.DUMMYFUNCTION("""COMPUTED_VALUE"""),"Yes")</f>
        <v>Yes</v>
      </c>
      <c r="S389" s="5" t="str">
        <f>IFERROR(__xludf.DUMMYFUNCTION("""COMPUTED_VALUE"""),"Yes")</f>
        <v>Yes</v>
      </c>
      <c r="T389" s="5" t="str">
        <f>IFERROR(__xludf.DUMMYFUNCTION("""COMPUTED_VALUE"""),"Yes")</f>
        <v>Yes</v>
      </c>
      <c r="U389" s="5" t="str">
        <f>IFERROR(__xludf.DUMMYFUNCTION("""COMPUTED_VALUE"""),"Yes")</f>
        <v>Yes</v>
      </c>
      <c r="V389" s="5"/>
      <c r="W389" s="5"/>
      <c r="X389" s="5"/>
      <c r="Y389" s="5"/>
      <c r="Z389" s="5" t="str">
        <f>IFERROR(__xludf.DUMMYFUNCTION("""COMPUTED_VALUE"""),"Yes")</f>
        <v>Yes</v>
      </c>
      <c r="AA389" s="5"/>
      <c r="AB389" s="5"/>
      <c r="AC389" s="5"/>
    </row>
    <row r="390">
      <c r="A390" s="5" t="str">
        <f>IFERROR(__xludf.DUMMYFUNCTION("""COMPUTED_VALUE"""),"Redstone27DoubleFruit")</f>
        <v>Redstone27DoubleFruit</v>
      </c>
      <c r="B39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90" s="5" t="str">
        <f>IFERROR(__xludf.DUMMYFUNCTION("""COMPUTED_VALUE"""),"Yes")</f>
        <v>Yes</v>
      </c>
      <c r="D390" s="5" t="str">
        <f>IFERROR(__xludf.DUMMYFUNCTION("""COMPUTED_VALUE"""),"Yes")</f>
        <v>Yes</v>
      </c>
      <c r="E390" s="5" t="str">
        <f>IFERROR(__xludf.DUMMYFUNCTION("""COMPUTED_VALUE"""),"No")</f>
        <v>No</v>
      </c>
      <c r="F390" s="5" t="str">
        <f>IFERROR(__xludf.DUMMYFUNCTION("""COMPUTED_VALUE"""),"Yes")</f>
        <v>Yes</v>
      </c>
      <c r="G390" s="5" t="str">
        <f>IFERROR(__xludf.DUMMYFUNCTION("""COMPUTED_VALUE"""),"Yes")</f>
        <v>Yes</v>
      </c>
      <c r="H390" s="5" t="str">
        <f>IFERROR(__xludf.DUMMYFUNCTION("""COMPUTED_VALUE"""),"Yes")</f>
        <v>Yes</v>
      </c>
      <c r="I390" s="5" t="str">
        <f>IFERROR(__xludf.DUMMYFUNCTION("""COMPUTED_VALUE"""),"Yes")</f>
        <v>Yes</v>
      </c>
      <c r="J390" s="5" t="str">
        <f>IFERROR(__xludf.DUMMYFUNCTION("""COMPUTED_VALUE"""),"Yes")</f>
        <v>Yes</v>
      </c>
      <c r="K390" s="5" t="str">
        <f>IFERROR(__xludf.DUMMYFUNCTION("""COMPUTED_VALUE"""),"Yes")</f>
        <v>Yes</v>
      </c>
      <c r="L390" s="5" t="str">
        <f>IFERROR(__xludf.DUMMYFUNCTION("""COMPUTED_VALUE"""),"Yes")</f>
        <v>Yes</v>
      </c>
      <c r="M390" s="5" t="str">
        <f>IFERROR(__xludf.DUMMYFUNCTION("""COMPUTED_VALUE"""),"Yes")</f>
        <v>Yes</v>
      </c>
      <c r="N390" s="5" t="str">
        <f>IFERROR(__xludf.DUMMYFUNCTION("""COMPUTED_VALUE"""),"Yes")</f>
        <v>Yes</v>
      </c>
      <c r="O390" s="5" t="str">
        <f>IFERROR(__xludf.DUMMYFUNCTION("""COMPUTED_VALUE"""),"Yes")</f>
        <v>Yes</v>
      </c>
      <c r="P390" s="5" t="str">
        <f>IFERROR(__xludf.DUMMYFUNCTION("""COMPUTED_VALUE"""),"Yes")</f>
        <v>Yes</v>
      </c>
      <c r="Q390" s="5" t="str">
        <f>IFERROR(__xludf.DUMMYFUNCTION("""COMPUTED_VALUE"""),"Yes")</f>
        <v>Yes</v>
      </c>
      <c r="R390" s="5" t="str">
        <f>IFERROR(__xludf.DUMMYFUNCTION("""COMPUTED_VALUE"""),"No")</f>
        <v>No</v>
      </c>
      <c r="S390" s="5" t="str">
        <f>IFERROR(__xludf.DUMMYFUNCTION("""COMPUTED_VALUE"""),"No")</f>
        <v>No</v>
      </c>
      <c r="T390" s="5" t="str">
        <f>IFERROR(__xludf.DUMMYFUNCTION("""COMPUTED_VALUE"""),"No")</f>
        <v>No</v>
      </c>
      <c r="U390" s="5" t="str">
        <f>IFERROR(__xludf.DUMMYFUNCTION("""COMPUTED_VALUE"""),"No")</f>
        <v>No</v>
      </c>
      <c r="V390" s="5" t="str">
        <f>IFERROR(__xludf.DUMMYFUNCTION("""COMPUTED_VALUE"""),"No")</f>
        <v>No</v>
      </c>
      <c r="W390" s="5" t="str">
        <f>IFERROR(__xludf.DUMMYFUNCTION("""COMPUTED_VALUE"""),"No")</f>
        <v>No</v>
      </c>
      <c r="X390" s="5" t="str">
        <f>IFERROR(__xludf.DUMMYFUNCTION("""COMPUTED_VALUE"""),"No")</f>
        <v>No</v>
      </c>
      <c r="Y390" s="5" t="str">
        <f>IFERROR(__xludf.DUMMYFUNCTION("""COMPUTED_VALUE"""),"No")</f>
        <v>No</v>
      </c>
      <c r="Z390" s="5" t="str">
        <f>IFERROR(__xludf.DUMMYFUNCTION("""COMPUTED_VALUE"""),"No")</f>
        <v>No</v>
      </c>
      <c r="AA390" s="5" t="str">
        <f>IFERROR(__xludf.DUMMYFUNCTION("""COMPUTED_VALUE"""),"No")</f>
        <v>No</v>
      </c>
      <c r="AB390" s="5" t="str">
        <f>IFERROR(__xludf.DUMMYFUNCTION("""COMPUTED_VALUE"""),"Yes")</f>
        <v>Yes</v>
      </c>
      <c r="AC390" s="5" t="str">
        <f>IFERROR(__xludf.DUMMYFUNCTION("""COMPUTED_VALUE"""),"No")</f>
        <v>No</v>
      </c>
    </row>
    <row r="391">
      <c r="A391" s="5" t="str">
        <f>IFERROR(__xludf.DUMMYFUNCTION("""COMPUTED_VALUE"""),"PlayNet27WildStacksXmas")</f>
        <v>PlayNet27WildStacksXmas</v>
      </c>
      <c r="B39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91" s="5" t="str">
        <f>IFERROR(__xludf.DUMMYFUNCTION("""COMPUTED_VALUE"""),"Yes")</f>
        <v>Yes</v>
      </c>
      <c r="D391" s="5" t="str">
        <f>IFERROR(__xludf.DUMMYFUNCTION("""COMPUTED_VALUE"""),"Yes")</f>
        <v>Yes</v>
      </c>
      <c r="E391" s="5" t="str">
        <f>IFERROR(__xludf.DUMMYFUNCTION("""COMPUTED_VALUE"""),"Yes")</f>
        <v>Yes</v>
      </c>
      <c r="F391" s="5" t="str">
        <f>IFERROR(__xludf.DUMMYFUNCTION("""COMPUTED_VALUE"""),"Yes")</f>
        <v>Yes</v>
      </c>
      <c r="G391" s="5" t="str">
        <f>IFERROR(__xludf.DUMMYFUNCTION("""COMPUTED_VALUE"""),"Yes")</f>
        <v>Yes</v>
      </c>
      <c r="H391" s="5" t="str">
        <f>IFERROR(__xludf.DUMMYFUNCTION("""COMPUTED_VALUE"""),"Yes")</f>
        <v>Yes</v>
      </c>
      <c r="I391" s="5" t="str">
        <f>IFERROR(__xludf.DUMMYFUNCTION("""COMPUTED_VALUE"""),"Yes")</f>
        <v>Yes</v>
      </c>
      <c r="J391" s="5" t="str">
        <f>IFERROR(__xludf.DUMMYFUNCTION("""COMPUTED_VALUE"""),"Yes")</f>
        <v>Yes</v>
      </c>
      <c r="K391" s="5" t="str">
        <f>IFERROR(__xludf.DUMMYFUNCTION("""COMPUTED_VALUE"""),"Yes")</f>
        <v>Yes</v>
      </c>
      <c r="L391" s="5" t="str">
        <f>IFERROR(__xludf.DUMMYFUNCTION("""COMPUTED_VALUE"""),"Yes")</f>
        <v>Yes</v>
      </c>
      <c r="M391" s="5" t="str">
        <f>IFERROR(__xludf.DUMMYFUNCTION("""COMPUTED_VALUE"""),"Yes")</f>
        <v>Yes</v>
      </c>
      <c r="N391" s="5" t="str">
        <f>IFERROR(__xludf.DUMMYFUNCTION("""COMPUTED_VALUE"""),"Yes")</f>
        <v>Yes</v>
      </c>
      <c r="O391" s="5" t="str">
        <f>IFERROR(__xludf.DUMMYFUNCTION("""COMPUTED_VALUE"""),"Yes")</f>
        <v>Yes</v>
      </c>
      <c r="P391" s="5" t="str">
        <f>IFERROR(__xludf.DUMMYFUNCTION("""COMPUTED_VALUE"""),"Yes")</f>
        <v>Yes</v>
      </c>
      <c r="Q391" s="5" t="str">
        <f>IFERROR(__xludf.DUMMYFUNCTION("""COMPUTED_VALUE"""),"Yes")</f>
        <v>Yes</v>
      </c>
      <c r="R391" s="5" t="str">
        <f>IFERROR(__xludf.DUMMYFUNCTION("""COMPUTED_VALUE"""),"No")</f>
        <v>No</v>
      </c>
      <c r="S391" s="5" t="str">
        <f>IFERROR(__xludf.DUMMYFUNCTION("""COMPUTED_VALUE"""),"No")</f>
        <v>No</v>
      </c>
      <c r="T391" s="5" t="str">
        <f>IFERROR(__xludf.DUMMYFUNCTION("""COMPUTED_VALUE"""),"No")</f>
        <v>No</v>
      </c>
      <c r="U391" s="5" t="str">
        <f>IFERROR(__xludf.DUMMYFUNCTION("""COMPUTED_VALUE"""),"No")</f>
        <v>No</v>
      </c>
      <c r="V391" s="5" t="str">
        <f>IFERROR(__xludf.DUMMYFUNCTION("""COMPUTED_VALUE"""),"No")</f>
        <v>No</v>
      </c>
      <c r="W391" s="5" t="str">
        <f>IFERROR(__xludf.DUMMYFUNCTION("""COMPUTED_VALUE"""),"No")</f>
        <v>No</v>
      </c>
      <c r="X391" s="5" t="str">
        <f>IFERROR(__xludf.DUMMYFUNCTION("""COMPUTED_VALUE"""),"No")</f>
        <v>No</v>
      </c>
      <c r="Y391" s="5" t="str">
        <f>IFERROR(__xludf.DUMMYFUNCTION("""COMPUTED_VALUE"""),"No")</f>
        <v>No</v>
      </c>
      <c r="Z391" s="5" t="str">
        <f>IFERROR(__xludf.DUMMYFUNCTION("""COMPUTED_VALUE"""),"No")</f>
        <v>No</v>
      </c>
      <c r="AA391" s="5" t="str">
        <f>IFERROR(__xludf.DUMMYFUNCTION("""COMPUTED_VALUE"""),"No")</f>
        <v>No</v>
      </c>
      <c r="AB391" s="5" t="str">
        <f>IFERROR(__xludf.DUMMYFUNCTION("""COMPUTED_VALUE"""),"Yes")</f>
        <v>Yes</v>
      </c>
      <c r="AC391" s="5" t="str">
        <f>IFERROR(__xludf.DUMMYFUNCTION("""COMPUTED_VALUE"""),"No")</f>
        <v>No</v>
      </c>
    </row>
    <row r="392">
      <c r="A392" s="5" t="str">
        <f>IFERROR(__xludf.DUMMYFUNCTION("""COMPUTED_VALUE"""),"PlayNetMajesticCrown20Xmas")</f>
        <v>PlayNetMajesticCrown20Xmas</v>
      </c>
      <c r="B392"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2" s="5" t="str">
        <f>IFERROR(__xludf.DUMMYFUNCTION("""COMPUTED_VALUE"""),"Yes")</f>
        <v>Yes</v>
      </c>
      <c r="D392" s="5" t="str">
        <f>IFERROR(__xludf.DUMMYFUNCTION("""COMPUTED_VALUE"""),"Yes")</f>
        <v>Yes</v>
      </c>
      <c r="E392" s="5" t="str">
        <f>IFERROR(__xludf.DUMMYFUNCTION("""COMPUTED_VALUE"""),"Yes")</f>
        <v>Yes</v>
      </c>
      <c r="F392" s="5" t="str">
        <f>IFERROR(__xludf.DUMMYFUNCTION("""COMPUTED_VALUE"""),"Yes")</f>
        <v>Yes</v>
      </c>
      <c r="G392" s="5" t="str">
        <f>IFERROR(__xludf.DUMMYFUNCTION("""COMPUTED_VALUE"""),"Yes")</f>
        <v>Yes</v>
      </c>
      <c r="H392" s="5" t="str">
        <f>IFERROR(__xludf.DUMMYFUNCTION("""COMPUTED_VALUE"""),"Yes")</f>
        <v>Yes</v>
      </c>
      <c r="I392" s="5" t="str">
        <f>IFERROR(__xludf.DUMMYFUNCTION("""COMPUTED_VALUE"""),"Yes")</f>
        <v>Yes</v>
      </c>
      <c r="J392" s="5" t="str">
        <f>IFERROR(__xludf.DUMMYFUNCTION("""COMPUTED_VALUE"""),"Yes")</f>
        <v>Yes</v>
      </c>
      <c r="K392" s="5" t="str">
        <f>IFERROR(__xludf.DUMMYFUNCTION("""COMPUTED_VALUE"""),"Yes")</f>
        <v>Yes</v>
      </c>
      <c r="L392" s="5" t="str">
        <f>IFERROR(__xludf.DUMMYFUNCTION("""COMPUTED_VALUE"""),"Yes")</f>
        <v>Yes</v>
      </c>
      <c r="M392" s="5" t="str">
        <f>IFERROR(__xludf.DUMMYFUNCTION("""COMPUTED_VALUE"""),"Yes")</f>
        <v>Yes</v>
      </c>
      <c r="N392" s="5" t="str">
        <f>IFERROR(__xludf.DUMMYFUNCTION("""COMPUTED_VALUE"""),"Yes")</f>
        <v>Yes</v>
      </c>
      <c r="O392" s="5" t="str">
        <f>IFERROR(__xludf.DUMMYFUNCTION("""COMPUTED_VALUE"""),"Yes")</f>
        <v>Yes</v>
      </c>
      <c r="P392" s="5" t="str">
        <f>IFERROR(__xludf.DUMMYFUNCTION("""COMPUTED_VALUE"""),"No")</f>
        <v>No</v>
      </c>
      <c r="Q392" s="5" t="str">
        <f>IFERROR(__xludf.DUMMYFUNCTION("""COMPUTED_VALUE"""),"Yes")</f>
        <v>Yes</v>
      </c>
      <c r="R392" s="5" t="str">
        <f>IFERROR(__xludf.DUMMYFUNCTION("""COMPUTED_VALUE"""),"No")</f>
        <v>No</v>
      </c>
      <c r="S392" s="5" t="str">
        <f>IFERROR(__xludf.DUMMYFUNCTION("""COMPUTED_VALUE"""),"No")</f>
        <v>No</v>
      </c>
      <c r="T392" s="5" t="str">
        <f>IFERROR(__xludf.DUMMYFUNCTION("""COMPUTED_VALUE"""),"No")</f>
        <v>No</v>
      </c>
      <c r="U392" s="5" t="str">
        <f>IFERROR(__xludf.DUMMYFUNCTION("""COMPUTED_VALUE"""),"No")</f>
        <v>No</v>
      </c>
      <c r="V392" s="5"/>
      <c r="W392" s="5"/>
      <c r="X392" s="5" t="str">
        <f>IFERROR(__xludf.DUMMYFUNCTION("""COMPUTED_VALUE"""),"No")</f>
        <v>No</v>
      </c>
      <c r="Y392" s="5"/>
      <c r="Z392" s="5" t="str">
        <f>IFERROR(__xludf.DUMMYFUNCTION("""COMPUTED_VALUE"""),"No")</f>
        <v>No</v>
      </c>
      <c r="AA392" s="5"/>
      <c r="AB392" s="5" t="str">
        <f>IFERROR(__xludf.DUMMYFUNCTION("""COMPUTED_VALUE"""),"Yes")</f>
        <v>Yes</v>
      </c>
      <c r="AC392" s="5" t="str">
        <f>IFERROR(__xludf.DUMMYFUNCTION("""COMPUTED_VALUE"""),"Yes")</f>
        <v>Yes</v>
      </c>
    </row>
    <row r="393">
      <c r="A393" s="5" t="str">
        <f>IFERROR(__xludf.DUMMYFUNCTION("""COMPUTED_VALUE"""),"PlayNetWildFortiesXmas")</f>
        <v>PlayNetWildFortiesXmas</v>
      </c>
      <c r="B393" s="5" t="str">
        <f>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3" s="5" t="str">
        <f>IFERROR(__xludf.DUMMYFUNCTION("""COMPUTED_VALUE"""),"Yes")</f>
        <v>Yes</v>
      </c>
      <c r="D393" s="5" t="str">
        <f>IFERROR(__xludf.DUMMYFUNCTION("""COMPUTED_VALUE"""),"Yes")</f>
        <v>Yes</v>
      </c>
      <c r="E393" s="5" t="str">
        <f>IFERROR(__xludf.DUMMYFUNCTION("""COMPUTED_VALUE"""),"Yes")</f>
        <v>Yes</v>
      </c>
      <c r="F393" s="5" t="str">
        <f>IFERROR(__xludf.DUMMYFUNCTION("""COMPUTED_VALUE"""),"Yes")</f>
        <v>Yes</v>
      </c>
      <c r="G393" s="5" t="str">
        <f>IFERROR(__xludf.DUMMYFUNCTION("""COMPUTED_VALUE"""),"Yes")</f>
        <v>Yes</v>
      </c>
      <c r="H393" s="5" t="str">
        <f>IFERROR(__xludf.DUMMYFUNCTION("""COMPUTED_VALUE"""),"Yes")</f>
        <v>Yes</v>
      </c>
      <c r="I393" s="5" t="str">
        <f>IFERROR(__xludf.DUMMYFUNCTION("""COMPUTED_VALUE"""),"Yes")</f>
        <v>Yes</v>
      </c>
      <c r="J393" s="5" t="str">
        <f>IFERROR(__xludf.DUMMYFUNCTION("""COMPUTED_VALUE"""),"Yes")</f>
        <v>Yes</v>
      </c>
      <c r="K393" s="5" t="str">
        <f>IFERROR(__xludf.DUMMYFUNCTION("""COMPUTED_VALUE"""),"Yes")</f>
        <v>Yes</v>
      </c>
      <c r="L393" s="5" t="str">
        <f>IFERROR(__xludf.DUMMYFUNCTION("""COMPUTED_VALUE"""),"Yes")</f>
        <v>Yes</v>
      </c>
      <c r="M393" s="5" t="str">
        <f>IFERROR(__xludf.DUMMYFUNCTION("""COMPUTED_VALUE"""),"Yes")</f>
        <v>Yes</v>
      </c>
      <c r="N393" s="5" t="str">
        <f>IFERROR(__xludf.DUMMYFUNCTION("""COMPUTED_VALUE"""),"Yes")</f>
        <v>Yes</v>
      </c>
      <c r="O393" s="5" t="str">
        <f>IFERROR(__xludf.DUMMYFUNCTION("""COMPUTED_VALUE"""),"Yes")</f>
        <v>Yes</v>
      </c>
      <c r="P393" s="5" t="str">
        <f>IFERROR(__xludf.DUMMYFUNCTION("""COMPUTED_VALUE"""),"No")</f>
        <v>No</v>
      </c>
      <c r="Q393" s="5" t="str">
        <f>IFERROR(__xludf.DUMMYFUNCTION("""COMPUTED_VALUE"""),"Yes")</f>
        <v>Yes</v>
      </c>
      <c r="R393" s="5" t="str">
        <f>IFERROR(__xludf.DUMMYFUNCTION("""COMPUTED_VALUE"""),"No")</f>
        <v>No</v>
      </c>
      <c r="S393" s="5" t="str">
        <f>IFERROR(__xludf.DUMMYFUNCTION("""COMPUTED_VALUE"""),"No")</f>
        <v>No</v>
      </c>
      <c r="T393" s="5" t="str">
        <f>IFERROR(__xludf.DUMMYFUNCTION("""COMPUTED_VALUE"""),"No")</f>
        <v>No</v>
      </c>
      <c r="U393" s="5" t="str">
        <f>IFERROR(__xludf.DUMMYFUNCTION("""COMPUTED_VALUE"""),"No")</f>
        <v>No</v>
      </c>
      <c r="V393" s="5"/>
      <c r="W393" s="5"/>
      <c r="X393" s="5" t="str">
        <f>IFERROR(__xludf.DUMMYFUNCTION("""COMPUTED_VALUE"""),"No")</f>
        <v>No</v>
      </c>
      <c r="Y393" s="5"/>
      <c r="Z393" s="5" t="str">
        <f>IFERROR(__xludf.DUMMYFUNCTION("""COMPUTED_VALUE"""),"No")</f>
        <v>No</v>
      </c>
      <c r="AA393" s="5"/>
      <c r="AB393" s="5" t="str">
        <f>IFERROR(__xludf.DUMMYFUNCTION("""COMPUTED_VALUE"""),"Yes")</f>
        <v>Yes</v>
      </c>
      <c r="AC393" s="5" t="str">
        <f>IFERROR(__xludf.DUMMYFUNCTION("""COMPUTED_VALUE"""),"Yes")</f>
        <v>Yes</v>
      </c>
    </row>
    <row r="394">
      <c r="A394" s="5" t="str">
        <f>IFERROR(__xludf.DUMMYFUNCTION("""COMPUTED_VALUE"""),"RedstoneJuicyHeat20")</f>
        <v>RedstoneJuicyHeat20</v>
      </c>
      <c r="B3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4" s="5" t="str">
        <f>IFERROR(__xludf.DUMMYFUNCTION("""COMPUTED_VALUE"""),"Yes")</f>
        <v>Yes</v>
      </c>
      <c r="D394" s="5" t="str">
        <f>IFERROR(__xludf.DUMMYFUNCTION("""COMPUTED_VALUE"""),"Yes")</f>
        <v>Yes</v>
      </c>
      <c r="E394" s="5" t="str">
        <f>IFERROR(__xludf.DUMMYFUNCTION("""COMPUTED_VALUE"""),"Yes")</f>
        <v>Yes</v>
      </c>
      <c r="F394" s="5" t="str">
        <f>IFERROR(__xludf.DUMMYFUNCTION("""COMPUTED_VALUE"""),"Yes")</f>
        <v>Yes</v>
      </c>
      <c r="G394" s="5" t="str">
        <f>IFERROR(__xludf.DUMMYFUNCTION("""COMPUTED_VALUE"""),"Yes")</f>
        <v>Yes</v>
      </c>
      <c r="H394" s="5" t="str">
        <f>IFERROR(__xludf.DUMMYFUNCTION("""COMPUTED_VALUE"""),"Yes")</f>
        <v>Yes</v>
      </c>
      <c r="I394" s="5" t="str">
        <f>IFERROR(__xludf.DUMMYFUNCTION("""COMPUTED_VALUE"""),"Yes")</f>
        <v>Yes</v>
      </c>
      <c r="J394" s="5" t="str">
        <f>IFERROR(__xludf.DUMMYFUNCTION("""COMPUTED_VALUE"""),"Yes")</f>
        <v>Yes</v>
      </c>
      <c r="K394" s="5" t="str">
        <f>IFERROR(__xludf.DUMMYFUNCTION("""COMPUTED_VALUE"""),"Yes")</f>
        <v>Yes</v>
      </c>
      <c r="L394" s="5" t="str">
        <f>IFERROR(__xludf.DUMMYFUNCTION("""COMPUTED_VALUE"""),"Yes")</f>
        <v>Yes</v>
      </c>
      <c r="M394" s="5" t="str">
        <f>IFERROR(__xludf.DUMMYFUNCTION("""COMPUTED_VALUE"""),"Yes")</f>
        <v>Yes</v>
      </c>
      <c r="N394" s="5" t="str">
        <f>IFERROR(__xludf.DUMMYFUNCTION("""COMPUTED_VALUE"""),"Yes")</f>
        <v>Yes</v>
      </c>
      <c r="O394" s="5" t="str">
        <f>IFERROR(__xludf.DUMMYFUNCTION("""COMPUTED_VALUE"""),"Yes")</f>
        <v>Yes</v>
      </c>
      <c r="P394" s="5" t="str">
        <f>IFERROR(__xludf.DUMMYFUNCTION("""COMPUTED_VALUE"""),"Yes")</f>
        <v>Yes</v>
      </c>
      <c r="Q394" s="5" t="str">
        <f>IFERROR(__xludf.DUMMYFUNCTION("""COMPUTED_VALUE"""),"Yes")</f>
        <v>Yes</v>
      </c>
      <c r="R394" s="5" t="str">
        <f>IFERROR(__xludf.DUMMYFUNCTION("""COMPUTED_VALUE"""),"Yes")</f>
        <v>Yes</v>
      </c>
      <c r="S394" s="5" t="str">
        <f>IFERROR(__xludf.DUMMYFUNCTION("""COMPUTED_VALUE"""),"Yes")</f>
        <v>Yes</v>
      </c>
      <c r="T394" s="5" t="str">
        <f>IFERROR(__xludf.DUMMYFUNCTION("""COMPUTED_VALUE"""),"Yes")</f>
        <v>Yes</v>
      </c>
      <c r="U394" s="5" t="str">
        <f>IFERROR(__xludf.DUMMYFUNCTION("""COMPUTED_VALUE"""),"Yes")</f>
        <v>Yes</v>
      </c>
      <c r="V394" s="5"/>
      <c r="W394" s="5"/>
      <c r="X394" s="5"/>
      <c r="Y394" s="5"/>
      <c r="Z394" s="5" t="str">
        <f>IFERROR(__xludf.DUMMYFUNCTION("""COMPUTED_VALUE"""),"Yes")</f>
        <v>Yes</v>
      </c>
      <c r="AA394" s="5"/>
      <c r="AB394" s="5"/>
      <c r="AC394" s="5"/>
    </row>
    <row r="395">
      <c r="A395" s="5" t="str">
        <f>IFERROR(__xludf.DUMMYFUNCTION("""COMPUTED_VALUE"""),"RedstoneChristmasDelight")</f>
        <v>RedstoneChristmasDelight</v>
      </c>
      <c r="B39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5" s="5" t="str">
        <f>IFERROR(__xludf.DUMMYFUNCTION("""COMPUTED_VALUE"""),"Yes")</f>
        <v>Yes</v>
      </c>
      <c r="D395" s="5" t="str">
        <f>IFERROR(__xludf.DUMMYFUNCTION("""COMPUTED_VALUE"""),"Yes")</f>
        <v>Yes</v>
      </c>
      <c r="E395" s="5" t="str">
        <f>IFERROR(__xludf.DUMMYFUNCTION("""COMPUTED_VALUE"""),"No")</f>
        <v>No</v>
      </c>
      <c r="F395" s="5" t="str">
        <f>IFERROR(__xludf.DUMMYFUNCTION("""COMPUTED_VALUE"""),"Yes")</f>
        <v>Yes</v>
      </c>
      <c r="G395" s="5" t="str">
        <f>IFERROR(__xludf.DUMMYFUNCTION("""COMPUTED_VALUE"""),"Yes")</f>
        <v>Yes</v>
      </c>
      <c r="H395" s="5" t="str">
        <f>IFERROR(__xludf.DUMMYFUNCTION("""COMPUTED_VALUE"""),"Yes")</f>
        <v>Yes</v>
      </c>
      <c r="I395" s="5" t="str">
        <f>IFERROR(__xludf.DUMMYFUNCTION("""COMPUTED_VALUE"""),"Yes")</f>
        <v>Yes</v>
      </c>
      <c r="J395" s="5" t="str">
        <f>IFERROR(__xludf.DUMMYFUNCTION("""COMPUTED_VALUE"""),"Yes")</f>
        <v>Yes</v>
      </c>
      <c r="K395" s="5" t="str">
        <f>IFERROR(__xludf.DUMMYFUNCTION("""COMPUTED_VALUE"""),"Yes")</f>
        <v>Yes</v>
      </c>
      <c r="L395" s="5" t="str">
        <f>IFERROR(__xludf.DUMMYFUNCTION("""COMPUTED_VALUE"""),"Yes")</f>
        <v>Yes</v>
      </c>
      <c r="M395" s="5" t="str">
        <f>IFERROR(__xludf.DUMMYFUNCTION("""COMPUTED_VALUE"""),"Yes")</f>
        <v>Yes</v>
      </c>
      <c r="N395" s="5" t="str">
        <f>IFERROR(__xludf.DUMMYFUNCTION("""COMPUTED_VALUE"""),"Yes")</f>
        <v>Yes</v>
      </c>
      <c r="O395" s="5" t="str">
        <f>IFERROR(__xludf.DUMMYFUNCTION("""COMPUTED_VALUE"""),"Yes")</f>
        <v>Yes</v>
      </c>
      <c r="P395" s="5" t="str">
        <f>IFERROR(__xludf.DUMMYFUNCTION("""COMPUTED_VALUE"""),"Yes")</f>
        <v>Yes</v>
      </c>
      <c r="Q395" s="5" t="str">
        <f>IFERROR(__xludf.DUMMYFUNCTION("""COMPUTED_VALUE"""),"Yes")</f>
        <v>Yes</v>
      </c>
      <c r="R395" s="5" t="str">
        <f>IFERROR(__xludf.DUMMYFUNCTION("""COMPUTED_VALUE"""),"No")</f>
        <v>No</v>
      </c>
      <c r="S395" s="5" t="str">
        <f>IFERROR(__xludf.DUMMYFUNCTION("""COMPUTED_VALUE"""),"No")</f>
        <v>No</v>
      </c>
      <c r="T395" s="5" t="str">
        <f>IFERROR(__xludf.DUMMYFUNCTION("""COMPUTED_VALUE"""),"No")</f>
        <v>No</v>
      </c>
      <c r="U395" s="5" t="str">
        <f>IFERROR(__xludf.DUMMYFUNCTION("""COMPUTED_VALUE"""),"No")</f>
        <v>No</v>
      </c>
      <c r="V395" s="5" t="str">
        <f>IFERROR(__xludf.DUMMYFUNCTION("""COMPUTED_VALUE"""),"No")</f>
        <v>No</v>
      </c>
      <c r="W395" s="5" t="str">
        <f>IFERROR(__xludf.DUMMYFUNCTION("""COMPUTED_VALUE"""),"No")</f>
        <v>No</v>
      </c>
      <c r="X395" s="5" t="str">
        <f>IFERROR(__xludf.DUMMYFUNCTION("""COMPUTED_VALUE"""),"Yes")</f>
        <v>Yes</v>
      </c>
      <c r="Y395" s="5" t="str">
        <f>IFERROR(__xludf.DUMMYFUNCTION("""COMPUTED_VALUE"""),"No")</f>
        <v>No</v>
      </c>
      <c r="Z395" s="5" t="str">
        <f>IFERROR(__xludf.DUMMYFUNCTION("""COMPUTED_VALUE"""),"No")</f>
        <v>No</v>
      </c>
      <c r="AA395" s="5" t="str">
        <f>IFERROR(__xludf.DUMMYFUNCTION("""COMPUTED_VALUE"""),"No")</f>
        <v>No</v>
      </c>
      <c r="AB395" s="5" t="str">
        <f>IFERROR(__xludf.DUMMYFUNCTION("""COMPUTED_VALUE"""),"Yes")</f>
        <v>Yes</v>
      </c>
      <c r="AC395" s="5" t="str">
        <f>IFERROR(__xludf.DUMMYFUNCTION("""COMPUTED_VALUE"""),"No")</f>
        <v>No</v>
      </c>
    </row>
    <row r="396">
      <c r="A396" s="5" t="str">
        <f>IFERROR(__xludf.DUMMYFUNCTION("""COMPUTED_VALUE"""),"RedstoneFunkyFruits")</f>
        <v>RedstoneFunkyFruits</v>
      </c>
      <c r="B3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6" s="5" t="str">
        <f>IFERROR(__xludf.DUMMYFUNCTION("""COMPUTED_VALUE"""),"Yes")</f>
        <v>Yes</v>
      </c>
      <c r="D396" s="5" t="str">
        <f>IFERROR(__xludf.DUMMYFUNCTION("""COMPUTED_VALUE"""),"Yes")</f>
        <v>Yes</v>
      </c>
      <c r="E396" s="5" t="str">
        <f>IFERROR(__xludf.DUMMYFUNCTION("""COMPUTED_VALUE"""),"Yes")</f>
        <v>Yes</v>
      </c>
      <c r="F396" s="5" t="str">
        <f>IFERROR(__xludf.DUMMYFUNCTION("""COMPUTED_VALUE"""),"Yes")</f>
        <v>Yes</v>
      </c>
      <c r="G396" s="5" t="str">
        <f>IFERROR(__xludf.DUMMYFUNCTION("""COMPUTED_VALUE"""),"Yes")</f>
        <v>Yes</v>
      </c>
      <c r="H396" s="5" t="str">
        <f>IFERROR(__xludf.DUMMYFUNCTION("""COMPUTED_VALUE"""),"Yes")</f>
        <v>Yes</v>
      </c>
      <c r="I396" s="5" t="str">
        <f>IFERROR(__xludf.DUMMYFUNCTION("""COMPUTED_VALUE"""),"Yes")</f>
        <v>Yes</v>
      </c>
      <c r="J396" s="5" t="str">
        <f>IFERROR(__xludf.DUMMYFUNCTION("""COMPUTED_VALUE"""),"Yes")</f>
        <v>Yes</v>
      </c>
      <c r="K396" s="5" t="str">
        <f>IFERROR(__xludf.DUMMYFUNCTION("""COMPUTED_VALUE"""),"Yes")</f>
        <v>Yes</v>
      </c>
      <c r="L396" s="5" t="str">
        <f>IFERROR(__xludf.DUMMYFUNCTION("""COMPUTED_VALUE"""),"Yes")</f>
        <v>Yes</v>
      </c>
      <c r="M396" s="5" t="str">
        <f>IFERROR(__xludf.DUMMYFUNCTION("""COMPUTED_VALUE"""),"Yes")</f>
        <v>Yes</v>
      </c>
      <c r="N396" s="5" t="str">
        <f>IFERROR(__xludf.DUMMYFUNCTION("""COMPUTED_VALUE"""),"Yes")</f>
        <v>Yes</v>
      </c>
      <c r="O396" s="5" t="str">
        <f>IFERROR(__xludf.DUMMYFUNCTION("""COMPUTED_VALUE"""),"Yes")</f>
        <v>Yes</v>
      </c>
      <c r="P396" s="5" t="str">
        <f>IFERROR(__xludf.DUMMYFUNCTION("""COMPUTED_VALUE"""),"Yes")</f>
        <v>Yes</v>
      </c>
      <c r="Q396" s="5" t="str">
        <f>IFERROR(__xludf.DUMMYFUNCTION("""COMPUTED_VALUE"""),"Yes")</f>
        <v>Yes</v>
      </c>
      <c r="R396" s="5" t="str">
        <f>IFERROR(__xludf.DUMMYFUNCTION("""COMPUTED_VALUE"""),"Yes")</f>
        <v>Yes</v>
      </c>
      <c r="S396" s="5" t="str">
        <f>IFERROR(__xludf.DUMMYFUNCTION("""COMPUTED_VALUE"""),"Yes")</f>
        <v>Yes</v>
      </c>
      <c r="T396" s="5" t="str">
        <f>IFERROR(__xludf.DUMMYFUNCTION("""COMPUTED_VALUE"""),"Yes")</f>
        <v>Yes</v>
      </c>
      <c r="U396" s="5" t="str">
        <f>IFERROR(__xludf.DUMMYFUNCTION("""COMPUTED_VALUE"""),"Yes")</f>
        <v>Yes</v>
      </c>
      <c r="V396" s="5"/>
      <c r="W396" s="5"/>
      <c r="X396" s="5"/>
      <c r="Y396" s="5"/>
      <c r="Z396" s="5" t="str">
        <f>IFERROR(__xludf.DUMMYFUNCTION("""COMPUTED_VALUE"""),"Yes")</f>
        <v>Yes</v>
      </c>
      <c r="AA396" s="5"/>
      <c r="AB396" s="5"/>
      <c r="AC396" s="5"/>
    </row>
    <row r="397">
      <c r="A397" s="5" t="str">
        <f>IFERROR(__xludf.DUMMYFUNCTION("""COMPUTED_VALUE"""),"RedstoneDiceDouble")</f>
        <v>RedstoneDiceDouble</v>
      </c>
      <c r="B39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7" s="5" t="str">
        <f>IFERROR(__xludf.DUMMYFUNCTION("""COMPUTED_VALUE"""),"Yes")</f>
        <v>Yes</v>
      </c>
      <c r="D397" s="5" t="str">
        <f>IFERROR(__xludf.DUMMYFUNCTION("""COMPUTED_VALUE"""),"Yes")</f>
        <v>Yes</v>
      </c>
      <c r="E397" s="5" t="str">
        <f>IFERROR(__xludf.DUMMYFUNCTION("""COMPUTED_VALUE"""),"No")</f>
        <v>No</v>
      </c>
      <c r="F397" s="5" t="str">
        <f>IFERROR(__xludf.DUMMYFUNCTION("""COMPUTED_VALUE"""),"Yes")</f>
        <v>Yes</v>
      </c>
      <c r="G397" s="5" t="str">
        <f>IFERROR(__xludf.DUMMYFUNCTION("""COMPUTED_VALUE"""),"Yes")</f>
        <v>Yes</v>
      </c>
      <c r="H397" s="5" t="str">
        <f>IFERROR(__xludf.DUMMYFUNCTION("""COMPUTED_VALUE"""),"Yes")</f>
        <v>Yes</v>
      </c>
      <c r="I397" s="5" t="str">
        <f>IFERROR(__xludf.DUMMYFUNCTION("""COMPUTED_VALUE"""),"Yes")</f>
        <v>Yes</v>
      </c>
      <c r="J397" s="5" t="str">
        <f>IFERROR(__xludf.DUMMYFUNCTION("""COMPUTED_VALUE"""),"Yes")</f>
        <v>Yes</v>
      </c>
      <c r="K397" s="5" t="str">
        <f>IFERROR(__xludf.DUMMYFUNCTION("""COMPUTED_VALUE"""),"Yes")</f>
        <v>Yes</v>
      </c>
      <c r="L397" s="5" t="str">
        <f>IFERROR(__xludf.DUMMYFUNCTION("""COMPUTED_VALUE"""),"Yes")</f>
        <v>Yes</v>
      </c>
      <c r="M397" s="5" t="str">
        <f>IFERROR(__xludf.DUMMYFUNCTION("""COMPUTED_VALUE"""),"Yes")</f>
        <v>Yes</v>
      </c>
      <c r="N397" s="5" t="str">
        <f>IFERROR(__xludf.DUMMYFUNCTION("""COMPUTED_VALUE"""),"Yes")</f>
        <v>Yes</v>
      </c>
      <c r="O397" s="5" t="str">
        <f>IFERROR(__xludf.DUMMYFUNCTION("""COMPUTED_VALUE"""),"Yes")</f>
        <v>Yes</v>
      </c>
      <c r="P397" s="5" t="str">
        <f>IFERROR(__xludf.DUMMYFUNCTION("""COMPUTED_VALUE"""),"Yes")</f>
        <v>Yes</v>
      </c>
      <c r="Q397" s="5" t="str">
        <f>IFERROR(__xludf.DUMMYFUNCTION("""COMPUTED_VALUE"""),"Yes")</f>
        <v>Yes</v>
      </c>
      <c r="R397" s="5" t="str">
        <f>IFERROR(__xludf.DUMMYFUNCTION("""COMPUTED_VALUE"""),"No")</f>
        <v>No</v>
      </c>
      <c r="S397" s="5" t="str">
        <f>IFERROR(__xludf.DUMMYFUNCTION("""COMPUTED_VALUE"""),"No")</f>
        <v>No</v>
      </c>
      <c r="T397" s="5" t="str">
        <f>IFERROR(__xludf.DUMMYFUNCTION("""COMPUTED_VALUE"""),"No")</f>
        <v>No</v>
      </c>
      <c r="U397" s="5" t="str">
        <f>IFERROR(__xludf.DUMMYFUNCTION("""COMPUTED_VALUE"""),"No")</f>
        <v>No</v>
      </c>
      <c r="V397" s="5" t="str">
        <f>IFERROR(__xludf.DUMMYFUNCTION("""COMPUTED_VALUE"""),"No")</f>
        <v>No</v>
      </c>
      <c r="W397" s="5" t="str">
        <f>IFERROR(__xludf.DUMMYFUNCTION("""COMPUTED_VALUE"""),"No")</f>
        <v>No</v>
      </c>
      <c r="X397" s="5" t="str">
        <f>IFERROR(__xludf.DUMMYFUNCTION("""COMPUTED_VALUE"""),"Yes")</f>
        <v>Yes</v>
      </c>
      <c r="Y397" s="5" t="str">
        <f>IFERROR(__xludf.DUMMYFUNCTION("""COMPUTED_VALUE"""),"No")</f>
        <v>No</v>
      </c>
      <c r="Z397" s="5" t="str">
        <f>IFERROR(__xludf.DUMMYFUNCTION("""COMPUTED_VALUE"""),"No")</f>
        <v>No</v>
      </c>
      <c r="AA397" s="5" t="str">
        <f>IFERROR(__xludf.DUMMYFUNCTION("""COMPUTED_VALUE"""),"No")</f>
        <v>No</v>
      </c>
      <c r="AB397" s="5" t="str">
        <f>IFERROR(__xludf.DUMMYFUNCTION("""COMPUTED_VALUE"""),"Yes")</f>
        <v>Yes</v>
      </c>
      <c r="AC397" s="5" t="str">
        <f>IFERROR(__xludf.DUMMYFUNCTION("""COMPUTED_VALUE"""),"No")</f>
        <v>No</v>
      </c>
    </row>
    <row r="398">
      <c r="A398" s="5" t="str">
        <f>IFERROR(__xludf.DUMMYFUNCTION("""COMPUTED_VALUE"""),"RedstoneVolcanoHot")</f>
        <v>RedstoneVolcanoHot</v>
      </c>
      <c r="B39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8" s="5" t="str">
        <f>IFERROR(__xludf.DUMMYFUNCTION("""COMPUTED_VALUE"""),"Yes")</f>
        <v>Yes</v>
      </c>
      <c r="D398" s="5" t="str">
        <f>IFERROR(__xludf.DUMMYFUNCTION("""COMPUTED_VALUE"""),"Yes")</f>
        <v>Yes</v>
      </c>
      <c r="E398" s="5" t="str">
        <f>IFERROR(__xludf.DUMMYFUNCTION("""COMPUTED_VALUE"""),"No")</f>
        <v>No</v>
      </c>
      <c r="F398" s="5" t="str">
        <f>IFERROR(__xludf.DUMMYFUNCTION("""COMPUTED_VALUE"""),"Yes")</f>
        <v>Yes</v>
      </c>
      <c r="G398" s="5" t="str">
        <f>IFERROR(__xludf.DUMMYFUNCTION("""COMPUTED_VALUE"""),"Yes")</f>
        <v>Yes</v>
      </c>
      <c r="H398" s="5" t="str">
        <f>IFERROR(__xludf.DUMMYFUNCTION("""COMPUTED_VALUE"""),"Yes")</f>
        <v>Yes</v>
      </c>
      <c r="I398" s="5" t="str">
        <f>IFERROR(__xludf.DUMMYFUNCTION("""COMPUTED_VALUE"""),"Yes")</f>
        <v>Yes</v>
      </c>
      <c r="J398" s="5" t="str">
        <f>IFERROR(__xludf.DUMMYFUNCTION("""COMPUTED_VALUE"""),"Yes")</f>
        <v>Yes</v>
      </c>
      <c r="K398" s="5" t="str">
        <f>IFERROR(__xludf.DUMMYFUNCTION("""COMPUTED_VALUE"""),"Yes")</f>
        <v>Yes</v>
      </c>
      <c r="L398" s="5" t="str">
        <f>IFERROR(__xludf.DUMMYFUNCTION("""COMPUTED_VALUE"""),"Yes")</f>
        <v>Yes</v>
      </c>
      <c r="M398" s="5" t="str">
        <f>IFERROR(__xludf.DUMMYFUNCTION("""COMPUTED_VALUE"""),"Yes")</f>
        <v>Yes</v>
      </c>
      <c r="N398" s="5" t="str">
        <f>IFERROR(__xludf.DUMMYFUNCTION("""COMPUTED_VALUE"""),"Yes")</f>
        <v>Yes</v>
      </c>
      <c r="O398" s="5" t="str">
        <f>IFERROR(__xludf.DUMMYFUNCTION("""COMPUTED_VALUE"""),"Yes")</f>
        <v>Yes</v>
      </c>
      <c r="P398" s="5" t="str">
        <f>IFERROR(__xludf.DUMMYFUNCTION("""COMPUTED_VALUE"""),"Yes")</f>
        <v>Yes</v>
      </c>
      <c r="Q398" s="5" t="str">
        <f>IFERROR(__xludf.DUMMYFUNCTION("""COMPUTED_VALUE"""),"Yes")</f>
        <v>Yes</v>
      </c>
      <c r="R398" s="5" t="str">
        <f>IFERROR(__xludf.DUMMYFUNCTION("""COMPUTED_VALUE"""),"No")</f>
        <v>No</v>
      </c>
      <c r="S398" s="5" t="str">
        <f>IFERROR(__xludf.DUMMYFUNCTION("""COMPUTED_VALUE"""),"No")</f>
        <v>No</v>
      </c>
      <c r="T398" s="5" t="str">
        <f>IFERROR(__xludf.DUMMYFUNCTION("""COMPUTED_VALUE"""),"No")</f>
        <v>No</v>
      </c>
      <c r="U398" s="5" t="str">
        <f>IFERROR(__xludf.DUMMYFUNCTION("""COMPUTED_VALUE"""),"No")</f>
        <v>No</v>
      </c>
      <c r="V398" s="5" t="str">
        <f>IFERROR(__xludf.DUMMYFUNCTION("""COMPUTED_VALUE"""),"No")</f>
        <v>No</v>
      </c>
      <c r="W398" s="5" t="str">
        <f>IFERROR(__xludf.DUMMYFUNCTION("""COMPUTED_VALUE"""),"No")</f>
        <v>No</v>
      </c>
      <c r="X398" s="5" t="str">
        <f>IFERROR(__xludf.DUMMYFUNCTION("""COMPUTED_VALUE"""),"Yes")</f>
        <v>Yes</v>
      </c>
      <c r="Y398" s="5" t="str">
        <f>IFERROR(__xludf.DUMMYFUNCTION("""COMPUTED_VALUE"""),"No")</f>
        <v>No</v>
      </c>
      <c r="Z398" s="5" t="str">
        <f>IFERROR(__xludf.DUMMYFUNCTION("""COMPUTED_VALUE"""),"No")</f>
        <v>No</v>
      </c>
      <c r="AA398" s="5" t="str">
        <f>IFERROR(__xludf.DUMMYFUNCTION("""COMPUTED_VALUE"""),"No")</f>
        <v>No</v>
      </c>
      <c r="AB398" s="5" t="str">
        <f>IFERROR(__xludf.DUMMYFUNCTION("""COMPUTED_VALUE"""),"Yes")</f>
        <v>Yes</v>
      </c>
      <c r="AC398" s="5" t="str">
        <f>IFERROR(__xludf.DUMMYFUNCTION("""COMPUTED_VALUE"""),"No")</f>
        <v>No</v>
      </c>
    </row>
    <row r="399">
      <c r="A399" s="5" t="str">
        <f>IFERROR(__xludf.DUMMYFUNCTION("""COMPUTED_VALUE"""),"Redstone10CloverFire")</f>
        <v>Redstone10CloverFire</v>
      </c>
      <c r="B39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9" s="5" t="str">
        <f>IFERROR(__xludf.DUMMYFUNCTION("""COMPUTED_VALUE"""),"Yes")</f>
        <v>Yes</v>
      </c>
      <c r="D399" s="5" t="str">
        <f>IFERROR(__xludf.DUMMYFUNCTION("""COMPUTED_VALUE"""),"Yes")</f>
        <v>Yes</v>
      </c>
      <c r="E399" s="5" t="str">
        <f>IFERROR(__xludf.DUMMYFUNCTION("""COMPUTED_VALUE"""),"No")</f>
        <v>No</v>
      </c>
      <c r="F399" s="5" t="str">
        <f>IFERROR(__xludf.DUMMYFUNCTION("""COMPUTED_VALUE"""),"Yes")</f>
        <v>Yes</v>
      </c>
      <c r="G399" s="5" t="str">
        <f>IFERROR(__xludf.DUMMYFUNCTION("""COMPUTED_VALUE"""),"Yes")</f>
        <v>Yes</v>
      </c>
      <c r="H399" s="5" t="str">
        <f>IFERROR(__xludf.DUMMYFUNCTION("""COMPUTED_VALUE"""),"Yes")</f>
        <v>Yes</v>
      </c>
      <c r="I399" s="5" t="str">
        <f>IFERROR(__xludf.DUMMYFUNCTION("""COMPUTED_VALUE"""),"Yes")</f>
        <v>Yes</v>
      </c>
      <c r="J399" s="5" t="str">
        <f>IFERROR(__xludf.DUMMYFUNCTION("""COMPUTED_VALUE"""),"Yes")</f>
        <v>Yes</v>
      </c>
      <c r="K399" s="5" t="str">
        <f>IFERROR(__xludf.DUMMYFUNCTION("""COMPUTED_VALUE"""),"Yes")</f>
        <v>Yes</v>
      </c>
      <c r="L399" s="5" t="str">
        <f>IFERROR(__xludf.DUMMYFUNCTION("""COMPUTED_VALUE"""),"Yes")</f>
        <v>Yes</v>
      </c>
      <c r="M399" s="5" t="str">
        <f>IFERROR(__xludf.DUMMYFUNCTION("""COMPUTED_VALUE"""),"Yes")</f>
        <v>Yes</v>
      </c>
      <c r="N399" s="5" t="str">
        <f>IFERROR(__xludf.DUMMYFUNCTION("""COMPUTED_VALUE"""),"Yes")</f>
        <v>Yes</v>
      </c>
      <c r="O399" s="5" t="str">
        <f>IFERROR(__xludf.DUMMYFUNCTION("""COMPUTED_VALUE"""),"Yes")</f>
        <v>Yes</v>
      </c>
      <c r="P399" s="5" t="str">
        <f>IFERROR(__xludf.DUMMYFUNCTION("""COMPUTED_VALUE"""),"Yes")</f>
        <v>Yes</v>
      </c>
      <c r="Q399" s="5" t="str">
        <f>IFERROR(__xludf.DUMMYFUNCTION("""COMPUTED_VALUE"""),"Yes")</f>
        <v>Yes</v>
      </c>
      <c r="R399" s="5" t="str">
        <f>IFERROR(__xludf.DUMMYFUNCTION("""COMPUTED_VALUE"""),"No")</f>
        <v>No</v>
      </c>
      <c r="S399" s="5" t="str">
        <f>IFERROR(__xludf.DUMMYFUNCTION("""COMPUTED_VALUE"""),"No")</f>
        <v>No</v>
      </c>
      <c r="T399" s="5" t="str">
        <f>IFERROR(__xludf.DUMMYFUNCTION("""COMPUTED_VALUE"""),"No")</f>
        <v>No</v>
      </c>
      <c r="U399" s="5" t="str">
        <f>IFERROR(__xludf.DUMMYFUNCTION("""COMPUTED_VALUE"""),"No")</f>
        <v>No</v>
      </c>
      <c r="V399" s="5" t="str">
        <f>IFERROR(__xludf.DUMMYFUNCTION("""COMPUTED_VALUE"""),"No")</f>
        <v>No</v>
      </c>
      <c r="W399" s="5" t="str">
        <f>IFERROR(__xludf.DUMMYFUNCTION("""COMPUTED_VALUE"""),"No")</f>
        <v>No</v>
      </c>
      <c r="X399" s="5" t="str">
        <f>IFERROR(__xludf.DUMMYFUNCTION("""COMPUTED_VALUE"""),"Yes")</f>
        <v>Yes</v>
      </c>
      <c r="Y399" s="5" t="str">
        <f>IFERROR(__xludf.DUMMYFUNCTION("""COMPUTED_VALUE"""),"No")</f>
        <v>No</v>
      </c>
      <c r="Z399" s="5" t="str">
        <f>IFERROR(__xludf.DUMMYFUNCTION("""COMPUTED_VALUE"""),"No")</f>
        <v>No</v>
      </c>
      <c r="AA399" s="5" t="str">
        <f>IFERROR(__xludf.DUMMYFUNCTION("""COMPUTED_VALUE"""),"No")</f>
        <v>No</v>
      </c>
      <c r="AB399" s="5" t="str">
        <f>IFERROR(__xludf.DUMMYFUNCTION("""COMPUTED_VALUE"""),"Yes")</f>
        <v>Yes</v>
      </c>
      <c r="AC399" s="5" t="str">
        <f>IFERROR(__xludf.DUMMYFUNCTION("""COMPUTED_VALUE"""),"No")</f>
        <v>No</v>
      </c>
    </row>
    <row r="400">
      <c r="A400" s="5" t="str">
        <f>IFERROR(__xludf.DUMMYFUNCTION("""COMPUTED_VALUE"""),"CrownsAndStars")</f>
        <v>CrownsAndStars</v>
      </c>
      <c r="B40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0" s="5" t="str">
        <f>IFERROR(__xludf.DUMMYFUNCTION("""COMPUTED_VALUE"""),"Yes")</f>
        <v>Yes</v>
      </c>
      <c r="D400" s="5" t="str">
        <f>IFERROR(__xludf.DUMMYFUNCTION("""COMPUTED_VALUE"""),"Yes")</f>
        <v>Yes</v>
      </c>
      <c r="E400" s="5" t="str">
        <f>IFERROR(__xludf.DUMMYFUNCTION("""COMPUTED_VALUE"""),"Yes")</f>
        <v>Yes</v>
      </c>
      <c r="F400" s="5" t="str">
        <f>IFERROR(__xludf.DUMMYFUNCTION("""COMPUTED_VALUE"""),"Yes")</f>
        <v>Yes</v>
      </c>
      <c r="G400" s="5" t="str">
        <f>IFERROR(__xludf.DUMMYFUNCTION("""COMPUTED_VALUE"""),"Yes")</f>
        <v>Yes</v>
      </c>
      <c r="H400" s="5" t="str">
        <f>IFERROR(__xludf.DUMMYFUNCTION("""COMPUTED_VALUE"""),"Yes")</f>
        <v>Yes</v>
      </c>
      <c r="I400" s="5" t="str">
        <f>IFERROR(__xludf.DUMMYFUNCTION("""COMPUTED_VALUE"""),"Yes")</f>
        <v>Yes</v>
      </c>
      <c r="J400" s="5" t="str">
        <f>IFERROR(__xludf.DUMMYFUNCTION("""COMPUTED_VALUE"""),"Yes")</f>
        <v>Yes</v>
      </c>
      <c r="K400" s="5" t="str">
        <f>IFERROR(__xludf.DUMMYFUNCTION("""COMPUTED_VALUE"""),"Yes")</f>
        <v>Yes</v>
      </c>
      <c r="L400" s="5" t="str">
        <f>IFERROR(__xludf.DUMMYFUNCTION("""COMPUTED_VALUE"""),"Yes")</f>
        <v>Yes</v>
      </c>
      <c r="M400" s="5" t="str">
        <f>IFERROR(__xludf.DUMMYFUNCTION("""COMPUTED_VALUE"""),"Yes")</f>
        <v>Yes</v>
      </c>
      <c r="N400" s="5" t="str">
        <f>IFERROR(__xludf.DUMMYFUNCTION("""COMPUTED_VALUE"""),"Yes")</f>
        <v>Yes</v>
      </c>
      <c r="O400" s="5" t="str">
        <f>IFERROR(__xludf.DUMMYFUNCTION("""COMPUTED_VALUE"""),"Yes")</f>
        <v>Yes</v>
      </c>
      <c r="P400" s="5" t="str">
        <f>IFERROR(__xludf.DUMMYFUNCTION("""COMPUTED_VALUE"""),"Yes")</f>
        <v>Yes</v>
      </c>
      <c r="Q400" s="5" t="str">
        <f>IFERROR(__xludf.DUMMYFUNCTION("""COMPUTED_VALUE"""),"Yes")</f>
        <v>Yes</v>
      </c>
      <c r="R400" s="5" t="str">
        <f>IFERROR(__xludf.DUMMYFUNCTION("""COMPUTED_VALUE"""),"Yes")</f>
        <v>Yes</v>
      </c>
      <c r="S400" s="5" t="str">
        <f>IFERROR(__xludf.DUMMYFUNCTION("""COMPUTED_VALUE"""),"Yes")</f>
        <v>Yes</v>
      </c>
      <c r="T400" s="5" t="str">
        <f>IFERROR(__xludf.DUMMYFUNCTION("""COMPUTED_VALUE"""),"Yes")</f>
        <v>Yes</v>
      </c>
      <c r="U400" s="5" t="str">
        <f>IFERROR(__xludf.DUMMYFUNCTION("""COMPUTED_VALUE"""),"Yes")</f>
        <v>Yes</v>
      </c>
      <c r="V400" s="5" t="str">
        <f>IFERROR(__xludf.DUMMYFUNCTION("""COMPUTED_VALUE"""),"Yes")</f>
        <v>Yes</v>
      </c>
      <c r="W400" s="5" t="str">
        <f>IFERROR(__xludf.DUMMYFUNCTION("""COMPUTED_VALUE"""),"Yes")</f>
        <v>Yes</v>
      </c>
      <c r="X400" s="5" t="str">
        <f>IFERROR(__xludf.DUMMYFUNCTION("""COMPUTED_VALUE"""),"Yes")</f>
        <v>Yes</v>
      </c>
      <c r="Y400" s="5" t="str">
        <f>IFERROR(__xludf.DUMMYFUNCTION("""COMPUTED_VALUE"""),"Yes")</f>
        <v>Yes</v>
      </c>
      <c r="Z400" s="5" t="str">
        <f>IFERROR(__xludf.DUMMYFUNCTION("""COMPUTED_VALUE"""),"Yes")</f>
        <v>Yes</v>
      </c>
      <c r="AA400" s="5" t="str">
        <f>IFERROR(__xludf.DUMMYFUNCTION("""COMPUTED_VALUE"""),"Yes")</f>
        <v>Yes</v>
      </c>
      <c r="AB400" s="5" t="str">
        <f>IFERROR(__xludf.DUMMYFUNCTION("""COMPUTED_VALUE"""),"Yes")</f>
        <v>Yes</v>
      </c>
      <c r="AC400" s="5" t="str">
        <f>IFERROR(__xludf.DUMMYFUNCTION("""COMPUTED_VALUE"""),"No")</f>
        <v>No</v>
      </c>
    </row>
    <row r="401">
      <c r="A401" s="5" t="str">
        <f>IFERROR(__xludf.DUMMYFUNCTION("""COMPUTED_VALUE"""),"PlayNetFortuneCloverX2")</f>
        <v>PlayNetFortuneCloverX2</v>
      </c>
      <c r="B40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1" s="5" t="str">
        <f>IFERROR(__xludf.DUMMYFUNCTION("""COMPUTED_VALUE"""),"Yes")</f>
        <v>Yes</v>
      </c>
      <c r="D401" s="5" t="str">
        <f>IFERROR(__xludf.DUMMYFUNCTION("""COMPUTED_VALUE"""),"Yes")</f>
        <v>Yes</v>
      </c>
      <c r="E401" s="5" t="str">
        <f>IFERROR(__xludf.DUMMYFUNCTION("""COMPUTED_VALUE"""),"Yes")</f>
        <v>Yes</v>
      </c>
      <c r="F401" s="5" t="str">
        <f>IFERROR(__xludf.DUMMYFUNCTION("""COMPUTED_VALUE"""),"Yes")</f>
        <v>Yes</v>
      </c>
      <c r="G401" s="5" t="str">
        <f>IFERROR(__xludf.DUMMYFUNCTION("""COMPUTED_VALUE"""),"Yes")</f>
        <v>Yes</v>
      </c>
      <c r="H401" s="5" t="str">
        <f>IFERROR(__xludf.DUMMYFUNCTION("""COMPUTED_VALUE"""),"Yes")</f>
        <v>Yes</v>
      </c>
      <c r="I401" s="5" t="str">
        <f>IFERROR(__xludf.DUMMYFUNCTION("""COMPUTED_VALUE"""),"Yes")</f>
        <v>Yes</v>
      </c>
      <c r="J401" s="5" t="str">
        <f>IFERROR(__xludf.DUMMYFUNCTION("""COMPUTED_VALUE"""),"Yes")</f>
        <v>Yes</v>
      </c>
      <c r="K401" s="5" t="str">
        <f>IFERROR(__xludf.DUMMYFUNCTION("""COMPUTED_VALUE"""),"Yes")</f>
        <v>Yes</v>
      </c>
      <c r="L401" s="5" t="str">
        <f>IFERROR(__xludf.DUMMYFUNCTION("""COMPUTED_VALUE"""),"Yes")</f>
        <v>Yes</v>
      </c>
      <c r="M401" s="5" t="str">
        <f>IFERROR(__xludf.DUMMYFUNCTION("""COMPUTED_VALUE"""),"Yes")</f>
        <v>Yes</v>
      </c>
      <c r="N401" s="5" t="str">
        <f>IFERROR(__xludf.DUMMYFUNCTION("""COMPUTED_VALUE"""),"Yes")</f>
        <v>Yes</v>
      </c>
      <c r="O401" s="5" t="str">
        <f>IFERROR(__xludf.DUMMYFUNCTION("""COMPUTED_VALUE"""),"Yes")</f>
        <v>Yes</v>
      </c>
      <c r="P401" s="5" t="str">
        <f>IFERROR(__xludf.DUMMYFUNCTION("""COMPUTED_VALUE"""),"Yes")</f>
        <v>Yes</v>
      </c>
      <c r="Q401" s="5" t="str">
        <f>IFERROR(__xludf.DUMMYFUNCTION("""COMPUTED_VALUE"""),"Yes")</f>
        <v>Yes</v>
      </c>
      <c r="R401" s="5" t="str">
        <f>IFERROR(__xludf.DUMMYFUNCTION("""COMPUTED_VALUE"""),"No")</f>
        <v>No</v>
      </c>
      <c r="S401" s="5" t="str">
        <f>IFERROR(__xludf.DUMMYFUNCTION("""COMPUTED_VALUE"""),"No")</f>
        <v>No</v>
      </c>
      <c r="T401" s="5" t="str">
        <f>IFERROR(__xludf.DUMMYFUNCTION("""COMPUTED_VALUE"""),"No")</f>
        <v>No</v>
      </c>
      <c r="U401" s="5" t="str">
        <f>IFERROR(__xludf.DUMMYFUNCTION("""COMPUTED_VALUE"""),"No")</f>
        <v>No</v>
      </c>
      <c r="V401" s="5"/>
      <c r="W401" s="5"/>
      <c r="X401" s="5"/>
      <c r="Y401" s="5"/>
      <c r="Z401" s="5" t="str">
        <f>IFERROR(__xludf.DUMMYFUNCTION("""COMPUTED_VALUE"""),"No")</f>
        <v>No</v>
      </c>
      <c r="AA401" s="5"/>
      <c r="AB401" s="5" t="str">
        <f>IFERROR(__xludf.DUMMYFUNCTION("""COMPUTED_VALUE"""),"Yes")</f>
        <v>Yes</v>
      </c>
      <c r="AC401" s="5"/>
    </row>
    <row r="402">
      <c r="A402" s="5" t="str">
        <f>IFERROR(__xludf.DUMMYFUNCTION("""COMPUTED_VALUE"""),"PlayNetDiamondHeartX2")</f>
        <v>PlayNetDiamondHeartX2</v>
      </c>
      <c r="B402" s="5" t="str">
        <f>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C402" s="5" t="str">
        <f>IFERROR(__xludf.DUMMYFUNCTION("""COMPUTED_VALUE"""),"Yes")</f>
        <v>Yes</v>
      </c>
      <c r="D402" s="5" t="str">
        <f>IFERROR(__xludf.DUMMYFUNCTION("""COMPUTED_VALUE"""),"Yes")</f>
        <v>Yes</v>
      </c>
      <c r="E402" s="5" t="str">
        <f>IFERROR(__xludf.DUMMYFUNCTION("""COMPUTED_VALUE"""),"Yes")</f>
        <v>Yes</v>
      </c>
      <c r="F402" s="5" t="str">
        <f>IFERROR(__xludf.DUMMYFUNCTION("""COMPUTED_VALUE"""),"Yes")</f>
        <v>Yes</v>
      </c>
      <c r="G402" s="5" t="str">
        <f>IFERROR(__xludf.DUMMYFUNCTION("""COMPUTED_VALUE"""),"Yes")</f>
        <v>Yes</v>
      </c>
      <c r="H402" s="5" t="str">
        <f>IFERROR(__xludf.DUMMYFUNCTION("""COMPUTED_VALUE"""),"Yes")</f>
        <v>Yes</v>
      </c>
      <c r="I402" s="5" t="str">
        <f>IFERROR(__xludf.DUMMYFUNCTION("""COMPUTED_VALUE"""),"Yes")</f>
        <v>Yes</v>
      </c>
      <c r="J402" s="5" t="str">
        <f>IFERROR(__xludf.DUMMYFUNCTION("""COMPUTED_VALUE"""),"Yes")</f>
        <v>Yes</v>
      </c>
      <c r="K402" s="5" t="str">
        <f>IFERROR(__xludf.DUMMYFUNCTION("""COMPUTED_VALUE"""),"Yes")</f>
        <v>Yes</v>
      </c>
      <c r="L402" s="5" t="str">
        <f>IFERROR(__xludf.DUMMYFUNCTION("""COMPUTED_VALUE"""),"Yes")</f>
        <v>Yes</v>
      </c>
      <c r="M402" s="5" t="str">
        <f>IFERROR(__xludf.DUMMYFUNCTION("""COMPUTED_VALUE"""),"Yes")</f>
        <v>Yes</v>
      </c>
      <c r="N402" s="5" t="str">
        <f>IFERROR(__xludf.DUMMYFUNCTION("""COMPUTED_VALUE"""),"Yes")</f>
        <v>Yes</v>
      </c>
      <c r="O402" s="5" t="str">
        <f>IFERROR(__xludf.DUMMYFUNCTION("""COMPUTED_VALUE"""),"Yes")</f>
        <v>Yes</v>
      </c>
      <c r="P402" s="5" t="str">
        <f>IFERROR(__xludf.DUMMYFUNCTION("""COMPUTED_VALUE"""),"Yes")</f>
        <v>Yes</v>
      </c>
      <c r="Q402" s="5" t="str">
        <f>IFERROR(__xludf.DUMMYFUNCTION("""COMPUTED_VALUE"""),"Yes")</f>
        <v>Yes</v>
      </c>
      <c r="R402" s="5" t="str">
        <f>IFERROR(__xludf.DUMMYFUNCTION("""COMPUTED_VALUE"""),"No")</f>
        <v>No</v>
      </c>
      <c r="S402" s="5" t="str">
        <f>IFERROR(__xludf.DUMMYFUNCTION("""COMPUTED_VALUE"""),"No")</f>
        <v>No</v>
      </c>
      <c r="T402" s="5" t="str">
        <f>IFERROR(__xludf.DUMMYFUNCTION("""COMPUTED_VALUE"""),"No")</f>
        <v>No</v>
      </c>
      <c r="U402" s="5" t="str">
        <f>IFERROR(__xludf.DUMMYFUNCTION("""COMPUTED_VALUE"""),"No")</f>
        <v>No</v>
      </c>
      <c r="V402" s="5" t="str">
        <f>IFERROR(__xludf.DUMMYFUNCTION("""COMPUTED_VALUE"""),"No")</f>
        <v>No</v>
      </c>
      <c r="W402" s="5" t="str">
        <f>IFERROR(__xludf.DUMMYFUNCTION("""COMPUTED_VALUE"""),"Yes")</f>
        <v>Yes</v>
      </c>
      <c r="X402" s="5"/>
      <c r="Y402" s="5" t="str">
        <f>IFERROR(__xludf.DUMMYFUNCTION("""COMPUTED_VALUE"""),"No")</f>
        <v>No</v>
      </c>
      <c r="Z402" s="5" t="str">
        <f>IFERROR(__xludf.DUMMYFUNCTION("""COMPUTED_VALUE"""),"No")</f>
        <v>No</v>
      </c>
      <c r="AA402" s="5"/>
      <c r="AB402" s="5" t="str">
        <f>IFERROR(__xludf.DUMMYFUNCTION("""COMPUTED_VALUE"""),"Yes")</f>
        <v>Yes</v>
      </c>
      <c r="AC402" s="5"/>
    </row>
    <row r="403">
      <c r="A403" s="5" t="str">
        <f>IFERROR(__xludf.DUMMYFUNCTION("""COMPUTED_VALUE"""),"PlayNetFortuneClover100")</f>
        <v>PlayNetFortuneClover100</v>
      </c>
      <c r="B40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3" s="5" t="str">
        <f>IFERROR(__xludf.DUMMYFUNCTION("""COMPUTED_VALUE"""),"Yes")</f>
        <v>Yes</v>
      </c>
      <c r="D403" s="5" t="str">
        <f>IFERROR(__xludf.DUMMYFUNCTION("""COMPUTED_VALUE"""),"Yes")</f>
        <v>Yes</v>
      </c>
      <c r="E403" s="5" t="str">
        <f>IFERROR(__xludf.DUMMYFUNCTION("""COMPUTED_VALUE"""),"Yes")</f>
        <v>Yes</v>
      </c>
      <c r="F403" s="5" t="str">
        <f>IFERROR(__xludf.DUMMYFUNCTION("""COMPUTED_VALUE"""),"Yes")</f>
        <v>Yes</v>
      </c>
      <c r="G403" s="5" t="str">
        <f>IFERROR(__xludf.DUMMYFUNCTION("""COMPUTED_VALUE"""),"Yes")</f>
        <v>Yes</v>
      </c>
      <c r="H403" s="5" t="str">
        <f>IFERROR(__xludf.DUMMYFUNCTION("""COMPUTED_VALUE"""),"Yes")</f>
        <v>Yes</v>
      </c>
      <c r="I403" s="5" t="str">
        <f>IFERROR(__xludf.DUMMYFUNCTION("""COMPUTED_VALUE"""),"Yes")</f>
        <v>Yes</v>
      </c>
      <c r="J403" s="5" t="str">
        <f>IFERROR(__xludf.DUMMYFUNCTION("""COMPUTED_VALUE"""),"Yes")</f>
        <v>Yes</v>
      </c>
      <c r="K403" s="5" t="str">
        <f>IFERROR(__xludf.DUMMYFUNCTION("""COMPUTED_VALUE"""),"Yes")</f>
        <v>Yes</v>
      </c>
      <c r="L403" s="5" t="str">
        <f>IFERROR(__xludf.DUMMYFUNCTION("""COMPUTED_VALUE"""),"Yes")</f>
        <v>Yes</v>
      </c>
      <c r="M403" s="5" t="str">
        <f>IFERROR(__xludf.DUMMYFUNCTION("""COMPUTED_VALUE"""),"Yes")</f>
        <v>Yes</v>
      </c>
      <c r="N403" s="5" t="str">
        <f>IFERROR(__xludf.DUMMYFUNCTION("""COMPUTED_VALUE"""),"Yes")</f>
        <v>Yes</v>
      </c>
      <c r="O403" s="5" t="str">
        <f>IFERROR(__xludf.DUMMYFUNCTION("""COMPUTED_VALUE"""),"Yes")</f>
        <v>Yes</v>
      </c>
      <c r="P403" s="5" t="str">
        <f>IFERROR(__xludf.DUMMYFUNCTION("""COMPUTED_VALUE"""),"Yes")</f>
        <v>Yes</v>
      </c>
      <c r="Q403" s="5" t="str">
        <f>IFERROR(__xludf.DUMMYFUNCTION("""COMPUTED_VALUE"""),"Yes")</f>
        <v>Yes</v>
      </c>
      <c r="R403" s="5" t="str">
        <f>IFERROR(__xludf.DUMMYFUNCTION("""COMPUTED_VALUE"""),"No")</f>
        <v>No</v>
      </c>
      <c r="S403" s="5" t="str">
        <f>IFERROR(__xludf.DUMMYFUNCTION("""COMPUTED_VALUE"""),"No")</f>
        <v>No</v>
      </c>
      <c r="T403" s="5" t="str">
        <f>IFERROR(__xludf.DUMMYFUNCTION("""COMPUTED_VALUE"""),"No")</f>
        <v>No</v>
      </c>
      <c r="U403" s="5" t="str">
        <f>IFERROR(__xludf.DUMMYFUNCTION("""COMPUTED_VALUE"""),"No")</f>
        <v>No</v>
      </c>
      <c r="V403" s="5"/>
      <c r="W403" s="5"/>
      <c r="X403" s="5"/>
      <c r="Y403" s="5"/>
      <c r="Z403" s="5" t="str">
        <f>IFERROR(__xludf.DUMMYFUNCTION("""COMPUTED_VALUE"""),"No")</f>
        <v>No</v>
      </c>
      <c r="AA403" s="5"/>
      <c r="AB403" s="5" t="str">
        <f>IFERROR(__xludf.DUMMYFUNCTION("""COMPUTED_VALUE"""),"Yes")</f>
        <v>Yes</v>
      </c>
      <c r="AC403" s="5"/>
    </row>
    <row r="404">
      <c r="A404" s="5" t="str">
        <f>IFERROR(__xludf.DUMMYFUNCTION("""COMPUTED_VALUE"""),"RedstoneCosmicSevens")</f>
        <v>RedstoneCosmicSevens</v>
      </c>
      <c r="B40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4" s="5" t="str">
        <f>IFERROR(__xludf.DUMMYFUNCTION("""COMPUTED_VALUE"""),"Yes")</f>
        <v>Yes</v>
      </c>
      <c r="D404" s="5" t="str">
        <f>IFERROR(__xludf.DUMMYFUNCTION("""COMPUTED_VALUE"""),"Yes")</f>
        <v>Yes</v>
      </c>
      <c r="E404" s="5" t="str">
        <f>IFERROR(__xludf.DUMMYFUNCTION("""COMPUTED_VALUE"""),"Yes")</f>
        <v>Yes</v>
      </c>
      <c r="F404" s="5" t="str">
        <f>IFERROR(__xludf.DUMMYFUNCTION("""COMPUTED_VALUE"""),"Yes")</f>
        <v>Yes</v>
      </c>
      <c r="G404" s="5" t="str">
        <f>IFERROR(__xludf.DUMMYFUNCTION("""COMPUTED_VALUE"""),"Yes")</f>
        <v>Yes</v>
      </c>
      <c r="H404" s="5" t="str">
        <f>IFERROR(__xludf.DUMMYFUNCTION("""COMPUTED_VALUE"""),"Yes")</f>
        <v>Yes</v>
      </c>
      <c r="I404" s="5" t="str">
        <f>IFERROR(__xludf.DUMMYFUNCTION("""COMPUTED_VALUE"""),"Yes")</f>
        <v>Yes</v>
      </c>
      <c r="J404" s="5" t="str">
        <f>IFERROR(__xludf.DUMMYFUNCTION("""COMPUTED_VALUE"""),"Yes")</f>
        <v>Yes</v>
      </c>
      <c r="K404" s="5" t="str">
        <f>IFERROR(__xludf.DUMMYFUNCTION("""COMPUTED_VALUE"""),"Yes")</f>
        <v>Yes</v>
      </c>
      <c r="L404" s="5" t="str">
        <f>IFERROR(__xludf.DUMMYFUNCTION("""COMPUTED_VALUE"""),"Yes")</f>
        <v>Yes</v>
      </c>
      <c r="M404" s="5" t="str">
        <f>IFERROR(__xludf.DUMMYFUNCTION("""COMPUTED_VALUE"""),"Yes")</f>
        <v>Yes</v>
      </c>
      <c r="N404" s="5" t="str">
        <f>IFERROR(__xludf.DUMMYFUNCTION("""COMPUTED_VALUE"""),"Yes")</f>
        <v>Yes</v>
      </c>
      <c r="O404" s="5" t="str">
        <f>IFERROR(__xludf.DUMMYFUNCTION("""COMPUTED_VALUE"""),"Yes")</f>
        <v>Yes</v>
      </c>
      <c r="P404" s="5" t="str">
        <f>IFERROR(__xludf.DUMMYFUNCTION("""COMPUTED_VALUE"""),"Yes")</f>
        <v>Yes</v>
      </c>
      <c r="Q404" s="5" t="str">
        <f>IFERROR(__xludf.DUMMYFUNCTION("""COMPUTED_VALUE"""),"Yes")</f>
        <v>Yes</v>
      </c>
      <c r="R404" s="5" t="str">
        <f>IFERROR(__xludf.DUMMYFUNCTION("""COMPUTED_VALUE"""),"Yes")</f>
        <v>Yes</v>
      </c>
      <c r="S404" s="5" t="str">
        <f>IFERROR(__xludf.DUMMYFUNCTION("""COMPUTED_VALUE"""),"Yes")</f>
        <v>Yes</v>
      </c>
      <c r="T404" s="5" t="str">
        <f>IFERROR(__xludf.DUMMYFUNCTION("""COMPUTED_VALUE"""),"Yes")</f>
        <v>Yes</v>
      </c>
      <c r="U404" s="5" t="str">
        <f>IFERROR(__xludf.DUMMYFUNCTION("""COMPUTED_VALUE"""),"Yes")</f>
        <v>Yes</v>
      </c>
      <c r="V404" s="5"/>
      <c r="W404" s="5"/>
      <c r="X404" s="5"/>
      <c r="Y404" s="5"/>
      <c r="Z404" s="5" t="str">
        <f>IFERROR(__xludf.DUMMYFUNCTION("""COMPUTED_VALUE"""),"Yes")</f>
        <v>Yes</v>
      </c>
      <c r="AA404" s="5"/>
      <c r="AB404" s="5"/>
      <c r="AC404" s="5"/>
    </row>
    <row r="405">
      <c r="A405" s="5" t="str">
        <f>IFERROR(__xludf.DUMMYFUNCTION("""COMPUTED_VALUE"""),"Unicorn20HotStrikeDiceJackpot")</f>
        <v>Unicorn20HotStrikeDiceJackpot</v>
      </c>
      <c r="B40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5" s="5" t="str">
        <f>IFERROR(__xludf.DUMMYFUNCTION("""COMPUTED_VALUE"""),"Yes")</f>
        <v>Yes</v>
      </c>
      <c r="D405" s="5" t="str">
        <f>IFERROR(__xludf.DUMMYFUNCTION("""COMPUTED_VALUE"""),"Yes")</f>
        <v>Yes</v>
      </c>
      <c r="E405" s="5" t="str">
        <f>IFERROR(__xludf.DUMMYFUNCTION("""COMPUTED_VALUE"""),"No")</f>
        <v>No</v>
      </c>
      <c r="F405" s="5" t="str">
        <f>IFERROR(__xludf.DUMMYFUNCTION("""COMPUTED_VALUE"""),"Yes")</f>
        <v>Yes</v>
      </c>
      <c r="G405" s="5" t="str">
        <f>IFERROR(__xludf.DUMMYFUNCTION("""COMPUTED_VALUE"""),"Yes")</f>
        <v>Yes</v>
      </c>
      <c r="H405" s="5" t="str">
        <f>IFERROR(__xludf.DUMMYFUNCTION("""COMPUTED_VALUE"""),"Yes")</f>
        <v>Yes</v>
      </c>
      <c r="I405" s="5" t="str">
        <f>IFERROR(__xludf.DUMMYFUNCTION("""COMPUTED_VALUE"""),"Yes")</f>
        <v>Yes</v>
      </c>
      <c r="J405" s="5" t="str">
        <f>IFERROR(__xludf.DUMMYFUNCTION("""COMPUTED_VALUE"""),"Yes")</f>
        <v>Yes</v>
      </c>
      <c r="K405" s="5" t="str">
        <f>IFERROR(__xludf.DUMMYFUNCTION("""COMPUTED_VALUE"""),"Yes")</f>
        <v>Yes</v>
      </c>
      <c r="L405" s="5" t="str">
        <f>IFERROR(__xludf.DUMMYFUNCTION("""COMPUTED_VALUE"""),"Yes")</f>
        <v>Yes</v>
      </c>
      <c r="M405" s="5" t="str">
        <f>IFERROR(__xludf.DUMMYFUNCTION("""COMPUTED_VALUE"""),"Yes")</f>
        <v>Yes</v>
      </c>
      <c r="N405" s="5" t="str">
        <f>IFERROR(__xludf.DUMMYFUNCTION("""COMPUTED_VALUE"""),"Yes")</f>
        <v>Yes</v>
      </c>
      <c r="O405" s="5" t="str">
        <f>IFERROR(__xludf.DUMMYFUNCTION("""COMPUTED_VALUE"""),"Yes")</f>
        <v>Yes</v>
      </c>
      <c r="P405" s="5" t="str">
        <f>IFERROR(__xludf.DUMMYFUNCTION("""COMPUTED_VALUE"""),"Yes")</f>
        <v>Yes</v>
      </c>
      <c r="Q405" s="5" t="str">
        <f>IFERROR(__xludf.DUMMYFUNCTION("""COMPUTED_VALUE"""),"Yes")</f>
        <v>Yes</v>
      </c>
      <c r="R405" s="5" t="str">
        <f>IFERROR(__xludf.DUMMYFUNCTION("""COMPUTED_VALUE"""),"No")</f>
        <v>No</v>
      </c>
      <c r="S405" s="5" t="str">
        <f>IFERROR(__xludf.DUMMYFUNCTION("""COMPUTED_VALUE"""),"No")</f>
        <v>No</v>
      </c>
      <c r="T405" s="5" t="str">
        <f>IFERROR(__xludf.DUMMYFUNCTION("""COMPUTED_VALUE"""),"No")</f>
        <v>No</v>
      </c>
      <c r="U405" s="5" t="str">
        <f>IFERROR(__xludf.DUMMYFUNCTION("""COMPUTED_VALUE"""),"No")</f>
        <v>No</v>
      </c>
      <c r="V405" s="5" t="str">
        <f>IFERROR(__xludf.DUMMYFUNCTION("""COMPUTED_VALUE"""),"No")</f>
        <v>No</v>
      </c>
      <c r="W405" s="5" t="str">
        <f>IFERROR(__xludf.DUMMYFUNCTION("""COMPUTED_VALUE"""),"No")</f>
        <v>No</v>
      </c>
      <c r="X405" s="5" t="str">
        <f>IFERROR(__xludf.DUMMYFUNCTION("""COMPUTED_VALUE"""),"Yes")</f>
        <v>Yes</v>
      </c>
      <c r="Y405" s="5" t="str">
        <f>IFERROR(__xludf.DUMMYFUNCTION("""COMPUTED_VALUE"""),"No")</f>
        <v>No</v>
      </c>
      <c r="Z405" s="5" t="str">
        <f>IFERROR(__xludf.DUMMYFUNCTION("""COMPUTED_VALUE"""),"No")</f>
        <v>No</v>
      </c>
      <c r="AA405" s="5" t="str">
        <f>IFERROR(__xludf.DUMMYFUNCTION("""COMPUTED_VALUE"""),"No")</f>
        <v>No</v>
      </c>
      <c r="AB405" s="5" t="str">
        <f>IFERROR(__xludf.DUMMYFUNCTION("""COMPUTED_VALUE"""),"Yes")</f>
        <v>Yes</v>
      </c>
      <c r="AC405" s="5" t="str">
        <f>IFERROR(__xludf.DUMMYFUNCTION("""COMPUTED_VALUE"""),"No")</f>
        <v>No</v>
      </c>
    </row>
    <row r="406">
      <c r="A406" s="5" t="str">
        <f>IFERROR(__xludf.DUMMYFUNCTION("""COMPUTED_VALUE"""),"UnicornDiceMachine")</f>
        <v>UnicornDiceMachine</v>
      </c>
      <c r="B40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6" s="5" t="str">
        <f>IFERROR(__xludf.DUMMYFUNCTION("""COMPUTED_VALUE"""),"Yes")</f>
        <v>Yes</v>
      </c>
      <c r="D406" s="5" t="str">
        <f>IFERROR(__xludf.DUMMYFUNCTION("""COMPUTED_VALUE"""),"Yes")</f>
        <v>Yes</v>
      </c>
      <c r="E406" s="5" t="str">
        <f>IFERROR(__xludf.DUMMYFUNCTION("""COMPUTED_VALUE"""),"Yes")</f>
        <v>Yes</v>
      </c>
      <c r="F406" s="5" t="str">
        <f>IFERROR(__xludf.DUMMYFUNCTION("""COMPUTED_VALUE"""),"Yes")</f>
        <v>Yes</v>
      </c>
      <c r="G406" s="5" t="str">
        <f>IFERROR(__xludf.DUMMYFUNCTION("""COMPUTED_VALUE"""),"Yes")</f>
        <v>Yes</v>
      </c>
      <c r="H406" s="5" t="str">
        <f>IFERROR(__xludf.DUMMYFUNCTION("""COMPUTED_VALUE"""),"Yes")</f>
        <v>Yes</v>
      </c>
      <c r="I406" s="5" t="str">
        <f>IFERROR(__xludf.DUMMYFUNCTION("""COMPUTED_VALUE"""),"Yes")</f>
        <v>Yes</v>
      </c>
      <c r="J406" s="5" t="str">
        <f>IFERROR(__xludf.DUMMYFUNCTION("""COMPUTED_VALUE"""),"Yes")</f>
        <v>Yes</v>
      </c>
      <c r="K406" s="5" t="str">
        <f>IFERROR(__xludf.DUMMYFUNCTION("""COMPUTED_VALUE"""),"Yes")</f>
        <v>Yes</v>
      </c>
      <c r="L406" s="5" t="str">
        <f>IFERROR(__xludf.DUMMYFUNCTION("""COMPUTED_VALUE"""),"Yes")</f>
        <v>Yes</v>
      </c>
      <c r="M406" s="5" t="str">
        <f>IFERROR(__xludf.DUMMYFUNCTION("""COMPUTED_VALUE"""),"Yes")</f>
        <v>Yes</v>
      </c>
      <c r="N406" s="5" t="str">
        <f>IFERROR(__xludf.DUMMYFUNCTION("""COMPUTED_VALUE"""),"Yes")</f>
        <v>Yes</v>
      </c>
      <c r="O406" s="5" t="str">
        <f>IFERROR(__xludf.DUMMYFUNCTION("""COMPUTED_VALUE"""),"Yes")</f>
        <v>Yes</v>
      </c>
      <c r="P406" s="5" t="str">
        <f>IFERROR(__xludf.DUMMYFUNCTION("""COMPUTED_VALUE"""),"Yes")</f>
        <v>Yes</v>
      </c>
      <c r="Q406" s="5" t="str">
        <f>IFERROR(__xludf.DUMMYFUNCTION("""COMPUTED_VALUE"""),"Yes")</f>
        <v>Yes</v>
      </c>
      <c r="R406" s="5" t="str">
        <f>IFERROR(__xludf.DUMMYFUNCTION("""COMPUTED_VALUE"""),"Yes")</f>
        <v>Yes</v>
      </c>
      <c r="S406" s="5" t="str">
        <f>IFERROR(__xludf.DUMMYFUNCTION("""COMPUTED_VALUE"""),"Yes")</f>
        <v>Yes</v>
      </c>
      <c r="T406" s="5" t="str">
        <f>IFERROR(__xludf.DUMMYFUNCTION("""COMPUTED_VALUE"""),"Yes")</f>
        <v>Yes</v>
      </c>
      <c r="U406" s="5" t="str">
        <f>IFERROR(__xludf.DUMMYFUNCTION("""COMPUTED_VALUE"""),"Yes")</f>
        <v>Yes</v>
      </c>
      <c r="V406" s="5"/>
      <c r="W406" s="5"/>
      <c r="X406" s="5"/>
      <c r="Y406" s="5"/>
      <c r="Z406" s="5" t="str">
        <f>IFERROR(__xludf.DUMMYFUNCTION("""COMPUTED_VALUE"""),"Yes")</f>
        <v>Yes</v>
      </c>
      <c r="AA406" s="5"/>
      <c r="AB406" s="5"/>
      <c r="AC406" s="5"/>
    </row>
    <row r="407">
      <c r="A407" s="5" t="str">
        <f>IFERROR(__xludf.DUMMYFUNCTION("""COMPUTED_VALUE"""),"RedstoneCloverRoyale")</f>
        <v>RedstoneCloverRoyale</v>
      </c>
      <c r="B40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07" s="5" t="str">
        <f>IFERROR(__xludf.DUMMYFUNCTION("""COMPUTED_VALUE"""),"Yes")</f>
        <v>Yes</v>
      </c>
      <c r="D407" s="5" t="str">
        <f>IFERROR(__xludf.DUMMYFUNCTION("""COMPUTED_VALUE"""),"Yes")</f>
        <v>Yes</v>
      </c>
      <c r="E407" s="5" t="str">
        <f>IFERROR(__xludf.DUMMYFUNCTION("""COMPUTED_VALUE"""),"Yes")</f>
        <v>Yes</v>
      </c>
      <c r="F407" s="5" t="str">
        <f>IFERROR(__xludf.DUMMYFUNCTION("""COMPUTED_VALUE"""),"No")</f>
        <v>No</v>
      </c>
      <c r="G407" s="5" t="str">
        <f>IFERROR(__xludf.DUMMYFUNCTION("""COMPUTED_VALUE"""),"No")</f>
        <v>No</v>
      </c>
      <c r="H407" s="5" t="str">
        <f>IFERROR(__xludf.DUMMYFUNCTION("""COMPUTED_VALUE"""),"No")</f>
        <v>No</v>
      </c>
      <c r="I407" s="5" t="str">
        <f>IFERROR(__xludf.DUMMYFUNCTION("""COMPUTED_VALUE"""),"No")</f>
        <v>No</v>
      </c>
      <c r="J407" s="5" t="str">
        <f>IFERROR(__xludf.DUMMYFUNCTION("""COMPUTED_VALUE"""),"No")</f>
        <v>No</v>
      </c>
      <c r="K407" s="5" t="str">
        <f>IFERROR(__xludf.DUMMYFUNCTION("""COMPUTED_VALUE"""),"Yes")</f>
        <v>Yes</v>
      </c>
      <c r="L407" s="5" t="str">
        <f>IFERROR(__xludf.DUMMYFUNCTION("""COMPUTED_VALUE"""),"Yes")</f>
        <v>Yes</v>
      </c>
      <c r="M407" s="5" t="str">
        <f>IFERROR(__xludf.DUMMYFUNCTION("""COMPUTED_VALUE"""),"Yes")</f>
        <v>Yes</v>
      </c>
      <c r="N407" s="5" t="str">
        <f>IFERROR(__xludf.DUMMYFUNCTION("""COMPUTED_VALUE"""),"Yes")</f>
        <v>Yes</v>
      </c>
      <c r="O407" s="5" t="str">
        <f>IFERROR(__xludf.DUMMYFUNCTION("""COMPUTED_VALUE"""),"Yes")</f>
        <v>Yes</v>
      </c>
      <c r="P407" s="5" t="str">
        <f>IFERROR(__xludf.DUMMYFUNCTION("""COMPUTED_VALUE"""),"No")</f>
        <v>No</v>
      </c>
      <c r="Q407" s="5" t="str">
        <f>IFERROR(__xludf.DUMMYFUNCTION("""COMPUTED_VALUE"""),"Yes")</f>
        <v>Yes</v>
      </c>
      <c r="R407" s="5" t="str">
        <f>IFERROR(__xludf.DUMMYFUNCTION("""COMPUTED_VALUE"""),"No")</f>
        <v>No</v>
      </c>
      <c r="S407" s="5" t="str">
        <f>IFERROR(__xludf.DUMMYFUNCTION("""COMPUTED_VALUE"""),"No")</f>
        <v>No</v>
      </c>
      <c r="T407" s="5" t="str">
        <f>IFERROR(__xludf.DUMMYFUNCTION("""COMPUTED_VALUE"""),"No")</f>
        <v>No</v>
      </c>
      <c r="U407" s="5" t="str">
        <f>IFERROR(__xludf.DUMMYFUNCTION("""COMPUTED_VALUE"""),"No")</f>
        <v>No</v>
      </c>
      <c r="V407" s="5"/>
      <c r="W407" s="5"/>
      <c r="X407" s="5" t="str">
        <f>IFERROR(__xludf.DUMMYFUNCTION("""COMPUTED_VALUE"""),"Yes")</f>
        <v>Yes</v>
      </c>
      <c r="Y407" s="5"/>
      <c r="Z407" s="5" t="str">
        <f>IFERROR(__xludf.DUMMYFUNCTION("""COMPUTED_VALUE"""),"No")</f>
        <v>No</v>
      </c>
      <c r="AA407" s="5"/>
      <c r="AB407" s="5" t="str">
        <f>IFERROR(__xludf.DUMMYFUNCTION("""COMPUTED_VALUE"""),"Yes")</f>
        <v>Yes</v>
      </c>
      <c r="AC407" s="5" t="str">
        <f>IFERROR(__xludf.DUMMYFUNCTION("""COMPUTED_VALUE"""),"Yes")</f>
        <v>Yes</v>
      </c>
    </row>
    <row r="408">
      <c r="A408" s="5" t="str">
        <f>IFERROR(__xludf.DUMMYFUNCTION("""COMPUTED_VALUE"""),"UnicornThunderFruits")</f>
        <v>UnicornThunderFruits</v>
      </c>
      <c r="B40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8" s="5" t="str">
        <f>IFERROR(__xludf.DUMMYFUNCTION("""COMPUTED_VALUE"""),"Yes")</f>
        <v>Yes</v>
      </c>
      <c r="D408" s="5" t="str">
        <f>IFERROR(__xludf.DUMMYFUNCTION("""COMPUTED_VALUE"""),"Yes")</f>
        <v>Yes</v>
      </c>
      <c r="E408" s="5" t="str">
        <f>IFERROR(__xludf.DUMMYFUNCTION("""COMPUTED_VALUE"""),"No")</f>
        <v>No</v>
      </c>
      <c r="F408" s="5" t="str">
        <f>IFERROR(__xludf.DUMMYFUNCTION("""COMPUTED_VALUE"""),"Yes")</f>
        <v>Yes</v>
      </c>
      <c r="G408" s="5" t="str">
        <f>IFERROR(__xludf.DUMMYFUNCTION("""COMPUTED_VALUE"""),"Yes")</f>
        <v>Yes</v>
      </c>
      <c r="H408" s="5" t="str">
        <f>IFERROR(__xludf.DUMMYFUNCTION("""COMPUTED_VALUE"""),"Yes")</f>
        <v>Yes</v>
      </c>
      <c r="I408" s="5" t="str">
        <f>IFERROR(__xludf.DUMMYFUNCTION("""COMPUTED_VALUE"""),"Yes")</f>
        <v>Yes</v>
      </c>
      <c r="J408" s="5" t="str">
        <f>IFERROR(__xludf.DUMMYFUNCTION("""COMPUTED_VALUE"""),"Yes")</f>
        <v>Yes</v>
      </c>
      <c r="K408" s="5" t="str">
        <f>IFERROR(__xludf.DUMMYFUNCTION("""COMPUTED_VALUE"""),"Yes")</f>
        <v>Yes</v>
      </c>
      <c r="L408" s="5" t="str">
        <f>IFERROR(__xludf.DUMMYFUNCTION("""COMPUTED_VALUE"""),"Yes")</f>
        <v>Yes</v>
      </c>
      <c r="M408" s="5" t="str">
        <f>IFERROR(__xludf.DUMMYFUNCTION("""COMPUTED_VALUE"""),"Yes")</f>
        <v>Yes</v>
      </c>
      <c r="N408" s="5" t="str">
        <f>IFERROR(__xludf.DUMMYFUNCTION("""COMPUTED_VALUE"""),"Yes")</f>
        <v>Yes</v>
      </c>
      <c r="O408" s="5" t="str">
        <f>IFERROR(__xludf.DUMMYFUNCTION("""COMPUTED_VALUE"""),"Yes")</f>
        <v>Yes</v>
      </c>
      <c r="P408" s="5" t="str">
        <f>IFERROR(__xludf.DUMMYFUNCTION("""COMPUTED_VALUE"""),"Yes")</f>
        <v>Yes</v>
      </c>
      <c r="Q408" s="5" t="str">
        <f>IFERROR(__xludf.DUMMYFUNCTION("""COMPUTED_VALUE"""),"Yes")</f>
        <v>Yes</v>
      </c>
      <c r="R408" s="5" t="str">
        <f>IFERROR(__xludf.DUMMYFUNCTION("""COMPUTED_VALUE"""),"No")</f>
        <v>No</v>
      </c>
      <c r="S408" s="5" t="str">
        <f>IFERROR(__xludf.DUMMYFUNCTION("""COMPUTED_VALUE"""),"No")</f>
        <v>No</v>
      </c>
      <c r="T408" s="5" t="str">
        <f>IFERROR(__xludf.DUMMYFUNCTION("""COMPUTED_VALUE"""),"No")</f>
        <v>No</v>
      </c>
      <c r="U408" s="5" t="str">
        <f>IFERROR(__xludf.DUMMYFUNCTION("""COMPUTED_VALUE"""),"No")</f>
        <v>No</v>
      </c>
      <c r="V408" s="5" t="str">
        <f>IFERROR(__xludf.DUMMYFUNCTION("""COMPUTED_VALUE"""),"No")</f>
        <v>No</v>
      </c>
      <c r="W408" s="5" t="str">
        <f>IFERROR(__xludf.DUMMYFUNCTION("""COMPUTED_VALUE"""),"No")</f>
        <v>No</v>
      </c>
      <c r="X408" s="5" t="str">
        <f>IFERROR(__xludf.DUMMYFUNCTION("""COMPUTED_VALUE"""),"Yes")</f>
        <v>Yes</v>
      </c>
      <c r="Y408" s="5" t="str">
        <f>IFERROR(__xludf.DUMMYFUNCTION("""COMPUTED_VALUE"""),"No")</f>
        <v>No</v>
      </c>
      <c r="Z408" s="5" t="str">
        <f>IFERROR(__xludf.DUMMYFUNCTION("""COMPUTED_VALUE"""),"No")</f>
        <v>No</v>
      </c>
      <c r="AA408" s="5" t="str">
        <f>IFERROR(__xludf.DUMMYFUNCTION("""COMPUTED_VALUE"""),"No")</f>
        <v>No</v>
      </c>
      <c r="AB408" s="5" t="str">
        <f>IFERROR(__xludf.DUMMYFUNCTION("""COMPUTED_VALUE"""),"Yes")</f>
        <v>Yes</v>
      </c>
      <c r="AC408" s="5" t="str">
        <f>IFERROR(__xludf.DUMMYFUNCTION("""COMPUTED_VALUE"""),"No")</f>
        <v>No</v>
      </c>
    </row>
    <row r="409">
      <c r="A409" s="5" t="str">
        <f>IFERROR(__xludf.DUMMYFUNCTION("""COMPUTED_VALUE"""),"UnicornEpicMegaCash")</f>
        <v>UnicornEpicMegaCash</v>
      </c>
      <c r="B4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9" s="5" t="str">
        <f>IFERROR(__xludf.DUMMYFUNCTION("""COMPUTED_VALUE"""),"Yes")</f>
        <v>Yes</v>
      </c>
      <c r="D409" s="5" t="str">
        <f>IFERROR(__xludf.DUMMYFUNCTION("""COMPUTED_VALUE"""),"Yes")</f>
        <v>Yes</v>
      </c>
      <c r="E409" s="5" t="str">
        <f>IFERROR(__xludf.DUMMYFUNCTION("""COMPUTED_VALUE"""),"Yes")</f>
        <v>Yes</v>
      </c>
      <c r="F409" s="5" t="str">
        <f>IFERROR(__xludf.DUMMYFUNCTION("""COMPUTED_VALUE"""),"Yes")</f>
        <v>Yes</v>
      </c>
      <c r="G409" s="5" t="str">
        <f>IFERROR(__xludf.DUMMYFUNCTION("""COMPUTED_VALUE"""),"Yes")</f>
        <v>Yes</v>
      </c>
      <c r="H409" s="5" t="str">
        <f>IFERROR(__xludf.DUMMYFUNCTION("""COMPUTED_VALUE"""),"Yes")</f>
        <v>Yes</v>
      </c>
      <c r="I409" s="5" t="str">
        <f>IFERROR(__xludf.DUMMYFUNCTION("""COMPUTED_VALUE"""),"Yes")</f>
        <v>Yes</v>
      </c>
      <c r="J409" s="5" t="str">
        <f>IFERROR(__xludf.DUMMYFUNCTION("""COMPUTED_VALUE"""),"Yes")</f>
        <v>Yes</v>
      </c>
      <c r="K409" s="5" t="str">
        <f>IFERROR(__xludf.DUMMYFUNCTION("""COMPUTED_VALUE"""),"Yes")</f>
        <v>Yes</v>
      </c>
      <c r="L409" s="5" t="str">
        <f>IFERROR(__xludf.DUMMYFUNCTION("""COMPUTED_VALUE"""),"Yes")</f>
        <v>Yes</v>
      </c>
      <c r="M409" s="5" t="str">
        <f>IFERROR(__xludf.DUMMYFUNCTION("""COMPUTED_VALUE"""),"Yes")</f>
        <v>Yes</v>
      </c>
      <c r="N409" s="5" t="str">
        <f>IFERROR(__xludf.DUMMYFUNCTION("""COMPUTED_VALUE"""),"Yes")</f>
        <v>Yes</v>
      </c>
      <c r="O409" s="5" t="str">
        <f>IFERROR(__xludf.DUMMYFUNCTION("""COMPUTED_VALUE"""),"Yes")</f>
        <v>Yes</v>
      </c>
      <c r="P409" s="5" t="str">
        <f>IFERROR(__xludf.DUMMYFUNCTION("""COMPUTED_VALUE"""),"Yes")</f>
        <v>Yes</v>
      </c>
      <c r="Q409" s="5" t="str">
        <f>IFERROR(__xludf.DUMMYFUNCTION("""COMPUTED_VALUE"""),"Yes")</f>
        <v>Yes</v>
      </c>
      <c r="R409" s="5" t="str">
        <f>IFERROR(__xludf.DUMMYFUNCTION("""COMPUTED_VALUE"""),"Yes")</f>
        <v>Yes</v>
      </c>
      <c r="S409" s="5" t="str">
        <f>IFERROR(__xludf.DUMMYFUNCTION("""COMPUTED_VALUE"""),"Yes")</f>
        <v>Yes</v>
      </c>
      <c r="T409" s="5" t="str">
        <f>IFERROR(__xludf.DUMMYFUNCTION("""COMPUTED_VALUE"""),"Yes")</f>
        <v>Yes</v>
      </c>
      <c r="U409" s="5" t="str">
        <f>IFERROR(__xludf.DUMMYFUNCTION("""COMPUTED_VALUE"""),"Yes")</f>
        <v>Yes</v>
      </c>
      <c r="V409" s="5"/>
      <c r="W409" s="5"/>
      <c r="X409" s="5"/>
      <c r="Y409" s="5"/>
      <c r="Z409" s="5" t="str">
        <f>IFERROR(__xludf.DUMMYFUNCTION("""COMPUTED_VALUE"""),"Yes")</f>
        <v>Yes</v>
      </c>
      <c r="AA409" s="5"/>
      <c r="AB409" s="5"/>
      <c r="AC409" s="5"/>
    </row>
    <row r="410">
      <c r="A410" s="5" t="str">
        <f>IFERROR(__xludf.DUMMYFUNCTION("""COMPUTED_VALUE"""),"RedstoneEternalHearts10")</f>
        <v>RedstoneEternalHearts10</v>
      </c>
      <c r="B41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0" s="5" t="str">
        <f>IFERROR(__xludf.DUMMYFUNCTION("""COMPUTED_VALUE"""),"Yes")</f>
        <v>Yes</v>
      </c>
      <c r="D410" s="5" t="str">
        <f>IFERROR(__xludf.DUMMYFUNCTION("""COMPUTED_VALUE"""),"Yes")</f>
        <v>Yes</v>
      </c>
      <c r="E410" s="5" t="str">
        <f>IFERROR(__xludf.DUMMYFUNCTION("""COMPUTED_VALUE"""),"Yes")</f>
        <v>Yes</v>
      </c>
      <c r="F410" s="5" t="str">
        <f>IFERROR(__xludf.DUMMYFUNCTION("""COMPUTED_VALUE"""),"No")</f>
        <v>No</v>
      </c>
      <c r="G410" s="5" t="str">
        <f>IFERROR(__xludf.DUMMYFUNCTION("""COMPUTED_VALUE"""),"No")</f>
        <v>No</v>
      </c>
      <c r="H410" s="5" t="str">
        <f>IFERROR(__xludf.DUMMYFUNCTION("""COMPUTED_VALUE"""),"No")</f>
        <v>No</v>
      </c>
      <c r="I410" s="5" t="str">
        <f>IFERROR(__xludf.DUMMYFUNCTION("""COMPUTED_VALUE"""),"No")</f>
        <v>No</v>
      </c>
      <c r="J410" s="5" t="str">
        <f>IFERROR(__xludf.DUMMYFUNCTION("""COMPUTED_VALUE"""),"No")</f>
        <v>No</v>
      </c>
      <c r="K410" s="5" t="str">
        <f>IFERROR(__xludf.DUMMYFUNCTION("""COMPUTED_VALUE"""),"Yes")</f>
        <v>Yes</v>
      </c>
      <c r="L410" s="5" t="str">
        <f>IFERROR(__xludf.DUMMYFUNCTION("""COMPUTED_VALUE"""),"Yes")</f>
        <v>Yes</v>
      </c>
      <c r="M410" s="5" t="str">
        <f>IFERROR(__xludf.DUMMYFUNCTION("""COMPUTED_VALUE"""),"Yes")</f>
        <v>Yes</v>
      </c>
      <c r="N410" s="5" t="str">
        <f>IFERROR(__xludf.DUMMYFUNCTION("""COMPUTED_VALUE"""),"Yes")</f>
        <v>Yes</v>
      </c>
      <c r="O410" s="5" t="str">
        <f>IFERROR(__xludf.DUMMYFUNCTION("""COMPUTED_VALUE"""),"Yes")</f>
        <v>Yes</v>
      </c>
      <c r="P410" s="5" t="str">
        <f>IFERROR(__xludf.DUMMYFUNCTION("""COMPUTED_VALUE"""),"No")</f>
        <v>No</v>
      </c>
      <c r="Q410" s="5" t="str">
        <f>IFERROR(__xludf.DUMMYFUNCTION("""COMPUTED_VALUE"""),"Yes")</f>
        <v>Yes</v>
      </c>
      <c r="R410" s="5" t="str">
        <f>IFERROR(__xludf.DUMMYFUNCTION("""COMPUTED_VALUE"""),"No")</f>
        <v>No</v>
      </c>
      <c r="S410" s="5" t="str">
        <f>IFERROR(__xludf.DUMMYFUNCTION("""COMPUTED_VALUE"""),"No")</f>
        <v>No</v>
      </c>
      <c r="T410" s="5" t="str">
        <f>IFERROR(__xludf.DUMMYFUNCTION("""COMPUTED_VALUE"""),"No")</f>
        <v>No</v>
      </c>
      <c r="U410" s="5" t="str">
        <f>IFERROR(__xludf.DUMMYFUNCTION("""COMPUTED_VALUE"""),"No")</f>
        <v>No</v>
      </c>
      <c r="V410" s="5"/>
      <c r="W410" s="5"/>
      <c r="X410" s="5" t="str">
        <f>IFERROR(__xludf.DUMMYFUNCTION("""COMPUTED_VALUE"""),"Yes")</f>
        <v>Yes</v>
      </c>
      <c r="Y410" s="5"/>
      <c r="Z410" s="5" t="str">
        <f>IFERROR(__xludf.DUMMYFUNCTION("""COMPUTED_VALUE"""),"No")</f>
        <v>No</v>
      </c>
      <c r="AA410" s="5"/>
      <c r="AB410" s="5" t="str">
        <f>IFERROR(__xludf.DUMMYFUNCTION("""COMPUTED_VALUE"""),"Yes")</f>
        <v>Yes</v>
      </c>
      <c r="AC410" s="5" t="str">
        <f>IFERROR(__xludf.DUMMYFUNCTION("""COMPUTED_VALUE"""),"Yes")</f>
        <v>Yes</v>
      </c>
    </row>
    <row r="411">
      <c r="A411" s="5" t="str">
        <f>IFERROR(__xludf.DUMMYFUNCTION("""COMPUTED_VALUE"""),"RedstoneStarChaser")</f>
        <v>RedstoneStarChaser</v>
      </c>
      <c r="B41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1" s="5" t="str">
        <f>IFERROR(__xludf.DUMMYFUNCTION("""COMPUTED_VALUE"""),"Yes")</f>
        <v>Yes</v>
      </c>
      <c r="D411" s="5" t="str">
        <f>IFERROR(__xludf.DUMMYFUNCTION("""COMPUTED_VALUE"""),"Yes")</f>
        <v>Yes</v>
      </c>
      <c r="E411" s="5" t="str">
        <f>IFERROR(__xludf.DUMMYFUNCTION("""COMPUTED_VALUE"""),"No")</f>
        <v>No</v>
      </c>
      <c r="F411" s="5" t="str">
        <f>IFERROR(__xludf.DUMMYFUNCTION("""COMPUTED_VALUE"""),"Yes")</f>
        <v>Yes</v>
      </c>
      <c r="G411" s="5" t="str">
        <f>IFERROR(__xludf.DUMMYFUNCTION("""COMPUTED_VALUE"""),"Yes")</f>
        <v>Yes</v>
      </c>
      <c r="H411" s="5" t="str">
        <f>IFERROR(__xludf.DUMMYFUNCTION("""COMPUTED_VALUE"""),"Yes")</f>
        <v>Yes</v>
      </c>
      <c r="I411" s="5" t="str">
        <f>IFERROR(__xludf.DUMMYFUNCTION("""COMPUTED_VALUE"""),"Yes")</f>
        <v>Yes</v>
      </c>
      <c r="J411" s="5" t="str">
        <f>IFERROR(__xludf.DUMMYFUNCTION("""COMPUTED_VALUE"""),"Yes")</f>
        <v>Yes</v>
      </c>
      <c r="K411" s="5" t="str">
        <f>IFERROR(__xludf.DUMMYFUNCTION("""COMPUTED_VALUE"""),"Yes")</f>
        <v>Yes</v>
      </c>
      <c r="L411" s="5" t="str">
        <f>IFERROR(__xludf.DUMMYFUNCTION("""COMPUTED_VALUE"""),"Yes")</f>
        <v>Yes</v>
      </c>
      <c r="M411" s="5" t="str">
        <f>IFERROR(__xludf.DUMMYFUNCTION("""COMPUTED_VALUE"""),"Yes")</f>
        <v>Yes</v>
      </c>
      <c r="N411" s="5" t="str">
        <f>IFERROR(__xludf.DUMMYFUNCTION("""COMPUTED_VALUE"""),"Yes")</f>
        <v>Yes</v>
      </c>
      <c r="O411" s="5" t="str">
        <f>IFERROR(__xludf.DUMMYFUNCTION("""COMPUTED_VALUE"""),"Yes")</f>
        <v>Yes</v>
      </c>
      <c r="P411" s="5" t="str">
        <f>IFERROR(__xludf.DUMMYFUNCTION("""COMPUTED_VALUE"""),"Yes")</f>
        <v>Yes</v>
      </c>
      <c r="Q411" s="5" t="str">
        <f>IFERROR(__xludf.DUMMYFUNCTION("""COMPUTED_VALUE"""),"Yes")</f>
        <v>Yes</v>
      </c>
      <c r="R411" s="5" t="str">
        <f>IFERROR(__xludf.DUMMYFUNCTION("""COMPUTED_VALUE"""),"No")</f>
        <v>No</v>
      </c>
      <c r="S411" s="5" t="str">
        <f>IFERROR(__xludf.DUMMYFUNCTION("""COMPUTED_VALUE"""),"No")</f>
        <v>No</v>
      </c>
      <c r="T411" s="5" t="str">
        <f>IFERROR(__xludf.DUMMYFUNCTION("""COMPUTED_VALUE"""),"No")</f>
        <v>No</v>
      </c>
      <c r="U411" s="5" t="str">
        <f>IFERROR(__xludf.DUMMYFUNCTION("""COMPUTED_VALUE"""),"No")</f>
        <v>No</v>
      </c>
      <c r="V411" s="5" t="str">
        <f>IFERROR(__xludf.DUMMYFUNCTION("""COMPUTED_VALUE"""),"No")</f>
        <v>No</v>
      </c>
      <c r="W411" s="5" t="str">
        <f>IFERROR(__xludf.DUMMYFUNCTION("""COMPUTED_VALUE"""),"No")</f>
        <v>No</v>
      </c>
      <c r="X411" s="5" t="str">
        <f>IFERROR(__xludf.DUMMYFUNCTION("""COMPUTED_VALUE"""),"Yes")</f>
        <v>Yes</v>
      </c>
      <c r="Y411" s="5" t="str">
        <f>IFERROR(__xludf.DUMMYFUNCTION("""COMPUTED_VALUE"""),"No")</f>
        <v>No</v>
      </c>
      <c r="Z411" s="5" t="str">
        <f>IFERROR(__xludf.DUMMYFUNCTION("""COMPUTED_VALUE"""),"No")</f>
        <v>No</v>
      </c>
      <c r="AA411" s="5" t="str">
        <f>IFERROR(__xludf.DUMMYFUNCTION("""COMPUTED_VALUE"""),"No")</f>
        <v>No</v>
      </c>
      <c r="AB411" s="5" t="str">
        <f>IFERROR(__xludf.DUMMYFUNCTION("""COMPUTED_VALUE"""),"Yes")</f>
        <v>Yes</v>
      </c>
      <c r="AC411" s="5" t="str">
        <f>IFERROR(__xludf.DUMMYFUNCTION("""COMPUTED_VALUE"""),"No")</f>
        <v>No</v>
      </c>
    </row>
    <row r="412">
      <c r="A412" s="5" t="str">
        <f>IFERROR(__xludf.DUMMYFUNCTION("""COMPUTED_VALUE"""),"UnicornWildHoppers")</f>
        <v>UnicornWildHoppers</v>
      </c>
      <c r="B41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2" s="5" t="str">
        <f>IFERROR(__xludf.DUMMYFUNCTION("""COMPUTED_VALUE"""),"Yes")</f>
        <v>Yes</v>
      </c>
      <c r="D412" s="5" t="str">
        <f>IFERROR(__xludf.DUMMYFUNCTION("""COMPUTED_VALUE"""),"Yes")</f>
        <v>Yes</v>
      </c>
      <c r="E412" s="5" t="str">
        <f>IFERROR(__xludf.DUMMYFUNCTION("""COMPUTED_VALUE"""),"No")</f>
        <v>No</v>
      </c>
      <c r="F412" s="5" t="str">
        <f>IFERROR(__xludf.DUMMYFUNCTION("""COMPUTED_VALUE"""),"Yes")</f>
        <v>Yes</v>
      </c>
      <c r="G412" s="5" t="str">
        <f>IFERROR(__xludf.DUMMYFUNCTION("""COMPUTED_VALUE"""),"Yes")</f>
        <v>Yes</v>
      </c>
      <c r="H412" s="5" t="str">
        <f>IFERROR(__xludf.DUMMYFUNCTION("""COMPUTED_VALUE"""),"Yes")</f>
        <v>Yes</v>
      </c>
      <c r="I412" s="5" t="str">
        <f>IFERROR(__xludf.DUMMYFUNCTION("""COMPUTED_VALUE"""),"Yes")</f>
        <v>Yes</v>
      </c>
      <c r="J412" s="5" t="str">
        <f>IFERROR(__xludf.DUMMYFUNCTION("""COMPUTED_VALUE"""),"Yes")</f>
        <v>Yes</v>
      </c>
      <c r="K412" s="5" t="str">
        <f>IFERROR(__xludf.DUMMYFUNCTION("""COMPUTED_VALUE"""),"Yes")</f>
        <v>Yes</v>
      </c>
      <c r="L412" s="5" t="str">
        <f>IFERROR(__xludf.DUMMYFUNCTION("""COMPUTED_VALUE"""),"Yes")</f>
        <v>Yes</v>
      </c>
      <c r="M412" s="5" t="str">
        <f>IFERROR(__xludf.DUMMYFUNCTION("""COMPUTED_VALUE"""),"Yes")</f>
        <v>Yes</v>
      </c>
      <c r="N412" s="5" t="str">
        <f>IFERROR(__xludf.DUMMYFUNCTION("""COMPUTED_VALUE"""),"Yes")</f>
        <v>Yes</v>
      </c>
      <c r="O412" s="5" t="str">
        <f>IFERROR(__xludf.DUMMYFUNCTION("""COMPUTED_VALUE"""),"Yes")</f>
        <v>Yes</v>
      </c>
      <c r="P412" s="5" t="str">
        <f>IFERROR(__xludf.DUMMYFUNCTION("""COMPUTED_VALUE"""),"Yes")</f>
        <v>Yes</v>
      </c>
      <c r="Q412" s="5" t="str">
        <f>IFERROR(__xludf.DUMMYFUNCTION("""COMPUTED_VALUE"""),"Yes")</f>
        <v>Yes</v>
      </c>
      <c r="R412" s="5" t="str">
        <f>IFERROR(__xludf.DUMMYFUNCTION("""COMPUTED_VALUE"""),"No")</f>
        <v>No</v>
      </c>
      <c r="S412" s="5" t="str">
        <f>IFERROR(__xludf.DUMMYFUNCTION("""COMPUTED_VALUE"""),"No")</f>
        <v>No</v>
      </c>
      <c r="T412" s="5" t="str">
        <f>IFERROR(__xludf.DUMMYFUNCTION("""COMPUTED_VALUE"""),"No")</f>
        <v>No</v>
      </c>
      <c r="U412" s="5" t="str">
        <f>IFERROR(__xludf.DUMMYFUNCTION("""COMPUTED_VALUE"""),"No")</f>
        <v>No</v>
      </c>
      <c r="V412" s="5" t="str">
        <f>IFERROR(__xludf.DUMMYFUNCTION("""COMPUTED_VALUE"""),"No")</f>
        <v>No</v>
      </c>
      <c r="W412" s="5" t="str">
        <f>IFERROR(__xludf.DUMMYFUNCTION("""COMPUTED_VALUE"""),"No")</f>
        <v>No</v>
      </c>
      <c r="X412" s="5" t="str">
        <f>IFERROR(__xludf.DUMMYFUNCTION("""COMPUTED_VALUE"""),"Yes")</f>
        <v>Yes</v>
      </c>
      <c r="Y412" s="5" t="str">
        <f>IFERROR(__xludf.DUMMYFUNCTION("""COMPUTED_VALUE"""),"No")</f>
        <v>No</v>
      </c>
      <c r="Z412" s="5" t="str">
        <f>IFERROR(__xludf.DUMMYFUNCTION("""COMPUTED_VALUE"""),"No")</f>
        <v>No</v>
      </c>
      <c r="AA412" s="5" t="str">
        <f>IFERROR(__xludf.DUMMYFUNCTION("""COMPUTED_VALUE"""),"No")</f>
        <v>No</v>
      </c>
      <c r="AB412" s="5" t="str">
        <f>IFERROR(__xludf.DUMMYFUNCTION("""COMPUTED_VALUE"""),"Yes")</f>
        <v>Yes</v>
      </c>
      <c r="AC412" s="5" t="str">
        <f>IFERROR(__xludf.DUMMYFUNCTION("""COMPUTED_VALUE"""),"No")</f>
        <v>No</v>
      </c>
    </row>
    <row r="413">
      <c r="A413" s="5" t="str">
        <f>IFERROR(__xludf.DUMMYFUNCTION("""COMPUTED_VALUE"""),"UnicornSimplySevensDiceEaster")</f>
        <v>UnicornSimplySevensDiceEaster</v>
      </c>
      <c r="B4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3" s="5" t="str">
        <f>IFERROR(__xludf.DUMMYFUNCTION("""COMPUTED_VALUE"""),"Yes")</f>
        <v>Yes</v>
      </c>
      <c r="D413" s="5" t="str">
        <f>IFERROR(__xludf.DUMMYFUNCTION("""COMPUTED_VALUE"""),"Yes")</f>
        <v>Yes</v>
      </c>
      <c r="E413" s="5" t="str">
        <f>IFERROR(__xludf.DUMMYFUNCTION("""COMPUTED_VALUE"""),"Yes")</f>
        <v>Yes</v>
      </c>
      <c r="F413" s="5" t="str">
        <f>IFERROR(__xludf.DUMMYFUNCTION("""COMPUTED_VALUE"""),"Yes")</f>
        <v>Yes</v>
      </c>
      <c r="G413" s="5" t="str">
        <f>IFERROR(__xludf.DUMMYFUNCTION("""COMPUTED_VALUE"""),"Yes")</f>
        <v>Yes</v>
      </c>
      <c r="H413" s="5" t="str">
        <f>IFERROR(__xludf.DUMMYFUNCTION("""COMPUTED_VALUE"""),"Yes")</f>
        <v>Yes</v>
      </c>
      <c r="I413" s="5" t="str">
        <f>IFERROR(__xludf.DUMMYFUNCTION("""COMPUTED_VALUE"""),"Yes")</f>
        <v>Yes</v>
      </c>
      <c r="J413" s="5" t="str">
        <f>IFERROR(__xludf.DUMMYFUNCTION("""COMPUTED_VALUE"""),"Yes")</f>
        <v>Yes</v>
      </c>
      <c r="K413" s="5" t="str">
        <f>IFERROR(__xludf.DUMMYFUNCTION("""COMPUTED_VALUE"""),"Yes")</f>
        <v>Yes</v>
      </c>
      <c r="L413" s="5" t="str">
        <f>IFERROR(__xludf.DUMMYFUNCTION("""COMPUTED_VALUE"""),"Yes")</f>
        <v>Yes</v>
      </c>
      <c r="M413" s="5" t="str">
        <f>IFERROR(__xludf.DUMMYFUNCTION("""COMPUTED_VALUE"""),"Yes")</f>
        <v>Yes</v>
      </c>
      <c r="N413" s="5" t="str">
        <f>IFERROR(__xludf.DUMMYFUNCTION("""COMPUTED_VALUE"""),"Yes")</f>
        <v>Yes</v>
      </c>
      <c r="O413" s="5" t="str">
        <f>IFERROR(__xludf.DUMMYFUNCTION("""COMPUTED_VALUE"""),"Yes")</f>
        <v>Yes</v>
      </c>
      <c r="P413" s="5" t="str">
        <f>IFERROR(__xludf.DUMMYFUNCTION("""COMPUTED_VALUE"""),"Yes")</f>
        <v>Yes</v>
      </c>
      <c r="Q413" s="5" t="str">
        <f>IFERROR(__xludf.DUMMYFUNCTION("""COMPUTED_VALUE"""),"Yes")</f>
        <v>Yes</v>
      </c>
      <c r="R413" s="5" t="str">
        <f>IFERROR(__xludf.DUMMYFUNCTION("""COMPUTED_VALUE"""),"Yes")</f>
        <v>Yes</v>
      </c>
      <c r="S413" s="5" t="str">
        <f>IFERROR(__xludf.DUMMYFUNCTION("""COMPUTED_VALUE"""),"Yes")</f>
        <v>Yes</v>
      </c>
      <c r="T413" s="5" t="str">
        <f>IFERROR(__xludf.DUMMYFUNCTION("""COMPUTED_VALUE"""),"Yes")</f>
        <v>Yes</v>
      </c>
      <c r="U413" s="5" t="str">
        <f>IFERROR(__xludf.DUMMYFUNCTION("""COMPUTED_VALUE"""),"Yes")</f>
        <v>Yes</v>
      </c>
      <c r="V413" s="5"/>
      <c r="W413" s="5"/>
      <c r="X413" s="5"/>
      <c r="Y413" s="5"/>
      <c r="Z413" s="5" t="str">
        <f>IFERROR(__xludf.DUMMYFUNCTION("""COMPUTED_VALUE"""),"Yes")</f>
        <v>Yes</v>
      </c>
      <c r="AA413" s="5"/>
      <c r="AB413" s="5"/>
      <c r="AC413" s="5"/>
    </row>
    <row r="414">
      <c r="A414" s="5" t="str">
        <f>IFERROR(__xludf.DUMMYFUNCTION("""COMPUTED_VALUE"""),"RedstoneMultiClover10")</f>
        <v>RedstoneMultiClover10</v>
      </c>
      <c r="B41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4" s="5" t="str">
        <f>IFERROR(__xludf.DUMMYFUNCTION("""COMPUTED_VALUE"""),"Yes")</f>
        <v>Yes</v>
      </c>
      <c r="D414" s="5" t="str">
        <f>IFERROR(__xludf.DUMMYFUNCTION("""COMPUTED_VALUE"""),"Yes")</f>
        <v>Yes</v>
      </c>
      <c r="E414" s="5" t="str">
        <f>IFERROR(__xludf.DUMMYFUNCTION("""COMPUTED_VALUE"""),"Yes")</f>
        <v>Yes</v>
      </c>
      <c r="F414" s="5" t="str">
        <f>IFERROR(__xludf.DUMMYFUNCTION("""COMPUTED_VALUE"""),"No")</f>
        <v>No</v>
      </c>
      <c r="G414" s="5" t="str">
        <f>IFERROR(__xludf.DUMMYFUNCTION("""COMPUTED_VALUE"""),"No")</f>
        <v>No</v>
      </c>
      <c r="H414" s="5" t="str">
        <f>IFERROR(__xludf.DUMMYFUNCTION("""COMPUTED_VALUE"""),"No")</f>
        <v>No</v>
      </c>
      <c r="I414" s="5" t="str">
        <f>IFERROR(__xludf.DUMMYFUNCTION("""COMPUTED_VALUE"""),"No")</f>
        <v>No</v>
      </c>
      <c r="J414" s="5" t="str">
        <f>IFERROR(__xludf.DUMMYFUNCTION("""COMPUTED_VALUE"""),"No")</f>
        <v>No</v>
      </c>
      <c r="K414" s="5" t="str">
        <f>IFERROR(__xludf.DUMMYFUNCTION("""COMPUTED_VALUE"""),"Yes")</f>
        <v>Yes</v>
      </c>
      <c r="L414" s="5" t="str">
        <f>IFERROR(__xludf.DUMMYFUNCTION("""COMPUTED_VALUE"""),"Yes")</f>
        <v>Yes</v>
      </c>
      <c r="M414" s="5" t="str">
        <f>IFERROR(__xludf.DUMMYFUNCTION("""COMPUTED_VALUE"""),"Yes")</f>
        <v>Yes</v>
      </c>
      <c r="N414" s="5" t="str">
        <f>IFERROR(__xludf.DUMMYFUNCTION("""COMPUTED_VALUE"""),"Yes")</f>
        <v>Yes</v>
      </c>
      <c r="O414" s="5" t="str">
        <f>IFERROR(__xludf.DUMMYFUNCTION("""COMPUTED_VALUE"""),"Yes")</f>
        <v>Yes</v>
      </c>
      <c r="P414" s="5" t="str">
        <f>IFERROR(__xludf.DUMMYFUNCTION("""COMPUTED_VALUE"""),"No")</f>
        <v>No</v>
      </c>
      <c r="Q414" s="5" t="str">
        <f>IFERROR(__xludf.DUMMYFUNCTION("""COMPUTED_VALUE"""),"Yes")</f>
        <v>Yes</v>
      </c>
      <c r="R414" s="5" t="str">
        <f>IFERROR(__xludf.DUMMYFUNCTION("""COMPUTED_VALUE"""),"No")</f>
        <v>No</v>
      </c>
      <c r="S414" s="5" t="str">
        <f>IFERROR(__xludf.DUMMYFUNCTION("""COMPUTED_VALUE"""),"No")</f>
        <v>No</v>
      </c>
      <c r="T414" s="5" t="str">
        <f>IFERROR(__xludf.DUMMYFUNCTION("""COMPUTED_VALUE"""),"No")</f>
        <v>No</v>
      </c>
      <c r="U414" s="5" t="str">
        <f>IFERROR(__xludf.DUMMYFUNCTION("""COMPUTED_VALUE"""),"No")</f>
        <v>No</v>
      </c>
      <c r="V414" s="5"/>
      <c r="W414" s="5"/>
      <c r="X414" s="5" t="str">
        <f>IFERROR(__xludf.DUMMYFUNCTION("""COMPUTED_VALUE"""),"Yes")</f>
        <v>Yes</v>
      </c>
      <c r="Y414" s="5"/>
      <c r="Z414" s="5" t="str">
        <f>IFERROR(__xludf.DUMMYFUNCTION("""COMPUTED_VALUE"""),"No")</f>
        <v>No</v>
      </c>
      <c r="AA414" s="5"/>
      <c r="AB414" s="5" t="str">
        <f>IFERROR(__xludf.DUMMYFUNCTION("""COMPUTED_VALUE"""),"Yes")</f>
        <v>Yes</v>
      </c>
      <c r="AC414" s="5" t="str">
        <f>IFERROR(__xludf.DUMMYFUNCTION("""COMPUTED_VALUE"""),"Yes")</f>
        <v>Yes</v>
      </c>
    </row>
    <row r="415">
      <c r="A415" s="5" t="str">
        <f>IFERROR(__xludf.DUMMYFUNCTION("""COMPUTED_VALUE"""),"RedstoneReelX5")</f>
        <v>RedstoneReelX5</v>
      </c>
      <c r="B41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5" s="5" t="str">
        <f>IFERROR(__xludf.DUMMYFUNCTION("""COMPUTED_VALUE"""),"Yes")</f>
        <v>Yes</v>
      </c>
      <c r="D415" s="5" t="str">
        <f>IFERROR(__xludf.DUMMYFUNCTION("""COMPUTED_VALUE"""),"Yes")</f>
        <v>Yes</v>
      </c>
      <c r="E415" s="5" t="str">
        <f>IFERROR(__xludf.DUMMYFUNCTION("""COMPUTED_VALUE"""),"No")</f>
        <v>No</v>
      </c>
      <c r="F415" s="5" t="str">
        <f>IFERROR(__xludf.DUMMYFUNCTION("""COMPUTED_VALUE"""),"Yes")</f>
        <v>Yes</v>
      </c>
      <c r="G415" s="5" t="str">
        <f>IFERROR(__xludf.DUMMYFUNCTION("""COMPUTED_VALUE"""),"Yes")</f>
        <v>Yes</v>
      </c>
      <c r="H415" s="5" t="str">
        <f>IFERROR(__xludf.DUMMYFUNCTION("""COMPUTED_VALUE"""),"Yes")</f>
        <v>Yes</v>
      </c>
      <c r="I415" s="5" t="str">
        <f>IFERROR(__xludf.DUMMYFUNCTION("""COMPUTED_VALUE"""),"Yes")</f>
        <v>Yes</v>
      </c>
      <c r="J415" s="5" t="str">
        <f>IFERROR(__xludf.DUMMYFUNCTION("""COMPUTED_VALUE"""),"Yes")</f>
        <v>Yes</v>
      </c>
      <c r="K415" s="5" t="str">
        <f>IFERROR(__xludf.DUMMYFUNCTION("""COMPUTED_VALUE"""),"Yes")</f>
        <v>Yes</v>
      </c>
      <c r="L415" s="5" t="str">
        <f>IFERROR(__xludf.DUMMYFUNCTION("""COMPUTED_VALUE"""),"Yes")</f>
        <v>Yes</v>
      </c>
      <c r="M415" s="5" t="str">
        <f>IFERROR(__xludf.DUMMYFUNCTION("""COMPUTED_VALUE"""),"Yes")</f>
        <v>Yes</v>
      </c>
      <c r="N415" s="5" t="str">
        <f>IFERROR(__xludf.DUMMYFUNCTION("""COMPUTED_VALUE"""),"Yes")</f>
        <v>Yes</v>
      </c>
      <c r="O415" s="5" t="str">
        <f>IFERROR(__xludf.DUMMYFUNCTION("""COMPUTED_VALUE"""),"Yes")</f>
        <v>Yes</v>
      </c>
      <c r="P415" s="5" t="str">
        <f>IFERROR(__xludf.DUMMYFUNCTION("""COMPUTED_VALUE"""),"Yes")</f>
        <v>Yes</v>
      </c>
      <c r="Q415" s="5" t="str">
        <f>IFERROR(__xludf.DUMMYFUNCTION("""COMPUTED_VALUE"""),"Yes")</f>
        <v>Yes</v>
      </c>
      <c r="R415" s="5" t="str">
        <f>IFERROR(__xludf.DUMMYFUNCTION("""COMPUTED_VALUE"""),"No")</f>
        <v>No</v>
      </c>
      <c r="S415" s="5" t="str">
        <f>IFERROR(__xludf.DUMMYFUNCTION("""COMPUTED_VALUE"""),"No")</f>
        <v>No</v>
      </c>
      <c r="T415" s="5" t="str">
        <f>IFERROR(__xludf.DUMMYFUNCTION("""COMPUTED_VALUE"""),"No")</f>
        <v>No</v>
      </c>
      <c r="U415" s="5" t="str">
        <f>IFERROR(__xludf.DUMMYFUNCTION("""COMPUTED_VALUE"""),"No")</f>
        <v>No</v>
      </c>
      <c r="V415" s="5" t="str">
        <f>IFERROR(__xludf.DUMMYFUNCTION("""COMPUTED_VALUE"""),"No")</f>
        <v>No</v>
      </c>
      <c r="W415" s="5" t="str">
        <f>IFERROR(__xludf.DUMMYFUNCTION("""COMPUTED_VALUE"""),"No")</f>
        <v>No</v>
      </c>
      <c r="X415" s="5" t="str">
        <f>IFERROR(__xludf.DUMMYFUNCTION("""COMPUTED_VALUE"""),"Yes")</f>
        <v>Yes</v>
      </c>
      <c r="Y415" s="5" t="str">
        <f>IFERROR(__xludf.DUMMYFUNCTION("""COMPUTED_VALUE"""),"No")</f>
        <v>No</v>
      </c>
      <c r="Z415" s="5" t="str">
        <f>IFERROR(__xludf.DUMMYFUNCTION("""COMPUTED_VALUE"""),"No")</f>
        <v>No</v>
      </c>
      <c r="AA415" s="5" t="str">
        <f>IFERROR(__xludf.DUMMYFUNCTION("""COMPUTED_VALUE"""),"No")</f>
        <v>No</v>
      </c>
      <c r="AB415" s="5" t="str">
        <f>IFERROR(__xludf.DUMMYFUNCTION("""COMPUTED_VALUE"""),"Yes")</f>
        <v>Yes</v>
      </c>
      <c r="AC415" s="5" t="str">
        <f>IFERROR(__xludf.DUMMYFUNCTION("""COMPUTED_VALUE"""),"No")</f>
        <v>No</v>
      </c>
    </row>
    <row r="416">
      <c r="A416" s="5" t="str">
        <f>IFERROR(__xludf.DUMMYFUNCTION("""COMPUTED_VALUE"""),"UnicornFruitIslandGems")</f>
        <v>UnicornFruitIslandGems</v>
      </c>
      <c r="B41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6" s="5" t="str">
        <f>IFERROR(__xludf.DUMMYFUNCTION("""COMPUTED_VALUE"""),"Yes")</f>
        <v>Yes</v>
      </c>
      <c r="D416" s="5" t="str">
        <f>IFERROR(__xludf.DUMMYFUNCTION("""COMPUTED_VALUE"""),"Yes")</f>
        <v>Yes</v>
      </c>
      <c r="E416" s="5" t="str">
        <f>IFERROR(__xludf.DUMMYFUNCTION("""COMPUTED_VALUE"""),"No")</f>
        <v>No</v>
      </c>
      <c r="F416" s="5" t="str">
        <f>IFERROR(__xludf.DUMMYFUNCTION("""COMPUTED_VALUE"""),"Yes")</f>
        <v>Yes</v>
      </c>
      <c r="G416" s="5" t="str">
        <f>IFERROR(__xludf.DUMMYFUNCTION("""COMPUTED_VALUE"""),"Yes")</f>
        <v>Yes</v>
      </c>
      <c r="H416" s="5" t="str">
        <f>IFERROR(__xludf.DUMMYFUNCTION("""COMPUTED_VALUE"""),"Yes")</f>
        <v>Yes</v>
      </c>
      <c r="I416" s="5" t="str">
        <f>IFERROR(__xludf.DUMMYFUNCTION("""COMPUTED_VALUE"""),"Yes")</f>
        <v>Yes</v>
      </c>
      <c r="J416" s="5" t="str">
        <f>IFERROR(__xludf.DUMMYFUNCTION("""COMPUTED_VALUE"""),"Yes")</f>
        <v>Yes</v>
      </c>
      <c r="K416" s="5" t="str">
        <f>IFERROR(__xludf.DUMMYFUNCTION("""COMPUTED_VALUE"""),"Yes")</f>
        <v>Yes</v>
      </c>
      <c r="L416" s="5" t="str">
        <f>IFERROR(__xludf.DUMMYFUNCTION("""COMPUTED_VALUE"""),"Yes")</f>
        <v>Yes</v>
      </c>
      <c r="M416" s="5" t="str">
        <f>IFERROR(__xludf.DUMMYFUNCTION("""COMPUTED_VALUE"""),"Yes")</f>
        <v>Yes</v>
      </c>
      <c r="N416" s="5" t="str">
        <f>IFERROR(__xludf.DUMMYFUNCTION("""COMPUTED_VALUE"""),"Yes")</f>
        <v>Yes</v>
      </c>
      <c r="O416" s="5" t="str">
        <f>IFERROR(__xludf.DUMMYFUNCTION("""COMPUTED_VALUE"""),"Yes")</f>
        <v>Yes</v>
      </c>
      <c r="P416" s="5" t="str">
        <f>IFERROR(__xludf.DUMMYFUNCTION("""COMPUTED_VALUE"""),"Yes")</f>
        <v>Yes</v>
      </c>
      <c r="Q416" s="5" t="str">
        <f>IFERROR(__xludf.DUMMYFUNCTION("""COMPUTED_VALUE"""),"Yes")</f>
        <v>Yes</v>
      </c>
      <c r="R416" s="5" t="str">
        <f>IFERROR(__xludf.DUMMYFUNCTION("""COMPUTED_VALUE"""),"No")</f>
        <v>No</v>
      </c>
      <c r="S416" s="5" t="str">
        <f>IFERROR(__xludf.DUMMYFUNCTION("""COMPUTED_VALUE"""),"No")</f>
        <v>No</v>
      </c>
      <c r="T416" s="5" t="str">
        <f>IFERROR(__xludf.DUMMYFUNCTION("""COMPUTED_VALUE"""),"No")</f>
        <v>No</v>
      </c>
      <c r="U416" s="5" t="str">
        <f>IFERROR(__xludf.DUMMYFUNCTION("""COMPUTED_VALUE"""),"No")</f>
        <v>No</v>
      </c>
      <c r="V416" s="5" t="str">
        <f>IFERROR(__xludf.DUMMYFUNCTION("""COMPUTED_VALUE"""),"No")</f>
        <v>No</v>
      </c>
      <c r="W416" s="5" t="str">
        <f>IFERROR(__xludf.DUMMYFUNCTION("""COMPUTED_VALUE"""),"No")</f>
        <v>No</v>
      </c>
      <c r="X416" s="5" t="str">
        <f>IFERROR(__xludf.DUMMYFUNCTION("""COMPUTED_VALUE"""),"Yes")</f>
        <v>Yes</v>
      </c>
      <c r="Y416" s="5" t="str">
        <f>IFERROR(__xludf.DUMMYFUNCTION("""COMPUTED_VALUE"""),"No")</f>
        <v>No</v>
      </c>
      <c r="Z416" s="5" t="str">
        <f>IFERROR(__xludf.DUMMYFUNCTION("""COMPUTED_VALUE"""),"No")</f>
        <v>No</v>
      </c>
      <c r="AA416" s="5" t="str">
        <f>IFERROR(__xludf.DUMMYFUNCTION("""COMPUTED_VALUE"""),"No")</f>
        <v>No</v>
      </c>
      <c r="AB416" s="5" t="str">
        <f>IFERROR(__xludf.DUMMYFUNCTION("""COMPUTED_VALUE"""),"Yes")</f>
        <v>Yes</v>
      </c>
      <c r="AC416" s="5" t="str">
        <f>IFERROR(__xludf.DUMMYFUNCTION("""COMPUTED_VALUE"""),"No")</f>
        <v>No</v>
      </c>
    </row>
    <row r="417">
      <c r="A417" s="5" t="str">
        <f>IFERROR(__xludf.DUMMYFUNCTION("""COMPUTED_VALUE"""),"UnicornBunnyDice")</f>
        <v>UnicornBunnyDice</v>
      </c>
      <c r="B4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7" s="5" t="str">
        <f>IFERROR(__xludf.DUMMYFUNCTION("""COMPUTED_VALUE"""),"Yes")</f>
        <v>Yes</v>
      </c>
      <c r="D417" s="5" t="str">
        <f>IFERROR(__xludf.DUMMYFUNCTION("""COMPUTED_VALUE"""),"Yes")</f>
        <v>Yes</v>
      </c>
      <c r="E417" s="5" t="str">
        <f>IFERROR(__xludf.DUMMYFUNCTION("""COMPUTED_VALUE"""),"Yes")</f>
        <v>Yes</v>
      </c>
      <c r="F417" s="5" t="str">
        <f>IFERROR(__xludf.DUMMYFUNCTION("""COMPUTED_VALUE"""),"Yes")</f>
        <v>Yes</v>
      </c>
      <c r="G417" s="5" t="str">
        <f>IFERROR(__xludf.DUMMYFUNCTION("""COMPUTED_VALUE"""),"Yes")</f>
        <v>Yes</v>
      </c>
      <c r="H417" s="5" t="str">
        <f>IFERROR(__xludf.DUMMYFUNCTION("""COMPUTED_VALUE"""),"Yes")</f>
        <v>Yes</v>
      </c>
      <c r="I417" s="5" t="str">
        <f>IFERROR(__xludf.DUMMYFUNCTION("""COMPUTED_VALUE"""),"Yes")</f>
        <v>Yes</v>
      </c>
      <c r="J417" s="5" t="str">
        <f>IFERROR(__xludf.DUMMYFUNCTION("""COMPUTED_VALUE"""),"Yes")</f>
        <v>Yes</v>
      </c>
      <c r="K417" s="5" t="str">
        <f>IFERROR(__xludf.DUMMYFUNCTION("""COMPUTED_VALUE"""),"Yes")</f>
        <v>Yes</v>
      </c>
      <c r="L417" s="5" t="str">
        <f>IFERROR(__xludf.DUMMYFUNCTION("""COMPUTED_VALUE"""),"Yes")</f>
        <v>Yes</v>
      </c>
      <c r="M417" s="5" t="str">
        <f>IFERROR(__xludf.DUMMYFUNCTION("""COMPUTED_VALUE"""),"Yes")</f>
        <v>Yes</v>
      </c>
      <c r="N417" s="5" t="str">
        <f>IFERROR(__xludf.DUMMYFUNCTION("""COMPUTED_VALUE"""),"Yes")</f>
        <v>Yes</v>
      </c>
      <c r="O417" s="5" t="str">
        <f>IFERROR(__xludf.DUMMYFUNCTION("""COMPUTED_VALUE"""),"Yes")</f>
        <v>Yes</v>
      </c>
      <c r="P417" s="5" t="str">
        <f>IFERROR(__xludf.DUMMYFUNCTION("""COMPUTED_VALUE"""),"Yes")</f>
        <v>Yes</v>
      </c>
      <c r="Q417" s="5" t="str">
        <f>IFERROR(__xludf.DUMMYFUNCTION("""COMPUTED_VALUE"""),"Yes")</f>
        <v>Yes</v>
      </c>
      <c r="R417" s="5" t="str">
        <f>IFERROR(__xludf.DUMMYFUNCTION("""COMPUTED_VALUE"""),"Yes")</f>
        <v>Yes</v>
      </c>
      <c r="S417" s="5" t="str">
        <f>IFERROR(__xludf.DUMMYFUNCTION("""COMPUTED_VALUE"""),"Yes")</f>
        <v>Yes</v>
      </c>
      <c r="T417" s="5" t="str">
        <f>IFERROR(__xludf.DUMMYFUNCTION("""COMPUTED_VALUE"""),"Yes")</f>
        <v>Yes</v>
      </c>
      <c r="U417" s="5" t="str">
        <f>IFERROR(__xludf.DUMMYFUNCTION("""COMPUTED_VALUE"""),"Yes")</f>
        <v>Yes</v>
      </c>
      <c r="V417" s="5"/>
      <c r="W417" s="5"/>
      <c r="X417" s="5"/>
      <c r="Y417" s="5"/>
      <c r="Z417" s="5" t="str">
        <f>IFERROR(__xludf.DUMMYFUNCTION("""COMPUTED_VALUE"""),"Yes")</f>
        <v>Yes</v>
      </c>
      <c r="AA417" s="5"/>
      <c r="AB417" s="5"/>
      <c r="AC417" s="5"/>
    </row>
    <row r="418">
      <c r="A418" s="5" t="str">
        <f>IFERROR(__xludf.DUMMYFUNCTION("""COMPUTED_VALUE"""),"RedstoneFarmFiesta")</f>
        <v>RedstoneFarmFiesta</v>
      </c>
      <c r="B41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8" s="5" t="str">
        <f>IFERROR(__xludf.DUMMYFUNCTION("""COMPUTED_VALUE"""),"Yes")</f>
        <v>Yes</v>
      </c>
      <c r="D418" s="5" t="str">
        <f>IFERROR(__xludf.DUMMYFUNCTION("""COMPUTED_VALUE"""),"Yes")</f>
        <v>Yes</v>
      </c>
      <c r="E418" s="5" t="str">
        <f>IFERROR(__xludf.DUMMYFUNCTION("""COMPUTED_VALUE"""),"Yes")</f>
        <v>Yes</v>
      </c>
      <c r="F418" s="5" t="str">
        <f>IFERROR(__xludf.DUMMYFUNCTION("""COMPUTED_VALUE"""),"No")</f>
        <v>No</v>
      </c>
      <c r="G418" s="5" t="str">
        <f>IFERROR(__xludf.DUMMYFUNCTION("""COMPUTED_VALUE"""),"No")</f>
        <v>No</v>
      </c>
      <c r="H418" s="5" t="str">
        <f>IFERROR(__xludf.DUMMYFUNCTION("""COMPUTED_VALUE"""),"No")</f>
        <v>No</v>
      </c>
      <c r="I418" s="5" t="str">
        <f>IFERROR(__xludf.DUMMYFUNCTION("""COMPUTED_VALUE"""),"No")</f>
        <v>No</v>
      </c>
      <c r="J418" s="5" t="str">
        <f>IFERROR(__xludf.DUMMYFUNCTION("""COMPUTED_VALUE"""),"No")</f>
        <v>No</v>
      </c>
      <c r="K418" s="5" t="str">
        <f>IFERROR(__xludf.DUMMYFUNCTION("""COMPUTED_VALUE"""),"Yes")</f>
        <v>Yes</v>
      </c>
      <c r="L418" s="5" t="str">
        <f>IFERROR(__xludf.DUMMYFUNCTION("""COMPUTED_VALUE"""),"Yes")</f>
        <v>Yes</v>
      </c>
      <c r="M418" s="5" t="str">
        <f>IFERROR(__xludf.DUMMYFUNCTION("""COMPUTED_VALUE"""),"Yes")</f>
        <v>Yes</v>
      </c>
      <c r="N418" s="5" t="str">
        <f>IFERROR(__xludf.DUMMYFUNCTION("""COMPUTED_VALUE"""),"Yes")</f>
        <v>Yes</v>
      </c>
      <c r="O418" s="5" t="str">
        <f>IFERROR(__xludf.DUMMYFUNCTION("""COMPUTED_VALUE"""),"Yes")</f>
        <v>Yes</v>
      </c>
      <c r="P418" s="5" t="str">
        <f>IFERROR(__xludf.DUMMYFUNCTION("""COMPUTED_VALUE"""),"No")</f>
        <v>No</v>
      </c>
      <c r="Q418" s="5" t="str">
        <f>IFERROR(__xludf.DUMMYFUNCTION("""COMPUTED_VALUE"""),"Yes")</f>
        <v>Yes</v>
      </c>
      <c r="R418" s="5" t="str">
        <f>IFERROR(__xludf.DUMMYFUNCTION("""COMPUTED_VALUE"""),"No")</f>
        <v>No</v>
      </c>
      <c r="S418" s="5" t="str">
        <f>IFERROR(__xludf.DUMMYFUNCTION("""COMPUTED_VALUE"""),"No")</f>
        <v>No</v>
      </c>
      <c r="T418" s="5" t="str">
        <f>IFERROR(__xludf.DUMMYFUNCTION("""COMPUTED_VALUE"""),"No")</f>
        <v>No</v>
      </c>
      <c r="U418" s="5" t="str">
        <f>IFERROR(__xludf.DUMMYFUNCTION("""COMPUTED_VALUE"""),"No")</f>
        <v>No</v>
      </c>
      <c r="V418" s="5"/>
      <c r="W418" s="5"/>
      <c r="X418" s="5" t="str">
        <f>IFERROR(__xludf.DUMMYFUNCTION("""COMPUTED_VALUE"""),"Yes")</f>
        <v>Yes</v>
      </c>
      <c r="Y418" s="5"/>
      <c r="Z418" s="5" t="str">
        <f>IFERROR(__xludf.DUMMYFUNCTION("""COMPUTED_VALUE"""),"No")</f>
        <v>No</v>
      </c>
      <c r="AA418" s="5"/>
      <c r="AB418" s="5" t="str">
        <f>IFERROR(__xludf.DUMMYFUNCTION("""COMPUTED_VALUE"""),"Yes")</f>
        <v>Yes</v>
      </c>
      <c r="AC418" s="5" t="str">
        <f>IFERROR(__xludf.DUMMYFUNCTION("""COMPUTED_VALUE"""),"Yes")</f>
        <v>Yes</v>
      </c>
    </row>
    <row r="419">
      <c r="A419" s="5" t="str">
        <f>IFERROR(__xludf.DUMMYFUNCTION("""COMPUTED_VALUE"""),"RedstoneSweetRespins")</f>
        <v>RedstoneSweetRespins</v>
      </c>
      <c r="B41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9" s="5" t="str">
        <f>IFERROR(__xludf.DUMMYFUNCTION("""COMPUTED_VALUE"""),"Yes")</f>
        <v>Yes</v>
      </c>
      <c r="D419" s="5" t="str">
        <f>IFERROR(__xludf.DUMMYFUNCTION("""COMPUTED_VALUE"""),"Yes")</f>
        <v>Yes</v>
      </c>
      <c r="E419" s="5" t="str">
        <f>IFERROR(__xludf.DUMMYFUNCTION("""COMPUTED_VALUE"""),"Yes")</f>
        <v>Yes</v>
      </c>
      <c r="F419" s="5" t="str">
        <f>IFERROR(__xludf.DUMMYFUNCTION("""COMPUTED_VALUE"""),"No")</f>
        <v>No</v>
      </c>
      <c r="G419" s="5" t="str">
        <f>IFERROR(__xludf.DUMMYFUNCTION("""COMPUTED_VALUE"""),"No")</f>
        <v>No</v>
      </c>
      <c r="H419" s="5" t="str">
        <f>IFERROR(__xludf.DUMMYFUNCTION("""COMPUTED_VALUE"""),"No")</f>
        <v>No</v>
      </c>
      <c r="I419" s="5" t="str">
        <f>IFERROR(__xludf.DUMMYFUNCTION("""COMPUTED_VALUE"""),"No")</f>
        <v>No</v>
      </c>
      <c r="J419" s="5" t="str">
        <f>IFERROR(__xludf.DUMMYFUNCTION("""COMPUTED_VALUE"""),"No")</f>
        <v>No</v>
      </c>
      <c r="K419" s="5" t="str">
        <f>IFERROR(__xludf.DUMMYFUNCTION("""COMPUTED_VALUE"""),"Yes")</f>
        <v>Yes</v>
      </c>
      <c r="L419" s="5" t="str">
        <f>IFERROR(__xludf.DUMMYFUNCTION("""COMPUTED_VALUE"""),"Yes")</f>
        <v>Yes</v>
      </c>
      <c r="M419" s="5" t="str">
        <f>IFERROR(__xludf.DUMMYFUNCTION("""COMPUTED_VALUE"""),"Yes")</f>
        <v>Yes</v>
      </c>
      <c r="N419" s="5" t="str">
        <f>IFERROR(__xludf.DUMMYFUNCTION("""COMPUTED_VALUE"""),"Yes")</f>
        <v>Yes</v>
      </c>
      <c r="O419" s="5" t="str">
        <f>IFERROR(__xludf.DUMMYFUNCTION("""COMPUTED_VALUE"""),"Yes")</f>
        <v>Yes</v>
      </c>
      <c r="P419" s="5" t="str">
        <f>IFERROR(__xludf.DUMMYFUNCTION("""COMPUTED_VALUE"""),"No")</f>
        <v>No</v>
      </c>
      <c r="Q419" s="5" t="str">
        <f>IFERROR(__xludf.DUMMYFUNCTION("""COMPUTED_VALUE"""),"Yes")</f>
        <v>Yes</v>
      </c>
      <c r="R419" s="5" t="str">
        <f>IFERROR(__xludf.DUMMYFUNCTION("""COMPUTED_VALUE"""),"No")</f>
        <v>No</v>
      </c>
      <c r="S419" s="5" t="str">
        <f>IFERROR(__xludf.DUMMYFUNCTION("""COMPUTED_VALUE"""),"No")</f>
        <v>No</v>
      </c>
      <c r="T419" s="5" t="str">
        <f>IFERROR(__xludf.DUMMYFUNCTION("""COMPUTED_VALUE"""),"No")</f>
        <v>No</v>
      </c>
      <c r="U419" s="5" t="str">
        <f>IFERROR(__xludf.DUMMYFUNCTION("""COMPUTED_VALUE"""),"No")</f>
        <v>No</v>
      </c>
      <c r="V419" s="5"/>
      <c r="W419" s="5"/>
      <c r="X419" s="5" t="str">
        <f>IFERROR(__xludf.DUMMYFUNCTION("""COMPUTED_VALUE"""),"Yes")</f>
        <v>Yes</v>
      </c>
      <c r="Y419" s="5"/>
      <c r="Z419" s="5" t="str">
        <f>IFERROR(__xludf.DUMMYFUNCTION("""COMPUTED_VALUE"""),"No")</f>
        <v>No</v>
      </c>
      <c r="AA419" s="5"/>
      <c r="AB419" s="5" t="str">
        <f>IFERROR(__xludf.DUMMYFUNCTION("""COMPUTED_VALUE"""),"Yes")</f>
        <v>Yes</v>
      </c>
      <c r="AC419" s="5" t="str">
        <f>IFERROR(__xludf.DUMMYFUNCTION("""COMPUTED_VALUE"""),"Yes")</f>
        <v>Yes</v>
      </c>
    </row>
    <row r="420">
      <c r="A420" s="5" t="str">
        <f>IFERROR(__xludf.DUMMYFUNCTION("""COMPUTED_VALUE"""),"TBD-T1")</f>
        <v>TBD-T1</v>
      </c>
      <c r="B42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0" s="5" t="str">
        <f>IFERROR(__xludf.DUMMYFUNCTION("""COMPUTED_VALUE"""),"Yes")</f>
        <v>Yes</v>
      </c>
      <c r="D420" s="5" t="str">
        <f>IFERROR(__xludf.DUMMYFUNCTION("""COMPUTED_VALUE"""),"Yes")</f>
        <v>Yes</v>
      </c>
      <c r="E420" s="5" t="str">
        <f>IFERROR(__xludf.DUMMYFUNCTION("""COMPUTED_VALUE"""),"No")</f>
        <v>No</v>
      </c>
      <c r="F420" s="5" t="str">
        <f>IFERROR(__xludf.DUMMYFUNCTION("""COMPUTED_VALUE"""),"Yes")</f>
        <v>Yes</v>
      </c>
      <c r="G420" s="5" t="str">
        <f>IFERROR(__xludf.DUMMYFUNCTION("""COMPUTED_VALUE"""),"Yes")</f>
        <v>Yes</v>
      </c>
      <c r="H420" s="5" t="str">
        <f>IFERROR(__xludf.DUMMYFUNCTION("""COMPUTED_VALUE"""),"Yes")</f>
        <v>Yes</v>
      </c>
      <c r="I420" s="5" t="str">
        <f>IFERROR(__xludf.DUMMYFUNCTION("""COMPUTED_VALUE"""),"Yes")</f>
        <v>Yes</v>
      </c>
      <c r="J420" s="5" t="str">
        <f>IFERROR(__xludf.DUMMYFUNCTION("""COMPUTED_VALUE"""),"Yes")</f>
        <v>Yes</v>
      </c>
      <c r="K420" s="5" t="str">
        <f>IFERROR(__xludf.DUMMYFUNCTION("""COMPUTED_VALUE"""),"Yes")</f>
        <v>Yes</v>
      </c>
      <c r="L420" s="5" t="str">
        <f>IFERROR(__xludf.DUMMYFUNCTION("""COMPUTED_VALUE"""),"Yes")</f>
        <v>Yes</v>
      </c>
      <c r="M420" s="5" t="str">
        <f>IFERROR(__xludf.DUMMYFUNCTION("""COMPUTED_VALUE"""),"Yes")</f>
        <v>Yes</v>
      </c>
      <c r="N420" s="5" t="str">
        <f>IFERROR(__xludf.DUMMYFUNCTION("""COMPUTED_VALUE"""),"Yes")</f>
        <v>Yes</v>
      </c>
      <c r="O420" s="5" t="str">
        <f>IFERROR(__xludf.DUMMYFUNCTION("""COMPUTED_VALUE"""),"Yes")</f>
        <v>Yes</v>
      </c>
      <c r="P420" s="5" t="str">
        <f>IFERROR(__xludf.DUMMYFUNCTION("""COMPUTED_VALUE"""),"Yes")</f>
        <v>Yes</v>
      </c>
      <c r="Q420" s="5" t="str">
        <f>IFERROR(__xludf.DUMMYFUNCTION("""COMPUTED_VALUE"""),"Yes")</f>
        <v>Yes</v>
      </c>
      <c r="R420" s="5" t="str">
        <f>IFERROR(__xludf.DUMMYFUNCTION("""COMPUTED_VALUE"""),"No")</f>
        <v>No</v>
      </c>
      <c r="S420" s="5" t="str">
        <f>IFERROR(__xludf.DUMMYFUNCTION("""COMPUTED_VALUE"""),"No")</f>
        <v>No</v>
      </c>
      <c r="T420" s="5" t="str">
        <f>IFERROR(__xludf.DUMMYFUNCTION("""COMPUTED_VALUE"""),"No")</f>
        <v>No</v>
      </c>
      <c r="U420" s="5" t="str">
        <f>IFERROR(__xludf.DUMMYFUNCTION("""COMPUTED_VALUE"""),"No")</f>
        <v>No</v>
      </c>
      <c r="V420" s="5" t="str">
        <f>IFERROR(__xludf.DUMMYFUNCTION("""COMPUTED_VALUE"""),"No")</f>
        <v>No</v>
      </c>
      <c r="W420" s="5" t="str">
        <f>IFERROR(__xludf.DUMMYFUNCTION("""COMPUTED_VALUE"""),"No")</f>
        <v>No</v>
      </c>
      <c r="X420" s="5" t="str">
        <f>IFERROR(__xludf.DUMMYFUNCTION("""COMPUTED_VALUE"""),"Yes")</f>
        <v>Yes</v>
      </c>
      <c r="Y420" s="5" t="str">
        <f>IFERROR(__xludf.DUMMYFUNCTION("""COMPUTED_VALUE"""),"No")</f>
        <v>No</v>
      </c>
      <c r="Z420" s="5" t="str">
        <f>IFERROR(__xludf.DUMMYFUNCTION("""COMPUTED_VALUE"""),"No")</f>
        <v>No</v>
      </c>
      <c r="AA420" s="5" t="str">
        <f>IFERROR(__xludf.DUMMYFUNCTION("""COMPUTED_VALUE"""),"No")</f>
        <v>No</v>
      </c>
      <c r="AB420" s="5" t="str">
        <f>IFERROR(__xludf.DUMMYFUNCTION("""COMPUTED_VALUE"""),"Yes")</f>
        <v>Yes</v>
      </c>
      <c r="AC420" s="5" t="str">
        <f>IFERROR(__xludf.DUMMYFUNCTION("""COMPUTED_VALUE"""),"No")</f>
        <v>No</v>
      </c>
    </row>
    <row r="421">
      <c r="A421" s="5" t="str">
        <f>IFERROR(__xludf.DUMMYFUNCTION("""COMPUTED_VALUE"""),"UnicornSavanaFruits")</f>
        <v>UnicornSavanaFruits</v>
      </c>
      <c r="B4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21" s="5" t="str">
        <f>IFERROR(__xludf.DUMMYFUNCTION("""COMPUTED_VALUE"""),"Yes")</f>
        <v>Yes</v>
      </c>
      <c r="D421" s="5" t="str">
        <f>IFERROR(__xludf.DUMMYFUNCTION("""COMPUTED_VALUE"""),"Yes")</f>
        <v>Yes</v>
      </c>
      <c r="E421" s="5" t="str">
        <f>IFERROR(__xludf.DUMMYFUNCTION("""COMPUTED_VALUE"""),"Yes")</f>
        <v>Yes</v>
      </c>
      <c r="F421" s="5" t="str">
        <f>IFERROR(__xludf.DUMMYFUNCTION("""COMPUTED_VALUE"""),"Yes")</f>
        <v>Yes</v>
      </c>
      <c r="G421" s="5" t="str">
        <f>IFERROR(__xludf.DUMMYFUNCTION("""COMPUTED_VALUE"""),"Yes")</f>
        <v>Yes</v>
      </c>
      <c r="H421" s="5" t="str">
        <f>IFERROR(__xludf.DUMMYFUNCTION("""COMPUTED_VALUE"""),"Yes")</f>
        <v>Yes</v>
      </c>
      <c r="I421" s="5" t="str">
        <f>IFERROR(__xludf.DUMMYFUNCTION("""COMPUTED_VALUE"""),"Yes")</f>
        <v>Yes</v>
      </c>
      <c r="J421" s="5" t="str">
        <f>IFERROR(__xludf.DUMMYFUNCTION("""COMPUTED_VALUE"""),"Yes")</f>
        <v>Yes</v>
      </c>
      <c r="K421" s="5" t="str">
        <f>IFERROR(__xludf.DUMMYFUNCTION("""COMPUTED_VALUE"""),"Yes")</f>
        <v>Yes</v>
      </c>
      <c r="L421" s="5" t="str">
        <f>IFERROR(__xludf.DUMMYFUNCTION("""COMPUTED_VALUE"""),"Yes")</f>
        <v>Yes</v>
      </c>
      <c r="M421" s="5" t="str">
        <f>IFERROR(__xludf.DUMMYFUNCTION("""COMPUTED_VALUE"""),"Yes")</f>
        <v>Yes</v>
      </c>
      <c r="N421" s="5" t="str">
        <f>IFERROR(__xludf.DUMMYFUNCTION("""COMPUTED_VALUE"""),"Yes")</f>
        <v>Yes</v>
      </c>
      <c r="O421" s="5" t="str">
        <f>IFERROR(__xludf.DUMMYFUNCTION("""COMPUTED_VALUE"""),"Yes")</f>
        <v>Yes</v>
      </c>
      <c r="P421" s="5" t="str">
        <f>IFERROR(__xludf.DUMMYFUNCTION("""COMPUTED_VALUE"""),"Yes")</f>
        <v>Yes</v>
      </c>
      <c r="Q421" s="5" t="str">
        <f>IFERROR(__xludf.DUMMYFUNCTION("""COMPUTED_VALUE"""),"Yes")</f>
        <v>Yes</v>
      </c>
      <c r="R421" s="5" t="str">
        <f>IFERROR(__xludf.DUMMYFUNCTION("""COMPUTED_VALUE"""),"Yes")</f>
        <v>Yes</v>
      </c>
      <c r="S421" s="5" t="str">
        <f>IFERROR(__xludf.DUMMYFUNCTION("""COMPUTED_VALUE"""),"Yes")</f>
        <v>Yes</v>
      </c>
      <c r="T421" s="5" t="str">
        <f>IFERROR(__xludf.DUMMYFUNCTION("""COMPUTED_VALUE"""),"Yes")</f>
        <v>Yes</v>
      </c>
      <c r="U421" s="5" t="str">
        <f>IFERROR(__xludf.DUMMYFUNCTION("""COMPUTED_VALUE"""),"Yes")</f>
        <v>Yes</v>
      </c>
      <c r="V421" s="5"/>
      <c r="W421" s="5"/>
      <c r="X421" s="5"/>
      <c r="Y421" s="5"/>
      <c r="Z421" s="5" t="str">
        <f>IFERROR(__xludf.DUMMYFUNCTION("""COMPUTED_VALUE"""),"Yes")</f>
        <v>Yes</v>
      </c>
      <c r="AA421" s="5"/>
      <c r="AB421" s="5"/>
      <c r="AC421" s="5"/>
    </row>
    <row r="422">
      <c r="A422" s="5" t="str">
        <f>IFERROR(__xludf.DUMMYFUNCTION("""COMPUTED_VALUE"""),"RedstoneStickyTiki")</f>
        <v>RedstoneStickyTiki</v>
      </c>
      <c r="B42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2" s="5" t="str">
        <f>IFERROR(__xludf.DUMMYFUNCTION("""COMPUTED_VALUE"""),"Yes")</f>
        <v>Yes</v>
      </c>
      <c r="D422" s="5" t="str">
        <f>IFERROR(__xludf.DUMMYFUNCTION("""COMPUTED_VALUE"""),"Yes")</f>
        <v>Yes</v>
      </c>
      <c r="E422" s="5" t="str">
        <f>IFERROR(__xludf.DUMMYFUNCTION("""COMPUTED_VALUE"""),"Yes")</f>
        <v>Yes</v>
      </c>
      <c r="F422" s="5" t="str">
        <f>IFERROR(__xludf.DUMMYFUNCTION("""COMPUTED_VALUE"""),"No")</f>
        <v>No</v>
      </c>
      <c r="G422" s="5" t="str">
        <f>IFERROR(__xludf.DUMMYFUNCTION("""COMPUTED_VALUE"""),"No")</f>
        <v>No</v>
      </c>
      <c r="H422" s="5" t="str">
        <f>IFERROR(__xludf.DUMMYFUNCTION("""COMPUTED_VALUE"""),"No")</f>
        <v>No</v>
      </c>
      <c r="I422" s="5" t="str">
        <f>IFERROR(__xludf.DUMMYFUNCTION("""COMPUTED_VALUE"""),"No")</f>
        <v>No</v>
      </c>
      <c r="J422" s="5" t="str">
        <f>IFERROR(__xludf.DUMMYFUNCTION("""COMPUTED_VALUE"""),"No")</f>
        <v>No</v>
      </c>
      <c r="K422" s="5" t="str">
        <f>IFERROR(__xludf.DUMMYFUNCTION("""COMPUTED_VALUE"""),"Yes")</f>
        <v>Yes</v>
      </c>
      <c r="L422" s="5" t="str">
        <f>IFERROR(__xludf.DUMMYFUNCTION("""COMPUTED_VALUE"""),"Yes")</f>
        <v>Yes</v>
      </c>
      <c r="M422" s="5" t="str">
        <f>IFERROR(__xludf.DUMMYFUNCTION("""COMPUTED_VALUE"""),"Yes")</f>
        <v>Yes</v>
      </c>
      <c r="N422" s="5" t="str">
        <f>IFERROR(__xludf.DUMMYFUNCTION("""COMPUTED_VALUE"""),"Yes")</f>
        <v>Yes</v>
      </c>
      <c r="O422" s="5" t="str">
        <f>IFERROR(__xludf.DUMMYFUNCTION("""COMPUTED_VALUE"""),"Yes")</f>
        <v>Yes</v>
      </c>
      <c r="P422" s="5" t="str">
        <f>IFERROR(__xludf.DUMMYFUNCTION("""COMPUTED_VALUE"""),"No")</f>
        <v>No</v>
      </c>
      <c r="Q422" s="5" t="str">
        <f>IFERROR(__xludf.DUMMYFUNCTION("""COMPUTED_VALUE"""),"Yes")</f>
        <v>Yes</v>
      </c>
      <c r="R422" s="5" t="str">
        <f>IFERROR(__xludf.DUMMYFUNCTION("""COMPUTED_VALUE"""),"No")</f>
        <v>No</v>
      </c>
      <c r="S422" s="5" t="str">
        <f>IFERROR(__xludf.DUMMYFUNCTION("""COMPUTED_VALUE"""),"No")</f>
        <v>No</v>
      </c>
      <c r="T422" s="5" t="str">
        <f>IFERROR(__xludf.DUMMYFUNCTION("""COMPUTED_VALUE"""),"No")</f>
        <v>No</v>
      </c>
      <c r="U422" s="5" t="str">
        <f>IFERROR(__xludf.DUMMYFUNCTION("""COMPUTED_VALUE"""),"No")</f>
        <v>No</v>
      </c>
      <c r="V422" s="5"/>
      <c r="W422" s="5"/>
      <c r="X422" s="5" t="str">
        <f>IFERROR(__xludf.DUMMYFUNCTION("""COMPUTED_VALUE"""),"Yes")</f>
        <v>Yes</v>
      </c>
      <c r="Y422" s="5"/>
      <c r="Z422" s="5" t="str">
        <f>IFERROR(__xludf.DUMMYFUNCTION("""COMPUTED_VALUE"""),"No")</f>
        <v>No</v>
      </c>
      <c r="AA422" s="5"/>
      <c r="AB422" s="5" t="str">
        <f>IFERROR(__xludf.DUMMYFUNCTION("""COMPUTED_VALUE"""),"Yes")</f>
        <v>Yes</v>
      </c>
      <c r="AC422" s="5" t="str">
        <f>IFERROR(__xludf.DUMMYFUNCTION("""COMPUTED_VALUE"""),"Yes")</f>
        <v>Yes</v>
      </c>
    </row>
    <row r="423">
      <c r="A423" s="5" t="str">
        <f>IFERROR(__xludf.DUMMYFUNCTION("""COMPUTED_VALUE"""),"RedstoneHotRushTripleStar")</f>
        <v>RedstoneHotRushTripleStar</v>
      </c>
      <c r="B42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3" s="5" t="str">
        <f>IFERROR(__xludf.DUMMYFUNCTION("""COMPUTED_VALUE"""),"Yes")</f>
        <v>Yes</v>
      </c>
      <c r="D423" s="5" t="str">
        <f>IFERROR(__xludf.DUMMYFUNCTION("""COMPUTED_VALUE"""),"Yes")</f>
        <v>Yes</v>
      </c>
      <c r="E423" s="5" t="str">
        <f>IFERROR(__xludf.DUMMYFUNCTION("""COMPUTED_VALUE"""),"No")</f>
        <v>No</v>
      </c>
      <c r="F423" s="5" t="str">
        <f>IFERROR(__xludf.DUMMYFUNCTION("""COMPUTED_VALUE"""),"Yes")</f>
        <v>Yes</v>
      </c>
      <c r="G423" s="5" t="str">
        <f>IFERROR(__xludf.DUMMYFUNCTION("""COMPUTED_VALUE"""),"Yes")</f>
        <v>Yes</v>
      </c>
      <c r="H423" s="5" t="str">
        <f>IFERROR(__xludf.DUMMYFUNCTION("""COMPUTED_VALUE"""),"Yes")</f>
        <v>Yes</v>
      </c>
      <c r="I423" s="5" t="str">
        <f>IFERROR(__xludf.DUMMYFUNCTION("""COMPUTED_VALUE"""),"Yes")</f>
        <v>Yes</v>
      </c>
      <c r="J423" s="5" t="str">
        <f>IFERROR(__xludf.DUMMYFUNCTION("""COMPUTED_VALUE"""),"Yes")</f>
        <v>Yes</v>
      </c>
      <c r="K423" s="5" t="str">
        <f>IFERROR(__xludf.DUMMYFUNCTION("""COMPUTED_VALUE"""),"Yes")</f>
        <v>Yes</v>
      </c>
      <c r="L423" s="5" t="str">
        <f>IFERROR(__xludf.DUMMYFUNCTION("""COMPUTED_VALUE"""),"Yes")</f>
        <v>Yes</v>
      </c>
      <c r="M423" s="5" t="str">
        <f>IFERROR(__xludf.DUMMYFUNCTION("""COMPUTED_VALUE"""),"Yes")</f>
        <v>Yes</v>
      </c>
      <c r="N423" s="5" t="str">
        <f>IFERROR(__xludf.DUMMYFUNCTION("""COMPUTED_VALUE"""),"Yes")</f>
        <v>Yes</v>
      </c>
      <c r="O423" s="5" t="str">
        <f>IFERROR(__xludf.DUMMYFUNCTION("""COMPUTED_VALUE"""),"Yes")</f>
        <v>Yes</v>
      </c>
      <c r="P423" s="5" t="str">
        <f>IFERROR(__xludf.DUMMYFUNCTION("""COMPUTED_VALUE"""),"Yes")</f>
        <v>Yes</v>
      </c>
      <c r="Q423" s="5" t="str">
        <f>IFERROR(__xludf.DUMMYFUNCTION("""COMPUTED_VALUE"""),"Yes")</f>
        <v>Yes</v>
      </c>
      <c r="R423" s="5" t="str">
        <f>IFERROR(__xludf.DUMMYFUNCTION("""COMPUTED_VALUE"""),"No")</f>
        <v>No</v>
      </c>
      <c r="S423" s="5" t="str">
        <f>IFERROR(__xludf.DUMMYFUNCTION("""COMPUTED_VALUE"""),"No")</f>
        <v>No</v>
      </c>
      <c r="T423" s="5" t="str">
        <f>IFERROR(__xludf.DUMMYFUNCTION("""COMPUTED_VALUE"""),"No")</f>
        <v>No</v>
      </c>
      <c r="U423" s="5" t="str">
        <f>IFERROR(__xludf.DUMMYFUNCTION("""COMPUTED_VALUE"""),"No")</f>
        <v>No</v>
      </c>
      <c r="V423" s="5" t="str">
        <f>IFERROR(__xludf.DUMMYFUNCTION("""COMPUTED_VALUE"""),"No")</f>
        <v>No</v>
      </c>
      <c r="W423" s="5" t="str">
        <f>IFERROR(__xludf.DUMMYFUNCTION("""COMPUTED_VALUE"""),"No")</f>
        <v>No</v>
      </c>
      <c r="X423" s="5" t="str">
        <f>IFERROR(__xludf.DUMMYFUNCTION("""COMPUTED_VALUE"""),"Yes")</f>
        <v>Yes</v>
      </c>
      <c r="Y423" s="5" t="str">
        <f>IFERROR(__xludf.DUMMYFUNCTION("""COMPUTED_VALUE"""),"No")</f>
        <v>No</v>
      </c>
      <c r="Z423" s="5" t="str">
        <f>IFERROR(__xludf.DUMMYFUNCTION("""COMPUTED_VALUE"""),"No")</f>
        <v>No</v>
      </c>
      <c r="AA423" s="5" t="str">
        <f>IFERROR(__xludf.DUMMYFUNCTION("""COMPUTED_VALUE"""),"No")</f>
        <v>No</v>
      </c>
      <c r="AB423" s="5" t="str">
        <f>IFERROR(__xludf.DUMMYFUNCTION("""COMPUTED_VALUE"""),"Yes")</f>
        <v>Yes</v>
      </c>
      <c r="AC423" s="5" t="str">
        <f>IFERROR(__xludf.DUMMYFUNCTION("""COMPUTED_VALUE"""),"No")</f>
        <v>No</v>
      </c>
    </row>
    <row r="424">
      <c r="A424" s="5" t="str">
        <f>IFERROR(__xludf.DUMMYFUNCTION("""COMPUTED_VALUE"""),"HeartsAndStars")</f>
        <v>HeartsAndStars</v>
      </c>
      <c r="B4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4" s="5" t="str">
        <f>IFERROR(__xludf.DUMMYFUNCTION("""COMPUTED_VALUE"""),"Yes")</f>
        <v>Yes</v>
      </c>
      <c r="D424" s="5" t="str">
        <f>IFERROR(__xludf.DUMMYFUNCTION("""COMPUTED_VALUE"""),"Yes")</f>
        <v>Yes</v>
      </c>
      <c r="E424" s="5" t="str">
        <f>IFERROR(__xludf.DUMMYFUNCTION("""COMPUTED_VALUE"""),"Yes")</f>
        <v>Yes</v>
      </c>
      <c r="F424" s="5" t="str">
        <f>IFERROR(__xludf.DUMMYFUNCTION("""COMPUTED_VALUE"""),"Yes")</f>
        <v>Yes</v>
      </c>
      <c r="G424" s="5" t="str">
        <f>IFERROR(__xludf.DUMMYFUNCTION("""COMPUTED_VALUE"""),"Yes")</f>
        <v>Yes</v>
      </c>
      <c r="H424" s="5" t="str">
        <f>IFERROR(__xludf.DUMMYFUNCTION("""COMPUTED_VALUE"""),"Yes")</f>
        <v>Yes</v>
      </c>
      <c r="I424" s="5" t="str">
        <f>IFERROR(__xludf.DUMMYFUNCTION("""COMPUTED_VALUE"""),"Yes")</f>
        <v>Yes</v>
      </c>
      <c r="J424" s="5" t="str">
        <f>IFERROR(__xludf.DUMMYFUNCTION("""COMPUTED_VALUE"""),"Yes")</f>
        <v>Yes</v>
      </c>
      <c r="K424" s="5" t="str">
        <f>IFERROR(__xludf.DUMMYFUNCTION("""COMPUTED_VALUE"""),"Yes")</f>
        <v>Yes</v>
      </c>
      <c r="L424" s="5" t="str">
        <f>IFERROR(__xludf.DUMMYFUNCTION("""COMPUTED_VALUE"""),"Yes")</f>
        <v>Yes</v>
      </c>
      <c r="M424" s="5" t="str">
        <f>IFERROR(__xludf.DUMMYFUNCTION("""COMPUTED_VALUE"""),"Yes")</f>
        <v>Yes</v>
      </c>
      <c r="N424" s="5" t="str">
        <f>IFERROR(__xludf.DUMMYFUNCTION("""COMPUTED_VALUE"""),"Yes")</f>
        <v>Yes</v>
      </c>
      <c r="O424" s="5" t="str">
        <f>IFERROR(__xludf.DUMMYFUNCTION("""COMPUTED_VALUE"""),"Yes")</f>
        <v>Yes</v>
      </c>
      <c r="P424" s="5" t="str">
        <f>IFERROR(__xludf.DUMMYFUNCTION("""COMPUTED_VALUE"""),"Yes")</f>
        <v>Yes</v>
      </c>
      <c r="Q424" s="5" t="str">
        <f>IFERROR(__xludf.DUMMYFUNCTION("""COMPUTED_VALUE"""),"Yes")</f>
        <v>Yes</v>
      </c>
      <c r="R424" s="5" t="str">
        <f>IFERROR(__xludf.DUMMYFUNCTION("""COMPUTED_VALUE"""),"Yes")</f>
        <v>Yes</v>
      </c>
      <c r="S424" s="5" t="str">
        <f>IFERROR(__xludf.DUMMYFUNCTION("""COMPUTED_VALUE"""),"Yes")</f>
        <v>Yes</v>
      </c>
      <c r="T424" s="5" t="str">
        <f>IFERROR(__xludf.DUMMYFUNCTION("""COMPUTED_VALUE"""),"Yes")</f>
        <v>Yes</v>
      </c>
      <c r="U424" s="5" t="str">
        <f>IFERROR(__xludf.DUMMYFUNCTION("""COMPUTED_VALUE"""),"Yes")</f>
        <v>Yes</v>
      </c>
      <c r="V424" s="5" t="str">
        <f>IFERROR(__xludf.DUMMYFUNCTION("""COMPUTED_VALUE"""),"Yes")</f>
        <v>Yes</v>
      </c>
      <c r="W424" s="5" t="str">
        <f>IFERROR(__xludf.DUMMYFUNCTION("""COMPUTED_VALUE"""),"Yes")</f>
        <v>Yes</v>
      </c>
      <c r="X424" s="5" t="str">
        <f>IFERROR(__xludf.DUMMYFUNCTION("""COMPUTED_VALUE"""),"Yes")</f>
        <v>Yes</v>
      </c>
      <c r="Y424" s="5" t="str">
        <f>IFERROR(__xludf.DUMMYFUNCTION("""COMPUTED_VALUE"""),"Yes")</f>
        <v>Yes</v>
      </c>
      <c r="Z424" s="5" t="str">
        <f>IFERROR(__xludf.DUMMYFUNCTION("""COMPUTED_VALUE"""),"Yes")</f>
        <v>Yes</v>
      </c>
      <c r="AA424" s="5" t="str">
        <f>IFERROR(__xludf.DUMMYFUNCTION("""COMPUTED_VALUE"""),"Yes")</f>
        <v>Yes</v>
      </c>
      <c r="AB424" s="5" t="str">
        <f>IFERROR(__xludf.DUMMYFUNCTION("""COMPUTED_VALUE"""),"Yes")</f>
        <v>Yes</v>
      </c>
      <c r="AC424" s="5" t="str">
        <f>IFERROR(__xludf.DUMMYFUNCTION("""COMPUTED_VALUE"""),"No")</f>
        <v>No</v>
      </c>
    </row>
    <row r="425">
      <c r="A425" s="5" t="str">
        <f>IFERROR(__xludf.DUMMYFUNCTION("""COMPUTED_VALUE"""),"TopHot5")</f>
        <v>TopHot5</v>
      </c>
      <c r="B4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5" s="5" t="str">
        <f>IFERROR(__xludf.DUMMYFUNCTION("""COMPUTED_VALUE"""),"Yes")</f>
        <v>Yes</v>
      </c>
      <c r="D425" s="5" t="str">
        <f>IFERROR(__xludf.DUMMYFUNCTION("""COMPUTED_VALUE"""),"Yes")</f>
        <v>Yes</v>
      </c>
      <c r="E425" s="5" t="str">
        <f>IFERROR(__xludf.DUMMYFUNCTION("""COMPUTED_VALUE"""),"Yes")</f>
        <v>Yes</v>
      </c>
      <c r="F425" s="5" t="str">
        <f>IFERROR(__xludf.DUMMYFUNCTION("""COMPUTED_VALUE"""),"Yes")</f>
        <v>Yes</v>
      </c>
      <c r="G425" s="5" t="str">
        <f>IFERROR(__xludf.DUMMYFUNCTION("""COMPUTED_VALUE"""),"Yes")</f>
        <v>Yes</v>
      </c>
      <c r="H425" s="5" t="str">
        <f>IFERROR(__xludf.DUMMYFUNCTION("""COMPUTED_VALUE"""),"Yes")</f>
        <v>Yes</v>
      </c>
      <c r="I425" s="5" t="str">
        <f>IFERROR(__xludf.DUMMYFUNCTION("""COMPUTED_VALUE"""),"Yes")</f>
        <v>Yes</v>
      </c>
      <c r="J425" s="5" t="str">
        <f>IFERROR(__xludf.DUMMYFUNCTION("""COMPUTED_VALUE"""),"Yes")</f>
        <v>Yes</v>
      </c>
      <c r="K425" s="5" t="str">
        <f>IFERROR(__xludf.DUMMYFUNCTION("""COMPUTED_VALUE"""),"Yes")</f>
        <v>Yes</v>
      </c>
      <c r="L425" s="5" t="str">
        <f>IFERROR(__xludf.DUMMYFUNCTION("""COMPUTED_VALUE"""),"Yes")</f>
        <v>Yes</v>
      </c>
      <c r="M425" s="5" t="str">
        <f>IFERROR(__xludf.DUMMYFUNCTION("""COMPUTED_VALUE"""),"Yes")</f>
        <v>Yes</v>
      </c>
      <c r="N425" s="5" t="str">
        <f>IFERROR(__xludf.DUMMYFUNCTION("""COMPUTED_VALUE"""),"Yes")</f>
        <v>Yes</v>
      </c>
      <c r="O425" s="5" t="str">
        <f>IFERROR(__xludf.DUMMYFUNCTION("""COMPUTED_VALUE"""),"Yes")</f>
        <v>Yes</v>
      </c>
      <c r="P425" s="5" t="str">
        <f>IFERROR(__xludf.DUMMYFUNCTION("""COMPUTED_VALUE"""),"Yes")</f>
        <v>Yes</v>
      </c>
      <c r="Q425" s="5" t="str">
        <f>IFERROR(__xludf.DUMMYFUNCTION("""COMPUTED_VALUE"""),"Yes")</f>
        <v>Yes</v>
      </c>
      <c r="R425" s="5" t="str">
        <f>IFERROR(__xludf.DUMMYFUNCTION("""COMPUTED_VALUE"""),"Yes")</f>
        <v>Yes</v>
      </c>
      <c r="S425" s="5" t="str">
        <f>IFERROR(__xludf.DUMMYFUNCTION("""COMPUTED_VALUE"""),"Yes")</f>
        <v>Yes</v>
      </c>
      <c r="T425" s="5" t="str">
        <f>IFERROR(__xludf.DUMMYFUNCTION("""COMPUTED_VALUE"""),"Yes")</f>
        <v>Yes</v>
      </c>
      <c r="U425" s="5" t="str">
        <f>IFERROR(__xludf.DUMMYFUNCTION("""COMPUTED_VALUE"""),"Yes")</f>
        <v>Yes</v>
      </c>
      <c r="V425" s="5" t="str">
        <f>IFERROR(__xludf.DUMMYFUNCTION("""COMPUTED_VALUE"""),"Yes")</f>
        <v>Yes</v>
      </c>
      <c r="W425" s="5" t="str">
        <f>IFERROR(__xludf.DUMMYFUNCTION("""COMPUTED_VALUE"""),"Yes")</f>
        <v>Yes</v>
      </c>
      <c r="X425" s="5" t="str">
        <f>IFERROR(__xludf.DUMMYFUNCTION("""COMPUTED_VALUE"""),"Yes")</f>
        <v>Yes</v>
      </c>
      <c r="Y425" s="5" t="str">
        <f>IFERROR(__xludf.DUMMYFUNCTION("""COMPUTED_VALUE"""),"Yes")</f>
        <v>Yes</v>
      </c>
      <c r="Z425" s="5" t="str">
        <f>IFERROR(__xludf.DUMMYFUNCTION("""COMPUTED_VALUE"""),"Yes")</f>
        <v>Yes</v>
      </c>
      <c r="AA425" s="5" t="str">
        <f>IFERROR(__xludf.DUMMYFUNCTION("""COMPUTED_VALUE"""),"Yes")</f>
        <v>Yes</v>
      </c>
      <c r="AB425" s="5" t="str">
        <f>IFERROR(__xludf.DUMMYFUNCTION("""COMPUTED_VALUE"""),"Yes")</f>
        <v>Yes</v>
      </c>
      <c r="AC425" s="5" t="str">
        <f>IFERROR(__xludf.DUMMYFUNCTION("""COMPUTED_VALUE"""),"No")</f>
        <v>No</v>
      </c>
    </row>
    <row r="426">
      <c r="A426" s="5" t="str">
        <f>IFERROR(__xludf.DUMMYFUNCTION("""COMPUTED_VALUE"""),"UnicornBigSpinSevens")</f>
        <v>UnicornBigSpinSevens</v>
      </c>
      <c r="B426" s="5" t="str">
        <f>IFERROR(__xludf.DUMMYFUNCTION("""COMPUTED_VALUE"""),"English(""eng"")")</f>
        <v>English("eng")</v>
      </c>
      <c r="C426" s="5" t="str">
        <f>IFERROR(__xludf.DUMMYFUNCTION("""COMPUTED_VALUE"""),"Yes")</f>
        <v>Yes</v>
      </c>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row>
    <row r="427">
      <c r="A427" s="5" t="str">
        <f>IFERROR(__xludf.DUMMYFUNCTION("""COMPUTED_VALUE"""),"RedstoneHotRushFruitLines")</f>
        <v>RedstoneHotRushFruitLines</v>
      </c>
      <c r="B42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7" s="5" t="str">
        <f>IFERROR(__xludf.DUMMYFUNCTION("""COMPUTED_VALUE"""),"Yes")</f>
        <v>Yes</v>
      </c>
      <c r="D427" s="5" t="str">
        <f>IFERROR(__xludf.DUMMYFUNCTION("""COMPUTED_VALUE"""),"Yes")</f>
        <v>Yes</v>
      </c>
      <c r="E427" s="5" t="str">
        <f>IFERROR(__xludf.DUMMYFUNCTION("""COMPUTED_VALUE"""),"Yes")</f>
        <v>Yes</v>
      </c>
      <c r="F427" s="5" t="str">
        <f>IFERROR(__xludf.DUMMYFUNCTION("""COMPUTED_VALUE"""),"No")</f>
        <v>No</v>
      </c>
      <c r="G427" s="5" t="str">
        <f>IFERROR(__xludf.DUMMYFUNCTION("""COMPUTED_VALUE"""),"No")</f>
        <v>No</v>
      </c>
      <c r="H427" s="5" t="str">
        <f>IFERROR(__xludf.DUMMYFUNCTION("""COMPUTED_VALUE"""),"No")</f>
        <v>No</v>
      </c>
      <c r="I427" s="5" t="str">
        <f>IFERROR(__xludf.DUMMYFUNCTION("""COMPUTED_VALUE"""),"No")</f>
        <v>No</v>
      </c>
      <c r="J427" s="5" t="str">
        <f>IFERROR(__xludf.DUMMYFUNCTION("""COMPUTED_VALUE"""),"No")</f>
        <v>No</v>
      </c>
      <c r="K427" s="5" t="str">
        <f>IFERROR(__xludf.DUMMYFUNCTION("""COMPUTED_VALUE"""),"Yes")</f>
        <v>Yes</v>
      </c>
      <c r="L427" s="5" t="str">
        <f>IFERROR(__xludf.DUMMYFUNCTION("""COMPUTED_VALUE"""),"Yes")</f>
        <v>Yes</v>
      </c>
      <c r="M427" s="5" t="str">
        <f>IFERROR(__xludf.DUMMYFUNCTION("""COMPUTED_VALUE"""),"Yes")</f>
        <v>Yes</v>
      </c>
      <c r="N427" s="5" t="str">
        <f>IFERROR(__xludf.DUMMYFUNCTION("""COMPUTED_VALUE"""),"Yes")</f>
        <v>Yes</v>
      </c>
      <c r="O427" s="5" t="str">
        <f>IFERROR(__xludf.DUMMYFUNCTION("""COMPUTED_VALUE"""),"Yes")</f>
        <v>Yes</v>
      </c>
      <c r="P427" s="5" t="str">
        <f>IFERROR(__xludf.DUMMYFUNCTION("""COMPUTED_VALUE"""),"No")</f>
        <v>No</v>
      </c>
      <c r="Q427" s="5" t="str">
        <f>IFERROR(__xludf.DUMMYFUNCTION("""COMPUTED_VALUE"""),"Yes")</f>
        <v>Yes</v>
      </c>
      <c r="R427" s="5" t="str">
        <f>IFERROR(__xludf.DUMMYFUNCTION("""COMPUTED_VALUE"""),"No")</f>
        <v>No</v>
      </c>
      <c r="S427" s="5" t="str">
        <f>IFERROR(__xludf.DUMMYFUNCTION("""COMPUTED_VALUE"""),"No")</f>
        <v>No</v>
      </c>
      <c r="T427" s="5" t="str">
        <f>IFERROR(__xludf.DUMMYFUNCTION("""COMPUTED_VALUE"""),"No")</f>
        <v>No</v>
      </c>
      <c r="U427" s="5" t="str">
        <f>IFERROR(__xludf.DUMMYFUNCTION("""COMPUTED_VALUE"""),"No")</f>
        <v>No</v>
      </c>
      <c r="V427" s="5"/>
      <c r="W427" s="5"/>
      <c r="X427" s="5" t="str">
        <f>IFERROR(__xludf.DUMMYFUNCTION("""COMPUTED_VALUE"""),"Yes")</f>
        <v>Yes</v>
      </c>
      <c r="Y427" s="5"/>
      <c r="Z427" s="5" t="str">
        <f>IFERROR(__xludf.DUMMYFUNCTION("""COMPUTED_VALUE"""),"No")</f>
        <v>No</v>
      </c>
      <c r="AA427" s="5"/>
      <c r="AB427" s="5" t="str">
        <f>IFERROR(__xludf.DUMMYFUNCTION("""COMPUTED_VALUE"""),"Yes")</f>
        <v>Yes</v>
      </c>
      <c r="AC427" s="5" t="str">
        <f>IFERROR(__xludf.DUMMYFUNCTION("""COMPUTED_VALUE"""),"Yes")</f>
        <v>Yes</v>
      </c>
    </row>
    <row r="428">
      <c r="A428" s="5" t="str">
        <f>IFERROR(__xludf.DUMMYFUNCTION("""COMPUTED_VALUE"""),"HinamisForestOfMagic")</f>
        <v>HinamisForestOfMagic</v>
      </c>
      <c r="B42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28" s="5" t="str">
        <f>IFERROR(__xludf.DUMMYFUNCTION("""COMPUTED_VALUE"""),"Yes")</f>
        <v>Yes</v>
      </c>
      <c r="D428" s="5" t="str">
        <f>IFERROR(__xludf.DUMMYFUNCTION("""COMPUTED_VALUE"""),"Yes")</f>
        <v>Yes</v>
      </c>
      <c r="E428" s="5" t="str">
        <f>IFERROR(__xludf.DUMMYFUNCTION("""COMPUTED_VALUE"""),"No")</f>
        <v>No</v>
      </c>
      <c r="F428" s="5" t="str">
        <f>IFERROR(__xludf.DUMMYFUNCTION("""COMPUTED_VALUE"""),"Yes")</f>
        <v>Yes</v>
      </c>
      <c r="G428" s="5" t="str">
        <f>IFERROR(__xludf.DUMMYFUNCTION("""COMPUTED_VALUE"""),"Yes")</f>
        <v>Yes</v>
      </c>
      <c r="H428" s="5" t="str">
        <f>IFERROR(__xludf.DUMMYFUNCTION("""COMPUTED_VALUE"""),"Yes")</f>
        <v>Yes</v>
      </c>
      <c r="I428" s="5" t="str">
        <f>IFERROR(__xludf.DUMMYFUNCTION("""COMPUTED_VALUE"""),"Yes")</f>
        <v>Yes</v>
      </c>
      <c r="J428" s="5" t="str">
        <f>IFERROR(__xludf.DUMMYFUNCTION("""COMPUTED_VALUE"""),"Yes")</f>
        <v>Yes</v>
      </c>
      <c r="K428" s="5" t="str">
        <f>IFERROR(__xludf.DUMMYFUNCTION("""COMPUTED_VALUE"""),"Yes")</f>
        <v>Yes</v>
      </c>
      <c r="L428" s="5" t="str">
        <f>IFERROR(__xludf.DUMMYFUNCTION("""COMPUTED_VALUE"""),"Yes")</f>
        <v>Yes</v>
      </c>
      <c r="M428" s="5" t="str">
        <f>IFERROR(__xludf.DUMMYFUNCTION("""COMPUTED_VALUE"""),"Yes")</f>
        <v>Yes</v>
      </c>
      <c r="N428" s="5" t="str">
        <f>IFERROR(__xludf.DUMMYFUNCTION("""COMPUTED_VALUE"""),"Yes")</f>
        <v>Yes</v>
      </c>
      <c r="O428" s="5" t="str">
        <f>IFERROR(__xludf.DUMMYFUNCTION("""COMPUTED_VALUE"""),"Yes")</f>
        <v>Yes</v>
      </c>
      <c r="P428" s="5" t="str">
        <f>IFERROR(__xludf.DUMMYFUNCTION("""COMPUTED_VALUE"""),"Yes")</f>
        <v>Yes</v>
      </c>
      <c r="Q428" s="5" t="str">
        <f>IFERROR(__xludf.DUMMYFUNCTION("""COMPUTED_VALUE"""),"Yes")</f>
        <v>Yes</v>
      </c>
      <c r="R428" s="5" t="str">
        <f>IFERROR(__xludf.DUMMYFUNCTION("""COMPUTED_VALUE"""),"No")</f>
        <v>No</v>
      </c>
      <c r="S428" s="5" t="str">
        <f>IFERROR(__xludf.DUMMYFUNCTION("""COMPUTED_VALUE"""),"No")</f>
        <v>No</v>
      </c>
      <c r="T428" s="5" t="str">
        <f>IFERROR(__xludf.DUMMYFUNCTION("""COMPUTED_VALUE"""),"No")</f>
        <v>No</v>
      </c>
      <c r="U428" s="5" t="str">
        <f>IFERROR(__xludf.DUMMYFUNCTION("""COMPUTED_VALUE"""),"No")</f>
        <v>No</v>
      </c>
      <c r="V428" s="5" t="str">
        <f>IFERROR(__xludf.DUMMYFUNCTION("""COMPUTED_VALUE"""),"No")</f>
        <v>No</v>
      </c>
      <c r="W428" s="5" t="str">
        <f>IFERROR(__xludf.DUMMYFUNCTION("""COMPUTED_VALUE"""),"No")</f>
        <v>No</v>
      </c>
      <c r="X428" s="5" t="str">
        <f>IFERROR(__xludf.DUMMYFUNCTION("""COMPUTED_VALUE"""),"No")</f>
        <v>No</v>
      </c>
      <c r="Y428" s="5" t="str">
        <f>IFERROR(__xludf.DUMMYFUNCTION("""COMPUTED_VALUE"""),"No")</f>
        <v>No</v>
      </c>
      <c r="Z428" s="5" t="str">
        <f>IFERROR(__xludf.DUMMYFUNCTION("""COMPUTED_VALUE"""),"No")</f>
        <v>No</v>
      </c>
      <c r="AA428" s="5" t="str">
        <f>IFERROR(__xludf.DUMMYFUNCTION("""COMPUTED_VALUE"""),"No")</f>
        <v>No</v>
      </c>
      <c r="AB428" s="5" t="str">
        <f>IFERROR(__xludf.DUMMYFUNCTION("""COMPUTED_VALUE"""),"Yes")</f>
        <v>Yes</v>
      </c>
      <c r="AC428" s="5" t="str">
        <f>IFERROR(__xludf.DUMMYFUNCTION("""COMPUTED_VALUE"""),"No")</f>
        <v>No</v>
      </c>
    </row>
    <row r="429">
      <c r="A429" s="5" t="str">
        <f>IFERROR(__xludf.DUMMYFUNCTION("""COMPUTED_VALUE"""),"RunningMice")</f>
        <v>RunningMice</v>
      </c>
      <c r="B429" s="5" t="str">
        <f>IFERROR(__xludf.DUMMYFUNCTION("""COMPUTED_VALUE"""),"English(""eng""), Serbian(""""srp"",""srb""""), Montenegrian(""mne""), Croatian(""hrv""), French(""fre/fra""), German(""ger/deu""), Dutch(""dut/nld""), Turkish(""tur""), Russian(""rus"")")</f>
        <v>English("eng"), Serbian(""srp","srb""), Montenegrian("mne"), Croatian("hrv"), French("fre/fra"), German("ger/deu"), Dutch("dut/nld"), Turkish("tur"), Russian("rus")</v>
      </c>
      <c r="C429" s="5" t="str">
        <f>IFERROR(__xludf.DUMMYFUNCTION("""COMPUTED_VALUE"""),"Yes")</f>
        <v>Yes</v>
      </c>
      <c r="D429" s="5" t="str">
        <f>IFERROR(__xludf.DUMMYFUNCTION("""COMPUTED_VALUE"""),"Yes")</f>
        <v>Yes</v>
      </c>
      <c r="E429" s="5" t="str">
        <f>IFERROR(__xludf.DUMMYFUNCTION("""COMPUTED_VALUE"""),"Yes")</f>
        <v>Yes</v>
      </c>
      <c r="F429" s="5" t="str">
        <f>IFERROR(__xludf.DUMMYFUNCTION("""COMPUTED_VALUE"""),"No")</f>
        <v>No</v>
      </c>
      <c r="G429" s="5" t="str">
        <f>IFERROR(__xludf.DUMMYFUNCTION("""COMPUTED_VALUE"""),"No")</f>
        <v>No</v>
      </c>
      <c r="H429" s="5" t="str">
        <f>IFERROR(__xludf.DUMMYFUNCTION("""COMPUTED_VALUE"""),"No")</f>
        <v>No</v>
      </c>
      <c r="I429" s="5" t="str">
        <f>IFERROR(__xludf.DUMMYFUNCTION("""COMPUTED_VALUE"""),"No")</f>
        <v>No</v>
      </c>
      <c r="J429" s="5" t="str">
        <f>IFERROR(__xludf.DUMMYFUNCTION("""COMPUTED_VALUE"""),"No")</f>
        <v>No</v>
      </c>
      <c r="K429" s="5" t="str">
        <f>IFERROR(__xludf.DUMMYFUNCTION("""COMPUTED_VALUE"""),"Yes")</f>
        <v>Yes</v>
      </c>
      <c r="L429" s="5" t="str">
        <f>IFERROR(__xludf.DUMMYFUNCTION("""COMPUTED_VALUE"""),"Yes")</f>
        <v>Yes</v>
      </c>
      <c r="M429" s="5" t="str">
        <f>IFERROR(__xludf.DUMMYFUNCTION("""COMPUTED_VALUE"""),"Yes")</f>
        <v>Yes</v>
      </c>
      <c r="N429" s="5" t="str">
        <f>IFERROR(__xludf.DUMMYFUNCTION("""COMPUTED_VALUE"""),"Yes")</f>
        <v>Yes</v>
      </c>
      <c r="O429" s="5" t="str">
        <f>IFERROR(__xludf.DUMMYFUNCTION("""COMPUTED_VALUE"""),"Yes")</f>
        <v>Yes</v>
      </c>
      <c r="P429" s="5" t="str">
        <f>IFERROR(__xludf.DUMMYFUNCTION("""COMPUTED_VALUE"""),"No")</f>
        <v>No</v>
      </c>
      <c r="Q429" s="5" t="str">
        <f>IFERROR(__xludf.DUMMYFUNCTION("""COMPUTED_VALUE"""),"Yes")</f>
        <v>Yes</v>
      </c>
      <c r="R429" s="5" t="str">
        <f>IFERROR(__xludf.DUMMYFUNCTION("""COMPUTED_VALUE"""),"No")</f>
        <v>No</v>
      </c>
      <c r="S429" s="5" t="str">
        <f>IFERROR(__xludf.DUMMYFUNCTION("""COMPUTED_VALUE"""),"No")</f>
        <v>No</v>
      </c>
      <c r="T429" s="5" t="str">
        <f>IFERROR(__xludf.DUMMYFUNCTION("""COMPUTED_VALUE"""),"No")</f>
        <v>No</v>
      </c>
      <c r="U429" s="5" t="str">
        <f>IFERROR(__xludf.DUMMYFUNCTION("""COMPUTED_VALUE"""),"No")</f>
        <v>No</v>
      </c>
      <c r="V429" s="5"/>
      <c r="W429" s="5"/>
      <c r="X429" s="5"/>
      <c r="Y429" s="5"/>
      <c r="Z429" s="5" t="str">
        <f>IFERROR(__xludf.DUMMYFUNCTION("""COMPUTED_VALUE"""),"No")</f>
        <v>No</v>
      </c>
      <c r="AA429" s="5"/>
      <c r="AB429" s="5"/>
      <c r="AC429" s="5"/>
    </row>
    <row r="430">
      <c r="A430" s="5" t="str">
        <f>IFERROR(__xludf.DUMMYFUNCTION("""COMPUTED_VALUE"""),"Wild5")</f>
        <v>Wild5</v>
      </c>
      <c r="B4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0" s="5" t="str">
        <f>IFERROR(__xludf.DUMMYFUNCTION("""COMPUTED_VALUE"""),"Yes")</f>
        <v>Yes</v>
      </c>
      <c r="D430" s="5" t="str">
        <f>IFERROR(__xludf.DUMMYFUNCTION("""COMPUTED_VALUE"""),"Yes")</f>
        <v>Yes</v>
      </c>
      <c r="E430" s="5" t="str">
        <f>IFERROR(__xludf.DUMMYFUNCTION("""COMPUTED_VALUE"""),"Yes")</f>
        <v>Yes</v>
      </c>
      <c r="F430" s="5" t="str">
        <f>IFERROR(__xludf.DUMMYFUNCTION("""COMPUTED_VALUE"""),"Yes")</f>
        <v>Yes</v>
      </c>
      <c r="G430" s="5" t="str">
        <f>IFERROR(__xludf.DUMMYFUNCTION("""COMPUTED_VALUE"""),"Yes")</f>
        <v>Yes</v>
      </c>
      <c r="H430" s="5" t="str">
        <f>IFERROR(__xludf.DUMMYFUNCTION("""COMPUTED_VALUE"""),"Yes")</f>
        <v>Yes</v>
      </c>
      <c r="I430" s="5" t="str">
        <f>IFERROR(__xludf.DUMMYFUNCTION("""COMPUTED_VALUE"""),"Yes")</f>
        <v>Yes</v>
      </c>
      <c r="J430" s="5" t="str">
        <f>IFERROR(__xludf.DUMMYFUNCTION("""COMPUTED_VALUE"""),"Yes")</f>
        <v>Yes</v>
      </c>
      <c r="K430" s="5" t="str">
        <f>IFERROR(__xludf.DUMMYFUNCTION("""COMPUTED_VALUE"""),"Yes")</f>
        <v>Yes</v>
      </c>
      <c r="L430" s="5" t="str">
        <f>IFERROR(__xludf.DUMMYFUNCTION("""COMPUTED_VALUE"""),"Yes")</f>
        <v>Yes</v>
      </c>
      <c r="M430" s="5" t="str">
        <f>IFERROR(__xludf.DUMMYFUNCTION("""COMPUTED_VALUE"""),"Yes")</f>
        <v>Yes</v>
      </c>
      <c r="N430" s="5" t="str">
        <f>IFERROR(__xludf.DUMMYFUNCTION("""COMPUTED_VALUE"""),"Yes")</f>
        <v>Yes</v>
      </c>
      <c r="O430" s="5" t="str">
        <f>IFERROR(__xludf.DUMMYFUNCTION("""COMPUTED_VALUE"""),"Yes")</f>
        <v>Yes</v>
      </c>
      <c r="P430" s="5" t="str">
        <f>IFERROR(__xludf.DUMMYFUNCTION("""COMPUTED_VALUE"""),"Yes")</f>
        <v>Yes</v>
      </c>
      <c r="Q430" s="5" t="str">
        <f>IFERROR(__xludf.DUMMYFUNCTION("""COMPUTED_VALUE"""),"Yes")</f>
        <v>Yes</v>
      </c>
      <c r="R430" s="5" t="str">
        <f>IFERROR(__xludf.DUMMYFUNCTION("""COMPUTED_VALUE"""),"Yes")</f>
        <v>Yes</v>
      </c>
      <c r="S430" s="5" t="str">
        <f>IFERROR(__xludf.DUMMYFUNCTION("""COMPUTED_VALUE"""),"Yes")</f>
        <v>Yes</v>
      </c>
      <c r="T430" s="5" t="str">
        <f>IFERROR(__xludf.DUMMYFUNCTION("""COMPUTED_VALUE"""),"Yes")</f>
        <v>Yes</v>
      </c>
      <c r="U430" s="5" t="str">
        <f>IFERROR(__xludf.DUMMYFUNCTION("""COMPUTED_VALUE"""),"Yes")</f>
        <v>Yes</v>
      </c>
      <c r="V430" s="5" t="str">
        <f>IFERROR(__xludf.DUMMYFUNCTION("""COMPUTED_VALUE"""),"Yes")</f>
        <v>Yes</v>
      </c>
      <c r="W430" s="5" t="str">
        <f>IFERROR(__xludf.DUMMYFUNCTION("""COMPUTED_VALUE"""),"Yes")</f>
        <v>Yes</v>
      </c>
      <c r="X430" s="5" t="str">
        <f>IFERROR(__xludf.DUMMYFUNCTION("""COMPUTED_VALUE"""),"Yes")</f>
        <v>Yes</v>
      </c>
      <c r="Y430" s="5" t="str">
        <f>IFERROR(__xludf.DUMMYFUNCTION("""COMPUTED_VALUE"""),"Yes")</f>
        <v>Yes</v>
      </c>
      <c r="Z430" s="5" t="str">
        <f>IFERROR(__xludf.DUMMYFUNCTION("""COMPUTED_VALUE"""),"Yes")</f>
        <v>Yes</v>
      </c>
      <c r="AA430" s="5" t="str">
        <f>IFERROR(__xludf.DUMMYFUNCTION("""COMPUTED_VALUE"""),"Yes")</f>
        <v>Yes</v>
      </c>
      <c r="AB430" s="5" t="str">
        <f>IFERROR(__xludf.DUMMYFUNCTION("""COMPUTED_VALUE"""),"Yes")</f>
        <v>Yes</v>
      </c>
      <c r="AC430" s="5" t="str">
        <f>IFERROR(__xludf.DUMMYFUNCTION("""COMPUTED_VALUE"""),"No")</f>
        <v>No</v>
      </c>
    </row>
    <row r="431">
      <c r="A431" s="5" t="str">
        <f>IFERROR(__xludf.DUMMYFUNCTION("""COMPUTED_VALUE"""),"BrilliantHeart")</f>
        <v>BrilliantHeart</v>
      </c>
      <c r="B43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1" s="5" t="str">
        <f>IFERROR(__xludf.DUMMYFUNCTION("""COMPUTED_VALUE"""),"Yes")</f>
        <v>Yes</v>
      </c>
      <c r="D431" s="5" t="str">
        <f>IFERROR(__xludf.DUMMYFUNCTION("""COMPUTED_VALUE"""),"Yes")</f>
        <v>Yes</v>
      </c>
      <c r="E431" s="5" t="str">
        <f>IFERROR(__xludf.DUMMYFUNCTION("""COMPUTED_VALUE"""),"Yes")</f>
        <v>Yes</v>
      </c>
      <c r="F431" s="5" t="str">
        <f>IFERROR(__xludf.DUMMYFUNCTION("""COMPUTED_VALUE"""),"Yes")</f>
        <v>Yes</v>
      </c>
      <c r="G431" s="5" t="str">
        <f>IFERROR(__xludf.DUMMYFUNCTION("""COMPUTED_VALUE"""),"Yes")</f>
        <v>Yes</v>
      </c>
      <c r="H431" s="5" t="str">
        <f>IFERROR(__xludf.DUMMYFUNCTION("""COMPUTED_VALUE"""),"Yes")</f>
        <v>Yes</v>
      </c>
      <c r="I431" s="5" t="str">
        <f>IFERROR(__xludf.DUMMYFUNCTION("""COMPUTED_VALUE"""),"Yes")</f>
        <v>Yes</v>
      </c>
      <c r="J431" s="5" t="str">
        <f>IFERROR(__xludf.DUMMYFUNCTION("""COMPUTED_VALUE"""),"Yes")</f>
        <v>Yes</v>
      </c>
      <c r="K431" s="5" t="str">
        <f>IFERROR(__xludf.DUMMYFUNCTION("""COMPUTED_VALUE"""),"Yes")</f>
        <v>Yes</v>
      </c>
      <c r="L431" s="5" t="str">
        <f>IFERROR(__xludf.DUMMYFUNCTION("""COMPUTED_VALUE"""),"Yes")</f>
        <v>Yes</v>
      </c>
      <c r="M431" s="5" t="str">
        <f>IFERROR(__xludf.DUMMYFUNCTION("""COMPUTED_VALUE"""),"Yes")</f>
        <v>Yes</v>
      </c>
      <c r="N431" s="5" t="str">
        <f>IFERROR(__xludf.DUMMYFUNCTION("""COMPUTED_VALUE"""),"Yes")</f>
        <v>Yes</v>
      </c>
      <c r="O431" s="5" t="str">
        <f>IFERROR(__xludf.DUMMYFUNCTION("""COMPUTED_VALUE"""),"Yes")</f>
        <v>Yes</v>
      </c>
      <c r="P431" s="5" t="str">
        <f>IFERROR(__xludf.DUMMYFUNCTION("""COMPUTED_VALUE"""),"Yes")</f>
        <v>Yes</v>
      </c>
      <c r="Q431" s="5" t="str">
        <f>IFERROR(__xludf.DUMMYFUNCTION("""COMPUTED_VALUE"""),"Yes")</f>
        <v>Yes</v>
      </c>
      <c r="R431" s="5" t="str">
        <f>IFERROR(__xludf.DUMMYFUNCTION("""COMPUTED_VALUE"""),"Yes")</f>
        <v>Yes</v>
      </c>
      <c r="S431" s="5" t="str">
        <f>IFERROR(__xludf.DUMMYFUNCTION("""COMPUTED_VALUE"""),"Yes")</f>
        <v>Yes</v>
      </c>
      <c r="T431" s="5" t="str">
        <f>IFERROR(__xludf.DUMMYFUNCTION("""COMPUTED_VALUE"""),"Yes")</f>
        <v>Yes</v>
      </c>
      <c r="U431" s="5" t="str">
        <f>IFERROR(__xludf.DUMMYFUNCTION("""COMPUTED_VALUE"""),"Yes")</f>
        <v>Yes</v>
      </c>
      <c r="V431" s="5" t="str">
        <f>IFERROR(__xludf.DUMMYFUNCTION("""COMPUTED_VALUE"""),"Yes")</f>
        <v>Yes</v>
      </c>
      <c r="W431" s="5" t="str">
        <f>IFERROR(__xludf.DUMMYFUNCTION("""COMPUTED_VALUE"""),"Yes")</f>
        <v>Yes</v>
      </c>
      <c r="X431" s="5" t="str">
        <f>IFERROR(__xludf.DUMMYFUNCTION("""COMPUTED_VALUE"""),"Yes")</f>
        <v>Yes</v>
      </c>
      <c r="Y431" s="5" t="str">
        <f>IFERROR(__xludf.DUMMYFUNCTION("""COMPUTED_VALUE"""),"Yes")</f>
        <v>Yes</v>
      </c>
      <c r="Z431" s="5" t="str">
        <f>IFERROR(__xludf.DUMMYFUNCTION("""COMPUTED_VALUE"""),"Yes")</f>
        <v>Yes</v>
      </c>
      <c r="AA431" s="5" t="str">
        <f>IFERROR(__xludf.DUMMYFUNCTION("""COMPUTED_VALUE"""),"Yes")</f>
        <v>Yes</v>
      </c>
      <c r="AB431" s="5" t="str">
        <f>IFERROR(__xludf.DUMMYFUNCTION("""COMPUTED_VALUE"""),"Yes")</f>
        <v>Yes</v>
      </c>
      <c r="AC431" s="5" t="str">
        <f>IFERROR(__xludf.DUMMYFUNCTION("""COMPUTED_VALUE"""),"No")</f>
        <v>No</v>
      </c>
    </row>
    <row r="432">
      <c r="A432" s="5" t="str">
        <f>IFERROR(__xludf.DUMMYFUNCTION("""COMPUTED_VALUE"""),"PlayNetCrownStacks40")</f>
        <v>PlayNetCrownStacks40</v>
      </c>
      <c r="B432" s="5" t="str">
        <f>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C432" s="5" t="str">
        <f>IFERROR(__xludf.DUMMYFUNCTION("""COMPUTED_VALUE"""),"Yes")</f>
        <v>Yes</v>
      </c>
      <c r="D432" s="5" t="str">
        <f>IFERROR(__xludf.DUMMYFUNCTION("""COMPUTED_VALUE"""),"Yes")</f>
        <v>Yes</v>
      </c>
      <c r="E432" s="5" t="str">
        <f>IFERROR(__xludf.DUMMYFUNCTION("""COMPUTED_VALUE"""),"Yes")</f>
        <v>Yes</v>
      </c>
      <c r="F432" s="5" t="str">
        <f>IFERROR(__xludf.DUMMYFUNCTION("""COMPUTED_VALUE"""),"Yes")</f>
        <v>Yes</v>
      </c>
      <c r="G432" s="5" t="str">
        <f>IFERROR(__xludf.DUMMYFUNCTION("""COMPUTED_VALUE"""),"Yes")</f>
        <v>Yes</v>
      </c>
      <c r="H432" s="5" t="str">
        <f>IFERROR(__xludf.DUMMYFUNCTION("""COMPUTED_VALUE"""),"Yes")</f>
        <v>Yes</v>
      </c>
      <c r="I432" s="5" t="str">
        <f>IFERROR(__xludf.DUMMYFUNCTION("""COMPUTED_VALUE"""),"Yes")</f>
        <v>Yes</v>
      </c>
      <c r="J432" s="5" t="str">
        <f>IFERROR(__xludf.DUMMYFUNCTION("""COMPUTED_VALUE"""),"Yes")</f>
        <v>Yes</v>
      </c>
      <c r="K432" s="5" t="str">
        <f>IFERROR(__xludf.DUMMYFUNCTION("""COMPUTED_VALUE"""),"Yes")</f>
        <v>Yes</v>
      </c>
      <c r="L432" s="5" t="str">
        <f>IFERROR(__xludf.DUMMYFUNCTION("""COMPUTED_VALUE"""),"Yes")</f>
        <v>Yes</v>
      </c>
      <c r="M432" s="5" t="str">
        <f>IFERROR(__xludf.DUMMYFUNCTION("""COMPUTED_VALUE"""),"Yes")</f>
        <v>Yes</v>
      </c>
      <c r="N432" s="5" t="str">
        <f>IFERROR(__xludf.DUMMYFUNCTION("""COMPUTED_VALUE"""),"Yes")</f>
        <v>Yes</v>
      </c>
      <c r="O432" s="5" t="str">
        <f>IFERROR(__xludf.DUMMYFUNCTION("""COMPUTED_VALUE"""),"Yes")</f>
        <v>Yes</v>
      </c>
      <c r="P432" s="5" t="str">
        <f>IFERROR(__xludf.DUMMYFUNCTION("""COMPUTED_VALUE"""),"No")</f>
        <v>No</v>
      </c>
      <c r="Q432" s="5" t="str">
        <f>IFERROR(__xludf.DUMMYFUNCTION("""COMPUTED_VALUE"""),"Yes")</f>
        <v>Yes</v>
      </c>
      <c r="R432" s="5" t="str">
        <f>IFERROR(__xludf.DUMMYFUNCTION("""COMPUTED_VALUE"""),"No")</f>
        <v>No</v>
      </c>
      <c r="S432" s="5" t="str">
        <f>IFERROR(__xludf.DUMMYFUNCTION("""COMPUTED_VALUE"""),"No")</f>
        <v>No</v>
      </c>
      <c r="T432" s="5" t="str">
        <f>IFERROR(__xludf.DUMMYFUNCTION("""COMPUTED_VALUE"""),"No")</f>
        <v>No</v>
      </c>
      <c r="U432" s="5" t="str">
        <f>IFERROR(__xludf.DUMMYFUNCTION("""COMPUTED_VALUE"""),"No")</f>
        <v>No</v>
      </c>
      <c r="V432" s="5"/>
      <c r="W432" s="5"/>
      <c r="X432" s="5" t="str">
        <f>IFERROR(__xludf.DUMMYFUNCTION("""COMPUTED_VALUE"""),"No")</f>
        <v>No</v>
      </c>
      <c r="Y432" s="5"/>
      <c r="Z432" s="5" t="str">
        <f>IFERROR(__xludf.DUMMYFUNCTION("""COMPUTED_VALUE"""),"No")</f>
        <v>No</v>
      </c>
      <c r="AA432" s="5"/>
      <c r="AB432" s="5" t="str">
        <f>IFERROR(__xludf.DUMMYFUNCTION("""COMPUTED_VALUE"""),"Yes")</f>
        <v>Yes</v>
      </c>
      <c r="AC432" s="5"/>
    </row>
    <row r="433">
      <c r="A433" s="5" t="str">
        <f>IFERROR(__xludf.DUMMYFUNCTION("""COMPUTED_VALUE"""),"PlayNetWildSpread40")</f>
        <v>PlayNetWildSpread40</v>
      </c>
      <c r="B433" s="5" t="str">
        <f>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C433" s="5" t="str">
        <f>IFERROR(__xludf.DUMMYFUNCTION("""COMPUTED_VALUE"""),"Yes")</f>
        <v>Yes</v>
      </c>
      <c r="D433" s="5" t="str">
        <f>IFERROR(__xludf.DUMMYFUNCTION("""COMPUTED_VALUE"""),"Yes")</f>
        <v>Yes</v>
      </c>
      <c r="E433" s="5" t="str">
        <f>IFERROR(__xludf.DUMMYFUNCTION("""COMPUTED_VALUE"""),"Yes")</f>
        <v>Yes</v>
      </c>
      <c r="F433" s="5" t="str">
        <f>IFERROR(__xludf.DUMMYFUNCTION("""COMPUTED_VALUE"""),"Yes")</f>
        <v>Yes</v>
      </c>
      <c r="G433" s="5" t="str">
        <f>IFERROR(__xludf.DUMMYFUNCTION("""COMPUTED_VALUE"""),"Yes")</f>
        <v>Yes</v>
      </c>
      <c r="H433" s="5" t="str">
        <f>IFERROR(__xludf.DUMMYFUNCTION("""COMPUTED_VALUE"""),"Yes")</f>
        <v>Yes</v>
      </c>
      <c r="I433" s="5" t="str">
        <f>IFERROR(__xludf.DUMMYFUNCTION("""COMPUTED_VALUE"""),"Yes")</f>
        <v>Yes</v>
      </c>
      <c r="J433" s="5" t="str">
        <f>IFERROR(__xludf.DUMMYFUNCTION("""COMPUTED_VALUE"""),"Yes")</f>
        <v>Yes</v>
      </c>
      <c r="K433" s="5" t="str">
        <f>IFERROR(__xludf.DUMMYFUNCTION("""COMPUTED_VALUE"""),"Yes")</f>
        <v>Yes</v>
      </c>
      <c r="L433" s="5" t="str">
        <f>IFERROR(__xludf.DUMMYFUNCTION("""COMPUTED_VALUE"""),"Yes")</f>
        <v>Yes</v>
      </c>
      <c r="M433" s="5" t="str">
        <f>IFERROR(__xludf.DUMMYFUNCTION("""COMPUTED_VALUE"""),"Yes")</f>
        <v>Yes</v>
      </c>
      <c r="N433" s="5" t="str">
        <f>IFERROR(__xludf.DUMMYFUNCTION("""COMPUTED_VALUE"""),"Yes")</f>
        <v>Yes</v>
      </c>
      <c r="O433" s="5" t="str">
        <f>IFERROR(__xludf.DUMMYFUNCTION("""COMPUTED_VALUE"""),"Yes")</f>
        <v>Yes</v>
      </c>
      <c r="P433" s="5" t="str">
        <f>IFERROR(__xludf.DUMMYFUNCTION("""COMPUTED_VALUE"""),"Yes")</f>
        <v>Yes</v>
      </c>
      <c r="Q433" s="5" t="str">
        <f>IFERROR(__xludf.DUMMYFUNCTION("""COMPUTED_VALUE"""),"Yes")</f>
        <v>Yes</v>
      </c>
      <c r="R433" s="5" t="str">
        <f>IFERROR(__xludf.DUMMYFUNCTION("""COMPUTED_VALUE"""),"No")</f>
        <v>No</v>
      </c>
      <c r="S433" s="5" t="str">
        <f>IFERROR(__xludf.DUMMYFUNCTION("""COMPUTED_VALUE"""),"No")</f>
        <v>No</v>
      </c>
      <c r="T433" s="5" t="str">
        <f>IFERROR(__xludf.DUMMYFUNCTION("""COMPUTED_VALUE"""),"No")</f>
        <v>No</v>
      </c>
      <c r="U433" s="5" t="str">
        <f>IFERROR(__xludf.DUMMYFUNCTION("""COMPUTED_VALUE"""),"No")</f>
        <v>No</v>
      </c>
      <c r="V433" s="5"/>
      <c r="W433" s="5" t="str">
        <f>IFERROR(__xludf.DUMMYFUNCTION("""COMPUTED_VALUE"""),"Yes")</f>
        <v>Yes</v>
      </c>
      <c r="X433" s="5"/>
      <c r="Y433" s="5"/>
      <c r="Z433" s="5" t="str">
        <f>IFERROR(__xludf.DUMMYFUNCTION("""COMPUTED_VALUE"""),"No")</f>
        <v>No</v>
      </c>
      <c r="AA433" s="5"/>
      <c r="AB433" s="5" t="str">
        <f>IFERROR(__xludf.DUMMYFUNCTION("""COMPUTED_VALUE"""),"No")</f>
        <v>No</v>
      </c>
      <c r="AC433" s="5"/>
    </row>
    <row r="434">
      <c r="A434" s="5" t="str">
        <f>IFERROR(__xludf.DUMMYFUNCTION("""COMPUTED_VALUE"""),"PlayNetCrownSpread40")</f>
        <v>PlayNetCrownSpread40</v>
      </c>
      <c r="B434" s="5" t="str">
        <f>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C434" s="5" t="str">
        <f>IFERROR(__xludf.DUMMYFUNCTION("""COMPUTED_VALUE"""),"Yes")</f>
        <v>Yes</v>
      </c>
      <c r="D434" s="5" t="str">
        <f>IFERROR(__xludf.DUMMYFUNCTION("""COMPUTED_VALUE"""),"Yes")</f>
        <v>Yes</v>
      </c>
      <c r="E434" s="5" t="str">
        <f>IFERROR(__xludf.DUMMYFUNCTION("""COMPUTED_VALUE"""),"Yes")</f>
        <v>Yes</v>
      </c>
      <c r="F434" s="5" t="str">
        <f>IFERROR(__xludf.DUMMYFUNCTION("""COMPUTED_VALUE"""),"Yes")</f>
        <v>Yes</v>
      </c>
      <c r="G434" s="5" t="str">
        <f>IFERROR(__xludf.DUMMYFUNCTION("""COMPUTED_VALUE"""),"Yes")</f>
        <v>Yes</v>
      </c>
      <c r="H434" s="5" t="str">
        <f>IFERROR(__xludf.DUMMYFUNCTION("""COMPUTED_VALUE"""),"Yes")</f>
        <v>Yes</v>
      </c>
      <c r="I434" s="5" t="str">
        <f>IFERROR(__xludf.DUMMYFUNCTION("""COMPUTED_VALUE"""),"Yes")</f>
        <v>Yes</v>
      </c>
      <c r="J434" s="5" t="str">
        <f>IFERROR(__xludf.DUMMYFUNCTION("""COMPUTED_VALUE"""),"Yes")</f>
        <v>Yes</v>
      </c>
      <c r="K434" s="5" t="str">
        <f>IFERROR(__xludf.DUMMYFUNCTION("""COMPUTED_VALUE"""),"Yes")</f>
        <v>Yes</v>
      </c>
      <c r="L434" s="5" t="str">
        <f>IFERROR(__xludf.DUMMYFUNCTION("""COMPUTED_VALUE"""),"Yes")</f>
        <v>Yes</v>
      </c>
      <c r="M434" s="5" t="str">
        <f>IFERROR(__xludf.DUMMYFUNCTION("""COMPUTED_VALUE"""),"Yes")</f>
        <v>Yes</v>
      </c>
      <c r="N434" s="5" t="str">
        <f>IFERROR(__xludf.DUMMYFUNCTION("""COMPUTED_VALUE"""),"Yes")</f>
        <v>Yes</v>
      </c>
      <c r="O434" s="5" t="str">
        <f>IFERROR(__xludf.DUMMYFUNCTION("""COMPUTED_VALUE"""),"Yes")</f>
        <v>Yes</v>
      </c>
      <c r="P434" s="5" t="str">
        <f>IFERROR(__xludf.DUMMYFUNCTION("""COMPUTED_VALUE"""),"Yes")</f>
        <v>Yes</v>
      </c>
      <c r="Q434" s="5" t="str">
        <f>IFERROR(__xludf.DUMMYFUNCTION("""COMPUTED_VALUE"""),"Yes")</f>
        <v>Yes</v>
      </c>
      <c r="R434" s="5" t="str">
        <f>IFERROR(__xludf.DUMMYFUNCTION("""COMPUTED_VALUE"""),"No")</f>
        <v>No</v>
      </c>
      <c r="S434" s="5" t="str">
        <f>IFERROR(__xludf.DUMMYFUNCTION("""COMPUTED_VALUE"""),"No")</f>
        <v>No</v>
      </c>
      <c r="T434" s="5" t="str">
        <f>IFERROR(__xludf.DUMMYFUNCTION("""COMPUTED_VALUE"""),"No")</f>
        <v>No</v>
      </c>
      <c r="U434" s="5" t="str">
        <f>IFERROR(__xludf.DUMMYFUNCTION("""COMPUTED_VALUE"""),"No")</f>
        <v>No</v>
      </c>
      <c r="V434" s="5"/>
      <c r="W434" s="5" t="str">
        <f>IFERROR(__xludf.DUMMYFUNCTION("""COMPUTED_VALUE"""),"Yes")</f>
        <v>Yes</v>
      </c>
      <c r="X434" s="5"/>
      <c r="Y434" s="5"/>
      <c r="Z434" s="5" t="str">
        <f>IFERROR(__xludf.DUMMYFUNCTION("""COMPUTED_VALUE"""),"Yes")</f>
        <v>Yes</v>
      </c>
      <c r="AA434" s="5"/>
      <c r="AB434" s="5" t="str">
        <f>IFERROR(__xludf.DUMMYFUNCTION("""COMPUTED_VALUE"""),"Yes")</f>
        <v>Yes</v>
      </c>
      <c r="AC434" s="5"/>
    </row>
    <row r="435">
      <c r="A435" s="5" t="str">
        <f>IFERROR(__xludf.DUMMYFUNCTION("""COMPUTED_VALUE"""),"UnicornDynamiteRunPlatinum")</f>
        <v>UnicornDynamiteRunPlatinum</v>
      </c>
      <c r="B43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5" s="5" t="str">
        <f>IFERROR(__xludf.DUMMYFUNCTION("""COMPUTED_VALUE"""),"Yes")</f>
        <v>Yes</v>
      </c>
      <c r="D435" s="5" t="str">
        <f>IFERROR(__xludf.DUMMYFUNCTION("""COMPUTED_VALUE"""),"Yes")</f>
        <v>Yes</v>
      </c>
      <c r="E435" s="5" t="str">
        <f>IFERROR(__xludf.DUMMYFUNCTION("""COMPUTED_VALUE"""),"Yes")</f>
        <v>Yes</v>
      </c>
      <c r="F435" s="5" t="str">
        <f>IFERROR(__xludf.DUMMYFUNCTION("""COMPUTED_VALUE"""),"Yes")</f>
        <v>Yes</v>
      </c>
      <c r="G435" s="5" t="str">
        <f>IFERROR(__xludf.DUMMYFUNCTION("""COMPUTED_VALUE"""),"Yes")</f>
        <v>Yes</v>
      </c>
      <c r="H435" s="5" t="str">
        <f>IFERROR(__xludf.DUMMYFUNCTION("""COMPUTED_VALUE"""),"Yes")</f>
        <v>Yes</v>
      </c>
      <c r="I435" s="5" t="str">
        <f>IFERROR(__xludf.DUMMYFUNCTION("""COMPUTED_VALUE"""),"Yes")</f>
        <v>Yes</v>
      </c>
      <c r="J435" s="5" t="str">
        <f>IFERROR(__xludf.DUMMYFUNCTION("""COMPUTED_VALUE"""),"Yes")</f>
        <v>Yes</v>
      </c>
      <c r="K435" s="5" t="str">
        <f>IFERROR(__xludf.DUMMYFUNCTION("""COMPUTED_VALUE"""),"Yes")</f>
        <v>Yes</v>
      </c>
      <c r="L435" s="5" t="str">
        <f>IFERROR(__xludf.DUMMYFUNCTION("""COMPUTED_VALUE"""),"Yes")</f>
        <v>Yes</v>
      </c>
      <c r="M435" s="5" t="str">
        <f>IFERROR(__xludf.DUMMYFUNCTION("""COMPUTED_VALUE"""),"Yes")</f>
        <v>Yes</v>
      </c>
      <c r="N435" s="5" t="str">
        <f>IFERROR(__xludf.DUMMYFUNCTION("""COMPUTED_VALUE"""),"Yes")</f>
        <v>Yes</v>
      </c>
      <c r="O435" s="5" t="str">
        <f>IFERROR(__xludf.DUMMYFUNCTION("""COMPUTED_VALUE"""),"Yes")</f>
        <v>Yes</v>
      </c>
      <c r="P435" s="5" t="str">
        <f>IFERROR(__xludf.DUMMYFUNCTION("""COMPUTED_VALUE"""),"Yes")</f>
        <v>Yes</v>
      </c>
      <c r="Q435" s="5" t="str">
        <f>IFERROR(__xludf.DUMMYFUNCTION("""COMPUTED_VALUE"""),"Yes")</f>
        <v>Yes</v>
      </c>
      <c r="R435" s="5" t="str">
        <f>IFERROR(__xludf.DUMMYFUNCTION("""COMPUTED_VALUE"""),"Yes")</f>
        <v>Yes</v>
      </c>
      <c r="S435" s="5" t="str">
        <f>IFERROR(__xludf.DUMMYFUNCTION("""COMPUTED_VALUE"""),"Yes")</f>
        <v>Yes</v>
      </c>
      <c r="T435" s="5" t="str">
        <f>IFERROR(__xludf.DUMMYFUNCTION("""COMPUTED_VALUE"""),"Yes")</f>
        <v>Yes</v>
      </c>
      <c r="U435" s="5" t="str">
        <f>IFERROR(__xludf.DUMMYFUNCTION("""COMPUTED_VALUE"""),"Yes")</f>
        <v>Yes</v>
      </c>
      <c r="V435" s="5"/>
      <c r="W435" s="5"/>
      <c r="X435" s="5"/>
      <c r="Y435" s="5"/>
      <c r="Z435" s="5" t="str">
        <f>IFERROR(__xludf.DUMMYFUNCTION("""COMPUTED_VALUE"""),"Yes")</f>
        <v>Yes</v>
      </c>
      <c r="AA435" s="5"/>
      <c r="AB435" s="5"/>
      <c r="AC435" s="5"/>
    </row>
    <row r="436">
      <c r="A436" s="5" t="str">
        <f>IFERROR(__xludf.DUMMYFUNCTION("""COMPUTED_VALUE"""),"UnicornBigHitSevens")</f>
        <v>UnicornBigHitSevens</v>
      </c>
      <c r="B4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6" s="5" t="str">
        <f>IFERROR(__xludf.DUMMYFUNCTION("""COMPUTED_VALUE"""),"Yes")</f>
        <v>Yes</v>
      </c>
      <c r="D436" s="5" t="str">
        <f>IFERROR(__xludf.DUMMYFUNCTION("""COMPUTED_VALUE"""),"Yes")</f>
        <v>Yes</v>
      </c>
      <c r="E436" s="5" t="str">
        <f>IFERROR(__xludf.DUMMYFUNCTION("""COMPUTED_VALUE"""),"Yes")</f>
        <v>Yes</v>
      </c>
      <c r="F436" s="5" t="str">
        <f>IFERROR(__xludf.DUMMYFUNCTION("""COMPUTED_VALUE"""),"Yes")</f>
        <v>Yes</v>
      </c>
      <c r="G436" s="5" t="str">
        <f>IFERROR(__xludf.DUMMYFUNCTION("""COMPUTED_VALUE"""),"Yes")</f>
        <v>Yes</v>
      </c>
      <c r="H436" s="5" t="str">
        <f>IFERROR(__xludf.DUMMYFUNCTION("""COMPUTED_VALUE"""),"Yes")</f>
        <v>Yes</v>
      </c>
      <c r="I436" s="5" t="str">
        <f>IFERROR(__xludf.DUMMYFUNCTION("""COMPUTED_VALUE"""),"Yes")</f>
        <v>Yes</v>
      </c>
      <c r="J436" s="5" t="str">
        <f>IFERROR(__xludf.DUMMYFUNCTION("""COMPUTED_VALUE"""),"Yes")</f>
        <v>Yes</v>
      </c>
      <c r="K436" s="5" t="str">
        <f>IFERROR(__xludf.DUMMYFUNCTION("""COMPUTED_VALUE"""),"Yes")</f>
        <v>Yes</v>
      </c>
      <c r="L436" s="5" t="str">
        <f>IFERROR(__xludf.DUMMYFUNCTION("""COMPUTED_VALUE"""),"Yes")</f>
        <v>Yes</v>
      </c>
      <c r="M436" s="5" t="str">
        <f>IFERROR(__xludf.DUMMYFUNCTION("""COMPUTED_VALUE"""),"Yes")</f>
        <v>Yes</v>
      </c>
      <c r="N436" s="5" t="str">
        <f>IFERROR(__xludf.DUMMYFUNCTION("""COMPUTED_VALUE"""),"Yes")</f>
        <v>Yes</v>
      </c>
      <c r="O436" s="5" t="str">
        <f>IFERROR(__xludf.DUMMYFUNCTION("""COMPUTED_VALUE"""),"Yes")</f>
        <v>Yes</v>
      </c>
      <c r="P436" s="5" t="str">
        <f>IFERROR(__xludf.DUMMYFUNCTION("""COMPUTED_VALUE"""),"Yes")</f>
        <v>Yes</v>
      </c>
      <c r="Q436" s="5" t="str">
        <f>IFERROR(__xludf.DUMMYFUNCTION("""COMPUTED_VALUE"""),"Yes")</f>
        <v>Yes</v>
      </c>
      <c r="R436" s="5" t="str">
        <f>IFERROR(__xludf.DUMMYFUNCTION("""COMPUTED_VALUE"""),"Yes")</f>
        <v>Yes</v>
      </c>
      <c r="S436" s="5" t="str">
        <f>IFERROR(__xludf.DUMMYFUNCTION("""COMPUTED_VALUE"""),"Yes")</f>
        <v>Yes</v>
      </c>
      <c r="T436" s="5" t="str">
        <f>IFERROR(__xludf.DUMMYFUNCTION("""COMPUTED_VALUE"""),"Yes")</f>
        <v>Yes</v>
      </c>
      <c r="U436" s="5" t="str">
        <f>IFERROR(__xludf.DUMMYFUNCTION("""COMPUTED_VALUE"""),"Yes")</f>
        <v>Yes</v>
      </c>
      <c r="V436" s="5"/>
      <c r="W436" s="5"/>
      <c r="X436" s="5"/>
      <c r="Y436" s="5"/>
      <c r="Z436" s="5" t="str">
        <f>IFERROR(__xludf.DUMMYFUNCTION("""COMPUTED_VALUE"""),"Yes")</f>
        <v>Yes</v>
      </c>
      <c r="AA436" s="5"/>
      <c r="AB436" s="5"/>
      <c r="AC436" s="5"/>
    </row>
    <row r="437">
      <c r="A437" s="5" t="str">
        <f>IFERROR(__xludf.DUMMYFUNCTION("""COMPUTED_VALUE"""),"Placeholder 1")</f>
        <v>Placeholder 1</v>
      </c>
      <c r="B4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7" s="5" t="str">
        <f>IFERROR(__xludf.DUMMYFUNCTION("""COMPUTED_VALUE"""),"Yes")</f>
        <v>Yes</v>
      </c>
      <c r="D437" s="5" t="str">
        <f>IFERROR(__xludf.DUMMYFUNCTION("""COMPUTED_VALUE"""),"Yes")</f>
        <v>Yes</v>
      </c>
      <c r="E437" s="5" t="str">
        <f>IFERROR(__xludf.DUMMYFUNCTION("""COMPUTED_VALUE"""),"Yes")</f>
        <v>Yes</v>
      </c>
      <c r="F437" s="5" t="str">
        <f>IFERROR(__xludf.DUMMYFUNCTION("""COMPUTED_VALUE"""),"Yes")</f>
        <v>Yes</v>
      </c>
      <c r="G437" s="5" t="str">
        <f>IFERROR(__xludf.DUMMYFUNCTION("""COMPUTED_VALUE"""),"Yes")</f>
        <v>Yes</v>
      </c>
      <c r="H437" s="5" t="str">
        <f>IFERROR(__xludf.DUMMYFUNCTION("""COMPUTED_VALUE"""),"Yes")</f>
        <v>Yes</v>
      </c>
      <c r="I437" s="5" t="str">
        <f>IFERROR(__xludf.DUMMYFUNCTION("""COMPUTED_VALUE"""),"Yes")</f>
        <v>Yes</v>
      </c>
      <c r="J437" s="5" t="str">
        <f>IFERROR(__xludf.DUMMYFUNCTION("""COMPUTED_VALUE"""),"Yes")</f>
        <v>Yes</v>
      </c>
      <c r="K437" s="5" t="str">
        <f>IFERROR(__xludf.DUMMYFUNCTION("""COMPUTED_VALUE"""),"Yes")</f>
        <v>Yes</v>
      </c>
      <c r="L437" s="5" t="str">
        <f>IFERROR(__xludf.DUMMYFUNCTION("""COMPUTED_VALUE"""),"Yes")</f>
        <v>Yes</v>
      </c>
      <c r="M437" s="5" t="str">
        <f>IFERROR(__xludf.DUMMYFUNCTION("""COMPUTED_VALUE"""),"Yes")</f>
        <v>Yes</v>
      </c>
      <c r="N437" s="5" t="str">
        <f>IFERROR(__xludf.DUMMYFUNCTION("""COMPUTED_VALUE"""),"Yes")</f>
        <v>Yes</v>
      </c>
      <c r="O437" s="5" t="str">
        <f>IFERROR(__xludf.DUMMYFUNCTION("""COMPUTED_VALUE"""),"Yes")</f>
        <v>Yes</v>
      </c>
      <c r="P437" s="5" t="str">
        <f>IFERROR(__xludf.DUMMYFUNCTION("""COMPUTED_VALUE"""),"Yes")</f>
        <v>Yes</v>
      </c>
      <c r="Q437" s="5" t="str">
        <f>IFERROR(__xludf.DUMMYFUNCTION("""COMPUTED_VALUE"""),"Yes")</f>
        <v>Yes</v>
      </c>
      <c r="R437" s="5" t="str">
        <f>IFERROR(__xludf.DUMMYFUNCTION("""COMPUTED_VALUE"""),"Yes")</f>
        <v>Yes</v>
      </c>
      <c r="S437" s="5" t="str">
        <f>IFERROR(__xludf.DUMMYFUNCTION("""COMPUTED_VALUE"""),"Yes")</f>
        <v>Yes</v>
      </c>
      <c r="T437" s="5" t="str">
        <f>IFERROR(__xludf.DUMMYFUNCTION("""COMPUTED_VALUE"""),"Yes")</f>
        <v>Yes</v>
      </c>
      <c r="U437" s="5" t="str">
        <f>IFERROR(__xludf.DUMMYFUNCTION("""COMPUTED_VALUE"""),"Yes")</f>
        <v>Yes</v>
      </c>
      <c r="V437" s="5"/>
      <c r="W437" s="5"/>
      <c r="X437" s="5"/>
      <c r="Y437" s="5"/>
      <c r="Z437" s="5" t="str">
        <f>IFERROR(__xludf.DUMMYFUNCTION("""COMPUTED_VALUE"""),"Yes")</f>
        <v>Yes</v>
      </c>
      <c r="AA437" s="5"/>
      <c r="AB437" s="5"/>
      <c r="AC437" s="5"/>
    </row>
    <row r="438">
      <c r="A438" s="5" t="str">
        <f>IFERROR(__xludf.DUMMYFUNCTION("""COMPUTED_VALUE"""),"Placeholder 2")</f>
        <v>Placeholder 2</v>
      </c>
      <c r="B43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8" s="5" t="str">
        <f>IFERROR(__xludf.DUMMYFUNCTION("""COMPUTED_VALUE"""),"Yes")</f>
        <v>Yes</v>
      </c>
      <c r="D438" s="5" t="str">
        <f>IFERROR(__xludf.DUMMYFUNCTION("""COMPUTED_VALUE"""),"Yes")</f>
        <v>Yes</v>
      </c>
      <c r="E438" s="5" t="str">
        <f>IFERROR(__xludf.DUMMYFUNCTION("""COMPUTED_VALUE"""),"Yes")</f>
        <v>Yes</v>
      </c>
      <c r="F438" s="5" t="str">
        <f>IFERROR(__xludf.DUMMYFUNCTION("""COMPUTED_VALUE"""),"No")</f>
        <v>No</v>
      </c>
      <c r="G438" s="5" t="str">
        <f>IFERROR(__xludf.DUMMYFUNCTION("""COMPUTED_VALUE"""),"No")</f>
        <v>No</v>
      </c>
      <c r="H438" s="5" t="str">
        <f>IFERROR(__xludf.DUMMYFUNCTION("""COMPUTED_VALUE"""),"No")</f>
        <v>No</v>
      </c>
      <c r="I438" s="5" t="str">
        <f>IFERROR(__xludf.DUMMYFUNCTION("""COMPUTED_VALUE"""),"No")</f>
        <v>No</v>
      </c>
      <c r="J438" s="5" t="str">
        <f>IFERROR(__xludf.DUMMYFUNCTION("""COMPUTED_VALUE"""),"No")</f>
        <v>No</v>
      </c>
      <c r="K438" s="5" t="str">
        <f>IFERROR(__xludf.DUMMYFUNCTION("""COMPUTED_VALUE"""),"Yes")</f>
        <v>Yes</v>
      </c>
      <c r="L438" s="5" t="str">
        <f>IFERROR(__xludf.DUMMYFUNCTION("""COMPUTED_VALUE"""),"Yes")</f>
        <v>Yes</v>
      </c>
      <c r="M438" s="5" t="str">
        <f>IFERROR(__xludf.DUMMYFUNCTION("""COMPUTED_VALUE"""),"Yes")</f>
        <v>Yes</v>
      </c>
      <c r="N438" s="5" t="str">
        <f>IFERROR(__xludf.DUMMYFUNCTION("""COMPUTED_VALUE"""),"Yes")</f>
        <v>Yes</v>
      </c>
      <c r="O438" s="5" t="str">
        <f>IFERROR(__xludf.DUMMYFUNCTION("""COMPUTED_VALUE"""),"Yes")</f>
        <v>Yes</v>
      </c>
      <c r="P438" s="5" t="str">
        <f>IFERROR(__xludf.DUMMYFUNCTION("""COMPUTED_VALUE"""),"No")</f>
        <v>No</v>
      </c>
      <c r="Q438" s="5" t="str">
        <f>IFERROR(__xludf.DUMMYFUNCTION("""COMPUTED_VALUE"""),"Yes")</f>
        <v>Yes</v>
      </c>
      <c r="R438" s="5" t="str">
        <f>IFERROR(__xludf.DUMMYFUNCTION("""COMPUTED_VALUE"""),"No")</f>
        <v>No</v>
      </c>
      <c r="S438" s="5" t="str">
        <f>IFERROR(__xludf.DUMMYFUNCTION("""COMPUTED_VALUE"""),"No")</f>
        <v>No</v>
      </c>
      <c r="T438" s="5" t="str">
        <f>IFERROR(__xludf.DUMMYFUNCTION("""COMPUTED_VALUE"""),"No")</f>
        <v>No</v>
      </c>
      <c r="U438" s="5" t="str">
        <f>IFERROR(__xludf.DUMMYFUNCTION("""COMPUTED_VALUE"""),"No")</f>
        <v>No</v>
      </c>
      <c r="V438" s="5"/>
      <c r="W438" s="5"/>
      <c r="X438" s="5" t="str">
        <f>IFERROR(__xludf.DUMMYFUNCTION("""COMPUTED_VALUE"""),"Yes")</f>
        <v>Yes</v>
      </c>
      <c r="Y438" s="5"/>
      <c r="Z438" s="5" t="str">
        <f>IFERROR(__xludf.DUMMYFUNCTION("""COMPUTED_VALUE"""),"No")</f>
        <v>No</v>
      </c>
      <c r="AA438" s="5"/>
      <c r="AB438" s="5" t="str">
        <f>IFERROR(__xludf.DUMMYFUNCTION("""COMPUTED_VALUE"""),"Yes")</f>
        <v>Yes</v>
      </c>
      <c r="AC438" s="5" t="str">
        <f>IFERROR(__xludf.DUMMYFUNCTION("""COMPUTED_VALUE"""),"Yes")</f>
        <v>Yes</v>
      </c>
    </row>
    <row r="439">
      <c r="A439" s="5" t="str">
        <f>IFERROR(__xludf.DUMMYFUNCTION("""COMPUTED_VALUE"""),"Placeholder 3")</f>
        <v>Placeholder 3</v>
      </c>
      <c r="B43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9" s="5" t="str">
        <f>IFERROR(__xludf.DUMMYFUNCTION("""COMPUTED_VALUE"""),"Yes")</f>
        <v>Yes</v>
      </c>
      <c r="D439" s="5" t="str">
        <f>IFERROR(__xludf.DUMMYFUNCTION("""COMPUTED_VALUE"""),"Yes")</f>
        <v>Yes</v>
      </c>
      <c r="E439" s="5" t="str">
        <f>IFERROR(__xludf.DUMMYFUNCTION("""COMPUTED_VALUE"""),"Yes")</f>
        <v>Yes</v>
      </c>
      <c r="F439" s="5" t="str">
        <f>IFERROR(__xludf.DUMMYFUNCTION("""COMPUTED_VALUE"""),"No")</f>
        <v>No</v>
      </c>
      <c r="G439" s="5" t="str">
        <f>IFERROR(__xludf.DUMMYFUNCTION("""COMPUTED_VALUE"""),"No")</f>
        <v>No</v>
      </c>
      <c r="H439" s="5" t="str">
        <f>IFERROR(__xludf.DUMMYFUNCTION("""COMPUTED_VALUE"""),"No")</f>
        <v>No</v>
      </c>
      <c r="I439" s="5" t="str">
        <f>IFERROR(__xludf.DUMMYFUNCTION("""COMPUTED_VALUE"""),"No")</f>
        <v>No</v>
      </c>
      <c r="J439" s="5" t="str">
        <f>IFERROR(__xludf.DUMMYFUNCTION("""COMPUTED_VALUE"""),"No")</f>
        <v>No</v>
      </c>
      <c r="K439" s="5" t="str">
        <f>IFERROR(__xludf.DUMMYFUNCTION("""COMPUTED_VALUE"""),"Yes")</f>
        <v>Yes</v>
      </c>
      <c r="L439" s="5" t="str">
        <f>IFERROR(__xludf.DUMMYFUNCTION("""COMPUTED_VALUE"""),"Yes")</f>
        <v>Yes</v>
      </c>
      <c r="M439" s="5" t="str">
        <f>IFERROR(__xludf.DUMMYFUNCTION("""COMPUTED_VALUE"""),"Yes")</f>
        <v>Yes</v>
      </c>
      <c r="N439" s="5" t="str">
        <f>IFERROR(__xludf.DUMMYFUNCTION("""COMPUTED_VALUE"""),"Yes")</f>
        <v>Yes</v>
      </c>
      <c r="O439" s="5" t="str">
        <f>IFERROR(__xludf.DUMMYFUNCTION("""COMPUTED_VALUE"""),"Yes")</f>
        <v>Yes</v>
      </c>
      <c r="P439" s="5" t="str">
        <f>IFERROR(__xludf.DUMMYFUNCTION("""COMPUTED_VALUE"""),"No")</f>
        <v>No</v>
      </c>
      <c r="Q439" s="5" t="str">
        <f>IFERROR(__xludf.DUMMYFUNCTION("""COMPUTED_VALUE"""),"Yes")</f>
        <v>Yes</v>
      </c>
      <c r="R439" s="5" t="str">
        <f>IFERROR(__xludf.DUMMYFUNCTION("""COMPUTED_VALUE"""),"No")</f>
        <v>No</v>
      </c>
      <c r="S439" s="5" t="str">
        <f>IFERROR(__xludf.DUMMYFUNCTION("""COMPUTED_VALUE"""),"No")</f>
        <v>No</v>
      </c>
      <c r="T439" s="5" t="str">
        <f>IFERROR(__xludf.DUMMYFUNCTION("""COMPUTED_VALUE"""),"No")</f>
        <v>No</v>
      </c>
      <c r="U439" s="5" t="str">
        <f>IFERROR(__xludf.DUMMYFUNCTION("""COMPUTED_VALUE"""),"No")</f>
        <v>No</v>
      </c>
      <c r="V439" s="5"/>
      <c r="W439" s="5"/>
      <c r="X439" s="5" t="str">
        <f>IFERROR(__xludf.DUMMYFUNCTION("""COMPUTED_VALUE"""),"Yes")</f>
        <v>Yes</v>
      </c>
      <c r="Y439" s="5"/>
      <c r="Z439" s="5" t="str">
        <f>IFERROR(__xludf.DUMMYFUNCTION("""COMPUTED_VALUE"""),"No")</f>
        <v>No</v>
      </c>
      <c r="AA439" s="5"/>
      <c r="AB439" s="5" t="str">
        <f>IFERROR(__xludf.DUMMYFUNCTION("""COMPUTED_VALUE"""),"Yes")</f>
        <v>Yes</v>
      </c>
      <c r="AC439" s="5" t="str">
        <f>IFERROR(__xludf.DUMMYFUNCTION("""COMPUTED_VALUE"""),"Yes")</f>
        <v>Yes</v>
      </c>
    </row>
    <row r="440">
      <c r="A440" s="5" t="str">
        <f>IFERROR(__xludf.DUMMYFUNCTION("""COMPUTED_VALUE"""),"Placeholder 4")</f>
        <v>Placeholder 4</v>
      </c>
      <c r="B4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40" s="5" t="str">
        <f>IFERROR(__xludf.DUMMYFUNCTION("""COMPUTED_VALUE"""),"Yes")</f>
        <v>Yes</v>
      </c>
      <c r="D440" s="5" t="str">
        <f>IFERROR(__xludf.DUMMYFUNCTION("""COMPUTED_VALUE"""),"Yes")</f>
        <v>Yes</v>
      </c>
      <c r="E440" s="5" t="str">
        <f>IFERROR(__xludf.DUMMYFUNCTION("""COMPUTED_VALUE"""),"Yes")</f>
        <v>Yes</v>
      </c>
      <c r="F440" s="5" t="str">
        <f>IFERROR(__xludf.DUMMYFUNCTION("""COMPUTED_VALUE"""),"Yes")</f>
        <v>Yes</v>
      </c>
      <c r="G440" s="5" t="str">
        <f>IFERROR(__xludf.DUMMYFUNCTION("""COMPUTED_VALUE"""),"Yes")</f>
        <v>Yes</v>
      </c>
      <c r="H440" s="5" t="str">
        <f>IFERROR(__xludf.DUMMYFUNCTION("""COMPUTED_VALUE"""),"Yes")</f>
        <v>Yes</v>
      </c>
      <c r="I440" s="5" t="str">
        <f>IFERROR(__xludf.DUMMYFUNCTION("""COMPUTED_VALUE"""),"Yes")</f>
        <v>Yes</v>
      </c>
      <c r="J440" s="5" t="str">
        <f>IFERROR(__xludf.DUMMYFUNCTION("""COMPUTED_VALUE"""),"Yes")</f>
        <v>Yes</v>
      </c>
      <c r="K440" s="5" t="str">
        <f>IFERROR(__xludf.DUMMYFUNCTION("""COMPUTED_VALUE"""),"Yes")</f>
        <v>Yes</v>
      </c>
      <c r="L440" s="5" t="str">
        <f>IFERROR(__xludf.DUMMYFUNCTION("""COMPUTED_VALUE"""),"Yes")</f>
        <v>Yes</v>
      </c>
      <c r="M440" s="5" t="str">
        <f>IFERROR(__xludf.DUMMYFUNCTION("""COMPUTED_VALUE"""),"Yes")</f>
        <v>Yes</v>
      </c>
      <c r="N440" s="5" t="str">
        <f>IFERROR(__xludf.DUMMYFUNCTION("""COMPUTED_VALUE"""),"Yes")</f>
        <v>Yes</v>
      </c>
      <c r="O440" s="5" t="str">
        <f>IFERROR(__xludf.DUMMYFUNCTION("""COMPUTED_VALUE"""),"Yes")</f>
        <v>Yes</v>
      </c>
      <c r="P440" s="5" t="str">
        <f>IFERROR(__xludf.DUMMYFUNCTION("""COMPUTED_VALUE"""),"Yes")</f>
        <v>Yes</v>
      </c>
      <c r="Q440" s="5" t="str">
        <f>IFERROR(__xludf.DUMMYFUNCTION("""COMPUTED_VALUE"""),"Yes")</f>
        <v>Yes</v>
      </c>
      <c r="R440" s="5" t="str">
        <f>IFERROR(__xludf.DUMMYFUNCTION("""COMPUTED_VALUE"""),"Yes")</f>
        <v>Yes</v>
      </c>
      <c r="S440" s="5" t="str">
        <f>IFERROR(__xludf.DUMMYFUNCTION("""COMPUTED_VALUE"""),"Yes")</f>
        <v>Yes</v>
      </c>
      <c r="T440" s="5" t="str">
        <f>IFERROR(__xludf.DUMMYFUNCTION("""COMPUTED_VALUE"""),"Yes")</f>
        <v>Yes</v>
      </c>
      <c r="U440" s="5" t="str">
        <f>IFERROR(__xludf.DUMMYFUNCTION("""COMPUTED_VALUE"""),"Yes")</f>
        <v>Yes</v>
      </c>
      <c r="V440" s="5"/>
      <c r="W440" s="5"/>
      <c r="X440" s="5"/>
      <c r="Y440" s="5"/>
      <c r="Z440" s="5" t="str">
        <f>IFERROR(__xludf.DUMMYFUNCTION("""COMPUTED_VALUE"""),"Yes")</f>
        <v>Yes</v>
      </c>
      <c r="AA440" s="5"/>
      <c r="AB440" s="5"/>
      <c r="AC440" s="5"/>
    </row>
    <row r="441">
      <c r="A441" s="5" t="str">
        <f>IFERROR(__xludf.DUMMYFUNCTION("""COMPUTED_VALUE"""),"UnicornSupremeSevens")</f>
        <v>UnicornSupremeSevens</v>
      </c>
      <c r="B44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1" s="5" t="str">
        <f>IFERROR(__xludf.DUMMYFUNCTION("""COMPUTED_VALUE"""),"Yes")</f>
        <v>Yes</v>
      </c>
      <c r="D441" s="5" t="str">
        <f>IFERROR(__xludf.DUMMYFUNCTION("""COMPUTED_VALUE"""),"Yes")</f>
        <v>Yes</v>
      </c>
      <c r="E441" s="5" t="str">
        <f>IFERROR(__xludf.DUMMYFUNCTION("""COMPUTED_VALUE"""),"Yes")</f>
        <v>Yes</v>
      </c>
      <c r="F441" s="5" t="str">
        <f>IFERROR(__xludf.DUMMYFUNCTION("""COMPUTED_VALUE"""),"No")</f>
        <v>No</v>
      </c>
      <c r="G441" s="5" t="str">
        <f>IFERROR(__xludf.DUMMYFUNCTION("""COMPUTED_VALUE"""),"No")</f>
        <v>No</v>
      </c>
      <c r="H441" s="5" t="str">
        <f>IFERROR(__xludf.DUMMYFUNCTION("""COMPUTED_VALUE"""),"No")</f>
        <v>No</v>
      </c>
      <c r="I441" s="5" t="str">
        <f>IFERROR(__xludf.DUMMYFUNCTION("""COMPUTED_VALUE"""),"No")</f>
        <v>No</v>
      </c>
      <c r="J441" s="5" t="str">
        <f>IFERROR(__xludf.DUMMYFUNCTION("""COMPUTED_VALUE"""),"No")</f>
        <v>No</v>
      </c>
      <c r="K441" s="5" t="str">
        <f>IFERROR(__xludf.DUMMYFUNCTION("""COMPUTED_VALUE"""),"Yes")</f>
        <v>Yes</v>
      </c>
      <c r="L441" s="5" t="str">
        <f>IFERROR(__xludf.DUMMYFUNCTION("""COMPUTED_VALUE"""),"Yes")</f>
        <v>Yes</v>
      </c>
      <c r="M441" s="5" t="str">
        <f>IFERROR(__xludf.DUMMYFUNCTION("""COMPUTED_VALUE"""),"Yes")</f>
        <v>Yes</v>
      </c>
      <c r="N441" s="5" t="str">
        <f>IFERROR(__xludf.DUMMYFUNCTION("""COMPUTED_VALUE"""),"Yes")</f>
        <v>Yes</v>
      </c>
      <c r="O441" s="5" t="str">
        <f>IFERROR(__xludf.DUMMYFUNCTION("""COMPUTED_VALUE"""),"Yes")</f>
        <v>Yes</v>
      </c>
      <c r="P441" s="5" t="str">
        <f>IFERROR(__xludf.DUMMYFUNCTION("""COMPUTED_VALUE"""),"No")</f>
        <v>No</v>
      </c>
      <c r="Q441" s="5" t="str">
        <f>IFERROR(__xludf.DUMMYFUNCTION("""COMPUTED_VALUE"""),"Yes")</f>
        <v>Yes</v>
      </c>
      <c r="R441" s="5" t="str">
        <f>IFERROR(__xludf.DUMMYFUNCTION("""COMPUTED_VALUE"""),"No")</f>
        <v>No</v>
      </c>
      <c r="S441" s="5" t="str">
        <f>IFERROR(__xludf.DUMMYFUNCTION("""COMPUTED_VALUE"""),"No")</f>
        <v>No</v>
      </c>
      <c r="T441" s="5" t="str">
        <f>IFERROR(__xludf.DUMMYFUNCTION("""COMPUTED_VALUE"""),"No")</f>
        <v>No</v>
      </c>
      <c r="U441" s="5" t="str">
        <f>IFERROR(__xludf.DUMMYFUNCTION("""COMPUTED_VALUE"""),"No")</f>
        <v>No</v>
      </c>
      <c r="V441" s="5"/>
      <c r="W441" s="5"/>
      <c r="X441" s="5" t="str">
        <f>IFERROR(__xludf.DUMMYFUNCTION("""COMPUTED_VALUE"""),"Yes")</f>
        <v>Yes</v>
      </c>
      <c r="Y441" s="5"/>
      <c r="Z441" s="5" t="str">
        <f>IFERROR(__xludf.DUMMYFUNCTION("""COMPUTED_VALUE"""),"No")</f>
        <v>No</v>
      </c>
      <c r="AA441" s="5"/>
      <c r="AB441" s="5" t="str">
        <f>IFERROR(__xludf.DUMMYFUNCTION("""COMPUTED_VALUE"""),"Yes")</f>
        <v>Yes</v>
      </c>
      <c r="AC441" s="5" t="str">
        <f>IFERROR(__xludf.DUMMYFUNCTION("""COMPUTED_VALUE"""),"Yes")</f>
        <v>Yes</v>
      </c>
    </row>
    <row r="442">
      <c r="A442" s="5" t="str">
        <f>IFERROR(__xludf.DUMMYFUNCTION("""COMPUTED_VALUE"""),"UnicornTripleStackedDiamonds")</f>
        <v>UnicornTripleStackedDiamonds</v>
      </c>
      <c r="B442" s="5" t="str">
        <f>IFERROR(__xludf.DUMMYFUNCTION("""COMPUTED_VALUE"""),"English(""eng"")")</f>
        <v>English("eng")</v>
      </c>
      <c r="C442" s="5" t="str">
        <f>IFERROR(__xludf.DUMMYFUNCTION("""COMPUTED_VALUE"""),"Yes")</f>
        <v>Yes</v>
      </c>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row>
    <row r="443">
      <c r="A443" s="5" t="str">
        <f>IFERROR(__xludf.DUMMYFUNCTION("""COMPUTED_VALUE"""),"UnicornDynamiteBoom")</f>
        <v>UnicornDynamiteBoom</v>
      </c>
      <c r="B44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3" s="5" t="str">
        <f>IFERROR(__xludf.DUMMYFUNCTION("""COMPUTED_VALUE"""),"Yes")</f>
        <v>Yes</v>
      </c>
      <c r="D443" s="5" t="str">
        <f>IFERROR(__xludf.DUMMYFUNCTION("""COMPUTED_VALUE"""),"Yes")</f>
        <v>Yes</v>
      </c>
      <c r="E443" s="5" t="str">
        <f>IFERROR(__xludf.DUMMYFUNCTION("""COMPUTED_VALUE"""),"Yes")</f>
        <v>Yes</v>
      </c>
      <c r="F443" s="5" t="str">
        <f>IFERROR(__xludf.DUMMYFUNCTION("""COMPUTED_VALUE"""),"No")</f>
        <v>No</v>
      </c>
      <c r="G443" s="5" t="str">
        <f>IFERROR(__xludf.DUMMYFUNCTION("""COMPUTED_VALUE"""),"No")</f>
        <v>No</v>
      </c>
      <c r="H443" s="5" t="str">
        <f>IFERROR(__xludf.DUMMYFUNCTION("""COMPUTED_VALUE"""),"No")</f>
        <v>No</v>
      </c>
      <c r="I443" s="5" t="str">
        <f>IFERROR(__xludf.DUMMYFUNCTION("""COMPUTED_VALUE"""),"No")</f>
        <v>No</v>
      </c>
      <c r="J443" s="5" t="str">
        <f>IFERROR(__xludf.DUMMYFUNCTION("""COMPUTED_VALUE"""),"No")</f>
        <v>No</v>
      </c>
      <c r="K443" s="5" t="str">
        <f>IFERROR(__xludf.DUMMYFUNCTION("""COMPUTED_VALUE"""),"Yes")</f>
        <v>Yes</v>
      </c>
      <c r="L443" s="5" t="str">
        <f>IFERROR(__xludf.DUMMYFUNCTION("""COMPUTED_VALUE"""),"Yes")</f>
        <v>Yes</v>
      </c>
      <c r="M443" s="5" t="str">
        <f>IFERROR(__xludf.DUMMYFUNCTION("""COMPUTED_VALUE"""),"Yes")</f>
        <v>Yes</v>
      </c>
      <c r="N443" s="5" t="str">
        <f>IFERROR(__xludf.DUMMYFUNCTION("""COMPUTED_VALUE"""),"Yes")</f>
        <v>Yes</v>
      </c>
      <c r="O443" s="5" t="str">
        <f>IFERROR(__xludf.DUMMYFUNCTION("""COMPUTED_VALUE"""),"Yes")</f>
        <v>Yes</v>
      </c>
      <c r="P443" s="5" t="str">
        <f>IFERROR(__xludf.DUMMYFUNCTION("""COMPUTED_VALUE"""),"No")</f>
        <v>No</v>
      </c>
      <c r="Q443" s="5" t="str">
        <f>IFERROR(__xludf.DUMMYFUNCTION("""COMPUTED_VALUE"""),"Yes")</f>
        <v>Yes</v>
      </c>
      <c r="R443" s="5" t="str">
        <f>IFERROR(__xludf.DUMMYFUNCTION("""COMPUTED_VALUE"""),"No")</f>
        <v>No</v>
      </c>
      <c r="S443" s="5" t="str">
        <f>IFERROR(__xludf.DUMMYFUNCTION("""COMPUTED_VALUE"""),"No")</f>
        <v>No</v>
      </c>
      <c r="T443" s="5" t="str">
        <f>IFERROR(__xludf.DUMMYFUNCTION("""COMPUTED_VALUE"""),"No")</f>
        <v>No</v>
      </c>
      <c r="U443" s="5" t="str">
        <f>IFERROR(__xludf.DUMMYFUNCTION("""COMPUTED_VALUE"""),"No")</f>
        <v>No</v>
      </c>
      <c r="V443" s="5"/>
      <c r="W443" s="5"/>
      <c r="X443" s="5" t="str">
        <f>IFERROR(__xludf.DUMMYFUNCTION("""COMPUTED_VALUE"""),"Yes")</f>
        <v>Yes</v>
      </c>
      <c r="Y443" s="5"/>
      <c r="Z443" s="5" t="str">
        <f>IFERROR(__xludf.DUMMYFUNCTION("""COMPUTED_VALUE"""),"No")</f>
        <v>No</v>
      </c>
      <c r="AA443" s="5"/>
      <c r="AB443" s="5" t="str">
        <f>IFERROR(__xludf.DUMMYFUNCTION("""COMPUTED_VALUE"""),"Yes")</f>
        <v>Yes</v>
      </c>
      <c r="AC443" s="5" t="str">
        <f>IFERROR(__xludf.DUMMYFUNCTION("""COMPUTED_VALUE"""),"Yes")</f>
        <v>Yes</v>
      </c>
    </row>
    <row r="444">
      <c r="A444" s="5" t="str">
        <f>IFERROR(__xludf.DUMMYFUNCTION("""COMPUTED_VALUE"""),"UnicornFastPay")</f>
        <v>UnicornFastPay</v>
      </c>
      <c r="B44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4" s="5" t="str">
        <f>IFERROR(__xludf.DUMMYFUNCTION("""COMPUTED_VALUE"""),"Yes")</f>
        <v>Yes</v>
      </c>
      <c r="D444" s="5" t="str">
        <f>IFERROR(__xludf.DUMMYFUNCTION("""COMPUTED_VALUE"""),"Yes")</f>
        <v>Yes</v>
      </c>
      <c r="E444" s="5" t="str">
        <f>IFERROR(__xludf.DUMMYFUNCTION("""COMPUTED_VALUE"""),"Yes")</f>
        <v>Yes</v>
      </c>
      <c r="F444" s="5"/>
      <c r="G444" s="5"/>
      <c r="H444" s="5"/>
      <c r="I444" s="5"/>
      <c r="J444" s="5"/>
      <c r="K444" s="5" t="str">
        <f>IFERROR(__xludf.DUMMYFUNCTION("""COMPUTED_VALUE"""),"Yes")</f>
        <v>Yes</v>
      </c>
      <c r="L444" s="5" t="str">
        <f>IFERROR(__xludf.DUMMYFUNCTION("""COMPUTED_VALUE"""),"Yes")</f>
        <v>Yes</v>
      </c>
      <c r="M444" s="5" t="str">
        <f>IFERROR(__xludf.DUMMYFUNCTION("""COMPUTED_VALUE"""),"Yes")</f>
        <v>Yes</v>
      </c>
      <c r="N444" s="5" t="str">
        <f>IFERROR(__xludf.DUMMYFUNCTION("""COMPUTED_VALUE"""),"Yes")</f>
        <v>Yes</v>
      </c>
      <c r="O444" s="5" t="str">
        <f>IFERROR(__xludf.DUMMYFUNCTION("""COMPUTED_VALUE"""),"Yes")</f>
        <v>Yes</v>
      </c>
      <c r="P444" s="5"/>
      <c r="Q444" s="5" t="str">
        <f>IFERROR(__xludf.DUMMYFUNCTION("""COMPUTED_VALUE"""),"Yes")</f>
        <v>Yes</v>
      </c>
      <c r="R444" s="5"/>
      <c r="S444" s="5"/>
      <c r="T444" s="5"/>
      <c r="U444" s="5"/>
      <c r="V444" s="5"/>
      <c r="W444" s="5"/>
      <c r="X444" s="5" t="str">
        <f>IFERROR(__xludf.DUMMYFUNCTION("""COMPUTED_VALUE"""),"Yes")</f>
        <v>Yes</v>
      </c>
      <c r="Y444" s="5"/>
      <c r="Z444" s="5"/>
      <c r="AA444" s="5"/>
      <c r="AB444" s="5" t="str">
        <f>IFERROR(__xludf.DUMMYFUNCTION("""COMPUTED_VALUE"""),"Yes")</f>
        <v>Yes</v>
      </c>
      <c r="AC444" s="5" t="str">
        <f>IFERROR(__xludf.DUMMYFUNCTION("""COMPUTED_VALUE"""),"Yes")</f>
        <v>Yes</v>
      </c>
    </row>
    <row r="445">
      <c r="A445" s="5" t="str">
        <f>IFERROR(__xludf.DUMMYFUNCTION("""COMPUTED_VALUE"""),"UnicornSuperFireJackpot")</f>
        <v>UnicornSuperFireJackpot</v>
      </c>
      <c r="B44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5" s="5" t="str">
        <f>IFERROR(__xludf.DUMMYFUNCTION("""COMPUTED_VALUE"""),"Yes")</f>
        <v>Yes</v>
      </c>
      <c r="D445" s="5" t="str">
        <f>IFERROR(__xludf.DUMMYFUNCTION("""COMPUTED_VALUE"""),"Yes")</f>
        <v>Yes</v>
      </c>
      <c r="E445" s="5" t="str">
        <f>IFERROR(__xludf.DUMMYFUNCTION("""COMPUTED_VALUE"""),"Yes")</f>
        <v>Yes</v>
      </c>
      <c r="F445" s="5"/>
      <c r="G445" s="5"/>
      <c r="H445" s="5"/>
      <c r="I445" s="5"/>
      <c r="J445" s="5"/>
      <c r="K445" s="5" t="str">
        <f>IFERROR(__xludf.DUMMYFUNCTION("""COMPUTED_VALUE"""),"Yes")</f>
        <v>Yes</v>
      </c>
      <c r="L445" s="5" t="str">
        <f>IFERROR(__xludf.DUMMYFUNCTION("""COMPUTED_VALUE"""),"Yes")</f>
        <v>Yes</v>
      </c>
      <c r="M445" s="5" t="str">
        <f>IFERROR(__xludf.DUMMYFUNCTION("""COMPUTED_VALUE"""),"Yes")</f>
        <v>Yes</v>
      </c>
      <c r="N445" s="5" t="str">
        <f>IFERROR(__xludf.DUMMYFUNCTION("""COMPUTED_VALUE"""),"Yes")</f>
        <v>Yes</v>
      </c>
      <c r="O445" s="5" t="str">
        <f>IFERROR(__xludf.DUMMYFUNCTION("""COMPUTED_VALUE"""),"Yes")</f>
        <v>Yes</v>
      </c>
      <c r="P445" s="5"/>
      <c r="Q445" s="5" t="str">
        <f>IFERROR(__xludf.DUMMYFUNCTION("""COMPUTED_VALUE"""),"Yes")</f>
        <v>Yes</v>
      </c>
      <c r="R445" s="5"/>
      <c r="S445" s="5"/>
      <c r="T445" s="5"/>
      <c r="U445" s="5"/>
      <c r="V445" s="5"/>
      <c r="W445" s="5"/>
      <c r="X445" s="5" t="str">
        <f>IFERROR(__xludf.DUMMYFUNCTION("""COMPUTED_VALUE"""),"Yes")</f>
        <v>Yes</v>
      </c>
      <c r="Y445" s="5"/>
      <c r="Z445" s="5"/>
      <c r="AA445" s="5"/>
      <c r="AB445" s="5" t="str">
        <f>IFERROR(__xludf.DUMMYFUNCTION("""COMPUTED_VALUE"""),"Yes")</f>
        <v>Yes</v>
      </c>
      <c r="AC445" s="5" t="str">
        <f>IFERROR(__xludf.DUMMYFUNCTION("""COMPUTED_VALUE"""),"Yes")</f>
        <v>Yes</v>
      </c>
    </row>
    <row r="446">
      <c r="A446" s="5" t="str">
        <f>IFERROR(__xludf.DUMMYFUNCTION("""COMPUTED_VALUE"""),"UnicornCoyoteGems")</f>
        <v>UnicornCoyoteGems</v>
      </c>
      <c r="B446"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6" s="5" t="str">
        <f>IFERROR(__xludf.DUMMYFUNCTION("""COMPUTED_VALUE"""),"Yes")</f>
        <v>Yes</v>
      </c>
      <c r="D446" s="5" t="str">
        <f>IFERROR(__xludf.DUMMYFUNCTION("""COMPUTED_VALUE"""),"Yes")</f>
        <v>Yes</v>
      </c>
      <c r="E446" s="5" t="str">
        <f>IFERROR(__xludf.DUMMYFUNCTION("""COMPUTED_VALUE"""),"Yes")</f>
        <v>Yes</v>
      </c>
      <c r="F446" s="5"/>
      <c r="G446" s="5"/>
      <c r="H446" s="5"/>
      <c r="I446" s="5"/>
      <c r="J446" s="5"/>
      <c r="K446" s="5" t="str">
        <f>IFERROR(__xludf.DUMMYFUNCTION("""COMPUTED_VALUE"""),"Yes")</f>
        <v>Yes</v>
      </c>
      <c r="L446" s="5" t="str">
        <f>IFERROR(__xludf.DUMMYFUNCTION("""COMPUTED_VALUE"""),"Yes")</f>
        <v>Yes</v>
      </c>
      <c r="M446" s="5" t="str">
        <f>IFERROR(__xludf.DUMMYFUNCTION("""COMPUTED_VALUE"""),"Yes")</f>
        <v>Yes</v>
      </c>
      <c r="N446" s="5" t="str">
        <f>IFERROR(__xludf.DUMMYFUNCTION("""COMPUTED_VALUE"""),"Yes")</f>
        <v>Yes</v>
      </c>
      <c r="O446" s="5" t="str">
        <f>IFERROR(__xludf.DUMMYFUNCTION("""COMPUTED_VALUE"""),"Yes")</f>
        <v>Yes</v>
      </c>
      <c r="P446" s="5"/>
      <c r="Q446" s="5" t="str">
        <f>IFERROR(__xludf.DUMMYFUNCTION("""COMPUTED_VALUE"""),"Yes")</f>
        <v>Yes</v>
      </c>
      <c r="R446" s="5"/>
      <c r="S446" s="5"/>
      <c r="T446" s="5"/>
      <c r="U446" s="5"/>
      <c r="V446" s="5"/>
      <c r="W446" s="5"/>
      <c r="X446" s="5" t="str">
        <f>IFERROR(__xludf.DUMMYFUNCTION("""COMPUTED_VALUE"""),"Yes")</f>
        <v>Yes</v>
      </c>
      <c r="Y446" s="5"/>
      <c r="Z446" s="5"/>
      <c r="AA446" s="5"/>
      <c r="AB446" s="5" t="str">
        <f>IFERROR(__xludf.DUMMYFUNCTION("""COMPUTED_VALUE"""),"Yes")</f>
        <v>Yes</v>
      </c>
      <c r="AC446" s="5" t="str">
        <f>IFERROR(__xludf.DUMMYFUNCTION("""COMPUTED_VALUE"""),"Yes")</f>
        <v>Yes</v>
      </c>
    </row>
    <row r="447">
      <c r="A447" s="5" t="str">
        <f>IFERROR(__xludf.DUMMYFUNCTION("""COMPUTED_VALUE"""),"UnicornDynamiteRunDice")</f>
        <v>UnicornDynamiteRunDice</v>
      </c>
      <c r="B44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7" s="5" t="str">
        <f>IFERROR(__xludf.DUMMYFUNCTION("""COMPUTED_VALUE"""),"Yes")</f>
        <v>Yes</v>
      </c>
      <c r="D447" s="5" t="str">
        <f>IFERROR(__xludf.DUMMYFUNCTION("""COMPUTED_VALUE"""),"Yes")</f>
        <v>Yes</v>
      </c>
      <c r="E447" s="5" t="str">
        <f>IFERROR(__xludf.DUMMYFUNCTION("""COMPUTED_VALUE"""),"Yes")</f>
        <v>Yes</v>
      </c>
      <c r="F447" s="5"/>
      <c r="G447" s="5"/>
      <c r="H447" s="5"/>
      <c r="I447" s="5"/>
      <c r="J447" s="5"/>
      <c r="K447" s="5" t="str">
        <f>IFERROR(__xludf.DUMMYFUNCTION("""COMPUTED_VALUE"""),"Yes")</f>
        <v>Yes</v>
      </c>
      <c r="L447" s="5" t="str">
        <f>IFERROR(__xludf.DUMMYFUNCTION("""COMPUTED_VALUE"""),"Yes")</f>
        <v>Yes</v>
      </c>
      <c r="M447" s="5" t="str">
        <f>IFERROR(__xludf.DUMMYFUNCTION("""COMPUTED_VALUE"""),"Yes")</f>
        <v>Yes</v>
      </c>
      <c r="N447" s="5" t="str">
        <f>IFERROR(__xludf.DUMMYFUNCTION("""COMPUTED_VALUE"""),"Yes")</f>
        <v>Yes</v>
      </c>
      <c r="O447" s="5" t="str">
        <f>IFERROR(__xludf.DUMMYFUNCTION("""COMPUTED_VALUE"""),"Yes")</f>
        <v>Yes</v>
      </c>
      <c r="P447" s="5"/>
      <c r="Q447" s="5" t="str">
        <f>IFERROR(__xludf.DUMMYFUNCTION("""COMPUTED_VALUE"""),"Yes")</f>
        <v>Yes</v>
      </c>
      <c r="R447" s="5"/>
      <c r="S447" s="5"/>
      <c r="T447" s="5"/>
      <c r="U447" s="5"/>
      <c r="V447" s="5"/>
      <c r="W447" s="5"/>
      <c r="X447" s="5" t="str">
        <f>IFERROR(__xludf.DUMMYFUNCTION("""COMPUTED_VALUE"""),"Yes")</f>
        <v>Yes</v>
      </c>
      <c r="Y447" s="5"/>
      <c r="Z447" s="5"/>
      <c r="AA447" s="5"/>
      <c r="AB447" s="5" t="str">
        <f>IFERROR(__xludf.DUMMYFUNCTION("""COMPUTED_VALUE"""),"Yes")</f>
        <v>Yes</v>
      </c>
      <c r="AC447" s="5" t="str">
        <f>IFERROR(__xludf.DUMMYFUNCTION("""COMPUTED_VALUE"""),"Yes")</f>
        <v>Yes</v>
      </c>
    </row>
    <row r="448">
      <c r="A448" s="5" t="str">
        <f>IFERROR(__xludf.DUMMYFUNCTION("""COMPUTED_VALUE"""),"UnicornBigSpinDragons")</f>
        <v>UnicornBigSpinDragons</v>
      </c>
      <c r="B44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8" s="5" t="str">
        <f>IFERROR(__xludf.DUMMYFUNCTION("""COMPUTED_VALUE"""),"Yes")</f>
        <v>Yes</v>
      </c>
      <c r="D448" s="5" t="str">
        <f>IFERROR(__xludf.DUMMYFUNCTION("""COMPUTED_VALUE"""),"Yes")</f>
        <v>Yes</v>
      </c>
      <c r="E448" s="5" t="str">
        <f>IFERROR(__xludf.DUMMYFUNCTION("""COMPUTED_VALUE"""),"Yes")</f>
        <v>Yes</v>
      </c>
      <c r="F448" s="5" t="str">
        <f>IFERROR(__xludf.DUMMYFUNCTION("""COMPUTED_VALUE"""),"No")</f>
        <v>No</v>
      </c>
      <c r="G448" s="5" t="str">
        <f>IFERROR(__xludf.DUMMYFUNCTION("""COMPUTED_VALUE"""),"No")</f>
        <v>No</v>
      </c>
      <c r="H448" s="5" t="str">
        <f>IFERROR(__xludf.DUMMYFUNCTION("""COMPUTED_VALUE"""),"No")</f>
        <v>No</v>
      </c>
      <c r="I448" s="5" t="str">
        <f>IFERROR(__xludf.DUMMYFUNCTION("""COMPUTED_VALUE"""),"No")</f>
        <v>No</v>
      </c>
      <c r="J448" s="5" t="str">
        <f>IFERROR(__xludf.DUMMYFUNCTION("""COMPUTED_VALUE"""),"No")</f>
        <v>No</v>
      </c>
      <c r="K448" s="5" t="str">
        <f>IFERROR(__xludf.DUMMYFUNCTION("""COMPUTED_VALUE"""),"Yes")</f>
        <v>Yes</v>
      </c>
      <c r="L448" s="5" t="str">
        <f>IFERROR(__xludf.DUMMYFUNCTION("""COMPUTED_VALUE"""),"Yes")</f>
        <v>Yes</v>
      </c>
      <c r="M448" s="5" t="str">
        <f>IFERROR(__xludf.DUMMYFUNCTION("""COMPUTED_VALUE"""),"Yes")</f>
        <v>Yes</v>
      </c>
      <c r="N448" s="5" t="str">
        <f>IFERROR(__xludf.DUMMYFUNCTION("""COMPUTED_VALUE"""),"Yes")</f>
        <v>Yes</v>
      </c>
      <c r="O448" s="5" t="str">
        <f>IFERROR(__xludf.DUMMYFUNCTION("""COMPUTED_VALUE"""),"Yes")</f>
        <v>Yes</v>
      </c>
      <c r="P448" s="5" t="str">
        <f>IFERROR(__xludf.DUMMYFUNCTION("""COMPUTED_VALUE"""),"No")</f>
        <v>No</v>
      </c>
      <c r="Q448" s="5" t="str">
        <f>IFERROR(__xludf.DUMMYFUNCTION("""COMPUTED_VALUE"""),"Yes")</f>
        <v>Yes</v>
      </c>
      <c r="R448" s="5" t="str">
        <f>IFERROR(__xludf.DUMMYFUNCTION("""COMPUTED_VALUE"""),"No")</f>
        <v>No</v>
      </c>
      <c r="S448" s="5" t="str">
        <f>IFERROR(__xludf.DUMMYFUNCTION("""COMPUTED_VALUE"""),"No")</f>
        <v>No</v>
      </c>
      <c r="T448" s="5" t="str">
        <f>IFERROR(__xludf.DUMMYFUNCTION("""COMPUTED_VALUE"""),"No")</f>
        <v>No</v>
      </c>
      <c r="U448" s="5" t="str">
        <f>IFERROR(__xludf.DUMMYFUNCTION("""COMPUTED_VALUE"""),"No")</f>
        <v>No</v>
      </c>
      <c r="V448" s="5"/>
      <c r="W448" s="5"/>
      <c r="X448" s="5" t="str">
        <f>IFERROR(__xludf.DUMMYFUNCTION("""COMPUTED_VALUE"""),"Yes")</f>
        <v>Yes</v>
      </c>
      <c r="Y448" s="5"/>
      <c r="Z448" s="5" t="str">
        <f>IFERROR(__xludf.DUMMYFUNCTION("""COMPUTED_VALUE"""),"No")</f>
        <v>No</v>
      </c>
      <c r="AA448" s="5"/>
      <c r="AB448" s="5" t="str">
        <f>IFERROR(__xludf.DUMMYFUNCTION("""COMPUTED_VALUE"""),"Yes")</f>
        <v>Yes</v>
      </c>
      <c r="AC448" s="5" t="str">
        <f>IFERROR(__xludf.DUMMYFUNCTION("""COMPUTED_VALUE"""),"Yes")</f>
        <v>Yes</v>
      </c>
    </row>
    <row r="449">
      <c r="A449" s="5" t="str">
        <f>IFERROR(__xludf.DUMMYFUNCTION("""COMPUTED_VALUE"""),"UnicornSimplySevensGems")</f>
        <v>UnicornSimplySevensGems</v>
      </c>
      <c r="B44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9" s="5" t="str">
        <f>IFERROR(__xludf.DUMMYFUNCTION("""COMPUTED_VALUE"""),"Yes")</f>
        <v>Yes</v>
      </c>
      <c r="D449" s="5" t="str">
        <f>IFERROR(__xludf.DUMMYFUNCTION("""COMPUTED_VALUE"""),"Yes")</f>
        <v>Yes</v>
      </c>
      <c r="E449" s="5" t="str">
        <f>IFERROR(__xludf.DUMMYFUNCTION("""COMPUTED_VALUE"""),"Yes")</f>
        <v>Yes</v>
      </c>
      <c r="F449" s="5" t="str">
        <f>IFERROR(__xludf.DUMMYFUNCTION("""COMPUTED_VALUE"""),"No")</f>
        <v>No</v>
      </c>
      <c r="G449" s="5" t="str">
        <f>IFERROR(__xludf.DUMMYFUNCTION("""COMPUTED_VALUE"""),"No")</f>
        <v>No</v>
      </c>
      <c r="H449" s="5" t="str">
        <f>IFERROR(__xludf.DUMMYFUNCTION("""COMPUTED_VALUE"""),"No")</f>
        <v>No</v>
      </c>
      <c r="I449" s="5" t="str">
        <f>IFERROR(__xludf.DUMMYFUNCTION("""COMPUTED_VALUE"""),"No")</f>
        <v>No</v>
      </c>
      <c r="J449" s="5" t="str">
        <f>IFERROR(__xludf.DUMMYFUNCTION("""COMPUTED_VALUE"""),"No")</f>
        <v>No</v>
      </c>
      <c r="K449" s="5" t="str">
        <f>IFERROR(__xludf.DUMMYFUNCTION("""COMPUTED_VALUE"""),"Yes")</f>
        <v>Yes</v>
      </c>
      <c r="L449" s="5" t="str">
        <f>IFERROR(__xludf.DUMMYFUNCTION("""COMPUTED_VALUE"""),"Yes")</f>
        <v>Yes</v>
      </c>
      <c r="M449" s="5" t="str">
        <f>IFERROR(__xludf.DUMMYFUNCTION("""COMPUTED_VALUE"""),"Yes")</f>
        <v>Yes</v>
      </c>
      <c r="N449" s="5" t="str">
        <f>IFERROR(__xludf.DUMMYFUNCTION("""COMPUTED_VALUE"""),"Yes")</f>
        <v>Yes</v>
      </c>
      <c r="O449" s="5" t="str">
        <f>IFERROR(__xludf.DUMMYFUNCTION("""COMPUTED_VALUE"""),"Yes")</f>
        <v>Yes</v>
      </c>
      <c r="P449" s="5" t="str">
        <f>IFERROR(__xludf.DUMMYFUNCTION("""COMPUTED_VALUE"""),"No")</f>
        <v>No</v>
      </c>
      <c r="Q449" s="5" t="str">
        <f>IFERROR(__xludf.DUMMYFUNCTION("""COMPUTED_VALUE"""),"Yes")</f>
        <v>Yes</v>
      </c>
      <c r="R449" s="5" t="str">
        <f>IFERROR(__xludf.DUMMYFUNCTION("""COMPUTED_VALUE"""),"No")</f>
        <v>No</v>
      </c>
      <c r="S449" s="5" t="str">
        <f>IFERROR(__xludf.DUMMYFUNCTION("""COMPUTED_VALUE"""),"No")</f>
        <v>No</v>
      </c>
      <c r="T449" s="5" t="str">
        <f>IFERROR(__xludf.DUMMYFUNCTION("""COMPUTED_VALUE"""),"No")</f>
        <v>No</v>
      </c>
      <c r="U449" s="5" t="str">
        <f>IFERROR(__xludf.DUMMYFUNCTION("""COMPUTED_VALUE"""),"No")</f>
        <v>No</v>
      </c>
      <c r="V449" s="5"/>
      <c r="W449" s="5"/>
      <c r="X449" s="5" t="str">
        <f>IFERROR(__xludf.DUMMYFUNCTION("""COMPUTED_VALUE"""),"Yes")</f>
        <v>Yes</v>
      </c>
      <c r="Y449" s="5"/>
      <c r="Z449" s="5" t="str">
        <f>IFERROR(__xludf.DUMMYFUNCTION("""COMPUTED_VALUE"""),"No")</f>
        <v>No</v>
      </c>
      <c r="AA449" s="5"/>
      <c r="AB449" s="5" t="str">
        <f>IFERROR(__xludf.DUMMYFUNCTION("""COMPUTED_VALUE"""),"Yes")</f>
        <v>Yes</v>
      </c>
      <c r="AC449" s="5" t="str">
        <f>IFERROR(__xludf.DUMMYFUNCTION("""COMPUTED_VALUE"""),"Yes")</f>
        <v>Yes</v>
      </c>
    </row>
    <row r="450">
      <c r="A450" s="5" t="str">
        <f>IFERROR(__xludf.DUMMYFUNCTION("""COMPUTED_VALUE"""),"UnicornSuperFireDiceJackpot")</f>
        <v>UnicornSuperFireDiceJackpot</v>
      </c>
      <c r="B45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0" s="5" t="str">
        <f>IFERROR(__xludf.DUMMYFUNCTION("""COMPUTED_VALUE"""),"Yes")</f>
        <v>Yes</v>
      </c>
      <c r="D450" s="5" t="str">
        <f>IFERROR(__xludf.DUMMYFUNCTION("""COMPUTED_VALUE"""),"Yes")</f>
        <v>Yes</v>
      </c>
      <c r="E450" s="5" t="str">
        <f>IFERROR(__xludf.DUMMYFUNCTION("""COMPUTED_VALUE"""),"Yes")</f>
        <v>Yes</v>
      </c>
      <c r="F450" s="5" t="str">
        <f>IFERROR(__xludf.DUMMYFUNCTION("""COMPUTED_VALUE"""),"No")</f>
        <v>No</v>
      </c>
      <c r="G450" s="5" t="str">
        <f>IFERROR(__xludf.DUMMYFUNCTION("""COMPUTED_VALUE"""),"No")</f>
        <v>No</v>
      </c>
      <c r="H450" s="5" t="str">
        <f>IFERROR(__xludf.DUMMYFUNCTION("""COMPUTED_VALUE"""),"No")</f>
        <v>No</v>
      </c>
      <c r="I450" s="5" t="str">
        <f>IFERROR(__xludf.DUMMYFUNCTION("""COMPUTED_VALUE"""),"No")</f>
        <v>No</v>
      </c>
      <c r="J450" s="5" t="str">
        <f>IFERROR(__xludf.DUMMYFUNCTION("""COMPUTED_VALUE"""),"No")</f>
        <v>No</v>
      </c>
      <c r="K450" s="5" t="str">
        <f>IFERROR(__xludf.DUMMYFUNCTION("""COMPUTED_VALUE"""),"Yes")</f>
        <v>Yes</v>
      </c>
      <c r="L450" s="5" t="str">
        <f>IFERROR(__xludf.DUMMYFUNCTION("""COMPUTED_VALUE"""),"Yes")</f>
        <v>Yes</v>
      </c>
      <c r="M450" s="5" t="str">
        <f>IFERROR(__xludf.DUMMYFUNCTION("""COMPUTED_VALUE"""),"Yes")</f>
        <v>Yes</v>
      </c>
      <c r="N450" s="5" t="str">
        <f>IFERROR(__xludf.DUMMYFUNCTION("""COMPUTED_VALUE"""),"Yes")</f>
        <v>Yes</v>
      </c>
      <c r="O450" s="5" t="str">
        <f>IFERROR(__xludf.DUMMYFUNCTION("""COMPUTED_VALUE"""),"Yes")</f>
        <v>Yes</v>
      </c>
      <c r="P450" s="5" t="str">
        <f>IFERROR(__xludf.DUMMYFUNCTION("""COMPUTED_VALUE"""),"No")</f>
        <v>No</v>
      </c>
      <c r="Q450" s="5" t="str">
        <f>IFERROR(__xludf.DUMMYFUNCTION("""COMPUTED_VALUE"""),"Yes")</f>
        <v>Yes</v>
      </c>
      <c r="R450" s="5" t="str">
        <f>IFERROR(__xludf.DUMMYFUNCTION("""COMPUTED_VALUE"""),"No")</f>
        <v>No</v>
      </c>
      <c r="S450" s="5" t="str">
        <f>IFERROR(__xludf.DUMMYFUNCTION("""COMPUTED_VALUE"""),"No")</f>
        <v>No</v>
      </c>
      <c r="T450" s="5" t="str">
        <f>IFERROR(__xludf.DUMMYFUNCTION("""COMPUTED_VALUE"""),"No")</f>
        <v>No</v>
      </c>
      <c r="U450" s="5" t="str">
        <f>IFERROR(__xludf.DUMMYFUNCTION("""COMPUTED_VALUE"""),"No")</f>
        <v>No</v>
      </c>
      <c r="V450" s="5"/>
      <c r="W450" s="5"/>
      <c r="X450" s="5" t="str">
        <f>IFERROR(__xludf.DUMMYFUNCTION("""COMPUTED_VALUE"""),"Yes")</f>
        <v>Yes</v>
      </c>
      <c r="Y450" s="5"/>
      <c r="Z450" s="5" t="str">
        <f>IFERROR(__xludf.DUMMYFUNCTION("""COMPUTED_VALUE"""),"No")</f>
        <v>No</v>
      </c>
      <c r="AA450" s="5"/>
      <c r="AB450" s="5" t="str">
        <f>IFERROR(__xludf.DUMMYFUNCTION("""COMPUTED_VALUE"""),"Yes")</f>
        <v>Yes</v>
      </c>
      <c r="AC450" s="5" t="str">
        <f>IFERROR(__xludf.DUMMYFUNCTION("""COMPUTED_VALUE"""),"Yes")</f>
        <v>Yes</v>
      </c>
    </row>
    <row r="451">
      <c r="A451" s="5" t="str">
        <f>IFERROR(__xludf.DUMMYFUNCTION("""COMPUTED_VALUE"""),"UnicornMisterDice")</f>
        <v>UnicornMisterDice</v>
      </c>
      <c r="B45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1" s="5" t="str">
        <f>IFERROR(__xludf.DUMMYFUNCTION("""COMPUTED_VALUE"""),"Yes")</f>
        <v>Yes</v>
      </c>
      <c r="D451" s="5" t="str">
        <f>IFERROR(__xludf.DUMMYFUNCTION("""COMPUTED_VALUE"""),"Yes")</f>
        <v>Yes</v>
      </c>
      <c r="E451" s="5" t="str">
        <f>IFERROR(__xludf.DUMMYFUNCTION("""COMPUTED_VALUE"""),"Yes")</f>
        <v>Yes</v>
      </c>
      <c r="F451" s="5" t="str">
        <f>IFERROR(__xludf.DUMMYFUNCTION("""COMPUTED_VALUE"""),"No")</f>
        <v>No</v>
      </c>
      <c r="G451" s="5" t="str">
        <f>IFERROR(__xludf.DUMMYFUNCTION("""COMPUTED_VALUE"""),"No")</f>
        <v>No</v>
      </c>
      <c r="H451" s="5" t="str">
        <f>IFERROR(__xludf.DUMMYFUNCTION("""COMPUTED_VALUE"""),"No")</f>
        <v>No</v>
      </c>
      <c r="I451" s="5" t="str">
        <f>IFERROR(__xludf.DUMMYFUNCTION("""COMPUTED_VALUE"""),"No")</f>
        <v>No</v>
      </c>
      <c r="J451" s="5" t="str">
        <f>IFERROR(__xludf.DUMMYFUNCTION("""COMPUTED_VALUE"""),"No")</f>
        <v>No</v>
      </c>
      <c r="K451" s="5" t="str">
        <f>IFERROR(__xludf.DUMMYFUNCTION("""COMPUTED_VALUE"""),"Yes")</f>
        <v>Yes</v>
      </c>
      <c r="L451" s="5" t="str">
        <f>IFERROR(__xludf.DUMMYFUNCTION("""COMPUTED_VALUE"""),"Yes")</f>
        <v>Yes</v>
      </c>
      <c r="M451" s="5" t="str">
        <f>IFERROR(__xludf.DUMMYFUNCTION("""COMPUTED_VALUE"""),"Yes")</f>
        <v>Yes</v>
      </c>
      <c r="N451" s="5" t="str">
        <f>IFERROR(__xludf.DUMMYFUNCTION("""COMPUTED_VALUE"""),"Yes")</f>
        <v>Yes</v>
      </c>
      <c r="O451" s="5" t="str">
        <f>IFERROR(__xludf.DUMMYFUNCTION("""COMPUTED_VALUE"""),"Yes")</f>
        <v>Yes</v>
      </c>
      <c r="P451" s="5" t="str">
        <f>IFERROR(__xludf.DUMMYFUNCTION("""COMPUTED_VALUE"""),"No")</f>
        <v>No</v>
      </c>
      <c r="Q451" s="5" t="str">
        <f>IFERROR(__xludf.DUMMYFUNCTION("""COMPUTED_VALUE"""),"Yes")</f>
        <v>Yes</v>
      </c>
      <c r="R451" s="5" t="str">
        <f>IFERROR(__xludf.DUMMYFUNCTION("""COMPUTED_VALUE"""),"No")</f>
        <v>No</v>
      </c>
      <c r="S451" s="5" t="str">
        <f>IFERROR(__xludf.DUMMYFUNCTION("""COMPUTED_VALUE"""),"No")</f>
        <v>No</v>
      </c>
      <c r="T451" s="5" t="str">
        <f>IFERROR(__xludf.DUMMYFUNCTION("""COMPUTED_VALUE"""),"No")</f>
        <v>No</v>
      </c>
      <c r="U451" s="5" t="str">
        <f>IFERROR(__xludf.DUMMYFUNCTION("""COMPUTED_VALUE"""),"No")</f>
        <v>No</v>
      </c>
      <c r="V451" s="5"/>
      <c r="W451" s="5"/>
      <c r="X451" s="5" t="str">
        <f>IFERROR(__xludf.DUMMYFUNCTION("""COMPUTED_VALUE"""),"Yes")</f>
        <v>Yes</v>
      </c>
      <c r="Y451" s="5"/>
      <c r="Z451" s="5" t="str">
        <f>IFERROR(__xludf.DUMMYFUNCTION("""COMPUTED_VALUE"""),"No")</f>
        <v>No</v>
      </c>
      <c r="AA451" s="5"/>
      <c r="AB451" s="5" t="str">
        <f>IFERROR(__xludf.DUMMYFUNCTION("""COMPUTED_VALUE"""),"Yes")</f>
        <v>Yes</v>
      </c>
      <c r="AC451" s="5" t="str">
        <f>IFERROR(__xludf.DUMMYFUNCTION("""COMPUTED_VALUE"""),"Yes")</f>
        <v>Yes</v>
      </c>
    </row>
    <row r="452">
      <c r="A452" s="5" t="str">
        <f>IFERROR(__xludf.DUMMYFUNCTION("""COMPUTED_VALUE"""),"UnicornThreeReelSevens")</f>
        <v>UnicornThreeReelSevens</v>
      </c>
      <c r="B45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2" s="5" t="str">
        <f>IFERROR(__xludf.DUMMYFUNCTION("""COMPUTED_VALUE"""),"Yes")</f>
        <v>Yes</v>
      </c>
      <c r="D452" s="5" t="str">
        <f>IFERROR(__xludf.DUMMYFUNCTION("""COMPUTED_VALUE"""),"Yes")</f>
        <v>Yes</v>
      </c>
      <c r="E452" s="5" t="str">
        <f>IFERROR(__xludf.DUMMYFUNCTION("""COMPUTED_VALUE"""),"Yes")</f>
        <v>Yes</v>
      </c>
      <c r="F452" s="5" t="str">
        <f>IFERROR(__xludf.DUMMYFUNCTION("""COMPUTED_VALUE"""),"No")</f>
        <v>No</v>
      </c>
      <c r="G452" s="5" t="str">
        <f>IFERROR(__xludf.DUMMYFUNCTION("""COMPUTED_VALUE"""),"No")</f>
        <v>No</v>
      </c>
      <c r="H452" s="5" t="str">
        <f>IFERROR(__xludf.DUMMYFUNCTION("""COMPUTED_VALUE"""),"No")</f>
        <v>No</v>
      </c>
      <c r="I452" s="5" t="str">
        <f>IFERROR(__xludf.DUMMYFUNCTION("""COMPUTED_VALUE"""),"No")</f>
        <v>No</v>
      </c>
      <c r="J452" s="5" t="str">
        <f>IFERROR(__xludf.DUMMYFUNCTION("""COMPUTED_VALUE"""),"No")</f>
        <v>No</v>
      </c>
      <c r="K452" s="5" t="str">
        <f>IFERROR(__xludf.DUMMYFUNCTION("""COMPUTED_VALUE"""),"Yes")</f>
        <v>Yes</v>
      </c>
      <c r="L452" s="5" t="str">
        <f>IFERROR(__xludf.DUMMYFUNCTION("""COMPUTED_VALUE"""),"Yes")</f>
        <v>Yes</v>
      </c>
      <c r="M452" s="5" t="str">
        <f>IFERROR(__xludf.DUMMYFUNCTION("""COMPUTED_VALUE"""),"Yes")</f>
        <v>Yes</v>
      </c>
      <c r="N452" s="5" t="str">
        <f>IFERROR(__xludf.DUMMYFUNCTION("""COMPUTED_VALUE"""),"Yes")</f>
        <v>Yes</v>
      </c>
      <c r="O452" s="5" t="str">
        <f>IFERROR(__xludf.DUMMYFUNCTION("""COMPUTED_VALUE"""),"Yes")</f>
        <v>Yes</v>
      </c>
      <c r="P452" s="5" t="str">
        <f>IFERROR(__xludf.DUMMYFUNCTION("""COMPUTED_VALUE"""),"No")</f>
        <v>No</v>
      </c>
      <c r="Q452" s="5" t="str">
        <f>IFERROR(__xludf.DUMMYFUNCTION("""COMPUTED_VALUE"""),"Yes")</f>
        <v>Yes</v>
      </c>
      <c r="R452" s="5" t="str">
        <f>IFERROR(__xludf.DUMMYFUNCTION("""COMPUTED_VALUE"""),"No")</f>
        <v>No</v>
      </c>
      <c r="S452" s="5" t="str">
        <f>IFERROR(__xludf.DUMMYFUNCTION("""COMPUTED_VALUE"""),"No")</f>
        <v>No</v>
      </c>
      <c r="T452" s="5" t="str">
        <f>IFERROR(__xludf.DUMMYFUNCTION("""COMPUTED_VALUE"""),"No")</f>
        <v>No</v>
      </c>
      <c r="U452" s="5" t="str">
        <f>IFERROR(__xludf.DUMMYFUNCTION("""COMPUTED_VALUE"""),"No")</f>
        <v>No</v>
      </c>
      <c r="V452" s="5"/>
      <c r="W452" s="5"/>
      <c r="X452" s="5" t="str">
        <f>IFERROR(__xludf.DUMMYFUNCTION("""COMPUTED_VALUE"""),"Yes")</f>
        <v>Yes</v>
      </c>
      <c r="Y452" s="5"/>
      <c r="Z452" s="5" t="str">
        <f>IFERROR(__xludf.DUMMYFUNCTION("""COMPUTED_VALUE"""),"No")</f>
        <v>No</v>
      </c>
      <c r="AA452" s="5"/>
      <c r="AB452" s="5" t="str">
        <f>IFERROR(__xludf.DUMMYFUNCTION("""COMPUTED_VALUE"""),"Yes")</f>
        <v>Yes</v>
      </c>
      <c r="AC452" s="5" t="str">
        <f>IFERROR(__xludf.DUMMYFUNCTION("""COMPUTED_VALUE"""),"Yes")</f>
        <v>Yes</v>
      </c>
    </row>
    <row r="453">
      <c r="A453" s="5" t="str">
        <f>IFERROR(__xludf.DUMMYFUNCTION("""COMPUTED_VALUE"""),"LuckySheriff")</f>
        <v>LuckySheriff</v>
      </c>
      <c r="B4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3" s="5" t="str">
        <f>IFERROR(__xludf.DUMMYFUNCTION("""COMPUTED_VALUE"""),"Yes")</f>
        <v>Yes</v>
      </c>
      <c r="D453" s="5" t="str">
        <f>IFERROR(__xludf.DUMMYFUNCTION("""COMPUTED_VALUE"""),"Yes")</f>
        <v>Yes</v>
      </c>
      <c r="E453" s="5" t="str">
        <f>IFERROR(__xludf.DUMMYFUNCTION("""COMPUTED_VALUE"""),"Yes")</f>
        <v>Yes</v>
      </c>
      <c r="F453" s="5" t="str">
        <f>IFERROR(__xludf.DUMMYFUNCTION("""COMPUTED_VALUE"""),"Yes")</f>
        <v>Yes</v>
      </c>
      <c r="G453" s="5" t="str">
        <f>IFERROR(__xludf.DUMMYFUNCTION("""COMPUTED_VALUE"""),"Yes")</f>
        <v>Yes</v>
      </c>
      <c r="H453" s="5" t="str">
        <f>IFERROR(__xludf.DUMMYFUNCTION("""COMPUTED_VALUE"""),"Yes")</f>
        <v>Yes</v>
      </c>
      <c r="I453" s="5" t="str">
        <f>IFERROR(__xludf.DUMMYFUNCTION("""COMPUTED_VALUE"""),"Yes")</f>
        <v>Yes</v>
      </c>
      <c r="J453" s="5" t="str">
        <f>IFERROR(__xludf.DUMMYFUNCTION("""COMPUTED_VALUE"""),"Yes")</f>
        <v>Yes</v>
      </c>
      <c r="K453" s="5" t="str">
        <f>IFERROR(__xludf.DUMMYFUNCTION("""COMPUTED_VALUE"""),"Yes")</f>
        <v>Yes</v>
      </c>
      <c r="L453" s="5" t="str">
        <f>IFERROR(__xludf.DUMMYFUNCTION("""COMPUTED_VALUE"""),"Yes")</f>
        <v>Yes</v>
      </c>
      <c r="M453" s="5" t="str">
        <f>IFERROR(__xludf.DUMMYFUNCTION("""COMPUTED_VALUE"""),"Yes")</f>
        <v>Yes</v>
      </c>
      <c r="N453" s="5" t="str">
        <f>IFERROR(__xludf.DUMMYFUNCTION("""COMPUTED_VALUE"""),"Yes")</f>
        <v>Yes</v>
      </c>
      <c r="O453" s="5" t="str">
        <f>IFERROR(__xludf.DUMMYFUNCTION("""COMPUTED_VALUE"""),"Yes")</f>
        <v>Yes</v>
      </c>
      <c r="P453" s="5" t="str">
        <f>IFERROR(__xludf.DUMMYFUNCTION("""COMPUTED_VALUE"""),"Yes")</f>
        <v>Yes</v>
      </c>
      <c r="Q453" s="5" t="str">
        <f>IFERROR(__xludf.DUMMYFUNCTION("""COMPUTED_VALUE"""),"Yes")</f>
        <v>Yes</v>
      </c>
      <c r="R453" s="5" t="str">
        <f>IFERROR(__xludf.DUMMYFUNCTION("""COMPUTED_VALUE"""),"Yes")</f>
        <v>Yes</v>
      </c>
      <c r="S453" s="5" t="str">
        <f>IFERROR(__xludf.DUMMYFUNCTION("""COMPUTED_VALUE"""),"Yes")</f>
        <v>Yes</v>
      </c>
      <c r="T453" s="5" t="str">
        <f>IFERROR(__xludf.DUMMYFUNCTION("""COMPUTED_VALUE"""),"Yes")</f>
        <v>Yes</v>
      </c>
      <c r="U453" s="5" t="str">
        <f>IFERROR(__xludf.DUMMYFUNCTION("""COMPUTED_VALUE"""),"Yes")</f>
        <v>Yes</v>
      </c>
      <c r="V453" s="5" t="str">
        <f>IFERROR(__xludf.DUMMYFUNCTION("""COMPUTED_VALUE"""),"Yes")</f>
        <v>Yes</v>
      </c>
      <c r="W453" s="5" t="str">
        <f>IFERROR(__xludf.DUMMYFUNCTION("""COMPUTED_VALUE"""),"Yes")</f>
        <v>Yes</v>
      </c>
      <c r="X453" s="5" t="str">
        <f>IFERROR(__xludf.DUMMYFUNCTION("""COMPUTED_VALUE"""),"Yes")</f>
        <v>Yes</v>
      </c>
      <c r="Y453" s="5" t="str">
        <f>IFERROR(__xludf.DUMMYFUNCTION("""COMPUTED_VALUE"""),"Yes")</f>
        <v>Yes</v>
      </c>
      <c r="Z453" s="5" t="str">
        <f>IFERROR(__xludf.DUMMYFUNCTION("""COMPUTED_VALUE"""),"Yes")</f>
        <v>Yes</v>
      </c>
      <c r="AA453" s="5" t="str">
        <f>IFERROR(__xludf.DUMMYFUNCTION("""COMPUTED_VALUE"""),"Yes")</f>
        <v>Yes</v>
      </c>
      <c r="AB453" s="5" t="str">
        <f>IFERROR(__xludf.DUMMYFUNCTION("""COMPUTED_VALUE"""),"Yes")</f>
        <v>Yes</v>
      </c>
      <c r="AC453" s="5" t="str">
        <f>IFERROR(__xludf.DUMMYFUNCTION("""COMPUTED_VALUE"""),"No")</f>
        <v>No</v>
      </c>
    </row>
    <row r="454">
      <c r="A454" s="5" t="str">
        <f>IFERROR(__xludf.DUMMYFUNCTION("""COMPUTED_VALUE"""),"CoinSplash")</f>
        <v>CoinSplash</v>
      </c>
      <c r="B4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4" s="5" t="str">
        <f>IFERROR(__xludf.DUMMYFUNCTION("""COMPUTED_VALUE"""),"Yes")</f>
        <v>Yes</v>
      </c>
      <c r="D454" s="5" t="str">
        <f>IFERROR(__xludf.DUMMYFUNCTION("""COMPUTED_VALUE"""),"Yes")</f>
        <v>Yes</v>
      </c>
      <c r="E454" s="5" t="str">
        <f>IFERROR(__xludf.DUMMYFUNCTION("""COMPUTED_VALUE"""),"Yes")</f>
        <v>Yes</v>
      </c>
      <c r="F454" s="5" t="str">
        <f>IFERROR(__xludf.DUMMYFUNCTION("""COMPUTED_VALUE"""),"Yes")</f>
        <v>Yes</v>
      </c>
      <c r="G454" s="5" t="str">
        <f>IFERROR(__xludf.DUMMYFUNCTION("""COMPUTED_VALUE"""),"Yes")</f>
        <v>Yes</v>
      </c>
      <c r="H454" s="5" t="str">
        <f>IFERROR(__xludf.DUMMYFUNCTION("""COMPUTED_VALUE"""),"Yes")</f>
        <v>Yes</v>
      </c>
      <c r="I454" s="5" t="str">
        <f>IFERROR(__xludf.DUMMYFUNCTION("""COMPUTED_VALUE"""),"Yes")</f>
        <v>Yes</v>
      </c>
      <c r="J454" s="5" t="str">
        <f>IFERROR(__xludf.DUMMYFUNCTION("""COMPUTED_VALUE"""),"Yes")</f>
        <v>Yes</v>
      </c>
      <c r="K454" s="5" t="str">
        <f>IFERROR(__xludf.DUMMYFUNCTION("""COMPUTED_VALUE"""),"Yes")</f>
        <v>Yes</v>
      </c>
      <c r="L454" s="5" t="str">
        <f>IFERROR(__xludf.DUMMYFUNCTION("""COMPUTED_VALUE"""),"Yes")</f>
        <v>Yes</v>
      </c>
      <c r="M454" s="5" t="str">
        <f>IFERROR(__xludf.DUMMYFUNCTION("""COMPUTED_VALUE"""),"Yes")</f>
        <v>Yes</v>
      </c>
      <c r="N454" s="5" t="str">
        <f>IFERROR(__xludf.DUMMYFUNCTION("""COMPUTED_VALUE"""),"Yes")</f>
        <v>Yes</v>
      </c>
      <c r="O454" s="5" t="str">
        <f>IFERROR(__xludf.DUMMYFUNCTION("""COMPUTED_VALUE"""),"Yes")</f>
        <v>Yes</v>
      </c>
      <c r="P454" s="5" t="str">
        <f>IFERROR(__xludf.DUMMYFUNCTION("""COMPUTED_VALUE"""),"Yes")</f>
        <v>Yes</v>
      </c>
      <c r="Q454" s="5" t="str">
        <f>IFERROR(__xludf.DUMMYFUNCTION("""COMPUTED_VALUE"""),"Yes")</f>
        <v>Yes</v>
      </c>
      <c r="R454" s="5" t="str">
        <f>IFERROR(__xludf.DUMMYFUNCTION("""COMPUTED_VALUE"""),"Yes")</f>
        <v>Yes</v>
      </c>
      <c r="S454" s="5" t="str">
        <f>IFERROR(__xludf.DUMMYFUNCTION("""COMPUTED_VALUE"""),"Yes")</f>
        <v>Yes</v>
      </c>
      <c r="T454" s="5" t="str">
        <f>IFERROR(__xludf.DUMMYFUNCTION("""COMPUTED_VALUE"""),"Yes")</f>
        <v>Yes</v>
      </c>
      <c r="U454" s="5" t="str">
        <f>IFERROR(__xludf.DUMMYFUNCTION("""COMPUTED_VALUE"""),"Yes")</f>
        <v>Yes</v>
      </c>
      <c r="V454" s="5" t="str">
        <f>IFERROR(__xludf.DUMMYFUNCTION("""COMPUTED_VALUE"""),"Yes")</f>
        <v>Yes</v>
      </c>
      <c r="W454" s="5" t="str">
        <f>IFERROR(__xludf.DUMMYFUNCTION("""COMPUTED_VALUE"""),"Yes")</f>
        <v>Yes</v>
      </c>
      <c r="X454" s="5" t="str">
        <f>IFERROR(__xludf.DUMMYFUNCTION("""COMPUTED_VALUE"""),"Yes")</f>
        <v>Yes</v>
      </c>
      <c r="Y454" s="5" t="str">
        <f>IFERROR(__xludf.DUMMYFUNCTION("""COMPUTED_VALUE"""),"Yes")</f>
        <v>Yes</v>
      </c>
      <c r="Z454" s="5" t="str">
        <f>IFERROR(__xludf.DUMMYFUNCTION("""COMPUTED_VALUE"""),"Yes")</f>
        <v>Yes</v>
      </c>
      <c r="AA454" s="5" t="str">
        <f>IFERROR(__xludf.DUMMYFUNCTION("""COMPUTED_VALUE"""),"Yes")</f>
        <v>Yes</v>
      </c>
      <c r="AB454" s="5" t="str">
        <f>IFERROR(__xludf.DUMMYFUNCTION("""COMPUTED_VALUE"""),"Yes")</f>
        <v>Yes</v>
      </c>
      <c r="AC454" s="5" t="str">
        <f>IFERROR(__xludf.DUMMYFUNCTION("""COMPUTED_VALUE"""),"No")</f>
        <v>No</v>
      </c>
    </row>
    <row r="455">
      <c r="A455" s="5" t="str">
        <f>IFERROR(__xludf.DUMMYFUNCTION("""COMPUTED_VALUE"""),"Redstone10WildHeart")</f>
        <v>Redstone10WildHeart</v>
      </c>
      <c r="B45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5" s="5" t="str">
        <f>IFERROR(__xludf.DUMMYFUNCTION("""COMPUTED_VALUE"""),"Yes")</f>
        <v>Yes</v>
      </c>
      <c r="D455" s="5" t="str">
        <f>IFERROR(__xludf.DUMMYFUNCTION("""COMPUTED_VALUE"""),"Yes")</f>
        <v>Yes</v>
      </c>
      <c r="E455" s="5" t="str">
        <f>IFERROR(__xludf.DUMMYFUNCTION("""COMPUTED_VALUE"""),"Yes")</f>
        <v>Yes</v>
      </c>
      <c r="F455" s="5" t="str">
        <f>IFERROR(__xludf.DUMMYFUNCTION("""COMPUTED_VALUE"""),"No")</f>
        <v>No</v>
      </c>
      <c r="G455" s="5" t="str">
        <f>IFERROR(__xludf.DUMMYFUNCTION("""COMPUTED_VALUE"""),"No")</f>
        <v>No</v>
      </c>
      <c r="H455" s="5" t="str">
        <f>IFERROR(__xludf.DUMMYFUNCTION("""COMPUTED_VALUE"""),"No")</f>
        <v>No</v>
      </c>
      <c r="I455" s="5" t="str">
        <f>IFERROR(__xludf.DUMMYFUNCTION("""COMPUTED_VALUE"""),"No")</f>
        <v>No</v>
      </c>
      <c r="J455" s="5" t="str">
        <f>IFERROR(__xludf.DUMMYFUNCTION("""COMPUTED_VALUE"""),"No")</f>
        <v>No</v>
      </c>
      <c r="K455" s="5" t="str">
        <f>IFERROR(__xludf.DUMMYFUNCTION("""COMPUTED_VALUE"""),"Yes")</f>
        <v>Yes</v>
      </c>
      <c r="L455" s="5" t="str">
        <f>IFERROR(__xludf.DUMMYFUNCTION("""COMPUTED_VALUE"""),"Yes")</f>
        <v>Yes</v>
      </c>
      <c r="M455" s="5" t="str">
        <f>IFERROR(__xludf.DUMMYFUNCTION("""COMPUTED_VALUE"""),"Yes")</f>
        <v>Yes</v>
      </c>
      <c r="N455" s="5" t="str">
        <f>IFERROR(__xludf.DUMMYFUNCTION("""COMPUTED_VALUE"""),"Yes")</f>
        <v>Yes</v>
      </c>
      <c r="O455" s="5" t="str">
        <f>IFERROR(__xludf.DUMMYFUNCTION("""COMPUTED_VALUE"""),"Yes")</f>
        <v>Yes</v>
      </c>
      <c r="P455" s="5" t="str">
        <f>IFERROR(__xludf.DUMMYFUNCTION("""COMPUTED_VALUE"""),"No")</f>
        <v>No</v>
      </c>
      <c r="Q455" s="5" t="str">
        <f>IFERROR(__xludf.DUMMYFUNCTION("""COMPUTED_VALUE"""),"Yes")</f>
        <v>Yes</v>
      </c>
      <c r="R455" s="5" t="str">
        <f>IFERROR(__xludf.DUMMYFUNCTION("""COMPUTED_VALUE"""),"No")</f>
        <v>No</v>
      </c>
      <c r="S455" s="5" t="str">
        <f>IFERROR(__xludf.DUMMYFUNCTION("""COMPUTED_VALUE"""),"No")</f>
        <v>No</v>
      </c>
      <c r="T455" s="5" t="str">
        <f>IFERROR(__xludf.DUMMYFUNCTION("""COMPUTED_VALUE"""),"No")</f>
        <v>No</v>
      </c>
      <c r="U455" s="5" t="str">
        <f>IFERROR(__xludf.DUMMYFUNCTION("""COMPUTED_VALUE"""),"No")</f>
        <v>No</v>
      </c>
      <c r="V455" s="5"/>
      <c r="W455" s="5"/>
      <c r="X455" s="5" t="str">
        <f>IFERROR(__xludf.DUMMYFUNCTION("""COMPUTED_VALUE"""),"Yes")</f>
        <v>Yes</v>
      </c>
      <c r="Y455" s="5"/>
      <c r="Z455" s="5" t="str">
        <f>IFERROR(__xludf.DUMMYFUNCTION("""COMPUTED_VALUE"""),"No")</f>
        <v>No</v>
      </c>
      <c r="AA455" s="5"/>
      <c r="AB455" s="5" t="str">
        <f>IFERROR(__xludf.DUMMYFUNCTION("""COMPUTED_VALUE"""),"Yes")</f>
        <v>Yes</v>
      </c>
      <c r="AC455" s="5" t="str">
        <f>IFERROR(__xludf.DUMMYFUNCTION("""COMPUTED_VALUE"""),"Yes")</f>
        <v>Yes</v>
      </c>
    </row>
    <row r="456">
      <c r="A456" s="5" t="str">
        <f>IFERROR(__xludf.DUMMYFUNCTION("""COMPUTED_VALUE"""),"Redstone40JokerFire")</f>
        <v>Redstone40JokerFire</v>
      </c>
      <c r="B456" s="5" t="str">
        <f>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C456" s="5" t="str">
        <f>IFERROR(__xludf.DUMMYFUNCTION("""COMPUTED_VALUE"""),"Yes")</f>
        <v>Yes</v>
      </c>
      <c r="D456" s="5" t="str">
        <f>IFERROR(__xludf.DUMMYFUNCTION("""COMPUTED_VALUE"""),"Yes")</f>
        <v>Yes</v>
      </c>
      <c r="E456" s="5" t="str">
        <f>IFERROR(__xludf.DUMMYFUNCTION("""COMPUTED_VALUE"""),"Yes")</f>
        <v>Yes</v>
      </c>
      <c r="F456" s="5" t="str">
        <f>IFERROR(__xludf.DUMMYFUNCTION("""COMPUTED_VALUE"""),"No")</f>
        <v>No</v>
      </c>
      <c r="G456" s="5" t="str">
        <f>IFERROR(__xludf.DUMMYFUNCTION("""COMPUTED_VALUE"""),"No")</f>
        <v>No</v>
      </c>
      <c r="H456" s="5" t="str">
        <f>IFERROR(__xludf.DUMMYFUNCTION("""COMPUTED_VALUE"""),"No")</f>
        <v>No</v>
      </c>
      <c r="I456" s="5" t="str">
        <f>IFERROR(__xludf.DUMMYFUNCTION("""COMPUTED_VALUE"""),"No")</f>
        <v>No</v>
      </c>
      <c r="J456" s="5" t="str">
        <f>IFERROR(__xludf.DUMMYFUNCTION("""COMPUTED_VALUE"""),"No")</f>
        <v>No</v>
      </c>
      <c r="K456" s="5" t="str">
        <f>IFERROR(__xludf.DUMMYFUNCTION("""COMPUTED_VALUE"""),"Yes")</f>
        <v>Yes</v>
      </c>
      <c r="L456" s="5" t="str">
        <f>IFERROR(__xludf.DUMMYFUNCTION("""COMPUTED_VALUE"""),"Yes")</f>
        <v>Yes</v>
      </c>
      <c r="M456" s="5" t="str">
        <f>IFERROR(__xludf.DUMMYFUNCTION("""COMPUTED_VALUE"""),"Yes")</f>
        <v>Yes</v>
      </c>
      <c r="N456" s="5" t="str">
        <f>IFERROR(__xludf.DUMMYFUNCTION("""COMPUTED_VALUE"""),"Yes")</f>
        <v>Yes</v>
      </c>
      <c r="O456" s="5" t="str">
        <f>IFERROR(__xludf.DUMMYFUNCTION("""COMPUTED_VALUE"""),"Yes")</f>
        <v>Yes</v>
      </c>
      <c r="P456" s="5" t="str">
        <f>IFERROR(__xludf.DUMMYFUNCTION("""COMPUTED_VALUE"""),"No")</f>
        <v>No</v>
      </c>
      <c r="Q456" s="5" t="str">
        <f>IFERROR(__xludf.DUMMYFUNCTION("""COMPUTED_VALUE"""),"Yes")</f>
        <v>Yes</v>
      </c>
      <c r="R456" s="5" t="str">
        <f>IFERROR(__xludf.DUMMYFUNCTION("""COMPUTED_VALUE"""),"No")</f>
        <v>No</v>
      </c>
      <c r="S456" s="5" t="str">
        <f>IFERROR(__xludf.DUMMYFUNCTION("""COMPUTED_VALUE"""),"No")</f>
        <v>No</v>
      </c>
      <c r="T456" s="5" t="str">
        <f>IFERROR(__xludf.DUMMYFUNCTION("""COMPUTED_VALUE"""),"No")</f>
        <v>No</v>
      </c>
      <c r="U456" s="5" t="str">
        <f>IFERROR(__xludf.DUMMYFUNCTION("""COMPUTED_VALUE"""),"No")</f>
        <v>No</v>
      </c>
      <c r="V456" s="5"/>
      <c r="W456" s="5" t="str">
        <f>IFERROR(__xludf.DUMMYFUNCTION("""COMPUTED_VALUE"""),"Yes")</f>
        <v>Yes</v>
      </c>
      <c r="X456" s="5" t="str">
        <f>IFERROR(__xludf.DUMMYFUNCTION("""COMPUTED_VALUE"""),"Yes")</f>
        <v>Yes</v>
      </c>
      <c r="Y456" s="5"/>
      <c r="Z456" s="5" t="str">
        <f>IFERROR(__xludf.DUMMYFUNCTION("""COMPUTED_VALUE"""),"No")</f>
        <v>No</v>
      </c>
      <c r="AA456" s="5"/>
      <c r="AB456" s="5" t="str">
        <f>IFERROR(__xludf.DUMMYFUNCTION("""COMPUTED_VALUE"""),"Yes")</f>
        <v>Yes</v>
      </c>
      <c r="AC456" s="5"/>
    </row>
    <row r="457">
      <c r="A457" s="5" t="str">
        <f>IFERROR(__xludf.DUMMYFUNCTION("""COMPUTED_VALUE"""),"RedstoneBonusStars")</f>
        <v>RedstoneBonusStars</v>
      </c>
      <c r="B45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7" s="5" t="str">
        <f>IFERROR(__xludf.DUMMYFUNCTION("""COMPUTED_VALUE"""),"Yes")</f>
        <v>Yes</v>
      </c>
      <c r="D457" s="5" t="str">
        <f>IFERROR(__xludf.DUMMYFUNCTION("""COMPUTED_VALUE"""),"Yes")</f>
        <v>Yes</v>
      </c>
      <c r="E457" s="5" t="str">
        <f>IFERROR(__xludf.DUMMYFUNCTION("""COMPUTED_VALUE"""),"No")</f>
        <v>No</v>
      </c>
      <c r="F457" s="5" t="str">
        <f>IFERROR(__xludf.DUMMYFUNCTION("""COMPUTED_VALUE"""),"Yes")</f>
        <v>Yes</v>
      </c>
      <c r="G457" s="5" t="str">
        <f>IFERROR(__xludf.DUMMYFUNCTION("""COMPUTED_VALUE"""),"Yes")</f>
        <v>Yes</v>
      </c>
      <c r="H457" s="5" t="str">
        <f>IFERROR(__xludf.DUMMYFUNCTION("""COMPUTED_VALUE"""),"Yes")</f>
        <v>Yes</v>
      </c>
      <c r="I457" s="5" t="str">
        <f>IFERROR(__xludf.DUMMYFUNCTION("""COMPUTED_VALUE"""),"Yes")</f>
        <v>Yes</v>
      </c>
      <c r="J457" s="5" t="str">
        <f>IFERROR(__xludf.DUMMYFUNCTION("""COMPUTED_VALUE"""),"Yes")</f>
        <v>Yes</v>
      </c>
      <c r="K457" s="5" t="str">
        <f>IFERROR(__xludf.DUMMYFUNCTION("""COMPUTED_VALUE"""),"Yes")</f>
        <v>Yes</v>
      </c>
      <c r="L457" s="5" t="str">
        <f>IFERROR(__xludf.DUMMYFUNCTION("""COMPUTED_VALUE"""),"Yes")</f>
        <v>Yes</v>
      </c>
      <c r="M457" s="5" t="str">
        <f>IFERROR(__xludf.DUMMYFUNCTION("""COMPUTED_VALUE"""),"Yes")</f>
        <v>Yes</v>
      </c>
      <c r="N457" s="5" t="str">
        <f>IFERROR(__xludf.DUMMYFUNCTION("""COMPUTED_VALUE"""),"Yes")</f>
        <v>Yes</v>
      </c>
      <c r="O457" s="5" t="str">
        <f>IFERROR(__xludf.DUMMYFUNCTION("""COMPUTED_VALUE"""),"Yes")</f>
        <v>Yes</v>
      </c>
      <c r="P457" s="5" t="str">
        <f>IFERROR(__xludf.DUMMYFUNCTION("""COMPUTED_VALUE"""),"Yes")</f>
        <v>Yes</v>
      </c>
      <c r="Q457" s="5" t="str">
        <f>IFERROR(__xludf.DUMMYFUNCTION("""COMPUTED_VALUE"""),"Yes")</f>
        <v>Yes</v>
      </c>
      <c r="R457" s="5" t="str">
        <f>IFERROR(__xludf.DUMMYFUNCTION("""COMPUTED_VALUE"""),"No")</f>
        <v>No</v>
      </c>
      <c r="S457" s="5" t="str">
        <f>IFERROR(__xludf.DUMMYFUNCTION("""COMPUTED_VALUE"""),"No")</f>
        <v>No</v>
      </c>
      <c r="T457" s="5" t="str">
        <f>IFERROR(__xludf.DUMMYFUNCTION("""COMPUTED_VALUE"""),"No")</f>
        <v>No</v>
      </c>
      <c r="U457" s="5" t="str">
        <f>IFERROR(__xludf.DUMMYFUNCTION("""COMPUTED_VALUE"""),"No")</f>
        <v>No</v>
      </c>
      <c r="V457" s="5" t="str">
        <f>IFERROR(__xludf.DUMMYFUNCTION("""COMPUTED_VALUE"""),"No")</f>
        <v>No</v>
      </c>
      <c r="W457" s="5" t="str">
        <f>IFERROR(__xludf.DUMMYFUNCTION("""COMPUTED_VALUE"""),"No")</f>
        <v>No</v>
      </c>
      <c r="X457" s="5" t="str">
        <f>IFERROR(__xludf.DUMMYFUNCTION("""COMPUTED_VALUE"""),"Yes")</f>
        <v>Yes</v>
      </c>
      <c r="Y457" s="5" t="str">
        <f>IFERROR(__xludf.DUMMYFUNCTION("""COMPUTED_VALUE"""),"No")</f>
        <v>No</v>
      </c>
      <c r="Z457" s="5" t="str">
        <f>IFERROR(__xludf.DUMMYFUNCTION("""COMPUTED_VALUE"""),"No")</f>
        <v>No</v>
      </c>
      <c r="AA457" s="5" t="str">
        <f>IFERROR(__xludf.DUMMYFUNCTION("""COMPUTED_VALUE"""),"No")</f>
        <v>No</v>
      </c>
      <c r="AB457" s="5" t="str">
        <f>IFERROR(__xludf.DUMMYFUNCTION("""COMPUTED_VALUE"""),"Yes")</f>
        <v>Yes</v>
      </c>
      <c r="AC457" s="5" t="str">
        <f>IFERROR(__xludf.DUMMYFUNCTION("""COMPUTED_VALUE"""),"No")</f>
        <v>No</v>
      </c>
    </row>
    <row r="458">
      <c r="A458" s="5" t="str">
        <f>IFERROR(__xludf.DUMMYFUNCTION("""COMPUTED_VALUE"""),"Redstone5StarFire")</f>
        <v>Redstone5StarFire</v>
      </c>
      <c r="B45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8" s="5" t="str">
        <f>IFERROR(__xludf.DUMMYFUNCTION("""COMPUTED_VALUE"""),"Yes")</f>
        <v>Yes</v>
      </c>
      <c r="D458" s="5" t="str">
        <f>IFERROR(__xludf.DUMMYFUNCTION("""COMPUTED_VALUE"""),"Yes")</f>
        <v>Yes</v>
      </c>
      <c r="E458" s="5" t="str">
        <f>IFERROR(__xludf.DUMMYFUNCTION("""COMPUTED_VALUE"""),"No")</f>
        <v>No</v>
      </c>
      <c r="F458" s="5" t="str">
        <f>IFERROR(__xludf.DUMMYFUNCTION("""COMPUTED_VALUE"""),"Yes")</f>
        <v>Yes</v>
      </c>
      <c r="G458" s="5" t="str">
        <f>IFERROR(__xludf.DUMMYFUNCTION("""COMPUTED_VALUE"""),"Yes")</f>
        <v>Yes</v>
      </c>
      <c r="H458" s="5" t="str">
        <f>IFERROR(__xludf.DUMMYFUNCTION("""COMPUTED_VALUE"""),"Yes")</f>
        <v>Yes</v>
      </c>
      <c r="I458" s="5" t="str">
        <f>IFERROR(__xludf.DUMMYFUNCTION("""COMPUTED_VALUE"""),"Yes")</f>
        <v>Yes</v>
      </c>
      <c r="J458" s="5" t="str">
        <f>IFERROR(__xludf.DUMMYFUNCTION("""COMPUTED_VALUE"""),"Yes")</f>
        <v>Yes</v>
      </c>
      <c r="K458" s="5" t="str">
        <f>IFERROR(__xludf.DUMMYFUNCTION("""COMPUTED_VALUE"""),"Yes")</f>
        <v>Yes</v>
      </c>
      <c r="L458" s="5" t="str">
        <f>IFERROR(__xludf.DUMMYFUNCTION("""COMPUTED_VALUE"""),"Yes")</f>
        <v>Yes</v>
      </c>
      <c r="M458" s="5" t="str">
        <f>IFERROR(__xludf.DUMMYFUNCTION("""COMPUTED_VALUE"""),"Yes")</f>
        <v>Yes</v>
      </c>
      <c r="N458" s="5" t="str">
        <f>IFERROR(__xludf.DUMMYFUNCTION("""COMPUTED_VALUE"""),"Yes")</f>
        <v>Yes</v>
      </c>
      <c r="O458" s="5" t="str">
        <f>IFERROR(__xludf.DUMMYFUNCTION("""COMPUTED_VALUE"""),"Yes")</f>
        <v>Yes</v>
      </c>
      <c r="P458" s="5" t="str">
        <f>IFERROR(__xludf.DUMMYFUNCTION("""COMPUTED_VALUE"""),"Yes")</f>
        <v>Yes</v>
      </c>
      <c r="Q458" s="5" t="str">
        <f>IFERROR(__xludf.DUMMYFUNCTION("""COMPUTED_VALUE"""),"Yes")</f>
        <v>Yes</v>
      </c>
      <c r="R458" s="5" t="str">
        <f>IFERROR(__xludf.DUMMYFUNCTION("""COMPUTED_VALUE"""),"No")</f>
        <v>No</v>
      </c>
      <c r="S458" s="5" t="str">
        <f>IFERROR(__xludf.DUMMYFUNCTION("""COMPUTED_VALUE"""),"No")</f>
        <v>No</v>
      </c>
      <c r="T458" s="5" t="str">
        <f>IFERROR(__xludf.DUMMYFUNCTION("""COMPUTED_VALUE"""),"No")</f>
        <v>No</v>
      </c>
      <c r="U458" s="5" t="str">
        <f>IFERROR(__xludf.DUMMYFUNCTION("""COMPUTED_VALUE"""),"No")</f>
        <v>No</v>
      </c>
      <c r="V458" s="5" t="str">
        <f>IFERROR(__xludf.DUMMYFUNCTION("""COMPUTED_VALUE"""),"No")</f>
        <v>No</v>
      </c>
      <c r="W458" s="5" t="str">
        <f>IFERROR(__xludf.DUMMYFUNCTION("""COMPUTED_VALUE"""),"No")</f>
        <v>No</v>
      </c>
      <c r="X458" s="5" t="str">
        <f>IFERROR(__xludf.DUMMYFUNCTION("""COMPUTED_VALUE"""),"Yes")</f>
        <v>Yes</v>
      </c>
      <c r="Y458" s="5" t="str">
        <f>IFERROR(__xludf.DUMMYFUNCTION("""COMPUTED_VALUE"""),"No")</f>
        <v>No</v>
      </c>
      <c r="Z458" s="5" t="str">
        <f>IFERROR(__xludf.DUMMYFUNCTION("""COMPUTED_VALUE"""),"No")</f>
        <v>No</v>
      </c>
      <c r="AA458" s="5" t="str">
        <f>IFERROR(__xludf.DUMMYFUNCTION("""COMPUTED_VALUE"""),"No")</f>
        <v>No</v>
      </c>
      <c r="AB458" s="5" t="str">
        <f>IFERROR(__xludf.DUMMYFUNCTION("""COMPUTED_VALUE"""),"Yes")</f>
        <v>Yes</v>
      </c>
      <c r="AC458" s="5" t="str">
        <f>IFERROR(__xludf.DUMMYFUNCTION("""COMPUTED_VALUE"""),"No")</f>
        <v>No</v>
      </c>
    </row>
    <row r="459">
      <c r="A459" s="5" t="str">
        <f>IFERROR(__xludf.DUMMYFUNCTION("""COMPUTED_VALUE"""),"RedstoneCrushBonanza")</f>
        <v>RedstoneCrushBonanza</v>
      </c>
      <c r="B45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9" s="5" t="str">
        <f>IFERROR(__xludf.DUMMYFUNCTION("""COMPUTED_VALUE"""),"Yes")</f>
        <v>Yes</v>
      </c>
      <c r="D459" s="5" t="str">
        <f>IFERROR(__xludf.DUMMYFUNCTION("""COMPUTED_VALUE"""),"Yes")</f>
        <v>Yes</v>
      </c>
      <c r="E459" s="5" t="str">
        <f>IFERROR(__xludf.DUMMYFUNCTION("""COMPUTED_VALUE"""),"No")</f>
        <v>No</v>
      </c>
      <c r="F459" s="5" t="str">
        <f>IFERROR(__xludf.DUMMYFUNCTION("""COMPUTED_VALUE"""),"Yes")</f>
        <v>Yes</v>
      </c>
      <c r="G459" s="5" t="str">
        <f>IFERROR(__xludf.DUMMYFUNCTION("""COMPUTED_VALUE"""),"Yes")</f>
        <v>Yes</v>
      </c>
      <c r="H459" s="5" t="str">
        <f>IFERROR(__xludf.DUMMYFUNCTION("""COMPUTED_VALUE"""),"Yes")</f>
        <v>Yes</v>
      </c>
      <c r="I459" s="5" t="str">
        <f>IFERROR(__xludf.DUMMYFUNCTION("""COMPUTED_VALUE"""),"Yes")</f>
        <v>Yes</v>
      </c>
      <c r="J459" s="5" t="str">
        <f>IFERROR(__xludf.DUMMYFUNCTION("""COMPUTED_VALUE"""),"Yes")</f>
        <v>Yes</v>
      </c>
      <c r="K459" s="5" t="str">
        <f>IFERROR(__xludf.DUMMYFUNCTION("""COMPUTED_VALUE"""),"Yes")</f>
        <v>Yes</v>
      </c>
      <c r="L459" s="5" t="str">
        <f>IFERROR(__xludf.DUMMYFUNCTION("""COMPUTED_VALUE"""),"Yes")</f>
        <v>Yes</v>
      </c>
      <c r="M459" s="5" t="str">
        <f>IFERROR(__xludf.DUMMYFUNCTION("""COMPUTED_VALUE"""),"Yes")</f>
        <v>Yes</v>
      </c>
      <c r="N459" s="5" t="str">
        <f>IFERROR(__xludf.DUMMYFUNCTION("""COMPUTED_VALUE"""),"Yes")</f>
        <v>Yes</v>
      </c>
      <c r="O459" s="5" t="str">
        <f>IFERROR(__xludf.DUMMYFUNCTION("""COMPUTED_VALUE"""),"Yes")</f>
        <v>Yes</v>
      </c>
      <c r="P459" s="5" t="str">
        <f>IFERROR(__xludf.DUMMYFUNCTION("""COMPUTED_VALUE"""),"Yes")</f>
        <v>Yes</v>
      </c>
      <c r="Q459" s="5" t="str">
        <f>IFERROR(__xludf.DUMMYFUNCTION("""COMPUTED_VALUE"""),"Yes")</f>
        <v>Yes</v>
      </c>
      <c r="R459" s="5" t="str">
        <f>IFERROR(__xludf.DUMMYFUNCTION("""COMPUTED_VALUE"""),"No")</f>
        <v>No</v>
      </c>
      <c r="S459" s="5" t="str">
        <f>IFERROR(__xludf.DUMMYFUNCTION("""COMPUTED_VALUE"""),"No")</f>
        <v>No</v>
      </c>
      <c r="T459" s="5" t="str">
        <f>IFERROR(__xludf.DUMMYFUNCTION("""COMPUTED_VALUE"""),"No")</f>
        <v>No</v>
      </c>
      <c r="U459" s="5" t="str">
        <f>IFERROR(__xludf.DUMMYFUNCTION("""COMPUTED_VALUE"""),"No")</f>
        <v>No</v>
      </c>
      <c r="V459" s="5" t="str">
        <f>IFERROR(__xludf.DUMMYFUNCTION("""COMPUTED_VALUE"""),"No")</f>
        <v>No</v>
      </c>
      <c r="W459" s="5" t="str">
        <f>IFERROR(__xludf.DUMMYFUNCTION("""COMPUTED_VALUE"""),"No")</f>
        <v>No</v>
      </c>
      <c r="X459" s="5" t="str">
        <f>IFERROR(__xludf.DUMMYFUNCTION("""COMPUTED_VALUE"""),"Yes")</f>
        <v>Yes</v>
      </c>
      <c r="Y459" s="5" t="str">
        <f>IFERROR(__xludf.DUMMYFUNCTION("""COMPUTED_VALUE"""),"No")</f>
        <v>No</v>
      </c>
      <c r="Z459" s="5" t="str">
        <f>IFERROR(__xludf.DUMMYFUNCTION("""COMPUTED_VALUE"""),"No")</f>
        <v>No</v>
      </c>
      <c r="AA459" s="5" t="str">
        <f>IFERROR(__xludf.DUMMYFUNCTION("""COMPUTED_VALUE"""),"No")</f>
        <v>No</v>
      </c>
      <c r="AB459" s="5" t="str">
        <f>IFERROR(__xludf.DUMMYFUNCTION("""COMPUTED_VALUE"""),"Yes")</f>
        <v>Yes</v>
      </c>
      <c r="AC459" s="5" t="str">
        <f>IFERROR(__xludf.DUMMYFUNCTION("""COMPUTED_VALUE"""),"No")</f>
        <v>No</v>
      </c>
    </row>
    <row r="460">
      <c r="A460" s="5" t="str">
        <f>IFERROR(__xludf.DUMMYFUNCTION("""COMPUTED_VALUE"""),"RedstoneStickyBrilliants")</f>
        <v>RedstoneStickyBrilliants</v>
      </c>
      <c r="B4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0" s="5" t="str">
        <f>IFERROR(__xludf.DUMMYFUNCTION("""COMPUTED_VALUE"""),"Yes")</f>
        <v>Yes</v>
      </c>
      <c r="D460" s="5" t="str">
        <f>IFERROR(__xludf.DUMMYFUNCTION("""COMPUTED_VALUE"""),"Yes")</f>
        <v>Yes</v>
      </c>
      <c r="E460" s="5" t="str">
        <f>IFERROR(__xludf.DUMMYFUNCTION("""COMPUTED_VALUE"""),"Yes")</f>
        <v>Yes</v>
      </c>
      <c r="F460" s="5" t="str">
        <f>IFERROR(__xludf.DUMMYFUNCTION("""COMPUTED_VALUE"""),"Yes")</f>
        <v>Yes</v>
      </c>
      <c r="G460" s="5" t="str">
        <f>IFERROR(__xludf.DUMMYFUNCTION("""COMPUTED_VALUE"""),"Yes")</f>
        <v>Yes</v>
      </c>
      <c r="H460" s="5" t="str">
        <f>IFERROR(__xludf.DUMMYFUNCTION("""COMPUTED_VALUE"""),"Yes")</f>
        <v>Yes</v>
      </c>
      <c r="I460" s="5" t="str">
        <f>IFERROR(__xludf.DUMMYFUNCTION("""COMPUTED_VALUE"""),"Yes")</f>
        <v>Yes</v>
      </c>
      <c r="J460" s="5" t="str">
        <f>IFERROR(__xludf.DUMMYFUNCTION("""COMPUTED_VALUE"""),"Yes")</f>
        <v>Yes</v>
      </c>
      <c r="K460" s="5" t="str">
        <f>IFERROR(__xludf.DUMMYFUNCTION("""COMPUTED_VALUE"""),"Yes")</f>
        <v>Yes</v>
      </c>
      <c r="L460" s="5" t="str">
        <f>IFERROR(__xludf.DUMMYFUNCTION("""COMPUTED_VALUE"""),"Yes")</f>
        <v>Yes</v>
      </c>
      <c r="M460" s="5" t="str">
        <f>IFERROR(__xludf.DUMMYFUNCTION("""COMPUTED_VALUE"""),"Yes")</f>
        <v>Yes</v>
      </c>
      <c r="N460" s="5" t="str">
        <f>IFERROR(__xludf.DUMMYFUNCTION("""COMPUTED_VALUE"""),"Yes")</f>
        <v>Yes</v>
      </c>
      <c r="O460" s="5" t="str">
        <f>IFERROR(__xludf.DUMMYFUNCTION("""COMPUTED_VALUE"""),"Yes")</f>
        <v>Yes</v>
      </c>
      <c r="P460" s="5" t="str">
        <f>IFERROR(__xludf.DUMMYFUNCTION("""COMPUTED_VALUE"""),"Yes")</f>
        <v>Yes</v>
      </c>
      <c r="Q460" s="5" t="str">
        <f>IFERROR(__xludf.DUMMYFUNCTION("""COMPUTED_VALUE"""),"Yes")</f>
        <v>Yes</v>
      </c>
      <c r="R460" s="5" t="str">
        <f>IFERROR(__xludf.DUMMYFUNCTION("""COMPUTED_VALUE"""),"Yes")</f>
        <v>Yes</v>
      </c>
      <c r="S460" s="5" t="str">
        <f>IFERROR(__xludf.DUMMYFUNCTION("""COMPUTED_VALUE"""),"Yes")</f>
        <v>Yes</v>
      </c>
      <c r="T460" s="5" t="str">
        <f>IFERROR(__xludf.DUMMYFUNCTION("""COMPUTED_VALUE"""),"Yes")</f>
        <v>Yes</v>
      </c>
      <c r="U460" s="5" t="str">
        <f>IFERROR(__xludf.DUMMYFUNCTION("""COMPUTED_VALUE"""),"Yes")</f>
        <v>Yes</v>
      </c>
      <c r="V460" s="5"/>
      <c r="W460" s="5"/>
      <c r="X460" s="5"/>
      <c r="Y460" s="5"/>
      <c r="Z460" s="5" t="str">
        <f>IFERROR(__xludf.DUMMYFUNCTION("""COMPUTED_VALUE"""),"Yes")</f>
        <v>Yes</v>
      </c>
      <c r="AA460" s="5"/>
      <c r="AB460" s="5"/>
      <c r="AC460" s="5"/>
    </row>
    <row r="461">
      <c r="A461" s="5" t="str">
        <f>IFERROR(__xludf.DUMMYFUNCTION("""COMPUTED_VALUE"""),"RedstoneBookOfMystic")</f>
        <v>RedstoneBookOfMystic</v>
      </c>
      <c r="B4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1" s="5" t="str">
        <f>IFERROR(__xludf.DUMMYFUNCTION("""COMPUTED_VALUE"""),"Yes")</f>
        <v>Yes</v>
      </c>
      <c r="D461" s="5" t="str">
        <f>IFERROR(__xludf.DUMMYFUNCTION("""COMPUTED_VALUE"""),"Yes")</f>
        <v>Yes</v>
      </c>
      <c r="E461" s="5" t="str">
        <f>IFERROR(__xludf.DUMMYFUNCTION("""COMPUTED_VALUE"""),"Yes")</f>
        <v>Yes</v>
      </c>
      <c r="F461" s="5" t="str">
        <f>IFERROR(__xludf.DUMMYFUNCTION("""COMPUTED_VALUE"""),"Yes")</f>
        <v>Yes</v>
      </c>
      <c r="G461" s="5" t="str">
        <f>IFERROR(__xludf.DUMMYFUNCTION("""COMPUTED_VALUE"""),"Yes")</f>
        <v>Yes</v>
      </c>
      <c r="H461" s="5" t="str">
        <f>IFERROR(__xludf.DUMMYFUNCTION("""COMPUTED_VALUE"""),"Yes")</f>
        <v>Yes</v>
      </c>
      <c r="I461" s="5" t="str">
        <f>IFERROR(__xludf.DUMMYFUNCTION("""COMPUTED_VALUE"""),"Yes")</f>
        <v>Yes</v>
      </c>
      <c r="J461" s="5" t="str">
        <f>IFERROR(__xludf.DUMMYFUNCTION("""COMPUTED_VALUE"""),"Yes")</f>
        <v>Yes</v>
      </c>
      <c r="K461" s="5" t="str">
        <f>IFERROR(__xludf.DUMMYFUNCTION("""COMPUTED_VALUE"""),"Yes")</f>
        <v>Yes</v>
      </c>
      <c r="L461" s="5" t="str">
        <f>IFERROR(__xludf.DUMMYFUNCTION("""COMPUTED_VALUE"""),"Yes")</f>
        <v>Yes</v>
      </c>
      <c r="M461" s="5" t="str">
        <f>IFERROR(__xludf.DUMMYFUNCTION("""COMPUTED_VALUE"""),"Yes")</f>
        <v>Yes</v>
      </c>
      <c r="N461" s="5" t="str">
        <f>IFERROR(__xludf.DUMMYFUNCTION("""COMPUTED_VALUE"""),"Yes")</f>
        <v>Yes</v>
      </c>
      <c r="O461" s="5" t="str">
        <f>IFERROR(__xludf.DUMMYFUNCTION("""COMPUTED_VALUE"""),"Yes")</f>
        <v>Yes</v>
      </c>
      <c r="P461" s="5" t="str">
        <f>IFERROR(__xludf.DUMMYFUNCTION("""COMPUTED_VALUE"""),"Yes")</f>
        <v>Yes</v>
      </c>
      <c r="Q461" s="5" t="str">
        <f>IFERROR(__xludf.DUMMYFUNCTION("""COMPUTED_VALUE"""),"Yes")</f>
        <v>Yes</v>
      </c>
      <c r="R461" s="5" t="str">
        <f>IFERROR(__xludf.DUMMYFUNCTION("""COMPUTED_VALUE"""),"Yes")</f>
        <v>Yes</v>
      </c>
      <c r="S461" s="5" t="str">
        <f>IFERROR(__xludf.DUMMYFUNCTION("""COMPUTED_VALUE"""),"Yes")</f>
        <v>Yes</v>
      </c>
      <c r="T461" s="5" t="str">
        <f>IFERROR(__xludf.DUMMYFUNCTION("""COMPUTED_VALUE"""),"Yes")</f>
        <v>Yes</v>
      </c>
      <c r="U461" s="5" t="str">
        <f>IFERROR(__xludf.DUMMYFUNCTION("""COMPUTED_VALUE"""),"Yes")</f>
        <v>Yes</v>
      </c>
      <c r="V461" s="5"/>
      <c r="W461" s="5"/>
      <c r="X461" s="5"/>
      <c r="Y461" s="5"/>
      <c r="Z461" s="5" t="str">
        <f>IFERROR(__xludf.DUMMYFUNCTION("""COMPUTED_VALUE"""),"Yes")</f>
        <v>Yes</v>
      </c>
      <c r="AA461" s="5"/>
      <c r="AB461" s="5"/>
      <c r="AC461" s="5"/>
    </row>
    <row r="462">
      <c r="A462" s="5" t="str">
        <f>IFERROR(__xludf.DUMMYFUNCTION("""COMPUTED_VALUE"""),"RedstoneCloverDrop")</f>
        <v>RedstoneCloverDrop</v>
      </c>
      <c r="B4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2" s="5" t="str">
        <f>IFERROR(__xludf.DUMMYFUNCTION("""COMPUTED_VALUE"""),"Yes")</f>
        <v>Yes</v>
      </c>
      <c r="D462" s="5" t="str">
        <f>IFERROR(__xludf.DUMMYFUNCTION("""COMPUTED_VALUE"""),"Yes")</f>
        <v>Yes</v>
      </c>
      <c r="E462" s="5" t="str">
        <f>IFERROR(__xludf.DUMMYFUNCTION("""COMPUTED_VALUE"""),"Yes")</f>
        <v>Yes</v>
      </c>
      <c r="F462" s="5" t="str">
        <f>IFERROR(__xludf.DUMMYFUNCTION("""COMPUTED_VALUE"""),"Yes")</f>
        <v>Yes</v>
      </c>
      <c r="G462" s="5" t="str">
        <f>IFERROR(__xludf.DUMMYFUNCTION("""COMPUTED_VALUE"""),"Yes")</f>
        <v>Yes</v>
      </c>
      <c r="H462" s="5" t="str">
        <f>IFERROR(__xludf.DUMMYFUNCTION("""COMPUTED_VALUE"""),"Yes")</f>
        <v>Yes</v>
      </c>
      <c r="I462" s="5" t="str">
        <f>IFERROR(__xludf.DUMMYFUNCTION("""COMPUTED_VALUE"""),"Yes")</f>
        <v>Yes</v>
      </c>
      <c r="J462" s="5" t="str">
        <f>IFERROR(__xludf.DUMMYFUNCTION("""COMPUTED_VALUE"""),"Yes")</f>
        <v>Yes</v>
      </c>
      <c r="K462" s="5" t="str">
        <f>IFERROR(__xludf.DUMMYFUNCTION("""COMPUTED_VALUE"""),"Yes")</f>
        <v>Yes</v>
      </c>
      <c r="L462" s="5" t="str">
        <f>IFERROR(__xludf.DUMMYFUNCTION("""COMPUTED_VALUE"""),"Yes")</f>
        <v>Yes</v>
      </c>
      <c r="M462" s="5" t="str">
        <f>IFERROR(__xludf.DUMMYFUNCTION("""COMPUTED_VALUE"""),"Yes")</f>
        <v>Yes</v>
      </c>
      <c r="N462" s="5" t="str">
        <f>IFERROR(__xludf.DUMMYFUNCTION("""COMPUTED_VALUE"""),"Yes")</f>
        <v>Yes</v>
      </c>
      <c r="O462" s="5" t="str">
        <f>IFERROR(__xludf.DUMMYFUNCTION("""COMPUTED_VALUE"""),"Yes")</f>
        <v>Yes</v>
      </c>
      <c r="P462" s="5" t="str">
        <f>IFERROR(__xludf.DUMMYFUNCTION("""COMPUTED_VALUE"""),"Yes")</f>
        <v>Yes</v>
      </c>
      <c r="Q462" s="5" t="str">
        <f>IFERROR(__xludf.DUMMYFUNCTION("""COMPUTED_VALUE"""),"Yes")</f>
        <v>Yes</v>
      </c>
      <c r="R462" s="5" t="str">
        <f>IFERROR(__xludf.DUMMYFUNCTION("""COMPUTED_VALUE"""),"Yes")</f>
        <v>Yes</v>
      </c>
      <c r="S462" s="5" t="str">
        <f>IFERROR(__xludf.DUMMYFUNCTION("""COMPUTED_VALUE"""),"Yes")</f>
        <v>Yes</v>
      </c>
      <c r="T462" s="5" t="str">
        <f>IFERROR(__xludf.DUMMYFUNCTION("""COMPUTED_VALUE"""),"Yes")</f>
        <v>Yes</v>
      </c>
      <c r="U462" s="5" t="str">
        <f>IFERROR(__xludf.DUMMYFUNCTION("""COMPUTED_VALUE"""),"Yes")</f>
        <v>Yes</v>
      </c>
      <c r="V462" s="5"/>
      <c r="W462" s="5"/>
      <c r="X462" s="5"/>
      <c r="Y462" s="5"/>
      <c r="Z462" s="5" t="str">
        <f>IFERROR(__xludf.DUMMYFUNCTION("""COMPUTED_VALUE"""),"Yes")</f>
        <v>Yes</v>
      </c>
      <c r="AA462" s="5"/>
      <c r="AB462" s="5"/>
      <c r="AC462" s="5"/>
    </row>
    <row r="463">
      <c r="A463" s="5" t="str">
        <f>IFERROR(__xludf.DUMMYFUNCTION("""COMPUTED_VALUE"""),"PlayNetCloverSpread40")</f>
        <v>PlayNetCloverSpread40</v>
      </c>
      <c r="B46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63" s="5" t="str">
        <f>IFERROR(__xludf.DUMMYFUNCTION("""COMPUTED_VALUE"""),"Yes")</f>
        <v>Yes</v>
      </c>
      <c r="D463" s="5" t="str">
        <f>IFERROR(__xludf.DUMMYFUNCTION("""COMPUTED_VALUE"""),"Yes")</f>
        <v>Yes</v>
      </c>
      <c r="E463" s="5" t="str">
        <f>IFERROR(__xludf.DUMMYFUNCTION("""COMPUTED_VALUE"""),"No")</f>
        <v>No</v>
      </c>
      <c r="F463" s="5" t="str">
        <f>IFERROR(__xludf.DUMMYFUNCTION("""COMPUTED_VALUE"""),"Yes")</f>
        <v>Yes</v>
      </c>
      <c r="G463" s="5" t="str">
        <f>IFERROR(__xludf.DUMMYFUNCTION("""COMPUTED_VALUE"""),"Yes")</f>
        <v>Yes</v>
      </c>
      <c r="H463" s="5" t="str">
        <f>IFERROR(__xludf.DUMMYFUNCTION("""COMPUTED_VALUE"""),"Yes")</f>
        <v>Yes</v>
      </c>
      <c r="I463" s="5" t="str">
        <f>IFERROR(__xludf.DUMMYFUNCTION("""COMPUTED_VALUE"""),"Yes")</f>
        <v>Yes</v>
      </c>
      <c r="J463" s="5" t="str">
        <f>IFERROR(__xludf.DUMMYFUNCTION("""COMPUTED_VALUE"""),"Yes")</f>
        <v>Yes</v>
      </c>
      <c r="K463" s="5" t="str">
        <f>IFERROR(__xludf.DUMMYFUNCTION("""COMPUTED_VALUE"""),"Yes")</f>
        <v>Yes</v>
      </c>
      <c r="L463" s="5" t="str">
        <f>IFERROR(__xludf.DUMMYFUNCTION("""COMPUTED_VALUE"""),"Yes")</f>
        <v>Yes</v>
      </c>
      <c r="M463" s="5" t="str">
        <f>IFERROR(__xludf.DUMMYFUNCTION("""COMPUTED_VALUE"""),"Yes")</f>
        <v>Yes</v>
      </c>
      <c r="N463" s="5" t="str">
        <f>IFERROR(__xludf.DUMMYFUNCTION("""COMPUTED_VALUE"""),"Yes")</f>
        <v>Yes</v>
      </c>
      <c r="O463" s="5" t="str">
        <f>IFERROR(__xludf.DUMMYFUNCTION("""COMPUTED_VALUE"""),"Yes")</f>
        <v>Yes</v>
      </c>
      <c r="P463" s="5" t="str">
        <f>IFERROR(__xludf.DUMMYFUNCTION("""COMPUTED_VALUE"""),"Yes")</f>
        <v>Yes</v>
      </c>
      <c r="Q463" s="5" t="str">
        <f>IFERROR(__xludf.DUMMYFUNCTION("""COMPUTED_VALUE"""),"Yes")</f>
        <v>Yes</v>
      </c>
      <c r="R463" s="5" t="str">
        <f>IFERROR(__xludf.DUMMYFUNCTION("""COMPUTED_VALUE"""),"No")</f>
        <v>No</v>
      </c>
      <c r="S463" s="5" t="str">
        <f>IFERROR(__xludf.DUMMYFUNCTION("""COMPUTED_VALUE"""),"No")</f>
        <v>No</v>
      </c>
      <c r="T463" s="5" t="str">
        <f>IFERROR(__xludf.DUMMYFUNCTION("""COMPUTED_VALUE"""),"No")</f>
        <v>No</v>
      </c>
      <c r="U463" s="5" t="str">
        <f>IFERROR(__xludf.DUMMYFUNCTION("""COMPUTED_VALUE"""),"No")</f>
        <v>No</v>
      </c>
      <c r="V463" s="5" t="str">
        <f>IFERROR(__xludf.DUMMYFUNCTION("""COMPUTED_VALUE"""),"No")</f>
        <v>No</v>
      </c>
      <c r="W463" s="5" t="str">
        <f>IFERROR(__xludf.DUMMYFUNCTION("""COMPUTED_VALUE"""),"No")</f>
        <v>No</v>
      </c>
      <c r="X463" s="5" t="str">
        <f>IFERROR(__xludf.DUMMYFUNCTION("""COMPUTED_VALUE"""),"No")</f>
        <v>No</v>
      </c>
      <c r="Y463" s="5" t="str">
        <f>IFERROR(__xludf.DUMMYFUNCTION("""COMPUTED_VALUE"""),"No")</f>
        <v>No</v>
      </c>
      <c r="Z463" s="5" t="str">
        <f>IFERROR(__xludf.DUMMYFUNCTION("""COMPUTED_VALUE"""),"No")</f>
        <v>No</v>
      </c>
      <c r="AA463" s="5" t="str">
        <f>IFERROR(__xludf.DUMMYFUNCTION("""COMPUTED_VALUE"""),"No")</f>
        <v>No</v>
      </c>
      <c r="AB463" s="5" t="str">
        <f>IFERROR(__xludf.DUMMYFUNCTION("""COMPUTED_VALUE"""),"Yes")</f>
        <v>Yes</v>
      </c>
      <c r="AC463" s="5" t="str">
        <f>IFERROR(__xludf.DUMMYFUNCTION("""COMPUTED_VALUE"""),"No")</f>
        <v>No</v>
      </c>
    </row>
    <row r="464">
      <c r="A464" s="5" t="str">
        <f>IFERROR(__xludf.DUMMYFUNCTION("""COMPUTED_VALUE"""),"PlayNetMajesticCrownX2")</f>
        <v>PlayNetMajesticCrownX2</v>
      </c>
      <c r="B46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4" s="5" t="str">
        <f>IFERROR(__xludf.DUMMYFUNCTION("""COMPUTED_VALUE"""),"Yes")</f>
        <v>Yes</v>
      </c>
      <c r="D464" s="5" t="str">
        <f>IFERROR(__xludf.DUMMYFUNCTION("""COMPUTED_VALUE"""),"Yes")</f>
        <v>Yes</v>
      </c>
      <c r="E464" s="5" t="str">
        <f>IFERROR(__xludf.DUMMYFUNCTION("""COMPUTED_VALUE"""),"Yes")</f>
        <v>Yes</v>
      </c>
      <c r="F464" s="5" t="str">
        <f>IFERROR(__xludf.DUMMYFUNCTION("""COMPUTED_VALUE"""),"Yes")</f>
        <v>Yes</v>
      </c>
      <c r="G464" s="5" t="str">
        <f>IFERROR(__xludf.DUMMYFUNCTION("""COMPUTED_VALUE"""),"Yes")</f>
        <v>Yes</v>
      </c>
      <c r="H464" s="5" t="str">
        <f>IFERROR(__xludf.DUMMYFUNCTION("""COMPUTED_VALUE"""),"Yes")</f>
        <v>Yes</v>
      </c>
      <c r="I464" s="5" t="str">
        <f>IFERROR(__xludf.DUMMYFUNCTION("""COMPUTED_VALUE"""),"Yes")</f>
        <v>Yes</v>
      </c>
      <c r="J464" s="5" t="str">
        <f>IFERROR(__xludf.DUMMYFUNCTION("""COMPUTED_VALUE"""),"Yes")</f>
        <v>Yes</v>
      </c>
      <c r="K464" s="5" t="str">
        <f>IFERROR(__xludf.DUMMYFUNCTION("""COMPUTED_VALUE"""),"Yes")</f>
        <v>Yes</v>
      </c>
      <c r="L464" s="5" t="str">
        <f>IFERROR(__xludf.DUMMYFUNCTION("""COMPUTED_VALUE"""),"Yes")</f>
        <v>Yes</v>
      </c>
      <c r="M464" s="5" t="str">
        <f>IFERROR(__xludf.DUMMYFUNCTION("""COMPUTED_VALUE"""),"Yes")</f>
        <v>Yes</v>
      </c>
      <c r="N464" s="5" t="str">
        <f>IFERROR(__xludf.DUMMYFUNCTION("""COMPUTED_VALUE"""),"Yes")</f>
        <v>Yes</v>
      </c>
      <c r="O464" s="5" t="str">
        <f>IFERROR(__xludf.DUMMYFUNCTION("""COMPUTED_VALUE"""),"Yes")</f>
        <v>Yes</v>
      </c>
      <c r="P464" s="5" t="str">
        <f>IFERROR(__xludf.DUMMYFUNCTION("""COMPUTED_VALUE"""),"Yes")</f>
        <v>Yes</v>
      </c>
      <c r="Q464" s="5" t="str">
        <f>IFERROR(__xludf.DUMMYFUNCTION("""COMPUTED_VALUE"""),"Yes")</f>
        <v>Yes</v>
      </c>
      <c r="R464" s="5" t="str">
        <f>IFERROR(__xludf.DUMMYFUNCTION("""COMPUTED_VALUE"""),"No")</f>
        <v>No</v>
      </c>
      <c r="S464" s="5" t="str">
        <f>IFERROR(__xludf.DUMMYFUNCTION("""COMPUTED_VALUE"""),"No")</f>
        <v>No</v>
      </c>
      <c r="T464" s="5" t="str">
        <f>IFERROR(__xludf.DUMMYFUNCTION("""COMPUTED_VALUE"""),"No")</f>
        <v>No</v>
      </c>
      <c r="U464" s="5" t="str">
        <f>IFERROR(__xludf.DUMMYFUNCTION("""COMPUTED_VALUE"""),"No")</f>
        <v>No</v>
      </c>
      <c r="V464" s="5"/>
      <c r="W464" s="5"/>
      <c r="X464" s="5"/>
      <c r="Y464" s="5"/>
      <c r="Z464" s="5" t="str">
        <f>IFERROR(__xludf.DUMMYFUNCTION("""COMPUTED_VALUE"""),"No")</f>
        <v>No</v>
      </c>
      <c r="AA464" s="5"/>
      <c r="AB464" s="5" t="str">
        <f>IFERROR(__xludf.DUMMYFUNCTION("""COMPUTED_VALUE"""),"Yes")</f>
        <v>Yes</v>
      </c>
      <c r="AC464" s="5"/>
    </row>
    <row r="465">
      <c r="A465" s="5" t="str">
        <f>IFERROR(__xludf.DUMMYFUNCTION("""COMPUTED_VALUE"""),"PlayNetBitSlot")</f>
        <v>PlayNetBitSlot</v>
      </c>
      <c r="B465" s="5" t="str">
        <f>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C465" s="5" t="str">
        <f>IFERROR(__xludf.DUMMYFUNCTION("""COMPUTED_VALUE"""),"Yes")</f>
        <v>Yes</v>
      </c>
      <c r="D465" s="5" t="str">
        <f>IFERROR(__xludf.DUMMYFUNCTION("""COMPUTED_VALUE"""),"Yes")</f>
        <v>Yes</v>
      </c>
      <c r="E465" s="5" t="str">
        <f>IFERROR(__xludf.DUMMYFUNCTION("""COMPUTED_VALUE"""),"Yes")</f>
        <v>Yes</v>
      </c>
      <c r="F465" s="5" t="str">
        <f>IFERROR(__xludf.DUMMYFUNCTION("""COMPUTED_VALUE"""),"Yes")</f>
        <v>Yes</v>
      </c>
      <c r="G465" s="5" t="str">
        <f>IFERROR(__xludf.DUMMYFUNCTION("""COMPUTED_VALUE"""),"Yes")</f>
        <v>Yes</v>
      </c>
      <c r="H465" s="5" t="str">
        <f>IFERROR(__xludf.DUMMYFUNCTION("""COMPUTED_VALUE"""),"Yes")</f>
        <v>Yes</v>
      </c>
      <c r="I465" s="5" t="str">
        <f>IFERROR(__xludf.DUMMYFUNCTION("""COMPUTED_VALUE"""),"Yes")</f>
        <v>Yes</v>
      </c>
      <c r="J465" s="5" t="str">
        <f>IFERROR(__xludf.DUMMYFUNCTION("""COMPUTED_VALUE"""),"Yes")</f>
        <v>Yes</v>
      </c>
      <c r="K465" s="5" t="str">
        <f>IFERROR(__xludf.DUMMYFUNCTION("""COMPUTED_VALUE"""),"Yes")</f>
        <v>Yes</v>
      </c>
      <c r="L465" s="5" t="str">
        <f>IFERROR(__xludf.DUMMYFUNCTION("""COMPUTED_VALUE"""),"Yes")</f>
        <v>Yes</v>
      </c>
      <c r="M465" s="5" t="str">
        <f>IFERROR(__xludf.DUMMYFUNCTION("""COMPUTED_VALUE"""),"Yes")</f>
        <v>Yes</v>
      </c>
      <c r="N465" s="5" t="str">
        <f>IFERROR(__xludf.DUMMYFUNCTION("""COMPUTED_VALUE"""),"Yes")</f>
        <v>Yes</v>
      </c>
      <c r="O465" s="5" t="str">
        <f>IFERROR(__xludf.DUMMYFUNCTION("""COMPUTED_VALUE"""),"Yes")</f>
        <v>Yes</v>
      </c>
      <c r="P465" s="5" t="str">
        <f>IFERROR(__xludf.DUMMYFUNCTION("""COMPUTED_VALUE"""),"Yes")</f>
        <v>Yes</v>
      </c>
      <c r="Q465" s="5" t="str">
        <f>IFERROR(__xludf.DUMMYFUNCTION("""COMPUTED_VALUE"""),"Yes")</f>
        <v>Yes</v>
      </c>
      <c r="R465" s="5" t="str">
        <f>IFERROR(__xludf.DUMMYFUNCTION("""COMPUTED_VALUE"""),"No")</f>
        <v>No</v>
      </c>
      <c r="S465" s="5" t="str">
        <f>IFERROR(__xludf.DUMMYFUNCTION("""COMPUTED_VALUE"""),"No")</f>
        <v>No</v>
      </c>
      <c r="T465" s="5" t="str">
        <f>IFERROR(__xludf.DUMMYFUNCTION("""COMPUTED_VALUE"""),"No")</f>
        <v>No</v>
      </c>
      <c r="U465" s="5" t="str">
        <f>IFERROR(__xludf.DUMMYFUNCTION("""COMPUTED_VALUE"""),"No")</f>
        <v>No</v>
      </c>
      <c r="V465" s="5"/>
      <c r="W465" s="5"/>
      <c r="X465" s="5"/>
      <c r="Y465" s="5"/>
      <c r="Z465" s="5" t="str">
        <f>IFERROR(__xludf.DUMMYFUNCTION("""COMPUTED_VALUE"""),"Yes")</f>
        <v>Yes</v>
      </c>
      <c r="AA465" s="5"/>
      <c r="AB465" s="5" t="str">
        <f>IFERROR(__xludf.DUMMYFUNCTION("""COMPUTED_VALUE"""),"Yes")</f>
        <v>Yes</v>
      </c>
      <c r="AC465" s="5"/>
    </row>
    <row r="466">
      <c r="A466" s="5" t="str">
        <f>IFERROR(__xludf.DUMMYFUNCTION("""COMPUTED_VALUE"""),"PlayNetFortuneClover10")</f>
        <v>PlayNetFortuneClover10</v>
      </c>
      <c r="B46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6" s="5" t="str">
        <f>IFERROR(__xludf.DUMMYFUNCTION("""COMPUTED_VALUE"""),"Yes")</f>
        <v>Yes</v>
      </c>
      <c r="D466" s="5" t="str">
        <f>IFERROR(__xludf.DUMMYFUNCTION("""COMPUTED_VALUE"""),"Yes")</f>
        <v>Yes</v>
      </c>
      <c r="E466" s="5" t="str">
        <f>IFERROR(__xludf.DUMMYFUNCTION("""COMPUTED_VALUE"""),"Yes")</f>
        <v>Yes</v>
      </c>
      <c r="F466" s="5" t="str">
        <f>IFERROR(__xludf.DUMMYFUNCTION("""COMPUTED_VALUE"""),"Yes")</f>
        <v>Yes</v>
      </c>
      <c r="G466" s="5" t="str">
        <f>IFERROR(__xludf.DUMMYFUNCTION("""COMPUTED_VALUE"""),"Yes")</f>
        <v>Yes</v>
      </c>
      <c r="H466" s="5" t="str">
        <f>IFERROR(__xludf.DUMMYFUNCTION("""COMPUTED_VALUE"""),"Yes")</f>
        <v>Yes</v>
      </c>
      <c r="I466" s="5" t="str">
        <f>IFERROR(__xludf.DUMMYFUNCTION("""COMPUTED_VALUE"""),"Yes")</f>
        <v>Yes</v>
      </c>
      <c r="J466" s="5" t="str">
        <f>IFERROR(__xludf.DUMMYFUNCTION("""COMPUTED_VALUE"""),"Yes")</f>
        <v>Yes</v>
      </c>
      <c r="K466" s="5" t="str">
        <f>IFERROR(__xludf.DUMMYFUNCTION("""COMPUTED_VALUE"""),"Yes")</f>
        <v>Yes</v>
      </c>
      <c r="L466" s="5" t="str">
        <f>IFERROR(__xludf.DUMMYFUNCTION("""COMPUTED_VALUE"""),"Yes")</f>
        <v>Yes</v>
      </c>
      <c r="M466" s="5" t="str">
        <f>IFERROR(__xludf.DUMMYFUNCTION("""COMPUTED_VALUE"""),"Yes")</f>
        <v>Yes</v>
      </c>
      <c r="N466" s="5" t="str">
        <f>IFERROR(__xludf.DUMMYFUNCTION("""COMPUTED_VALUE"""),"Yes")</f>
        <v>Yes</v>
      </c>
      <c r="O466" s="5" t="str">
        <f>IFERROR(__xludf.DUMMYFUNCTION("""COMPUTED_VALUE"""),"Yes")</f>
        <v>Yes</v>
      </c>
      <c r="P466" s="5" t="str">
        <f>IFERROR(__xludf.DUMMYFUNCTION("""COMPUTED_VALUE"""),"Yes")</f>
        <v>Yes</v>
      </c>
      <c r="Q466" s="5" t="str">
        <f>IFERROR(__xludf.DUMMYFUNCTION("""COMPUTED_VALUE"""),"Yes")</f>
        <v>Yes</v>
      </c>
      <c r="R466" s="5" t="str">
        <f>IFERROR(__xludf.DUMMYFUNCTION("""COMPUTED_VALUE"""),"No")</f>
        <v>No</v>
      </c>
      <c r="S466" s="5" t="str">
        <f>IFERROR(__xludf.DUMMYFUNCTION("""COMPUTED_VALUE"""),"No")</f>
        <v>No</v>
      </c>
      <c r="T466" s="5" t="str">
        <f>IFERROR(__xludf.DUMMYFUNCTION("""COMPUTED_VALUE"""),"No")</f>
        <v>No</v>
      </c>
      <c r="U466" s="5" t="str">
        <f>IFERROR(__xludf.DUMMYFUNCTION("""COMPUTED_VALUE"""),"No")</f>
        <v>No</v>
      </c>
      <c r="V466" s="5" t="str">
        <f>IFERROR(__xludf.DUMMYFUNCTION("""COMPUTED_VALUE"""),"No")</f>
        <v>No</v>
      </c>
      <c r="W466" s="5" t="str">
        <f>IFERROR(__xludf.DUMMYFUNCTION("""COMPUTED_VALUE"""),"No")</f>
        <v>No</v>
      </c>
      <c r="X466" s="5" t="str">
        <f>IFERROR(__xludf.DUMMYFUNCTION("""COMPUTED_VALUE"""),"No")</f>
        <v>No</v>
      </c>
      <c r="Y466" s="5" t="str">
        <f>IFERROR(__xludf.DUMMYFUNCTION("""COMPUTED_VALUE"""),"No")</f>
        <v>No</v>
      </c>
      <c r="Z466" s="5" t="str">
        <f>IFERROR(__xludf.DUMMYFUNCTION("""COMPUTED_VALUE"""),"No")</f>
        <v>No</v>
      </c>
      <c r="AA466" s="5" t="str">
        <f>IFERROR(__xludf.DUMMYFUNCTION("""COMPUTED_VALUE"""),"No")</f>
        <v>No</v>
      </c>
      <c r="AB466" s="5" t="str">
        <f>IFERROR(__xludf.DUMMYFUNCTION("""COMPUTED_VALUE"""),"Yes")</f>
        <v>Yes</v>
      </c>
      <c r="AC466" s="5" t="str">
        <f>IFERROR(__xludf.DUMMYFUNCTION("""COMPUTED_VALUE"""),"No")</f>
        <v>No</v>
      </c>
    </row>
    <row r="467">
      <c r="A467" s="5" t="str">
        <f>IFERROR(__xludf.DUMMYFUNCTION("""COMPUTED_VALUE"""),"PlayNetMajesticCrown100")</f>
        <v>PlayNetMajesticCrown100</v>
      </c>
      <c r="B46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7" s="5" t="str">
        <f>IFERROR(__xludf.DUMMYFUNCTION("""COMPUTED_VALUE"""),"Yes")</f>
        <v>Yes</v>
      </c>
      <c r="D467" s="5" t="str">
        <f>IFERROR(__xludf.DUMMYFUNCTION("""COMPUTED_VALUE"""),"Yes")</f>
        <v>Yes</v>
      </c>
      <c r="E467" s="5" t="str">
        <f>IFERROR(__xludf.DUMMYFUNCTION("""COMPUTED_VALUE"""),"Yes")</f>
        <v>Yes</v>
      </c>
      <c r="F467" s="5" t="str">
        <f>IFERROR(__xludf.DUMMYFUNCTION("""COMPUTED_VALUE"""),"Yes")</f>
        <v>Yes</v>
      </c>
      <c r="G467" s="5" t="str">
        <f>IFERROR(__xludf.DUMMYFUNCTION("""COMPUTED_VALUE"""),"Yes")</f>
        <v>Yes</v>
      </c>
      <c r="H467" s="5" t="str">
        <f>IFERROR(__xludf.DUMMYFUNCTION("""COMPUTED_VALUE"""),"Yes")</f>
        <v>Yes</v>
      </c>
      <c r="I467" s="5" t="str">
        <f>IFERROR(__xludf.DUMMYFUNCTION("""COMPUTED_VALUE"""),"Yes")</f>
        <v>Yes</v>
      </c>
      <c r="J467" s="5" t="str">
        <f>IFERROR(__xludf.DUMMYFUNCTION("""COMPUTED_VALUE"""),"Yes")</f>
        <v>Yes</v>
      </c>
      <c r="K467" s="5" t="str">
        <f>IFERROR(__xludf.DUMMYFUNCTION("""COMPUTED_VALUE"""),"Yes")</f>
        <v>Yes</v>
      </c>
      <c r="L467" s="5" t="str">
        <f>IFERROR(__xludf.DUMMYFUNCTION("""COMPUTED_VALUE"""),"Yes")</f>
        <v>Yes</v>
      </c>
      <c r="M467" s="5" t="str">
        <f>IFERROR(__xludf.DUMMYFUNCTION("""COMPUTED_VALUE"""),"Yes")</f>
        <v>Yes</v>
      </c>
      <c r="N467" s="5" t="str">
        <f>IFERROR(__xludf.DUMMYFUNCTION("""COMPUTED_VALUE"""),"Yes")</f>
        <v>Yes</v>
      </c>
      <c r="O467" s="5" t="str">
        <f>IFERROR(__xludf.DUMMYFUNCTION("""COMPUTED_VALUE"""),"Yes")</f>
        <v>Yes</v>
      </c>
      <c r="P467" s="5" t="str">
        <f>IFERROR(__xludf.DUMMYFUNCTION("""COMPUTED_VALUE"""),"Yes")</f>
        <v>Yes</v>
      </c>
      <c r="Q467" s="5" t="str">
        <f>IFERROR(__xludf.DUMMYFUNCTION("""COMPUTED_VALUE"""),"Yes")</f>
        <v>Yes</v>
      </c>
      <c r="R467" s="5" t="str">
        <f>IFERROR(__xludf.DUMMYFUNCTION("""COMPUTED_VALUE"""),"No")</f>
        <v>No</v>
      </c>
      <c r="S467" s="5" t="str">
        <f>IFERROR(__xludf.DUMMYFUNCTION("""COMPUTED_VALUE"""),"No")</f>
        <v>No</v>
      </c>
      <c r="T467" s="5" t="str">
        <f>IFERROR(__xludf.DUMMYFUNCTION("""COMPUTED_VALUE"""),"No")</f>
        <v>No</v>
      </c>
      <c r="U467" s="5" t="str">
        <f>IFERROR(__xludf.DUMMYFUNCTION("""COMPUTED_VALUE"""),"No")</f>
        <v>No</v>
      </c>
      <c r="V467" s="5"/>
      <c r="W467" s="5"/>
      <c r="X467" s="5"/>
      <c r="Y467" s="5"/>
      <c r="Z467" s="5" t="str">
        <f>IFERROR(__xludf.DUMMYFUNCTION("""COMPUTED_VALUE"""),"No")</f>
        <v>No</v>
      </c>
      <c r="AA467" s="5"/>
      <c r="AB467" s="5" t="str">
        <f>IFERROR(__xludf.DUMMYFUNCTION("""COMPUTED_VALUE"""),"Yes")</f>
        <v>Yes</v>
      </c>
      <c r="AC467" s="5"/>
    </row>
    <row r="468">
      <c r="A468" s="5" t="str">
        <f>IFERROR(__xludf.DUMMYFUNCTION("""COMPUTED_VALUE"""),"PlayNetFortuneClover20")</f>
        <v>PlayNetFortuneClover20</v>
      </c>
      <c r="B46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8" s="5" t="str">
        <f>IFERROR(__xludf.DUMMYFUNCTION("""COMPUTED_VALUE"""),"Yes")</f>
        <v>Yes</v>
      </c>
      <c r="D468" s="5" t="str">
        <f>IFERROR(__xludf.DUMMYFUNCTION("""COMPUTED_VALUE"""),"Yes")</f>
        <v>Yes</v>
      </c>
      <c r="E468" s="5" t="str">
        <f>IFERROR(__xludf.DUMMYFUNCTION("""COMPUTED_VALUE"""),"Yes")</f>
        <v>Yes</v>
      </c>
      <c r="F468" s="5" t="str">
        <f>IFERROR(__xludf.DUMMYFUNCTION("""COMPUTED_VALUE"""),"Yes")</f>
        <v>Yes</v>
      </c>
      <c r="G468" s="5" t="str">
        <f>IFERROR(__xludf.DUMMYFUNCTION("""COMPUTED_VALUE"""),"Yes")</f>
        <v>Yes</v>
      </c>
      <c r="H468" s="5" t="str">
        <f>IFERROR(__xludf.DUMMYFUNCTION("""COMPUTED_VALUE"""),"Yes")</f>
        <v>Yes</v>
      </c>
      <c r="I468" s="5" t="str">
        <f>IFERROR(__xludf.DUMMYFUNCTION("""COMPUTED_VALUE"""),"Yes")</f>
        <v>Yes</v>
      </c>
      <c r="J468" s="5" t="str">
        <f>IFERROR(__xludf.DUMMYFUNCTION("""COMPUTED_VALUE"""),"Yes")</f>
        <v>Yes</v>
      </c>
      <c r="K468" s="5" t="str">
        <f>IFERROR(__xludf.DUMMYFUNCTION("""COMPUTED_VALUE"""),"Yes")</f>
        <v>Yes</v>
      </c>
      <c r="L468" s="5" t="str">
        <f>IFERROR(__xludf.DUMMYFUNCTION("""COMPUTED_VALUE"""),"Yes")</f>
        <v>Yes</v>
      </c>
      <c r="M468" s="5" t="str">
        <f>IFERROR(__xludf.DUMMYFUNCTION("""COMPUTED_VALUE"""),"Yes")</f>
        <v>Yes</v>
      </c>
      <c r="N468" s="5" t="str">
        <f>IFERROR(__xludf.DUMMYFUNCTION("""COMPUTED_VALUE"""),"Yes")</f>
        <v>Yes</v>
      </c>
      <c r="O468" s="5" t="str">
        <f>IFERROR(__xludf.DUMMYFUNCTION("""COMPUTED_VALUE"""),"Yes")</f>
        <v>Yes</v>
      </c>
      <c r="P468" s="5" t="str">
        <f>IFERROR(__xludf.DUMMYFUNCTION("""COMPUTED_VALUE"""),"Yes")</f>
        <v>Yes</v>
      </c>
      <c r="Q468" s="5" t="str">
        <f>IFERROR(__xludf.DUMMYFUNCTION("""COMPUTED_VALUE"""),"Yes")</f>
        <v>Yes</v>
      </c>
      <c r="R468" s="5" t="str">
        <f>IFERROR(__xludf.DUMMYFUNCTION("""COMPUTED_VALUE"""),"No")</f>
        <v>No</v>
      </c>
      <c r="S468" s="5" t="str">
        <f>IFERROR(__xludf.DUMMYFUNCTION("""COMPUTED_VALUE"""),"No")</f>
        <v>No</v>
      </c>
      <c r="T468" s="5" t="str">
        <f>IFERROR(__xludf.DUMMYFUNCTION("""COMPUTED_VALUE"""),"No")</f>
        <v>No</v>
      </c>
      <c r="U468" s="5" t="str">
        <f>IFERROR(__xludf.DUMMYFUNCTION("""COMPUTED_VALUE"""),"No")</f>
        <v>No</v>
      </c>
      <c r="V468" s="5"/>
      <c r="W468" s="5"/>
      <c r="X468" s="5"/>
      <c r="Y468" s="5"/>
      <c r="Z468" s="5" t="str">
        <f>IFERROR(__xludf.DUMMYFUNCTION("""COMPUTED_VALUE"""),"No")</f>
        <v>No</v>
      </c>
      <c r="AA468" s="5"/>
      <c r="AB468" s="5" t="str">
        <f>IFERROR(__xludf.DUMMYFUNCTION("""COMPUTED_VALUE"""),"Yes")</f>
        <v>Yes</v>
      </c>
      <c r="AC468" s="5"/>
    </row>
    <row r="469">
      <c r="A469" s="5" t="str">
        <f>IFERROR(__xludf.DUMMYFUNCTION("""COMPUTED_VALUE"""),"rocket-roll")</f>
        <v>rocket-roll</v>
      </c>
      <c r="B4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9" s="5" t="str">
        <f>IFERROR(__xludf.DUMMYFUNCTION("""COMPUTED_VALUE"""),"Yes")</f>
        <v>Yes</v>
      </c>
      <c r="D469" s="5" t="str">
        <f>IFERROR(__xludf.DUMMYFUNCTION("""COMPUTED_VALUE"""),"Yes")</f>
        <v>Yes</v>
      </c>
      <c r="E469" s="5" t="str">
        <f>IFERROR(__xludf.DUMMYFUNCTION("""COMPUTED_VALUE"""),"Yes")</f>
        <v>Yes</v>
      </c>
      <c r="F469" s="5" t="str">
        <f>IFERROR(__xludf.DUMMYFUNCTION("""COMPUTED_VALUE"""),"Yes")</f>
        <v>Yes</v>
      </c>
      <c r="G469" s="5" t="str">
        <f>IFERROR(__xludf.DUMMYFUNCTION("""COMPUTED_VALUE"""),"Yes")</f>
        <v>Yes</v>
      </c>
      <c r="H469" s="5" t="str">
        <f>IFERROR(__xludf.DUMMYFUNCTION("""COMPUTED_VALUE"""),"Yes")</f>
        <v>Yes</v>
      </c>
      <c r="I469" s="5" t="str">
        <f>IFERROR(__xludf.DUMMYFUNCTION("""COMPUTED_VALUE"""),"Yes")</f>
        <v>Yes</v>
      </c>
      <c r="J469" s="5" t="str">
        <f>IFERROR(__xludf.DUMMYFUNCTION("""COMPUTED_VALUE"""),"Yes")</f>
        <v>Yes</v>
      </c>
      <c r="K469" s="5" t="str">
        <f>IFERROR(__xludf.DUMMYFUNCTION("""COMPUTED_VALUE"""),"Yes")</f>
        <v>Yes</v>
      </c>
      <c r="L469" s="5" t="str">
        <f>IFERROR(__xludf.DUMMYFUNCTION("""COMPUTED_VALUE"""),"Yes")</f>
        <v>Yes</v>
      </c>
      <c r="M469" s="5" t="str">
        <f>IFERROR(__xludf.DUMMYFUNCTION("""COMPUTED_VALUE"""),"Yes")</f>
        <v>Yes</v>
      </c>
      <c r="N469" s="5" t="str">
        <f>IFERROR(__xludf.DUMMYFUNCTION("""COMPUTED_VALUE"""),"Yes")</f>
        <v>Yes</v>
      </c>
      <c r="O469" s="5" t="str">
        <f>IFERROR(__xludf.DUMMYFUNCTION("""COMPUTED_VALUE"""),"Yes")</f>
        <v>Yes</v>
      </c>
      <c r="P469" s="5" t="str">
        <f>IFERROR(__xludf.DUMMYFUNCTION("""COMPUTED_VALUE"""),"Yes")</f>
        <v>Yes</v>
      </c>
      <c r="Q469" s="5" t="str">
        <f>IFERROR(__xludf.DUMMYFUNCTION("""COMPUTED_VALUE"""),"Yes")</f>
        <v>Yes</v>
      </c>
      <c r="R469" s="5" t="str">
        <f>IFERROR(__xludf.DUMMYFUNCTION("""COMPUTED_VALUE"""),"Yes")</f>
        <v>Yes</v>
      </c>
      <c r="S469" s="5" t="str">
        <f>IFERROR(__xludf.DUMMYFUNCTION("""COMPUTED_VALUE"""),"Yes")</f>
        <v>Yes</v>
      </c>
      <c r="T469" s="5" t="str">
        <f>IFERROR(__xludf.DUMMYFUNCTION("""COMPUTED_VALUE"""),"Yes")</f>
        <v>Yes</v>
      </c>
      <c r="U469" s="5" t="str">
        <f>IFERROR(__xludf.DUMMYFUNCTION("""COMPUTED_VALUE"""),"Yes")</f>
        <v>Yes</v>
      </c>
      <c r="V469" s="5"/>
      <c r="W469" s="5"/>
      <c r="X469" s="5"/>
      <c r="Y469" s="5"/>
      <c r="Z469" s="5" t="str">
        <f>IFERROR(__xludf.DUMMYFUNCTION("""COMPUTED_VALUE"""),"Yes")</f>
        <v>Yes</v>
      </c>
      <c r="AA469" s="5"/>
      <c r="AB469" s="5"/>
      <c r="AC469" s="5"/>
    </row>
    <row r="470">
      <c r="A470" s="5" t="str">
        <f>IFERROR(__xludf.DUMMYFUNCTION("""COMPUTED_VALUE"""),"cosmic-comet-chase")</f>
        <v>cosmic-comet-chase</v>
      </c>
      <c r="B4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0" s="5" t="str">
        <f>IFERROR(__xludf.DUMMYFUNCTION("""COMPUTED_VALUE"""),"Yes")</f>
        <v>Yes</v>
      </c>
      <c r="D470" s="5" t="str">
        <f>IFERROR(__xludf.DUMMYFUNCTION("""COMPUTED_VALUE"""),"Yes")</f>
        <v>Yes</v>
      </c>
      <c r="E470" s="5" t="str">
        <f>IFERROR(__xludf.DUMMYFUNCTION("""COMPUTED_VALUE"""),"Yes")</f>
        <v>Yes</v>
      </c>
      <c r="F470" s="5" t="str">
        <f>IFERROR(__xludf.DUMMYFUNCTION("""COMPUTED_VALUE"""),"Yes")</f>
        <v>Yes</v>
      </c>
      <c r="G470" s="5" t="str">
        <f>IFERROR(__xludf.DUMMYFUNCTION("""COMPUTED_VALUE"""),"Yes")</f>
        <v>Yes</v>
      </c>
      <c r="H470" s="5" t="str">
        <f>IFERROR(__xludf.DUMMYFUNCTION("""COMPUTED_VALUE"""),"Yes")</f>
        <v>Yes</v>
      </c>
      <c r="I470" s="5" t="str">
        <f>IFERROR(__xludf.DUMMYFUNCTION("""COMPUTED_VALUE"""),"Yes")</f>
        <v>Yes</v>
      </c>
      <c r="J470" s="5" t="str">
        <f>IFERROR(__xludf.DUMMYFUNCTION("""COMPUTED_VALUE"""),"Yes")</f>
        <v>Yes</v>
      </c>
      <c r="K470" s="5" t="str">
        <f>IFERROR(__xludf.DUMMYFUNCTION("""COMPUTED_VALUE"""),"Yes")</f>
        <v>Yes</v>
      </c>
      <c r="L470" s="5" t="str">
        <f>IFERROR(__xludf.DUMMYFUNCTION("""COMPUTED_VALUE"""),"Yes")</f>
        <v>Yes</v>
      </c>
      <c r="M470" s="5" t="str">
        <f>IFERROR(__xludf.DUMMYFUNCTION("""COMPUTED_VALUE"""),"Yes")</f>
        <v>Yes</v>
      </c>
      <c r="N470" s="5" t="str">
        <f>IFERROR(__xludf.DUMMYFUNCTION("""COMPUTED_VALUE"""),"Yes")</f>
        <v>Yes</v>
      </c>
      <c r="O470" s="5" t="str">
        <f>IFERROR(__xludf.DUMMYFUNCTION("""COMPUTED_VALUE"""),"Yes")</f>
        <v>Yes</v>
      </c>
      <c r="P470" s="5" t="str">
        <f>IFERROR(__xludf.DUMMYFUNCTION("""COMPUTED_VALUE"""),"Yes")</f>
        <v>Yes</v>
      </c>
      <c r="Q470" s="5" t="str">
        <f>IFERROR(__xludf.DUMMYFUNCTION("""COMPUTED_VALUE"""),"Yes")</f>
        <v>Yes</v>
      </c>
      <c r="R470" s="5" t="str">
        <f>IFERROR(__xludf.DUMMYFUNCTION("""COMPUTED_VALUE"""),"Yes")</f>
        <v>Yes</v>
      </c>
      <c r="S470" s="5" t="str">
        <f>IFERROR(__xludf.DUMMYFUNCTION("""COMPUTED_VALUE"""),"Yes")</f>
        <v>Yes</v>
      </c>
      <c r="T470" s="5" t="str">
        <f>IFERROR(__xludf.DUMMYFUNCTION("""COMPUTED_VALUE"""),"Yes")</f>
        <v>Yes</v>
      </c>
      <c r="U470" s="5" t="str">
        <f>IFERROR(__xludf.DUMMYFUNCTION("""COMPUTED_VALUE"""),"Yes")</f>
        <v>Yes</v>
      </c>
      <c r="V470" s="5"/>
      <c r="W470" s="5"/>
      <c r="X470" s="5"/>
      <c r="Y470" s="5"/>
      <c r="Z470" s="5" t="str">
        <f>IFERROR(__xludf.DUMMYFUNCTION("""COMPUTED_VALUE"""),"Yes")</f>
        <v>Yes</v>
      </c>
      <c r="AA470" s="5"/>
      <c r="AB470" s="5"/>
      <c r="AC470" s="5"/>
    </row>
    <row r="471">
      <c r="A471" s="5" t="str">
        <f>IFERROR(__xludf.DUMMYFUNCTION("""COMPUTED_VALUE"""),"neon-fruits")</f>
        <v>neon-fruits</v>
      </c>
      <c r="B4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1" s="5" t="str">
        <f>IFERROR(__xludf.DUMMYFUNCTION("""COMPUTED_VALUE"""),"Yes")</f>
        <v>Yes</v>
      </c>
      <c r="D471" s="5" t="str">
        <f>IFERROR(__xludf.DUMMYFUNCTION("""COMPUTED_VALUE"""),"Yes")</f>
        <v>Yes</v>
      </c>
      <c r="E471" s="5" t="str">
        <f>IFERROR(__xludf.DUMMYFUNCTION("""COMPUTED_VALUE"""),"Yes")</f>
        <v>Yes</v>
      </c>
      <c r="F471" s="5" t="str">
        <f>IFERROR(__xludf.DUMMYFUNCTION("""COMPUTED_VALUE"""),"Yes")</f>
        <v>Yes</v>
      </c>
      <c r="G471" s="5" t="str">
        <f>IFERROR(__xludf.DUMMYFUNCTION("""COMPUTED_VALUE"""),"Yes")</f>
        <v>Yes</v>
      </c>
      <c r="H471" s="5" t="str">
        <f>IFERROR(__xludf.DUMMYFUNCTION("""COMPUTED_VALUE"""),"Yes")</f>
        <v>Yes</v>
      </c>
      <c r="I471" s="5" t="str">
        <f>IFERROR(__xludf.DUMMYFUNCTION("""COMPUTED_VALUE"""),"Yes")</f>
        <v>Yes</v>
      </c>
      <c r="J471" s="5" t="str">
        <f>IFERROR(__xludf.DUMMYFUNCTION("""COMPUTED_VALUE"""),"Yes")</f>
        <v>Yes</v>
      </c>
      <c r="K471" s="5" t="str">
        <f>IFERROR(__xludf.DUMMYFUNCTION("""COMPUTED_VALUE"""),"Yes")</f>
        <v>Yes</v>
      </c>
      <c r="L471" s="5" t="str">
        <f>IFERROR(__xludf.DUMMYFUNCTION("""COMPUTED_VALUE"""),"Yes")</f>
        <v>Yes</v>
      </c>
      <c r="M471" s="5" t="str">
        <f>IFERROR(__xludf.DUMMYFUNCTION("""COMPUTED_VALUE"""),"Yes")</f>
        <v>Yes</v>
      </c>
      <c r="N471" s="5" t="str">
        <f>IFERROR(__xludf.DUMMYFUNCTION("""COMPUTED_VALUE"""),"Yes")</f>
        <v>Yes</v>
      </c>
      <c r="O471" s="5" t="str">
        <f>IFERROR(__xludf.DUMMYFUNCTION("""COMPUTED_VALUE"""),"Yes")</f>
        <v>Yes</v>
      </c>
      <c r="P471" s="5" t="str">
        <f>IFERROR(__xludf.DUMMYFUNCTION("""COMPUTED_VALUE"""),"Yes")</f>
        <v>Yes</v>
      </c>
      <c r="Q471" s="5" t="str">
        <f>IFERROR(__xludf.DUMMYFUNCTION("""COMPUTED_VALUE"""),"Yes")</f>
        <v>Yes</v>
      </c>
      <c r="R471" s="5" t="str">
        <f>IFERROR(__xludf.DUMMYFUNCTION("""COMPUTED_VALUE"""),"Yes")</f>
        <v>Yes</v>
      </c>
      <c r="S471" s="5" t="str">
        <f>IFERROR(__xludf.DUMMYFUNCTION("""COMPUTED_VALUE"""),"Yes")</f>
        <v>Yes</v>
      </c>
      <c r="T471" s="5" t="str">
        <f>IFERROR(__xludf.DUMMYFUNCTION("""COMPUTED_VALUE"""),"Yes")</f>
        <v>Yes</v>
      </c>
      <c r="U471" s="5" t="str">
        <f>IFERROR(__xludf.DUMMYFUNCTION("""COMPUTED_VALUE"""),"Yes")</f>
        <v>Yes</v>
      </c>
      <c r="V471" s="5"/>
      <c r="W471" s="5"/>
      <c r="X471" s="5"/>
      <c r="Y471" s="5"/>
      <c r="Z471" s="5" t="str">
        <f>IFERROR(__xludf.DUMMYFUNCTION("""COMPUTED_VALUE"""),"Yes")</f>
        <v>Yes</v>
      </c>
      <c r="AA471" s="5"/>
      <c r="AB471" s="5"/>
      <c r="AC471" s="5"/>
    </row>
    <row r="472">
      <c r="A472" s="5" t="str">
        <f>IFERROR(__xludf.DUMMYFUNCTION("""COMPUTED_VALUE"""),"GoldenCrownBooster")</f>
        <v>GoldenCrownBooster</v>
      </c>
      <c r="B4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2" s="5" t="str">
        <f>IFERROR(__xludf.DUMMYFUNCTION("""COMPUTED_VALUE"""),"Yes")</f>
        <v>Yes</v>
      </c>
      <c r="D472" s="5" t="str">
        <f>IFERROR(__xludf.DUMMYFUNCTION("""COMPUTED_VALUE"""),"Yes")</f>
        <v>Yes</v>
      </c>
      <c r="E472" s="5" t="str">
        <f>IFERROR(__xludf.DUMMYFUNCTION("""COMPUTED_VALUE"""),"Yes")</f>
        <v>Yes</v>
      </c>
      <c r="F472" s="5" t="str">
        <f>IFERROR(__xludf.DUMMYFUNCTION("""COMPUTED_VALUE"""),"Yes")</f>
        <v>Yes</v>
      </c>
      <c r="G472" s="5" t="str">
        <f>IFERROR(__xludf.DUMMYFUNCTION("""COMPUTED_VALUE"""),"Yes")</f>
        <v>Yes</v>
      </c>
      <c r="H472" s="5" t="str">
        <f>IFERROR(__xludf.DUMMYFUNCTION("""COMPUTED_VALUE"""),"Yes")</f>
        <v>Yes</v>
      </c>
      <c r="I472" s="5" t="str">
        <f>IFERROR(__xludf.DUMMYFUNCTION("""COMPUTED_VALUE"""),"Yes")</f>
        <v>Yes</v>
      </c>
      <c r="J472" s="5" t="str">
        <f>IFERROR(__xludf.DUMMYFUNCTION("""COMPUTED_VALUE"""),"Yes")</f>
        <v>Yes</v>
      </c>
      <c r="K472" s="5" t="str">
        <f>IFERROR(__xludf.DUMMYFUNCTION("""COMPUTED_VALUE"""),"Yes")</f>
        <v>Yes</v>
      </c>
      <c r="L472" s="5" t="str">
        <f>IFERROR(__xludf.DUMMYFUNCTION("""COMPUTED_VALUE"""),"Yes")</f>
        <v>Yes</v>
      </c>
      <c r="M472" s="5" t="str">
        <f>IFERROR(__xludf.DUMMYFUNCTION("""COMPUTED_VALUE"""),"Yes")</f>
        <v>Yes</v>
      </c>
      <c r="N472" s="5" t="str">
        <f>IFERROR(__xludf.DUMMYFUNCTION("""COMPUTED_VALUE"""),"Yes")</f>
        <v>Yes</v>
      </c>
      <c r="O472" s="5" t="str">
        <f>IFERROR(__xludf.DUMMYFUNCTION("""COMPUTED_VALUE"""),"Yes")</f>
        <v>Yes</v>
      </c>
      <c r="P472" s="5" t="str">
        <f>IFERROR(__xludf.DUMMYFUNCTION("""COMPUTED_VALUE"""),"Yes")</f>
        <v>Yes</v>
      </c>
      <c r="Q472" s="5" t="str">
        <f>IFERROR(__xludf.DUMMYFUNCTION("""COMPUTED_VALUE"""),"Yes")</f>
        <v>Yes</v>
      </c>
      <c r="R472" s="5" t="str">
        <f>IFERROR(__xludf.DUMMYFUNCTION("""COMPUTED_VALUE"""),"Yes")</f>
        <v>Yes</v>
      </c>
      <c r="S472" s="5" t="str">
        <f>IFERROR(__xludf.DUMMYFUNCTION("""COMPUTED_VALUE"""),"Yes")</f>
        <v>Yes</v>
      </c>
      <c r="T472" s="5" t="str">
        <f>IFERROR(__xludf.DUMMYFUNCTION("""COMPUTED_VALUE"""),"Yes")</f>
        <v>Yes</v>
      </c>
      <c r="U472" s="5" t="str">
        <f>IFERROR(__xludf.DUMMYFUNCTION("""COMPUTED_VALUE"""),"Yes")</f>
        <v>Yes</v>
      </c>
      <c r="V472" s="5" t="str">
        <f>IFERROR(__xludf.DUMMYFUNCTION("""COMPUTED_VALUE"""),"Yes")</f>
        <v>Yes</v>
      </c>
      <c r="W472" s="5" t="str">
        <f>IFERROR(__xludf.DUMMYFUNCTION("""COMPUTED_VALUE"""),"Yes")</f>
        <v>Yes</v>
      </c>
      <c r="X472" s="5" t="str">
        <f>IFERROR(__xludf.DUMMYFUNCTION("""COMPUTED_VALUE"""),"Yes")</f>
        <v>Yes</v>
      </c>
      <c r="Y472" s="5" t="str">
        <f>IFERROR(__xludf.DUMMYFUNCTION("""COMPUTED_VALUE"""),"Yes")</f>
        <v>Yes</v>
      </c>
      <c r="Z472" s="5" t="str">
        <f>IFERROR(__xludf.DUMMYFUNCTION("""COMPUTED_VALUE"""),"Yes")</f>
        <v>Yes</v>
      </c>
      <c r="AA472" s="5" t="str">
        <f>IFERROR(__xludf.DUMMYFUNCTION("""COMPUTED_VALUE"""),"Yes")</f>
        <v>Yes</v>
      </c>
      <c r="AB472" s="5" t="str">
        <f>IFERROR(__xludf.DUMMYFUNCTION("""COMPUTED_VALUE"""),"Yes")</f>
        <v>Yes</v>
      </c>
      <c r="AC472" s="5" t="str">
        <f>IFERROR(__xludf.DUMMYFUNCTION("""COMPUTED_VALUE"""),"No")</f>
        <v>No</v>
      </c>
    </row>
    <row r="473">
      <c r="A473" s="5" t="str">
        <f>IFERROR(__xludf.DUMMYFUNCTION("""COMPUTED_VALUE"""),"VeryHot5Booster")</f>
        <v>VeryHot5Booster</v>
      </c>
      <c r="B4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3" s="5" t="str">
        <f>IFERROR(__xludf.DUMMYFUNCTION("""COMPUTED_VALUE"""),"Yes")</f>
        <v>Yes</v>
      </c>
      <c r="D473" s="5" t="str">
        <f>IFERROR(__xludf.DUMMYFUNCTION("""COMPUTED_VALUE"""),"Yes")</f>
        <v>Yes</v>
      </c>
      <c r="E473" s="5" t="str">
        <f>IFERROR(__xludf.DUMMYFUNCTION("""COMPUTED_VALUE"""),"Yes")</f>
        <v>Yes</v>
      </c>
      <c r="F473" s="5" t="str">
        <f>IFERROR(__xludf.DUMMYFUNCTION("""COMPUTED_VALUE"""),"Yes")</f>
        <v>Yes</v>
      </c>
      <c r="G473" s="5" t="str">
        <f>IFERROR(__xludf.DUMMYFUNCTION("""COMPUTED_VALUE"""),"Yes")</f>
        <v>Yes</v>
      </c>
      <c r="H473" s="5" t="str">
        <f>IFERROR(__xludf.DUMMYFUNCTION("""COMPUTED_VALUE"""),"Yes")</f>
        <v>Yes</v>
      </c>
      <c r="I473" s="5" t="str">
        <f>IFERROR(__xludf.DUMMYFUNCTION("""COMPUTED_VALUE"""),"Yes")</f>
        <v>Yes</v>
      </c>
      <c r="J473" s="5" t="str">
        <f>IFERROR(__xludf.DUMMYFUNCTION("""COMPUTED_VALUE"""),"Yes")</f>
        <v>Yes</v>
      </c>
      <c r="K473" s="5" t="str">
        <f>IFERROR(__xludf.DUMMYFUNCTION("""COMPUTED_VALUE"""),"Yes")</f>
        <v>Yes</v>
      </c>
      <c r="L473" s="5" t="str">
        <f>IFERROR(__xludf.DUMMYFUNCTION("""COMPUTED_VALUE"""),"Yes")</f>
        <v>Yes</v>
      </c>
      <c r="M473" s="5" t="str">
        <f>IFERROR(__xludf.DUMMYFUNCTION("""COMPUTED_VALUE"""),"Yes")</f>
        <v>Yes</v>
      </c>
      <c r="N473" s="5" t="str">
        <f>IFERROR(__xludf.DUMMYFUNCTION("""COMPUTED_VALUE"""),"Yes")</f>
        <v>Yes</v>
      </c>
      <c r="O473" s="5" t="str">
        <f>IFERROR(__xludf.DUMMYFUNCTION("""COMPUTED_VALUE"""),"Yes")</f>
        <v>Yes</v>
      </c>
      <c r="P473" s="5" t="str">
        <f>IFERROR(__xludf.DUMMYFUNCTION("""COMPUTED_VALUE"""),"Yes")</f>
        <v>Yes</v>
      </c>
      <c r="Q473" s="5" t="str">
        <f>IFERROR(__xludf.DUMMYFUNCTION("""COMPUTED_VALUE"""),"Yes")</f>
        <v>Yes</v>
      </c>
      <c r="R473" s="5" t="str">
        <f>IFERROR(__xludf.DUMMYFUNCTION("""COMPUTED_VALUE"""),"Yes")</f>
        <v>Yes</v>
      </c>
      <c r="S473" s="5" t="str">
        <f>IFERROR(__xludf.DUMMYFUNCTION("""COMPUTED_VALUE"""),"Yes")</f>
        <v>Yes</v>
      </c>
      <c r="T473" s="5" t="str">
        <f>IFERROR(__xludf.DUMMYFUNCTION("""COMPUTED_VALUE"""),"Yes")</f>
        <v>Yes</v>
      </c>
      <c r="U473" s="5" t="str">
        <f>IFERROR(__xludf.DUMMYFUNCTION("""COMPUTED_VALUE"""),"Yes")</f>
        <v>Yes</v>
      </c>
      <c r="V473" s="5" t="str">
        <f>IFERROR(__xludf.DUMMYFUNCTION("""COMPUTED_VALUE"""),"Yes")</f>
        <v>Yes</v>
      </c>
      <c r="W473" s="5" t="str">
        <f>IFERROR(__xludf.DUMMYFUNCTION("""COMPUTED_VALUE"""),"Yes")</f>
        <v>Yes</v>
      </c>
      <c r="X473" s="5" t="str">
        <f>IFERROR(__xludf.DUMMYFUNCTION("""COMPUTED_VALUE"""),"Yes")</f>
        <v>Yes</v>
      </c>
      <c r="Y473" s="5" t="str">
        <f>IFERROR(__xludf.DUMMYFUNCTION("""COMPUTED_VALUE"""),"Yes")</f>
        <v>Yes</v>
      </c>
      <c r="Z473" s="5" t="str">
        <f>IFERROR(__xludf.DUMMYFUNCTION("""COMPUTED_VALUE"""),"Yes")</f>
        <v>Yes</v>
      </c>
      <c r="AA473" s="5" t="str">
        <f>IFERROR(__xludf.DUMMYFUNCTION("""COMPUTED_VALUE"""),"Yes")</f>
        <v>Yes</v>
      </c>
      <c r="AB473" s="5" t="str">
        <f>IFERROR(__xludf.DUMMYFUNCTION("""COMPUTED_VALUE"""),"Yes")</f>
        <v>Yes</v>
      </c>
      <c r="AC473" s="5" t="str">
        <f>IFERROR(__xludf.DUMMYFUNCTION("""COMPUTED_VALUE"""),"No")</f>
        <v>No</v>
      </c>
    </row>
    <row r="474">
      <c r="A474" s="5" t="str">
        <f>IFERROR(__xludf.DUMMYFUNCTION("""COMPUTED_VALUE"""),"EpicClover40Booster")</f>
        <v>EpicClover40Booster</v>
      </c>
      <c r="B4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4" s="5" t="str">
        <f>IFERROR(__xludf.DUMMYFUNCTION("""COMPUTED_VALUE"""),"Yes")</f>
        <v>Yes</v>
      </c>
      <c r="D474" s="5" t="str">
        <f>IFERROR(__xludf.DUMMYFUNCTION("""COMPUTED_VALUE"""),"Yes")</f>
        <v>Yes</v>
      </c>
      <c r="E474" s="5" t="str">
        <f>IFERROR(__xludf.DUMMYFUNCTION("""COMPUTED_VALUE"""),"Yes")</f>
        <v>Yes</v>
      </c>
      <c r="F474" s="5" t="str">
        <f>IFERROR(__xludf.DUMMYFUNCTION("""COMPUTED_VALUE"""),"Yes")</f>
        <v>Yes</v>
      </c>
      <c r="G474" s="5" t="str">
        <f>IFERROR(__xludf.DUMMYFUNCTION("""COMPUTED_VALUE"""),"Yes")</f>
        <v>Yes</v>
      </c>
      <c r="H474" s="5" t="str">
        <f>IFERROR(__xludf.DUMMYFUNCTION("""COMPUTED_VALUE"""),"Yes")</f>
        <v>Yes</v>
      </c>
      <c r="I474" s="5" t="str">
        <f>IFERROR(__xludf.DUMMYFUNCTION("""COMPUTED_VALUE"""),"Yes")</f>
        <v>Yes</v>
      </c>
      <c r="J474" s="5" t="str">
        <f>IFERROR(__xludf.DUMMYFUNCTION("""COMPUTED_VALUE"""),"Yes")</f>
        <v>Yes</v>
      </c>
      <c r="K474" s="5" t="str">
        <f>IFERROR(__xludf.DUMMYFUNCTION("""COMPUTED_VALUE"""),"Yes")</f>
        <v>Yes</v>
      </c>
      <c r="L474" s="5" t="str">
        <f>IFERROR(__xludf.DUMMYFUNCTION("""COMPUTED_VALUE"""),"Yes")</f>
        <v>Yes</v>
      </c>
      <c r="M474" s="5" t="str">
        <f>IFERROR(__xludf.DUMMYFUNCTION("""COMPUTED_VALUE"""),"Yes")</f>
        <v>Yes</v>
      </c>
      <c r="N474" s="5" t="str">
        <f>IFERROR(__xludf.DUMMYFUNCTION("""COMPUTED_VALUE"""),"Yes")</f>
        <v>Yes</v>
      </c>
      <c r="O474" s="5" t="str">
        <f>IFERROR(__xludf.DUMMYFUNCTION("""COMPUTED_VALUE"""),"Yes")</f>
        <v>Yes</v>
      </c>
      <c r="P474" s="5" t="str">
        <f>IFERROR(__xludf.DUMMYFUNCTION("""COMPUTED_VALUE"""),"Yes")</f>
        <v>Yes</v>
      </c>
      <c r="Q474" s="5" t="str">
        <f>IFERROR(__xludf.DUMMYFUNCTION("""COMPUTED_VALUE"""),"Yes")</f>
        <v>Yes</v>
      </c>
      <c r="R474" s="5" t="str">
        <f>IFERROR(__xludf.DUMMYFUNCTION("""COMPUTED_VALUE"""),"Yes")</f>
        <v>Yes</v>
      </c>
      <c r="S474" s="5" t="str">
        <f>IFERROR(__xludf.DUMMYFUNCTION("""COMPUTED_VALUE"""),"Yes")</f>
        <v>Yes</v>
      </c>
      <c r="T474" s="5" t="str">
        <f>IFERROR(__xludf.DUMMYFUNCTION("""COMPUTED_VALUE"""),"Yes")</f>
        <v>Yes</v>
      </c>
      <c r="U474" s="5" t="str">
        <f>IFERROR(__xludf.DUMMYFUNCTION("""COMPUTED_VALUE"""),"Yes")</f>
        <v>Yes</v>
      </c>
      <c r="V474" s="5" t="str">
        <f>IFERROR(__xludf.DUMMYFUNCTION("""COMPUTED_VALUE"""),"Yes")</f>
        <v>Yes</v>
      </c>
      <c r="W474" s="5" t="str">
        <f>IFERROR(__xludf.DUMMYFUNCTION("""COMPUTED_VALUE"""),"Yes")</f>
        <v>Yes</v>
      </c>
      <c r="X474" s="5" t="str">
        <f>IFERROR(__xludf.DUMMYFUNCTION("""COMPUTED_VALUE"""),"Yes")</f>
        <v>Yes</v>
      </c>
      <c r="Y474" s="5" t="str">
        <f>IFERROR(__xludf.DUMMYFUNCTION("""COMPUTED_VALUE"""),"Yes")</f>
        <v>Yes</v>
      </c>
      <c r="Z474" s="5" t="str">
        <f>IFERROR(__xludf.DUMMYFUNCTION("""COMPUTED_VALUE"""),"Yes")</f>
        <v>Yes</v>
      </c>
      <c r="AA474" s="5" t="str">
        <f>IFERROR(__xludf.DUMMYFUNCTION("""COMPUTED_VALUE"""),"Yes")</f>
        <v>Yes</v>
      </c>
      <c r="AB474" s="5" t="str">
        <f>IFERROR(__xludf.DUMMYFUNCTION("""COMPUTED_VALUE"""),"Yes")</f>
        <v>Yes</v>
      </c>
      <c r="AC474" s="5" t="str">
        <f>IFERROR(__xludf.DUMMYFUNCTION("""COMPUTED_VALUE"""),"No")</f>
        <v>No</v>
      </c>
    </row>
    <row r="475">
      <c r="A475" s="5" t="str">
        <f>IFERROR(__xludf.DUMMYFUNCTION("""COMPUTED_VALUE"""),"RedstoneMultiCrown10")</f>
        <v>RedstoneMultiCrown10</v>
      </c>
      <c r="B4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75" s="5" t="str">
        <f>IFERROR(__xludf.DUMMYFUNCTION("""COMPUTED_VALUE"""),"Yes")</f>
        <v>Yes</v>
      </c>
      <c r="D475" s="5" t="str">
        <f>IFERROR(__xludf.DUMMYFUNCTION("""COMPUTED_VALUE"""),"Yes")</f>
        <v>Yes</v>
      </c>
      <c r="E475" s="5" t="str">
        <f>IFERROR(__xludf.DUMMYFUNCTION("""COMPUTED_VALUE"""),"Yes")</f>
        <v>Yes</v>
      </c>
      <c r="F475" s="5" t="str">
        <f>IFERROR(__xludf.DUMMYFUNCTION("""COMPUTED_VALUE"""),"Yes")</f>
        <v>Yes</v>
      </c>
      <c r="G475" s="5" t="str">
        <f>IFERROR(__xludf.DUMMYFUNCTION("""COMPUTED_VALUE"""),"Yes")</f>
        <v>Yes</v>
      </c>
      <c r="H475" s="5" t="str">
        <f>IFERROR(__xludf.DUMMYFUNCTION("""COMPUTED_VALUE"""),"Yes")</f>
        <v>Yes</v>
      </c>
      <c r="I475" s="5" t="str">
        <f>IFERROR(__xludf.DUMMYFUNCTION("""COMPUTED_VALUE"""),"Yes")</f>
        <v>Yes</v>
      </c>
      <c r="J475" s="5" t="str">
        <f>IFERROR(__xludf.DUMMYFUNCTION("""COMPUTED_VALUE"""),"Yes")</f>
        <v>Yes</v>
      </c>
      <c r="K475" s="5" t="str">
        <f>IFERROR(__xludf.DUMMYFUNCTION("""COMPUTED_VALUE"""),"Yes")</f>
        <v>Yes</v>
      </c>
      <c r="L475" s="5" t="str">
        <f>IFERROR(__xludf.DUMMYFUNCTION("""COMPUTED_VALUE"""),"Yes")</f>
        <v>Yes</v>
      </c>
      <c r="M475" s="5" t="str">
        <f>IFERROR(__xludf.DUMMYFUNCTION("""COMPUTED_VALUE"""),"Yes")</f>
        <v>Yes</v>
      </c>
      <c r="N475" s="5" t="str">
        <f>IFERROR(__xludf.DUMMYFUNCTION("""COMPUTED_VALUE"""),"Yes")</f>
        <v>Yes</v>
      </c>
      <c r="O475" s="5" t="str">
        <f>IFERROR(__xludf.DUMMYFUNCTION("""COMPUTED_VALUE"""),"Yes")</f>
        <v>Yes</v>
      </c>
      <c r="P475" s="5" t="str">
        <f>IFERROR(__xludf.DUMMYFUNCTION("""COMPUTED_VALUE"""),"Yes")</f>
        <v>Yes</v>
      </c>
      <c r="Q475" s="5" t="str">
        <f>IFERROR(__xludf.DUMMYFUNCTION("""COMPUTED_VALUE"""),"Yes")</f>
        <v>Yes</v>
      </c>
      <c r="R475" s="5" t="str">
        <f>IFERROR(__xludf.DUMMYFUNCTION("""COMPUTED_VALUE"""),"Yes")</f>
        <v>Yes</v>
      </c>
      <c r="S475" s="5" t="str">
        <f>IFERROR(__xludf.DUMMYFUNCTION("""COMPUTED_VALUE"""),"Yes")</f>
        <v>Yes</v>
      </c>
      <c r="T475" s="5" t="str">
        <f>IFERROR(__xludf.DUMMYFUNCTION("""COMPUTED_VALUE"""),"Yes")</f>
        <v>Yes</v>
      </c>
      <c r="U475" s="5" t="str">
        <f>IFERROR(__xludf.DUMMYFUNCTION("""COMPUTED_VALUE"""),"Yes")</f>
        <v>Yes</v>
      </c>
      <c r="V475" s="5"/>
      <c r="W475" s="5" t="str">
        <f>IFERROR(__xludf.DUMMYFUNCTION("""COMPUTED_VALUE"""),"Yes")</f>
        <v>Yes</v>
      </c>
      <c r="X475" s="5"/>
      <c r="Y475" s="5"/>
      <c r="Z475" s="5" t="str">
        <f>IFERROR(__xludf.DUMMYFUNCTION("""COMPUTED_VALUE"""),"Yes")</f>
        <v>Yes</v>
      </c>
      <c r="AA475" s="5"/>
      <c r="AB475" s="5"/>
      <c r="AC475" s="5"/>
    </row>
    <row r="476">
      <c r="A476" s="5" t="str">
        <f>IFERROR(__xludf.DUMMYFUNCTION("""COMPUTED_VALUE"""),"BetwoonHot5")</f>
        <v>BetwoonHot5</v>
      </c>
      <c r="B47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76" s="5" t="str">
        <f>IFERROR(__xludf.DUMMYFUNCTION("""COMPUTED_VALUE"""),"Yes")</f>
        <v>Yes</v>
      </c>
      <c r="D476" s="5" t="str">
        <f>IFERROR(__xludf.DUMMYFUNCTION("""COMPUTED_VALUE"""),"Yes")</f>
        <v>Yes</v>
      </c>
      <c r="E476" s="5" t="str">
        <f>IFERROR(__xludf.DUMMYFUNCTION("""COMPUTED_VALUE"""),"No")</f>
        <v>No</v>
      </c>
      <c r="F476" s="5" t="str">
        <f>IFERROR(__xludf.DUMMYFUNCTION("""COMPUTED_VALUE"""),"Yes")</f>
        <v>Yes</v>
      </c>
      <c r="G476" s="5" t="str">
        <f>IFERROR(__xludf.DUMMYFUNCTION("""COMPUTED_VALUE"""),"Yes")</f>
        <v>Yes</v>
      </c>
      <c r="H476" s="5" t="str">
        <f>IFERROR(__xludf.DUMMYFUNCTION("""COMPUTED_VALUE"""),"Yes")</f>
        <v>Yes</v>
      </c>
      <c r="I476" s="5" t="str">
        <f>IFERROR(__xludf.DUMMYFUNCTION("""COMPUTED_VALUE"""),"Yes")</f>
        <v>Yes</v>
      </c>
      <c r="J476" s="5" t="str">
        <f>IFERROR(__xludf.DUMMYFUNCTION("""COMPUTED_VALUE"""),"Yes")</f>
        <v>Yes</v>
      </c>
      <c r="K476" s="5" t="str">
        <f>IFERROR(__xludf.DUMMYFUNCTION("""COMPUTED_VALUE"""),"Yes")</f>
        <v>Yes</v>
      </c>
      <c r="L476" s="5" t="str">
        <f>IFERROR(__xludf.DUMMYFUNCTION("""COMPUTED_VALUE"""),"Yes")</f>
        <v>Yes</v>
      </c>
      <c r="M476" s="5" t="str">
        <f>IFERROR(__xludf.DUMMYFUNCTION("""COMPUTED_VALUE"""),"Yes")</f>
        <v>Yes</v>
      </c>
      <c r="N476" s="5" t="str">
        <f>IFERROR(__xludf.DUMMYFUNCTION("""COMPUTED_VALUE"""),"Yes")</f>
        <v>Yes</v>
      </c>
      <c r="O476" s="5" t="str">
        <f>IFERROR(__xludf.DUMMYFUNCTION("""COMPUTED_VALUE"""),"Yes")</f>
        <v>Yes</v>
      </c>
      <c r="P476" s="5" t="str">
        <f>IFERROR(__xludf.DUMMYFUNCTION("""COMPUTED_VALUE"""),"Yes")</f>
        <v>Yes</v>
      </c>
      <c r="Q476" s="5" t="str">
        <f>IFERROR(__xludf.DUMMYFUNCTION("""COMPUTED_VALUE"""),"Yes")</f>
        <v>Yes</v>
      </c>
      <c r="R476" s="5" t="str">
        <f>IFERROR(__xludf.DUMMYFUNCTION("""COMPUTED_VALUE"""),"No")</f>
        <v>No</v>
      </c>
      <c r="S476" s="5" t="str">
        <f>IFERROR(__xludf.DUMMYFUNCTION("""COMPUTED_VALUE"""),"No")</f>
        <v>No</v>
      </c>
      <c r="T476" s="5" t="str">
        <f>IFERROR(__xludf.DUMMYFUNCTION("""COMPUTED_VALUE"""),"No")</f>
        <v>No</v>
      </c>
      <c r="U476" s="5" t="str">
        <f>IFERROR(__xludf.DUMMYFUNCTION("""COMPUTED_VALUE"""),"No")</f>
        <v>No</v>
      </c>
      <c r="V476" s="5" t="str">
        <f>IFERROR(__xludf.DUMMYFUNCTION("""COMPUTED_VALUE"""),"No")</f>
        <v>No</v>
      </c>
      <c r="W476" s="5" t="str">
        <f>IFERROR(__xludf.DUMMYFUNCTION("""COMPUTED_VALUE"""),"No")</f>
        <v>No</v>
      </c>
      <c r="X476" s="5" t="str">
        <f>IFERROR(__xludf.DUMMYFUNCTION("""COMPUTED_VALUE"""),"Yes")</f>
        <v>Yes</v>
      </c>
      <c r="Y476" s="5" t="str">
        <f>IFERROR(__xludf.DUMMYFUNCTION("""COMPUTED_VALUE"""),"No")</f>
        <v>No</v>
      </c>
      <c r="Z476" s="5" t="str">
        <f>IFERROR(__xludf.DUMMYFUNCTION("""COMPUTED_VALUE"""),"No")</f>
        <v>No</v>
      </c>
      <c r="AA476" s="5" t="str">
        <f>IFERROR(__xludf.DUMMYFUNCTION("""COMPUTED_VALUE"""),"No")</f>
        <v>No</v>
      </c>
      <c r="AB476" s="5" t="str">
        <f>IFERROR(__xludf.DUMMYFUNCTION("""COMPUTED_VALUE"""),"Yes")</f>
        <v>Yes</v>
      </c>
      <c r="AC476" s="5" t="str">
        <f>IFERROR(__xludf.DUMMYFUNCTION("""COMPUTED_VALUE"""),"No")</f>
        <v>No</v>
      </c>
    </row>
    <row r="477">
      <c r="A477" s="5" t="str">
        <f>IFERROR(__xludf.DUMMYFUNCTION("""COMPUTED_VALUE"""),"GoldenCrownExtreme")</f>
        <v>GoldenCrownExtreme</v>
      </c>
      <c r="B4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7" s="5" t="str">
        <f>IFERROR(__xludf.DUMMYFUNCTION("""COMPUTED_VALUE"""),"Yes")</f>
        <v>Yes</v>
      </c>
      <c r="D477" s="5" t="str">
        <f>IFERROR(__xludf.DUMMYFUNCTION("""COMPUTED_VALUE"""),"Yes")</f>
        <v>Yes</v>
      </c>
      <c r="E477" s="5" t="str">
        <f>IFERROR(__xludf.DUMMYFUNCTION("""COMPUTED_VALUE"""),"Yes")</f>
        <v>Yes</v>
      </c>
      <c r="F477" s="5" t="str">
        <f>IFERROR(__xludf.DUMMYFUNCTION("""COMPUTED_VALUE"""),"Yes")</f>
        <v>Yes</v>
      </c>
      <c r="G477" s="5" t="str">
        <f>IFERROR(__xludf.DUMMYFUNCTION("""COMPUTED_VALUE"""),"Yes")</f>
        <v>Yes</v>
      </c>
      <c r="H477" s="5" t="str">
        <f>IFERROR(__xludf.DUMMYFUNCTION("""COMPUTED_VALUE"""),"Yes")</f>
        <v>Yes</v>
      </c>
      <c r="I477" s="5" t="str">
        <f>IFERROR(__xludf.DUMMYFUNCTION("""COMPUTED_VALUE"""),"Yes")</f>
        <v>Yes</v>
      </c>
      <c r="J477" s="5" t="str">
        <f>IFERROR(__xludf.DUMMYFUNCTION("""COMPUTED_VALUE"""),"Yes")</f>
        <v>Yes</v>
      </c>
      <c r="K477" s="5" t="str">
        <f>IFERROR(__xludf.DUMMYFUNCTION("""COMPUTED_VALUE"""),"Yes")</f>
        <v>Yes</v>
      </c>
      <c r="L477" s="5" t="str">
        <f>IFERROR(__xludf.DUMMYFUNCTION("""COMPUTED_VALUE"""),"Yes")</f>
        <v>Yes</v>
      </c>
      <c r="M477" s="5" t="str">
        <f>IFERROR(__xludf.DUMMYFUNCTION("""COMPUTED_VALUE"""),"Yes")</f>
        <v>Yes</v>
      </c>
      <c r="N477" s="5" t="str">
        <f>IFERROR(__xludf.DUMMYFUNCTION("""COMPUTED_VALUE"""),"Yes")</f>
        <v>Yes</v>
      </c>
      <c r="O477" s="5" t="str">
        <f>IFERROR(__xludf.DUMMYFUNCTION("""COMPUTED_VALUE"""),"Yes")</f>
        <v>Yes</v>
      </c>
      <c r="P477" s="5" t="str">
        <f>IFERROR(__xludf.DUMMYFUNCTION("""COMPUTED_VALUE"""),"Yes")</f>
        <v>Yes</v>
      </c>
      <c r="Q477" s="5" t="str">
        <f>IFERROR(__xludf.DUMMYFUNCTION("""COMPUTED_VALUE"""),"Yes")</f>
        <v>Yes</v>
      </c>
      <c r="R477" s="5" t="str">
        <f>IFERROR(__xludf.DUMMYFUNCTION("""COMPUTED_VALUE"""),"Yes")</f>
        <v>Yes</v>
      </c>
      <c r="S477" s="5" t="str">
        <f>IFERROR(__xludf.DUMMYFUNCTION("""COMPUTED_VALUE"""),"Yes")</f>
        <v>Yes</v>
      </c>
      <c r="T477" s="5" t="str">
        <f>IFERROR(__xludf.DUMMYFUNCTION("""COMPUTED_VALUE"""),"Yes")</f>
        <v>Yes</v>
      </c>
      <c r="U477" s="5" t="str">
        <f>IFERROR(__xludf.DUMMYFUNCTION("""COMPUTED_VALUE"""),"Yes")</f>
        <v>Yes</v>
      </c>
      <c r="V477" s="5" t="str">
        <f>IFERROR(__xludf.DUMMYFUNCTION("""COMPUTED_VALUE"""),"Yes")</f>
        <v>Yes</v>
      </c>
      <c r="W477" s="5" t="str">
        <f>IFERROR(__xludf.DUMMYFUNCTION("""COMPUTED_VALUE"""),"Yes")</f>
        <v>Yes</v>
      </c>
      <c r="X477" s="5" t="str">
        <f>IFERROR(__xludf.DUMMYFUNCTION("""COMPUTED_VALUE"""),"Yes")</f>
        <v>Yes</v>
      </c>
      <c r="Y477" s="5" t="str">
        <f>IFERROR(__xludf.DUMMYFUNCTION("""COMPUTED_VALUE"""),"Yes")</f>
        <v>Yes</v>
      </c>
      <c r="Z477" s="5" t="str">
        <f>IFERROR(__xludf.DUMMYFUNCTION("""COMPUTED_VALUE"""),"Yes")</f>
        <v>Yes</v>
      </c>
      <c r="AA477" s="5" t="str">
        <f>IFERROR(__xludf.DUMMYFUNCTION("""COMPUTED_VALUE"""),"Yes")</f>
        <v>Yes</v>
      </c>
      <c r="AB477" s="5" t="str">
        <f>IFERROR(__xludf.DUMMYFUNCTION("""COMPUTED_VALUE"""),"Yes")</f>
        <v>Yes</v>
      </c>
      <c r="AC477" s="5" t="str">
        <f>IFERROR(__xludf.DUMMYFUNCTION("""COMPUTED_VALUE"""),"No")</f>
        <v>No</v>
      </c>
    </row>
    <row r="478">
      <c r="A478" s="5" t="str">
        <f>IFERROR(__xludf.DUMMYFUNCTION("""COMPUTED_VALUE"""),"PlayNetMajesticCrown5")</f>
        <v>PlayNetMajesticCrown5</v>
      </c>
      <c r="B47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8" s="5" t="str">
        <f>IFERROR(__xludf.DUMMYFUNCTION("""COMPUTED_VALUE"""),"Yes")</f>
        <v>Yes</v>
      </c>
      <c r="D478" s="5" t="str">
        <f>IFERROR(__xludf.DUMMYFUNCTION("""COMPUTED_VALUE"""),"Yes")</f>
        <v>Yes</v>
      </c>
      <c r="E478" s="5" t="str">
        <f>IFERROR(__xludf.DUMMYFUNCTION("""COMPUTED_VALUE"""),"Yes")</f>
        <v>Yes</v>
      </c>
      <c r="F478" s="5" t="str">
        <f>IFERROR(__xludf.DUMMYFUNCTION("""COMPUTED_VALUE"""),"Yes")</f>
        <v>Yes</v>
      </c>
      <c r="G478" s="5" t="str">
        <f>IFERROR(__xludf.DUMMYFUNCTION("""COMPUTED_VALUE"""),"Yes")</f>
        <v>Yes</v>
      </c>
      <c r="H478" s="5" t="str">
        <f>IFERROR(__xludf.DUMMYFUNCTION("""COMPUTED_VALUE"""),"Yes")</f>
        <v>Yes</v>
      </c>
      <c r="I478" s="5" t="str">
        <f>IFERROR(__xludf.DUMMYFUNCTION("""COMPUTED_VALUE"""),"Yes")</f>
        <v>Yes</v>
      </c>
      <c r="J478" s="5" t="str">
        <f>IFERROR(__xludf.DUMMYFUNCTION("""COMPUTED_VALUE"""),"Yes")</f>
        <v>Yes</v>
      </c>
      <c r="K478" s="5" t="str">
        <f>IFERROR(__xludf.DUMMYFUNCTION("""COMPUTED_VALUE"""),"Yes")</f>
        <v>Yes</v>
      </c>
      <c r="L478" s="5" t="str">
        <f>IFERROR(__xludf.DUMMYFUNCTION("""COMPUTED_VALUE"""),"Yes")</f>
        <v>Yes</v>
      </c>
      <c r="M478" s="5" t="str">
        <f>IFERROR(__xludf.DUMMYFUNCTION("""COMPUTED_VALUE"""),"Yes")</f>
        <v>Yes</v>
      </c>
      <c r="N478" s="5" t="str">
        <f>IFERROR(__xludf.DUMMYFUNCTION("""COMPUTED_VALUE"""),"Yes")</f>
        <v>Yes</v>
      </c>
      <c r="O478" s="5" t="str">
        <f>IFERROR(__xludf.DUMMYFUNCTION("""COMPUTED_VALUE"""),"Yes")</f>
        <v>Yes</v>
      </c>
      <c r="P478" s="5" t="str">
        <f>IFERROR(__xludf.DUMMYFUNCTION("""COMPUTED_VALUE"""),"Yes")</f>
        <v>Yes</v>
      </c>
      <c r="Q478" s="5" t="str">
        <f>IFERROR(__xludf.DUMMYFUNCTION("""COMPUTED_VALUE"""),"Yes")</f>
        <v>Yes</v>
      </c>
      <c r="R478" s="5" t="str">
        <f>IFERROR(__xludf.DUMMYFUNCTION("""COMPUTED_VALUE"""),"No")</f>
        <v>No</v>
      </c>
      <c r="S478" s="5" t="str">
        <f>IFERROR(__xludf.DUMMYFUNCTION("""COMPUTED_VALUE"""),"No")</f>
        <v>No</v>
      </c>
      <c r="T478" s="5" t="str">
        <f>IFERROR(__xludf.DUMMYFUNCTION("""COMPUTED_VALUE"""),"No")</f>
        <v>No</v>
      </c>
      <c r="U478" s="5" t="str">
        <f>IFERROR(__xludf.DUMMYFUNCTION("""COMPUTED_VALUE"""),"No")</f>
        <v>No</v>
      </c>
      <c r="V478" s="5"/>
      <c r="W478" s="5"/>
      <c r="X478" s="5"/>
      <c r="Y478" s="5"/>
      <c r="Z478" s="5" t="str">
        <f>IFERROR(__xludf.DUMMYFUNCTION("""COMPUTED_VALUE"""),"No")</f>
        <v>No</v>
      </c>
      <c r="AA478" s="5"/>
      <c r="AB478" s="5" t="str">
        <f>IFERROR(__xludf.DUMMYFUNCTION("""COMPUTED_VALUE"""),"Yes")</f>
        <v>Yes</v>
      </c>
      <c r="AC478" s="5"/>
    </row>
    <row r="479">
      <c r="A479" s="5" t="str">
        <f>IFERROR(__xludf.DUMMYFUNCTION("""COMPUTED_VALUE"""),"PlayNetRoyalFlame")</f>
        <v>PlayNetRoyalFlame</v>
      </c>
      <c r="B47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9" s="5" t="str">
        <f>IFERROR(__xludf.DUMMYFUNCTION("""COMPUTED_VALUE"""),"Yes")</f>
        <v>Yes</v>
      </c>
      <c r="D479" s="5" t="str">
        <f>IFERROR(__xludf.DUMMYFUNCTION("""COMPUTED_VALUE"""),"Yes")</f>
        <v>Yes</v>
      </c>
      <c r="E479" s="5" t="str">
        <f>IFERROR(__xludf.DUMMYFUNCTION("""COMPUTED_VALUE"""),"Yes")</f>
        <v>Yes</v>
      </c>
      <c r="F479" s="5" t="str">
        <f>IFERROR(__xludf.DUMMYFUNCTION("""COMPUTED_VALUE"""),"Yes")</f>
        <v>Yes</v>
      </c>
      <c r="G479" s="5" t="str">
        <f>IFERROR(__xludf.DUMMYFUNCTION("""COMPUTED_VALUE"""),"Yes")</f>
        <v>Yes</v>
      </c>
      <c r="H479" s="5" t="str">
        <f>IFERROR(__xludf.DUMMYFUNCTION("""COMPUTED_VALUE"""),"Yes")</f>
        <v>Yes</v>
      </c>
      <c r="I479" s="5" t="str">
        <f>IFERROR(__xludf.DUMMYFUNCTION("""COMPUTED_VALUE"""),"Yes")</f>
        <v>Yes</v>
      </c>
      <c r="J479" s="5" t="str">
        <f>IFERROR(__xludf.DUMMYFUNCTION("""COMPUTED_VALUE"""),"Yes")</f>
        <v>Yes</v>
      </c>
      <c r="K479" s="5" t="str">
        <f>IFERROR(__xludf.DUMMYFUNCTION("""COMPUTED_VALUE"""),"Yes")</f>
        <v>Yes</v>
      </c>
      <c r="L479" s="5" t="str">
        <f>IFERROR(__xludf.DUMMYFUNCTION("""COMPUTED_VALUE"""),"Yes")</f>
        <v>Yes</v>
      </c>
      <c r="M479" s="5" t="str">
        <f>IFERROR(__xludf.DUMMYFUNCTION("""COMPUTED_VALUE"""),"Yes")</f>
        <v>Yes</v>
      </c>
      <c r="N479" s="5" t="str">
        <f>IFERROR(__xludf.DUMMYFUNCTION("""COMPUTED_VALUE"""),"Yes")</f>
        <v>Yes</v>
      </c>
      <c r="O479" s="5" t="str">
        <f>IFERROR(__xludf.DUMMYFUNCTION("""COMPUTED_VALUE"""),"Yes")</f>
        <v>Yes</v>
      </c>
      <c r="P479" s="5" t="str">
        <f>IFERROR(__xludf.DUMMYFUNCTION("""COMPUTED_VALUE"""),"Yes")</f>
        <v>Yes</v>
      </c>
      <c r="Q479" s="5" t="str">
        <f>IFERROR(__xludf.DUMMYFUNCTION("""COMPUTED_VALUE"""),"Yes")</f>
        <v>Yes</v>
      </c>
      <c r="R479" s="5" t="str">
        <f>IFERROR(__xludf.DUMMYFUNCTION("""COMPUTED_VALUE"""),"No")</f>
        <v>No</v>
      </c>
      <c r="S479" s="5" t="str">
        <f>IFERROR(__xludf.DUMMYFUNCTION("""COMPUTED_VALUE"""),"No")</f>
        <v>No</v>
      </c>
      <c r="T479" s="5" t="str">
        <f>IFERROR(__xludf.DUMMYFUNCTION("""COMPUTED_VALUE"""),"No")</f>
        <v>No</v>
      </c>
      <c r="U479" s="5" t="str">
        <f>IFERROR(__xludf.DUMMYFUNCTION("""COMPUTED_VALUE"""),"No")</f>
        <v>No</v>
      </c>
      <c r="V479" s="5"/>
      <c r="W479" s="5"/>
      <c r="X479" s="5"/>
      <c r="Y479" s="5"/>
      <c r="Z479" s="5" t="str">
        <f>IFERROR(__xludf.DUMMYFUNCTION("""COMPUTED_VALUE"""),"No")</f>
        <v>No</v>
      </c>
      <c r="AA479" s="5"/>
      <c r="AB479" s="5" t="str">
        <f>IFERROR(__xludf.DUMMYFUNCTION("""COMPUTED_VALUE"""),"Yes")</f>
        <v>Yes</v>
      </c>
      <c r="AC479" s="5"/>
    </row>
    <row r="480">
      <c r="A480" s="5" t="str">
        <f>IFERROR(__xludf.DUMMYFUNCTION("""COMPUTED_VALUE"""),"PlayNetDiamondHeart100")</f>
        <v>PlayNetDiamondHeart100</v>
      </c>
      <c r="B48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0" s="5" t="str">
        <f>IFERROR(__xludf.DUMMYFUNCTION("""COMPUTED_VALUE"""),"Yes")</f>
        <v>Yes</v>
      </c>
      <c r="D480" s="5" t="str">
        <f>IFERROR(__xludf.DUMMYFUNCTION("""COMPUTED_VALUE"""),"Yes")</f>
        <v>Yes</v>
      </c>
      <c r="E480" s="5" t="str">
        <f>IFERROR(__xludf.DUMMYFUNCTION("""COMPUTED_VALUE"""),"Yes")</f>
        <v>Yes</v>
      </c>
      <c r="F480" s="5" t="str">
        <f>IFERROR(__xludf.DUMMYFUNCTION("""COMPUTED_VALUE"""),"Yes")</f>
        <v>Yes</v>
      </c>
      <c r="G480" s="5" t="str">
        <f>IFERROR(__xludf.DUMMYFUNCTION("""COMPUTED_VALUE"""),"Yes")</f>
        <v>Yes</v>
      </c>
      <c r="H480" s="5" t="str">
        <f>IFERROR(__xludf.DUMMYFUNCTION("""COMPUTED_VALUE"""),"Yes")</f>
        <v>Yes</v>
      </c>
      <c r="I480" s="5" t="str">
        <f>IFERROR(__xludf.DUMMYFUNCTION("""COMPUTED_VALUE"""),"Yes")</f>
        <v>Yes</v>
      </c>
      <c r="J480" s="5" t="str">
        <f>IFERROR(__xludf.DUMMYFUNCTION("""COMPUTED_VALUE"""),"Yes")</f>
        <v>Yes</v>
      </c>
      <c r="K480" s="5" t="str">
        <f>IFERROR(__xludf.DUMMYFUNCTION("""COMPUTED_VALUE"""),"Yes")</f>
        <v>Yes</v>
      </c>
      <c r="L480" s="5" t="str">
        <f>IFERROR(__xludf.DUMMYFUNCTION("""COMPUTED_VALUE"""),"Yes")</f>
        <v>Yes</v>
      </c>
      <c r="M480" s="5" t="str">
        <f>IFERROR(__xludf.DUMMYFUNCTION("""COMPUTED_VALUE"""),"Yes")</f>
        <v>Yes</v>
      </c>
      <c r="N480" s="5" t="str">
        <f>IFERROR(__xludf.DUMMYFUNCTION("""COMPUTED_VALUE"""),"Yes")</f>
        <v>Yes</v>
      </c>
      <c r="O480" s="5" t="str">
        <f>IFERROR(__xludf.DUMMYFUNCTION("""COMPUTED_VALUE"""),"Yes")</f>
        <v>Yes</v>
      </c>
      <c r="P480" s="5" t="str">
        <f>IFERROR(__xludf.DUMMYFUNCTION("""COMPUTED_VALUE"""),"Yes")</f>
        <v>Yes</v>
      </c>
      <c r="Q480" s="5" t="str">
        <f>IFERROR(__xludf.DUMMYFUNCTION("""COMPUTED_VALUE"""),"Yes")</f>
        <v>Yes</v>
      </c>
      <c r="R480" s="5" t="str">
        <f>IFERROR(__xludf.DUMMYFUNCTION("""COMPUTED_VALUE"""),"No")</f>
        <v>No</v>
      </c>
      <c r="S480" s="5" t="str">
        <f>IFERROR(__xludf.DUMMYFUNCTION("""COMPUTED_VALUE"""),"No")</f>
        <v>No</v>
      </c>
      <c r="T480" s="5" t="str">
        <f>IFERROR(__xludf.DUMMYFUNCTION("""COMPUTED_VALUE"""),"No")</f>
        <v>No</v>
      </c>
      <c r="U480" s="5" t="str">
        <f>IFERROR(__xludf.DUMMYFUNCTION("""COMPUTED_VALUE"""),"No")</f>
        <v>No</v>
      </c>
      <c r="V480" s="5"/>
      <c r="W480" s="5" t="str">
        <f>IFERROR(__xludf.DUMMYFUNCTION("""COMPUTED_VALUE"""),"No")</f>
        <v>No</v>
      </c>
      <c r="X480" s="5" t="str">
        <f>IFERROR(__xludf.DUMMYFUNCTION("""COMPUTED_VALUE"""),"No")</f>
        <v>No</v>
      </c>
      <c r="Y480" s="5" t="str">
        <f>IFERROR(__xludf.DUMMYFUNCTION("""COMPUTED_VALUE"""),"No")</f>
        <v>No</v>
      </c>
      <c r="Z480" s="5" t="str">
        <f>IFERROR(__xludf.DUMMYFUNCTION("""COMPUTED_VALUE"""),"No")</f>
        <v>No</v>
      </c>
      <c r="AA480" s="5" t="str">
        <f>IFERROR(__xludf.DUMMYFUNCTION("""COMPUTED_VALUE"""),"No")</f>
        <v>No</v>
      </c>
      <c r="AB480" s="5" t="str">
        <f>IFERROR(__xludf.DUMMYFUNCTION("""COMPUTED_VALUE"""),"Yes")</f>
        <v>Yes</v>
      </c>
      <c r="AC480" s="5"/>
    </row>
    <row r="481">
      <c r="A481" s="5" t="str">
        <f>IFERROR(__xludf.DUMMYFUNCTION("""COMPUTED_VALUE"""),"PlayNetGoldenGetsby")</f>
        <v>PlayNetGoldenGetsby</v>
      </c>
      <c r="B481"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1" s="5" t="str">
        <f>IFERROR(__xludf.DUMMYFUNCTION("""COMPUTED_VALUE"""),"Yes")</f>
        <v>Yes</v>
      </c>
      <c r="D481" s="5" t="str">
        <f>IFERROR(__xludf.DUMMYFUNCTION("""COMPUTED_VALUE"""),"Yes")</f>
        <v>Yes</v>
      </c>
      <c r="E481" s="5" t="str">
        <f>IFERROR(__xludf.DUMMYFUNCTION("""COMPUTED_VALUE"""),"Yes")</f>
        <v>Yes</v>
      </c>
      <c r="F481" s="5" t="str">
        <f>IFERROR(__xludf.DUMMYFUNCTION("""COMPUTED_VALUE"""),"Yes")</f>
        <v>Yes</v>
      </c>
      <c r="G481" s="5" t="str">
        <f>IFERROR(__xludf.DUMMYFUNCTION("""COMPUTED_VALUE"""),"Yes")</f>
        <v>Yes</v>
      </c>
      <c r="H481" s="5" t="str">
        <f>IFERROR(__xludf.DUMMYFUNCTION("""COMPUTED_VALUE"""),"Yes")</f>
        <v>Yes</v>
      </c>
      <c r="I481" s="5" t="str">
        <f>IFERROR(__xludf.DUMMYFUNCTION("""COMPUTED_VALUE"""),"Yes")</f>
        <v>Yes</v>
      </c>
      <c r="J481" s="5" t="str">
        <f>IFERROR(__xludf.DUMMYFUNCTION("""COMPUTED_VALUE"""),"Yes")</f>
        <v>Yes</v>
      </c>
      <c r="K481" s="5" t="str">
        <f>IFERROR(__xludf.DUMMYFUNCTION("""COMPUTED_VALUE"""),"Yes")</f>
        <v>Yes</v>
      </c>
      <c r="L481" s="5" t="str">
        <f>IFERROR(__xludf.DUMMYFUNCTION("""COMPUTED_VALUE"""),"Yes")</f>
        <v>Yes</v>
      </c>
      <c r="M481" s="5" t="str">
        <f>IFERROR(__xludf.DUMMYFUNCTION("""COMPUTED_VALUE"""),"Yes")</f>
        <v>Yes</v>
      </c>
      <c r="N481" s="5" t="str">
        <f>IFERROR(__xludf.DUMMYFUNCTION("""COMPUTED_VALUE"""),"Yes")</f>
        <v>Yes</v>
      </c>
      <c r="O481" s="5" t="str">
        <f>IFERROR(__xludf.DUMMYFUNCTION("""COMPUTED_VALUE"""),"Yes")</f>
        <v>Yes</v>
      </c>
      <c r="P481" s="5" t="str">
        <f>IFERROR(__xludf.DUMMYFUNCTION("""COMPUTED_VALUE"""),"Yes")</f>
        <v>Yes</v>
      </c>
      <c r="Q481" s="5" t="str">
        <f>IFERROR(__xludf.DUMMYFUNCTION("""COMPUTED_VALUE"""),"Yes")</f>
        <v>Yes</v>
      </c>
      <c r="R481" s="5" t="str">
        <f>IFERROR(__xludf.DUMMYFUNCTION("""COMPUTED_VALUE"""),"No")</f>
        <v>No</v>
      </c>
      <c r="S481" s="5" t="str">
        <f>IFERROR(__xludf.DUMMYFUNCTION("""COMPUTED_VALUE"""),"No")</f>
        <v>No</v>
      </c>
      <c r="T481" s="5" t="str">
        <f>IFERROR(__xludf.DUMMYFUNCTION("""COMPUTED_VALUE"""),"No")</f>
        <v>No</v>
      </c>
      <c r="U481" s="5" t="str">
        <f>IFERROR(__xludf.DUMMYFUNCTION("""COMPUTED_VALUE"""),"No")</f>
        <v>No</v>
      </c>
      <c r="V481" s="5"/>
      <c r="W481" s="5" t="str">
        <f>IFERROR(__xludf.DUMMYFUNCTION("""COMPUTED_VALUE"""),"No")</f>
        <v>No</v>
      </c>
      <c r="X481" s="5" t="str">
        <f>IFERROR(__xludf.DUMMYFUNCTION("""COMPUTED_VALUE"""),"No")</f>
        <v>No</v>
      </c>
      <c r="Y481" s="5" t="str">
        <f>IFERROR(__xludf.DUMMYFUNCTION("""COMPUTED_VALUE"""),"No")</f>
        <v>No</v>
      </c>
      <c r="Z481" s="5" t="str">
        <f>IFERROR(__xludf.DUMMYFUNCTION("""COMPUTED_VALUE"""),"No")</f>
        <v>No</v>
      </c>
      <c r="AA481" s="5" t="str">
        <f>IFERROR(__xludf.DUMMYFUNCTION("""COMPUTED_VALUE"""),"No")</f>
        <v>No</v>
      </c>
      <c r="AB481" s="5" t="str">
        <f>IFERROR(__xludf.DUMMYFUNCTION("""COMPUTED_VALUE"""),"Yes")</f>
        <v>Yes</v>
      </c>
      <c r="AC481" s="5"/>
    </row>
    <row r="482">
      <c r="A482" s="5" t="str">
        <f>IFERROR(__xludf.DUMMYFUNCTION("""COMPUTED_VALUE"""),"PlayNetDashingHot20")</f>
        <v>PlayNetDashingHot20</v>
      </c>
      <c r="B482"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2" s="5" t="str">
        <f>IFERROR(__xludf.DUMMYFUNCTION("""COMPUTED_VALUE"""),"Yes")</f>
        <v>Yes</v>
      </c>
      <c r="D482" s="5" t="str">
        <f>IFERROR(__xludf.DUMMYFUNCTION("""COMPUTED_VALUE"""),"Yes")</f>
        <v>Yes</v>
      </c>
      <c r="E482" s="5" t="str">
        <f>IFERROR(__xludf.DUMMYFUNCTION("""COMPUTED_VALUE"""),"Yes")</f>
        <v>Yes</v>
      </c>
      <c r="F482" s="5" t="str">
        <f>IFERROR(__xludf.DUMMYFUNCTION("""COMPUTED_VALUE"""),"Yes")</f>
        <v>Yes</v>
      </c>
      <c r="G482" s="5" t="str">
        <f>IFERROR(__xludf.DUMMYFUNCTION("""COMPUTED_VALUE"""),"Yes")</f>
        <v>Yes</v>
      </c>
      <c r="H482" s="5" t="str">
        <f>IFERROR(__xludf.DUMMYFUNCTION("""COMPUTED_VALUE"""),"Yes")</f>
        <v>Yes</v>
      </c>
      <c r="I482" s="5" t="str">
        <f>IFERROR(__xludf.DUMMYFUNCTION("""COMPUTED_VALUE"""),"Yes")</f>
        <v>Yes</v>
      </c>
      <c r="J482" s="5" t="str">
        <f>IFERROR(__xludf.DUMMYFUNCTION("""COMPUTED_VALUE"""),"Yes")</f>
        <v>Yes</v>
      </c>
      <c r="K482" s="5" t="str">
        <f>IFERROR(__xludf.DUMMYFUNCTION("""COMPUTED_VALUE"""),"Yes")</f>
        <v>Yes</v>
      </c>
      <c r="L482" s="5" t="str">
        <f>IFERROR(__xludf.DUMMYFUNCTION("""COMPUTED_VALUE"""),"Yes")</f>
        <v>Yes</v>
      </c>
      <c r="M482" s="5" t="str">
        <f>IFERROR(__xludf.DUMMYFUNCTION("""COMPUTED_VALUE"""),"Yes")</f>
        <v>Yes</v>
      </c>
      <c r="N482" s="5" t="str">
        <f>IFERROR(__xludf.DUMMYFUNCTION("""COMPUTED_VALUE"""),"Yes")</f>
        <v>Yes</v>
      </c>
      <c r="O482" s="5" t="str">
        <f>IFERROR(__xludf.DUMMYFUNCTION("""COMPUTED_VALUE"""),"Yes")</f>
        <v>Yes</v>
      </c>
      <c r="P482" s="5" t="str">
        <f>IFERROR(__xludf.DUMMYFUNCTION("""COMPUTED_VALUE"""),"Yes")</f>
        <v>Yes</v>
      </c>
      <c r="Q482" s="5" t="str">
        <f>IFERROR(__xludf.DUMMYFUNCTION("""COMPUTED_VALUE"""),"Yes")</f>
        <v>Yes</v>
      </c>
      <c r="R482" s="5" t="str">
        <f>IFERROR(__xludf.DUMMYFUNCTION("""COMPUTED_VALUE"""),"No")</f>
        <v>No</v>
      </c>
      <c r="S482" s="5" t="str">
        <f>IFERROR(__xludf.DUMMYFUNCTION("""COMPUTED_VALUE"""),"No")</f>
        <v>No</v>
      </c>
      <c r="T482" s="5" t="str">
        <f>IFERROR(__xludf.DUMMYFUNCTION("""COMPUTED_VALUE"""),"No")</f>
        <v>No</v>
      </c>
      <c r="U482" s="5" t="str">
        <f>IFERROR(__xludf.DUMMYFUNCTION("""COMPUTED_VALUE"""),"No")</f>
        <v>No</v>
      </c>
      <c r="V482" s="5"/>
      <c r="W482" s="5"/>
      <c r="X482" s="5"/>
      <c r="Y482" s="5"/>
      <c r="Z482" s="5" t="str">
        <f>IFERROR(__xludf.DUMMYFUNCTION("""COMPUTED_VALUE"""),"No")</f>
        <v>No</v>
      </c>
      <c r="AA482" s="5"/>
      <c r="AB482" s="5" t="str">
        <f>IFERROR(__xludf.DUMMYFUNCTION("""COMPUTED_VALUE"""),"Yes")</f>
        <v>Yes</v>
      </c>
      <c r="AC482" s="5" t="str">
        <f>IFERROR(__xludf.DUMMYFUNCTION("""COMPUTED_VALUE"""),"Yes")</f>
        <v>Yes</v>
      </c>
    </row>
    <row r="483">
      <c r="A483" s="5" t="str">
        <f>IFERROR(__xludf.DUMMYFUNCTION("""COMPUTED_VALUE"""),"PlayNetDarkTemptress")</f>
        <v>PlayNetDarkTemptress</v>
      </c>
      <c r="B483" s="5" t="str">
        <f>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3" s="5" t="str">
        <f>IFERROR(__xludf.DUMMYFUNCTION("""COMPUTED_VALUE"""),"Yes")</f>
        <v>Yes</v>
      </c>
      <c r="D483" s="5" t="str">
        <f>IFERROR(__xludf.DUMMYFUNCTION("""COMPUTED_VALUE"""),"Yes")</f>
        <v>Yes</v>
      </c>
      <c r="E483" s="5" t="str">
        <f>IFERROR(__xludf.DUMMYFUNCTION("""COMPUTED_VALUE"""),"Yes")</f>
        <v>Yes</v>
      </c>
      <c r="F483" s="5" t="str">
        <f>IFERROR(__xludf.DUMMYFUNCTION("""COMPUTED_VALUE"""),"Yes")</f>
        <v>Yes</v>
      </c>
      <c r="G483" s="5" t="str">
        <f>IFERROR(__xludf.DUMMYFUNCTION("""COMPUTED_VALUE"""),"Yes")</f>
        <v>Yes</v>
      </c>
      <c r="H483" s="5" t="str">
        <f>IFERROR(__xludf.DUMMYFUNCTION("""COMPUTED_VALUE"""),"Yes")</f>
        <v>Yes</v>
      </c>
      <c r="I483" s="5" t="str">
        <f>IFERROR(__xludf.DUMMYFUNCTION("""COMPUTED_VALUE"""),"Yes")</f>
        <v>Yes</v>
      </c>
      <c r="J483" s="5" t="str">
        <f>IFERROR(__xludf.DUMMYFUNCTION("""COMPUTED_VALUE"""),"Yes")</f>
        <v>Yes</v>
      </c>
      <c r="K483" s="5" t="str">
        <f>IFERROR(__xludf.DUMMYFUNCTION("""COMPUTED_VALUE"""),"Yes")</f>
        <v>Yes</v>
      </c>
      <c r="L483" s="5" t="str">
        <f>IFERROR(__xludf.DUMMYFUNCTION("""COMPUTED_VALUE"""),"Yes")</f>
        <v>Yes</v>
      </c>
      <c r="M483" s="5" t="str">
        <f>IFERROR(__xludf.DUMMYFUNCTION("""COMPUTED_VALUE"""),"Yes")</f>
        <v>Yes</v>
      </c>
      <c r="N483" s="5" t="str">
        <f>IFERROR(__xludf.DUMMYFUNCTION("""COMPUTED_VALUE"""),"Yes")</f>
        <v>Yes</v>
      </c>
      <c r="O483" s="5" t="str">
        <f>IFERROR(__xludf.DUMMYFUNCTION("""COMPUTED_VALUE"""),"Yes")</f>
        <v>Yes</v>
      </c>
      <c r="P483" s="5" t="str">
        <f>IFERROR(__xludf.DUMMYFUNCTION("""COMPUTED_VALUE"""),"Yes")</f>
        <v>Yes</v>
      </c>
      <c r="Q483" s="5" t="str">
        <f>IFERROR(__xludf.DUMMYFUNCTION("""COMPUTED_VALUE"""),"Yes")</f>
        <v>Yes</v>
      </c>
      <c r="R483" s="5" t="str">
        <f>IFERROR(__xludf.DUMMYFUNCTION("""COMPUTED_VALUE"""),"No")</f>
        <v>No</v>
      </c>
      <c r="S483" s="5" t="str">
        <f>IFERROR(__xludf.DUMMYFUNCTION("""COMPUTED_VALUE"""),"No")</f>
        <v>No</v>
      </c>
      <c r="T483" s="5" t="str">
        <f>IFERROR(__xludf.DUMMYFUNCTION("""COMPUTED_VALUE"""),"No")</f>
        <v>No</v>
      </c>
      <c r="U483" s="5" t="str">
        <f>IFERROR(__xludf.DUMMYFUNCTION("""COMPUTED_VALUE"""),"No")</f>
        <v>No</v>
      </c>
      <c r="V483" s="5"/>
      <c r="W483" s="5"/>
      <c r="X483" s="5"/>
      <c r="Y483" s="5"/>
      <c r="Z483" s="5" t="str">
        <f>IFERROR(__xludf.DUMMYFUNCTION("""COMPUTED_VALUE"""),"No")</f>
        <v>No</v>
      </c>
      <c r="AA483" s="5"/>
      <c r="AB483" s="5" t="str">
        <f>IFERROR(__xludf.DUMMYFUNCTION("""COMPUTED_VALUE"""),"Yes")</f>
        <v>Yes</v>
      </c>
      <c r="AC483" s="5" t="str">
        <f>IFERROR(__xludf.DUMMYFUNCTION("""COMPUTED_VALUE"""),"Yes")</f>
        <v>Yes</v>
      </c>
    </row>
    <row r="484">
      <c r="A484" s="5" t="str">
        <f>IFERROR(__xludf.DUMMYFUNCTION("""COMPUTED_VALUE"""),"WildStickyClover")</f>
        <v>WildStickyClover</v>
      </c>
      <c r="B48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4" s="5" t="str">
        <f>IFERROR(__xludf.DUMMYFUNCTION("""COMPUTED_VALUE"""),"Yes")</f>
        <v>Yes</v>
      </c>
      <c r="D484" s="5" t="str">
        <f>IFERROR(__xludf.DUMMYFUNCTION("""COMPUTED_VALUE"""),"Yes")</f>
        <v>Yes</v>
      </c>
      <c r="E484" s="5" t="str">
        <f>IFERROR(__xludf.DUMMYFUNCTION("""COMPUTED_VALUE"""),"Yes")</f>
        <v>Yes</v>
      </c>
      <c r="F484" s="5" t="str">
        <f>IFERROR(__xludf.DUMMYFUNCTION("""COMPUTED_VALUE"""),"Yes")</f>
        <v>Yes</v>
      </c>
      <c r="G484" s="5" t="str">
        <f>IFERROR(__xludf.DUMMYFUNCTION("""COMPUTED_VALUE"""),"Yes")</f>
        <v>Yes</v>
      </c>
      <c r="H484" s="5" t="str">
        <f>IFERROR(__xludf.DUMMYFUNCTION("""COMPUTED_VALUE"""),"Yes")</f>
        <v>Yes</v>
      </c>
      <c r="I484" s="5" t="str">
        <f>IFERROR(__xludf.DUMMYFUNCTION("""COMPUTED_VALUE"""),"Yes")</f>
        <v>Yes</v>
      </c>
      <c r="J484" s="5" t="str">
        <f>IFERROR(__xludf.DUMMYFUNCTION("""COMPUTED_VALUE"""),"Yes")</f>
        <v>Yes</v>
      </c>
      <c r="K484" s="5" t="str">
        <f>IFERROR(__xludf.DUMMYFUNCTION("""COMPUTED_VALUE"""),"Yes")</f>
        <v>Yes</v>
      </c>
      <c r="L484" s="5" t="str">
        <f>IFERROR(__xludf.DUMMYFUNCTION("""COMPUTED_VALUE"""),"Yes")</f>
        <v>Yes</v>
      </c>
      <c r="M484" s="5" t="str">
        <f>IFERROR(__xludf.DUMMYFUNCTION("""COMPUTED_VALUE"""),"Yes")</f>
        <v>Yes</v>
      </c>
      <c r="N484" s="5" t="str">
        <f>IFERROR(__xludf.DUMMYFUNCTION("""COMPUTED_VALUE"""),"Yes")</f>
        <v>Yes</v>
      </c>
      <c r="O484" s="5" t="str">
        <f>IFERROR(__xludf.DUMMYFUNCTION("""COMPUTED_VALUE"""),"Yes")</f>
        <v>Yes</v>
      </c>
      <c r="P484" s="5" t="str">
        <f>IFERROR(__xludf.DUMMYFUNCTION("""COMPUTED_VALUE"""),"Yes")</f>
        <v>Yes</v>
      </c>
      <c r="Q484" s="5" t="str">
        <f>IFERROR(__xludf.DUMMYFUNCTION("""COMPUTED_VALUE"""),"Yes")</f>
        <v>Yes</v>
      </c>
      <c r="R484" s="5" t="str">
        <f>IFERROR(__xludf.DUMMYFUNCTION("""COMPUTED_VALUE"""),"Yes")</f>
        <v>Yes</v>
      </c>
      <c r="S484" s="5" t="str">
        <f>IFERROR(__xludf.DUMMYFUNCTION("""COMPUTED_VALUE"""),"Yes")</f>
        <v>Yes</v>
      </c>
      <c r="T484" s="5" t="str">
        <f>IFERROR(__xludf.DUMMYFUNCTION("""COMPUTED_VALUE"""),"Yes")</f>
        <v>Yes</v>
      </c>
      <c r="U484" s="5" t="str">
        <f>IFERROR(__xludf.DUMMYFUNCTION("""COMPUTED_VALUE"""),"Yes")</f>
        <v>Yes</v>
      </c>
      <c r="V484" s="5" t="str">
        <f>IFERROR(__xludf.DUMMYFUNCTION("""COMPUTED_VALUE"""),"Yes")</f>
        <v>Yes</v>
      </c>
      <c r="W484" s="5" t="str">
        <f>IFERROR(__xludf.DUMMYFUNCTION("""COMPUTED_VALUE"""),"Yes")</f>
        <v>Yes</v>
      </c>
      <c r="X484" s="5" t="str">
        <f>IFERROR(__xludf.DUMMYFUNCTION("""COMPUTED_VALUE"""),"Yes")</f>
        <v>Yes</v>
      </c>
      <c r="Y484" s="5" t="str">
        <f>IFERROR(__xludf.DUMMYFUNCTION("""COMPUTED_VALUE"""),"Yes")</f>
        <v>Yes</v>
      </c>
      <c r="Z484" s="5" t="str">
        <f>IFERROR(__xludf.DUMMYFUNCTION("""COMPUTED_VALUE"""),"Yes")</f>
        <v>Yes</v>
      </c>
      <c r="AA484" s="5" t="str">
        <f>IFERROR(__xludf.DUMMYFUNCTION("""COMPUTED_VALUE"""),"Yes")</f>
        <v>Yes</v>
      </c>
      <c r="AB484" s="5" t="str">
        <f>IFERROR(__xludf.DUMMYFUNCTION("""COMPUTED_VALUE"""),"Yes")</f>
        <v>Yes</v>
      </c>
      <c r="AC484" s="5" t="str">
        <f>IFERROR(__xludf.DUMMYFUNCTION("""COMPUTED_VALUE"""),"No")</f>
        <v>No</v>
      </c>
    </row>
    <row r="485">
      <c r="A485" s="5" t="str">
        <f>IFERROR(__xludf.DUMMYFUNCTION("""COMPUTED_VALUE"""),"XSpins")</f>
        <v>XSpins</v>
      </c>
      <c r="B4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5" s="5" t="str">
        <f>IFERROR(__xludf.DUMMYFUNCTION("""COMPUTED_VALUE"""),"Yes")</f>
        <v>Yes</v>
      </c>
      <c r="D485" s="5" t="str">
        <f>IFERROR(__xludf.DUMMYFUNCTION("""COMPUTED_VALUE"""),"Yes")</f>
        <v>Yes</v>
      </c>
      <c r="E485" s="5" t="str">
        <f>IFERROR(__xludf.DUMMYFUNCTION("""COMPUTED_VALUE"""),"Yes")</f>
        <v>Yes</v>
      </c>
      <c r="F485" s="5" t="str">
        <f>IFERROR(__xludf.DUMMYFUNCTION("""COMPUTED_VALUE"""),"Yes")</f>
        <v>Yes</v>
      </c>
      <c r="G485" s="5" t="str">
        <f>IFERROR(__xludf.DUMMYFUNCTION("""COMPUTED_VALUE"""),"Yes")</f>
        <v>Yes</v>
      </c>
      <c r="H485" s="5" t="str">
        <f>IFERROR(__xludf.DUMMYFUNCTION("""COMPUTED_VALUE"""),"Yes")</f>
        <v>Yes</v>
      </c>
      <c r="I485" s="5" t="str">
        <f>IFERROR(__xludf.DUMMYFUNCTION("""COMPUTED_VALUE"""),"Yes")</f>
        <v>Yes</v>
      </c>
      <c r="J485" s="5" t="str">
        <f>IFERROR(__xludf.DUMMYFUNCTION("""COMPUTED_VALUE"""),"Yes")</f>
        <v>Yes</v>
      </c>
      <c r="K485" s="5" t="str">
        <f>IFERROR(__xludf.DUMMYFUNCTION("""COMPUTED_VALUE"""),"Yes")</f>
        <v>Yes</v>
      </c>
      <c r="L485" s="5" t="str">
        <f>IFERROR(__xludf.DUMMYFUNCTION("""COMPUTED_VALUE"""),"Yes")</f>
        <v>Yes</v>
      </c>
      <c r="M485" s="5" t="str">
        <f>IFERROR(__xludf.DUMMYFUNCTION("""COMPUTED_VALUE"""),"Yes")</f>
        <v>Yes</v>
      </c>
      <c r="N485" s="5" t="str">
        <f>IFERROR(__xludf.DUMMYFUNCTION("""COMPUTED_VALUE"""),"Yes")</f>
        <v>Yes</v>
      </c>
      <c r="O485" s="5" t="str">
        <f>IFERROR(__xludf.DUMMYFUNCTION("""COMPUTED_VALUE"""),"Yes")</f>
        <v>Yes</v>
      </c>
      <c r="P485" s="5" t="str">
        <f>IFERROR(__xludf.DUMMYFUNCTION("""COMPUTED_VALUE"""),"Yes")</f>
        <v>Yes</v>
      </c>
      <c r="Q485" s="5" t="str">
        <f>IFERROR(__xludf.DUMMYFUNCTION("""COMPUTED_VALUE"""),"Yes")</f>
        <v>Yes</v>
      </c>
      <c r="R485" s="5" t="str">
        <f>IFERROR(__xludf.DUMMYFUNCTION("""COMPUTED_VALUE"""),"Yes")</f>
        <v>Yes</v>
      </c>
      <c r="S485" s="5" t="str">
        <f>IFERROR(__xludf.DUMMYFUNCTION("""COMPUTED_VALUE"""),"Yes")</f>
        <v>Yes</v>
      </c>
      <c r="T485" s="5" t="str">
        <f>IFERROR(__xludf.DUMMYFUNCTION("""COMPUTED_VALUE"""),"Yes")</f>
        <v>Yes</v>
      </c>
      <c r="U485" s="5" t="str">
        <f>IFERROR(__xludf.DUMMYFUNCTION("""COMPUTED_VALUE"""),"Yes")</f>
        <v>Yes</v>
      </c>
      <c r="V485" s="5" t="str">
        <f>IFERROR(__xludf.DUMMYFUNCTION("""COMPUTED_VALUE"""),"Yes")</f>
        <v>Yes</v>
      </c>
      <c r="W485" s="5" t="str">
        <f>IFERROR(__xludf.DUMMYFUNCTION("""COMPUTED_VALUE"""),"Yes")</f>
        <v>Yes</v>
      </c>
      <c r="X485" s="5" t="str">
        <f>IFERROR(__xludf.DUMMYFUNCTION("""COMPUTED_VALUE"""),"Yes")</f>
        <v>Yes</v>
      </c>
      <c r="Y485" s="5" t="str">
        <f>IFERROR(__xludf.DUMMYFUNCTION("""COMPUTED_VALUE"""),"Yes")</f>
        <v>Yes</v>
      </c>
      <c r="Z485" s="5" t="str">
        <f>IFERROR(__xludf.DUMMYFUNCTION("""COMPUTED_VALUE"""),"Yes")</f>
        <v>Yes</v>
      </c>
      <c r="AA485" s="5" t="str">
        <f>IFERROR(__xludf.DUMMYFUNCTION("""COMPUTED_VALUE"""),"Yes")</f>
        <v>Yes</v>
      </c>
      <c r="AB485" s="5" t="str">
        <f>IFERROR(__xludf.DUMMYFUNCTION("""COMPUTED_VALUE"""),"Yes")</f>
        <v>Yes</v>
      </c>
      <c r="AC485" s="5" t="str">
        <f>IFERROR(__xludf.DUMMYFUNCTION("""COMPUTED_VALUE"""),"No")</f>
        <v>No</v>
      </c>
    </row>
    <row r="486">
      <c r="A486" s="5" t="str">
        <f>IFERROR(__xludf.DUMMYFUNCTION("""COMPUTED_VALUE"""),"EpicCrown5Booster")</f>
        <v>EpicCrown5Booster</v>
      </c>
      <c r="B4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86" s="5" t="str">
        <f>IFERROR(__xludf.DUMMYFUNCTION("""COMPUTED_VALUE"""),"Yes")</f>
        <v>Yes</v>
      </c>
      <c r="D486" s="5" t="str">
        <f>IFERROR(__xludf.DUMMYFUNCTION("""COMPUTED_VALUE"""),"Yes")</f>
        <v>Yes</v>
      </c>
      <c r="E486" s="5" t="str">
        <f>IFERROR(__xludf.DUMMYFUNCTION("""COMPUTED_VALUE"""),"Yes")</f>
        <v>Yes</v>
      </c>
      <c r="F486" s="5" t="str">
        <f>IFERROR(__xludf.DUMMYFUNCTION("""COMPUTED_VALUE"""),"Yes")</f>
        <v>Yes</v>
      </c>
      <c r="G486" s="5" t="str">
        <f>IFERROR(__xludf.DUMMYFUNCTION("""COMPUTED_VALUE"""),"Yes")</f>
        <v>Yes</v>
      </c>
      <c r="H486" s="5" t="str">
        <f>IFERROR(__xludf.DUMMYFUNCTION("""COMPUTED_VALUE"""),"Yes")</f>
        <v>Yes</v>
      </c>
      <c r="I486" s="5" t="str">
        <f>IFERROR(__xludf.DUMMYFUNCTION("""COMPUTED_VALUE"""),"Yes")</f>
        <v>Yes</v>
      </c>
      <c r="J486" s="5" t="str">
        <f>IFERROR(__xludf.DUMMYFUNCTION("""COMPUTED_VALUE"""),"Yes")</f>
        <v>Yes</v>
      </c>
      <c r="K486" s="5" t="str">
        <f>IFERROR(__xludf.DUMMYFUNCTION("""COMPUTED_VALUE"""),"Yes")</f>
        <v>Yes</v>
      </c>
      <c r="L486" s="5" t="str">
        <f>IFERROR(__xludf.DUMMYFUNCTION("""COMPUTED_VALUE"""),"Yes")</f>
        <v>Yes</v>
      </c>
      <c r="M486" s="5" t="str">
        <f>IFERROR(__xludf.DUMMYFUNCTION("""COMPUTED_VALUE"""),"Yes")</f>
        <v>Yes</v>
      </c>
      <c r="N486" s="5" t="str">
        <f>IFERROR(__xludf.DUMMYFUNCTION("""COMPUTED_VALUE"""),"Yes")</f>
        <v>Yes</v>
      </c>
      <c r="O486" s="5" t="str">
        <f>IFERROR(__xludf.DUMMYFUNCTION("""COMPUTED_VALUE"""),"Yes")</f>
        <v>Yes</v>
      </c>
      <c r="P486" s="5" t="str">
        <f>IFERROR(__xludf.DUMMYFUNCTION("""COMPUTED_VALUE"""),"Yes")</f>
        <v>Yes</v>
      </c>
      <c r="Q486" s="5" t="str">
        <f>IFERROR(__xludf.DUMMYFUNCTION("""COMPUTED_VALUE"""),"Yes")</f>
        <v>Yes</v>
      </c>
      <c r="R486" s="5" t="str">
        <f>IFERROR(__xludf.DUMMYFUNCTION("""COMPUTED_VALUE"""),"Yes")</f>
        <v>Yes</v>
      </c>
      <c r="S486" s="5" t="str">
        <f>IFERROR(__xludf.DUMMYFUNCTION("""COMPUTED_VALUE"""),"Yes")</f>
        <v>Yes</v>
      </c>
      <c r="T486" s="5" t="str">
        <f>IFERROR(__xludf.DUMMYFUNCTION("""COMPUTED_VALUE"""),"Yes")</f>
        <v>Yes</v>
      </c>
      <c r="U486" s="5" t="str">
        <f>IFERROR(__xludf.DUMMYFUNCTION("""COMPUTED_VALUE"""),"Yes")</f>
        <v>Yes</v>
      </c>
      <c r="V486" s="5"/>
      <c r="W486" s="5"/>
      <c r="X486" s="5"/>
      <c r="Y486" s="5"/>
      <c r="Z486" s="5" t="str">
        <f>IFERROR(__xludf.DUMMYFUNCTION("""COMPUTED_VALUE"""),"Yes")</f>
        <v>Yes</v>
      </c>
      <c r="AA486" s="5"/>
      <c r="AB486" s="5"/>
      <c r="AC486" s="5"/>
    </row>
    <row r="487">
      <c r="A487" s="5" t="str">
        <f>IFERROR(__xludf.DUMMYFUNCTION("""COMPUTED_VALUE"""),"EpicCrown10Booster")</f>
        <v>EpicCrown10Booster</v>
      </c>
      <c r="B4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87" s="5" t="str">
        <f>IFERROR(__xludf.DUMMYFUNCTION("""COMPUTED_VALUE"""),"Yes")</f>
        <v>Yes</v>
      </c>
      <c r="D487" s="5" t="str">
        <f>IFERROR(__xludf.DUMMYFUNCTION("""COMPUTED_VALUE"""),"Yes")</f>
        <v>Yes</v>
      </c>
      <c r="E487" s="5" t="str">
        <f>IFERROR(__xludf.DUMMYFUNCTION("""COMPUTED_VALUE"""),"Yes")</f>
        <v>Yes</v>
      </c>
      <c r="F487" s="5" t="str">
        <f>IFERROR(__xludf.DUMMYFUNCTION("""COMPUTED_VALUE"""),"Yes")</f>
        <v>Yes</v>
      </c>
      <c r="G487" s="5" t="str">
        <f>IFERROR(__xludf.DUMMYFUNCTION("""COMPUTED_VALUE"""),"Yes")</f>
        <v>Yes</v>
      </c>
      <c r="H487" s="5" t="str">
        <f>IFERROR(__xludf.DUMMYFUNCTION("""COMPUTED_VALUE"""),"Yes")</f>
        <v>Yes</v>
      </c>
      <c r="I487" s="5" t="str">
        <f>IFERROR(__xludf.DUMMYFUNCTION("""COMPUTED_VALUE"""),"Yes")</f>
        <v>Yes</v>
      </c>
      <c r="J487" s="5" t="str">
        <f>IFERROR(__xludf.DUMMYFUNCTION("""COMPUTED_VALUE"""),"Yes")</f>
        <v>Yes</v>
      </c>
      <c r="K487" s="5" t="str">
        <f>IFERROR(__xludf.DUMMYFUNCTION("""COMPUTED_VALUE"""),"Yes")</f>
        <v>Yes</v>
      </c>
      <c r="L487" s="5" t="str">
        <f>IFERROR(__xludf.DUMMYFUNCTION("""COMPUTED_VALUE"""),"Yes")</f>
        <v>Yes</v>
      </c>
      <c r="M487" s="5" t="str">
        <f>IFERROR(__xludf.DUMMYFUNCTION("""COMPUTED_VALUE"""),"Yes")</f>
        <v>Yes</v>
      </c>
      <c r="N487" s="5" t="str">
        <f>IFERROR(__xludf.DUMMYFUNCTION("""COMPUTED_VALUE"""),"Yes")</f>
        <v>Yes</v>
      </c>
      <c r="O487" s="5" t="str">
        <f>IFERROR(__xludf.DUMMYFUNCTION("""COMPUTED_VALUE"""),"Yes")</f>
        <v>Yes</v>
      </c>
      <c r="P487" s="5" t="str">
        <f>IFERROR(__xludf.DUMMYFUNCTION("""COMPUTED_VALUE"""),"Yes")</f>
        <v>Yes</v>
      </c>
      <c r="Q487" s="5" t="str">
        <f>IFERROR(__xludf.DUMMYFUNCTION("""COMPUTED_VALUE"""),"Yes")</f>
        <v>Yes</v>
      </c>
      <c r="R487" s="5" t="str">
        <f>IFERROR(__xludf.DUMMYFUNCTION("""COMPUTED_VALUE"""),"Yes")</f>
        <v>Yes</v>
      </c>
      <c r="S487" s="5" t="str">
        <f>IFERROR(__xludf.DUMMYFUNCTION("""COMPUTED_VALUE"""),"Yes")</f>
        <v>Yes</v>
      </c>
      <c r="T487" s="5" t="str">
        <f>IFERROR(__xludf.DUMMYFUNCTION("""COMPUTED_VALUE"""),"Yes")</f>
        <v>Yes</v>
      </c>
      <c r="U487" s="5" t="str">
        <f>IFERROR(__xludf.DUMMYFUNCTION("""COMPUTED_VALUE"""),"Yes")</f>
        <v>Yes</v>
      </c>
      <c r="V487" s="5"/>
      <c r="W487" s="5" t="str">
        <f>IFERROR(__xludf.DUMMYFUNCTION("""COMPUTED_VALUE"""),"Yes")</f>
        <v>Yes</v>
      </c>
      <c r="X487" s="5"/>
      <c r="Y487" s="5"/>
      <c r="Z487" s="5" t="str">
        <f>IFERROR(__xludf.DUMMYFUNCTION("""COMPUTED_VALUE"""),"Yes")</f>
        <v>Yes</v>
      </c>
      <c r="AA487" s="5"/>
      <c r="AB487" s="5"/>
      <c r="AC487" s="5"/>
    </row>
    <row r="488">
      <c r="A488" s="5" t="str">
        <f>IFERROR(__xludf.DUMMYFUNCTION("""COMPUTED_VALUE"""),"Redstone777Expand")</f>
        <v>Redstone777Expand</v>
      </c>
      <c r="B4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488" s="5" t="str">
        <f>IFERROR(__xludf.DUMMYFUNCTION("""COMPUTED_VALUE"""),"Yes")</f>
        <v>Yes</v>
      </c>
      <c r="D488" s="5" t="str">
        <f>IFERROR(__xludf.DUMMYFUNCTION("""COMPUTED_VALUE"""),"Yes")</f>
        <v>Yes</v>
      </c>
      <c r="E488" s="5" t="str">
        <f>IFERROR(__xludf.DUMMYFUNCTION("""COMPUTED_VALUE"""),"Yes")</f>
        <v>Yes</v>
      </c>
      <c r="F488" s="5" t="str">
        <f>IFERROR(__xludf.DUMMYFUNCTION("""COMPUTED_VALUE"""),"Yes")</f>
        <v>Yes</v>
      </c>
      <c r="G488" s="5" t="str">
        <f>IFERROR(__xludf.DUMMYFUNCTION("""COMPUTED_VALUE"""),"Yes")</f>
        <v>Yes</v>
      </c>
      <c r="H488" s="5" t="str">
        <f>IFERROR(__xludf.DUMMYFUNCTION("""COMPUTED_VALUE"""),"Yes")</f>
        <v>Yes</v>
      </c>
      <c r="I488" s="5" t="str">
        <f>IFERROR(__xludf.DUMMYFUNCTION("""COMPUTED_VALUE"""),"Yes")</f>
        <v>Yes</v>
      </c>
      <c r="J488" s="5" t="str">
        <f>IFERROR(__xludf.DUMMYFUNCTION("""COMPUTED_VALUE"""),"Yes")</f>
        <v>Yes</v>
      </c>
      <c r="K488" s="5" t="str">
        <f>IFERROR(__xludf.DUMMYFUNCTION("""COMPUTED_VALUE"""),"Yes")</f>
        <v>Yes</v>
      </c>
      <c r="L488" s="5" t="str">
        <f>IFERROR(__xludf.DUMMYFUNCTION("""COMPUTED_VALUE"""),"Yes")</f>
        <v>Yes</v>
      </c>
      <c r="M488" s="5" t="str">
        <f>IFERROR(__xludf.DUMMYFUNCTION("""COMPUTED_VALUE"""),"Yes")</f>
        <v>Yes</v>
      </c>
      <c r="N488" s="5" t="str">
        <f>IFERROR(__xludf.DUMMYFUNCTION("""COMPUTED_VALUE"""),"Yes")</f>
        <v>Yes</v>
      </c>
      <c r="O488" s="5" t="str">
        <f>IFERROR(__xludf.DUMMYFUNCTION("""COMPUTED_VALUE"""),"Yes")</f>
        <v>Yes</v>
      </c>
      <c r="P488" s="5" t="str">
        <f>IFERROR(__xludf.DUMMYFUNCTION("""COMPUTED_VALUE"""),"Yes")</f>
        <v>Yes</v>
      </c>
      <c r="Q488" s="5" t="str">
        <f>IFERROR(__xludf.DUMMYFUNCTION("""COMPUTED_VALUE"""),"Yes")</f>
        <v>Yes</v>
      </c>
      <c r="R488" s="5" t="str">
        <f>IFERROR(__xludf.DUMMYFUNCTION("""COMPUTED_VALUE"""),"Yes")</f>
        <v>Yes</v>
      </c>
      <c r="S488" s="5" t="str">
        <f>IFERROR(__xludf.DUMMYFUNCTION("""COMPUTED_VALUE"""),"Yes")</f>
        <v>Yes</v>
      </c>
      <c r="T488" s="5" t="str">
        <f>IFERROR(__xludf.DUMMYFUNCTION("""COMPUTED_VALUE"""),"Yes")</f>
        <v>Yes</v>
      </c>
      <c r="U488" s="5" t="str">
        <f>IFERROR(__xludf.DUMMYFUNCTION("""COMPUTED_VALUE"""),"Yes")</f>
        <v>Yes</v>
      </c>
      <c r="V488" s="5" t="str">
        <f>IFERROR(__xludf.DUMMYFUNCTION("""COMPUTED_VALUE"""),"Yes")</f>
        <v>Yes</v>
      </c>
      <c r="W488" s="5" t="str">
        <f>IFERROR(__xludf.DUMMYFUNCTION("""COMPUTED_VALUE"""),"Yes")</f>
        <v>Yes</v>
      </c>
      <c r="X488" s="5" t="str">
        <f>IFERROR(__xludf.DUMMYFUNCTION("""COMPUTED_VALUE"""),"Yes")</f>
        <v>Yes</v>
      </c>
      <c r="Y488" s="5" t="str">
        <f>IFERROR(__xludf.DUMMYFUNCTION("""COMPUTED_VALUE"""),"Yes")</f>
        <v>Yes</v>
      </c>
      <c r="Z488" s="5" t="str">
        <f>IFERROR(__xludf.DUMMYFUNCTION("""COMPUTED_VALUE"""),"Yes")</f>
        <v>Yes</v>
      </c>
      <c r="AA488" s="5" t="str">
        <f>IFERROR(__xludf.DUMMYFUNCTION("""COMPUTED_VALUE"""),"Yes")</f>
        <v>Yes</v>
      </c>
      <c r="AB488" s="5" t="str">
        <f>IFERROR(__xludf.DUMMYFUNCTION("""COMPUTED_VALUE"""),"Yes")</f>
        <v>Yes</v>
      </c>
      <c r="AC488" s="5" t="str">
        <f>IFERROR(__xludf.DUMMYFUNCTION("""COMPUTED_VALUE"""),"Yes")</f>
        <v>Yes</v>
      </c>
    </row>
    <row r="489">
      <c r="A489" s="5" t="str">
        <f>IFERROR(__xludf.DUMMYFUNCTION("""COMPUTED_VALUE"""),"RedstoneDoubleWildCrown")</f>
        <v>RedstoneDoubleWildCrown</v>
      </c>
      <c r="B489" s="5" t="str">
        <f>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C489" s="5" t="str">
        <f>IFERROR(__xludf.DUMMYFUNCTION("""COMPUTED_VALUE"""),"Yes")</f>
        <v>Yes</v>
      </c>
      <c r="D489" s="5" t="str">
        <f>IFERROR(__xludf.DUMMYFUNCTION("""COMPUTED_VALUE"""),"Yes")</f>
        <v>Yes</v>
      </c>
      <c r="E489" s="5" t="str">
        <f>IFERROR(__xludf.DUMMYFUNCTION("""COMPUTED_VALUE"""),"No")</f>
        <v>No</v>
      </c>
      <c r="F489" s="5" t="str">
        <f>IFERROR(__xludf.DUMMYFUNCTION("""COMPUTED_VALUE"""),"Yes")</f>
        <v>Yes</v>
      </c>
      <c r="G489" s="5" t="str">
        <f>IFERROR(__xludf.DUMMYFUNCTION("""COMPUTED_VALUE"""),"Yes")</f>
        <v>Yes</v>
      </c>
      <c r="H489" s="5" t="str">
        <f>IFERROR(__xludf.DUMMYFUNCTION("""COMPUTED_VALUE"""),"Yes")</f>
        <v>Yes</v>
      </c>
      <c r="I489" s="5" t="str">
        <f>IFERROR(__xludf.DUMMYFUNCTION("""COMPUTED_VALUE"""),"Yes")</f>
        <v>Yes</v>
      </c>
      <c r="J489" s="5" t="str">
        <f>IFERROR(__xludf.DUMMYFUNCTION("""COMPUTED_VALUE"""),"Yes")</f>
        <v>Yes</v>
      </c>
      <c r="K489" s="5" t="str">
        <f>IFERROR(__xludf.DUMMYFUNCTION("""COMPUTED_VALUE"""),"Yes")</f>
        <v>Yes</v>
      </c>
      <c r="L489" s="5" t="str">
        <f>IFERROR(__xludf.DUMMYFUNCTION("""COMPUTED_VALUE"""),"Yes")</f>
        <v>Yes</v>
      </c>
      <c r="M489" s="5" t="str">
        <f>IFERROR(__xludf.DUMMYFUNCTION("""COMPUTED_VALUE"""),"Yes")</f>
        <v>Yes</v>
      </c>
      <c r="N489" s="5" t="str">
        <f>IFERROR(__xludf.DUMMYFUNCTION("""COMPUTED_VALUE"""),"Yes")</f>
        <v>Yes</v>
      </c>
      <c r="O489" s="5" t="str">
        <f>IFERROR(__xludf.DUMMYFUNCTION("""COMPUTED_VALUE"""),"Yes")</f>
        <v>Yes</v>
      </c>
      <c r="P489" s="5" t="str">
        <f>IFERROR(__xludf.DUMMYFUNCTION("""COMPUTED_VALUE"""),"Yes")</f>
        <v>Yes</v>
      </c>
      <c r="Q489" s="5" t="str">
        <f>IFERROR(__xludf.DUMMYFUNCTION("""COMPUTED_VALUE"""),"Yes")</f>
        <v>Yes</v>
      </c>
      <c r="R489" s="5" t="str">
        <f>IFERROR(__xludf.DUMMYFUNCTION("""COMPUTED_VALUE"""),"Yes")</f>
        <v>Yes</v>
      </c>
      <c r="S489" s="5" t="str">
        <f>IFERROR(__xludf.DUMMYFUNCTION("""COMPUTED_VALUE"""),"Yes")</f>
        <v>Yes</v>
      </c>
      <c r="T489" s="5" t="str">
        <f>IFERROR(__xludf.DUMMYFUNCTION("""COMPUTED_VALUE"""),"No")</f>
        <v>No</v>
      </c>
      <c r="U489" s="5" t="str">
        <f>IFERROR(__xludf.DUMMYFUNCTION("""COMPUTED_VALUE"""),"No")</f>
        <v>No</v>
      </c>
      <c r="V489" s="5" t="str">
        <f>IFERROR(__xludf.DUMMYFUNCTION("""COMPUTED_VALUE"""),"No")</f>
        <v>No</v>
      </c>
      <c r="W489" s="5" t="str">
        <f>IFERROR(__xludf.DUMMYFUNCTION("""COMPUTED_VALUE"""),"No")</f>
        <v>No</v>
      </c>
      <c r="X489" s="5" t="str">
        <f>IFERROR(__xludf.DUMMYFUNCTION("""COMPUTED_VALUE"""),"Yes")</f>
        <v>Yes</v>
      </c>
      <c r="Y489" s="5" t="str">
        <f>IFERROR(__xludf.DUMMYFUNCTION("""COMPUTED_VALUE"""),"No")</f>
        <v>No</v>
      </c>
      <c r="Z489" s="5" t="str">
        <f>IFERROR(__xludf.DUMMYFUNCTION("""COMPUTED_VALUE"""),"No")</f>
        <v>No</v>
      </c>
      <c r="AA489" s="5" t="str">
        <f>IFERROR(__xludf.DUMMYFUNCTION("""COMPUTED_VALUE"""),"No")</f>
        <v>No</v>
      </c>
      <c r="AB489" s="5" t="str">
        <f>IFERROR(__xludf.DUMMYFUNCTION("""COMPUTED_VALUE"""),"Yes")</f>
        <v>Yes</v>
      </c>
      <c r="AC489" s="5" t="str">
        <f>IFERROR(__xludf.DUMMYFUNCTION("""COMPUTED_VALUE"""),"No")</f>
        <v>No</v>
      </c>
    </row>
    <row r="490">
      <c r="A490" s="5" t="str">
        <f>IFERROR(__xludf.DUMMYFUNCTION("""COMPUTED_VALUE"""),"RedstoneDoubleWildHeart")</f>
        <v>RedstoneDoubleWildHeart</v>
      </c>
      <c r="B490" s="5" t="str">
        <f>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C490" s="5" t="str">
        <f>IFERROR(__xludf.DUMMYFUNCTION("""COMPUTED_VALUE"""),"Yes")</f>
        <v>Yes</v>
      </c>
      <c r="D490" s="5" t="str">
        <f>IFERROR(__xludf.DUMMYFUNCTION("""COMPUTED_VALUE"""),"Yes")</f>
        <v>Yes</v>
      </c>
      <c r="E490" s="5" t="str">
        <f>IFERROR(__xludf.DUMMYFUNCTION("""COMPUTED_VALUE"""),"No")</f>
        <v>No</v>
      </c>
      <c r="F490" s="5" t="str">
        <f>IFERROR(__xludf.DUMMYFUNCTION("""COMPUTED_VALUE"""),"Yes")</f>
        <v>Yes</v>
      </c>
      <c r="G490" s="5" t="str">
        <f>IFERROR(__xludf.DUMMYFUNCTION("""COMPUTED_VALUE"""),"Yes")</f>
        <v>Yes</v>
      </c>
      <c r="H490" s="5" t="str">
        <f>IFERROR(__xludf.DUMMYFUNCTION("""COMPUTED_VALUE"""),"Yes")</f>
        <v>Yes</v>
      </c>
      <c r="I490" s="5" t="str">
        <f>IFERROR(__xludf.DUMMYFUNCTION("""COMPUTED_VALUE"""),"Yes")</f>
        <v>Yes</v>
      </c>
      <c r="J490" s="5" t="str">
        <f>IFERROR(__xludf.DUMMYFUNCTION("""COMPUTED_VALUE"""),"Yes")</f>
        <v>Yes</v>
      </c>
      <c r="K490" s="5" t="str">
        <f>IFERROR(__xludf.DUMMYFUNCTION("""COMPUTED_VALUE"""),"Yes")</f>
        <v>Yes</v>
      </c>
      <c r="L490" s="5" t="str">
        <f>IFERROR(__xludf.DUMMYFUNCTION("""COMPUTED_VALUE"""),"Yes")</f>
        <v>Yes</v>
      </c>
      <c r="M490" s="5" t="str">
        <f>IFERROR(__xludf.DUMMYFUNCTION("""COMPUTED_VALUE"""),"Yes")</f>
        <v>Yes</v>
      </c>
      <c r="N490" s="5" t="str">
        <f>IFERROR(__xludf.DUMMYFUNCTION("""COMPUTED_VALUE"""),"Yes")</f>
        <v>Yes</v>
      </c>
      <c r="O490" s="5" t="str">
        <f>IFERROR(__xludf.DUMMYFUNCTION("""COMPUTED_VALUE"""),"Yes")</f>
        <v>Yes</v>
      </c>
      <c r="P490" s="5" t="str">
        <f>IFERROR(__xludf.DUMMYFUNCTION("""COMPUTED_VALUE"""),"Yes")</f>
        <v>Yes</v>
      </c>
      <c r="Q490" s="5" t="str">
        <f>IFERROR(__xludf.DUMMYFUNCTION("""COMPUTED_VALUE"""),"Yes")</f>
        <v>Yes</v>
      </c>
      <c r="R490" s="5" t="str">
        <f>IFERROR(__xludf.DUMMYFUNCTION("""COMPUTED_VALUE"""),"No")</f>
        <v>No</v>
      </c>
      <c r="S490" s="5" t="str">
        <f>IFERROR(__xludf.DUMMYFUNCTION("""COMPUTED_VALUE"""),"No")</f>
        <v>No</v>
      </c>
      <c r="T490" s="5" t="str">
        <f>IFERROR(__xludf.DUMMYFUNCTION("""COMPUTED_VALUE"""),"No")</f>
        <v>No</v>
      </c>
      <c r="U490" s="5" t="str">
        <f>IFERROR(__xludf.DUMMYFUNCTION("""COMPUTED_VALUE"""),"No")</f>
        <v>No</v>
      </c>
      <c r="V490" s="5" t="str">
        <f>IFERROR(__xludf.DUMMYFUNCTION("""COMPUTED_VALUE"""),"No")</f>
        <v>No</v>
      </c>
      <c r="W490" s="5" t="str">
        <f>IFERROR(__xludf.DUMMYFUNCTION("""COMPUTED_VALUE"""),"Yes")</f>
        <v>Yes</v>
      </c>
      <c r="X490" s="5" t="str">
        <f>IFERROR(__xludf.DUMMYFUNCTION("""COMPUTED_VALUE"""),"Yes")</f>
        <v>Yes</v>
      </c>
      <c r="Y490" s="5" t="str">
        <f>IFERROR(__xludf.DUMMYFUNCTION("""COMPUTED_VALUE"""),"No")</f>
        <v>No</v>
      </c>
      <c r="Z490" s="5" t="str">
        <f>IFERROR(__xludf.DUMMYFUNCTION("""COMPUTED_VALUE"""),"No")</f>
        <v>No</v>
      </c>
      <c r="AA490" s="5" t="str">
        <f>IFERROR(__xludf.DUMMYFUNCTION("""COMPUTED_VALUE"""),"No")</f>
        <v>No</v>
      </c>
      <c r="AB490" s="5" t="str">
        <f>IFERROR(__xludf.DUMMYFUNCTION("""COMPUTED_VALUE"""),"Yes")</f>
        <v>Yes</v>
      </c>
      <c r="AC490" s="5" t="str">
        <f>IFERROR(__xludf.DUMMYFUNCTION("""COMPUTED_VALUE"""),"No")</f>
        <v>No</v>
      </c>
    </row>
    <row r="491">
      <c r="A491" s="5" t="str">
        <f>IFERROR(__xludf.DUMMYFUNCTION("""COMPUTED_VALUE"""),"NovaPixelWheelOfJoker")</f>
        <v>NovaPixelWheelOfJoker</v>
      </c>
      <c r="B491" s="5" t="str">
        <f>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C491" s="5" t="str">
        <f>IFERROR(__xludf.DUMMYFUNCTION("""COMPUTED_VALUE"""),"Yes")</f>
        <v>Yes</v>
      </c>
      <c r="D491" s="5" t="str">
        <f>IFERROR(__xludf.DUMMYFUNCTION("""COMPUTED_VALUE"""),"Yes")</f>
        <v>Yes</v>
      </c>
      <c r="E491" s="5" t="str">
        <f>IFERROR(__xludf.DUMMYFUNCTION("""COMPUTED_VALUE"""),"No")</f>
        <v>No</v>
      </c>
      <c r="F491" s="5" t="str">
        <f>IFERROR(__xludf.DUMMYFUNCTION("""COMPUTED_VALUE"""),"Yes")</f>
        <v>Yes</v>
      </c>
      <c r="G491" s="5" t="str">
        <f>IFERROR(__xludf.DUMMYFUNCTION("""COMPUTED_VALUE"""),"Yes")</f>
        <v>Yes</v>
      </c>
      <c r="H491" s="5" t="str">
        <f>IFERROR(__xludf.DUMMYFUNCTION("""COMPUTED_VALUE"""),"Yes")</f>
        <v>Yes</v>
      </c>
      <c r="I491" s="5" t="str">
        <f>IFERROR(__xludf.DUMMYFUNCTION("""COMPUTED_VALUE"""),"Yes")</f>
        <v>Yes</v>
      </c>
      <c r="J491" s="5" t="str">
        <f>IFERROR(__xludf.DUMMYFUNCTION("""COMPUTED_VALUE"""),"Yes")</f>
        <v>Yes</v>
      </c>
      <c r="K491" s="5" t="str">
        <f>IFERROR(__xludf.DUMMYFUNCTION("""COMPUTED_VALUE"""),"Yes")</f>
        <v>Yes</v>
      </c>
      <c r="L491" s="5" t="str">
        <f>IFERROR(__xludf.DUMMYFUNCTION("""COMPUTED_VALUE"""),"Yes")</f>
        <v>Yes</v>
      </c>
      <c r="M491" s="5" t="str">
        <f>IFERROR(__xludf.DUMMYFUNCTION("""COMPUTED_VALUE"""),"Yes")</f>
        <v>Yes</v>
      </c>
      <c r="N491" s="5" t="str">
        <f>IFERROR(__xludf.DUMMYFUNCTION("""COMPUTED_VALUE"""),"Yes")</f>
        <v>Yes</v>
      </c>
      <c r="O491" s="5" t="str">
        <f>IFERROR(__xludf.DUMMYFUNCTION("""COMPUTED_VALUE"""),"Yes")</f>
        <v>Yes</v>
      </c>
      <c r="P491" s="5" t="str">
        <f>IFERROR(__xludf.DUMMYFUNCTION("""COMPUTED_VALUE"""),"Yes")</f>
        <v>Yes</v>
      </c>
      <c r="Q491" s="5" t="str">
        <f>IFERROR(__xludf.DUMMYFUNCTION("""COMPUTED_VALUE"""),"Yes")</f>
        <v>Yes</v>
      </c>
      <c r="R491" s="5" t="str">
        <f>IFERROR(__xludf.DUMMYFUNCTION("""COMPUTED_VALUE"""),"Yes")</f>
        <v>Yes</v>
      </c>
      <c r="S491" s="5" t="str">
        <f>IFERROR(__xludf.DUMMYFUNCTION("""COMPUTED_VALUE"""),"Yes")</f>
        <v>Yes</v>
      </c>
      <c r="T491" s="5" t="str">
        <f>IFERROR(__xludf.DUMMYFUNCTION("""COMPUTED_VALUE"""),"Yes")</f>
        <v>Yes</v>
      </c>
      <c r="U491" s="5" t="str">
        <f>IFERROR(__xludf.DUMMYFUNCTION("""COMPUTED_VALUE"""),"Yes")</f>
        <v>Yes</v>
      </c>
      <c r="V491" s="5" t="str">
        <f>IFERROR(__xludf.DUMMYFUNCTION("""COMPUTED_VALUE"""),"No")</f>
        <v>No</v>
      </c>
      <c r="W491" s="5" t="str">
        <f>IFERROR(__xludf.DUMMYFUNCTION("""COMPUTED_VALUE"""),"No")</f>
        <v>No</v>
      </c>
      <c r="X491" s="5" t="str">
        <f>IFERROR(__xludf.DUMMYFUNCTION("""COMPUTED_VALUE"""),"Yes")</f>
        <v>Yes</v>
      </c>
      <c r="Y491" s="5" t="str">
        <f>IFERROR(__xludf.DUMMYFUNCTION("""COMPUTED_VALUE"""),"No")</f>
        <v>No</v>
      </c>
      <c r="Z491" s="5" t="str">
        <f>IFERROR(__xludf.DUMMYFUNCTION("""COMPUTED_VALUE"""),"Yes")</f>
        <v>Yes</v>
      </c>
      <c r="AA491" s="5" t="str">
        <f>IFERROR(__xludf.DUMMYFUNCTION("""COMPUTED_VALUE"""),"No")</f>
        <v>No</v>
      </c>
      <c r="AB491" s="5" t="str">
        <f>IFERROR(__xludf.DUMMYFUNCTION("""COMPUTED_VALUE"""),"Yes")</f>
        <v>Yes</v>
      </c>
      <c r="AC491" s="5" t="str">
        <f>IFERROR(__xludf.DUMMYFUNCTION("""COMPUTED_VALUE"""),"No")</f>
        <v>No</v>
      </c>
    </row>
    <row r="492">
      <c r="A492" s="5" t="str">
        <f>IFERROR(__xludf.DUMMYFUNCTION("""COMPUTED_VALUE"""),"TBD-F2")</f>
        <v>TBD-F2</v>
      </c>
      <c r="B49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2" s="5" t="str">
        <f>IFERROR(__xludf.DUMMYFUNCTION("""COMPUTED_VALUE"""),"Yes")</f>
        <v>Yes</v>
      </c>
      <c r="D492" s="5" t="str">
        <f>IFERROR(__xludf.DUMMYFUNCTION("""COMPUTED_VALUE"""),"Yes")</f>
        <v>Yes</v>
      </c>
      <c r="E492" s="5" t="str">
        <f>IFERROR(__xludf.DUMMYFUNCTION("""COMPUTED_VALUE"""),"Yes")</f>
        <v>Yes</v>
      </c>
      <c r="F492" s="5" t="str">
        <f>IFERROR(__xludf.DUMMYFUNCTION("""COMPUTED_VALUE"""),"Yes")</f>
        <v>Yes</v>
      </c>
      <c r="G492" s="5" t="str">
        <f>IFERROR(__xludf.DUMMYFUNCTION("""COMPUTED_VALUE"""),"Yes")</f>
        <v>Yes</v>
      </c>
      <c r="H492" s="5" t="str">
        <f>IFERROR(__xludf.DUMMYFUNCTION("""COMPUTED_VALUE"""),"Yes")</f>
        <v>Yes</v>
      </c>
      <c r="I492" s="5" t="str">
        <f>IFERROR(__xludf.DUMMYFUNCTION("""COMPUTED_VALUE"""),"Yes")</f>
        <v>Yes</v>
      </c>
      <c r="J492" s="5" t="str">
        <f>IFERROR(__xludf.DUMMYFUNCTION("""COMPUTED_VALUE"""),"Yes")</f>
        <v>Yes</v>
      </c>
      <c r="K492" s="5" t="str">
        <f>IFERROR(__xludf.DUMMYFUNCTION("""COMPUTED_VALUE"""),"Yes")</f>
        <v>Yes</v>
      </c>
      <c r="L492" s="5" t="str">
        <f>IFERROR(__xludf.DUMMYFUNCTION("""COMPUTED_VALUE"""),"Yes")</f>
        <v>Yes</v>
      </c>
      <c r="M492" s="5" t="str">
        <f>IFERROR(__xludf.DUMMYFUNCTION("""COMPUTED_VALUE"""),"Yes")</f>
        <v>Yes</v>
      </c>
      <c r="N492" s="5" t="str">
        <f>IFERROR(__xludf.DUMMYFUNCTION("""COMPUTED_VALUE"""),"Yes")</f>
        <v>Yes</v>
      </c>
      <c r="O492" s="5" t="str">
        <f>IFERROR(__xludf.DUMMYFUNCTION("""COMPUTED_VALUE"""),"Yes")</f>
        <v>Yes</v>
      </c>
      <c r="P492" s="5" t="str">
        <f>IFERROR(__xludf.DUMMYFUNCTION("""COMPUTED_VALUE"""),"Yes")</f>
        <v>Yes</v>
      </c>
      <c r="Q492" s="5" t="str">
        <f>IFERROR(__xludf.DUMMYFUNCTION("""COMPUTED_VALUE"""),"Yes")</f>
        <v>Yes</v>
      </c>
      <c r="R492" s="5" t="str">
        <f>IFERROR(__xludf.DUMMYFUNCTION("""COMPUTED_VALUE"""),"Yes")</f>
        <v>Yes</v>
      </c>
      <c r="S492" s="5" t="str">
        <f>IFERROR(__xludf.DUMMYFUNCTION("""COMPUTED_VALUE"""),"Yes")</f>
        <v>Yes</v>
      </c>
      <c r="T492" s="5" t="str">
        <f>IFERROR(__xludf.DUMMYFUNCTION("""COMPUTED_VALUE"""),"Yes")</f>
        <v>Yes</v>
      </c>
      <c r="U492" s="5" t="str">
        <f>IFERROR(__xludf.DUMMYFUNCTION("""COMPUTED_VALUE"""),"Yes")</f>
        <v>Yes</v>
      </c>
      <c r="V492" s="5"/>
      <c r="W492" s="5"/>
      <c r="X492" s="5"/>
      <c r="Y492" s="5"/>
      <c r="Z492" s="5" t="str">
        <f>IFERROR(__xludf.DUMMYFUNCTION("""COMPUTED_VALUE"""),"Yes")</f>
        <v>Yes</v>
      </c>
      <c r="AA492" s="5"/>
      <c r="AB492" s="5"/>
      <c r="AC492" s="5"/>
    </row>
    <row r="493">
      <c r="A493" s="5" t="str">
        <f>IFERROR(__xludf.DUMMYFUNCTION("""COMPUTED_VALUE"""),"TBD-F3")</f>
        <v>TBD-F3</v>
      </c>
      <c r="B4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3" s="5" t="str">
        <f>IFERROR(__xludf.DUMMYFUNCTION("""COMPUTED_VALUE"""),"Yes")</f>
        <v>Yes</v>
      </c>
      <c r="D493" s="5" t="str">
        <f>IFERROR(__xludf.DUMMYFUNCTION("""COMPUTED_VALUE"""),"Yes")</f>
        <v>Yes</v>
      </c>
      <c r="E493" s="5" t="str">
        <f>IFERROR(__xludf.DUMMYFUNCTION("""COMPUTED_VALUE"""),"Yes")</f>
        <v>Yes</v>
      </c>
      <c r="F493" s="5" t="str">
        <f>IFERROR(__xludf.DUMMYFUNCTION("""COMPUTED_VALUE"""),"Yes")</f>
        <v>Yes</v>
      </c>
      <c r="G493" s="5" t="str">
        <f>IFERROR(__xludf.DUMMYFUNCTION("""COMPUTED_VALUE"""),"Yes")</f>
        <v>Yes</v>
      </c>
      <c r="H493" s="5" t="str">
        <f>IFERROR(__xludf.DUMMYFUNCTION("""COMPUTED_VALUE"""),"Yes")</f>
        <v>Yes</v>
      </c>
      <c r="I493" s="5" t="str">
        <f>IFERROR(__xludf.DUMMYFUNCTION("""COMPUTED_VALUE"""),"Yes")</f>
        <v>Yes</v>
      </c>
      <c r="J493" s="5" t="str">
        <f>IFERROR(__xludf.DUMMYFUNCTION("""COMPUTED_VALUE"""),"Yes")</f>
        <v>Yes</v>
      </c>
      <c r="K493" s="5" t="str">
        <f>IFERROR(__xludf.DUMMYFUNCTION("""COMPUTED_VALUE"""),"Yes")</f>
        <v>Yes</v>
      </c>
      <c r="L493" s="5" t="str">
        <f>IFERROR(__xludf.DUMMYFUNCTION("""COMPUTED_VALUE"""),"Yes")</f>
        <v>Yes</v>
      </c>
      <c r="M493" s="5" t="str">
        <f>IFERROR(__xludf.DUMMYFUNCTION("""COMPUTED_VALUE"""),"Yes")</f>
        <v>Yes</v>
      </c>
      <c r="N493" s="5" t="str">
        <f>IFERROR(__xludf.DUMMYFUNCTION("""COMPUTED_VALUE"""),"Yes")</f>
        <v>Yes</v>
      </c>
      <c r="O493" s="5" t="str">
        <f>IFERROR(__xludf.DUMMYFUNCTION("""COMPUTED_VALUE"""),"Yes")</f>
        <v>Yes</v>
      </c>
      <c r="P493" s="5" t="str">
        <f>IFERROR(__xludf.DUMMYFUNCTION("""COMPUTED_VALUE"""),"Yes")</f>
        <v>Yes</v>
      </c>
      <c r="Q493" s="5" t="str">
        <f>IFERROR(__xludf.DUMMYFUNCTION("""COMPUTED_VALUE"""),"Yes")</f>
        <v>Yes</v>
      </c>
      <c r="R493" s="5" t="str">
        <f>IFERROR(__xludf.DUMMYFUNCTION("""COMPUTED_VALUE"""),"Yes")</f>
        <v>Yes</v>
      </c>
      <c r="S493" s="5" t="str">
        <f>IFERROR(__xludf.DUMMYFUNCTION("""COMPUTED_VALUE"""),"Yes")</f>
        <v>Yes</v>
      </c>
      <c r="T493" s="5" t="str">
        <f>IFERROR(__xludf.DUMMYFUNCTION("""COMPUTED_VALUE"""),"Yes")</f>
        <v>Yes</v>
      </c>
      <c r="U493" s="5" t="str">
        <f>IFERROR(__xludf.DUMMYFUNCTION("""COMPUTED_VALUE"""),"Yes")</f>
        <v>Yes</v>
      </c>
      <c r="V493" s="5"/>
      <c r="W493" s="5"/>
      <c r="X493" s="5"/>
      <c r="Y493" s="5"/>
      <c r="Z493" s="5" t="str">
        <f>IFERROR(__xludf.DUMMYFUNCTION("""COMPUTED_VALUE"""),"Yes")</f>
        <v>Yes</v>
      </c>
      <c r="AA493" s="5"/>
      <c r="AB493" s="5"/>
      <c r="AC493" s="5"/>
    </row>
    <row r="494">
      <c r="A494" s="5" t="str">
        <f>IFERROR(__xludf.DUMMYFUNCTION("""COMPUTED_VALUE"""),"TBD-F4")</f>
        <v>TBD-F4</v>
      </c>
      <c r="B4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4" s="5" t="str">
        <f>IFERROR(__xludf.DUMMYFUNCTION("""COMPUTED_VALUE"""),"Yes")</f>
        <v>Yes</v>
      </c>
      <c r="D494" s="5" t="str">
        <f>IFERROR(__xludf.DUMMYFUNCTION("""COMPUTED_VALUE"""),"Yes")</f>
        <v>Yes</v>
      </c>
      <c r="E494" s="5" t="str">
        <f>IFERROR(__xludf.DUMMYFUNCTION("""COMPUTED_VALUE"""),"Yes")</f>
        <v>Yes</v>
      </c>
      <c r="F494" s="5" t="str">
        <f>IFERROR(__xludf.DUMMYFUNCTION("""COMPUTED_VALUE"""),"Yes")</f>
        <v>Yes</v>
      </c>
      <c r="G494" s="5" t="str">
        <f>IFERROR(__xludf.DUMMYFUNCTION("""COMPUTED_VALUE"""),"Yes")</f>
        <v>Yes</v>
      </c>
      <c r="H494" s="5" t="str">
        <f>IFERROR(__xludf.DUMMYFUNCTION("""COMPUTED_VALUE"""),"Yes")</f>
        <v>Yes</v>
      </c>
      <c r="I494" s="5" t="str">
        <f>IFERROR(__xludf.DUMMYFUNCTION("""COMPUTED_VALUE"""),"Yes")</f>
        <v>Yes</v>
      </c>
      <c r="J494" s="5" t="str">
        <f>IFERROR(__xludf.DUMMYFUNCTION("""COMPUTED_VALUE"""),"Yes")</f>
        <v>Yes</v>
      </c>
      <c r="K494" s="5" t="str">
        <f>IFERROR(__xludf.DUMMYFUNCTION("""COMPUTED_VALUE"""),"Yes")</f>
        <v>Yes</v>
      </c>
      <c r="L494" s="5" t="str">
        <f>IFERROR(__xludf.DUMMYFUNCTION("""COMPUTED_VALUE"""),"Yes")</f>
        <v>Yes</v>
      </c>
      <c r="M494" s="5" t="str">
        <f>IFERROR(__xludf.DUMMYFUNCTION("""COMPUTED_VALUE"""),"Yes")</f>
        <v>Yes</v>
      </c>
      <c r="N494" s="5" t="str">
        <f>IFERROR(__xludf.DUMMYFUNCTION("""COMPUTED_VALUE"""),"Yes")</f>
        <v>Yes</v>
      </c>
      <c r="O494" s="5" t="str">
        <f>IFERROR(__xludf.DUMMYFUNCTION("""COMPUTED_VALUE"""),"Yes")</f>
        <v>Yes</v>
      </c>
      <c r="P494" s="5" t="str">
        <f>IFERROR(__xludf.DUMMYFUNCTION("""COMPUTED_VALUE"""),"Yes")</f>
        <v>Yes</v>
      </c>
      <c r="Q494" s="5" t="str">
        <f>IFERROR(__xludf.DUMMYFUNCTION("""COMPUTED_VALUE"""),"Yes")</f>
        <v>Yes</v>
      </c>
      <c r="R494" s="5" t="str">
        <f>IFERROR(__xludf.DUMMYFUNCTION("""COMPUTED_VALUE"""),"Yes")</f>
        <v>Yes</v>
      </c>
      <c r="S494" s="5" t="str">
        <f>IFERROR(__xludf.DUMMYFUNCTION("""COMPUTED_VALUE"""),"Yes")</f>
        <v>Yes</v>
      </c>
      <c r="T494" s="5" t="str">
        <f>IFERROR(__xludf.DUMMYFUNCTION("""COMPUTED_VALUE"""),"Yes")</f>
        <v>Yes</v>
      </c>
      <c r="U494" s="5" t="str">
        <f>IFERROR(__xludf.DUMMYFUNCTION("""COMPUTED_VALUE"""),"Yes")</f>
        <v>Yes</v>
      </c>
      <c r="V494" s="5"/>
      <c r="W494" s="5"/>
      <c r="X494" s="5"/>
      <c r="Y494" s="5"/>
      <c r="Z494" s="5" t="str">
        <f>IFERROR(__xludf.DUMMYFUNCTION("""COMPUTED_VALUE"""),"Yes")</f>
        <v>Yes</v>
      </c>
      <c r="AA494" s="5"/>
      <c r="AB494" s="5"/>
      <c r="AC494" s="5"/>
    </row>
    <row r="495">
      <c r="A495" s="5" t="str">
        <f>IFERROR(__xludf.DUMMYFUNCTION("""COMPUTED_VALUE"""),"TBD-F5")</f>
        <v>TBD-F5</v>
      </c>
      <c r="B4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5" s="5" t="str">
        <f>IFERROR(__xludf.DUMMYFUNCTION("""COMPUTED_VALUE"""),"Yes")</f>
        <v>Yes</v>
      </c>
      <c r="D495" s="5" t="str">
        <f>IFERROR(__xludf.DUMMYFUNCTION("""COMPUTED_VALUE"""),"Yes")</f>
        <v>Yes</v>
      </c>
      <c r="E495" s="5" t="str">
        <f>IFERROR(__xludf.DUMMYFUNCTION("""COMPUTED_VALUE"""),"Yes")</f>
        <v>Yes</v>
      </c>
      <c r="F495" s="5" t="str">
        <f>IFERROR(__xludf.DUMMYFUNCTION("""COMPUTED_VALUE"""),"Yes")</f>
        <v>Yes</v>
      </c>
      <c r="G495" s="5" t="str">
        <f>IFERROR(__xludf.DUMMYFUNCTION("""COMPUTED_VALUE"""),"Yes")</f>
        <v>Yes</v>
      </c>
      <c r="H495" s="5" t="str">
        <f>IFERROR(__xludf.DUMMYFUNCTION("""COMPUTED_VALUE"""),"Yes")</f>
        <v>Yes</v>
      </c>
      <c r="I495" s="5" t="str">
        <f>IFERROR(__xludf.DUMMYFUNCTION("""COMPUTED_VALUE"""),"Yes")</f>
        <v>Yes</v>
      </c>
      <c r="J495" s="5" t="str">
        <f>IFERROR(__xludf.DUMMYFUNCTION("""COMPUTED_VALUE"""),"Yes")</f>
        <v>Yes</v>
      </c>
      <c r="K495" s="5" t="str">
        <f>IFERROR(__xludf.DUMMYFUNCTION("""COMPUTED_VALUE"""),"Yes")</f>
        <v>Yes</v>
      </c>
      <c r="L495" s="5" t="str">
        <f>IFERROR(__xludf.DUMMYFUNCTION("""COMPUTED_VALUE"""),"Yes")</f>
        <v>Yes</v>
      </c>
      <c r="M495" s="5" t="str">
        <f>IFERROR(__xludf.DUMMYFUNCTION("""COMPUTED_VALUE"""),"Yes")</f>
        <v>Yes</v>
      </c>
      <c r="N495" s="5" t="str">
        <f>IFERROR(__xludf.DUMMYFUNCTION("""COMPUTED_VALUE"""),"Yes")</f>
        <v>Yes</v>
      </c>
      <c r="O495" s="5" t="str">
        <f>IFERROR(__xludf.DUMMYFUNCTION("""COMPUTED_VALUE"""),"Yes")</f>
        <v>Yes</v>
      </c>
      <c r="P495" s="5" t="str">
        <f>IFERROR(__xludf.DUMMYFUNCTION("""COMPUTED_VALUE"""),"Yes")</f>
        <v>Yes</v>
      </c>
      <c r="Q495" s="5" t="str">
        <f>IFERROR(__xludf.DUMMYFUNCTION("""COMPUTED_VALUE"""),"Yes")</f>
        <v>Yes</v>
      </c>
      <c r="R495" s="5" t="str">
        <f>IFERROR(__xludf.DUMMYFUNCTION("""COMPUTED_VALUE"""),"Yes")</f>
        <v>Yes</v>
      </c>
      <c r="S495" s="5" t="str">
        <f>IFERROR(__xludf.DUMMYFUNCTION("""COMPUTED_VALUE"""),"Yes")</f>
        <v>Yes</v>
      </c>
      <c r="T495" s="5" t="str">
        <f>IFERROR(__xludf.DUMMYFUNCTION("""COMPUTED_VALUE"""),"Yes")</f>
        <v>Yes</v>
      </c>
      <c r="U495" s="5" t="str">
        <f>IFERROR(__xludf.DUMMYFUNCTION("""COMPUTED_VALUE"""),"Yes")</f>
        <v>Yes</v>
      </c>
      <c r="V495" s="5"/>
      <c r="W495" s="5"/>
      <c r="X495" s="5"/>
      <c r="Y495" s="5"/>
      <c r="Z495" s="5" t="str">
        <f>IFERROR(__xludf.DUMMYFUNCTION("""COMPUTED_VALUE"""),"Yes")</f>
        <v>Yes</v>
      </c>
      <c r="AA495" s="5"/>
      <c r="AB495" s="5"/>
      <c r="AC495" s="5"/>
    </row>
    <row r="496">
      <c r="A496" s="5" t="str">
        <f>IFERROR(__xludf.DUMMYFUNCTION("""COMPUTED_VALUE"""),"TBD-F6")</f>
        <v>TBD-F6</v>
      </c>
      <c r="B4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6" s="5" t="str">
        <f>IFERROR(__xludf.DUMMYFUNCTION("""COMPUTED_VALUE"""),"Yes")</f>
        <v>Yes</v>
      </c>
      <c r="D496" s="5" t="str">
        <f>IFERROR(__xludf.DUMMYFUNCTION("""COMPUTED_VALUE"""),"Yes")</f>
        <v>Yes</v>
      </c>
      <c r="E496" s="5" t="str">
        <f>IFERROR(__xludf.DUMMYFUNCTION("""COMPUTED_VALUE"""),"Yes")</f>
        <v>Yes</v>
      </c>
      <c r="F496" s="5" t="str">
        <f>IFERROR(__xludf.DUMMYFUNCTION("""COMPUTED_VALUE"""),"Yes")</f>
        <v>Yes</v>
      </c>
      <c r="G496" s="5" t="str">
        <f>IFERROR(__xludf.DUMMYFUNCTION("""COMPUTED_VALUE"""),"Yes")</f>
        <v>Yes</v>
      </c>
      <c r="H496" s="5" t="str">
        <f>IFERROR(__xludf.DUMMYFUNCTION("""COMPUTED_VALUE"""),"Yes")</f>
        <v>Yes</v>
      </c>
      <c r="I496" s="5" t="str">
        <f>IFERROR(__xludf.DUMMYFUNCTION("""COMPUTED_VALUE"""),"Yes")</f>
        <v>Yes</v>
      </c>
      <c r="J496" s="5" t="str">
        <f>IFERROR(__xludf.DUMMYFUNCTION("""COMPUTED_VALUE"""),"Yes")</f>
        <v>Yes</v>
      </c>
      <c r="K496" s="5" t="str">
        <f>IFERROR(__xludf.DUMMYFUNCTION("""COMPUTED_VALUE"""),"Yes")</f>
        <v>Yes</v>
      </c>
      <c r="L496" s="5" t="str">
        <f>IFERROR(__xludf.DUMMYFUNCTION("""COMPUTED_VALUE"""),"Yes")</f>
        <v>Yes</v>
      </c>
      <c r="M496" s="5" t="str">
        <f>IFERROR(__xludf.DUMMYFUNCTION("""COMPUTED_VALUE"""),"Yes")</f>
        <v>Yes</v>
      </c>
      <c r="N496" s="5" t="str">
        <f>IFERROR(__xludf.DUMMYFUNCTION("""COMPUTED_VALUE"""),"Yes")</f>
        <v>Yes</v>
      </c>
      <c r="O496" s="5" t="str">
        <f>IFERROR(__xludf.DUMMYFUNCTION("""COMPUTED_VALUE"""),"Yes")</f>
        <v>Yes</v>
      </c>
      <c r="P496" s="5" t="str">
        <f>IFERROR(__xludf.DUMMYFUNCTION("""COMPUTED_VALUE"""),"Yes")</f>
        <v>Yes</v>
      </c>
      <c r="Q496" s="5" t="str">
        <f>IFERROR(__xludf.DUMMYFUNCTION("""COMPUTED_VALUE"""),"Yes")</f>
        <v>Yes</v>
      </c>
      <c r="R496" s="5" t="str">
        <f>IFERROR(__xludf.DUMMYFUNCTION("""COMPUTED_VALUE"""),"Yes")</f>
        <v>Yes</v>
      </c>
      <c r="S496" s="5" t="str">
        <f>IFERROR(__xludf.DUMMYFUNCTION("""COMPUTED_VALUE"""),"Yes")</f>
        <v>Yes</v>
      </c>
      <c r="T496" s="5" t="str">
        <f>IFERROR(__xludf.DUMMYFUNCTION("""COMPUTED_VALUE"""),"Yes")</f>
        <v>Yes</v>
      </c>
      <c r="U496" s="5" t="str">
        <f>IFERROR(__xludf.DUMMYFUNCTION("""COMPUTED_VALUE"""),"Yes")</f>
        <v>Yes</v>
      </c>
      <c r="V496" s="5"/>
      <c r="W496" s="5"/>
      <c r="X496" s="5"/>
      <c r="Y496" s="5"/>
      <c r="Z496" s="5" t="str">
        <f>IFERROR(__xludf.DUMMYFUNCTION("""COMPUTED_VALUE"""),"Yes")</f>
        <v>Yes</v>
      </c>
      <c r="AA496" s="5"/>
      <c r="AB496" s="5"/>
      <c r="AC496" s="5"/>
    </row>
    <row r="497">
      <c r="A497" s="5" t="str">
        <f>IFERROR(__xludf.DUMMYFUNCTION("""COMPUTED_VALUE"""),"TBD-F7")</f>
        <v>TBD-F7</v>
      </c>
      <c r="B49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7" s="5" t="str">
        <f>IFERROR(__xludf.DUMMYFUNCTION("""COMPUTED_VALUE"""),"Yes")</f>
        <v>Yes</v>
      </c>
      <c r="D497" s="5" t="str">
        <f>IFERROR(__xludf.DUMMYFUNCTION("""COMPUTED_VALUE"""),"Yes")</f>
        <v>Yes</v>
      </c>
      <c r="E497" s="5" t="str">
        <f>IFERROR(__xludf.DUMMYFUNCTION("""COMPUTED_VALUE"""),"Yes")</f>
        <v>Yes</v>
      </c>
      <c r="F497" s="5" t="str">
        <f>IFERROR(__xludf.DUMMYFUNCTION("""COMPUTED_VALUE"""),"Yes")</f>
        <v>Yes</v>
      </c>
      <c r="G497" s="5" t="str">
        <f>IFERROR(__xludf.DUMMYFUNCTION("""COMPUTED_VALUE"""),"Yes")</f>
        <v>Yes</v>
      </c>
      <c r="H497" s="5" t="str">
        <f>IFERROR(__xludf.DUMMYFUNCTION("""COMPUTED_VALUE"""),"Yes")</f>
        <v>Yes</v>
      </c>
      <c r="I497" s="5" t="str">
        <f>IFERROR(__xludf.DUMMYFUNCTION("""COMPUTED_VALUE"""),"Yes")</f>
        <v>Yes</v>
      </c>
      <c r="J497" s="5" t="str">
        <f>IFERROR(__xludf.DUMMYFUNCTION("""COMPUTED_VALUE"""),"Yes")</f>
        <v>Yes</v>
      </c>
      <c r="K497" s="5" t="str">
        <f>IFERROR(__xludf.DUMMYFUNCTION("""COMPUTED_VALUE"""),"Yes")</f>
        <v>Yes</v>
      </c>
      <c r="L497" s="5" t="str">
        <f>IFERROR(__xludf.DUMMYFUNCTION("""COMPUTED_VALUE"""),"Yes")</f>
        <v>Yes</v>
      </c>
      <c r="M497" s="5" t="str">
        <f>IFERROR(__xludf.DUMMYFUNCTION("""COMPUTED_VALUE"""),"Yes")</f>
        <v>Yes</v>
      </c>
      <c r="N497" s="5" t="str">
        <f>IFERROR(__xludf.DUMMYFUNCTION("""COMPUTED_VALUE"""),"Yes")</f>
        <v>Yes</v>
      </c>
      <c r="O497" s="5" t="str">
        <f>IFERROR(__xludf.DUMMYFUNCTION("""COMPUTED_VALUE"""),"Yes")</f>
        <v>Yes</v>
      </c>
      <c r="P497" s="5" t="str">
        <f>IFERROR(__xludf.DUMMYFUNCTION("""COMPUTED_VALUE"""),"Yes")</f>
        <v>Yes</v>
      </c>
      <c r="Q497" s="5" t="str">
        <f>IFERROR(__xludf.DUMMYFUNCTION("""COMPUTED_VALUE"""),"Yes")</f>
        <v>Yes</v>
      </c>
      <c r="R497" s="5" t="str">
        <f>IFERROR(__xludf.DUMMYFUNCTION("""COMPUTED_VALUE"""),"Yes")</f>
        <v>Yes</v>
      </c>
      <c r="S497" s="5" t="str">
        <f>IFERROR(__xludf.DUMMYFUNCTION("""COMPUTED_VALUE"""),"Yes")</f>
        <v>Yes</v>
      </c>
      <c r="T497" s="5" t="str">
        <f>IFERROR(__xludf.DUMMYFUNCTION("""COMPUTED_VALUE"""),"Yes")</f>
        <v>Yes</v>
      </c>
      <c r="U497" s="5" t="str">
        <f>IFERROR(__xludf.DUMMYFUNCTION("""COMPUTED_VALUE"""),"Yes")</f>
        <v>Yes</v>
      </c>
      <c r="V497" s="5"/>
      <c r="W497" s="5"/>
      <c r="X497" s="5"/>
      <c r="Y497" s="5"/>
      <c r="Z497" s="5" t="str">
        <f>IFERROR(__xludf.DUMMYFUNCTION("""COMPUTED_VALUE"""),"Yes")</f>
        <v>Yes</v>
      </c>
      <c r="AA497" s="5"/>
      <c r="AB497" s="5"/>
      <c r="AC497" s="5"/>
    </row>
    <row r="498">
      <c r="A498" s="5" t="str">
        <f>IFERROR(__xludf.DUMMYFUNCTION("""COMPUTED_VALUE"""),"TBD-F8")</f>
        <v>TBD-F8</v>
      </c>
      <c r="B498" s="5" t="str">
        <f>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C498" s="5" t="str">
        <f>IFERROR(__xludf.DUMMYFUNCTION("""COMPUTED_VALUE"""),"Yes")</f>
        <v>Yes</v>
      </c>
      <c r="D498" s="5" t="str">
        <f>IFERROR(__xludf.DUMMYFUNCTION("""COMPUTED_VALUE"""),"Yes")</f>
        <v>Yes</v>
      </c>
      <c r="E498" s="5" t="str">
        <f>IFERROR(__xludf.DUMMYFUNCTION("""COMPUTED_VALUE"""),"Yes")</f>
        <v>Yes</v>
      </c>
      <c r="F498" s="5" t="str">
        <f>IFERROR(__xludf.DUMMYFUNCTION("""COMPUTED_VALUE"""),"Yes")</f>
        <v>Yes</v>
      </c>
      <c r="G498" s="5" t="str">
        <f>IFERROR(__xludf.DUMMYFUNCTION("""COMPUTED_VALUE"""),"Yes")</f>
        <v>Yes</v>
      </c>
      <c r="H498" s="5" t="str">
        <f>IFERROR(__xludf.DUMMYFUNCTION("""COMPUTED_VALUE"""),"Yes")</f>
        <v>Yes</v>
      </c>
      <c r="I498" s="5" t="str">
        <f>IFERROR(__xludf.DUMMYFUNCTION("""COMPUTED_VALUE"""),"Yes")</f>
        <v>Yes</v>
      </c>
      <c r="J498" s="5" t="str">
        <f>IFERROR(__xludf.DUMMYFUNCTION("""COMPUTED_VALUE"""),"Yes")</f>
        <v>Yes</v>
      </c>
      <c r="K498" s="5" t="str">
        <f>IFERROR(__xludf.DUMMYFUNCTION("""COMPUTED_VALUE"""),"Yes")</f>
        <v>Yes</v>
      </c>
      <c r="L498" s="5" t="str">
        <f>IFERROR(__xludf.DUMMYFUNCTION("""COMPUTED_VALUE"""),"Yes")</f>
        <v>Yes</v>
      </c>
      <c r="M498" s="5" t="str">
        <f>IFERROR(__xludf.DUMMYFUNCTION("""COMPUTED_VALUE"""),"Yes")</f>
        <v>Yes</v>
      </c>
      <c r="N498" s="5" t="str">
        <f>IFERROR(__xludf.DUMMYFUNCTION("""COMPUTED_VALUE"""),"Yes")</f>
        <v>Yes</v>
      </c>
      <c r="O498" s="5" t="str">
        <f>IFERROR(__xludf.DUMMYFUNCTION("""COMPUTED_VALUE"""),"Yes")</f>
        <v>Yes</v>
      </c>
      <c r="P498" s="5" t="str">
        <f>IFERROR(__xludf.DUMMYFUNCTION("""COMPUTED_VALUE"""),"Yes")</f>
        <v>Yes</v>
      </c>
      <c r="Q498" s="5" t="str">
        <f>IFERROR(__xludf.DUMMYFUNCTION("""COMPUTED_VALUE"""),"Yes")</f>
        <v>Yes</v>
      </c>
      <c r="R498" s="5"/>
      <c r="S498" s="5" t="str">
        <f>IFERROR(__xludf.DUMMYFUNCTION("""COMPUTED_VALUE"""),"Yes")</f>
        <v>Yes</v>
      </c>
      <c r="T498" s="5" t="str">
        <f>IFERROR(__xludf.DUMMYFUNCTION("""COMPUTED_VALUE"""),"Yes")</f>
        <v>Yes</v>
      </c>
      <c r="U498" s="5" t="str">
        <f>IFERROR(__xludf.DUMMYFUNCTION("""COMPUTED_VALUE"""),"Yes")</f>
        <v>Yes</v>
      </c>
      <c r="V498" s="5" t="str">
        <f>IFERROR(__xludf.DUMMYFUNCTION("""COMPUTED_VALUE"""),"Yes")</f>
        <v>Yes</v>
      </c>
      <c r="W498" s="5"/>
      <c r="X498" s="5"/>
      <c r="Y498" s="5"/>
      <c r="Z498" s="5"/>
      <c r="AA498" s="5"/>
      <c r="AB498" s="5"/>
      <c r="AC498" s="5"/>
    </row>
    <row r="499">
      <c r="A499" s="5" t="str">
        <f>IFERROR(__xludf.DUMMYFUNCTION("""COMPUTED_VALUE"""),"TBD-F9")</f>
        <v>TBD-F9</v>
      </c>
      <c r="B499" s="5" t="str">
        <f>IFERROR(__xludf.DUMMYFUNCTION("""COMPUTED_VALUE"""),"")</f>
        <v/>
      </c>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row>
    <row r="500">
      <c r="A500" s="5" t="str">
        <f>IFERROR(__xludf.DUMMYFUNCTION("""COMPUTED_VALUE"""),"TBD-F10")</f>
        <v>TBD-F10</v>
      </c>
      <c r="B500" s="5" t="str">
        <f>IFERROR(__xludf.DUMMYFUNCTION("""COMPUTED_VALUE"""),"")</f>
        <v/>
      </c>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row>
    <row r="501">
      <c r="A501" s="5" t="str">
        <f>IFERROR(__xludf.DUMMYFUNCTION("""COMPUTED_VALUE"""),"TBD-F11")</f>
        <v>TBD-F11</v>
      </c>
      <c r="B501" s="5" t="str">
        <f>IFERROR(__xludf.DUMMYFUNCTION("""COMPUTED_VALUE"""),"")</f>
        <v/>
      </c>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row>
    <row r="502">
      <c r="A502" s="5" t="str">
        <f>IFERROR(__xludf.DUMMYFUNCTION("""COMPUTED_VALUE"""),"TBD-F12")</f>
        <v>TBD-F12</v>
      </c>
      <c r="B502" s="5" t="str">
        <f>IFERROR(__xludf.DUMMYFUNCTION("""COMPUTED_VALUE"""),"")</f>
        <v/>
      </c>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row>
    <row r="503">
      <c r="A503" s="5" t="str">
        <f>IFERROR(__xludf.DUMMYFUNCTION("""COMPUTED_VALUE"""),"TBD-F13")</f>
        <v>TBD-F13</v>
      </c>
      <c r="B503" s="5" t="str">
        <f>IFERROR(__xludf.DUMMYFUNCTION("""COMPUTED_VALUE"""),"")</f>
        <v/>
      </c>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row>
    <row r="504">
      <c r="A504" s="5" t="str">
        <f>IFERROR(__xludf.DUMMYFUNCTION("""COMPUTED_VALUE"""),"Redstone40WildCrown")</f>
        <v>Redstone40WildCrown</v>
      </c>
      <c r="B50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4" s="5" t="str">
        <f>IFERROR(__xludf.DUMMYFUNCTION("""COMPUTED_VALUE"""),"Yes")</f>
        <v>Yes</v>
      </c>
      <c r="D504" s="5" t="str">
        <f>IFERROR(__xludf.DUMMYFUNCTION("""COMPUTED_VALUE"""),"Yes")</f>
        <v>Yes</v>
      </c>
      <c r="E504" s="5" t="str">
        <f>IFERROR(__xludf.DUMMYFUNCTION("""COMPUTED_VALUE"""),"Yes")</f>
        <v>Yes</v>
      </c>
      <c r="F504" s="5" t="str">
        <f>IFERROR(__xludf.DUMMYFUNCTION("""COMPUTED_VALUE"""),"Yes")</f>
        <v>Yes</v>
      </c>
      <c r="G504" s="5" t="str">
        <f>IFERROR(__xludf.DUMMYFUNCTION("""COMPUTED_VALUE"""),"Yes")</f>
        <v>Yes</v>
      </c>
      <c r="H504" s="5" t="str">
        <f>IFERROR(__xludf.DUMMYFUNCTION("""COMPUTED_VALUE"""),"Yes")</f>
        <v>Yes</v>
      </c>
      <c r="I504" s="5" t="str">
        <f>IFERROR(__xludf.DUMMYFUNCTION("""COMPUTED_VALUE"""),"Yes")</f>
        <v>Yes</v>
      </c>
      <c r="J504" s="5" t="str">
        <f>IFERROR(__xludf.DUMMYFUNCTION("""COMPUTED_VALUE"""),"Yes")</f>
        <v>Yes</v>
      </c>
      <c r="K504" s="5" t="str">
        <f>IFERROR(__xludf.DUMMYFUNCTION("""COMPUTED_VALUE"""),"Yes")</f>
        <v>Yes</v>
      </c>
      <c r="L504" s="5" t="str">
        <f>IFERROR(__xludf.DUMMYFUNCTION("""COMPUTED_VALUE"""),"Yes")</f>
        <v>Yes</v>
      </c>
      <c r="M504" s="5" t="str">
        <f>IFERROR(__xludf.DUMMYFUNCTION("""COMPUTED_VALUE"""),"Yes")</f>
        <v>Yes</v>
      </c>
      <c r="N504" s="5" t="str">
        <f>IFERROR(__xludf.DUMMYFUNCTION("""COMPUTED_VALUE"""),"Yes")</f>
        <v>Yes</v>
      </c>
      <c r="O504" s="5" t="str">
        <f>IFERROR(__xludf.DUMMYFUNCTION("""COMPUTED_VALUE"""),"Yes")</f>
        <v>Yes</v>
      </c>
      <c r="P504" s="5" t="str">
        <f>IFERROR(__xludf.DUMMYFUNCTION("""COMPUTED_VALUE"""),"Yes")</f>
        <v>Yes</v>
      </c>
      <c r="Q504" s="5" t="str">
        <f>IFERROR(__xludf.DUMMYFUNCTION("""COMPUTED_VALUE"""),"Yes")</f>
        <v>Yes</v>
      </c>
      <c r="R504" s="5" t="str">
        <f>IFERROR(__xludf.DUMMYFUNCTION("""COMPUTED_VALUE"""),"No")</f>
        <v>No</v>
      </c>
      <c r="S504" s="5" t="str">
        <f>IFERROR(__xludf.DUMMYFUNCTION("""COMPUTED_VALUE"""),"No")</f>
        <v>No</v>
      </c>
      <c r="T504" s="5" t="str">
        <f>IFERROR(__xludf.DUMMYFUNCTION("""COMPUTED_VALUE"""),"No")</f>
        <v>No</v>
      </c>
      <c r="U504" s="5" t="str">
        <f>IFERROR(__xludf.DUMMYFUNCTION("""COMPUTED_VALUE"""),"No")</f>
        <v>No</v>
      </c>
      <c r="V504" s="5" t="str">
        <f>IFERROR(__xludf.DUMMYFUNCTION("""COMPUTED_VALUE"""),"No")</f>
        <v>No</v>
      </c>
      <c r="W504" s="5" t="str">
        <f>IFERROR(__xludf.DUMMYFUNCTION("""COMPUTED_VALUE"""),"No")</f>
        <v>No</v>
      </c>
      <c r="X504" s="5" t="str">
        <f>IFERROR(__xludf.DUMMYFUNCTION("""COMPUTED_VALUE"""),"Yes")</f>
        <v>Yes</v>
      </c>
      <c r="Y504" s="5" t="str">
        <f>IFERROR(__xludf.DUMMYFUNCTION("""COMPUTED_VALUE"""),"No")</f>
        <v>No</v>
      </c>
      <c r="Z504" s="5" t="str">
        <f>IFERROR(__xludf.DUMMYFUNCTION("""COMPUTED_VALUE"""),"No")</f>
        <v>No</v>
      </c>
      <c r="AA504" s="5" t="str">
        <f>IFERROR(__xludf.DUMMYFUNCTION("""COMPUTED_VALUE"""),"No")</f>
        <v>No</v>
      </c>
      <c r="AB504" s="5" t="str">
        <f>IFERROR(__xludf.DUMMYFUNCTION("""COMPUTED_VALUE"""),"Yes")</f>
        <v>Yes</v>
      </c>
      <c r="AC504" s="5" t="str">
        <f>IFERROR(__xludf.DUMMYFUNCTION("""COMPUTED_VALUE"""),"No")</f>
        <v>No</v>
      </c>
    </row>
    <row r="505">
      <c r="A505" s="5" t="str">
        <f>IFERROR(__xludf.DUMMYFUNCTION("""COMPUTED_VALUE"""),"RedstoneDoubleCrown5")</f>
        <v>RedstoneDoubleCrown5</v>
      </c>
      <c r="B50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5" s="5" t="str">
        <f>IFERROR(__xludf.DUMMYFUNCTION("""COMPUTED_VALUE"""),"Yes")</f>
        <v>Yes</v>
      </c>
      <c r="D505" s="5" t="str">
        <f>IFERROR(__xludf.DUMMYFUNCTION("""COMPUTED_VALUE"""),"Yes")</f>
        <v>Yes</v>
      </c>
      <c r="E505" s="5" t="str">
        <f>IFERROR(__xludf.DUMMYFUNCTION("""COMPUTED_VALUE"""),"Yes")</f>
        <v>Yes</v>
      </c>
      <c r="F505" s="5" t="str">
        <f>IFERROR(__xludf.DUMMYFUNCTION("""COMPUTED_VALUE"""),"Yes")</f>
        <v>Yes</v>
      </c>
      <c r="G505" s="5" t="str">
        <f>IFERROR(__xludf.DUMMYFUNCTION("""COMPUTED_VALUE"""),"Yes")</f>
        <v>Yes</v>
      </c>
      <c r="H505" s="5" t="str">
        <f>IFERROR(__xludf.DUMMYFUNCTION("""COMPUTED_VALUE"""),"Yes")</f>
        <v>Yes</v>
      </c>
      <c r="I505" s="5" t="str">
        <f>IFERROR(__xludf.DUMMYFUNCTION("""COMPUTED_VALUE"""),"Yes")</f>
        <v>Yes</v>
      </c>
      <c r="J505" s="5" t="str">
        <f>IFERROR(__xludf.DUMMYFUNCTION("""COMPUTED_VALUE"""),"Yes")</f>
        <v>Yes</v>
      </c>
      <c r="K505" s="5" t="str">
        <f>IFERROR(__xludf.DUMMYFUNCTION("""COMPUTED_VALUE"""),"Yes")</f>
        <v>Yes</v>
      </c>
      <c r="L505" s="5" t="str">
        <f>IFERROR(__xludf.DUMMYFUNCTION("""COMPUTED_VALUE"""),"Yes")</f>
        <v>Yes</v>
      </c>
      <c r="M505" s="5" t="str">
        <f>IFERROR(__xludf.DUMMYFUNCTION("""COMPUTED_VALUE"""),"Yes")</f>
        <v>Yes</v>
      </c>
      <c r="N505" s="5" t="str">
        <f>IFERROR(__xludf.DUMMYFUNCTION("""COMPUTED_VALUE"""),"Yes")</f>
        <v>Yes</v>
      </c>
      <c r="O505" s="5" t="str">
        <f>IFERROR(__xludf.DUMMYFUNCTION("""COMPUTED_VALUE"""),"Yes")</f>
        <v>Yes</v>
      </c>
      <c r="P505" s="5" t="str">
        <f>IFERROR(__xludf.DUMMYFUNCTION("""COMPUTED_VALUE"""),"Yes")</f>
        <v>Yes</v>
      </c>
      <c r="Q505" s="5" t="str">
        <f>IFERROR(__xludf.DUMMYFUNCTION("""COMPUTED_VALUE"""),"Yes")</f>
        <v>Yes</v>
      </c>
      <c r="R505" s="5" t="str">
        <f>IFERROR(__xludf.DUMMYFUNCTION("""COMPUTED_VALUE"""),"No")</f>
        <v>No</v>
      </c>
      <c r="S505" s="5" t="str">
        <f>IFERROR(__xludf.DUMMYFUNCTION("""COMPUTED_VALUE"""),"No")</f>
        <v>No</v>
      </c>
      <c r="T505" s="5" t="str">
        <f>IFERROR(__xludf.DUMMYFUNCTION("""COMPUTED_VALUE"""),"No")</f>
        <v>No</v>
      </c>
      <c r="U505" s="5" t="str">
        <f>IFERROR(__xludf.DUMMYFUNCTION("""COMPUTED_VALUE"""),"No")</f>
        <v>No</v>
      </c>
      <c r="V505" s="5" t="str">
        <f>IFERROR(__xludf.DUMMYFUNCTION("""COMPUTED_VALUE"""),"No")</f>
        <v>No</v>
      </c>
      <c r="W505" s="5" t="str">
        <f>IFERROR(__xludf.DUMMYFUNCTION("""COMPUTED_VALUE"""),"No")</f>
        <v>No</v>
      </c>
      <c r="X505" s="5" t="str">
        <f>IFERROR(__xludf.DUMMYFUNCTION("""COMPUTED_VALUE"""),"Yes")</f>
        <v>Yes</v>
      </c>
      <c r="Y505" s="5" t="str">
        <f>IFERROR(__xludf.DUMMYFUNCTION("""COMPUTED_VALUE"""),"No")</f>
        <v>No</v>
      </c>
      <c r="Z505" s="5" t="str">
        <f>IFERROR(__xludf.DUMMYFUNCTION("""COMPUTED_VALUE"""),"No")</f>
        <v>No</v>
      </c>
      <c r="AA505" s="5" t="str">
        <f>IFERROR(__xludf.DUMMYFUNCTION("""COMPUTED_VALUE"""),"No")</f>
        <v>No</v>
      </c>
      <c r="AB505" s="5" t="str">
        <f>IFERROR(__xludf.DUMMYFUNCTION("""COMPUTED_VALUE"""),"Yes")</f>
        <v>Yes</v>
      </c>
      <c r="AC505" s="5" t="str">
        <f>IFERROR(__xludf.DUMMYFUNCTION("""COMPUTED_VALUE"""),"No")</f>
        <v>No</v>
      </c>
    </row>
    <row r="506">
      <c r="A506" s="5" t="str">
        <f>IFERROR(__xludf.DUMMYFUNCTION("""COMPUTED_VALUE"""),"RedstoneHeartRoyale")</f>
        <v>RedstoneHeartRoyale</v>
      </c>
      <c r="B50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6" s="5" t="str">
        <f>IFERROR(__xludf.DUMMYFUNCTION("""COMPUTED_VALUE"""),"Yes")</f>
        <v>Yes</v>
      </c>
      <c r="D506" s="5" t="str">
        <f>IFERROR(__xludf.DUMMYFUNCTION("""COMPUTED_VALUE"""),"Yes")</f>
        <v>Yes</v>
      </c>
      <c r="E506" s="5" t="str">
        <f>IFERROR(__xludf.DUMMYFUNCTION("""COMPUTED_VALUE"""),"No")</f>
        <v>No</v>
      </c>
      <c r="F506" s="5" t="str">
        <f>IFERROR(__xludf.DUMMYFUNCTION("""COMPUTED_VALUE"""),"Yes")</f>
        <v>Yes</v>
      </c>
      <c r="G506" s="5" t="str">
        <f>IFERROR(__xludf.DUMMYFUNCTION("""COMPUTED_VALUE"""),"Yes")</f>
        <v>Yes</v>
      </c>
      <c r="H506" s="5" t="str">
        <f>IFERROR(__xludf.DUMMYFUNCTION("""COMPUTED_VALUE"""),"Yes")</f>
        <v>Yes</v>
      </c>
      <c r="I506" s="5" t="str">
        <f>IFERROR(__xludf.DUMMYFUNCTION("""COMPUTED_VALUE"""),"Yes")</f>
        <v>Yes</v>
      </c>
      <c r="J506" s="5" t="str">
        <f>IFERROR(__xludf.DUMMYFUNCTION("""COMPUTED_VALUE"""),"Yes")</f>
        <v>Yes</v>
      </c>
      <c r="K506" s="5" t="str">
        <f>IFERROR(__xludf.DUMMYFUNCTION("""COMPUTED_VALUE"""),"Yes")</f>
        <v>Yes</v>
      </c>
      <c r="L506" s="5" t="str">
        <f>IFERROR(__xludf.DUMMYFUNCTION("""COMPUTED_VALUE"""),"Yes")</f>
        <v>Yes</v>
      </c>
      <c r="M506" s="5" t="str">
        <f>IFERROR(__xludf.DUMMYFUNCTION("""COMPUTED_VALUE"""),"Yes")</f>
        <v>Yes</v>
      </c>
      <c r="N506" s="5" t="str">
        <f>IFERROR(__xludf.DUMMYFUNCTION("""COMPUTED_VALUE"""),"Yes")</f>
        <v>Yes</v>
      </c>
      <c r="O506" s="5" t="str">
        <f>IFERROR(__xludf.DUMMYFUNCTION("""COMPUTED_VALUE"""),"Yes")</f>
        <v>Yes</v>
      </c>
      <c r="P506" s="5" t="str">
        <f>IFERROR(__xludf.DUMMYFUNCTION("""COMPUTED_VALUE"""),"Yes")</f>
        <v>Yes</v>
      </c>
      <c r="Q506" s="5" t="str">
        <f>IFERROR(__xludf.DUMMYFUNCTION("""COMPUTED_VALUE"""),"Yes")</f>
        <v>Yes</v>
      </c>
      <c r="R506" s="5" t="str">
        <f>IFERROR(__xludf.DUMMYFUNCTION("""COMPUTED_VALUE"""),"No")</f>
        <v>No</v>
      </c>
      <c r="S506" s="5" t="str">
        <f>IFERROR(__xludf.DUMMYFUNCTION("""COMPUTED_VALUE"""),"No")</f>
        <v>No</v>
      </c>
      <c r="T506" s="5" t="str">
        <f>IFERROR(__xludf.DUMMYFUNCTION("""COMPUTED_VALUE"""),"No")</f>
        <v>No</v>
      </c>
      <c r="U506" s="5" t="str">
        <f>IFERROR(__xludf.DUMMYFUNCTION("""COMPUTED_VALUE"""),"No")</f>
        <v>No</v>
      </c>
      <c r="V506" s="5" t="str">
        <f>IFERROR(__xludf.DUMMYFUNCTION("""COMPUTED_VALUE"""),"No")</f>
        <v>No</v>
      </c>
      <c r="W506" s="5" t="str">
        <f>IFERROR(__xludf.DUMMYFUNCTION("""COMPUTED_VALUE"""),"No")</f>
        <v>No</v>
      </c>
      <c r="X506" s="5" t="str">
        <f>IFERROR(__xludf.DUMMYFUNCTION("""COMPUTED_VALUE"""),"Yes")</f>
        <v>Yes</v>
      </c>
      <c r="Y506" s="5" t="str">
        <f>IFERROR(__xludf.DUMMYFUNCTION("""COMPUTED_VALUE"""),"No")</f>
        <v>No</v>
      </c>
      <c r="Z506" s="5" t="str">
        <f>IFERROR(__xludf.DUMMYFUNCTION("""COMPUTED_VALUE"""),"No")</f>
        <v>No</v>
      </c>
      <c r="AA506" s="5" t="str">
        <f>IFERROR(__xludf.DUMMYFUNCTION("""COMPUTED_VALUE"""),"No")</f>
        <v>No</v>
      </c>
      <c r="AB506" s="5" t="str">
        <f>IFERROR(__xludf.DUMMYFUNCTION("""COMPUTED_VALUE"""),"Yes")</f>
        <v>Yes</v>
      </c>
      <c r="AC506" s="5" t="str">
        <f>IFERROR(__xludf.DUMMYFUNCTION("""COMPUTED_VALUE"""),"No")</f>
        <v>No</v>
      </c>
    </row>
    <row r="507">
      <c r="A507" s="5" t="str">
        <f>IFERROR(__xludf.DUMMYFUNCTION("""COMPUTED_VALUE"""),"RedstoneReelX527Ways")</f>
        <v>RedstoneReelX527Ways</v>
      </c>
      <c r="B50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7" s="5" t="str">
        <f>IFERROR(__xludf.DUMMYFUNCTION("""COMPUTED_VALUE"""),"Yes")</f>
        <v>Yes</v>
      </c>
      <c r="D507" s="5" t="str">
        <f>IFERROR(__xludf.DUMMYFUNCTION("""COMPUTED_VALUE"""),"Yes")</f>
        <v>Yes</v>
      </c>
      <c r="E507" s="5" t="str">
        <f>IFERROR(__xludf.DUMMYFUNCTION("""COMPUTED_VALUE"""),"No")</f>
        <v>No</v>
      </c>
      <c r="F507" s="5" t="str">
        <f>IFERROR(__xludf.DUMMYFUNCTION("""COMPUTED_VALUE"""),"Yes")</f>
        <v>Yes</v>
      </c>
      <c r="G507" s="5" t="str">
        <f>IFERROR(__xludf.DUMMYFUNCTION("""COMPUTED_VALUE"""),"Yes")</f>
        <v>Yes</v>
      </c>
      <c r="H507" s="5" t="str">
        <f>IFERROR(__xludf.DUMMYFUNCTION("""COMPUTED_VALUE"""),"Yes")</f>
        <v>Yes</v>
      </c>
      <c r="I507" s="5" t="str">
        <f>IFERROR(__xludf.DUMMYFUNCTION("""COMPUTED_VALUE"""),"Yes")</f>
        <v>Yes</v>
      </c>
      <c r="J507" s="5" t="str">
        <f>IFERROR(__xludf.DUMMYFUNCTION("""COMPUTED_VALUE"""),"Yes")</f>
        <v>Yes</v>
      </c>
      <c r="K507" s="5" t="str">
        <f>IFERROR(__xludf.DUMMYFUNCTION("""COMPUTED_VALUE"""),"Yes")</f>
        <v>Yes</v>
      </c>
      <c r="L507" s="5" t="str">
        <f>IFERROR(__xludf.DUMMYFUNCTION("""COMPUTED_VALUE"""),"Yes")</f>
        <v>Yes</v>
      </c>
      <c r="M507" s="5" t="str">
        <f>IFERROR(__xludf.DUMMYFUNCTION("""COMPUTED_VALUE"""),"Yes")</f>
        <v>Yes</v>
      </c>
      <c r="N507" s="5" t="str">
        <f>IFERROR(__xludf.DUMMYFUNCTION("""COMPUTED_VALUE"""),"Yes")</f>
        <v>Yes</v>
      </c>
      <c r="O507" s="5" t="str">
        <f>IFERROR(__xludf.DUMMYFUNCTION("""COMPUTED_VALUE"""),"Yes")</f>
        <v>Yes</v>
      </c>
      <c r="P507" s="5" t="str">
        <f>IFERROR(__xludf.DUMMYFUNCTION("""COMPUTED_VALUE"""),"Yes")</f>
        <v>Yes</v>
      </c>
      <c r="Q507" s="5" t="str">
        <f>IFERROR(__xludf.DUMMYFUNCTION("""COMPUTED_VALUE"""),"Yes")</f>
        <v>Yes</v>
      </c>
      <c r="R507" s="5" t="str">
        <f>IFERROR(__xludf.DUMMYFUNCTION("""COMPUTED_VALUE"""),"No")</f>
        <v>No</v>
      </c>
      <c r="S507" s="5" t="str">
        <f>IFERROR(__xludf.DUMMYFUNCTION("""COMPUTED_VALUE"""),"No")</f>
        <v>No</v>
      </c>
      <c r="T507" s="5" t="str">
        <f>IFERROR(__xludf.DUMMYFUNCTION("""COMPUTED_VALUE"""),"No")</f>
        <v>No</v>
      </c>
      <c r="U507" s="5" t="str">
        <f>IFERROR(__xludf.DUMMYFUNCTION("""COMPUTED_VALUE"""),"No")</f>
        <v>No</v>
      </c>
      <c r="V507" s="5" t="str">
        <f>IFERROR(__xludf.DUMMYFUNCTION("""COMPUTED_VALUE"""),"No")</f>
        <v>No</v>
      </c>
      <c r="W507" s="5" t="str">
        <f>IFERROR(__xludf.DUMMYFUNCTION("""COMPUTED_VALUE"""),"No")</f>
        <v>No</v>
      </c>
      <c r="X507" s="5" t="str">
        <f>IFERROR(__xludf.DUMMYFUNCTION("""COMPUTED_VALUE"""),"Yes")</f>
        <v>Yes</v>
      </c>
      <c r="Y507" s="5" t="str">
        <f>IFERROR(__xludf.DUMMYFUNCTION("""COMPUTED_VALUE"""),"No")</f>
        <v>No</v>
      </c>
      <c r="Z507" s="5" t="str">
        <f>IFERROR(__xludf.DUMMYFUNCTION("""COMPUTED_VALUE"""),"No")</f>
        <v>No</v>
      </c>
      <c r="AA507" s="5" t="str">
        <f>IFERROR(__xludf.DUMMYFUNCTION("""COMPUTED_VALUE"""),"No")</f>
        <v>No</v>
      </c>
      <c r="AB507" s="5" t="str">
        <f>IFERROR(__xludf.DUMMYFUNCTION("""COMPUTED_VALUE"""),"Yes")</f>
        <v>Yes</v>
      </c>
      <c r="AC507" s="5" t="str">
        <f>IFERROR(__xludf.DUMMYFUNCTION("""COMPUTED_VALUE"""),"No")</f>
        <v>No</v>
      </c>
    </row>
    <row r="508">
      <c r="A508" s="5" t="str">
        <f>IFERROR(__xludf.DUMMYFUNCTION("""COMPUTED_VALUE"""),"RedstoneCrownDrop")</f>
        <v>RedstoneCrownDrop</v>
      </c>
      <c r="B50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8" s="5" t="str">
        <f>IFERROR(__xludf.DUMMYFUNCTION("""COMPUTED_VALUE"""),"Yes")</f>
        <v>Yes</v>
      </c>
      <c r="D508" s="5" t="str">
        <f>IFERROR(__xludf.DUMMYFUNCTION("""COMPUTED_VALUE"""),"Yes")</f>
        <v>Yes</v>
      </c>
      <c r="E508" s="5" t="str">
        <f>IFERROR(__xludf.DUMMYFUNCTION("""COMPUTED_VALUE"""),"No")</f>
        <v>No</v>
      </c>
      <c r="F508" s="5" t="str">
        <f>IFERROR(__xludf.DUMMYFUNCTION("""COMPUTED_VALUE"""),"Yes")</f>
        <v>Yes</v>
      </c>
      <c r="G508" s="5" t="str">
        <f>IFERROR(__xludf.DUMMYFUNCTION("""COMPUTED_VALUE"""),"Yes")</f>
        <v>Yes</v>
      </c>
      <c r="H508" s="5" t="str">
        <f>IFERROR(__xludf.DUMMYFUNCTION("""COMPUTED_VALUE"""),"Yes")</f>
        <v>Yes</v>
      </c>
      <c r="I508" s="5" t="str">
        <f>IFERROR(__xludf.DUMMYFUNCTION("""COMPUTED_VALUE"""),"Yes")</f>
        <v>Yes</v>
      </c>
      <c r="J508" s="5" t="str">
        <f>IFERROR(__xludf.DUMMYFUNCTION("""COMPUTED_VALUE"""),"Yes")</f>
        <v>Yes</v>
      </c>
      <c r="K508" s="5" t="str">
        <f>IFERROR(__xludf.DUMMYFUNCTION("""COMPUTED_VALUE"""),"Yes")</f>
        <v>Yes</v>
      </c>
      <c r="L508" s="5" t="str">
        <f>IFERROR(__xludf.DUMMYFUNCTION("""COMPUTED_VALUE"""),"Yes")</f>
        <v>Yes</v>
      </c>
      <c r="M508" s="5" t="str">
        <f>IFERROR(__xludf.DUMMYFUNCTION("""COMPUTED_VALUE"""),"Yes")</f>
        <v>Yes</v>
      </c>
      <c r="N508" s="5" t="str">
        <f>IFERROR(__xludf.DUMMYFUNCTION("""COMPUTED_VALUE"""),"Yes")</f>
        <v>Yes</v>
      </c>
      <c r="O508" s="5" t="str">
        <f>IFERROR(__xludf.DUMMYFUNCTION("""COMPUTED_VALUE"""),"Yes")</f>
        <v>Yes</v>
      </c>
      <c r="P508" s="5" t="str">
        <f>IFERROR(__xludf.DUMMYFUNCTION("""COMPUTED_VALUE"""),"Yes")</f>
        <v>Yes</v>
      </c>
      <c r="Q508" s="5" t="str">
        <f>IFERROR(__xludf.DUMMYFUNCTION("""COMPUTED_VALUE"""),"Yes")</f>
        <v>Yes</v>
      </c>
      <c r="R508" s="5" t="str">
        <f>IFERROR(__xludf.DUMMYFUNCTION("""COMPUTED_VALUE"""),"No")</f>
        <v>No</v>
      </c>
      <c r="S508" s="5" t="str">
        <f>IFERROR(__xludf.DUMMYFUNCTION("""COMPUTED_VALUE"""),"No")</f>
        <v>No</v>
      </c>
      <c r="T508" s="5" t="str">
        <f>IFERROR(__xludf.DUMMYFUNCTION("""COMPUTED_VALUE"""),"No")</f>
        <v>No</v>
      </c>
      <c r="U508" s="5" t="str">
        <f>IFERROR(__xludf.DUMMYFUNCTION("""COMPUTED_VALUE"""),"No")</f>
        <v>No</v>
      </c>
      <c r="V508" s="5" t="str">
        <f>IFERROR(__xludf.DUMMYFUNCTION("""COMPUTED_VALUE"""),"No")</f>
        <v>No</v>
      </c>
      <c r="W508" s="5" t="str">
        <f>IFERROR(__xludf.DUMMYFUNCTION("""COMPUTED_VALUE"""),"No")</f>
        <v>No</v>
      </c>
      <c r="X508" s="5" t="str">
        <f>IFERROR(__xludf.DUMMYFUNCTION("""COMPUTED_VALUE"""),"Yes")</f>
        <v>Yes</v>
      </c>
      <c r="Y508" s="5" t="str">
        <f>IFERROR(__xludf.DUMMYFUNCTION("""COMPUTED_VALUE"""),"No")</f>
        <v>No</v>
      </c>
      <c r="Z508" s="5" t="str">
        <f>IFERROR(__xludf.DUMMYFUNCTION("""COMPUTED_VALUE"""),"No")</f>
        <v>No</v>
      </c>
      <c r="AA508" s="5" t="str">
        <f>IFERROR(__xludf.DUMMYFUNCTION("""COMPUTED_VALUE"""),"No")</f>
        <v>No</v>
      </c>
      <c r="AB508" s="5" t="str">
        <f>IFERROR(__xludf.DUMMYFUNCTION("""COMPUTED_VALUE"""),"Yes")</f>
        <v>Yes</v>
      </c>
      <c r="AC508" s="5" t="str">
        <f>IFERROR(__xludf.DUMMYFUNCTION("""COMPUTED_VALUE"""),"No")</f>
        <v>No</v>
      </c>
    </row>
    <row r="509">
      <c r="A509" s="5" t="str">
        <f>IFERROR(__xludf.DUMMYFUNCTION("""COMPUTED_VALUE"""),"Redstone5CloverFire6Reels")</f>
        <v>Redstone5CloverFire6Reels</v>
      </c>
      <c r="B50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9" s="5" t="str">
        <f>IFERROR(__xludf.DUMMYFUNCTION("""COMPUTED_VALUE"""),"Yes")</f>
        <v>Yes</v>
      </c>
      <c r="D509" s="5" t="str">
        <f>IFERROR(__xludf.DUMMYFUNCTION("""COMPUTED_VALUE"""),"Yes")</f>
        <v>Yes</v>
      </c>
      <c r="E509" s="5" t="str">
        <f>IFERROR(__xludf.DUMMYFUNCTION("""COMPUTED_VALUE"""),"No")</f>
        <v>No</v>
      </c>
      <c r="F509" s="5" t="str">
        <f>IFERROR(__xludf.DUMMYFUNCTION("""COMPUTED_VALUE"""),"Yes")</f>
        <v>Yes</v>
      </c>
      <c r="G509" s="5" t="str">
        <f>IFERROR(__xludf.DUMMYFUNCTION("""COMPUTED_VALUE"""),"Yes")</f>
        <v>Yes</v>
      </c>
      <c r="H509" s="5" t="str">
        <f>IFERROR(__xludf.DUMMYFUNCTION("""COMPUTED_VALUE"""),"Yes")</f>
        <v>Yes</v>
      </c>
      <c r="I509" s="5" t="str">
        <f>IFERROR(__xludf.DUMMYFUNCTION("""COMPUTED_VALUE"""),"Yes")</f>
        <v>Yes</v>
      </c>
      <c r="J509" s="5" t="str">
        <f>IFERROR(__xludf.DUMMYFUNCTION("""COMPUTED_VALUE"""),"Yes")</f>
        <v>Yes</v>
      </c>
      <c r="K509" s="5" t="str">
        <f>IFERROR(__xludf.DUMMYFUNCTION("""COMPUTED_VALUE"""),"Yes")</f>
        <v>Yes</v>
      </c>
      <c r="L509" s="5" t="str">
        <f>IFERROR(__xludf.DUMMYFUNCTION("""COMPUTED_VALUE"""),"Yes")</f>
        <v>Yes</v>
      </c>
      <c r="M509" s="5" t="str">
        <f>IFERROR(__xludf.DUMMYFUNCTION("""COMPUTED_VALUE"""),"Yes")</f>
        <v>Yes</v>
      </c>
      <c r="N509" s="5" t="str">
        <f>IFERROR(__xludf.DUMMYFUNCTION("""COMPUTED_VALUE"""),"Yes")</f>
        <v>Yes</v>
      </c>
      <c r="O509" s="5" t="str">
        <f>IFERROR(__xludf.DUMMYFUNCTION("""COMPUTED_VALUE"""),"Yes")</f>
        <v>Yes</v>
      </c>
      <c r="P509" s="5" t="str">
        <f>IFERROR(__xludf.DUMMYFUNCTION("""COMPUTED_VALUE"""),"Yes")</f>
        <v>Yes</v>
      </c>
      <c r="Q509" s="5" t="str">
        <f>IFERROR(__xludf.DUMMYFUNCTION("""COMPUTED_VALUE"""),"Yes")</f>
        <v>Yes</v>
      </c>
      <c r="R509" s="5" t="str">
        <f>IFERROR(__xludf.DUMMYFUNCTION("""COMPUTED_VALUE"""),"No")</f>
        <v>No</v>
      </c>
      <c r="S509" s="5" t="str">
        <f>IFERROR(__xludf.DUMMYFUNCTION("""COMPUTED_VALUE"""),"No")</f>
        <v>No</v>
      </c>
      <c r="T509" s="5" t="str">
        <f>IFERROR(__xludf.DUMMYFUNCTION("""COMPUTED_VALUE"""),"No")</f>
        <v>No</v>
      </c>
      <c r="U509" s="5" t="str">
        <f>IFERROR(__xludf.DUMMYFUNCTION("""COMPUTED_VALUE"""),"No")</f>
        <v>No</v>
      </c>
      <c r="V509" s="5" t="str">
        <f>IFERROR(__xludf.DUMMYFUNCTION("""COMPUTED_VALUE"""),"No")</f>
        <v>No</v>
      </c>
      <c r="W509" s="5" t="str">
        <f>IFERROR(__xludf.DUMMYFUNCTION("""COMPUTED_VALUE"""),"No")</f>
        <v>No</v>
      </c>
      <c r="X509" s="5" t="str">
        <f>IFERROR(__xludf.DUMMYFUNCTION("""COMPUTED_VALUE"""),"Yes")</f>
        <v>Yes</v>
      </c>
      <c r="Y509" s="5" t="str">
        <f>IFERROR(__xludf.DUMMYFUNCTION("""COMPUTED_VALUE"""),"No")</f>
        <v>No</v>
      </c>
      <c r="Z509" s="5" t="str">
        <f>IFERROR(__xludf.DUMMYFUNCTION("""COMPUTED_VALUE"""),"No")</f>
        <v>No</v>
      </c>
      <c r="AA509" s="5" t="str">
        <f>IFERROR(__xludf.DUMMYFUNCTION("""COMPUTED_VALUE"""),"No")</f>
        <v>No</v>
      </c>
      <c r="AB509" s="5" t="str">
        <f>IFERROR(__xludf.DUMMYFUNCTION("""COMPUTED_VALUE"""),"Yes")</f>
        <v>Yes</v>
      </c>
      <c r="AC509" s="5" t="str">
        <f>IFERROR(__xludf.DUMMYFUNCTION("""COMPUTED_VALUE"""),"No")</f>
        <v>No</v>
      </c>
    </row>
    <row r="510">
      <c r="A510" s="5" t="str">
        <f>IFERROR(__xludf.DUMMYFUNCTION("""COMPUTED_VALUE"""),"Redstone10ExtraBank")</f>
        <v>Redstone10ExtraBank</v>
      </c>
      <c r="B51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10" s="5" t="str">
        <f>IFERROR(__xludf.DUMMYFUNCTION("""COMPUTED_VALUE"""),"Yes")</f>
        <v>Yes</v>
      </c>
      <c r="D510" s="5" t="str">
        <f>IFERROR(__xludf.DUMMYFUNCTION("""COMPUTED_VALUE"""),"Yes")</f>
        <v>Yes</v>
      </c>
      <c r="E510" s="5" t="str">
        <f>IFERROR(__xludf.DUMMYFUNCTION("""COMPUTED_VALUE"""),"No")</f>
        <v>No</v>
      </c>
      <c r="F510" s="5" t="str">
        <f>IFERROR(__xludf.DUMMYFUNCTION("""COMPUTED_VALUE"""),"Yes")</f>
        <v>Yes</v>
      </c>
      <c r="G510" s="5" t="str">
        <f>IFERROR(__xludf.DUMMYFUNCTION("""COMPUTED_VALUE"""),"Yes")</f>
        <v>Yes</v>
      </c>
      <c r="H510" s="5" t="str">
        <f>IFERROR(__xludf.DUMMYFUNCTION("""COMPUTED_VALUE"""),"Yes")</f>
        <v>Yes</v>
      </c>
      <c r="I510" s="5" t="str">
        <f>IFERROR(__xludf.DUMMYFUNCTION("""COMPUTED_VALUE"""),"Yes")</f>
        <v>Yes</v>
      </c>
      <c r="J510" s="5" t="str">
        <f>IFERROR(__xludf.DUMMYFUNCTION("""COMPUTED_VALUE"""),"Yes")</f>
        <v>Yes</v>
      </c>
      <c r="K510" s="5" t="str">
        <f>IFERROR(__xludf.DUMMYFUNCTION("""COMPUTED_VALUE"""),"Yes")</f>
        <v>Yes</v>
      </c>
      <c r="L510" s="5" t="str">
        <f>IFERROR(__xludf.DUMMYFUNCTION("""COMPUTED_VALUE"""),"Yes")</f>
        <v>Yes</v>
      </c>
      <c r="M510" s="5" t="str">
        <f>IFERROR(__xludf.DUMMYFUNCTION("""COMPUTED_VALUE"""),"Yes")</f>
        <v>Yes</v>
      </c>
      <c r="N510" s="5" t="str">
        <f>IFERROR(__xludf.DUMMYFUNCTION("""COMPUTED_VALUE"""),"Yes")</f>
        <v>Yes</v>
      </c>
      <c r="O510" s="5" t="str">
        <f>IFERROR(__xludf.DUMMYFUNCTION("""COMPUTED_VALUE"""),"Yes")</f>
        <v>Yes</v>
      </c>
      <c r="P510" s="5" t="str">
        <f>IFERROR(__xludf.DUMMYFUNCTION("""COMPUTED_VALUE"""),"Yes")</f>
        <v>Yes</v>
      </c>
      <c r="Q510" s="5" t="str">
        <f>IFERROR(__xludf.DUMMYFUNCTION("""COMPUTED_VALUE"""),"Yes")</f>
        <v>Yes</v>
      </c>
      <c r="R510" s="5" t="str">
        <f>IFERROR(__xludf.DUMMYFUNCTION("""COMPUTED_VALUE"""),"No")</f>
        <v>No</v>
      </c>
      <c r="S510" s="5" t="str">
        <f>IFERROR(__xludf.DUMMYFUNCTION("""COMPUTED_VALUE"""),"No")</f>
        <v>No</v>
      </c>
      <c r="T510" s="5" t="str">
        <f>IFERROR(__xludf.DUMMYFUNCTION("""COMPUTED_VALUE"""),"No")</f>
        <v>No</v>
      </c>
      <c r="U510" s="5" t="str">
        <f>IFERROR(__xludf.DUMMYFUNCTION("""COMPUTED_VALUE"""),"No")</f>
        <v>No</v>
      </c>
      <c r="V510" s="5" t="str">
        <f>IFERROR(__xludf.DUMMYFUNCTION("""COMPUTED_VALUE"""),"No")</f>
        <v>No</v>
      </c>
      <c r="W510" s="5" t="str">
        <f>IFERROR(__xludf.DUMMYFUNCTION("""COMPUTED_VALUE"""),"No")</f>
        <v>No</v>
      </c>
      <c r="X510" s="5" t="str">
        <f>IFERROR(__xludf.DUMMYFUNCTION("""COMPUTED_VALUE"""),"Yes")</f>
        <v>Yes</v>
      </c>
      <c r="Y510" s="5" t="str">
        <f>IFERROR(__xludf.DUMMYFUNCTION("""COMPUTED_VALUE"""),"No")</f>
        <v>No</v>
      </c>
      <c r="Z510" s="5" t="str">
        <f>IFERROR(__xludf.DUMMYFUNCTION("""COMPUTED_VALUE"""),"No")</f>
        <v>No</v>
      </c>
      <c r="AA510" s="5" t="str">
        <f>IFERROR(__xludf.DUMMYFUNCTION("""COMPUTED_VALUE"""),"No")</f>
        <v>No</v>
      </c>
      <c r="AB510" s="5" t="str">
        <f>IFERROR(__xludf.DUMMYFUNCTION("""COMPUTED_VALUE"""),"Yes")</f>
        <v>Yes</v>
      </c>
      <c r="AC510" s="5" t="str">
        <f>IFERROR(__xludf.DUMMYFUNCTION("""COMPUTED_VALUE"""),"No")</f>
        <v>No</v>
      </c>
    </row>
    <row r="511">
      <c r="A511" s="5" t="str">
        <f>IFERROR(__xludf.DUMMYFUNCTION("""COMPUTED_VALUE"""),"RedstoneSevensHeaven")</f>
        <v>RedstoneSevensHeaven</v>
      </c>
      <c r="B5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1" s="5" t="str">
        <f>IFERROR(__xludf.DUMMYFUNCTION("""COMPUTED_VALUE"""),"Yes")</f>
        <v>Yes</v>
      </c>
      <c r="D511" s="5" t="str">
        <f>IFERROR(__xludf.DUMMYFUNCTION("""COMPUTED_VALUE"""),"Yes")</f>
        <v>Yes</v>
      </c>
      <c r="E511" s="5" t="str">
        <f>IFERROR(__xludf.DUMMYFUNCTION("""COMPUTED_VALUE"""),"Yes")</f>
        <v>Yes</v>
      </c>
      <c r="F511" s="5" t="str">
        <f>IFERROR(__xludf.DUMMYFUNCTION("""COMPUTED_VALUE"""),"Yes")</f>
        <v>Yes</v>
      </c>
      <c r="G511" s="5" t="str">
        <f>IFERROR(__xludf.DUMMYFUNCTION("""COMPUTED_VALUE"""),"Yes")</f>
        <v>Yes</v>
      </c>
      <c r="H511" s="5" t="str">
        <f>IFERROR(__xludf.DUMMYFUNCTION("""COMPUTED_VALUE"""),"Yes")</f>
        <v>Yes</v>
      </c>
      <c r="I511" s="5" t="str">
        <f>IFERROR(__xludf.DUMMYFUNCTION("""COMPUTED_VALUE"""),"Yes")</f>
        <v>Yes</v>
      </c>
      <c r="J511" s="5" t="str">
        <f>IFERROR(__xludf.DUMMYFUNCTION("""COMPUTED_VALUE"""),"Yes")</f>
        <v>Yes</v>
      </c>
      <c r="K511" s="5" t="str">
        <f>IFERROR(__xludf.DUMMYFUNCTION("""COMPUTED_VALUE"""),"Yes")</f>
        <v>Yes</v>
      </c>
      <c r="L511" s="5" t="str">
        <f>IFERROR(__xludf.DUMMYFUNCTION("""COMPUTED_VALUE"""),"Yes")</f>
        <v>Yes</v>
      </c>
      <c r="M511" s="5" t="str">
        <f>IFERROR(__xludf.DUMMYFUNCTION("""COMPUTED_VALUE"""),"Yes")</f>
        <v>Yes</v>
      </c>
      <c r="N511" s="5" t="str">
        <f>IFERROR(__xludf.DUMMYFUNCTION("""COMPUTED_VALUE"""),"Yes")</f>
        <v>Yes</v>
      </c>
      <c r="O511" s="5" t="str">
        <f>IFERROR(__xludf.DUMMYFUNCTION("""COMPUTED_VALUE"""),"Yes")</f>
        <v>Yes</v>
      </c>
      <c r="P511" s="5" t="str">
        <f>IFERROR(__xludf.DUMMYFUNCTION("""COMPUTED_VALUE"""),"Yes")</f>
        <v>Yes</v>
      </c>
      <c r="Q511" s="5" t="str">
        <f>IFERROR(__xludf.DUMMYFUNCTION("""COMPUTED_VALUE"""),"Yes")</f>
        <v>Yes</v>
      </c>
      <c r="R511" s="5" t="str">
        <f>IFERROR(__xludf.DUMMYFUNCTION("""COMPUTED_VALUE"""),"Yes")</f>
        <v>Yes</v>
      </c>
      <c r="S511" s="5" t="str">
        <f>IFERROR(__xludf.DUMMYFUNCTION("""COMPUTED_VALUE"""),"Yes")</f>
        <v>Yes</v>
      </c>
      <c r="T511" s="5" t="str">
        <f>IFERROR(__xludf.DUMMYFUNCTION("""COMPUTED_VALUE"""),"Yes")</f>
        <v>Yes</v>
      </c>
      <c r="U511" s="5" t="str">
        <f>IFERROR(__xludf.DUMMYFUNCTION("""COMPUTED_VALUE"""),"Yes")</f>
        <v>Yes</v>
      </c>
      <c r="V511" s="5"/>
      <c r="W511" s="5"/>
      <c r="X511" s="5"/>
      <c r="Y511" s="5"/>
      <c r="Z511" s="5" t="str">
        <f>IFERROR(__xludf.DUMMYFUNCTION("""COMPUTED_VALUE"""),"Yes")</f>
        <v>Yes</v>
      </c>
      <c r="AA511" s="5"/>
      <c r="AB511" s="5"/>
      <c r="AC511" s="5"/>
    </row>
    <row r="512">
      <c r="A512" s="5" t="str">
        <f>IFERROR(__xludf.DUMMYFUNCTION("""COMPUTED_VALUE"""),"Redstone777ExtraChance")</f>
        <v>Redstone777ExtraChance</v>
      </c>
      <c r="B5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2" s="5" t="str">
        <f>IFERROR(__xludf.DUMMYFUNCTION("""COMPUTED_VALUE"""),"Yes")</f>
        <v>Yes</v>
      </c>
      <c r="D512" s="5" t="str">
        <f>IFERROR(__xludf.DUMMYFUNCTION("""COMPUTED_VALUE"""),"Yes")</f>
        <v>Yes</v>
      </c>
      <c r="E512" s="5" t="str">
        <f>IFERROR(__xludf.DUMMYFUNCTION("""COMPUTED_VALUE"""),"Yes")</f>
        <v>Yes</v>
      </c>
      <c r="F512" s="5" t="str">
        <f>IFERROR(__xludf.DUMMYFUNCTION("""COMPUTED_VALUE"""),"Yes")</f>
        <v>Yes</v>
      </c>
      <c r="G512" s="5" t="str">
        <f>IFERROR(__xludf.DUMMYFUNCTION("""COMPUTED_VALUE"""),"Yes")</f>
        <v>Yes</v>
      </c>
      <c r="H512" s="5" t="str">
        <f>IFERROR(__xludf.DUMMYFUNCTION("""COMPUTED_VALUE"""),"Yes")</f>
        <v>Yes</v>
      </c>
      <c r="I512" s="5" t="str">
        <f>IFERROR(__xludf.DUMMYFUNCTION("""COMPUTED_VALUE"""),"Yes")</f>
        <v>Yes</v>
      </c>
      <c r="J512" s="5" t="str">
        <f>IFERROR(__xludf.DUMMYFUNCTION("""COMPUTED_VALUE"""),"Yes")</f>
        <v>Yes</v>
      </c>
      <c r="K512" s="5" t="str">
        <f>IFERROR(__xludf.DUMMYFUNCTION("""COMPUTED_VALUE"""),"Yes")</f>
        <v>Yes</v>
      </c>
      <c r="L512" s="5" t="str">
        <f>IFERROR(__xludf.DUMMYFUNCTION("""COMPUTED_VALUE"""),"Yes")</f>
        <v>Yes</v>
      </c>
      <c r="M512" s="5" t="str">
        <f>IFERROR(__xludf.DUMMYFUNCTION("""COMPUTED_VALUE"""),"Yes")</f>
        <v>Yes</v>
      </c>
      <c r="N512" s="5" t="str">
        <f>IFERROR(__xludf.DUMMYFUNCTION("""COMPUTED_VALUE"""),"Yes")</f>
        <v>Yes</v>
      </c>
      <c r="O512" s="5" t="str">
        <f>IFERROR(__xludf.DUMMYFUNCTION("""COMPUTED_VALUE"""),"Yes")</f>
        <v>Yes</v>
      </c>
      <c r="P512" s="5" t="str">
        <f>IFERROR(__xludf.DUMMYFUNCTION("""COMPUTED_VALUE"""),"Yes")</f>
        <v>Yes</v>
      </c>
      <c r="Q512" s="5" t="str">
        <f>IFERROR(__xludf.DUMMYFUNCTION("""COMPUTED_VALUE"""),"Yes")</f>
        <v>Yes</v>
      </c>
      <c r="R512" s="5" t="str">
        <f>IFERROR(__xludf.DUMMYFUNCTION("""COMPUTED_VALUE"""),"Yes")</f>
        <v>Yes</v>
      </c>
      <c r="S512" s="5" t="str">
        <f>IFERROR(__xludf.DUMMYFUNCTION("""COMPUTED_VALUE"""),"Yes")</f>
        <v>Yes</v>
      </c>
      <c r="T512" s="5" t="str">
        <f>IFERROR(__xludf.DUMMYFUNCTION("""COMPUTED_VALUE"""),"Yes")</f>
        <v>Yes</v>
      </c>
      <c r="U512" s="5" t="str">
        <f>IFERROR(__xludf.DUMMYFUNCTION("""COMPUTED_VALUE"""),"Yes")</f>
        <v>Yes</v>
      </c>
      <c r="V512" s="5"/>
      <c r="W512" s="5"/>
      <c r="X512" s="5"/>
      <c r="Y512" s="5"/>
      <c r="Z512" s="5" t="str">
        <f>IFERROR(__xludf.DUMMYFUNCTION("""COMPUTED_VALUE"""),"Yes")</f>
        <v>Yes</v>
      </c>
      <c r="AA512" s="5"/>
      <c r="AB512" s="5"/>
      <c r="AC512" s="5"/>
    </row>
    <row r="513">
      <c r="A513" s="5" t="str">
        <f>IFERROR(__xludf.DUMMYFUNCTION("""COMPUTED_VALUE"""),"Redstone81RespinFire")</f>
        <v>Redstone81RespinFire</v>
      </c>
      <c r="B5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3" s="5" t="str">
        <f>IFERROR(__xludf.DUMMYFUNCTION("""COMPUTED_VALUE"""),"Yes")</f>
        <v>Yes</v>
      </c>
      <c r="D513" s="5" t="str">
        <f>IFERROR(__xludf.DUMMYFUNCTION("""COMPUTED_VALUE"""),"Yes")</f>
        <v>Yes</v>
      </c>
      <c r="E513" s="5" t="str">
        <f>IFERROR(__xludf.DUMMYFUNCTION("""COMPUTED_VALUE"""),"Yes")</f>
        <v>Yes</v>
      </c>
      <c r="F513" s="5" t="str">
        <f>IFERROR(__xludf.DUMMYFUNCTION("""COMPUTED_VALUE"""),"Yes")</f>
        <v>Yes</v>
      </c>
      <c r="G513" s="5" t="str">
        <f>IFERROR(__xludf.DUMMYFUNCTION("""COMPUTED_VALUE"""),"Yes")</f>
        <v>Yes</v>
      </c>
      <c r="H513" s="5" t="str">
        <f>IFERROR(__xludf.DUMMYFUNCTION("""COMPUTED_VALUE"""),"Yes")</f>
        <v>Yes</v>
      </c>
      <c r="I513" s="5" t="str">
        <f>IFERROR(__xludf.DUMMYFUNCTION("""COMPUTED_VALUE"""),"Yes")</f>
        <v>Yes</v>
      </c>
      <c r="J513" s="5" t="str">
        <f>IFERROR(__xludf.DUMMYFUNCTION("""COMPUTED_VALUE"""),"Yes")</f>
        <v>Yes</v>
      </c>
      <c r="K513" s="5" t="str">
        <f>IFERROR(__xludf.DUMMYFUNCTION("""COMPUTED_VALUE"""),"Yes")</f>
        <v>Yes</v>
      </c>
      <c r="L513" s="5" t="str">
        <f>IFERROR(__xludf.DUMMYFUNCTION("""COMPUTED_VALUE"""),"Yes")</f>
        <v>Yes</v>
      </c>
      <c r="M513" s="5" t="str">
        <f>IFERROR(__xludf.DUMMYFUNCTION("""COMPUTED_VALUE"""),"Yes")</f>
        <v>Yes</v>
      </c>
      <c r="N513" s="5" t="str">
        <f>IFERROR(__xludf.DUMMYFUNCTION("""COMPUTED_VALUE"""),"Yes")</f>
        <v>Yes</v>
      </c>
      <c r="O513" s="5" t="str">
        <f>IFERROR(__xludf.DUMMYFUNCTION("""COMPUTED_VALUE"""),"Yes")</f>
        <v>Yes</v>
      </c>
      <c r="P513" s="5" t="str">
        <f>IFERROR(__xludf.DUMMYFUNCTION("""COMPUTED_VALUE"""),"Yes")</f>
        <v>Yes</v>
      </c>
      <c r="Q513" s="5" t="str">
        <f>IFERROR(__xludf.DUMMYFUNCTION("""COMPUTED_VALUE"""),"Yes")</f>
        <v>Yes</v>
      </c>
      <c r="R513" s="5" t="str">
        <f>IFERROR(__xludf.DUMMYFUNCTION("""COMPUTED_VALUE"""),"Yes")</f>
        <v>Yes</v>
      </c>
      <c r="S513" s="5" t="str">
        <f>IFERROR(__xludf.DUMMYFUNCTION("""COMPUTED_VALUE"""),"Yes")</f>
        <v>Yes</v>
      </c>
      <c r="T513" s="5" t="str">
        <f>IFERROR(__xludf.DUMMYFUNCTION("""COMPUTED_VALUE"""),"Yes")</f>
        <v>Yes</v>
      </c>
      <c r="U513" s="5" t="str">
        <f>IFERROR(__xludf.DUMMYFUNCTION("""COMPUTED_VALUE"""),"Yes")</f>
        <v>Yes</v>
      </c>
      <c r="V513" s="5"/>
      <c r="W513" s="5"/>
      <c r="X513" s="5"/>
      <c r="Y513" s="5"/>
      <c r="Z513" s="5" t="str">
        <f>IFERROR(__xludf.DUMMYFUNCTION("""COMPUTED_VALUE"""),"Yes")</f>
        <v>Yes</v>
      </c>
      <c r="AA513" s="5"/>
      <c r="AB513" s="5"/>
      <c r="AC513" s="5"/>
    </row>
    <row r="514">
      <c r="A514" s="5" t="str">
        <f>IFERROR(__xludf.DUMMYFUNCTION("""COMPUTED_VALUE"""),"RedstoneHangThatWitch")</f>
        <v>RedstoneHangThatWitch</v>
      </c>
      <c r="B5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4" s="5" t="str">
        <f>IFERROR(__xludf.DUMMYFUNCTION("""COMPUTED_VALUE"""),"Yes")</f>
        <v>Yes</v>
      </c>
      <c r="D514" s="5" t="str">
        <f>IFERROR(__xludf.DUMMYFUNCTION("""COMPUTED_VALUE"""),"Yes")</f>
        <v>Yes</v>
      </c>
      <c r="E514" s="5" t="str">
        <f>IFERROR(__xludf.DUMMYFUNCTION("""COMPUTED_VALUE"""),"Yes")</f>
        <v>Yes</v>
      </c>
      <c r="F514" s="5" t="str">
        <f>IFERROR(__xludf.DUMMYFUNCTION("""COMPUTED_VALUE"""),"Yes")</f>
        <v>Yes</v>
      </c>
      <c r="G514" s="5" t="str">
        <f>IFERROR(__xludf.DUMMYFUNCTION("""COMPUTED_VALUE"""),"Yes")</f>
        <v>Yes</v>
      </c>
      <c r="H514" s="5" t="str">
        <f>IFERROR(__xludf.DUMMYFUNCTION("""COMPUTED_VALUE"""),"Yes")</f>
        <v>Yes</v>
      </c>
      <c r="I514" s="5" t="str">
        <f>IFERROR(__xludf.DUMMYFUNCTION("""COMPUTED_VALUE"""),"Yes")</f>
        <v>Yes</v>
      </c>
      <c r="J514" s="5" t="str">
        <f>IFERROR(__xludf.DUMMYFUNCTION("""COMPUTED_VALUE"""),"Yes")</f>
        <v>Yes</v>
      </c>
      <c r="K514" s="5" t="str">
        <f>IFERROR(__xludf.DUMMYFUNCTION("""COMPUTED_VALUE"""),"Yes")</f>
        <v>Yes</v>
      </c>
      <c r="L514" s="5" t="str">
        <f>IFERROR(__xludf.DUMMYFUNCTION("""COMPUTED_VALUE"""),"Yes")</f>
        <v>Yes</v>
      </c>
      <c r="M514" s="5" t="str">
        <f>IFERROR(__xludf.DUMMYFUNCTION("""COMPUTED_VALUE"""),"Yes")</f>
        <v>Yes</v>
      </c>
      <c r="N514" s="5" t="str">
        <f>IFERROR(__xludf.DUMMYFUNCTION("""COMPUTED_VALUE"""),"Yes")</f>
        <v>Yes</v>
      </c>
      <c r="O514" s="5" t="str">
        <f>IFERROR(__xludf.DUMMYFUNCTION("""COMPUTED_VALUE"""),"Yes")</f>
        <v>Yes</v>
      </c>
      <c r="P514" s="5" t="str">
        <f>IFERROR(__xludf.DUMMYFUNCTION("""COMPUTED_VALUE"""),"Yes")</f>
        <v>Yes</v>
      </c>
      <c r="Q514" s="5" t="str">
        <f>IFERROR(__xludf.DUMMYFUNCTION("""COMPUTED_VALUE"""),"Yes")</f>
        <v>Yes</v>
      </c>
      <c r="R514" s="5" t="str">
        <f>IFERROR(__xludf.DUMMYFUNCTION("""COMPUTED_VALUE"""),"Yes")</f>
        <v>Yes</v>
      </c>
      <c r="S514" s="5" t="str">
        <f>IFERROR(__xludf.DUMMYFUNCTION("""COMPUTED_VALUE"""),"Yes")</f>
        <v>Yes</v>
      </c>
      <c r="T514" s="5" t="str">
        <f>IFERROR(__xludf.DUMMYFUNCTION("""COMPUTED_VALUE"""),"Yes")</f>
        <v>Yes</v>
      </c>
      <c r="U514" s="5" t="str">
        <f>IFERROR(__xludf.DUMMYFUNCTION("""COMPUTED_VALUE"""),"Yes")</f>
        <v>Yes</v>
      </c>
      <c r="V514" s="5"/>
      <c r="W514" s="5"/>
      <c r="X514" s="5"/>
      <c r="Y514" s="5"/>
      <c r="Z514" s="5" t="str">
        <f>IFERROR(__xludf.DUMMYFUNCTION("""COMPUTED_VALUE"""),"Yes")</f>
        <v>Yes</v>
      </c>
      <c r="AA514" s="5"/>
      <c r="AB514" s="5"/>
      <c r="AC514" s="5"/>
    </row>
    <row r="515">
      <c r="A515" s="5" t="str">
        <f>IFERROR(__xludf.DUMMYFUNCTION("""COMPUTED_VALUE"""),"RedstoneDivineStrike")</f>
        <v>RedstoneDivineStrike</v>
      </c>
      <c r="B5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5" s="5" t="str">
        <f>IFERROR(__xludf.DUMMYFUNCTION("""COMPUTED_VALUE"""),"Yes")</f>
        <v>Yes</v>
      </c>
      <c r="D515" s="5" t="str">
        <f>IFERROR(__xludf.DUMMYFUNCTION("""COMPUTED_VALUE"""),"Yes")</f>
        <v>Yes</v>
      </c>
      <c r="E515" s="5" t="str">
        <f>IFERROR(__xludf.DUMMYFUNCTION("""COMPUTED_VALUE"""),"Yes")</f>
        <v>Yes</v>
      </c>
      <c r="F515" s="5" t="str">
        <f>IFERROR(__xludf.DUMMYFUNCTION("""COMPUTED_VALUE"""),"Yes")</f>
        <v>Yes</v>
      </c>
      <c r="G515" s="5" t="str">
        <f>IFERROR(__xludf.DUMMYFUNCTION("""COMPUTED_VALUE"""),"Yes")</f>
        <v>Yes</v>
      </c>
      <c r="H515" s="5" t="str">
        <f>IFERROR(__xludf.DUMMYFUNCTION("""COMPUTED_VALUE"""),"Yes")</f>
        <v>Yes</v>
      </c>
      <c r="I515" s="5" t="str">
        <f>IFERROR(__xludf.DUMMYFUNCTION("""COMPUTED_VALUE"""),"Yes")</f>
        <v>Yes</v>
      </c>
      <c r="J515" s="5" t="str">
        <f>IFERROR(__xludf.DUMMYFUNCTION("""COMPUTED_VALUE"""),"Yes")</f>
        <v>Yes</v>
      </c>
      <c r="K515" s="5" t="str">
        <f>IFERROR(__xludf.DUMMYFUNCTION("""COMPUTED_VALUE"""),"Yes")</f>
        <v>Yes</v>
      </c>
      <c r="L515" s="5" t="str">
        <f>IFERROR(__xludf.DUMMYFUNCTION("""COMPUTED_VALUE"""),"Yes")</f>
        <v>Yes</v>
      </c>
      <c r="M515" s="5" t="str">
        <f>IFERROR(__xludf.DUMMYFUNCTION("""COMPUTED_VALUE"""),"Yes")</f>
        <v>Yes</v>
      </c>
      <c r="N515" s="5" t="str">
        <f>IFERROR(__xludf.DUMMYFUNCTION("""COMPUTED_VALUE"""),"Yes")</f>
        <v>Yes</v>
      </c>
      <c r="O515" s="5" t="str">
        <f>IFERROR(__xludf.DUMMYFUNCTION("""COMPUTED_VALUE"""),"Yes")</f>
        <v>Yes</v>
      </c>
      <c r="P515" s="5" t="str">
        <f>IFERROR(__xludf.DUMMYFUNCTION("""COMPUTED_VALUE"""),"Yes")</f>
        <v>Yes</v>
      </c>
      <c r="Q515" s="5" t="str">
        <f>IFERROR(__xludf.DUMMYFUNCTION("""COMPUTED_VALUE"""),"Yes")</f>
        <v>Yes</v>
      </c>
      <c r="R515" s="5" t="str">
        <f>IFERROR(__xludf.DUMMYFUNCTION("""COMPUTED_VALUE"""),"Yes")</f>
        <v>Yes</v>
      </c>
      <c r="S515" s="5" t="str">
        <f>IFERROR(__xludf.DUMMYFUNCTION("""COMPUTED_VALUE"""),"Yes")</f>
        <v>Yes</v>
      </c>
      <c r="T515" s="5" t="str">
        <f>IFERROR(__xludf.DUMMYFUNCTION("""COMPUTED_VALUE"""),"Yes")</f>
        <v>Yes</v>
      </c>
      <c r="U515" s="5" t="str">
        <f>IFERROR(__xludf.DUMMYFUNCTION("""COMPUTED_VALUE"""),"Yes")</f>
        <v>Yes</v>
      </c>
      <c r="V515" s="5"/>
      <c r="W515" s="5"/>
      <c r="X515" s="5"/>
      <c r="Y515" s="5"/>
      <c r="Z515" s="5" t="str">
        <f>IFERROR(__xludf.DUMMYFUNCTION("""COMPUTED_VALUE"""),"Yes")</f>
        <v>Yes</v>
      </c>
      <c r="AA515" s="5"/>
      <c r="AB515" s="5"/>
      <c r="AC515" s="5"/>
    </row>
    <row r="516">
      <c r="A516" s="5" t="str">
        <f>IFERROR(__xludf.DUMMYFUNCTION("""COMPUTED_VALUE"""),"TotoWildHot40")</f>
        <v>TotoWildHot40</v>
      </c>
      <c r="B51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6" s="5" t="str">
        <f>IFERROR(__xludf.DUMMYFUNCTION("""COMPUTED_VALUE"""),"Yes")</f>
        <v>Yes</v>
      </c>
      <c r="D516" s="5" t="str">
        <f>IFERROR(__xludf.DUMMYFUNCTION("""COMPUTED_VALUE"""),"Yes")</f>
        <v>Yes</v>
      </c>
      <c r="E516" s="5" t="str">
        <f>IFERROR(__xludf.DUMMYFUNCTION("""COMPUTED_VALUE"""),"Yes")</f>
        <v>Yes</v>
      </c>
      <c r="F516" s="5" t="str">
        <f>IFERROR(__xludf.DUMMYFUNCTION("""COMPUTED_VALUE"""),"Yes")</f>
        <v>Yes</v>
      </c>
      <c r="G516" s="5" t="str">
        <f>IFERROR(__xludf.DUMMYFUNCTION("""COMPUTED_VALUE"""),"Yes")</f>
        <v>Yes</v>
      </c>
      <c r="H516" s="5" t="str">
        <f>IFERROR(__xludf.DUMMYFUNCTION("""COMPUTED_VALUE"""),"Yes")</f>
        <v>Yes</v>
      </c>
      <c r="I516" s="5" t="str">
        <f>IFERROR(__xludf.DUMMYFUNCTION("""COMPUTED_VALUE"""),"Yes")</f>
        <v>Yes</v>
      </c>
      <c r="J516" s="5" t="str">
        <f>IFERROR(__xludf.DUMMYFUNCTION("""COMPUTED_VALUE"""),"Yes")</f>
        <v>Yes</v>
      </c>
      <c r="K516" s="5" t="str">
        <f>IFERROR(__xludf.DUMMYFUNCTION("""COMPUTED_VALUE"""),"Yes")</f>
        <v>Yes</v>
      </c>
      <c r="L516" s="5" t="str">
        <f>IFERROR(__xludf.DUMMYFUNCTION("""COMPUTED_VALUE"""),"Yes")</f>
        <v>Yes</v>
      </c>
      <c r="M516" s="5" t="str">
        <f>IFERROR(__xludf.DUMMYFUNCTION("""COMPUTED_VALUE"""),"Yes")</f>
        <v>Yes</v>
      </c>
      <c r="N516" s="5" t="str">
        <f>IFERROR(__xludf.DUMMYFUNCTION("""COMPUTED_VALUE"""),"Yes")</f>
        <v>Yes</v>
      </c>
      <c r="O516" s="5" t="str">
        <f>IFERROR(__xludf.DUMMYFUNCTION("""COMPUTED_VALUE"""),"Yes")</f>
        <v>Yes</v>
      </c>
      <c r="P516" s="5" t="str">
        <f>IFERROR(__xludf.DUMMYFUNCTION("""COMPUTED_VALUE"""),"Yes")</f>
        <v>Yes</v>
      </c>
      <c r="Q516" s="5" t="str">
        <f>IFERROR(__xludf.DUMMYFUNCTION("""COMPUTED_VALUE"""),"Yes")</f>
        <v>Yes</v>
      </c>
      <c r="R516" s="5" t="str">
        <f>IFERROR(__xludf.DUMMYFUNCTION("""COMPUTED_VALUE"""),"Yes")</f>
        <v>Yes</v>
      </c>
      <c r="S516" s="5" t="str">
        <f>IFERROR(__xludf.DUMMYFUNCTION("""COMPUTED_VALUE"""),"Yes")</f>
        <v>Yes</v>
      </c>
      <c r="T516" s="5" t="str">
        <f>IFERROR(__xludf.DUMMYFUNCTION("""COMPUTED_VALUE"""),"Yes")</f>
        <v>Yes</v>
      </c>
      <c r="U516" s="5" t="str">
        <f>IFERROR(__xludf.DUMMYFUNCTION("""COMPUTED_VALUE"""),"Yes")</f>
        <v>Yes</v>
      </c>
      <c r="V516" s="5" t="str">
        <f>IFERROR(__xludf.DUMMYFUNCTION("""COMPUTED_VALUE"""),"Yes")</f>
        <v>Yes</v>
      </c>
      <c r="W516" s="5" t="str">
        <f>IFERROR(__xludf.DUMMYFUNCTION("""COMPUTED_VALUE"""),"Yes")</f>
        <v>Yes</v>
      </c>
      <c r="X516" s="5" t="str">
        <f>IFERROR(__xludf.DUMMYFUNCTION("""COMPUTED_VALUE"""),"Yes")</f>
        <v>Yes</v>
      </c>
      <c r="Y516" s="5" t="str">
        <f>IFERROR(__xludf.DUMMYFUNCTION("""COMPUTED_VALUE"""),"Yes")</f>
        <v>Yes</v>
      </c>
      <c r="Z516" s="5" t="str">
        <f>IFERROR(__xludf.DUMMYFUNCTION("""COMPUTED_VALUE"""),"Yes")</f>
        <v>Yes</v>
      </c>
      <c r="AA516" s="5" t="str">
        <f>IFERROR(__xludf.DUMMYFUNCTION("""COMPUTED_VALUE"""),"Yes")</f>
        <v>Yes</v>
      </c>
      <c r="AB516" s="5" t="str">
        <f>IFERROR(__xludf.DUMMYFUNCTION("""COMPUTED_VALUE"""),"Yes")</f>
        <v>Yes</v>
      </c>
      <c r="AC516" s="5" t="str">
        <f>IFERROR(__xludf.DUMMYFUNCTION("""COMPUTED_VALUE"""),"No")</f>
        <v>No</v>
      </c>
    </row>
    <row r="517">
      <c r="A517" s="5" t="str">
        <f>IFERROR(__xludf.DUMMYFUNCTION("""COMPUTED_VALUE"""),"TotoFruityWin40")</f>
        <v>TotoFruityWin40</v>
      </c>
      <c r="B5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7" s="5" t="str">
        <f>IFERROR(__xludf.DUMMYFUNCTION("""COMPUTED_VALUE"""),"Yes")</f>
        <v>Yes</v>
      </c>
      <c r="D517" s="5" t="str">
        <f>IFERROR(__xludf.DUMMYFUNCTION("""COMPUTED_VALUE"""),"Yes")</f>
        <v>Yes</v>
      </c>
      <c r="E517" s="5" t="str">
        <f>IFERROR(__xludf.DUMMYFUNCTION("""COMPUTED_VALUE"""),"Yes")</f>
        <v>Yes</v>
      </c>
      <c r="F517" s="5" t="str">
        <f>IFERROR(__xludf.DUMMYFUNCTION("""COMPUTED_VALUE"""),"Yes")</f>
        <v>Yes</v>
      </c>
      <c r="G517" s="5" t="str">
        <f>IFERROR(__xludf.DUMMYFUNCTION("""COMPUTED_VALUE"""),"Yes")</f>
        <v>Yes</v>
      </c>
      <c r="H517" s="5" t="str">
        <f>IFERROR(__xludf.DUMMYFUNCTION("""COMPUTED_VALUE"""),"Yes")</f>
        <v>Yes</v>
      </c>
      <c r="I517" s="5" t="str">
        <f>IFERROR(__xludf.DUMMYFUNCTION("""COMPUTED_VALUE"""),"Yes")</f>
        <v>Yes</v>
      </c>
      <c r="J517" s="5" t="str">
        <f>IFERROR(__xludf.DUMMYFUNCTION("""COMPUTED_VALUE"""),"Yes")</f>
        <v>Yes</v>
      </c>
      <c r="K517" s="5" t="str">
        <f>IFERROR(__xludf.DUMMYFUNCTION("""COMPUTED_VALUE"""),"Yes")</f>
        <v>Yes</v>
      </c>
      <c r="L517" s="5" t="str">
        <f>IFERROR(__xludf.DUMMYFUNCTION("""COMPUTED_VALUE"""),"Yes")</f>
        <v>Yes</v>
      </c>
      <c r="M517" s="5" t="str">
        <f>IFERROR(__xludf.DUMMYFUNCTION("""COMPUTED_VALUE"""),"Yes")</f>
        <v>Yes</v>
      </c>
      <c r="N517" s="5" t="str">
        <f>IFERROR(__xludf.DUMMYFUNCTION("""COMPUTED_VALUE"""),"Yes")</f>
        <v>Yes</v>
      </c>
      <c r="O517" s="5" t="str">
        <f>IFERROR(__xludf.DUMMYFUNCTION("""COMPUTED_VALUE"""),"Yes")</f>
        <v>Yes</v>
      </c>
      <c r="P517" s="5" t="str">
        <f>IFERROR(__xludf.DUMMYFUNCTION("""COMPUTED_VALUE"""),"Yes")</f>
        <v>Yes</v>
      </c>
      <c r="Q517" s="5" t="str">
        <f>IFERROR(__xludf.DUMMYFUNCTION("""COMPUTED_VALUE"""),"Yes")</f>
        <v>Yes</v>
      </c>
      <c r="R517" s="5" t="str">
        <f>IFERROR(__xludf.DUMMYFUNCTION("""COMPUTED_VALUE"""),"Yes")</f>
        <v>Yes</v>
      </c>
      <c r="S517" s="5" t="str">
        <f>IFERROR(__xludf.DUMMYFUNCTION("""COMPUTED_VALUE"""),"Yes")</f>
        <v>Yes</v>
      </c>
      <c r="T517" s="5" t="str">
        <f>IFERROR(__xludf.DUMMYFUNCTION("""COMPUTED_VALUE"""),"Yes")</f>
        <v>Yes</v>
      </c>
      <c r="U517" s="5" t="str">
        <f>IFERROR(__xludf.DUMMYFUNCTION("""COMPUTED_VALUE"""),"Yes")</f>
        <v>Yes</v>
      </c>
      <c r="V517" s="5" t="str">
        <f>IFERROR(__xludf.DUMMYFUNCTION("""COMPUTED_VALUE"""),"Yes")</f>
        <v>Yes</v>
      </c>
      <c r="W517" s="5" t="str">
        <f>IFERROR(__xludf.DUMMYFUNCTION("""COMPUTED_VALUE"""),"Yes")</f>
        <v>Yes</v>
      </c>
      <c r="X517" s="5" t="str">
        <f>IFERROR(__xludf.DUMMYFUNCTION("""COMPUTED_VALUE"""),"Yes")</f>
        <v>Yes</v>
      </c>
      <c r="Y517" s="5" t="str">
        <f>IFERROR(__xludf.DUMMYFUNCTION("""COMPUTED_VALUE"""),"Yes")</f>
        <v>Yes</v>
      </c>
      <c r="Z517" s="5" t="str">
        <f>IFERROR(__xludf.DUMMYFUNCTION("""COMPUTED_VALUE"""),"Yes")</f>
        <v>Yes</v>
      </c>
      <c r="AA517" s="5" t="str">
        <f>IFERROR(__xludf.DUMMYFUNCTION("""COMPUTED_VALUE"""),"Yes")</f>
        <v>Yes</v>
      </c>
      <c r="AB517" s="5" t="str">
        <f>IFERROR(__xludf.DUMMYFUNCTION("""COMPUTED_VALUE"""),"Yes")</f>
        <v>Yes</v>
      </c>
      <c r="AC517" s="5" t="str">
        <f>IFERROR(__xludf.DUMMYFUNCTION("""COMPUTED_VALUE"""),"No")</f>
        <v>No</v>
      </c>
    </row>
    <row r="518">
      <c r="A518" s="5" t="str">
        <f>IFERROR(__xludf.DUMMYFUNCTION("""COMPUTED_VALUE"""),"BetAndreasWild")</f>
        <v>BetAndreasWild</v>
      </c>
      <c r="B5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8" s="5" t="str">
        <f>IFERROR(__xludf.DUMMYFUNCTION("""COMPUTED_VALUE"""),"Yes")</f>
        <v>Yes</v>
      </c>
      <c r="D518" s="5" t="str">
        <f>IFERROR(__xludf.DUMMYFUNCTION("""COMPUTED_VALUE"""),"Yes")</f>
        <v>Yes</v>
      </c>
      <c r="E518" s="5" t="str">
        <f>IFERROR(__xludf.DUMMYFUNCTION("""COMPUTED_VALUE"""),"Yes")</f>
        <v>Yes</v>
      </c>
      <c r="F518" s="5" t="str">
        <f>IFERROR(__xludf.DUMMYFUNCTION("""COMPUTED_VALUE"""),"Yes")</f>
        <v>Yes</v>
      </c>
      <c r="G518" s="5" t="str">
        <f>IFERROR(__xludf.DUMMYFUNCTION("""COMPUTED_VALUE"""),"Yes")</f>
        <v>Yes</v>
      </c>
      <c r="H518" s="5" t="str">
        <f>IFERROR(__xludf.DUMMYFUNCTION("""COMPUTED_VALUE"""),"Yes")</f>
        <v>Yes</v>
      </c>
      <c r="I518" s="5" t="str">
        <f>IFERROR(__xludf.DUMMYFUNCTION("""COMPUTED_VALUE"""),"Yes")</f>
        <v>Yes</v>
      </c>
      <c r="J518" s="5" t="str">
        <f>IFERROR(__xludf.DUMMYFUNCTION("""COMPUTED_VALUE"""),"Yes")</f>
        <v>Yes</v>
      </c>
      <c r="K518" s="5" t="str">
        <f>IFERROR(__xludf.DUMMYFUNCTION("""COMPUTED_VALUE"""),"Yes")</f>
        <v>Yes</v>
      </c>
      <c r="L518" s="5" t="str">
        <f>IFERROR(__xludf.DUMMYFUNCTION("""COMPUTED_VALUE"""),"Yes")</f>
        <v>Yes</v>
      </c>
      <c r="M518" s="5" t="str">
        <f>IFERROR(__xludf.DUMMYFUNCTION("""COMPUTED_VALUE"""),"Yes")</f>
        <v>Yes</v>
      </c>
      <c r="N518" s="5" t="str">
        <f>IFERROR(__xludf.DUMMYFUNCTION("""COMPUTED_VALUE"""),"Yes")</f>
        <v>Yes</v>
      </c>
      <c r="O518" s="5" t="str">
        <f>IFERROR(__xludf.DUMMYFUNCTION("""COMPUTED_VALUE"""),"Yes")</f>
        <v>Yes</v>
      </c>
      <c r="P518" s="5" t="str">
        <f>IFERROR(__xludf.DUMMYFUNCTION("""COMPUTED_VALUE"""),"Yes")</f>
        <v>Yes</v>
      </c>
      <c r="Q518" s="5" t="str">
        <f>IFERROR(__xludf.DUMMYFUNCTION("""COMPUTED_VALUE"""),"Yes")</f>
        <v>Yes</v>
      </c>
      <c r="R518" s="5" t="str">
        <f>IFERROR(__xludf.DUMMYFUNCTION("""COMPUTED_VALUE"""),"Yes")</f>
        <v>Yes</v>
      </c>
      <c r="S518" s="5" t="str">
        <f>IFERROR(__xludf.DUMMYFUNCTION("""COMPUTED_VALUE"""),"Yes")</f>
        <v>Yes</v>
      </c>
      <c r="T518" s="5" t="str">
        <f>IFERROR(__xludf.DUMMYFUNCTION("""COMPUTED_VALUE"""),"Yes")</f>
        <v>Yes</v>
      </c>
      <c r="U518" s="5" t="str">
        <f>IFERROR(__xludf.DUMMYFUNCTION("""COMPUTED_VALUE"""),"Yes")</f>
        <v>Yes</v>
      </c>
      <c r="V518" s="5" t="str">
        <f>IFERROR(__xludf.DUMMYFUNCTION("""COMPUTED_VALUE"""),"Yes")</f>
        <v>Yes</v>
      </c>
      <c r="W518" s="5" t="str">
        <f>IFERROR(__xludf.DUMMYFUNCTION("""COMPUTED_VALUE"""),"Yes")</f>
        <v>Yes</v>
      </c>
      <c r="X518" s="5" t="str">
        <f>IFERROR(__xludf.DUMMYFUNCTION("""COMPUTED_VALUE"""),"Yes")</f>
        <v>Yes</v>
      </c>
      <c r="Y518" s="5" t="str">
        <f>IFERROR(__xludf.DUMMYFUNCTION("""COMPUTED_VALUE"""),"Yes")</f>
        <v>Yes</v>
      </c>
      <c r="Z518" s="5" t="str">
        <f>IFERROR(__xludf.DUMMYFUNCTION("""COMPUTED_VALUE"""),"Yes")</f>
        <v>Yes</v>
      </c>
      <c r="AA518" s="5" t="str">
        <f>IFERROR(__xludf.DUMMYFUNCTION("""COMPUTED_VALUE"""),"Yes")</f>
        <v>Yes</v>
      </c>
      <c r="AB518" s="5" t="str">
        <f>IFERROR(__xludf.DUMMYFUNCTION("""COMPUTED_VALUE"""),"Yes")</f>
        <v>Yes</v>
      </c>
      <c r="AC518" s="5" t="str">
        <f>IFERROR(__xludf.DUMMYFUNCTION("""COMPUTED_VALUE"""),"No")</f>
        <v>No</v>
      </c>
    </row>
    <row r="519">
      <c r="A519" s="5" t="str">
        <f>IFERROR(__xludf.DUMMYFUNCTION("""COMPUTED_VALUE"""),"MaxBetHot40Blow")</f>
        <v>MaxBetHot40Blow</v>
      </c>
      <c r="B5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9" s="5" t="str">
        <f>IFERROR(__xludf.DUMMYFUNCTION("""COMPUTED_VALUE"""),"Yes")</f>
        <v>Yes</v>
      </c>
      <c r="D519" s="5" t="str">
        <f>IFERROR(__xludf.DUMMYFUNCTION("""COMPUTED_VALUE"""),"Yes")</f>
        <v>Yes</v>
      </c>
      <c r="E519" s="5" t="str">
        <f>IFERROR(__xludf.DUMMYFUNCTION("""COMPUTED_VALUE"""),"Yes")</f>
        <v>Yes</v>
      </c>
      <c r="F519" s="5" t="str">
        <f>IFERROR(__xludf.DUMMYFUNCTION("""COMPUTED_VALUE"""),"Yes")</f>
        <v>Yes</v>
      </c>
      <c r="G519" s="5" t="str">
        <f>IFERROR(__xludf.DUMMYFUNCTION("""COMPUTED_VALUE"""),"Yes")</f>
        <v>Yes</v>
      </c>
      <c r="H519" s="5" t="str">
        <f>IFERROR(__xludf.DUMMYFUNCTION("""COMPUTED_VALUE"""),"Yes")</f>
        <v>Yes</v>
      </c>
      <c r="I519" s="5" t="str">
        <f>IFERROR(__xludf.DUMMYFUNCTION("""COMPUTED_VALUE"""),"Yes")</f>
        <v>Yes</v>
      </c>
      <c r="J519" s="5" t="str">
        <f>IFERROR(__xludf.DUMMYFUNCTION("""COMPUTED_VALUE"""),"Yes")</f>
        <v>Yes</v>
      </c>
      <c r="K519" s="5" t="str">
        <f>IFERROR(__xludf.DUMMYFUNCTION("""COMPUTED_VALUE"""),"Yes")</f>
        <v>Yes</v>
      </c>
      <c r="L519" s="5" t="str">
        <f>IFERROR(__xludf.DUMMYFUNCTION("""COMPUTED_VALUE"""),"Yes")</f>
        <v>Yes</v>
      </c>
      <c r="M519" s="5" t="str">
        <f>IFERROR(__xludf.DUMMYFUNCTION("""COMPUTED_VALUE"""),"Yes")</f>
        <v>Yes</v>
      </c>
      <c r="N519" s="5" t="str">
        <f>IFERROR(__xludf.DUMMYFUNCTION("""COMPUTED_VALUE"""),"Yes")</f>
        <v>Yes</v>
      </c>
      <c r="O519" s="5" t="str">
        <f>IFERROR(__xludf.DUMMYFUNCTION("""COMPUTED_VALUE"""),"Yes")</f>
        <v>Yes</v>
      </c>
      <c r="P519" s="5" t="str">
        <f>IFERROR(__xludf.DUMMYFUNCTION("""COMPUTED_VALUE"""),"Yes")</f>
        <v>Yes</v>
      </c>
      <c r="Q519" s="5" t="str">
        <f>IFERROR(__xludf.DUMMYFUNCTION("""COMPUTED_VALUE"""),"Yes")</f>
        <v>Yes</v>
      </c>
      <c r="R519" s="5" t="str">
        <f>IFERROR(__xludf.DUMMYFUNCTION("""COMPUTED_VALUE"""),"Yes")</f>
        <v>Yes</v>
      </c>
      <c r="S519" s="5" t="str">
        <f>IFERROR(__xludf.DUMMYFUNCTION("""COMPUTED_VALUE"""),"Yes")</f>
        <v>Yes</v>
      </c>
      <c r="T519" s="5" t="str">
        <f>IFERROR(__xludf.DUMMYFUNCTION("""COMPUTED_VALUE"""),"Yes")</f>
        <v>Yes</v>
      </c>
      <c r="U519" s="5" t="str">
        <f>IFERROR(__xludf.DUMMYFUNCTION("""COMPUTED_VALUE"""),"Yes")</f>
        <v>Yes</v>
      </c>
      <c r="V519" s="5" t="str">
        <f>IFERROR(__xludf.DUMMYFUNCTION("""COMPUTED_VALUE"""),"Yes")</f>
        <v>Yes</v>
      </c>
      <c r="W519" s="5" t="str">
        <f>IFERROR(__xludf.DUMMYFUNCTION("""COMPUTED_VALUE"""),"Yes")</f>
        <v>Yes</v>
      </c>
      <c r="X519" s="5" t="str">
        <f>IFERROR(__xludf.DUMMYFUNCTION("""COMPUTED_VALUE"""),"Yes")</f>
        <v>Yes</v>
      </c>
      <c r="Y519" s="5" t="str">
        <f>IFERROR(__xludf.DUMMYFUNCTION("""COMPUTED_VALUE"""),"Yes")</f>
        <v>Yes</v>
      </c>
      <c r="Z519" s="5" t="str">
        <f>IFERROR(__xludf.DUMMYFUNCTION("""COMPUTED_VALUE"""),"Yes")</f>
        <v>Yes</v>
      </c>
      <c r="AA519" s="5" t="str">
        <f>IFERROR(__xludf.DUMMYFUNCTION("""COMPUTED_VALUE"""),"Yes")</f>
        <v>Yes</v>
      </c>
      <c r="AB519" s="5" t="str">
        <f>IFERROR(__xludf.DUMMYFUNCTION("""COMPUTED_VALUE"""),"Yes")</f>
        <v>Yes</v>
      </c>
      <c r="AC519" s="5" t="str">
        <f>IFERROR(__xludf.DUMMYFUNCTION("""COMPUTED_VALUE"""),"No")</f>
        <v>No</v>
      </c>
    </row>
    <row r="520">
      <c r="A520" s="5" t="str">
        <f>IFERROR(__xludf.DUMMYFUNCTION("""COMPUTED_VALUE"""),"MaxBetClover2")</f>
        <v>MaxBetClover2</v>
      </c>
      <c r="B5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0" s="5" t="str">
        <f>IFERROR(__xludf.DUMMYFUNCTION("""COMPUTED_VALUE"""),"Yes")</f>
        <v>Yes</v>
      </c>
      <c r="D520" s="5" t="str">
        <f>IFERROR(__xludf.DUMMYFUNCTION("""COMPUTED_VALUE"""),"Yes")</f>
        <v>Yes</v>
      </c>
      <c r="E520" s="5" t="str">
        <f>IFERROR(__xludf.DUMMYFUNCTION("""COMPUTED_VALUE"""),"Yes")</f>
        <v>Yes</v>
      </c>
      <c r="F520" s="5" t="str">
        <f>IFERROR(__xludf.DUMMYFUNCTION("""COMPUTED_VALUE"""),"Yes")</f>
        <v>Yes</v>
      </c>
      <c r="G520" s="5" t="str">
        <f>IFERROR(__xludf.DUMMYFUNCTION("""COMPUTED_VALUE"""),"Yes")</f>
        <v>Yes</v>
      </c>
      <c r="H520" s="5" t="str">
        <f>IFERROR(__xludf.DUMMYFUNCTION("""COMPUTED_VALUE"""),"Yes")</f>
        <v>Yes</v>
      </c>
      <c r="I520" s="5" t="str">
        <f>IFERROR(__xludf.DUMMYFUNCTION("""COMPUTED_VALUE"""),"Yes")</f>
        <v>Yes</v>
      </c>
      <c r="J520" s="5" t="str">
        <f>IFERROR(__xludf.DUMMYFUNCTION("""COMPUTED_VALUE"""),"Yes")</f>
        <v>Yes</v>
      </c>
      <c r="K520" s="5" t="str">
        <f>IFERROR(__xludf.DUMMYFUNCTION("""COMPUTED_VALUE"""),"Yes")</f>
        <v>Yes</v>
      </c>
      <c r="L520" s="5" t="str">
        <f>IFERROR(__xludf.DUMMYFUNCTION("""COMPUTED_VALUE"""),"Yes")</f>
        <v>Yes</v>
      </c>
      <c r="M520" s="5" t="str">
        <f>IFERROR(__xludf.DUMMYFUNCTION("""COMPUTED_VALUE"""),"Yes")</f>
        <v>Yes</v>
      </c>
      <c r="N520" s="5" t="str">
        <f>IFERROR(__xludf.DUMMYFUNCTION("""COMPUTED_VALUE"""),"Yes")</f>
        <v>Yes</v>
      </c>
      <c r="O520" s="5" t="str">
        <f>IFERROR(__xludf.DUMMYFUNCTION("""COMPUTED_VALUE"""),"Yes")</f>
        <v>Yes</v>
      </c>
      <c r="P520" s="5" t="str">
        <f>IFERROR(__xludf.DUMMYFUNCTION("""COMPUTED_VALUE"""),"Yes")</f>
        <v>Yes</v>
      </c>
      <c r="Q520" s="5" t="str">
        <f>IFERROR(__xludf.DUMMYFUNCTION("""COMPUTED_VALUE"""),"Yes")</f>
        <v>Yes</v>
      </c>
      <c r="R520" s="5" t="str">
        <f>IFERROR(__xludf.DUMMYFUNCTION("""COMPUTED_VALUE"""),"Yes")</f>
        <v>Yes</v>
      </c>
      <c r="S520" s="5" t="str">
        <f>IFERROR(__xludf.DUMMYFUNCTION("""COMPUTED_VALUE"""),"Yes")</f>
        <v>Yes</v>
      </c>
      <c r="T520" s="5" t="str">
        <f>IFERROR(__xludf.DUMMYFUNCTION("""COMPUTED_VALUE"""),"Yes")</f>
        <v>Yes</v>
      </c>
      <c r="U520" s="5" t="str">
        <f>IFERROR(__xludf.DUMMYFUNCTION("""COMPUTED_VALUE"""),"Yes")</f>
        <v>Yes</v>
      </c>
      <c r="V520" s="5" t="str">
        <f>IFERROR(__xludf.DUMMYFUNCTION("""COMPUTED_VALUE"""),"Yes")</f>
        <v>Yes</v>
      </c>
      <c r="W520" s="5" t="str">
        <f>IFERROR(__xludf.DUMMYFUNCTION("""COMPUTED_VALUE"""),"Yes")</f>
        <v>Yes</v>
      </c>
      <c r="X520" s="5" t="str">
        <f>IFERROR(__xludf.DUMMYFUNCTION("""COMPUTED_VALUE"""),"Yes")</f>
        <v>Yes</v>
      </c>
      <c r="Y520" s="5" t="str">
        <f>IFERROR(__xludf.DUMMYFUNCTION("""COMPUTED_VALUE"""),"Yes")</f>
        <v>Yes</v>
      </c>
      <c r="Z520" s="5" t="str">
        <f>IFERROR(__xludf.DUMMYFUNCTION("""COMPUTED_VALUE"""),"Yes")</f>
        <v>Yes</v>
      </c>
      <c r="AA520" s="5" t="str">
        <f>IFERROR(__xludf.DUMMYFUNCTION("""COMPUTED_VALUE"""),"Yes")</f>
        <v>Yes</v>
      </c>
      <c r="AB520" s="5" t="str">
        <f>IFERROR(__xludf.DUMMYFUNCTION("""COMPUTED_VALUE"""),"Yes")</f>
        <v>Yes</v>
      </c>
      <c r="AC520" s="5" t="str">
        <f>IFERROR(__xludf.DUMMYFUNCTION("""COMPUTED_VALUE"""),"No")</f>
        <v>No</v>
      </c>
    </row>
    <row r="521">
      <c r="A521" s="5" t="str">
        <f>IFERROR(__xludf.DUMMYFUNCTION("""COMPUTED_VALUE"""),"MaxBetHot40")</f>
        <v>MaxBetHot40</v>
      </c>
      <c r="B5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1" s="5" t="str">
        <f>IFERROR(__xludf.DUMMYFUNCTION("""COMPUTED_VALUE"""),"Yes")</f>
        <v>Yes</v>
      </c>
      <c r="D521" s="5" t="str">
        <f>IFERROR(__xludf.DUMMYFUNCTION("""COMPUTED_VALUE"""),"Yes")</f>
        <v>Yes</v>
      </c>
      <c r="E521" s="5" t="str">
        <f>IFERROR(__xludf.DUMMYFUNCTION("""COMPUTED_VALUE"""),"Yes")</f>
        <v>Yes</v>
      </c>
      <c r="F521" s="5" t="str">
        <f>IFERROR(__xludf.DUMMYFUNCTION("""COMPUTED_VALUE"""),"Yes")</f>
        <v>Yes</v>
      </c>
      <c r="G521" s="5" t="str">
        <f>IFERROR(__xludf.DUMMYFUNCTION("""COMPUTED_VALUE"""),"Yes")</f>
        <v>Yes</v>
      </c>
      <c r="H521" s="5" t="str">
        <f>IFERROR(__xludf.DUMMYFUNCTION("""COMPUTED_VALUE"""),"Yes")</f>
        <v>Yes</v>
      </c>
      <c r="I521" s="5" t="str">
        <f>IFERROR(__xludf.DUMMYFUNCTION("""COMPUTED_VALUE"""),"Yes")</f>
        <v>Yes</v>
      </c>
      <c r="J521" s="5" t="str">
        <f>IFERROR(__xludf.DUMMYFUNCTION("""COMPUTED_VALUE"""),"Yes")</f>
        <v>Yes</v>
      </c>
      <c r="K521" s="5" t="str">
        <f>IFERROR(__xludf.DUMMYFUNCTION("""COMPUTED_VALUE"""),"Yes")</f>
        <v>Yes</v>
      </c>
      <c r="L521" s="5" t="str">
        <f>IFERROR(__xludf.DUMMYFUNCTION("""COMPUTED_VALUE"""),"Yes")</f>
        <v>Yes</v>
      </c>
      <c r="M521" s="5" t="str">
        <f>IFERROR(__xludf.DUMMYFUNCTION("""COMPUTED_VALUE"""),"Yes")</f>
        <v>Yes</v>
      </c>
      <c r="N521" s="5" t="str">
        <f>IFERROR(__xludf.DUMMYFUNCTION("""COMPUTED_VALUE"""),"Yes")</f>
        <v>Yes</v>
      </c>
      <c r="O521" s="5" t="str">
        <f>IFERROR(__xludf.DUMMYFUNCTION("""COMPUTED_VALUE"""),"Yes")</f>
        <v>Yes</v>
      </c>
      <c r="P521" s="5" t="str">
        <f>IFERROR(__xludf.DUMMYFUNCTION("""COMPUTED_VALUE"""),"Yes")</f>
        <v>Yes</v>
      </c>
      <c r="Q521" s="5" t="str">
        <f>IFERROR(__xludf.DUMMYFUNCTION("""COMPUTED_VALUE"""),"Yes")</f>
        <v>Yes</v>
      </c>
      <c r="R521" s="5" t="str">
        <f>IFERROR(__xludf.DUMMYFUNCTION("""COMPUTED_VALUE"""),"Yes")</f>
        <v>Yes</v>
      </c>
      <c r="S521" s="5" t="str">
        <f>IFERROR(__xludf.DUMMYFUNCTION("""COMPUTED_VALUE"""),"Yes")</f>
        <v>Yes</v>
      </c>
      <c r="T521" s="5" t="str">
        <f>IFERROR(__xludf.DUMMYFUNCTION("""COMPUTED_VALUE"""),"Yes")</f>
        <v>Yes</v>
      </c>
      <c r="U521" s="5" t="str">
        <f>IFERROR(__xludf.DUMMYFUNCTION("""COMPUTED_VALUE"""),"Yes")</f>
        <v>Yes</v>
      </c>
      <c r="V521" s="5" t="str">
        <f>IFERROR(__xludf.DUMMYFUNCTION("""COMPUTED_VALUE"""),"Yes")</f>
        <v>Yes</v>
      </c>
      <c r="W521" s="5" t="str">
        <f>IFERROR(__xludf.DUMMYFUNCTION("""COMPUTED_VALUE"""),"Yes")</f>
        <v>Yes</v>
      </c>
      <c r="X521" s="5" t="str">
        <f>IFERROR(__xludf.DUMMYFUNCTION("""COMPUTED_VALUE"""),"Yes")</f>
        <v>Yes</v>
      </c>
      <c r="Y521" s="5" t="str">
        <f>IFERROR(__xludf.DUMMYFUNCTION("""COMPUTED_VALUE"""),"Yes")</f>
        <v>Yes</v>
      </c>
      <c r="Z521" s="5" t="str">
        <f>IFERROR(__xludf.DUMMYFUNCTION("""COMPUTED_VALUE"""),"Yes")</f>
        <v>Yes</v>
      </c>
      <c r="AA521" s="5" t="str">
        <f>IFERROR(__xludf.DUMMYFUNCTION("""COMPUTED_VALUE"""),"Yes")</f>
        <v>Yes</v>
      </c>
      <c r="AB521" s="5" t="str">
        <f>IFERROR(__xludf.DUMMYFUNCTION("""COMPUTED_VALUE"""),"Yes")</f>
        <v>Yes</v>
      </c>
      <c r="AC521" s="5" t="str">
        <f>IFERROR(__xludf.DUMMYFUNCTION("""COMPUTED_VALUE"""),"No")</f>
        <v>No</v>
      </c>
    </row>
    <row r="522">
      <c r="A522" s="5" t="str">
        <f>IFERROR(__xludf.DUMMYFUNCTION("""COMPUTED_VALUE"""),"SenatorHot5")</f>
        <v>SenatorHot5</v>
      </c>
      <c r="B5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2" s="5" t="str">
        <f>IFERROR(__xludf.DUMMYFUNCTION("""COMPUTED_VALUE"""),"Yes")</f>
        <v>Yes</v>
      </c>
      <c r="D522" s="5" t="str">
        <f>IFERROR(__xludf.DUMMYFUNCTION("""COMPUTED_VALUE"""),"Yes")</f>
        <v>Yes</v>
      </c>
      <c r="E522" s="5" t="str">
        <f>IFERROR(__xludf.DUMMYFUNCTION("""COMPUTED_VALUE"""),"Yes")</f>
        <v>Yes</v>
      </c>
      <c r="F522" s="5" t="str">
        <f>IFERROR(__xludf.DUMMYFUNCTION("""COMPUTED_VALUE"""),"Yes")</f>
        <v>Yes</v>
      </c>
      <c r="G522" s="5" t="str">
        <f>IFERROR(__xludf.DUMMYFUNCTION("""COMPUTED_VALUE"""),"Yes")</f>
        <v>Yes</v>
      </c>
      <c r="H522" s="5" t="str">
        <f>IFERROR(__xludf.DUMMYFUNCTION("""COMPUTED_VALUE"""),"Yes")</f>
        <v>Yes</v>
      </c>
      <c r="I522" s="5" t="str">
        <f>IFERROR(__xludf.DUMMYFUNCTION("""COMPUTED_VALUE"""),"Yes")</f>
        <v>Yes</v>
      </c>
      <c r="J522" s="5" t="str">
        <f>IFERROR(__xludf.DUMMYFUNCTION("""COMPUTED_VALUE"""),"Yes")</f>
        <v>Yes</v>
      </c>
      <c r="K522" s="5" t="str">
        <f>IFERROR(__xludf.DUMMYFUNCTION("""COMPUTED_VALUE"""),"Yes")</f>
        <v>Yes</v>
      </c>
      <c r="L522" s="5" t="str">
        <f>IFERROR(__xludf.DUMMYFUNCTION("""COMPUTED_VALUE"""),"Yes")</f>
        <v>Yes</v>
      </c>
      <c r="M522" s="5" t="str">
        <f>IFERROR(__xludf.DUMMYFUNCTION("""COMPUTED_VALUE"""),"Yes")</f>
        <v>Yes</v>
      </c>
      <c r="N522" s="5" t="str">
        <f>IFERROR(__xludf.DUMMYFUNCTION("""COMPUTED_VALUE"""),"Yes")</f>
        <v>Yes</v>
      </c>
      <c r="O522" s="5" t="str">
        <f>IFERROR(__xludf.DUMMYFUNCTION("""COMPUTED_VALUE"""),"Yes")</f>
        <v>Yes</v>
      </c>
      <c r="P522" s="5" t="str">
        <f>IFERROR(__xludf.DUMMYFUNCTION("""COMPUTED_VALUE"""),"Yes")</f>
        <v>Yes</v>
      </c>
      <c r="Q522" s="5" t="str">
        <f>IFERROR(__xludf.DUMMYFUNCTION("""COMPUTED_VALUE"""),"Yes")</f>
        <v>Yes</v>
      </c>
      <c r="R522" s="5" t="str">
        <f>IFERROR(__xludf.DUMMYFUNCTION("""COMPUTED_VALUE"""),"Yes")</f>
        <v>Yes</v>
      </c>
      <c r="S522" s="5" t="str">
        <f>IFERROR(__xludf.DUMMYFUNCTION("""COMPUTED_VALUE"""),"Yes")</f>
        <v>Yes</v>
      </c>
      <c r="T522" s="5" t="str">
        <f>IFERROR(__xludf.DUMMYFUNCTION("""COMPUTED_VALUE"""),"Yes")</f>
        <v>Yes</v>
      </c>
      <c r="U522" s="5" t="str">
        <f>IFERROR(__xludf.DUMMYFUNCTION("""COMPUTED_VALUE"""),"Yes")</f>
        <v>Yes</v>
      </c>
      <c r="V522" s="5" t="str">
        <f>IFERROR(__xludf.DUMMYFUNCTION("""COMPUTED_VALUE"""),"Yes")</f>
        <v>Yes</v>
      </c>
      <c r="W522" s="5" t="str">
        <f>IFERROR(__xludf.DUMMYFUNCTION("""COMPUTED_VALUE"""),"Yes")</f>
        <v>Yes</v>
      </c>
      <c r="X522" s="5" t="str">
        <f>IFERROR(__xludf.DUMMYFUNCTION("""COMPUTED_VALUE"""),"Yes")</f>
        <v>Yes</v>
      </c>
      <c r="Y522" s="5" t="str">
        <f>IFERROR(__xludf.DUMMYFUNCTION("""COMPUTED_VALUE"""),"Yes")</f>
        <v>Yes</v>
      </c>
      <c r="Z522" s="5" t="str">
        <f>IFERROR(__xludf.DUMMYFUNCTION("""COMPUTED_VALUE"""),"Yes")</f>
        <v>Yes</v>
      </c>
      <c r="AA522" s="5" t="str">
        <f>IFERROR(__xludf.DUMMYFUNCTION("""COMPUTED_VALUE"""),"Yes")</f>
        <v>Yes</v>
      </c>
      <c r="AB522" s="5" t="str">
        <f>IFERROR(__xludf.DUMMYFUNCTION("""COMPUTED_VALUE"""),"Yes")</f>
        <v>Yes</v>
      </c>
      <c r="AC522" s="5" t="str">
        <f>IFERROR(__xludf.DUMMYFUNCTION("""COMPUTED_VALUE"""),"No")</f>
        <v>No</v>
      </c>
    </row>
    <row r="523">
      <c r="A523" s="5" t="str">
        <f>IFERROR(__xludf.DUMMYFUNCTION("""COMPUTED_VALUE"""),"MostBet27")</f>
        <v>MostBet27</v>
      </c>
      <c r="B5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3" s="5" t="str">
        <f>IFERROR(__xludf.DUMMYFUNCTION("""COMPUTED_VALUE"""),"Yes")</f>
        <v>Yes</v>
      </c>
      <c r="D523" s="5" t="str">
        <f>IFERROR(__xludf.DUMMYFUNCTION("""COMPUTED_VALUE"""),"Yes")</f>
        <v>Yes</v>
      </c>
      <c r="E523" s="5" t="str">
        <f>IFERROR(__xludf.DUMMYFUNCTION("""COMPUTED_VALUE"""),"Yes")</f>
        <v>Yes</v>
      </c>
      <c r="F523" s="5" t="str">
        <f>IFERROR(__xludf.DUMMYFUNCTION("""COMPUTED_VALUE"""),"Yes")</f>
        <v>Yes</v>
      </c>
      <c r="G523" s="5" t="str">
        <f>IFERROR(__xludf.DUMMYFUNCTION("""COMPUTED_VALUE"""),"Yes")</f>
        <v>Yes</v>
      </c>
      <c r="H523" s="5" t="str">
        <f>IFERROR(__xludf.DUMMYFUNCTION("""COMPUTED_VALUE"""),"Yes")</f>
        <v>Yes</v>
      </c>
      <c r="I523" s="5" t="str">
        <f>IFERROR(__xludf.DUMMYFUNCTION("""COMPUTED_VALUE"""),"Yes")</f>
        <v>Yes</v>
      </c>
      <c r="J523" s="5" t="str">
        <f>IFERROR(__xludf.DUMMYFUNCTION("""COMPUTED_VALUE"""),"Yes")</f>
        <v>Yes</v>
      </c>
      <c r="K523" s="5" t="str">
        <f>IFERROR(__xludf.DUMMYFUNCTION("""COMPUTED_VALUE"""),"Yes")</f>
        <v>Yes</v>
      </c>
      <c r="L523" s="5" t="str">
        <f>IFERROR(__xludf.DUMMYFUNCTION("""COMPUTED_VALUE"""),"Yes")</f>
        <v>Yes</v>
      </c>
      <c r="M523" s="5" t="str">
        <f>IFERROR(__xludf.DUMMYFUNCTION("""COMPUTED_VALUE"""),"Yes")</f>
        <v>Yes</v>
      </c>
      <c r="N523" s="5" t="str">
        <f>IFERROR(__xludf.DUMMYFUNCTION("""COMPUTED_VALUE"""),"Yes")</f>
        <v>Yes</v>
      </c>
      <c r="O523" s="5" t="str">
        <f>IFERROR(__xludf.DUMMYFUNCTION("""COMPUTED_VALUE"""),"Yes")</f>
        <v>Yes</v>
      </c>
      <c r="P523" s="5" t="str">
        <f>IFERROR(__xludf.DUMMYFUNCTION("""COMPUTED_VALUE"""),"Yes")</f>
        <v>Yes</v>
      </c>
      <c r="Q523" s="5" t="str">
        <f>IFERROR(__xludf.DUMMYFUNCTION("""COMPUTED_VALUE"""),"Yes")</f>
        <v>Yes</v>
      </c>
      <c r="R523" s="5" t="str">
        <f>IFERROR(__xludf.DUMMYFUNCTION("""COMPUTED_VALUE"""),"Yes")</f>
        <v>Yes</v>
      </c>
      <c r="S523" s="5" t="str">
        <f>IFERROR(__xludf.DUMMYFUNCTION("""COMPUTED_VALUE"""),"Yes")</f>
        <v>Yes</v>
      </c>
      <c r="T523" s="5" t="str">
        <f>IFERROR(__xludf.DUMMYFUNCTION("""COMPUTED_VALUE"""),"Yes")</f>
        <v>Yes</v>
      </c>
      <c r="U523" s="5" t="str">
        <f>IFERROR(__xludf.DUMMYFUNCTION("""COMPUTED_VALUE"""),"Yes")</f>
        <v>Yes</v>
      </c>
      <c r="V523" s="5" t="str">
        <f>IFERROR(__xludf.DUMMYFUNCTION("""COMPUTED_VALUE"""),"Yes")</f>
        <v>Yes</v>
      </c>
      <c r="W523" s="5" t="str">
        <f>IFERROR(__xludf.DUMMYFUNCTION("""COMPUTED_VALUE"""),"Yes")</f>
        <v>Yes</v>
      </c>
      <c r="X523" s="5" t="str">
        <f>IFERROR(__xludf.DUMMYFUNCTION("""COMPUTED_VALUE"""),"Yes")</f>
        <v>Yes</v>
      </c>
      <c r="Y523" s="5" t="str">
        <f>IFERROR(__xludf.DUMMYFUNCTION("""COMPUTED_VALUE"""),"Yes")</f>
        <v>Yes</v>
      </c>
      <c r="Z523" s="5" t="str">
        <f>IFERROR(__xludf.DUMMYFUNCTION("""COMPUTED_VALUE"""),"Yes")</f>
        <v>Yes</v>
      </c>
      <c r="AA523" s="5" t="str">
        <f>IFERROR(__xludf.DUMMYFUNCTION("""COMPUTED_VALUE"""),"Yes")</f>
        <v>Yes</v>
      </c>
      <c r="AB523" s="5" t="str">
        <f>IFERROR(__xludf.DUMMYFUNCTION("""COMPUTED_VALUE"""),"Yes")</f>
        <v>Yes</v>
      </c>
      <c r="AC523" s="5" t="str">
        <f>IFERROR(__xludf.DUMMYFUNCTION("""COMPUTED_VALUE"""),"No")</f>
        <v>No</v>
      </c>
    </row>
    <row r="524">
      <c r="A524" s="5" t="str">
        <f>IFERROR(__xludf.DUMMYFUNCTION("""COMPUTED_VALUE"""),"UnicornEnchantedGems")</f>
        <v>UnicornEnchantedGems</v>
      </c>
      <c r="B5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4" s="5" t="str">
        <f>IFERROR(__xludf.DUMMYFUNCTION("""COMPUTED_VALUE"""),"Yes")</f>
        <v>Yes</v>
      </c>
      <c r="D524" s="5" t="str">
        <f>IFERROR(__xludf.DUMMYFUNCTION("""COMPUTED_VALUE"""),"Yes")</f>
        <v>Yes</v>
      </c>
      <c r="E524" s="5" t="str">
        <f>IFERROR(__xludf.DUMMYFUNCTION("""COMPUTED_VALUE"""),"Yes")</f>
        <v>Yes</v>
      </c>
      <c r="F524" s="5" t="str">
        <f>IFERROR(__xludf.DUMMYFUNCTION("""COMPUTED_VALUE"""),"Yes")</f>
        <v>Yes</v>
      </c>
      <c r="G524" s="5" t="str">
        <f>IFERROR(__xludf.DUMMYFUNCTION("""COMPUTED_VALUE"""),"Yes")</f>
        <v>Yes</v>
      </c>
      <c r="H524" s="5" t="str">
        <f>IFERROR(__xludf.DUMMYFUNCTION("""COMPUTED_VALUE"""),"Yes")</f>
        <v>Yes</v>
      </c>
      <c r="I524" s="5" t="str">
        <f>IFERROR(__xludf.DUMMYFUNCTION("""COMPUTED_VALUE"""),"Yes")</f>
        <v>Yes</v>
      </c>
      <c r="J524" s="5" t="str">
        <f>IFERROR(__xludf.DUMMYFUNCTION("""COMPUTED_VALUE"""),"Yes")</f>
        <v>Yes</v>
      </c>
      <c r="K524" s="5" t="str">
        <f>IFERROR(__xludf.DUMMYFUNCTION("""COMPUTED_VALUE"""),"Yes")</f>
        <v>Yes</v>
      </c>
      <c r="L524" s="5" t="str">
        <f>IFERROR(__xludf.DUMMYFUNCTION("""COMPUTED_VALUE"""),"Yes")</f>
        <v>Yes</v>
      </c>
      <c r="M524" s="5" t="str">
        <f>IFERROR(__xludf.DUMMYFUNCTION("""COMPUTED_VALUE"""),"Yes")</f>
        <v>Yes</v>
      </c>
      <c r="N524" s="5" t="str">
        <f>IFERROR(__xludf.DUMMYFUNCTION("""COMPUTED_VALUE"""),"Yes")</f>
        <v>Yes</v>
      </c>
      <c r="O524" s="5" t="str">
        <f>IFERROR(__xludf.DUMMYFUNCTION("""COMPUTED_VALUE"""),"Yes")</f>
        <v>Yes</v>
      </c>
      <c r="P524" s="5" t="str">
        <f>IFERROR(__xludf.DUMMYFUNCTION("""COMPUTED_VALUE"""),"Yes")</f>
        <v>Yes</v>
      </c>
      <c r="Q524" s="5" t="str">
        <f>IFERROR(__xludf.DUMMYFUNCTION("""COMPUTED_VALUE"""),"Yes")</f>
        <v>Yes</v>
      </c>
      <c r="R524" s="5" t="str">
        <f>IFERROR(__xludf.DUMMYFUNCTION("""COMPUTED_VALUE"""),"Yes")</f>
        <v>Yes</v>
      </c>
      <c r="S524" s="5" t="str">
        <f>IFERROR(__xludf.DUMMYFUNCTION("""COMPUTED_VALUE"""),"Yes")</f>
        <v>Yes</v>
      </c>
      <c r="T524" s="5" t="str">
        <f>IFERROR(__xludf.DUMMYFUNCTION("""COMPUTED_VALUE"""),"Yes")</f>
        <v>Yes</v>
      </c>
      <c r="U524" s="5" t="str">
        <f>IFERROR(__xludf.DUMMYFUNCTION("""COMPUTED_VALUE"""),"Yes")</f>
        <v>Yes</v>
      </c>
      <c r="V524" s="5"/>
      <c r="W524" s="5"/>
      <c r="X524" s="5"/>
      <c r="Y524" s="5"/>
      <c r="Z524" s="5" t="str">
        <f>IFERROR(__xludf.DUMMYFUNCTION("""COMPUTED_VALUE"""),"Yes")</f>
        <v>Yes</v>
      </c>
      <c r="AA524" s="5"/>
      <c r="AB524" s="5"/>
      <c r="AC524" s="5"/>
    </row>
    <row r="525">
      <c r="A525" s="5" t="str">
        <f>IFERROR(__xludf.DUMMYFUNCTION("""COMPUTED_VALUE"""),"UnicornSupremeSevensDice")</f>
        <v>UnicornSupremeSevensDice</v>
      </c>
      <c r="B5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5" s="5" t="str">
        <f>IFERROR(__xludf.DUMMYFUNCTION("""COMPUTED_VALUE"""),"Yes")</f>
        <v>Yes</v>
      </c>
      <c r="D525" s="5" t="str">
        <f>IFERROR(__xludf.DUMMYFUNCTION("""COMPUTED_VALUE"""),"Yes")</f>
        <v>Yes</v>
      </c>
      <c r="E525" s="5" t="str">
        <f>IFERROR(__xludf.DUMMYFUNCTION("""COMPUTED_VALUE"""),"Yes")</f>
        <v>Yes</v>
      </c>
      <c r="F525" s="5" t="str">
        <f>IFERROR(__xludf.DUMMYFUNCTION("""COMPUTED_VALUE"""),"Yes")</f>
        <v>Yes</v>
      </c>
      <c r="G525" s="5" t="str">
        <f>IFERROR(__xludf.DUMMYFUNCTION("""COMPUTED_VALUE"""),"Yes")</f>
        <v>Yes</v>
      </c>
      <c r="H525" s="5" t="str">
        <f>IFERROR(__xludf.DUMMYFUNCTION("""COMPUTED_VALUE"""),"Yes")</f>
        <v>Yes</v>
      </c>
      <c r="I525" s="5" t="str">
        <f>IFERROR(__xludf.DUMMYFUNCTION("""COMPUTED_VALUE"""),"Yes")</f>
        <v>Yes</v>
      </c>
      <c r="J525" s="5" t="str">
        <f>IFERROR(__xludf.DUMMYFUNCTION("""COMPUTED_VALUE"""),"Yes")</f>
        <v>Yes</v>
      </c>
      <c r="K525" s="5" t="str">
        <f>IFERROR(__xludf.DUMMYFUNCTION("""COMPUTED_VALUE"""),"Yes")</f>
        <v>Yes</v>
      </c>
      <c r="L525" s="5" t="str">
        <f>IFERROR(__xludf.DUMMYFUNCTION("""COMPUTED_VALUE"""),"Yes")</f>
        <v>Yes</v>
      </c>
      <c r="M525" s="5" t="str">
        <f>IFERROR(__xludf.DUMMYFUNCTION("""COMPUTED_VALUE"""),"Yes")</f>
        <v>Yes</v>
      </c>
      <c r="N525" s="5" t="str">
        <f>IFERROR(__xludf.DUMMYFUNCTION("""COMPUTED_VALUE"""),"Yes")</f>
        <v>Yes</v>
      </c>
      <c r="O525" s="5" t="str">
        <f>IFERROR(__xludf.DUMMYFUNCTION("""COMPUTED_VALUE"""),"Yes")</f>
        <v>Yes</v>
      </c>
      <c r="P525" s="5" t="str">
        <f>IFERROR(__xludf.DUMMYFUNCTION("""COMPUTED_VALUE"""),"Yes")</f>
        <v>Yes</v>
      </c>
      <c r="Q525" s="5" t="str">
        <f>IFERROR(__xludf.DUMMYFUNCTION("""COMPUTED_VALUE"""),"Yes")</f>
        <v>Yes</v>
      </c>
      <c r="R525" s="5" t="str">
        <f>IFERROR(__xludf.DUMMYFUNCTION("""COMPUTED_VALUE"""),"Yes")</f>
        <v>Yes</v>
      </c>
      <c r="S525" s="5" t="str">
        <f>IFERROR(__xludf.DUMMYFUNCTION("""COMPUTED_VALUE"""),"Yes")</f>
        <v>Yes</v>
      </c>
      <c r="T525" s="5" t="str">
        <f>IFERROR(__xludf.DUMMYFUNCTION("""COMPUTED_VALUE"""),"Yes")</f>
        <v>Yes</v>
      </c>
      <c r="U525" s="5" t="str">
        <f>IFERROR(__xludf.DUMMYFUNCTION("""COMPUTED_VALUE"""),"Yes")</f>
        <v>Yes</v>
      </c>
      <c r="V525" s="5"/>
      <c r="W525" s="5"/>
      <c r="X525" s="5"/>
      <c r="Y525" s="5"/>
      <c r="Z525" s="5" t="str">
        <f>IFERROR(__xludf.DUMMYFUNCTION("""COMPUTED_VALUE"""),"Yes")</f>
        <v>Yes</v>
      </c>
      <c r="AA525" s="5"/>
      <c r="AB525" s="5"/>
      <c r="AC525" s="5"/>
    </row>
    <row r="526">
      <c r="A526" s="5" t="str">
        <f>IFERROR(__xludf.DUMMYFUNCTION("""COMPUTED_VALUE"""),"UnicornReelyWildReels")</f>
        <v>UnicornReelyWildReels</v>
      </c>
      <c r="B5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6" s="5" t="str">
        <f>IFERROR(__xludf.DUMMYFUNCTION("""COMPUTED_VALUE"""),"Yes")</f>
        <v>Yes</v>
      </c>
      <c r="D526" s="5" t="str">
        <f>IFERROR(__xludf.DUMMYFUNCTION("""COMPUTED_VALUE"""),"Yes")</f>
        <v>Yes</v>
      </c>
      <c r="E526" s="5" t="str">
        <f>IFERROR(__xludf.DUMMYFUNCTION("""COMPUTED_VALUE"""),"Yes")</f>
        <v>Yes</v>
      </c>
      <c r="F526" s="5" t="str">
        <f>IFERROR(__xludf.DUMMYFUNCTION("""COMPUTED_VALUE"""),"Yes")</f>
        <v>Yes</v>
      </c>
      <c r="G526" s="5" t="str">
        <f>IFERROR(__xludf.DUMMYFUNCTION("""COMPUTED_VALUE"""),"Yes")</f>
        <v>Yes</v>
      </c>
      <c r="H526" s="5" t="str">
        <f>IFERROR(__xludf.DUMMYFUNCTION("""COMPUTED_VALUE"""),"Yes")</f>
        <v>Yes</v>
      </c>
      <c r="I526" s="5" t="str">
        <f>IFERROR(__xludf.DUMMYFUNCTION("""COMPUTED_VALUE"""),"Yes")</f>
        <v>Yes</v>
      </c>
      <c r="J526" s="5" t="str">
        <f>IFERROR(__xludf.DUMMYFUNCTION("""COMPUTED_VALUE"""),"Yes")</f>
        <v>Yes</v>
      </c>
      <c r="K526" s="5" t="str">
        <f>IFERROR(__xludf.DUMMYFUNCTION("""COMPUTED_VALUE"""),"Yes")</f>
        <v>Yes</v>
      </c>
      <c r="L526" s="5" t="str">
        <f>IFERROR(__xludf.DUMMYFUNCTION("""COMPUTED_VALUE"""),"Yes")</f>
        <v>Yes</v>
      </c>
      <c r="M526" s="5" t="str">
        <f>IFERROR(__xludf.DUMMYFUNCTION("""COMPUTED_VALUE"""),"Yes")</f>
        <v>Yes</v>
      </c>
      <c r="N526" s="5" t="str">
        <f>IFERROR(__xludf.DUMMYFUNCTION("""COMPUTED_VALUE"""),"Yes")</f>
        <v>Yes</v>
      </c>
      <c r="O526" s="5" t="str">
        <f>IFERROR(__xludf.DUMMYFUNCTION("""COMPUTED_VALUE"""),"Yes")</f>
        <v>Yes</v>
      </c>
      <c r="P526" s="5" t="str">
        <f>IFERROR(__xludf.DUMMYFUNCTION("""COMPUTED_VALUE"""),"Yes")</f>
        <v>Yes</v>
      </c>
      <c r="Q526" s="5" t="str">
        <f>IFERROR(__xludf.DUMMYFUNCTION("""COMPUTED_VALUE"""),"Yes")</f>
        <v>Yes</v>
      </c>
      <c r="R526" s="5" t="str">
        <f>IFERROR(__xludf.DUMMYFUNCTION("""COMPUTED_VALUE"""),"Yes")</f>
        <v>Yes</v>
      </c>
      <c r="S526" s="5" t="str">
        <f>IFERROR(__xludf.DUMMYFUNCTION("""COMPUTED_VALUE"""),"Yes")</f>
        <v>Yes</v>
      </c>
      <c r="T526" s="5" t="str">
        <f>IFERROR(__xludf.DUMMYFUNCTION("""COMPUTED_VALUE"""),"Yes")</f>
        <v>Yes</v>
      </c>
      <c r="U526" s="5" t="str">
        <f>IFERROR(__xludf.DUMMYFUNCTION("""COMPUTED_VALUE"""),"Yes")</f>
        <v>Yes</v>
      </c>
      <c r="V526" s="5"/>
      <c r="W526" s="5"/>
      <c r="X526" s="5"/>
      <c r="Y526" s="5"/>
      <c r="Z526" s="5" t="str">
        <f>IFERROR(__xludf.DUMMYFUNCTION("""COMPUTED_VALUE"""),"Yes")</f>
        <v>Yes</v>
      </c>
      <c r="AA526" s="5"/>
      <c r="AB526" s="5"/>
      <c r="AC526" s="5"/>
    </row>
    <row r="527">
      <c r="A527" s="5" t="str">
        <f>IFERROR(__xludf.DUMMYFUNCTION("""COMPUTED_VALUE"""),"UnicornDynamiteEscape")</f>
        <v>UnicornDynamiteEscape</v>
      </c>
      <c r="B527"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7" s="5" t="str">
        <f>IFERROR(__xludf.DUMMYFUNCTION("""COMPUTED_VALUE"""),"Yes")</f>
        <v>Yes</v>
      </c>
      <c r="D527" s="5" t="str">
        <f>IFERROR(__xludf.DUMMYFUNCTION("""COMPUTED_VALUE"""),"Yes")</f>
        <v>Yes</v>
      </c>
      <c r="E527" s="5" t="str">
        <f>IFERROR(__xludf.DUMMYFUNCTION("""COMPUTED_VALUE"""),"Yes")</f>
        <v>Yes</v>
      </c>
      <c r="F527" s="5" t="str">
        <f>IFERROR(__xludf.DUMMYFUNCTION("""COMPUTED_VALUE"""),"No")</f>
        <v>No</v>
      </c>
      <c r="G527" s="5" t="str">
        <f>IFERROR(__xludf.DUMMYFUNCTION("""COMPUTED_VALUE"""),"No")</f>
        <v>No</v>
      </c>
      <c r="H527" s="5" t="str">
        <f>IFERROR(__xludf.DUMMYFUNCTION("""COMPUTED_VALUE"""),"No")</f>
        <v>No</v>
      </c>
      <c r="I527" s="5" t="str">
        <f>IFERROR(__xludf.DUMMYFUNCTION("""COMPUTED_VALUE"""),"No")</f>
        <v>No</v>
      </c>
      <c r="J527" s="5" t="str">
        <f>IFERROR(__xludf.DUMMYFUNCTION("""COMPUTED_VALUE"""),"No")</f>
        <v>No</v>
      </c>
      <c r="K527" s="5" t="str">
        <f>IFERROR(__xludf.DUMMYFUNCTION("""COMPUTED_VALUE"""),"Yes")</f>
        <v>Yes</v>
      </c>
      <c r="L527" s="5" t="str">
        <f>IFERROR(__xludf.DUMMYFUNCTION("""COMPUTED_VALUE"""),"Yes")</f>
        <v>Yes</v>
      </c>
      <c r="M527" s="5" t="str">
        <f>IFERROR(__xludf.DUMMYFUNCTION("""COMPUTED_VALUE"""),"Yes")</f>
        <v>Yes</v>
      </c>
      <c r="N527" s="5" t="str">
        <f>IFERROR(__xludf.DUMMYFUNCTION("""COMPUTED_VALUE"""),"Yes")</f>
        <v>Yes</v>
      </c>
      <c r="O527" s="5" t="str">
        <f>IFERROR(__xludf.DUMMYFUNCTION("""COMPUTED_VALUE"""),"Yes")</f>
        <v>Yes</v>
      </c>
      <c r="P527" s="5" t="str">
        <f>IFERROR(__xludf.DUMMYFUNCTION("""COMPUTED_VALUE"""),"No")</f>
        <v>No</v>
      </c>
      <c r="Q527" s="5" t="str">
        <f>IFERROR(__xludf.DUMMYFUNCTION("""COMPUTED_VALUE"""),"Yes")</f>
        <v>Yes</v>
      </c>
      <c r="R527" s="5" t="str">
        <f>IFERROR(__xludf.DUMMYFUNCTION("""COMPUTED_VALUE"""),"No")</f>
        <v>No</v>
      </c>
      <c r="S527" s="5" t="str">
        <f>IFERROR(__xludf.DUMMYFUNCTION("""COMPUTED_VALUE"""),"No")</f>
        <v>No</v>
      </c>
      <c r="T527" s="5" t="str">
        <f>IFERROR(__xludf.DUMMYFUNCTION("""COMPUTED_VALUE"""),"No")</f>
        <v>No</v>
      </c>
      <c r="U527" s="5" t="str">
        <f>IFERROR(__xludf.DUMMYFUNCTION("""COMPUTED_VALUE"""),"No")</f>
        <v>No</v>
      </c>
      <c r="V527" s="5"/>
      <c r="W527" s="5"/>
      <c r="X527" s="5" t="str">
        <f>IFERROR(__xludf.DUMMYFUNCTION("""COMPUTED_VALUE"""),"Yes")</f>
        <v>Yes</v>
      </c>
      <c r="Y527" s="5"/>
      <c r="Z527" s="5" t="str">
        <f>IFERROR(__xludf.DUMMYFUNCTION("""COMPUTED_VALUE"""),"No")</f>
        <v>No</v>
      </c>
      <c r="AA527" s="5"/>
      <c r="AB527" s="5" t="str">
        <f>IFERROR(__xludf.DUMMYFUNCTION("""COMPUTED_VALUE"""),"Yes")</f>
        <v>Yes</v>
      </c>
      <c r="AC527" s="5" t="str">
        <f>IFERROR(__xludf.DUMMYFUNCTION("""COMPUTED_VALUE"""),"Yes")</f>
        <v>Yes</v>
      </c>
    </row>
    <row r="528">
      <c r="A528" s="5" t="str">
        <f>IFERROR(__xludf.DUMMYFUNCTION("""COMPUTED_VALUE"""),"UnicornBuffaloSevensJackpot")</f>
        <v>UnicornBuffaloSevensJackpot</v>
      </c>
      <c r="B52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8" s="5" t="str">
        <f>IFERROR(__xludf.DUMMYFUNCTION("""COMPUTED_VALUE"""),"Yes")</f>
        <v>Yes</v>
      </c>
      <c r="D528" s="5" t="str">
        <f>IFERROR(__xludf.DUMMYFUNCTION("""COMPUTED_VALUE"""),"Yes")</f>
        <v>Yes</v>
      </c>
      <c r="E528" s="5" t="str">
        <f>IFERROR(__xludf.DUMMYFUNCTION("""COMPUTED_VALUE"""),"Yes")</f>
        <v>Yes</v>
      </c>
      <c r="F528" s="5" t="str">
        <f>IFERROR(__xludf.DUMMYFUNCTION("""COMPUTED_VALUE"""),"No")</f>
        <v>No</v>
      </c>
      <c r="G528" s="5" t="str">
        <f>IFERROR(__xludf.DUMMYFUNCTION("""COMPUTED_VALUE"""),"No")</f>
        <v>No</v>
      </c>
      <c r="H528" s="5" t="str">
        <f>IFERROR(__xludf.DUMMYFUNCTION("""COMPUTED_VALUE"""),"No")</f>
        <v>No</v>
      </c>
      <c r="I528" s="5" t="str">
        <f>IFERROR(__xludf.DUMMYFUNCTION("""COMPUTED_VALUE"""),"No")</f>
        <v>No</v>
      </c>
      <c r="J528" s="5" t="str">
        <f>IFERROR(__xludf.DUMMYFUNCTION("""COMPUTED_VALUE"""),"No")</f>
        <v>No</v>
      </c>
      <c r="K528" s="5" t="str">
        <f>IFERROR(__xludf.DUMMYFUNCTION("""COMPUTED_VALUE"""),"Yes")</f>
        <v>Yes</v>
      </c>
      <c r="L528" s="5" t="str">
        <f>IFERROR(__xludf.DUMMYFUNCTION("""COMPUTED_VALUE"""),"Yes")</f>
        <v>Yes</v>
      </c>
      <c r="M528" s="5" t="str">
        <f>IFERROR(__xludf.DUMMYFUNCTION("""COMPUTED_VALUE"""),"Yes")</f>
        <v>Yes</v>
      </c>
      <c r="N528" s="5" t="str">
        <f>IFERROR(__xludf.DUMMYFUNCTION("""COMPUTED_VALUE"""),"Yes")</f>
        <v>Yes</v>
      </c>
      <c r="O528" s="5" t="str">
        <f>IFERROR(__xludf.DUMMYFUNCTION("""COMPUTED_VALUE"""),"Yes")</f>
        <v>Yes</v>
      </c>
      <c r="P528" s="5" t="str">
        <f>IFERROR(__xludf.DUMMYFUNCTION("""COMPUTED_VALUE"""),"No")</f>
        <v>No</v>
      </c>
      <c r="Q528" s="5" t="str">
        <f>IFERROR(__xludf.DUMMYFUNCTION("""COMPUTED_VALUE"""),"Yes")</f>
        <v>Yes</v>
      </c>
      <c r="R528" s="5" t="str">
        <f>IFERROR(__xludf.DUMMYFUNCTION("""COMPUTED_VALUE"""),"No")</f>
        <v>No</v>
      </c>
      <c r="S528" s="5" t="str">
        <f>IFERROR(__xludf.DUMMYFUNCTION("""COMPUTED_VALUE"""),"No")</f>
        <v>No</v>
      </c>
      <c r="T528" s="5" t="str">
        <f>IFERROR(__xludf.DUMMYFUNCTION("""COMPUTED_VALUE"""),"No")</f>
        <v>No</v>
      </c>
      <c r="U528" s="5" t="str">
        <f>IFERROR(__xludf.DUMMYFUNCTION("""COMPUTED_VALUE"""),"No")</f>
        <v>No</v>
      </c>
      <c r="V528" s="5"/>
      <c r="W528" s="5"/>
      <c r="X528" s="5" t="str">
        <f>IFERROR(__xludf.DUMMYFUNCTION("""COMPUTED_VALUE"""),"Yes")</f>
        <v>Yes</v>
      </c>
      <c r="Y528" s="5"/>
      <c r="Z528" s="5" t="str">
        <f>IFERROR(__xludf.DUMMYFUNCTION("""COMPUTED_VALUE"""),"No")</f>
        <v>No</v>
      </c>
      <c r="AA528" s="5"/>
      <c r="AB528" s="5" t="str">
        <f>IFERROR(__xludf.DUMMYFUNCTION("""COMPUTED_VALUE"""),"Yes")</f>
        <v>Yes</v>
      </c>
      <c r="AC528" s="5" t="str">
        <f>IFERROR(__xludf.DUMMYFUNCTION("""COMPUTED_VALUE"""),"Yes")</f>
        <v>Yes</v>
      </c>
    </row>
    <row r="529">
      <c r="A529" s="5" t="str">
        <f>IFERROR(__xludf.DUMMYFUNCTION("""COMPUTED_VALUE"""),"UnicornScatterKaChing")</f>
        <v>UnicornScatterKaChing</v>
      </c>
      <c r="B529"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9" s="5" t="str">
        <f>IFERROR(__xludf.DUMMYFUNCTION("""COMPUTED_VALUE"""),"Yes")</f>
        <v>Yes</v>
      </c>
      <c r="D529" s="5" t="str">
        <f>IFERROR(__xludf.DUMMYFUNCTION("""COMPUTED_VALUE"""),"Yes")</f>
        <v>Yes</v>
      </c>
      <c r="E529" s="5" t="str">
        <f>IFERROR(__xludf.DUMMYFUNCTION("""COMPUTED_VALUE"""),"Yes")</f>
        <v>Yes</v>
      </c>
      <c r="F529" s="5" t="str">
        <f>IFERROR(__xludf.DUMMYFUNCTION("""COMPUTED_VALUE"""),"No")</f>
        <v>No</v>
      </c>
      <c r="G529" s="5" t="str">
        <f>IFERROR(__xludf.DUMMYFUNCTION("""COMPUTED_VALUE"""),"No")</f>
        <v>No</v>
      </c>
      <c r="H529" s="5" t="str">
        <f>IFERROR(__xludf.DUMMYFUNCTION("""COMPUTED_VALUE"""),"No")</f>
        <v>No</v>
      </c>
      <c r="I529" s="5" t="str">
        <f>IFERROR(__xludf.DUMMYFUNCTION("""COMPUTED_VALUE"""),"No")</f>
        <v>No</v>
      </c>
      <c r="J529" s="5" t="str">
        <f>IFERROR(__xludf.DUMMYFUNCTION("""COMPUTED_VALUE"""),"No")</f>
        <v>No</v>
      </c>
      <c r="K529" s="5" t="str">
        <f>IFERROR(__xludf.DUMMYFUNCTION("""COMPUTED_VALUE"""),"Yes")</f>
        <v>Yes</v>
      </c>
      <c r="L529" s="5" t="str">
        <f>IFERROR(__xludf.DUMMYFUNCTION("""COMPUTED_VALUE"""),"Yes")</f>
        <v>Yes</v>
      </c>
      <c r="M529" s="5" t="str">
        <f>IFERROR(__xludf.DUMMYFUNCTION("""COMPUTED_VALUE"""),"Yes")</f>
        <v>Yes</v>
      </c>
      <c r="N529" s="5" t="str">
        <f>IFERROR(__xludf.DUMMYFUNCTION("""COMPUTED_VALUE"""),"Yes")</f>
        <v>Yes</v>
      </c>
      <c r="O529" s="5" t="str">
        <f>IFERROR(__xludf.DUMMYFUNCTION("""COMPUTED_VALUE"""),"Yes")</f>
        <v>Yes</v>
      </c>
      <c r="P529" s="5" t="str">
        <f>IFERROR(__xludf.DUMMYFUNCTION("""COMPUTED_VALUE"""),"No")</f>
        <v>No</v>
      </c>
      <c r="Q529" s="5" t="str">
        <f>IFERROR(__xludf.DUMMYFUNCTION("""COMPUTED_VALUE"""),"Yes")</f>
        <v>Yes</v>
      </c>
      <c r="R529" s="5" t="str">
        <f>IFERROR(__xludf.DUMMYFUNCTION("""COMPUTED_VALUE"""),"No")</f>
        <v>No</v>
      </c>
      <c r="S529" s="5" t="str">
        <f>IFERROR(__xludf.DUMMYFUNCTION("""COMPUTED_VALUE"""),"No")</f>
        <v>No</v>
      </c>
      <c r="T529" s="5" t="str">
        <f>IFERROR(__xludf.DUMMYFUNCTION("""COMPUTED_VALUE"""),"No")</f>
        <v>No</v>
      </c>
      <c r="U529" s="5" t="str">
        <f>IFERROR(__xludf.DUMMYFUNCTION("""COMPUTED_VALUE"""),"No")</f>
        <v>No</v>
      </c>
      <c r="V529" s="5"/>
      <c r="W529" s="5"/>
      <c r="X529" s="5" t="str">
        <f>IFERROR(__xludf.DUMMYFUNCTION("""COMPUTED_VALUE"""),"Yes")</f>
        <v>Yes</v>
      </c>
      <c r="Y529" s="5"/>
      <c r="Z529" s="5" t="str">
        <f>IFERROR(__xludf.DUMMYFUNCTION("""COMPUTED_VALUE"""),"No")</f>
        <v>No</v>
      </c>
      <c r="AA529" s="5"/>
      <c r="AB529" s="5" t="str">
        <f>IFERROR(__xludf.DUMMYFUNCTION("""COMPUTED_VALUE"""),"Yes")</f>
        <v>Yes</v>
      </c>
      <c r="AC529" s="5" t="str">
        <f>IFERROR(__xludf.DUMMYFUNCTION("""COMPUTED_VALUE"""),"Yes")</f>
        <v>Yes</v>
      </c>
    </row>
    <row r="530">
      <c r="A530" s="5" t="str">
        <f>IFERROR(__xludf.DUMMYFUNCTION("""COMPUTED_VALUE"""),"UnicornFruitPlay")</f>
        <v>UnicornFruitPlay</v>
      </c>
      <c r="B53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0" s="5" t="str">
        <f>IFERROR(__xludf.DUMMYFUNCTION("""COMPUTED_VALUE"""),"Yes")</f>
        <v>Yes</v>
      </c>
      <c r="D530" s="5" t="str">
        <f>IFERROR(__xludf.DUMMYFUNCTION("""COMPUTED_VALUE"""),"Yes")</f>
        <v>Yes</v>
      </c>
      <c r="E530" s="5" t="str">
        <f>IFERROR(__xludf.DUMMYFUNCTION("""COMPUTED_VALUE"""),"Yes")</f>
        <v>Yes</v>
      </c>
      <c r="F530" s="5" t="str">
        <f>IFERROR(__xludf.DUMMYFUNCTION("""COMPUTED_VALUE"""),"No")</f>
        <v>No</v>
      </c>
      <c r="G530" s="5" t="str">
        <f>IFERROR(__xludf.DUMMYFUNCTION("""COMPUTED_VALUE"""),"No")</f>
        <v>No</v>
      </c>
      <c r="H530" s="5" t="str">
        <f>IFERROR(__xludf.DUMMYFUNCTION("""COMPUTED_VALUE"""),"No")</f>
        <v>No</v>
      </c>
      <c r="I530" s="5" t="str">
        <f>IFERROR(__xludf.DUMMYFUNCTION("""COMPUTED_VALUE"""),"No")</f>
        <v>No</v>
      </c>
      <c r="J530" s="5" t="str">
        <f>IFERROR(__xludf.DUMMYFUNCTION("""COMPUTED_VALUE"""),"No")</f>
        <v>No</v>
      </c>
      <c r="K530" s="5" t="str">
        <f>IFERROR(__xludf.DUMMYFUNCTION("""COMPUTED_VALUE"""),"Yes")</f>
        <v>Yes</v>
      </c>
      <c r="L530" s="5" t="str">
        <f>IFERROR(__xludf.DUMMYFUNCTION("""COMPUTED_VALUE"""),"Yes")</f>
        <v>Yes</v>
      </c>
      <c r="M530" s="5" t="str">
        <f>IFERROR(__xludf.DUMMYFUNCTION("""COMPUTED_VALUE"""),"Yes")</f>
        <v>Yes</v>
      </c>
      <c r="N530" s="5" t="str">
        <f>IFERROR(__xludf.DUMMYFUNCTION("""COMPUTED_VALUE"""),"Yes")</f>
        <v>Yes</v>
      </c>
      <c r="O530" s="5" t="str">
        <f>IFERROR(__xludf.DUMMYFUNCTION("""COMPUTED_VALUE"""),"Yes")</f>
        <v>Yes</v>
      </c>
      <c r="P530" s="5" t="str">
        <f>IFERROR(__xludf.DUMMYFUNCTION("""COMPUTED_VALUE"""),"No")</f>
        <v>No</v>
      </c>
      <c r="Q530" s="5" t="str">
        <f>IFERROR(__xludf.DUMMYFUNCTION("""COMPUTED_VALUE"""),"Yes")</f>
        <v>Yes</v>
      </c>
      <c r="R530" s="5" t="str">
        <f>IFERROR(__xludf.DUMMYFUNCTION("""COMPUTED_VALUE"""),"No")</f>
        <v>No</v>
      </c>
      <c r="S530" s="5" t="str">
        <f>IFERROR(__xludf.DUMMYFUNCTION("""COMPUTED_VALUE"""),"No")</f>
        <v>No</v>
      </c>
      <c r="T530" s="5" t="str">
        <f>IFERROR(__xludf.DUMMYFUNCTION("""COMPUTED_VALUE"""),"No")</f>
        <v>No</v>
      </c>
      <c r="U530" s="5" t="str">
        <f>IFERROR(__xludf.DUMMYFUNCTION("""COMPUTED_VALUE"""),"No")</f>
        <v>No</v>
      </c>
      <c r="V530" s="5"/>
      <c r="W530" s="5"/>
      <c r="X530" s="5" t="str">
        <f>IFERROR(__xludf.DUMMYFUNCTION("""COMPUTED_VALUE"""),"Yes")</f>
        <v>Yes</v>
      </c>
      <c r="Y530" s="5"/>
      <c r="Z530" s="5" t="str">
        <f>IFERROR(__xludf.DUMMYFUNCTION("""COMPUTED_VALUE"""),"No")</f>
        <v>No</v>
      </c>
      <c r="AA530" s="5"/>
      <c r="AB530" s="5" t="str">
        <f>IFERROR(__xludf.DUMMYFUNCTION("""COMPUTED_VALUE"""),"Yes")</f>
        <v>Yes</v>
      </c>
      <c r="AC530" s="5" t="str">
        <f>IFERROR(__xludf.DUMMYFUNCTION("""COMPUTED_VALUE"""),"Yes")</f>
        <v>Yes</v>
      </c>
    </row>
    <row r="531">
      <c r="A531" s="5" t="str">
        <f>IFERROR(__xludf.DUMMYFUNCTION("""COMPUTED_VALUE"""),"UnicornFruitIslandJackpot")</f>
        <v>UnicornFruitIslandJackpot</v>
      </c>
      <c r="B53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1" s="5" t="str">
        <f>IFERROR(__xludf.DUMMYFUNCTION("""COMPUTED_VALUE"""),"Yes")</f>
        <v>Yes</v>
      </c>
      <c r="D531" s="5" t="str">
        <f>IFERROR(__xludf.DUMMYFUNCTION("""COMPUTED_VALUE"""),"Yes")</f>
        <v>Yes</v>
      </c>
      <c r="E531" s="5" t="str">
        <f>IFERROR(__xludf.DUMMYFUNCTION("""COMPUTED_VALUE"""),"Yes")</f>
        <v>Yes</v>
      </c>
      <c r="F531" s="5" t="str">
        <f>IFERROR(__xludf.DUMMYFUNCTION("""COMPUTED_VALUE"""),"No")</f>
        <v>No</v>
      </c>
      <c r="G531" s="5" t="str">
        <f>IFERROR(__xludf.DUMMYFUNCTION("""COMPUTED_VALUE"""),"No")</f>
        <v>No</v>
      </c>
      <c r="H531" s="5" t="str">
        <f>IFERROR(__xludf.DUMMYFUNCTION("""COMPUTED_VALUE"""),"No")</f>
        <v>No</v>
      </c>
      <c r="I531" s="5" t="str">
        <f>IFERROR(__xludf.DUMMYFUNCTION("""COMPUTED_VALUE"""),"No")</f>
        <v>No</v>
      </c>
      <c r="J531" s="5" t="str">
        <f>IFERROR(__xludf.DUMMYFUNCTION("""COMPUTED_VALUE"""),"No")</f>
        <v>No</v>
      </c>
      <c r="K531" s="5" t="str">
        <f>IFERROR(__xludf.DUMMYFUNCTION("""COMPUTED_VALUE"""),"Yes")</f>
        <v>Yes</v>
      </c>
      <c r="L531" s="5" t="str">
        <f>IFERROR(__xludf.DUMMYFUNCTION("""COMPUTED_VALUE"""),"Yes")</f>
        <v>Yes</v>
      </c>
      <c r="M531" s="5" t="str">
        <f>IFERROR(__xludf.DUMMYFUNCTION("""COMPUTED_VALUE"""),"Yes")</f>
        <v>Yes</v>
      </c>
      <c r="N531" s="5" t="str">
        <f>IFERROR(__xludf.DUMMYFUNCTION("""COMPUTED_VALUE"""),"Yes")</f>
        <v>Yes</v>
      </c>
      <c r="O531" s="5" t="str">
        <f>IFERROR(__xludf.DUMMYFUNCTION("""COMPUTED_VALUE"""),"Yes")</f>
        <v>Yes</v>
      </c>
      <c r="P531" s="5" t="str">
        <f>IFERROR(__xludf.DUMMYFUNCTION("""COMPUTED_VALUE"""),"No")</f>
        <v>No</v>
      </c>
      <c r="Q531" s="5" t="str">
        <f>IFERROR(__xludf.DUMMYFUNCTION("""COMPUTED_VALUE"""),"Yes")</f>
        <v>Yes</v>
      </c>
      <c r="R531" s="5" t="str">
        <f>IFERROR(__xludf.DUMMYFUNCTION("""COMPUTED_VALUE"""),"No")</f>
        <v>No</v>
      </c>
      <c r="S531" s="5" t="str">
        <f>IFERROR(__xludf.DUMMYFUNCTION("""COMPUTED_VALUE"""),"No")</f>
        <v>No</v>
      </c>
      <c r="T531" s="5" t="str">
        <f>IFERROR(__xludf.DUMMYFUNCTION("""COMPUTED_VALUE"""),"No")</f>
        <v>No</v>
      </c>
      <c r="U531" s="5" t="str">
        <f>IFERROR(__xludf.DUMMYFUNCTION("""COMPUTED_VALUE"""),"No")</f>
        <v>No</v>
      </c>
      <c r="V531" s="5"/>
      <c r="W531" s="5"/>
      <c r="X531" s="5" t="str">
        <f>IFERROR(__xludf.DUMMYFUNCTION("""COMPUTED_VALUE"""),"Yes")</f>
        <v>Yes</v>
      </c>
      <c r="Y531" s="5"/>
      <c r="Z531" s="5" t="str">
        <f>IFERROR(__xludf.DUMMYFUNCTION("""COMPUTED_VALUE"""),"No")</f>
        <v>No</v>
      </c>
      <c r="AA531" s="5"/>
      <c r="AB531" s="5" t="str">
        <f>IFERROR(__xludf.DUMMYFUNCTION("""COMPUTED_VALUE"""),"Yes")</f>
        <v>Yes</v>
      </c>
      <c r="AC531" s="5" t="str">
        <f>IFERROR(__xludf.DUMMYFUNCTION("""COMPUTED_VALUE"""),"Yes")</f>
        <v>Yes</v>
      </c>
    </row>
    <row r="532">
      <c r="A532" s="5" t="str">
        <f>IFERROR(__xludf.DUMMYFUNCTION("""COMPUTED_VALUE"""),"UnicornCollectCall")</f>
        <v>UnicornCollectCall</v>
      </c>
      <c r="B53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2" s="5" t="str">
        <f>IFERROR(__xludf.DUMMYFUNCTION("""COMPUTED_VALUE"""),"Yes")</f>
        <v>Yes</v>
      </c>
      <c r="D532" s="5" t="str">
        <f>IFERROR(__xludf.DUMMYFUNCTION("""COMPUTED_VALUE"""),"Yes")</f>
        <v>Yes</v>
      </c>
      <c r="E532" s="5" t="str">
        <f>IFERROR(__xludf.DUMMYFUNCTION("""COMPUTED_VALUE"""),"Yes")</f>
        <v>Yes</v>
      </c>
      <c r="F532" s="5" t="str">
        <f>IFERROR(__xludf.DUMMYFUNCTION("""COMPUTED_VALUE"""),"No")</f>
        <v>No</v>
      </c>
      <c r="G532" s="5" t="str">
        <f>IFERROR(__xludf.DUMMYFUNCTION("""COMPUTED_VALUE"""),"No")</f>
        <v>No</v>
      </c>
      <c r="H532" s="5" t="str">
        <f>IFERROR(__xludf.DUMMYFUNCTION("""COMPUTED_VALUE"""),"No")</f>
        <v>No</v>
      </c>
      <c r="I532" s="5" t="str">
        <f>IFERROR(__xludf.DUMMYFUNCTION("""COMPUTED_VALUE"""),"No")</f>
        <v>No</v>
      </c>
      <c r="J532" s="5" t="str">
        <f>IFERROR(__xludf.DUMMYFUNCTION("""COMPUTED_VALUE"""),"No")</f>
        <v>No</v>
      </c>
      <c r="K532" s="5" t="str">
        <f>IFERROR(__xludf.DUMMYFUNCTION("""COMPUTED_VALUE"""),"Yes")</f>
        <v>Yes</v>
      </c>
      <c r="L532" s="5" t="str">
        <f>IFERROR(__xludf.DUMMYFUNCTION("""COMPUTED_VALUE"""),"Yes")</f>
        <v>Yes</v>
      </c>
      <c r="M532" s="5" t="str">
        <f>IFERROR(__xludf.DUMMYFUNCTION("""COMPUTED_VALUE"""),"Yes")</f>
        <v>Yes</v>
      </c>
      <c r="N532" s="5" t="str">
        <f>IFERROR(__xludf.DUMMYFUNCTION("""COMPUTED_VALUE"""),"Yes")</f>
        <v>Yes</v>
      </c>
      <c r="O532" s="5" t="str">
        <f>IFERROR(__xludf.DUMMYFUNCTION("""COMPUTED_VALUE"""),"Yes")</f>
        <v>Yes</v>
      </c>
      <c r="P532" s="5" t="str">
        <f>IFERROR(__xludf.DUMMYFUNCTION("""COMPUTED_VALUE"""),"No")</f>
        <v>No</v>
      </c>
      <c r="Q532" s="5" t="str">
        <f>IFERROR(__xludf.DUMMYFUNCTION("""COMPUTED_VALUE"""),"Yes")</f>
        <v>Yes</v>
      </c>
      <c r="R532" s="5" t="str">
        <f>IFERROR(__xludf.DUMMYFUNCTION("""COMPUTED_VALUE"""),"No")</f>
        <v>No</v>
      </c>
      <c r="S532" s="5" t="str">
        <f>IFERROR(__xludf.DUMMYFUNCTION("""COMPUTED_VALUE"""),"No")</f>
        <v>No</v>
      </c>
      <c r="T532" s="5" t="str">
        <f>IFERROR(__xludf.DUMMYFUNCTION("""COMPUTED_VALUE"""),"No")</f>
        <v>No</v>
      </c>
      <c r="U532" s="5" t="str">
        <f>IFERROR(__xludf.DUMMYFUNCTION("""COMPUTED_VALUE"""),"No")</f>
        <v>No</v>
      </c>
      <c r="V532" s="5" t="str">
        <f>IFERROR(__xludf.DUMMYFUNCTION("""COMPUTED_VALUE"""),"No")</f>
        <v>No</v>
      </c>
      <c r="W532" s="5" t="str">
        <f>IFERROR(__xludf.DUMMYFUNCTION("""COMPUTED_VALUE"""),"No")</f>
        <v>No</v>
      </c>
      <c r="X532" s="5" t="str">
        <f>IFERROR(__xludf.DUMMYFUNCTION("""COMPUTED_VALUE"""),"Yes")</f>
        <v>Yes</v>
      </c>
      <c r="Y532" s="5" t="str">
        <f>IFERROR(__xludf.DUMMYFUNCTION("""COMPUTED_VALUE"""),"No")</f>
        <v>No</v>
      </c>
      <c r="Z532" s="5" t="str">
        <f>IFERROR(__xludf.DUMMYFUNCTION("""COMPUTED_VALUE"""),"No")</f>
        <v>No</v>
      </c>
      <c r="AA532" s="5" t="str">
        <f>IFERROR(__xludf.DUMMYFUNCTION("""COMPUTED_VALUE"""),"No")</f>
        <v>No</v>
      </c>
      <c r="AB532" s="5" t="str">
        <f>IFERROR(__xludf.DUMMYFUNCTION("""COMPUTED_VALUE"""),"Yes")</f>
        <v>Yes</v>
      </c>
      <c r="AC532" s="5" t="str">
        <f>IFERROR(__xludf.DUMMYFUNCTION("""COMPUTED_VALUE"""),"Yes")</f>
        <v>Yes</v>
      </c>
    </row>
    <row r="533">
      <c r="A533" s="5" t="str">
        <f>IFERROR(__xludf.DUMMYFUNCTION("""COMPUTED_VALUE"""),"UnicornCoyoteSevensHalloween")</f>
        <v>UnicornCoyoteSevensHalloween</v>
      </c>
      <c r="B533"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3" s="5" t="str">
        <f>IFERROR(__xludf.DUMMYFUNCTION("""COMPUTED_VALUE"""),"Yes")</f>
        <v>Yes</v>
      </c>
      <c r="D533" s="5" t="str">
        <f>IFERROR(__xludf.DUMMYFUNCTION("""COMPUTED_VALUE"""),"Yes")</f>
        <v>Yes</v>
      </c>
      <c r="E533" s="5" t="str">
        <f>IFERROR(__xludf.DUMMYFUNCTION("""COMPUTED_VALUE"""),"Yes")</f>
        <v>Yes</v>
      </c>
      <c r="F533" s="5" t="str">
        <f>IFERROR(__xludf.DUMMYFUNCTION("""COMPUTED_VALUE"""),"No")</f>
        <v>No</v>
      </c>
      <c r="G533" s="5" t="str">
        <f>IFERROR(__xludf.DUMMYFUNCTION("""COMPUTED_VALUE"""),"No")</f>
        <v>No</v>
      </c>
      <c r="H533" s="5" t="str">
        <f>IFERROR(__xludf.DUMMYFUNCTION("""COMPUTED_VALUE"""),"No")</f>
        <v>No</v>
      </c>
      <c r="I533" s="5" t="str">
        <f>IFERROR(__xludf.DUMMYFUNCTION("""COMPUTED_VALUE"""),"No")</f>
        <v>No</v>
      </c>
      <c r="J533" s="5" t="str">
        <f>IFERROR(__xludf.DUMMYFUNCTION("""COMPUTED_VALUE"""),"No")</f>
        <v>No</v>
      </c>
      <c r="K533" s="5" t="str">
        <f>IFERROR(__xludf.DUMMYFUNCTION("""COMPUTED_VALUE"""),"Yes")</f>
        <v>Yes</v>
      </c>
      <c r="L533" s="5" t="str">
        <f>IFERROR(__xludf.DUMMYFUNCTION("""COMPUTED_VALUE"""),"Yes")</f>
        <v>Yes</v>
      </c>
      <c r="M533" s="5" t="str">
        <f>IFERROR(__xludf.DUMMYFUNCTION("""COMPUTED_VALUE"""),"Yes")</f>
        <v>Yes</v>
      </c>
      <c r="N533" s="5" t="str">
        <f>IFERROR(__xludf.DUMMYFUNCTION("""COMPUTED_VALUE"""),"Yes")</f>
        <v>Yes</v>
      </c>
      <c r="O533" s="5" t="str">
        <f>IFERROR(__xludf.DUMMYFUNCTION("""COMPUTED_VALUE"""),"Yes")</f>
        <v>Yes</v>
      </c>
      <c r="P533" s="5" t="str">
        <f>IFERROR(__xludf.DUMMYFUNCTION("""COMPUTED_VALUE"""),"No")</f>
        <v>No</v>
      </c>
      <c r="Q533" s="5" t="str">
        <f>IFERROR(__xludf.DUMMYFUNCTION("""COMPUTED_VALUE"""),"Yes")</f>
        <v>Yes</v>
      </c>
      <c r="R533" s="5" t="str">
        <f>IFERROR(__xludf.DUMMYFUNCTION("""COMPUTED_VALUE"""),"No")</f>
        <v>No</v>
      </c>
      <c r="S533" s="5" t="str">
        <f>IFERROR(__xludf.DUMMYFUNCTION("""COMPUTED_VALUE"""),"No")</f>
        <v>No</v>
      </c>
      <c r="T533" s="5" t="str">
        <f>IFERROR(__xludf.DUMMYFUNCTION("""COMPUTED_VALUE"""),"No")</f>
        <v>No</v>
      </c>
      <c r="U533" s="5" t="str">
        <f>IFERROR(__xludf.DUMMYFUNCTION("""COMPUTED_VALUE"""),"No")</f>
        <v>No</v>
      </c>
      <c r="V533" s="5"/>
      <c r="W533" s="5"/>
      <c r="X533" s="5" t="str">
        <f>IFERROR(__xludf.DUMMYFUNCTION("""COMPUTED_VALUE"""),"Yes")</f>
        <v>Yes</v>
      </c>
      <c r="Y533" s="5"/>
      <c r="Z533" s="5" t="str">
        <f>IFERROR(__xludf.DUMMYFUNCTION("""COMPUTED_VALUE"""),"No")</f>
        <v>No</v>
      </c>
      <c r="AA533" s="5"/>
      <c r="AB533" s="5" t="str">
        <f>IFERROR(__xludf.DUMMYFUNCTION("""COMPUTED_VALUE"""),"Yes")</f>
        <v>Yes</v>
      </c>
      <c r="AC533" s="5" t="str">
        <f>IFERROR(__xludf.DUMMYFUNCTION("""COMPUTED_VALUE"""),"Yes")</f>
        <v>Yes</v>
      </c>
    </row>
    <row r="534">
      <c r="A534" s="5" t="str">
        <f>IFERROR(__xludf.DUMMYFUNCTION("""COMPUTED_VALUE"""),"UnicornLavaGems")</f>
        <v>UnicornLavaGems</v>
      </c>
      <c r="B534"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4" s="5" t="str">
        <f>IFERROR(__xludf.DUMMYFUNCTION("""COMPUTED_VALUE"""),"Yes")</f>
        <v>Yes</v>
      </c>
      <c r="D534" s="5" t="str">
        <f>IFERROR(__xludf.DUMMYFUNCTION("""COMPUTED_VALUE"""),"Yes")</f>
        <v>Yes</v>
      </c>
      <c r="E534" s="5" t="str">
        <f>IFERROR(__xludf.DUMMYFUNCTION("""COMPUTED_VALUE"""),"Yes")</f>
        <v>Yes</v>
      </c>
      <c r="F534" s="5" t="str">
        <f>IFERROR(__xludf.DUMMYFUNCTION("""COMPUTED_VALUE"""),"No")</f>
        <v>No</v>
      </c>
      <c r="G534" s="5" t="str">
        <f>IFERROR(__xludf.DUMMYFUNCTION("""COMPUTED_VALUE"""),"No")</f>
        <v>No</v>
      </c>
      <c r="H534" s="5" t="str">
        <f>IFERROR(__xludf.DUMMYFUNCTION("""COMPUTED_VALUE"""),"No")</f>
        <v>No</v>
      </c>
      <c r="I534" s="5" t="str">
        <f>IFERROR(__xludf.DUMMYFUNCTION("""COMPUTED_VALUE"""),"No")</f>
        <v>No</v>
      </c>
      <c r="J534" s="5" t="str">
        <f>IFERROR(__xludf.DUMMYFUNCTION("""COMPUTED_VALUE"""),"No")</f>
        <v>No</v>
      </c>
      <c r="K534" s="5" t="str">
        <f>IFERROR(__xludf.DUMMYFUNCTION("""COMPUTED_VALUE"""),"Yes")</f>
        <v>Yes</v>
      </c>
      <c r="L534" s="5" t="str">
        <f>IFERROR(__xludf.DUMMYFUNCTION("""COMPUTED_VALUE"""),"Yes")</f>
        <v>Yes</v>
      </c>
      <c r="M534" s="5" t="str">
        <f>IFERROR(__xludf.DUMMYFUNCTION("""COMPUTED_VALUE"""),"Yes")</f>
        <v>Yes</v>
      </c>
      <c r="N534" s="5" t="str">
        <f>IFERROR(__xludf.DUMMYFUNCTION("""COMPUTED_VALUE"""),"Yes")</f>
        <v>Yes</v>
      </c>
      <c r="O534" s="5" t="str">
        <f>IFERROR(__xludf.DUMMYFUNCTION("""COMPUTED_VALUE"""),"Yes")</f>
        <v>Yes</v>
      </c>
      <c r="P534" s="5" t="str">
        <f>IFERROR(__xludf.DUMMYFUNCTION("""COMPUTED_VALUE"""),"No")</f>
        <v>No</v>
      </c>
      <c r="Q534" s="5" t="str">
        <f>IFERROR(__xludf.DUMMYFUNCTION("""COMPUTED_VALUE"""),"Yes")</f>
        <v>Yes</v>
      </c>
      <c r="R534" s="5" t="str">
        <f>IFERROR(__xludf.DUMMYFUNCTION("""COMPUTED_VALUE"""),"No")</f>
        <v>No</v>
      </c>
      <c r="S534" s="5" t="str">
        <f>IFERROR(__xludf.DUMMYFUNCTION("""COMPUTED_VALUE"""),"No")</f>
        <v>No</v>
      </c>
      <c r="T534" s="5" t="str">
        <f>IFERROR(__xludf.DUMMYFUNCTION("""COMPUTED_VALUE"""),"No")</f>
        <v>No</v>
      </c>
      <c r="U534" s="5" t="str">
        <f>IFERROR(__xludf.DUMMYFUNCTION("""COMPUTED_VALUE"""),"No")</f>
        <v>No</v>
      </c>
      <c r="V534" s="5"/>
      <c r="W534" s="5"/>
      <c r="X534" s="5" t="str">
        <f>IFERROR(__xludf.DUMMYFUNCTION("""COMPUTED_VALUE"""),"Yes")</f>
        <v>Yes</v>
      </c>
      <c r="Y534" s="5"/>
      <c r="Z534" s="5" t="str">
        <f>IFERROR(__xludf.DUMMYFUNCTION("""COMPUTED_VALUE"""),"No")</f>
        <v>No</v>
      </c>
      <c r="AA534" s="5"/>
      <c r="AB534" s="5" t="str">
        <f>IFERROR(__xludf.DUMMYFUNCTION("""COMPUTED_VALUE"""),"Yes")</f>
        <v>Yes</v>
      </c>
      <c r="AC534" s="5" t="str">
        <f>IFERROR(__xludf.DUMMYFUNCTION("""COMPUTED_VALUE"""),"Yes")</f>
        <v>Yes</v>
      </c>
    </row>
    <row r="535">
      <c r="A535" s="5" t="str">
        <f>IFERROR(__xludf.DUMMYFUNCTION("""COMPUTED_VALUE"""),"UnicornTheKingsHalloween")</f>
        <v>UnicornTheKingsHalloween</v>
      </c>
      <c r="B535"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5" s="5" t="str">
        <f>IFERROR(__xludf.DUMMYFUNCTION("""COMPUTED_VALUE"""),"Yes")</f>
        <v>Yes</v>
      </c>
      <c r="D535" s="5" t="str">
        <f>IFERROR(__xludf.DUMMYFUNCTION("""COMPUTED_VALUE"""),"Yes")</f>
        <v>Yes</v>
      </c>
      <c r="E535" s="5" t="str">
        <f>IFERROR(__xludf.DUMMYFUNCTION("""COMPUTED_VALUE"""),"Yes")</f>
        <v>Yes</v>
      </c>
      <c r="F535" s="5"/>
      <c r="G535" s="5"/>
      <c r="H535" s="5"/>
      <c r="I535" s="5"/>
      <c r="J535" s="5"/>
      <c r="K535" s="5" t="str">
        <f>IFERROR(__xludf.DUMMYFUNCTION("""COMPUTED_VALUE"""),"Yes")</f>
        <v>Yes</v>
      </c>
      <c r="L535" s="5" t="str">
        <f>IFERROR(__xludf.DUMMYFUNCTION("""COMPUTED_VALUE"""),"Yes")</f>
        <v>Yes</v>
      </c>
      <c r="M535" s="5" t="str">
        <f>IFERROR(__xludf.DUMMYFUNCTION("""COMPUTED_VALUE"""),"Yes")</f>
        <v>Yes</v>
      </c>
      <c r="N535" s="5" t="str">
        <f>IFERROR(__xludf.DUMMYFUNCTION("""COMPUTED_VALUE"""),"Yes")</f>
        <v>Yes</v>
      </c>
      <c r="O535" s="5" t="str">
        <f>IFERROR(__xludf.DUMMYFUNCTION("""COMPUTED_VALUE"""),"Yes")</f>
        <v>Yes</v>
      </c>
      <c r="P535" s="5"/>
      <c r="Q535" s="5" t="str">
        <f>IFERROR(__xludf.DUMMYFUNCTION("""COMPUTED_VALUE"""),"Yes")</f>
        <v>Yes</v>
      </c>
      <c r="R535" s="5"/>
      <c r="S535" s="5"/>
      <c r="T535" s="5"/>
      <c r="U535" s="5"/>
      <c r="V535" s="5"/>
      <c r="W535" s="5"/>
      <c r="X535" s="5" t="str">
        <f>IFERROR(__xludf.DUMMYFUNCTION("""COMPUTED_VALUE"""),"Yes")</f>
        <v>Yes</v>
      </c>
      <c r="Y535" s="5"/>
      <c r="Z535" s="5"/>
      <c r="AA535" s="5"/>
      <c r="AB535" s="5" t="str">
        <f>IFERROR(__xludf.DUMMYFUNCTION("""COMPUTED_VALUE"""),"Yes")</f>
        <v>Yes</v>
      </c>
      <c r="AC535" s="5" t="str">
        <f>IFERROR(__xludf.DUMMYFUNCTION("""COMPUTED_VALUE"""),"Yes")</f>
        <v>Yes</v>
      </c>
    </row>
    <row r="536">
      <c r="A536" s="5" t="str">
        <f>IFERROR(__xludf.DUMMYFUNCTION("""COMPUTED_VALUE"""),"WildSunflower")</f>
        <v>WildSunflower</v>
      </c>
      <c r="B53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6" s="5" t="str">
        <f>IFERROR(__xludf.DUMMYFUNCTION("""COMPUTED_VALUE"""),"Yes")</f>
        <v>Yes</v>
      </c>
      <c r="D536" s="5" t="str">
        <f>IFERROR(__xludf.DUMMYFUNCTION("""COMPUTED_VALUE"""),"Yes")</f>
        <v>Yes</v>
      </c>
      <c r="E536" s="5" t="str">
        <f>IFERROR(__xludf.DUMMYFUNCTION("""COMPUTED_VALUE"""),"Yes")</f>
        <v>Yes</v>
      </c>
      <c r="F536" s="5" t="str">
        <f>IFERROR(__xludf.DUMMYFUNCTION("""COMPUTED_VALUE"""),"Yes")</f>
        <v>Yes</v>
      </c>
      <c r="G536" s="5" t="str">
        <f>IFERROR(__xludf.DUMMYFUNCTION("""COMPUTED_VALUE"""),"Yes")</f>
        <v>Yes</v>
      </c>
      <c r="H536" s="5" t="str">
        <f>IFERROR(__xludf.DUMMYFUNCTION("""COMPUTED_VALUE"""),"Yes")</f>
        <v>Yes</v>
      </c>
      <c r="I536" s="5" t="str">
        <f>IFERROR(__xludf.DUMMYFUNCTION("""COMPUTED_VALUE"""),"Yes")</f>
        <v>Yes</v>
      </c>
      <c r="J536" s="5" t="str">
        <f>IFERROR(__xludf.DUMMYFUNCTION("""COMPUTED_VALUE"""),"Yes")</f>
        <v>Yes</v>
      </c>
      <c r="K536" s="5" t="str">
        <f>IFERROR(__xludf.DUMMYFUNCTION("""COMPUTED_VALUE"""),"Yes")</f>
        <v>Yes</v>
      </c>
      <c r="L536" s="5" t="str">
        <f>IFERROR(__xludf.DUMMYFUNCTION("""COMPUTED_VALUE"""),"Yes")</f>
        <v>Yes</v>
      </c>
      <c r="M536" s="5" t="str">
        <f>IFERROR(__xludf.DUMMYFUNCTION("""COMPUTED_VALUE"""),"Yes")</f>
        <v>Yes</v>
      </c>
      <c r="N536" s="5" t="str">
        <f>IFERROR(__xludf.DUMMYFUNCTION("""COMPUTED_VALUE"""),"Yes")</f>
        <v>Yes</v>
      </c>
      <c r="O536" s="5" t="str">
        <f>IFERROR(__xludf.DUMMYFUNCTION("""COMPUTED_VALUE"""),"Yes")</f>
        <v>Yes</v>
      </c>
      <c r="P536" s="5" t="str">
        <f>IFERROR(__xludf.DUMMYFUNCTION("""COMPUTED_VALUE"""),"Yes")</f>
        <v>Yes</v>
      </c>
      <c r="Q536" s="5" t="str">
        <f>IFERROR(__xludf.DUMMYFUNCTION("""COMPUTED_VALUE"""),"Yes")</f>
        <v>Yes</v>
      </c>
      <c r="R536" s="5" t="str">
        <f>IFERROR(__xludf.DUMMYFUNCTION("""COMPUTED_VALUE"""),"Yes")</f>
        <v>Yes</v>
      </c>
      <c r="S536" s="5" t="str">
        <f>IFERROR(__xludf.DUMMYFUNCTION("""COMPUTED_VALUE"""),"Yes")</f>
        <v>Yes</v>
      </c>
      <c r="T536" s="5" t="str">
        <f>IFERROR(__xludf.DUMMYFUNCTION("""COMPUTED_VALUE"""),"Yes")</f>
        <v>Yes</v>
      </c>
      <c r="U536" s="5" t="str">
        <f>IFERROR(__xludf.DUMMYFUNCTION("""COMPUTED_VALUE"""),"Yes")</f>
        <v>Yes</v>
      </c>
      <c r="V536" s="5" t="str">
        <f>IFERROR(__xludf.DUMMYFUNCTION("""COMPUTED_VALUE"""),"Yes")</f>
        <v>Yes</v>
      </c>
      <c r="W536" s="5" t="str">
        <f>IFERROR(__xludf.DUMMYFUNCTION("""COMPUTED_VALUE"""),"Yes")</f>
        <v>Yes</v>
      </c>
      <c r="X536" s="5" t="str">
        <f>IFERROR(__xludf.DUMMYFUNCTION("""COMPUTED_VALUE"""),"Yes")</f>
        <v>Yes</v>
      </c>
      <c r="Y536" s="5" t="str">
        <f>IFERROR(__xludf.DUMMYFUNCTION("""COMPUTED_VALUE"""),"Yes")</f>
        <v>Yes</v>
      </c>
      <c r="Z536" s="5" t="str">
        <f>IFERROR(__xludf.DUMMYFUNCTION("""COMPUTED_VALUE"""),"Yes")</f>
        <v>Yes</v>
      </c>
      <c r="AA536" s="5" t="str">
        <f>IFERROR(__xludf.DUMMYFUNCTION("""COMPUTED_VALUE"""),"Yes")</f>
        <v>Yes</v>
      </c>
      <c r="AB536" s="5" t="str">
        <f>IFERROR(__xludf.DUMMYFUNCTION("""COMPUTED_VALUE"""),"Yes")</f>
        <v>Yes</v>
      </c>
      <c r="AC536" s="5" t="str">
        <f>IFERROR(__xludf.DUMMYFUNCTION("""COMPUTED_VALUE"""),"No")</f>
        <v>No</v>
      </c>
    </row>
    <row r="537">
      <c r="A537" s="5" t="str">
        <f>IFERROR(__xludf.DUMMYFUNCTION("""COMPUTED_VALUE"""),"GoldenCrownMaxBooster")</f>
        <v>GoldenCrownMaxBooster</v>
      </c>
      <c r="B53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7" s="5" t="str">
        <f>IFERROR(__xludf.DUMMYFUNCTION("""COMPUTED_VALUE"""),"Yes")</f>
        <v>Yes</v>
      </c>
      <c r="D537" s="5" t="str">
        <f>IFERROR(__xludf.DUMMYFUNCTION("""COMPUTED_VALUE"""),"Yes")</f>
        <v>Yes</v>
      </c>
      <c r="E537" s="5" t="str">
        <f>IFERROR(__xludf.DUMMYFUNCTION("""COMPUTED_VALUE"""),"Yes")</f>
        <v>Yes</v>
      </c>
      <c r="F537" s="5" t="str">
        <f>IFERROR(__xludf.DUMMYFUNCTION("""COMPUTED_VALUE"""),"Yes")</f>
        <v>Yes</v>
      </c>
      <c r="G537" s="5" t="str">
        <f>IFERROR(__xludf.DUMMYFUNCTION("""COMPUTED_VALUE"""),"Yes")</f>
        <v>Yes</v>
      </c>
      <c r="H537" s="5" t="str">
        <f>IFERROR(__xludf.DUMMYFUNCTION("""COMPUTED_VALUE"""),"Yes")</f>
        <v>Yes</v>
      </c>
      <c r="I537" s="5" t="str">
        <f>IFERROR(__xludf.DUMMYFUNCTION("""COMPUTED_VALUE"""),"Yes")</f>
        <v>Yes</v>
      </c>
      <c r="J537" s="5" t="str">
        <f>IFERROR(__xludf.DUMMYFUNCTION("""COMPUTED_VALUE"""),"Yes")</f>
        <v>Yes</v>
      </c>
      <c r="K537" s="5" t="str">
        <f>IFERROR(__xludf.DUMMYFUNCTION("""COMPUTED_VALUE"""),"Yes")</f>
        <v>Yes</v>
      </c>
      <c r="L537" s="5" t="str">
        <f>IFERROR(__xludf.DUMMYFUNCTION("""COMPUTED_VALUE"""),"Yes")</f>
        <v>Yes</v>
      </c>
      <c r="M537" s="5" t="str">
        <f>IFERROR(__xludf.DUMMYFUNCTION("""COMPUTED_VALUE"""),"Yes")</f>
        <v>Yes</v>
      </c>
      <c r="N537" s="5" t="str">
        <f>IFERROR(__xludf.DUMMYFUNCTION("""COMPUTED_VALUE"""),"Yes")</f>
        <v>Yes</v>
      </c>
      <c r="O537" s="5" t="str">
        <f>IFERROR(__xludf.DUMMYFUNCTION("""COMPUTED_VALUE"""),"Yes")</f>
        <v>Yes</v>
      </c>
      <c r="P537" s="5" t="str">
        <f>IFERROR(__xludf.DUMMYFUNCTION("""COMPUTED_VALUE"""),"Yes")</f>
        <v>Yes</v>
      </c>
      <c r="Q537" s="5" t="str">
        <f>IFERROR(__xludf.DUMMYFUNCTION("""COMPUTED_VALUE"""),"Yes")</f>
        <v>Yes</v>
      </c>
      <c r="R537" s="5" t="str">
        <f>IFERROR(__xludf.DUMMYFUNCTION("""COMPUTED_VALUE"""),"Yes")</f>
        <v>Yes</v>
      </c>
      <c r="S537" s="5" t="str">
        <f>IFERROR(__xludf.DUMMYFUNCTION("""COMPUTED_VALUE"""),"Yes")</f>
        <v>Yes</v>
      </c>
      <c r="T537" s="5" t="str">
        <f>IFERROR(__xludf.DUMMYFUNCTION("""COMPUTED_VALUE"""),"Yes")</f>
        <v>Yes</v>
      </c>
      <c r="U537" s="5" t="str">
        <f>IFERROR(__xludf.DUMMYFUNCTION("""COMPUTED_VALUE"""),"Yes")</f>
        <v>Yes</v>
      </c>
      <c r="V537" s="5" t="str">
        <f>IFERROR(__xludf.DUMMYFUNCTION("""COMPUTED_VALUE"""),"Yes")</f>
        <v>Yes</v>
      </c>
      <c r="W537" s="5" t="str">
        <f>IFERROR(__xludf.DUMMYFUNCTION("""COMPUTED_VALUE"""),"Yes")</f>
        <v>Yes</v>
      </c>
      <c r="X537" s="5" t="str">
        <f>IFERROR(__xludf.DUMMYFUNCTION("""COMPUTED_VALUE"""),"Yes")</f>
        <v>Yes</v>
      </c>
      <c r="Y537" s="5" t="str">
        <f>IFERROR(__xludf.DUMMYFUNCTION("""COMPUTED_VALUE"""),"Yes")</f>
        <v>Yes</v>
      </c>
      <c r="Z537" s="5" t="str">
        <f>IFERROR(__xludf.DUMMYFUNCTION("""COMPUTED_VALUE"""),"Yes")</f>
        <v>Yes</v>
      </c>
      <c r="AA537" s="5" t="str">
        <f>IFERROR(__xludf.DUMMYFUNCTION("""COMPUTED_VALUE"""),"Yes")</f>
        <v>Yes</v>
      </c>
      <c r="AB537" s="5" t="str">
        <f>IFERROR(__xludf.DUMMYFUNCTION("""COMPUTED_VALUE"""),"Yes")</f>
        <v>Yes</v>
      </c>
      <c r="AC537" s="5" t="str">
        <f>IFERROR(__xludf.DUMMYFUNCTION("""COMPUTED_VALUE"""),"No")</f>
        <v>No</v>
      </c>
    </row>
    <row r="538">
      <c r="A538" s="5" t="str">
        <f>IFERROR(__xludf.DUMMYFUNCTION("""COMPUTED_VALUE"""),"VeryHot40Booster")</f>
        <v>VeryHot40Booster</v>
      </c>
      <c r="B53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8" s="5" t="str">
        <f>IFERROR(__xludf.DUMMYFUNCTION("""COMPUTED_VALUE"""),"Yes")</f>
        <v>Yes</v>
      </c>
      <c r="D538" s="5" t="str">
        <f>IFERROR(__xludf.DUMMYFUNCTION("""COMPUTED_VALUE"""),"Yes")</f>
        <v>Yes</v>
      </c>
      <c r="E538" s="5" t="str">
        <f>IFERROR(__xludf.DUMMYFUNCTION("""COMPUTED_VALUE"""),"Yes")</f>
        <v>Yes</v>
      </c>
      <c r="F538" s="5" t="str">
        <f>IFERROR(__xludf.DUMMYFUNCTION("""COMPUTED_VALUE"""),"Yes")</f>
        <v>Yes</v>
      </c>
      <c r="G538" s="5" t="str">
        <f>IFERROR(__xludf.DUMMYFUNCTION("""COMPUTED_VALUE"""),"Yes")</f>
        <v>Yes</v>
      </c>
      <c r="H538" s="5" t="str">
        <f>IFERROR(__xludf.DUMMYFUNCTION("""COMPUTED_VALUE"""),"Yes")</f>
        <v>Yes</v>
      </c>
      <c r="I538" s="5" t="str">
        <f>IFERROR(__xludf.DUMMYFUNCTION("""COMPUTED_VALUE"""),"Yes")</f>
        <v>Yes</v>
      </c>
      <c r="J538" s="5" t="str">
        <f>IFERROR(__xludf.DUMMYFUNCTION("""COMPUTED_VALUE"""),"Yes")</f>
        <v>Yes</v>
      </c>
      <c r="K538" s="5" t="str">
        <f>IFERROR(__xludf.DUMMYFUNCTION("""COMPUTED_VALUE"""),"Yes")</f>
        <v>Yes</v>
      </c>
      <c r="L538" s="5" t="str">
        <f>IFERROR(__xludf.DUMMYFUNCTION("""COMPUTED_VALUE"""),"Yes")</f>
        <v>Yes</v>
      </c>
      <c r="M538" s="5" t="str">
        <f>IFERROR(__xludf.DUMMYFUNCTION("""COMPUTED_VALUE"""),"Yes")</f>
        <v>Yes</v>
      </c>
      <c r="N538" s="5" t="str">
        <f>IFERROR(__xludf.DUMMYFUNCTION("""COMPUTED_VALUE"""),"Yes")</f>
        <v>Yes</v>
      </c>
      <c r="O538" s="5" t="str">
        <f>IFERROR(__xludf.DUMMYFUNCTION("""COMPUTED_VALUE"""),"Yes")</f>
        <v>Yes</v>
      </c>
      <c r="P538" s="5" t="str">
        <f>IFERROR(__xludf.DUMMYFUNCTION("""COMPUTED_VALUE"""),"Yes")</f>
        <v>Yes</v>
      </c>
      <c r="Q538" s="5" t="str">
        <f>IFERROR(__xludf.DUMMYFUNCTION("""COMPUTED_VALUE"""),"Yes")</f>
        <v>Yes</v>
      </c>
      <c r="R538" s="5" t="str">
        <f>IFERROR(__xludf.DUMMYFUNCTION("""COMPUTED_VALUE"""),"Yes")</f>
        <v>Yes</v>
      </c>
      <c r="S538" s="5" t="str">
        <f>IFERROR(__xludf.DUMMYFUNCTION("""COMPUTED_VALUE"""),"Yes")</f>
        <v>Yes</v>
      </c>
      <c r="T538" s="5" t="str">
        <f>IFERROR(__xludf.DUMMYFUNCTION("""COMPUTED_VALUE"""),"Yes")</f>
        <v>Yes</v>
      </c>
      <c r="U538" s="5" t="str">
        <f>IFERROR(__xludf.DUMMYFUNCTION("""COMPUTED_VALUE"""),"Yes")</f>
        <v>Yes</v>
      </c>
      <c r="V538" s="5" t="str">
        <f>IFERROR(__xludf.DUMMYFUNCTION("""COMPUTED_VALUE"""),"Yes")</f>
        <v>Yes</v>
      </c>
      <c r="W538" s="5" t="str">
        <f>IFERROR(__xludf.DUMMYFUNCTION("""COMPUTED_VALUE"""),"Yes")</f>
        <v>Yes</v>
      </c>
      <c r="X538" s="5" t="str">
        <f>IFERROR(__xludf.DUMMYFUNCTION("""COMPUTED_VALUE"""),"Yes")</f>
        <v>Yes</v>
      </c>
      <c r="Y538" s="5" t="str">
        <f>IFERROR(__xludf.DUMMYFUNCTION("""COMPUTED_VALUE"""),"Yes")</f>
        <v>Yes</v>
      </c>
      <c r="Z538" s="5" t="str">
        <f>IFERROR(__xludf.DUMMYFUNCTION("""COMPUTED_VALUE"""),"Yes")</f>
        <v>Yes</v>
      </c>
      <c r="AA538" s="5" t="str">
        <f>IFERROR(__xludf.DUMMYFUNCTION("""COMPUTED_VALUE"""),"Yes")</f>
        <v>Yes</v>
      </c>
      <c r="AB538" s="5" t="str">
        <f>IFERROR(__xludf.DUMMYFUNCTION("""COMPUTED_VALUE"""),"Yes")</f>
        <v>Yes</v>
      </c>
      <c r="AC538" s="5" t="str">
        <f>IFERROR(__xludf.DUMMYFUNCTION("""COMPUTED_VALUE"""),"No")</f>
        <v>No</v>
      </c>
    </row>
    <row r="539">
      <c r="A539" s="5" t="str">
        <f>IFERROR(__xludf.DUMMYFUNCTION("""COMPUTED_VALUE"""),"GoldenCrown40Booster")</f>
        <v>GoldenCrown40Booster</v>
      </c>
      <c r="B53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9" s="5" t="str">
        <f>IFERROR(__xludf.DUMMYFUNCTION("""COMPUTED_VALUE"""),"Yes")</f>
        <v>Yes</v>
      </c>
      <c r="D539" s="5" t="str">
        <f>IFERROR(__xludf.DUMMYFUNCTION("""COMPUTED_VALUE"""),"Yes")</f>
        <v>Yes</v>
      </c>
      <c r="E539" s="5" t="str">
        <f>IFERROR(__xludf.DUMMYFUNCTION("""COMPUTED_VALUE"""),"Yes")</f>
        <v>Yes</v>
      </c>
      <c r="F539" s="5" t="str">
        <f>IFERROR(__xludf.DUMMYFUNCTION("""COMPUTED_VALUE"""),"Yes")</f>
        <v>Yes</v>
      </c>
      <c r="G539" s="5" t="str">
        <f>IFERROR(__xludf.DUMMYFUNCTION("""COMPUTED_VALUE"""),"Yes")</f>
        <v>Yes</v>
      </c>
      <c r="H539" s="5" t="str">
        <f>IFERROR(__xludf.DUMMYFUNCTION("""COMPUTED_VALUE"""),"Yes")</f>
        <v>Yes</v>
      </c>
      <c r="I539" s="5" t="str">
        <f>IFERROR(__xludf.DUMMYFUNCTION("""COMPUTED_VALUE"""),"Yes")</f>
        <v>Yes</v>
      </c>
      <c r="J539" s="5" t="str">
        <f>IFERROR(__xludf.DUMMYFUNCTION("""COMPUTED_VALUE"""),"Yes")</f>
        <v>Yes</v>
      </c>
      <c r="K539" s="5" t="str">
        <f>IFERROR(__xludf.DUMMYFUNCTION("""COMPUTED_VALUE"""),"Yes")</f>
        <v>Yes</v>
      </c>
      <c r="L539" s="5" t="str">
        <f>IFERROR(__xludf.DUMMYFUNCTION("""COMPUTED_VALUE"""),"Yes")</f>
        <v>Yes</v>
      </c>
      <c r="M539" s="5" t="str">
        <f>IFERROR(__xludf.DUMMYFUNCTION("""COMPUTED_VALUE"""),"Yes")</f>
        <v>Yes</v>
      </c>
      <c r="N539" s="5" t="str">
        <f>IFERROR(__xludf.DUMMYFUNCTION("""COMPUTED_VALUE"""),"Yes")</f>
        <v>Yes</v>
      </c>
      <c r="O539" s="5" t="str">
        <f>IFERROR(__xludf.DUMMYFUNCTION("""COMPUTED_VALUE"""),"Yes")</f>
        <v>Yes</v>
      </c>
      <c r="P539" s="5" t="str">
        <f>IFERROR(__xludf.DUMMYFUNCTION("""COMPUTED_VALUE"""),"Yes")</f>
        <v>Yes</v>
      </c>
      <c r="Q539" s="5" t="str">
        <f>IFERROR(__xludf.DUMMYFUNCTION("""COMPUTED_VALUE"""),"Yes")</f>
        <v>Yes</v>
      </c>
      <c r="R539" s="5" t="str">
        <f>IFERROR(__xludf.DUMMYFUNCTION("""COMPUTED_VALUE"""),"Yes")</f>
        <v>Yes</v>
      </c>
      <c r="S539" s="5" t="str">
        <f>IFERROR(__xludf.DUMMYFUNCTION("""COMPUTED_VALUE"""),"Yes")</f>
        <v>Yes</v>
      </c>
      <c r="T539" s="5" t="str">
        <f>IFERROR(__xludf.DUMMYFUNCTION("""COMPUTED_VALUE"""),"Yes")</f>
        <v>Yes</v>
      </c>
      <c r="U539" s="5" t="str">
        <f>IFERROR(__xludf.DUMMYFUNCTION("""COMPUTED_VALUE"""),"Yes")</f>
        <v>Yes</v>
      </c>
      <c r="V539" s="5" t="str">
        <f>IFERROR(__xludf.DUMMYFUNCTION("""COMPUTED_VALUE"""),"Yes")</f>
        <v>Yes</v>
      </c>
      <c r="W539" s="5" t="str">
        <f>IFERROR(__xludf.DUMMYFUNCTION("""COMPUTED_VALUE"""),"Yes")</f>
        <v>Yes</v>
      </c>
      <c r="X539" s="5" t="str">
        <f>IFERROR(__xludf.DUMMYFUNCTION("""COMPUTED_VALUE"""),"Yes")</f>
        <v>Yes</v>
      </c>
      <c r="Y539" s="5" t="str">
        <f>IFERROR(__xludf.DUMMYFUNCTION("""COMPUTED_VALUE"""),"Yes")</f>
        <v>Yes</v>
      </c>
      <c r="Z539" s="5" t="str">
        <f>IFERROR(__xludf.DUMMYFUNCTION("""COMPUTED_VALUE"""),"Yes")</f>
        <v>Yes</v>
      </c>
      <c r="AA539" s="5" t="str">
        <f>IFERROR(__xludf.DUMMYFUNCTION("""COMPUTED_VALUE"""),"Yes")</f>
        <v>Yes</v>
      </c>
      <c r="AB539" s="5" t="str">
        <f>IFERROR(__xludf.DUMMYFUNCTION("""COMPUTED_VALUE"""),"Yes")</f>
        <v>Yes</v>
      </c>
      <c r="AC539" s="5" t="str">
        <f>IFERROR(__xludf.DUMMYFUNCTION("""COMPUTED_VALUE"""),"No")</f>
        <v>No</v>
      </c>
    </row>
    <row r="540">
      <c r="A540" s="5" t="str">
        <f>IFERROR(__xludf.DUMMYFUNCTION("""COMPUTED_VALUE"""),"BrilliantHeartBooster")</f>
        <v>BrilliantHeartBooster</v>
      </c>
      <c r="B54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0" s="5" t="str">
        <f>IFERROR(__xludf.DUMMYFUNCTION("""COMPUTED_VALUE"""),"Yes")</f>
        <v>Yes</v>
      </c>
      <c r="D540" s="5" t="str">
        <f>IFERROR(__xludf.DUMMYFUNCTION("""COMPUTED_VALUE"""),"Yes")</f>
        <v>Yes</v>
      </c>
      <c r="E540" s="5" t="str">
        <f>IFERROR(__xludf.DUMMYFUNCTION("""COMPUTED_VALUE"""),"Yes")</f>
        <v>Yes</v>
      </c>
      <c r="F540" s="5" t="str">
        <f>IFERROR(__xludf.DUMMYFUNCTION("""COMPUTED_VALUE"""),"Yes")</f>
        <v>Yes</v>
      </c>
      <c r="G540" s="5" t="str">
        <f>IFERROR(__xludf.DUMMYFUNCTION("""COMPUTED_VALUE"""),"Yes")</f>
        <v>Yes</v>
      </c>
      <c r="H540" s="5" t="str">
        <f>IFERROR(__xludf.DUMMYFUNCTION("""COMPUTED_VALUE"""),"Yes")</f>
        <v>Yes</v>
      </c>
      <c r="I540" s="5" t="str">
        <f>IFERROR(__xludf.DUMMYFUNCTION("""COMPUTED_VALUE"""),"Yes")</f>
        <v>Yes</v>
      </c>
      <c r="J540" s="5" t="str">
        <f>IFERROR(__xludf.DUMMYFUNCTION("""COMPUTED_VALUE"""),"Yes")</f>
        <v>Yes</v>
      </c>
      <c r="K540" s="5" t="str">
        <f>IFERROR(__xludf.DUMMYFUNCTION("""COMPUTED_VALUE"""),"Yes")</f>
        <v>Yes</v>
      </c>
      <c r="L540" s="5" t="str">
        <f>IFERROR(__xludf.DUMMYFUNCTION("""COMPUTED_VALUE"""),"Yes")</f>
        <v>Yes</v>
      </c>
      <c r="M540" s="5" t="str">
        <f>IFERROR(__xludf.DUMMYFUNCTION("""COMPUTED_VALUE"""),"Yes")</f>
        <v>Yes</v>
      </c>
      <c r="N540" s="5" t="str">
        <f>IFERROR(__xludf.DUMMYFUNCTION("""COMPUTED_VALUE"""),"Yes")</f>
        <v>Yes</v>
      </c>
      <c r="O540" s="5" t="str">
        <f>IFERROR(__xludf.DUMMYFUNCTION("""COMPUTED_VALUE"""),"Yes")</f>
        <v>Yes</v>
      </c>
      <c r="P540" s="5" t="str">
        <f>IFERROR(__xludf.DUMMYFUNCTION("""COMPUTED_VALUE"""),"Yes")</f>
        <v>Yes</v>
      </c>
      <c r="Q540" s="5" t="str">
        <f>IFERROR(__xludf.DUMMYFUNCTION("""COMPUTED_VALUE"""),"Yes")</f>
        <v>Yes</v>
      </c>
      <c r="R540" s="5" t="str">
        <f>IFERROR(__xludf.DUMMYFUNCTION("""COMPUTED_VALUE"""),"Yes")</f>
        <v>Yes</v>
      </c>
      <c r="S540" s="5" t="str">
        <f>IFERROR(__xludf.DUMMYFUNCTION("""COMPUTED_VALUE"""),"Yes")</f>
        <v>Yes</v>
      </c>
      <c r="T540" s="5" t="str">
        <f>IFERROR(__xludf.DUMMYFUNCTION("""COMPUTED_VALUE"""),"Yes")</f>
        <v>Yes</v>
      </c>
      <c r="U540" s="5" t="str">
        <f>IFERROR(__xludf.DUMMYFUNCTION("""COMPUTED_VALUE"""),"Yes")</f>
        <v>Yes</v>
      </c>
      <c r="V540" s="5" t="str">
        <f>IFERROR(__xludf.DUMMYFUNCTION("""COMPUTED_VALUE"""),"Yes")</f>
        <v>Yes</v>
      </c>
      <c r="W540" s="5" t="str">
        <f>IFERROR(__xludf.DUMMYFUNCTION("""COMPUTED_VALUE"""),"Yes")</f>
        <v>Yes</v>
      </c>
      <c r="X540" s="5" t="str">
        <f>IFERROR(__xludf.DUMMYFUNCTION("""COMPUTED_VALUE"""),"Yes")</f>
        <v>Yes</v>
      </c>
      <c r="Y540" s="5" t="str">
        <f>IFERROR(__xludf.DUMMYFUNCTION("""COMPUTED_VALUE"""),"Yes")</f>
        <v>Yes</v>
      </c>
      <c r="Z540" s="5" t="str">
        <f>IFERROR(__xludf.DUMMYFUNCTION("""COMPUTED_VALUE"""),"Yes")</f>
        <v>Yes</v>
      </c>
      <c r="AA540" s="5" t="str">
        <f>IFERROR(__xludf.DUMMYFUNCTION("""COMPUTED_VALUE"""),"Yes")</f>
        <v>Yes</v>
      </c>
      <c r="AB540" s="5" t="str">
        <f>IFERROR(__xludf.DUMMYFUNCTION("""COMPUTED_VALUE"""),"Yes")</f>
        <v>Yes</v>
      </c>
      <c r="AC540" s="5" t="str">
        <f>IFERROR(__xludf.DUMMYFUNCTION("""COMPUTED_VALUE"""),"No")</f>
        <v>No</v>
      </c>
    </row>
    <row r="541">
      <c r="A541" s="5" t="str">
        <f>IFERROR(__xludf.DUMMYFUNCTION("""COMPUTED_VALUE"""),"EpicClover100Booster")</f>
        <v>EpicClover100Booster</v>
      </c>
      <c r="B54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1" s="5" t="str">
        <f>IFERROR(__xludf.DUMMYFUNCTION("""COMPUTED_VALUE"""),"Yes")</f>
        <v>Yes</v>
      </c>
      <c r="D541" s="5" t="str">
        <f>IFERROR(__xludf.DUMMYFUNCTION("""COMPUTED_VALUE"""),"Yes")</f>
        <v>Yes</v>
      </c>
      <c r="E541" s="5" t="str">
        <f>IFERROR(__xludf.DUMMYFUNCTION("""COMPUTED_VALUE"""),"Yes")</f>
        <v>Yes</v>
      </c>
      <c r="F541" s="5" t="str">
        <f>IFERROR(__xludf.DUMMYFUNCTION("""COMPUTED_VALUE"""),"Yes")</f>
        <v>Yes</v>
      </c>
      <c r="G541" s="5" t="str">
        <f>IFERROR(__xludf.DUMMYFUNCTION("""COMPUTED_VALUE"""),"Yes")</f>
        <v>Yes</v>
      </c>
      <c r="H541" s="5" t="str">
        <f>IFERROR(__xludf.DUMMYFUNCTION("""COMPUTED_VALUE"""),"Yes")</f>
        <v>Yes</v>
      </c>
      <c r="I541" s="5" t="str">
        <f>IFERROR(__xludf.DUMMYFUNCTION("""COMPUTED_VALUE"""),"Yes")</f>
        <v>Yes</v>
      </c>
      <c r="J541" s="5" t="str">
        <f>IFERROR(__xludf.DUMMYFUNCTION("""COMPUTED_VALUE"""),"Yes")</f>
        <v>Yes</v>
      </c>
      <c r="K541" s="5" t="str">
        <f>IFERROR(__xludf.DUMMYFUNCTION("""COMPUTED_VALUE"""),"Yes")</f>
        <v>Yes</v>
      </c>
      <c r="L541" s="5" t="str">
        <f>IFERROR(__xludf.DUMMYFUNCTION("""COMPUTED_VALUE"""),"Yes")</f>
        <v>Yes</v>
      </c>
      <c r="M541" s="5" t="str">
        <f>IFERROR(__xludf.DUMMYFUNCTION("""COMPUTED_VALUE"""),"Yes")</f>
        <v>Yes</v>
      </c>
      <c r="N541" s="5" t="str">
        <f>IFERROR(__xludf.DUMMYFUNCTION("""COMPUTED_VALUE"""),"Yes")</f>
        <v>Yes</v>
      </c>
      <c r="O541" s="5" t="str">
        <f>IFERROR(__xludf.DUMMYFUNCTION("""COMPUTED_VALUE"""),"Yes")</f>
        <v>Yes</v>
      </c>
      <c r="P541" s="5" t="str">
        <f>IFERROR(__xludf.DUMMYFUNCTION("""COMPUTED_VALUE"""),"Yes")</f>
        <v>Yes</v>
      </c>
      <c r="Q541" s="5" t="str">
        <f>IFERROR(__xludf.DUMMYFUNCTION("""COMPUTED_VALUE"""),"Yes")</f>
        <v>Yes</v>
      </c>
      <c r="R541" s="5" t="str">
        <f>IFERROR(__xludf.DUMMYFUNCTION("""COMPUTED_VALUE"""),"Yes")</f>
        <v>Yes</v>
      </c>
      <c r="S541" s="5" t="str">
        <f>IFERROR(__xludf.DUMMYFUNCTION("""COMPUTED_VALUE"""),"Yes")</f>
        <v>Yes</v>
      </c>
      <c r="T541" s="5" t="str">
        <f>IFERROR(__xludf.DUMMYFUNCTION("""COMPUTED_VALUE"""),"Yes")</f>
        <v>Yes</v>
      </c>
      <c r="U541" s="5" t="str">
        <f>IFERROR(__xludf.DUMMYFUNCTION("""COMPUTED_VALUE"""),"Yes")</f>
        <v>Yes</v>
      </c>
      <c r="V541" s="5" t="str">
        <f>IFERROR(__xludf.DUMMYFUNCTION("""COMPUTED_VALUE"""),"Yes")</f>
        <v>Yes</v>
      </c>
      <c r="W541" s="5" t="str">
        <f>IFERROR(__xludf.DUMMYFUNCTION("""COMPUTED_VALUE"""),"Yes")</f>
        <v>Yes</v>
      </c>
      <c r="X541" s="5" t="str">
        <f>IFERROR(__xludf.DUMMYFUNCTION("""COMPUTED_VALUE"""),"Yes")</f>
        <v>Yes</v>
      </c>
      <c r="Y541" s="5" t="str">
        <f>IFERROR(__xludf.DUMMYFUNCTION("""COMPUTED_VALUE"""),"Yes")</f>
        <v>Yes</v>
      </c>
      <c r="Z541" s="5" t="str">
        <f>IFERROR(__xludf.DUMMYFUNCTION("""COMPUTED_VALUE"""),"Yes")</f>
        <v>Yes</v>
      </c>
      <c r="AA541" s="5" t="str">
        <f>IFERROR(__xludf.DUMMYFUNCTION("""COMPUTED_VALUE"""),"Yes")</f>
        <v>Yes</v>
      </c>
      <c r="AB541" s="5" t="str">
        <f>IFERROR(__xludf.DUMMYFUNCTION("""COMPUTED_VALUE"""),"Yes")</f>
        <v>Yes</v>
      </c>
      <c r="AC541" s="5" t="str">
        <f>IFERROR(__xludf.DUMMYFUNCTION("""COMPUTED_VALUE"""),"No")</f>
        <v>No</v>
      </c>
    </row>
    <row r="542">
      <c r="A542" s="5" t="str">
        <f>IFERROR(__xludf.DUMMYFUNCTION("""COMPUTED_VALUE"""),"AdmiralBetWildHot40FreeSpins")</f>
        <v>AdmiralBetWildHot40FreeSpins</v>
      </c>
      <c r="B54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2" s="5" t="str">
        <f>IFERROR(__xludf.DUMMYFUNCTION("""COMPUTED_VALUE"""),"Yes")</f>
        <v>Yes</v>
      </c>
      <c r="D542" s="5" t="str">
        <f>IFERROR(__xludf.DUMMYFUNCTION("""COMPUTED_VALUE"""),"Yes")</f>
        <v>Yes</v>
      </c>
      <c r="E542" s="5" t="str">
        <f>IFERROR(__xludf.DUMMYFUNCTION("""COMPUTED_VALUE"""),"Yes")</f>
        <v>Yes</v>
      </c>
      <c r="F542" s="5" t="str">
        <f>IFERROR(__xludf.DUMMYFUNCTION("""COMPUTED_VALUE"""),"Yes")</f>
        <v>Yes</v>
      </c>
      <c r="G542" s="5" t="str">
        <f>IFERROR(__xludf.DUMMYFUNCTION("""COMPUTED_VALUE"""),"Yes")</f>
        <v>Yes</v>
      </c>
      <c r="H542" s="5" t="str">
        <f>IFERROR(__xludf.DUMMYFUNCTION("""COMPUTED_VALUE"""),"Yes")</f>
        <v>Yes</v>
      </c>
      <c r="I542" s="5" t="str">
        <f>IFERROR(__xludf.DUMMYFUNCTION("""COMPUTED_VALUE"""),"Yes")</f>
        <v>Yes</v>
      </c>
      <c r="J542" s="5" t="str">
        <f>IFERROR(__xludf.DUMMYFUNCTION("""COMPUTED_VALUE"""),"Yes")</f>
        <v>Yes</v>
      </c>
      <c r="K542" s="5" t="str">
        <f>IFERROR(__xludf.DUMMYFUNCTION("""COMPUTED_VALUE"""),"Yes")</f>
        <v>Yes</v>
      </c>
      <c r="L542" s="5" t="str">
        <f>IFERROR(__xludf.DUMMYFUNCTION("""COMPUTED_VALUE"""),"Yes")</f>
        <v>Yes</v>
      </c>
      <c r="M542" s="5" t="str">
        <f>IFERROR(__xludf.DUMMYFUNCTION("""COMPUTED_VALUE"""),"Yes")</f>
        <v>Yes</v>
      </c>
      <c r="N542" s="5" t="str">
        <f>IFERROR(__xludf.DUMMYFUNCTION("""COMPUTED_VALUE"""),"Yes")</f>
        <v>Yes</v>
      </c>
      <c r="O542" s="5" t="str">
        <f>IFERROR(__xludf.DUMMYFUNCTION("""COMPUTED_VALUE"""),"Yes")</f>
        <v>Yes</v>
      </c>
      <c r="P542" s="5" t="str">
        <f>IFERROR(__xludf.DUMMYFUNCTION("""COMPUTED_VALUE"""),"Yes")</f>
        <v>Yes</v>
      </c>
      <c r="Q542" s="5" t="str">
        <f>IFERROR(__xludf.DUMMYFUNCTION("""COMPUTED_VALUE"""),"Yes")</f>
        <v>Yes</v>
      </c>
      <c r="R542" s="5" t="str">
        <f>IFERROR(__xludf.DUMMYFUNCTION("""COMPUTED_VALUE"""),"Yes")</f>
        <v>Yes</v>
      </c>
      <c r="S542" s="5" t="str">
        <f>IFERROR(__xludf.DUMMYFUNCTION("""COMPUTED_VALUE"""),"Yes")</f>
        <v>Yes</v>
      </c>
      <c r="T542" s="5" t="str">
        <f>IFERROR(__xludf.DUMMYFUNCTION("""COMPUTED_VALUE"""),"Yes")</f>
        <v>Yes</v>
      </c>
      <c r="U542" s="5" t="str">
        <f>IFERROR(__xludf.DUMMYFUNCTION("""COMPUTED_VALUE"""),"Yes")</f>
        <v>Yes</v>
      </c>
      <c r="V542" s="5" t="str">
        <f>IFERROR(__xludf.DUMMYFUNCTION("""COMPUTED_VALUE"""),"Yes")</f>
        <v>Yes</v>
      </c>
      <c r="W542" s="5" t="str">
        <f>IFERROR(__xludf.DUMMYFUNCTION("""COMPUTED_VALUE"""),"Yes")</f>
        <v>Yes</v>
      </c>
      <c r="X542" s="5" t="str">
        <f>IFERROR(__xludf.DUMMYFUNCTION("""COMPUTED_VALUE"""),"Yes")</f>
        <v>Yes</v>
      </c>
      <c r="Y542" s="5" t="str">
        <f>IFERROR(__xludf.DUMMYFUNCTION("""COMPUTED_VALUE"""),"Yes")</f>
        <v>Yes</v>
      </c>
      <c r="Z542" s="5" t="str">
        <f>IFERROR(__xludf.DUMMYFUNCTION("""COMPUTED_VALUE"""),"Yes")</f>
        <v>Yes</v>
      </c>
      <c r="AA542" s="5" t="str">
        <f>IFERROR(__xludf.DUMMYFUNCTION("""COMPUTED_VALUE"""),"Yes")</f>
        <v>Yes</v>
      </c>
      <c r="AB542" s="5" t="str">
        <f>IFERROR(__xludf.DUMMYFUNCTION("""COMPUTED_VALUE"""),"Yes")</f>
        <v>Yes</v>
      </c>
      <c r="AC542" s="5" t="str">
        <f>IFERROR(__xludf.DUMMYFUNCTION("""COMPUTED_VALUE"""),"No")</f>
        <v>No</v>
      </c>
    </row>
    <row r="543">
      <c r="A543" s="5" t="str">
        <f>IFERROR(__xludf.DUMMYFUNCTION("""COMPUTED_VALUE"""),"CoinSplashExtreme")</f>
        <v>CoinSplashExtreme</v>
      </c>
      <c r="B54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3" s="5" t="str">
        <f>IFERROR(__xludf.DUMMYFUNCTION("""COMPUTED_VALUE"""),"Yes")</f>
        <v>Yes</v>
      </c>
      <c r="D543" s="5" t="str">
        <f>IFERROR(__xludf.DUMMYFUNCTION("""COMPUTED_VALUE"""),"Yes")</f>
        <v>Yes</v>
      </c>
      <c r="E543" s="5" t="str">
        <f>IFERROR(__xludf.DUMMYFUNCTION("""COMPUTED_VALUE"""),"Yes")</f>
        <v>Yes</v>
      </c>
      <c r="F543" s="5" t="str">
        <f>IFERROR(__xludf.DUMMYFUNCTION("""COMPUTED_VALUE"""),"Yes")</f>
        <v>Yes</v>
      </c>
      <c r="G543" s="5" t="str">
        <f>IFERROR(__xludf.DUMMYFUNCTION("""COMPUTED_VALUE"""),"Yes")</f>
        <v>Yes</v>
      </c>
      <c r="H543" s="5" t="str">
        <f>IFERROR(__xludf.DUMMYFUNCTION("""COMPUTED_VALUE"""),"Yes")</f>
        <v>Yes</v>
      </c>
      <c r="I543" s="5" t="str">
        <f>IFERROR(__xludf.DUMMYFUNCTION("""COMPUTED_VALUE"""),"Yes")</f>
        <v>Yes</v>
      </c>
      <c r="J543" s="5" t="str">
        <f>IFERROR(__xludf.DUMMYFUNCTION("""COMPUTED_VALUE"""),"Yes")</f>
        <v>Yes</v>
      </c>
      <c r="K543" s="5" t="str">
        <f>IFERROR(__xludf.DUMMYFUNCTION("""COMPUTED_VALUE"""),"Yes")</f>
        <v>Yes</v>
      </c>
      <c r="L543" s="5" t="str">
        <f>IFERROR(__xludf.DUMMYFUNCTION("""COMPUTED_VALUE"""),"Yes")</f>
        <v>Yes</v>
      </c>
      <c r="M543" s="5" t="str">
        <f>IFERROR(__xludf.DUMMYFUNCTION("""COMPUTED_VALUE"""),"Yes")</f>
        <v>Yes</v>
      </c>
      <c r="N543" s="5" t="str">
        <f>IFERROR(__xludf.DUMMYFUNCTION("""COMPUTED_VALUE"""),"Yes")</f>
        <v>Yes</v>
      </c>
      <c r="O543" s="5" t="str">
        <f>IFERROR(__xludf.DUMMYFUNCTION("""COMPUTED_VALUE"""),"Yes")</f>
        <v>Yes</v>
      </c>
      <c r="P543" s="5" t="str">
        <f>IFERROR(__xludf.DUMMYFUNCTION("""COMPUTED_VALUE"""),"Yes")</f>
        <v>Yes</v>
      </c>
      <c r="Q543" s="5" t="str">
        <f>IFERROR(__xludf.DUMMYFUNCTION("""COMPUTED_VALUE"""),"Yes")</f>
        <v>Yes</v>
      </c>
      <c r="R543" s="5" t="str">
        <f>IFERROR(__xludf.DUMMYFUNCTION("""COMPUTED_VALUE"""),"Yes")</f>
        <v>Yes</v>
      </c>
      <c r="S543" s="5" t="str">
        <f>IFERROR(__xludf.DUMMYFUNCTION("""COMPUTED_VALUE"""),"Yes")</f>
        <v>Yes</v>
      </c>
      <c r="T543" s="5" t="str">
        <f>IFERROR(__xludf.DUMMYFUNCTION("""COMPUTED_VALUE"""),"Yes")</f>
        <v>Yes</v>
      </c>
      <c r="U543" s="5" t="str">
        <f>IFERROR(__xludf.DUMMYFUNCTION("""COMPUTED_VALUE"""),"Yes")</f>
        <v>Yes</v>
      </c>
      <c r="V543" s="5" t="str">
        <f>IFERROR(__xludf.DUMMYFUNCTION("""COMPUTED_VALUE"""),"Yes")</f>
        <v>Yes</v>
      </c>
      <c r="W543" s="5" t="str">
        <f>IFERROR(__xludf.DUMMYFUNCTION("""COMPUTED_VALUE"""),"Yes")</f>
        <v>Yes</v>
      </c>
      <c r="X543" s="5" t="str">
        <f>IFERROR(__xludf.DUMMYFUNCTION("""COMPUTED_VALUE"""),"Yes")</f>
        <v>Yes</v>
      </c>
      <c r="Y543" s="5" t="str">
        <f>IFERROR(__xludf.DUMMYFUNCTION("""COMPUTED_VALUE"""),"Yes")</f>
        <v>Yes</v>
      </c>
      <c r="Z543" s="5" t="str">
        <f>IFERROR(__xludf.DUMMYFUNCTION("""COMPUTED_VALUE"""),"Yes")</f>
        <v>Yes</v>
      </c>
      <c r="AA543" s="5" t="str">
        <f>IFERROR(__xludf.DUMMYFUNCTION("""COMPUTED_VALUE"""),"Yes")</f>
        <v>Yes</v>
      </c>
      <c r="AB543" s="5" t="str">
        <f>IFERROR(__xludf.DUMMYFUNCTION("""COMPUTED_VALUE"""),"Yes")</f>
        <v>Yes</v>
      </c>
      <c r="AC543" s="5" t="str">
        <f>IFERROR(__xludf.DUMMYFUNCTION("""COMPUTED_VALUE"""),"No")</f>
        <v>No</v>
      </c>
    </row>
    <row r="544">
      <c r="A544" s="5" t="str">
        <f>IFERROR(__xludf.DUMMYFUNCTION("""COMPUTED_VALUE"""),"HotClock")</f>
        <v>HotClock</v>
      </c>
      <c r="B5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4" s="5" t="str">
        <f>IFERROR(__xludf.DUMMYFUNCTION("""COMPUTED_VALUE"""),"Yes")</f>
        <v>Yes</v>
      </c>
      <c r="D544" s="5" t="str">
        <f>IFERROR(__xludf.DUMMYFUNCTION("""COMPUTED_VALUE"""),"Yes")</f>
        <v>Yes</v>
      </c>
      <c r="E544" s="5" t="str">
        <f>IFERROR(__xludf.DUMMYFUNCTION("""COMPUTED_VALUE"""),"Yes")</f>
        <v>Yes</v>
      </c>
      <c r="F544" s="5" t="str">
        <f>IFERROR(__xludf.DUMMYFUNCTION("""COMPUTED_VALUE"""),"Yes")</f>
        <v>Yes</v>
      </c>
      <c r="G544" s="5" t="str">
        <f>IFERROR(__xludf.DUMMYFUNCTION("""COMPUTED_VALUE"""),"Yes")</f>
        <v>Yes</v>
      </c>
      <c r="H544" s="5" t="str">
        <f>IFERROR(__xludf.DUMMYFUNCTION("""COMPUTED_VALUE"""),"Yes")</f>
        <v>Yes</v>
      </c>
      <c r="I544" s="5" t="str">
        <f>IFERROR(__xludf.DUMMYFUNCTION("""COMPUTED_VALUE"""),"Yes")</f>
        <v>Yes</v>
      </c>
      <c r="J544" s="5" t="str">
        <f>IFERROR(__xludf.DUMMYFUNCTION("""COMPUTED_VALUE"""),"Yes")</f>
        <v>Yes</v>
      </c>
      <c r="K544" s="5" t="str">
        <f>IFERROR(__xludf.DUMMYFUNCTION("""COMPUTED_VALUE"""),"Yes")</f>
        <v>Yes</v>
      </c>
      <c r="L544" s="5" t="str">
        <f>IFERROR(__xludf.DUMMYFUNCTION("""COMPUTED_VALUE"""),"Yes")</f>
        <v>Yes</v>
      </c>
      <c r="M544" s="5" t="str">
        <f>IFERROR(__xludf.DUMMYFUNCTION("""COMPUTED_VALUE"""),"Yes")</f>
        <v>Yes</v>
      </c>
      <c r="N544" s="5" t="str">
        <f>IFERROR(__xludf.DUMMYFUNCTION("""COMPUTED_VALUE"""),"Yes")</f>
        <v>Yes</v>
      </c>
      <c r="O544" s="5" t="str">
        <f>IFERROR(__xludf.DUMMYFUNCTION("""COMPUTED_VALUE"""),"Yes")</f>
        <v>Yes</v>
      </c>
      <c r="P544" s="5" t="str">
        <f>IFERROR(__xludf.DUMMYFUNCTION("""COMPUTED_VALUE"""),"Yes")</f>
        <v>Yes</v>
      </c>
      <c r="Q544" s="5" t="str">
        <f>IFERROR(__xludf.DUMMYFUNCTION("""COMPUTED_VALUE"""),"Yes")</f>
        <v>Yes</v>
      </c>
      <c r="R544" s="5" t="str">
        <f>IFERROR(__xludf.DUMMYFUNCTION("""COMPUTED_VALUE"""),"Yes")</f>
        <v>Yes</v>
      </c>
      <c r="S544" s="5" t="str">
        <f>IFERROR(__xludf.DUMMYFUNCTION("""COMPUTED_VALUE"""),"Yes")</f>
        <v>Yes</v>
      </c>
      <c r="T544" s="5" t="str">
        <f>IFERROR(__xludf.DUMMYFUNCTION("""COMPUTED_VALUE"""),"Yes")</f>
        <v>Yes</v>
      </c>
      <c r="U544" s="5" t="str">
        <f>IFERROR(__xludf.DUMMYFUNCTION("""COMPUTED_VALUE"""),"Yes")</f>
        <v>Yes</v>
      </c>
      <c r="V544" s="5" t="str">
        <f>IFERROR(__xludf.DUMMYFUNCTION("""COMPUTED_VALUE"""),"Yes")</f>
        <v>Yes</v>
      </c>
      <c r="W544" s="5" t="str">
        <f>IFERROR(__xludf.DUMMYFUNCTION("""COMPUTED_VALUE"""),"Yes")</f>
        <v>Yes</v>
      </c>
      <c r="X544" s="5" t="str">
        <f>IFERROR(__xludf.DUMMYFUNCTION("""COMPUTED_VALUE"""),"Yes")</f>
        <v>Yes</v>
      </c>
      <c r="Y544" s="5" t="str">
        <f>IFERROR(__xludf.DUMMYFUNCTION("""COMPUTED_VALUE"""),"Yes")</f>
        <v>Yes</v>
      </c>
      <c r="Z544" s="5" t="str">
        <f>IFERROR(__xludf.DUMMYFUNCTION("""COMPUTED_VALUE"""),"Yes")</f>
        <v>Yes</v>
      </c>
      <c r="AA544" s="5" t="str">
        <f>IFERROR(__xludf.DUMMYFUNCTION("""COMPUTED_VALUE"""),"Yes")</f>
        <v>Yes</v>
      </c>
      <c r="AB544" s="5" t="str">
        <f>IFERROR(__xludf.DUMMYFUNCTION("""COMPUTED_VALUE"""),"Yes")</f>
        <v>Yes</v>
      </c>
      <c r="AC544" s="5" t="str">
        <f>IFERROR(__xludf.DUMMYFUNCTION("""COMPUTED_VALUE"""),"No")</f>
        <v>No</v>
      </c>
    </row>
    <row r="545">
      <c r="A545" s="5" t="str">
        <f>IFERROR(__xludf.DUMMYFUNCTION("""COMPUTED_VALUE"""),"Redstone10WildCrownHalloween")</f>
        <v>Redstone10WildCrownHalloween</v>
      </c>
      <c r="B54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C545" s="5" t="str">
        <f>IFERROR(__xludf.DUMMYFUNCTION("""COMPUTED_VALUE"""),"Yes")</f>
        <v>Yes</v>
      </c>
      <c r="D545" s="5" t="str">
        <f>IFERROR(__xludf.DUMMYFUNCTION("""COMPUTED_VALUE"""),"Yes")</f>
        <v>Yes</v>
      </c>
      <c r="E545" s="5" t="str">
        <f>IFERROR(__xludf.DUMMYFUNCTION("""COMPUTED_VALUE"""),"Yes")</f>
        <v>Yes</v>
      </c>
      <c r="F545" s="5" t="str">
        <f>IFERROR(__xludf.DUMMYFUNCTION("""COMPUTED_VALUE"""),"Yes")</f>
        <v>Yes</v>
      </c>
      <c r="G545" s="5" t="str">
        <f>IFERROR(__xludf.DUMMYFUNCTION("""COMPUTED_VALUE"""),"Yes")</f>
        <v>Yes</v>
      </c>
      <c r="H545" s="5" t="str">
        <f>IFERROR(__xludf.DUMMYFUNCTION("""COMPUTED_VALUE"""),"Yes")</f>
        <v>Yes</v>
      </c>
      <c r="I545" s="5" t="str">
        <f>IFERROR(__xludf.DUMMYFUNCTION("""COMPUTED_VALUE"""),"Yes")</f>
        <v>Yes</v>
      </c>
      <c r="J545" s="5" t="str">
        <f>IFERROR(__xludf.DUMMYFUNCTION("""COMPUTED_VALUE"""),"Yes")</f>
        <v>Yes</v>
      </c>
      <c r="K545" s="5" t="str">
        <f>IFERROR(__xludf.DUMMYFUNCTION("""COMPUTED_VALUE"""),"Yes")</f>
        <v>Yes</v>
      </c>
      <c r="L545" s="5" t="str">
        <f>IFERROR(__xludf.DUMMYFUNCTION("""COMPUTED_VALUE"""),"Yes")</f>
        <v>Yes</v>
      </c>
      <c r="M545" s="5" t="str">
        <f>IFERROR(__xludf.DUMMYFUNCTION("""COMPUTED_VALUE"""),"Yes")</f>
        <v>Yes</v>
      </c>
      <c r="N545" s="5" t="str">
        <f>IFERROR(__xludf.DUMMYFUNCTION("""COMPUTED_VALUE"""),"Yes")</f>
        <v>Yes</v>
      </c>
      <c r="O545" s="5" t="str">
        <f>IFERROR(__xludf.DUMMYFUNCTION("""COMPUTED_VALUE"""),"Yes")</f>
        <v>Yes</v>
      </c>
      <c r="P545" s="5" t="str">
        <f>IFERROR(__xludf.DUMMYFUNCTION("""COMPUTED_VALUE"""),"Yes")</f>
        <v>Yes</v>
      </c>
      <c r="Q545" s="5" t="str">
        <f>IFERROR(__xludf.DUMMYFUNCTION("""COMPUTED_VALUE"""),"Yes")</f>
        <v>Yes</v>
      </c>
      <c r="R545" s="5" t="str">
        <f>IFERROR(__xludf.DUMMYFUNCTION("""COMPUTED_VALUE"""),"Yes")</f>
        <v>Yes</v>
      </c>
      <c r="S545" s="5" t="str">
        <f>IFERROR(__xludf.DUMMYFUNCTION("""COMPUTED_VALUE"""),"Yes")</f>
        <v>Yes</v>
      </c>
      <c r="T545" s="5" t="str">
        <f>IFERROR(__xludf.DUMMYFUNCTION("""COMPUTED_VALUE"""),"Yes")</f>
        <v>Yes</v>
      </c>
      <c r="U545" s="5" t="str">
        <f>IFERROR(__xludf.DUMMYFUNCTION("""COMPUTED_VALUE"""),"Yes")</f>
        <v>Yes</v>
      </c>
      <c r="V545" s="5"/>
      <c r="W545" s="5"/>
      <c r="X545" s="5"/>
      <c r="Y545" s="5"/>
      <c r="Z545" s="5" t="str">
        <f>IFERROR(__xludf.DUMMYFUNCTION("""COMPUTED_VALUE"""),"Yes")</f>
        <v>Yes</v>
      </c>
      <c r="AA545" s="5"/>
      <c r="AB545" s="5" t="str">
        <f>IFERROR(__xludf.DUMMYFUNCTION("""COMPUTED_VALUE"""),"Yes")</f>
        <v>Yes</v>
      </c>
      <c r="AC545" s="5"/>
    </row>
    <row r="546">
      <c r="A546" s="5" t="str">
        <f>IFERROR(__xludf.DUMMYFUNCTION("""COMPUTED_VALUE"""),"Redstone5CloverFireHalloween")</f>
        <v>Redstone5CloverFireHalloween</v>
      </c>
      <c r="B54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C546" s="5" t="str">
        <f>IFERROR(__xludf.DUMMYFUNCTION("""COMPUTED_VALUE"""),"Yes")</f>
        <v>Yes</v>
      </c>
      <c r="D546" s="5" t="str">
        <f>IFERROR(__xludf.DUMMYFUNCTION("""COMPUTED_VALUE"""),"Yes")</f>
        <v>Yes</v>
      </c>
      <c r="E546" s="5" t="str">
        <f>IFERROR(__xludf.DUMMYFUNCTION("""COMPUTED_VALUE"""),"Yes")</f>
        <v>Yes</v>
      </c>
      <c r="F546" s="5" t="str">
        <f>IFERROR(__xludf.DUMMYFUNCTION("""COMPUTED_VALUE"""),"Yes")</f>
        <v>Yes</v>
      </c>
      <c r="G546" s="5" t="str">
        <f>IFERROR(__xludf.DUMMYFUNCTION("""COMPUTED_VALUE"""),"Yes")</f>
        <v>Yes</v>
      </c>
      <c r="H546" s="5" t="str">
        <f>IFERROR(__xludf.DUMMYFUNCTION("""COMPUTED_VALUE"""),"Yes")</f>
        <v>Yes</v>
      </c>
      <c r="I546" s="5" t="str">
        <f>IFERROR(__xludf.DUMMYFUNCTION("""COMPUTED_VALUE"""),"Yes")</f>
        <v>Yes</v>
      </c>
      <c r="J546" s="5" t="str">
        <f>IFERROR(__xludf.DUMMYFUNCTION("""COMPUTED_VALUE"""),"Yes")</f>
        <v>Yes</v>
      </c>
      <c r="K546" s="5" t="str">
        <f>IFERROR(__xludf.DUMMYFUNCTION("""COMPUTED_VALUE"""),"Yes")</f>
        <v>Yes</v>
      </c>
      <c r="L546" s="5" t="str">
        <f>IFERROR(__xludf.DUMMYFUNCTION("""COMPUTED_VALUE"""),"Yes")</f>
        <v>Yes</v>
      </c>
      <c r="M546" s="5" t="str">
        <f>IFERROR(__xludf.DUMMYFUNCTION("""COMPUTED_VALUE"""),"Yes")</f>
        <v>Yes</v>
      </c>
      <c r="N546" s="5" t="str">
        <f>IFERROR(__xludf.DUMMYFUNCTION("""COMPUTED_VALUE"""),"Yes")</f>
        <v>Yes</v>
      </c>
      <c r="O546" s="5" t="str">
        <f>IFERROR(__xludf.DUMMYFUNCTION("""COMPUTED_VALUE"""),"Yes")</f>
        <v>Yes</v>
      </c>
      <c r="P546" s="5" t="str">
        <f>IFERROR(__xludf.DUMMYFUNCTION("""COMPUTED_VALUE"""),"Yes")</f>
        <v>Yes</v>
      </c>
      <c r="Q546" s="5" t="str">
        <f>IFERROR(__xludf.DUMMYFUNCTION("""COMPUTED_VALUE"""),"Yes")</f>
        <v>Yes</v>
      </c>
      <c r="R546" s="5" t="str">
        <f>IFERROR(__xludf.DUMMYFUNCTION("""COMPUTED_VALUE"""),"Yes")</f>
        <v>Yes</v>
      </c>
      <c r="S546" s="5" t="str">
        <f>IFERROR(__xludf.DUMMYFUNCTION("""COMPUTED_VALUE"""),"Yes")</f>
        <v>Yes</v>
      </c>
      <c r="T546" s="5" t="str">
        <f>IFERROR(__xludf.DUMMYFUNCTION("""COMPUTED_VALUE"""),"Yes")</f>
        <v>Yes</v>
      </c>
      <c r="U546" s="5" t="str">
        <f>IFERROR(__xludf.DUMMYFUNCTION("""COMPUTED_VALUE"""),"Yes")</f>
        <v>Yes</v>
      </c>
      <c r="V546" s="5" t="str">
        <f>IFERROR(__xludf.DUMMYFUNCTION("""COMPUTED_VALUE"""),"Yes")</f>
        <v>Yes</v>
      </c>
      <c r="W546" s="5" t="str">
        <f>IFERROR(__xludf.DUMMYFUNCTION("""COMPUTED_VALUE"""),"Yes")</f>
        <v>Yes</v>
      </c>
      <c r="X546" s="5"/>
      <c r="Y546" s="5"/>
      <c r="Z546" s="5" t="str">
        <f>IFERROR(__xludf.DUMMYFUNCTION("""COMPUTED_VALUE"""),"Yes")</f>
        <v>Yes</v>
      </c>
      <c r="AA546" s="5"/>
      <c r="AB546" s="5" t="str">
        <f>IFERROR(__xludf.DUMMYFUNCTION("""COMPUTED_VALUE"""),"Yes")</f>
        <v>Yes</v>
      </c>
      <c r="AC546" s="5"/>
    </row>
    <row r="547">
      <c r="A547" s="5" t="str">
        <f>IFERROR(__xludf.DUMMYFUNCTION("""COMPUTED_VALUE"""),"FruitLock7")</f>
        <v>FruitLock7</v>
      </c>
      <c r="B54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7" s="5" t="str">
        <f>IFERROR(__xludf.DUMMYFUNCTION("""COMPUTED_VALUE"""),"Yes")</f>
        <v>Yes</v>
      </c>
      <c r="D547" s="5" t="str">
        <f>IFERROR(__xludf.DUMMYFUNCTION("""COMPUTED_VALUE"""),"Yes")</f>
        <v>Yes</v>
      </c>
      <c r="E547" s="5" t="str">
        <f>IFERROR(__xludf.DUMMYFUNCTION("""COMPUTED_VALUE"""),"Yes")</f>
        <v>Yes</v>
      </c>
      <c r="F547" s="5" t="str">
        <f>IFERROR(__xludf.DUMMYFUNCTION("""COMPUTED_VALUE"""),"Yes")</f>
        <v>Yes</v>
      </c>
      <c r="G547" s="5" t="str">
        <f>IFERROR(__xludf.DUMMYFUNCTION("""COMPUTED_VALUE"""),"Yes")</f>
        <v>Yes</v>
      </c>
      <c r="H547" s="5" t="str">
        <f>IFERROR(__xludf.DUMMYFUNCTION("""COMPUTED_VALUE"""),"Yes")</f>
        <v>Yes</v>
      </c>
      <c r="I547" s="5" t="str">
        <f>IFERROR(__xludf.DUMMYFUNCTION("""COMPUTED_VALUE"""),"Yes")</f>
        <v>Yes</v>
      </c>
      <c r="J547" s="5" t="str">
        <f>IFERROR(__xludf.DUMMYFUNCTION("""COMPUTED_VALUE"""),"Yes")</f>
        <v>Yes</v>
      </c>
      <c r="K547" s="5" t="str">
        <f>IFERROR(__xludf.DUMMYFUNCTION("""COMPUTED_VALUE"""),"Yes")</f>
        <v>Yes</v>
      </c>
      <c r="L547" s="5" t="str">
        <f>IFERROR(__xludf.DUMMYFUNCTION("""COMPUTED_VALUE"""),"Yes")</f>
        <v>Yes</v>
      </c>
      <c r="M547" s="5" t="str">
        <f>IFERROR(__xludf.DUMMYFUNCTION("""COMPUTED_VALUE"""),"Yes")</f>
        <v>Yes</v>
      </c>
      <c r="N547" s="5" t="str">
        <f>IFERROR(__xludf.DUMMYFUNCTION("""COMPUTED_VALUE"""),"Yes")</f>
        <v>Yes</v>
      </c>
      <c r="O547" s="5" t="str">
        <f>IFERROR(__xludf.DUMMYFUNCTION("""COMPUTED_VALUE"""),"Yes")</f>
        <v>Yes</v>
      </c>
      <c r="P547" s="5" t="str">
        <f>IFERROR(__xludf.DUMMYFUNCTION("""COMPUTED_VALUE"""),"Yes")</f>
        <v>Yes</v>
      </c>
      <c r="Q547" s="5" t="str">
        <f>IFERROR(__xludf.DUMMYFUNCTION("""COMPUTED_VALUE"""),"Yes")</f>
        <v>Yes</v>
      </c>
      <c r="R547" s="5" t="str">
        <f>IFERROR(__xludf.DUMMYFUNCTION("""COMPUTED_VALUE"""),"Yes")</f>
        <v>Yes</v>
      </c>
      <c r="S547" s="5" t="str">
        <f>IFERROR(__xludf.DUMMYFUNCTION("""COMPUTED_VALUE"""),"Yes")</f>
        <v>Yes</v>
      </c>
      <c r="T547" s="5" t="str">
        <f>IFERROR(__xludf.DUMMYFUNCTION("""COMPUTED_VALUE"""),"Yes")</f>
        <v>Yes</v>
      </c>
      <c r="U547" s="5" t="str">
        <f>IFERROR(__xludf.DUMMYFUNCTION("""COMPUTED_VALUE"""),"Yes")</f>
        <v>Yes</v>
      </c>
      <c r="V547" s="5" t="str">
        <f>IFERROR(__xludf.DUMMYFUNCTION("""COMPUTED_VALUE"""),"Yes")</f>
        <v>Yes</v>
      </c>
      <c r="W547" s="5" t="str">
        <f>IFERROR(__xludf.DUMMYFUNCTION("""COMPUTED_VALUE"""),"Yes")</f>
        <v>Yes</v>
      </c>
      <c r="X547" s="5" t="str">
        <f>IFERROR(__xludf.DUMMYFUNCTION("""COMPUTED_VALUE"""),"Yes")</f>
        <v>Yes</v>
      </c>
      <c r="Y547" s="5" t="str">
        <f>IFERROR(__xludf.DUMMYFUNCTION("""COMPUTED_VALUE"""),"Yes")</f>
        <v>Yes</v>
      </c>
      <c r="Z547" s="5" t="str">
        <f>IFERROR(__xludf.DUMMYFUNCTION("""COMPUTED_VALUE"""),"Yes")</f>
        <v>Yes</v>
      </c>
      <c r="AA547" s="5" t="str">
        <f>IFERROR(__xludf.DUMMYFUNCTION("""COMPUTED_VALUE"""),"Yes")</f>
        <v>Yes</v>
      </c>
      <c r="AB547" s="5" t="str">
        <f>IFERROR(__xludf.DUMMYFUNCTION("""COMPUTED_VALUE"""),"Yes")</f>
        <v>Yes</v>
      </c>
      <c r="AC547" s="5" t="str">
        <f>IFERROR(__xludf.DUMMYFUNCTION("""COMPUTED_VALUE"""),"No")</f>
        <v>No</v>
      </c>
    </row>
    <row r="548">
      <c r="A548" s="5" t="str">
        <f>IFERROR(__xludf.DUMMYFUNCTION("""COMPUTED_VALUE"""),"GoldenCrownHalloween")</f>
        <v>GoldenCrownHalloween</v>
      </c>
      <c r="B5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8" s="5" t="str">
        <f>IFERROR(__xludf.DUMMYFUNCTION("""COMPUTED_VALUE"""),"Yes")</f>
        <v>Yes</v>
      </c>
      <c r="D548" s="5" t="str">
        <f>IFERROR(__xludf.DUMMYFUNCTION("""COMPUTED_VALUE"""),"Yes")</f>
        <v>Yes</v>
      </c>
      <c r="E548" s="5" t="str">
        <f>IFERROR(__xludf.DUMMYFUNCTION("""COMPUTED_VALUE"""),"Yes")</f>
        <v>Yes</v>
      </c>
      <c r="F548" s="5" t="str">
        <f>IFERROR(__xludf.DUMMYFUNCTION("""COMPUTED_VALUE"""),"Yes")</f>
        <v>Yes</v>
      </c>
      <c r="G548" s="5" t="str">
        <f>IFERROR(__xludf.DUMMYFUNCTION("""COMPUTED_VALUE"""),"Yes")</f>
        <v>Yes</v>
      </c>
      <c r="H548" s="5" t="str">
        <f>IFERROR(__xludf.DUMMYFUNCTION("""COMPUTED_VALUE"""),"Yes")</f>
        <v>Yes</v>
      </c>
      <c r="I548" s="5" t="str">
        <f>IFERROR(__xludf.DUMMYFUNCTION("""COMPUTED_VALUE"""),"Yes")</f>
        <v>Yes</v>
      </c>
      <c r="J548" s="5" t="str">
        <f>IFERROR(__xludf.DUMMYFUNCTION("""COMPUTED_VALUE"""),"Yes")</f>
        <v>Yes</v>
      </c>
      <c r="K548" s="5" t="str">
        <f>IFERROR(__xludf.DUMMYFUNCTION("""COMPUTED_VALUE"""),"Yes")</f>
        <v>Yes</v>
      </c>
      <c r="L548" s="5" t="str">
        <f>IFERROR(__xludf.DUMMYFUNCTION("""COMPUTED_VALUE"""),"Yes")</f>
        <v>Yes</v>
      </c>
      <c r="M548" s="5" t="str">
        <f>IFERROR(__xludf.DUMMYFUNCTION("""COMPUTED_VALUE"""),"Yes")</f>
        <v>Yes</v>
      </c>
      <c r="N548" s="5" t="str">
        <f>IFERROR(__xludf.DUMMYFUNCTION("""COMPUTED_VALUE"""),"Yes")</f>
        <v>Yes</v>
      </c>
      <c r="O548" s="5" t="str">
        <f>IFERROR(__xludf.DUMMYFUNCTION("""COMPUTED_VALUE"""),"Yes")</f>
        <v>Yes</v>
      </c>
      <c r="P548" s="5" t="str">
        <f>IFERROR(__xludf.DUMMYFUNCTION("""COMPUTED_VALUE"""),"Yes")</f>
        <v>Yes</v>
      </c>
      <c r="Q548" s="5" t="str">
        <f>IFERROR(__xludf.DUMMYFUNCTION("""COMPUTED_VALUE"""),"Yes")</f>
        <v>Yes</v>
      </c>
      <c r="R548" s="5" t="str">
        <f>IFERROR(__xludf.DUMMYFUNCTION("""COMPUTED_VALUE"""),"Yes")</f>
        <v>Yes</v>
      </c>
      <c r="S548" s="5" t="str">
        <f>IFERROR(__xludf.DUMMYFUNCTION("""COMPUTED_VALUE"""),"Yes")</f>
        <v>Yes</v>
      </c>
      <c r="T548" s="5" t="str">
        <f>IFERROR(__xludf.DUMMYFUNCTION("""COMPUTED_VALUE"""),"Yes")</f>
        <v>Yes</v>
      </c>
      <c r="U548" s="5" t="str">
        <f>IFERROR(__xludf.DUMMYFUNCTION("""COMPUTED_VALUE"""),"Yes")</f>
        <v>Yes</v>
      </c>
      <c r="V548" s="5" t="str">
        <f>IFERROR(__xludf.DUMMYFUNCTION("""COMPUTED_VALUE"""),"Yes")</f>
        <v>Yes</v>
      </c>
      <c r="W548" s="5" t="str">
        <f>IFERROR(__xludf.DUMMYFUNCTION("""COMPUTED_VALUE"""),"Yes")</f>
        <v>Yes</v>
      </c>
      <c r="X548" s="5" t="str">
        <f>IFERROR(__xludf.DUMMYFUNCTION("""COMPUTED_VALUE"""),"Yes")</f>
        <v>Yes</v>
      </c>
      <c r="Y548" s="5" t="str">
        <f>IFERROR(__xludf.DUMMYFUNCTION("""COMPUTED_VALUE"""),"Yes")</f>
        <v>Yes</v>
      </c>
      <c r="Z548" s="5" t="str">
        <f>IFERROR(__xludf.DUMMYFUNCTION("""COMPUTED_VALUE"""),"Yes")</f>
        <v>Yes</v>
      </c>
      <c r="AA548" s="5" t="str">
        <f>IFERROR(__xludf.DUMMYFUNCTION("""COMPUTED_VALUE"""),"Yes")</f>
        <v>Yes</v>
      </c>
      <c r="AB548" s="5" t="str">
        <f>IFERROR(__xludf.DUMMYFUNCTION("""COMPUTED_VALUE"""),"Yes")</f>
        <v>Yes</v>
      </c>
      <c r="AC548" s="5" t="str">
        <f>IFERROR(__xludf.DUMMYFUNCTION("""COMPUTED_VALUE"""),"No")</f>
        <v>No</v>
      </c>
    </row>
    <row r="549">
      <c r="A549" s="5" t="str">
        <f>IFERROR(__xludf.DUMMYFUNCTION("""COMPUTED_VALUE"""),"Wild27Halloween")</f>
        <v>Wild27Halloween</v>
      </c>
      <c r="B5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9" s="5" t="str">
        <f>IFERROR(__xludf.DUMMYFUNCTION("""COMPUTED_VALUE"""),"Yes")</f>
        <v>Yes</v>
      </c>
      <c r="D549" s="5" t="str">
        <f>IFERROR(__xludf.DUMMYFUNCTION("""COMPUTED_VALUE"""),"Yes")</f>
        <v>Yes</v>
      </c>
      <c r="E549" s="5" t="str">
        <f>IFERROR(__xludf.DUMMYFUNCTION("""COMPUTED_VALUE"""),"Yes")</f>
        <v>Yes</v>
      </c>
      <c r="F549" s="5" t="str">
        <f>IFERROR(__xludf.DUMMYFUNCTION("""COMPUTED_VALUE"""),"Yes")</f>
        <v>Yes</v>
      </c>
      <c r="G549" s="5" t="str">
        <f>IFERROR(__xludf.DUMMYFUNCTION("""COMPUTED_VALUE"""),"Yes")</f>
        <v>Yes</v>
      </c>
      <c r="H549" s="5" t="str">
        <f>IFERROR(__xludf.DUMMYFUNCTION("""COMPUTED_VALUE"""),"Yes")</f>
        <v>Yes</v>
      </c>
      <c r="I549" s="5" t="str">
        <f>IFERROR(__xludf.DUMMYFUNCTION("""COMPUTED_VALUE"""),"Yes")</f>
        <v>Yes</v>
      </c>
      <c r="J549" s="5" t="str">
        <f>IFERROR(__xludf.DUMMYFUNCTION("""COMPUTED_VALUE"""),"Yes")</f>
        <v>Yes</v>
      </c>
      <c r="K549" s="5" t="str">
        <f>IFERROR(__xludf.DUMMYFUNCTION("""COMPUTED_VALUE"""),"Yes")</f>
        <v>Yes</v>
      </c>
      <c r="L549" s="5" t="str">
        <f>IFERROR(__xludf.DUMMYFUNCTION("""COMPUTED_VALUE"""),"Yes")</f>
        <v>Yes</v>
      </c>
      <c r="M549" s="5" t="str">
        <f>IFERROR(__xludf.DUMMYFUNCTION("""COMPUTED_VALUE"""),"Yes")</f>
        <v>Yes</v>
      </c>
      <c r="N549" s="5" t="str">
        <f>IFERROR(__xludf.DUMMYFUNCTION("""COMPUTED_VALUE"""),"Yes")</f>
        <v>Yes</v>
      </c>
      <c r="O549" s="5" t="str">
        <f>IFERROR(__xludf.DUMMYFUNCTION("""COMPUTED_VALUE"""),"Yes")</f>
        <v>Yes</v>
      </c>
      <c r="P549" s="5" t="str">
        <f>IFERROR(__xludf.DUMMYFUNCTION("""COMPUTED_VALUE"""),"Yes")</f>
        <v>Yes</v>
      </c>
      <c r="Q549" s="5" t="str">
        <f>IFERROR(__xludf.DUMMYFUNCTION("""COMPUTED_VALUE"""),"Yes")</f>
        <v>Yes</v>
      </c>
      <c r="R549" s="5" t="str">
        <f>IFERROR(__xludf.DUMMYFUNCTION("""COMPUTED_VALUE"""),"Yes")</f>
        <v>Yes</v>
      </c>
      <c r="S549" s="5" t="str">
        <f>IFERROR(__xludf.DUMMYFUNCTION("""COMPUTED_VALUE"""),"Yes")</f>
        <v>Yes</v>
      </c>
      <c r="T549" s="5" t="str">
        <f>IFERROR(__xludf.DUMMYFUNCTION("""COMPUTED_VALUE"""),"Yes")</f>
        <v>Yes</v>
      </c>
      <c r="U549" s="5" t="str">
        <f>IFERROR(__xludf.DUMMYFUNCTION("""COMPUTED_VALUE"""),"Yes")</f>
        <v>Yes</v>
      </c>
      <c r="V549" s="5" t="str">
        <f>IFERROR(__xludf.DUMMYFUNCTION("""COMPUTED_VALUE"""),"Yes")</f>
        <v>Yes</v>
      </c>
      <c r="W549" s="5" t="str">
        <f>IFERROR(__xludf.DUMMYFUNCTION("""COMPUTED_VALUE"""),"Yes")</f>
        <v>Yes</v>
      </c>
      <c r="X549" s="5" t="str">
        <f>IFERROR(__xludf.DUMMYFUNCTION("""COMPUTED_VALUE"""),"Yes")</f>
        <v>Yes</v>
      </c>
      <c r="Y549" s="5" t="str">
        <f>IFERROR(__xludf.DUMMYFUNCTION("""COMPUTED_VALUE"""),"Yes")</f>
        <v>Yes</v>
      </c>
      <c r="Z549" s="5" t="str">
        <f>IFERROR(__xludf.DUMMYFUNCTION("""COMPUTED_VALUE"""),"Yes")</f>
        <v>Yes</v>
      </c>
      <c r="AA549" s="5" t="str">
        <f>IFERROR(__xludf.DUMMYFUNCTION("""COMPUTED_VALUE"""),"Yes")</f>
        <v>Yes</v>
      </c>
      <c r="AB549" s="5" t="str">
        <f>IFERROR(__xludf.DUMMYFUNCTION("""COMPUTED_VALUE"""),"Yes")</f>
        <v>Yes</v>
      </c>
      <c r="AC549" s="5" t="str">
        <f>IFERROR(__xludf.DUMMYFUNCTION("""COMPUTED_VALUE"""),"No")</f>
        <v>No</v>
      </c>
    </row>
    <row r="550">
      <c r="A550" s="5" t="str">
        <f>IFERROR(__xludf.DUMMYFUNCTION("""COMPUTED_VALUE"""),"WildWins40")</f>
        <v>WildWins40</v>
      </c>
      <c r="B5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0" s="5" t="str">
        <f>IFERROR(__xludf.DUMMYFUNCTION("""COMPUTED_VALUE"""),"Yes")</f>
        <v>Yes</v>
      </c>
      <c r="D550" s="5" t="str">
        <f>IFERROR(__xludf.DUMMYFUNCTION("""COMPUTED_VALUE"""),"Yes")</f>
        <v>Yes</v>
      </c>
      <c r="E550" s="5" t="str">
        <f>IFERROR(__xludf.DUMMYFUNCTION("""COMPUTED_VALUE"""),"Yes")</f>
        <v>Yes</v>
      </c>
      <c r="F550" s="5" t="str">
        <f>IFERROR(__xludf.DUMMYFUNCTION("""COMPUTED_VALUE"""),"Yes")</f>
        <v>Yes</v>
      </c>
      <c r="G550" s="5" t="str">
        <f>IFERROR(__xludf.DUMMYFUNCTION("""COMPUTED_VALUE"""),"Yes")</f>
        <v>Yes</v>
      </c>
      <c r="H550" s="5" t="str">
        <f>IFERROR(__xludf.DUMMYFUNCTION("""COMPUTED_VALUE"""),"Yes")</f>
        <v>Yes</v>
      </c>
      <c r="I550" s="5" t="str">
        <f>IFERROR(__xludf.DUMMYFUNCTION("""COMPUTED_VALUE"""),"Yes")</f>
        <v>Yes</v>
      </c>
      <c r="J550" s="5" t="str">
        <f>IFERROR(__xludf.DUMMYFUNCTION("""COMPUTED_VALUE"""),"Yes")</f>
        <v>Yes</v>
      </c>
      <c r="K550" s="5" t="str">
        <f>IFERROR(__xludf.DUMMYFUNCTION("""COMPUTED_VALUE"""),"Yes")</f>
        <v>Yes</v>
      </c>
      <c r="L550" s="5" t="str">
        <f>IFERROR(__xludf.DUMMYFUNCTION("""COMPUTED_VALUE"""),"Yes")</f>
        <v>Yes</v>
      </c>
      <c r="M550" s="5" t="str">
        <f>IFERROR(__xludf.DUMMYFUNCTION("""COMPUTED_VALUE"""),"Yes")</f>
        <v>Yes</v>
      </c>
      <c r="N550" s="5" t="str">
        <f>IFERROR(__xludf.DUMMYFUNCTION("""COMPUTED_VALUE"""),"Yes")</f>
        <v>Yes</v>
      </c>
      <c r="O550" s="5" t="str">
        <f>IFERROR(__xludf.DUMMYFUNCTION("""COMPUTED_VALUE"""),"Yes")</f>
        <v>Yes</v>
      </c>
      <c r="P550" s="5" t="str">
        <f>IFERROR(__xludf.DUMMYFUNCTION("""COMPUTED_VALUE"""),"Yes")</f>
        <v>Yes</v>
      </c>
      <c r="Q550" s="5" t="str">
        <f>IFERROR(__xludf.DUMMYFUNCTION("""COMPUTED_VALUE"""),"Yes")</f>
        <v>Yes</v>
      </c>
      <c r="R550" s="5" t="str">
        <f>IFERROR(__xludf.DUMMYFUNCTION("""COMPUTED_VALUE"""),"Yes")</f>
        <v>Yes</v>
      </c>
      <c r="S550" s="5" t="str">
        <f>IFERROR(__xludf.DUMMYFUNCTION("""COMPUTED_VALUE"""),"Yes")</f>
        <v>Yes</v>
      </c>
      <c r="T550" s="5" t="str">
        <f>IFERROR(__xludf.DUMMYFUNCTION("""COMPUTED_VALUE"""),"Yes")</f>
        <v>Yes</v>
      </c>
      <c r="U550" s="5" t="str">
        <f>IFERROR(__xludf.DUMMYFUNCTION("""COMPUTED_VALUE"""),"Yes")</f>
        <v>Yes</v>
      </c>
      <c r="V550" s="5" t="str">
        <f>IFERROR(__xludf.DUMMYFUNCTION("""COMPUTED_VALUE"""),"Yes")</f>
        <v>Yes</v>
      </c>
      <c r="W550" s="5" t="str">
        <f>IFERROR(__xludf.DUMMYFUNCTION("""COMPUTED_VALUE"""),"Yes")</f>
        <v>Yes</v>
      </c>
      <c r="X550" s="5" t="str">
        <f>IFERROR(__xludf.DUMMYFUNCTION("""COMPUTED_VALUE"""),"Yes")</f>
        <v>Yes</v>
      </c>
      <c r="Y550" s="5" t="str">
        <f>IFERROR(__xludf.DUMMYFUNCTION("""COMPUTED_VALUE"""),"Yes")</f>
        <v>Yes</v>
      </c>
      <c r="Z550" s="5" t="str">
        <f>IFERROR(__xludf.DUMMYFUNCTION("""COMPUTED_VALUE"""),"Yes")</f>
        <v>Yes</v>
      </c>
      <c r="AA550" s="5" t="str">
        <f>IFERROR(__xludf.DUMMYFUNCTION("""COMPUTED_VALUE"""),"Yes")</f>
        <v>Yes</v>
      </c>
      <c r="AB550" s="5" t="str">
        <f>IFERROR(__xludf.DUMMYFUNCTION("""COMPUTED_VALUE"""),"Yes")</f>
        <v>Yes</v>
      </c>
      <c r="AC550" s="5" t="str">
        <f>IFERROR(__xludf.DUMMYFUNCTION("""COMPUTED_VALUE"""),"No")</f>
        <v>No</v>
      </c>
    </row>
    <row r="551">
      <c r="A551" s="5" t="str">
        <f>IFERROR(__xludf.DUMMYFUNCTION("""COMPUTED_VALUE"""),"sugar-luck")</f>
        <v>sugar-luck</v>
      </c>
      <c r="B5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1" s="5" t="str">
        <f>IFERROR(__xludf.DUMMYFUNCTION("""COMPUTED_VALUE"""),"Yes")</f>
        <v>Yes</v>
      </c>
      <c r="D551" s="5" t="str">
        <f>IFERROR(__xludf.DUMMYFUNCTION("""COMPUTED_VALUE"""),"Yes")</f>
        <v>Yes</v>
      </c>
      <c r="E551" s="5" t="str">
        <f>IFERROR(__xludf.DUMMYFUNCTION("""COMPUTED_VALUE"""),"Yes")</f>
        <v>Yes</v>
      </c>
      <c r="F551" s="5" t="str">
        <f>IFERROR(__xludf.DUMMYFUNCTION("""COMPUTED_VALUE"""),"Yes")</f>
        <v>Yes</v>
      </c>
      <c r="G551" s="5" t="str">
        <f>IFERROR(__xludf.DUMMYFUNCTION("""COMPUTED_VALUE"""),"Yes")</f>
        <v>Yes</v>
      </c>
      <c r="H551" s="5" t="str">
        <f>IFERROR(__xludf.DUMMYFUNCTION("""COMPUTED_VALUE"""),"Yes")</f>
        <v>Yes</v>
      </c>
      <c r="I551" s="5" t="str">
        <f>IFERROR(__xludf.DUMMYFUNCTION("""COMPUTED_VALUE"""),"Yes")</f>
        <v>Yes</v>
      </c>
      <c r="J551" s="5" t="str">
        <f>IFERROR(__xludf.DUMMYFUNCTION("""COMPUTED_VALUE"""),"Yes")</f>
        <v>Yes</v>
      </c>
      <c r="K551" s="5" t="str">
        <f>IFERROR(__xludf.DUMMYFUNCTION("""COMPUTED_VALUE"""),"Yes")</f>
        <v>Yes</v>
      </c>
      <c r="L551" s="5" t="str">
        <f>IFERROR(__xludf.DUMMYFUNCTION("""COMPUTED_VALUE"""),"Yes")</f>
        <v>Yes</v>
      </c>
      <c r="M551" s="5" t="str">
        <f>IFERROR(__xludf.DUMMYFUNCTION("""COMPUTED_VALUE"""),"Yes")</f>
        <v>Yes</v>
      </c>
      <c r="N551" s="5" t="str">
        <f>IFERROR(__xludf.DUMMYFUNCTION("""COMPUTED_VALUE"""),"Yes")</f>
        <v>Yes</v>
      </c>
      <c r="O551" s="5" t="str">
        <f>IFERROR(__xludf.DUMMYFUNCTION("""COMPUTED_VALUE"""),"Yes")</f>
        <v>Yes</v>
      </c>
      <c r="P551" s="5" t="str">
        <f>IFERROR(__xludf.DUMMYFUNCTION("""COMPUTED_VALUE"""),"Yes")</f>
        <v>Yes</v>
      </c>
      <c r="Q551" s="5" t="str">
        <f>IFERROR(__xludf.DUMMYFUNCTION("""COMPUTED_VALUE"""),"Yes")</f>
        <v>Yes</v>
      </c>
      <c r="R551" s="5" t="str">
        <f>IFERROR(__xludf.DUMMYFUNCTION("""COMPUTED_VALUE"""),"Yes")</f>
        <v>Yes</v>
      </c>
      <c r="S551" s="5" t="str">
        <f>IFERROR(__xludf.DUMMYFUNCTION("""COMPUTED_VALUE"""),"Yes")</f>
        <v>Yes</v>
      </c>
      <c r="T551" s="5" t="str">
        <f>IFERROR(__xludf.DUMMYFUNCTION("""COMPUTED_VALUE"""),"Yes")</f>
        <v>Yes</v>
      </c>
      <c r="U551" s="5" t="str">
        <f>IFERROR(__xludf.DUMMYFUNCTION("""COMPUTED_VALUE"""),"Yes")</f>
        <v>Yes</v>
      </c>
      <c r="V551" s="5" t="str">
        <f>IFERROR(__xludf.DUMMYFUNCTION("""COMPUTED_VALUE"""),"Yes")</f>
        <v>Yes</v>
      </c>
      <c r="W551" s="5" t="str">
        <f>IFERROR(__xludf.DUMMYFUNCTION("""COMPUTED_VALUE"""),"Yes")</f>
        <v>Yes</v>
      </c>
      <c r="X551" s="5" t="str">
        <f>IFERROR(__xludf.DUMMYFUNCTION("""COMPUTED_VALUE"""),"Yes")</f>
        <v>Yes</v>
      </c>
      <c r="Y551" s="5" t="str">
        <f>IFERROR(__xludf.DUMMYFUNCTION("""COMPUTED_VALUE"""),"Yes")</f>
        <v>Yes</v>
      </c>
      <c r="Z551" s="5" t="str">
        <f>IFERROR(__xludf.DUMMYFUNCTION("""COMPUTED_VALUE"""),"Yes")</f>
        <v>Yes</v>
      </c>
      <c r="AA551" s="5" t="str">
        <f>IFERROR(__xludf.DUMMYFUNCTION("""COMPUTED_VALUE"""),"Yes")</f>
        <v>Yes</v>
      </c>
      <c r="AB551" s="5" t="str">
        <f>IFERROR(__xludf.DUMMYFUNCTION("""COMPUTED_VALUE"""),"Yes")</f>
        <v>Yes</v>
      </c>
      <c r="AC551" s="5"/>
    </row>
    <row r="552">
      <c r="A552" s="5" t="str">
        <f>IFERROR(__xludf.DUMMYFUNCTION("""COMPUTED_VALUE"""),"fruity-luck")</f>
        <v>fruity-luck</v>
      </c>
      <c r="B552" s="5" t="str">
        <f>IFERROR(__xludf.DUMMYFUNCTION("""COMPUTED_VALUE"""),"")</f>
        <v/>
      </c>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row>
    <row r="553">
      <c r="A553" s="5" t="str">
        <f>IFERROR(__xludf.DUMMYFUNCTION("""COMPUTED_VALUE"""),"BongoBongoHot40")</f>
        <v>BongoBongoHot40</v>
      </c>
      <c r="B5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3" s="5" t="str">
        <f>IFERROR(__xludf.DUMMYFUNCTION("""COMPUTED_VALUE"""),"Yes")</f>
        <v>Yes</v>
      </c>
      <c r="D553" s="5" t="str">
        <f>IFERROR(__xludf.DUMMYFUNCTION("""COMPUTED_VALUE"""),"Yes")</f>
        <v>Yes</v>
      </c>
      <c r="E553" s="5" t="str">
        <f>IFERROR(__xludf.DUMMYFUNCTION("""COMPUTED_VALUE"""),"Yes")</f>
        <v>Yes</v>
      </c>
      <c r="F553" s="5" t="str">
        <f>IFERROR(__xludf.DUMMYFUNCTION("""COMPUTED_VALUE"""),"Yes")</f>
        <v>Yes</v>
      </c>
      <c r="G553" s="5" t="str">
        <f>IFERROR(__xludf.DUMMYFUNCTION("""COMPUTED_VALUE"""),"Yes")</f>
        <v>Yes</v>
      </c>
      <c r="H553" s="5" t="str">
        <f>IFERROR(__xludf.DUMMYFUNCTION("""COMPUTED_VALUE"""),"Yes")</f>
        <v>Yes</v>
      </c>
      <c r="I553" s="5" t="str">
        <f>IFERROR(__xludf.DUMMYFUNCTION("""COMPUTED_VALUE"""),"Yes")</f>
        <v>Yes</v>
      </c>
      <c r="J553" s="5" t="str">
        <f>IFERROR(__xludf.DUMMYFUNCTION("""COMPUTED_VALUE"""),"Yes")</f>
        <v>Yes</v>
      </c>
      <c r="K553" s="5" t="str">
        <f>IFERROR(__xludf.DUMMYFUNCTION("""COMPUTED_VALUE"""),"Yes")</f>
        <v>Yes</v>
      </c>
      <c r="L553" s="5" t="str">
        <f>IFERROR(__xludf.DUMMYFUNCTION("""COMPUTED_VALUE"""),"Yes")</f>
        <v>Yes</v>
      </c>
      <c r="M553" s="5" t="str">
        <f>IFERROR(__xludf.DUMMYFUNCTION("""COMPUTED_VALUE"""),"Yes")</f>
        <v>Yes</v>
      </c>
      <c r="N553" s="5" t="str">
        <f>IFERROR(__xludf.DUMMYFUNCTION("""COMPUTED_VALUE"""),"Yes")</f>
        <v>Yes</v>
      </c>
      <c r="O553" s="5" t="str">
        <f>IFERROR(__xludf.DUMMYFUNCTION("""COMPUTED_VALUE"""),"Yes")</f>
        <v>Yes</v>
      </c>
      <c r="P553" s="5" t="str">
        <f>IFERROR(__xludf.DUMMYFUNCTION("""COMPUTED_VALUE"""),"Yes")</f>
        <v>Yes</v>
      </c>
      <c r="Q553" s="5" t="str">
        <f>IFERROR(__xludf.DUMMYFUNCTION("""COMPUTED_VALUE"""),"Yes")</f>
        <v>Yes</v>
      </c>
      <c r="R553" s="5" t="str">
        <f>IFERROR(__xludf.DUMMYFUNCTION("""COMPUTED_VALUE"""),"Yes")</f>
        <v>Yes</v>
      </c>
      <c r="S553" s="5" t="str">
        <f>IFERROR(__xludf.DUMMYFUNCTION("""COMPUTED_VALUE"""),"Yes")</f>
        <v>Yes</v>
      </c>
      <c r="T553" s="5" t="str">
        <f>IFERROR(__xludf.DUMMYFUNCTION("""COMPUTED_VALUE"""),"Yes")</f>
        <v>Yes</v>
      </c>
      <c r="U553" s="5" t="str">
        <f>IFERROR(__xludf.DUMMYFUNCTION("""COMPUTED_VALUE"""),"Yes")</f>
        <v>Yes</v>
      </c>
      <c r="V553" s="5" t="str">
        <f>IFERROR(__xludf.DUMMYFUNCTION("""COMPUTED_VALUE"""),"Yes")</f>
        <v>Yes</v>
      </c>
      <c r="W553" s="5" t="str">
        <f>IFERROR(__xludf.DUMMYFUNCTION("""COMPUTED_VALUE"""),"Yes")</f>
        <v>Yes</v>
      </c>
      <c r="X553" s="5" t="str">
        <f>IFERROR(__xludf.DUMMYFUNCTION("""COMPUTED_VALUE"""),"Yes")</f>
        <v>Yes</v>
      </c>
      <c r="Y553" s="5" t="str">
        <f>IFERROR(__xludf.DUMMYFUNCTION("""COMPUTED_VALUE"""),"Yes")</f>
        <v>Yes</v>
      </c>
      <c r="Z553" s="5" t="str">
        <f>IFERROR(__xludf.DUMMYFUNCTION("""COMPUTED_VALUE"""),"Yes")</f>
        <v>Yes</v>
      </c>
      <c r="AA553" s="5" t="str">
        <f>IFERROR(__xludf.DUMMYFUNCTION("""COMPUTED_VALUE"""),"Yes")</f>
        <v>Yes</v>
      </c>
      <c r="AB553" s="5" t="str">
        <f>IFERROR(__xludf.DUMMYFUNCTION("""COMPUTED_VALUE"""),"Yes")</f>
        <v>Yes</v>
      </c>
      <c r="AC553" s="5" t="str">
        <f>IFERROR(__xludf.DUMMYFUNCTION("""COMPUTED_VALUE"""),"No")</f>
        <v>No</v>
      </c>
    </row>
    <row r="554">
      <c r="A554" s="5" t="str">
        <f>IFERROR(__xludf.DUMMYFUNCTION("""COMPUTED_VALUE"""),"BetArabiaFreeSpins")</f>
        <v>BetArabiaFreeSpins</v>
      </c>
      <c r="B5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4" s="5" t="str">
        <f>IFERROR(__xludf.DUMMYFUNCTION("""COMPUTED_VALUE"""),"Yes")</f>
        <v>Yes</v>
      </c>
      <c r="D554" s="5" t="str">
        <f>IFERROR(__xludf.DUMMYFUNCTION("""COMPUTED_VALUE"""),"Yes")</f>
        <v>Yes</v>
      </c>
      <c r="E554" s="5" t="str">
        <f>IFERROR(__xludf.DUMMYFUNCTION("""COMPUTED_VALUE"""),"Yes")</f>
        <v>Yes</v>
      </c>
      <c r="F554" s="5" t="str">
        <f>IFERROR(__xludf.DUMMYFUNCTION("""COMPUTED_VALUE"""),"Yes")</f>
        <v>Yes</v>
      </c>
      <c r="G554" s="5" t="str">
        <f>IFERROR(__xludf.DUMMYFUNCTION("""COMPUTED_VALUE"""),"Yes")</f>
        <v>Yes</v>
      </c>
      <c r="H554" s="5" t="str">
        <f>IFERROR(__xludf.DUMMYFUNCTION("""COMPUTED_VALUE"""),"Yes")</f>
        <v>Yes</v>
      </c>
      <c r="I554" s="5" t="str">
        <f>IFERROR(__xludf.DUMMYFUNCTION("""COMPUTED_VALUE"""),"Yes")</f>
        <v>Yes</v>
      </c>
      <c r="J554" s="5" t="str">
        <f>IFERROR(__xludf.DUMMYFUNCTION("""COMPUTED_VALUE"""),"Yes")</f>
        <v>Yes</v>
      </c>
      <c r="K554" s="5" t="str">
        <f>IFERROR(__xludf.DUMMYFUNCTION("""COMPUTED_VALUE"""),"Yes")</f>
        <v>Yes</v>
      </c>
      <c r="L554" s="5" t="str">
        <f>IFERROR(__xludf.DUMMYFUNCTION("""COMPUTED_VALUE"""),"Yes")</f>
        <v>Yes</v>
      </c>
      <c r="M554" s="5" t="str">
        <f>IFERROR(__xludf.DUMMYFUNCTION("""COMPUTED_VALUE"""),"Yes")</f>
        <v>Yes</v>
      </c>
      <c r="N554" s="5" t="str">
        <f>IFERROR(__xludf.DUMMYFUNCTION("""COMPUTED_VALUE"""),"Yes")</f>
        <v>Yes</v>
      </c>
      <c r="O554" s="5" t="str">
        <f>IFERROR(__xludf.DUMMYFUNCTION("""COMPUTED_VALUE"""),"Yes")</f>
        <v>Yes</v>
      </c>
      <c r="P554" s="5" t="str">
        <f>IFERROR(__xludf.DUMMYFUNCTION("""COMPUTED_VALUE"""),"Yes")</f>
        <v>Yes</v>
      </c>
      <c r="Q554" s="5" t="str">
        <f>IFERROR(__xludf.DUMMYFUNCTION("""COMPUTED_VALUE"""),"Yes")</f>
        <v>Yes</v>
      </c>
      <c r="R554" s="5" t="str">
        <f>IFERROR(__xludf.DUMMYFUNCTION("""COMPUTED_VALUE"""),"Yes")</f>
        <v>Yes</v>
      </c>
      <c r="S554" s="5" t="str">
        <f>IFERROR(__xludf.DUMMYFUNCTION("""COMPUTED_VALUE"""),"Yes")</f>
        <v>Yes</v>
      </c>
      <c r="T554" s="5" t="str">
        <f>IFERROR(__xludf.DUMMYFUNCTION("""COMPUTED_VALUE"""),"Yes")</f>
        <v>Yes</v>
      </c>
      <c r="U554" s="5" t="str">
        <f>IFERROR(__xludf.DUMMYFUNCTION("""COMPUTED_VALUE"""),"Yes")</f>
        <v>Yes</v>
      </c>
      <c r="V554" s="5" t="str">
        <f>IFERROR(__xludf.DUMMYFUNCTION("""COMPUTED_VALUE"""),"Yes")</f>
        <v>Yes</v>
      </c>
      <c r="W554" s="5" t="str">
        <f>IFERROR(__xludf.DUMMYFUNCTION("""COMPUTED_VALUE"""),"Yes")</f>
        <v>Yes</v>
      </c>
      <c r="X554" s="5" t="str">
        <f>IFERROR(__xludf.DUMMYFUNCTION("""COMPUTED_VALUE"""),"Yes")</f>
        <v>Yes</v>
      </c>
      <c r="Y554" s="5" t="str">
        <f>IFERROR(__xludf.DUMMYFUNCTION("""COMPUTED_VALUE"""),"Yes")</f>
        <v>Yes</v>
      </c>
      <c r="Z554" s="5" t="str">
        <f>IFERROR(__xludf.DUMMYFUNCTION("""COMPUTED_VALUE"""),"Yes")</f>
        <v>Yes</v>
      </c>
      <c r="AA554" s="5" t="str">
        <f>IFERROR(__xludf.DUMMYFUNCTION("""COMPUTED_VALUE"""),"Yes")</f>
        <v>Yes</v>
      </c>
      <c r="AB554" s="5" t="str">
        <f>IFERROR(__xludf.DUMMYFUNCTION("""COMPUTED_VALUE"""),"Yes")</f>
        <v>Yes</v>
      </c>
      <c r="AC554" s="5" t="str">
        <f>IFERROR(__xludf.DUMMYFUNCTION("""COMPUTED_VALUE"""),"No")</f>
        <v>No</v>
      </c>
    </row>
    <row r="555">
      <c r="A555" s="5" t="str">
        <f>IFERROR(__xludf.DUMMYFUNCTION("""COMPUTED_VALUE"""),"UnicornSuperHighRunner")</f>
        <v>UnicornSuperHighRunner</v>
      </c>
      <c r="B555" s="5" t="str">
        <f>IFERROR(__xludf.DUMMYFUNCTION("""COMPUTED_VALUE"""),"English(""eng"")")</f>
        <v>English("eng")</v>
      </c>
      <c r="C555" s="5" t="str">
        <f>IFERROR(__xludf.DUMMYFUNCTION("""COMPUTED_VALUE"""),"Yes")</f>
        <v>Yes</v>
      </c>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row>
    <row r="556">
      <c r="A556" s="5" t="str">
        <f>IFERROR(__xludf.DUMMYFUNCTION("""COMPUTED_VALUE"""),"PlayNetBrewmastersBank")</f>
        <v>PlayNetBrewmastersBank</v>
      </c>
      <c r="B556" s="5" t="str">
        <f>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C556" s="5" t="str">
        <f>IFERROR(__xludf.DUMMYFUNCTION("""COMPUTED_VALUE"""),"Yes")</f>
        <v>Yes</v>
      </c>
      <c r="D556" s="5" t="str">
        <f>IFERROR(__xludf.DUMMYFUNCTION("""COMPUTED_VALUE"""),"Yes")</f>
        <v>Yes</v>
      </c>
      <c r="E556" s="5"/>
      <c r="F556" s="5" t="str">
        <f>IFERROR(__xludf.DUMMYFUNCTION("""COMPUTED_VALUE"""),"Yes")</f>
        <v>Yes</v>
      </c>
      <c r="G556" s="5" t="str">
        <f>IFERROR(__xludf.DUMMYFUNCTION("""COMPUTED_VALUE"""),"Yes")</f>
        <v>Yes</v>
      </c>
      <c r="H556" s="5" t="str">
        <f>IFERROR(__xludf.DUMMYFUNCTION("""COMPUTED_VALUE"""),"Yes")</f>
        <v>Yes</v>
      </c>
      <c r="I556" s="5" t="str">
        <f>IFERROR(__xludf.DUMMYFUNCTION("""COMPUTED_VALUE"""),"Yes")</f>
        <v>Yes</v>
      </c>
      <c r="J556" s="5" t="str">
        <f>IFERROR(__xludf.DUMMYFUNCTION("""COMPUTED_VALUE"""),"Yes")</f>
        <v>Yes</v>
      </c>
      <c r="K556" s="5" t="str">
        <f>IFERROR(__xludf.DUMMYFUNCTION("""COMPUTED_VALUE"""),"Yes")</f>
        <v>Yes</v>
      </c>
      <c r="L556" s="5" t="str">
        <f>IFERROR(__xludf.DUMMYFUNCTION("""COMPUTED_VALUE"""),"Yes")</f>
        <v>Yes</v>
      </c>
      <c r="M556" s="5" t="str">
        <f>IFERROR(__xludf.DUMMYFUNCTION("""COMPUTED_VALUE"""),"Yes")</f>
        <v>Yes</v>
      </c>
      <c r="N556" s="5" t="str">
        <f>IFERROR(__xludf.DUMMYFUNCTION("""COMPUTED_VALUE"""),"Yes")</f>
        <v>Yes</v>
      </c>
      <c r="O556" s="5" t="str">
        <f>IFERROR(__xludf.DUMMYFUNCTION("""COMPUTED_VALUE"""),"Yes")</f>
        <v>Yes</v>
      </c>
      <c r="P556" s="5" t="str">
        <f>IFERROR(__xludf.DUMMYFUNCTION("""COMPUTED_VALUE"""),"Yes")</f>
        <v>Yes</v>
      </c>
      <c r="Q556" s="5"/>
      <c r="R556" s="5"/>
      <c r="S556" s="5"/>
      <c r="T556" s="5"/>
      <c r="U556" s="5"/>
      <c r="V556" s="5"/>
      <c r="W556" s="5"/>
      <c r="X556" s="5"/>
      <c r="Y556" s="5"/>
      <c r="Z556" s="5"/>
      <c r="AA556" s="5"/>
      <c r="AB556" s="5" t="str">
        <f>IFERROR(__xludf.DUMMYFUNCTION("""COMPUTED_VALUE"""),"Yes")</f>
        <v>Yes</v>
      </c>
      <c r="AC556" s="5"/>
    </row>
    <row r="557">
      <c r="A557" s="5" t="str">
        <f>IFERROR(__xludf.DUMMYFUNCTION("""COMPUTED_VALUE"""),"UnicornBigSpinDice")</f>
        <v>UnicornBigSpinDice</v>
      </c>
      <c r="B557" s="5" t="str">
        <f>IFERROR(__xludf.DUMMYFUNCTION("""COMPUTED_VALUE"""),"Social English(""sen"")")</f>
        <v>Social English("sen")</v>
      </c>
      <c r="C557" s="5"/>
      <c r="D557" s="5"/>
      <c r="E557" s="5"/>
      <c r="F557" s="5"/>
      <c r="G557" s="5"/>
      <c r="H557" s="5"/>
      <c r="I557" s="5"/>
      <c r="J557" s="5"/>
      <c r="K557" s="5"/>
      <c r="L557" s="5"/>
      <c r="M557" s="5"/>
      <c r="N557" s="5"/>
      <c r="O557" s="5"/>
      <c r="P557" s="5"/>
      <c r="Q557" s="5"/>
      <c r="R557" s="5"/>
      <c r="S557" s="5"/>
      <c r="T557" s="5"/>
      <c r="U557" s="5"/>
      <c r="V557" s="5"/>
      <c r="W557" s="5" t="str">
        <f>IFERROR(__xludf.DUMMYFUNCTION("""COMPUTED_VALUE"""),"Yes")</f>
        <v>Yes</v>
      </c>
      <c r="X557" s="5"/>
      <c r="Y557" s="5"/>
      <c r="Z557" s="5"/>
      <c r="AA557" s="5"/>
      <c r="AB557" s="5"/>
      <c r="AC557" s="5"/>
    </row>
    <row r="558">
      <c r="A558" s="5" t="str">
        <f>IFERROR(__xludf.DUMMYFUNCTION("""COMPUTED_VALUE"""),"UnicornFruitIslandDice")</f>
        <v>UnicornFruitIslandDice</v>
      </c>
      <c r="B558"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58" s="5" t="str">
        <f>IFERROR(__xludf.DUMMYFUNCTION("""COMPUTED_VALUE"""),"Yes")</f>
        <v>Yes</v>
      </c>
      <c r="D558" s="5" t="str">
        <f>IFERROR(__xludf.DUMMYFUNCTION("""COMPUTED_VALUE"""),"Yes")</f>
        <v>Yes</v>
      </c>
      <c r="E558" s="5" t="str">
        <f>IFERROR(__xludf.DUMMYFUNCTION("""COMPUTED_VALUE"""),"Yes")</f>
        <v>Yes</v>
      </c>
      <c r="F558" s="5"/>
      <c r="G558" s="5"/>
      <c r="H558" s="5"/>
      <c r="I558" s="5"/>
      <c r="J558" s="5"/>
      <c r="K558" s="5" t="str">
        <f>IFERROR(__xludf.DUMMYFUNCTION("""COMPUTED_VALUE"""),"Yes")</f>
        <v>Yes</v>
      </c>
      <c r="L558" s="5" t="str">
        <f>IFERROR(__xludf.DUMMYFUNCTION("""COMPUTED_VALUE"""),"Yes")</f>
        <v>Yes</v>
      </c>
      <c r="M558" s="5" t="str">
        <f>IFERROR(__xludf.DUMMYFUNCTION("""COMPUTED_VALUE"""),"Yes")</f>
        <v>Yes</v>
      </c>
      <c r="N558" s="5" t="str">
        <f>IFERROR(__xludf.DUMMYFUNCTION("""COMPUTED_VALUE"""),"Yes")</f>
        <v>Yes</v>
      </c>
      <c r="O558" s="5" t="str">
        <f>IFERROR(__xludf.DUMMYFUNCTION("""COMPUTED_VALUE"""),"Yes")</f>
        <v>Yes</v>
      </c>
      <c r="P558" s="5"/>
      <c r="Q558" s="5" t="str">
        <f>IFERROR(__xludf.DUMMYFUNCTION("""COMPUTED_VALUE"""),"Yes")</f>
        <v>Yes</v>
      </c>
      <c r="R558" s="5"/>
      <c r="S558" s="5"/>
      <c r="T558" s="5"/>
      <c r="U558" s="5"/>
      <c r="V558" s="5"/>
      <c r="W558" s="5"/>
      <c r="X558" s="5" t="str">
        <f>IFERROR(__xludf.DUMMYFUNCTION("""COMPUTED_VALUE"""),"Yes")</f>
        <v>Yes</v>
      </c>
      <c r="Y558" s="5"/>
      <c r="Z558" s="5"/>
      <c r="AA558" s="5"/>
      <c r="AB558" s="5" t="str">
        <f>IFERROR(__xludf.DUMMYFUNCTION("""COMPUTED_VALUE"""),"Yes")</f>
        <v>Yes</v>
      </c>
      <c r="AC558" s="5" t="str">
        <f>IFERROR(__xludf.DUMMYFUNCTION("""COMPUTED_VALUE"""),"Yes")</f>
        <v>Yes</v>
      </c>
    </row>
    <row r="559">
      <c r="A559" s="5" t="str">
        <f>IFERROR(__xludf.DUMMYFUNCTION("""COMPUTED_VALUE"""),"UnicornStormDice")</f>
        <v>UnicornStormDice</v>
      </c>
      <c r="B559" s="5" t="str">
        <f>IFERROR(__xludf.DUMMYFUNCTION("""COMPUTED_VALUE"""),"English(""eng"")")</f>
        <v>English("eng")</v>
      </c>
      <c r="C559" s="5" t="str">
        <f>IFERROR(__xludf.DUMMYFUNCTION("""COMPUTED_VALUE"""),"Yes")</f>
        <v>Yes</v>
      </c>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row>
    <row r="560">
      <c r="A560" s="5" t="str">
        <f>IFERROR(__xludf.DUMMYFUNCTION("""COMPUTED_VALUE"""),"UnicornSantasRudolf")</f>
        <v>UnicornSantasRudolf</v>
      </c>
      <c r="B560"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0" s="5" t="str">
        <f>IFERROR(__xludf.DUMMYFUNCTION("""COMPUTED_VALUE"""),"Yes")</f>
        <v>Yes</v>
      </c>
      <c r="D560" s="5" t="str">
        <f>IFERROR(__xludf.DUMMYFUNCTION("""COMPUTED_VALUE"""),"Yes")</f>
        <v>Yes</v>
      </c>
      <c r="E560" s="5" t="str">
        <f>IFERROR(__xludf.DUMMYFUNCTION("""COMPUTED_VALUE"""),"Yes")</f>
        <v>Yes</v>
      </c>
      <c r="F560" s="5"/>
      <c r="G560" s="5"/>
      <c r="H560" s="5"/>
      <c r="I560" s="5"/>
      <c r="J560" s="5"/>
      <c r="K560" s="5" t="str">
        <f>IFERROR(__xludf.DUMMYFUNCTION("""COMPUTED_VALUE"""),"Yes")</f>
        <v>Yes</v>
      </c>
      <c r="L560" s="5" t="str">
        <f>IFERROR(__xludf.DUMMYFUNCTION("""COMPUTED_VALUE"""),"Yes")</f>
        <v>Yes</v>
      </c>
      <c r="M560" s="5" t="str">
        <f>IFERROR(__xludf.DUMMYFUNCTION("""COMPUTED_VALUE"""),"Yes")</f>
        <v>Yes</v>
      </c>
      <c r="N560" s="5" t="str">
        <f>IFERROR(__xludf.DUMMYFUNCTION("""COMPUTED_VALUE"""),"Yes")</f>
        <v>Yes</v>
      </c>
      <c r="O560" s="5" t="str">
        <f>IFERROR(__xludf.DUMMYFUNCTION("""COMPUTED_VALUE"""),"Yes")</f>
        <v>Yes</v>
      </c>
      <c r="P560" s="5"/>
      <c r="Q560" s="5" t="str">
        <f>IFERROR(__xludf.DUMMYFUNCTION("""COMPUTED_VALUE"""),"Yes")</f>
        <v>Yes</v>
      </c>
      <c r="R560" s="5"/>
      <c r="S560" s="5"/>
      <c r="T560" s="5"/>
      <c r="U560" s="5"/>
      <c r="V560" s="5"/>
      <c r="W560" s="5"/>
      <c r="X560" s="5" t="str">
        <f>IFERROR(__xludf.DUMMYFUNCTION("""COMPUTED_VALUE"""),"Yes")</f>
        <v>Yes</v>
      </c>
      <c r="Y560" s="5"/>
      <c r="Z560" s="5"/>
      <c r="AA560" s="5"/>
      <c r="AB560" s="5" t="str">
        <f>IFERROR(__xludf.DUMMYFUNCTION("""COMPUTED_VALUE"""),"Yes")</f>
        <v>Yes</v>
      </c>
      <c r="AC560" s="5" t="str">
        <f>IFERROR(__xludf.DUMMYFUNCTION("""COMPUTED_VALUE"""),"Yes")</f>
        <v>Yes</v>
      </c>
    </row>
    <row r="561">
      <c r="A561" s="5" t="str">
        <f>IFERROR(__xludf.DUMMYFUNCTION("""COMPUTED_VALUE"""),"UnicornGoldLineGems")</f>
        <v>UnicornGoldLineGems</v>
      </c>
      <c r="B561"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1" s="5" t="str">
        <f>IFERROR(__xludf.DUMMYFUNCTION("""COMPUTED_VALUE"""),"Yes")</f>
        <v>Yes</v>
      </c>
      <c r="D561" s="5" t="str">
        <f>IFERROR(__xludf.DUMMYFUNCTION("""COMPUTED_VALUE"""),"Yes")</f>
        <v>Yes</v>
      </c>
      <c r="E561" s="5" t="str">
        <f>IFERROR(__xludf.DUMMYFUNCTION("""COMPUTED_VALUE"""),"Yes")</f>
        <v>Yes</v>
      </c>
      <c r="F561" s="5"/>
      <c r="G561" s="5"/>
      <c r="H561" s="5"/>
      <c r="I561" s="5"/>
      <c r="J561" s="5"/>
      <c r="K561" s="5" t="str">
        <f>IFERROR(__xludf.DUMMYFUNCTION("""COMPUTED_VALUE"""),"Yes")</f>
        <v>Yes</v>
      </c>
      <c r="L561" s="5" t="str">
        <f>IFERROR(__xludf.DUMMYFUNCTION("""COMPUTED_VALUE"""),"Yes")</f>
        <v>Yes</v>
      </c>
      <c r="M561" s="5" t="str">
        <f>IFERROR(__xludf.DUMMYFUNCTION("""COMPUTED_VALUE"""),"Yes")</f>
        <v>Yes</v>
      </c>
      <c r="N561" s="5" t="str">
        <f>IFERROR(__xludf.DUMMYFUNCTION("""COMPUTED_VALUE"""),"Yes")</f>
        <v>Yes</v>
      </c>
      <c r="O561" s="5" t="str">
        <f>IFERROR(__xludf.DUMMYFUNCTION("""COMPUTED_VALUE"""),"Yes")</f>
        <v>Yes</v>
      </c>
      <c r="P561" s="5"/>
      <c r="Q561" s="5" t="str">
        <f>IFERROR(__xludf.DUMMYFUNCTION("""COMPUTED_VALUE"""),"Yes")</f>
        <v>Yes</v>
      </c>
      <c r="R561" s="5"/>
      <c r="S561" s="5"/>
      <c r="T561" s="5"/>
      <c r="U561" s="5"/>
      <c r="V561" s="5"/>
      <c r="W561" s="5"/>
      <c r="X561" s="5" t="str">
        <f>IFERROR(__xludf.DUMMYFUNCTION("""COMPUTED_VALUE"""),"Yes")</f>
        <v>Yes</v>
      </c>
      <c r="Y561" s="5"/>
      <c r="Z561" s="5"/>
      <c r="AA561" s="5"/>
      <c r="AB561" s="5" t="str">
        <f>IFERROR(__xludf.DUMMYFUNCTION("""COMPUTED_VALUE"""),"Yes")</f>
        <v>Yes</v>
      </c>
      <c r="AC561" s="5" t="str">
        <f>IFERROR(__xludf.DUMMYFUNCTION("""COMPUTED_VALUE"""),"Yes")</f>
        <v>Yes</v>
      </c>
    </row>
    <row r="562">
      <c r="A562" s="5" t="str">
        <f>IFERROR(__xludf.DUMMYFUNCTION("""COMPUTED_VALUE"""),"UnicornChristmasPresents2025")</f>
        <v>UnicornChristmasPresents2025</v>
      </c>
      <c r="B56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2" s="5" t="str">
        <f>IFERROR(__xludf.DUMMYFUNCTION("""COMPUTED_VALUE"""),"Yes")</f>
        <v>Yes</v>
      </c>
      <c r="D562" s="5" t="str">
        <f>IFERROR(__xludf.DUMMYFUNCTION("""COMPUTED_VALUE"""),"Yes")</f>
        <v>Yes</v>
      </c>
      <c r="E562" s="5" t="str">
        <f>IFERROR(__xludf.DUMMYFUNCTION("""COMPUTED_VALUE"""),"Yes")</f>
        <v>Yes</v>
      </c>
      <c r="F562" s="5" t="str">
        <f>IFERROR(__xludf.DUMMYFUNCTION("""COMPUTED_VALUE"""),"No")</f>
        <v>No</v>
      </c>
      <c r="G562" s="5" t="str">
        <f>IFERROR(__xludf.DUMMYFUNCTION("""COMPUTED_VALUE"""),"No")</f>
        <v>No</v>
      </c>
      <c r="H562" s="5" t="str">
        <f>IFERROR(__xludf.DUMMYFUNCTION("""COMPUTED_VALUE"""),"No")</f>
        <v>No</v>
      </c>
      <c r="I562" s="5" t="str">
        <f>IFERROR(__xludf.DUMMYFUNCTION("""COMPUTED_VALUE"""),"No")</f>
        <v>No</v>
      </c>
      <c r="J562" s="5" t="str">
        <f>IFERROR(__xludf.DUMMYFUNCTION("""COMPUTED_VALUE"""),"No")</f>
        <v>No</v>
      </c>
      <c r="K562" s="5" t="str">
        <f>IFERROR(__xludf.DUMMYFUNCTION("""COMPUTED_VALUE"""),"Yes")</f>
        <v>Yes</v>
      </c>
      <c r="L562" s="5" t="str">
        <f>IFERROR(__xludf.DUMMYFUNCTION("""COMPUTED_VALUE"""),"Yes")</f>
        <v>Yes</v>
      </c>
      <c r="M562" s="5" t="str">
        <f>IFERROR(__xludf.DUMMYFUNCTION("""COMPUTED_VALUE"""),"Yes")</f>
        <v>Yes</v>
      </c>
      <c r="N562" s="5" t="str">
        <f>IFERROR(__xludf.DUMMYFUNCTION("""COMPUTED_VALUE"""),"Yes")</f>
        <v>Yes</v>
      </c>
      <c r="O562" s="5" t="str">
        <f>IFERROR(__xludf.DUMMYFUNCTION("""COMPUTED_VALUE"""),"Yes")</f>
        <v>Yes</v>
      </c>
      <c r="P562" s="5" t="str">
        <f>IFERROR(__xludf.DUMMYFUNCTION("""COMPUTED_VALUE"""),"No")</f>
        <v>No</v>
      </c>
      <c r="Q562" s="5" t="str">
        <f>IFERROR(__xludf.DUMMYFUNCTION("""COMPUTED_VALUE"""),"Yes")</f>
        <v>Yes</v>
      </c>
      <c r="R562" s="5" t="str">
        <f>IFERROR(__xludf.DUMMYFUNCTION("""COMPUTED_VALUE"""),"No")</f>
        <v>No</v>
      </c>
      <c r="S562" s="5" t="str">
        <f>IFERROR(__xludf.DUMMYFUNCTION("""COMPUTED_VALUE"""),"No")</f>
        <v>No</v>
      </c>
      <c r="T562" s="5" t="str">
        <f>IFERROR(__xludf.DUMMYFUNCTION("""COMPUTED_VALUE"""),"No")</f>
        <v>No</v>
      </c>
      <c r="U562" s="5" t="str">
        <f>IFERROR(__xludf.DUMMYFUNCTION("""COMPUTED_VALUE"""),"No")</f>
        <v>No</v>
      </c>
      <c r="V562" s="5" t="str">
        <f>IFERROR(__xludf.DUMMYFUNCTION("""COMPUTED_VALUE"""),"No")</f>
        <v>No</v>
      </c>
      <c r="W562" s="5" t="str">
        <f>IFERROR(__xludf.DUMMYFUNCTION("""COMPUTED_VALUE"""),"No")</f>
        <v>No</v>
      </c>
      <c r="X562" s="5" t="str">
        <f>IFERROR(__xludf.DUMMYFUNCTION("""COMPUTED_VALUE"""),"Yes")</f>
        <v>Yes</v>
      </c>
      <c r="Y562" s="5" t="str">
        <f>IFERROR(__xludf.DUMMYFUNCTION("""COMPUTED_VALUE"""),"No")</f>
        <v>No</v>
      </c>
      <c r="Z562" s="5" t="str">
        <f>IFERROR(__xludf.DUMMYFUNCTION("""COMPUTED_VALUE"""),"No")</f>
        <v>No</v>
      </c>
      <c r="AA562" s="5" t="str">
        <f>IFERROR(__xludf.DUMMYFUNCTION("""COMPUTED_VALUE"""),"No")</f>
        <v>No</v>
      </c>
      <c r="AB562" s="5" t="str">
        <f>IFERROR(__xludf.DUMMYFUNCTION("""COMPUTED_VALUE"""),"Yes")</f>
        <v>Yes</v>
      </c>
      <c r="AC562" s="5" t="str">
        <f>IFERROR(__xludf.DUMMYFUNCTION("""COMPUTED_VALUE"""),"Yes")</f>
        <v>Yes</v>
      </c>
    </row>
    <row r="563">
      <c r="A563" s="5" t="str">
        <f>IFERROR(__xludf.DUMMYFUNCTION("""COMPUTED_VALUE"""),"UnicornMoneyStandardPlatinum")</f>
        <v>UnicornMoneyStandardPlatinum</v>
      </c>
      <c r="B563"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3" s="5" t="str">
        <f>IFERROR(__xludf.DUMMYFUNCTION("""COMPUTED_VALUE"""),"Yes")</f>
        <v>Yes</v>
      </c>
      <c r="D563" s="5" t="str">
        <f>IFERROR(__xludf.DUMMYFUNCTION("""COMPUTED_VALUE"""),"Yes")</f>
        <v>Yes</v>
      </c>
      <c r="E563" s="5" t="str">
        <f>IFERROR(__xludf.DUMMYFUNCTION("""COMPUTED_VALUE"""),"Yes")</f>
        <v>Yes</v>
      </c>
      <c r="F563" s="5"/>
      <c r="G563" s="5" t="str">
        <f>IFERROR(__xludf.DUMMYFUNCTION("""COMPUTED_VALUE"""),"Yes")</f>
        <v>Yes</v>
      </c>
      <c r="H563" s="5"/>
      <c r="I563" s="5"/>
      <c r="J563" s="5"/>
      <c r="K563" s="5" t="str">
        <f>IFERROR(__xludf.DUMMYFUNCTION("""COMPUTED_VALUE"""),"Yes")</f>
        <v>Yes</v>
      </c>
      <c r="L563" s="5" t="str">
        <f>IFERROR(__xludf.DUMMYFUNCTION("""COMPUTED_VALUE"""),"Yes")</f>
        <v>Yes</v>
      </c>
      <c r="M563" s="5" t="str">
        <f>IFERROR(__xludf.DUMMYFUNCTION("""COMPUTED_VALUE"""),"Yes")</f>
        <v>Yes</v>
      </c>
      <c r="N563" s="5" t="str">
        <f>IFERROR(__xludf.DUMMYFUNCTION("""COMPUTED_VALUE"""),"Yes")</f>
        <v>Yes</v>
      </c>
      <c r="O563" s="5" t="str">
        <f>IFERROR(__xludf.DUMMYFUNCTION("""COMPUTED_VALUE"""),"Yes")</f>
        <v>Yes</v>
      </c>
      <c r="P563" s="5"/>
      <c r="Q563" s="5" t="str">
        <f>IFERROR(__xludf.DUMMYFUNCTION("""COMPUTED_VALUE"""),"Yes")</f>
        <v>Yes</v>
      </c>
      <c r="R563" s="5"/>
      <c r="S563" s="5"/>
      <c r="T563" s="5"/>
      <c r="U563" s="5"/>
      <c r="V563" s="5"/>
      <c r="W563" s="5"/>
      <c r="X563" s="5" t="str">
        <f>IFERROR(__xludf.DUMMYFUNCTION("""COMPUTED_VALUE"""),"Yes")</f>
        <v>Yes</v>
      </c>
      <c r="Y563" s="5"/>
      <c r="Z563" s="5"/>
      <c r="AA563" s="5"/>
      <c r="AB563" s="5" t="str">
        <f>IFERROR(__xludf.DUMMYFUNCTION("""COMPUTED_VALUE"""),"Yes")</f>
        <v>Yes</v>
      </c>
      <c r="AC563" s="5" t="str">
        <f>IFERROR(__xludf.DUMMYFUNCTION("""COMPUTED_VALUE"""),"Yes")</f>
        <v>Yes</v>
      </c>
    </row>
    <row r="564">
      <c r="A564" s="5" t="str">
        <f>IFERROR(__xludf.DUMMYFUNCTION("""COMPUTED_VALUE"""),"UnicornFruitMultipliers")</f>
        <v>UnicornFruitMultipliers</v>
      </c>
      <c r="B564"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4" s="5" t="str">
        <f>IFERROR(__xludf.DUMMYFUNCTION("""COMPUTED_VALUE"""),"Yes")</f>
        <v>Yes</v>
      </c>
      <c r="D564" s="5" t="str">
        <f>IFERROR(__xludf.DUMMYFUNCTION("""COMPUTED_VALUE"""),"Yes")</f>
        <v>Yes</v>
      </c>
      <c r="E564" s="5" t="str">
        <f>IFERROR(__xludf.DUMMYFUNCTION("""COMPUTED_VALUE"""),"Yes")</f>
        <v>Yes</v>
      </c>
      <c r="F564" s="5"/>
      <c r="G564" s="5" t="str">
        <f>IFERROR(__xludf.DUMMYFUNCTION("""COMPUTED_VALUE"""),"Yes")</f>
        <v>Yes</v>
      </c>
      <c r="H564" s="5"/>
      <c r="I564" s="5"/>
      <c r="J564" s="5"/>
      <c r="K564" s="5" t="str">
        <f>IFERROR(__xludf.DUMMYFUNCTION("""COMPUTED_VALUE"""),"Yes")</f>
        <v>Yes</v>
      </c>
      <c r="L564" s="5" t="str">
        <f>IFERROR(__xludf.DUMMYFUNCTION("""COMPUTED_VALUE"""),"Yes")</f>
        <v>Yes</v>
      </c>
      <c r="M564" s="5" t="str">
        <f>IFERROR(__xludf.DUMMYFUNCTION("""COMPUTED_VALUE"""),"Yes")</f>
        <v>Yes</v>
      </c>
      <c r="N564" s="5" t="str">
        <f>IFERROR(__xludf.DUMMYFUNCTION("""COMPUTED_VALUE"""),"Yes")</f>
        <v>Yes</v>
      </c>
      <c r="O564" s="5" t="str">
        <f>IFERROR(__xludf.DUMMYFUNCTION("""COMPUTED_VALUE"""),"Yes")</f>
        <v>Yes</v>
      </c>
      <c r="P564" s="5"/>
      <c r="Q564" s="5" t="str">
        <f>IFERROR(__xludf.DUMMYFUNCTION("""COMPUTED_VALUE"""),"Yes")</f>
        <v>Yes</v>
      </c>
      <c r="R564" s="5"/>
      <c r="S564" s="5"/>
      <c r="T564" s="5"/>
      <c r="U564" s="5"/>
      <c r="V564" s="5"/>
      <c r="W564" s="5"/>
      <c r="X564" s="5" t="str">
        <f>IFERROR(__xludf.DUMMYFUNCTION("""COMPUTED_VALUE"""),"Yes")</f>
        <v>Yes</v>
      </c>
      <c r="Y564" s="5"/>
      <c r="Z564" s="5"/>
      <c r="AA564" s="5"/>
      <c r="AB564" s="5" t="str">
        <f>IFERROR(__xludf.DUMMYFUNCTION("""COMPUTED_VALUE"""),"Yes")</f>
        <v>Yes</v>
      </c>
      <c r="AC564" s="5" t="str">
        <f>IFERROR(__xludf.DUMMYFUNCTION("""COMPUTED_VALUE"""),"Yes")</f>
        <v>Yes</v>
      </c>
    </row>
    <row r="565">
      <c r="A565" s="5" t="str">
        <f>IFERROR(__xludf.DUMMYFUNCTION("""COMPUTED_VALUE"""),"UnicornSevensPay")</f>
        <v>UnicornSevensPay</v>
      </c>
      <c r="B565"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5" s="5" t="str">
        <f>IFERROR(__xludf.DUMMYFUNCTION("""COMPUTED_VALUE"""),"Yes")</f>
        <v>Yes</v>
      </c>
      <c r="D565" s="5" t="str">
        <f>IFERROR(__xludf.DUMMYFUNCTION("""COMPUTED_VALUE"""),"Yes")</f>
        <v>Yes</v>
      </c>
      <c r="E565" s="5" t="str">
        <f>IFERROR(__xludf.DUMMYFUNCTION("""COMPUTED_VALUE"""),"Yes")</f>
        <v>Yes</v>
      </c>
      <c r="F565" s="5"/>
      <c r="G565" s="5" t="str">
        <f>IFERROR(__xludf.DUMMYFUNCTION("""COMPUTED_VALUE"""),"Yes")</f>
        <v>Yes</v>
      </c>
      <c r="H565" s="5"/>
      <c r="I565" s="5"/>
      <c r="J565" s="5"/>
      <c r="K565" s="5" t="str">
        <f>IFERROR(__xludf.DUMMYFUNCTION("""COMPUTED_VALUE"""),"Yes")</f>
        <v>Yes</v>
      </c>
      <c r="L565" s="5" t="str">
        <f>IFERROR(__xludf.DUMMYFUNCTION("""COMPUTED_VALUE"""),"Yes")</f>
        <v>Yes</v>
      </c>
      <c r="M565" s="5" t="str">
        <f>IFERROR(__xludf.DUMMYFUNCTION("""COMPUTED_VALUE"""),"Yes")</f>
        <v>Yes</v>
      </c>
      <c r="N565" s="5" t="str">
        <f>IFERROR(__xludf.DUMMYFUNCTION("""COMPUTED_VALUE"""),"Yes")</f>
        <v>Yes</v>
      </c>
      <c r="O565" s="5" t="str">
        <f>IFERROR(__xludf.DUMMYFUNCTION("""COMPUTED_VALUE"""),"Yes")</f>
        <v>Yes</v>
      </c>
      <c r="P565" s="5"/>
      <c r="Q565" s="5" t="str">
        <f>IFERROR(__xludf.DUMMYFUNCTION("""COMPUTED_VALUE"""),"Yes")</f>
        <v>Yes</v>
      </c>
      <c r="R565" s="5"/>
      <c r="S565" s="5"/>
      <c r="T565" s="5"/>
      <c r="U565" s="5"/>
      <c r="V565" s="5"/>
      <c r="W565" s="5"/>
      <c r="X565" s="5" t="str">
        <f>IFERROR(__xludf.DUMMYFUNCTION("""COMPUTED_VALUE"""),"Yes")</f>
        <v>Yes</v>
      </c>
      <c r="Y565" s="5"/>
      <c r="Z565" s="5"/>
      <c r="AA565" s="5"/>
      <c r="AB565" s="5" t="str">
        <f>IFERROR(__xludf.DUMMYFUNCTION("""COMPUTED_VALUE"""),"Yes")</f>
        <v>Yes</v>
      </c>
      <c r="AC565" s="5" t="str">
        <f>IFERROR(__xludf.DUMMYFUNCTION("""COMPUTED_VALUE"""),"Yes")</f>
        <v>Yes</v>
      </c>
    </row>
    <row r="566">
      <c r="A566" s="5" t="str">
        <f>IFERROR(__xludf.DUMMYFUNCTION("""COMPUTED_VALUE"""),"PlayNetMajesticCrown40")</f>
        <v>PlayNetMajesticCrown40</v>
      </c>
      <c r="B566" s="5" t="str">
        <f>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C566" s="5" t="str">
        <f>IFERROR(__xludf.DUMMYFUNCTION("""COMPUTED_VALUE"""),"Yes")</f>
        <v>Yes</v>
      </c>
      <c r="D566" s="5" t="str">
        <f>IFERROR(__xludf.DUMMYFUNCTION("""COMPUTED_VALUE"""),"Yes")</f>
        <v>Yes</v>
      </c>
      <c r="E566" s="5" t="str">
        <f>IFERROR(__xludf.DUMMYFUNCTION("""COMPUTED_VALUE"""),"Yes")</f>
        <v>Yes</v>
      </c>
      <c r="F566" s="5" t="str">
        <f>IFERROR(__xludf.DUMMYFUNCTION("""COMPUTED_VALUE"""),"Yes")</f>
        <v>Yes</v>
      </c>
      <c r="G566" s="5" t="str">
        <f>IFERROR(__xludf.DUMMYFUNCTION("""COMPUTED_VALUE"""),"Yes")</f>
        <v>Yes</v>
      </c>
      <c r="H566" s="5" t="str">
        <f>IFERROR(__xludf.DUMMYFUNCTION("""COMPUTED_VALUE"""),"Yes")</f>
        <v>Yes</v>
      </c>
      <c r="I566" s="5" t="str">
        <f>IFERROR(__xludf.DUMMYFUNCTION("""COMPUTED_VALUE"""),"Yes")</f>
        <v>Yes</v>
      </c>
      <c r="J566" s="5" t="str">
        <f>IFERROR(__xludf.DUMMYFUNCTION("""COMPUTED_VALUE"""),"Yes")</f>
        <v>Yes</v>
      </c>
      <c r="K566" s="5" t="str">
        <f>IFERROR(__xludf.DUMMYFUNCTION("""COMPUTED_VALUE"""),"Yes")</f>
        <v>Yes</v>
      </c>
      <c r="L566" s="5" t="str">
        <f>IFERROR(__xludf.DUMMYFUNCTION("""COMPUTED_VALUE"""),"Yes")</f>
        <v>Yes</v>
      </c>
      <c r="M566" s="5" t="str">
        <f>IFERROR(__xludf.DUMMYFUNCTION("""COMPUTED_VALUE"""),"Yes")</f>
        <v>Yes</v>
      </c>
      <c r="N566" s="5" t="str">
        <f>IFERROR(__xludf.DUMMYFUNCTION("""COMPUTED_VALUE"""),"Yes")</f>
        <v>Yes</v>
      </c>
      <c r="O566" s="5" t="str">
        <f>IFERROR(__xludf.DUMMYFUNCTION("""COMPUTED_VALUE"""),"Yes")</f>
        <v>Yes</v>
      </c>
      <c r="P566" s="5" t="str">
        <f>IFERROR(__xludf.DUMMYFUNCTION("""COMPUTED_VALUE"""),"Yes")</f>
        <v>Yes</v>
      </c>
      <c r="Q566" s="5" t="str">
        <f>IFERROR(__xludf.DUMMYFUNCTION("""COMPUTED_VALUE"""),"Yes")</f>
        <v>Yes</v>
      </c>
      <c r="R566" s="5"/>
      <c r="S566" s="5"/>
      <c r="T566" s="5"/>
      <c r="U566" s="5"/>
      <c r="V566" s="5"/>
      <c r="W566" s="5"/>
      <c r="X566" s="5" t="str">
        <f>IFERROR(__xludf.DUMMYFUNCTION("""COMPUTED_VALUE"""),"Yes")</f>
        <v>Yes</v>
      </c>
      <c r="Y566" s="5"/>
      <c r="Z566" s="5"/>
      <c r="AA566" s="5"/>
      <c r="AB566" s="5" t="str">
        <f>IFERROR(__xludf.DUMMYFUNCTION("""COMPUTED_VALUE"""),"Yes")</f>
        <v>Yes</v>
      </c>
      <c r="AC566" s="5" t="str">
        <f>IFERROR(__xludf.DUMMYFUNCTION("""COMPUTED_VALUE"""),"Yes")</f>
        <v>Yes</v>
      </c>
    </row>
    <row r="567">
      <c r="A567" s="5" t="str">
        <f>IFERROR(__xludf.DUMMYFUNCTION("""COMPUTED_VALUE"""),"PlayNetNeptunesJewels")</f>
        <v>PlayNetNeptunesJewels</v>
      </c>
      <c r="B567" s="5" t="str">
        <f>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C567" s="5" t="str">
        <f>IFERROR(__xludf.DUMMYFUNCTION("""COMPUTED_VALUE"""),"Yes")</f>
        <v>Yes</v>
      </c>
      <c r="D567" s="5" t="str">
        <f>IFERROR(__xludf.DUMMYFUNCTION("""COMPUTED_VALUE"""),"Yes")</f>
        <v>Yes</v>
      </c>
      <c r="E567" s="5" t="str">
        <f>IFERROR(__xludf.DUMMYFUNCTION("""COMPUTED_VALUE"""),"No")</f>
        <v>No</v>
      </c>
      <c r="F567" s="5" t="str">
        <f>IFERROR(__xludf.DUMMYFUNCTION("""COMPUTED_VALUE"""),"Yes")</f>
        <v>Yes</v>
      </c>
      <c r="G567" s="5" t="str">
        <f>IFERROR(__xludf.DUMMYFUNCTION("""COMPUTED_VALUE"""),"Yes")</f>
        <v>Yes</v>
      </c>
      <c r="H567" s="5" t="str">
        <f>IFERROR(__xludf.DUMMYFUNCTION("""COMPUTED_VALUE"""),"Yes")</f>
        <v>Yes</v>
      </c>
      <c r="I567" s="5" t="str">
        <f>IFERROR(__xludf.DUMMYFUNCTION("""COMPUTED_VALUE"""),"Yes")</f>
        <v>Yes</v>
      </c>
      <c r="J567" s="5" t="str">
        <f>IFERROR(__xludf.DUMMYFUNCTION("""COMPUTED_VALUE"""),"Yes")</f>
        <v>Yes</v>
      </c>
      <c r="K567" s="5" t="str">
        <f>IFERROR(__xludf.DUMMYFUNCTION("""COMPUTED_VALUE"""),"Yes")</f>
        <v>Yes</v>
      </c>
      <c r="L567" s="5" t="str">
        <f>IFERROR(__xludf.DUMMYFUNCTION("""COMPUTED_VALUE"""),"Yes")</f>
        <v>Yes</v>
      </c>
      <c r="M567" s="5" t="str">
        <f>IFERROR(__xludf.DUMMYFUNCTION("""COMPUTED_VALUE"""),"Yes")</f>
        <v>Yes</v>
      </c>
      <c r="N567" s="5" t="str">
        <f>IFERROR(__xludf.DUMMYFUNCTION("""COMPUTED_VALUE"""),"Yes")</f>
        <v>Yes</v>
      </c>
      <c r="O567" s="5" t="str">
        <f>IFERROR(__xludf.DUMMYFUNCTION("""COMPUTED_VALUE"""),"Yes")</f>
        <v>Yes</v>
      </c>
      <c r="P567" s="5" t="str">
        <f>IFERROR(__xludf.DUMMYFUNCTION("""COMPUTED_VALUE"""),"Yes")</f>
        <v>Yes</v>
      </c>
      <c r="Q567" s="5" t="str">
        <f>IFERROR(__xludf.DUMMYFUNCTION("""COMPUTED_VALUE"""),"Yes")</f>
        <v>Yes</v>
      </c>
      <c r="R567" s="5"/>
      <c r="S567" s="5"/>
      <c r="T567" s="5"/>
      <c r="U567" s="5"/>
      <c r="V567" s="5"/>
      <c r="W567" s="5"/>
      <c r="X567" s="5" t="str">
        <f>IFERROR(__xludf.DUMMYFUNCTION("""COMPUTED_VALUE"""),"Yes")</f>
        <v>Yes</v>
      </c>
      <c r="Y567" s="5"/>
      <c r="Z567" s="5"/>
      <c r="AA567" s="5"/>
      <c r="AB567" s="5" t="str">
        <f>IFERROR(__xludf.DUMMYFUNCTION("""COMPUTED_VALUE"""),"Yes")</f>
        <v>Yes</v>
      </c>
      <c r="AC567" s="5" t="str">
        <f>IFERROR(__xludf.DUMMYFUNCTION("""COMPUTED_VALUE"""),"Yes")</f>
        <v>Yes</v>
      </c>
    </row>
    <row r="568">
      <c r="A568" s="5" t="str">
        <f>IFERROR(__xludf.DUMMYFUNCTION("""COMPUTED_VALUE"""),"PlayNet81MagicStars")</f>
        <v>PlayNet81MagicStars</v>
      </c>
      <c r="B568" s="5" t="str">
        <f>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C568" s="5" t="str">
        <f>IFERROR(__xludf.DUMMYFUNCTION("""COMPUTED_VALUE"""),"Yes")</f>
        <v>Yes</v>
      </c>
      <c r="D568" s="5" t="str">
        <f>IFERROR(__xludf.DUMMYFUNCTION("""COMPUTED_VALUE"""),"Yes")</f>
        <v>Yes</v>
      </c>
      <c r="E568" s="5" t="str">
        <f>IFERROR(__xludf.DUMMYFUNCTION("""COMPUTED_VALUE"""),"No")</f>
        <v>No</v>
      </c>
      <c r="F568" s="5" t="str">
        <f>IFERROR(__xludf.DUMMYFUNCTION("""COMPUTED_VALUE"""),"Yes")</f>
        <v>Yes</v>
      </c>
      <c r="G568" s="5" t="str">
        <f>IFERROR(__xludf.DUMMYFUNCTION("""COMPUTED_VALUE"""),"Yes")</f>
        <v>Yes</v>
      </c>
      <c r="H568" s="5" t="str">
        <f>IFERROR(__xludf.DUMMYFUNCTION("""COMPUTED_VALUE"""),"Yes")</f>
        <v>Yes</v>
      </c>
      <c r="I568" s="5" t="str">
        <f>IFERROR(__xludf.DUMMYFUNCTION("""COMPUTED_VALUE"""),"Yes")</f>
        <v>Yes</v>
      </c>
      <c r="J568" s="5" t="str">
        <f>IFERROR(__xludf.DUMMYFUNCTION("""COMPUTED_VALUE"""),"Yes")</f>
        <v>Yes</v>
      </c>
      <c r="K568" s="5" t="str">
        <f>IFERROR(__xludf.DUMMYFUNCTION("""COMPUTED_VALUE"""),"Yes")</f>
        <v>Yes</v>
      </c>
      <c r="L568" s="5" t="str">
        <f>IFERROR(__xludf.DUMMYFUNCTION("""COMPUTED_VALUE"""),"Yes")</f>
        <v>Yes</v>
      </c>
      <c r="M568" s="5" t="str">
        <f>IFERROR(__xludf.DUMMYFUNCTION("""COMPUTED_VALUE"""),"Yes")</f>
        <v>Yes</v>
      </c>
      <c r="N568" s="5" t="str">
        <f>IFERROR(__xludf.DUMMYFUNCTION("""COMPUTED_VALUE"""),"Yes")</f>
        <v>Yes</v>
      </c>
      <c r="O568" s="5" t="str">
        <f>IFERROR(__xludf.DUMMYFUNCTION("""COMPUTED_VALUE"""),"Yes")</f>
        <v>Yes</v>
      </c>
      <c r="P568" s="5" t="str">
        <f>IFERROR(__xludf.DUMMYFUNCTION("""COMPUTED_VALUE"""),"Yes")</f>
        <v>Yes</v>
      </c>
      <c r="Q568" s="5" t="str">
        <f>IFERROR(__xludf.DUMMYFUNCTION("""COMPUTED_VALUE"""),"Yes")</f>
        <v>Yes</v>
      </c>
      <c r="R568" s="5"/>
      <c r="S568" s="5"/>
      <c r="T568" s="5"/>
      <c r="U568" s="5"/>
      <c r="V568" s="5"/>
      <c r="W568" s="5"/>
      <c r="X568" s="5" t="str">
        <f>IFERROR(__xludf.DUMMYFUNCTION("""COMPUTED_VALUE"""),"No")</f>
        <v>No</v>
      </c>
      <c r="Y568" s="5"/>
      <c r="Z568" s="5"/>
      <c r="AA568" s="5"/>
      <c r="AB568" s="5" t="str">
        <f>IFERROR(__xludf.DUMMYFUNCTION("""COMPUTED_VALUE"""),"Yes")</f>
        <v>Yes</v>
      </c>
      <c r="AC568" s="5" t="str">
        <f>IFERROR(__xludf.DUMMYFUNCTION("""COMPUTED_VALUE"""),"Yes")</f>
        <v>Yes</v>
      </c>
    </row>
    <row r="569">
      <c r="A569" s="5" t="str">
        <f>IFERROR(__xludf.DUMMYFUNCTION("""COMPUTED_VALUE"""),"Redstone40CloverField")</f>
        <v>Redstone40CloverField</v>
      </c>
      <c r="B569" s="5" t="str">
        <f>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C569" s="5" t="str">
        <f>IFERROR(__xludf.DUMMYFUNCTION("""COMPUTED_VALUE"""),"Yes")</f>
        <v>Yes</v>
      </c>
      <c r="D569" s="5" t="str">
        <f>IFERROR(__xludf.DUMMYFUNCTION("""COMPUTED_VALUE"""),"Yes")</f>
        <v>Yes</v>
      </c>
      <c r="E569" s="5" t="str">
        <f>IFERROR(__xludf.DUMMYFUNCTION("""COMPUTED_VALUE"""),"Yes")</f>
        <v>Yes</v>
      </c>
      <c r="F569" s="5" t="str">
        <f>IFERROR(__xludf.DUMMYFUNCTION("""COMPUTED_VALUE"""),"Yes")</f>
        <v>Yes</v>
      </c>
      <c r="G569" s="5" t="str">
        <f>IFERROR(__xludf.DUMMYFUNCTION("""COMPUTED_VALUE"""),"Yes")</f>
        <v>Yes</v>
      </c>
      <c r="H569" s="5" t="str">
        <f>IFERROR(__xludf.DUMMYFUNCTION("""COMPUTED_VALUE"""),"Yes")</f>
        <v>Yes</v>
      </c>
      <c r="I569" s="5" t="str">
        <f>IFERROR(__xludf.DUMMYFUNCTION("""COMPUTED_VALUE"""),"Yes")</f>
        <v>Yes</v>
      </c>
      <c r="J569" s="5" t="str">
        <f>IFERROR(__xludf.DUMMYFUNCTION("""COMPUTED_VALUE"""),"Yes")</f>
        <v>Yes</v>
      </c>
      <c r="K569" s="5" t="str">
        <f>IFERROR(__xludf.DUMMYFUNCTION("""COMPUTED_VALUE"""),"Yes")</f>
        <v>Yes</v>
      </c>
      <c r="L569" s="5" t="str">
        <f>IFERROR(__xludf.DUMMYFUNCTION("""COMPUTED_VALUE"""),"Yes")</f>
        <v>Yes</v>
      </c>
      <c r="M569" s="5" t="str">
        <f>IFERROR(__xludf.DUMMYFUNCTION("""COMPUTED_VALUE"""),"Yes")</f>
        <v>Yes</v>
      </c>
      <c r="N569" s="5" t="str">
        <f>IFERROR(__xludf.DUMMYFUNCTION("""COMPUTED_VALUE"""),"Yes")</f>
        <v>Yes</v>
      </c>
      <c r="O569" s="5" t="str">
        <f>IFERROR(__xludf.DUMMYFUNCTION("""COMPUTED_VALUE"""),"Yes")</f>
        <v>Yes</v>
      </c>
      <c r="P569" s="5" t="str">
        <f>IFERROR(__xludf.DUMMYFUNCTION("""COMPUTED_VALUE"""),"Yes")</f>
        <v>Yes</v>
      </c>
      <c r="Q569" s="5" t="str">
        <f>IFERROR(__xludf.DUMMYFUNCTION("""COMPUTED_VALUE"""),"Yes")</f>
        <v>Yes</v>
      </c>
      <c r="R569" s="5" t="str">
        <f>IFERROR(__xludf.DUMMYFUNCTION("""COMPUTED_VALUE"""),"Yes")</f>
        <v>Yes</v>
      </c>
      <c r="S569" s="5" t="str">
        <f>IFERROR(__xludf.DUMMYFUNCTION("""COMPUTED_VALUE"""),"Yes")</f>
        <v>Yes</v>
      </c>
      <c r="T569" s="5" t="str">
        <f>IFERROR(__xludf.DUMMYFUNCTION("""COMPUTED_VALUE"""),"No")</f>
        <v>No</v>
      </c>
      <c r="U569" s="5" t="str">
        <f>IFERROR(__xludf.DUMMYFUNCTION("""COMPUTED_VALUE"""),"No")</f>
        <v>No</v>
      </c>
      <c r="V569" s="5" t="str">
        <f>IFERROR(__xludf.DUMMYFUNCTION("""COMPUTED_VALUE"""),"No")</f>
        <v>No</v>
      </c>
      <c r="W569" s="5" t="str">
        <f>IFERROR(__xludf.DUMMYFUNCTION("""COMPUTED_VALUE"""),"No")</f>
        <v>No</v>
      </c>
      <c r="X569" s="5" t="str">
        <f>IFERROR(__xludf.DUMMYFUNCTION("""COMPUTED_VALUE"""),"Yes")</f>
        <v>Yes</v>
      </c>
      <c r="Y569" s="5" t="str">
        <f>IFERROR(__xludf.DUMMYFUNCTION("""COMPUTED_VALUE"""),"No")</f>
        <v>No</v>
      </c>
      <c r="Z569" s="5" t="str">
        <f>IFERROR(__xludf.DUMMYFUNCTION("""COMPUTED_VALUE"""),"No")</f>
        <v>No</v>
      </c>
      <c r="AA569" s="5" t="str">
        <f>IFERROR(__xludf.DUMMYFUNCTION("""COMPUTED_VALUE"""),"No")</f>
        <v>No</v>
      </c>
      <c r="AB569" s="5" t="str">
        <f>IFERROR(__xludf.DUMMYFUNCTION("""COMPUTED_VALUE"""),"Yes")</f>
        <v>Yes</v>
      </c>
      <c r="AC569" s="5" t="str">
        <f>IFERROR(__xludf.DUMMYFUNCTION("""COMPUTED_VALUE"""),"No")</f>
        <v>No</v>
      </c>
    </row>
    <row r="570">
      <c r="A570" s="5" t="str">
        <f>IFERROR(__xludf.DUMMYFUNCTION("""COMPUTED_VALUE"""),"PlayNetElfAndRoll")</f>
        <v>PlayNetElfAndRoll</v>
      </c>
      <c r="B57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0" s="5" t="str">
        <f>IFERROR(__xludf.DUMMYFUNCTION("""COMPUTED_VALUE"""),"Yes")</f>
        <v>Yes</v>
      </c>
      <c r="D570" s="5" t="str">
        <f>IFERROR(__xludf.DUMMYFUNCTION("""COMPUTED_VALUE"""),"Yes")</f>
        <v>Yes</v>
      </c>
      <c r="E570" s="5" t="str">
        <f>IFERROR(__xludf.DUMMYFUNCTION("""COMPUTED_VALUE"""),"No")</f>
        <v>No</v>
      </c>
      <c r="F570" s="5" t="str">
        <f>IFERROR(__xludf.DUMMYFUNCTION("""COMPUTED_VALUE"""),"Yes")</f>
        <v>Yes</v>
      </c>
      <c r="G570" s="5" t="str">
        <f>IFERROR(__xludf.DUMMYFUNCTION("""COMPUTED_VALUE"""),"Yes")</f>
        <v>Yes</v>
      </c>
      <c r="H570" s="5" t="str">
        <f>IFERROR(__xludf.DUMMYFUNCTION("""COMPUTED_VALUE"""),"Yes")</f>
        <v>Yes</v>
      </c>
      <c r="I570" s="5" t="str">
        <f>IFERROR(__xludf.DUMMYFUNCTION("""COMPUTED_VALUE"""),"Yes")</f>
        <v>Yes</v>
      </c>
      <c r="J570" s="5" t="str">
        <f>IFERROR(__xludf.DUMMYFUNCTION("""COMPUTED_VALUE"""),"Yes")</f>
        <v>Yes</v>
      </c>
      <c r="K570" s="5" t="str">
        <f>IFERROR(__xludf.DUMMYFUNCTION("""COMPUTED_VALUE"""),"Yes")</f>
        <v>Yes</v>
      </c>
      <c r="L570" s="5" t="str">
        <f>IFERROR(__xludf.DUMMYFUNCTION("""COMPUTED_VALUE"""),"Yes")</f>
        <v>Yes</v>
      </c>
      <c r="M570" s="5" t="str">
        <f>IFERROR(__xludf.DUMMYFUNCTION("""COMPUTED_VALUE"""),"Yes")</f>
        <v>Yes</v>
      </c>
      <c r="N570" s="5" t="str">
        <f>IFERROR(__xludf.DUMMYFUNCTION("""COMPUTED_VALUE"""),"Yes")</f>
        <v>Yes</v>
      </c>
      <c r="O570" s="5" t="str">
        <f>IFERROR(__xludf.DUMMYFUNCTION("""COMPUTED_VALUE"""),"Yes")</f>
        <v>Yes</v>
      </c>
      <c r="P570" s="5" t="str">
        <f>IFERROR(__xludf.DUMMYFUNCTION("""COMPUTED_VALUE"""),"Yes")</f>
        <v>Yes</v>
      </c>
      <c r="Q570" s="5" t="str">
        <f>IFERROR(__xludf.DUMMYFUNCTION("""COMPUTED_VALUE"""),"Yes")</f>
        <v>Yes</v>
      </c>
      <c r="R570" s="5" t="str">
        <f>IFERROR(__xludf.DUMMYFUNCTION("""COMPUTED_VALUE"""),"No")</f>
        <v>No</v>
      </c>
      <c r="S570" s="5" t="str">
        <f>IFERROR(__xludf.DUMMYFUNCTION("""COMPUTED_VALUE"""),"No")</f>
        <v>No</v>
      </c>
      <c r="T570" s="5" t="str">
        <f>IFERROR(__xludf.DUMMYFUNCTION("""COMPUTED_VALUE"""),"No")</f>
        <v>No</v>
      </c>
      <c r="U570" s="5" t="str">
        <f>IFERROR(__xludf.DUMMYFUNCTION("""COMPUTED_VALUE"""),"No")</f>
        <v>No</v>
      </c>
      <c r="V570" s="5" t="str">
        <f>IFERROR(__xludf.DUMMYFUNCTION("""COMPUTED_VALUE"""),"No")</f>
        <v>No</v>
      </c>
      <c r="W570" s="5" t="str">
        <f>IFERROR(__xludf.DUMMYFUNCTION("""COMPUTED_VALUE"""),"No")</f>
        <v>No</v>
      </c>
      <c r="X570" s="5" t="str">
        <f>IFERROR(__xludf.DUMMYFUNCTION("""COMPUTED_VALUE"""),"No")</f>
        <v>No</v>
      </c>
      <c r="Y570" s="5" t="str">
        <f>IFERROR(__xludf.DUMMYFUNCTION("""COMPUTED_VALUE"""),"No")</f>
        <v>No</v>
      </c>
      <c r="Z570" s="5" t="str">
        <f>IFERROR(__xludf.DUMMYFUNCTION("""COMPUTED_VALUE"""),"No")</f>
        <v>No</v>
      </c>
      <c r="AA570" s="5" t="str">
        <f>IFERROR(__xludf.DUMMYFUNCTION("""COMPUTED_VALUE"""),"No")</f>
        <v>No</v>
      </c>
      <c r="AB570" s="5" t="str">
        <f>IFERROR(__xludf.DUMMYFUNCTION("""COMPUTED_VALUE"""),"Yes")</f>
        <v>Yes</v>
      </c>
      <c r="AC570" s="5" t="str">
        <f>IFERROR(__xludf.DUMMYFUNCTION("""COMPUTED_VALUE"""),"No")</f>
        <v>No</v>
      </c>
    </row>
    <row r="571">
      <c r="A571" s="5" t="str">
        <f>IFERROR(__xludf.DUMMYFUNCTION("""COMPUTED_VALUE"""),"RedstoneMultiHeart5")</f>
        <v>RedstoneMultiHeart5</v>
      </c>
      <c r="B57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1" s="5" t="str">
        <f>IFERROR(__xludf.DUMMYFUNCTION("""COMPUTED_VALUE"""),"Yes")</f>
        <v>Yes</v>
      </c>
      <c r="D571" s="5" t="str">
        <f>IFERROR(__xludf.DUMMYFUNCTION("""COMPUTED_VALUE"""),"Yes")</f>
        <v>Yes</v>
      </c>
      <c r="E571" s="5" t="str">
        <f>IFERROR(__xludf.DUMMYFUNCTION("""COMPUTED_VALUE"""),"Yes")</f>
        <v>Yes</v>
      </c>
      <c r="F571" s="5" t="str">
        <f>IFERROR(__xludf.DUMMYFUNCTION("""COMPUTED_VALUE"""),"Yes")</f>
        <v>Yes</v>
      </c>
      <c r="G571" s="5" t="str">
        <f>IFERROR(__xludf.DUMMYFUNCTION("""COMPUTED_VALUE"""),"Yes")</f>
        <v>Yes</v>
      </c>
      <c r="H571" s="5" t="str">
        <f>IFERROR(__xludf.DUMMYFUNCTION("""COMPUTED_VALUE"""),"Yes")</f>
        <v>Yes</v>
      </c>
      <c r="I571" s="5" t="str">
        <f>IFERROR(__xludf.DUMMYFUNCTION("""COMPUTED_VALUE"""),"Yes")</f>
        <v>Yes</v>
      </c>
      <c r="J571" s="5" t="str">
        <f>IFERROR(__xludf.DUMMYFUNCTION("""COMPUTED_VALUE"""),"Yes")</f>
        <v>Yes</v>
      </c>
      <c r="K571" s="5" t="str">
        <f>IFERROR(__xludf.DUMMYFUNCTION("""COMPUTED_VALUE"""),"Yes")</f>
        <v>Yes</v>
      </c>
      <c r="L571" s="5" t="str">
        <f>IFERROR(__xludf.DUMMYFUNCTION("""COMPUTED_VALUE"""),"Yes")</f>
        <v>Yes</v>
      </c>
      <c r="M571" s="5" t="str">
        <f>IFERROR(__xludf.DUMMYFUNCTION("""COMPUTED_VALUE"""),"Yes")</f>
        <v>Yes</v>
      </c>
      <c r="N571" s="5" t="str">
        <f>IFERROR(__xludf.DUMMYFUNCTION("""COMPUTED_VALUE"""),"Yes")</f>
        <v>Yes</v>
      </c>
      <c r="O571" s="5" t="str">
        <f>IFERROR(__xludf.DUMMYFUNCTION("""COMPUTED_VALUE"""),"Yes")</f>
        <v>Yes</v>
      </c>
      <c r="P571" s="5" t="str">
        <f>IFERROR(__xludf.DUMMYFUNCTION("""COMPUTED_VALUE"""),"Yes")</f>
        <v>Yes</v>
      </c>
      <c r="Q571" s="5" t="str">
        <f>IFERROR(__xludf.DUMMYFUNCTION("""COMPUTED_VALUE"""),"Yes")</f>
        <v>Yes</v>
      </c>
      <c r="R571" s="5" t="str">
        <f>IFERROR(__xludf.DUMMYFUNCTION("""COMPUTED_VALUE"""),"No")</f>
        <v>No</v>
      </c>
      <c r="S571" s="5" t="str">
        <f>IFERROR(__xludf.DUMMYFUNCTION("""COMPUTED_VALUE"""),"No")</f>
        <v>No</v>
      </c>
      <c r="T571" s="5" t="str">
        <f>IFERROR(__xludf.DUMMYFUNCTION("""COMPUTED_VALUE"""),"No")</f>
        <v>No</v>
      </c>
      <c r="U571" s="5" t="str">
        <f>IFERROR(__xludf.DUMMYFUNCTION("""COMPUTED_VALUE"""),"No")</f>
        <v>No</v>
      </c>
      <c r="V571" s="5" t="str">
        <f>IFERROR(__xludf.DUMMYFUNCTION("""COMPUTED_VALUE"""),"No")</f>
        <v>No</v>
      </c>
      <c r="W571" s="5" t="str">
        <f>IFERROR(__xludf.DUMMYFUNCTION("""COMPUTED_VALUE"""),"No")</f>
        <v>No</v>
      </c>
      <c r="X571" s="5" t="str">
        <f>IFERROR(__xludf.DUMMYFUNCTION("""COMPUTED_VALUE"""),"Yes")</f>
        <v>Yes</v>
      </c>
      <c r="Y571" s="5" t="str">
        <f>IFERROR(__xludf.DUMMYFUNCTION("""COMPUTED_VALUE"""),"No")</f>
        <v>No</v>
      </c>
      <c r="Z571" s="5" t="str">
        <f>IFERROR(__xludf.DUMMYFUNCTION("""COMPUTED_VALUE"""),"No")</f>
        <v>No</v>
      </c>
      <c r="AA571" s="5" t="str">
        <f>IFERROR(__xludf.DUMMYFUNCTION("""COMPUTED_VALUE"""),"No")</f>
        <v>No</v>
      </c>
      <c r="AB571" s="5" t="str">
        <f>IFERROR(__xludf.DUMMYFUNCTION("""COMPUTED_VALUE"""),"Yes")</f>
        <v>Yes</v>
      </c>
      <c r="AC571" s="5" t="str">
        <f>IFERROR(__xludf.DUMMYFUNCTION("""COMPUTED_VALUE"""),"No")</f>
        <v>No</v>
      </c>
    </row>
    <row r="572">
      <c r="A572" s="5" t="str">
        <f>IFERROR(__xludf.DUMMYFUNCTION("""COMPUTED_VALUE"""),"Redstone20WildHeart")</f>
        <v>Redstone20WildHeart</v>
      </c>
      <c r="B57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2" s="5" t="str">
        <f>IFERROR(__xludf.DUMMYFUNCTION("""COMPUTED_VALUE"""),"Yes")</f>
        <v>Yes</v>
      </c>
      <c r="D572" s="5" t="str">
        <f>IFERROR(__xludf.DUMMYFUNCTION("""COMPUTED_VALUE"""),"Yes")</f>
        <v>Yes</v>
      </c>
      <c r="E572" s="5" t="str">
        <f>IFERROR(__xludf.DUMMYFUNCTION("""COMPUTED_VALUE"""),"No")</f>
        <v>No</v>
      </c>
      <c r="F572" s="5" t="str">
        <f>IFERROR(__xludf.DUMMYFUNCTION("""COMPUTED_VALUE"""),"Yes")</f>
        <v>Yes</v>
      </c>
      <c r="G572" s="5" t="str">
        <f>IFERROR(__xludf.DUMMYFUNCTION("""COMPUTED_VALUE"""),"Yes")</f>
        <v>Yes</v>
      </c>
      <c r="H572" s="5" t="str">
        <f>IFERROR(__xludf.DUMMYFUNCTION("""COMPUTED_VALUE"""),"Yes")</f>
        <v>Yes</v>
      </c>
      <c r="I572" s="5" t="str">
        <f>IFERROR(__xludf.DUMMYFUNCTION("""COMPUTED_VALUE"""),"Yes")</f>
        <v>Yes</v>
      </c>
      <c r="J572" s="5" t="str">
        <f>IFERROR(__xludf.DUMMYFUNCTION("""COMPUTED_VALUE"""),"Yes")</f>
        <v>Yes</v>
      </c>
      <c r="K572" s="5" t="str">
        <f>IFERROR(__xludf.DUMMYFUNCTION("""COMPUTED_VALUE"""),"Yes")</f>
        <v>Yes</v>
      </c>
      <c r="L572" s="5" t="str">
        <f>IFERROR(__xludf.DUMMYFUNCTION("""COMPUTED_VALUE"""),"Yes")</f>
        <v>Yes</v>
      </c>
      <c r="M572" s="5" t="str">
        <f>IFERROR(__xludf.DUMMYFUNCTION("""COMPUTED_VALUE"""),"Yes")</f>
        <v>Yes</v>
      </c>
      <c r="N572" s="5" t="str">
        <f>IFERROR(__xludf.DUMMYFUNCTION("""COMPUTED_VALUE"""),"Yes")</f>
        <v>Yes</v>
      </c>
      <c r="O572" s="5" t="str">
        <f>IFERROR(__xludf.DUMMYFUNCTION("""COMPUTED_VALUE"""),"Yes")</f>
        <v>Yes</v>
      </c>
      <c r="P572" s="5" t="str">
        <f>IFERROR(__xludf.DUMMYFUNCTION("""COMPUTED_VALUE"""),"Yes")</f>
        <v>Yes</v>
      </c>
      <c r="Q572" s="5" t="str">
        <f>IFERROR(__xludf.DUMMYFUNCTION("""COMPUTED_VALUE"""),"Yes")</f>
        <v>Yes</v>
      </c>
      <c r="R572" s="5" t="str">
        <f>IFERROR(__xludf.DUMMYFUNCTION("""COMPUTED_VALUE"""),"No")</f>
        <v>No</v>
      </c>
      <c r="S572" s="5" t="str">
        <f>IFERROR(__xludf.DUMMYFUNCTION("""COMPUTED_VALUE"""),"No")</f>
        <v>No</v>
      </c>
      <c r="T572" s="5" t="str">
        <f>IFERROR(__xludf.DUMMYFUNCTION("""COMPUTED_VALUE"""),"No")</f>
        <v>No</v>
      </c>
      <c r="U572" s="5" t="str">
        <f>IFERROR(__xludf.DUMMYFUNCTION("""COMPUTED_VALUE"""),"No")</f>
        <v>No</v>
      </c>
      <c r="V572" s="5" t="str">
        <f>IFERROR(__xludf.DUMMYFUNCTION("""COMPUTED_VALUE"""),"No")</f>
        <v>No</v>
      </c>
      <c r="W572" s="5" t="str">
        <f>IFERROR(__xludf.DUMMYFUNCTION("""COMPUTED_VALUE"""),"No")</f>
        <v>No</v>
      </c>
      <c r="X572" s="5" t="str">
        <f>IFERROR(__xludf.DUMMYFUNCTION("""COMPUTED_VALUE"""),"Yes")</f>
        <v>Yes</v>
      </c>
      <c r="Y572" s="5" t="str">
        <f>IFERROR(__xludf.DUMMYFUNCTION("""COMPUTED_VALUE"""),"No")</f>
        <v>No</v>
      </c>
      <c r="Z572" s="5" t="str">
        <f>IFERROR(__xludf.DUMMYFUNCTION("""COMPUTED_VALUE"""),"No")</f>
        <v>No</v>
      </c>
      <c r="AA572" s="5" t="str">
        <f>IFERROR(__xludf.DUMMYFUNCTION("""COMPUTED_VALUE"""),"No")</f>
        <v>No</v>
      </c>
      <c r="AB572" s="5" t="str">
        <f>IFERROR(__xludf.DUMMYFUNCTION("""COMPUTED_VALUE"""),"Yes")</f>
        <v>Yes</v>
      </c>
      <c r="AC572" s="5" t="str">
        <f>IFERROR(__xludf.DUMMYFUNCTION("""COMPUTED_VALUE"""),"No")</f>
        <v>No</v>
      </c>
    </row>
    <row r="573">
      <c r="A573" s="5" t="str">
        <f>IFERROR(__xludf.DUMMYFUNCTION("""COMPUTED_VALUE"""),"PlayNetFortuneCloverX2Xmas")</f>
        <v>PlayNetFortuneCloverX2Xmas</v>
      </c>
      <c r="B573" s="5" t="str">
        <f>IFERROR(__xludf.DUMMYFUNCTION("""COMPUTED_VALUE"""),"")</f>
        <v/>
      </c>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row>
    <row r="574">
      <c r="A574" s="5" t="str">
        <f>IFERROR(__xludf.DUMMYFUNCTION("""COMPUTED_VALUE"""),"RedstoneChilliHot40")</f>
        <v>RedstoneChilliHot40</v>
      </c>
      <c r="B57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4" s="5" t="str">
        <f>IFERROR(__xludf.DUMMYFUNCTION("""COMPUTED_VALUE"""),"Yes")</f>
        <v>Yes</v>
      </c>
      <c r="D574" s="5" t="str">
        <f>IFERROR(__xludf.DUMMYFUNCTION("""COMPUTED_VALUE"""),"Yes")</f>
        <v>Yes</v>
      </c>
      <c r="E574" s="5" t="str">
        <f>IFERROR(__xludf.DUMMYFUNCTION("""COMPUTED_VALUE"""),"No")</f>
        <v>No</v>
      </c>
      <c r="F574" s="5" t="str">
        <f>IFERROR(__xludf.DUMMYFUNCTION("""COMPUTED_VALUE"""),"Yes")</f>
        <v>Yes</v>
      </c>
      <c r="G574" s="5" t="str">
        <f>IFERROR(__xludf.DUMMYFUNCTION("""COMPUTED_VALUE"""),"Yes")</f>
        <v>Yes</v>
      </c>
      <c r="H574" s="5" t="str">
        <f>IFERROR(__xludf.DUMMYFUNCTION("""COMPUTED_VALUE"""),"Yes")</f>
        <v>Yes</v>
      </c>
      <c r="I574" s="5" t="str">
        <f>IFERROR(__xludf.DUMMYFUNCTION("""COMPUTED_VALUE"""),"Yes")</f>
        <v>Yes</v>
      </c>
      <c r="J574" s="5" t="str">
        <f>IFERROR(__xludf.DUMMYFUNCTION("""COMPUTED_VALUE"""),"Yes")</f>
        <v>Yes</v>
      </c>
      <c r="K574" s="5" t="str">
        <f>IFERROR(__xludf.DUMMYFUNCTION("""COMPUTED_VALUE"""),"Yes")</f>
        <v>Yes</v>
      </c>
      <c r="L574" s="5" t="str">
        <f>IFERROR(__xludf.DUMMYFUNCTION("""COMPUTED_VALUE"""),"Yes")</f>
        <v>Yes</v>
      </c>
      <c r="M574" s="5" t="str">
        <f>IFERROR(__xludf.DUMMYFUNCTION("""COMPUTED_VALUE"""),"Yes")</f>
        <v>Yes</v>
      </c>
      <c r="N574" s="5" t="str">
        <f>IFERROR(__xludf.DUMMYFUNCTION("""COMPUTED_VALUE"""),"Yes")</f>
        <v>Yes</v>
      </c>
      <c r="O574" s="5" t="str">
        <f>IFERROR(__xludf.DUMMYFUNCTION("""COMPUTED_VALUE"""),"Yes")</f>
        <v>Yes</v>
      </c>
      <c r="P574" s="5" t="str">
        <f>IFERROR(__xludf.DUMMYFUNCTION("""COMPUTED_VALUE"""),"Yes")</f>
        <v>Yes</v>
      </c>
      <c r="Q574" s="5" t="str">
        <f>IFERROR(__xludf.DUMMYFUNCTION("""COMPUTED_VALUE"""),"Yes")</f>
        <v>Yes</v>
      </c>
      <c r="R574" s="5" t="str">
        <f>IFERROR(__xludf.DUMMYFUNCTION("""COMPUTED_VALUE"""),"No")</f>
        <v>No</v>
      </c>
      <c r="S574" s="5" t="str">
        <f>IFERROR(__xludf.DUMMYFUNCTION("""COMPUTED_VALUE"""),"No")</f>
        <v>No</v>
      </c>
      <c r="T574" s="5" t="str">
        <f>IFERROR(__xludf.DUMMYFUNCTION("""COMPUTED_VALUE"""),"No")</f>
        <v>No</v>
      </c>
      <c r="U574" s="5" t="str">
        <f>IFERROR(__xludf.DUMMYFUNCTION("""COMPUTED_VALUE"""),"No")</f>
        <v>No</v>
      </c>
      <c r="V574" s="5" t="str">
        <f>IFERROR(__xludf.DUMMYFUNCTION("""COMPUTED_VALUE"""),"No")</f>
        <v>No</v>
      </c>
      <c r="W574" s="5" t="str">
        <f>IFERROR(__xludf.DUMMYFUNCTION("""COMPUTED_VALUE"""),"No")</f>
        <v>No</v>
      </c>
      <c r="X574" s="5" t="str">
        <f>IFERROR(__xludf.DUMMYFUNCTION("""COMPUTED_VALUE"""),"Yes")</f>
        <v>Yes</v>
      </c>
      <c r="Y574" s="5" t="str">
        <f>IFERROR(__xludf.DUMMYFUNCTION("""COMPUTED_VALUE"""),"No")</f>
        <v>No</v>
      </c>
      <c r="Z574" s="5" t="str">
        <f>IFERROR(__xludf.DUMMYFUNCTION("""COMPUTED_VALUE"""),"No")</f>
        <v>No</v>
      </c>
      <c r="AA574" s="5" t="str">
        <f>IFERROR(__xludf.DUMMYFUNCTION("""COMPUTED_VALUE"""),"No")</f>
        <v>No</v>
      </c>
      <c r="AB574" s="5" t="str">
        <f>IFERROR(__xludf.DUMMYFUNCTION("""COMPUTED_VALUE"""),"Yes")</f>
        <v>Yes</v>
      </c>
      <c r="AC574" s="5" t="str">
        <f>IFERROR(__xludf.DUMMYFUNCTION("""COMPUTED_VALUE"""),"No")</f>
        <v>No</v>
      </c>
    </row>
    <row r="575">
      <c r="A575" s="5" t="str">
        <f>IFERROR(__xludf.DUMMYFUNCTION("""COMPUTED_VALUE""")," PlayNetGearsOfFortune")</f>
        <v> PlayNetGearsOfFortune</v>
      </c>
      <c r="B57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5" s="5" t="str">
        <f>IFERROR(__xludf.DUMMYFUNCTION("""COMPUTED_VALUE"""),"Yes")</f>
        <v>Yes</v>
      </c>
      <c r="D575" s="5" t="str">
        <f>IFERROR(__xludf.DUMMYFUNCTION("""COMPUTED_VALUE"""),"Yes")</f>
        <v>Yes</v>
      </c>
      <c r="E575" s="5" t="str">
        <f>IFERROR(__xludf.DUMMYFUNCTION("""COMPUTED_VALUE"""),"No")</f>
        <v>No</v>
      </c>
      <c r="F575" s="5" t="str">
        <f>IFERROR(__xludf.DUMMYFUNCTION("""COMPUTED_VALUE"""),"Yes")</f>
        <v>Yes</v>
      </c>
      <c r="G575" s="5" t="str">
        <f>IFERROR(__xludf.DUMMYFUNCTION("""COMPUTED_VALUE"""),"Yes")</f>
        <v>Yes</v>
      </c>
      <c r="H575" s="5" t="str">
        <f>IFERROR(__xludf.DUMMYFUNCTION("""COMPUTED_VALUE"""),"Yes")</f>
        <v>Yes</v>
      </c>
      <c r="I575" s="5" t="str">
        <f>IFERROR(__xludf.DUMMYFUNCTION("""COMPUTED_VALUE"""),"Yes")</f>
        <v>Yes</v>
      </c>
      <c r="J575" s="5" t="str">
        <f>IFERROR(__xludf.DUMMYFUNCTION("""COMPUTED_VALUE"""),"Yes")</f>
        <v>Yes</v>
      </c>
      <c r="K575" s="5" t="str">
        <f>IFERROR(__xludf.DUMMYFUNCTION("""COMPUTED_VALUE"""),"Yes")</f>
        <v>Yes</v>
      </c>
      <c r="L575" s="5" t="str">
        <f>IFERROR(__xludf.DUMMYFUNCTION("""COMPUTED_VALUE"""),"Yes")</f>
        <v>Yes</v>
      </c>
      <c r="M575" s="5" t="str">
        <f>IFERROR(__xludf.DUMMYFUNCTION("""COMPUTED_VALUE"""),"Yes")</f>
        <v>Yes</v>
      </c>
      <c r="N575" s="5" t="str">
        <f>IFERROR(__xludf.DUMMYFUNCTION("""COMPUTED_VALUE"""),"Yes")</f>
        <v>Yes</v>
      </c>
      <c r="O575" s="5" t="str">
        <f>IFERROR(__xludf.DUMMYFUNCTION("""COMPUTED_VALUE"""),"Yes")</f>
        <v>Yes</v>
      </c>
      <c r="P575" s="5" t="str">
        <f>IFERROR(__xludf.DUMMYFUNCTION("""COMPUTED_VALUE"""),"Yes")</f>
        <v>Yes</v>
      </c>
      <c r="Q575" s="5" t="str">
        <f>IFERROR(__xludf.DUMMYFUNCTION("""COMPUTED_VALUE"""),"Yes")</f>
        <v>Yes</v>
      </c>
      <c r="R575" s="5" t="str">
        <f>IFERROR(__xludf.DUMMYFUNCTION("""COMPUTED_VALUE"""),"No")</f>
        <v>No</v>
      </c>
      <c r="S575" s="5" t="str">
        <f>IFERROR(__xludf.DUMMYFUNCTION("""COMPUTED_VALUE"""),"No")</f>
        <v>No</v>
      </c>
      <c r="T575" s="5" t="str">
        <f>IFERROR(__xludf.DUMMYFUNCTION("""COMPUTED_VALUE"""),"No")</f>
        <v>No</v>
      </c>
      <c r="U575" s="5" t="str">
        <f>IFERROR(__xludf.DUMMYFUNCTION("""COMPUTED_VALUE"""),"No")</f>
        <v>No</v>
      </c>
      <c r="V575" s="5" t="str">
        <f>IFERROR(__xludf.DUMMYFUNCTION("""COMPUTED_VALUE"""),"No")</f>
        <v>No</v>
      </c>
      <c r="W575" s="5" t="str">
        <f>IFERROR(__xludf.DUMMYFUNCTION("""COMPUTED_VALUE"""),"No")</f>
        <v>No</v>
      </c>
      <c r="X575" s="5" t="str">
        <f>IFERROR(__xludf.DUMMYFUNCTION("""COMPUTED_VALUE"""),"No")</f>
        <v>No</v>
      </c>
      <c r="Y575" s="5" t="str">
        <f>IFERROR(__xludf.DUMMYFUNCTION("""COMPUTED_VALUE"""),"No")</f>
        <v>No</v>
      </c>
      <c r="Z575" s="5" t="str">
        <f>IFERROR(__xludf.DUMMYFUNCTION("""COMPUTED_VALUE"""),"No")</f>
        <v>No</v>
      </c>
      <c r="AA575" s="5" t="str">
        <f>IFERROR(__xludf.DUMMYFUNCTION("""COMPUTED_VALUE"""),"No")</f>
        <v>No</v>
      </c>
      <c r="AB575" s="5" t="str">
        <f>IFERROR(__xludf.DUMMYFUNCTION("""COMPUTED_VALUE"""),"Yes")</f>
        <v>Yes</v>
      </c>
      <c r="AC575" s="5" t="str">
        <f>IFERROR(__xludf.DUMMYFUNCTION("""COMPUTED_VALUE"""),"No")</f>
        <v>No</v>
      </c>
    </row>
    <row r="576">
      <c r="A576" s="5" t="str">
        <f>IFERROR(__xludf.DUMMYFUNCTION("""COMPUTED_VALUE"""),"RedstoneInfernoHot20")</f>
        <v>RedstoneInfernoHot20</v>
      </c>
      <c r="B57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6" s="5" t="str">
        <f>IFERROR(__xludf.DUMMYFUNCTION("""COMPUTED_VALUE"""),"Yes")</f>
        <v>Yes</v>
      </c>
      <c r="D576" s="5" t="str">
        <f>IFERROR(__xludf.DUMMYFUNCTION("""COMPUTED_VALUE"""),"Yes")</f>
        <v>Yes</v>
      </c>
      <c r="E576" s="5" t="str">
        <f>IFERROR(__xludf.DUMMYFUNCTION("""COMPUTED_VALUE"""),"Yes")</f>
        <v>Yes</v>
      </c>
      <c r="F576" s="5" t="str">
        <f>IFERROR(__xludf.DUMMYFUNCTION("""COMPUTED_VALUE"""),"Yes")</f>
        <v>Yes</v>
      </c>
      <c r="G576" s="5" t="str">
        <f>IFERROR(__xludf.DUMMYFUNCTION("""COMPUTED_VALUE"""),"Yes")</f>
        <v>Yes</v>
      </c>
      <c r="H576" s="5" t="str">
        <f>IFERROR(__xludf.DUMMYFUNCTION("""COMPUTED_VALUE"""),"Yes")</f>
        <v>Yes</v>
      </c>
      <c r="I576" s="5" t="str">
        <f>IFERROR(__xludf.DUMMYFUNCTION("""COMPUTED_VALUE"""),"Yes")</f>
        <v>Yes</v>
      </c>
      <c r="J576" s="5" t="str">
        <f>IFERROR(__xludf.DUMMYFUNCTION("""COMPUTED_VALUE"""),"Yes")</f>
        <v>Yes</v>
      </c>
      <c r="K576" s="5" t="str">
        <f>IFERROR(__xludf.DUMMYFUNCTION("""COMPUTED_VALUE"""),"Yes")</f>
        <v>Yes</v>
      </c>
      <c r="L576" s="5" t="str">
        <f>IFERROR(__xludf.DUMMYFUNCTION("""COMPUTED_VALUE"""),"Yes")</f>
        <v>Yes</v>
      </c>
      <c r="M576" s="5" t="str">
        <f>IFERROR(__xludf.DUMMYFUNCTION("""COMPUTED_VALUE"""),"Yes")</f>
        <v>Yes</v>
      </c>
      <c r="N576" s="5" t="str">
        <f>IFERROR(__xludf.DUMMYFUNCTION("""COMPUTED_VALUE"""),"Yes")</f>
        <v>Yes</v>
      </c>
      <c r="O576" s="5" t="str">
        <f>IFERROR(__xludf.DUMMYFUNCTION("""COMPUTED_VALUE"""),"Yes")</f>
        <v>Yes</v>
      </c>
      <c r="P576" s="5" t="str">
        <f>IFERROR(__xludf.DUMMYFUNCTION("""COMPUTED_VALUE"""),"Yes")</f>
        <v>Yes</v>
      </c>
      <c r="Q576" s="5" t="str">
        <f>IFERROR(__xludf.DUMMYFUNCTION("""COMPUTED_VALUE"""),"Yes")</f>
        <v>Yes</v>
      </c>
      <c r="R576" s="5" t="str">
        <f>IFERROR(__xludf.DUMMYFUNCTION("""COMPUTED_VALUE"""),"No")</f>
        <v>No</v>
      </c>
      <c r="S576" s="5" t="str">
        <f>IFERROR(__xludf.DUMMYFUNCTION("""COMPUTED_VALUE"""),"No")</f>
        <v>No</v>
      </c>
      <c r="T576" s="5" t="str">
        <f>IFERROR(__xludf.DUMMYFUNCTION("""COMPUTED_VALUE"""),"No")</f>
        <v>No</v>
      </c>
      <c r="U576" s="5" t="str">
        <f>IFERROR(__xludf.DUMMYFUNCTION("""COMPUTED_VALUE"""),"No")</f>
        <v>No</v>
      </c>
      <c r="V576" s="5" t="str">
        <f>IFERROR(__xludf.DUMMYFUNCTION("""COMPUTED_VALUE"""),"No")</f>
        <v>No</v>
      </c>
      <c r="W576" s="5" t="str">
        <f>IFERROR(__xludf.DUMMYFUNCTION("""COMPUTED_VALUE"""),"No")</f>
        <v>No</v>
      </c>
      <c r="X576" s="5" t="str">
        <f>IFERROR(__xludf.DUMMYFUNCTION("""COMPUTED_VALUE"""),"Yes")</f>
        <v>Yes</v>
      </c>
      <c r="Y576" s="5" t="str">
        <f>IFERROR(__xludf.DUMMYFUNCTION("""COMPUTED_VALUE"""),"No")</f>
        <v>No</v>
      </c>
      <c r="Z576" s="5" t="str">
        <f>IFERROR(__xludf.DUMMYFUNCTION("""COMPUTED_VALUE"""),"No")</f>
        <v>No</v>
      </c>
      <c r="AA576" s="5" t="str">
        <f>IFERROR(__xludf.DUMMYFUNCTION("""COMPUTED_VALUE"""),"No")</f>
        <v>No</v>
      </c>
      <c r="AB576" s="5" t="str">
        <f>IFERROR(__xludf.DUMMYFUNCTION("""COMPUTED_VALUE"""),"Yes")</f>
        <v>Yes</v>
      </c>
      <c r="AC576" s="5" t="str">
        <f>IFERROR(__xludf.DUMMYFUNCTION("""COMPUTED_VALUE"""),"No")</f>
        <v>No</v>
      </c>
    </row>
    <row r="577">
      <c r="A577" s="5" t="str">
        <f>IFERROR(__xludf.DUMMYFUNCTION("""COMPUTED_VALUE"""),"RedstoneCrownBlast40")</f>
        <v>RedstoneCrownBlast40</v>
      </c>
      <c r="B57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7" s="5" t="str">
        <f>IFERROR(__xludf.DUMMYFUNCTION("""COMPUTED_VALUE"""),"Yes")</f>
        <v>Yes</v>
      </c>
      <c r="D577" s="5" t="str">
        <f>IFERROR(__xludf.DUMMYFUNCTION("""COMPUTED_VALUE"""),"Yes")</f>
        <v>Yes</v>
      </c>
      <c r="E577" s="5" t="str">
        <f>IFERROR(__xludf.DUMMYFUNCTION("""COMPUTED_VALUE"""),"No")</f>
        <v>No</v>
      </c>
      <c r="F577" s="5" t="str">
        <f>IFERROR(__xludf.DUMMYFUNCTION("""COMPUTED_VALUE"""),"Yes")</f>
        <v>Yes</v>
      </c>
      <c r="G577" s="5" t="str">
        <f>IFERROR(__xludf.DUMMYFUNCTION("""COMPUTED_VALUE"""),"Yes")</f>
        <v>Yes</v>
      </c>
      <c r="H577" s="5" t="str">
        <f>IFERROR(__xludf.DUMMYFUNCTION("""COMPUTED_VALUE"""),"Yes")</f>
        <v>Yes</v>
      </c>
      <c r="I577" s="5" t="str">
        <f>IFERROR(__xludf.DUMMYFUNCTION("""COMPUTED_VALUE"""),"Yes")</f>
        <v>Yes</v>
      </c>
      <c r="J577" s="5" t="str">
        <f>IFERROR(__xludf.DUMMYFUNCTION("""COMPUTED_VALUE"""),"Yes")</f>
        <v>Yes</v>
      </c>
      <c r="K577" s="5" t="str">
        <f>IFERROR(__xludf.DUMMYFUNCTION("""COMPUTED_VALUE"""),"Yes")</f>
        <v>Yes</v>
      </c>
      <c r="L577" s="5" t="str">
        <f>IFERROR(__xludf.DUMMYFUNCTION("""COMPUTED_VALUE"""),"Yes")</f>
        <v>Yes</v>
      </c>
      <c r="M577" s="5" t="str">
        <f>IFERROR(__xludf.DUMMYFUNCTION("""COMPUTED_VALUE"""),"Yes")</f>
        <v>Yes</v>
      </c>
      <c r="N577" s="5" t="str">
        <f>IFERROR(__xludf.DUMMYFUNCTION("""COMPUTED_VALUE"""),"Yes")</f>
        <v>Yes</v>
      </c>
      <c r="O577" s="5" t="str">
        <f>IFERROR(__xludf.DUMMYFUNCTION("""COMPUTED_VALUE"""),"Yes")</f>
        <v>Yes</v>
      </c>
      <c r="P577" s="5" t="str">
        <f>IFERROR(__xludf.DUMMYFUNCTION("""COMPUTED_VALUE"""),"Yes")</f>
        <v>Yes</v>
      </c>
      <c r="Q577" s="5" t="str">
        <f>IFERROR(__xludf.DUMMYFUNCTION("""COMPUTED_VALUE"""),"Yes")</f>
        <v>Yes</v>
      </c>
      <c r="R577" s="5" t="str">
        <f>IFERROR(__xludf.DUMMYFUNCTION("""COMPUTED_VALUE"""),"No")</f>
        <v>No</v>
      </c>
      <c r="S577" s="5" t="str">
        <f>IFERROR(__xludf.DUMMYFUNCTION("""COMPUTED_VALUE"""),"No")</f>
        <v>No</v>
      </c>
      <c r="T577" s="5" t="str">
        <f>IFERROR(__xludf.DUMMYFUNCTION("""COMPUTED_VALUE"""),"No")</f>
        <v>No</v>
      </c>
      <c r="U577" s="5" t="str">
        <f>IFERROR(__xludf.DUMMYFUNCTION("""COMPUTED_VALUE"""),"No")</f>
        <v>No</v>
      </c>
      <c r="V577" s="5" t="str">
        <f>IFERROR(__xludf.DUMMYFUNCTION("""COMPUTED_VALUE"""),"No")</f>
        <v>No</v>
      </c>
      <c r="W577" s="5" t="str">
        <f>IFERROR(__xludf.DUMMYFUNCTION("""COMPUTED_VALUE"""),"No")</f>
        <v>No</v>
      </c>
      <c r="X577" s="5" t="str">
        <f>IFERROR(__xludf.DUMMYFUNCTION("""COMPUTED_VALUE"""),"Yes")</f>
        <v>Yes</v>
      </c>
      <c r="Y577" s="5" t="str">
        <f>IFERROR(__xludf.DUMMYFUNCTION("""COMPUTED_VALUE"""),"No")</f>
        <v>No</v>
      </c>
      <c r="Z577" s="5" t="str">
        <f>IFERROR(__xludf.DUMMYFUNCTION("""COMPUTED_VALUE"""),"No")</f>
        <v>No</v>
      </c>
      <c r="AA577" s="5" t="str">
        <f>IFERROR(__xludf.DUMMYFUNCTION("""COMPUTED_VALUE"""),"No")</f>
        <v>No</v>
      </c>
      <c r="AB577" s="5" t="str">
        <f>IFERROR(__xludf.DUMMYFUNCTION("""COMPUTED_VALUE"""),"Yes")</f>
        <v>Yes</v>
      </c>
      <c r="AC577" s="5" t="str">
        <f>IFERROR(__xludf.DUMMYFUNCTION("""COMPUTED_VALUE"""),"No")</f>
        <v>No</v>
      </c>
    </row>
    <row r="578">
      <c r="A578" s="5" t="str">
        <f>IFERROR(__xludf.DUMMYFUNCTION("""COMPUTED_VALUE"""),"RedstoneCrownRoyale")</f>
        <v>RedstoneCrownRoyale</v>
      </c>
      <c r="B578" s="5" t="str">
        <f>IFERROR(__xludf.DUMMYFUNCTION("""COMPUTED_VALUE"""),"")</f>
        <v/>
      </c>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row>
    <row r="579">
      <c r="A579" s="5" t="str">
        <f>IFERROR(__xludf.DUMMYFUNCTION("""COMPUTED_VALUE"""),"RedstoneDoubleCloverFireChristmas")</f>
        <v>RedstoneDoubleCloverFireChristmas</v>
      </c>
      <c r="B579" s="5" t="str">
        <f>IFERROR(__xludf.DUMMYFUNCTION("""COMPUTED_VALUE"""),"")</f>
        <v/>
      </c>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row>
    <row r="580">
      <c r="A580" s="5" t="str">
        <f>IFERROR(__xludf.DUMMYFUNCTION("""COMPUTED_VALUE"""),"RedstoneChilliDouble40")</f>
        <v>RedstoneChilliDouble40</v>
      </c>
      <c r="B58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0" s="5" t="str">
        <f>IFERROR(__xludf.DUMMYFUNCTION("""COMPUTED_VALUE"""),"Yes")</f>
        <v>Yes</v>
      </c>
      <c r="D580" s="5" t="str">
        <f>IFERROR(__xludf.DUMMYFUNCTION("""COMPUTED_VALUE"""),"Yes")</f>
        <v>Yes</v>
      </c>
      <c r="E580" s="5" t="str">
        <f>IFERROR(__xludf.DUMMYFUNCTION("""COMPUTED_VALUE"""),"No")</f>
        <v>No</v>
      </c>
      <c r="F580" s="5" t="str">
        <f>IFERROR(__xludf.DUMMYFUNCTION("""COMPUTED_VALUE"""),"Yes")</f>
        <v>Yes</v>
      </c>
      <c r="G580" s="5" t="str">
        <f>IFERROR(__xludf.DUMMYFUNCTION("""COMPUTED_VALUE"""),"Yes")</f>
        <v>Yes</v>
      </c>
      <c r="H580" s="5" t="str">
        <f>IFERROR(__xludf.DUMMYFUNCTION("""COMPUTED_VALUE"""),"Yes")</f>
        <v>Yes</v>
      </c>
      <c r="I580" s="5" t="str">
        <f>IFERROR(__xludf.DUMMYFUNCTION("""COMPUTED_VALUE"""),"Yes")</f>
        <v>Yes</v>
      </c>
      <c r="J580" s="5" t="str">
        <f>IFERROR(__xludf.DUMMYFUNCTION("""COMPUTED_VALUE"""),"Yes")</f>
        <v>Yes</v>
      </c>
      <c r="K580" s="5" t="str">
        <f>IFERROR(__xludf.DUMMYFUNCTION("""COMPUTED_VALUE"""),"Yes")</f>
        <v>Yes</v>
      </c>
      <c r="L580" s="5" t="str">
        <f>IFERROR(__xludf.DUMMYFUNCTION("""COMPUTED_VALUE"""),"Yes")</f>
        <v>Yes</v>
      </c>
      <c r="M580" s="5" t="str">
        <f>IFERROR(__xludf.DUMMYFUNCTION("""COMPUTED_VALUE"""),"Yes")</f>
        <v>Yes</v>
      </c>
      <c r="N580" s="5" t="str">
        <f>IFERROR(__xludf.DUMMYFUNCTION("""COMPUTED_VALUE"""),"Yes")</f>
        <v>Yes</v>
      </c>
      <c r="O580" s="5" t="str">
        <f>IFERROR(__xludf.DUMMYFUNCTION("""COMPUTED_VALUE"""),"Yes")</f>
        <v>Yes</v>
      </c>
      <c r="P580" s="5" t="str">
        <f>IFERROR(__xludf.DUMMYFUNCTION("""COMPUTED_VALUE"""),"Yes")</f>
        <v>Yes</v>
      </c>
      <c r="Q580" s="5" t="str">
        <f>IFERROR(__xludf.DUMMYFUNCTION("""COMPUTED_VALUE"""),"Yes")</f>
        <v>Yes</v>
      </c>
      <c r="R580" s="5" t="str">
        <f>IFERROR(__xludf.DUMMYFUNCTION("""COMPUTED_VALUE"""),"No")</f>
        <v>No</v>
      </c>
      <c r="S580" s="5" t="str">
        <f>IFERROR(__xludf.DUMMYFUNCTION("""COMPUTED_VALUE"""),"No")</f>
        <v>No</v>
      </c>
      <c r="T580" s="5" t="str">
        <f>IFERROR(__xludf.DUMMYFUNCTION("""COMPUTED_VALUE"""),"No")</f>
        <v>No</v>
      </c>
      <c r="U580" s="5" t="str">
        <f>IFERROR(__xludf.DUMMYFUNCTION("""COMPUTED_VALUE"""),"No")</f>
        <v>No</v>
      </c>
      <c r="V580" s="5" t="str">
        <f>IFERROR(__xludf.DUMMYFUNCTION("""COMPUTED_VALUE"""),"No")</f>
        <v>No</v>
      </c>
      <c r="W580" s="5" t="str">
        <f>IFERROR(__xludf.DUMMYFUNCTION("""COMPUTED_VALUE"""),"No")</f>
        <v>No</v>
      </c>
      <c r="X580" s="5" t="str">
        <f>IFERROR(__xludf.DUMMYFUNCTION("""COMPUTED_VALUE"""),"Yes")</f>
        <v>Yes</v>
      </c>
      <c r="Y580" s="5" t="str">
        <f>IFERROR(__xludf.DUMMYFUNCTION("""COMPUTED_VALUE"""),"No")</f>
        <v>No</v>
      </c>
      <c r="Z580" s="5" t="str">
        <f>IFERROR(__xludf.DUMMYFUNCTION("""COMPUTED_VALUE"""),"No")</f>
        <v>No</v>
      </c>
      <c r="AA580" s="5" t="str">
        <f>IFERROR(__xludf.DUMMYFUNCTION("""COMPUTED_VALUE"""),"No")</f>
        <v>No</v>
      </c>
      <c r="AB580" s="5" t="str">
        <f>IFERROR(__xludf.DUMMYFUNCTION("""COMPUTED_VALUE"""),"Yes")</f>
        <v>Yes</v>
      </c>
      <c r="AC580" s="5" t="str">
        <f>IFERROR(__xludf.DUMMYFUNCTION("""COMPUTED_VALUE"""),"No")</f>
        <v>No</v>
      </c>
    </row>
    <row r="581">
      <c r="A581" s="5" t="str">
        <f>IFERROR(__xludf.DUMMYFUNCTION("""COMPUTED_VALUE"""),"Redstone20CoinCollector")</f>
        <v>Redstone20CoinCollector</v>
      </c>
      <c r="B58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81" s="5" t="str">
        <f>IFERROR(__xludf.DUMMYFUNCTION("""COMPUTED_VALUE"""),"Yes")</f>
        <v>Yes</v>
      </c>
      <c r="D581" s="5" t="str">
        <f>IFERROR(__xludf.DUMMYFUNCTION("""COMPUTED_VALUE"""),"Yes")</f>
        <v>Yes</v>
      </c>
      <c r="E581" s="5" t="str">
        <f>IFERROR(__xludf.DUMMYFUNCTION("""COMPUTED_VALUE"""),"No")</f>
        <v>No</v>
      </c>
      <c r="F581" s="5" t="str">
        <f>IFERROR(__xludf.DUMMYFUNCTION("""COMPUTED_VALUE"""),"Yes")</f>
        <v>Yes</v>
      </c>
      <c r="G581" s="5" t="str">
        <f>IFERROR(__xludf.DUMMYFUNCTION("""COMPUTED_VALUE"""),"Yes")</f>
        <v>Yes</v>
      </c>
      <c r="H581" s="5" t="str">
        <f>IFERROR(__xludf.DUMMYFUNCTION("""COMPUTED_VALUE"""),"Yes")</f>
        <v>Yes</v>
      </c>
      <c r="I581" s="5" t="str">
        <f>IFERROR(__xludf.DUMMYFUNCTION("""COMPUTED_VALUE"""),"Yes")</f>
        <v>Yes</v>
      </c>
      <c r="J581" s="5" t="str">
        <f>IFERROR(__xludf.DUMMYFUNCTION("""COMPUTED_VALUE"""),"Yes")</f>
        <v>Yes</v>
      </c>
      <c r="K581" s="5" t="str">
        <f>IFERROR(__xludf.DUMMYFUNCTION("""COMPUTED_VALUE"""),"Yes")</f>
        <v>Yes</v>
      </c>
      <c r="L581" s="5" t="str">
        <f>IFERROR(__xludf.DUMMYFUNCTION("""COMPUTED_VALUE"""),"Yes")</f>
        <v>Yes</v>
      </c>
      <c r="M581" s="5" t="str">
        <f>IFERROR(__xludf.DUMMYFUNCTION("""COMPUTED_VALUE"""),"Yes")</f>
        <v>Yes</v>
      </c>
      <c r="N581" s="5" t="str">
        <f>IFERROR(__xludf.DUMMYFUNCTION("""COMPUTED_VALUE"""),"Yes")</f>
        <v>Yes</v>
      </c>
      <c r="O581" s="5" t="str">
        <f>IFERROR(__xludf.DUMMYFUNCTION("""COMPUTED_VALUE"""),"Yes")</f>
        <v>Yes</v>
      </c>
      <c r="P581" s="5" t="str">
        <f>IFERROR(__xludf.DUMMYFUNCTION("""COMPUTED_VALUE"""),"Yes")</f>
        <v>Yes</v>
      </c>
      <c r="Q581" s="5" t="str">
        <f>IFERROR(__xludf.DUMMYFUNCTION("""COMPUTED_VALUE"""),"Yes")</f>
        <v>Yes</v>
      </c>
      <c r="R581" s="5" t="str">
        <f>IFERROR(__xludf.DUMMYFUNCTION("""COMPUTED_VALUE"""),"No")</f>
        <v>No</v>
      </c>
      <c r="S581" s="5" t="str">
        <f>IFERROR(__xludf.DUMMYFUNCTION("""COMPUTED_VALUE"""),"No")</f>
        <v>No</v>
      </c>
      <c r="T581" s="5" t="str">
        <f>IFERROR(__xludf.DUMMYFUNCTION("""COMPUTED_VALUE"""),"No")</f>
        <v>No</v>
      </c>
      <c r="U581" s="5" t="str">
        <f>IFERROR(__xludf.DUMMYFUNCTION("""COMPUTED_VALUE"""),"No")</f>
        <v>No</v>
      </c>
      <c r="V581" s="5" t="str">
        <f>IFERROR(__xludf.DUMMYFUNCTION("""COMPUTED_VALUE"""),"No")</f>
        <v>No</v>
      </c>
      <c r="W581" s="5" t="str">
        <f>IFERROR(__xludf.DUMMYFUNCTION("""COMPUTED_VALUE"""),"No")</f>
        <v>No</v>
      </c>
      <c r="X581" s="5" t="str">
        <f>IFERROR(__xludf.DUMMYFUNCTION("""COMPUTED_VALUE"""),"No")</f>
        <v>No</v>
      </c>
      <c r="Y581" s="5" t="str">
        <f>IFERROR(__xludf.DUMMYFUNCTION("""COMPUTED_VALUE"""),"No")</f>
        <v>No</v>
      </c>
      <c r="Z581" s="5" t="str">
        <f>IFERROR(__xludf.DUMMYFUNCTION("""COMPUTED_VALUE"""),"No")</f>
        <v>No</v>
      </c>
      <c r="AA581" s="5" t="str">
        <f>IFERROR(__xludf.DUMMYFUNCTION("""COMPUTED_VALUE"""),"No")</f>
        <v>No</v>
      </c>
      <c r="AB581" s="5" t="str">
        <f>IFERROR(__xludf.DUMMYFUNCTION("""COMPUTED_VALUE"""),"Yes")</f>
        <v>Yes</v>
      </c>
      <c r="AC581" s="5" t="str">
        <f>IFERROR(__xludf.DUMMYFUNCTION("""COMPUTED_VALUE"""),"No")</f>
        <v>No</v>
      </c>
    </row>
    <row r="582">
      <c r="A582" s="5" t="str">
        <f>IFERROR(__xludf.DUMMYFUNCTION("""COMPUTED_VALUE"""),"Redstone5BombFire")</f>
        <v>Redstone5BombFire</v>
      </c>
      <c r="B582" s="5" t="str">
        <f>IFERROR(__xludf.DUMMYFUNCTION("""COMPUTED_VALUE"""),"")</f>
        <v/>
      </c>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row>
    <row r="583">
      <c r="A583" s="5" t="str">
        <f>IFERROR(__xludf.DUMMYFUNCTION("""COMPUTED_VALUE"""),"RedstoneRespinGems")</f>
        <v>RedstoneRespinGems</v>
      </c>
      <c r="B583"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3" s="5" t="str">
        <f>IFERROR(__xludf.DUMMYFUNCTION("""COMPUTED_VALUE"""),"Yes")</f>
        <v>Yes</v>
      </c>
      <c r="D583" s="5" t="str">
        <f>IFERROR(__xludf.DUMMYFUNCTION("""COMPUTED_VALUE"""),"Yes")</f>
        <v>Yes</v>
      </c>
      <c r="E583" s="5" t="str">
        <f>IFERROR(__xludf.DUMMYFUNCTION("""COMPUTED_VALUE"""),"No")</f>
        <v>No</v>
      </c>
      <c r="F583" s="5" t="str">
        <f>IFERROR(__xludf.DUMMYFUNCTION("""COMPUTED_VALUE"""),"Yes")</f>
        <v>Yes</v>
      </c>
      <c r="G583" s="5" t="str">
        <f>IFERROR(__xludf.DUMMYFUNCTION("""COMPUTED_VALUE"""),"Yes")</f>
        <v>Yes</v>
      </c>
      <c r="H583" s="5" t="str">
        <f>IFERROR(__xludf.DUMMYFUNCTION("""COMPUTED_VALUE"""),"Yes")</f>
        <v>Yes</v>
      </c>
      <c r="I583" s="5" t="str">
        <f>IFERROR(__xludf.DUMMYFUNCTION("""COMPUTED_VALUE"""),"Yes")</f>
        <v>Yes</v>
      </c>
      <c r="J583" s="5" t="str">
        <f>IFERROR(__xludf.DUMMYFUNCTION("""COMPUTED_VALUE"""),"Yes")</f>
        <v>Yes</v>
      </c>
      <c r="K583" s="5" t="str">
        <f>IFERROR(__xludf.DUMMYFUNCTION("""COMPUTED_VALUE"""),"Yes")</f>
        <v>Yes</v>
      </c>
      <c r="L583" s="5" t="str">
        <f>IFERROR(__xludf.DUMMYFUNCTION("""COMPUTED_VALUE"""),"Yes")</f>
        <v>Yes</v>
      </c>
      <c r="M583" s="5" t="str">
        <f>IFERROR(__xludf.DUMMYFUNCTION("""COMPUTED_VALUE"""),"Yes")</f>
        <v>Yes</v>
      </c>
      <c r="N583" s="5" t="str">
        <f>IFERROR(__xludf.DUMMYFUNCTION("""COMPUTED_VALUE"""),"Yes")</f>
        <v>Yes</v>
      </c>
      <c r="O583" s="5" t="str">
        <f>IFERROR(__xludf.DUMMYFUNCTION("""COMPUTED_VALUE"""),"Yes")</f>
        <v>Yes</v>
      </c>
      <c r="P583" s="5" t="str">
        <f>IFERROR(__xludf.DUMMYFUNCTION("""COMPUTED_VALUE"""),"Yes")</f>
        <v>Yes</v>
      </c>
      <c r="Q583" s="5" t="str">
        <f>IFERROR(__xludf.DUMMYFUNCTION("""COMPUTED_VALUE"""),"Yes")</f>
        <v>Yes</v>
      </c>
      <c r="R583" s="5" t="str">
        <f>IFERROR(__xludf.DUMMYFUNCTION("""COMPUTED_VALUE"""),"No")</f>
        <v>No</v>
      </c>
      <c r="S583" s="5" t="str">
        <f>IFERROR(__xludf.DUMMYFUNCTION("""COMPUTED_VALUE"""),"No")</f>
        <v>No</v>
      </c>
      <c r="T583" s="5" t="str">
        <f>IFERROR(__xludf.DUMMYFUNCTION("""COMPUTED_VALUE"""),"No")</f>
        <v>No</v>
      </c>
      <c r="U583" s="5" t="str">
        <f>IFERROR(__xludf.DUMMYFUNCTION("""COMPUTED_VALUE"""),"No")</f>
        <v>No</v>
      </c>
      <c r="V583" s="5" t="str">
        <f>IFERROR(__xludf.DUMMYFUNCTION("""COMPUTED_VALUE"""),"No")</f>
        <v>No</v>
      </c>
      <c r="W583" s="5" t="str">
        <f>IFERROR(__xludf.DUMMYFUNCTION("""COMPUTED_VALUE"""),"No")</f>
        <v>No</v>
      </c>
      <c r="X583" s="5" t="str">
        <f>IFERROR(__xludf.DUMMYFUNCTION("""COMPUTED_VALUE"""),"Yes")</f>
        <v>Yes</v>
      </c>
      <c r="Y583" s="5" t="str">
        <f>IFERROR(__xludf.DUMMYFUNCTION("""COMPUTED_VALUE"""),"No")</f>
        <v>No</v>
      </c>
      <c r="Z583" s="5" t="str">
        <f>IFERROR(__xludf.DUMMYFUNCTION("""COMPUTED_VALUE"""),"No")</f>
        <v>No</v>
      </c>
      <c r="AA583" s="5" t="str">
        <f>IFERROR(__xludf.DUMMYFUNCTION("""COMPUTED_VALUE"""),"No")</f>
        <v>No</v>
      </c>
      <c r="AB583" s="5" t="str">
        <f>IFERROR(__xludf.DUMMYFUNCTION("""COMPUTED_VALUE"""),"Yes")</f>
        <v>Yes</v>
      </c>
      <c r="AC583" s="5" t="str">
        <f>IFERROR(__xludf.DUMMYFUNCTION("""COMPUTED_VALUE"""),"No")</f>
        <v>No</v>
      </c>
    </row>
    <row r="584">
      <c r="A584" s="5" t="str">
        <f>IFERROR(__xludf.DUMMYFUNCTION("""COMPUTED_VALUE"""),"Redstone9ofaKind")</f>
        <v>Redstone9ofaKind</v>
      </c>
      <c r="B58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84" s="5" t="str">
        <f>IFERROR(__xludf.DUMMYFUNCTION("""COMPUTED_VALUE"""),"Yes")</f>
        <v>Yes</v>
      </c>
      <c r="D584" s="5" t="str">
        <f>IFERROR(__xludf.DUMMYFUNCTION("""COMPUTED_VALUE"""),"Yes")</f>
        <v>Yes</v>
      </c>
      <c r="E584" s="5" t="str">
        <f>IFERROR(__xludf.DUMMYFUNCTION("""COMPUTED_VALUE"""),"Yes")</f>
        <v>Yes</v>
      </c>
      <c r="F584" s="5" t="str">
        <f>IFERROR(__xludf.DUMMYFUNCTION("""COMPUTED_VALUE"""),"Yes")</f>
        <v>Yes</v>
      </c>
      <c r="G584" s="5" t="str">
        <f>IFERROR(__xludf.DUMMYFUNCTION("""COMPUTED_VALUE"""),"Yes")</f>
        <v>Yes</v>
      </c>
      <c r="H584" s="5" t="str">
        <f>IFERROR(__xludf.DUMMYFUNCTION("""COMPUTED_VALUE"""),"Yes")</f>
        <v>Yes</v>
      </c>
      <c r="I584" s="5" t="str">
        <f>IFERROR(__xludf.DUMMYFUNCTION("""COMPUTED_VALUE"""),"Yes")</f>
        <v>Yes</v>
      </c>
      <c r="J584" s="5" t="str">
        <f>IFERROR(__xludf.DUMMYFUNCTION("""COMPUTED_VALUE"""),"Yes")</f>
        <v>Yes</v>
      </c>
      <c r="K584" s="5" t="str">
        <f>IFERROR(__xludf.DUMMYFUNCTION("""COMPUTED_VALUE"""),"Yes")</f>
        <v>Yes</v>
      </c>
      <c r="L584" s="5" t="str">
        <f>IFERROR(__xludf.DUMMYFUNCTION("""COMPUTED_VALUE"""),"Yes")</f>
        <v>Yes</v>
      </c>
      <c r="M584" s="5" t="str">
        <f>IFERROR(__xludf.DUMMYFUNCTION("""COMPUTED_VALUE"""),"Yes")</f>
        <v>Yes</v>
      </c>
      <c r="N584" s="5" t="str">
        <f>IFERROR(__xludf.DUMMYFUNCTION("""COMPUTED_VALUE"""),"Yes")</f>
        <v>Yes</v>
      </c>
      <c r="O584" s="5" t="str">
        <f>IFERROR(__xludf.DUMMYFUNCTION("""COMPUTED_VALUE"""),"Yes")</f>
        <v>Yes</v>
      </c>
      <c r="P584" s="5" t="str">
        <f>IFERROR(__xludf.DUMMYFUNCTION("""COMPUTED_VALUE"""),"Yes")</f>
        <v>Yes</v>
      </c>
      <c r="Q584" s="5" t="str">
        <f>IFERROR(__xludf.DUMMYFUNCTION("""COMPUTED_VALUE"""),"Yes")</f>
        <v>Yes</v>
      </c>
      <c r="R584" s="5" t="str">
        <f>IFERROR(__xludf.DUMMYFUNCTION("""COMPUTED_VALUE"""),"No")</f>
        <v>No</v>
      </c>
      <c r="S584" s="5" t="str">
        <f>IFERROR(__xludf.DUMMYFUNCTION("""COMPUTED_VALUE"""),"No")</f>
        <v>No</v>
      </c>
      <c r="T584" s="5" t="str">
        <f>IFERROR(__xludf.DUMMYFUNCTION("""COMPUTED_VALUE"""),"No")</f>
        <v>No</v>
      </c>
      <c r="U584" s="5" t="str">
        <f>IFERROR(__xludf.DUMMYFUNCTION("""COMPUTED_VALUE"""),"No")</f>
        <v>No</v>
      </c>
      <c r="V584" s="5" t="str">
        <f>IFERROR(__xludf.DUMMYFUNCTION("""COMPUTED_VALUE"""),"No")</f>
        <v>No</v>
      </c>
      <c r="W584" s="5" t="str">
        <f>IFERROR(__xludf.DUMMYFUNCTION("""COMPUTED_VALUE"""),"No")</f>
        <v>No</v>
      </c>
      <c r="X584" s="5" t="str">
        <f>IFERROR(__xludf.DUMMYFUNCTION("""COMPUTED_VALUE"""),"Yes")</f>
        <v>Yes</v>
      </c>
      <c r="Y584" s="5" t="str">
        <f>IFERROR(__xludf.DUMMYFUNCTION("""COMPUTED_VALUE"""),"No")</f>
        <v>No</v>
      </c>
      <c r="Z584" s="5" t="str">
        <f>IFERROR(__xludf.DUMMYFUNCTION("""COMPUTED_VALUE"""),"No")</f>
        <v>No</v>
      </c>
      <c r="AA584" s="5" t="str">
        <f>IFERROR(__xludf.DUMMYFUNCTION("""COMPUTED_VALUE"""),"No")</f>
        <v>No</v>
      </c>
      <c r="AB584" s="5" t="str">
        <f>IFERROR(__xludf.DUMMYFUNCTION("""COMPUTED_VALUE"""),"Yes")</f>
        <v>Yes</v>
      </c>
      <c r="AC584" s="5" t="str">
        <f>IFERROR(__xludf.DUMMYFUNCTION("""COMPUTED_VALUE"""),"No")</f>
        <v>No</v>
      </c>
    </row>
    <row r="585">
      <c r="A585" s="5" t="str">
        <f>IFERROR(__xludf.DUMMYFUNCTION("""COMPUTED_VALUE"""),"WildJokerHotBooster")</f>
        <v>WildJokerHotBooster</v>
      </c>
      <c r="B58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5" s="5" t="str">
        <f>IFERROR(__xludf.DUMMYFUNCTION("""COMPUTED_VALUE"""),"Yes")</f>
        <v>Yes</v>
      </c>
      <c r="D585" s="5" t="str">
        <f>IFERROR(__xludf.DUMMYFUNCTION("""COMPUTED_VALUE"""),"Yes")</f>
        <v>Yes</v>
      </c>
      <c r="E585" s="5" t="str">
        <f>IFERROR(__xludf.DUMMYFUNCTION("""COMPUTED_VALUE"""),"Yes")</f>
        <v>Yes</v>
      </c>
      <c r="F585" s="5" t="str">
        <f>IFERROR(__xludf.DUMMYFUNCTION("""COMPUTED_VALUE"""),"Yes")</f>
        <v>Yes</v>
      </c>
      <c r="G585" s="5" t="str">
        <f>IFERROR(__xludf.DUMMYFUNCTION("""COMPUTED_VALUE"""),"Yes")</f>
        <v>Yes</v>
      </c>
      <c r="H585" s="5" t="str">
        <f>IFERROR(__xludf.DUMMYFUNCTION("""COMPUTED_VALUE"""),"Yes")</f>
        <v>Yes</v>
      </c>
      <c r="I585" s="5" t="str">
        <f>IFERROR(__xludf.DUMMYFUNCTION("""COMPUTED_VALUE"""),"Yes")</f>
        <v>Yes</v>
      </c>
      <c r="J585" s="5" t="str">
        <f>IFERROR(__xludf.DUMMYFUNCTION("""COMPUTED_VALUE"""),"Yes")</f>
        <v>Yes</v>
      </c>
      <c r="K585" s="5" t="str">
        <f>IFERROR(__xludf.DUMMYFUNCTION("""COMPUTED_VALUE"""),"Yes")</f>
        <v>Yes</v>
      </c>
      <c r="L585" s="5" t="str">
        <f>IFERROR(__xludf.DUMMYFUNCTION("""COMPUTED_VALUE"""),"Yes")</f>
        <v>Yes</v>
      </c>
      <c r="M585" s="5" t="str">
        <f>IFERROR(__xludf.DUMMYFUNCTION("""COMPUTED_VALUE"""),"Yes")</f>
        <v>Yes</v>
      </c>
      <c r="N585" s="5" t="str">
        <f>IFERROR(__xludf.DUMMYFUNCTION("""COMPUTED_VALUE"""),"Yes")</f>
        <v>Yes</v>
      </c>
      <c r="O585" s="5" t="str">
        <f>IFERROR(__xludf.DUMMYFUNCTION("""COMPUTED_VALUE"""),"Yes")</f>
        <v>Yes</v>
      </c>
      <c r="P585" s="5" t="str">
        <f>IFERROR(__xludf.DUMMYFUNCTION("""COMPUTED_VALUE"""),"Yes")</f>
        <v>Yes</v>
      </c>
      <c r="Q585" s="5" t="str">
        <f>IFERROR(__xludf.DUMMYFUNCTION("""COMPUTED_VALUE"""),"Yes")</f>
        <v>Yes</v>
      </c>
      <c r="R585" s="5" t="str">
        <f>IFERROR(__xludf.DUMMYFUNCTION("""COMPUTED_VALUE"""),"Yes")</f>
        <v>Yes</v>
      </c>
      <c r="S585" s="5" t="str">
        <f>IFERROR(__xludf.DUMMYFUNCTION("""COMPUTED_VALUE"""),"Yes")</f>
        <v>Yes</v>
      </c>
      <c r="T585" s="5" t="str">
        <f>IFERROR(__xludf.DUMMYFUNCTION("""COMPUTED_VALUE"""),"Yes")</f>
        <v>Yes</v>
      </c>
      <c r="U585" s="5" t="str">
        <f>IFERROR(__xludf.DUMMYFUNCTION("""COMPUTED_VALUE"""),"Yes")</f>
        <v>Yes</v>
      </c>
      <c r="V585" s="5" t="str">
        <f>IFERROR(__xludf.DUMMYFUNCTION("""COMPUTED_VALUE"""),"Yes")</f>
        <v>Yes</v>
      </c>
      <c r="W585" s="5" t="str">
        <f>IFERROR(__xludf.DUMMYFUNCTION("""COMPUTED_VALUE"""),"Yes")</f>
        <v>Yes</v>
      </c>
      <c r="X585" s="5" t="str">
        <f>IFERROR(__xludf.DUMMYFUNCTION("""COMPUTED_VALUE"""),"Yes")</f>
        <v>Yes</v>
      </c>
      <c r="Y585" s="5" t="str">
        <f>IFERROR(__xludf.DUMMYFUNCTION("""COMPUTED_VALUE"""),"Yes")</f>
        <v>Yes</v>
      </c>
      <c r="Z585" s="5" t="str">
        <f>IFERROR(__xludf.DUMMYFUNCTION("""COMPUTED_VALUE"""),"Yes")</f>
        <v>Yes</v>
      </c>
      <c r="AA585" s="5" t="str">
        <f>IFERROR(__xludf.DUMMYFUNCTION("""COMPUTED_VALUE"""),"Yes")</f>
        <v>Yes</v>
      </c>
      <c r="AB585" s="5" t="str">
        <f>IFERROR(__xludf.DUMMYFUNCTION("""COMPUTED_VALUE"""),"Yes")</f>
        <v>Yes</v>
      </c>
      <c r="AC585" s="5" t="str">
        <f>IFERROR(__xludf.DUMMYFUNCTION("""COMPUTED_VALUE"""),"No")</f>
        <v>No</v>
      </c>
    </row>
    <row r="586">
      <c r="A586" s="5" t="str">
        <f>IFERROR(__xludf.DUMMYFUNCTION("""COMPUTED_VALUE"""),"Money5Booster")</f>
        <v>Money5Booster</v>
      </c>
      <c r="B58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6" s="5" t="str">
        <f>IFERROR(__xludf.DUMMYFUNCTION("""COMPUTED_VALUE"""),"Yes")</f>
        <v>Yes</v>
      </c>
      <c r="D586" s="5" t="str">
        <f>IFERROR(__xludf.DUMMYFUNCTION("""COMPUTED_VALUE"""),"Yes")</f>
        <v>Yes</v>
      </c>
      <c r="E586" s="5" t="str">
        <f>IFERROR(__xludf.DUMMYFUNCTION("""COMPUTED_VALUE"""),"Yes")</f>
        <v>Yes</v>
      </c>
      <c r="F586" s="5" t="str">
        <f>IFERROR(__xludf.DUMMYFUNCTION("""COMPUTED_VALUE"""),"Yes")</f>
        <v>Yes</v>
      </c>
      <c r="G586" s="5" t="str">
        <f>IFERROR(__xludf.DUMMYFUNCTION("""COMPUTED_VALUE"""),"Yes")</f>
        <v>Yes</v>
      </c>
      <c r="H586" s="5" t="str">
        <f>IFERROR(__xludf.DUMMYFUNCTION("""COMPUTED_VALUE"""),"Yes")</f>
        <v>Yes</v>
      </c>
      <c r="I586" s="5" t="str">
        <f>IFERROR(__xludf.DUMMYFUNCTION("""COMPUTED_VALUE"""),"Yes")</f>
        <v>Yes</v>
      </c>
      <c r="J586" s="5" t="str">
        <f>IFERROR(__xludf.DUMMYFUNCTION("""COMPUTED_VALUE"""),"Yes")</f>
        <v>Yes</v>
      </c>
      <c r="K586" s="5" t="str">
        <f>IFERROR(__xludf.DUMMYFUNCTION("""COMPUTED_VALUE"""),"Yes")</f>
        <v>Yes</v>
      </c>
      <c r="L586" s="5" t="str">
        <f>IFERROR(__xludf.DUMMYFUNCTION("""COMPUTED_VALUE"""),"Yes")</f>
        <v>Yes</v>
      </c>
      <c r="M586" s="5" t="str">
        <f>IFERROR(__xludf.DUMMYFUNCTION("""COMPUTED_VALUE"""),"Yes")</f>
        <v>Yes</v>
      </c>
      <c r="N586" s="5" t="str">
        <f>IFERROR(__xludf.DUMMYFUNCTION("""COMPUTED_VALUE"""),"Yes")</f>
        <v>Yes</v>
      </c>
      <c r="O586" s="5" t="str">
        <f>IFERROR(__xludf.DUMMYFUNCTION("""COMPUTED_VALUE"""),"Yes")</f>
        <v>Yes</v>
      </c>
      <c r="P586" s="5" t="str">
        <f>IFERROR(__xludf.DUMMYFUNCTION("""COMPUTED_VALUE"""),"Yes")</f>
        <v>Yes</v>
      </c>
      <c r="Q586" s="5" t="str">
        <f>IFERROR(__xludf.DUMMYFUNCTION("""COMPUTED_VALUE"""),"Yes")</f>
        <v>Yes</v>
      </c>
      <c r="R586" s="5" t="str">
        <f>IFERROR(__xludf.DUMMYFUNCTION("""COMPUTED_VALUE"""),"Yes")</f>
        <v>Yes</v>
      </c>
      <c r="S586" s="5" t="str">
        <f>IFERROR(__xludf.DUMMYFUNCTION("""COMPUTED_VALUE"""),"Yes")</f>
        <v>Yes</v>
      </c>
      <c r="T586" s="5" t="str">
        <f>IFERROR(__xludf.DUMMYFUNCTION("""COMPUTED_VALUE"""),"Yes")</f>
        <v>Yes</v>
      </c>
      <c r="U586" s="5" t="str">
        <f>IFERROR(__xludf.DUMMYFUNCTION("""COMPUTED_VALUE"""),"Yes")</f>
        <v>Yes</v>
      </c>
      <c r="V586" s="5" t="str">
        <f>IFERROR(__xludf.DUMMYFUNCTION("""COMPUTED_VALUE"""),"Yes")</f>
        <v>Yes</v>
      </c>
      <c r="W586" s="5" t="str">
        <f>IFERROR(__xludf.DUMMYFUNCTION("""COMPUTED_VALUE"""),"Yes")</f>
        <v>Yes</v>
      </c>
      <c r="X586" s="5" t="str">
        <f>IFERROR(__xludf.DUMMYFUNCTION("""COMPUTED_VALUE"""),"Yes")</f>
        <v>Yes</v>
      </c>
      <c r="Y586" s="5" t="str">
        <f>IFERROR(__xludf.DUMMYFUNCTION("""COMPUTED_VALUE"""),"Yes")</f>
        <v>Yes</v>
      </c>
      <c r="Z586" s="5" t="str">
        <f>IFERROR(__xludf.DUMMYFUNCTION("""COMPUTED_VALUE"""),"Yes")</f>
        <v>Yes</v>
      </c>
      <c r="AA586" s="5" t="str">
        <f>IFERROR(__xludf.DUMMYFUNCTION("""COMPUTED_VALUE"""),"Yes")</f>
        <v>Yes</v>
      </c>
      <c r="AB586" s="5" t="str">
        <f>IFERROR(__xludf.DUMMYFUNCTION("""COMPUTED_VALUE"""),"Yes")</f>
        <v>Yes</v>
      </c>
      <c r="AC586" s="5" t="str">
        <f>IFERROR(__xludf.DUMMYFUNCTION("""COMPUTED_VALUE"""),"No")</f>
        <v>No</v>
      </c>
    </row>
    <row r="587">
      <c r="A587" s="5" t="str">
        <f>IFERROR(__xludf.DUMMYFUNCTION("""COMPUTED_VALUE"""),"GoldenCrownChristmasBooster")</f>
        <v>GoldenCrownChristmasBooster</v>
      </c>
      <c r="B58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7" s="5" t="str">
        <f>IFERROR(__xludf.DUMMYFUNCTION("""COMPUTED_VALUE"""),"Yes")</f>
        <v>Yes</v>
      </c>
      <c r="D587" s="5" t="str">
        <f>IFERROR(__xludf.DUMMYFUNCTION("""COMPUTED_VALUE"""),"Yes")</f>
        <v>Yes</v>
      </c>
      <c r="E587" s="5" t="str">
        <f>IFERROR(__xludf.DUMMYFUNCTION("""COMPUTED_VALUE"""),"Yes")</f>
        <v>Yes</v>
      </c>
      <c r="F587" s="5" t="str">
        <f>IFERROR(__xludf.DUMMYFUNCTION("""COMPUTED_VALUE"""),"Yes")</f>
        <v>Yes</v>
      </c>
      <c r="G587" s="5" t="str">
        <f>IFERROR(__xludf.DUMMYFUNCTION("""COMPUTED_VALUE"""),"Yes")</f>
        <v>Yes</v>
      </c>
      <c r="H587" s="5" t="str">
        <f>IFERROR(__xludf.DUMMYFUNCTION("""COMPUTED_VALUE"""),"Yes")</f>
        <v>Yes</v>
      </c>
      <c r="I587" s="5" t="str">
        <f>IFERROR(__xludf.DUMMYFUNCTION("""COMPUTED_VALUE"""),"Yes")</f>
        <v>Yes</v>
      </c>
      <c r="J587" s="5" t="str">
        <f>IFERROR(__xludf.DUMMYFUNCTION("""COMPUTED_VALUE"""),"Yes")</f>
        <v>Yes</v>
      </c>
      <c r="K587" s="5" t="str">
        <f>IFERROR(__xludf.DUMMYFUNCTION("""COMPUTED_VALUE"""),"Yes")</f>
        <v>Yes</v>
      </c>
      <c r="L587" s="5" t="str">
        <f>IFERROR(__xludf.DUMMYFUNCTION("""COMPUTED_VALUE"""),"Yes")</f>
        <v>Yes</v>
      </c>
      <c r="M587" s="5" t="str">
        <f>IFERROR(__xludf.DUMMYFUNCTION("""COMPUTED_VALUE"""),"Yes")</f>
        <v>Yes</v>
      </c>
      <c r="N587" s="5" t="str">
        <f>IFERROR(__xludf.DUMMYFUNCTION("""COMPUTED_VALUE"""),"Yes")</f>
        <v>Yes</v>
      </c>
      <c r="O587" s="5" t="str">
        <f>IFERROR(__xludf.DUMMYFUNCTION("""COMPUTED_VALUE"""),"Yes")</f>
        <v>Yes</v>
      </c>
      <c r="P587" s="5" t="str">
        <f>IFERROR(__xludf.DUMMYFUNCTION("""COMPUTED_VALUE"""),"Yes")</f>
        <v>Yes</v>
      </c>
      <c r="Q587" s="5" t="str">
        <f>IFERROR(__xludf.DUMMYFUNCTION("""COMPUTED_VALUE"""),"Yes")</f>
        <v>Yes</v>
      </c>
      <c r="R587" s="5" t="str">
        <f>IFERROR(__xludf.DUMMYFUNCTION("""COMPUTED_VALUE"""),"Yes")</f>
        <v>Yes</v>
      </c>
      <c r="S587" s="5" t="str">
        <f>IFERROR(__xludf.DUMMYFUNCTION("""COMPUTED_VALUE"""),"Yes")</f>
        <v>Yes</v>
      </c>
      <c r="T587" s="5" t="str">
        <f>IFERROR(__xludf.DUMMYFUNCTION("""COMPUTED_VALUE"""),"Yes")</f>
        <v>Yes</v>
      </c>
      <c r="U587" s="5" t="str">
        <f>IFERROR(__xludf.DUMMYFUNCTION("""COMPUTED_VALUE"""),"Yes")</f>
        <v>Yes</v>
      </c>
      <c r="V587" s="5" t="str">
        <f>IFERROR(__xludf.DUMMYFUNCTION("""COMPUTED_VALUE"""),"Yes")</f>
        <v>Yes</v>
      </c>
      <c r="W587" s="5" t="str">
        <f>IFERROR(__xludf.DUMMYFUNCTION("""COMPUTED_VALUE"""),"Yes")</f>
        <v>Yes</v>
      </c>
      <c r="X587" s="5" t="str">
        <f>IFERROR(__xludf.DUMMYFUNCTION("""COMPUTED_VALUE"""),"Yes")</f>
        <v>Yes</v>
      </c>
      <c r="Y587" s="5" t="str">
        <f>IFERROR(__xludf.DUMMYFUNCTION("""COMPUTED_VALUE"""),"Yes")</f>
        <v>Yes</v>
      </c>
      <c r="Z587" s="5" t="str">
        <f>IFERROR(__xludf.DUMMYFUNCTION("""COMPUTED_VALUE"""),"Yes")</f>
        <v>Yes</v>
      </c>
      <c r="AA587" s="5" t="str">
        <f>IFERROR(__xludf.DUMMYFUNCTION("""COMPUTED_VALUE"""),"Yes")</f>
        <v>Yes</v>
      </c>
      <c r="AB587" s="5" t="str">
        <f>IFERROR(__xludf.DUMMYFUNCTION("""COMPUTED_VALUE"""),"Yes")</f>
        <v>Yes</v>
      </c>
      <c r="AC587" s="5" t="str">
        <f>IFERROR(__xludf.DUMMYFUNCTION("""COMPUTED_VALUE"""),"No")</f>
        <v>No</v>
      </c>
    </row>
    <row r="588">
      <c r="A588" s="5" t="str">
        <f>IFERROR(__xludf.DUMMYFUNCTION("""COMPUTED_VALUE"""),"BellasWorld")</f>
        <v>BellasWorld</v>
      </c>
      <c r="B58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8" s="5" t="str">
        <f>IFERROR(__xludf.DUMMYFUNCTION("""COMPUTED_VALUE"""),"Yes")</f>
        <v>Yes</v>
      </c>
      <c r="D588" s="5" t="str">
        <f>IFERROR(__xludf.DUMMYFUNCTION("""COMPUTED_VALUE"""),"Yes")</f>
        <v>Yes</v>
      </c>
      <c r="E588" s="5" t="str">
        <f>IFERROR(__xludf.DUMMYFUNCTION("""COMPUTED_VALUE"""),"Yes")</f>
        <v>Yes</v>
      </c>
      <c r="F588" s="5" t="str">
        <f>IFERROR(__xludf.DUMMYFUNCTION("""COMPUTED_VALUE"""),"Yes")</f>
        <v>Yes</v>
      </c>
      <c r="G588" s="5" t="str">
        <f>IFERROR(__xludf.DUMMYFUNCTION("""COMPUTED_VALUE"""),"Yes")</f>
        <v>Yes</v>
      </c>
      <c r="H588" s="5" t="str">
        <f>IFERROR(__xludf.DUMMYFUNCTION("""COMPUTED_VALUE"""),"Yes")</f>
        <v>Yes</v>
      </c>
      <c r="I588" s="5" t="str">
        <f>IFERROR(__xludf.DUMMYFUNCTION("""COMPUTED_VALUE"""),"Yes")</f>
        <v>Yes</v>
      </c>
      <c r="J588" s="5" t="str">
        <f>IFERROR(__xludf.DUMMYFUNCTION("""COMPUTED_VALUE"""),"Yes")</f>
        <v>Yes</v>
      </c>
      <c r="K588" s="5" t="str">
        <f>IFERROR(__xludf.DUMMYFUNCTION("""COMPUTED_VALUE"""),"Yes")</f>
        <v>Yes</v>
      </c>
      <c r="L588" s="5" t="str">
        <f>IFERROR(__xludf.DUMMYFUNCTION("""COMPUTED_VALUE"""),"Yes")</f>
        <v>Yes</v>
      </c>
      <c r="M588" s="5" t="str">
        <f>IFERROR(__xludf.DUMMYFUNCTION("""COMPUTED_VALUE"""),"Yes")</f>
        <v>Yes</v>
      </c>
      <c r="N588" s="5" t="str">
        <f>IFERROR(__xludf.DUMMYFUNCTION("""COMPUTED_VALUE"""),"Yes")</f>
        <v>Yes</v>
      </c>
      <c r="O588" s="5" t="str">
        <f>IFERROR(__xludf.DUMMYFUNCTION("""COMPUTED_VALUE"""),"Yes")</f>
        <v>Yes</v>
      </c>
      <c r="P588" s="5" t="str">
        <f>IFERROR(__xludf.DUMMYFUNCTION("""COMPUTED_VALUE"""),"Yes")</f>
        <v>Yes</v>
      </c>
      <c r="Q588" s="5" t="str">
        <f>IFERROR(__xludf.DUMMYFUNCTION("""COMPUTED_VALUE"""),"Yes")</f>
        <v>Yes</v>
      </c>
      <c r="R588" s="5" t="str">
        <f>IFERROR(__xludf.DUMMYFUNCTION("""COMPUTED_VALUE"""),"Yes")</f>
        <v>Yes</v>
      </c>
      <c r="S588" s="5" t="str">
        <f>IFERROR(__xludf.DUMMYFUNCTION("""COMPUTED_VALUE"""),"Yes")</f>
        <v>Yes</v>
      </c>
      <c r="T588" s="5" t="str">
        <f>IFERROR(__xludf.DUMMYFUNCTION("""COMPUTED_VALUE"""),"Yes")</f>
        <v>Yes</v>
      </c>
      <c r="U588" s="5" t="str">
        <f>IFERROR(__xludf.DUMMYFUNCTION("""COMPUTED_VALUE"""),"Yes")</f>
        <v>Yes</v>
      </c>
      <c r="V588" s="5" t="str">
        <f>IFERROR(__xludf.DUMMYFUNCTION("""COMPUTED_VALUE"""),"Yes")</f>
        <v>Yes</v>
      </c>
      <c r="W588" s="5" t="str">
        <f>IFERROR(__xludf.DUMMYFUNCTION("""COMPUTED_VALUE"""),"Yes")</f>
        <v>Yes</v>
      </c>
      <c r="X588" s="5" t="str">
        <f>IFERROR(__xludf.DUMMYFUNCTION("""COMPUTED_VALUE"""),"Yes")</f>
        <v>Yes</v>
      </c>
      <c r="Y588" s="5" t="str">
        <f>IFERROR(__xludf.DUMMYFUNCTION("""COMPUTED_VALUE"""),"Yes")</f>
        <v>Yes</v>
      </c>
      <c r="Z588" s="5" t="str">
        <f>IFERROR(__xludf.DUMMYFUNCTION("""COMPUTED_VALUE"""),"Yes")</f>
        <v>Yes</v>
      </c>
      <c r="AA588" s="5" t="str">
        <f>IFERROR(__xludf.DUMMYFUNCTION("""COMPUTED_VALUE"""),"Yes")</f>
        <v>Yes</v>
      </c>
      <c r="AB588" s="5" t="str">
        <f>IFERROR(__xludf.DUMMYFUNCTION("""COMPUTED_VALUE"""),"Yes")</f>
        <v>Yes</v>
      </c>
      <c r="AC588" s="5" t="str">
        <f>IFERROR(__xludf.DUMMYFUNCTION("""COMPUTED_VALUE"""),"No")</f>
        <v>No</v>
      </c>
    </row>
    <row r="589">
      <c r="A589" s="5" t="str">
        <f>IFERROR(__xludf.DUMMYFUNCTION("""COMPUTED_VALUE"""),"Wild27Extreme")</f>
        <v>Wild27Extreme</v>
      </c>
      <c r="B58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9" s="5" t="str">
        <f>IFERROR(__xludf.DUMMYFUNCTION("""COMPUTED_VALUE"""),"Yes")</f>
        <v>Yes</v>
      </c>
      <c r="D589" s="5" t="str">
        <f>IFERROR(__xludf.DUMMYFUNCTION("""COMPUTED_VALUE"""),"Yes")</f>
        <v>Yes</v>
      </c>
      <c r="E589" s="5" t="str">
        <f>IFERROR(__xludf.DUMMYFUNCTION("""COMPUTED_VALUE"""),"Yes")</f>
        <v>Yes</v>
      </c>
      <c r="F589" s="5" t="str">
        <f>IFERROR(__xludf.DUMMYFUNCTION("""COMPUTED_VALUE"""),"Yes")</f>
        <v>Yes</v>
      </c>
      <c r="G589" s="5" t="str">
        <f>IFERROR(__xludf.DUMMYFUNCTION("""COMPUTED_VALUE"""),"Yes")</f>
        <v>Yes</v>
      </c>
      <c r="H589" s="5" t="str">
        <f>IFERROR(__xludf.DUMMYFUNCTION("""COMPUTED_VALUE"""),"Yes")</f>
        <v>Yes</v>
      </c>
      <c r="I589" s="5" t="str">
        <f>IFERROR(__xludf.DUMMYFUNCTION("""COMPUTED_VALUE"""),"Yes")</f>
        <v>Yes</v>
      </c>
      <c r="J589" s="5" t="str">
        <f>IFERROR(__xludf.DUMMYFUNCTION("""COMPUTED_VALUE"""),"Yes")</f>
        <v>Yes</v>
      </c>
      <c r="K589" s="5" t="str">
        <f>IFERROR(__xludf.DUMMYFUNCTION("""COMPUTED_VALUE"""),"Yes")</f>
        <v>Yes</v>
      </c>
      <c r="L589" s="5" t="str">
        <f>IFERROR(__xludf.DUMMYFUNCTION("""COMPUTED_VALUE"""),"Yes")</f>
        <v>Yes</v>
      </c>
      <c r="M589" s="5" t="str">
        <f>IFERROR(__xludf.DUMMYFUNCTION("""COMPUTED_VALUE"""),"Yes")</f>
        <v>Yes</v>
      </c>
      <c r="N589" s="5" t="str">
        <f>IFERROR(__xludf.DUMMYFUNCTION("""COMPUTED_VALUE"""),"Yes")</f>
        <v>Yes</v>
      </c>
      <c r="O589" s="5" t="str">
        <f>IFERROR(__xludf.DUMMYFUNCTION("""COMPUTED_VALUE"""),"Yes")</f>
        <v>Yes</v>
      </c>
      <c r="P589" s="5" t="str">
        <f>IFERROR(__xludf.DUMMYFUNCTION("""COMPUTED_VALUE"""),"Yes")</f>
        <v>Yes</v>
      </c>
      <c r="Q589" s="5" t="str">
        <f>IFERROR(__xludf.DUMMYFUNCTION("""COMPUTED_VALUE"""),"Yes")</f>
        <v>Yes</v>
      </c>
      <c r="R589" s="5" t="str">
        <f>IFERROR(__xludf.DUMMYFUNCTION("""COMPUTED_VALUE"""),"Yes")</f>
        <v>Yes</v>
      </c>
      <c r="S589" s="5" t="str">
        <f>IFERROR(__xludf.DUMMYFUNCTION("""COMPUTED_VALUE"""),"Yes")</f>
        <v>Yes</v>
      </c>
      <c r="T589" s="5" t="str">
        <f>IFERROR(__xludf.DUMMYFUNCTION("""COMPUTED_VALUE"""),"Yes")</f>
        <v>Yes</v>
      </c>
      <c r="U589" s="5" t="str">
        <f>IFERROR(__xludf.DUMMYFUNCTION("""COMPUTED_VALUE"""),"Yes")</f>
        <v>Yes</v>
      </c>
      <c r="V589" s="5" t="str">
        <f>IFERROR(__xludf.DUMMYFUNCTION("""COMPUTED_VALUE"""),"Yes")</f>
        <v>Yes</v>
      </c>
      <c r="W589" s="5" t="str">
        <f>IFERROR(__xludf.DUMMYFUNCTION("""COMPUTED_VALUE"""),"Yes")</f>
        <v>Yes</v>
      </c>
      <c r="X589" s="5" t="str">
        <f>IFERROR(__xludf.DUMMYFUNCTION("""COMPUTED_VALUE"""),"Yes")</f>
        <v>Yes</v>
      </c>
      <c r="Y589" s="5" t="str">
        <f>IFERROR(__xludf.DUMMYFUNCTION("""COMPUTED_VALUE"""),"Yes")</f>
        <v>Yes</v>
      </c>
      <c r="Z589" s="5" t="str">
        <f>IFERROR(__xludf.DUMMYFUNCTION("""COMPUTED_VALUE"""),"Yes")</f>
        <v>Yes</v>
      </c>
      <c r="AA589" s="5" t="str">
        <f>IFERROR(__xludf.DUMMYFUNCTION("""COMPUTED_VALUE"""),"Yes")</f>
        <v>Yes</v>
      </c>
      <c r="AB589" s="5" t="str">
        <f>IFERROR(__xludf.DUMMYFUNCTION("""COMPUTED_VALUE"""),"Yes")</f>
        <v>Yes</v>
      </c>
      <c r="AC589" s="5" t="str">
        <f>IFERROR(__xludf.DUMMYFUNCTION("""COMPUTED_VALUE"""),"No")</f>
        <v>No</v>
      </c>
    </row>
    <row r="590">
      <c r="A590" s="5" t="str">
        <f>IFERROR(__xludf.DUMMYFUNCTION("""COMPUTED_VALUE"""),"MacacoDaFortuna")</f>
        <v>MacacoDaFortuna</v>
      </c>
      <c r="B5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0" s="5" t="str">
        <f>IFERROR(__xludf.DUMMYFUNCTION("""COMPUTED_VALUE"""),"Yes")</f>
        <v>Yes</v>
      </c>
      <c r="D590" s="5" t="str">
        <f>IFERROR(__xludf.DUMMYFUNCTION("""COMPUTED_VALUE"""),"Yes")</f>
        <v>Yes</v>
      </c>
      <c r="E590" s="5" t="str">
        <f>IFERROR(__xludf.DUMMYFUNCTION("""COMPUTED_VALUE"""),"Yes")</f>
        <v>Yes</v>
      </c>
      <c r="F590" s="5" t="str">
        <f>IFERROR(__xludf.DUMMYFUNCTION("""COMPUTED_VALUE"""),"Yes")</f>
        <v>Yes</v>
      </c>
      <c r="G590" s="5" t="str">
        <f>IFERROR(__xludf.DUMMYFUNCTION("""COMPUTED_VALUE"""),"Yes")</f>
        <v>Yes</v>
      </c>
      <c r="H590" s="5" t="str">
        <f>IFERROR(__xludf.DUMMYFUNCTION("""COMPUTED_VALUE"""),"Yes")</f>
        <v>Yes</v>
      </c>
      <c r="I590" s="5" t="str">
        <f>IFERROR(__xludf.DUMMYFUNCTION("""COMPUTED_VALUE"""),"Yes")</f>
        <v>Yes</v>
      </c>
      <c r="J590" s="5" t="str">
        <f>IFERROR(__xludf.DUMMYFUNCTION("""COMPUTED_VALUE"""),"Yes")</f>
        <v>Yes</v>
      </c>
      <c r="K590" s="5" t="str">
        <f>IFERROR(__xludf.DUMMYFUNCTION("""COMPUTED_VALUE"""),"Yes")</f>
        <v>Yes</v>
      </c>
      <c r="L590" s="5" t="str">
        <f>IFERROR(__xludf.DUMMYFUNCTION("""COMPUTED_VALUE"""),"Yes")</f>
        <v>Yes</v>
      </c>
      <c r="M590" s="5" t="str">
        <f>IFERROR(__xludf.DUMMYFUNCTION("""COMPUTED_VALUE"""),"Yes")</f>
        <v>Yes</v>
      </c>
      <c r="N590" s="5" t="str">
        <f>IFERROR(__xludf.DUMMYFUNCTION("""COMPUTED_VALUE"""),"Yes")</f>
        <v>Yes</v>
      </c>
      <c r="O590" s="5" t="str">
        <f>IFERROR(__xludf.DUMMYFUNCTION("""COMPUTED_VALUE"""),"Yes")</f>
        <v>Yes</v>
      </c>
      <c r="P590" s="5" t="str">
        <f>IFERROR(__xludf.DUMMYFUNCTION("""COMPUTED_VALUE"""),"Yes")</f>
        <v>Yes</v>
      </c>
      <c r="Q590" s="5" t="str">
        <f>IFERROR(__xludf.DUMMYFUNCTION("""COMPUTED_VALUE"""),"Yes")</f>
        <v>Yes</v>
      </c>
      <c r="R590" s="5" t="str">
        <f>IFERROR(__xludf.DUMMYFUNCTION("""COMPUTED_VALUE"""),"Yes")</f>
        <v>Yes</v>
      </c>
      <c r="S590" s="5" t="str">
        <f>IFERROR(__xludf.DUMMYFUNCTION("""COMPUTED_VALUE"""),"Yes")</f>
        <v>Yes</v>
      </c>
      <c r="T590" s="5" t="str">
        <f>IFERROR(__xludf.DUMMYFUNCTION("""COMPUTED_VALUE"""),"Yes")</f>
        <v>Yes</v>
      </c>
      <c r="U590" s="5" t="str">
        <f>IFERROR(__xludf.DUMMYFUNCTION("""COMPUTED_VALUE"""),"Yes")</f>
        <v>Yes</v>
      </c>
      <c r="V590" s="5" t="str">
        <f>IFERROR(__xludf.DUMMYFUNCTION("""COMPUTED_VALUE"""),"Yes")</f>
        <v>Yes</v>
      </c>
      <c r="W590" s="5" t="str">
        <f>IFERROR(__xludf.DUMMYFUNCTION("""COMPUTED_VALUE"""),"Yes")</f>
        <v>Yes</v>
      </c>
      <c r="X590" s="5" t="str">
        <f>IFERROR(__xludf.DUMMYFUNCTION("""COMPUTED_VALUE"""),"Yes")</f>
        <v>Yes</v>
      </c>
      <c r="Y590" s="5" t="str">
        <f>IFERROR(__xludf.DUMMYFUNCTION("""COMPUTED_VALUE"""),"Yes")</f>
        <v>Yes</v>
      </c>
      <c r="Z590" s="5" t="str">
        <f>IFERROR(__xludf.DUMMYFUNCTION("""COMPUTED_VALUE"""),"Yes")</f>
        <v>Yes</v>
      </c>
      <c r="AA590" s="5" t="str">
        <f>IFERROR(__xludf.DUMMYFUNCTION("""COMPUTED_VALUE"""),"Yes")</f>
        <v>Yes</v>
      </c>
      <c r="AB590" s="5" t="str">
        <f>IFERROR(__xludf.DUMMYFUNCTION("""COMPUTED_VALUE"""),"Yes")</f>
        <v>Yes</v>
      </c>
      <c r="AC590" s="5" t="str">
        <f>IFERROR(__xludf.DUMMYFUNCTION("""COMPUTED_VALUE"""),"No")</f>
        <v>No</v>
      </c>
    </row>
    <row r="591">
      <c r="A591" s="5" t="str">
        <f>IFERROR(__xludf.DUMMYFUNCTION("""COMPUTED_VALUE"""),"GigaHot40FreeSpins")</f>
        <v>GigaHot40FreeSpins</v>
      </c>
      <c r="B59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1" s="5" t="str">
        <f>IFERROR(__xludf.DUMMYFUNCTION("""COMPUTED_VALUE"""),"Yes")</f>
        <v>Yes</v>
      </c>
      <c r="D591" s="5" t="str">
        <f>IFERROR(__xludf.DUMMYFUNCTION("""COMPUTED_VALUE"""),"Yes")</f>
        <v>Yes</v>
      </c>
      <c r="E591" s="5" t="str">
        <f>IFERROR(__xludf.DUMMYFUNCTION("""COMPUTED_VALUE"""),"Yes")</f>
        <v>Yes</v>
      </c>
      <c r="F591" s="5" t="str">
        <f>IFERROR(__xludf.DUMMYFUNCTION("""COMPUTED_VALUE"""),"Yes")</f>
        <v>Yes</v>
      </c>
      <c r="G591" s="5" t="str">
        <f>IFERROR(__xludf.DUMMYFUNCTION("""COMPUTED_VALUE"""),"Yes")</f>
        <v>Yes</v>
      </c>
      <c r="H591" s="5" t="str">
        <f>IFERROR(__xludf.DUMMYFUNCTION("""COMPUTED_VALUE"""),"Yes")</f>
        <v>Yes</v>
      </c>
      <c r="I591" s="5" t="str">
        <f>IFERROR(__xludf.DUMMYFUNCTION("""COMPUTED_VALUE"""),"Yes")</f>
        <v>Yes</v>
      </c>
      <c r="J591" s="5" t="str">
        <f>IFERROR(__xludf.DUMMYFUNCTION("""COMPUTED_VALUE"""),"Yes")</f>
        <v>Yes</v>
      </c>
      <c r="K591" s="5" t="str">
        <f>IFERROR(__xludf.DUMMYFUNCTION("""COMPUTED_VALUE"""),"Yes")</f>
        <v>Yes</v>
      </c>
      <c r="L591" s="5" t="str">
        <f>IFERROR(__xludf.DUMMYFUNCTION("""COMPUTED_VALUE"""),"Yes")</f>
        <v>Yes</v>
      </c>
      <c r="M591" s="5" t="str">
        <f>IFERROR(__xludf.DUMMYFUNCTION("""COMPUTED_VALUE"""),"Yes")</f>
        <v>Yes</v>
      </c>
      <c r="N591" s="5" t="str">
        <f>IFERROR(__xludf.DUMMYFUNCTION("""COMPUTED_VALUE"""),"Yes")</f>
        <v>Yes</v>
      </c>
      <c r="O591" s="5" t="str">
        <f>IFERROR(__xludf.DUMMYFUNCTION("""COMPUTED_VALUE"""),"Yes")</f>
        <v>Yes</v>
      </c>
      <c r="P591" s="5" t="str">
        <f>IFERROR(__xludf.DUMMYFUNCTION("""COMPUTED_VALUE"""),"Yes")</f>
        <v>Yes</v>
      </c>
      <c r="Q591" s="5" t="str">
        <f>IFERROR(__xludf.DUMMYFUNCTION("""COMPUTED_VALUE"""),"Yes")</f>
        <v>Yes</v>
      </c>
      <c r="R591" s="5" t="str">
        <f>IFERROR(__xludf.DUMMYFUNCTION("""COMPUTED_VALUE"""),"Yes")</f>
        <v>Yes</v>
      </c>
      <c r="S591" s="5" t="str">
        <f>IFERROR(__xludf.DUMMYFUNCTION("""COMPUTED_VALUE"""),"Yes")</f>
        <v>Yes</v>
      </c>
      <c r="T591" s="5" t="str">
        <f>IFERROR(__xludf.DUMMYFUNCTION("""COMPUTED_VALUE"""),"Yes")</f>
        <v>Yes</v>
      </c>
      <c r="U591" s="5" t="str">
        <f>IFERROR(__xludf.DUMMYFUNCTION("""COMPUTED_VALUE"""),"Yes")</f>
        <v>Yes</v>
      </c>
      <c r="V591" s="5" t="str">
        <f>IFERROR(__xludf.DUMMYFUNCTION("""COMPUTED_VALUE"""),"Yes")</f>
        <v>Yes</v>
      </c>
      <c r="W591" s="5" t="str">
        <f>IFERROR(__xludf.DUMMYFUNCTION("""COMPUTED_VALUE"""),"Yes")</f>
        <v>Yes</v>
      </c>
      <c r="X591" s="5" t="str">
        <f>IFERROR(__xludf.DUMMYFUNCTION("""COMPUTED_VALUE"""),"Yes")</f>
        <v>Yes</v>
      </c>
      <c r="Y591" s="5" t="str">
        <f>IFERROR(__xludf.DUMMYFUNCTION("""COMPUTED_VALUE"""),"Yes")</f>
        <v>Yes</v>
      </c>
      <c r="Z591" s="5" t="str">
        <f>IFERROR(__xludf.DUMMYFUNCTION("""COMPUTED_VALUE"""),"Yes")</f>
        <v>Yes</v>
      </c>
      <c r="AA591" s="5" t="str">
        <f>IFERROR(__xludf.DUMMYFUNCTION("""COMPUTED_VALUE"""),"Yes")</f>
        <v>Yes</v>
      </c>
      <c r="AB591" s="5" t="str">
        <f>IFERROR(__xludf.DUMMYFUNCTION("""COMPUTED_VALUE"""),"Yes")</f>
        <v>Yes</v>
      </c>
      <c r="AC591" s="5" t="str">
        <f>IFERROR(__xludf.DUMMYFUNCTION("""COMPUTED_VALUE"""),"No")</f>
        <v>No</v>
      </c>
    </row>
    <row r="592">
      <c r="A592" s="5" t="str">
        <f>IFERROR(__xludf.DUMMYFUNCTION("""COMPUTED_VALUE"""),"TBD")</f>
        <v>TBD</v>
      </c>
      <c r="B592" s="5" t="str">
        <f>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92" s="5" t="str">
        <f>IFERROR(__xludf.DUMMYFUNCTION("""COMPUTED_VALUE"""),"Yes")</f>
        <v>Yes</v>
      </c>
      <c r="D592" s="5" t="str">
        <f>IFERROR(__xludf.DUMMYFUNCTION("""COMPUTED_VALUE"""),"Yes")</f>
        <v>Yes</v>
      </c>
      <c r="E592" s="5" t="str">
        <f>IFERROR(__xludf.DUMMYFUNCTION("""COMPUTED_VALUE"""),"Yes")</f>
        <v>Yes</v>
      </c>
      <c r="F592" s="5"/>
      <c r="G592" s="5"/>
      <c r="H592" s="5"/>
      <c r="I592" s="5"/>
      <c r="J592" s="5"/>
      <c r="K592" s="5" t="str">
        <f>IFERROR(__xludf.DUMMYFUNCTION("""COMPUTED_VALUE"""),"Yes")</f>
        <v>Yes</v>
      </c>
      <c r="L592" s="5" t="str">
        <f>IFERROR(__xludf.DUMMYFUNCTION("""COMPUTED_VALUE"""),"Yes")</f>
        <v>Yes</v>
      </c>
      <c r="M592" s="5" t="str">
        <f>IFERROR(__xludf.DUMMYFUNCTION("""COMPUTED_VALUE"""),"Yes")</f>
        <v>Yes</v>
      </c>
      <c r="N592" s="5" t="str">
        <f>IFERROR(__xludf.DUMMYFUNCTION("""COMPUTED_VALUE"""),"Yes")</f>
        <v>Yes</v>
      </c>
      <c r="O592" s="5" t="str">
        <f>IFERROR(__xludf.DUMMYFUNCTION("""COMPUTED_VALUE"""),"Yes")</f>
        <v>Yes</v>
      </c>
      <c r="P592" s="5"/>
      <c r="Q592" s="5" t="str">
        <f>IFERROR(__xludf.DUMMYFUNCTION("""COMPUTED_VALUE"""),"Yes")</f>
        <v>Yes</v>
      </c>
      <c r="R592" s="5"/>
      <c r="S592" s="5"/>
      <c r="T592" s="5"/>
      <c r="U592" s="5"/>
      <c r="V592" s="5"/>
      <c r="W592" s="5"/>
      <c r="X592" s="5" t="str">
        <f>IFERROR(__xludf.DUMMYFUNCTION("""COMPUTED_VALUE"""),"Yes")</f>
        <v>Yes</v>
      </c>
      <c r="Y592" s="5"/>
      <c r="Z592" s="5"/>
      <c r="AA592" s="5"/>
      <c r="AB592" s="5" t="str">
        <f>IFERROR(__xludf.DUMMYFUNCTION("""COMPUTED_VALUE"""),"Yes")</f>
        <v>Yes</v>
      </c>
      <c r="AC592" s="5" t="str">
        <f>IFERROR(__xludf.DUMMYFUNCTION("""COMPUTED_VALUE"""),"Yes")</f>
        <v>Yes</v>
      </c>
    </row>
    <row r="593">
      <c r="A593" s="5" t="str">
        <f>IFERROR(__xludf.DUMMYFUNCTION("""COMPUTED_VALUE"""),"VeryHot5ChristmasBooster")</f>
        <v>VeryHot5ChristmasBooster</v>
      </c>
      <c r="B59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3" s="5" t="str">
        <f>IFERROR(__xludf.DUMMYFUNCTION("""COMPUTED_VALUE"""),"Yes")</f>
        <v>Yes</v>
      </c>
      <c r="D593" s="5" t="str">
        <f>IFERROR(__xludf.DUMMYFUNCTION("""COMPUTED_VALUE"""),"Yes")</f>
        <v>Yes</v>
      </c>
      <c r="E593" s="5" t="str">
        <f>IFERROR(__xludf.DUMMYFUNCTION("""COMPUTED_VALUE"""),"Yes")</f>
        <v>Yes</v>
      </c>
      <c r="F593" s="5" t="str">
        <f>IFERROR(__xludf.DUMMYFUNCTION("""COMPUTED_VALUE"""),"Yes")</f>
        <v>Yes</v>
      </c>
      <c r="G593" s="5" t="str">
        <f>IFERROR(__xludf.DUMMYFUNCTION("""COMPUTED_VALUE"""),"Yes")</f>
        <v>Yes</v>
      </c>
      <c r="H593" s="5" t="str">
        <f>IFERROR(__xludf.DUMMYFUNCTION("""COMPUTED_VALUE"""),"Yes")</f>
        <v>Yes</v>
      </c>
      <c r="I593" s="5" t="str">
        <f>IFERROR(__xludf.DUMMYFUNCTION("""COMPUTED_VALUE"""),"Yes")</f>
        <v>Yes</v>
      </c>
      <c r="J593" s="5" t="str">
        <f>IFERROR(__xludf.DUMMYFUNCTION("""COMPUTED_VALUE"""),"Yes")</f>
        <v>Yes</v>
      </c>
      <c r="K593" s="5" t="str">
        <f>IFERROR(__xludf.DUMMYFUNCTION("""COMPUTED_VALUE"""),"Yes")</f>
        <v>Yes</v>
      </c>
      <c r="L593" s="5" t="str">
        <f>IFERROR(__xludf.DUMMYFUNCTION("""COMPUTED_VALUE"""),"Yes")</f>
        <v>Yes</v>
      </c>
      <c r="M593" s="5" t="str">
        <f>IFERROR(__xludf.DUMMYFUNCTION("""COMPUTED_VALUE"""),"Yes")</f>
        <v>Yes</v>
      </c>
      <c r="N593" s="5" t="str">
        <f>IFERROR(__xludf.DUMMYFUNCTION("""COMPUTED_VALUE"""),"Yes")</f>
        <v>Yes</v>
      </c>
      <c r="O593" s="5" t="str">
        <f>IFERROR(__xludf.DUMMYFUNCTION("""COMPUTED_VALUE"""),"Yes")</f>
        <v>Yes</v>
      </c>
      <c r="P593" s="5" t="str">
        <f>IFERROR(__xludf.DUMMYFUNCTION("""COMPUTED_VALUE"""),"Yes")</f>
        <v>Yes</v>
      </c>
      <c r="Q593" s="5" t="str">
        <f>IFERROR(__xludf.DUMMYFUNCTION("""COMPUTED_VALUE"""),"Yes")</f>
        <v>Yes</v>
      </c>
      <c r="R593" s="5" t="str">
        <f>IFERROR(__xludf.DUMMYFUNCTION("""COMPUTED_VALUE"""),"Yes")</f>
        <v>Yes</v>
      </c>
      <c r="S593" s="5" t="str">
        <f>IFERROR(__xludf.DUMMYFUNCTION("""COMPUTED_VALUE"""),"Yes")</f>
        <v>Yes</v>
      </c>
      <c r="T593" s="5" t="str">
        <f>IFERROR(__xludf.DUMMYFUNCTION("""COMPUTED_VALUE"""),"Yes")</f>
        <v>Yes</v>
      </c>
      <c r="U593" s="5" t="str">
        <f>IFERROR(__xludf.DUMMYFUNCTION("""COMPUTED_VALUE"""),"Yes")</f>
        <v>Yes</v>
      </c>
      <c r="V593" s="5" t="str">
        <f>IFERROR(__xludf.DUMMYFUNCTION("""COMPUTED_VALUE"""),"Yes")</f>
        <v>Yes</v>
      </c>
      <c r="W593" s="5" t="str">
        <f>IFERROR(__xludf.DUMMYFUNCTION("""COMPUTED_VALUE"""),"Yes")</f>
        <v>Yes</v>
      </c>
      <c r="X593" s="5" t="str">
        <f>IFERROR(__xludf.DUMMYFUNCTION("""COMPUTED_VALUE"""),"Yes")</f>
        <v>Yes</v>
      </c>
      <c r="Y593" s="5" t="str">
        <f>IFERROR(__xludf.DUMMYFUNCTION("""COMPUTED_VALUE"""),"Yes")</f>
        <v>Yes</v>
      </c>
      <c r="Z593" s="5" t="str">
        <f>IFERROR(__xludf.DUMMYFUNCTION("""COMPUTED_VALUE"""),"Yes")</f>
        <v>Yes</v>
      </c>
      <c r="AA593" s="5" t="str">
        <f>IFERROR(__xludf.DUMMYFUNCTION("""COMPUTED_VALUE"""),"Yes")</f>
        <v>Yes</v>
      </c>
      <c r="AB593" s="5" t="str">
        <f>IFERROR(__xludf.DUMMYFUNCTION("""COMPUTED_VALUE"""),"Yes")</f>
        <v>Yes</v>
      </c>
      <c r="AC593" s="5" t="str">
        <f>IFERROR(__xludf.DUMMYFUNCTION("""COMPUTED_VALUE"""),"No")</f>
        <v>No</v>
      </c>
    </row>
    <row r="594">
      <c r="A594" s="5" t="str">
        <f>IFERROR(__xludf.DUMMYFUNCTION("""COMPUTED_VALUE"""),"TBD")</f>
        <v>TBD</v>
      </c>
      <c r="B594" s="5" t="str">
        <f>IFERROR(__xludf.DUMMYFUNCTION("""COMPUTED_VALUE"""),"Social English(""sen"")")</f>
        <v>Social English("sen")</v>
      </c>
      <c r="C594" s="5"/>
      <c r="D594" s="5"/>
      <c r="E594" s="5"/>
      <c r="F594" s="5"/>
      <c r="G594" s="5"/>
      <c r="H594" s="5"/>
      <c r="I594" s="5"/>
      <c r="J594" s="5"/>
      <c r="K594" s="5"/>
      <c r="L594" s="5"/>
      <c r="M594" s="5"/>
      <c r="N594" s="5"/>
      <c r="O594" s="5"/>
      <c r="P594" s="5"/>
      <c r="Q594" s="5"/>
      <c r="R594" s="5"/>
      <c r="S594" s="5"/>
      <c r="T594" s="5"/>
      <c r="U594" s="5"/>
      <c r="V594" s="5"/>
      <c r="W594" s="5" t="str">
        <f>IFERROR(__xludf.DUMMYFUNCTION("""COMPUTED_VALUE"""),"Yes")</f>
        <v>Yes</v>
      </c>
      <c r="X594" s="5"/>
      <c r="Y594" s="5"/>
      <c r="Z594" s="5"/>
      <c r="AA594" s="5"/>
      <c r="AB594" s="5"/>
      <c r="AC594" s="5"/>
    </row>
    <row r="595">
      <c r="A595" s="5" t="str">
        <f>IFERROR(__xludf.DUMMYFUNCTION("""COMPUTED_VALUE"""),"TaxiRush")</f>
        <v>TaxiRush</v>
      </c>
      <c r="B59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5" s="5" t="str">
        <f>IFERROR(__xludf.DUMMYFUNCTION("""COMPUTED_VALUE"""),"Yes")</f>
        <v>Yes</v>
      </c>
      <c r="D595" s="5" t="str">
        <f>IFERROR(__xludf.DUMMYFUNCTION("""COMPUTED_VALUE"""),"Yes")</f>
        <v>Yes</v>
      </c>
      <c r="E595" s="5" t="str">
        <f>IFERROR(__xludf.DUMMYFUNCTION("""COMPUTED_VALUE"""),"Yes")</f>
        <v>Yes</v>
      </c>
      <c r="F595" s="5" t="str">
        <f>IFERROR(__xludf.DUMMYFUNCTION("""COMPUTED_VALUE"""),"Yes")</f>
        <v>Yes</v>
      </c>
      <c r="G595" s="5" t="str">
        <f>IFERROR(__xludf.DUMMYFUNCTION("""COMPUTED_VALUE"""),"Yes")</f>
        <v>Yes</v>
      </c>
      <c r="H595" s="5" t="str">
        <f>IFERROR(__xludf.DUMMYFUNCTION("""COMPUTED_VALUE"""),"Yes")</f>
        <v>Yes</v>
      </c>
      <c r="I595" s="5" t="str">
        <f>IFERROR(__xludf.DUMMYFUNCTION("""COMPUTED_VALUE"""),"Yes")</f>
        <v>Yes</v>
      </c>
      <c r="J595" s="5" t="str">
        <f>IFERROR(__xludf.DUMMYFUNCTION("""COMPUTED_VALUE"""),"Yes")</f>
        <v>Yes</v>
      </c>
      <c r="K595" s="5" t="str">
        <f>IFERROR(__xludf.DUMMYFUNCTION("""COMPUTED_VALUE"""),"Yes")</f>
        <v>Yes</v>
      </c>
      <c r="L595" s="5" t="str">
        <f>IFERROR(__xludf.DUMMYFUNCTION("""COMPUTED_VALUE"""),"Yes")</f>
        <v>Yes</v>
      </c>
      <c r="M595" s="5" t="str">
        <f>IFERROR(__xludf.DUMMYFUNCTION("""COMPUTED_VALUE"""),"Yes")</f>
        <v>Yes</v>
      </c>
      <c r="N595" s="5" t="str">
        <f>IFERROR(__xludf.DUMMYFUNCTION("""COMPUTED_VALUE"""),"Yes")</f>
        <v>Yes</v>
      </c>
      <c r="O595" s="5" t="str">
        <f>IFERROR(__xludf.DUMMYFUNCTION("""COMPUTED_VALUE"""),"Yes")</f>
        <v>Yes</v>
      </c>
      <c r="P595" s="5" t="str">
        <f>IFERROR(__xludf.DUMMYFUNCTION("""COMPUTED_VALUE"""),"Yes")</f>
        <v>Yes</v>
      </c>
      <c r="Q595" s="5" t="str">
        <f>IFERROR(__xludf.DUMMYFUNCTION("""COMPUTED_VALUE"""),"Yes")</f>
        <v>Yes</v>
      </c>
      <c r="R595" s="5" t="str">
        <f>IFERROR(__xludf.DUMMYFUNCTION("""COMPUTED_VALUE"""),"Yes")</f>
        <v>Yes</v>
      </c>
      <c r="S595" s="5" t="str">
        <f>IFERROR(__xludf.DUMMYFUNCTION("""COMPUTED_VALUE"""),"Yes")</f>
        <v>Yes</v>
      </c>
      <c r="T595" s="5" t="str">
        <f>IFERROR(__xludf.DUMMYFUNCTION("""COMPUTED_VALUE"""),"Yes")</f>
        <v>Yes</v>
      </c>
      <c r="U595" s="5" t="str">
        <f>IFERROR(__xludf.DUMMYFUNCTION("""COMPUTED_VALUE"""),"Yes")</f>
        <v>Yes</v>
      </c>
      <c r="V595" s="5" t="str">
        <f>IFERROR(__xludf.DUMMYFUNCTION("""COMPUTED_VALUE"""),"Yes")</f>
        <v>Yes</v>
      </c>
      <c r="W595" s="5" t="str">
        <f>IFERROR(__xludf.DUMMYFUNCTION("""COMPUTED_VALUE"""),"Yes")</f>
        <v>Yes</v>
      </c>
      <c r="X595" s="5" t="str">
        <f>IFERROR(__xludf.DUMMYFUNCTION("""COMPUTED_VALUE"""),"Yes")</f>
        <v>Yes</v>
      </c>
      <c r="Y595" s="5" t="str">
        <f>IFERROR(__xludf.DUMMYFUNCTION("""COMPUTED_VALUE"""),"Yes")</f>
        <v>Yes</v>
      </c>
      <c r="Z595" s="5" t="str">
        <f>IFERROR(__xludf.DUMMYFUNCTION("""COMPUTED_VALUE"""),"Yes")</f>
        <v>Yes</v>
      </c>
      <c r="AA595" s="5" t="str">
        <f>IFERROR(__xludf.DUMMYFUNCTION("""COMPUTED_VALUE"""),"Yes")</f>
        <v>Yes</v>
      </c>
      <c r="AB595" s="5" t="str">
        <f>IFERROR(__xludf.DUMMYFUNCTION("""COMPUTED_VALUE"""),"Yes")</f>
        <v>Yes</v>
      </c>
      <c r="AC595" s="5" t="str">
        <f>IFERROR(__xludf.DUMMYFUNCTION("""COMPUTED_VALUE"""),"No")</f>
        <v>No</v>
      </c>
    </row>
    <row r="596">
      <c r="A596" s="5" t="str">
        <f>IFERROR(__xludf.DUMMYFUNCTION("""COMPUTED_VALUE"""),"WildHot40HoldAndWin")</f>
        <v>WildHot40HoldAndWin</v>
      </c>
      <c r="B59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6" s="5" t="str">
        <f>IFERROR(__xludf.DUMMYFUNCTION("""COMPUTED_VALUE"""),"Yes")</f>
        <v>Yes</v>
      </c>
      <c r="D596" s="5" t="str">
        <f>IFERROR(__xludf.DUMMYFUNCTION("""COMPUTED_VALUE"""),"Yes")</f>
        <v>Yes</v>
      </c>
      <c r="E596" s="5" t="str">
        <f>IFERROR(__xludf.DUMMYFUNCTION("""COMPUTED_VALUE"""),"Yes")</f>
        <v>Yes</v>
      </c>
      <c r="F596" s="5" t="str">
        <f>IFERROR(__xludf.DUMMYFUNCTION("""COMPUTED_VALUE"""),"Yes")</f>
        <v>Yes</v>
      </c>
      <c r="G596" s="5" t="str">
        <f>IFERROR(__xludf.DUMMYFUNCTION("""COMPUTED_VALUE"""),"Yes")</f>
        <v>Yes</v>
      </c>
      <c r="H596" s="5" t="str">
        <f>IFERROR(__xludf.DUMMYFUNCTION("""COMPUTED_VALUE"""),"Yes")</f>
        <v>Yes</v>
      </c>
      <c r="I596" s="5" t="str">
        <f>IFERROR(__xludf.DUMMYFUNCTION("""COMPUTED_VALUE"""),"Yes")</f>
        <v>Yes</v>
      </c>
      <c r="J596" s="5" t="str">
        <f>IFERROR(__xludf.DUMMYFUNCTION("""COMPUTED_VALUE"""),"Yes")</f>
        <v>Yes</v>
      </c>
      <c r="K596" s="5" t="str">
        <f>IFERROR(__xludf.DUMMYFUNCTION("""COMPUTED_VALUE"""),"Yes")</f>
        <v>Yes</v>
      </c>
      <c r="L596" s="5" t="str">
        <f>IFERROR(__xludf.DUMMYFUNCTION("""COMPUTED_VALUE"""),"Yes")</f>
        <v>Yes</v>
      </c>
      <c r="M596" s="5" t="str">
        <f>IFERROR(__xludf.DUMMYFUNCTION("""COMPUTED_VALUE"""),"Yes")</f>
        <v>Yes</v>
      </c>
      <c r="N596" s="5" t="str">
        <f>IFERROR(__xludf.DUMMYFUNCTION("""COMPUTED_VALUE"""),"Yes")</f>
        <v>Yes</v>
      </c>
      <c r="O596" s="5" t="str">
        <f>IFERROR(__xludf.DUMMYFUNCTION("""COMPUTED_VALUE"""),"Yes")</f>
        <v>Yes</v>
      </c>
      <c r="P596" s="5" t="str">
        <f>IFERROR(__xludf.DUMMYFUNCTION("""COMPUTED_VALUE"""),"Yes")</f>
        <v>Yes</v>
      </c>
      <c r="Q596" s="5" t="str">
        <f>IFERROR(__xludf.DUMMYFUNCTION("""COMPUTED_VALUE"""),"Yes")</f>
        <v>Yes</v>
      </c>
      <c r="R596" s="5" t="str">
        <f>IFERROR(__xludf.DUMMYFUNCTION("""COMPUTED_VALUE"""),"Yes")</f>
        <v>Yes</v>
      </c>
      <c r="S596" s="5" t="str">
        <f>IFERROR(__xludf.DUMMYFUNCTION("""COMPUTED_VALUE"""),"Yes")</f>
        <v>Yes</v>
      </c>
      <c r="T596" s="5" t="str">
        <f>IFERROR(__xludf.DUMMYFUNCTION("""COMPUTED_VALUE"""),"Yes")</f>
        <v>Yes</v>
      </c>
      <c r="U596" s="5" t="str">
        <f>IFERROR(__xludf.DUMMYFUNCTION("""COMPUTED_VALUE"""),"Yes")</f>
        <v>Yes</v>
      </c>
      <c r="V596" s="5" t="str">
        <f>IFERROR(__xludf.DUMMYFUNCTION("""COMPUTED_VALUE"""),"Yes")</f>
        <v>Yes</v>
      </c>
      <c r="W596" s="5" t="str">
        <f>IFERROR(__xludf.DUMMYFUNCTION("""COMPUTED_VALUE"""),"Yes")</f>
        <v>Yes</v>
      </c>
      <c r="X596" s="5" t="str">
        <f>IFERROR(__xludf.DUMMYFUNCTION("""COMPUTED_VALUE"""),"Yes")</f>
        <v>Yes</v>
      </c>
      <c r="Y596" s="5" t="str">
        <f>IFERROR(__xludf.DUMMYFUNCTION("""COMPUTED_VALUE"""),"Yes")</f>
        <v>Yes</v>
      </c>
      <c r="Z596" s="5" t="str">
        <f>IFERROR(__xludf.DUMMYFUNCTION("""COMPUTED_VALUE"""),"Yes")</f>
        <v>Yes</v>
      </c>
      <c r="AA596" s="5" t="str">
        <f>IFERROR(__xludf.DUMMYFUNCTION("""COMPUTED_VALUE"""),"Yes")</f>
        <v>Yes</v>
      </c>
      <c r="AB596" s="5" t="str">
        <f>IFERROR(__xludf.DUMMYFUNCTION("""COMPUTED_VALUE"""),"Yes")</f>
        <v>Yes</v>
      </c>
      <c r="AC596" s="5" t="str">
        <f>IFERROR(__xludf.DUMMYFUNCTION("""COMPUTED_VALUE"""),"No")</f>
        <v>No</v>
      </c>
    </row>
    <row r="597">
      <c r="A597" s="5" t="str">
        <f>IFERROR(__xludf.DUMMYFUNCTION("""COMPUTED_VALUE"""),"TBD")</f>
        <v>TBD</v>
      </c>
      <c r="B597" s="5" t="str">
        <f>IFERROR(__xludf.DUMMYFUNCTION("""COMPUTED_VALUE"""),"")</f>
        <v/>
      </c>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row>
    <row r="598">
      <c r="A598" s="5" t="str">
        <f>IFERROR(__xludf.DUMMYFUNCTION("""COMPUTED_VALUE"""),"WildHot40BlowBooster")</f>
        <v>WildHot40BlowBooster</v>
      </c>
      <c r="B59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8" s="5" t="str">
        <f>IFERROR(__xludf.DUMMYFUNCTION("""COMPUTED_VALUE"""),"Yes")</f>
        <v>Yes</v>
      </c>
      <c r="D598" s="5" t="str">
        <f>IFERROR(__xludf.DUMMYFUNCTION("""COMPUTED_VALUE"""),"Yes")</f>
        <v>Yes</v>
      </c>
      <c r="E598" s="5" t="str">
        <f>IFERROR(__xludf.DUMMYFUNCTION("""COMPUTED_VALUE"""),"Yes")</f>
        <v>Yes</v>
      </c>
      <c r="F598" s="5" t="str">
        <f>IFERROR(__xludf.DUMMYFUNCTION("""COMPUTED_VALUE"""),"Yes")</f>
        <v>Yes</v>
      </c>
      <c r="G598" s="5" t="str">
        <f>IFERROR(__xludf.DUMMYFUNCTION("""COMPUTED_VALUE"""),"Yes")</f>
        <v>Yes</v>
      </c>
      <c r="H598" s="5" t="str">
        <f>IFERROR(__xludf.DUMMYFUNCTION("""COMPUTED_VALUE"""),"Yes")</f>
        <v>Yes</v>
      </c>
      <c r="I598" s="5" t="str">
        <f>IFERROR(__xludf.DUMMYFUNCTION("""COMPUTED_VALUE"""),"Yes")</f>
        <v>Yes</v>
      </c>
      <c r="J598" s="5" t="str">
        <f>IFERROR(__xludf.DUMMYFUNCTION("""COMPUTED_VALUE"""),"Yes")</f>
        <v>Yes</v>
      </c>
      <c r="K598" s="5" t="str">
        <f>IFERROR(__xludf.DUMMYFUNCTION("""COMPUTED_VALUE"""),"Yes")</f>
        <v>Yes</v>
      </c>
      <c r="L598" s="5" t="str">
        <f>IFERROR(__xludf.DUMMYFUNCTION("""COMPUTED_VALUE"""),"Yes")</f>
        <v>Yes</v>
      </c>
      <c r="M598" s="5" t="str">
        <f>IFERROR(__xludf.DUMMYFUNCTION("""COMPUTED_VALUE"""),"Yes")</f>
        <v>Yes</v>
      </c>
      <c r="N598" s="5" t="str">
        <f>IFERROR(__xludf.DUMMYFUNCTION("""COMPUTED_VALUE"""),"Yes")</f>
        <v>Yes</v>
      </c>
      <c r="O598" s="5" t="str">
        <f>IFERROR(__xludf.DUMMYFUNCTION("""COMPUTED_VALUE"""),"Yes")</f>
        <v>Yes</v>
      </c>
      <c r="P598" s="5" t="str">
        <f>IFERROR(__xludf.DUMMYFUNCTION("""COMPUTED_VALUE"""),"Yes")</f>
        <v>Yes</v>
      </c>
      <c r="Q598" s="5" t="str">
        <f>IFERROR(__xludf.DUMMYFUNCTION("""COMPUTED_VALUE"""),"Yes")</f>
        <v>Yes</v>
      </c>
      <c r="R598" s="5" t="str">
        <f>IFERROR(__xludf.DUMMYFUNCTION("""COMPUTED_VALUE"""),"Yes")</f>
        <v>Yes</v>
      </c>
      <c r="S598" s="5" t="str">
        <f>IFERROR(__xludf.DUMMYFUNCTION("""COMPUTED_VALUE"""),"Yes")</f>
        <v>Yes</v>
      </c>
      <c r="T598" s="5" t="str">
        <f>IFERROR(__xludf.DUMMYFUNCTION("""COMPUTED_VALUE"""),"Yes")</f>
        <v>Yes</v>
      </c>
      <c r="U598" s="5" t="str">
        <f>IFERROR(__xludf.DUMMYFUNCTION("""COMPUTED_VALUE"""),"Yes")</f>
        <v>Yes</v>
      </c>
      <c r="V598" s="5" t="str">
        <f>IFERROR(__xludf.DUMMYFUNCTION("""COMPUTED_VALUE"""),"Yes")</f>
        <v>Yes</v>
      </c>
      <c r="W598" s="5" t="str">
        <f>IFERROR(__xludf.DUMMYFUNCTION("""COMPUTED_VALUE"""),"Yes")</f>
        <v>Yes</v>
      </c>
      <c r="X598" s="5" t="str">
        <f>IFERROR(__xludf.DUMMYFUNCTION("""COMPUTED_VALUE"""),"Yes")</f>
        <v>Yes</v>
      </c>
      <c r="Y598" s="5" t="str">
        <f>IFERROR(__xludf.DUMMYFUNCTION("""COMPUTED_VALUE"""),"Yes")</f>
        <v>Yes</v>
      </c>
      <c r="Z598" s="5" t="str">
        <f>IFERROR(__xludf.DUMMYFUNCTION("""COMPUTED_VALUE"""),"Yes")</f>
        <v>Yes</v>
      </c>
      <c r="AA598" s="5" t="str">
        <f>IFERROR(__xludf.DUMMYFUNCTION("""COMPUTED_VALUE"""),"Yes")</f>
        <v>Yes</v>
      </c>
      <c r="AB598" s="5" t="str">
        <f>IFERROR(__xludf.DUMMYFUNCTION("""COMPUTED_VALUE"""),"Yes")</f>
        <v>Yes</v>
      </c>
      <c r="AC598" s="5" t="str">
        <f>IFERROR(__xludf.DUMMYFUNCTION("""COMPUTED_VALUE"""),"No")</f>
        <v>No</v>
      </c>
    </row>
    <row r="599">
      <c r="A599" s="5" t="str">
        <f>IFERROR(__xludf.DUMMYFUNCTION("""COMPUTED_VALUE"""),"bluff-and-bite")</f>
        <v>bluff-and-bite</v>
      </c>
      <c r="B59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Ukrainian("&amp;"""ukr""),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Ukrainian("ukr"), Bosnian("")</v>
      </c>
      <c r="C599" s="5" t="str">
        <f>IFERROR(__xludf.DUMMYFUNCTION("""COMPUTED_VALUE"""),"Yes")</f>
        <v>Yes</v>
      </c>
      <c r="D599" s="5" t="str">
        <f>IFERROR(__xludf.DUMMYFUNCTION("""COMPUTED_VALUE"""),"Yes")</f>
        <v>Yes</v>
      </c>
      <c r="E599" s="5" t="str">
        <f>IFERROR(__xludf.DUMMYFUNCTION("""COMPUTED_VALUE"""),"Yes")</f>
        <v>Yes</v>
      </c>
      <c r="F599" s="5" t="str">
        <f>IFERROR(__xludf.DUMMYFUNCTION("""COMPUTED_VALUE"""),"Yes")</f>
        <v>Yes</v>
      </c>
      <c r="G599" s="5" t="str">
        <f>IFERROR(__xludf.DUMMYFUNCTION("""COMPUTED_VALUE"""),"Yes")</f>
        <v>Yes</v>
      </c>
      <c r="H599" s="5" t="str">
        <f>IFERROR(__xludf.DUMMYFUNCTION("""COMPUTED_VALUE"""),"Yes")</f>
        <v>Yes</v>
      </c>
      <c r="I599" s="5" t="str">
        <f>IFERROR(__xludf.DUMMYFUNCTION("""COMPUTED_VALUE"""),"Yes")</f>
        <v>Yes</v>
      </c>
      <c r="J599" s="5" t="str">
        <f>IFERROR(__xludf.DUMMYFUNCTION("""COMPUTED_VALUE"""),"Yes")</f>
        <v>Yes</v>
      </c>
      <c r="K599" s="5" t="str">
        <f>IFERROR(__xludf.DUMMYFUNCTION("""COMPUTED_VALUE"""),"Yes")</f>
        <v>Yes</v>
      </c>
      <c r="L599" s="5" t="str">
        <f>IFERROR(__xludf.DUMMYFUNCTION("""COMPUTED_VALUE"""),"Yes")</f>
        <v>Yes</v>
      </c>
      <c r="M599" s="5" t="str">
        <f>IFERROR(__xludf.DUMMYFUNCTION("""COMPUTED_VALUE"""),"Yes")</f>
        <v>Yes</v>
      </c>
      <c r="N599" s="5" t="str">
        <f>IFERROR(__xludf.DUMMYFUNCTION("""COMPUTED_VALUE"""),"Yes")</f>
        <v>Yes</v>
      </c>
      <c r="O599" s="5" t="str">
        <f>IFERROR(__xludf.DUMMYFUNCTION("""COMPUTED_VALUE"""),"Yes")</f>
        <v>Yes</v>
      </c>
      <c r="P599" s="5" t="str">
        <f>IFERROR(__xludf.DUMMYFUNCTION("""COMPUTED_VALUE"""),"Yes")</f>
        <v>Yes</v>
      </c>
      <c r="Q599" s="5" t="str">
        <f>IFERROR(__xludf.DUMMYFUNCTION("""COMPUTED_VALUE"""),"Yes")</f>
        <v>Yes</v>
      </c>
      <c r="R599" s="5" t="str">
        <f>IFERROR(__xludf.DUMMYFUNCTION("""COMPUTED_VALUE"""),"Yes")</f>
        <v>Yes</v>
      </c>
      <c r="S599" s="5" t="str">
        <f>IFERROR(__xludf.DUMMYFUNCTION("""COMPUTED_VALUE"""),"Yes")</f>
        <v>Yes</v>
      </c>
      <c r="T599" s="5" t="str">
        <f>IFERROR(__xludf.DUMMYFUNCTION("""COMPUTED_VALUE"""),"Yes")</f>
        <v>Yes</v>
      </c>
      <c r="U599" s="5" t="str">
        <f>IFERROR(__xludf.DUMMYFUNCTION("""COMPUTED_VALUE"""),"Yes")</f>
        <v>Yes</v>
      </c>
      <c r="V599" s="5" t="str">
        <f>IFERROR(__xludf.DUMMYFUNCTION("""COMPUTED_VALUE"""),"Yes")</f>
        <v>Yes</v>
      </c>
      <c r="W599" s="5" t="str">
        <f>IFERROR(__xludf.DUMMYFUNCTION("""COMPUTED_VALUE"""),"Yes")</f>
        <v>Yes</v>
      </c>
      <c r="X599" s="5" t="str">
        <f>IFERROR(__xludf.DUMMYFUNCTION("""COMPUTED_VALUE"""),"Yes")</f>
        <v>Yes</v>
      </c>
      <c r="Y599" s="5" t="str">
        <f>IFERROR(__xludf.DUMMYFUNCTION("""COMPUTED_VALUE"""),"No")</f>
        <v>No</v>
      </c>
      <c r="Z599" s="5" t="str">
        <f>IFERROR(__xludf.DUMMYFUNCTION("""COMPUTED_VALUE"""),"Yes")</f>
        <v>Yes</v>
      </c>
      <c r="AA599" s="5" t="str">
        <f>IFERROR(__xludf.DUMMYFUNCTION("""COMPUTED_VALUE"""),"Yes")</f>
        <v>Yes</v>
      </c>
      <c r="AB599" s="5" t="str">
        <f>IFERROR(__xludf.DUMMYFUNCTION("""COMPUTED_VALUE"""),"Yes")</f>
        <v>Yes</v>
      </c>
      <c r="AC599" s="5" t="str">
        <f>IFERROR(__xludf.DUMMYFUNCTION("""COMPUTED_VALUE"""),"Yes")</f>
        <v>Yes</v>
      </c>
    </row>
    <row r="600">
      <c r="A600" s="5" t="str">
        <f>IFERROR(__xludf.DUMMYFUNCTION("""COMPUTED_VALUE"""),"royal-crown-delight")</f>
        <v>royal-crown-delight</v>
      </c>
      <c r="B600" s="5" t="str">
        <f>IFERROR(__xludf.DUMMYFUNCTION("""COMPUTED_VALUE"""),"")</f>
        <v/>
      </c>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row>
    <row r="601">
      <c r="A601" s="5" t="str">
        <f>IFERROR(__xludf.DUMMYFUNCTION("""COMPUTED_VALUE"""),"AdmiralBetBonusCrown")</f>
        <v>AdmiralBetBonusCrown</v>
      </c>
      <c r="B60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1" s="5" t="str">
        <f>IFERROR(__xludf.DUMMYFUNCTION("""COMPUTED_VALUE"""),"Yes")</f>
        <v>Yes</v>
      </c>
      <c r="D601" s="5" t="str">
        <f>IFERROR(__xludf.DUMMYFUNCTION("""COMPUTED_VALUE"""),"Yes")</f>
        <v>Yes</v>
      </c>
      <c r="E601" s="5" t="str">
        <f>IFERROR(__xludf.DUMMYFUNCTION("""COMPUTED_VALUE"""),"Yes")</f>
        <v>Yes</v>
      </c>
      <c r="F601" s="5" t="str">
        <f>IFERROR(__xludf.DUMMYFUNCTION("""COMPUTED_VALUE"""),"Yes")</f>
        <v>Yes</v>
      </c>
      <c r="G601" s="5" t="str">
        <f>IFERROR(__xludf.DUMMYFUNCTION("""COMPUTED_VALUE"""),"Yes")</f>
        <v>Yes</v>
      </c>
      <c r="H601" s="5" t="str">
        <f>IFERROR(__xludf.DUMMYFUNCTION("""COMPUTED_VALUE"""),"Yes")</f>
        <v>Yes</v>
      </c>
      <c r="I601" s="5" t="str">
        <f>IFERROR(__xludf.DUMMYFUNCTION("""COMPUTED_VALUE"""),"Yes")</f>
        <v>Yes</v>
      </c>
      <c r="J601" s="5" t="str">
        <f>IFERROR(__xludf.DUMMYFUNCTION("""COMPUTED_VALUE"""),"Yes")</f>
        <v>Yes</v>
      </c>
      <c r="K601" s="5" t="str">
        <f>IFERROR(__xludf.DUMMYFUNCTION("""COMPUTED_VALUE"""),"Yes")</f>
        <v>Yes</v>
      </c>
      <c r="L601" s="5" t="str">
        <f>IFERROR(__xludf.DUMMYFUNCTION("""COMPUTED_VALUE"""),"Yes")</f>
        <v>Yes</v>
      </c>
      <c r="M601" s="5" t="str">
        <f>IFERROR(__xludf.DUMMYFUNCTION("""COMPUTED_VALUE"""),"Yes")</f>
        <v>Yes</v>
      </c>
      <c r="N601" s="5" t="str">
        <f>IFERROR(__xludf.DUMMYFUNCTION("""COMPUTED_VALUE"""),"Yes")</f>
        <v>Yes</v>
      </c>
      <c r="O601" s="5" t="str">
        <f>IFERROR(__xludf.DUMMYFUNCTION("""COMPUTED_VALUE"""),"Yes")</f>
        <v>Yes</v>
      </c>
      <c r="P601" s="5" t="str">
        <f>IFERROR(__xludf.DUMMYFUNCTION("""COMPUTED_VALUE"""),"Yes")</f>
        <v>Yes</v>
      </c>
      <c r="Q601" s="5" t="str">
        <f>IFERROR(__xludf.DUMMYFUNCTION("""COMPUTED_VALUE"""),"Yes")</f>
        <v>Yes</v>
      </c>
      <c r="R601" s="5" t="str">
        <f>IFERROR(__xludf.DUMMYFUNCTION("""COMPUTED_VALUE"""),"Yes")</f>
        <v>Yes</v>
      </c>
      <c r="S601" s="5" t="str">
        <f>IFERROR(__xludf.DUMMYFUNCTION("""COMPUTED_VALUE"""),"Yes")</f>
        <v>Yes</v>
      </c>
      <c r="T601" s="5" t="str">
        <f>IFERROR(__xludf.DUMMYFUNCTION("""COMPUTED_VALUE"""),"Yes")</f>
        <v>Yes</v>
      </c>
      <c r="U601" s="5" t="str">
        <f>IFERROR(__xludf.DUMMYFUNCTION("""COMPUTED_VALUE"""),"Yes")</f>
        <v>Yes</v>
      </c>
      <c r="V601" s="5" t="str">
        <f>IFERROR(__xludf.DUMMYFUNCTION("""COMPUTED_VALUE"""),"Yes")</f>
        <v>Yes</v>
      </c>
      <c r="W601" s="5" t="str">
        <f>IFERROR(__xludf.DUMMYFUNCTION("""COMPUTED_VALUE"""),"Yes")</f>
        <v>Yes</v>
      </c>
      <c r="X601" s="5" t="str">
        <f>IFERROR(__xludf.DUMMYFUNCTION("""COMPUTED_VALUE"""),"Yes")</f>
        <v>Yes</v>
      </c>
      <c r="Y601" s="5" t="str">
        <f>IFERROR(__xludf.DUMMYFUNCTION("""COMPUTED_VALUE"""),"Yes")</f>
        <v>Yes</v>
      </c>
      <c r="Z601" s="5" t="str">
        <f>IFERROR(__xludf.DUMMYFUNCTION("""COMPUTED_VALUE"""),"Yes")</f>
        <v>Yes</v>
      </c>
      <c r="AA601" s="5" t="str">
        <f>IFERROR(__xludf.DUMMYFUNCTION("""COMPUTED_VALUE"""),"Yes")</f>
        <v>Yes</v>
      </c>
      <c r="AB601" s="5" t="str">
        <f>IFERROR(__xludf.DUMMYFUNCTION("""COMPUTED_VALUE"""),"Yes")</f>
        <v>Yes</v>
      </c>
      <c r="AC601" s="5" t="str">
        <f>IFERROR(__xludf.DUMMYFUNCTION("""COMPUTED_VALUE"""),"No")</f>
        <v>No</v>
      </c>
    </row>
    <row r="602">
      <c r="A602" s="5" t="str">
        <f>IFERROR(__xludf.DUMMYFUNCTION("""COMPUTED_VALUE"""),"CratosHot40")</f>
        <v>CratosHot40</v>
      </c>
      <c r="B60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2" s="5" t="str">
        <f>IFERROR(__xludf.DUMMYFUNCTION("""COMPUTED_VALUE"""),"Yes")</f>
        <v>Yes</v>
      </c>
      <c r="D602" s="5" t="str">
        <f>IFERROR(__xludf.DUMMYFUNCTION("""COMPUTED_VALUE"""),"Yes")</f>
        <v>Yes</v>
      </c>
      <c r="E602" s="5" t="str">
        <f>IFERROR(__xludf.DUMMYFUNCTION("""COMPUTED_VALUE"""),"Yes")</f>
        <v>Yes</v>
      </c>
      <c r="F602" s="5" t="str">
        <f>IFERROR(__xludf.DUMMYFUNCTION("""COMPUTED_VALUE"""),"Yes")</f>
        <v>Yes</v>
      </c>
      <c r="G602" s="5" t="str">
        <f>IFERROR(__xludf.DUMMYFUNCTION("""COMPUTED_VALUE"""),"Yes")</f>
        <v>Yes</v>
      </c>
      <c r="H602" s="5" t="str">
        <f>IFERROR(__xludf.DUMMYFUNCTION("""COMPUTED_VALUE"""),"Yes")</f>
        <v>Yes</v>
      </c>
      <c r="I602" s="5" t="str">
        <f>IFERROR(__xludf.DUMMYFUNCTION("""COMPUTED_VALUE"""),"Yes")</f>
        <v>Yes</v>
      </c>
      <c r="J602" s="5" t="str">
        <f>IFERROR(__xludf.DUMMYFUNCTION("""COMPUTED_VALUE"""),"Yes")</f>
        <v>Yes</v>
      </c>
      <c r="K602" s="5" t="str">
        <f>IFERROR(__xludf.DUMMYFUNCTION("""COMPUTED_VALUE"""),"Yes")</f>
        <v>Yes</v>
      </c>
      <c r="L602" s="5" t="str">
        <f>IFERROR(__xludf.DUMMYFUNCTION("""COMPUTED_VALUE"""),"Yes")</f>
        <v>Yes</v>
      </c>
      <c r="M602" s="5" t="str">
        <f>IFERROR(__xludf.DUMMYFUNCTION("""COMPUTED_VALUE"""),"Yes")</f>
        <v>Yes</v>
      </c>
      <c r="N602" s="5" t="str">
        <f>IFERROR(__xludf.DUMMYFUNCTION("""COMPUTED_VALUE"""),"Yes")</f>
        <v>Yes</v>
      </c>
      <c r="O602" s="5" t="str">
        <f>IFERROR(__xludf.DUMMYFUNCTION("""COMPUTED_VALUE"""),"Yes")</f>
        <v>Yes</v>
      </c>
      <c r="P602" s="5" t="str">
        <f>IFERROR(__xludf.DUMMYFUNCTION("""COMPUTED_VALUE"""),"Yes")</f>
        <v>Yes</v>
      </c>
      <c r="Q602" s="5" t="str">
        <f>IFERROR(__xludf.DUMMYFUNCTION("""COMPUTED_VALUE"""),"Yes")</f>
        <v>Yes</v>
      </c>
      <c r="R602" s="5" t="str">
        <f>IFERROR(__xludf.DUMMYFUNCTION("""COMPUTED_VALUE"""),"Yes")</f>
        <v>Yes</v>
      </c>
      <c r="S602" s="5" t="str">
        <f>IFERROR(__xludf.DUMMYFUNCTION("""COMPUTED_VALUE"""),"Yes")</f>
        <v>Yes</v>
      </c>
      <c r="T602" s="5" t="str">
        <f>IFERROR(__xludf.DUMMYFUNCTION("""COMPUTED_VALUE"""),"Yes")</f>
        <v>Yes</v>
      </c>
      <c r="U602" s="5" t="str">
        <f>IFERROR(__xludf.DUMMYFUNCTION("""COMPUTED_VALUE"""),"Yes")</f>
        <v>Yes</v>
      </c>
      <c r="V602" s="5" t="str">
        <f>IFERROR(__xludf.DUMMYFUNCTION("""COMPUTED_VALUE"""),"Yes")</f>
        <v>Yes</v>
      </c>
      <c r="W602" s="5" t="str">
        <f>IFERROR(__xludf.DUMMYFUNCTION("""COMPUTED_VALUE"""),"Yes")</f>
        <v>Yes</v>
      </c>
      <c r="X602" s="5" t="str">
        <f>IFERROR(__xludf.DUMMYFUNCTION("""COMPUTED_VALUE"""),"Yes")</f>
        <v>Yes</v>
      </c>
      <c r="Y602" s="5" t="str">
        <f>IFERROR(__xludf.DUMMYFUNCTION("""COMPUTED_VALUE"""),"Yes")</f>
        <v>Yes</v>
      </c>
      <c r="Z602" s="5" t="str">
        <f>IFERROR(__xludf.DUMMYFUNCTION("""COMPUTED_VALUE"""),"Yes")</f>
        <v>Yes</v>
      </c>
      <c r="AA602" s="5" t="str">
        <f>IFERROR(__xludf.DUMMYFUNCTION("""COMPUTED_VALUE"""),"Yes")</f>
        <v>Yes</v>
      </c>
      <c r="AB602" s="5" t="str">
        <f>IFERROR(__xludf.DUMMYFUNCTION("""COMPUTED_VALUE"""),"Yes")</f>
        <v>Yes</v>
      </c>
      <c r="AC602" s="5" t="str">
        <f>IFERROR(__xludf.DUMMYFUNCTION("""COMPUTED_VALUE"""),"No")</f>
        <v>No</v>
      </c>
    </row>
    <row r="603">
      <c r="A603" s="5" t="str">
        <f>IFERROR(__xludf.DUMMYFUNCTION("""COMPUTED_VALUE"""),"planet-dice-escape")</f>
        <v>planet-dice-escape</v>
      </c>
      <c r="B603" s="5" t="str">
        <f>IFERROR(__xludf.DUMMYFUNCTION("""COMPUTED_VALUE"""),"")</f>
        <v/>
      </c>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row>
    <row r="604">
      <c r="A604" s="5" t="str">
        <f>IFERROR(__xludf.DUMMYFUNCTION("""COMPUTED_VALUE"""),"wild-tiki-mayhem")</f>
        <v>wild-tiki-mayhem</v>
      </c>
      <c r="B604" s="5" t="str">
        <f>IFERROR(__xludf.DUMMYFUNCTION("""COMPUTED_VALUE"""),"")</f>
        <v/>
      </c>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row>
    <row r="605">
      <c r="A605" s="5" t="str">
        <f>IFERROR(__xludf.DUMMYFUNCTION("""COMPUTED_VALUE"""),"WildHot223")</f>
        <v>WildHot223</v>
      </c>
      <c r="B60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5" s="5" t="str">
        <f>IFERROR(__xludf.DUMMYFUNCTION("""COMPUTED_VALUE"""),"Yes")</f>
        <v>Yes</v>
      </c>
      <c r="D605" s="5" t="str">
        <f>IFERROR(__xludf.DUMMYFUNCTION("""COMPUTED_VALUE"""),"Yes")</f>
        <v>Yes</v>
      </c>
      <c r="E605" s="5" t="str">
        <f>IFERROR(__xludf.DUMMYFUNCTION("""COMPUTED_VALUE"""),"Yes")</f>
        <v>Yes</v>
      </c>
      <c r="F605" s="5" t="str">
        <f>IFERROR(__xludf.DUMMYFUNCTION("""COMPUTED_VALUE"""),"Yes")</f>
        <v>Yes</v>
      </c>
      <c r="G605" s="5" t="str">
        <f>IFERROR(__xludf.DUMMYFUNCTION("""COMPUTED_VALUE"""),"Yes")</f>
        <v>Yes</v>
      </c>
      <c r="H605" s="5" t="str">
        <f>IFERROR(__xludf.DUMMYFUNCTION("""COMPUTED_VALUE"""),"Yes")</f>
        <v>Yes</v>
      </c>
      <c r="I605" s="5" t="str">
        <f>IFERROR(__xludf.DUMMYFUNCTION("""COMPUTED_VALUE"""),"Yes")</f>
        <v>Yes</v>
      </c>
      <c r="J605" s="5" t="str">
        <f>IFERROR(__xludf.DUMMYFUNCTION("""COMPUTED_VALUE"""),"Yes")</f>
        <v>Yes</v>
      </c>
      <c r="K605" s="5" t="str">
        <f>IFERROR(__xludf.DUMMYFUNCTION("""COMPUTED_VALUE"""),"Yes")</f>
        <v>Yes</v>
      </c>
      <c r="L605" s="5" t="str">
        <f>IFERROR(__xludf.DUMMYFUNCTION("""COMPUTED_VALUE"""),"Yes")</f>
        <v>Yes</v>
      </c>
      <c r="M605" s="5" t="str">
        <f>IFERROR(__xludf.DUMMYFUNCTION("""COMPUTED_VALUE"""),"Yes")</f>
        <v>Yes</v>
      </c>
      <c r="N605" s="5" t="str">
        <f>IFERROR(__xludf.DUMMYFUNCTION("""COMPUTED_VALUE"""),"Yes")</f>
        <v>Yes</v>
      </c>
      <c r="O605" s="5" t="str">
        <f>IFERROR(__xludf.DUMMYFUNCTION("""COMPUTED_VALUE"""),"Yes")</f>
        <v>Yes</v>
      </c>
      <c r="P605" s="5" t="str">
        <f>IFERROR(__xludf.DUMMYFUNCTION("""COMPUTED_VALUE"""),"Yes")</f>
        <v>Yes</v>
      </c>
      <c r="Q605" s="5" t="str">
        <f>IFERROR(__xludf.DUMMYFUNCTION("""COMPUTED_VALUE"""),"Yes")</f>
        <v>Yes</v>
      </c>
      <c r="R605" s="5" t="str">
        <f>IFERROR(__xludf.DUMMYFUNCTION("""COMPUTED_VALUE"""),"Yes")</f>
        <v>Yes</v>
      </c>
      <c r="S605" s="5" t="str">
        <f>IFERROR(__xludf.DUMMYFUNCTION("""COMPUTED_VALUE"""),"Yes")</f>
        <v>Yes</v>
      </c>
      <c r="T605" s="5" t="str">
        <f>IFERROR(__xludf.DUMMYFUNCTION("""COMPUTED_VALUE"""),"Yes")</f>
        <v>Yes</v>
      </c>
      <c r="U605" s="5" t="str">
        <f>IFERROR(__xludf.DUMMYFUNCTION("""COMPUTED_VALUE"""),"Yes")</f>
        <v>Yes</v>
      </c>
      <c r="V605" s="5" t="str">
        <f>IFERROR(__xludf.DUMMYFUNCTION("""COMPUTED_VALUE"""),"Yes")</f>
        <v>Yes</v>
      </c>
      <c r="W605" s="5" t="str">
        <f>IFERROR(__xludf.DUMMYFUNCTION("""COMPUTED_VALUE"""),"Yes")</f>
        <v>Yes</v>
      </c>
      <c r="X605" s="5" t="str">
        <f>IFERROR(__xludf.DUMMYFUNCTION("""COMPUTED_VALUE"""),"Yes")</f>
        <v>Yes</v>
      </c>
      <c r="Y605" s="5" t="str">
        <f>IFERROR(__xludf.DUMMYFUNCTION("""COMPUTED_VALUE"""),"Yes")</f>
        <v>Yes</v>
      </c>
      <c r="Z605" s="5" t="str">
        <f>IFERROR(__xludf.DUMMYFUNCTION("""COMPUTED_VALUE"""),"Yes")</f>
        <v>Yes</v>
      </c>
      <c r="AA605" s="5" t="str">
        <f>IFERROR(__xludf.DUMMYFUNCTION("""COMPUTED_VALUE"""),"Yes")</f>
        <v>Yes</v>
      </c>
      <c r="AB605" s="5" t="str">
        <f>IFERROR(__xludf.DUMMYFUNCTION("""COMPUTED_VALUE"""),"Yes")</f>
        <v>Yes</v>
      </c>
      <c r="AC605" s="5" t="str">
        <f>IFERROR(__xludf.DUMMYFUNCTION("""COMPUTED_VALUE"""),"No")</f>
        <v>No</v>
      </c>
    </row>
    <row r="606">
      <c r="A606" s="5" t="str">
        <f>IFERROR(__xludf.DUMMYFUNCTION("""COMPUTED_VALUE"""),"Redstone5WildDiamond")</f>
        <v>Redstone5WildDiamond</v>
      </c>
      <c r="B60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06" s="5" t="str">
        <f>IFERROR(__xludf.DUMMYFUNCTION("""COMPUTED_VALUE"""),"Yes")</f>
        <v>Yes</v>
      </c>
      <c r="D606" s="5" t="str">
        <f>IFERROR(__xludf.DUMMYFUNCTION("""COMPUTED_VALUE"""),"Yes")</f>
        <v>Yes</v>
      </c>
      <c r="E606" s="5" t="str">
        <f>IFERROR(__xludf.DUMMYFUNCTION("""COMPUTED_VALUE"""),"Yes")</f>
        <v>Yes</v>
      </c>
      <c r="F606" s="5" t="str">
        <f>IFERROR(__xludf.DUMMYFUNCTION("""COMPUTED_VALUE"""),"Yes")</f>
        <v>Yes</v>
      </c>
      <c r="G606" s="5" t="str">
        <f>IFERROR(__xludf.DUMMYFUNCTION("""COMPUTED_VALUE"""),"Yes")</f>
        <v>Yes</v>
      </c>
      <c r="H606" s="5" t="str">
        <f>IFERROR(__xludf.DUMMYFUNCTION("""COMPUTED_VALUE"""),"Yes")</f>
        <v>Yes</v>
      </c>
      <c r="I606" s="5" t="str">
        <f>IFERROR(__xludf.DUMMYFUNCTION("""COMPUTED_VALUE"""),"Yes")</f>
        <v>Yes</v>
      </c>
      <c r="J606" s="5" t="str">
        <f>IFERROR(__xludf.DUMMYFUNCTION("""COMPUTED_VALUE"""),"Yes")</f>
        <v>Yes</v>
      </c>
      <c r="K606" s="5" t="str">
        <f>IFERROR(__xludf.DUMMYFUNCTION("""COMPUTED_VALUE"""),"Yes")</f>
        <v>Yes</v>
      </c>
      <c r="L606" s="5" t="str">
        <f>IFERROR(__xludf.DUMMYFUNCTION("""COMPUTED_VALUE"""),"Yes")</f>
        <v>Yes</v>
      </c>
      <c r="M606" s="5" t="str">
        <f>IFERROR(__xludf.DUMMYFUNCTION("""COMPUTED_VALUE"""),"Yes")</f>
        <v>Yes</v>
      </c>
      <c r="N606" s="5" t="str">
        <f>IFERROR(__xludf.DUMMYFUNCTION("""COMPUTED_VALUE"""),"Yes")</f>
        <v>Yes</v>
      </c>
      <c r="O606" s="5" t="str">
        <f>IFERROR(__xludf.DUMMYFUNCTION("""COMPUTED_VALUE"""),"Yes")</f>
        <v>Yes</v>
      </c>
      <c r="P606" s="5" t="str">
        <f>IFERROR(__xludf.DUMMYFUNCTION("""COMPUTED_VALUE"""),"Yes")</f>
        <v>Yes</v>
      </c>
      <c r="Q606" s="5" t="str">
        <f>IFERROR(__xludf.DUMMYFUNCTION("""COMPUTED_VALUE"""),"Yes")</f>
        <v>Yes</v>
      </c>
      <c r="R606" s="5" t="str">
        <f>IFERROR(__xludf.DUMMYFUNCTION("""COMPUTED_VALUE"""),"No")</f>
        <v>No</v>
      </c>
      <c r="S606" s="5" t="str">
        <f>IFERROR(__xludf.DUMMYFUNCTION("""COMPUTED_VALUE"""),"No")</f>
        <v>No</v>
      </c>
      <c r="T606" s="5" t="str">
        <f>IFERROR(__xludf.DUMMYFUNCTION("""COMPUTED_VALUE"""),"No")</f>
        <v>No</v>
      </c>
      <c r="U606" s="5" t="str">
        <f>IFERROR(__xludf.DUMMYFUNCTION("""COMPUTED_VALUE"""),"No")</f>
        <v>No</v>
      </c>
      <c r="V606" s="5" t="str">
        <f>IFERROR(__xludf.DUMMYFUNCTION("""COMPUTED_VALUE"""),"No")</f>
        <v>No</v>
      </c>
      <c r="W606" s="5" t="str">
        <f>IFERROR(__xludf.DUMMYFUNCTION("""COMPUTED_VALUE"""),"No")</f>
        <v>No</v>
      </c>
      <c r="X606" s="5" t="str">
        <f>IFERROR(__xludf.DUMMYFUNCTION("""COMPUTED_VALUE"""),"Yes")</f>
        <v>Yes</v>
      </c>
      <c r="Y606" s="5" t="str">
        <f>IFERROR(__xludf.DUMMYFUNCTION("""COMPUTED_VALUE"""),"No")</f>
        <v>No</v>
      </c>
      <c r="Z606" s="5" t="str">
        <f>IFERROR(__xludf.DUMMYFUNCTION("""COMPUTED_VALUE"""),"No")</f>
        <v>No</v>
      </c>
      <c r="AA606" s="5" t="str">
        <f>IFERROR(__xludf.DUMMYFUNCTION("""COMPUTED_VALUE"""),"No")</f>
        <v>No</v>
      </c>
      <c r="AB606" s="5" t="str">
        <f>IFERROR(__xludf.DUMMYFUNCTION("""COMPUTED_VALUE"""),"Yes")</f>
        <v>Yes</v>
      </c>
      <c r="AC606" s="5" t="str">
        <f>IFERROR(__xludf.DUMMYFUNCTION("""COMPUTED_VALUE"""),"No")</f>
        <v>No</v>
      </c>
    </row>
    <row r="607">
      <c r="A607" s="5" t="str">
        <f>IFERROR(__xludf.DUMMYFUNCTION("""COMPUTED_VALUE"""),"christmas-sugar-luck")</f>
        <v>christmas-sugar-luck</v>
      </c>
      <c r="B60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07" s="5" t="str">
        <f>IFERROR(__xludf.DUMMYFUNCTION("""COMPUTED_VALUE"""),"Yes")</f>
        <v>Yes</v>
      </c>
      <c r="D607" s="5" t="str">
        <f>IFERROR(__xludf.DUMMYFUNCTION("""COMPUTED_VALUE"""),"Yes")</f>
        <v>Yes</v>
      </c>
      <c r="E607" s="5" t="str">
        <f>IFERROR(__xludf.DUMMYFUNCTION("""COMPUTED_VALUE"""),"No")</f>
        <v>No</v>
      </c>
      <c r="F607" s="5" t="str">
        <f>IFERROR(__xludf.DUMMYFUNCTION("""COMPUTED_VALUE"""),"Yes")</f>
        <v>Yes</v>
      </c>
      <c r="G607" s="5" t="str">
        <f>IFERROR(__xludf.DUMMYFUNCTION("""COMPUTED_VALUE"""),"Yes")</f>
        <v>Yes</v>
      </c>
      <c r="H607" s="5" t="str">
        <f>IFERROR(__xludf.DUMMYFUNCTION("""COMPUTED_VALUE"""),"Yes")</f>
        <v>Yes</v>
      </c>
      <c r="I607" s="5" t="str">
        <f>IFERROR(__xludf.DUMMYFUNCTION("""COMPUTED_VALUE"""),"Yes")</f>
        <v>Yes</v>
      </c>
      <c r="J607" s="5" t="str">
        <f>IFERROR(__xludf.DUMMYFUNCTION("""COMPUTED_VALUE"""),"Yes")</f>
        <v>Yes</v>
      </c>
      <c r="K607" s="5" t="str">
        <f>IFERROR(__xludf.DUMMYFUNCTION("""COMPUTED_VALUE"""),"Yes")</f>
        <v>Yes</v>
      </c>
      <c r="L607" s="5" t="str">
        <f>IFERROR(__xludf.DUMMYFUNCTION("""COMPUTED_VALUE"""),"Yes")</f>
        <v>Yes</v>
      </c>
      <c r="M607" s="5" t="str">
        <f>IFERROR(__xludf.DUMMYFUNCTION("""COMPUTED_VALUE"""),"Yes")</f>
        <v>Yes</v>
      </c>
      <c r="N607" s="5" t="str">
        <f>IFERROR(__xludf.DUMMYFUNCTION("""COMPUTED_VALUE"""),"Yes")</f>
        <v>Yes</v>
      </c>
      <c r="O607" s="5" t="str">
        <f>IFERROR(__xludf.DUMMYFUNCTION("""COMPUTED_VALUE"""),"Yes")</f>
        <v>Yes</v>
      </c>
      <c r="P607" s="5" t="str">
        <f>IFERROR(__xludf.DUMMYFUNCTION("""COMPUTED_VALUE"""),"Yes")</f>
        <v>Yes</v>
      </c>
      <c r="Q607" s="5" t="str">
        <f>IFERROR(__xludf.DUMMYFUNCTION("""COMPUTED_VALUE"""),"Yes")</f>
        <v>Yes</v>
      </c>
      <c r="R607" s="5" t="str">
        <f>IFERROR(__xludf.DUMMYFUNCTION("""COMPUTED_VALUE"""),"No")</f>
        <v>No</v>
      </c>
      <c r="S607" s="5" t="str">
        <f>IFERROR(__xludf.DUMMYFUNCTION("""COMPUTED_VALUE"""),"No")</f>
        <v>No</v>
      </c>
      <c r="T607" s="5" t="str">
        <f>IFERROR(__xludf.DUMMYFUNCTION("""COMPUTED_VALUE"""),"No")</f>
        <v>No</v>
      </c>
      <c r="U607" s="5" t="str">
        <f>IFERROR(__xludf.DUMMYFUNCTION("""COMPUTED_VALUE"""),"No")</f>
        <v>No</v>
      </c>
      <c r="V607" s="5" t="str">
        <f>IFERROR(__xludf.DUMMYFUNCTION("""COMPUTED_VALUE"""),"No")</f>
        <v>No</v>
      </c>
      <c r="W607" s="5" t="str">
        <f>IFERROR(__xludf.DUMMYFUNCTION("""COMPUTED_VALUE"""),"No")</f>
        <v>No</v>
      </c>
      <c r="X607" s="5" t="str">
        <f>IFERROR(__xludf.DUMMYFUNCTION("""COMPUTED_VALUE"""),"No")</f>
        <v>No</v>
      </c>
      <c r="Y607" s="5" t="str">
        <f>IFERROR(__xludf.DUMMYFUNCTION("""COMPUTED_VALUE"""),"No")</f>
        <v>No</v>
      </c>
      <c r="Z607" s="5" t="str">
        <f>IFERROR(__xludf.DUMMYFUNCTION("""COMPUTED_VALUE"""),"No")</f>
        <v>No</v>
      </c>
      <c r="AA607" s="5" t="str">
        <f>IFERROR(__xludf.DUMMYFUNCTION("""COMPUTED_VALUE"""),"No")</f>
        <v>No</v>
      </c>
      <c r="AB607" s="5" t="str">
        <f>IFERROR(__xludf.DUMMYFUNCTION("""COMPUTED_VALUE"""),"Yes")</f>
        <v>Yes</v>
      </c>
      <c r="AC607" s="5" t="str">
        <f>IFERROR(__xludf.DUMMYFUNCTION("""COMPUTED_VALUE"""),"No")</f>
        <v>No</v>
      </c>
    </row>
    <row r="608">
      <c r="A608" s="5" t="str">
        <f>IFERROR(__xludf.DUMMYFUNCTION("""COMPUTED_VALUE"""),"KonfamBall")</f>
        <v>KonfamBall</v>
      </c>
      <c r="B6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8" s="5" t="str">
        <f>IFERROR(__xludf.DUMMYFUNCTION("""COMPUTED_VALUE"""),"Yes")</f>
        <v>Yes</v>
      </c>
      <c r="D608" s="5" t="str">
        <f>IFERROR(__xludf.DUMMYFUNCTION("""COMPUTED_VALUE"""),"Yes")</f>
        <v>Yes</v>
      </c>
      <c r="E608" s="5" t="str">
        <f>IFERROR(__xludf.DUMMYFUNCTION("""COMPUTED_VALUE"""),"Yes")</f>
        <v>Yes</v>
      </c>
      <c r="F608" s="5" t="str">
        <f>IFERROR(__xludf.DUMMYFUNCTION("""COMPUTED_VALUE"""),"Yes")</f>
        <v>Yes</v>
      </c>
      <c r="G608" s="5" t="str">
        <f>IFERROR(__xludf.DUMMYFUNCTION("""COMPUTED_VALUE"""),"Yes")</f>
        <v>Yes</v>
      </c>
      <c r="H608" s="5" t="str">
        <f>IFERROR(__xludf.DUMMYFUNCTION("""COMPUTED_VALUE"""),"Yes")</f>
        <v>Yes</v>
      </c>
      <c r="I608" s="5" t="str">
        <f>IFERROR(__xludf.DUMMYFUNCTION("""COMPUTED_VALUE"""),"Yes")</f>
        <v>Yes</v>
      </c>
      <c r="J608" s="5" t="str">
        <f>IFERROR(__xludf.DUMMYFUNCTION("""COMPUTED_VALUE"""),"Yes")</f>
        <v>Yes</v>
      </c>
      <c r="K608" s="5" t="str">
        <f>IFERROR(__xludf.DUMMYFUNCTION("""COMPUTED_VALUE"""),"Yes")</f>
        <v>Yes</v>
      </c>
      <c r="L608" s="5" t="str">
        <f>IFERROR(__xludf.DUMMYFUNCTION("""COMPUTED_VALUE"""),"Yes")</f>
        <v>Yes</v>
      </c>
      <c r="M608" s="5" t="str">
        <f>IFERROR(__xludf.DUMMYFUNCTION("""COMPUTED_VALUE"""),"Yes")</f>
        <v>Yes</v>
      </c>
      <c r="N608" s="5" t="str">
        <f>IFERROR(__xludf.DUMMYFUNCTION("""COMPUTED_VALUE"""),"Yes")</f>
        <v>Yes</v>
      </c>
      <c r="O608" s="5" t="str">
        <f>IFERROR(__xludf.DUMMYFUNCTION("""COMPUTED_VALUE"""),"Yes")</f>
        <v>Yes</v>
      </c>
      <c r="P608" s="5" t="str">
        <f>IFERROR(__xludf.DUMMYFUNCTION("""COMPUTED_VALUE"""),"Yes")</f>
        <v>Yes</v>
      </c>
      <c r="Q608" s="5" t="str">
        <f>IFERROR(__xludf.DUMMYFUNCTION("""COMPUTED_VALUE"""),"Yes")</f>
        <v>Yes</v>
      </c>
      <c r="R608" s="5" t="str">
        <f>IFERROR(__xludf.DUMMYFUNCTION("""COMPUTED_VALUE"""),"Yes")</f>
        <v>Yes</v>
      </c>
      <c r="S608" s="5" t="str">
        <f>IFERROR(__xludf.DUMMYFUNCTION("""COMPUTED_VALUE"""),"Yes")</f>
        <v>Yes</v>
      </c>
      <c r="T608" s="5" t="str">
        <f>IFERROR(__xludf.DUMMYFUNCTION("""COMPUTED_VALUE"""),"Yes")</f>
        <v>Yes</v>
      </c>
      <c r="U608" s="5" t="str">
        <f>IFERROR(__xludf.DUMMYFUNCTION("""COMPUTED_VALUE"""),"Yes")</f>
        <v>Yes</v>
      </c>
      <c r="V608" s="5" t="str">
        <f>IFERROR(__xludf.DUMMYFUNCTION("""COMPUTED_VALUE"""),"Yes")</f>
        <v>Yes</v>
      </c>
      <c r="W608" s="5" t="str">
        <f>IFERROR(__xludf.DUMMYFUNCTION("""COMPUTED_VALUE"""),"Yes")</f>
        <v>Yes</v>
      </c>
      <c r="X608" s="5" t="str">
        <f>IFERROR(__xludf.DUMMYFUNCTION("""COMPUTED_VALUE"""),"Yes")</f>
        <v>Yes</v>
      </c>
      <c r="Y608" s="5" t="str">
        <f>IFERROR(__xludf.DUMMYFUNCTION("""COMPUTED_VALUE"""),"Yes")</f>
        <v>Yes</v>
      </c>
      <c r="Z608" s="5" t="str">
        <f>IFERROR(__xludf.DUMMYFUNCTION("""COMPUTED_VALUE"""),"Yes")</f>
        <v>Yes</v>
      </c>
      <c r="AA608" s="5" t="str">
        <f>IFERROR(__xludf.DUMMYFUNCTION("""COMPUTED_VALUE"""),"Yes")</f>
        <v>Yes</v>
      </c>
      <c r="AB608" s="5" t="str">
        <f>IFERROR(__xludf.DUMMYFUNCTION("""COMPUTED_VALUE"""),"Yes")</f>
        <v>Yes</v>
      </c>
      <c r="AC608" s="5" t="str">
        <f>IFERROR(__xludf.DUMMYFUNCTION("""COMPUTED_VALUE"""),"No")</f>
        <v>No</v>
      </c>
    </row>
    <row r="609">
      <c r="A609" s="5" t="str">
        <f>IFERROR(__xludf.DUMMYFUNCTION("""COMPUTED_VALUE"""),"UnicornDynamiteBoomDice")</f>
        <v>UnicornDynamiteBoomDice</v>
      </c>
      <c r="B609" s="5" t="str">
        <f>IFERROR(__xludf.DUMMYFUNCTION("""COMPUTED_VALUE"""),"English(""eng"")")</f>
        <v>English("eng")</v>
      </c>
      <c r="C609" s="5" t="str">
        <f>IFERROR(__xludf.DUMMYFUNCTION("""COMPUTED_VALUE"""),"Yes")</f>
        <v>Yes</v>
      </c>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row>
    <row r="610">
      <c r="A610" s="5" t="str">
        <f>IFERROR(__xludf.DUMMYFUNCTION("""COMPUTED_VALUE"""),"UnicornBuffaloDiceJackpot")</f>
        <v>UnicornBuffaloDiceJackpot</v>
      </c>
      <c r="B610" s="5" t="str">
        <f>IFERROR(__xludf.DUMMYFUNCTION("""COMPUTED_VALUE"""),"English(""eng"")")</f>
        <v>English("eng")</v>
      </c>
      <c r="C610" s="5" t="str">
        <f>IFERROR(__xludf.DUMMYFUNCTION("""COMPUTED_VALUE"""),"Yes")</f>
        <v>Yes</v>
      </c>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row>
    <row r="611">
      <c r="A611" s="5" t="str">
        <f>IFERROR(__xludf.DUMMYFUNCTION("""COMPUTED_VALUE"""),"UnicornTripleStackedDiamondJackpot")</f>
        <v>UnicornTripleStackedDiamondJackpot</v>
      </c>
      <c r="B611" s="5" t="str">
        <f>IFERROR(__xludf.DUMMYFUNCTION("""COMPUTED_VALUE"""),"English(""eng"")")</f>
        <v>English("eng")</v>
      </c>
      <c r="C611" s="5" t="str">
        <f>IFERROR(__xludf.DUMMYFUNCTION("""COMPUTED_VALUE"""),"Yes")</f>
        <v>Yes</v>
      </c>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row>
    <row r="612">
      <c r="A612" s="5" t="str">
        <f>IFERROR(__xludf.DUMMYFUNCTION("""COMPUTED_VALUE"""),"SuperTripleDouble")</f>
        <v>SuperTripleDouble</v>
      </c>
      <c r="B6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2" s="5" t="str">
        <f>IFERROR(__xludf.DUMMYFUNCTION("""COMPUTED_VALUE"""),"Yes")</f>
        <v>Yes</v>
      </c>
      <c r="D612" s="5" t="str">
        <f>IFERROR(__xludf.DUMMYFUNCTION("""COMPUTED_VALUE"""),"Yes")</f>
        <v>Yes</v>
      </c>
      <c r="E612" s="5" t="str">
        <f>IFERROR(__xludf.DUMMYFUNCTION("""COMPUTED_VALUE"""),"Yes")</f>
        <v>Yes</v>
      </c>
      <c r="F612" s="5" t="str">
        <f>IFERROR(__xludf.DUMMYFUNCTION("""COMPUTED_VALUE"""),"Yes")</f>
        <v>Yes</v>
      </c>
      <c r="G612" s="5" t="str">
        <f>IFERROR(__xludf.DUMMYFUNCTION("""COMPUTED_VALUE"""),"Yes")</f>
        <v>Yes</v>
      </c>
      <c r="H612" s="5" t="str">
        <f>IFERROR(__xludf.DUMMYFUNCTION("""COMPUTED_VALUE"""),"Yes")</f>
        <v>Yes</v>
      </c>
      <c r="I612" s="5" t="str">
        <f>IFERROR(__xludf.DUMMYFUNCTION("""COMPUTED_VALUE"""),"Yes")</f>
        <v>Yes</v>
      </c>
      <c r="J612" s="5" t="str">
        <f>IFERROR(__xludf.DUMMYFUNCTION("""COMPUTED_VALUE"""),"Yes")</f>
        <v>Yes</v>
      </c>
      <c r="K612" s="5" t="str">
        <f>IFERROR(__xludf.DUMMYFUNCTION("""COMPUTED_VALUE"""),"Yes")</f>
        <v>Yes</v>
      </c>
      <c r="L612" s="5" t="str">
        <f>IFERROR(__xludf.DUMMYFUNCTION("""COMPUTED_VALUE"""),"Yes")</f>
        <v>Yes</v>
      </c>
      <c r="M612" s="5" t="str">
        <f>IFERROR(__xludf.DUMMYFUNCTION("""COMPUTED_VALUE"""),"Yes")</f>
        <v>Yes</v>
      </c>
      <c r="N612" s="5" t="str">
        <f>IFERROR(__xludf.DUMMYFUNCTION("""COMPUTED_VALUE"""),"Yes")</f>
        <v>Yes</v>
      </c>
      <c r="O612" s="5" t="str">
        <f>IFERROR(__xludf.DUMMYFUNCTION("""COMPUTED_VALUE"""),"Yes")</f>
        <v>Yes</v>
      </c>
      <c r="P612" s="5" t="str">
        <f>IFERROR(__xludf.DUMMYFUNCTION("""COMPUTED_VALUE"""),"Yes")</f>
        <v>Yes</v>
      </c>
      <c r="Q612" s="5" t="str">
        <f>IFERROR(__xludf.DUMMYFUNCTION("""COMPUTED_VALUE"""),"Yes")</f>
        <v>Yes</v>
      </c>
      <c r="R612" s="5" t="str">
        <f>IFERROR(__xludf.DUMMYFUNCTION("""COMPUTED_VALUE"""),"Yes")</f>
        <v>Yes</v>
      </c>
      <c r="S612" s="5" t="str">
        <f>IFERROR(__xludf.DUMMYFUNCTION("""COMPUTED_VALUE"""),"Yes")</f>
        <v>Yes</v>
      </c>
      <c r="T612" s="5" t="str">
        <f>IFERROR(__xludf.DUMMYFUNCTION("""COMPUTED_VALUE"""),"Yes")</f>
        <v>Yes</v>
      </c>
      <c r="U612" s="5" t="str">
        <f>IFERROR(__xludf.DUMMYFUNCTION("""COMPUTED_VALUE"""),"Yes")</f>
        <v>Yes</v>
      </c>
      <c r="V612" s="5" t="str">
        <f>IFERROR(__xludf.DUMMYFUNCTION("""COMPUTED_VALUE"""),"Yes")</f>
        <v>Yes</v>
      </c>
      <c r="W612" s="5" t="str">
        <f>IFERROR(__xludf.DUMMYFUNCTION("""COMPUTED_VALUE"""),"Yes")</f>
        <v>Yes</v>
      </c>
      <c r="X612" s="5" t="str">
        <f>IFERROR(__xludf.DUMMYFUNCTION("""COMPUTED_VALUE"""),"Yes")</f>
        <v>Yes</v>
      </c>
      <c r="Y612" s="5" t="str">
        <f>IFERROR(__xludf.DUMMYFUNCTION("""COMPUTED_VALUE"""),"Yes")</f>
        <v>Yes</v>
      </c>
      <c r="Z612" s="5" t="str">
        <f>IFERROR(__xludf.DUMMYFUNCTION("""COMPUTED_VALUE"""),"Yes")</f>
        <v>Yes</v>
      </c>
      <c r="AA612" s="5" t="str">
        <f>IFERROR(__xludf.DUMMYFUNCTION("""COMPUTED_VALUE"""),"Yes")</f>
        <v>Yes</v>
      </c>
      <c r="AB612" s="5" t="str">
        <f>IFERROR(__xludf.DUMMYFUNCTION("""COMPUTED_VALUE"""),"Yes")</f>
        <v>Yes</v>
      </c>
      <c r="AC612" s="5" t="str">
        <f>IFERROR(__xludf.DUMMYFUNCTION("""COMPUTED_VALUE"""),"No")</f>
        <v>No</v>
      </c>
    </row>
    <row r="613">
      <c r="A613" s="5" t="str">
        <f>IFERROR(__xludf.DUMMYFUNCTION("""COMPUTED_VALUE"""),"RedstoneInfernoHot40")</f>
        <v>RedstoneInfernoHot40</v>
      </c>
      <c r="B61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13" s="5" t="str">
        <f>IFERROR(__xludf.DUMMYFUNCTION("""COMPUTED_VALUE"""),"Yes")</f>
        <v>Yes</v>
      </c>
      <c r="D613" s="5" t="str">
        <f>IFERROR(__xludf.DUMMYFUNCTION("""COMPUTED_VALUE"""),"Yes")</f>
        <v>Yes</v>
      </c>
      <c r="E613" s="5" t="str">
        <f>IFERROR(__xludf.DUMMYFUNCTION("""COMPUTED_VALUE"""),"Yes")</f>
        <v>Yes</v>
      </c>
      <c r="F613" s="5" t="str">
        <f>IFERROR(__xludf.DUMMYFUNCTION("""COMPUTED_VALUE"""),"Yes")</f>
        <v>Yes</v>
      </c>
      <c r="G613" s="5" t="str">
        <f>IFERROR(__xludf.DUMMYFUNCTION("""COMPUTED_VALUE"""),"Yes")</f>
        <v>Yes</v>
      </c>
      <c r="H613" s="5" t="str">
        <f>IFERROR(__xludf.DUMMYFUNCTION("""COMPUTED_VALUE"""),"Yes")</f>
        <v>Yes</v>
      </c>
      <c r="I613" s="5" t="str">
        <f>IFERROR(__xludf.DUMMYFUNCTION("""COMPUTED_VALUE"""),"Yes")</f>
        <v>Yes</v>
      </c>
      <c r="J613" s="5" t="str">
        <f>IFERROR(__xludf.DUMMYFUNCTION("""COMPUTED_VALUE"""),"Yes")</f>
        <v>Yes</v>
      </c>
      <c r="K613" s="5" t="str">
        <f>IFERROR(__xludf.DUMMYFUNCTION("""COMPUTED_VALUE"""),"Yes")</f>
        <v>Yes</v>
      </c>
      <c r="L613" s="5" t="str">
        <f>IFERROR(__xludf.DUMMYFUNCTION("""COMPUTED_VALUE"""),"Yes")</f>
        <v>Yes</v>
      </c>
      <c r="M613" s="5" t="str">
        <f>IFERROR(__xludf.DUMMYFUNCTION("""COMPUTED_VALUE"""),"Yes")</f>
        <v>Yes</v>
      </c>
      <c r="N613" s="5" t="str">
        <f>IFERROR(__xludf.DUMMYFUNCTION("""COMPUTED_VALUE"""),"Yes")</f>
        <v>Yes</v>
      </c>
      <c r="O613" s="5" t="str">
        <f>IFERROR(__xludf.DUMMYFUNCTION("""COMPUTED_VALUE"""),"Yes")</f>
        <v>Yes</v>
      </c>
      <c r="P613" s="5" t="str">
        <f>IFERROR(__xludf.DUMMYFUNCTION("""COMPUTED_VALUE"""),"Yes")</f>
        <v>Yes</v>
      </c>
      <c r="Q613" s="5" t="str">
        <f>IFERROR(__xludf.DUMMYFUNCTION("""COMPUTED_VALUE"""),"Yes")</f>
        <v>Yes</v>
      </c>
      <c r="R613" s="5" t="str">
        <f>IFERROR(__xludf.DUMMYFUNCTION("""COMPUTED_VALUE"""),"No")</f>
        <v>No</v>
      </c>
      <c r="S613" s="5" t="str">
        <f>IFERROR(__xludf.DUMMYFUNCTION("""COMPUTED_VALUE"""),"No")</f>
        <v>No</v>
      </c>
      <c r="T613" s="5" t="str">
        <f>IFERROR(__xludf.DUMMYFUNCTION("""COMPUTED_VALUE"""),"No")</f>
        <v>No</v>
      </c>
      <c r="U613" s="5" t="str">
        <f>IFERROR(__xludf.DUMMYFUNCTION("""COMPUTED_VALUE"""),"No")</f>
        <v>No</v>
      </c>
      <c r="V613" s="5" t="str">
        <f>IFERROR(__xludf.DUMMYFUNCTION("""COMPUTED_VALUE"""),"No")</f>
        <v>No</v>
      </c>
      <c r="W613" s="5" t="str">
        <f>IFERROR(__xludf.DUMMYFUNCTION("""COMPUTED_VALUE"""),"No")</f>
        <v>No</v>
      </c>
      <c r="X613" s="5" t="str">
        <f>IFERROR(__xludf.DUMMYFUNCTION("""COMPUTED_VALUE"""),"Yes")</f>
        <v>Yes</v>
      </c>
      <c r="Y613" s="5" t="str">
        <f>IFERROR(__xludf.DUMMYFUNCTION("""COMPUTED_VALUE"""),"No")</f>
        <v>No</v>
      </c>
      <c r="Z613" s="5" t="str">
        <f>IFERROR(__xludf.DUMMYFUNCTION("""COMPUTED_VALUE"""),"No")</f>
        <v>No</v>
      </c>
      <c r="AA613" s="5" t="str">
        <f>IFERROR(__xludf.DUMMYFUNCTION("""COMPUTED_VALUE"""),"No")</f>
        <v>No</v>
      </c>
      <c r="AB613" s="5" t="str">
        <f>IFERROR(__xludf.DUMMYFUNCTION("""COMPUTED_VALUE"""),"Yes")</f>
        <v>Yes</v>
      </c>
      <c r="AC613" s="5" t="str">
        <f>IFERROR(__xludf.DUMMYFUNCTION("""COMPUTED_VALUE"""),"No")</f>
        <v>No</v>
      </c>
    </row>
    <row r="614">
      <c r="A614" s="5" t="str">
        <f>IFERROR(__xludf.DUMMYFUNCTION("""COMPUTED_VALUE"""),"RedstoneRollingHearts10")</f>
        <v>RedstoneRollingHearts10</v>
      </c>
      <c r="B614"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4" s="5" t="str">
        <f>IFERROR(__xludf.DUMMYFUNCTION("""COMPUTED_VALUE"""),"Yes")</f>
        <v>Yes</v>
      </c>
      <c r="D614" s="5" t="str">
        <f>IFERROR(__xludf.DUMMYFUNCTION("""COMPUTED_VALUE"""),"Yes")</f>
        <v>Yes</v>
      </c>
      <c r="E614" s="5" t="str">
        <f>IFERROR(__xludf.DUMMYFUNCTION("""COMPUTED_VALUE"""),"Yes")</f>
        <v>Yes</v>
      </c>
      <c r="F614" s="5"/>
      <c r="G614" s="5" t="str">
        <f>IFERROR(__xludf.DUMMYFUNCTION("""COMPUTED_VALUE"""),"Yes")</f>
        <v>Yes</v>
      </c>
      <c r="H614" s="5"/>
      <c r="I614" s="5"/>
      <c r="J614" s="5"/>
      <c r="K614" s="5" t="str">
        <f>IFERROR(__xludf.DUMMYFUNCTION("""COMPUTED_VALUE"""),"Yes")</f>
        <v>Yes</v>
      </c>
      <c r="L614" s="5" t="str">
        <f>IFERROR(__xludf.DUMMYFUNCTION("""COMPUTED_VALUE"""),"Yes")</f>
        <v>Yes</v>
      </c>
      <c r="M614" s="5" t="str">
        <f>IFERROR(__xludf.DUMMYFUNCTION("""COMPUTED_VALUE"""),"Yes")</f>
        <v>Yes</v>
      </c>
      <c r="N614" s="5" t="str">
        <f>IFERROR(__xludf.DUMMYFUNCTION("""COMPUTED_VALUE"""),"Yes")</f>
        <v>Yes</v>
      </c>
      <c r="O614" s="5" t="str">
        <f>IFERROR(__xludf.DUMMYFUNCTION("""COMPUTED_VALUE"""),"Yes")</f>
        <v>Yes</v>
      </c>
      <c r="P614" s="5"/>
      <c r="Q614" s="5" t="str">
        <f>IFERROR(__xludf.DUMMYFUNCTION("""COMPUTED_VALUE"""),"Yes")</f>
        <v>Yes</v>
      </c>
      <c r="R614" s="5"/>
      <c r="S614" s="5"/>
      <c r="T614" s="5"/>
      <c r="U614" s="5"/>
      <c r="V614" s="5"/>
      <c r="W614" s="5"/>
      <c r="X614" s="5" t="str">
        <f>IFERROR(__xludf.DUMMYFUNCTION("""COMPUTED_VALUE"""),"Yes")</f>
        <v>Yes</v>
      </c>
      <c r="Y614" s="5"/>
      <c r="Z614" s="5"/>
      <c r="AA614" s="5"/>
      <c r="AB614" s="5" t="str">
        <f>IFERROR(__xludf.DUMMYFUNCTION("""COMPUTED_VALUE"""),"Yes")</f>
        <v>Yes</v>
      </c>
      <c r="AC614" s="5" t="str">
        <f>IFERROR(__xludf.DUMMYFUNCTION("""COMPUTED_VALUE"""),"Yes")</f>
        <v>Yes</v>
      </c>
    </row>
    <row r="615">
      <c r="A615" s="5" t="str">
        <f>IFERROR(__xludf.DUMMYFUNCTION("""COMPUTED_VALUE"""),"RedstoneCupidsWildHearts")</f>
        <v>RedstoneCupidsWildHearts</v>
      </c>
      <c r="B615" s="5" t="str">
        <f>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5" s="5" t="str">
        <f>IFERROR(__xludf.DUMMYFUNCTION("""COMPUTED_VALUE"""),"Yes")</f>
        <v>Yes</v>
      </c>
      <c r="D615" s="5" t="str">
        <f>IFERROR(__xludf.DUMMYFUNCTION("""COMPUTED_VALUE"""),"Yes")</f>
        <v>Yes</v>
      </c>
      <c r="E615" s="5" t="str">
        <f>IFERROR(__xludf.DUMMYFUNCTION("""COMPUTED_VALUE"""),"Yes")</f>
        <v>Yes</v>
      </c>
      <c r="F615" s="5" t="str">
        <f>IFERROR(__xludf.DUMMYFUNCTION("""COMPUTED_VALUE"""),"No")</f>
        <v>No</v>
      </c>
      <c r="G615" s="5" t="str">
        <f>IFERROR(__xludf.DUMMYFUNCTION("""COMPUTED_VALUE"""),"Yes")</f>
        <v>Yes</v>
      </c>
      <c r="H615" s="5" t="str">
        <f>IFERROR(__xludf.DUMMYFUNCTION("""COMPUTED_VALUE"""),"No")</f>
        <v>No</v>
      </c>
      <c r="I615" s="5" t="str">
        <f>IFERROR(__xludf.DUMMYFUNCTION("""COMPUTED_VALUE"""),"No")</f>
        <v>No</v>
      </c>
      <c r="J615" s="5" t="str">
        <f>IFERROR(__xludf.DUMMYFUNCTION("""COMPUTED_VALUE"""),"No")</f>
        <v>No</v>
      </c>
      <c r="K615" s="5" t="str">
        <f>IFERROR(__xludf.DUMMYFUNCTION("""COMPUTED_VALUE"""),"Yes")</f>
        <v>Yes</v>
      </c>
      <c r="L615" s="5" t="str">
        <f>IFERROR(__xludf.DUMMYFUNCTION("""COMPUTED_VALUE"""),"Yes")</f>
        <v>Yes</v>
      </c>
      <c r="M615" s="5" t="str">
        <f>IFERROR(__xludf.DUMMYFUNCTION("""COMPUTED_VALUE"""),"Yes")</f>
        <v>Yes</v>
      </c>
      <c r="N615" s="5" t="str">
        <f>IFERROR(__xludf.DUMMYFUNCTION("""COMPUTED_VALUE"""),"Yes")</f>
        <v>Yes</v>
      </c>
      <c r="O615" s="5" t="str">
        <f>IFERROR(__xludf.DUMMYFUNCTION("""COMPUTED_VALUE"""),"Yes")</f>
        <v>Yes</v>
      </c>
      <c r="P615" s="5" t="str">
        <f>IFERROR(__xludf.DUMMYFUNCTION("""COMPUTED_VALUE"""),"No")</f>
        <v>No</v>
      </c>
      <c r="Q615" s="5" t="str">
        <f>IFERROR(__xludf.DUMMYFUNCTION("""COMPUTED_VALUE"""),"Yes")</f>
        <v>Yes</v>
      </c>
      <c r="R615" s="5" t="str">
        <f>IFERROR(__xludf.DUMMYFUNCTION("""COMPUTED_VALUE"""),"No")</f>
        <v>No</v>
      </c>
      <c r="S615" s="5" t="str">
        <f>IFERROR(__xludf.DUMMYFUNCTION("""COMPUTED_VALUE"""),"No")</f>
        <v>No</v>
      </c>
      <c r="T615" s="5" t="str">
        <f>IFERROR(__xludf.DUMMYFUNCTION("""COMPUTED_VALUE"""),"No")</f>
        <v>No</v>
      </c>
      <c r="U615" s="5" t="str">
        <f>IFERROR(__xludf.DUMMYFUNCTION("""COMPUTED_VALUE"""),"No")</f>
        <v>No</v>
      </c>
      <c r="V615" s="5" t="str">
        <f>IFERROR(__xludf.DUMMYFUNCTION("""COMPUTED_VALUE"""),"No")</f>
        <v>No</v>
      </c>
      <c r="W615" s="5" t="str">
        <f>IFERROR(__xludf.DUMMYFUNCTION("""COMPUTED_VALUE"""),"No")</f>
        <v>No</v>
      </c>
      <c r="X615" s="5" t="str">
        <f>IFERROR(__xludf.DUMMYFUNCTION("""COMPUTED_VALUE"""),"Yes")</f>
        <v>Yes</v>
      </c>
      <c r="Y615" s="5" t="str">
        <f>IFERROR(__xludf.DUMMYFUNCTION("""COMPUTED_VALUE"""),"No")</f>
        <v>No</v>
      </c>
      <c r="Z615" s="5" t="str">
        <f>IFERROR(__xludf.DUMMYFUNCTION("""COMPUTED_VALUE"""),"No")</f>
        <v>No</v>
      </c>
      <c r="AA615" s="5" t="str">
        <f>IFERROR(__xludf.DUMMYFUNCTION("""COMPUTED_VALUE"""),"No")</f>
        <v>No</v>
      </c>
      <c r="AB615" s="5" t="str">
        <f>IFERROR(__xludf.DUMMYFUNCTION("""COMPUTED_VALUE"""),"Yes")</f>
        <v>Yes</v>
      </c>
      <c r="AC615" s="5" t="str">
        <f>IFERROR(__xludf.DUMMYFUNCTION("""COMPUTED_VALUE"""),"Yes")</f>
        <v>Yes</v>
      </c>
    </row>
    <row r="616">
      <c r="A616" s="5" t="str">
        <f>IFERROR(__xludf.DUMMYFUNCTION("""COMPUTED_VALUE"""),"RedstoneDoubleWildDiamond")</f>
        <v>RedstoneDoubleWildDiamond</v>
      </c>
      <c r="B61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16" s="5" t="str">
        <f>IFERROR(__xludf.DUMMYFUNCTION("""COMPUTED_VALUE"""),"Yes")</f>
        <v>Yes</v>
      </c>
      <c r="D616" s="5" t="str">
        <f>IFERROR(__xludf.DUMMYFUNCTION("""COMPUTED_VALUE"""),"Yes")</f>
        <v>Yes</v>
      </c>
      <c r="E616" s="5" t="str">
        <f>IFERROR(__xludf.DUMMYFUNCTION("""COMPUTED_VALUE"""),"No")</f>
        <v>No</v>
      </c>
      <c r="F616" s="5" t="str">
        <f>IFERROR(__xludf.DUMMYFUNCTION("""COMPUTED_VALUE"""),"Yes")</f>
        <v>Yes</v>
      </c>
      <c r="G616" s="5" t="str">
        <f>IFERROR(__xludf.DUMMYFUNCTION("""COMPUTED_VALUE"""),"Yes")</f>
        <v>Yes</v>
      </c>
      <c r="H616" s="5" t="str">
        <f>IFERROR(__xludf.DUMMYFUNCTION("""COMPUTED_VALUE"""),"Yes")</f>
        <v>Yes</v>
      </c>
      <c r="I616" s="5" t="str">
        <f>IFERROR(__xludf.DUMMYFUNCTION("""COMPUTED_VALUE"""),"Yes")</f>
        <v>Yes</v>
      </c>
      <c r="J616" s="5" t="str">
        <f>IFERROR(__xludf.DUMMYFUNCTION("""COMPUTED_VALUE"""),"Yes")</f>
        <v>Yes</v>
      </c>
      <c r="K616" s="5" t="str">
        <f>IFERROR(__xludf.DUMMYFUNCTION("""COMPUTED_VALUE"""),"Yes")</f>
        <v>Yes</v>
      </c>
      <c r="L616" s="5" t="str">
        <f>IFERROR(__xludf.DUMMYFUNCTION("""COMPUTED_VALUE"""),"Yes")</f>
        <v>Yes</v>
      </c>
      <c r="M616" s="5" t="str">
        <f>IFERROR(__xludf.DUMMYFUNCTION("""COMPUTED_VALUE"""),"Yes")</f>
        <v>Yes</v>
      </c>
      <c r="N616" s="5" t="str">
        <f>IFERROR(__xludf.DUMMYFUNCTION("""COMPUTED_VALUE"""),"Yes")</f>
        <v>Yes</v>
      </c>
      <c r="O616" s="5" t="str">
        <f>IFERROR(__xludf.DUMMYFUNCTION("""COMPUTED_VALUE"""),"Yes")</f>
        <v>Yes</v>
      </c>
      <c r="P616" s="5" t="str">
        <f>IFERROR(__xludf.DUMMYFUNCTION("""COMPUTED_VALUE"""),"Yes")</f>
        <v>Yes</v>
      </c>
      <c r="Q616" s="5" t="str">
        <f>IFERROR(__xludf.DUMMYFUNCTION("""COMPUTED_VALUE"""),"Yes")</f>
        <v>Yes</v>
      </c>
      <c r="R616" s="5" t="str">
        <f>IFERROR(__xludf.DUMMYFUNCTION("""COMPUTED_VALUE"""),"No")</f>
        <v>No</v>
      </c>
      <c r="S616" s="5" t="str">
        <f>IFERROR(__xludf.DUMMYFUNCTION("""COMPUTED_VALUE"""),"No")</f>
        <v>No</v>
      </c>
      <c r="T616" s="5" t="str">
        <f>IFERROR(__xludf.DUMMYFUNCTION("""COMPUTED_VALUE"""),"No")</f>
        <v>No</v>
      </c>
      <c r="U616" s="5" t="str">
        <f>IFERROR(__xludf.DUMMYFUNCTION("""COMPUTED_VALUE"""),"No")</f>
        <v>No</v>
      </c>
      <c r="V616" s="5" t="str">
        <f>IFERROR(__xludf.DUMMYFUNCTION("""COMPUTED_VALUE"""),"No")</f>
        <v>No</v>
      </c>
      <c r="W616" s="5" t="str">
        <f>IFERROR(__xludf.DUMMYFUNCTION("""COMPUTED_VALUE"""),"No")</f>
        <v>No</v>
      </c>
      <c r="X616" s="5" t="str">
        <f>IFERROR(__xludf.DUMMYFUNCTION("""COMPUTED_VALUE"""),"Yes")</f>
        <v>Yes</v>
      </c>
      <c r="Y616" s="5" t="str">
        <f>IFERROR(__xludf.DUMMYFUNCTION("""COMPUTED_VALUE"""),"No")</f>
        <v>No</v>
      </c>
      <c r="Z616" s="5" t="str">
        <f>IFERROR(__xludf.DUMMYFUNCTION("""COMPUTED_VALUE"""),"No")</f>
        <v>No</v>
      </c>
      <c r="AA616" s="5" t="str">
        <f>IFERROR(__xludf.DUMMYFUNCTION("""COMPUTED_VALUE"""),"No")</f>
        <v>No</v>
      </c>
      <c r="AB616" s="5" t="str">
        <f>IFERROR(__xludf.DUMMYFUNCTION("""COMPUTED_VALUE"""),"Yes")</f>
        <v>Yes</v>
      </c>
      <c r="AC616" s="5" t="str">
        <f>IFERROR(__xludf.DUMMYFUNCTION("""COMPUTED_VALUE"""),"No")</f>
        <v>No</v>
      </c>
    </row>
    <row r="617">
      <c r="A617" s="5" t="str">
        <f>IFERROR(__xludf.DUMMYFUNCTION("""COMPUTED_VALUE"""),"PlayNetDiamondHeart10")</f>
        <v>PlayNetDiamondHeart10</v>
      </c>
      <c r="B61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7" s="5" t="str">
        <f>IFERROR(__xludf.DUMMYFUNCTION("""COMPUTED_VALUE"""),"Yes")</f>
        <v>Yes</v>
      </c>
      <c r="D617" s="5" t="str">
        <f>IFERROR(__xludf.DUMMYFUNCTION("""COMPUTED_VALUE"""),"Yes")</f>
        <v>Yes</v>
      </c>
      <c r="E617" s="5" t="str">
        <f>IFERROR(__xludf.DUMMYFUNCTION("""COMPUTED_VALUE"""),"Yes")</f>
        <v>Yes</v>
      </c>
      <c r="F617" s="5" t="str">
        <f>IFERROR(__xludf.DUMMYFUNCTION("""COMPUTED_VALUE"""),"Yes")</f>
        <v>Yes</v>
      </c>
      <c r="G617" s="5" t="str">
        <f>IFERROR(__xludf.DUMMYFUNCTION("""COMPUTED_VALUE"""),"Yes")</f>
        <v>Yes</v>
      </c>
      <c r="H617" s="5" t="str">
        <f>IFERROR(__xludf.DUMMYFUNCTION("""COMPUTED_VALUE"""),"Yes")</f>
        <v>Yes</v>
      </c>
      <c r="I617" s="5" t="str">
        <f>IFERROR(__xludf.DUMMYFUNCTION("""COMPUTED_VALUE"""),"Yes")</f>
        <v>Yes</v>
      </c>
      <c r="J617" s="5" t="str">
        <f>IFERROR(__xludf.DUMMYFUNCTION("""COMPUTED_VALUE"""),"Yes")</f>
        <v>Yes</v>
      </c>
      <c r="K617" s="5" t="str">
        <f>IFERROR(__xludf.DUMMYFUNCTION("""COMPUTED_VALUE"""),"Yes")</f>
        <v>Yes</v>
      </c>
      <c r="L617" s="5" t="str">
        <f>IFERROR(__xludf.DUMMYFUNCTION("""COMPUTED_VALUE"""),"Yes")</f>
        <v>Yes</v>
      </c>
      <c r="M617" s="5" t="str">
        <f>IFERROR(__xludf.DUMMYFUNCTION("""COMPUTED_VALUE"""),"Yes")</f>
        <v>Yes</v>
      </c>
      <c r="N617" s="5" t="str">
        <f>IFERROR(__xludf.DUMMYFUNCTION("""COMPUTED_VALUE"""),"Yes")</f>
        <v>Yes</v>
      </c>
      <c r="O617" s="5" t="str">
        <f>IFERROR(__xludf.DUMMYFUNCTION("""COMPUTED_VALUE"""),"Yes")</f>
        <v>Yes</v>
      </c>
      <c r="P617" s="5" t="str">
        <f>IFERROR(__xludf.DUMMYFUNCTION("""COMPUTED_VALUE"""),"Yes")</f>
        <v>Yes</v>
      </c>
      <c r="Q617" s="5" t="str">
        <f>IFERROR(__xludf.DUMMYFUNCTION("""COMPUTED_VALUE"""),"Yes")</f>
        <v>Yes</v>
      </c>
      <c r="R617" s="5" t="str">
        <f>IFERROR(__xludf.DUMMYFUNCTION("""COMPUTED_VALUE"""),"No")</f>
        <v>No</v>
      </c>
      <c r="S617" s="5" t="str">
        <f>IFERROR(__xludf.DUMMYFUNCTION("""COMPUTED_VALUE"""),"No")</f>
        <v>No</v>
      </c>
      <c r="T617" s="5" t="str">
        <f>IFERROR(__xludf.DUMMYFUNCTION("""COMPUTED_VALUE"""),"No")</f>
        <v>No</v>
      </c>
      <c r="U617" s="5" t="str">
        <f>IFERROR(__xludf.DUMMYFUNCTION("""COMPUTED_VALUE"""),"No")</f>
        <v>No</v>
      </c>
      <c r="V617" s="5" t="str">
        <f>IFERROR(__xludf.DUMMYFUNCTION("""COMPUTED_VALUE"""),"No")</f>
        <v>No</v>
      </c>
      <c r="W617" s="5" t="str">
        <f>IFERROR(__xludf.DUMMYFUNCTION("""COMPUTED_VALUE"""),"No")</f>
        <v>No</v>
      </c>
      <c r="X617" s="5" t="str">
        <f>IFERROR(__xludf.DUMMYFUNCTION("""COMPUTED_VALUE"""),"No")</f>
        <v>No</v>
      </c>
      <c r="Y617" s="5" t="str">
        <f>IFERROR(__xludf.DUMMYFUNCTION("""COMPUTED_VALUE"""),"No")</f>
        <v>No</v>
      </c>
      <c r="Z617" s="5" t="str">
        <f>IFERROR(__xludf.DUMMYFUNCTION("""COMPUTED_VALUE"""),"No")</f>
        <v>No</v>
      </c>
      <c r="AA617" s="5" t="str">
        <f>IFERROR(__xludf.DUMMYFUNCTION("""COMPUTED_VALUE"""),"No")</f>
        <v>No</v>
      </c>
      <c r="AB617" s="5" t="str">
        <f>IFERROR(__xludf.DUMMYFUNCTION("""COMPUTED_VALUE"""),"Yes")</f>
        <v>Yes</v>
      </c>
      <c r="AC617" s="5" t="str">
        <f>IFERROR(__xludf.DUMMYFUNCTION("""COMPUTED_VALUE"""),"No")</f>
        <v>No</v>
      </c>
    </row>
    <row r="618">
      <c r="A618" s="5" t="str">
        <f>IFERROR(__xludf.DUMMYFUNCTION("""COMPUTED_VALUE"""),"PlayNetLeprechaunsFortuneClover")</f>
        <v>PlayNetLeprechaunsFortuneClover</v>
      </c>
      <c r="B61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8" s="5" t="str">
        <f>IFERROR(__xludf.DUMMYFUNCTION("""COMPUTED_VALUE"""),"Yes")</f>
        <v>Yes</v>
      </c>
      <c r="D618" s="5" t="str">
        <f>IFERROR(__xludf.DUMMYFUNCTION("""COMPUTED_VALUE"""),"Yes")</f>
        <v>Yes</v>
      </c>
      <c r="E618" s="5" t="str">
        <f>IFERROR(__xludf.DUMMYFUNCTION("""COMPUTED_VALUE"""),"Yes")</f>
        <v>Yes</v>
      </c>
      <c r="F618" s="5" t="str">
        <f>IFERROR(__xludf.DUMMYFUNCTION("""COMPUTED_VALUE"""),"Yes")</f>
        <v>Yes</v>
      </c>
      <c r="G618" s="5" t="str">
        <f>IFERROR(__xludf.DUMMYFUNCTION("""COMPUTED_VALUE"""),"Yes")</f>
        <v>Yes</v>
      </c>
      <c r="H618" s="5" t="str">
        <f>IFERROR(__xludf.DUMMYFUNCTION("""COMPUTED_VALUE"""),"Yes")</f>
        <v>Yes</v>
      </c>
      <c r="I618" s="5" t="str">
        <f>IFERROR(__xludf.DUMMYFUNCTION("""COMPUTED_VALUE"""),"Yes")</f>
        <v>Yes</v>
      </c>
      <c r="J618" s="5" t="str">
        <f>IFERROR(__xludf.DUMMYFUNCTION("""COMPUTED_VALUE"""),"Yes")</f>
        <v>Yes</v>
      </c>
      <c r="K618" s="5" t="str">
        <f>IFERROR(__xludf.DUMMYFUNCTION("""COMPUTED_VALUE"""),"Yes")</f>
        <v>Yes</v>
      </c>
      <c r="L618" s="5" t="str">
        <f>IFERROR(__xludf.DUMMYFUNCTION("""COMPUTED_VALUE"""),"Yes")</f>
        <v>Yes</v>
      </c>
      <c r="M618" s="5" t="str">
        <f>IFERROR(__xludf.DUMMYFUNCTION("""COMPUTED_VALUE"""),"Yes")</f>
        <v>Yes</v>
      </c>
      <c r="N618" s="5" t="str">
        <f>IFERROR(__xludf.DUMMYFUNCTION("""COMPUTED_VALUE"""),"Yes")</f>
        <v>Yes</v>
      </c>
      <c r="O618" s="5" t="str">
        <f>IFERROR(__xludf.DUMMYFUNCTION("""COMPUTED_VALUE"""),"Yes")</f>
        <v>Yes</v>
      </c>
      <c r="P618" s="5" t="str">
        <f>IFERROR(__xludf.DUMMYFUNCTION("""COMPUTED_VALUE"""),"Yes")</f>
        <v>Yes</v>
      </c>
      <c r="Q618" s="5" t="str">
        <f>IFERROR(__xludf.DUMMYFUNCTION("""COMPUTED_VALUE"""),"Yes")</f>
        <v>Yes</v>
      </c>
      <c r="R618" s="5" t="str">
        <f>IFERROR(__xludf.DUMMYFUNCTION("""COMPUTED_VALUE"""),"No")</f>
        <v>No</v>
      </c>
      <c r="S618" s="5" t="str">
        <f>IFERROR(__xludf.DUMMYFUNCTION("""COMPUTED_VALUE"""),"No")</f>
        <v>No</v>
      </c>
      <c r="T618" s="5" t="str">
        <f>IFERROR(__xludf.DUMMYFUNCTION("""COMPUTED_VALUE"""),"No")</f>
        <v>No</v>
      </c>
      <c r="U618" s="5" t="str">
        <f>IFERROR(__xludf.DUMMYFUNCTION("""COMPUTED_VALUE"""),"No")</f>
        <v>No</v>
      </c>
      <c r="V618" s="5" t="str">
        <f>IFERROR(__xludf.DUMMYFUNCTION("""COMPUTED_VALUE"""),"No")</f>
        <v>No</v>
      </c>
      <c r="W618" s="5" t="str">
        <f>IFERROR(__xludf.DUMMYFUNCTION("""COMPUTED_VALUE"""),"No")</f>
        <v>No</v>
      </c>
      <c r="X618" s="5" t="str">
        <f>IFERROR(__xludf.DUMMYFUNCTION("""COMPUTED_VALUE"""),"No")</f>
        <v>No</v>
      </c>
      <c r="Y618" s="5" t="str">
        <f>IFERROR(__xludf.DUMMYFUNCTION("""COMPUTED_VALUE"""),"No")</f>
        <v>No</v>
      </c>
      <c r="Z618" s="5" t="str">
        <f>IFERROR(__xludf.DUMMYFUNCTION("""COMPUTED_VALUE"""),"No")</f>
        <v>No</v>
      </c>
      <c r="AA618" s="5" t="str">
        <f>IFERROR(__xludf.DUMMYFUNCTION("""COMPUTED_VALUE"""),"No")</f>
        <v>No</v>
      </c>
      <c r="AB618" s="5" t="str">
        <f>IFERROR(__xludf.DUMMYFUNCTION("""COMPUTED_VALUE"""),"Yes")</f>
        <v>Yes</v>
      </c>
      <c r="AC618" s="5" t="str">
        <f>IFERROR(__xludf.DUMMYFUNCTION("""COMPUTED_VALUE"""),"No")</f>
        <v>No</v>
      </c>
    </row>
    <row r="619">
      <c r="A619" s="5" t="str">
        <f>IFERROR(__xludf.DUMMYFUNCTION("""COMPUTED_VALUE"""),"PlayNetEmpressOfFlame")</f>
        <v>PlayNetEmpressOfFlame</v>
      </c>
      <c r="B61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9" s="5" t="str">
        <f>IFERROR(__xludf.DUMMYFUNCTION("""COMPUTED_VALUE"""),"Yes")</f>
        <v>Yes</v>
      </c>
      <c r="D619" s="5" t="str">
        <f>IFERROR(__xludf.DUMMYFUNCTION("""COMPUTED_VALUE"""),"Yes")</f>
        <v>Yes</v>
      </c>
      <c r="E619" s="5" t="str">
        <f>IFERROR(__xludf.DUMMYFUNCTION("""COMPUTED_VALUE"""),"Yes")</f>
        <v>Yes</v>
      </c>
      <c r="F619" s="5" t="str">
        <f>IFERROR(__xludf.DUMMYFUNCTION("""COMPUTED_VALUE"""),"Yes")</f>
        <v>Yes</v>
      </c>
      <c r="G619" s="5" t="str">
        <f>IFERROR(__xludf.DUMMYFUNCTION("""COMPUTED_VALUE"""),"Yes")</f>
        <v>Yes</v>
      </c>
      <c r="H619" s="5" t="str">
        <f>IFERROR(__xludf.DUMMYFUNCTION("""COMPUTED_VALUE"""),"Yes")</f>
        <v>Yes</v>
      </c>
      <c r="I619" s="5" t="str">
        <f>IFERROR(__xludf.DUMMYFUNCTION("""COMPUTED_VALUE"""),"Yes")</f>
        <v>Yes</v>
      </c>
      <c r="J619" s="5" t="str">
        <f>IFERROR(__xludf.DUMMYFUNCTION("""COMPUTED_VALUE"""),"Yes")</f>
        <v>Yes</v>
      </c>
      <c r="K619" s="5" t="str">
        <f>IFERROR(__xludf.DUMMYFUNCTION("""COMPUTED_VALUE"""),"Yes")</f>
        <v>Yes</v>
      </c>
      <c r="L619" s="5" t="str">
        <f>IFERROR(__xludf.DUMMYFUNCTION("""COMPUTED_VALUE"""),"Yes")</f>
        <v>Yes</v>
      </c>
      <c r="M619" s="5" t="str">
        <f>IFERROR(__xludf.DUMMYFUNCTION("""COMPUTED_VALUE"""),"Yes")</f>
        <v>Yes</v>
      </c>
      <c r="N619" s="5" t="str">
        <f>IFERROR(__xludf.DUMMYFUNCTION("""COMPUTED_VALUE"""),"Yes")</f>
        <v>Yes</v>
      </c>
      <c r="O619" s="5" t="str">
        <f>IFERROR(__xludf.DUMMYFUNCTION("""COMPUTED_VALUE"""),"Yes")</f>
        <v>Yes</v>
      </c>
      <c r="P619" s="5" t="str">
        <f>IFERROR(__xludf.DUMMYFUNCTION("""COMPUTED_VALUE"""),"Yes")</f>
        <v>Yes</v>
      </c>
      <c r="Q619" s="5" t="str">
        <f>IFERROR(__xludf.DUMMYFUNCTION("""COMPUTED_VALUE"""),"Yes")</f>
        <v>Yes</v>
      </c>
      <c r="R619" s="5" t="str">
        <f>IFERROR(__xludf.DUMMYFUNCTION("""COMPUTED_VALUE"""),"No")</f>
        <v>No</v>
      </c>
      <c r="S619" s="5" t="str">
        <f>IFERROR(__xludf.DUMMYFUNCTION("""COMPUTED_VALUE"""),"No")</f>
        <v>No</v>
      </c>
      <c r="T619" s="5" t="str">
        <f>IFERROR(__xludf.DUMMYFUNCTION("""COMPUTED_VALUE"""),"No")</f>
        <v>No</v>
      </c>
      <c r="U619" s="5" t="str">
        <f>IFERROR(__xludf.DUMMYFUNCTION("""COMPUTED_VALUE"""),"No")</f>
        <v>No</v>
      </c>
      <c r="V619" s="5" t="str">
        <f>IFERROR(__xludf.DUMMYFUNCTION("""COMPUTED_VALUE"""),"No")</f>
        <v>No</v>
      </c>
      <c r="W619" s="5" t="str">
        <f>IFERROR(__xludf.DUMMYFUNCTION("""COMPUTED_VALUE"""),"No")</f>
        <v>No</v>
      </c>
      <c r="X619" s="5" t="str">
        <f>IFERROR(__xludf.DUMMYFUNCTION("""COMPUTED_VALUE"""),"No")</f>
        <v>No</v>
      </c>
      <c r="Y619" s="5" t="str">
        <f>IFERROR(__xludf.DUMMYFUNCTION("""COMPUTED_VALUE"""),"No")</f>
        <v>No</v>
      </c>
      <c r="Z619" s="5" t="str">
        <f>IFERROR(__xludf.DUMMYFUNCTION("""COMPUTED_VALUE"""),"No")</f>
        <v>No</v>
      </c>
      <c r="AA619" s="5" t="str">
        <f>IFERROR(__xludf.DUMMYFUNCTION("""COMPUTED_VALUE"""),"No")</f>
        <v>No</v>
      </c>
      <c r="AB619" s="5" t="str">
        <f>IFERROR(__xludf.DUMMYFUNCTION("""COMPUTED_VALUE"""),"Yes")</f>
        <v>Yes</v>
      </c>
      <c r="AC619" s="5" t="str">
        <f>IFERROR(__xludf.DUMMYFUNCTION("""COMPUTED_VALUE"""),"No")</f>
        <v>No</v>
      </c>
    </row>
    <row r="620">
      <c r="A620" s="5" t="str">
        <f>IFERROR(__xludf.DUMMYFUNCTION("""COMPUTED_VALUE"""),"UnicornThreeReelFruitBoost")</f>
        <v>UnicornThreeReelFruitBoost</v>
      </c>
      <c r="B620" s="5" t="str">
        <f>IFERROR(__xludf.DUMMYFUNCTION("""COMPUTED_VALUE"""),"English(""eng"")")</f>
        <v>English("eng")</v>
      </c>
      <c r="C620" s="5" t="str">
        <f>IFERROR(__xludf.DUMMYFUNCTION("""COMPUTED_VALUE"""),"Yes")</f>
        <v>Yes</v>
      </c>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row>
    <row r="621">
      <c r="A621" s="5" t="str">
        <f>IFERROR(__xludf.DUMMYFUNCTION("""COMPUTED_VALUE"""),"StarHeat40")</f>
        <v>StarHeat40</v>
      </c>
      <c r="B6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1" s="5" t="str">
        <f>IFERROR(__xludf.DUMMYFUNCTION("""COMPUTED_VALUE"""),"Yes")</f>
        <v>Yes</v>
      </c>
      <c r="D621" s="5" t="str">
        <f>IFERROR(__xludf.DUMMYFUNCTION("""COMPUTED_VALUE"""),"Yes")</f>
        <v>Yes</v>
      </c>
      <c r="E621" s="5" t="str">
        <f>IFERROR(__xludf.DUMMYFUNCTION("""COMPUTED_VALUE"""),"Yes")</f>
        <v>Yes</v>
      </c>
      <c r="F621" s="5" t="str">
        <f>IFERROR(__xludf.DUMMYFUNCTION("""COMPUTED_VALUE"""),"Yes")</f>
        <v>Yes</v>
      </c>
      <c r="G621" s="5" t="str">
        <f>IFERROR(__xludf.DUMMYFUNCTION("""COMPUTED_VALUE"""),"Yes")</f>
        <v>Yes</v>
      </c>
      <c r="H621" s="5" t="str">
        <f>IFERROR(__xludf.DUMMYFUNCTION("""COMPUTED_VALUE"""),"Yes")</f>
        <v>Yes</v>
      </c>
      <c r="I621" s="5" t="str">
        <f>IFERROR(__xludf.DUMMYFUNCTION("""COMPUTED_VALUE"""),"Yes")</f>
        <v>Yes</v>
      </c>
      <c r="J621" s="5" t="str">
        <f>IFERROR(__xludf.DUMMYFUNCTION("""COMPUTED_VALUE"""),"Yes")</f>
        <v>Yes</v>
      </c>
      <c r="K621" s="5" t="str">
        <f>IFERROR(__xludf.DUMMYFUNCTION("""COMPUTED_VALUE"""),"Yes")</f>
        <v>Yes</v>
      </c>
      <c r="L621" s="5" t="str">
        <f>IFERROR(__xludf.DUMMYFUNCTION("""COMPUTED_VALUE"""),"Yes")</f>
        <v>Yes</v>
      </c>
      <c r="M621" s="5" t="str">
        <f>IFERROR(__xludf.DUMMYFUNCTION("""COMPUTED_VALUE"""),"Yes")</f>
        <v>Yes</v>
      </c>
      <c r="N621" s="5" t="str">
        <f>IFERROR(__xludf.DUMMYFUNCTION("""COMPUTED_VALUE"""),"Yes")</f>
        <v>Yes</v>
      </c>
      <c r="O621" s="5" t="str">
        <f>IFERROR(__xludf.DUMMYFUNCTION("""COMPUTED_VALUE"""),"Yes")</f>
        <v>Yes</v>
      </c>
      <c r="P621" s="5" t="str">
        <f>IFERROR(__xludf.DUMMYFUNCTION("""COMPUTED_VALUE"""),"Yes")</f>
        <v>Yes</v>
      </c>
      <c r="Q621" s="5" t="str">
        <f>IFERROR(__xludf.DUMMYFUNCTION("""COMPUTED_VALUE"""),"Yes")</f>
        <v>Yes</v>
      </c>
      <c r="R621" s="5" t="str">
        <f>IFERROR(__xludf.DUMMYFUNCTION("""COMPUTED_VALUE"""),"Yes")</f>
        <v>Yes</v>
      </c>
      <c r="S621" s="5" t="str">
        <f>IFERROR(__xludf.DUMMYFUNCTION("""COMPUTED_VALUE"""),"Yes")</f>
        <v>Yes</v>
      </c>
      <c r="T621" s="5" t="str">
        <f>IFERROR(__xludf.DUMMYFUNCTION("""COMPUTED_VALUE"""),"Yes")</f>
        <v>Yes</v>
      </c>
      <c r="U621" s="5" t="str">
        <f>IFERROR(__xludf.DUMMYFUNCTION("""COMPUTED_VALUE"""),"Yes")</f>
        <v>Yes</v>
      </c>
      <c r="V621" s="5" t="str">
        <f>IFERROR(__xludf.DUMMYFUNCTION("""COMPUTED_VALUE"""),"Yes")</f>
        <v>Yes</v>
      </c>
      <c r="W621" s="5" t="str">
        <f>IFERROR(__xludf.DUMMYFUNCTION("""COMPUTED_VALUE"""),"Yes")</f>
        <v>Yes</v>
      </c>
      <c r="X621" s="5" t="str">
        <f>IFERROR(__xludf.DUMMYFUNCTION("""COMPUTED_VALUE"""),"Yes")</f>
        <v>Yes</v>
      </c>
      <c r="Y621" s="5" t="str">
        <f>IFERROR(__xludf.DUMMYFUNCTION("""COMPUTED_VALUE"""),"Yes")</f>
        <v>Yes</v>
      </c>
      <c r="Z621" s="5" t="str">
        <f>IFERROR(__xludf.DUMMYFUNCTION("""COMPUTED_VALUE"""),"Yes")</f>
        <v>Yes</v>
      </c>
      <c r="AA621" s="5" t="str">
        <f>IFERROR(__xludf.DUMMYFUNCTION("""COMPUTED_VALUE"""),"Yes")</f>
        <v>Yes</v>
      </c>
      <c r="AB621" s="5" t="str">
        <f>IFERROR(__xludf.DUMMYFUNCTION("""COMPUTED_VALUE"""),"Yes")</f>
        <v>Yes</v>
      </c>
      <c r="AC621" s="5" t="str">
        <f>IFERROR(__xludf.DUMMYFUNCTION("""COMPUTED_VALUE"""),"No")</f>
        <v>No</v>
      </c>
    </row>
    <row r="622">
      <c r="A622" s="5" t="str">
        <f>IFERROR(__xludf.DUMMYFUNCTION("""COMPUTED_VALUE"""),"Retro27")</f>
        <v>Retro27</v>
      </c>
      <c r="B6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2" s="5" t="str">
        <f>IFERROR(__xludf.DUMMYFUNCTION("""COMPUTED_VALUE"""),"Yes")</f>
        <v>Yes</v>
      </c>
      <c r="D622" s="5" t="str">
        <f>IFERROR(__xludf.DUMMYFUNCTION("""COMPUTED_VALUE"""),"Yes")</f>
        <v>Yes</v>
      </c>
      <c r="E622" s="5" t="str">
        <f>IFERROR(__xludf.DUMMYFUNCTION("""COMPUTED_VALUE"""),"Yes")</f>
        <v>Yes</v>
      </c>
      <c r="F622" s="5" t="str">
        <f>IFERROR(__xludf.DUMMYFUNCTION("""COMPUTED_VALUE"""),"Yes")</f>
        <v>Yes</v>
      </c>
      <c r="G622" s="5" t="str">
        <f>IFERROR(__xludf.DUMMYFUNCTION("""COMPUTED_VALUE"""),"Yes")</f>
        <v>Yes</v>
      </c>
      <c r="H622" s="5" t="str">
        <f>IFERROR(__xludf.DUMMYFUNCTION("""COMPUTED_VALUE"""),"Yes")</f>
        <v>Yes</v>
      </c>
      <c r="I622" s="5" t="str">
        <f>IFERROR(__xludf.DUMMYFUNCTION("""COMPUTED_VALUE"""),"Yes")</f>
        <v>Yes</v>
      </c>
      <c r="J622" s="5" t="str">
        <f>IFERROR(__xludf.DUMMYFUNCTION("""COMPUTED_VALUE"""),"Yes")</f>
        <v>Yes</v>
      </c>
      <c r="K622" s="5" t="str">
        <f>IFERROR(__xludf.DUMMYFUNCTION("""COMPUTED_VALUE"""),"Yes")</f>
        <v>Yes</v>
      </c>
      <c r="L622" s="5" t="str">
        <f>IFERROR(__xludf.DUMMYFUNCTION("""COMPUTED_VALUE"""),"Yes")</f>
        <v>Yes</v>
      </c>
      <c r="M622" s="5" t="str">
        <f>IFERROR(__xludf.DUMMYFUNCTION("""COMPUTED_VALUE"""),"Yes")</f>
        <v>Yes</v>
      </c>
      <c r="N622" s="5" t="str">
        <f>IFERROR(__xludf.DUMMYFUNCTION("""COMPUTED_VALUE"""),"Yes")</f>
        <v>Yes</v>
      </c>
      <c r="O622" s="5" t="str">
        <f>IFERROR(__xludf.DUMMYFUNCTION("""COMPUTED_VALUE"""),"Yes")</f>
        <v>Yes</v>
      </c>
      <c r="P622" s="5" t="str">
        <f>IFERROR(__xludf.DUMMYFUNCTION("""COMPUTED_VALUE"""),"Yes")</f>
        <v>Yes</v>
      </c>
      <c r="Q622" s="5" t="str">
        <f>IFERROR(__xludf.DUMMYFUNCTION("""COMPUTED_VALUE"""),"Yes")</f>
        <v>Yes</v>
      </c>
      <c r="R622" s="5" t="str">
        <f>IFERROR(__xludf.DUMMYFUNCTION("""COMPUTED_VALUE"""),"Yes")</f>
        <v>Yes</v>
      </c>
      <c r="S622" s="5" t="str">
        <f>IFERROR(__xludf.DUMMYFUNCTION("""COMPUTED_VALUE"""),"Yes")</f>
        <v>Yes</v>
      </c>
      <c r="T622" s="5" t="str">
        <f>IFERROR(__xludf.DUMMYFUNCTION("""COMPUTED_VALUE"""),"Yes")</f>
        <v>Yes</v>
      </c>
      <c r="U622" s="5" t="str">
        <f>IFERROR(__xludf.DUMMYFUNCTION("""COMPUTED_VALUE"""),"Yes")</f>
        <v>Yes</v>
      </c>
      <c r="V622" s="5" t="str">
        <f>IFERROR(__xludf.DUMMYFUNCTION("""COMPUTED_VALUE"""),"Yes")</f>
        <v>Yes</v>
      </c>
      <c r="W622" s="5" t="str">
        <f>IFERROR(__xludf.DUMMYFUNCTION("""COMPUTED_VALUE"""),"Yes")</f>
        <v>Yes</v>
      </c>
      <c r="X622" s="5" t="str">
        <f>IFERROR(__xludf.DUMMYFUNCTION("""COMPUTED_VALUE"""),"Yes")</f>
        <v>Yes</v>
      </c>
      <c r="Y622" s="5" t="str">
        <f>IFERROR(__xludf.DUMMYFUNCTION("""COMPUTED_VALUE"""),"Yes")</f>
        <v>Yes</v>
      </c>
      <c r="Z622" s="5" t="str">
        <f>IFERROR(__xludf.DUMMYFUNCTION("""COMPUTED_VALUE"""),"Yes")</f>
        <v>Yes</v>
      </c>
      <c r="AA622" s="5" t="str">
        <f>IFERROR(__xludf.DUMMYFUNCTION("""COMPUTED_VALUE"""),"Yes")</f>
        <v>Yes</v>
      </c>
      <c r="AB622" s="5" t="str">
        <f>IFERROR(__xludf.DUMMYFUNCTION("""COMPUTED_VALUE"""),"Yes")</f>
        <v>Yes</v>
      </c>
      <c r="AC622" s="5" t="str">
        <f>IFERROR(__xludf.DUMMYFUNCTION("""COMPUTED_VALUE"""),"No")</f>
        <v>No</v>
      </c>
    </row>
    <row r="623">
      <c r="A623" s="5" t="str">
        <f>IFERROR(__xludf.DUMMYFUNCTION("""COMPUTED_VALUE"""),"Wild27Dice")</f>
        <v>Wild27Dice</v>
      </c>
      <c r="B6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3" s="5" t="str">
        <f>IFERROR(__xludf.DUMMYFUNCTION("""COMPUTED_VALUE"""),"Yes")</f>
        <v>Yes</v>
      </c>
      <c r="D623" s="5" t="str">
        <f>IFERROR(__xludf.DUMMYFUNCTION("""COMPUTED_VALUE"""),"Yes")</f>
        <v>Yes</v>
      </c>
      <c r="E623" s="5" t="str">
        <f>IFERROR(__xludf.DUMMYFUNCTION("""COMPUTED_VALUE"""),"Yes")</f>
        <v>Yes</v>
      </c>
      <c r="F623" s="5" t="str">
        <f>IFERROR(__xludf.DUMMYFUNCTION("""COMPUTED_VALUE"""),"Yes")</f>
        <v>Yes</v>
      </c>
      <c r="G623" s="5" t="str">
        <f>IFERROR(__xludf.DUMMYFUNCTION("""COMPUTED_VALUE"""),"Yes")</f>
        <v>Yes</v>
      </c>
      <c r="H623" s="5" t="str">
        <f>IFERROR(__xludf.DUMMYFUNCTION("""COMPUTED_VALUE"""),"Yes")</f>
        <v>Yes</v>
      </c>
      <c r="I623" s="5" t="str">
        <f>IFERROR(__xludf.DUMMYFUNCTION("""COMPUTED_VALUE"""),"Yes")</f>
        <v>Yes</v>
      </c>
      <c r="J623" s="5" t="str">
        <f>IFERROR(__xludf.DUMMYFUNCTION("""COMPUTED_VALUE"""),"Yes")</f>
        <v>Yes</v>
      </c>
      <c r="K623" s="5" t="str">
        <f>IFERROR(__xludf.DUMMYFUNCTION("""COMPUTED_VALUE"""),"Yes")</f>
        <v>Yes</v>
      </c>
      <c r="L623" s="5" t="str">
        <f>IFERROR(__xludf.DUMMYFUNCTION("""COMPUTED_VALUE"""),"Yes")</f>
        <v>Yes</v>
      </c>
      <c r="M623" s="5" t="str">
        <f>IFERROR(__xludf.DUMMYFUNCTION("""COMPUTED_VALUE"""),"Yes")</f>
        <v>Yes</v>
      </c>
      <c r="N623" s="5" t="str">
        <f>IFERROR(__xludf.DUMMYFUNCTION("""COMPUTED_VALUE"""),"Yes")</f>
        <v>Yes</v>
      </c>
      <c r="O623" s="5" t="str">
        <f>IFERROR(__xludf.DUMMYFUNCTION("""COMPUTED_VALUE"""),"Yes")</f>
        <v>Yes</v>
      </c>
      <c r="P623" s="5" t="str">
        <f>IFERROR(__xludf.DUMMYFUNCTION("""COMPUTED_VALUE"""),"Yes")</f>
        <v>Yes</v>
      </c>
      <c r="Q623" s="5" t="str">
        <f>IFERROR(__xludf.DUMMYFUNCTION("""COMPUTED_VALUE"""),"Yes")</f>
        <v>Yes</v>
      </c>
      <c r="R623" s="5" t="str">
        <f>IFERROR(__xludf.DUMMYFUNCTION("""COMPUTED_VALUE"""),"Yes")</f>
        <v>Yes</v>
      </c>
      <c r="S623" s="5" t="str">
        <f>IFERROR(__xludf.DUMMYFUNCTION("""COMPUTED_VALUE"""),"Yes")</f>
        <v>Yes</v>
      </c>
      <c r="T623" s="5" t="str">
        <f>IFERROR(__xludf.DUMMYFUNCTION("""COMPUTED_VALUE"""),"Yes")</f>
        <v>Yes</v>
      </c>
      <c r="U623" s="5" t="str">
        <f>IFERROR(__xludf.DUMMYFUNCTION("""COMPUTED_VALUE"""),"Yes")</f>
        <v>Yes</v>
      </c>
      <c r="V623" s="5" t="str">
        <f>IFERROR(__xludf.DUMMYFUNCTION("""COMPUTED_VALUE"""),"Yes")</f>
        <v>Yes</v>
      </c>
      <c r="W623" s="5" t="str">
        <f>IFERROR(__xludf.DUMMYFUNCTION("""COMPUTED_VALUE"""),"Yes")</f>
        <v>Yes</v>
      </c>
      <c r="X623" s="5" t="str">
        <f>IFERROR(__xludf.DUMMYFUNCTION("""COMPUTED_VALUE"""),"Yes")</f>
        <v>Yes</v>
      </c>
      <c r="Y623" s="5" t="str">
        <f>IFERROR(__xludf.DUMMYFUNCTION("""COMPUTED_VALUE"""),"Yes")</f>
        <v>Yes</v>
      </c>
      <c r="Z623" s="5" t="str">
        <f>IFERROR(__xludf.DUMMYFUNCTION("""COMPUTED_VALUE"""),"Yes")</f>
        <v>Yes</v>
      </c>
      <c r="AA623" s="5" t="str">
        <f>IFERROR(__xludf.DUMMYFUNCTION("""COMPUTED_VALUE"""),"Yes")</f>
        <v>Yes</v>
      </c>
      <c r="AB623" s="5" t="str">
        <f>IFERROR(__xludf.DUMMYFUNCTION("""COMPUTED_VALUE"""),"Yes")</f>
        <v>Yes</v>
      </c>
      <c r="AC623" s="5" t="str">
        <f>IFERROR(__xludf.DUMMYFUNCTION("""COMPUTED_VALUE"""),"No")</f>
        <v>No</v>
      </c>
    </row>
    <row r="624">
      <c r="A624" s="5" t="str">
        <f>IFERROR(__xludf.DUMMYFUNCTION("""COMPUTED_VALUE"""),"CoinSplashDice")</f>
        <v>CoinSplashDice</v>
      </c>
      <c r="B6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4" s="5" t="str">
        <f>IFERROR(__xludf.DUMMYFUNCTION("""COMPUTED_VALUE"""),"Yes")</f>
        <v>Yes</v>
      </c>
      <c r="D624" s="5" t="str">
        <f>IFERROR(__xludf.DUMMYFUNCTION("""COMPUTED_VALUE"""),"Yes")</f>
        <v>Yes</v>
      </c>
      <c r="E624" s="5" t="str">
        <f>IFERROR(__xludf.DUMMYFUNCTION("""COMPUTED_VALUE"""),"Yes")</f>
        <v>Yes</v>
      </c>
      <c r="F624" s="5" t="str">
        <f>IFERROR(__xludf.DUMMYFUNCTION("""COMPUTED_VALUE"""),"Yes")</f>
        <v>Yes</v>
      </c>
      <c r="G624" s="5" t="str">
        <f>IFERROR(__xludf.DUMMYFUNCTION("""COMPUTED_VALUE"""),"Yes")</f>
        <v>Yes</v>
      </c>
      <c r="H624" s="5" t="str">
        <f>IFERROR(__xludf.DUMMYFUNCTION("""COMPUTED_VALUE"""),"Yes")</f>
        <v>Yes</v>
      </c>
      <c r="I624" s="5" t="str">
        <f>IFERROR(__xludf.DUMMYFUNCTION("""COMPUTED_VALUE"""),"Yes")</f>
        <v>Yes</v>
      </c>
      <c r="J624" s="5" t="str">
        <f>IFERROR(__xludf.DUMMYFUNCTION("""COMPUTED_VALUE"""),"Yes")</f>
        <v>Yes</v>
      </c>
      <c r="K624" s="5" t="str">
        <f>IFERROR(__xludf.DUMMYFUNCTION("""COMPUTED_VALUE"""),"Yes")</f>
        <v>Yes</v>
      </c>
      <c r="L624" s="5" t="str">
        <f>IFERROR(__xludf.DUMMYFUNCTION("""COMPUTED_VALUE"""),"Yes")</f>
        <v>Yes</v>
      </c>
      <c r="M624" s="5" t="str">
        <f>IFERROR(__xludf.DUMMYFUNCTION("""COMPUTED_VALUE"""),"Yes")</f>
        <v>Yes</v>
      </c>
      <c r="N624" s="5" t="str">
        <f>IFERROR(__xludf.DUMMYFUNCTION("""COMPUTED_VALUE"""),"Yes")</f>
        <v>Yes</v>
      </c>
      <c r="O624" s="5" t="str">
        <f>IFERROR(__xludf.DUMMYFUNCTION("""COMPUTED_VALUE"""),"Yes")</f>
        <v>Yes</v>
      </c>
      <c r="P624" s="5" t="str">
        <f>IFERROR(__xludf.DUMMYFUNCTION("""COMPUTED_VALUE"""),"Yes")</f>
        <v>Yes</v>
      </c>
      <c r="Q624" s="5" t="str">
        <f>IFERROR(__xludf.DUMMYFUNCTION("""COMPUTED_VALUE"""),"Yes")</f>
        <v>Yes</v>
      </c>
      <c r="R624" s="5" t="str">
        <f>IFERROR(__xludf.DUMMYFUNCTION("""COMPUTED_VALUE"""),"Yes")</f>
        <v>Yes</v>
      </c>
      <c r="S624" s="5" t="str">
        <f>IFERROR(__xludf.DUMMYFUNCTION("""COMPUTED_VALUE"""),"Yes")</f>
        <v>Yes</v>
      </c>
      <c r="T624" s="5" t="str">
        <f>IFERROR(__xludf.DUMMYFUNCTION("""COMPUTED_VALUE"""),"Yes")</f>
        <v>Yes</v>
      </c>
      <c r="U624" s="5" t="str">
        <f>IFERROR(__xludf.DUMMYFUNCTION("""COMPUTED_VALUE"""),"Yes")</f>
        <v>Yes</v>
      </c>
      <c r="V624" s="5" t="str">
        <f>IFERROR(__xludf.DUMMYFUNCTION("""COMPUTED_VALUE"""),"Yes")</f>
        <v>Yes</v>
      </c>
      <c r="W624" s="5" t="str">
        <f>IFERROR(__xludf.DUMMYFUNCTION("""COMPUTED_VALUE"""),"Yes")</f>
        <v>Yes</v>
      </c>
      <c r="X624" s="5" t="str">
        <f>IFERROR(__xludf.DUMMYFUNCTION("""COMPUTED_VALUE"""),"Yes")</f>
        <v>Yes</v>
      </c>
      <c r="Y624" s="5" t="str">
        <f>IFERROR(__xludf.DUMMYFUNCTION("""COMPUTED_VALUE"""),"Yes")</f>
        <v>Yes</v>
      </c>
      <c r="Z624" s="5" t="str">
        <f>IFERROR(__xludf.DUMMYFUNCTION("""COMPUTED_VALUE"""),"Yes")</f>
        <v>Yes</v>
      </c>
      <c r="AA624" s="5" t="str">
        <f>IFERROR(__xludf.DUMMYFUNCTION("""COMPUTED_VALUE"""),"Yes")</f>
        <v>Yes</v>
      </c>
      <c r="AB624" s="5" t="str">
        <f>IFERROR(__xludf.DUMMYFUNCTION("""COMPUTED_VALUE"""),"Yes")</f>
        <v>Yes</v>
      </c>
      <c r="AC624" s="5" t="str">
        <f>IFERROR(__xludf.DUMMYFUNCTION("""COMPUTED_VALUE"""),"No")</f>
        <v>No</v>
      </c>
    </row>
    <row r="625">
      <c r="A625" s="5" t="str">
        <f>IFERROR(__xludf.DUMMYFUNCTION("""COMPUTED_VALUE"""),"FruitsAndStars1X")</f>
        <v>FruitsAndStars1X</v>
      </c>
      <c r="B62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5" s="5" t="str">
        <f>IFERROR(__xludf.DUMMYFUNCTION("""COMPUTED_VALUE"""),"Yes")</f>
        <v>Yes</v>
      </c>
      <c r="D625" s="5" t="str">
        <f>IFERROR(__xludf.DUMMYFUNCTION("""COMPUTED_VALUE"""),"Yes")</f>
        <v>Yes</v>
      </c>
      <c r="E625" s="5" t="str">
        <f>IFERROR(__xludf.DUMMYFUNCTION("""COMPUTED_VALUE"""),"Yes")</f>
        <v>Yes</v>
      </c>
      <c r="F625" s="5" t="str">
        <f>IFERROR(__xludf.DUMMYFUNCTION("""COMPUTED_VALUE"""),"Yes")</f>
        <v>Yes</v>
      </c>
      <c r="G625" s="5" t="str">
        <f>IFERROR(__xludf.DUMMYFUNCTION("""COMPUTED_VALUE"""),"Yes")</f>
        <v>Yes</v>
      </c>
      <c r="H625" s="5" t="str">
        <f>IFERROR(__xludf.DUMMYFUNCTION("""COMPUTED_VALUE"""),"Yes")</f>
        <v>Yes</v>
      </c>
      <c r="I625" s="5" t="str">
        <f>IFERROR(__xludf.DUMMYFUNCTION("""COMPUTED_VALUE"""),"Yes")</f>
        <v>Yes</v>
      </c>
      <c r="J625" s="5" t="str">
        <f>IFERROR(__xludf.DUMMYFUNCTION("""COMPUTED_VALUE"""),"Yes")</f>
        <v>Yes</v>
      </c>
      <c r="K625" s="5" t="str">
        <f>IFERROR(__xludf.DUMMYFUNCTION("""COMPUTED_VALUE"""),"Yes")</f>
        <v>Yes</v>
      </c>
      <c r="L625" s="5" t="str">
        <f>IFERROR(__xludf.DUMMYFUNCTION("""COMPUTED_VALUE"""),"Yes")</f>
        <v>Yes</v>
      </c>
      <c r="M625" s="5" t="str">
        <f>IFERROR(__xludf.DUMMYFUNCTION("""COMPUTED_VALUE"""),"Yes")</f>
        <v>Yes</v>
      </c>
      <c r="N625" s="5" t="str">
        <f>IFERROR(__xludf.DUMMYFUNCTION("""COMPUTED_VALUE"""),"Yes")</f>
        <v>Yes</v>
      </c>
      <c r="O625" s="5" t="str">
        <f>IFERROR(__xludf.DUMMYFUNCTION("""COMPUTED_VALUE"""),"Yes")</f>
        <v>Yes</v>
      </c>
      <c r="P625" s="5" t="str">
        <f>IFERROR(__xludf.DUMMYFUNCTION("""COMPUTED_VALUE"""),"Yes")</f>
        <v>Yes</v>
      </c>
      <c r="Q625" s="5" t="str">
        <f>IFERROR(__xludf.DUMMYFUNCTION("""COMPUTED_VALUE"""),"Yes")</f>
        <v>Yes</v>
      </c>
      <c r="R625" s="5" t="str">
        <f>IFERROR(__xludf.DUMMYFUNCTION("""COMPUTED_VALUE"""),"Yes")</f>
        <v>Yes</v>
      </c>
      <c r="S625" s="5" t="str">
        <f>IFERROR(__xludf.DUMMYFUNCTION("""COMPUTED_VALUE"""),"Yes")</f>
        <v>Yes</v>
      </c>
      <c r="T625" s="5" t="str">
        <f>IFERROR(__xludf.DUMMYFUNCTION("""COMPUTED_VALUE"""),"Yes")</f>
        <v>Yes</v>
      </c>
      <c r="U625" s="5" t="str">
        <f>IFERROR(__xludf.DUMMYFUNCTION("""COMPUTED_VALUE"""),"Yes")</f>
        <v>Yes</v>
      </c>
      <c r="V625" s="5" t="str">
        <f>IFERROR(__xludf.DUMMYFUNCTION("""COMPUTED_VALUE"""),"Yes")</f>
        <v>Yes</v>
      </c>
      <c r="W625" s="5" t="str">
        <f>IFERROR(__xludf.DUMMYFUNCTION("""COMPUTED_VALUE"""),"Yes")</f>
        <v>Yes</v>
      </c>
      <c r="X625" s="5" t="str">
        <f>IFERROR(__xludf.DUMMYFUNCTION("""COMPUTED_VALUE"""),"Yes")</f>
        <v>Yes</v>
      </c>
      <c r="Y625" s="5" t="str">
        <f>IFERROR(__xludf.DUMMYFUNCTION("""COMPUTED_VALUE"""),"Yes")</f>
        <v>Yes</v>
      </c>
      <c r="Z625" s="5" t="str">
        <f>IFERROR(__xludf.DUMMYFUNCTION("""COMPUTED_VALUE"""),"Yes")</f>
        <v>Yes</v>
      </c>
      <c r="AA625" s="5" t="str">
        <f>IFERROR(__xludf.DUMMYFUNCTION("""COMPUTED_VALUE"""),"Yes")</f>
        <v>Yes</v>
      </c>
      <c r="AB625" s="5" t="str">
        <f>IFERROR(__xludf.DUMMYFUNCTION("""COMPUTED_VALUE"""),"Yes")</f>
        <v>Yes</v>
      </c>
      <c r="AC625" s="5" t="str">
        <f>IFERROR(__xludf.DUMMYFUNCTION("""COMPUTED_VALUE"""),"No")</f>
        <v>No</v>
      </c>
    </row>
    <row r="626">
      <c r="A626" s="5" t="str">
        <f>IFERROR(__xludf.DUMMYFUNCTION("""COMPUTED_VALUE"""),"KKPartizanSlot")</f>
        <v>KKPartizanSlot</v>
      </c>
      <c r="B62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6" s="5" t="str">
        <f>IFERROR(__xludf.DUMMYFUNCTION("""COMPUTED_VALUE"""),"Yes")</f>
        <v>Yes</v>
      </c>
      <c r="D626" s="5" t="str">
        <f>IFERROR(__xludf.DUMMYFUNCTION("""COMPUTED_VALUE"""),"Yes")</f>
        <v>Yes</v>
      </c>
      <c r="E626" s="5" t="str">
        <f>IFERROR(__xludf.DUMMYFUNCTION("""COMPUTED_VALUE"""),"Yes")</f>
        <v>Yes</v>
      </c>
      <c r="F626" s="5" t="str">
        <f>IFERROR(__xludf.DUMMYFUNCTION("""COMPUTED_VALUE"""),"Yes")</f>
        <v>Yes</v>
      </c>
      <c r="G626" s="5" t="str">
        <f>IFERROR(__xludf.DUMMYFUNCTION("""COMPUTED_VALUE"""),"Yes")</f>
        <v>Yes</v>
      </c>
      <c r="H626" s="5" t="str">
        <f>IFERROR(__xludf.DUMMYFUNCTION("""COMPUTED_VALUE"""),"Yes")</f>
        <v>Yes</v>
      </c>
      <c r="I626" s="5" t="str">
        <f>IFERROR(__xludf.DUMMYFUNCTION("""COMPUTED_VALUE"""),"Yes")</f>
        <v>Yes</v>
      </c>
      <c r="J626" s="5" t="str">
        <f>IFERROR(__xludf.DUMMYFUNCTION("""COMPUTED_VALUE"""),"Yes")</f>
        <v>Yes</v>
      </c>
      <c r="K626" s="5" t="str">
        <f>IFERROR(__xludf.DUMMYFUNCTION("""COMPUTED_VALUE"""),"Yes")</f>
        <v>Yes</v>
      </c>
      <c r="L626" s="5" t="str">
        <f>IFERROR(__xludf.DUMMYFUNCTION("""COMPUTED_VALUE"""),"Yes")</f>
        <v>Yes</v>
      </c>
      <c r="M626" s="5" t="str">
        <f>IFERROR(__xludf.DUMMYFUNCTION("""COMPUTED_VALUE"""),"Yes")</f>
        <v>Yes</v>
      </c>
      <c r="N626" s="5" t="str">
        <f>IFERROR(__xludf.DUMMYFUNCTION("""COMPUTED_VALUE"""),"Yes")</f>
        <v>Yes</v>
      </c>
      <c r="O626" s="5" t="str">
        <f>IFERROR(__xludf.DUMMYFUNCTION("""COMPUTED_VALUE"""),"Yes")</f>
        <v>Yes</v>
      </c>
      <c r="P626" s="5" t="str">
        <f>IFERROR(__xludf.DUMMYFUNCTION("""COMPUTED_VALUE"""),"Yes")</f>
        <v>Yes</v>
      </c>
      <c r="Q626" s="5" t="str">
        <f>IFERROR(__xludf.DUMMYFUNCTION("""COMPUTED_VALUE"""),"Yes")</f>
        <v>Yes</v>
      </c>
      <c r="R626" s="5" t="str">
        <f>IFERROR(__xludf.DUMMYFUNCTION("""COMPUTED_VALUE"""),"Yes")</f>
        <v>Yes</v>
      </c>
      <c r="S626" s="5" t="str">
        <f>IFERROR(__xludf.DUMMYFUNCTION("""COMPUTED_VALUE"""),"Yes")</f>
        <v>Yes</v>
      </c>
      <c r="T626" s="5" t="str">
        <f>IFERROR(__xludf.DUMMYFUNCTION("""COMPUTED_VALUE"""),"Yes")</f>
        <v>Yes</v>
      </c>
      <c r="U626" s="5" t="str">
        <f>IFERROR(__xludf.DUMMYFUNCTION("""COMPUTED_VALUE"""),"Yes")</f>
        <v>Yes</v>
      </c>
      <c r="V626" s="5" t="str">
        <f>IFERROR(__xludf.DUMMYFUNCTION("""COMPUTED_VALUE"""),"Yes")</f>
        <v>Yes</v>
      </c>
      <c r="W626" s="5" t="str">
        <f>IFERROR(__xludf.DUMMYFUNCTION("""COMPUTED_VALUE"""),"Yes")</f>
        <v>Yes</v>
      </c>
      <c r="X626" s="5" t="str">
        <f>IFERROR(__xludf.DUMMYFUNCTION("""COMPUTED_VALUE"""),"Yes")</f>
        <v>Yes</v>
      </c>
      <c r="Y626" s="5" t="str">
        <f>IFERROR(__xludf.DUMMYFUNCTION("""COMPUTED_VALUE"""),"Yes")</f>
        <v>Yes</v>
      </c>
      <c r="Z626" s="5" t="str">
        <f>IFERROR(__xludf.DUMMYFUNCTION("""COMPUTED_VALUE"""),"Yes")</f>
        <v>Yes</v>
      </c>
      <c r="AA626" s="5" t="str">
        <f>IFERROR(__xludf.DUMMYFUNCTION("""COMPUTED_VALUE"""),"Yes")</f>
        <v>Yes</v>
      </c>
      <c r="AB626" s="5" t="str">
        <f>IFERROR(__xludf.DUMMYFUNCTION("""COMPUTED_VALUE"""),"Yes")</f>
        <v>Yes</v>
      </c>
      <c r="AC626" s="5" t="str">
        <f>IFERROR(__xludf.DUMMYFUNCTION("""COMPUTED_VALUE"""),"No")</f>
        <v>No</v>
      </c>
    </row>
    <row r="627">
      <c r="A627" s="5" t="str">
        <f>IFERROR(__xludf.DUMMYFUNCTION("""COMPUTED_VALUE"""),"SBbetHot5Extreme")</f>
        <v>SBbetHot5Extreme</v>
      </c>
      <c r="B62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7" s="5" t="str">
        <f>IFERROR(__xludf.DUMMYFUNCTION("""COMPUTED_VALUE"""),"Yes")</f>
        <v>Yes</v>
      </c>
      <c r="D627" s="5" t="str">
        <f>IFERROR(__xludf.DUMMYFUNCTION("""COMPUTED_VALUE"""),"Yes")</f>
        <v>Yes</v>
      </c>
      <c r="E627" s="5" t="str">
        <f>IFERROR(__xludf.DUMMYFUNCTION("""COMPUTED_VALUE"""),"Yes")</f>
        <v>Yes</v>
      </c>
      <c r="F627" s="5" t="str">
        <f>IFERROR(__xludf.DUMMYFUNCTION("""COMPUTED_VALUE"""),"Yes")</f>
        <v>Yes</v>
      </c>
      <c r="G627" s="5" t="str">
        <f>IFERROR(__xludf.DUMMYFUNCTION("""COMPUTED_VALUE"""),"Yes")</f>
        <v>Yes</v>
      </c>
      <c r="H627" s="5" t="str">
        <f>IFERROR(__xludf.DUMMYFUNCTION("""COMPUTED_VALUE"""),"Yes")</f>
        <v>Yes</v>
      </c>
      <c r="I627" s="5" t="str">
        <f>IFERROR(__xludf.DUMMYFUNCTION("""COMPUTED_VALUE"""),"Yes")</f>
        <v>Yes</v>
      </c>
      <c r="J627" s="5" t="str">
        <f>IFERROR(__xludf.DUMMYFUNCTION("""COMPUTED_VALUE"""),"Yes")</f>
        <v>Yes</v>
      </c>
      <c r="K627" s="5" t="str">
        <f>IFERROR(__xludf.DUMMYFUNCTION("""COMPUTED_VALUE"""),"Yes")</f>
        <v>Yes</v>
      </c>
      <c r="L627" s="5" t="str">
        <f>IFERROR(__xludf.DUMMYFUNCTION("""COMPUTED_VALUE"""),"Yes")</f>
        <v>Yes</v>
      </c>
      <c r="M627" s="5" t="str">
        <f>IFERROR(__xludf.DUMMYFUNCTION("""COMPUTED_VALUE"""),"Yes")</f>
        <v>Yes</v>
      </c>
      <c r="N627" s="5" t="str">
        <f>IFERROR(__xludf.DUMMYFUNCTION("""COMPUTED_VALUE"""),"Yes")</f>
        <v>Yes</v>
      </c>
      <c r="O627" s="5" t="str">
        <f>IFERROR(__xludf.DUMMYFUNCTION("""COMPUTED_VALUE"""),"Yes")</f>
        <v>Yes</v>
      </c>
      <c r="P627" s="5" t="str">
        <f>IFERROR(__xludf.DUMMYFUNCTION("""COMPUTED_VALUE"""),"Yes")</f>
        <v>Yes</v>
      </c>
      <c r="Q627" s="5" t="str">
        <f>IFERROR(__xludf.DUMMYFUNCTION("""COMPUTED_VALUE"""),"Yes")</f>
        <v>Yes</v>
      </c>
      <c r="R627" s="5" t="str">
        <f>IFERROR(__xludf.DUMMYFUNCTION("""COMPUTED_VALUE"""),"Yes")</f>
        <v>Yes</v>
      </c>
      <c r="S627" s="5" t="str">
        <f>IFERROR(__xludf.DUMMYFUNCTION("""COMPUTED_VALUE"""),"Yes")</f>
        <v>Yes</v>
      </c>
      <c r="T627" s="5" t="str">
        <f>IFERROR(__xludf.DUMMYFUNCTION("""COMPUTED_VALUE"""),"Yes")</f>
        <v>Yes</v>
      </c>
      <c r="U627" s="5" t="str">
        <f>IFERROR(__xludf.DUMMYFUNCTION("""COMPUTED_VALUE"""),"Yes")</f>
        <v>Yes</v>
      </c>
      <c r="V627" s="5" t="str">
        <f>IFERROR(__xludf.DUMMYFUNCTION("""COMPUTED_VALUE"""),"Yes")</f>
        <v>Yes</v>
      </c>
      <c r="W627" s="5" t="str">
        <f>IFERROR(__xludf.DUMMYFUNCTION("""COMPUTED_VALUE"""),"Yes")</f>
        <v>Yes</v>
      </c>
      <c r="X627" s="5" t="str">
        <f>IFERROR(__xludf.DUMMYFUNCTION("""COMPUTED_VALUE"""),"Yes")</f>
        <v>Yes</v>
      </c>
      <c r="Y627" s="5" t="str">
        <f>IFERROR(__xludf.DUMMYFUNCTION("""COMPUTED_VALUE"""),"Yes")</f>
        <v>Yes</v>
      </c>
      <c r="Z627" s="5" t="str">
        <f>IFERROR(__xludf.DUMMYFUNCTION("""COMPUTED_VALUE"""),"Yes")</f>
        <v>Yes</v>
      </c>
      <c r="AA627" s="5" t="str">
        <f>IFERROR(__xludf.DUMMYFUNCTION("""COMPUTED_VALUE"""),"Yes")</f>
        <v>Yes</v>
      </c>
      <c r="AB627" s="5" t="str">
        <f>IFERROR(__xludf.DUMMYFUNCTION("""COMPUTED_VALUE"""),"Yes")</f>
        <v>Yes</v>
      </c>
      <c r="AC627" s="5" t="str">
        <f>IFERROR(__xludf.DUMMYFUNCTION("""COMPUTED_VALUE"""),"No")</f>
        <v>No</v>
      </c>
    </row>
    <row r="628">
      <c r="A628" s="5" t="str">
        <f>IFERROR(__xludf.DUMMYFUNCTION("""COMPUTED_VALUE"""),"WildHot40Deluxe")</f>
        <v>WildHot40Deluxe</v>
      </c>
      <c r="B62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8" s="5" t="str">
        <f>IFERROR(__xludf.DUMMYFUNCTION("""COMPUTED_VALUE"""),"Yes")</f>
        <v>Yes</v>
      </c>
      <c r="D628" s="5" t="str">
        <f>IFERROR(__xludf.DUMMYFUNCTION("""COMPUTED_VALUE"""),"Yes")</f>
        <v>Yes</v>
      </c>
      <c r="E628" s="5" t="str">
        <f>IFERROR(__xludf.DUMMYFUNCTION("""COMPUTED_VALUE"""),"Yes")</f>
        <v>Yes</v>
      </c>
      <c r="F628" s="5" t="str">
        <f>IFERROR(__xludf.DUMMYFUNCTION("""COMPUTED_VALUE"""),"Yes")</f>
        <v>Yes</v>
      </c>
      <c r="G628" s="5" t="str">
        <f>IFERROR(__xludf.DUMMYFUNCTION("""COMPUTED_VALUE"""),"Yes")</f>
        <v>Yes</v>
      </c>
      <c r="H628" s="5" t="str">
        <f>IFERROR(__xludf.DUMMYFUNCTION("""COMPUTED_VALUE"""),"Yes")</f>
        <v>Yes</v>
      </c>
      <c r="I628" s="5" t="str">
        <f>IFERROR(__xludf.DUMMYFUNCTION("""COMPUTED_VALUE"""),"Yes")</f>
        <v>Yes</v>
      </c>
      <c r="J628" s="5" t="str">
        <f>IFERROR(__xludf.DUMMYFUNCTION("""COMPUTED_VALUE"""),"Yes")</f>
        <v>Yes</v>
      </c>
      <c r="K628" s="5" t="str">
        <f>IFERROR(__xludf.DUMMYFUNCTION("""COMPUTED_VALUE"""),"Yes")</f>
        <v>Yes</v>
      </c>
      <c r="L628" s="5" t="str">
        <f>IFERROR(__xludf.DUMMYFUNCTION("""COMPUTED_VALUE"""),"Yes")</f>
        <v>Yes</v>
      </c>
      <c r="M628" s="5" t="str">
        <f>IFERROR(__xludf.DUMMYFUNCTION("""COMPUTED_VALUE"""),"Yes")</f>
        <v>Yes</v>
      </c>
      <c r="N628" s="5" t="str">
        <f>IFERROR(__xludf.DUMMYFUNCTION("""COMPUTED_VALUE"""),"Yes")</f>
        <v>Yes</v>
      </c>
      <c r="O628" s="5" t="str">
        <f>IFERROR(__xludf.DUMMYFUNCTION("""COMPUTED_VALUE"""),"Yes")</f>
        <v>Yes</v>
      </c>
      <c r="P628" s="5" t="str">
        <f>IFERROR(__xludf.DUMMYFUNCTION("""COMPUTED_VALUE"""),"Yes")</f>
        <v>Yes</v>
      </c>
      <c r="Q628" s="5" t="str">
        <f>IFERROR(__xludf.DUMMYFUNCTION("""COMPUTED_VALUE"""),"Yes")</f>
        <v>Yes</v>
      </c>
      <c r="R628" s="5" t="str">
        <f>IFERROR(__xludf.DUMMYFUNCTION("""COMPUTED_VALUE"""),"Yes")</f>
        <v>Yes</v>
      </c>
      <c r="S628" s="5" t="str">
        <f>IFERROR(__xludf.DUMMYFUNCTION("""COMPUTED_VALUE"""),"Yes")</f>
        <v>Yes</v>
      </c>
      <c r="T628" s="5" t="str">
        <f>IFERROR(__xludf.DUMMYFUNCTION("""COMPUTED_VALUE"""),"Yes")</f>
        <v>Yes</v>
      </c>
      <c r="U628" s="5" t="str">
        <f>IFERROR(__xludf.DUMMYFUNCTION("""COMPUTED_VALUE"""),"Yes")</f>
        <v>Yes</v>
      </c>
      <c r="V628" s="5" t="str">
        <f>IFERROR(__xludf.DUMMYFUNCTION("""COMPUTED_VALUE"""),"Yes")</f>
        <v>Yes</v>
      </c>
      <c r="W628" s="5" t="str">
        <f>IFERROR(__xludf.DUMMYFUNCTION("""COMPUTED_VALUE"""),"Yes")</f>
        <v>Yes</v>
      </c>
      <c r="X628" s="5" t="str">
        <f>IFERROR(__xludf.DUMMYFUNCTION("""COMPUTED_VALUE"""),"Yes")</f>
        <v>Yes</v>
      </c>
      <c r="Y628" s="5" t="str">
        <f>IFERROR(__xludf.DUMMYFUNCTION("""COMPUTED_VALUE"""),"Yes")</f>
        <v>Yes</v>
      </c>
      <c r="Z628" s="5" t="str">
        <f>IFERROR(__xludf.DUMMYFUNCTION("""COMPUTED_VALUE"""),"Yes")</f>
        <v>Yes</v>
      </c>
      <c r="AA628" s="5" t="str">
        <f>IFERROR(__xludf.DUMMYFUNCTION("""COMPUTED_VALUE"""),"Yes")</f>
        <v>Yes</v>
      </c>
      <c r="AB628" s="5" t="str">
        <f>IFERROR(__xludf.DUMMYFUNCTION("""COMPUTED_VALUE"""),"Yes")</f>
        <v>Yes</v>
      </c>
      <c r="AC628" s="5" t="str">
        <f>IFERROR(__xludf.DUMMYFUNCTION("""COMPUTED_VALUE"""),"No")</f>
        <v>No</v>
      </c>
    </row>
    <row r="629">
      <c r="A629" s="5" t="str">
        <f>IFERROR(__xludf.DUMMYFUNCTION("""COMPUTED_VALUE"""),"BonusEpicCrownDice")</f>
        <v>BonusEpicCrownDice</v>
      </c>
      <c r="B62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9" s="5" t="str">
        <f>IFERROR(__xludf.DUMMYFUNCTION("""COMPUTED_VALUE"""),"Yes")</f>
        <v>Yes</v>
      </c>
      <c r="D629" s="5" t="str">
        <f>IFERROR(__xludf.DUMMYFUNCTION("""COMPUTED_VALUE"""),"Yes")</f>
        <v>Yes</v>
      </c>
      <c r="E629" s="5" t="str">
        <f>IFERROR(__xludf.DUMMYFUNCTION("""COMPUTED_VALUE"""),"Yes")</f>
        <v>Yes</v>
      </c>
      <c r="F629" s="5" t="str">
        <f>IFERROR(__xludf.DUMMYFUNCTION("""COMPUTED_VALUE"""),"Yes")</f>
        <v>Yes</v>
      </c>
      <c r="G629" s="5" t="str">
        <f>IFERROR(__xludf.DUMMYFUNCTION("""COMPUTED_VALUE"""),"Yes")</f>
        <v>Yes</v>
      </c>
      <c r="H629" s="5" t="str">
        <f>IFERROR(__xludf.DUMMYFUNCTION("""COMPUTED_VALUE"""),"Yes")</f>
        <v>Yes</v>
      </c>
      <c r="I629" s="5" t="str">
        <f>IFERROR(__xludf.DUMMYFUNCTION("""COMPUTED_VALUE"""),"Yes")</f>
        <v>Yes</v>
      </c>
      <c r="J629" s="5" t="str">
        <f>IFERROR(__xludf.DUMMYFUNCTION("""COMPUTED_VALUE"""),"Yes")</f>
        <v>Yes</v>
      </c>
      <c r="K629" s="5" t="str">
        <f>IFERROR(__xludf.DUMMYFUNCTION("""COMPUTED_VALUE"""),"Yes")</f>
        <v>Yes</v>
      </c>
      <c r="L629" s="5" t="str">
        <f>IFERROR(__xludf.DUMMYFUNCTION("""COMPUTED_VALUE"""),"Yes")</f>
        <v>Yes</v>
      </c>
      <c r="M629" s="5" t="str">
        <f>IFERROR(__xludf.DUMMYFUNCTION("""COMPUTED_VALUE"""),"Yes")</f>
        <v>Yes</v>
      </c>
      <c r="N629" s="5" t="str">
        <f>IFERROR(__xludf.DUMMYFUNCTION("""COMPUTED_VALUE"""),"Yes")</f>
        <v>Yes</v>
      </c>
      <c r="O629" s="5" t="str">
        <f>IFERROR(__xludf.DUMMYFUNCTION("""COMPUTED_VALUE"""),"Yes")</f>
        <v>Yes</v>
      </c>
      <c r="P629" s="5" t="str">
        <f>IFERROR(__xludf.DUMMYFUNCTION("""COMPUTED_VALUE"""),"Yes")</f>
        <v>Yes</v>
      </c>
      <c r="Q629" s="5" t="str">
        <f>IFERROR(__xludf.DUMMYFUNCTION("""COMPUTED_VALUE"""),"Yes")</f>
        <v>Yes</v>
      </c>
      <c r="R629" s="5" t="str">
        <f>IFERROR(__xludf.DUMMYFUNCTION("""COMPUTED_VALUE"""),"Yes")</f>
        <v>Yes</v>
      </c>
      <c r="S629" s="5" t="str">
        <f>IFERROR(__xludf.DUMMYFUNCTION("""COMPUTED_VALUE"""),"Yes")</f>
        <v>Yes</v>
      </c>
      <c r="T629" s="5" t="str">
        <f>IFERROR(__xludf.DUMMYFUNCTION("""COMPUTED_VALUE"""),"Yes")</f>
        <v>Yes</v>
      </c>
      <c r="U629" s="5" t="str">
        <f>IFERROR(__xludf.DUMMYFUNCTION("""COMPUTED_VALUE"""),"Yes")</f>
        <v>Yes</v>
      </c>
      <c r="V629" s="5" t="str">
        <f>IFERROR(__xludf.DUMMYFUNCTION("""COMPUTED_VALUE"""),"Yes")</f>
        <v>Yes</v>
      </c>
      <c r="W629" s="5" t="str">
        <f>IFERROR(__xludf.DUMMYFUNCTION("""COMPUTED_VALUE"""),"Yes")</f>
        <v>Yes</v>
      </c>
      <c r="X629" s="5" t="str">
        <f>IFERROR(__xludf.DUMMYFUNCTION("""COMPUTED_VALUE"""),"Yes")</f>
        <v>Yes</v>
      </c>
      <c r="Y629" s="5" t="str">
        <f>IFERROR(__xludf.DUMMYFUNCTION("""COMPUTED_VALUE"""),"Yes")</f>
        <v>Yes</v>
      </c>
      <c r="Z629" s="5" t="str">
        <f>IFERROR(__xludf.DUMMYFUNCTION("""COMPUTED_VALUE"""),"Yes")</f>
        <v>Yes</v>
      </c>
      <c r="AA629" s="5" t="str">
        <f>IFERROR(__xludf.DUMMYFUNCTION("""COMPUTED_VALUE"""),"Yes")</f>
        <v>Yes</v>
      </c>
      <c r="AB629" s="5" t="str">
        <f>IFERROR(__xludf.DUMMYFUNCTION("""COMPUTED_VALUE"""),"Yes")</f>
        <v>Yes</v>
      </c>
      <c r="AC629" s="5" t="str">
        <f>IFERROR(__xludf.DUMMYFUNCTION("""COMPUTED_VALUE"""),"No")</f>
        <v>No</v>
      </c>
    </row>
    <row r="630">
      <c r="A630" s="5" t="str">
        <f>IFERROR(__xludf.DUMMYFUNCTION("""COMPUTED_VALUE"""),"GoldenCrownHoldAndWin")</f>
        <v>GoldenCrownHoldAndWin</v>
      </c>
      <c r="B63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0" s="5" t="str">
        <f>IFERROR(__xludf.DUMMYFUNCTION("""COMPUTED_VALUE"""),"Yes")</f>
        <v>Yes</v>
      </c>
      <c r="D630" s="5" t="str">
        <f>IFERROR(__xludf.DUMMYFUNCTION("""COMPUTED_VALUE"""),"Yes")</f>
        <v>Yes</v>
      </c>
      <c r="E630" s="5" t="str">
        <f>IFERROR(__xludf.DUMMYFUNCTION("""COMPUTED_VALUE"""),"Yes")</f>
        <v>Yes</v>
      </c>
      <c r="F630" s="5" t="str">
        <f>IFERROR(__xludf.DUMMYFUNCTION("""COMPUTED_VALUE"""),"Yes")</f>
        <v>Yes</v>
      </c>
      <c r="G630" s="5" t="str">
        <f>IFERROR(__xludf.DUMMYFUNCTION("""COMPUTED_VALUE"""),"Yes")</f>
        <v>Yes</v>
      </c>
      <c r="H630" s="5" t="str">
        <f>IFERROR(__xludf.DUMMYFUNCTION("""COMPUTED_VALUE"""),"Yes")</f>
        <v>Yes</v>
      </c>
      <c r="I630" s="5" t="str">
        <f>IFERROR(__xludf.DUMMYFUNCTION("""COMPUTED_VALUE"""),"Yes")</f>
        <v>Yes</v>
      </c>
      <c r="J630" s="5" t="str">
        <f>IFERROR(__xludf.DUMMYFUNCTION("""COMPUTED_VALUE"""),"Yes")</f>
        <v>Yes</v>
      </c>
      <c r="K630" s="5" t="str">
        <f>IFERROR(__xludf.DUMMYFUNCTION("""COMPUTED_VALUE"""),"Yes")</f>
        <v>Yes</v>
      </c>
      <c r="L630" s="5" t="str">
        <f>IFERROR(__xludf.DUMMYFUNCTION("""COMPUTED_VALUE"""),"Yes")</f>
        <v>Yes</v>
      </c>
      <c r="M630" s="5" t="str">
        <f>IFERROR(__xludf.DUMMYFUNCTION("""COMPUTED_VALUE"""),"Yes")</f>
        <v>Yes</v>
      </c>
      <c r="N630" s="5" t="str">
        <f>IFERROR(__xludf.DUMMYFUNCTION("""COMPUTED_VALUE"""),"Yes")</f>
        <v>Yes</v>
      </c>
      <c r="O630" s="5" t="str">
        <f>IFERROR(__xludf.DUMMYFUNCTION("""COMPUTED_VALUE"""),"Yes")</f>
        <v>Yes</v>
      </c>
      <c r="P630" s="5" t="str">
        <f>IFERROR(__xludf.DUMMYFUNCTION("""COMPUTED_VALUE"""),"Yes")</f>
        <v>Yes</v>
      </c>
      <c r="Q630" s="5" t="str">
        <f>IFERROR(__xludf.DUMMYFUNCTION("""COMPUTED_VALUE"""),"Yes")</f>
        <v>Yes</v>
      </c>
      <c r="R630" s="5" t="str">
        <f>IFERROR(__xludf.DUMMYFUNCTION("""COMPUTED_VALUE"""),"Yes")</f>
        <v>Yes</v>
      </c>
      <c r="S630" s="5" t="str">
        <f>IFERROR(__xludf.DUMMYFUNCTION("""COMPUTED_VALUE"""),"Yes")</f>
        <v>Yes</v>
      </c>
      <c r="T630" s="5" t="str">
        <f>IFERROR(__xludf.DUMMYFUNCTION("""COMPUTED_VALUE"""),"Yes")</f>
        <v>Yes</v>
      </c>
      <c r="U630" s="5" t="str">
        <f>IFERROR(__xludf.DUMMYFUNCTION("""COMPUTED_VALUE"""),"Yes")</f>
        <v>Yes</v>
      </c>
      <c r="V630" s="5" t="str">
        <f>IFERROR(__xludf.DUMMYFUNCTION("""COMPUTED_VALUE"""),"Yes")</f>
        <v>Yes</v>
      </c>
      <c r="W630" s="5" t="str">
        <f>IFERROR(__xludf.DUMMYFUNCTION("""COMPUTED_VALUE"""),"Yes")</f>
        <v>Yes</v>
      </c>
      <c r="X630" s="5" t="str">
        <f>IFERROR(__xludf.DUMMYFUNCTION("""COMPUTED_VALUE"""),"Yes")</f>
        <v>Yes</v>
      </c>
      <c r="Y630" s="5" t="str">
        <f>IFERROR(__xludf.DUMMYFUNCTION("""COMPUTED_VALUE"""),"Yes")</f>
        <v>Yes</v>
      </c>
      <c r="Z630" s="5" t="str">
        <f>IFERROR(__xludf.DUMMYFUNCTION("""COMPUTED_VALUE"""),"Yes")</f>
        <v>Yes</v>
      </c>
      <c r="AA630" s="5" t="str">
        <f>IFERROR(__xludf.DUMMYFUNCTION("""COMPUTED_VALUE"""),"Yes")</f>
        <v>Yes</v>
      </c>
      <c r="AB630" s="5" t="str">
        <f>IFERROR(__xludf.DUMMYFUNCTION("""COMPUTED_VALUE"""),"Yes")</f>
        <v>Yes</v>
      </c>
      <c r="AC630" s="5" t="str">
        <f>IFERROR(__xludf.DUMMYFUNCTION("""COMPUTED_VALUE"""),"No")</f>
        <v>No</v>
      </c>
    </row>
    <row r="631">
      <c r="A631" s="5" t="str">
        <f>IFERROR(__xludf.DUMMYFUNCTION("""COMPUTED_VALUE"""),"RedstoneRespinFortune")</f>
        <v>RedstoneRespinFortune</v>
      </c>
      <c r="B63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1" s="5" t="str">
        <f>IFERROR(__xludf.DUMMYFUNCTION("""COMPUTED_VALUE"""),"Yes")</f>
        <v>Yes</v>
      </c>
      <c r="D631" s="5" t="str">
        <f>IFERROR(__xludf.DUMMYFUNCTION("""COMPUTED_VALUE"""),"Yes")</f>
        <v>Yes</v>
      </c>
      <c r="E631" s="5" t="str">
        <f>IFERROR(__xludf.DUMMYFUNCTION("""COMPUTED_VALUE"""),"Yes")</f>
        <v>Yes</v>
      </c>
      <c r="F631" s="5" t="str">
        <f>IFERROR(__xludf.DUMMYFUNCTION("""COMPUTED_VALUE"""),"Yes")</f>
        <v>Yes</v>
      </c>
      <c r="G631" s="5" t="str">
        <f>IFERROR(__xludf.DUMMYFUNCTION("""COMPUTED_VALUE"""),"Yes")</f>
        <v>Yes</v>
      </c>
      <c r="H631" s="5" t="str">
        <f>IFERROR(__xludf.DUMMYFUNCTION("""COMPUTED_VALUE"""),"Yes")</f>
        <v>Yes</v>
      </c>
      <c r="I631" s="5" t="str">
        <f>IFERROR(__xludf.DUMMYFUNCTION("""COMPUTED_VALUE"""),"Yes")</f>
        <v>Yes</v>
      </c>
      <c r="J631" s="5" t="str">
        <f>IFERROR(__xludf.DUMMYFUNCTION("""COMPUTED_VALUE"""),"Yes")</f>
        <v>Yes</v>
      </c>
      <c r="K631" s="5" t="str">
        <f>IFERROR(__xludf.DUMMYFUNCTION("""COMPUTED_VALUE"""),"Yes")</f>
        <v>Yes</v>
      </c>
      <c r="L631" s="5" t="str">
        <f>IFERROR(__xludf.DUMMYFUNCTION("""COMPUTED_VALUE"""),"Yes")</f>
        <v>Yes</v>
      </c>
      <c r="M631" s="5" t="str">
        <f>IFERROR(__xludf.DUMMYFUNCTION("""COMPUTED_VALUE"""),"Yes")</f>
        <v>Yes</v>
      </c>
      <c r="N631" s="5" t="str">
        <f>IFERROR(__xludf.DUMMYFUNCTION("""COMPUTED_VALUE"""),"Yes")</f>
        <v>Yes</v>
      </c>
      <c r="O631" s="5" t="str">
        <f>IFERROR(__xludf.DUMMYFUNCTION("""COMPUTED_VALUE"""),"Yes")</f>
        <v>Yes</v>
      </c>
      <c r="P631" s="5" t="str">
        <f>IFERROR(__xludf.DUMMYFUNCTION("""COMPUTED_VALUE"""),"Yes")</f>
        <v>Yes</v>
      </c>
      <c r="Q631" s="5" t="str">
        <f>IFERROR(__xludf.DUMMYFUNCTION("""COMPUTED_VALUE"""),"Yes")</f>
        <v>Yes</v>
      </c>
      <c r="R631" s="5" t="str">
        <f>IFERROR(__xludf.DUMMYFUNCTION("""COMPUTED_VALUE"""),"No")</f>
        <v>No</v>
      </c>
      <c r="S631" s="5" t="str">
        <f>IFERROR(__xludf.DUMMYFUNCTION("""COMPUTED_VALUE"""),"No")</f>
        <v>No</v>
      </c>
      <c r="T631" s="5" t="str">
        <f>IFERROR(__xludf.DUMMYFUNCTION("""COMPUTED_VALUE"""),"No")</f>
        <v>No</v>
      </c>
      <c r="U631" s="5" t="str">
        <f>IFERROR(__xludf.DUMMYFUNCTION("""COMPUTED_VALUE"""),"No")</f>
        <v>No</v>
      </c>
      <c r="V631" s="5" t="str">
        <f>IFERROR(__xludf.DUMMYFUNCTION("""COMPUTED_VALUE"""),"No")</f>
        <v>No</v>
      </c>
      <c r="W631" s="5" t="str">
        <f>IFERROR(__xludf.DUMMYFUNCTION("""COMPUTED_VALUE"""),"No")</f>
        <v>No</v>
      </c>
      <c r="X631" s="5" t="str">
        <f>IFERROR(__xludf.DUMMYFUNCTION("""COMPUTED_VALUE"""),"Yes")</f>
        <v>Yes</v>
      </c>
      <c r="Y631" s="5" t="str">
        <f>IFERROR(__xludf.DUMMYFUNCTION("""COMPUTED_VALUE"""),"No")</f>
        <v>No</v>
      </c>
      <c r="Z631" s="5" t="str">
        <f>IFERROR(__xludf.DUMMYFUNCTION("""COMPUTED_VALUE"""),"No")</f>
        <v>No</v>
      </c>
      <c r="AA631" s="5" t="str">
        <f>IFERROR(__xludf.DUMMYFUNCTION("""COMPUTED_VALUE"""),"No")</f>
        <v>No</v>
      </c>
      <c r="AB631" s="5" t="str">
        <f>IFERROR(__xludf.DUMMYFUNCTION("""COMPUTED_VALUE"""),"Yes")</f>
        <v>Yes</v>
      </c>
      <c r="AC631" s="5" t="str">
        <f>IFERROR(__xludf.DUMMYFUNCTION("""COMPUTED_VALUE"""),"No")</f>
        <v>No</v>
      </c>
    </row>
    <row r="632">
      <c r="A632" s="5" t="str">
        <f>IFERROR(__xludf.DUMMYFUNCTION("""COMPUTED_VALUE"""),"RedstoneMultiClover5")</f>
        <v>RedstoneMultiClover5</v>
      </c>
      <c r="B632"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2" s="5" t="str">
        <f>IFERROR(__xludf.DUMMYFUNCTION("""COMPUTED_VALUE"""),"Yes")</f>
        <v>Yes</v>
      </c>
      <c r="D632" s="5" t="str">
        <f>IFERROR(__xludf.DUMMYFUNCTION("""COMPUTED_VALUE"""),"Yes")</f>
        <v>Yes</v>
      </c>
      <c r="E632" s="5" t="str">
        <f>IFERROR(__xludf.DUMMYFUNCTION("""COMPUTED_VALUE"""),"No")</f>
        <v>No</v>
      </c>
      <c r="F632" s="5" t="str">
        <f>IFERROR(__xludf.DUMMYFUNCTION("""COMPUTED_VALUE"""),"Yes")</f>
        <v>Yes</v>
      </c>
      <c r="G632" s="5" t="str">
        <f>IFERROR(__xludf.DUMMYFUNCTION("""COMPUTED_VALUE"""),"Yes")</f>
        <v>Yes</v>
      </c>
      <c r="H632" s="5" t="str">
        <f>IFERROR(__xludf.DUMMYFUNCTION("""COMPUTED_VALUE"""),"Yes")</f>
        <v>Yes</v>
      </c>
      <c r="I632" s="5" t="str">
        <f>IFERROR(__xludf.DUMMYFUNCTION("""COMPUTED_VALUE"""),"Yes")</f>
        <v>Yes</v>
      </c>
      <c r="J632" s="5" t="str">
        <f>IFERROR(__xludf.DUMMYFUNCTION("""COMPUTED_VALUE"""),"Yes")</f>
        <v>Yes</v>
      </c>
      <c r="K632" s="5" t="str">
        <f>IFERROR(__xludf.DUMMYFUNCTION("""COMPUTED_VALUE"""),"Yes")</f>
        <v>Yes</v>
      </c>
      <c r="L632" s="5" t="str">
        <f>IFERROR(__xludf.DUMMYFUNCTION("""COMPUTED_VALUE"""),"Yes")</f>
        <v>Yes</v>
      </c>
      <c r="M632" s="5" t="str">
        <f>IFERROR(__xludf.DUMMYFUNCTION("""COMPUTED_VALUE"""),"Yes")</f>
        <v>Yes</v>
      </c>
      <c r="N632" s="5" t="str">
        <f>IFERROR(__xludf.DUMMYFUNCTION("""COMPUTED_VALUE"""),"Yes")</f>
        <v>Yes</v>
      </c>
      <c r="O632" s="5" t="str">
        <f>IFERROR(__xludf.DUMMYFUNCTION("""COMPUTED_VALUE"""),"Yes")</f>
        <v>Yes</v>
      </c>
      <c r="P632" s="5" t="str">
        <f>IFERROR(__xludf.DUMMYFUNCTION("""COMPUTED_VALUE"""),"Yes")</f>
        <v>Yes</v>
      </c>
      <c r="Q632" s="5" t="str">
        <f>IFERROR(__xludf.DUMMYFUNCTION("""COMPUTED_VALUE"""),"Yes")</f>
        <v>Yes</v>
      </c>
      <c r="R632" s="5" t="str">
        <f>IFERROR(__xludf.DUMMYFUNCTION("""COMPUTED_VALUE"""),"No")</f>
        <v>No</v>
      </c>
      <c r="S632" s="5" t="str">
        <f>IFERROR(__xludf.DUMMYFUNCTION("""COMPUTED_VALUE"""),"No")</f>
        <v>No</v>
      </c>
      <c r="T632" s="5" t="str">
        <f>IFERROR(__xludf.DUMMYFUNCTION("""COMPUTED_VALUE"""),"No")</f>
        <v>No</v>
      </c>
      <c r="U632" s="5" t="str">
        <f>IFERROR(__xludf.DUMMYFUNCTION("""COMPUTED_VALUE"""),"No")</f>
        <v>No</v>
      </c>
      <c r="V632" s="5" t="str">
        <f>IFERROR(__xludf.DUMMYFUNCTION("""COMPUTED_VALUE"""),"No")</f>
        <v>No</v>
      </c>
      <c r="W632" s="5" t="str">
        <f>IFERROR(__xludf.DUMMYFUNCTION("""COMPUTED_VALUE"""),"No")</f>
        <v>No</v>
      </c>
      <c r="X632" s="5" t="str">
        <f>IFERROR(__xludf.DUMMYFUNCTION("""COMPUTED_VALUE"""),"Yes")</f>
        <v>Yes</v>
      </c>
      <c r="Y632" s="5" t="str">
        <f>IFERROR(__xludf.DUMMYFUNCTION("""COMPUTED_VALUE"""),"No")</f>
        <v>No</v>
      </c>
      <c r="Z632" s="5" t="str">
        <f>IFERROR(__xludf.DUMMYFUNCTION("""COMPUTED_VALUE"""),"No")</f>
        <v>No</v>
      </c>
      <c r="AA632" s="5" t="str">
        <f>IFERROR(__xludf.DUMMYFUNCTION("""COMPUTED_VALUE"""),"No")</f>
        <v>No</v>
      </c>
      <c r="AB632" s="5" t="str">
        <f>IFERROR(__xludf.DUMMYFUNCTION("""COMPUTED_VALUE"""),"Yes")</f>
        <v>Yes</v>
      </c>
      <c r="AC632" s="5" t="str">
        <f>IFERROR(__xludf.DUMMYFUNCTION("""COMPUTED_VALUE"""),"No")</f>
        <v>No</v>
      </c>
    </row>
    <row r="633">
      <c r="A633" s="5" t="str">
        <f>IFERROR(__xludf.DUMMYFUNCTION("""COMPUTED_VALUE"""),"RedstoneJokerX5")</f>
        <v>RedstoneJokerX5</v>
      </c>
      <c r="B63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3" s="5" t="str">
        <f>IFERROR(__xludf.DUMMYFUNCTION("""COMPUTED_VALUE"""),"Yes")</f>
        <v>Yes</v>
      </c>
      <c r="D633" s="5" t="str">
        <f>IFERROR(__xludf.DUMMYFUNCTION("""COMPUTED_VALUE"""),"Yes")</f>
        <v>Yes</v>
      </c>
      <c r="E633" s="5" t="str">
        <f>IFERROR(__xludf.DUMMYFUNCTION("""COMPUTED_VALUE"""),"Yes")</f>
        <v>Yes</v>
      </c>
      <c r="F633" s="5" t="str">
        <f>IFERROR(__xludf.DUMMYFUNCTION("""COMPUTED_VALUE"""),"Yes")</f>
        <v>Yes</v>
      </c>
      <c r="G633" s="5" t="str">
        <f>IFERROR(__xludf.DUMMYFUNCTION("""COMPUTED_VALUE"""),"Yes")</f>
        <v>Yes</v>
      </c>
      <c r="H633" s="5" t="str">
        <f>IFERROR(__xludf.DUMMYFUNCTION("""COMPUTED_VALUE"""),"Yes")</f>
        <v>Yes</v>
      </c>
      <c r="I633" s="5" t="str">
        <f>IFERROR(__xludf.DUMMYFUNCTION("""COMPUTED_VALUE"""),"Yes")</f>
        <v>Yes</v>
      </c>
      <c r="J633" s="5" t="str">
        <f>IFERROR(__xludf.DUMMYFUNCTION("""COMPUTED_VALUE"""),"Yes")</f>
        <v>Yes</v>
      </c>
      <c r="K633" s="5" t="str">
        <f>IFERROR(__xludf.DUMMYFUNCTION("""COMPUTED_VALUE"""),"Yes")</f>
        <v>Yes</v>
      </c>
      <c r="L633" s="5" t="str">
        <f>IFERROR(__xludf.DUMMYFUNCTION("""COMPUTED_VALUE"""),"Yes")</f>
        <v>Yes</v>
      </c>
      <c r="M633" s="5" t="str">
        <f>IFERROR(__xludf.DUMMYFUNCTION("""COMPUTED_VALUE"""),"Yes")</f>
        <v>Yes</v>
      </c>
      <c r="N633" s="5" t="str">
        <f>IFERROR(__xludf.DUMMYFUNCTION("""COMPUTED_VALUE"""),"Yes")</f>
        <v>Yes</v>
      </c>
      <c r="O633" s="5" t="str">
        <f>IFERROR(__xludf.DUMMYFUNCTION("""COMPUTED_VALUE"""),"Yes")</f>
        <v>Yes</v>
      </c>
      <c r="P633" s="5" t="str">
        <f>IFERROR(__xludf.DUMMYFUNCTION("""COMPUTED_VALUE"""),"Yes")</f>
        <v>Yes</v>
      </c>
      <c r="Q633" s="5" t="str">
        <f>IFERROR(__xludf.DUMMYFUNCTION("""COMPUTED_VALUE"""),"Yes")</f>
        <v>Yes</v>
      </c>
      <c r="R633" s="5" t="str">
        <f>IFERROR(__xludf.DUMMYFUNCTION("""COMPUTED_VALUE"""),"No")</f>
        <v>No</v>
      </c>
      <c r="S633" s="5" t="str">
        <f>IFERROR(__xludf.DUMMYFUNCTION("""COMPUTED_VALUE"""),"No")</f>
        <v>No</v>
      </c>
      <c r="T633" s="5" t="str">
        <f>IFERROR(__xludf.DUMMYFUNCTION("""COMPUTED_VALUE"""),"No")</f>
        <v>No</v>
      </c>
      <c r="U633" s="5" t="str">
        <f>IFERROR(__xludf.DUMMYFUNCTION("""COMPUTED_VALUE"""),"No")</f>
        <v>No</v>
      </c>
      <c r="V633" s="5" t="str">
        <f>IFERROR(__xludf.DUMMYFUNCTION("""COMPUTED_VALUE"""),"No")</f>
        <v>No</v>
      </c>
      <c r="W633" s="5" t="str">
        <f>IFERROR(__xludf.DUMMYFUNCTION("""COMPUTED_VALUE"""),"No")</f>
        <v>No</v>
      </c>
      <c r="X633" s="5" t="str">
        <f>IFERROR(__xludf.DUMMYFUNCTION("""COMPUTED_VALUE"""),"Yes")</f>
        <v>Yes</v>
      </c>
      <c r="Y633" s="5" t="str">
        <f>IFERROR(__xludf.DUMMYFUNCTION("""COMPUTED_VALUE"""),"No")</f>
        <v>No</v>
      </c>
      <c r="Z633" s="5" t="str">
        <f>IFERROR(__xludf.DUMMYFUNCTION("""COMPUTED_VALUE"""),"No")</f>
        <v>No</v>
      </c>
      <c r="AA633" s="5" t="str">
        <f>IFERROR(__xludf.DUMMYFUNCTION("""COMPUTED_VALUE"""),"No")</f>
        <v>No</v>
      </c>
      <c r="AB633" s="5" t="str">
        <f>IFERROR(__xludf.DUMMYFUNCTION("""COMPUTED_VALUE"""),"Yes")</f>
        <v>Yes</v>
      </c>
      <c r="AC633" s="5" t="str">
        <f>IFERROR(__xludf.DUMMYFUNCTION("""COMPUTED_VALUE"""),"No")</f>
        <v>No</v>
      </c>
    </row>
    <row r="634">
      <c r="A634" s="5" t="str">
        <f>IFERROR(__xludf.DUMMYFUNCTION("""COMPUTED_VALUE"""),"RedstoneCloverRush5")</f>
        <v>RedstoneCloverRush5</v>
      </c>
      <c r="B634"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4" s="5" t="str">
        <f>IFERROR(__xludf.DUMMYFUNCTION("""COMPUTED_VALUE"""),"Yes")</f>
        <v>Yes</v>
      </c>
      <c r="D634" s="5" t="str">
        <f>IFERROR(__xludf.DUMMYFUNCTION("""COMPUTED_VALUE"""),"Yes")</f>
        <v>Yes</v>
      </c>
      <c r="E634" s="5" t="str">
        <f>IFERROR(__xludf.DUMMYFUNCTION("""COMPUTED_VALUE"""),"No")</f>
        <v>No</v>
      </c>
      <c r="F634" s="5" t="str">
        <f>IFERROR(__xludf.DUMMYFUNCTION("""COMPUTED_VALUE"""),"Yes")</f>
        <v>Yes</v>
      </c>
      <c r="G634" s="5" t="str">
        <f>IFERROR(__xludf.DUMMYFUNCTION("""COMPUTED_VALUE"""),"Yes")</f>
        <v>Yes</v>
      </c>
      <c r="H634" s="5" t="str">
        <f>IFERROR(__xludf.DUMMYFUNCTION("""COMPUTED_VALUE"""),"Yes")</f>
        <v>Yes</v>
      </c>
      <c r="I634" s="5" t="str">
        <f>IFERROR(__xludf.DUMMYFUNCTION("""COMPUTED_VALUE"""),"Yes")</f>
        <v>Yes</v>
      </c>
      <c r="J634" s="5" t="str">
        <f>IFERROR(__xludf.DUMMYFUNCTION("""COMPUTED_VALUE"""),"Yes")</f>
        <v>Yes</v>
      </c>
      <c r="K634" s="5" t="str">
        <f>IFERROR(__xludf.DUMMYFUNCTION("""COMPUTED_VALUE"""),"Yes")</f>
        <v>Yes</v>
      </c>
      <c r="L634" s="5" t="str">
        <f>IFERROR(__xludf.DUMMYFUNCTION("""COMPUTED_VALUE"""),"Yes")</f>
        <v>Yes</v>
      </c>
      <c r="M634" s="5" t="str">
        <f>IFERROR(__xludf.DUMMYFUNCTION("""COMPUTED_VALUE"""),"Yes")</f>
        <v>Yes</v>
      </c>
      <c r="N634" s="5" t="str">
        <f>IFERROR(__xludf.DUMMYFUNCTION("""COMPUTED_VALUE"""),"Yes")</f>
        <v>Yes</v>
      </c>
      <c r="O634" s="5" t="str">
        <f>IFERROR(__xludf.DUMMYFUNCTION("""COMPUTED_VALUE"""),"Yes")</f>
        <v>Yes</v>
      </c>
      <c r="P634" s="5" t="str">
        <f>IFERROR(__xludf.DUMMYFUNCTION("""COMPUTED_VALUE"""),"Yes")</f>
        <v>Yes</v>
      </c>
      <c r="Q634" s="5" t="str">
        <f>IFERROR(__xludf.DUMMYFUNCTION("""COMPUTED_VALUE"""),"Yes")</f>
        <v>Yes</v>
      </c>
      <c r="R634" s="5" t="str">
        <f>IFERROR(__xludf.DUMMYFUNCTION("""COMPUTED_VALUE"""),"No")</f>
        <v>No</v>
      </c>
      <c r="S634" s="5" t="str">
        <f>IFERROR(__xludf.DUMMYFUNCTION("""COMPUTED_VALUE"""),"No")</f>
        <v>No</v>
      </c>
      <c r="T634" s="5" t="str">
        <f>IFERROR(__xludf.DUMMYFUNCTION("""COMPUTED_VALUE"""),"No")</f>
        <v>No</v>
      </c>
      <c r="U634" s="5" t="str">
        <f>IFERROR(__xludf.DUMMYFUNCTION("""COMPUTED_VALUE"""),"No")</f>
        <v>No</v>
      </c>
      <c r="V634" s="5" t="str">
        <f>IFERROR(__xludf.DUMMYFUNCTION("""COMPUTED_VALUE"""),"No")</f>
        <v>No</v>
      </c>
      <c r="W634" s="5" t="str">
        <f>IFERROR(__xludf.DUMMYFUNCTION("""COMPUTED_VALUE"""),"No")</f>
        <v>No</v>
      </c>
      <c r="X634" s="5" t="str">
        <f>IFERROR(__xludf.DUMMYFUNCTION("""COMPUTED_VALUE"""),"Yes")</f>
        <v>Yes</v>
      </c>
      <c r="Y634" s="5" t="str">
        <f>IFERROR(__xludf.DUMMYFUNCTION("""COMPUTED_VALUE"""),"No")</f>
        <v>No</v>
      </c>
      <c r="Z634" s="5" t="str">
        <f>IFERROR(__xludf.DUMMYFUNCTION("""COMPUTED_VALUE"""),"No")</f>
        <v>No</v>
      </c>
      <c r="AA634" s="5" t="str">
        <f>IFERROR(__xludf.DUMMYFUNCTION("""COMPUTED_VALUE"""),"No")</f>
        <v>No</v>
      </c>
      <c r="AB634" s="5" t="str">
        <f>IFERROR(__xludf.DUMMYFUNCTION("""COMPUTED_VALUE"""),"Yes")</f>
        <v>Yes</v>
      </c>
      <c r="AC634" s="5" t="str">
        <f>IFERROR(__xludf.DUMMYFUNCTION("""COMPUTED_VALUE"""),"No")</f>
        <v>No</v>
      </c>
    </row>
    <row r="635">
      <c r="A635" s="5" t="str">
        <f>IFERROR(__xludf.DUMMYFUNCTION("""COMPUTED_VALUE"""),"Redstone5BellFire")</f>
        <v>Redstone5BellFire</v>
      </c>
      <c r="B635"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5" s="5" t="str">
        <f>IFERROR(__xludf.DUMMYFUNCTION("""COMPUTED_VALUE"""),"Yes")</f>
        <v>Yes</v>
      </c>
      <c r="D635" s="5" t="str">
        <f>IFERROR(__xludf.DUMMYFUNCTION("""COMPUTED_VALUE"""),"Yes")</f>
        <v>Yes</v>
      </c>
      <c r="E635" s="5" t="str">
        <f>IFERROR(__xludf.DUMMYFUNCTION("""COMPUTED_VALUE"""),"No")</f>
        <v>No</v>
      </c>
      <c r="F635" s="5" t="str">
        <f>IFERROR(__xludf.DUMMYFUNCTION("""COMPUTED_VALUE"""),"Yes")</f>
        <v>Yes</v>
      </c>
      <c r="G635" s="5" t="str">
        <f>IFERROR(__xludf.DUMMYFUNCTION("""COMPUTED_VALUE"""),"Yes")</f>
        <v>Yes</v>
      </c>
      <c r="H635" s="5" t="str">
        <f>IFERROR(__xludf.DUMMYFUNCTION("""COMPUTED_VALUE"""),"Yes")</f>
        <v>Yes</v>
      </c>
      <c r="I635" s="5" t="str">
        <f>IFERROR(__xludf.DUMMYFUNCTION("""COMPUTED_VALUE"""),"Yes")</f>
        <v>Yes</v>
      </c>
      <c r="J635" s="5" t="str">
        <f>IFERROR(__xludf.DUMMYFUNCTION("""COMPUTED_VALUE"""),"Yes")</f>
        <v>Yes</v>
      </c>
      <c r="K635" s="5" t="str">
        <f>IFERROR(__xludf.DUMMYFUNCTION("""COMPUTED_VALUE"""),"Yes")</f>
        <v>Yes</v>
      </c>
      <c r="L635" s="5" t="str">
        <f>IFERROR(__xludf.DUMMYFUNCTION("""COMPUTED_VALUE"""),"Yes")</f>
        <v>Yes</v>
      </c>
      <c r="M635" s="5" t="str">
        <f>IFERROR(__xludf.DUMMYFUNCTION("""COMPUTED_VALUE"""),"Yes")</f>
        <v>Yes</v>
      </c>
      <c r="N635" s="5" t="str">
        <f>IFERROR(__xludf.DUMMYFUNCTION("""COMPUTED_VALUE"""),"Yes")</f>
        <v>Yes</v>
      </c>
      <c r="O635" s="5" t="str">
        <f>IFERROR(__xludf.DUMMYFUNCTION("""COMPUTED_VALUE"""),"Yes")</f>
        <v>Yes</v>
      </c>
      <c r="P635" s="5" t="str">
        <f>IFERROR(__xludf.DUMMYFUNCTION("""COMPUTED_VALUE"""),"Yes")</f>
        <v>Yes</v>
      </c>
      <c r="Q635" s="5" t="str">
        <f>IFERROR(__xludf.DUMMYFUNCTION("""COMPUTED_VALUE"""),"Yes")</f>
        <v>Yes</v>
      </c>
      <c r="R635" s="5" t="str">
        <f>IFERROR(__xludf.DUMMYFUNCTION("""COMPUTED_VALUE"""),"No")</f>
        <v>No</v>
      </c>
      <c r="S635" s="5" t="str">
        <f>IFERROR(__xludf.DUMMYFUNCTION("""COMPUTED_VALUE"""),"No")</f>
        <v>No</v>
      </c>
      <c r="T635" s="5" t="str">
        <f>IFERROR(__xludf.DUMMYFUNCTION("""COMPUTED_VALUE"""),"No")</f>
        <v>No</v>
      </c>
      <c r="U635" s="5" t="str">
        <f>IFERROR(__xludf.DUMMYFUNCTION("""COMPUTED_VALUE"""),"No")</f>
        <v>No</v>
      </c>
      <c r="V635" s="5" t="str">
        <f>IFERROR(__xludf.DUMMYFUNCTION("""COMPUTED_VALUE"""),"No")</f>
        <v>No</v>
      </c>
      <c r="W635" s="5" t="str">
        <f>IFERROR(__xludf.DUMMYFUNCTION("""COMPUTED_VALUE"""),"No")</f>
        <v>No</v>
      </c>
      <c r="X635" s="5" t="str">
        <f>IFERROR(__xludf.DUMMYFUNCTION("""COMPUTED_VALUE"""),"Yes")</f>
        <v>Yes</v>
      </c>
      <c r="Y635" s="5" t="str">
        <f>IFERROR(__xludf.DUMMYFUNCTION("""COMPUTED_VALUE"""),"No")</f>
        <v>No</v>
      </c>
      <c r="Z635" s="5" t="str">
        <f>IFERROR(__xludf.DUMMYFUNCTION("""COMPUTED_VALUE"""),"No")</f>
        <v>No</v>
      </c>
      <c r="AA635" s="5" t="str">
        <f>IFERROR(__xludf.DUMMYFUNCTION("""COMPUTED_VALUE"""),"No")</f>
        <v>No</v>
      </c>
      <c r="AB635" s="5" t="str">
        <f>IFERROR(__xludf.DUMMYFUNCTION("""COMPUTED_VALUE"""),"Yes")</f>
        <v>Yes</v>
      </c>
      <c r="AC635" s="5" t="str">
        <f>IFERROR(__xludf.DUMMYFUNCTION("""COMPUTED_VALUE"""),"No")</f>
        <v>No</v>
      </c>
    </row>
    <row r="636">
      <c r="A636" s="5" t="str">
        <f>IFERROR(__xludf.DUMMYFUNCTION("""COMPUTED_VALUE"""),"RedstoneDiceDrop10")</f>
        <v>RedstoneDiceDrop10</v>
      </c>
      <c r="B63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6" s="5" t="str">
        <f>IFERROR(__xludf.DUMMYFUNCTION("""COMPUTED_VALUE"""),"Yes")</f>
        <v>Yes</v>
      </c>
      <c r="D636" s="5" t="str">
        <f>IFERROR(__xludf.DUMMYFUNCTION("""COMPUTED_VALUE"""),"Yes")</f>
        <v>Yes</v>
      </c>
      <c r="E636" s="5" t="str">
        <f>IFERROR(__xludf.DUMMYFUNCTION("""COMPUTED_VALUE"""),"No")</f>
        <v>No</v>
      </c>
      <c r="F636" s="5" t="str">
        <f>IFERROR(__xludf.DUMMYFUNCTION("""COMPUTED_VALUE"""),"Yes")</f>
        <v>Yes</v>
      </c>
      <c r="G636" s="5" t="str">
        <f>IFERROR(__xludf.DUMMYFUNCTION("""COMPUTED_VALUE"""),"Yes")</f>
        <v>Yes</v>
      </c>
      <c r="H636" s="5" t="str">
        <f>IFERROR(__xludf.DUMMYFUNCTION("""COMPUTED_VALUE"""),"Yes")</f>
        <v>Yes</v>
      </c>
      <c r="I636" s="5" t="str">
        <f>IFERROR(__xludf.DUMMYFUNCTION("""COMPUTED_VALUE"""),"Yes")</f>
        <v>Yes</v>
      </c>
      <c r="J636" s="5" t="str">
        <f>IFERROR(__xludf.DUMMYFUNCTION("""COMPUTED_VALUE"""),"Yes")</f>
        <v>Yes</v>
      </c>
      <c r="K636" s="5" t="str">
        <f>IFERROR(__xludf.DUMMYFUNCTION("""COMPUTED_VALUE"""),"Yes")</f>
        <v>Yes</v>
      </c>
      <c r="L636" s="5" t="str">
        <f>IFERROR(__xludf.DUMMYFUNCTION("""COMPUTED_VALUE"""),"Yes")</f>
        <v>Yes</v>
      </c>
      <c r="M636" s="5" t="str">
        <f>IFERROR(__xludf.DUMMYFUNCTION("""COMPUTED_VALUE"""),"Yes")</f>
        <v>Yes</v>
      </c>
      <c r="N636" s="5" t="str">
        <f>IFERROR(__xludf.DUMMYFUNCTION("""COMPUTED_VALUE"""),"Yes")</f>
        <v>Yes</v>
      </c>
      <c r="O636" s="5" t="str">
        <f>IFERROR(__xludf.DUMMYFUNCTION("""COMPUTED_VALUE"""),"Yes")</f>
        <v>Yes</v>
      </c>
      <c r="P636" s="5" t="str">
        <f>IFERROR(__xludf.DUMMYFUNCTION("""COMPUTED_VALUE"""),"Yes")</f>
        <v>Yes</v>
      </c>
      <c r="Q636" s="5" t="str">
        <f>IFERROR(__xludf.DUMMYFUNCTION("""COMPUTED_VALUE"""),"Yes")</f>
        <v>Yes</v>
      </c>
      <c r="R636" s="5" t="str">
        <f>IFERROR(__xludf.DUMMYFUNCTION("""COMPUTED_VALUE"""),"No")</f>
        <v>No</v>
      </c>
      <c r="S636" s="5" t="str">
        <f>IFERROR(__xludf.DUMMYFUNCTION("""COMPUTED_VALUE"""),"No")</f>
        <v>No</v>
      </c>
      <c r="T636" s="5" t="str">
        <f>IFERROR(__xludf.DUMMYFUNCTION("""COMPUTED_VALUE"""),"No")</f>
        <v>No</v>
      </c>
      <c r="U636" s="5" t="str">
        <f>IFERROR(__xludf.DUMMYFUNCTION("""COMPUTED_VALUE"""),"No")</f>
        <v>No</v>
      </c>
      <c r="V636" s="5" t="str">
        <f>IFERROR(__xludf.DUMMYFUNCTION("""COMPUTED_VALUE"""),"No")</f>
        <v>No</v>
      </c>
      <c r="W636" s="5" t="str">
        <f>IFERROR(__xludf.DUMMYFUNCTION("""COMPUTED_VALUE"""),"No")</f>
        <v>No</v>
      </c>
      <c r="X636" s="5" t="str">
        <f>IFERROR(__xludf.DUMMYFUNCTION("""COMPUTED_VALUE"""),"Yes")</f>
        <v>Yes</v>
      </c>
      <c r="Y636" s="5" t="str">
        <f>IFERROR(__xludf.DUMMYFUNCTION("""COMPUTED_VALUE"""),"No")</f>
        <v>No</v>
      </c>
      <c r="Z636" s="5" t="str">
        <f>IFERROR(__xludf.DUMMYFUNCTION("""COMPUTED_VALUE"""),"No")</f>
        <v>No</v>
      </c>
      <c r="AA636" s="5" t="str">
        <f>IFERROR(__xludf.DUMMYFUNCTION("""COMPUTED_VALUE"""),"No")</f>
        <v>No</v>
      </c>
      <c r="AB636" s="5" t="str">
        <f>IFERROR(__xludf.DUMMYFUNCTION("""COMPUTED_VALUE"""),"Yes")</f>
        <v>Yes</v>
      </c>
      <c r="AC636" s="5" t="str">
        <f>IFERROR(__xludf.DUMMYFUNCTION("""COMPUTED_VALUE"""),"No")</f>
        <v>No</v>
      </c>
    </row>
    <row r="637">
      <c r="A637" s="5" t="str">
        <f>IFERROR(__xludf.DUMMYFUNCTION("""COMPUTED_VALUE"""),"RedstoneLunarCoins")</f>
        <v>RedstoneLunarCoins</v>
      </c>
      <c r="B63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7" s="5" t="str">
        <f>IFERROR(__xludf.DUMMYFUNCTION("""COMPUTED_VALUE"""),"Yes")</f>
        <v>Yes</v>
      </c>
      <c r="D637" s="5" t="str">
        <f>IFERROR(__xludf.DUMMYFUNCTION("""COMPUTED_VALUE"""),"Yes")</f>
        <v>Yes</v>
      </c>
      <c r="E637" s="5" t="str">
        <f>IFERROR(__xludf.DUMMYFUNCTION("""COMPUTED_VALUE"""),"No")</f>
        <v>No</v>
      </c>
      <c r="F637" s="5" t="str">
        <f>IFERROR(__xludf.DUMMYFUNCTION("""COMPUTED_VALUE"""),"Yes")</f>
        <v>Yes</v>
      </c>
      <c r="G637" s="5" t="str">
        <f>IFERROR(__xludf.DUMMYFUNCTION("""COMPUTED_VALUE"""),"Yes")</f>
        <v>Yes</v>
      </c>
      <c r="H637" s="5" t="str">
        <f>IFERROR(__xludf.DUMMYFUNCTION("""COMPUTED_VALUE"""),"Yes")</f>
        <v>Yes</v>
      </c>
      <c r="I637" s="5" t="str">
        <f>IFERROR(__xludf.DUMMYFUNCTION("""COMPUTED_VALUE"""),"Yes")</f>
        <v>Yes</v>
      </c>
      <c r="J637" s="5" t="str">
        <f>IFERROR(__xludf.DUMMYFUNCTION("""COMPUTED_VALUE"""),"Yes")</f>
        <v>Yes</v>
      </c>
      <c r="K637" s="5" t="str">
        <f>IFERROR(__xludf.DUMMYFUNCTION("""COMPUTED_VALUE"""),"Yes")</f>
        <v>Yes</v>
      </c>
      <c r="L637" s="5" t="str">
        <f>IFERROR(__xludf.DUMMYFUNCTION("""COMPUTED_VALUE"""),"Yes")</f>
        <v>Yes</v>
      </c>
      <c r="M637" s="5" t="str">
        <f>IFERROR(__xludf.DUMMYFUNCTION("""COMPUTED_VALUE"""),"Yes")</f>
        <v>Yes</v>
      </c>
      <c r="N637" s="5" t="str">
        <f>IFERROR(__xludf.DUMMYFUNCTION("""COMPUTED_VALUE"""),"Yes")</f>
        <v>Yes</v>
      </c>
      <c r="O637" s="5" t="str">
        <f>IFERROR(__xludf.DUMMYFUNCTION("""COMPUTED_VALUE"""),"Yes")</f>
        <v>Yes</v>
      </c>
      <c r="P637" s="5" t="str">
        <f>IFERROR(__xludf.DUMMYFUNCTION("""COMPUTED_VALUE"""),"Yes")</f>
        <v>Yes</v>
      </c>
      <c r="Q637" s="5" t="str">
        <f>IFERROR(__xludf.DUMMYFUNCTION("""COMPUTED_VALUE"""),"Yes")</f>
        <v>Yes</v>
      </c>
      <c r="R637" s="5" t="str">
        <f>IFERROR(__xludf.DUMMYFUNCTION("""COMPUTED_VALUE"""),"No")</f>
        <v>No</v>
      </c>
      <c r="S637" s="5" t="str">
        <f>IFERROR(__xludf.DUMMYFUNCTION("""COMPUTED_VALUE"""),"No")</f>
        <v>No</v>
      </c>
      <c r="T637" s="5" t="str">
        <f>IFERROR(__xludf.DUMMYFUNCTION("""COMPUTED_VALUE"""),"No")</f>
        <v>No</v>
      </c>
      <c r="U637" s="5" t="str">
        <f>IFERROR(__xludf.DUMMYFUNCTION("""COMPUTED_VALUE"""),"No")</f>
        <v>No</v>
      </c>
      <c r="V637" s="5" t="str">
        <f>IFERROR(__xludf.DUMMYFUNCTION("""COMPUTED_VALUE"""),"No")</f>
        <v>No</v>
      </c>
      <c r="W637" s="5" t="str">
        <f>IFERROR(__xludf.DUMMYFUNCTION("""COMPUTED_VALUE"""),"No")</f>
        <v>No</v>
      </c>
      <c r="X637" s="5" t="str">
        <f>IFERROR(__xludf.DUMMYFUNCTION("""COMPUTED_VALUE"""),"Yes")</f>
        <v>Yes</v>
      </c>
      <c r="Y637" s="5" t="str">
        <f>IFERROR(__xludf.DUMMYFUNCTION("""COMPUTED_VALUE"""),"No")</f>
        <v>No</v>
      </c>
      <c r="Z637" s="5" t="str">
        <f>IFERROR(__xludf.DUMMYFUNCTION("""COMPUTED_VALUE"""),"No")</f>
        <v>No</v>
      </c>
      <c r="AA637" s="5" t="str">
        <f>IFERROR(__xludf.DUMMYFUNCTION("""COMPUTED_VALUE"""),"No")</f>
        <v>No</v>
      </c>
      <c r="AB637" s="5" t="str">
        <f>IFERROR(__xludf.DUMMYFUNCTION("""COMPUTED_VALUE"""),"Yes")</f>
        <v>Yes</v>
      </c>
      <c r="AC637" s="5" t="str">
        <f>IFERROR(__xludf.DUMMYFUNCTION("""COMPUTED_VALUE"""),"No")</f>
        <v>No</v>
      </c>
    </row>
    <row r="638">
      <c r="A638" s="5" t="str">
        <f>IFERROR(__xludf.DUMMYFUNCTION("""COMPUTED_VALUE"""),"Redstone5CloverFireBlast")</f>
        <v>Redstone5CloverFireBlast</v>
      </c>
      <c r="B63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8" s="5" t="str">
        <f>IFERROR(__xludf.DUMMYFUNCTION("""COMPUTED_VALUE"""),"Yes")</f>
        <v>Yes</v>
      </c>
      <c r="D638" s="5" t="str">
        <f>IFERROR(__xludf.DUMMYFUNCTION("""COMPUTED_VALUE"""),"Yes")</f>
        <v>Yes</v>
      </c>
      <c r="E638" s="5" t="str">
        <f>IFERROR(__xludf.DUMMYFUNCTION("""COMPUTED_VALUE"""),"No")</f>
        <v>No</v>
      </c>
      <c r="F638" s="5" t="str">
        <f>IFERROR(__xludf.DUMMYFUNCTION("""COMPUTED_VALUE"""),"Yes")</f>
        <v>Yes</v>
      </c>
      <c r="G638" s="5" t="str">
        <f>IFERROR(__xludf.DUMMYFUNCTION("""COMPUTED_VALUE"""),"Yes")</f>
        <v>Yes</v>
      </c>
      <c r="H638" s="5" t="str">
        <f>IFERROR(__xludf.DUMMYFUNCTION("""COMPUTED_VALUE"""),"Yes")</f>
        <v>Yes</v>
      </c>
      <c r="I638" s="5" t="str">
        <f>IFERROR(__xludf.DUMMYFUNCTION("""COMPUTED_VALUE"""),"Yes")</f>
        <v>Yes</v>
      </c>
      <c r="J638" s="5" t="str">
        <f>IFERROR(__xludf.DUMMYFUNCTION("""COMPUTED_VALUE"""),"Yes")</f>
        <v>Yes</v>
      </c>
      <c r="K638" s="5" t="str">
        <f>IFERROR(__xludf.DUMMYFUNCTION("""COMPUTED_VALUE"""),"Yes")</f>
        <v>Yes</v>
      </c>
      <c r="L638" s="5" t="str">
        <f>IFERROR(__xludf.DUMMYFUNCTION("""COMPUTED_VALUE"""),"Yes")</f>
        <v>Yes</v>
      </c>
      <c r="M638" s="5" t="str">
        <f>IFERROR(__xludf.DUMMYFUNCTION("""COMPUTED_VALUE"""),"Yes")</f>
        <v>Yes</v>
      </c>
      <c r="N638" s="5" t="str">
        <f>IFERROR(__xludf.DUMMYFUNCTION("""COMPUTED_VALUE"""),"Yes")</f>
        <v>Yes</v>
      </c>
      <c r="O638" s="5" t="str">
        <f>IFERROR(__xludf.DUMMYFUNCTION("""COMPUTED_VALUE"""),"Yes")</f>
        <v>Yes</v>
      </c>
      <c r="P638" s="5" t="str">
        <f>IFERROR(__xludf.DUMMYFUNCTION("""COMPUTED_VALUE"""),"Yes")</f>
        <v>Yes</v>
      </c>
      <c r="Q638" s="5" t="str">
        <f>IFERROR(__xludf.DUMMYFUNCTION("""COMPUTED_VALUE"""),"Yes")</f>
        <v>Yes</v>
      </c>
      <c r="R638" s="5" t="str">
        <f>IFERROR(__xludf.DUMMYFUNCTION("""COMPUTED_VALUE"""),"No")</f>
        <v>No</v>
      </c>
      <c r="S638" s="5" t="str">
        <f>IFERROR(__xludf.DUMMYFUNCTION("""COMPUTED_VALUE"""),"No")</f>
        <v>No</v>
      </c>
      <c r="T638" s="5" t="str">
        <f>IFERROR(__xludf.DUMMYFUNCTION("""COMPUTED_VALUE"""),"No")</f>
        <v>No</v>
      </c>
      <c r="U638" s="5" t="str">
        <f>IFERROR(__xludf.DUMMYFUNCTION("""COMPUTED_VALUE"""),"No")</f>
        <v>No</v>
      </c>
      <c r="V638" s="5" t="str">
        <f>IFERROR(__xludf.DUMMYFUNCTION("""COMPUTED_VALUE"""),"No")</f>
        <v>No</v>
      </c>
      <c r="W638" s="5" t="str">
        <f>IFERROR(__xludf.DUMMYFUNCTION("""COMPUTED_VALUE"""),"No")</f>
        <v>No</v>
      </c>
      <c r="X638" s="5" t="str">
        <f>IFERROR(__xludf.DUMMYFUNCTION("""COMPUTED_VALUE"""),"Yes")</f>
        <v>Yes</v>
      </c>
      <c r="Y638" s="5" t="str">
        <f>IFERROR(__xludf.DUMMYFUNCTION("""COMPUTED_VALUE"""),"No")</f>
        <v>No</v>
      </c>
      <c r="Z638" s="5" t="str">
        <f>IFERROR(__xludf.DUMMYFUNCTION("""COMPUTED_VALUE"""),"No")</f>
        <v>No</v>
      </c>
      <c r="AA638" s="5" t="str">
        <f>IFERROR(__xludf.DUMMYFUNCTION("""COMPUTED_VALUE"""),"No")</f>
        <v>No</v>
      </c>
      <c r="AB638" s="5" t="str">
        <f>IFERROR(__xludf.DUMMYFUNCTION("""COMPUTED_VALUE"""),"Yes")</f>
        <v>Yes</v>
      </c>
      <c r="AC638" s="5" t="str">
        <f>IFERROR(__xludf.DUMMYFUNCTION("""COMPUTED_VALUE"""),"No")</f>
        <v>No</v>
      </c>
    </row>
    <row r="639">
      <c r="A639" s="5" t="str">
        <f>IFERROR(__xludf.DUMMYFUNCTION("""COMPUTED_VALUE"""),"PlayNetMajesticCrownEaster")</f>
        <v>PlayNetMajesticCrownEaster</v>
      </c>
      <c r="B63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9" s="5" t="str">
        <f>IFERROR(__xludf.DUMMYFUNCTION("""COMPUTED_VALUE"""),"Yes")</f>
        <v>Yes</v>
      </c>
      <c r="D639" s="5" t="str">
        <f>IFERROR(__xludf.DUMMYFUNCTION("""COMPUTED_VALUE"""),"Yes")</f>
        <v>Yes</v>
      </c>
      <c r="E639" s="5" t="str">
        <f>IFERROR(__xludf.DUMMYFUNCTION("""COMPUTED_VALUE"""),"Yes")</f>
        <v>Yes</v>
      </c>
      <c r="F639" s="5" t="str">
        <f>IFERROR(__xludf.DUMMYFUNCTION("""COMPUTED_VALUE"""),"Yes")</f>
        <v>Yes</v>
      </c>
      <c r="G639" s="5" t="str">
        <f>IFERROR(__xludf.DUMMYFUNCTION("""COMPUTED_VALUE"""),"Yes")</f>
        <v>Yes</v>
      </c>
      <c r="H639" s="5" t="str">
        <f>IFERROR(__xludf.DUMMYFUNCTION("""COMPUTED_VALUE"""),"Yes")</f>
        <v>Yes</v>
      </c>
      <c r="I639" s="5" t="str">
        <f>IFERROR(__xludf.DUMMYFUNCTION("""COMPUTED_VALUE"""),"Yes")</f>
        <v>Yes</v>
      </c>
      <c r="J639" s="5" t="str">
        <f>IFERROR(__xludf.DUMMYFUNCTION("""COMPUTED_VALUE"""),"Yes")</f>
        <v>Yes</v>
      </c>
      <c r="K639" s="5" t="str">
        <f>IFERROR(__xludf.DUMMYFUNCTION("""COMPUTED_VALUE"""),"Yes")</f>
        <v>Yes</v>
      </c>
      <c r="L639" s="5" t="str">
        <f>IFERROR(__xludf.DUMMYFUNCTION("""COMPUTED_VALUE"""),"Yes")</f>
        <v>Yes</v>
      </c>
      <c r="M639" s="5" t="str">
        <f>IFERROR(__xludf.DUMMYFUNCTION("""COMPUTED_VALUE"""),"Yes")</f>
        <v>Yes</v>
      </c>
      <c r="N639" s="5" t="str">
        <f>IFERROR(__xludf.DUMMYFUNCTION("""COMPUTED_VALUE"""),"Yes")</f>
        <v>Yes</v>
      </c>
      <c r="O639" s="5" t="str">
        <f>IFERROR(__xludf.DUMMYFUNCTION("""COMPUTED_VALUE"""),"Yes")</f>
        <v>Yes</v>
      </c>
      <c r="P639" s="5" t="str">
        <f>IFERROR(__xludf.DUMMYFUNCTION("""COMPUTED_VALUE"""),"Yes")</f>
        <v>Yes</v>
      </c>
      <c r="Q639" s="5" t="str">
        <f>IFERROR(__xludf.DUMMYFUNCTION("""COMPUTED_VALUE"""),"Yes")</f>
        <v>Yes</v>
      </c>
      <c r="R639" s="5" t="str">
        <f>IFERROR(__xludf.DUMMYFUNCTION("""COMPUTED_VALUE"""),"No")</f>
        <v>No</v>
      </c>
      <c r="S639" s="5" t="str">
        <f>IFERROR(__xludf.DUMMYFUNCTION("""COMPUTED_VALUE"""),"No")</f>
        <v>No</v>
      </c>
      <c r="T639" s="5" t="str">
        <f>IFERROR(__xludf.DUMMYFUNCTION("""COMPUTED_VALUE"""),"No")</f>
        <v>No</v>
      </c>
      <c r="U639" s="5" t="str">
        <f>IFERROR(__xludf.DUMMYFUNCTION("""COMPUTED_VALUE"""),"No")</f>
        <v>No</v>
      </c>
      <c r="V639" s="5" t="str">
        <f>IFERROR(__xludf.DUMMYFUNCTION("""COMPUTED_VALUE"""),"No")</f>
        <v>No</v>
      </c>
      <c r="W639" s="5" t="str">
        <f>IFERROR(__xludf.DUMMYFUNCTION("""COMPUTED_VALUE"""),"No")</f>
        <v>No</v>
      </c>
      <c r="X639" s="5" t="str">
        <f>IFERROR(__xludf.DUMMYFUNCTION("""COMPUTED_VALUE"""),"Yes")</f>
        <v>Yes</v>
      </c>
      <c r="Y639" s="5" t="str">
        <f>IFERROR(__xludf.DUMMYFUNCTION("""COMPUTED_VALUE"""),"No")</f>
        <v>No</v>
      </c>
      <c r="Z639" s="5" t="str">
        <f>IFERROR(__xludf.DUMMYFUNCTION("""COMPUTED_VALUE"""),"No")</f>
        <v>No</v>
      </c>
      <c r="AA639" s="5" t="str">
        <f>IFERROR(__xludf.DUMMYFUNCTION("""COMPUTED_VALUE"""),"No")</f>
        <v>No</v>
      </c>
      <c r="AB639" s="5" t="str">
        <f>IFERROR(__xludf.DUMMYFUNCTION("""COMPUTED_VALUE"""),"Yes")</f>
        <v>Yes</v>
      </c>
      <c r="AC639" s="5" t="str">
        <f>IFERROR(__xludf.DUMMYFUNCTION("""COMPUTED_VALUE"""),"No")</f>
        <v>No</v>
      </c>
    </row>
    <row r="640">
      <c r="A640" s="5" t="str">
        <f>IFERROR(__xludf.DUMMYFUNCTION("""COMPUTED_VALUE"""),"PlayNetTropicTwist")</f>
        <v>PlayNetTropicTwist</v>
      </c>
      <c r="B64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40" s="5" t="str">
        <f>IFERROR(__xludf.DUMMYFUNCTION("""COMPUTED_VALUE"""),"Yes")</f>
        <v>Yes</v>
      </c>
      <c r="D640" s="5" t="str">
        <f>IFERROR(__xludf.DUMMYFUNCTION("""COMPUTED_VALUE"""),"Yes")</f>
        <v>Yes</v>
      </c>
      <c r="E640" s="5" t="str">
        <f>IFERROR(__xludf.DUMMYFUNCTION("""COMPUTED_VALUE"""),"Yes")</f>
        <v>Yes</v>
      </c>
      <c r="F640" s="5" t="str">
        <f>IFERROR(__xludf.DUMMYFUNCTION("""COMPUTED_VALUE"""),"Yes")</f>
        <v>Yes</v>
      </c>
      <c r="G640" s="5" t="str">
        <f>IFERROR(__xludf.DUMMYFUNCTION("""COMPUTED_VALUE"""),"Yes")</f>
        <v>Yes</v>
      </c>
      <c r="H640" s="5" t="str">
        <f>IFERROR(__xludf.DUMMYFUNCTION("""COMPUTED_VALUE"""),"Yes")</f>
        <v>Yes</v>
      </c>
      <c r="I640" s="5" t="str">
        <f>IFERROR(__xludf.DUMMYFUNCTION("""COMPUTED_VALUE"""),"Yes")</f>
        <v>Yes</v>
      </c>
      <c r="J640" s="5" t="str">
        <f>IFERROR(__xludf.DUMMYFUNCTION("""COMPUTED_VALUE"""),"Yes")</f>
        <v>Yes</v>
      </c>
      <c r="K640" s="5" t="str">
        <f>IFERROR(__xludf.DUMMYFUNCTION("""COMPUTED_VALUE"""),"Yes")</f>
        <v>Yes</v>
      </c>
      <c r="L640" s="5" t="str">
        <f>IFERROR(__xludf.DUMMYFUNCTION("""COMPUTED_VALUE"""),"Yes")</f>
        <v>Yes</v>
      </c>
      <c r="M640" s="5" t="str">
        <f>IFERROR(__xludf.DUMMYFUNCTION("""COMPUTED_VALUE"""),"Yes")</f>
        <v>Yes</v>
      </c>
      <c r="N640" s="5" t="str">
        <f>IFERROR(__xludf.DUMMYFUNCTION("""COMPUTED_VALUE"""),"Yes")</f>
        <v>Yes</v>
      </c>
      <c r="O640" s="5" t="str">
        <f>IFERROR(__xludf.DUMMYFUNCTION("""COMPUTED_VALUE"""),"Yes")</f>
        <v>Yes</v>
      </c>
      <c r="P640" s="5" t="str">
        <f>IFERROR(__xludf.DUMMYFUNCTION("""COMPUTED_VALUE"""),"Yes")</f>
        <v>Yes</v>
      </c>
      <c r="Q640" s="5" t="str">
        <f>IFERROR(__xludf.DUMMYFUNCTION("""COMPUTED_VALUE"""),"Yes")</f>
        <v>Yes</v>
      </c>
      <c r="R640" s="5"/>
      <c r="S640" s="5"/>
      <c r="T640" s="5"/>
      <c r="U640" s="5"/>
      <c r="V640" s="5"/>
      <c r="W640" s="5"/>
      <c r="X640" s="5"/>
      <c r="Y640" s="5"/>
      <c r="Z640" s="5"/>
      <c r="AA640" s="5"/>
      <c r="AB640" s="5" t="str">
        <f>IFERROR(__xludf.DUMMYFUNCTION("""COMPUTED_VALUE"""),"Yes")</f>
        <v>Yes</v>
      </c>
      <c r="AC640" s="5"/>
    </row>
    <row r="641">
      <c r="A641" s="5" t="str">
        <f>IFERROR(__xludf.DUMMYFUNCTION("""COMPUTED_VALUE"""),"UnicornSuperDiceRunner")</f>
        <v>UnicornSuperDiceRunner</v>
      </c>
      <c r="B641" s="5" t="str">
        <f>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C641" s="5" t="str">
        <f>IFERROR(__xludf.DUMMYFUNCTION("""COMPUTED_VALUE"""),"Yes")</f>
        <v>Yes</v>
      </c>
      <c r="D641" s="5" t="str">
        <f>IFERROR(__xludf.DUMMYFUNCTION("""COMPUTED_VALUE"""),"Yes")</f>
        <v>Yes</v>
      </c>
      <c r="E641" s="5" t="str">
        <f>IFERROR(__xludf.DUMMYFUNCTION("""COMPUTED_VALUE"""),"No")</f>
        <v>No</v>
      </c>
      <c r="F641" s="5" t="str">
        <f>IFERROR(__xludf.DUMMYFUNCTION("""COMPUTED_VALUE"""),"Yes")</f>
        <v>Yes</v>
      </c>
      <c r="G641" s="5" t="str">
        <f>IFERROR(__xludf.DUMMYFUNCTION("""COMPUTED_VALUE"""),"Yes")</f>
        <v>Yes</v>
      </c>
      <c r="H641" s="5" t="str">
        <f>IFERROR(__xludf.DUMMYFUNCTION("""COMPUTED_VALUE"""),"Yes")</f>
        <v>Yes</v>
      </c>
      <c r="I641" s="5"/>
      <c r="J641" s="5" t="str">
        <f>IFERROR(__xludf.DUMMYFUNCTION("""COMPUTED_VALUE"""),"Yes")</f>
        <v>Yes</v>
      </c>
      <c r="K641" s="5" t="str">
        <f>IFERROR(__xludf.DUMMYFUNCTION("""COMPUTED_VALUE"""),"Yes")</f>
        <v>Yes</v>
      </c>
      <c r="L641" s="5" t="str">
        <f>IFERROR(__xludf.DUMMYFUNCTION("""COMPUTED_VALUE"""),"Yes")</f>
        <v>Yes</v>
      </c>
      <c r="M641" s="5" t="str">
        <f>IFERROR(__xludf.DUMMYFUNCTION("""COMPUTED_VALUE"""),"Yes")</f>
        <v>Yes</v>
      </c>
      <c r="N641" s="5" t="str">
        <f>IFERROR(__xludf.DUMMYFUNCTION("""COMPUTED_VALUE"""),"Yes")</f>
        <v>Yes</v>
      </c>
      <c r="O641" s="5" t="str">
        <f>IFERROR(__xludf.DUMMYFUNCTION("""COMPUTED_VALUE"""),"Yes")</f>
        <v>Yes</v>
      </c>
      <c r="P641" s="5" t="str">
        <f>IFERROR(__xludf.DUMMYFUNCTION("""COMPUTED_VALUE"""),"Yes")</f>
        <v>Yes</v>
      </c>
      <c r="Q641" s="5" t="str">
        <f>IFERROR(__xludf.DUMMYFUNCTION("""COMPUTED_VALUE"""),"Yes")</f>
        <v>Yes</v>
      </c>
      <c r="R641" s="5" t="str">
        <f>IFERROR(__xludf.DUMMYFUNCTION("""COMPUTED_VALUE"""),"No")</f>
        <v>No</v>
      </c>
      <c r="S641" s="5" t="str">
        <f>IFERROR(__xludf.DUMMYFUNCTION("""COMPUTED_VALUE"""),"No")</f>
        <v>No</v>
      </c>
      <c r="T641" s="5" t="str">
        <f>IFERROR(__xludf.DUMMYFUNCTION("""COMPUTED_VALUE"""),"No")</f>
        <v>No</v>
      </c>
      <c r="U641" s="5" t="str">
        <f>IFERROR(__xludf.DUMMYFUNCTION("""COMPUTED_VALUE"""),"No")</f>
        <v>No</v>
      </c>
      <c r="V641" s="5" t="str">
        <f>IFERROR(__xludf.DUMMYFUNCTION("""COMPUTED_VALUE"""),"No")</f>
        <v>No</v>
      </c>
      <c r="W641" s="5" t="str">
        <f>IFERROR(__xludf.DUMMYFUNCTION("""COMPUTED_VALUE"""),"No")</f>
        <v>No</v>
      </c>
      <c r="X641" s="5" t="str">
        <f>IFERROR(__xludf.DUMMYFUNCTION("""COMPUTED_VALUE"""),"Yes")</f>
        <v>Yes</v>
      </c>
      <c r="Y641" s="5" t="str">
        <f>IFERROR(__xludf.DUMMYFUNCTION("""COMPUTED_VALUE"""),"No")</f>
        <v>No</v>
      </c>
      <c r="Z641" s="5" t="str">
        <f>IFERROR(__xludf.DUMMYFUNCTION("""COMPUTED_VALUE"""),"No")</f>
        <v>No</v>
      </c>
      <c r="AA641" s="5" t="str">
        <f>IFERROR(__xludf.DUMMYFUNCTION("""COMPUTED_VALUE"""),"No")</f>
        <v>No</v>
      </c>
      <c r="AB641" s="5" t="str">
        <f>IFERROR(__xludf.DUMMYFUNCTION("""COMPUTED_VALUE"""),"Yes")</f>
        <v>Yes</v>
      </c>
      <c r="AC641" s="5" t="str">
        <f>IFERROR(__xludf.DUMMYFUNCTION("""COMPUTED_VALUE"""),"No")</f>
        <v>No</v>
      </c>
    </row>
    <row r="642">
      <c r="A642" s="5" t="str">
        <f>IFERROR(__xludf.DUMMYFUNCTION("""COMPUTED_VALUE"""),"UnicornLuckyGinger")</f>
        <v>UnicornLuckyGinger</v>
      </c>
      <c r="B642" s="5" t="str">
        <f>IFERROR(__xludf.DUMMYFUNCTION("""COMPUTED_VALUE"""),"")</f>
        <v/>
      </c>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row>
    <row r="643">
      <c r="A643" s="5" t="str">
        <f>IFERROR(__xludf.DUMMYFUNCTION("""COMPUTED_VALUE"""),"UnicornLionsSevensExtreme")</f>
        <v>UnicornLionsSevensExtreme</v>
      </c>
      <c r="B643"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43" s="5" t="str">
        <f>IFERROR(__xludf.DUMMYFUNCTION("""COMPUTED_VALUE"""),"Yes")</f>
        <v>Yes</v>
      </c>
      <c r="D643" s="5" t="str">
        <f>IFERROR(__xludf.DUMMYFUNCTION("""COMPUTED_VALUE"""),"Yes")</f>
        <v>Yes</v>
      </c>
      <c r="E643" s="5" t="str">
        <f>IFERROR(__xludf.DUMMYFUNCTION("""COMPUTED_VALUE"""),"No")</f>
        <v>No</v>
      </c>
      <c r="F643" s="5" t="str">
        <f>IFERROR(__xludf.DUMMYFUNCTION("""COMPUTED_VALUE"""),"Yes")</f>
        <v>Yes</v>
      </c>
      <c r="G643" s="5" t="str">
        <f>IFERROR(__xludf.DUMMYFUNCTION("""COMPUTED_VALUE"""),"Yes")</f>
        <v>Yes</v>
      </c>
      <c r="H643" s="5" t="str">
        <f>IFERROR(__xludf.DUMMYFUNCTION("""COMPUTED_VALUE"""),"Yes")</f>
        <v>Yes</v>
      </c>
      <c r="I643" s="5" t="str">
        <f>IFERROR(__xludf.DUMMYFUNCTION("""COMPUTED_VALUE"""),"Yes")</f>
        <v>Yes</v>
      </c>
      <c r="J643" s="5" t="str">
        <f>IFERROR(__xludf.DUMMYFUNCTION("""COMPUTED_VALUE"""),"Yes")</f>
        <v>Yes</v>
      </c>
      <c r="K643" s="5" t="str">
        <f>IFERROR(__xludf.DUMMYFUNCTION("""COMPUTED_VALUE"""),"Yes")</f>
        <v>Yes</v>
      </c>
      <c r="L643" s="5" t="str">
        <f>IFERROR(__xludf.DUMMYFUNCTION("""COMPUTED_VALUE"""),"Yes")</f>
        <v>Yes</v>
      </c>
      <c r="M643" s="5" t="str">
        <f>IFERROR(__xludf.DUMMYFUNCTION("""COMPUTED_VALUE"""),"Yes")</f>
        <v>Yes</v>
      </c>
      <c r="N643" s="5" t="str">
        <f>IFERROR(__xludf.DUMMYFUNCTION("""COMPUTED_VALUE"""),"Yes")</f>
        <v>Yes</v>
      </c>
      <c r="O643" s="5" t="str">
        <f>IFERROR(__xludf.DUMMYFUNCTION("""COMPUTED_VALUE"""),"Yes")</f>
        <v>Yes</v>
      </c>
      <c r="P643" s="5" t="str">
        <f>IFERROR(__xludf.DUMMYFUNCTION("""COMPUTED_VALUE"""),"Yes")</f>
        <v>Yes</v>
      </c>
      <c r="Q643" s="5" t="str">
        <f>IFERROR(__xludf.DUMMYFUNCTION("""COMPUTED_VALUE"""),"Yes")</f>
        <v>Yes</v>
      </c>
      <c r="R643" s="5" t="str">
        <f>IFERROR(__xludf.DUMMYFUNCTION("""COMPUTED_VALUE"""),"No")</f>
        <v>No</v>
      </c>
      <c r="S643" s="5" t="str">
        <f>IFERROR(__xludf.DUMMYFUNCTION("""COMPUTED_VALUE"""),"No")</f>
        <v>No</v>
      </c>
      <c r="T643" s="5" t="str">
        <f>IFERROR(__xludf.DUMMYFUNCTION("""COMPUTED_VALUE"""),"No")</f>
        <v>No</v>
      </c>
      <c r="U643" s="5" t="str">
        <f>IFERROR(__xludf.DUMMYFUNCTION("""COMPUTED_VALUE"""),"No")</f>
        <v>No</v>
      </c>
      <c r="V643" s="5" t="str">
        <f>IFERROR(__xludf.DUMMYFUNCTION("""COMPUTED_VALUE"""),"No")</f>
        <v>No</v>
      </c>
      <c r="W643" s="5"/>
      <c r="X643" s="5" t="str">
        <f>IFERROR(__xludf.DUMMYFUNCTION("""COMPUTED_VALUE"""),"No")</f>
        <v>No</v>
      </c>
      <c r="Y643" s="5"/>
      <c r="Z643" s="5"/>
      <c r="AA643" s="5"/>
      <c r="AB643" s="5" t="str">
        <f>IFERROR(__xludf.DUMMYFUNCTION("""COMPUTED_VALUE"""),"Yes")</f>
        <v>Yes</v>
      </c>
      <c r="AC643" s="5"/>
    </row>
    <row r="644">
      <c r="A644" s="5" t="str">
        <f>IFERROR(__xludf.DUMMYFUNCTION("""COMPUTED_VALUE"""),"UnicornCoyoteSevensJackpot")</f>
        <v>UnicornCoyoteSevensJackpot</v>
      </c>
      <c r="B644" s="5" t="str">
        <f>IFERROR(__xludf.DUMMYFUNCTION("""COMPUTED_VALUE"""),"English(""eng"")")</f>
        <v>English("eng")</v>
      </c>
      <c r="C644" s="5" t="str">
        <f>IFERROR(__xludf.DUMMYFUNCTION("""COMPUTED_VALUE"""),"Yes")</f>
        <v>Yes</v>
      </c>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row>
    <row r="645">
      <c r="A645" s="5" t="str">
        <f>IFERROR(__xludf.DUMMYFUNCTION("""COMPUTED_VALUE"""),"UnicornDragonGems")</f>
        <v>UnicornDragonGems</v>
      </c>
      <c r="B645" s="5" t="str">
        <f>IFERROR(__xludf.DUMMYFUNCTION("""COMPUTED_VALUE"""),"English(""eng"")")</f>
        <v>English("eng")</v>
      </c>
      <c r="C645" s="5" t="str">
        <f>IFERROR(__xludf.DUMMYFUNCTION("""COMPUTED_VALUE"""),"Yes")</f>
        <v>Yes</v>
      </c>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row>
    <row r="646">
      <c r="A646" s="5" t="str">
        <f>IFERROR(__xludf.DUMMYFUNCTION("""COMPUTED_VALUE"""),"UnicornByeBouse")</f>
        <v>UnicornByeBouse</v>
      </c>
      <c r="B646" s="5" t="str">
        <f>IFERROR(__xludf.DUMMYFUNCTION("""COMPUTED_VALUE"""),"English(""eng"")")</f>
        <v>English("eng")</v>
      </c>
      <c r="C646" s="5" t="str">
        <f>IFERROR(__xludf.DUMMYFUNCTION("""COMPUTED_VALUE"""),"Yes")</f>
        <v>Yes</v>
      </c>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row>
    <row r="647">
      <c r="A647" s="5" t="str">
        <f>IFERROR(__xludf.DUMMYFUNCTION("""COMPUTED_VALUE"""),"UnicornTripleRoyalWilds")</f>
        <v>UnicornTripleRoyalWilds</v>
      </c>
      <c r="B647" s="5" t="str">
        <f>IFERROR(__xludf.DUMMYFUNCTION("""COMPUTED_VALUE"""),"English(""eng"")")</f>
        <v>English("eng")</v>
      </c>
      <c r="C647" s="5" t="str">
        <f>IFERROR(__xludf.DUMMYFUNCTION("""COMPUTED_VALUE"""),"Yes")</f>
        <v>Yes</v>
      </c>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row>
    <row r="648">
      <c r="A648" s="5" t="str">
        <f>IFERROR(__xludf.DUMMYFUNCTION("""COMPUTED_VALUE"""),"GoldenDiamonds5Extreme")</f>
        <v>GoldenDiamonds5Extreme</v>
      </c>
      <c r="B64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8" s="5" t="str">
        <f>IFERROR(__xludf.DUMMYFUNCTION("""COMPUTED_VALUE"""),"Yes")</f>
        <v>Yes</v>
      </c>
      <c r="D648" s="5" t="str">
        <f>IFERROR(__xludf.DUMMYFUNCTION("""COMPUTED_VALUE"""),"Yes")</f>
        <v>Yes</v>
      </c>
      <c r="E648" s="5" t="str">
        <f>IFERROR(__xludf.DUMMYFUNCTION("""COMPUTED_VALUE"""),"Yes")</f>
        <v>Yes</v>
      </c>
      <c r="F648" s="5" t="str">
        <f>IFERROR(__xludf.DUMMYFUNCTION("""COMPUTED_VALUE"""),"Yes")</f>
        <v>Yes</v>
      </c>
      <c r="G648" s="5" t="str">
        <f>IFERROR(__xludf.DUMMYFUNCTION("""COMPUTED_VALUE"""),"Yes")</f>
        <v>Yes</v>
      </c>
      <c r="H648" s="5" t="str">
        <f>IFERROR(__xludf.DUMMYFUNCTION("""COMPUTED_VALUE"""),"Yes")</f>
        <v>Yes</v>
      </c>
      <c r="I648" s="5" t="str">
        <f>IFERROR(__xludf.DUMMYFUNCTION("""COMPUTED_VALUE"""),"Yes")</f>
        <v>Yes</v>
      </c>
      <c r="J648" s="5" t="str">
        <f>IFERROR(__xludf.DUMMYFUNCTION("""COMPUTED_VALUE"""),"Yes")</f>
        <v>Yes</v>
      </c>
      <c r="K648" s="5" t="str">
        <f>IFERROR(__xludf.DUMMYFUNCTION("""COMPUTED_VALUE"""),"Yes")</f>
        <v>Yes</v>
      </c>
      <c r="L648" s="5" t="str">
        <f>IFERROR(__xludf.DUMMYFUNCTION("""COMPUTED_VALUE"""),"Yes")</f>
        <v>Yes</v>
      </c>
      <c r="M648" s="5" t="str">
        <f>IFERROR(__xludf.DUMMYFUNCTION("""COMPUTED_VALUE"""),"Yes")</f>
        <v>Yes</v>
      </c>
      <c r="N648" s="5" t="str">
        <f>IFERROR(__xludf.DUMMYFUNCTION("""COMPUTED_VALUE"""),"Yes")</f>
        <v>Yes</v>
      </c>
      <c r="O648" s="5" t="str">
        <f>IFERROR(__xludf.DUMMYFUNCTION("""COMPUTED_VALUE"""),"Yes")</f>
        <v>Yes</v>
      </c>
      <c r="P648" s="5" t="str">
        <f>IFERROR(__xludf.DUMMYFUNCTION("""COMPUTED_VALUE"""),"Yes")</f>
        <v>Yes</v>
      </c>
      <c r="Q648" s="5" t="str">
        <f>IFERROR(__xludf.DUMMYFUNCTION("""COMPUTED_VALUE"""),"Yes")</f>
        <v>Yes</v>
      </c>
      <c r="R648" s="5" t="str">
        <f>IFERROR(__xludf.DUMMYFUNCTION("""COMPUTED_VALUE"""),"Yes")</f>
        <v>Yes</v>
      </c>
      <c r="S648" s="5" t="str">
        <f>IFERROR(__xludf.DUMMYFUNCTION("""COMPUTED_VALUE"""),"Yes")</f>
        <v>Yes</v>
      </c>
      <c r="T648" s="5" t="str">
        <f>IFERROR(__xludf.DUMMYFUNCTION("""COMPUTED_VALUE"""),"Yes")</f>
        <v>Yes</v>
      </c>
      <c r="U648" s="5" t="str">
        <f>IFERROR(__xludf.DUMMYFUNCTION("""COMPUTED_VALUE"""),"Yes")</f>
        <v>Yes</v>
      </c>
      <c r="V648" s="5" t="str">
        <f>IFERROR(__xludf.DUMMYFUNCTION("""COMPUTED_VALUE"""),"Yes")</f>
        <v>Yes</v>
      </c>
      <c r="W648" s="5" t="str">
        <f>IFERROR(__xludf.DUMMYFUNCTION("""COMPUTED_VALUE"""),"Yes")</f>
        <v>Yes</v>
      </c>
      <c r="X648" s="5" t="str">
        <f>IFERROR(__xludf.DUMMYFUNCTION("""COMPUTED_VALUE"""),"Yes")</f>
        <v>Yes</v>
      </c>
      <c r="Y648" s="5" t="str">
        <f>IFERROR(__xludf.DUMMYFUNCTION("""COMPUTED_VALUE"""),"Yes")</f>
        <v>Yes</v>
      </c>
      <c r="Z648" s="5" t="str">
        <f>IFERROR(__xludf.DUMMYFUNCTION("""COMPUTED_VALUE"""),"Yes")</f>
        <v>Yes</v>
      </c>
      <c r="AA648" s="5" t="str">
        <f>IFERROR(__xludf.DUMMYFUNCTION("""COMPUTED_VALUE"""),"Yes")</f>
        <v>Yes</v>
      </c>
      <c r="AB648" s="5" t="str">
        <f>IFERROR(__xludf.DUMMYFUNCTION("""COMPUTED_VALUE"""),"Yes")</f>
        <v>Yes</v>
      </c>
      <c r="AC648" s="5" t="str">
        <f>IFERROR(__xludf.DUMMYFUNCTION("""COMPUTED_VALUE"""),"No")</f>
        <v>No</v>
      </c>
    </row>
    <row r="649">
      <c r="A649" s="5" t="str">
        <f>IFERROR(__xludf.DUMMYFUNCTION("""COMPUTED_VALUE"""),"GoldenDiamonds10Extreme")</f>
        <v>GoldenDiamonds10Extreme</v>
      </c>
      <c r="B6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9" s="5" t="str">
        <f>IFERROR(__xludf.DUMMYFUNCTION("""COMPUTED_VALUE"""),"Yes")</f>
        <v>Yes</v>
      </c>
      <c r="D649" s="5" t="str">
        <f>IFERROR(__xludf.DUMMYFUNCTION("""COMPUTED_VALUE"""),"Yes")</f>
        <v>Yes</v>
      </c>
      <c r="E649" s="5" t="str">
        <f>IFERROR(__xludf.DUMMYFUNCTION("""COMPUTED_VALUE"""),"Yes")</f>
        <v>Yes</v>
      </c>
      <c r="F649" s="5" t="str">
        <f>IFERROR(__xludf.DUMMYFUNCTION("""COMPUTED_VALUE"""),"Yes")</f>
        <v>Yes</v>
      </c>
      <c r="G649" s="5" t="str">
        <f>IFERROR(__xludf.DUMMYFUNCTION("""COMPUTED_VALUE"""),"Yes")</f>
        <v>Yes</v>
      </c>
      <c r="H649" s="5" t="str">
        <f>IFERROR(__xludf.DUMMYFUNCTION("""COMPUTED_VALUE"""),"Yes")</f>
        <v>Yes</v>
      </c>
      <c r="I649" s="5" t="str">
        <f>IFERROR(__xludf.DUMMYFUNCTION("""COMPUTED_VALUE"""),"Yes")</f>
        <v>Yes</v>
      </c>
      <c r="J649" s="5" t="str">
        <f>IFERROR(__xludf.DUMMYFUNCTION("""COMPUTED_VALUE"""),"Yes")</f>
        <v>Yes</v>
      </c>
      <c r="K649" s="5" t="str">
        <f>IFERROR(__xludf.DUMMYFUNCTION("""COMPUTED_VALUE"""),"Yes")</f>
        <v>Yes</v>
      </c>
      <c r="L649" s="5" t="str">
        <f>IFERROR(__xludf.DUMMYFUNCTION("""COMPUTED_VALUE"""),"Yes")</f>
        <v>Yes</v>
      </c>
      <c r="M649" s="5" t="str">
        <f>IFERROR(__xludf.DUMMYFUNCTION("""COMPUTED_VALUE"""),"Yes")</f>
        <v>Yes</v>
      </c>
      <c r="N649" s="5" t="str">
        <f>IFERROR(__xludf.DUMMYFUNCTION("""COMPUTED_VALUE"""),"Yes")</f>
        <v>Yes</v>
      </c>
      <c r="O649" s="5" t="str">
        <f>IFERROR(__xludf.DUMMYFUNCTION("""COMPUTED_VALUE"""),"Yes")</f>
        <v>Yes</v>
      </c>
      <c r="P649" s="5" t="str">
        <f>IFERROR(__xludf.DUMMYFUNCTION("""COMPUTED_VALUE"""),"Yes")</f>
        <v>Yes</v>
      </c>
      <c r="Q649" s="5" t="str">
        <f>IFERROR(__xludf.DUMMYFUNCTION("""COMPUTED_VALUE"""),"Yes")</f>
        <v>Yes</v>
      </c>
      <c r="R649" s="5" t="str">
        <f>IFERROR(__xludf.DUMMYFUNCTION("""COMPUTED_VALUE"""),"Yes")</f>
        <v>Yes</v>
      </c>
      <c r="S649" s="5" t="str">
        <f>IFERROR(__xludf.DUMMYFUNCTION("""COMPUTED_VALUE"""),"Yes")</f>
        <v>Yes</v>
      </c>
      <c r="T649" s="5" t="str">
        <f>IFERROR(__xludf.DUMMYFUNCTION("""COMPUTED_VALUE"""),"Yes")</f>
        <v>Yes</v>
      </c>
      <c r="U649" s="5" t="str">
        <f>IFERROR(__xludf.DUMMYFUNCTION("""COMPUTED_VALUE"""),"Yes")</f>
        <v>Yes</v>
      </c>
      <c r="V649" s="5" t="str">
        <f>IFERROR(__xludf.DUMMYFUNCTION("""COMPUTED_VALUE"""),"Yes")</f>
        <v>Yes</v>
      </c>
      <c r="W649" s="5" t="str">
        <f>IFERROR(__xludf.DUMMYFUNCTION("""COMPUTED_VALUE"""),"Yes")</f>
        <v>Yes</v>
      </c>
      <c r="X649" s="5" t="str">
        <f>IFERROR(__xludf.DUMMYFUNCTION("""COMPUTED_VALUE"""),"Yes")</f>
        <v>Yes</v>
      </c>
      <c r="Y649" s="5" t="str">
        <f>IFERROR(__xludf.DUMMYFUNCTION("""COMPUTED_VALUE"""),"Yes")</f>
        <v>Yes</v>
      </c>
      <c r="Z649" s="5" t="str">
        <f>IFERROR(__xludf.DUMMYFUNCTION("""COMPUTED_VALUE"""),"Yes")</f>
        <v>Yes</v>
      </c>
      <c r="AA649" s="5" t="str">
        <f>IFERROR(__xludf.DUMMYFUNCTION("""COMPUTED_VALUE"""),"Yes")</f>
        <v>Yes</v>
      </c>
      <c r="AB649" s="5" t="str">
        <f>IFERROR(__xludf.DUMMYFUNCTION("""COMPUTED_VALUE"""),"Yes")</f>
        <v>Yes</v>
      </c>
      <c r="AC649" s="5" t="str">
        <f>IFERROR(__xludf.DUMMYFUNCTION("""COMPUTED_VALUE"""),"No")</f>
        <v>No</v>
      </c>
    </row>
    <row r="650">
      <c r="A650" s="5" t="str">
        <f>IFERROR(__xludf.DUMMYFUNCTION("""COMPUTED_VALUE"""),"GoldenDiamonds20Extreme")</f>
        <v>GoldenDiamonds20Extreme</v>
      </c>
      <c r="B65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0" s="5" t="str">
        <f>IFERROR(__xludf.DUMMYFUNCTION("""COMPUTED_VALUE"""),"Yes")</f>
        <v>Yes</v>
      </c>
      <c r="D650" s="5" t="str">
        <f>IFERROR(__xludf.DUMMYFUNCTION("""COMPUTED_VALUE"""),"Yes")</f>
        <v>Yes</v>
      </c>
      <c r="E650" s="5" t="str">
        <f>IFERROR(__xludf.DUMMYFUNCTION("""COMPUTED_VALUE"""),"Yes")</f>
        <v>Yes</v>
      </c>
      <c r="F650" s="5" t="str">
        <f>IFERROR(__xludf.DUMMYFUNCTION("""COMPUTED_VALUE"""),"Yes")</f>
        <v>Yes</v>
      </c>
      <c r="G650" s="5" t="str">
        <f>IFERROR(__xludf.DUMMYFUNCTION("""COMPUTED_VALUE"""),"Yes")</f>
        <v>Yes</v>
      </c>
      <c r="H650" s="5" t="str">
        <f>IFERROR(__xludf.DUMMYFUNCTION("""COMPUTED_VALUE"""),"Yes")</f>
        <v>Yes</v>
      </c>
      <c r="I650" s="5" t="str">
        <f>IFERROR(__xludf.DUMMYFUNCTION("""COMPUTED_VALUE"""),"Yes")</f>
        <v>Yes</v>
      </c>
      <c r="J650" s="5" t="str">
        <f>IFERROR(__xludf.DUMMYFUNCTION("""COMPUTED_VALUE"""),"Yes")</f>
        <v>Yes</v>
      </c>
      <c r="K650" s="5" t="str">
        <f>IFERROR(__xludf.DUMMYFUNCTION("""COMPUTED_VALUE"""),"Yes")</f>
        <v>Yes</v>
      </c>
      <c r="L650" s="5" t="str">
        <f>IFERROR(__xludf.DUMMYFUNCTION("""COMPUTED_VALUE"""),"Yes")</f>
        <v>Yes</v>
      </c>
      <c r="M650" s="5" t="str">
        <f>IFERROR(__xludf.DUMMYFUNCTION("""COMPUTED_VALUE"""),"Yes")</f>
        <v>Yes</v>
      </c>
      <c r="N650" s="5" t="str">
        <f>IFERROR(__xludf.DUMMYFUNCTION("""COMPUTED_VALUE"""),"Yes")</f>
        <v>Yes</v>
      </c>
      <c r="O650" s="5" t="str">
        <f>IFERROR(__xludf.DUMMYFUNCTION("""COMPUTED_VALUE"""),"Yes")</f>
        <v>Yes</v>
      </c>
      <c r="P650" s="5" t="str">
        <f>IFERROR(__xludf.DUMMYFUNCTION("""COMPUTED_VALUE"""),"Yes")</f>
        <v>Yes</v>
      </c>
      <c r="Q650" s="5" t="str">
        <f>IFERROR(__xludf.DUMMYFUNCTION("""COMPUTED_VALUE"""),"Yes")</f>
        <v>Yes</v>
      </c>
      <c r="R650" s="5" t="str">
        <f>IFERROR(__xludf.DUMMYFUNCTION("""COMPUTED_VALUE"""),"Yes")</f>
        <v>Yes</v>
      </c>
      <c r="S650" s="5" t="str">
        <f>IFERROR(__xludf.DUMMYFUNCTION("""COMPUTED_VALUE"""),"Yes")</f>
        <v>Yes</v>
      </c>
      <c r="T650" s="5" t="str">
        <f>IFERROR(__xludf.DUMMYFUNCTION("""COMPUTED_VALUE"""),"Yes")</f>
        <v>Yes</v>
      </c>
      <c r="U650" s="5" t="str">
        <f>IFERROR(__xludf.DUMMYFUNCTION("""COMPUTED_VALUE"""),"Yes")</f>
        <v>Yes</v>
      </c>
      <c r="V650" s="5" t="str">
        <f>IFERROR(__xludf.DUMMYFUNCTION("""COMPUTED_VALUE"""),"Yes")</f>
        <v>Yes</v>
      </c>
      <c r="W650" s="5" t="str">
        <f>IFERROR(__xludf.DUMMYFUNCTION("""COMPUTED_VALUE"""),"Yes")</f>
        <v>Yes</v>
      </c>
      <c r="X650" s="5" t="str">
        <f>IFERROR(__xludf.DUMMYFUNCTION("""COMPUTED_VALUE"""),"Yes")</f>
        <v>Yes</v>
      </c>
      <c r="Y650" s="5" t="str">
        <f>IFERROR(__xludf.DUMMYFUNCTION("""COMPUTED_VALUE"""),"Yes")</f>
        <v>Yes</v>
      </c>
      <c r="Z650" s="5" t="str">
        <f>IFERROR(__xludf.DUMMYFUNCTION("""COMPUTED_VALUE"""),"Yes")</f>
        <v>Yes</v>
      </c>
      <c r="AA650" s="5" t="str">
        <f>IFERROR(__xludf.DUMMYFUNCTION("""COMPUTED_VALUE"""),"Yes")</f>
        <v>Yes</v>
      </c>
      <c r="AB650" s="5" t="str">
        <f>IFERROR(__xludf.DUMMYFUNCTION("""COMPUTED_VALUE"""),"Yes")</f>
        <v>Yes</v>
      </c>
      <c r="AC650" s="5" t="str">
        <f>IFERROR(__xludf.DUMMYFUNCTION("""COMPUTED_VALUE"""),"No")</f>
        <v>No</v>
      </c>
    </row>
    <row r="651">
      <c r="A651" s="5" t="str">
        <f>IFERROR(__xludf.DUMMYFUNCTION("""COMPUTED_VALUE"""),"GoldenDiamonds40Extreme")</f>
        <v>GoldenDiamonds40Extreme</v>
      </c>
      <c r="B6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1" s="5" t="str">
        <f>IFERROR(__xludf.DUMMYFUNCTION("""COMPUTED_VALUE"""),"Yes")</f>
        <v>Yes</v>
      </c>
      <c r="D651" s="5" t="str">
        <f>IFERROR(__xludf.DUMMYFUNCTION("""COMPUTED_VALUE"""),"Yes")</f>
        <v>Yes</v>
      </c>
      <c r="E651" s="5" t="str">
        <f>IFERROR(__xludf.DUMMYFUNCTION("""COMPUTED_VALUE"""),"Yes")</f>
        <v>Yes</v>
      </c>
      <c r="F651" s="5" t="str">
        <f>IFERROR(__xludf.DUMMYFUNCTION("""COMPUTED_VALUE"""),"Yes")</f>
        <v>Yes</v>
      </c>
      <c r="G651" s="5" t="str">
        <f>IFERROR(__xludf.DUMMYFUNCTION("""COMPUTED_VALUE"""),"Yes")</f>
        <v>Yes</v>
      </c>
      <c r="H651" s="5" t="str">
        <f>IFERROR(__xludf.DUMMYFUNCTION("""COMPUTED_VALUE"""),"Yes")</f>
        <v>Yes</v>
      </c>
      <c r="I651" s="5" t="str">
        <f>IFERROR(__xludf.DUMMYFUNCTION("""COMPUTED_VALUE"""),"Yes")</f>
        <v>Yes</v>
      </c>
      <c r="J651" s="5" t="str">
        <f>IFERROR(__xludf.DUMMYFUNCTION("""COMPUTED_VALUE"""),"Yes")</f>
        <v>Yes</v>
      </c>
      <c r="K651" s="5" t="str">
        <f>IFERROR(__xludf.DUMMYFUNCTION("""COMPUTED_VALUE"""),"Yes")</f>
        <v>Yes</v>
      </c>
      <c r="L651" s="5" t="str">
        <f>IFERROR(__xludf.DUMMYFUNCTION("""COMPUTED_VALUE"""),"Yes")</f>
        <v>Yes</v>
      </c>
      <c r="M651" s="5" t="str">
        <f>IFERROR(__xludf.DUMMYFUNCTION("""COMPUTED_VALUE"""),"Yes")</f>
        <v>Yes</v>
      </c>
      <c r="N651" s="5" t="str">
        <f>IFERROR(__xludf.DUMMYFUNCTION("""COMPUTED_VALUE"""),"Yes")</f>
        <v>Yes</v>
      </c>
      <c r="O651" s="5" t="str">
        <f>IFERROR(__xludf.DUMMYFUNCTION("""COMPUTED_VALUE"""),"Yes")</f>
        <v>Yes</v>
      </c>
      <c r="P651" s="5" t="str">
        <f>IFERROR(__xludf.DUMMYFUNCTION("""COMPUTED_VALUE"""),"Yes")</f>
        <v>Yes</v>
      </c>
      <c r="Q651" s="5" t="str">
        <f>IFERROR(__xludf.DUMMYFUNCTION("""COMPUTED_VALUE"""),"Yes")</f>
        <v>Yes</v>
      </c>
      <c r="R651" s="5" t="str">
        <f>IFERROR(__xludf.DUMMYFUNCTION("""COMPUTED_VALUE"""),"Yes")</f>
        <v>Yes</v>
      </c>
      <c r="S651" s="5" t="str">
        <f>IFERROR(__xludf.DUMMYFUNCTION("""COMPUTED_VALUE"""),"Yes")</f>
        <v>Yes</v>
      </c>
      <c r="T651" s="5" t="str">
        <f>IFERROR(__xludf.DUMMYFUNCTION("""COMPUTED_VALUE"""),"Yes")</f>
        <v>Yes</v>
      </c>
      <c r="U651" s="5" t="str">
        <f>IFERROR(__xludf.DUMMYFUNCTION("""COMPUTED_VALUE"""),"Yes")</f>
        <v>Yes</v>
      </c>
      <c r="V651" s="5" t="str">
        <f>IFERROR(__xludf.DUMMYFUNCTION("""COMPUTED_VALUE"""),"Yes")</f>
        <v>Yes</v>
      </c>
      <c r="W651" s="5" t="str">
        <f>IFERROR(__xludf.DUMMYFUNCTION("""COMPUTED_VALUE"""),"Yes")</f>
        <v>Yes</v>
      </c>
      <c r="X651" s="5" t="str">
        <f>IFERROR(__xludf.DUMMYFUNCTION("""COMPUTED_VALUE"""),"Yes")</f>
        <v>Yes</v>
      </c>
      <c r="Y651" s="5" t="str">
        <f>IFERROR(__xludf.DUMMYFUNCTION("""COMPUTED_VALUE"""),"Yes")</f>
        <v>Yes</v>
      </c>
      <c r="Z651" s="5" t="str">
        <f>IFERROR(__xludf.DUMMYFUNCTION("""COMPUTED_VALUE"""),"Yes")</f>
        <v>Yes</v>
      </c>
      <c r="AA651" s="5" t="str">
        <f>IFERROR(__xludf.DUMMYFUNCTION("""COMPUTED_VALUE"""),"Yes")</f>
        <v>Yes</v>
      </c>
      <c r="AB651" s="5" t="str">
        <f>IFERROR(__xludf.DUMMYFUNCTION("""COMPUTED_VALUE"""),"Yes")</f>
        <v>Yes</v>
      </c>
      <c r="AC651" s="5" t="str">
        <f>IFERROR(__xludf.DUMMYFUNCTION("""COMPUTED_VALUE"""),"No")</f>
        <v>No</v>
      </c>
    </row>
    <row r="652">
      <c r="A652" s="5" t="str">
        <f>IFERROR(__xludf.DUMMYFUNCTION("""COMPUTED_VALUE"""),"VeryHot5ExtremeBooster")</f>
        <v>VeryHot5ExtremeBooster</v>
      </c>
      <c r="B6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2" s="5" t="str">
        <f>IFERROR(__xludf.DUMMYFUNCTION("""COMPUTED_VALUE"""),"Yes")</f>
        <v>Yes</v>
      </c>
      <c r="D652" s="5" t="str">
        <f>IFERROR(__xludf.DUMMYFUNCTION("""COMPUTED_VALUE"""),"Yes")</f>
        <v>Yes</v>
      </c>
      <c r="E652" s="5" t="str">
        <f>IFERROR(__xludf.DUMMYFUNCTION("""COMPUTED_VALUE"""),"Yes")</f>
        <v>Yes</v>
      </c>
      <c r="F652" s="5" t="str">
        <f>IFERROR(__xludf.DUMMYFUNCTION("""COMPUTED_VALUE"""),"Yes")</f>
        <v>Yes</v>
      </c>
      <c r="G652" s="5" t="str">
        <f>IFERROR(__xludf.DUMMYFUNCTION("""COMPUTED_VALUE"""),"Yes")</f>
        <v>Yes</v>
      </c>
      <c r="H652" s="5" t="str">
        <f>IFERROR(__xludf.DUMMYFUNCTION("""COMPUTED_VALUE"""),"Yes")</f>
        <v>Yes</v>
      </c>
      <c r="I652" s="5" t="str">
        <f>IFERROR(__xludf.DUMMYFUNCTION("""COMPUTED_VALUE"""),"Yes")</f>
        <v>Yes</v>
      </c>
      <c r="J652" s="5" t="str">
        <f>IFERROR(__xludf.DUMMYFUNCTION("""COMPUTED_VALUE"""),"Yes")</f>
        <v>Yes</v>
      </c>
      <c r="K652" s="5" t="str">
        <f>IFERROR(__xludf.DUMMYFUNCTION("""COMPUTED_VALUE"""),"Yes")</f>
        <v>Yes</v>
      </c>
      <c r="L652" s="5" t="str">
        <f>IFERROR(__xludf.DUMMYFUNCTION("""COMPUTED_VALUE"""),"Yes")</f>
        <v>Yes</v>
      </c>
      <c r="M652" s="5" t="str">
        <f>IFERROR(__xludf.DUMMYFUNCTION("""COMPUTED_VALUE"""),"Yes")</f>
        <v>Yes</v>
      </c>
      <c r="N652" s="5" t="str">
        <f>IFERROR(__xludf.DUMMYFUNCTION("""COMPUTED_VALUE"""),"Yes")</f>
        <v>Yes</v>
      </c>
      <c r="O652" s="5" t="str">
        <f>IFERROR(__xludf.DUMMYFUNCTION("""COMPUTED_VALUE"""),"Yes")</f>
        <v>Yes</v>
      </c>
      <c r="P652" s="5" t="str">
        <f>IFERROR(__xludf.DUMMYFUNCTION("""COMPUTED_VALUE"""),"Yes")</f>
        <v>Yes</v>
      </c>
      <c r="Q652" s="5" t="str">
        <f>IFERROR(__xludf.DUMMYFUNCTION("""COMPUTED_VALUE"""),"Yes")</f>
        <v>Yes</v>
      </c>
      <c r="R652" s="5" t="str">
        <f>IFERROR(__xludf.DUMMYFUNCTION("""COMPUTED_VALUE"""),"Yes")</f>
        <v>Yes</v>
      </c>
      <c r="S652" s="5" t="str">
        <f>IFERROR(__xludf.DUMMYFUNCTION("""COMPUTED_VALUE"""),"Yes")</f>
        <v>Yes</v>
      </c>
      <c r="T652" s="5" t="str">
        <f>IFERROR(__xludf.DUMMYFUNCTION("""COMPUTED_VALUE"""),"Yes")</f>
        <v>Yes</v>
      </c>
      <c r="U652" s="5" t="str">
        <f>IFERROR(__xludf.DUMMYFUNCTION("""COMPUTED_VALUE"""),"Yes")</f>
        <v>Yes</v>
      </c>
      <c r="V652" s="5" t="str">
        <f>IFERROR(__xludf.DUMMYFUNCTION("""COMPUTED_VALUE"""),"Yes")</f>
        <v>Yes</v>
      </c>
      <c r="W652" s="5" t="str">
        <f>IFERROR(__xludf.DUMMYFUNCTION("""COMPUTED_VALUE"""),"Yes")</f>
        <v>Yes</v>
      </c>
      <c r="X652" s="5" t="str">
        <f>IFERROR(__xludf.DUMMYFUNCTION("""COMPUTED_VALUE"""),"Yes")</f>
        <v>Yes</v>
      </c>
      <c r="Y652" s="5" t="str">
        <f>IFERROR(__xludf.DUMMYFUNCTION("""COMPUTED_VALUE"""),"Yes")</f>
        <v>Yes</v>
      </c>
      <c r="Z652" s="5" t="str">
        <f>IFERROR(__xludf.DUMMYFUNCTION("""COMPUTED_VALUE"""),"Yes")</f>
        <v>Yes</v>
      </c>
      <c r="AA652" s="5" t="str">
        <f>IFERROR(__xludf.DUMMYFUNCTION("""COMPUTED_VALUE"""),"Yes")</f>
        <v>Yes</v>
      </c>
      <c r="AB652" s="5" t="str">
        <f>IFERROR(__xludf.DUMMYFUNCTION("""COMPUTED_VALUE"""),"Yes")</f>
        <v>Yes</v>
      </c>
      <c r="AC652" s="5" t="str">
        <f>IFERROR(__xludf.DUMMYFUNCTION("""COMPUTED_VALUE"""),"No")</f>
        <v>No</v>
      </c>
    </row>
    <row r="653">
      <c r="A653" s="5" t="str">
        <f>IFERROR(__xludf.DUMMYFUNCTION("""COMPUTED_VALUE"""),"LockedHearts10")</f>
        <v>LockedHearts10</v>
      </c>
      <c r="B6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3" s="5" t="str">
        <f>IFERROR(__xludf.DUMMYFUNCTION("""COMPUTED_VALUE"""),"Yes")</f>
        <v>Yes</v>
      </c>
      <c r="D653" s="5" t="str">
        <f>IFERROR(__xludf.DUMMYFUNCTION("""COMPUTED_VALUE"""),"Yes")</f>
        <v>Yes</v>
      </c>
      <c r="E653" s="5" t="str">
        <f>IFERROR(__xludf.DUMMYFUNCTION("""COMPUTED_VALUE"""),"Yes")</f>
        <v>Yes</v>
      </c>
      <c r="F653" s="5" t="str">
        <f>IFERROR(__xludf.DUMMYFUNCTION("""COMPUTED_VALUE"""),"Yes")</f>
        <v>Yes</v>
      </c>
      <c r="G653" s="5" t="str">
        <f>IFERROR(__xludf.DUMMYFUNCTION("""COMPUTED_VALUE"""),"Yes")</f>
        <v>Yes</v>
      </c>
      <c r="H653" s="5" t="str">
        <f>IFERROR(__xludf.DUMMYFUNCTION("""COMPUTED_VALUE"""),"Yes")</f>
        <v>Yes</v>
      </c>
      <c r="I653" s="5" t="str">
        <f>IFERROR(__xludf.DUMMYFUNCTION("""COMPUTED_VALUE"""),"Yes")</f>
        <v>Yes</v>
      </c>
      <c r="J653" s="5" t="str">
        <f>IFERROR(__xludf.DUMMYFUNCTION("""COMPUTED_VALUE"""),"Yes")</f>
        <v>Yes</v>
      </c>
      <c r="K653" s="5" t="str">
        <f>IFERROR(__xludf.DUMMYFUNCTION("""COMPUTED_VALUE"""),"Yes")</f>
        <v>Yes</v>
      </c>
      <c r="L653" s="5" t="str">
        <f>IFERROR(__xludf.DUMMYFUNCTION("""COMPUTED_VALUE"""),"Yes")</f>
        <v>Yes</v>
      </c>
      <c r="M653" s="5" t="str">
        <f>IFERROR(__xludf.DUMMYFUNCTION("""COMPUTED_VALUE"""),"Yes")</f>
        <v>Yes</v>
      </c>
      <c r="N653" s="5" t="str">
        <f>IFERROR(__xludf.DUMMYFUNCTION("""COMPUTED_VALUE"""),"Yes")</f>
        <v>Yes</v>
      </c>
      <c r="O653" s="5" t="str">
        <f>IFERROR(__xludf.DUMMYFUNCTION("""COMPUTED_VALUE"""),"Yes")</f>
        <v>Yes</v>
      </c>
      <c r="P653" s="5" t="str">
        <f>IFERROR(__xludf.DUMMYFUNCTION("""COMPUTED_VALUE"""),"Yes")</f>
        <v>Yes</v>
      </c>
      <c r="Q653" s="5" t="str">
        <f>IFERROR(__xludf.DUMMYFUNCTION("""COMPUTED_VALUE"""),"Yes")</f>
        <v>Yes</v>
      </c>
      <c r="R653" s="5" t="str">
        <f>IFERROR(__xludf.DUMMYFUNCTION("""COMPUTED_VALUE"""),"Yes")</f>
        <v>Yes</v>
      </c>
      <c r="S653" s="5" t="str">
        <f>IFERROR(__xludf.DUMMYFUNCTION("""COMPUTED_VALUE"""),"Yes")</f>
        <v>Yes</v>
      </c>
      <c r="T653" s="5" t="str">
        <f>IFERROR(__xludf.DUMMYFUNCTION("""COMPUTED_VALUE"""),"Yes")</f>
        <v>Yes</v>
      </c>
      <c r="U653" s="5" t="str">
        <f>IFERROR(__xludf.DUMMYFUNCTION("""COMPUTED_VALUE"""),"Yes")</f>
        <v>Yes</v>
      </c>
      <c r="V653" s="5" t="str">
        <f>IFERROR(__xludf.DUMMYFUNCTION("""COMPUTED_VALUE"""),"Yes")</f>
        <v>Yes</v>
      </c>
      <c r="W653" s="5" t="str">
        <f>IFERROR(__xludf.DUMMYFUNCTION("""COMPUTED_VALUE"""),"Yes")</f>
        <v>Yes</v>
      </c>
      <c r="X653" s="5" t="str">
        <f>IFERROR(__xludf.DUMMYFUNCTION("""COMPUTED_VALUE"""),"Yes")</f>
        <v>Yes</v>
      </c>
      <c r="Y653" s="5" t="str">
        <f>IFERROR(__xludf.DUMMYFUNCTION("""COMPUTED_VALUE"""),"Yes")</f>
        <v>Yes</v>
      </c>
      <c r="Z653" s="5" t="str">
        <f>IFERROR(__xludf.DUMMYFUNCTION("""COMPUTED_VALUE"""),"Yes")</f>
        <v>Yes</v>
      </c>
      <c r="AA653" s="5" t="str">
        <f>IFERROR(__xludf.DUMMYFUNCTION("""COMPUTED_VALUE"""),"Yes")</f>
        <v>Yes</v>
      </c>
      <c r="AB653" s="5" t="str">
        <f>IFERROR(__xludf.DUMMYFUNCTION("""COMPUTED_VALUE"""),"Yes")</f>
        <v>Yes</v>
      </c>
      <c r="AC653" s="5" t="str">
        <f>IFERROR(__xludf.DUMMYFUNCTION("""COMPUTED_VALUE"""),"No")</f>
        <v>No</v>
      </c>
    </row>
    <row r="654">
      <c r="A654" s="5" t="str">
        <f>IFERROR(__xludf.DUMMYFUNCTION("""COMPUTED_VALUE"""),"LockedHearts5")</f>
        <v>LockedHearts5</v>
      </c>
      <c r="B6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4" s="5" t="str">
        <f>IFERROR(__xludf.DUMMYFUNCTION("""COMPUTED_VALUE"""),"Yes")</f>
        <v>Yes</v>
      </c>
      <c r="D654" s="5" t="str">
        <f>IFERROR(__xludf.DUMMYFUNCTION("""COMPUTED_VALUE"""),"Yes")</f>
        <v>Yes</v>
      </c>
      <c r="E654" s="5" t="str">
        <f>IFERROR(__xludf.DUMMYFUNCTION("""COMPUTED_VALUE"""),"Yes")</f>
        <v>Yes</v>
      </c>
      <c r="F654" s="5" t="str">
        <f>IFERROR(__xludf.DUMMYFUNCTION("""COMPUTED_VALUE"""),"Yes")</f>
        <v>Yes</v>
      </c>
      <c r="G654" s="5" t="str">
        <f>IFERROR(__xludf.DUMMYFUNCTION("""COMPUTED_VALUE"""),"Yes")</f>
        <v>Yes</v>
      </c>
      <c r="H654" s="5" t="str">
        <f>IFERROR(__xludf.DUMMYFUNCTION("""COMPUTED_VALUE"""),"Yes")</f>
        <v>Yes</v>
      </c>
      <c r="I654" s="5" t="str">
        <f>IFERROR(__xludf.DUMMYFUNCTION("""COMPUTED_VALUE"""),"Yes")</f>
        <v>Yes</v>
      </c>
      <c r="J654" s="5" t="str">
        <f>IFERROR(__xludf.DUMMYFUNCTION("""COMPUTED_VALUE"""),"Yes")</f>
        <v>Yes</v>
      </c>
      <c r="K654" s="5" t="str">
        <f>IFERROR(__xludf.DUMMYFUNCTION("""COMPUTED_VALUE"""),"Yes")</f>
        <v>Yes</v>
      </c>
      <c r="L654" s="5" t="str">
        <f>IFERROR(__xludf.DUMMYFUNCTION("""COMPUTED_VALUE"""),"Yes")</f>
        <v>Yes</v>
      </c>
      <c r="M654" s="5" t="str">
        <f>IFERROR(__xludf.DUMMYFUNCTION("""COMPUTED_VALUE"""),"Yes")</f>
        <v>Yes</v>
      </c>
      <c r="N654" s="5" t="str">
        <f>IFERROR(__xludf.DUMMYFUNCTION("""COMPUTED_VALUE"""),"Yes")</f>
        <v>Yes</v>
      </c>
      <c r="O654" s="5" t="str">
        <f>IFERROR(__xludf.DUMMYFUNCTION("""COMPUTED_VALUE"""),"Yes")</f>
        <v>Yes</v>
      </c>
      <c r="P654" s="5" t="str">
        <f>IFERROR(__xludf.DUMMYFUNCTION("""COMPUTED_VALUE"""),"Yes")</f>
        <v>Yes</v>
      </c>
      <c r="Q654" s="5" t="str">
        <f>IFERROR(__xludf.DUMMYFUNCTION("""COMPUTED_VALUE"""),"Yes")</f>
        <v>Yes</v>
      </c>
      <c r="R654" s="5" t="str">
        <f>IFERROR(__xludf.DUMMYFUNCTION("""COMPUTED_VALUE"""),"Yes")</f>
        <v>Yes</v>
      </c>
      <c r="S654" s="5" t="str">
        <f>IFERROR(__xludf.DUMMYFUNCTION("""COMPUTED_VALUE"""),"Yes")</f>
        <v>Yes</v>
      </c>
      <c r="T654" s="5" t="str">
        <f>IFERROR(__xludf.DUMMYFUNCTION("""COMPUTED_VALUE"""),"Yes")</f>
        <v>Yes</v>
      </c>
      <c r="U654" s="5" t="str">
        <f>IFERROR(__xludf.DUMMYFUNCTION("""COMPUTED_VALUE"""),"Yes")</f>
        <v>Yes</v>
      </c>
      <c r="V654" s="5" t="str">
        <f>IFERROR(__xludf.DUMMYFUNCTION("""COMPUTED_VALUE"""),"Yes")</f>
        <v>Yes</v>
      </c>
      <c r="W654" s="5" t="str">
        <f>IFERROR(__xludf.DUMMYFUNCTION("""COMPUTED_VALUE"""),"Yes")</f>
        <v>Yes</v>
      </c>
      <c r="X654" s="5" t="str">
        <f>IFERROR(__xludf.DUMMYFUNCTION("""COMPUTED_VALUE"""),"Yes")</f>
        <v>Yes</v>
      </c>
      <c r="Y654" s="5" t="str">
        <f>IFERROR(__xludf.DUMMYFUNCTION("""COMPUTED_VALUE"""),"Yes")</f>
        <v>Yes</v>
      </c>
      <c r="Z654" s="5" t="str">
        <f>IFERROR(__xludf.DUMMYFUNCTION("""COMPUTED_VALUE"""),"Yes")</f>
        <v>Yes</v>
      </c>
      <c r="AA654" s="5" t="str">
        <f>IFERROR(__xludf.DUMMYFUNCTION("""COMPUTED_VALUE"""),"Yes")</f>
        <v>Yes</v>
      </c>
      <c r="AB654" s="5" t="str">
        <f>IFERROR(__xludf.DUMMYFUNCTION("""COMPUTED_VALUE"""),"Yes")</f>
        <v>Yes</v>
      </c>
      <c r="AC654" s="5" t="str">
        <f>IFERROR(__xludf.DUMMYFUNCTION("""COMPUTED_VALUE"""),"No")</f>
        <v>No</v>
      </c>
    </row>
    <row r="655">
      <c r="A655" s="5" t="str">
        <f>IFERROR(__xludf.DUMMYFUNCTION("""COMPUTED_VALUE"""),"LockedHearts20")</f>
        <v>LockedHearts20</v>
      </c>
      <c r="B6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5" s="5" t="str">
        <f>IFERROR(__xludf.DUMMYFUNCTION("""COMPUTED_VALUE"""),"Yes")</f>
        <v>Yes</v>
      </c>
      <c r="D655" s="5" t="str">
        <f>IFERROR(__xludf.DUMMYFUNCTION("""COMPUTED_VALUE"""),"Yes")</f>
        <v>Yes</v>
      </c>
      <c r="E655" s="5" t="str">
        <f>IFERROR(__xludf.DUMMYFUNCTION("""COMPUTED_VALUE"""),"Yes")</f>
        <v>Yes</v>
      </c>
      <c r="F655" s="5" t="str">
        <f>IFERROR(__xludf.DUMMYFUNCTION("""COMPUTED_VALUE"""),"Yes")</f>
        <v>Yes</v>
      </c>
      <c r="G655" s="5" t="str">
        <f>IFERROR(__xludf.DUMMYFUNCTION("""COMPUTED_VALUE"""),"Yes")</f>
        <v>Yes</v>
      </c>
      <c r="H655" s="5" t="str">
        <f>IFERROR(__xludf.DUMMYFUNCTION("""COMPUTED_VALUE"""),"Yes")</f>
        <v>Yes</v>
      </c>
      <c r="I655" s="5" t="str">
        <f>IFERROR(__xludf.DUMMYFUNCTION("""COMPUTED_VALUE"""),"Yes")</f>
        <v>Yes</v>
      </c>
      <c r="J655" s="5" t="str">
        <f>IFERROR(__xludf.DUMMYFUNCTION("""COMPUTED_VALUE"""),"Yes")</f>
        <v>Yes</v>
      </c>
      <c r="K655" s="5" t="str">
        <f>IFERROR(__xludf.DUMMYFUNCTION("""COMPUTED_VALUE"""),"Yes")</f>
        <v>Yes</v>
      </c>
      <c r="L655" s="5" t="str">
        <f>IFERROR(__xludf.DUMMYFUNCTION("""COMPUTED_VALUE"""),"Yes")</f>
        <v>Yes</v>
      </c>
      <c r="M655" s="5" t="str">
        <f>IFERROR(__xludf.DUMMYFUNCTION("""COMPUTED_VALUE"""),"Yes")</f>
        <v>Yes</v>
      </c>
      <c r="N655" s="5" t="str">
        <f>IFERROR(__xludf.DUMMYFUNCTION("""COMPUTED_VALUE"""),"Yes")</f>
        <v>Yes</v>
      </c>
      <c r="O655" s="5" t="str">
        <f>IFERROR(__xludf.DUMMYFUNCTION("""COMPUTED_VALUE"""),"Yes")</f>
        <v>Yes</v>
      </c>
      <c r="P655" s="5" t="str">
        <f>IFERROR(__xludf.DUMMYFUNCTION("""COMPUTED_VALUE"""),"Yes")</f>
        <v>Yes</v>
      </c>
      <c r="Q655" s="5" t="str">
        <f>IFERROR(__xludf.DUMMYFUNCTION("""COMPUTED_VALUE"""),"Yes")</f>
        <v>Yes</v>
      </c>
      <c r="R655" s="5" t="str">
        <f>IFERROR(__xludf.DUMMYFUNCTION("""COMPUTED_VALUE"""),"Yes")</f>
        <v>Yes</v>
      </c>
      <c r="S655" s="5" t="str">
        <f>IFERROR(__xludf.DUMMYFUNCTION("""COMPUTED_VALUE"""),"Yes")</f>
        <v>Yes</v>
      </c>
      <c r="T655" s="5" t="str">
        <f>IFERROR(__xludf.DUMMYFUNCTION("""COMPUTED_VALUE"""),"Yes")</f>
        <v>Yes</v>
      </c>
      <c r="U655" s="5" t="str">
        <f>IFERROR(__xludf.DUMMYFUNCTION("""COMPUTED_VALUE"""),"Yes")</f>
        <v>Yes</v>
      </c>
      <c r="V655" s="5" t="str">
        <f>IFERROR(__xludf.DUMMYFUNCTION("""COMPUTED_VALUE"""),"Yes")</f>
        <v>Yes</v>
      </c>
      <c r="W655" s="5" t="str">
        <f>IFERROR(__xludf.DUMMYFUNCTION("""COMPUTED_VALUE"""),"Yes")</f>
        <v>Yes</v>
      </c>
      <c r="X655" s="5" t="str">
        <f>IFERROR(__xludf.DUMMYFUNCTION("""COMPUTED_VALUE"""),"Yes")</f>
        <v>Yes</v>
      </c>
      <c r="Y655" s="5" t="str">
        <f>IFERROR(__xludf.DUMMYFUNCTION("""COMPUTED_VALUE"""),"Yes")</f>
        <v>Yes</v>
      </c>
      <c r="Z655" s="5" t="str">
        <f>IFERROR(__xludf.DUMMYFUNCTION("""COMPUTED_VALUE"""),"Yes")</f>
        <v>Yes</v>
      </c>
      <c r="AA655" s="5" t="str">
        <f>IFERROR(__xludf.DUMMYFUNCTION("""COMPUTED_VALUE"""),"Yes")</f>
        <v>Yes</v>
      </c>
      <c r="AB655" s="5" t="str">
        <f>IFERROR(__xludf.DUMMYFUNCTION("""COMPUTED_VALUE"""),"Yes")</f>
        <v>Yes</v>
      </c>
      <c r="AC655" s="5" t="str">
        <f>IFERROR(__xludf.DUMMYFUNCTION("""COMPUTED_VALUE"""),"No")</f>
        <v>No</v>
      </c>
    </row>
    <row r="656">
      <c r="A656" s="5" t="str">
        <f>IFERROR(__xludf.DUMMYFUNCTION("""COMPUTED_VALUE"""),"LockedHearts40")</f>
        <v>LockedHearts40</v>
      </c>
      <c r="B6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6" s="5" t="str">
        <f>IFERROR(__xludf.DUMMYFUNCTION("""COMPUTED_VALUE"""),"Yes")</f>
        <v>Yes</v>
      </c>
      <c r="D656" s="5" t="str">
        <f>IFERROR(__xludf.DUMMYFUNCTION("""COMPUTED_VALUE"""),"Yes")</f>
        <v>Yes</v>
      </c>
      <c r="E656" s="5" t="str">
        <f>IFERROR(__xludf.DUMMYFUNCTION("""COMPUTED_VALUE"""),"Yes")</f>
        <v>Yes</v>
      </c>
      <c r="F656" s="5" t="str">
        <f>IFERROR(__xludf.DUMMYFUNCTION("""COMPUTED_VALUE"""),"Yes")</f>
        <v>Yes</v>
      </c>
      <c r="G656" s="5" t="str">
        <f>IFERROR(__xludf.DUMMYFUNCTION("""COMPUTED_VALUE"""),"Yes")</f>
        <v>Yes</v>
      </c>
      <c r="H656" s="5" t="str">
        <f>IFERROR(__xludf.DUMMYFUNCTION("""COMPUTED_VALUE"""),"Yes")</f>
        <v>Yes</v>
      </c>
      <c r="I656" s="5" t="str">
        <f>IFERROR(__xludf.DUMMYFUNCTION("""COMPUTED_VALUE"""),"Yes")</f>
        <v>Yes</v>
      </c>
      <c r="J656" s="5" t="str">
        <f>IFERROR(__xludf.DUMMYFUNCTION("""COMPUTED_VALUE"""),"Yes")</f>
        <v>Yes</v>
      </c>
      <c r="K656" s="5" t="str">
        <f>IFERROR(__xludf.DUMMYFUNCTION("""COMPUTED_VALUE"""),"Yes")</f>
        <v>Yes</v>
      </c>
      <c r="L656" s="5" t="str">
        <f>IFERROR(__xludf.DUMMYFUNCTION("""COMPUTED_VALUE"""),"Yes")</f>
        <v>Yes</v>
      </c>
      <c r="M656" s="5" t="str">
        <f>IFERROR(__xludf.DUMMYFUNCTION("""COMPUTED_VALUE"""),"Yes")</f>
        <v>Yes</v>
      </c>
      <c r="N656" s="5" t="str">
        <f>IFERROR(__xludf.DUMMYFUNCTION("""COMPUTED_VALUE"""),"Yes")</f>
        <v>Yes</v>
      </c>
      <c r="O656" s="5" t="str">
        <f>IFERROR(__xludf.DUMMYFUNCTION("""COMPUTED_VALUE"""),"Yes")</f>
        <v>Yes</v>
      </c>
      <c r="P656" s="5" t="str">
        <f>IFERROR(__xludf.DUMMYFUNCTION("""COMPUTED_VALUE"""),"Yes")</f>
        <v>Yes</v>
      </c>
      <c r="Q656" s="5" t="str">
        <f>IFERROR(__xludf.DUMMYFUNCTION("""COMPUTED_VALUE"""),"Yes")</f>
        <v>Yes</v>
      </c>
      <c r="R656" s="5" t="str">
        <f>IFERROR(__xludf.DUMMYFUNCTION("""COMPUTED_VALUE"""),"Yes")</f>
        <v>Yes</v>
      </c>
      <c r="S656" s="5" t="str">
        <f>IFERROR(__xludf.DUMMYFUNCTION("""COMPUTED_VALUE"""),"Yes")</f>
        <v>Yes</v>
      </c>
      <c r="T656" s="5" t="str">
        <f>IFERROR(__xludf.DUMMYFUNCTION("""COMPUTED_VALUE"""),"Yes")</f>
        <v>Yes</v>
      </c>
      <c r="U656" s="5" t="str">
        <f>IFERROR(__xludf.DUMMYFUNCTION("""COMPUTED_VALUE"""),"Yes")</f>
        <v>Yes</v>
      </c>
      <c r="V656" s="5" t="str">
        <f>IFERROR(__xludf.DUMMYFUNCTION("""COMPUTED_VALUE"""),"Yes")</f>
        <v>Yes</v>
      </c>
      <c r="W656" s="5" t="str">
        <f>IFERROR(__xludf.DUMMYFUNCTION("""COMPUTED_VALUE"""),"Yes")</f>
        <v>Yes</v>
      </c>
      <c r="X656" s="5" t="str">
        <f>IFERROR(__xludf.DUMMYFUNCTION("""COMPUTED_VALUE"""),"Yes")</f>
        <v>Yes</v>
      </c>
      <c r="Y656" s="5" t="str">
        <f>IFERROR(__xludf.DUMMYFUNCTION("""COMPUTED_VALUE"""),"Yes")</f>
        <v>Yes</v>
      </c>
      <c r="Z656" s="5" t="str">
        <f>IFERROR(__xludf.DUMMYFUNCTION("""COMPUTED_VALUE"""),"Yes")</f>
        <v>Yes</v>
      </c>
      <c r="AA656" s="5" t="str">
        <f>IFERROR(__xludf.DUMMYFUNCTION("""COMPUTED_VALUE"""),"Yes")</f>
        <v>Yes</v>
      </c>
      <c r="AB656" s="5" t="str">
        <f>IFERROR(__xludf.DUMMYFUNCTION("""COMPUTED_VALUE"""),"Yes")</f>
        <v>Yes</v>
      </c>
      <c r="AC656" s="5" t="str">
        <f>IFERROR(__xludf.DUMMYFUNCTION("""COMPUTED_VALUE"""),"No")</f>
        <v>No</v>
      </c>
    </row>
    <row r="657">
      <c r="A657" s="5" t="str">
        <f>IFERROR(__xludf.DUMMYFUNCTION("""COMPUTED_VALUE"""),"WinningClover5HoldAndWin")</f>
        <v>WinningClover5HoldAndWin</v>
      </c>
      <c r="B6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7" s="5" t="str">
        <f>IFERROR(__xludf.DUMMYFUNCTION("""COMPUTED_VALUE"""),"Yes")</f>
        <v>Yes</v>
      </c>
      <c r="D657" s="5" t="str">
        <f>IFERROR(__xludf.DUMMYFUNCTION("""COMPUTED_VALUE"""),"Yes")</f>
        <v>Yes</v>
      </c>
      <c r="E657" s="5" t="str">
        <f>IFERROR(__xludf.DUMMYFUNCTION("""COMPUTED_VALUE"""),"Yes")</f>
        <v>Yes</v>
      </c>
      <c r="F657" s="5" t="str">
        <f>IFERROR(__xludf.DUMMYFUNCTION("""COMPUTED_VALUE"""),"Yes")</f>
        <v>Yes</v>
      </c>
      <c r="G657" s="5" t="str">
        <f>IFERROR(__xludf.DUMMYFUNCTION("""COMPUTED_VALUE"""),"Yes")</f>
        <v>Yes</v>
      </c>
      <c r="H657" s="5" t="str">
        <f>IFERROR(__xludf.DUMMYFUNCTION("""COMPUTED_VALUE"""),"Yes")</f>
        <v>Yes</v>
      </c>
      <c r="I657" s="5" t="str">
        <f>IFERROR(__xludf.DUMMYFUNCTION("""COMPUTED_VALUE"""),"Yes")</f>
        <v>Yes</v>
      </c>
      <c r="J657" s="5" t="str">
        <f>IFERROR(__xludf.DUMMYFUNCTION("""COMPUTED_VALUE"""),"Yes")</f>
        <v>Yes</v>
      </c>
      <c r="K657" s="5" t="str">
        <f>IFERROR(__xludf.DUMMYFUNCTION("""COMPUTED_VALUE"""),"Yes")</f>
        <v>Yes</v>
      </c>
      <c r="L657" s="5" t="str">
        <f>IFERROR(__xludf.DUMMYFUNCTION("""COMPUTED_VALUE"""),"Yes")</f>
        <v>Yes</v>
      </c>
      <c r="M657" s="5" t="str">
        <f>IFERROR(__xludf.DUMMYFUNCTION("""COMPUTED_VALUE"""),"Yes")</f>
        <v>Yes</v>
      </c>
      <c r="N657" s="5" t="str">
        <f>IFERROR(__xludf.DUMMYFUNCTION("""COMPUTED_VALUE"""),"Yes")</f>
        <v>Yes</v>
      </c>
      <c r="O657" s="5" t="str">
        <f>IFERROR(__xludf.DUMMYFUNCTION("""COMPUTED_VALUE"""),"Yes")</f>
        <v>Yes</v>
      </c>
      <c r="P657" s="5" t="str">
        <f>IFERROR(__xludf.DUMMYFUNCTION("""COMPUTED_VALUE"""),"Yes")</f>
        <v>Yes</v>
      </c>
      <c r="Q657" s="5" t="str">
        <f>IFERROR(__xludf.DUMMYFUNCTION("""COMPUTED_VALUE"""),"Yes")</f>
        <v>Yes</v>
      </c>
      <c r="R657" s="5" t="str">
        <f>IFERROR(__xludf.DUMMYFUNCTION("""COMPUTED_VALUE"""),"Yes")</f>
        <v>Yes</v>
      </c>
      <c r="S657" s="5" t="str">
        <f>IFERROR(__xludf.DUMMYFUNCTION("""COMPUTED_VALUE"""),"Yes")</f>
        <v>Yes</v>
      </c>
      <c r="T657" s="5" t="str">
        <f>IFERROR(__xludf.DUMMYFUNCTION("""COMPUTED_VALUE"""),"Yes")</f>
        <v>Yes</v>
      </c>
      <c r="U657" s="5" t="str">
        <f>IFERROR(__xludf.DUMMYFUNCTION("""COMPUTED_VALUE"""),"Yes")</f>
        <v>Yes</v>
      </c>
      <c r="V657" s="5" t="str">
        <f>IFERROR(__xludf.DUMMYFUNCTION("""COMPUTED_VALUE"""),"Yes")</f>
        <v>Yes</v>
      </c>
      <c r="W657" s="5" t="str">
        <f>IFERROR(__xludf.DUMMYFUNCTION("""COMPUTED_VALUE"""),"Yes")</f>
        <v>Yes</v>
      </c>
      <c r="X657" s="5" t="str">
        <f>IFERROR(__xludf.DUMMYFUNCTION("""COMPUTED_VALUE"""),"Yes")</f>
        <v>Yes</v>
      </c>
      <c r="Y657" s="5" t="str">
        <f>IFERROR(__xludf.DUMMYFUNCTION("""COMPUTED_VALUE"""),"Yes")</f>
        <v>Yes</v>
      </c>
      <c r="Z657" s="5" t="str">
        <f>IFERROR(__xludf.DUMMYFUNCTION("""COMPUTED_VALUE"""),"Yes")</f>
        <v>Yes</v>
      </c>
      <c r="AA657" s="5" t="str">
        <f>IFERROR(__xludf.DUMMYFUNCTION("""COMPUTED_VALUE"""),"Yes")</f>
        <v>Yes</v>
      </c>
      <c r="AB657" s="5" t="str">
        <f>IFERROR(__xludf.DUMMYFUNCTION("""COMPUTED_VALUE"""),"Yes")</f>
        <v>Yes</v>
      </c>
      <c r="AC657" s="5" t="str">
        <f>IFERROR(__xludf.DUMMYFUNCTION("""COMPUTED_VALUE"""),"No")</f>
        <v>No</v>
      </c>
    </row>
    <row r="658">
      <c r="A658" s="5" t="str">
        <f>IFERROR(__xludf.DUMMYFUNCTION("""COMPUTED_VALUE"""),"royal-jewels-fortune")</f>
        <v>royal-jewels-fortune</v>
      </c>
      <c r="B6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8" s="5" t="str">
        <f>IFERROR(__xludf.DUMMYFUNCTION("""COMPUTED_VALUE"""),"Yes")</f>
        <v>Yes</v>
      </c>
      <c r="D658" s="5" t="str">
        <f>IFERROR(__xludf.DUMMYFUNCTION("""COMPUTED_VALUE"""),"Yes")</f>
        <v>Yes</v>
      </c>
      <c r="E658" s="5" t="str">
        <f>IFERROR(__xludf.DUMMYFUNCTION("""COMPUTED_VALUE"""),"Yes")</f>
        <v>Yes</v>
      </c>
      <c r="F658" s="5" t="str">
        <f>IFERROR(__xludf.DUMMYFUNCTION("""COMPUTED_VALUE"""),"Yes")</f>
        <v>Yes</v>
      </c>
      <c r="G658" s="5" t="str">
        <f>IFERROR(__xludf.DUMMYFUNCTION("""COMPUTED_VALUE"""),"Yes")</f>
        <v>Yes</v>
      </c>
      <c r="H658" s="5" t="str">
        <f>IFERROR(__xludf.DUMMYFUNCTION("""COMPUTED_VALUE"""),"Yes")</f>
        <v>Yes</v>
      </c>
      <c r="I658" s="5" t="str">
        <f>IFERROR(__xludf.DUMMYFUNCTION("""COMPUTED_VALUE"""),"Yes")</f>
        <v>Yes</v>
      </c>
      <c r="J658" s="5" t="str">
        <f>IFERROR(__xludf.DUMMYFUNCTION("""COMPUTED_VALUE"""),"Yes")</f>
        <v>Yes</v>
      </c>
      <c r="K658" s="5" t="str">
        <f>IFERROR(__xludf.DUMMYFUNCTION("""COMPUTED_VALUE"""),"Yes")</f>
        <v>Yes</v>
      </c>
      <c r="L658" s="5" t="str">
        <f>IFERROR(__xludf.DUMMYFUNCTION("""COMPUTED_VALUE"""),"Yes")</f>
        <v>Yes</v>
      </c>
      <c r="M658" s="5" t="str">
        <f>IFERROR(__xludf.DUMMYFUNCTION("""COMPUTED_VALUE"""),"Yes")</f>
        <v>Yes</v>
      </c>
      <c r="N658" s="5" t="str">
        <f>IFERROR(__xludf.DUMMYFUNCTION("""COMPUTED_VALUE"""),"Yes")</f>
        <v>Yes</v>
      </c>
      <c r="O658" s="5" t="str">
        <f>IFERROR(__xludf.DUMMYFUNCTION("""COMPUTED_VALUE"""),"Yes")</f>
        <v>Yes</v>
      </c>
      <c r="P658" s="5" t="str">
        <f>IFERROR(__xludf.DUMMYFUNCTION("""COMPUTED_VALUE"""),"Yes")</f>
        <v>Yes</v>
      </c>
      <c r="Q658" s="5" t="str">
        <f>IFERROR(__xludf.DUMMYFUNCTION("""COMPUTED_VALUE"""),"Yes")</f>
        <v>Yes</v>
      </c>
      <c r="R658" s="5" t="str">
        <f>IFERROR(__xludf.DUMMYFUNCTION("""COMPUTED_VALUE"""),"Yes")</f>
        <v>Yes</v>
      </c>
      <c r="S658" s="5" t="str">
        <f>IFERROR(__xludf.DUMMYFUNCTION("""COMPUTED_VALUE"""),"Yes")</f>
        <v>Yes</v>
      </c>
      <c r="T658" s="5" t="str">
        <f>IFERROR(__xludf.DUMMYFUNCTION("""COMPUTED_VALUE"""),"Yes")</f>
        <v>Yes</v>
      </c>
      <c r="U658" s="5" t="str">
        <f>IFERROR(__xludf.DUMMYFUNCTION("""COMPUTED_VALUE"""),"Yes")</f>
        <v>Yes</v>
      </c>
      <c r="V658" s="5" t="str">
        <f>IFERROR(__xludf.DUMMYFUNCTION("""COMPUTED_VALUE"""),"Yes")</f>
        <v>Yes</v>
      </c>
      <c r="W658" s="5" t="str">
        <f>IFERROR(__xludf.DUMMYFUNCTION("""COMPUTED_VALUE"""),"Yes")</f>
        <v>Yes</v>
      </c>
      <c r="X658" s="5" t="str">
        <f>IFERROR(__xludf.DUMMYFUNCTION("""COMPUTED_VALUE"""),"Yes")</f>
        <v>Yes</v>
      </c>
      <c r="Y658" s="5" t="str">
        <f>IFERROR(__xludf.DUMMYFUNCTION("""COMPUTED_VALUE"""),"Yes")</f>
        <v>Yes</v>
      </c>
      <c r="Z658" s="5" t="str">
        <f>IFERROR(__xludf.DUMMYFUNCTION("""COMPUTED_VALUE"""),"Yes")</f>
        <v>Yes</v>
      </c>
      <c r="AA658" s="5" t="str">
        <f>IFERROR(__xludf.DUMMYFUNCTION("""COMPUTED_VALUE"""),"Yes")</f>
        <v>Yes</v>
      </c>
      <c r="AB658" s="5" t="str">
        <f>IFERROR(__xludf.DUMMYFUNCTION("""COMPUTED_VALUE"""),"Yes")</f>
        <v>Yes</v>
      </c>
      <c r="AC658" s="5"/>
    </row>
    <row r="659">
      <c r="A659" s="5" t="str">
        <f>IFERROR(__xludf.DUMMYFUNCTION("""COMPUTED_VALUE"""),"CloversAndDiamonds5")</f>
        <v>CloversAndDiamonds5</v>
      </c>
      <c r="B6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9" s="5" t="str">
        <f>IFERROR(__xludf.DUMMYFUNCTION("""COMPUTED_VALUE"""),"Yes")</f>
        <v>Yes</v>
      </c>
      <c r="D659" s="5" t="str">
        <f>IFERROR(__xludf.DUMMYFUNCTION("""COMPUTED_VALUE"""),"Yes")</f>
        <v>Yes</v>
      </c>
      <c r="E659" s="5" t="str">
        <f>IFERROR(__xludf.DUMMYFUNCTION("""COMPUTED_VALUE"""),"Yes")</f>
        <v>Yes</v>
      </c>
      <c r="F659" s="5" t="str">
        <f>IFERROR(__xludf.DUMMYFUNCTION("""COMPUTED_VALUE"""),"Yes")</f>
        <v>Yes</v>
      </c>
      <c r="G659" s="5" t="str">
        <f>IFERROR(__xludf.DUMMYFUNCTION("""COMPUTED_VALUE"""),"Yes")</f>
        <v>Yes</v>
      </c>
      <c r="H659" s="5" t="str">
        <f>IFERROR(__xludf.DUMMYFUNCTION("""COMPUTED_VALUE"""),"Yes")</f>
        <v>Yes</v>
      </c>
      <c r="I659" s="5" t="str">
        <f>IFERROR(__xludf.DUMMYFUNCTION("""COMPUTED_VALUE"""),"Yes")</f>
        <v>Yes</v>
      </c>
      <c r="J659" s="5" t="str">
        <f>IFERROR(__xludf.DUMMYFUNCTION("""COMPUTED_VALUE"""),"Yes")</f>
        <v>Yes</v>
      </c>
      <c r="K659" s="5" t="str">
        <f>IFERROR(__xludf.DUMMYFUNCTION("""COMPUTED_VALUE"""),"Yes")</f>
        <v>Yes</v>
      </c>
      <c r="L659" s="5" t="str">
        <f>IFERROR(__xludf.DUMMYFUNCTION("""COMPUTED_VALUE"""),"Yes")</f>
        <v>Yes</v>
      </c>
      <c r="M659" s="5" t="str">
        <f>IFERROR(__xludf.DUMMYFUNCTION("""COMPUTED_VALUE"""),"Yes")</f>
        <v>Yes</v>
      </c>
      <c r="N659" s="5" t="str">
        <f>IFERROR(__xludf.DUMMYFUNCTION("""COMPUTED_VALUE"""),"Yes")</f>
        <v>Yes</v>
      </c>
      <c r="O659" s="5" t="str">
        <f>IFERROR(__xludf.DUMMYFUNCTION("""COMPUTED_VALUE"""),"Yes")</f>
        <v>Yes</v>
      </c>
      <c r="P659" s="5" t="str">
        <f>IFERROR(__xludf.DUMMYFUNCTION("""COMPUTED_VALUE"""),"Yes")</f>
        <v>Yes</v>
      </c>
      <c r="Q659" s="5" t="str">
        <f>IFERROR(__xludf.DUMMYFUNCTION("""COMPUTED_VALUE"""),"Yes")</f>
        <v>Yes</v>
      </c>
      <c r="R659" s="5" t="str">
        <f>IFERROR(__xludf.DUMMYFUNCTION("""COMPUTED_VALUE"""),"Yes")</f>
        <v>Yes</v>
      </c>
      <c r="S659" s="5" t="str">
        <f>IFERROR(__xludf.DUMMYFUNCTION("""COMPUTED_VALUE"""),"Yes")</f>
        <v>Yes</v>
      </c>
      <c r="T659" s="5" t="str">
        <f>IFERROR(__xludf.DUMMYFUNCTION("""COMPUTED_VALUE"""),"Yes")</f>
        <v>Yes</v>
      </c>
      <c r="U659" s="5" t="str">
        <f>IFERROR(__xludf.DUMMYFUNCTION("""COMPUTED_VALUE"""),"Yes")</f>
        <v>Yes</v>
      </c>
      <c r="V659" s="5" t="str">
        <f>IFERROR(__xludf.DUMMYFUNCTION("""COMPUTED_VALUE"""),"Yes")</f>
        <v>Yes</v>
      </c>
      <c r="W659" s="5" t="str">
        <f>IFERROR(__xludf.DUMMYFUNCTION("""COMPUTED_VALUE"""),"Yes")</f>
        <v>Yes</v>
      </c>
      <c r="X659" s="5" t="str">
        <f>IFERROR(__xludf.DUMMYFUNCTION("""COMPUTED_VALUE"""),"Yes")</f>
        <v>Yes</v>
      </c>
      <c r="Y659" s="5" t="str">
        <f>IFERROR(__xludf.DUMMYFUNCTION("""COMPUTED_VALUE"""),"Yes")</f>
        <v>Yes</v>
      </c>
      <c r="Z659" s="5" t="str">
        <f>IFERROR(__xludf.DUMMYFUNCTION("""COMPUTED_VALUE"""),"Yes")</f>
        <v>Yes</v>
      </c>
      <c r="AA659" s="5" t="str">
        <f>IFERROR(__xludf.DUMMYFUNCTION("""COMPUTED_VALUE"""),"Yes")</f>
        <v>Yes</v>
      </c>
      <c r="AB659" s="5" t="str">
        <f>IFERROR(__xludf.DUMMYFUNCTION("""COMPUTED_VALUE"""),"Yes")</f>
        <v>Yes</v>
      </c>
      <c r="AC659" s="5" t="str">
        <f>IFERROR(__xludf.DUMMYFUNCTION("""COMPUTED_VALUE"""),"No")</f>
        <v>No</v>
      </c>
    </row>
    <row r="660">
      <c r="A660" s="5" t="str">
        <f>IFERROR(__xludf.DUMMYFUNCTION("""COMPUTED_VALUE"""),"UnicornThreeReelTripleFruit")</f>
        <v>UnicornThreeReelTripleFruit</v>
      </c>
      <c r="B660" s="5" t="str">
        <f>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C660" s="5" t="str">
        <f>IFERROR(__xludf.DUMMYFUNCTION("""COMPUTED_VALUE"""),"Yes")</f>
        <v>Yes</v>
      </c>
      <c r="D660" s="5" t="str">
        <f>IFERROR(__xludf.DUMMYFUNCTION("""COMPUTED_VALUE"""),"Yes")</f>
        <v>Yes</v>
      </c>
      <c r="E660" s="5" t="str">
        <f>IFERROR(__xludf.DUMMYFUNCTION("""COMPUTED_VALUE"""),"Yes")</f>
        <v>Yes</v>
      </c>
      <c r="F660" s="5" t="str">
        <f>IFERROR(__xludf.DUMMYFUNCTION("""COMPUTED_VALUE"""),"No")</f>
        <v>No</v>
      </c>
      <c r="G660" s="5" t="str">
        <f>IFERROR(__xludf.DUMMYFUNCTION("""COMPUTED_VALUE"""),"Yes")</f>
        <v>Yes</v>
      </c>
      <c r="H660" s="5" t="str">
        <f>IFERROR(__xludf.DUMMYFUNCTION("""COMPUTED_VALUE"""),"No")</f>
        <v>No</v>
      </c>
      <c r="I660" s="5" t="str">
        <f>IFERROR(__xludf.DUMMYFUNCTION("""COMPUTED_VALUE"""),"No")</f>
        <v>No</v>
      </c>
      <c r="J660" s="5" t="str">
        <f>IFERROR(__xludf.DUMMYFUNCTION("""COMPUTED_VALUE"""),"No")</f>
        <v>No</v>
      </c>
      <c r="K660" s="5" t="str">
        <f>IFERROR(__xludf.DUMMYFUNCTION("""COMPUTED_VALUE"""),"Yes")</f>
        <v>Yes</v>
      </c>
      <c r="L660" s="5" t="str">
        <f>IFERROR(__xludf.DUMMYFUNCTION("""COMPUTED_VALUE"""),"Yes")</f>
        <v>Yes</v>
      </c>
      <c r="M660" s="5" t="str">
        <f>IFERROR(__xludf.DUMMYFUNCTION("""COMPUTED_VALUE"""),"Yes")</f>
        <v>Yes</v>
      </c>
      <c r="N660" s="5" t="str">
        <f>IFERROR(__xludf.DUMMYFUNCTION("""COMPUTED_VALUE"""),"Yes")</f>
        <v>Yes</v>
      </c>
      <c r="O660" s="5" t="str">
        <f>IFERROR(__xludf.DUMMYFUNCTION("""COMPUTED_VALUE"""),"Yes")</f>
        <v>Yes</v>
      </c>
      <c r="P660" s="5" t="str">
        <f>IFERROR(__xludf.DUMMYFUNCTION("""COMPUTED_VALUE"""),"No")</f>
        <v>No</v>
      </c>
      <c r="Q660" s="5" t="str">
        <f>IFERROR(__xludf.DUMMYFUNCTION("""COMPUTED_VALUE"""),"Yes")</f>
        <v>Yes</v>
      </c>
      <c r="R660" s="5" t="str">
        <f>IFERROR(__xludf.DUMMYFUNCTION("""COMPUTED_VALUE"""),"No")</f>
        <v>No</v>
      </c>
      <c r="S660" s="5"/>
      <c r="T660" s="5"/>
      <c r="U660" s="5"/>
      <c r="V660" s="5" t="str">
        <f>IFERROR(__xludf.DUMMYFUNCTION("""COMPUTED_VALUE"""),"No")</f>
        <v>No</v>
      </c>
      <c r="W660" s="5" t="str">
        <f>IFERROR(__xludf.DUMMYFUNCTION("""COMPUTED_VALUE"""),"Yes")</f>
        <v>Yes</v>
      </c>
      <c r="X660" s="5" t="str">
        <f>IFERROR(__xludf.DUMMYFUNCTION("""COMPUTED_VALUE"""),"Yes")</f>
        <v>Yes</v>
      </c>
      <c r="Y660" s="5"/>
      <c r="Z660" s="5"/>
      <c r="AA660" s="5"/>
      <c r="AB660" s="5" t="str">
        <f>IFERROR(__xludf.DUMMYFUNCTION("""COMPUTED_VALUE"""),"Yes")</f>
        <v>Yes</v>
      </c>
      <c r="AC660" s="5" t="str">
        <f>IFERROR(__xludf.DUMMYFUNCTION("""COMPUTED_VALUE"""),"Yes")</f>
        <v>Yes</v>
      </c>
    </row>
    <row r="661">
      <c r="A661" s="5" t="str">
        <f>IFERROR(__xludf.DUMMYFUNCTION("""COMPUTED_VALUE"""),"EpicDice100Booster")</f>
        <v>EpicDice100Booster</v>
      </c>
      <c r="B66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1" s="5" t="str">
        <f>IFERROR(__xludf.DUMMYFUNCTION("""COMPUTED_VALUE"""),"Yes")</f>
        <v>Yes</v>
      </c>
      <c r="D661" s="5" t="str">
        <f>IFERROR(__xludf.DUMMYFUNCTION("""COMPUTED_VALUE"""),"Yes")</f>
        <v>Yes</v>
      </c>
      <c r="E661" s="5" t="str">
        <f>IFERROR(__xludf.DUMMYFUNCTION("""COMPUTED_VALUE"""),"Yes")</f>
        <v>Yes</v>
      </c>
      <c r="F661" s="5" t="str">
        <f>IFERROR(__xludf.DUMMYFUNCTION("""COMPUTED_VALUE"""),"Yes")</f>
        <v>Yes</v>
      </c>
      <c r="G661" s="5" t="str">
        <f>IFERROR(__xludf.DUMMYFUNCTION("""COMPUTED_VALUE"""),"Yes")</f>
        <v>Yes</v>
      </c>
      <c r="H661" s="5" t="str">
        <f>IFERROR(__xludf.DUMMYFUNCTION("""COMPUTED_VALUE"""),"Yes")</f>
        <v>Yes</v>
      </c>
      <c r="I661" s="5" t="str">
        <f>IFERROR(__xludf.DUMMYFUNCTION("""COMPUTED_VALUE"""),"Yes")</f>
        <v>Yes</v>
      </c>
      <c r="J661" s="5" t="str">
        <f>IFERROR(__xludf.DUMMYFUNCTION("""COMPUTED_VALUE"""),"Yes")</f>
        <v>Yes</v>
      </c>
      <c r="K661" s="5" t="str">
        <f>IFERROR(__xludf.DUMMYFUNCTION("""COMPUTED_VALUE"""),"Yes")</f>
        <v>Yes</v>
      </c>
      <c r="L661" s="5" t="str">
        <f>IFERROR(__xludf.DUMMYFUNCTION("""COMPUTED_VALUE"""),"Yes")</f>
        <v>Yes</v>
      </c>
      <c r="M661" s="5" t="str">
        <f>IFERROR(__xludf.DUMMYFUNCTION("""COMPUTED_VALUE"""),"Yes")</f>
        <v>Yes</v>
      </c>
      <c r="N661" s="5" t="str">
        <f>IFERROR(__xludf.DUMMYFUNCTION("""COMPUTED_VALUE"""),"Yes")</f>
        <v>Yes</v>
      </c>
      <c r="O661" s="5" t="str">
        <f>IFERROR(__xludf.DUMMYFUNCTION("""COMPUTED_VALUE"""),"Yes")</f>
        <v>Yes</v>
      </c>
      <c r="P661" s="5" t="str">
        <f>IFERROR(__xludf.DUMMYFUNCTION("""COMPUTED_VALUE"""),"Yes")</f>
        <v>Yes</v>
      </c>
      <c r="Q661" s="5" t="str">
        <f>IFERROR(__xludf.DUMMYFUNCTION("""COMPUTED_VALUE"""),"Yes")</f>
        <v>Yes</v>
      </c>
      <c r="R661" s="5" t="str">
        <f>IFERROR(__xludf.DUMMYFUNCTION("""COMPUTED_VALUE"""),"Yes")</f>
        <v>Yes</v>
      </c>
      <c r="S661" s="5" t="str">
        <f>IFERROR(__xludf.DUMMYFUNCTION("""COMPUTED_VALUE"""),"Yes")</f>
        <v>Yes</v>
      </c>
      <c r="T661" s="5" t="str">
        <f>IFERROR(__xludf.DUMMYFUNCTION("""COMPUTED_VALUE"""),"Yes")</f>
        <v>Yes</v>
      </c>
      <c r="U661" s="5" t="str">
        <f>IFERROR(__xludf.DUMMYFUNCTION("""COMPUTED_VALUE"""),"Yes")</f>
        <v>Yes</v>
      </c>
      <c r="V661" s="5" t="str">
        <f>IFERROR(__xludf.DUMMYFUNCTION("""COMPUTED_VALUE"""),"Yes")</f>
        <v>Yes</v>
      </c>
      <c r="W661" s="5" t="str">
        <f>IFERROR(__xludf.DUMMYFUNCTION("""COMPUTED_VALUE"""),"Yes")</f>
        <v>Yes</v>
      </c>
      <c r="X661" s="5" t="str">
        <f>IFERROR(__xludf.DUMMYFUNCTION("""COMPUTED_VALUE"""),"Yes")</f>
        <v>Yes</v>
      </c>
      <c r="Y661" s="5" t="str">
        <f>IFERROR(__xludf.DUMMYFUNCTION("""COMPUTED_VALUE"""),"Yes")</f>
        <v>Yes</v>
      </c>
      <c r="Z661" s="5" t="str">
        <f>IFERROR(__xludf.DUMMYFUNCTION("""COMPUTED_VALUE"""),"Yes")</f>
        <v>Yes</v>
      </c>
      <c r="AA661" s="5" t="str">
        <f>IFERROR(__xludf.DUMMYFUNCTION("""COMPUTED_VALUE"""),"Yes")</f>
        <v>Yes</v>
      </c>
      <c r="AB661" s="5" t="str">
        <f>IFERROR(__xludf.DUMMYFUNCTION("""COMPUTED_VALUE"""),"Yes")</f>
        <v>Yes</v>
      </c>
      <c r="AC661" s="5" t="str">
        <f>IFERROR(__xludf.DUMMYFUNCTION("""COMPUTED_VALUE"""),"No")</f>
        <v>No</v>
      </c>
    </row>
    <row r="662">
      <c r="A662" s="5" t="str">
        <f>IFERROR(__xludf.DUMMYFUNCTION("""COMPUTED_VALUE"""),"VeryHot40DiceBooster")</f>
        <v>VeryHot40DiceBooster</v>
      </c>
      <c r="B66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2" s="5" t="str">
        <f>IFERROR(__xludf.DUMMYFUNCTION("""COMPUTED_VALUE"""),"Yes")</f>
        <v>Yes</v>
      </c>
      <c r="D662" s="5" t="str">
        <f>IFERROR(__xludf.DUMMYFUNCTION("""COMPUTED_VALUE"""),"Yes")</f>
        <v>Yes</v>
      </c>
      <c r="E662" s="5" t="str">
        <f>IFERROR(__xludf.DUMMYFUNCTION("""COMPUTED_VALUE"""),"Yes")</f>
        <v>Yes</v>
      </c>
      <c r="F662" s="5" t="str">
        <f>IFERROR(__xludf.DUMMYFUNCTION("""COMPUTED_VALUE"""),"Yes")</f>
        <v>Yes</v>
      </c>
      <c r="G662" s="5" t="str">
        <f>IFERROR(__xludf.DUMMYFUNCTION("""COMPUTED_VALUE"""),"Yes")</f>
        <v>Yes</v>
      </c>
      <c r="H662" s="5" t="str">
        <f>IFERROR(__xludf.DUMMYFUNCTION("""COMPUTED_VALUE"""),"Yes")</f>
        <v>Yes</v>
      </c>
      <c r="I662" s="5" t="str">
        <f>IFERROR(__xludf.DUMMYFUNCTION("""COMPUTED_VALUE"""),"Yes")</f>
        <v>Yes</v>
      </c>
      <c r="J662" s="5" t="str">
        <f>IFERROR(__xludf.DUMMYFUNCTION("""COMPUTED_VALUE"""),"Yes")</f>
        <v>Yes</v>
      </c>
      <c r="K662" s="5" t="str">
        <f>IFERROR(__xludf.DUMMYFUNCTION("""COMPUTED_VALUE"""),"Yes")</f>
        <v>Yes</v>
      </c>
      <c r="L662" s="5" t="str">
        <f>IFERROR(__xludf.DUMMYFUNCTION("""COMPUTED_VALUE"""),"Yes")</f>
        <v>Yes</v>
      </c>
      <c r="M662" s="5" t="str">
        <f>IFERROR(__xludf.DUMMYFUNCTION("""COMPUTED_VALUE"""),"Yes")</f>
        <v>Yes</v>
      </c>
      <c r="N662" s="5" t="str">
        <f>IFERROR(__xludf.DUMMYFUNCTION("""COMPUTED_VALUE"""),"Yes")</f>
        <v>Yes</v>
      </c>
      <c r="O662" s="5" t="str">
        <f>IFERROR(__xludf.DUMMYFUNCTION("""COMPUTED_VALUE"""),"Yes")</f>
        <v>Yes</v>
      </c>
      <c r="P662" s="5" t="str">
        <f>IFERROR(__xludf.DUMMYFUNCTION("""COMPUTED_VALUE"""),"Yes")</f>
        <v>Yes</v>
      </c>
      <c r="Q662" s="5" t="str">
        <f>IFERROR(__xludf.DUMMYFUNCTION("""COMPUTED_VALUE"""),"Yes")</f>
        <v>Yes</v>
      </c>
      <c r="R662" s="5" t="str">
        <f>IFERROR(__xludf.DUMMYFUNCTION("""COMPUTED_VALUE"""),"Yes")</f>
        <v>Yes</v>
      </c>
      <c r="S662" s="5" t="str">
        <f>IFERROR(__xludf.DUMMYFUNCTION("""COMPUTED_VALUE"""),"Yes")</f>
        <v>Yes</v>
      </c>
      <c r="T662" s="5" t="str">
        <f>IFERROR(__xludf.DUMMYFUNCTION("""COMPUTED_VALUE"""),"Yes")</f>
        <v>Yes</v>
      </c>
      <c r="U662" s="5" t="str">
        <f>IFERROR(__xludf.DUMMYFUNCTION("""COMPUTED_VALUE"""),"Yes")</f>
        <v>Yes</v>
      </c>
      <c r="V662" s="5" t="str">
        <f>IFERROR(__xludf.DUMMYFUNCTION("""COMPUTED_VALUE"""),"Yes")</f>
        <v>Yes</v>
      </c>
      <c r="W662" s="5" t="str">
        <f>IFERROR(__xludf.DUMMYFUNCTION("""COMPUTED_VALUE"""),"Yes")</f>
        <v>Yes</v>
      </c>
      <c r="X662" s="5" t="str">
        <f>IFERROR(__xludf.DUMMYFUNCTION("""COMPUTED_VALUE"""),"Yes")</f>
        <v>Yes</v>
      </c>
      <c r="Y662" s="5" t="str">
        <f>IFERROR(__xludf.DUMMYFUNCTION("""COMPUTED_VALUE"""),"Yes")</f>
        <v>Yes</v>
      </c>
      <c r="Z662" s="5" t="str">
        <f>IFERROR(__xludf.DUMMYFUNCTION("""COMPUTED_VALUE"""),"Yes")</f>
        <v>Yes</v>
      </c>
      <c r="AA662" s="5" t="str">
        <f>IFERROR(__xludf.DUMMYFUNCTION("""COMPUTED_VALUE"""),"Yes")</f>
        <v>Yes</v>
      </c>
      <c r="AB662" s="5" t="str">
        <f>IFERROR(__xludf.DUMMYFUNCTION("""COMPUTED_VALUE"""),"Yes")</f>
        <v>Yes</v>
      </c>
      <c r="AC662" s="5" t="str">
        <f>IFERROR(__xludf.DUMMYFUNCTION("""COMPUTED_VALUE"""),"No")</f>
        <v>No</v>
      </c>
    </row>
    <row r="663">
      <c r="A663" s="5" t="str">
        <f>IFERROR(__xludf.DUMMYFUNCTION("""COMPUTED_VALUE"""),"PasinoCrown")</f>
        <v>PasinoCrown</v>
      </c>
      <c r="B66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3" s="5" t="str">
        <f>IFERROR(__xludf.DUMMYFUNCTION("""COMPUTED_VALUE"""),"Yes")</f>
        <v>Yes</v>
      </c>
      <c r="D663" s="5" t="str">
        <f>IFERROR(__xludf.DUMMYFUNCTION("""COMPUTED_VALUE"""),"Yes")</f>
        <v>Yes</v>
      </c>
      <c r="E663" s="5" t="str">
        <f>IFERROR(__xludf.DUMMYFUNCTION("""COMPUTED_VALUE"""),"Yes")</f>
        <v>Yes</v>
      </c>
      <c r="F663" s="5" t="str">
        <f>IFERROR(__xludf.DUMMYFUNCTION("""COMPUTED_VALUE"""),"Yes")</f>
        <v>Yes</v>
      </c>
      <c r="G663" s="5" t="str">
        <f>IFERROR(__xludf.DUMMYFUNCTION("""COMPUTED_VALUE"""),"Yes")</f>
        <v>Yes</v>
      </c>
      <c r="H663" s="5" t="str">
        <f>IFERROR(__xludf.DUMMYFUNCTION("""COMPUTED_VALUE"""),"Yes")</f>
        <v>Yes</v>
      </c>
      <c r="I663" s="5" t="str">
        <f>IFERROR(__xludf.DUMMYFUNCTION("""COMPUTED_VALUE"""),"Yes")</f>
        <v>Yes</v>
      </c>
      <c r="J663" s="5" t="str">
        <f>IFERROR(__xludf.DUMMYFUNCTION("""COMPUTED_VALUE"""),"Yes")</f>
        <v>Yes</v>
      </c>
      <c r="K663" s="5" t="str">
        <f>IFERROR(__xludf.DUMMYFUNCTION("""COMPUTED_VALUE"""),"Yes")</f>
        <v>Yes</v>
      </c>
      <c r="L663" s="5" t="str">
        <f>IFERROR(__xludf.DUMMYFUNCTION("""COMPUTED_VALUE"""),"Yes")</f>
        <v>Yes</v>
      </c>
      <c r="M663" s="5" t="str">
        <f>IFERROR(__xludf.DUMMYFUNCTION("""COMPUTED_VALUE"""),"Yes")</f>
        <v>Yes</v>
      </c>
      <c r="N663" s="5" t="str">
        <f>IFERROR(__xludf.DUMMYFUNCTION("""COMPUTED_VALUE"""),"Yes")</f>
        <v>Yes</v>
      </c>
      <c r="O663" s="5" t="str">
        <f>IFERROR(__xludf.DUMMYFUNCTION("""COMPUTED_VALUE"""),"Yes")</f>
        <v>Yes</v>
      </c>
      <c r="P663" s="5" t="str">
        <f>IFERROR(__xludf.DUMMYFUNCTION("""COMPUTED_VALUE"""),"Yes")</f>
        <v>Yes</v>
      </c>
      <c r="Q663" s="5" t="str">
        <f>IFERROR(__xludf.DUMMYFUNCTION("""COMPUTED_VALUE"""),"Yes")</f>
        <v>Yes</v>
      </c>
      <c r="R663" s="5" t="str">
        <f>IFERROR(__xludf.DUMMYFUNCTION("""COMPUTED_VALUE"""),"Yes")</f>
        <v>Yes</v>
      </c>
      <c r="S663" s="5" t="str">
        <f>IFERROR(__xludf.DUMMYFUNCTION("""COMPUTED_VALUE"""),"Yes")</f>
        <v>Yes</v>
      </c>
      <c r="T663" s="5" t="str">
        <f>IFERROR(__xludf.DUMMYFUNCTION("""COMPUTED_VALUE"""),"Yes")</f>
        <v>Yes</v>
      </c>
      <c r="U663" s="5" t="str">
        <f>IFERROR(__xludf.DUMMYFUNCTION("""COMPUTED_VALUE"""),"Yes")</f>
        <v>Yes</v>
      </c>
      <c r="V663" s="5" t="str">
        <f>IFERROR(__xludf.DUMMYFUNCTION("""COMPUTED_VALUE"""),"Yes")</f>
        <v>Yes</v>
      </c>
      <c r="W663" s="5" t="str">
        <f>IFERROR(__xludf.DUMMYFUNCTION("""COMPUTED_VALUE"""),"Yes")</f>
        <v>Yes</v>
      </c>
      <c r="X663" s="5" t="str">
        <f>IFERROR(__xludf.DUMMYFUNCTION("""COMPUTED_VALUE"""),"Yes")</f>
        <v>Yes</v>
      </c>
      <c r="Y663" s="5" t="str">
        <f>IFERROR(__xludf.DUMMYFUNCTION("""COMPUTED_VALUE"""),"Yes")</f>
        <v>Yes</v>
      </c>
      <c r="Z663" s="5" t="str">
        <f>IFERROR(__xludf.DUMMYFUNCTION("""COMPUTED_VALUE"""),"Yes")</f>
        <v>Yes</v>
      </c>
      <c r="AA663" s="5" t="str">
        <f>IFERROR(__xludf.DUMMYFUNCTION("""COMPUTED_VALUE"""),"Yes")</f>
        <v>Yes</v>
      </c>
      <c r="AB663" s="5" t="str">
        <f>IFERROR(__xludf.DUMMYFUNCTION("""COMPUTED_VALUE"""),"Yes")</f>
        <v>Yes</v>
      </c>
      <c r="AC663" s="5" t="str">
        <f>IFERROR(__xludf.DUMMYFUNCTION("""COMPUTED_VALUE"""),"No")</f>
        <v>No</v>
      </c>
    </row>
    <row r="664">
      <c r="A664" s="5" t="str">
        <f>IFERROR(__xludf.DUMMYFUNCTION("""COMPUTED_VALUE"""),"GoldenCrownExtremeDice")</f>
        <v>GoldenCrownExtremeDice</v>
      </c>
      <c r="B66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4" s="5" t="str">
        <f>IFERROR(__xludf.DUMMYFUNCTION("""COMPUTED_VALUE"""),"Yes")</f>
        <v>Yes</v>
      </c>
      <c r="D664" s="5" t="str">
        <f>IFERROR(__xludf.DUMMYFUNCTION("""COMPUTED_VALUE"""),"Yes")</f>
        <v>Yes</v>
      </c>
      <c r="E664" s="5" t="str">
        <f>IFERROR(__xludf.DUMMYFUNCTION("""COMPUTED_VALUE"""),"Yes")</f>
        <v>Yes</v>
      </c>
      <c r="F664" s="5" t="str">
        <f>IFERROR(__xludf.DUMMYFUNCTION("""COMPUTED_VALUE"""),"Yes")</f>
        <v>Yes</v>
      </c>
      <c r="G664" s="5" t="str">
        <f>IFERROR(__xludf.DUMMYFUNCTION("""COMPUTED_VALUE"""),"Yes")</f>
        <v>Yes</v>
      </c>
      <c r="H664" s="5" t="str">
        <f>IFERROR(__xludf.DUMMYFUNCTION("""COMPUTED_VALUE"""),"Yes")</f>
        <v>Yes</v>
      </c>
      <c r="I664" s="5" t="str">
        <f>IFERROR(__xludf.DUMMYFUNCTION("""COMPUTED_VALUE"""),"Yes")</f>
        <v>Yes</v>
      </c>
      <c r="J664" s="5" t="str">
        <f>IFERROR(__xludf.DUMMYFUNCTION("""COMPUTED_VALUE"""),"Yes")</f>
        <v>Yes</v>
      </c>
      <c r="K664" s="5" t="str">
        <f>IFERROR(__xludf.DUMMYFUNCTION("""COMPUTED_VALUE"""),"Yes")</f>
        <v>Yes</v>
      </c>
      <c r="L664" s="5" t="str">
        <f>IFERROR(__xludf.DUMMYFUNCTION("""COMPUTED_VALUE"""),"Yes")</f>
        <v>Yes</v>
      </c>
      <c r="M664" s="5" t="str">
        <f>IFERROR(__xludf.DUMMYFUNCTION("""COMPUTED_VALUE"""),"Yes")</f>
        <v>Yes</v>
      </c>
      <c r="N664" s="5" t="str">
        <f>IFERROR(__xludf.DUMMYFUNCTION("""COMPUTED_VALUE"""),"Yes")</f>
        <v>Yes</v>
      </c>
      <c r="O664" s="5" t="str">
        <f>IFERROR(__xludf.DUMMYFUNCTION("""COMPUTED_VALUE"""),"Yes")</f>
        <v>Yes</v>
      </c>
      <c r="P664" s="5" t="str">
        <f>IFERROR(__xludf.DUMMYFUNCTION("""COMPUTED_VALUE"""),"Yes")</f>
        <v>Yes</v>
      </c>
      <c r="Q664" s="5" t="str">
        <f>IFERROR(__xludf.DUMMYFUNCTION("""COMPUTED_VALUE"""),"Yes")</f>
        <v>Yes</v>
      </c>
      <c r="R664" s="5" t="str">
        <f>IFERROR(__xludf.DUMMYFUNCTION("""COMPUTED_VALUE"""),"Yes")</f>
        <v>Yes</v>
      </c>
      <c r="S664" s="5" t="str">
        <f>IFERROR(__xludf.DUMMYFUNCTION("""COMPUTED_VALUE"""),"Yes")</f>
        <v>Yes</v>
      </c>
      <c r="T664" s="5" t="str">
        <f>IFERROR(__xludf.DUMMYFUNCTION("""COMPUTED_VALUE"""),"Yes")</f>
        <v>Yes</v>
      </c>
      <c r="U664" s="5" t="str">
        <f>IFERROR(__xludf.DUMMYFUNCTION("""COMPUTED_VALUE"""),"Yes")</f>
        <v>Yes</v>
      </c>
      <c r="V664" s="5" t="str">
        <f>IFERROR(__xludf.DUMMYFUNCTION("""COMPUTED_VALUE"""),"Yes")</f>
        <v>Yes</v>
      </c>
      <c r="W664" s="5" t="str">
        <f>IFERROR(__xludf.DUMMYFUNCTION("""COMPUTED_VALUE"""),"Yes")</f>
        <v>Yes</v>
      </c>
      <c r="X664" s="5" t="str">
        <f>IFERROR(__xludf.DUMMYFUNCTION("""COMPUTED_VALUE"""),"Yes")</f>
        <v>Yes</v>
      </c>
      <c r="Y664" s="5" t="str">
        <f>IFERROR(__xludf.DUMMYFUNCTION("""COMPUTED_VALUE"""),"Yes")</f>
        <v>Yes</v>
      </c>
      <c r="Z664" s="5" t="str">
        <f>IFERROR(__xludf.DUMMYFUNCTION("""COMPUTED_VALUE"""),"Yes")</f>
        <v>Yes</v>
      </c>
      <c r="AA664" s="5" t="str">
        <f>IFERROR(__xludf.DUMMYFUNCTION("""COMPUTED_VALUE"""),"Yes")</f>
        <v>Yes</v>
      </c>
      <c r="AB664" s="5" t="str">
        <f>IFERROR(__xludf.DUMMYFUNCTION("""COMPUTED_VALUE"""),"Yes")</f>
        <v>Yes</v>
      </c>
      <c r="AC664" s="5" t="str">
        <f>IFERROR(__xludf.DUMMYFUNCTION("""COMPUTED_VALUE"""),"No")</f>
        <v>No</v>
      </c>
    </row>
    <row r="665">
      <c r="A665" s="5" t="str">
        <f>IFERROR(__xludf.DUMMYFUNCTION("""COMPUTED_VALUE"""),"WinningClover5ExtremeBooster")</f>
        <v>WinningClover5ExtremeBooster</v>
      </c>
      <c r="B66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5" s="5" t="str">
        <f>IFERROR(__xludf.DUMMYFUNCTION("""COMPUTED_VALUE"""),"Yes")</f>
        <v>Yes</v>
      </c>
      <c r="D665" s="5" t="str">
        <f>IFERROR(__xludf.DUMMYFUNCTION("""COMPUTED_VALUE"""),"Yes")</f>
        <v>Yes</v>
      </c>
      <c r="E665" s="5" t="str">
        <f>IFERROR(__xludf.DUMMYFUNCTION("""COMPUTED_VALUE"""),"Yes")</f>
        <v>Yes</v>
      </c>
      <c r="F665" s="5" t="str">
        <f>IFERROR(__xludf.DUMMYFUNCTION("""COMPUTED_VALUE"""),"Yes")</f>
        <v>Yes</v>
      </c>
      <c r="G665" s="5" t="str">
        <f>IFERROR(__xludf.DUMMYFUNCTION("""COMPUTED_VALUE"""),"Yes")</f>
        <v>Yes</v>
      </c>
      <c r="H665" s="5" t="str">
        <f>IFERROR(__xludf.DUMMYFUNCTION("""COMPUTED_VALUE"""),"Yes")</f>
        <v>Yes</v>
      </c>
      <c r="I665" s="5" t="str">
        <f>IFERROR(__xludf.DUMMYFUNCTION("""COMPUTED_VALUE"""),"Yes")</f>
        <v>Yes</v>
      </c>
      <c r="J665" s="5" t="str">
        <f>IFERROR(__xludf.DUMMYFUNCTION("""COMPUTED_VALUE"""),"Yes")</f>
        <v>Yes</v>
      </c>
      <c r="K665" s="5" t="str">
        <f>IFERROR(__xludf.DUMMYFUNCTION("""COMPUTED_VALUE"""),"Yes")</f>
        <v>Yes</v>
      </c>
      <c r="L665" s="5" t="str">
        <f>IFERROR(__xludf.DUMMYFUNCTION("""COMPUTED_VALUE"""),"Yes")</f>
        <v>Yes</v>
      </c>
      <c r="M665" s="5" t="str">
        <f>IFERROR(__xludf.DUMMYFUNCTION("""COMPUTED_VALUE"""),"Yes")</f>
        <v>Yes</v>
      </c>
      <c r="N665" s="5" t="str">
        <f>IFERROR(__xludf.DUMMYFUNCTION("""COMPUTED_VALUE"""),"Yes")</f>
        <v>Yes</v>
      </c>
      <c r="O665" s="5" t="str">
        <f>IFERROR(__xludf.DUMMYFUNCTION("""COMPUTED_VALUE"""),"Yes")</f>
        <v>Yes</v>
      </c>
      <c r="P665" s="5" t="str">
        <f>IFERROR(__xludf.DUMMYFUNCTION("""COMPUTED_VALUE"""),"Yes")</f>
        <v>Yes</v>
      </c>
      <c r="Q665" s="5" t="str">
        <f>IFERROR(__xludf.DUMMYFUNCTION("""COMPUTED_VALUE"""),"Yes")</f>
        <v>Yes</v>
      </c>
      <c r="R665" s="5" t="str">
        <f>IFERROR(__xludf.DUMMYFUNCTION("""COMPUTED_VALUE"""),"Yes")</f>
        <v>Yes</v>
      </c>
      <c r="S665" s="5" t="str">
        <f>IFERROR(__xludf.DUMMYFUNCTION("""COMPUTED_VALUE"""),"Yes")</f>
        <v>Yes</v>
      </c>
      <c r="T665" s="5" t="str">
        <f>IFERROR(__xludf.DUMMYFUNCTION("""COMPUTED_VALUE"""),"Yes")</f>
        <v>Yes</v>
      </c>
      <c r="U665" s="5" t="str">
        <f>IFERROR(__xludf.DUMMYFUNCTION("""COMPUTED_VALUE"""),"Yes")</f>
        <v>Yes</v>
      </c>
      <c r="V665" s="5" t="str">
        <f>IFERROR(__xludf.DUMMYFUNCTION("""COMPUTED_VALUE"""),"Yes")</f>
        <v>Yes</v>
      </c>
      <c r="W665" s="5" t="str">
        <f>IFERROR(__xludf.DUMMYFUNCTION("""COMPUTED_VALUE"""),"Yes")</f>
        <v>Yes</v>
      </c>
      <c r="X665" s="5" t="str">
        <f>IFERROR(__xludf.DUMMYFUNCTION("""COMPUTED_VALUE"""),"Yes")</f>
        <v>Yes</v>
      </c>
      <c r="Y665" s="5" t="str">
        <f>IFERROR(__xludf.DUMMYFUNCTION("""COMPUTED_VALUE"""),"Yes")</f>
        <v>Yes</v>
      </c>
      <c r="Z665" s="5" t="str">
        <f>IFERROR(__xludf.DUMMYFUNCTION("""COMPUTED_VALUE"""),"Yes")</f>
        <v>Yes</v>
      </c>
      <c r="AA665" s="5" t="str">
        <f>IFERROR(__xludf.DUMMYFUNCTION("""COMPUTED_VALUE"""),"Yes")</f>
        <v>Yes</v>
      </c>
      <c r="AB665" s="5" t="str">
        <f>IFERROR(__xludf.DUMMYFUNCTION("""COMPUTED_VALUE"""),"Yes")</f>
        <v>Yes</v>
      </c>
      <c r="AC665" s="5" t="str">
        <f>IFERROR(__xludf.DUMMYFUNCTION("""COMPUTED_VALUE"""),"No")</f>
        <v>No</v>
      </c>
    </row>
    <row r="666">
      <c r="A666" s="5" t="str">
        <f>IFERROR(__xludf.DUMMYFUNCTION("""COMPUTED_VALUE"""),"VeryHot40ExtremeBooster")</f>
        <v>VeryHot40ExtremeBooster</v>
      </c>
      <c r="B66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6" s="5" t="str">
        <f>IFERROR(__xludf.DUMMYFUNCTION("""COMPUTED_VALUE"""),"Yes")</f>
        <v>Yes</v>
      </c>
      <c r="D666" s="5" t="str">
        <f>IFERROR(__xludf.DUMMYFUNCTION("""COMPUTED_VALUE"""),"Yes")</f>
        <v>Yes</v>
      </c>
      <c r="E666" s="5" t="str">
        <f>IFERROR(__xludf.DUMMYFUNCTION("""COMPUTED_VALUE"""),"Yes")</f>
        <v>Yes</v>
      </c>
      <c r="F666" s="5" t="str">
        <f>IFERROR(__xludf.DUMMYFUNCTION("""COMPUTED_VALUE"""),"Yes")</f>
        <v>Yes</v>
      </c>
      <c r="G666" s="5" t="str">
        <f>IFERROR(__xludf.DUMMYFUNCTION("""COMPUTED_VALUE"""),"Yes")</f>
        <v>Yes</v>
      </c>
      <c r="H666" s="5" t="str">
        <f>IFERROR(__xludf.DUMMYFUNCTION("""COMPUTED_VALUE"""),"Yes")</f>
        <v>Yes</v>
      </c>
      <c r="I666" s="5" t="str">
        <f>IFERROR(__xludf.DUMMYFUNCTION("""COMPUTED_VALUE"""),"Yes")</f>
        <v>Yes</v>
      </c>
      <c r="J666" s="5" t="str">
        <f>IFERROR(__xludf.DUMMYFUNCTION("""COMPUTED_VALUE"""),"Yes")</f>
        <v>Yes</v>
      </c>
      <c r="K666" s="5" t="str">
        <f>IFERROR(__xludf.DUMMYFUNCTION("""COMPUTED_VALUE"""),"Yes")</f>
        <v>Yes</v>
      </c>
      <c r="L666" s="5" t="str">
        <f>IFERROR(__xludf.DUMMYFUNCTION("""COMPUTED_VALUE"""),"Yes")</f>
        <v>Yes</v>
      </c>
      <c r="M666" s="5" t="str">
        <f>IFERROR(__xludf.DUMMYFUNCTION("""COMPUTED_VALUE"""),"Yes")</f>
        <v>Yes</v>
      </c>
      <c r="N666" s="5" t="str">
        <f>IFERROR(__xludf.DUMMYFUNCTION("""COMPUTED_VALUE"""),"Yes")</f>
        <v>Yes</v>
      </c>
      <c r="O666" s="5" t="str">
        <f>IFERROR(__xludf.DUMMYFUNCTION("""COMPUTED_VALUE"""),"Yes")</f>
        <v>Yes</v>
      </c>
      <c r="P666" s="5" t="str">
        <f>IFERROR(__xludf.DUMMYFUNCTION("""COMPUTED_VALUE"""),"Yes")</f>
        <v>Yes</v>
      </c>
      <c r="Q666" s="5" t="str">
        <f>IFERROR(__xludf.DUMMYFUNCTION("""COMPUTED_VALUE"""),"Yes")</f>
        <v>Yes</v>
      </c>
      <c r="R666" s="5" t="str">
        <f>IFERROR(__xludf.DUMMYFUNCTION("""COMPUTED_VALUE"""),"Yes")</f>
        <v>Yes</v>
      </c>
      <c r="S666" s="5" t="str">
        <f>IFERROR(__xludf.DUMMYFUNCTION("""COMPUTED_VALUE"""),"Yes")</f>
        <v>Yes</v>
      </c>
      <c r="T666" s="5" t="str">
        <f>IFERROR(__xludf.DUMMYFUNCTION("""COMPUTED_VALUE"""),"Yes")</f>
        <v>Yes</v>
      </c>
      <c r="U666" s="5" t="str">
        <f>IFERROR(__xludf.DUMMYFUNCTION("""COMPUTED_VALUE"""),"Yes")</f>
        <v>Yes</v>
      </c>
      <c r="V666" s="5" t="str">
        <f>IFERROR(__xludf.DUMMYFUNCTION("""COMPUTED_VALUE"""),"Yes")</f>
        <v>Yes</v>
      </c>
      <c r="W666" s="5" t="str">
        <f>IFERROR(__xludf.DUMMYFUNCTION("""COMPUTED_VALUE"""),"Yes")</f>
        <v>Yes</v>
      </c>
      <c r="X666" s="5" t="str">
        <f>IFERROR(__xludf.DUMMYFUNCTION("""COMPUTED_VALUE"""),"Yes")</f>
        <v>Yes</v>
      </c>
      <c r="Y666" s="5" t="str">
        <f>IFERROR(__xludf.DUMMYFUNCTION("""COMPUTED_VALUE"""),"Yes")</f>
        <v>Yes</v>
      </c>
      <c r="Z666" s="5" t="str">
        <f>IFERROR(__xludf.DUMMYFUNCTION("""COMPUTED_VALUE"""),"Yes")</f>
        <v>Yes</v>
      </c>
      <c r="AA666" s="5" t="str">
        <f>IFERROR(__xludf.DUMMYFUNCTION("""COMPUTED_VALUE"""),"Yes")</f>
        <v>Yes</v>
      </c>
      <c r="AB666" s="5" t="str">
        <f>IFERROR(__xludf.DUMMYFUNCTION("""COMPUTED_VALUE"""),"Yes")</f>
        <v>Yes</v>
      </c>
      <c r="AC666" s="5" t="str">
        <f>IFERROR(__xludf.DUMMYFUNCTION("""COMPUTED_VALUE"""),"No")</f>
        <v>No</v>
      </c>
    </row>
    <row r="667">
      <c r="A667" s="5" t="str">
        <f>IFERROR(__xludf.DUMMYFUNCTION("""COMPUTED_VALUE"""),"WinningClover5Booster")</f>
        <v>WinningClover5Booster</v>
      </c>
      <c r="B66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7" s="5" t="str">
        <f>IFERROR(__xludf.DUMMYFUNCTION("""COMPUTED_VALUE"""),"Yes")</f>
        <v>Yes</v>
      </c>
      <c r="D667" s="5" t="str">
        <f>IFERROR(__xludf.DUMMYFUNCTION("""COMPUTED_VALUE"""),"Yes")</f>
        <v>Yes</v>
      </c>
      <c r="E667" s="5" t="str">
        <f>IFERROR(__xludf.DUMMYFUNCTION("""COMPUTED_VALUE"""),"Yes")</f>
        <v>Yes</v>
      </c>
      <c r="F667" s="5" t="str">
        <f>IFERROR(__xludf.DUMMYFUNCTION("""COMPUTED_VALUE"""),"Yes")</f>
        <v>Yes</v>
      </c>
      <c r="G667" s="5" t="str">
        <f>IFERROR(__xludf.DUMMYFUNCTION("""COMPUTED_VALUE"""),"Yes")</f>
        <v>Yes</v>
      </c>
      <c r="H667" s="5" t="str">
        <f>IFERROR(__xludf.DUMMYFUNCTION("""COMPUTED_VALUE"""),"Yes")</f>
        <v>Yes</v>
      </c>
      <c r="I667" s="5" t="str">
        <f>IFERROR(__xludf.DUMMYFUNCTION("""COMPUTED_VALUE"""),"Yes")</f>
        <v>Yes</v>
      </c>
      <c r="J667" s="5" t="str">
        <f>IFERROR(__xludf.DUMMYFUNCTION("""COMPUTED_VALUE"""),"Yes")</f>
        <v>Yes</v>
      </c>
      <c r="K667" s="5" t="str">
        <f>IFERROR(__xludf.DUMMYFUNCTION("""COMPUTED_VALUE"""),"Yes")</f>
        <v>Yes</v>
      </c>
      <c r="L667" s="5" t="str">
        <f>IFERROR(__xludf.DUMMYFUNCTION("""COMPUTED_VALUE"""),"Yes")</f>
        <v>Yes</v>
      </c>
      <c r="M667" s="5" t="str">
        <f>IFERROR(__xludf.DUMMYFUNCTION("""COMPUTED_VALUE"""),"Yes")</f>
        <v>Yes</v>
      </c>
      <c r="N667" s="5" t="str">
        <f>IFERROR(__xludf.DUMMYFUNCTION("""COMPUTED_VALUE"""),"Yes")</f>
        <v>Yes</v>
      </c>
      <c r="O667" s="5" t="str">
        <f>IFERROR(__xludf.DUMMYFUNCTION("""COMPUTED_VALUE"""),"Yes")</f>
        <v>Yes</v>
      </c>
      <c r="P667" s="5" t="str">
        <f>IFERROR(__xludf.DUMMYFUNCTION("""COMPUTED_VALUE"""),"Yes")</f>
        <v>Yes</v>
      </c>
      <c r="Q667" s="5" t="str">
        <f>IFERROR(__xludf.DUMMYFUNCTION("""COMPUTED_VALUE"""),"Yes")</f>
        <v>Yes</v>
      </c>
      <c r="R667" s="5" t="str">
        <f>IFERROR(__xludf.DUMMYFUNCTION("""COMPUTED_VALUE"""),"Yes")</f>
        <v>Yes</v>
      </c>
      <c r="S667" s="5" t="str">
        <f>IFERROR(__xludf.DUMMYFUNCTION("""COMPUTED_VALUE"""),"Yes")</f>
        <v>Yes</v>
      </c>
      <c r="T667" s="5" t="str">
        <f>IFERROR(__xludf.DUMMYFUNCTION("""COMPUTED_VALUE"""),"Yes")</f>
        <v>Yes</v>
      </c>
      <c r="U667" s="5" t="str">
        <f>IFERROR(__xludf.DUMMYFUNCTION("""COMPUTED_VALUE"""),"Yes")</f>
        <v>Yes</v>
      </c>
      <c r="V667" s="5" t="str">
        <f>IFERROR(__xludf.DUMMYFUNCTION("""COMPUTED_VALUE"""),"Yes")</f>
        <v>Yes</v>
      </c>
      <c r="W667" s="5" t="str">
        <f>IFERROR(__xludf.DUMMYFUNCTION("""COMPUTED_VALUE"""),"Yes")</f>
        <v>Yes</v>
      </c>
      <c r="X667" s="5" t="str">
        <f>IFERROR(__xludf.DUMMYFUNCTION("""COMPUTED_VALUE"""),"Yes")</f>
        <v>Yes</v>
      </c>
      <c r="Y667" s="5" t="str">
        <f>IFERROR(__xludf.DUMMYFUNCTION("""COMPUTED_VALUE"""),"Yes")</f>
        <v>Yes</v>
      </c>
      <c r="Z667" s="5" t="str">
        <f>IFERROR(__xludf.DUMMYFUNCTION("""COMPUTED_VALUE"""),"Yes")</f>
        <v>Yes</v>
      </c>
      <c r="AA667" s="5" t="str">
        <f>IFERROR(__xludf.DUMMYFUNCTION("""COMPUTED_VALUE"""),"Yes")</f>
        <v>Yes</v>
      </c>
      <c r="AB667" s="5" t="str">
        <f>IFERROR(__xludf.DUMMYFUNCTION("""COMPUTED_VALUE"""),"Yes")</f>
        <v>Yes</v>
      </c>
      <c r="AC667" s="5" t="str">
        <f>IFERROR(__xludf.DUMMYFUNCTION("""COMPUTED_VALUE"""),"No")</f>
        <v>No</v>
      </c>
    </row>
    <row r="668">
      <c r="A668" s="5" t="str">
        <f>IFERROR(__xludf.DUMMYFUNCTION("""COMPUTED_VALUE"""),"FortuneOfWuKong")</f>
        <v>FortuneOfWuKong</v>
      </c>
      <c r="B66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8" s="5" t="str">
        <f>IFERROR(__xludf.DUMMYFUNCTION("""COMPUTED_VALUE"""),"Yes")</f>
        <v>Yes</v>
      </c>
      <c r="D668" s="5" t="str">
        <f>IFERROR(__xludf.DUMMYFUNCTION("""COMPUTED_VALUE"""),"Yes")</f>
        <v>Yes</v>
      </c>
      <c r="E668" s="5" t="str">
        <f>IFERROR(__xludf.DUMMYFUNCTION("""COMPUTED_VALUE"""),"Yes")</f>
        <v>Yes</v>
      </c>
      <c r="F668" s="5" t="str">
        <f>IFERROR(__xludf.DUMMYFUNCTION("""COMPUTED_VALUE"""),"Yes")</f>
        <v>Yes</v>
      </c>
      <c r="G668" s="5" t="str">
        <f>IFERROR(__xludf.DUMMYFUNCTION("""COMPUTED_VALUE"""),"Yes")</f>
        <v>Yes</v>
      </c>
      <c r="H668" s="5" t="str">
        <f>IFERROR(__xludf.DUMMYFUNCTION("""COMPUTED_VALUE"""),"Yes")</f>
        <v>Yes</v>
      </c>
      <c r="I668" s="5" t="str">
        <f>IFERROR(__xludf.DUMMYFUNCTION("""COMPUTED_VALUE"""),"Yes")</f>
        <v>Yes</v>
      </c>
      <c r="J668" s="5" t="str">
        <f>IFERROR(__xludf.DUMMYFUNCTION("""COMPUTED_VALUE"""),"Yes")</f>
        <v>Yes</v>
      </c>
      <c r="K668" s="5" t="str">
        <f>IFERROR(__xludf.DUMMYFUNCTION("""COMPUTED_VALUE"""),"Yes")</f>
        <v>Yes</v>
      </c>
      <c r="L668" s="5" t="str">
        <f>IFERROR(__xludf.DUMMYFUNCTION("""COMPUTED_VALUE"""),"Yes")</f>
        <v>Yes</v>
      </c>
      <c r="M668" s="5" t="str">
        <f>IFERROR(__xludf.DUMMYFUNCTION("""COMPUTED_VALUE"""),"Yes")</f>
        <v>Yes</v>
      </c>
      <c r="N668" s="5" t="str">
        <f>IFERROR(__xludf.DUMMYFUNCTION("""COMPUTED_VALUE"""),"Yes")</f>
        <v>Yes</v>
      </c>
      <c r="O668" s="5" t="str">
        <f>IFERROR(__xludf.DUMMYFUNCTION("""COMPUTED_VALUE"""),"Yes")</f>
        <v>Yes</v>
      </c>
      <c r="P668" s="5" t="str">
        <f>IFERROR(__xludf.DUMMYFUNCTION("""COMPUTED_VALUE"""),"Yes")</f>
        <v>Yes</v>
      </c>
      <c r="Q668" s="5" t="str">
        <f>IFERROR(__xludf.DUMMYFUNCTION("""COMPUTED_VALUE"""),"Yes")</f>
        <v>Yes</v>
      </c>
      <c r="R668" s="5" t="str">
        <f>IFERROR(__xludf.DUMMYFUNCTION("""COMPUTED_VALUE"""),"Yes")</f>
        <v>Yes</v>
      </c>
      <c r="S668" s="5" t="str">
        <f>IFERROR(__xludf.DUMMYFUNCTION("""COMPUTED_VALUE"""),"Yes")</f>
        <v>Yes</v>
      </c>
      <c r="T668" s="5" t="str">
        <f>IFERROR(__xludf.DUMMYFUNCTION("""COMPUTED_VALUE"""),"Yes")</f>
        <v>Yes</v>
      </c>
      <c r="U668" s="5" t="str">
        <f>IFERROR(__xludf.DUMMYFUNCTION("""COMPUTED_VALUE"""),"Yes")</f>
        <v>Yes</v>
      </c>
      <c r="V668" s="5" t="str">
        <f>IFERROR(__xludf.DUMMYFUNCTION("""COMPUTED_VALUE"""),"Yes")</f>
        <v>Yes</v>
      </c>
      <c r="W668" s="5" t="str">
        <f>IFERROR(__xludf.DUMMYFUNCTION("""COMPUTED_VALUE"""),"Yes")</f>
        <v>Yes</v>
      </c>
      <c r="X668" s="5" t="str">
        <f>IFERROR(__xludf.DUMMYFUNCTION("""COMPUTED_VALUE"""),"Yes")</f>
        <v>Yes</v>
      </c>
      <c r="Y668" s="5" t="str">
        <f>IFERROR(__xludf.DUMMYFUNCTION("""COMPUTED_VALUE"""),"Yes")</f>
        <v>Yes</v>
      </c>
      <c r="Z668" s="5" t="str">
        <f>IFERROR(__xludf.DUMMYFUNCTION("""COMPUTED_VALUE"""),"Yes")</f>
        <v>Yes</v>
      </c>
      <c r="AA668" s="5" t="str">
        <f>IFERROR(__xludf.DUMMYFUNCTION("""COMPUTED_VALUE"""),"Yes")</f>
        <v>Yes</v>
      </c>
      <c r="AB668" s="5" t="str">
        <f>IFERROR(__xludf.DUMMYFUNCTION("""COMPUTED_VALUE"""),"Yes")</f>
        <v>Yes</v>
      </c>
      <c r="AC668" s="5" t="str">
        <f>IFERROR(__xludf.DUMMYFUNCTION("""COMPUTED_VALUE"""),"No")</f>
        <v>No</v>
      </c>
    </row>
    <row r="669">
      <c r="A669" s="5" t="str">
        <f>IFERROR(__xludf.DUMMYFUNCTION("""COMPUTED_VALUE"""),"CloversAndDiamonds10")</f>
        <v>CloversAndDiamonds10</v>
      </c>
      <c r="B66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9" s="5" t="str">
        <f>IFERROR(__xludf.DUMMYFUNCTION("""COMPUTED_VALUE"""),"Yes")</f>
        <v>Yes</v>
      </c>
      <c r="D669" s="5" t="str">
        <f>IFERROR(__xludf.DUMMYFUNCTION("""COMPUTED_VALUE"""),"Yes")</f>
        <v>Yes</v>
      </c>
      <c r="E669" s="5" t="str">
        <f>IFERROR(__xludf.DUMMYFUNCTION("""COMPUTED_VALUE"""),"Yes")</f>
        <v>Yes</v>
      </c>
      <c r="F669" s="5" t="str">
        <f>IFERROR(__xludf.DUMMYFUNCTION("""COMPUTED_VALUE"""),"Yes")</f>
        <v>Yes</v>
      </c>
      <c r="G669" s="5" t="str">
        <f>IFERROR(__xludf.DUMMYFUNCTION("""COMPUTED_VALUE"""),"Yes")</f>
        <v>Yes</v>
      </c>
      <c r="H669" s="5" t="str">
        <f>IFERROR(__xludf.DUMMYFUNCTION("""COMPUTED_VALUE"""),"Yes")</f>
        <v>Yes</v>
      </c>
      <c r="I669" s="5" t="str">
        <f>IFERROR(__xludf.DUMMYFUNCTION("""COMPUTED_VALUE"""),"Yes")</f>
        <v>Yes</v>
      </c>
      <c r="J669" s="5" t="str">
        <f>IFERROR(__xludf.DUMMYFUNCTION("""COMPUTED_VALUE"""),"Yes")</f>
        <v>Yes</v>
      </c>
      <c r="K669" s="5" t="str">
        <f>IFERROR(__xludf.DUMMYFUNCTION("""COMPUTED_VALUE"""),"Yes")</f>
        <v>Yes</v>
      </c>
      <c r="L669" s="5" t="str">
        <f>IFERROR(__xludf.DUMMYFUNCTION("""COMPUTED_VALUE"""),"Yes")</f>
        <v>Yes</v>
      </c>
      <c r="M669" s="5" t="str">
        <f>IFERROR(__xludf.DUMMYFUNCTION("""COMPUTED_VALUE"""),"Yes")</f>
        <v>Yes</v>
      </c>
      <c r="N669" s="5" t="str">
        <f>IFERROR(__xludf.DUMMYFUNCTION("""COMPUTED_VALUE"""),"Yes")</f>
        <v>Yes</v>
      </c>
      <c r="O669" s="5" t="str">
        <f>IFERROR(__xludf.DUMMYFUNCTION("""COMPUTED_VALUE"""),"Yes")</f>
        <v>Yes</v>
      </c>
      <c r="P669" s="5" t="str">
        <f>IFERROR(__xludf.DUMMYFUNCTION("""COMPUTED_VALUE"""),"Yes")</f>
        <v>Yes</v>
      </c>
      <c r="Q669" s="5" t="str">
        <f>IFERROR(__xludf.DUMMYFUNCTION("""COMPUTED_VALUE"""),"Yes")</f>
        <v>Yes</v>
      </c>
      <c r="R669" s="5" t="str">
        <f>IFERROR(__xludf.DUMMYFUNCTION("""COMPUTED_VALUE"""),"Yes")</f>
        <v>Yes</v>
      </c>
      <c r="S669" s="5" t="str">
        <f>IFERROR(__xludf.DUMMYFUNCTION("""COMPUTED_VALUE"""),"Yes")</f>
        <v>Yes</v>
      </c>
      <c r="T669" s="5" t="str">
        <f>IFERROR(__xludf.DUMMYFUNCTION("""COMPUTED_VALUE"""),"Yes")</f>
        <v>Yes</v>
      </c>
      <c r="U669" s="5" t="str">
        <f>IFERROR(__xludf.DUMMYFUNCTION("""COMPUTED_VALUE"""),"Yes")</f>
        <v>Yes</v>
      </c>
      <c r="V669" s="5" t="str">
        <f>IFERROR(__xludf.DUMMYFUNCTION("""COMPUTED_VALUE"""),"Yes")</f>
        <v>Yes</v>
      </c>
      <c r="W669" s="5" t="str">
        <f>IFERROR(__xludf.DUMMYFUNCTION("""COMPUTED_VALUE"""),"Yes")</f>
        <v>Yes</v>
      </c>
      <c r="X669" s="5" t="str">
        <f>IFERROR(__xludf.DUMMYFUNCTION("""COMPUTED_VALUE"""),"Yes")</f>
        <v>Yes</v>
      </c>
      <c r="Y669" s="5" t="str">
        <f>IFERROR(__xludf.DUMMYFUNCTION("""COMPUTED_VALUE"""),"Yes")</f>
        <v>Yes</v>
      </c>
      <c r="Z669" s="5" t="str">
        <f>IFERROR(__xludf.DUMMYFUNCTION("""COMPUTED_VALUE"""),"Yes")</f>
        <v>Yes</v>
      </c>
      <c r="AA669" s="5" t="str">
        <f>IFERROR(__xludf.DUMMYFUNCTION("""COMPUTED_VALUE"""),"Yes")</f>
        <v>Yes</v>
      </c>
      <c r="AB669" s="5" t="str">
        <f>IFERROR(__xludf.DUMMYFUNCTION("""COMPUTED_VALUE"""),"Yes")</f>
        <v>Yes</v>
      </c>
      <c r="AC669" s="5" t="str">
        <f>IFERROR(__xludf.DUMMYFUNCTION("""COMPUTED_VALUE"""),"No")</f>
        <v>No</v>
      </c>
    </row>
    <row r="670">
      <c r="A670" s="5" t="str">
        <f>IFERROR(__xludf.DUMMYFUNCTION("""COMPUTED_VALUE"""),"CloversAndDiamonds20")</f>
        <v>CloversAndDiamonds20</v>
      </c>
      <c r="B67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0" s="5" t="str">
        <f>IFERROR(__xludf.DUMMYFUNCTION("""COMPUTED_VALUE"""),"Yes")</f>
        <v>Yes</v>
      </c>
      <c r="D670" s="5" t="str">
        <f>IFERROR(__xludf.DUMMYFUNCTION("""COMPUTED_VALUE"""),"Yes")</f>
        <v>Yes</v>
      </c>
      <c r="E670" s="5" t="str">
        <f>IFERROR(__xludf.DUMMYFUNCTION("""COMPUTED_VALUE"""),"Yes")</f>
        <v>Yes</v>
      </c>
      <c r="F670" s="5" t="str">
        <f>IFERROR(__xludf.DUMMYFUNCTION("""COMPUTED_VALUE"""),"Yes")</f>
        <v>Yes</v>
      </c>
      <c r="G670" s="5" t="str">
        <f>IFERROR(__xludf.DUMMYFUNCTION("""COMPUTED_VALUE"""),"Yes")</f>
        <v>Yes</v>
      </c>
      <c r="H670" s="5" t="str">
        <f>IFERROR(__xludf.DUMMYFUNCTION("""COMPUTED_VALUE"""),"Yes")</f>
        <v>Yes</v>
      </c>
      <c r="I670" s="5" t="str">
        <f>IFERROR(__xludf.DUMMYFUNCTION("""COMPUTED_VALUE"""),"Yes")</f>
        <v>Yes</v>
      </c>
      <c r="J670" s="5" t="str">
        <f>IFERROR(__xludf.DUMMYFUNCTION("""COMPUTED_VALUE"""),"Yes")</f>
        <v>Yes</v>
      </c>
      <c r="K670" s="5" t="str">
        <f>IFERROR(__xludf.DUMMYFUNCTION("""COMPUTED_VALUE"""),"Yes")</f>
        <v>Yes</v>
      </c>
      <c r="L670" s="5" t="str">
        <f>IFERROR(__xludf.DUMMYFUNCTION("""COMPUTED_VALUE"""),"Yes")</f>
        <v>Yes</v>
      </c>
      <c r="M670" s="5" t="str">
        <f>IFERROR(__xludf.DUMMYFUNCTION("""COMPUTED_VALUE"""),"Yes")</f>
        <v>Yes</v>
      </c>
      <c r="N670" s="5" t="str">
        <f>IFERROR(__xludf.DUMMYFUNCTION("""COMPUTED_VALUE"""),"Yes")</f>
        <v>Yes</v>
      </c>
      <c r="O670" s="5" t="str">
        <f>IFERROR(__xludf.DUMMYFUNCTION("""COMPUTED_VALUE"""),"Yes")</f>
        <v>Yes</v>
      </c>
      <c r="P670" s="5" t="str">
        <f>IFERROR(__xludf.DUMMYFUNCTION("""COMPUTED_VALUE"""),"Yes")</f>
        <v>Yes</v>
      </c>
      <c r="Q670" s="5" t="str">
        <f>IFERROR(__xludf.DUMMYFUNCTION("""COMPUTED_VALUE"""),"Yes")</f>
        <v>Yes</v>
      </c>
      <c r="R670" s="5" t="str">
        <f>IFERROR(__xludf.DUMMYFUNCTION("""COMPUTED_VALUE"""),"Yes")</f>
        <v>Yes</v>
      </c>
      <c r="S670" s="5" t="str">
        <f>IFERROR(__xludf.DUMMYFUNCTION("""COMPUTED_VALUE"""),"Yes")</f>
        <v>Yes</v>
      </c>
      <c r="T670" s="5" t="str">
        <f>IFERROR(__xludf.DUMMYFUNCTION("""COMPUTED_VALUE"""),"Yes")</f>
        <v>Yes</v>
      </c>
      <c r="U670" s="5" t="str">
        <f>IFERROR(__xludf.DUMMYFUNCTION("""COMPUTED_VALUE"""),"Yes")</f>
        <v>Yes</v>
      </c>
      <c r="V670" s="5" t="str">
        <f>IFERROR(__xludf.DUMMYFUNCTION("""COMPUTED_VALUE"""),"Yes")</f>
        <v>Yes</v>
      </c>
      <c r="W670" s="5" t="str">
        <f>IFERROR(__xludf.DUMMYFUNCTION("""COMPUTED_VALUE"""),"Yes")</f>
        <v>Yes</v>
      </c>
      <c r="X670" s="5" t="str">
        <f>IFERROR(__xludf.DUMMYFUNCTION("""COMPUTED_VALUE"""),"Yes")</f>
        <v>Yes</v>
      </c>
      <c r="Y670" s="5" t="str">
        <f>IFERROR(__xludf.DUMMYFUNCTION("""COMPUTED_VALUE"""),"Yes")</f>
        <v>Yes</v>
      </c>
      <c r="Z670" s="5" t="str">
        <f>IFERROR(__xludf.DUMMYFUNCTION("""COMPUTED_VALUE"""),"Yes")</f>
        <v>Yes</v>
      </c>
      <c r="AA670" s="5" t="str">
        <f>IFERROR(__xludf.DUMMYFUNCTION("""COMPUTED_VALUE"""),"Yes")</f>
        <v>Yes</v>
      </c>
      <c r="AB670" s="5" t="str">
        <f>IFERROR(__xludf.DUMMYFUNCTION("""COMPUTED_VALUE"""),"Yes")</f>
        <v>Yes</v>
      </c>
      <c r="AC670" s="5" t="str">
        <f>IFERROR(__xludf.DUMMYFUNCTION("""COMPUTED_VALUE"""),"No")</f>
        <v>No</v>
      </c>
    </row>
    <row r="671">
      <c r="A671" s="5" t="str">
        <f>IFERROR(__xludf.DUMMYFUNCTION("""COMPUTED_VALUE"""),"CloversAndDiamonds40")</f>
        <v>CloversAndDiamonds40</v>
      </c>
      <c r="B67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1" s="5" t="str">
        <f>IFERROR(__xludf.DUMMYFUNCTION("""COMPUTED_VALUE"""),"Yes")</f>
        <v>Yes</v>
      </c>
      <c r="D671" s="5" t="str">
        <f>IFERROR(__xludf.DUMMYFUNCTION("""COMPUTED_VALUE"""),"Yes")</f>
        <v>Yes</v>
      </c>
      <c r="E671" s="5" t="str">
        <f>IFERROR(__xludf.DUMMYFUNCTION("""COMPUTED_VALUE"""),"Yes")</f>
        <v>Yes</v>
      </c>
      <c r="F671" s="5" t="str">
        <f>IFERROR(__xludf.DUMMYFUNCTION("""COMPUTED_VALUE"""),"Yes")</f>
        <v>Yes</v>
      </c>
      <c r="G671" s="5" t="str">
        <f>IFERROR(__xludf.DUMMYFUNCTION("""COMPUTED_VALUE"""),"Yes")</f>
        <v>Yes</v>
      </c>
      <c r="H671" s="5" t="str">
        <f>IFERROR(__xludf.DUMMYFUNCTION("""COMPUTED_VALUE"""),"Yes")</f>
        <v>Yes</v>
      </c>
      <c r="I671" s="5" t="str">
        <f>IFERROR(__xludf.DUMMYFUNCTION("""COMPUTED_VALUE"""),"Yes")</f>
        <v>Yes</v>
      </c>
      <c r="J671" s="5" t="str">
        <f>IFERROR(__xludf.DUMMYFUNCTION("""COMPUTED_VALUE"""),"Yes")</f>
        <v>Yes</v>
      </c>
      <c r="K671" s="5" t="str">
        <f>IFERROR(__xludf.DUMMYFUNCTION("""COMPUTED_VALUE"""),"Yes")</f>
        <v>Yes</v>
      </c>
      <c r="L671" s="5" t="str">
        <f>IFERROR(__xludf.DUMMYFUNCTION("""COMPUTED_VALUE"""),"Yes")</f>
        <v>Yes</v>
      </c>
      <c r="M671" s="5" t="str">
        <f>IFERROR(__xludf.DUMMYFUNCTION("""COMPUTED_VALUE"""),"Yes")</f>
        <v>Yes</v>
      </c>
      <c r="N671" s="5" t="str">
        <f>IFERROR(__xludf.DUMMYFUNCTION("""COMPUTED_VALUE"""),"Yes")</f>
        <v>Yes</v>
      </c>
      <c r="O671" s="5" t="str">
        <f>IFERROR(__xludf.DUMMYFUNCTION("""COMPUTED_VALUE"""),"Yes")</f>
        <v>Yes</v>
      </c>
      <c r="P671" s="5" t="str">
        <f>IFERROR(__xludf.DUMMYFUNCTION("""COMPUTED_VALUE"""),"Yes")</f>
        <v>Yes</v>
      </c>
      <c r="Q671" s="5" t="str">
        <f>IFERROR(__xludf.DUMMYFUNCTION("""COMPUTED_VALUE"""),"Yes")</f>
        <v>Yes</v>
      </c>
      <c r="R671" s="5" t="str">
        <f>IFERROR(__xludf.DUMMYFUNCTION("""COMPUTED_VALUE"""),"Yes")</f>
        <v>Yes</v>
      </c>
      <c r="S671" s="5" t="str">
        <f>IFERROR(__xludf.DUMMYFUNCTION("""COMPUTED_VALUE"""),"Yes")</f>
        <v>Yes</v>
      </c>
      <c r="T671" s="5" t="str">
        <f>IFERROR(__xludf.DUMMYFUNCTION("""COMPUTED_VALUE"""),"Yes")</f>
        <v>Yes</v>
      </c>
      <c r="U671" s="5" t="str">
        <f>IFERROR(__xludf.DUMMYFUNCTION("""COMPUTED_VALUE"""),"Yes")</f>
        <v>Yes</v>
      </c>
      <c r="V671" s="5" t="str">
        <f>IFERROR(__xludf.DUMMYFUNCTION("""COMPUTED_VALUE"""),"Yes")</f>
        <v>Yes</v>
      </c>
      <c r="W671" s="5" t="str">
        <f>IFERROR(__xludf.DUMMYFUNCTION("""COMPUTED_VALUE"""),"Yes")</f>
        <v>Yes</v>
      </c>
      <c r="X671" s="5" t="str">
        <f>IFERROR(__xludf.DUMMYFUNCTION("""COMPUTED_VALUE"""),"Yes")</f>
        <v>Yes</v>
      </c>
      <c r="Y671" s="5" t="str">
        <f>IFERROR(__xludf.DUMMYFUNCTION("""COMPUTED_VALUE"""),"Yes")</f>
        <v>Yes</v>
      </c>
      <c r="Z671" s="5" t="str">
        <f>IFERROR(__xludf.DUMMYFUNCTION("""COMPUTED_VALUE"""),"Yes")</f>
        <v>Yes</v>
      </c>
      <c r="AA671" s="5" t="str">
        <f>IFERROR(__xludf.DUMMYFUNCTION("""COMPUTED_VALUE"""),"Yes")</f>
        <v>Yes</v>
      </c>
      <c r="AB671" s="5" t="str">
        <f>IFERROR(__xludf.DUMMYFUNCTION("""COMPUTED_VALUE"""),"Yes")</f>
        <v>Yes</v>
      </c>
      <c r="AC671" s="5" t="str">
        <f>IFERROR(__xludf.DUMMYFUNCTION("""COMPUTED_VALUE"""),"No")</f>
        <v>No</v>
      </c>
    </row>
    <row r="672">
      <c r="A672" s="5" t="str">
        <f>IFERROR(__xludf.DUMMYFUNCTION("""COMPUTED_VALUE"""),"RoyalgardenKing")</f>
        <v>RoyalgardenKing</v>
      </c>
      <c r="B67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2" s="5" t="str">
        <f>IFERROR(__xludf.DUMMYFUNCTION("""COMPUTED_VALUE"""),"Yes")</f>
        <v>Yes</v>
      </c>
      <c r="D672" s="5" t="str">
        <f>IFERROR(__xludf.DUMMYFUNCTION("""COMPUTED_VALUE"""),"Yes")</f>
        <v>Yes</v>
      </c>
      <c r="E672" s="5" t="str">
        <f>IFERROR(__xludf.DUMMYFUNCTION("""COMPUTED_VALUE"""),"Yes")</f>
        <v>Yes</v>
      </c>
      <c r="F672" s="5" t="str">
        <f>IFERROR(__xludf.DUMMYFUNCTION("""COMPUTED_VALUE"""),"Yes")</f>
        <v>Yes</v>
      </c>
      <c r="G672" s="5" t="str">
        <f>IFERROR(__xludf.DUMMYFUNCTION("""COMPUTED_VALUE"""),"Yes")</f>
        <v>Yes</v>
      </c>
      <c r="H672" s="5" t="str">
        <f>IFERROR(__xludf.DUMMYFUNCTION("""COMPUTED_VALUE"""),"Yes")</f>
        <v>Yes</v>
      </c>
      <c r="I672" s="5" t="str">
        <f>IFERROR(__xludf.DUMMYFUNCTION("""COMPUTED_VALUE"""),"Yes")</f>
        <v>Yes</v>
      </c>
      <c r="J672" s="5" t="str">
        <f>IFERROR(__xludf.DUMMYFUNCTION("""COMPUTED_VALUE"""),"Yes")</f>
        <v>Yes</v>
      </c>
      <c r="K672" s="5" t="str">
        <f>IFERROR(__xludf.DUMMYFUNCTION("""COMPUTED_VALUE"""),"Yes")</f>
        <v>Yes</v>
      </c>
      <c r="L672" s="5" t="str">
        <f>IFERROR(__xludf.DUMMYFUNCTION("""COMPUTED_VALUE"""),"Yes")</f>
        <v>Yes</v>
      </c>
      <c r="M672" s="5" t="str">
        <f>IFERROR(__xludf.DUMMYFUNCTION("""COMPUTED_VALUE"""),"Yes")</f>
        <v>Yes</v>
      </c>
      <c r="N672" s="5" t="str">
        <f>IFERROR(__xludf.DUMMYFUNCTION("""COMPUTED_VALUE"""),"Yes")</f>
        <v>Yes</v>
      </c>
      <c r="O672" s="5" t="str">
        <f>IFERROR(__xludf.DUMMYFUNCTION("""COMPUTED_VALUE"""),"Yes")</f>
        <v>Yes</v>
      </c>
      <c r="P672" s="5" t="str">
        <f>IFERROR(__xludf.DUMMYFUNCTION("""COMPUTED_VALUE"""),"Yes")</f>
        <v>Yes</v>
      </c>
      <c r="Q672" s="5" t="str">
        <f>IFERROR(__xludf.DUMMYFUNCTION("""COMPUTED_VALUE"""),"Yes")</f>
        <v>Yes</v>
      </c>
      <c r="R672" s="5" t="str">
        <f>IFERROR(__xludf.DUMMYFUNCTION("""COMPUTED_VALUE"""),"Yes")</f>
        <v>Yes</v>
      </c>
      <c r="S672" s="5" t="str">
        <f>IFERROR(__xludf.DUMMYFUNCTION("""COMPUTED_VALUE"""),"Yes")</f>
        <v>Yes</v>
      </c>
      <c r="T672" s="5" t="str">
        <f>IFERROR(__xludf.DUMMYFUNCTION("""COMPUTED_VALUE"""),"Yes")</f>
        <v>Yes</v>
      </c>
      <c r="U672" s="5" t="str">
        <f>IFERROR(__xludf.DUMMYFUNCTION("""COMPUTED_VALUE"""),"Yes")</f>
        <v>Yes</v>
      </c>
      <c r="V672" s="5" t="str">
        <f>IFERROR(__xludf.DUMMYFUNCTION("""COMPUTED_VALUE"""),"Yes")</f>
        <v>Yes</v>
      </c>
      <c r="W672" s="5" t="str">
        <f>IFERROR(__xludf.DUMMYFUNCTION("""COMPUTED_VALUE"""),"Yes")</f>
        <v>Yes</v>
      </c>
      <c r="X672" s="5" t="str">
        <f>IFERROR(__xludf.DUMMYFUNCTION("""COMPUTED_VALUE"""),"Yes")</f>
        <v>Yes</v>
      </c>
      <c r="Y672" s="5" t="str">
        <f>IFERROR(__xludf.DUMMYFUNCTION("""COMPUTED_VALUE"""),"Yes")</f>
        <v>Yes</v>
      </c>
      <c r="Z672" s="5" t="str">
        <f>IFERROR(__xludf.DUMMYFUNCTION("""COMPUTED_VALUE"""),"Yes")</f>
        <v>Yes</v>
      </c>
      <c r="AA672" s="5" t="str">
        <f>IFERROR(__xludf.DUMMYFUNCTION("""COMPUTED_VALUE"""),"Yes")</f>
        <v>Yes</v>
      </c>
      <c r="AB672" s="5" t="str">
        <f>IFERROR(__xludf.DUMMYFUNCTION("""COMPUTED_VALUE"""),"Yes")</f>
        <v>Yes</v>
      </c>
      <c r="AC672" s="5" t="str">
        <f>IFERROR(__xludf.DUMMYFUNCTION("""COMPUTED_VALUE"""),"No")</f>
        <v>No</v>
      </c>
    </row>
    <row r="673">
      <c r="A673" s="5" t="str">
        <f>IFERROR(__xludf.DUMMYFUNCTION("""COMPUTED_VALUE"""),"RoyalgardenQueen")</f>
        <v>RoyalgardenQueen</v>
      </c>
      <c r="B67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3" s="5" t="str">
        <f>IFERROR(__xludf.DUMMYFUNCTION("""COMPUTED_VALUE"""),"Yes")</f>
        <v>Yes</v>
      </c>
      <c r="D673" s="5" t="str">
        <f>IFERROR(__xludf.DUMMYFUNCTION("""COMPUTED_VALUE"""),"Yes")</f>
        <v>Yes</v>
      </c>
      <c r="E673" s="5" t="str">
        <f>IFERROR(__xludf.DUMMYFUNCTION("""COMPUTED_VALUE"""),"Yes")</f>
        <v>Yes</v>
      </c>
      <c r="F673" s="5" t="str">
        <f>IFERROR(__xludf.DUMMYFUNCTION("""COMPUTED_VALUE"""),"Yes")</f>
        <v>Yes</v>
      </c>
      <c r="G673" s="5" t="str">
        <f>IFERROR(__xludf.DUMMYFUNCTION("""COMPUTED_VALUE"""),"Yes")</f>
        <v>Yes</v>
      </c>
      <c r="H673" s="5" t="str">
        <f>IFERROR(__xludf.DUMMYFUNCTION("""COMPUTED_VALUE"""),"Yes")</f>
        <v>Yes</v>
      </c>
      <c r="I673" s="5" t="str">
        <f>IFERROR(__xludf.DUMMYFUNCTION("""COMPUTED_VALUE"""),"Yes")</f>
        <v>Yes</v>
      </c>
      <c r="J673" s="5" t="str">
        <f>IFERROR(__xludf.DUMMYFUNCTION("""COMPUTED_VALUE"""),"Yes")</f>
        <v>Yes</v>
      </c>
      <c r="K673" s="5" t="str">
        <f>IFERROR(__xludf.DUMMYFUNCTION("""COMPUTED_VALUE"""),"Yes")</f>
        <v>Yes</v>
      </c>
      <c r="L673" s="5" t="str">
        <f>IFERROR(__xludf.DUMMYFUNCTION("""COMPUTED_VALUE"""),"Yes")</f>
        <v>Yes</v>
      </c>
      <c r="M673" s="5" t="str">
        <f>IFERROR(__xludf.DUMMYFUNCTION("""COMPUTED_VALUE"""),"Yes")</f>
        <v>Yes</v>
      </c>
      <c r="N673" s="5" t="str">
        <f>IFERROR(__xludf.DUMMYFUNCTION("""COMPUTED_VALUE"""),"Yes")</f>
        <v>Yes</v>
      </c>
      <c r="O673" s="5" t="str">
        <f>IFERROR(__xludf.DUMMYFUNCTION("""COMPUTED_VALUE"""),"Yes")</f>
        <v>Yes</v>
      </c>
      <c r="P673" s="5" t="str">
        <f>IFERROR(__xludf.DUMMYFUNCTION("""COMPUTED_VALUE"""),"Yes")</f>
        <v>Yes</v>
      </c>
      <c r="Q673" s="5" t="str">
        <f>IFERROR(__xludf.DUMMYFUNCTION("""COMPUTED_VALUE"""),"Yes")</f>
        <v>Yes</v>
      </c>
      <c r="R673" s="5" t="str">
        <f>IFERROR(__xludf.DUMMYFUNCTION("""COMPUTED_VALUE"""),"Yes")</f>
        <v>Yes</v>
      </c>
      <c r="S673" s="5" t="str">
        <f>IFERROR(__xludf.DUMMYFUNCTION("""COMPUTED_VALUE"""),"Yes")</f>
        <v>Yes</v>
      </c>
      <c r="T673" s="5" t="str">
        <f>IFERROR(__xludf.DUMMYFUNCTION("""COMPUTED_VALUE"""),"Yes")</f>
        <v>Yes</v>
      </c>
      <c r="U673" s="5" t="str">
        <f>IFERROR(__xludf.DUMMYFUNCTION("""COMPUTED_VALUE"""),"Yes")</f>
        <v>Yes</v>
      </c>
      <c r="V673" s="5" t="str">
        <f>IFERROR(__xludf.DUMMYFUNCTION("""COMPUTED_VALUE"""),"Yes")</f>
        <v>Yes</v>
      </c>
      <c r="W673" s="5" t="str">
        <f>IFERROR(__xludf.DUMMYFUNCTION("""COMPUTED_VALUE"""),"Yes")</f>
        <v>Yes</v>
      </c>
      <c r="X673" s="5" t="str">
        <f>IFERROR(__xludf.DUMMYFUNCTION("""COMPUTED_VALUE"""),"Yes")</f>
        <v>Yes</v>
      </c>
      <c r="Y673" s="5" t="str">
        <f>IFERROR(__xludf.DUMMYFUNCTION("""COMPUTED_VALUE"""),"Yes")</f>
        <v>Yes</v>
      </c>
      <c r="Z673" s="5" t="str">
        <f>IFERROR(__xludf.DUMMYFUNCTION("""COMPUTED_VALUE"""),"Yes")</f>
        <v>Yes</v>
      </c>
      <c r="AA673" s="5" t="str">
        <f>IFERROR(__xludf.DUMMYFUNCTION("""COMPUTED_VALUE"""),"Yes")</f>
        <v>Yes</v>
      </c>
      <c r="AB673" s="5" t="str">
        <f>IFERROR(__xludf.DUMMYFUNCTION("""COMPUTED_VALUE"""),"Yes")</f>
        <v>Yes</v>
      </c>
      <c r="AC673" s="5" t="str">
        <f>IFERROR(__xludf.DUMMYFUNCTION("""COMPUTED_VALUE"""),"No")</f>
        <v>No</v>
      </c>
    </row>
    <row r="674">
      <c r="A674" s="5" t="str">
        <f>IFERROR(__xludf.DUMMYFUNCTION("""COMPUTED_VALUE"""),"WildHotJacks40")</f>
        <v>WildHotJacks40</v>
      </c>
      <c r="B67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4" s="5" t="str">
        <f>IFERROR(__xludf.DUMMYFUNCTION("""COMPUTED_VALUE"""),"Yes")</f>
        <v>Yes</v>
      </c>
      <c r="D674" s="5" t="str">
        <f>IFERROR(__xludf.DUMMYFUNCTION("""COMPUTED_VALUE"""),"Yes")</f>
        <v>Yes</v>
      </c>
      <c r="E674" s="5" t="str">
        <f>IFERROR(__xludf.DUMMYFUNCTION("""COMPUTED_VALUE"""),"Yes")</f>
        <v>Yes</v>
      </c>
      <c r="F674" s="5" t="str">
        <f>IFERROR(__xludf.DUMMYFUNCTION("""COMPUTED_VALUE"""),"Yes")</f>
        <v>Yes</v>
      </c>
      <c r="G674" s="5" t="str">
        <f>IFERROR(__xludf.DUMMYFUNCTION("""COMPUTED_VALUE"""),"Yes")</f>
        <v>Yes</v>
      </c>
      <c r="H674" s="5" t="str">
        <f>IFERROR(__xludf.DUMMYFUNCTION("""COMPUTED_VALUE"""),"Yes")</f>
        <v>Yes</v>
      </c>
      <c r="I674" s="5" t="str">
        <f>IFERROR(__xludf.DUMMYFUNCTION("""COMPUTED_VALUE"""),"Yes")</f>
        <v>Yes</v>
      </c>
      <c r="J674" s="5" t="str">
        <f>IFERROR(__xludf.DUMMYFUNCTION("""COMPUTED_VALUE"""),"Yes")</f>
        <v>Yes</v>
      </c>
      <c r="K674" s="5" t="str">
        <f>IFERROR(__xludf.DUMMYFUNCTION("""COMPUTED_VALUE"""),"Yes")</f>
        <v>Yes</v>
      </c>
      <c r="L674" s="5" t="str">
        <f>IFERROR(__xludf.DUMMYFUNCTION("""COMPUTED_VALUE"""),"Yes")</f>
        <v>Yes</v>
      </c>
      <c r="M674" s="5" t="str">
        <f>IFERROR(__xludf.DUMMYFUNCTION("""COMPUTED_VALUE"""),"Yes")</f>
        <v>Yes</v>
      </c>
      <c r="N674" s="5" t="str">
        <f>IFERROR(__xludf.DUMMYFUNCTION("""COMPUTED_VALUE"""),"Yes")</f>
        <v>Yes</v>
      </c>
      <c r="O674" s="5" t="str">
        <f>IFERROR(__xludf.DUMMYFUNCTION("""COMPUTED_VALUE"""),"Yes")</f>
        <v>Yes</v>
      </c>
      <c r="P674" s="5" t="str">
        <f>IFERROR(__xludf.DUMMYFUNCTION("""COMPUTED_VALUE"""),"Yes")</f>
        <v>Yes</v>
      </c>
      <c r="Q674" s="5" t="str">
        <f>IFERROR(__xludf.DUMMYFUNCTION("""COMPUTED_VALUE"""),"Yes")</f>
        <v>Yes</v>
      </c>
      <c r="R674" s="5" t="str">
        <f>IFERROR(__xludf.DUMMYFUNCTION("""COMPUTED_VALUE"""),"Yes")</f>
        <v>Yes</v>
      </c>
      <c r="S674" s="5" t="str">
        <f>IFERROR(__xludf.DUMMYFUNCTION("""COMPUTED_VALUE"""),"Yes")</f>
        <v>Yes</v>
      </c>
      <c r="T674" s="5" t="str">
        <f>IFERROR(__xludf.DUMMYFUNCTION("""COMPUTED_VALUE"""),"Yes")</f>
        <v>Yes</v>
      </c>
      <c r="U674" s="5" t="str">
        <f>IFERROR(__xludf.DUMMYFUNCTION("""COMPUTED_VALUE"""),"Yes")</f>
        <v>Yes</v>
      </c>
      <c r="V674" s="5" t="str">
        <f>IFERROR(__xludf.DUMMYFUNCTION("""COMPUTED_VALUE"""),"Yes")</f>
        <v>Yes</v>
      </c>
      <c r="W674" s="5" t="str">
        <f>IFERROR(__xludf.DUMMYFUNCTION("""COMPUTED_VALUE"""),"Yes")</f>
        <v>Yes</v>
      </c>
      <c r="X674" s="5" t="str">
        <f>IFERROR(__xludf.DUMMYFUNCTION("""COMPUTED_VALUE"""),"Yes")</f>
        <v>Yes</v>
      </c>
      <c r="Y674" s="5" t="str">
        <f>IFERROR(__xludf.DUMMYFUNCTION("""COMPUTED_VALUE"""),"Yes")</f>
        <v>Yes</v>
      </c>
      <c r="Z674" s="5" t="str">
        <f>IFERROR(__xludf.DUMMYFUNCTION("""COMPUTED_VALUE"""),"Yes")</f>
        <v>Yes</v>
      </c>
      <c r="AA674" s="5" t="str">
        <f>IFERROR(__xludf.DUMMYFUNCTION("""COMPUTED_VALUE"""),"Yes")</f>
        <v>Yes</v>
      </c>
      <c r="AB674" s="5" t="str">
        <f>IFERROR(__xludf.DUMMYFUNCTION("""COMPUTED_VALUE"""),"Yes")</f>
        <v>Yes</v>
      </c>
      <c r="AC674" s="5" t="str">
        <f>IFERROR(__xludf.DUMMYFUNCTION("""COMPUTED_VALUE"""),"No")</f>
        <v>No</v>
      </c>
    </row>
    <row r="675">
      <c r="A675" s="5" t="str">
        <f>IFERROR(__xludf.DUMMYFUNCTION("""COMPUTED_VALUE"""),"GrandpashabetClover40")</f>
        <v>GrandpashabetClover40</v>
      </c>
      <c r="B67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5" s="5" t="str">
        <f>IFERROR(__xludf.DUMMYFUNCTION("""COMPUTED_VALUE"""),"Yes")</f>
        <v>Yes</v>
      </c>
      <c r="D675" s="5" t="str">
        <f>IFERROR(__xludf.DUMMYFUNCTION("""COMPUTED_VALUE"""),"Yes")</f>
        <v>Yes</v>
      </c>
      <c r="E675" s="5" t="str">
        <f>IFERROR(__xludf.DUMMYFUNCTION("""COMPUTED_VALUE"""),"Yes")</f>
        <v>Yes</v>
      </c>
      <c r="F675" s="5" t="str">
        <f>IFERROR(__xludf.DUMMYFUNCTION("""COMPUTED_VALUE"""),"Yes")</f>
        <v>Yes</v>
      </c>
      <c r="G675" s="5" t="str">
        <f>IFERROR(__xludf.DUMMYFUNCTION("""COMPUTED_VALUE"""),"Yes")</f>
        <v>Yes</v>
      </c>
      <c r="H675" s="5" t="str">
        <f>IFERROR(__xludf.DUMMYFUNCTION("""COMPUTED_VALUE"""),"Yes")</f>
        <v>Yes</v>
      </c>
      <c r="I675" s="5" t="str">
        <f>IFERROR(__xludf.DUMMYFUNCTION("""COMPUTED_VALUE"""),"Yes")</f>
        <v>Yes</v>
      </c>
      <c r="J675" s="5" t="str">
        <f>IFERROR(__xludf.DUMMYFUNCTION("""COMPUTED_VALUE"""),"Yes")</f>
        <v>Yes</v>
      </c>
      <c r="K675" s="5" t="str">
        <f>IFERROR(__xludf.DUMMYFUNCTION("""COMPUTED_VALUE"""),"Yes")</f>
        <v>Yes</v>
      </c>
      <c r="L675" s="5" t="str">
        <f>IFERROR(__xludf.DUMMYFUNCTION("""COMPUTED_VALUE"""),"Yes")</f>
        <v>Yes</v>
      </c>
      <c r="M675" s="5" t="str">
        <f>IFERROR(__xludf.DUMMYFUNCTION("""COMPUTED_VALUE"""),"Yes")</f>
        <v>Yes</v>
      </c>
      <c r="N675" s="5" t="str">
        <f>IFERROR(__xludf.DUMMYFUNCTION("""COMPUTED_VALUE"""),"Yes")</f>
        <v>Yes</v>
      </c>
      <c r="O675" s="5" t="str">
        <f>IFERROR(__xludf.DUMMYFUNCTION("""COMPUTED_VALUE"""),"Yes")</f>
        <v>Yes</v>
      </c>
      <c r="P675" s="5" t="str">
        <f>IFERROR(__xludf.DUMMYFUNCTION("""COMPUTED_VALUE"""),"Yes")</f>
        <v>Yes</v>
      </c>
      <c r="Q675" s="5" t="str">
        <f>IFERROR(__xludf.DUMMYFUNCTION("""COMPUTED_VALUE"""),"Yes")</f>
        <v>Yes</v>
      </c>
      <c r="R675" s="5" t="str">
        <f>IFERROR(__xludf.DUMMYFUNCTION("""COMPUTED_VALUE"""),"Yes")</f>
        <v>Yes</v>
      </c>
      <c r="S675" s="5" t="str">
        <f>IFERROR(__xludf.DUMMYFUNCTION("""COMPUTED_VALUE"""),"Yes")</f>
        <v>Yes</v>
      </c>
      <c r="T675" s="5" t="str">
        <f>IFERROR(__xludf.DUMMYFUNCTION("""COMPUTED_VALUE"""),"Yes")</f>
        <v>Yes</v>
      </c>
      <c r="U675" s="5" t="str">
        <f>IFERROR(__xludf.DUMMYFUNCTION("""COMPUTED_VALUE"""),"Yes")</f>
        <v>Yes</v>
      </c>
      <c r="V675" s="5" t="str">
        <f>IFERROR(__xludf.DUMMYFUNCTION("""COMPUTED_VALUE"""),"Yes")</f>
        <v>Yes</v>
      </c>
      <c r="W675" s="5" t="str">
        <f>IFERROR(__xludf.DUMMYFUNCTION("""COMPUTED_VALUE"""),"Yes")</f>
        <v>Yes</v>
      </c>
      <c r="X675" s="5" t="str">
        <f>IFERROR(__xludf.DUMMYFUNCTION("""COMPUTED_VALUE"""),"Yes")</f>
        <v>Yes</v>
      </c>
      <c r="Y675" s="5" t="str">
        <f>IFERROR(__xludf.DUMMYFUNCTION("""COMPUTED_VALUE"""),"Yes")</f>
        <v>Yes</v>
      </c>
      <c r="Z675" s="5" t="str">
        <f>IFERROR(__xludf.DUMMYFUNCTION("""COMPUTED_VALUE"""),"Yes")</f>
        <v>Yes</v>
      </c>
      <c r="AA675" s="5" t="str">
        <f>IFERROR(__xludf.DUMMYFUNCTION("""COMPUTED_VALUE"""),"Yes")</f>
        <v>Yes</v>
      </c>
      <c r="AB675" s="5" t="str">
        <f>IFERROR(__xludf.DUMMYFUNCTION("""COMPUTED_VALUE"""),"Yes")</f>
        <v>Yes</v>
      </c>
      <c r="AC675" s="5" t="str">
        <f>IFERROR(__xludf.DUMMYFUNCTION("""COMPUTED_VALUE"""),"No")</f>
        <v>No</v>
      </c>
    </row>
    <row r="676">
      <c r="A676" s="5" t="str">
        <f>IFERROR(__xludf.DUMMYFUNCTION("""COMPUTED_VALUE"""),"CroCasinoGoldenCrown")</f>
        <v>CroCasinoGoldenCrown</v>
      </c>
      <c r="B67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6" s="5" t="str">
        <f>IFERROR(__xludf.DUMMYFUNCTION("""COMPUTED_VALUE"""),"Yes")</f>
        <v>Yes</v>
      </c>
      <c r="D676" s="5" t="str">
        <f>IFERROR(__xludf.DUMMYFUNCTION("""COMPUTED_VALUE"""),"Yes")</f>
        <v>Yes</v>
      </c>
      <c r="E676" s="5" t="str">
        <f>IFERROR(__xludf.DUMMYFUNCTION("""COMPUTED_VALUE"""),"Yes")</f>
        <v>Yes</v>
      </c>
      <c r="F676" s="5" t="str">
        <f>IFERROR(__xludf.DUMMYFUNCTION("""COMPUTED_VALUE"""),"Yes")</f>
        <v>Yes</v>
      </c>
      <c r="G676" s="5" t="str">
        <f>IFERROR(__xludf.DUMMYFUNCTION("""COMPUTED_VALUE"""),"Yes")</f>
        <v>Yes</v>
      </c>
      <c r="H676" s="5" t="str">
        <f>IFERROR(__xludf.DUMMYFUNCTION("""COMPUTED_VALUE"""),"Yes")</f>
        <v>Yes</v>
      </c>
      <c r="I676" s="5" t="str">
        <f>IFERROR(__xludf.DUMMYFUNCTION("""COMPUTED_VALUE"""),"Yes")</f>
        <v>Yes</v>
      </c>
      <c r="J676" s="5" t="str">
        <f>IFERROR(__xludf.DUMMYFUNCTION("""COMPUTED_VALUE"""),"Yes")</f>
        <v>Yes</v>
      </c>
      <c r="K676" s="5" t="str">
        <f>IFERROR(__xludf.DUMMYFUNCTION("""COMPUTED_VALUE"""),"Yes")</f>
        <v>Yes</v>
      </c>
      <c r="L676" s="5" t="str">
        <f>IFERROR(__xludf.DUMMYFUNCTION("""COMPUTED_VALUE"""),"Yes")</f>
        <v>Yes</v>
      </c>
      <c r="M676" s="5" t="str">
        <f>IFERROR(__xludf.DUMMYFUNCTION("""COMPUTED_VALUE"""),"Yes")</f>
        <v>Yes</v>
      </c>
      <c r="N676" s="5" t="str">
        <f>IFERROR(__xludf.DUMMYFUNCTION("""COMPUTED_VALUE"""),"Yes")</f>
        <v>Yes</v>
      </c>
      <c r="O676" s="5" t="str">
        <f>IFERROR(__xludf.DUMMYFUNCTION("""COMPUTED_VALUE"""),"Yes")</f>
        <v>Yes</v>
      </c>
      <c r="P676" s="5" t="str">
        <f>IFERROR(__xludf.DUMMYFUNCTION("""COMPUTED_VALUE"""),"Yes")</f>
        <v>Yes</v>
      </c>
      <c r="Q676" s="5" t="str">
        <f>IFERROR(__xludf.DUMMYFUNCTION("""COMPUTED_VALUE"""),"Yes")</f>
        <v>Yes</v>
      </c>
      <c r="R676" s="5" t="str">
        <f>IFERROR(__xludf.DUMMYFUNCTION("""COMPUTED_VALUE"""),"Yes")</f>
        <v>Yes</v>
      </c>
      <c r="S676" s="5" t="str">
        <f>IFERROR(__xludf.DUMMYFUNCTION("""COMPUTED_VALUE"""),"Yes")</f>
        <v>Yes</v>
      </c>
      <c r="T676" s="5" t="str">
        <f>IFERROR(__xludf.DUMMYFUNCTION("""COMPUTED_VALUE"""),"Yes")</f>
        <v>Yes</v>
      </c>
      <c r="U676" s="5" t="str">
        <f>IFERROR(__xludf.DUMMYFUNCTION("""COMPUTED_VALUE"""),"Yes")</f>
        <v>Yes</v>
      </c>
      <c r="V676" s="5" t="str">
        <f>IFERROR(__xludf.DUMMYFUNCTION("""COMPUTED_VALUE"""),"Yes")</f>
        <v>Yes</v>
      </c>
      <c r="W676" s="5" t="str">
        <f>IFERROR(__xludf.DUMMYFUNCTION("""COMPUTED_VALUE"""),"Yes")</f>
        <v>Yes</v>
      </c>
      <c r="X676" s="5" t="str">
        <f>IFERROR(__xludf.DUMMYFUNCTION("""COMPUTED_VALUE"""),"Yes")</f>
        <v>Yes</v>
      </c>
      <c r="Y676" s="5" t="str">
        <f>IFERROR(__xludf.DUMMYFUNCTION("""COMPUTED_VALUE"""),"Yes")</f>
        <v>Yes</v>
      </c>
      <c r="Z676" s="5" t="str">
        <f>IFERROR(__xludf.DUMMYFUNCTION("""COMPUTED_VALUE"""),"Yes")</f>
        <v>Yes</v>
      </c>
      <c r="AA676" s="5" t="str">
        <f>IFERROR(__xludf.DUMMYFUNCTION("""COMPUTED_VALUE"""),"Yes")</f>
        <v>Yes</v>
      </c>
      <c r="AB676" s="5" t="str">
        <f>IFERROR(__xludf.DUMMYFUNCTION("""COMPUTED_VALUE"""),"Yes")</f>
        <v>Yes</v>
      </c>
      <c r="AC676" s="5" t="str">
        <f>IFERROR(__xludf.DUMMYFUNCTION("""COMPUTED_VALUE"""),"No")</f>
        <v>No</v>
      </c>
    </row>
    <row r="677">
      <c r="A677" s="5" t="str">
        <f>IFERROR(__xludf.DUMMYFUNCTION("""COMPUTED_VALUE"""),"WildShine40")</f>
        <v>WildShine40</v>
      </c>
      <c r="B67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7" s="5" t="str">
        <f>IFERROR(__xludf.DUMMYFUNCTION("""COMPUTED_VALUE"""),"Yes")</f>
        <v>Yes</v>
      </c>
      <c r="D677" s="5" t="str">
        <f>IFERROR(__xludf.DUMMYFUNCTION("""COMPUTED_VALUE"""),"Yes")</f>
        <v>Yes</v>
      </c>
      <c r="E677" s="5" t="str">
        <f>IFERROR(__xludf.DUMMYFUNCTION("""COMPUTED_VALUE"""),"Yes")</f>
        <v>Yes</v>
      </c>
      <c r="F677" s="5" t="str">
        <f>IFERROR(__xludf.DUMMYFUNCTION("""COMPUTED_VALUE"""),"Yes")</f>
        <v>Yes</v>
      </c>
      <c r="G677" s="5" t="str">
        <f>IFERROR(__xludf.DUMMYFUNCTION("""COMPUTED_VALUE"""),"Yes")</f>
        <v>Yes</v>
      </c>
      <c r="H677" s="5" t="str">
        <f>IFERROR(__xludf.DUMMYFUNCTION("""COMPUTED_VALUE"""),"Yes")</f>
        <v>Yes</v>
      </c>
      <c r="I677" s="5" t="str">
        <f>IFERROR(__xludf.DUMMYFUNCTION("""COMPUTED_VALUE"""),"Yes")</f>
        <v>Yes</v>
      </c>
      <c r="J677" s="5" t="str">
        <f>IFERROR(__xludf.DUMMYFUNCTION("""COMPUTED_VALUE"""),"Yes")</f>
        <v>Yes</v>
      </c>
      <c r="K677" s="5" t="str">
        <f>IFERROR(__xludf.DUMMYFUNCTION("""COMPUTED_VALUE"""),"Yes")</f>
        <v>Yes</v>
      </c>
      <c r="L677" s="5" t="str">
        <f>IFERROR(__xludf.DUMMYFUNCTION("""COMPUTED_VALUE"""),"Yes")</f>
        <v>Yes</v>
      </c>
      <c r="M677" s="5" t="str">
        <f>IFERROR(__xludf.DUMMYFUNCTION("""COMPUTED_VALUE"""),"Yes")</f>
        <v>Yes</v>
      </c>
      <c r="N677" s="5" t="str">
        <f>IFERROR(__xludf.DUMMYFUNCTION("""COMPUTED_VALUE"""),"Yes")</f>
        <v>Yes</v>
      </c>
      <c r="O677" s="5" t="str">
        <f>IFERROR(__xludf.DUMMYFUNCTION("""COMPUTED_VALUE"""),"Yes")</f>
        <v>Yes</v>
      </c>
      <c r="P677" s="5" t="str">
        <f>IFERROR(__xludf.DUMMYFUNCTION("""COMPUTED_VALUE"""),"Yes")</f>
        <v>Yes</v>
      </c>
      <c r="Q677" s="5" t="str">
        <f>IFERROR(__xludf.DUMMYFUNCTION("""COMPUTED_VALUE"""),"Yes")</f>
        <v>Yes</v>
      </c>
      <c r="R677" s="5" t="str">
        <f>IFERROR(__xludf.DUMMYFUNCTION("""COMPUTED_VALUE"""),"Yes")</f>
        <v>Yes</v>
      </c>
      <c r="S677" s="5" t="str">
        <f>IFERROR(__xludf.DUMMYFUNCTION("""COMPUTED_VALUE"""),"Yes")</f>
        <v>Yes</v>
      </c>
      <c r="T677" s="5" t="str">
        <f>IFERROR(__xludf.DUMMYFUNCTION("""COMPUTED_VALUE"""),"Yes")</f>
        <v>Yes</v>
      </c>
      <c r="U677" s="5" t="str">
        <f>IFERROR(__xludf.DUMMYFUNCTION("""COMPUTED_VALUE"""),"Yes")</f>
        <v>Yes</v>
      </c>
      <c r="V677" s="5" t="str">
        <f>IFERROR(__xludf.DUMMYFUNCTION("""COMPUTED_VALUE"""),"Yes")</f>
        <v>Yes</v>
      </c>
      <c r="W677" s="5" t="str">
        <f>IFERROR(__xludf.DUMMYFUNCTION("""COMPUTED_VALUE"""),"Yes")</f>
        <v>Yes</v>
      </c>
      <c r="X677" s="5" t="str">
        <f>IFERROR(__xludf.DUMMYFUNCTION("""COMPUTED_VALUE"""),"Yes")</f>
        <v>Yes</v>
      </c>
      <c r="Y677" s="5" t="str">
        <f>IFERROR(__xludf.DUMMYFUNCTION("""COMPUTED_VALUE"""),"Yes")</f>
        <v>Yes</v>
      </c>
      <c r="Z677" s="5" t="str">
        <f>IFERROR(__xludf.DUMMYFUNCTION("""COMPUTED_VALUE"""),"Yes")</f>
        <v>Yes</v>
      </c>
      <c r="AA677" s="5" t="str">
        <f>IFERROR(__xludf.DUMMYFUNCTION("""COMPUTED_VALUE"""),"Yes")</f>
        <v>Yes</v>
      </c>
      <c r="AB677" s="5" t="str">
        <f>IFERROR(__xludf.DUMMYFUNCTION("""COMPUTED_VALUE"""),"Yes")</f>
        <v>Yes</v>
      </c>
      <c r="AC677" s="5" t="str">
        <f>IFERROR(__xludf.DUMMYFUNCTION("""COMPUTED_VALUE"""),"No")</f>
        <v>No</v>
      </c>
    </row>
    <row r="678">
      <c r="A678" s="5" t="str">
        <f>IFERROR(__xludf.DUMMYFUNCTION("""COMPUTED_VALUE"""),"UnicornHotFireballs")</f>
        <v>UnicornHotFireballs</v>
      </c>
      <c r="B678" s="5" t="str">
        <f>IFERROR(__xludf.DUMMYFUNCTION("""COMPUTED_VALUE"""),"English(""eng"")")</f>
        <v>English("eng")</v>
      </c>
      <c r="C678" s="5" t="str">
        <f>IFERROR(__xludf.DUMMYFUNCTION("""COMPUTED_VALUE"""),"Yes")</f>
        <v>Yes</v>
      </c>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row>
    <row r="679">
      <c r="A679" s="5" t="str">
        <f>IFERROR(__xludf.DUMMYFUNCTION("""COMPUTED_VALUE"""),"UnicornThreeReelDice")</f>
        <v>UnicornThreeReelDice</v>
      </c>
      <c r="B679" s="5" t="str">
        <f>IFERROR(__xludf.DUMMYFUNCTION("""COMPUTED_VALUE"""),"English(""eng"")")</f>
        <v>English("eng")</v>
      </c>
      <c r="C679" s="5" t="str">
        <f>IFERROR(__xludf.DUMMYFUNCTION("""COMPUTED_VALUE"""),"Yes")</f>
        <v>Yes</v>
      </c>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row>
    <row r="680">
      <c r="A680" s="5" t="str">
        <f>IFERROR(__xludf.DUMMYFUNCTION("""COMPUTED_VALUE"""),"UnicornTropicalTreasure")</f>
        <v>UnicornTropicalTreasure</v>
      </c>
      <c r="B680" s="5" t="str">
        <f>IFERROR(__xludf.DUMMYFUNCTION("""COMPUTED_VALUE"""),"English(""eng"")")</f>
        <v>English("eng")</v>
      </c>
      <c r="C680" s="5" t="str">
        <f>IFERROR(__xludf.DUMMYFUNCTION("""COMPUTED_VALUE"""),"Yes")</f>
        <v>Yes</v>
      </c>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row>
    <row r="681">
      <c r="A681" s="5" t="str">
        <f>IFERROR(__xludf.DUMMYFUNCTION("""COMPUTED_VALUE"""),"UnicornGoldenGateFruit")</f>
        <v>UnicornGoldenGateFruit</v>
      </c>
      <c r="B681" s="5" t="str">
        <f>IFERROR(__xludf.DUMMYFUNCTION("""COMPUTED_VALUE"""),"English(""eng"")")</f>
        <v>English("eng")</v>
      </c>
      <c r="C681" s="5" t="str">
        <f>IFERROR(__xludf.DUMMYFUNCTION("""COMPUTED_VALUE"""),"Yes")</f>
        <v>Yes</v>
      </c>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row>
    <row r="682">
      <c r="A682" s="5" t="str">
        <f>IFERROR(__xludf.DUMMYFUNCTION("""COMPUTED_VALUE"""),"UnicornMoneyStandardJackpot")</f>
        <v>UnicornMoneyStandardJackpot</v>
      </c>
      <c r="B682" s="5" t="str">
        <f>IFERROR(__xludf.DUMMYFUNCTION("""COMPUTED_VALUE"""),"English(""eng"")")</f>
        <v>English("eng")</v>
      </c>
      <c r="C682" s="5" t="str">
        <f>IFERROR(__xludf.DUMMYFUNCTION("""COMPUTED_VALUE"""),"Yes")</f>
        <v>Yes</v>
      </c>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row>
    <row r="683">
      <c r="A683" s="5" t="str">
        <f>IFERROR(__xludf.DUMMYFUNCTION("""COMPUTED_VALUE"""),"UnicornShinyFireballs")</f>
        <v>UnicornShinyFireballs</v>
      </c>
      <c r="B683" s="5" t="str">
        <f>IFERROR(__xludf.DUMMYFUNCTION("""COMPUTED_VALUE"""),"English(""eng"")")</f>
        <v>English("eng")</v>
      </c>
      <c r="C683" s="5" t="str">
        <f>IFERROR(__xludf.DUMMYFUNCTION("""COMPUTED_VALUE"""),"Yes")</f>
        <v>Yes</v>
      </c>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row>
    <row r="684">
      <c r="A684" s="5" t="str">
        <f>IFERROR(__xludf.DUMMYFUNCTION("""COMPUTED_VALUE"""),"UnicornHotEightyOne")</f>
        <v>UnicornHotEightyOne</v>
      </c>
      <c r="B684" s="5" t="str">
        <f>IFERROR(__xludf.DUMMYFUNCTION("""COMPUTED_VALUE"""),"English(""eng"")")</f>
        <v>English("eng")</v>
      </c>
      <c r="C684" s="5" t="str">
        <f>IFERROR(__xludf.DUMMYFUNCTION("""COMPUTED_VALUE"""),"Yes")</f>
        <v>Yes</v>
      </c>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row>
    <row r="685">
      <c r="A685" s="5" t="str">
        <f>IFERROR(__xludf.DUMMYFUNCTION("""COMPUTED_VALUE"""),"UnicornHotFiredice")</f>
        <v>UnicornHotFiredice</v>
      </c>
      <c r="B685" s="5" t="str">
        <f>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C685" s="5" t="str">
        <f>IFERROR(__xludf.DUMMYFUNCTION("""COMPUTED_VALUE"""),"Yes")</f>
        <v>Yes</v>
      </c>
      <c r="D685" s="5" t="str">
        <f>IFERROR(__xludf.DUMMYFUNCTION("""COMPUTED_VALUE"""),"Yes")</f>
        <v>Yes</v>
      </c>
      <c r="E685" s="5" t="str">
        <f>IFERROR(__xludf.DUMMYFUNCTION("""COMPUTED_VALUE"""),"Yes")</f>
        <v>Yes</v>
      </c>
      <c r="F685" s="5" t="str">
        <f>IFERROR(__xludf.DUMMYFUNCTION("""COMPUTED_VALUE"""),"No")</f>
        <v>No</v>
      </c>
      <c r="G685" s="5" t="str">
        <f>IFERROR(__xludf.DUMMYFUNCTION("""COMPUTED_VALUE"""),"Yes")</f>
        <v>Yes</v>
      </c>
      <c r="H685" s="5" t="str">
        <f>IFERROR(__xludf.DUMMYFUNCTION("""COMPUTED_VALUE"""),"No")</f>
        <v>No</v>
      </c>
      <c r="I685" s="5" t="str">
        <f>IFERROR(__xludf.DUMMYFUNCTION("""COMPUTED_VALUE"""),"No")</f>
        <v>No</v>
      </c>
      <c r="J685" s="5" t="str">
        <f>IFERROR(__xludf.DUMMYFUNCTION("""COMPUTED_VALUE"""),"No")</f>
        <v>No</v>
      </c>
      <c r="K685" s="5" t="str">
        <f>IFERROR(__xludf.DUMMYFUNCTION("""COMPUTED_VALUE"""),"Yes")</f>
        <v>Yes</v>
      </c>
      <c r="L685" s="5" t="str">
        <f>IFERROR(__xludf.DUMMYFUNCTION("""COMPUTED_VALUE"""),"Yes")</f>
        <v>Yes</v>
      </c>
      <c r="M685" s="5" t="str">
        <f>IFERROR(__xludf.DUMMYFUNCTION("""COMPUTED_VALUE"""),"Yes")</f>
        <v>Yes</v>
      </c>
      <c r="N685" s="5" t="str">
        <f>IFERROR(__xludf.DUMMYFUNCTION("""COMPUTED_VALUE"""),"Yes")</f>
        <v>Yes</v>
      </c>
      <c r="O685" s="5" t="str">
        <f>IFERROR(__xludf.DUMMYFUNCTION("""COMPUTED_VALUE"""),"Yes")</f>
        <v>Yes</v>
      </c>
      <c r="P685" s="5" t="str">
        <f>IFERROR(__xludf.DUMMYFUNCTION("""COMPUTED_VALUE"""),"Yes")</f>
        <v>Yes</v>
      </c>
      <c r="Q685" s="5" t="str">
        <f>IFERROR(__xludf.DUMMYFUNCTION("""COMPUTED_VALUE"""),"Yes")</f>
        <v>Yes</v>
      </c>
      <c r="R685" s="5" t="str">
        <f>IFERROR(__xludf.DUMMYFUNCTION("""COMPUTED_VALUE"""),"No")</f>
        <v>No</v>
      </c>
      <c r="S685" s="5" t="str">
        <f>IFERROR(__xludf.DUMMYFUNCTION("""COMPUTED_VALUE"""),"No")</f>
        <v>No</v>
      </c>
      <c r="T685" s="5" t="str">
        <f>IFERROR(__xludf.DUMMYFUNCTION("""COMPUTED_VALUE"""),"No")</f>
        <v>No</v>
      </c>
      <c r="U685" s="5" t="str">
        <f>IFERROR(__xludf.DUMMYFUNCTION("""COMPUTED_VALUE"""),"No")</f>
        <v>No</v>
      </c>
      <c r="V685" s="5" t="str">
        <f>IFERROR(__xludf.DUMMYFUNCTION("""COMPUTED_VALUE"""),"No")</f>
        <v>No</v>
      </c>
      <c r="W685" s="5" t="str">
        <f>IFERROR(__xludf.DUMMYFUNCTION("""COMPUTED_VALUE"""),"No")</f>
        <v>No</v>
      </c>
      <c r="X685" s="5" t="str">
        <f>IFERROR(__xludf.DUMMYFUNCTION("""COMPUTED_VALUE"""),"Yes")</f>
        <v>Yes</v>
      </c>
      <c r="Y685" s="5" t="str">
        <f>IFERROR(__xludf.DUMMYFUNCTION("""COMPUTED_VALUE"""),"No")</f>
        <v>No</v>
      </c>
      <c r="Z685" s="5" t="str">
        <f>IFERROR(__xludf.DUMMYFUNCTION("""COMPUTED_VALUE"""),"No")</f>
        <v>No</v>
      </c>
      <c r="AA685" s="5" t="str">
        <f>IFERROR(__xludf.DUMMYFUNCTION("""COMPUTED_VALUE"""),"No")</f>
        <v>No</v>
      </c>
      <c r="AB685" s="5" t="str">
        <f>IFERROR(__xludf.DUMMYFUNCTION("""COMPUTED_VALUE"""),"Yes")</f>
        <v>Yes</v>
      </c>
      <c r="AC685" s="5" t="str">
        <f>IFERROR(__xludf.DUMMYFUNCTION("""COMPUTED_VALUE"""),"Yes")</f>
        <v>Yes</v>
      </c>
    </row>
    <row r="686">
      <c r="A686" s="5" t="str">
        <f>IFERROR(__xludf.DUMMYFUNCTION("""COMPUTED_VALUE"""),"UnicornMysticTreasure")</f>
        <v>UnicornMysticTreasure</v>
      </c>
      <c r="B686" s="5" t="str">
        <f>IFERROR(__xludf.DUMMYFUNCTION("""COMPUTED_VALUE"""),"English(""eng"")")</f>
        <v>English("eng")</v>
      </c>
      <c r="C686" s="5" t="str">
        <f>IFERROR(__xludf.DUMMYFUNCTION("""COMPUTED_VALUE"""),"Yes")</f>
        <v>Yes</v>
      </c>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row>
    <row r="687">
      <c r="A687" s="5" t="str">
        <f>IFERROR(__xludf.DUMMYFUNCTION("""COMPUTED_VALUE"""),"UnicornGoldenGateDice")</f>
        <v>UnicornGoldenGateDice</v>
      </c>
      <c r="B687" s="5" t="str">
        <f>IFERROR(__xludf.DUMMYFUNCTION("""COMPUTED_VALUE"""),"English(""eng"")")</f>
        <v>English("eng")</v>
      </c>
      <c r="C687" s="5" t="str">
        <f>IFERROR(__xludf.DUMMYFUNCTION("""COMPUTED_VALUE"""),"Yes")</f>
        <v>Yes</v>
      </c>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row>
    <row r="688">
      <c r="A688" s="5" t="str">
        <f>IFERROR(__xludf.DUMMYFUNCTION("""COMPUTED_VALUE"""),"UnicornBarrelsOfRiches")</f>
        <v>UnicornBarrelsOfRiches</v>
      </c>
      <c r="B688" s="5" t="str">
        <f>IFERROR(__xludf.DUMMYFUNCTION("""COMPUTED_VALUE"""),"English(""eng"")")</f>
        <v>English("eng")</v>
      </c>
      <c r="C688" s="5" t="str">
        <f>IFERROR(__xludf.DUMMYFUNCTION("""COMPUTED_VALUE"""),"Yes")</f>
        <v>Yes</v>
      </c>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row>
    <row r="689">
      <c r="A689" s="5" t="str">
        <f>IFERROR(__xludf.DUMMYFUNCTION("""COMPUTED_VALUE"""),"RedstoneFruitFire")</f>
        <v>RedstoneFruitFire</v>
      </c>
      <c r="B68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89" s="5" t="str">
        <f>IFERROR(__xludf.DUMMYFUNCTION("""COMPUTED_VALUE"""),"Yes")</f>
        <v>Yes</v>
      </c>
      <c r="D689" s="5" t="str">
        <f>IFERROR(__xludf.DUMMYFUNCTION("""COMPUTED_VALUE"""),"Yes")</f>
        <v>Yes</v>
      </c>
      <c r="E689" s="5" t="str">
        <f>IFERROR(__xludf.DUMMYFUNCTION("""COMPUTED_VALUE"""),"Yes")</f>
        <v>Yes</v>
      </c>
      <c r="F689" s="5" t="str">
        <f>IFERROR(__xludf.DUMMYFUNCTION("""COMPUTED_VALUE"""),"Yes")</f>
        <v>Yes</v>
      </c>
      <c r="G689" s="5" t="str">
        <f>IFERROR(__xludf.DUMMYFUNCTION("""COMPUTED_VALUE"""),"Yes")</f>
        <v>Yes</v>
      </c>
      <c r="H689" s="5" t="str">
        <f>IFERROR(__xludf.DUMMYFUNCTION("""COMPUTED_VALUE"""),"Yes")</f>
        <v>Yes</v>
      </c>
      <c r="I689" s="5" t="str">
        <f>IFERROR(__xludf.DUMMYFUNCTION("""COMPUTED_VALUE"""),"Yes")</f>
        <v>Yes</v>
      </c>
      <c r="J689" s="5" t="str">
        <f>IFERROR(__xludf.DUMMYFUNCTION("""COMPUTED_VALUE"""),"Yes")</f>
        <v>Yes</v>
      </c>
      <c r="K689" s="5" t="str">
        <f>IFERROR(__xludf.DUMMYFUNCTION("""COMPUTED_VALUE"""),"Yes")</f>
        <v>Yes</v>
      </c>
      <c r="L689" s="5" t="str">
        <f>IFERROR(__xludf.DUMMYFUNCTION("""COMPUTED_VALUE"""),"Yes")</f>
        <v>Yes</v>
      </c>
      <c r="M689" s="5" t="str">
        <f>IFERROR(__xludf.DUMMYFUNCTION("""COMPUTED_VALUE"""),"Yes")</f>
        <v>Yes</v>
      </c>
      <c r="N689" s="5" t="str">
        <f>IFERROR(__xludf.DUMMYFUNCTION("""COMPUTED_VALUE"""),"Yes")</f>
        <v>Yes</v>
      </c>
      <c r="O689" s="5" t="str">
        <f>IFERROR(__xludf.DUMMYFUNCTION("""COMPUTED_VALUE"""),"Yes")</f>
        <v>Yes</v>
      </c>
      <c r="P689" s="5" t="str">
        <f>IFERROR(__xludf.DUMMYFUNCTION("""COMPUTED_VALUE"""),"Yes")</f>
        <v>Yes</v>
      </c>
      <c r="Q689" s="5" t="str">
        <f>IFERROR(__xludf.DUMMYFUNCTION("""COMPUTED_VALUE"""),"Yes")</f>
        <v>Yes</v>
      </c>
      <c r="R689" s="5" t="str">
        <f>IFERROR(__xludf.DUMMYFUNCTION("""COMPUTED_VALUE"""),"No")</f>
        <v>No</v>
      </c>
      <c r="S689" s="5" t="str">
        <f>IFERROR(__xludf.DUMMYFUNCTION("""COMPUTED_VALUE"""),"No")</f>
        <v>No</v>
      </c>
      <c r="T689" s="5" t="str">
        <f>IFERROR(__xludf.DUMMYFUNCTION("""COMPUTED_VALUE"""),"No")</f>
        <v>No</v>
      </c>
      <c r="U689" s="5" t="str">
        <f>IFERROR(__xludf.DUMMYFUNCTION("""COMPUTED_VALUE"""),"No")</f>
        <v>No</v>
      </c>
      <c r="V689" s="5" t="str">
        <f>IFERROR(__xludf.DUMMYFUNCTION("""COMPUTED_VALUE"""),"No")</f>
        <v>No</v>
      </c>
      <c r="W689" s="5" t="str">
        <f>IFERROR(__xludf.DUMMYFUNCTION("""COMPUTED_VALUE"""),"No")</f>
        <v>No</v>
      </c>
      <c r="X689" s="5" t="str">
        <f>IFERROR(__xludf.DUMMYFUNCTION("""COMPUTED_VALUE"""),"Yes")</f>
        <v>Yes</v>
      </c>
      <c r="Y689" s="5" t="str">
        <f>IFERROR(__xludf.DUMMYFUNCTION("""COMPUTED_VALUE"""),"No")</f>
        <v>No</v>
      </c>
      <c r="Z689" s="5" t="str">
        <f>IFERROR(__xludf.DUMMYFUNCTION("""COMPUTED_VALUE"""),"No")</f>
        <v>No</v>
      </c>
      <c r="AA689" s="5" t="str">
        <f>IFERROR(__xludf.DUMMYFUNCTION("""COMPUTED_VALUE"""),"No")</f>
        <v>No</v>
      </c>
      <c r="AB689" s="5" t="str">
        <f>IFERROR(__xludf.DUMMYFUNCTION("""COMPUTED_VALUE"""),"Yes")</f>
        <v>Yes</v>
      </c>
      <c r="AC689" s="5" t="str">
        <f>IFERROR(__xludf.DUMMYFUNCTION("""COMPUTED_VALUE"""),"No")</f>
        <v>No</v>
      </c>
    </row>
    <row r="690">
      <c r="A690" s="5" t="str">
        <f>IFERROR(__xludf.DUMMYFUNCTION("""COMPUTED_VALUE"""),"RedstoneXCloverFire")</f>
        <v>RedstoneXCloverFire</v>
      </c>
      <c r="B69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0" s="5" t="str">
        <f>IFERROR(__xludf.DUMMYFUNCTION("""COMPUTED_VALUE"""),"Yes")</f>
        <v>Yes</v>
      </c>
      <c r="D690" s="5" t="str">
        <f>IFERROR(__xludf.DUMMYFUNCTION("""COMPUTED_VALUE"""),"Yes")</f>
        <v>Yes</v>
      </c>
      <c r="E690" s="5" t="str">
        <f>IFERROR(__xludf.DUMMYFUNCTION("""COMPUTED_VALUE"""),"No")</f>
        <v>No</v>
      </c>
      <c r="F690" s="5" t="str">
        <f>IFERROR(__xludf.DUMMYFUNCTION("""COMPUTED_VALUE"""),"Yes")</f>
        <v>Yes</v>
      </c>
      <c r="G690" s="5" t="str">
        <f>IFERROR(__xludf.DUMMYFUNCTION("""COMPUTED_VALUE"""),"Yes")</f>
        <v>Yes</v>
      </c>
      <c r="H690" s="5" t="str">
        <f>IFERROR(__xludf.DUMMYFUNCTION("""COMPUTED_VALUE"""),"Yes")</f>
        <v>Yes</v>
      </c>
      <c r="I690" s="5" t="str">
        <f>IFERROR(__xludf.DUMMYFUNCTION("""COMPUTED_VALUE"""),"Yes")</f>
        <v>Yes</v>
      </c>
      <c r="J690" s="5" t="str">
        <f>IFERROR(__xludf.DUMMYFUNCTION("""COMPUTED_VALUE"""),"Yes")</f>
        <v>Yes</v>
      </c>
      <c r="K690" s="5" t="str">
        <f>IFERROR(__xludf.DUMMYFUNCTION("""COMPUTED_VALUE"""),"Yes")</f>
        <v>Yes</v>
      </c>
      <c r="L690" s="5" t="str">
        <f>IFERROR(__xludf.DUMMYFUNCTION("""COMPUTED_VALUE"""),"Yes")</f>
        <v>Yes</v>
      </c>
      <c r="M690" s="5" t="str">
        <f>IFERROR(__xludf.DUMMYFUNCTION("""COMPUTED_VALUE"""),"Yes")</f>
        <v>Yes</v>
      </c>
      <c r="N690" s="5" t="str">
        <f>IFERROR(__xludf.DUMMYFUNCTION("""COMPUTED_VALUE"""),"Yes")</f>
        <v>Yes</v>
      </c>
      <c r="O690" s="5" t="str">
        <f>IFERROR(__xludf.DUMMYFUNCTION("""COMPUTED_VALUE"""),"Yes")</f>
        <v>Yes</v>
      </c>
      <c r="P690" s="5" t="str">
        <f>IFERROR(__xludf.DUMMYFUNCTION("""COMPUTED_VALUE"""),"Yes")</f>
        <v>Yes</v>
      </c>
      <c r="Q690" s="5" t="str">
        <f>IFERROR(__xludf.DUMMYFUNCTION("""COMPUTED_VALUE"""),"Yes")</f>
        <v>Yes</v>
      </c>
      <c r="R690" s="5" t="str">
        <f>IFERROR(__xludf.DUMMYFUNCTION("""COMPUTED_VALUE"""),"No")</f>
        <v>No</v>
      </c>
      <c r="S690" s="5" t="str">
        <f>IFERROR(__xludf.DUMMYFUNCTION("""COMPUTED_VALUE"""),"No")</f>
        <v>No</v>
      </c>
      <c r="T690" s="5" t="str">
        <f>IFERROR(__xludf.DUMMYFUNCTION("""COMPUTED_VALUE"""),"No")</f>
        <v>No</v>
      </c>
      <c r="U690" s="5" t="str">
        <f>IFERROR(__xludf.DUMMYFUNCTION("""COMPUTED_VALUE"""),"No")</f>
        <v>No</v>
      </c>
      <c r="V690" s="5" t="str">
        <f>IFERROR(__xludf.DUMMYFUNCTION("""COMPUTED_VALUE"""),"No")</f>
        <v>No</v>
      </c>
      <c r="W690" s="5" t="str">
        <f>IFERROR(__xludf.DUMMYFUNCTION("""COMPUTED_VALUE"""),"No")</f>
        <v>No</v>
      </c>
      <c r="X690" s="5" t="str">
        <f>IFERROR(__xludf.DUMMYFUNCTION("""COMPUTED_VALUE"""),"Yes")</f>
        <v>Yes</v>
      </c>
      <c r="Y690" s="5" t="str">
        <f>IFERROR(__xludf.DUMMYFUNCTION("""COMPUTED_VALUE"""),"No")</f>
        <v>No</v>
      </c>
      <c r="Z690" s="5" t="str">
        <f>IFERROR(__xludf.DUMMYFUNCTION("""COMPUTED_VALUE"""),"No")</f>
        <v>No</v>
      </c>
      <c r="AA690" s="5" t="str">
        <f>IFERROR(__xludf.DUMMYFUNCTION("""COMPUTED_VALUE"""),"No")</f>
        <v>No</v>
      </c>
      <c r="AB690" s="5" t="str">
        <f>IFERROR(__xludf.DUMMYFUNCTION("""COMPUTED_VALUE"""),"Yes")</f>
        <v>Yes</v>
      </c>
      <c r="AC690" s="5" t="str">
        <f>IFERROR(__xludf.DUMMYFUNCTION("""COMPUTED_VALUE"""),"No")</f>
        <v>No</v>
      </c>
    </row>
    <row r="691">
      <c r="A691" s="5" t="str">
        <f>IFERROR(__xludf.DUMMYFUNCTION("""COMPUTED_VALUE"""),"Redstone5HeartDeluxe")</f>
        <v>Redstone5HeartDeluxe</v>
      </c>
      <c r="B69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1" s="5" t="str">
        <f>IFERROR(__xludf.DUMMYFUNCTION("""COMPUTED_VALUE"""),"Yes")</f>
        <v>Yes</v>
      </c>
      <c r="D691" s="5" t="str">
        <f>IFERROR(__xludf.DUMMYFUNCTION("""COMPUTED_VALUE"""),"Yes")</f>
        <v>Yes</v>
      </c>
      <c r="E691" s="5" t="str">
        <f>IFERROR(__xludf.DUMMYFUNCTION("""COMPUTED_VALUE"""),"No")</f>
        <v>No</v>
      </c>
      <c r="F691" s="5" t="str">
        <f>IFERROR(__xludf.DUMMYFUNCTION("""COMPUTED_VALUE"""),"Yes")</f>
        <v>Yes</v>
      </c>
      <c r="G691" s="5" t="str">
        <f>IFERROR(__xludf.DUMMYFUNCTION("""COMPUTED_VALUE"""),"Yes")</f>
        <v>Yes</v>
      </c>
      <c r="H691" s="5" t="str">
        <f>IFERROR(__xludf.DUMMYFUNCTION("""COMPUTED_VALUE"""),"Yes")</f>
        <v>Yes</v>
      </c>
      <c r="I691" s="5" t="str">
        <f>IFERROR(__xludf.DUMMYFUNCTION("""COMPUTED_VALUE"""),"Yes")</f>
        <v>Yes</v>
      </c>
      <c r="J691" s="5" t="str">
        <f>IFERROR(__xludf.DUMMYFUNCTION("""COMPUTED_VALUE"""),"Yes")</f>
        <v>Yes</v>
      </c>
      <c r="K691" s="5" t="str">
        <f>IFERROR(__xludf.DUMMYFUNCTION("""COMPUTED_VALUE"""),"Yes")</f>
        <v>Yes</v>
      </c>
      <c r="L691" s="5" t="str">
        <f>IFERROR(__xludf.DUMMYFUNCTION("""COMPUTED_VALUE"""),"Yes")</f>
        <v>Yes</v>
      </c>
      <c r="M691" s="5" t="str">
        <f>IFERROR(__xludf.DUMMYFUNCTION("""COMPUTED_VALUE"""),"Yes")</f>
        <v>Yes</v>
      </c>
      <c r="N691" s="5" t="str">
        <f>IFERROR(__xludf.DUMMYFUNCTION("""COMPUTED_VALUE"""),"Yes")</f>
        <v>Yes</v>
      </c>
      <c r="O691" s="5" t="str">
        <f>IFERROR(__xludf.DUMMYFUNCTION("""COMPUTED_VALUE"""),"Yes")</f>
        <v>Yes</v>
      </c>
      <c r="P691" s="5" t="str">
        <f>IFERROR(__xludf.DUMMYFUNCTION("""COMPUTED_VALUE"""),"Yes")</f>
        <v>Yes</v>
      </c>
      <c r="Q691" s="5" t="str">
        <f>IFERROR(__xludf.DUMMYFUNCTION("""COMPUTED_VALUE"""),"Yes")</f>
        <v>Yes</v>
      </c>
      <c r="R691" s="5" t="str">
        <f>IFERROR(__xludf.DUMMYFUNCTION("""COMPUTED_VALUE"""),"No")</f>
        <v>No</v>
      </c>
      <c r="S691" s="5" t="str">
        <f>IFERROR(__xludf.DUMMYFUNCTION("""COMPUTED_VALUE"""),"No")</f>
        <v>No</v>
      </c>
      <c r="T691" s="5" t="str">
        <f>IFERROR(__xludf.DUMMYFUNCTION("""COMPUTED_VALUE"""),"No")</f>
        <v>No</v>
      </c>
      <c r="U691" s="5" t="str">
        <f>IFERROR(__xludf.DUMMYFUNCTION("""COMPUTED_VALUE"""),"No")</f>
        <v>No</v>
      </c>
      <c r="V691" s="5" t="str">
        <f>IFERROR(__xludf.DUMMYFUNCTION("""COMPUTED_VALUE"""),"No")</f>
        <v>No</v>
      </c>
      <c r="W691" s="5" t="str">
        <f>IFERROR(__xludf.DUMMYFUNCTION("""COMPUTED_VALUE"""),"No")</f>
        <v>No</v>
      </c>
      <c r="X691" s="5" t="str">
        <f>IFERROR(__xludf.DUMMYFUNCTION("""COMPUTED_VALUE"""),"Yes")</f>
        <v>Yes</v>
      </c>
      <c r="Y691" s="5" t="str">
        <f>IFERROR(__xludf.DUMMYFUNCTION("""COMPUTED_VALUE"""),"No")</f>
        <v>No</v>
      </c>
      <c r="Z691" s="5" t="str">
        <f>IFERROR(__xludf.DUMMYFUNCTION("""COMPUTED_VALUE"""),"No")</f>
        <v>No</v>
      </c>
      <c r="AA691" s="5" t="str">
        <f>IFERROR(__xludf.DUMMYFUNCTION("""COMPUTED_VALUE"""),"No")</f>
        <v>No</v>
      </c>
      <c r="AB691" s="5" t="str">
        <f>IFERROR(__xludf.DUMMYFUNCTION("""COMPUTED_VALUE"""),"Yes")</f>
        <v>Yes</v>
      </c>
      <c r="AC691" s="5" t="str">
        <f>IFERROR(__xludf.DUMMYFUNCTION("""COMPUTED_VALUE"""),"No")</f>
        <v>No</v>
      </c>
    </row>
    <row r="692">
      <c r="A692" s="5" t="str">
        <f>IFERROR(__xludf.DUMMYFUNCTION("""COMPUTED_VALUE"""),"RedstoneCloverDeluxe2X")</f>
        <v>RedstoneCloverDeluxe2X</v>
      </c>
      <c r="B692"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2" s="5" t="str">
        <f>IFERROR(__xludf.DUMMYFUNCTION("""COMPUTED_VALUE"""),"Yes")</f>
        <v>Yes</v>
      </c>
      <c r="D692" s="5" t="str">
        <f>IFERROR(__xludf.DUMMYFUNCTION("""COMPUTED_VALUE"""),"Yes")</f>
        <v>Yes</v>
      </c>
      <c r="E692" s="5" t="str">
        <f>IFERROR(__xludf.DUMMYFUNCTION("""COMPUTED_VALUE"""),"Yes")</f>
        <v>Yes</v>
      </c>
      <c r="F692" s="5" t="str">
        <f>IFERROR(__xludf.DUMMYFUNCTION("""COMPUTED_VALUE"""),"Yes")</f>
        <v>Yes</v>
      </c>
      <c r="G692" s="5" t="str">
        <f>IFERROR(__xludf.DUMMYFUNCTION("""COMPUTED_VALUE"""),"Yes")</f>
        <v>Yes</v>
      </c>
      <c r="H692" s="5" t="str">
        <f>IFERROR(__xludf.DUMMYFUNCTION("""COMPUTED_VALUE"""),"Yes")</f>
        <v>Yes</v>
      </c>
      <c r="I692" s="5" t="str">
        <f>IFERROR(__xludf.DUMMYFUNCTION("""COMPUTED_VALUE"""),"Yes")</f>
        <v>Yes</v>
      </c>
      <c r="J692" s="5" t="str">
        <f>IFERROR(__xludf.DUMMYFUNCTION("""COMPUTED_VALUE"""),"Yes")</f>
        <v>Yes</v>
      </c>
      <c r="K692" s="5" t="str">
        <f>IFERROR(__xludf.DUMMYFUNCTION("""COMPUTED_VALUE"""),"Yes")</f>
        <v>Yes</v>
      </c>
      <c r="L692" s="5" t="str">
        <f>IFERROR(__xludf.DUMMYFUNCTION("""COMPUTED_VALUE"""),"Yes")</f>
        <v>Yes</v>
      </c>
      <c r="M692" s="5" t="str">
        <f>IFERROR(__xludf.DUMMYFUNCTION("""COMPUTED_VALUE"""),"Yes")</f>
        <v>Yes</v>
      </c>
      <c r="N692" s="5" t="str">
        <f>IFERROR(__xludf.DUMMYFUNCTION("""COMPUTED_VALUE"""),"Yes")</f>
        <v>Yes</v>
      </c>
      <c r="O692" s="5" t="str">
        <f>IFERROR(__xludf.DUMMYFUNCTION("""COMPUTED_VALUE"""),"Yes")</f>
        <v>Yes</v>
      </c>
      <c r="P692" s="5" t="str">
        <f>IFERROR(__xludf.DUMMYFUNCTION("""COMPUTED_VALUE"""),"Yes")</f>
        <v>Yes</v>
      </c>
      <c r="Q692" s="5" t="str">
        <f>IFERROR(__xludf.DUMMYFUNCTION("""COMPUTED_VALUE"""),"Yes")</f>
        <v>Yes</v>
      </c>
      <c r="R692" s="5" t="str">
        <f>IFERROR(__xludf.DUMMYFUNCTION("""COMPUTED_VALUE"""),"No")</f>
        <v>No</v>
      </c>
      <c r="S692" s="5" t="str">
        <f>IFERROR(__xludf.DUMMYFUNCTION("""COMPUTED_VALUE"""),"No")</f>
        <v>No</v>
      </c>
      <c r="T692" s="5" t="str">
        <f>IFERROR(__xludf.DUMMYFUNCTION("""COMPUTED_VALUE"""),"No")</f>
        <v>No</v>
      </c>
      <c r="U692" s="5" t="str">
        <f>IFERROR(__xludf.DUMMYFUNCTION("""COMPUTED_VALUE"""),"No")</f>
        <v>No</v>
      </c>
      <c r="V692" s="5" t="str">
        <f>IFERROR(__xludf.DUMMYFUNCTION("""COMPUTED_VALUE"""),"No")</f>
        <v>No</v>
      </c>
      <c r="W692" s="5" t="str">
        <f>IFERROR(__xludf.DUMMYFUNCTION("""COMPUTED_VALUE"""),"No")</f>
        <v>No</v>
      </c>
      <c r="X692" s="5" t="str">
        <f>IFERROR(__xludf.DUMMYFUNCTION("""COMPUTED_VALUE"""),"Yes")</f>
        <v>Yes</v>
      </c>
      <c r="Y692" s="5" t="str">
        <f>IFERROR(__xludf.DUMMYFUNCTION("""COMPUTED_VALUE"""),"No")</f>
        <v>No</v>
      </c>
      <c r="Z692" s="5" t="str">
        <f>IFERROR(__xludf.DUMMYFUNCTION("""COMPUTED_VALUE"""),"No")</f>
        <v>No</v>
      </c>
      <c r="AA692" s="5" t="str">
        <f>IFERROR(__xludf.DUMMYFUNCTION("""COMPUTED_VALUE"""),"No")</f>
        <v>No</v>
      </c>
      <c r="AB692" s="5" t="str">
        <f>IFERROR(__xludf.DUMMYFUNCTION("""COMPUTED_VALUE"""),"Yes")</f>
        <v>Yes</v>
      </c>
      <c r="AC692" s="5" t="str">
        <f>IFERROR(__xludf.DUMMYFUNCTION("""COMPUTED_VALUE"""),"No")</f>
        <v>No</v>
      </c>
    </row>
    <row r="693">
      <c r="A693" s="5" t="str">
        <f>IFERROR(__xludf.DUMMYFUNCTION("""COMPUTED_VALUE"""),"RedstonePureHot5")</f>
        <v>RedstonePureHot5</v>
      </c>
      <c r="B69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3" s="5" t="str">
        <f>IFERROR(__xludf.DUMMYFUNCTION("""COMPUTED_VALUE"""),"Yes")</f>
        <v>Yes</v>
      </c>
      <c r="D693" s="5" t="str">
        <f>IFERROR(__xludf.DUMMYFUNCTION("""COMPUTED_VALUE"""),"Yes")</f>
        <v>Yes</v>
      </c>
      <c r="E693" s="5" t="str">
        <f>IFERROR(__xludf.DUMMYFUNCTION("""COMPUTED_VALUE"""),"Yes")</f>
        <v>Yes</v>
      </c>
      <c r="F693" s="5" t="str">
        <f>IFERROR(__xludf.DUMMYFUNCTION("""COMPUTED_VALUE"""),"Yes")</f>
        <v>Yes</v>
      </c>
      <c r="G693" s="5" t="str">
        <f>IFERROR(__xludf.DUMMYFUNCTION("""COMPUTED_VALUE"""),"Yes")</f>
        <v>Yes</v>
      </c>
      <c r="H693" s="5" t="str">
        <f>IFERROR(__xludf.DUMMYFUNCTION("""COMPUTED_VALUE"""),"Yes")</f>
        <v>Yes</v>
      </c>
      <c r="I693" s="5" t="str">
        <f>IFERROR(__xludf.DUMMYFUNCTION("""COMPUTED_VALUE"""),"Yes")</f>
        <v>Yes</v>
      </c>
      <c r="J693" s="5" t="str">
        <f>IFERROR(__xludf.DUMMYFUNCTION("""COMPUTED_VALUE"""),"Yes")</f>
        <v>Yes</v>
      </c>
      <c r="K693" s="5" t="str">
        <f>IFERROR(__xludf.DUMMYFUNCTION("""COMPUTED_VALUE"""),"Yes")</f>
        <v>Yes</v>
      </c>
      <c r="L693" s="5" t="str">
        <f>IFERROR(__xludf.DUMMYFUNCTION("""COMPUTED_VALUE"""),"Yes")</f>
        <v>Yes</v>
      </c>
      <c r="M693" s="5" t="str">
        <f>IFERROR(__xludf.DUMMYFUNCTION("""COMPUTED_VALUE"""),"Yes")</f>
        <v>Yes</v>
      </c>
      <c r="N693" s="5" t="str">
        <f>IFERROR(__xludf.DUMMYFUNCTION("""COMPUTED_VALUE"""),"Yes")</f>
        <v>Yes</v>
      </c>
      <c r="O693" s="5" t="str">
        <f>IFERROR(__xludf.DUMMYFUNCTION("""COMPUTED_VALUE"""),"Yes")</f>
        <v>Yes</v>
      </c>
      <c r="P693" s="5" t="str">
        <f>IFERROR(__xludf.DUMMYFUNCTION("""COMPUTED_VALUE"""),"Yes")</f>
        <v>Yes</v>
      </c>
      <c r="Q693" s="5" t="str">
        <f>IFERROR(__xludf.DUMMYFUNCTION("""COMPUTED_VALUE"""),"Yes")</f>
        <v>Yes</v>
      </c>
      <c r="R693" s="5" t="str">
        <f>IFERROR(__xludf.DUMMYFUNCTION("""COMPUTED_VALUE"""),"No")</f>
        <v>No</v>
      </c>
      <c r="S693" s="5" t="str">
        <f>IFERROR(__xludf.DUMMYFUNCTION("""COMPUTED_VALUE"""),"No")</f>
        <v>No</v>
      </c>
      <c r="T693" s="5" t="str">
        <f>IFERROR(__xludf.DUMMYFUNCTION("""COMPUTED_VALUE"""),"No")</f>
        <v>No</v>
      </c>
      <c r="U693" s="5" t="str">
        <f>IFERROR(__xludf.DUMMYFUNCTION("""COMPUTED_VALUE"""),"No")</f>
        <v>No</v>
      </c>
      <c r="V693" s="5" t="str">
        <f>IFERROR(__xludf.DUMMYFUNCTION("""COMPUTED_VALUE"""),"No")</f>
        <v>No</v>
      </c>
      <c r="W693" s="5" t="str">
        <f>IFERROR(__xludf.DUMMYFUNCTION("""COMPUTED_VALUE"""),"No")</f>
        <v>No</v>
      </c>
      <c r="X693" s="5" t="str">
        <f>IFERROR(__xludf.DUMMYFUNCTION("""COMPUTED_VALUE"""),"Yes")</f>
        <v>Yes</v>
      </c>
      <c r="Y693" s="5" t="str">
        <f>IFERROR(__xludf.DUMMYFUNCTION("""COMPUTED_VALUE"""),"No")</f>
        <v>No</v>
      </c>
      <c r="Z693" s="5" t="str">
        <f>IFERROR(__xludf.DUMMYFUNCTION("""COMPUTED_VALUE"""),"No")</f>
        <v>No</v>
      </c>
      <c r="AA693" s="5" t="str">
        <f>IFERROR(__xludf.DUMMYFUNCTION("""COMPUTED_VALUE"""),"No")</f>
        <v>No</v>
      </c>
      <c r="AB693" s="5" t="str">
        <f>IFERROR(__xludf.DUMMYFUNCTION("""COMPUTED_VALUE"""),"Yes")</f>
        <v>Yes</v>
      </c>
      <c r="AC693" s="5" t="str">
        <f>IFERROR(__xludf.DUMMYFUNCTION("""COMPUTED_VALUE"""),"No")</f>
        <v>No</v>
      </c>
    </row>
    <row r="694">
      <c r="A694" s="5" t="str">
        <f>IFERROR(__xludf.DUMMYFUNCTION("""COMPUTED_VALUE"""),"GoldenCrownExtremeBooster")</f>
        <v>GoldenCrownExtremeBooster</v>
      </c>
      <c r="B69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4" s="5" t="str">
        <f>IFERROR(__xludf.DUMMYFUNCTION("""COMPUTED_VALUE"""),"Yes")</f>
        <v>Yes</v>
      </c>
      <c r="D694" s="5" t="str">
        <f>IFERROR(__xludf.DUMMYFUNCTION("""COMPUTED_VALUE"""),"Yes")</f>
        <v>Yes</v>
      </c>
      <c r="E694" s="5" t="str">
        <f>IFERROR(__xludf.DUMMYFUNCTION("""COMPUTED_VALUE"""),"Yes")</f>
        <v>Yes</v>
      </c>
      <c r="F694" s="5" t="str">
        <f>IFERROR(__xludf.DUMMYFUNCTION("""COMPUTED_VALUE"""),"Yes")</f>
        <v>Yes</v>
      </c>
      <c r="G694" s="5" t="str">
        <f>IFERROR(__xludf.DUMMYFUNCTION("""COMPUTED_VALUE"""),"Yes")</f>
        <v>Yes</v>
      </c>
      <c r="H694" s="5" t="str">
        <f>IFERROR(__xludf.DUMMYFUNCTION("""COMPUTED_VALUE"""),"Yes")</f>
        <v>Yes</v>
      </c>
      <c r="I694" s="5" t="str">
        <f>IFERROR(__xludf.DUMMYFUNCTION("""COMPUTED_VALUE"""),"Yes")</f>
        <v>Yes</v>
      </c>
      <c r="J694" s="5" t="str">
        <f>IFERROR(__xludf.DUMMYFUNCTION("""COMPUTED_VALUE"""),"Yes")</f>
        <v>Yes</v>
      </c>
      <c r="K694" s="5" t="str">
        <f>IFERROR(__xludf.DUMMYFUNCTION("""COMPUTED_VALUE"""),"Yes")</f>
        <v>Yes</v>
      </c>
      <c r="L694" s="5" t="str">
        <f>IFERROR(__xludf.DUMMYFUNCTION("""COMPUTED_VALUE"""),"Yes")</f>
        <v>Yes</v>
      </c>
      <c r="M694" s="5" t="str">
        <f>IFERROR(__xludf.DUMMYFUNCTION("""COMPUTED_VALUE"""),"Yes")</f>
        <v>Yes</v>
      </c>
      <c r="N694" s="5" t="str">
        <f>IFERROR(__xludf.DUMMYFUNCTION("""COMPUTED_VALUE"""),"Yes")</f>
        <v>Yes</v>
      </c>
      <c r="O694" s="5" t="str">
        <f>IFERROR(__xludf.DUMMYFUNCTION("""COMPUTED_VALUE"""),"Yes")</f>
        <v>Yes</v>
      </c>
      <c r="P694" s="5" t="str">
        <f>IFERROR(__xludf.DUMMYFUNCTION("""COMPUTED_VALUE"""),"Yes")</f>
        <v>Yes</v>
      </c>
      <c r="Q694" s="5" t="str">
        <f>IFERROR(__xludf.DUMMYFUNCTION("""COMPUTED_VALUE"""),"Yes")</f>
        <v>Yes</v>
      </c>
      <c r="R694" s="5" t="str">
        <f>IFERROR(__xludf.DUMMYFUNCTION("""COMPUTED_VALUE"""),"Yes")</f>
        <v>Yes</v>
      </c>
      <c r="S694" s="5" t="str">
        <f>IFERROR(__xludf.DUMMYFUNCTION("""COMPUTED_VALUE"""),"Yes")</f>
        <v>Yes</v>
      </c>
      <c r="T694" s="5" t="str">
        <f>IFERROR(__xludf.DUMMYFUNCTION("""COMPUTED_VALUE"""),"Yes")</f>
        <v>Yes</v>
      </c>
      <c r="U694" s="5" t="str">
        <f>IFERROR(__xludf.DUMMYFUNCTION("""COMPUTED_VALUE"""),"Yes")</f>
        <v>Yes</v>
      </c>
      <c r="V694" s="5" t="str">
        <f>IFERROR(__xludf.DUMMYFUNCTION("""COMPUTED_VALUE"""),"Yes")</f>
        <v>Yes</v>
      </c>
      <c r="W694" s="5" t="str">
        <f>IFERROR(__xludf.DUMMYFUNCTION("""COMPUTED_VALUE"""),"Yes")</f>
        <v>Yes</v>
      </c>
      <c r="X694" s="5" t="str">
        <f>IFERROR(__xludf.DUMMYFUNCTION("""COMPUTED_VALUE"""),"Yes")</f>
        <v>Yes</v>
      </c>
      <c r="Y694" s="5" t="str">
        <f>IFERROR(__xludf.DUMMYFUNCTION("""COMPUTED_VALUE"""),"Yes")</f>
        <v>Yes</v>
      </c>
      <c r="Z694" s="5" t="str">
        <f>IFERROR(__xludf.DUMMYFUNCTION("""COMPUTED_VALUE"""),"Yes")</f>
        <v>Yes</v>
      </c>
      <c r="AA694" s="5" t="str">
        <f>IFERROR(__xludf.DUMMYFUNCTION("""COMPUTED_VALUE"""),"Yes")</f>
        <v>Yes</v>
      </c>
      <c r="AB694" s="5" t="str">
        <f>IFERROR(__xludf.DUMMYFUNCTION("""COMPUTED_VALUE"""),"Yes")</f>
        <v>Yes</v>
      </c>
      <c r="AC694" s="5" t="str">
        <f>IFERROR(__xludf.DUMMYFUNCTION("""COMPUTED_VALUE"""),"No")</f>
        <v>No</v>
      </c>
    </row>
    <row r="695">
      <c r="A695" s="5" t="str">
        <f>IFERROR(__xludf.DUMMYFUNCTION("""COMPUTED_VALUE"""),"RedstoneXWildCrown")</f>
        <v>RedstoneXWildCrown</v>
      </c>
      <c r="B69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5" s="5" t="str">
        <f>IFERROR(__xludf.DUMMYFUNCTION("""COMPUTED_VALUE"""),"Yes")</f>
        <v>Yes</v>
      </c>
      <c r="D695" s="5" t="str">
        <f>IFERROR(__xludf.DUMMYFUNCTION("""COMPUTED_VALUE"""),"Yes")</f>
        <v>Yes</v>
      </c>
      <c r="E695" s="5" t="str">
        <f>IFERROR(__xludf.DUMMYFUNCTION("""COMPUTED_VALUE"""),"Yes")</f>
        <v>Yes</v>
      </c>
      <c r="F695" s="5" t="str">
        <f>IFERROR(__xludf.DUMMYFUNCTION("""COMPUTED_VALUE"""),"Yes")</f>
        <v>Yes</v>
      </c>
      <c r="G695" s="5" t="str">
        <f>IFERROR(__xludf.DUMMYFUNCTION("""COMPUTED_VALUE"""),"Yes")</f>
        <v>Yes</v>
      </c>
      <c r="H695" s="5" t="str">
        <f>IFERROR(__xludf.DUMMYFUNCTION("""COMPUTED_VALUE"""),"Yes")</f>
        <v>Yes</v>
      </c>
      <c r="I695" s="5" t="str">
        <f>IFERROR(__xludf.DUMMYFUNCTION("""COMPUTED_VALUE"""),"Yes")</f>
        <v>Yes</v>
      </c>
      <c r="J695" s="5" t="str">
        <f>IFERROR(__xludf.DUMMYFUNCTION("""COMPUTED_VALUE"""),"Yes")</f>
        <v>Yes</v>
      </c>
      <c r="K695" s="5" t="str">
        <f>IFERROR(__xludf.DUMMYFUNCTION("""COMPUTED_VALUE"""),"Yes")</f>
        <v>Yes</v>
      </c>
      <c r="L695" s="5" t="str">
        <f>IFERROR(__xludf.DUMMYFUNCTION("""COMPUTED_VALUE"""),"Yes")</f>
        <v>Yes</v>
      </c>
      <c r="M695" s="5" t="str">
        <f>IFERROR(__xludf.DUMMYFUNCTION("""COMPUTED_VALUE"""),"Yes")</f>
        <v>Yes</v>
      </c>
      <c r="N695" s="5" t="str">
        <f>IFERROR(__xludf.DUMMYFUNCTION("""COMPUTED_VALUE"""),"Yes")</f>
        <v>Yes</v>
      </c>
      <c r="O695" s="5" t="str">
        <f>IFERROR(__xludf.DUMMYFUNCTION("""COMPUTED_VALUE"""),"Yes")</f>
        <v>Yes</v>
      </c>
      <c r="P695" s="5" t="str">
        <f>IFERROR(__xludf.DUMMYFUNCTION("""COMPUTED_VALUE"""),"Yes")</f>
        <v>Yes</v>
      </c>
      <c r="Q695" s="5" t="str">
        <f>IFERROR(__xludf.DUMMYFUNCTION("""COMPUTED_VALUE"""),"Yes")</f>
        <v>Yes</v>
      </c>
      <c r="R695" s="5" t="str">
        <f>IFERROR(__xludf.DUMMYFUNCTION("""COMPUTED_VALUE"""),"No")</f>
        <v>No</v>
      </c>
      <c r="S695" s="5" t="str">
        <f>IFERROR(__xludf.DUMMYFUNCTION("""COMPUTED_VALUE"""),"No")</f>
        <v>No</v>
      </c>
      <c r="T695" s="5" t="str">
        <f>IFERROR(__xludf.DUMMYFUNCTION("""COMPUTED_VALUE"""),"No")</f>
        <v>No</v>
      </c>
      <c r="U695" s="5" t="str">
        <f>IFERROR(__xludf.DUMMYFUNCTION("""COMPUTED_VALUE"""),"No")</f>
        <v>No</v>
      </c>
      <c r="V695" s="5" t="str">
        <f>IFERROR(__xludf.DUMMYFUNCTION("""COMPUTED_VALUE"""),"No")</f>
        <v>No</v>
      </c>
      <c r="W695" s="5" t="str">
        <f>IFERROR(__xludf.DUMMYFUNCTION("""COMPUTED_VALUE"""),"No")</f>
        <v>No</v>
      </c>
      <c r="X695" s="5" t="str">
        <f>IFERROR(__xludf.DUMMYFUNCTION("""COMPUTED_VALUE"""),"Yes")</f>
        <v>Yes</v>
      </c>
      <c r="Y695" s="5" t="str">
        <f>IFERROR(__xludf.DUMMYFUNCTION("""COMPUTED_VALUE"""),"No")</f>
        <v>No</v>
      </c>
      <c r="Z695" s="5" t="str">
        <f>IFERROR(__xludf.DUMMYFUNCTION("""COMPUTED_VALUE"""),"No")</f>
        <v>No</v>
      </c>
      <c r="AA695" s="5" t="str">
        <f>IFERROR(__xludf.DUMMYFUNCTION("""COMPUTED_VALUE"""),"No")</f>
        <v>No</v>
      </c>
      <c r="AB695" s="5" t="str">
        <f>IFERROR(__xludf.DUMMYFUNCTION("""COMPUTED_VALUE"""),"Yes")</f>
        <v>Yes</v>
      </c>
      <c r="AC695" s="5" t="str">
        <f>IFERROR(__xludf.DUMMYFUNCTION("""COMPUTED_VALUE"""),"No")</f>
        <v>No</v>
      </c>
    </row>
    <row r="696">
      <c r="A696" s="5" t="str">
        <f>IFERROR(__xludf.DUMMYFUNCTION("""COMPUTED_VALUE"""),"Redstone5CloverDeluxe")</f>
        <v>Redstone5CloverDeluxe</v>
      </c>
      <c r="B696"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6" s="5" t="str">
        <f>IFERROR(__xludf.DUMMYFUNCTION("""COMPUTED_VALUE"""),"Yes")</f>
        <v>Yes</v>
      </c>
      <c r="D696" s="5" t="str">
        <f>IFERROR(__xludf.DUMMYFUNCTION("""COMPUTED_VALUE"""),"Yes")</f>
        <v>Yes</v>
      </c>
      <c r="E696" s="5" t="str">
        <f>IFERROR(__xludf.DUMMYFUNCTION("""COMPUTED_VALUE"""),"No")</f>
        <v>No</v>
      </c>
      <c r="F696" s="5" t="str">
        <f>IFERROR(__xludf.DUMMYFUNCTION("""COMPUTED_VALUE"""),"Yes")</f>
        <v>Yes</v>
      </c>
      <c r="G696" s="5" t="str">
        <f>IFERROR(__xludf.DUMMYFUNCTION("""COMPUTED_VALUE"""),"Yes")</f>
        <v>Yes</v>
      </c>
      <c r="H696" s="5" t="str">
        <f>IFERROR(__xludf.DUMMYFUNCTION("""COMPUTED_VALUE"""),"Yes")</f>
        <v>Yes</v>
      </c>
      <c r="I696" s="5" t="str">
        <f>IFERROR(__xludf.DUMMYFUNCTION("""COMPUTED_VALUE"""),"Yes")</f>
        <v>Yes</v>
      </c>
      <c r="J696" s="5" t="str">
        <f>IFERROR(__xludf.DUMMYFUNCTION("""COMPUTED_VALUE"""),"Yes")</f>
        <v>Yes</v>
      </c>
      <c r="K696" s="5" t="str">
        <f>IFERROR(__xludf.DUMMYFUNCTION("""COMPUTED_VALUE"""),"Yes")</f>
        <v>Yes</v>
      </c>
      <c r="L696" s="5" t="str">
        <f>IFERROR(__xludf.DUMMYFUNCTION("""COMPUTED_VALUE"""),"Yes")</f>
        <v>Yes</v>
      </c>
      <c r="M696" s="5" t="str">
        <f>IFERROR(__xludf.DUMMYFUNCTION("""COMPUTED_VALUE"""),"Yes")</f>
        <v>Yes</v>
      </c>
      <c r="N696" s="5" t="str">
        <f>IFERROR(__xludf.DUMMYFUNCTION("""COMPUTED_VALUE"""),"Yes")</f>
        <v>Yes</v>
      </c>
      <c r="O696" s="5" t="str">
        <f>IFERROR(__xludf.DUMMYFUNCTION("""COMPUTED_VALUE"""),"Yes")</f>
        <v>Yes</v>
      </c>
      <c r="P696" s="5" t="str">
        <f>IFERROR(__xludf.DUMMYFUNCTION("""COMPUTED_VALUE"""),"Yes")</f>
        <v>Yes</v>
      </c>
      <c r="Q696" s="5" t="str">
        <f>IFERROR(__xludf.DUMMYFUNCTION("""COMPUTED_VALUE"""),"Yes")</f>
        <v>Yes</v>
      </c>
      <c r="R696" s="5" t="str">
        <f>IFERROR(__xludf.DUMMYFUNCTION("""COMPUTED_VALUE"""),"No")</f>
        <v>No</v>
      </c>
      <c r="S696" s="5" t="str">
        <f>IFERROR(__xludf.DUMMYFUNCTION("""COMPUTED_VALUE"""),"No")</f>
        <v>No</v>
      </c>
      <c r="T696" s="5" t="str">
        <f>IFERROR(__xludf.DUMMYFUNCTION("""COMPUTED_VALUE"""),"No")</f>
        <v>No</v>
      </c>
      <c r="U696" s="5" t="str">
        <f>IFERROR(__xludf.DUMMYFUNCTION("""COMPUTED_VALUE"""),"No")</f>
        <v>No</v>
      </c>
      <c r="V696" s="5" t="str">
        <f>IFERROR(__xludf.DUMMYFUNCTION("""COMPUTED_VALUE"""),"No")</f>
        <v>No</v>
      </c>
      <c r="W696" s="5" t="str">
        <f>IFERROR(__xludf.DUMMYFUNCTION("""COMPUTED_VALUE"""),"No")</f>
        <v>No</v>
      </c>
      <c r="X696" s="5" t="str">
        <f>IFERROR(__xludf.DUMMYFUNCTION("""COMPUTED_VALUE"""),"Yes")</f>
        <v>Yes</v>
      </c>
      <c r="Y696" s="5" t="str">
        <f>IFERROR(__xludf.DUMMYFUNCTION("""COMPUTED_VALUE"""),"No")</f>
        <v>No</v>
      </c>
      <c r="Z696" s="5" t="str">
        <f>IFERROR(__xludf.DUMMYFUNCTION("""COMPUTED_VALUE"""),"No")</f>
        <v>No</v>
      </c>
      <c r="AA696" s="5" t="str">
        <f>IFERROR(__xludf.DUMMYFUNCTION("""COMPUTED_VALUE"""),"No")</f>
        <v>No</v>
      </c>
      <c r="AB696" s="5" t="str">
        <f>IFERROR(__xludf.DUMMYFUNCTION("""COMPUTED_VALUE"""),"Yes")</f>
        <v>Yes</v>
      </c>
      <c r="AC696" s="5" t="str">
        <f>IFERROR(__xludf.DUMMYFUNCTION("""COMPUTED_VALUE"""),"No")</f>
        <v>No</v>
      </c>
    </row>
    <row r="697">
      <c r="A697" s="5" t="str">
        <f>IFERROR(__xludf.DUMMYFUNCTION("""COMPUTED_VALUE"""),"RedstoneHeartDeluxe2X")</f>
        <v>RedstoneHeartDeluxe2X</v>
      </c>
      <c r="B697"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7" s="5" t="str">
        <f>IFERROR(__xludf.DUMMYFUNCTION("""COMPUTED_VALUE"""),"Yes")</f>
        <v>Yes</v>
      </c>
      <c r="D697" s="5" t="str">
        <f>IFERROR(__xludf.DUMMYFUNCTION("""COMPUTED_VALUE"""),"Yes")</f>
        <v>Yes</v>
      </c>
      <c r="E697" s="5" t="str">
        <f>IFERROR(__xludf.DUMMYFUNCTION("""COMPUTED_VALUE"""),"No")</f>
        <v>No</v>
      </c>
      <c r="F697" s="5" t="str">
        <f>IFERROR(__xludf.DUMMYFUNCTION("""COMPUTED_VALUE"""),"Yes")</f>
        <v>Yes</v>
      </c>
      <c r="G697" s="5" t="str">
        <f>IFERROR(__xludf.DUMMYFUNCTION("""COMPUTED_VALUE"""),"Yes")</f>
        <v>Yes</v>
      </c>
      <c r="H697" s="5" t="str">
        <f>IFERROR(__xludf.DUMMYFUNCTION("""COMPUTED_VALUE"""),"Yes")</f>
        <v>Yes</v>
      </c>
      <c r="I697" s="5" t="str">
        <f>IFERROR(__xludf.DUMMYFUNCTION("""COMPUTED_VALUE"""),"Yes")</f>
        <v>Yes</v>
      </c>
      <c r="J697" s="5" t="str">
        <f>IFERROR(__xludf.DUMMYFUNCTION("""COMPUTED_VALUE"""),"Yes")</f>
        <v>Yes</v>
      </c>
      <c r="K697" s="5" t="str">
        <f>IFERROR(__xludf.DUMMYFUNCTION("""COMPUTED_VALUE"""),"Yes")</f>
        <v>Yes</v>
      </c>
      <c r="L697" s="5" t="str">
        <f>IFERROR(__xludf.DUMMYFUNCTION("""COMPUTED_VALUE"""),"Yes")</f>
        <v>Yes</v>
      </c>
      <c r="M697" s="5" t="str">
        <f>IFERROR(__xludf.DUMMYFUNCTION("""COMPUTED_VALUE"""),"Yes")</f>
        <v>Yes</v>
      </c>
      <c r="N697" s="5" t="str">
        <f>IFERROR(__xludf.DUMMYFUNCTION("""COMPUTED_VALUE"""),"Yes")</f>
        <v>Yes</v>
      </c>
      <c r="O697" s="5" t="str">
        <f>IFERROR(__xludf.DUMMYFUNCTION("""COMPUTED_VALUE"""),"Yes")</f>
        <v>Yes</v>
      </c>
      <c r="P697" s="5" t="str">
        <f>IFERROR(__xludf.DUMMYFUNCTION("""COMPUTED_VALUE"""),"Yes")</f>
        <v>Yes</v>
      </c>
      <c r="Q697" s="5" t="str">
        <f>IFERROR(__xludf.DUMMYFUNCTION("""COMPUTED_VALUE"""),"Yes")</f>
        <v>Yes</v>
      </c>
      <c r="R697" s="5" t="str">
        <f>IFERROR(__xludf.DUMMYFUNCTION("""COMPUTED_VALUE"""),"No")</f>
        <v>No</v>
      </c>
      <c r="S697" s="5" t="str">
        <f>IFERROR(__xludf.DUMMYFUNCTION("""COMPUTED_VALUE"""),"No")</f>
        <v>No</v>
      </c>
      <c r="T697" s="5" t="str">
        <f>IFERROR(__xludf.DUMMYFUNCTION("""COMPUTED_VALUE"""),"No")</f>
        <v>No</v>
      </c>
      <c r="U697" s="5" t="str">
        <f>IFERROR(__xludf.DUMMYFUNCTION("""COMPUTED_VALUE"""),"No")</f>
        <v>No</v>
      </c>
      <c r="V697" s="5" t="str">
        <f>IFERROR(__xludf.DUMMYFUNCTION("""COMPUTED_VALUE"""),"No")</f>
        <v>No</v>
      </c>
      <c r="W697" s="5" t="str">
        <f>IFERROR(__xludf.DUMMYFUNCTION("""COMPUTED_VALUE"""),"No")</f>
        <v>No</v>
      </c>
      <c r="X697" s="5" t="str">
        <f>IFERROR(__xludf.DUMMYFUNCTION("""COMPUTED_VALUE"""),"Yes")</f>
        <v>Yes</v>
      </c>
      <c r="Y697" s="5" t="str">
        <f>IFERROR(__xludf.DUMMYFUNCTION("""COMPUTED_VALUE"""),"No")</f>
        <v>No</v>
      </c>
      <c r="Z697" s="5" t="str">
        <f>IFERROR(__xludf.DUMMYFUNCTION("""COMPUTED_VALUE"""),"No")</f>
        <v>No</v>
      </c>
      <c r="AA697" s="5" t="str">
        <f>IFERROR(__xludf.DUMMYFUNCTION("""COMPUTED_VALUE"""),"No")</f>
        <v>No</v>
      </c>
      <c r="AB697" s="5" t="str">
        <f>IFERROR(__xludf.DUMMYFUNCTION("""COMPUTED_VALUE"""),"Yes")</f>
        <v>Yes</v>
      </c>
      <c r="AC697" s="5" t="str">
        <f>IFERROR(__xludf.DUMMYFUNCTION("""COMPUTED_VALUE"""),"No")</f>
        <v>No</v>
      </c>
    </row>
    <row r="698">
      <c r="A698" s="5" t="str">
        <f>IFERROR(__xludf.DUMMYFUNCTION("""COMPUTED_VALUE"""),"RedstoneCosmicFruits")</f>
        <v>RedstoneCosmicFruits</v>
      </c>
      <c r="B698"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8" s="5" t="str">
        <f>IFERROR(__xludf.DUMMYFUNCTION("""COMPUTED_VALUE"""),"Yes")</f>
        <v>Yes</v>
      </c>
      <c r="D698" s="5" t="str">
        <f>IFERROR(__xludf.DUMMYFUNCTION("""COMPUTED_VALUE"""),"Yes")</f>
        <v>Yes</v>
      </c>
      <c r="E698" s="5" t="str">
        <f>IFERROR(__xludf.DUMMYFUNCTION("""COMPUTED_VALUE"""),"No")</f>
        <v>No</v>
      </c>
      <c r="F698" s="5" t="str">
        <f>IFERROR(__xludf.DUMMYFUNCTION("""COMPUTED_VALUE"""),"Yes")</f>
        <v>Yes</v>
      </c>
      <c r="G698" s="5" t="str">
        <f>IFERROR(__xludf.DUMMYFUNCTION("""COMPUTED_VALUE"""),"Yes")</f>
        <v>Yes</v>
      </c>
      <c r="H698" s="5" t="str">
        <f>IFERROR(__xludf.DUMMYFUNCTION("""COMPUTED_VALUE"""),"Yes")</f>
        <v>Yes</v>
      </c>
      <c r="I698" s="5" t="str">
        <f>IFERROR(__xludf.DUMMYFUNCTION("""COMPUTED_VALUE"""),"Yes")</f>
        <v>Yes</v>
      </c>
      <c r="J698" s="5" t="str">
        <f>IFERROR(__xludf.DUMMYFUNCTION("""COMPUTED_VALUE"""),"Yes")</f>
        <v>Yes</v>
      </c>
      <c r="K698" s="5" t="str">
        <f>IFERROR(__xludf.DUMMYFUNCTION("""COMPUTED_VALUE"""),"Yes")</f>
        <v>Yes</v>
      </c>
      <c r="L698" s="5" t="str">
        <f>IFERROR(__xludf.DUMMYFUNCTION("""COMPUTED_VALUE"""),"Yes")</f>
        <v>Yes</v>
      </c>
      <c r="M698" s="5" t="str">
        <f>IFERROR(__xludf.DUMMYFUNCTION("""COMPUTED_VALUE"""),"Yes")</f>
        <v>Yes</v>
      </c>
      <c r="N698" s="5" t="str">
        <f>IFERROR(__xludf.DUMMYFUNCTION("""COMPUTED_VALUE"""),"Yes")</f>
        <v>Yes</v>
      </c>
      <c r="O698" s="5" t="str">
        <f>IFERROR(__xludf.DUMMYFUNCTION("""COMPUTED_VALUE"""),"Yes")</f>
        <v>Yes</v>
      </c>
      <c r="P698" s="5" t="str">
        <f>IFERROR(__xludf.DUMMYFUNCTION("""COMPUTED_VALUE"""),"Yes")</f>
        <v>Yes</v>
      </c>
      <c r="Q698" s="5" t="str">
        <f>IFERROR(__xludf.DUMMYFUNCTION("""COMPUTED_VALUE"""),"Yes")</f>
        <v>Yes</v>
      </c>
      <c r="R698" s="5" t="str">
        <f>IFERROR(__xludf.DUMMYFUNCTION("""COMPUTED_VALUE"""),"No")</f>
        <v>No</v>
      </c>
      <c r="S698" s="5" t="str">
        <f>IFERROR(__xludf.DUMMYFUNCTION("""COMPUTED_VALUE"""),"No")</f>
        <v>No</v>
      </c>
      <c r="T698" s="5" t="str">
        <f>IFERROR(__xludf.DUMMYFUNCTION("""COMPUTED_VALUE"""),"No")</f>
        <v>No</v>
      </c>
      <c r="U698" s="5" t="str">
        <f>IFERROR(__xludf.DUMMYFUNCTION("""COMPUTED_VALUE"""),"No")</f>
        <v>No</v>
      </c>
      <c r="V698" s="5" t="str">
        <f>IFERROR(__xludf.DUMMYFUNCTION("""COMPUTED_VALUE"""),"No")</f>
        <v>No</v>
      </c>
      <c r="W698" s="5" t="str">
        <f>IFERROR(__xludf.DUMMYFUNCTION("""COMPUTED_VALUE"""),"No")</f>
        <v>No</v>
      </c>
      <c r="X698" s="5" t="str">
        <f>IFERROR(__xludf.DUMMYFUNCTION("""COMPUTED_VALUE"""),"Yes")</f>
        <v>Yes</v>
      </c>
      <c r="Y698" s="5" t="str">
        <f>IFERROR(__xludf.DUMMYFUNCTION("""COMPUTED_VALUE"""),"No")</f>
        <v>No</v>
      </c>
      <c r="Z698" s="5" t="str">
        <f>IFERROR(__xludf.DUMMYFUNCTION("""COMPUTED_VALUE"""),"No")</f>
        <v>No</v>
      </c>
      <c r="AA698" s="5" t="str">
        <f>IFERROR(__xludf.DUMMYFUNCTION("""COMPUTED_VALUE"""),"No")</f>
        <v>No</v>
      </c>
      <c r="AB698" s="5" t="str">
        <f>IFERROR(__xludf.DUMMYFUNCTION("""COMPUTED_VALUE"""),"Yes")</f>
        <v>Yes</v>
      </c>
      <c r="AC698" s="5" t="str">
        <f>IFERROR(__xludf.DUMMYFUNCTION("""COMPUTED_VALUE"""),"No")</f>
        <v>No</v>
      </c>
    </row>
    <row r="699">
      <c r="A699" s="5" t="str">
        <f>IFERROR(__xludf.DUMMYFUNCTION("""COMPUTED_VALUE"""),"RedstoneXWildHeart")</f>
        <v>RedstoneXWildHeart</v>
      </c>
      <c r="B699"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9" s="5" t="str">
        <f>IFERROR(__xludf.DUMMYFUNCTION("""COMPUTED_VALUE"""),"Yes")</f>
        <v>Yes</v>
      </c>
      <c r="D699" s="5" t="str">
        <f>IFERROR(__xludf.DUMMYFUNCTION("""COMPUTED_VALUE"""),"Yes")</f>
        <v>Yes</v>
      </c>
      <c r="E699" s="5" t="str">
        <f>IFERROR(__xludf.DUMMYFUNCTION("""COMPUTED_VALUE"""),"No")</f>
        <v>No</v>
      </c>
      <c r="F699" s="5" t="str">
        <f>IFERROR(__xludf.DUMMYFUNCTION("""COMPUTED_VALUE"""),"Yes")</f>
        <v>Yes</v>
      </c>
      <c r="G699" s="5" t="str">
        <f>IFERROR(__xludf.DUMMYFUNCTION("""COMPUTED_VALUE"""),"Yes")</f>
        <v>Yes</v>
      </c>
      <c r="H699" s="5" t="str">
        <f>IFERROR(__xludf.DUMMYFUNCTION("""COMPUTED_VALUE"""),"Yes")</f>
        <v>Yes</v>
      </c>
      <c r="I699" s="5" t="str">
        <f>IFERROR(__xludf.DUMMYFUNCTION("""COMPUTED_VALUE"""),"Yes")</f>
        <v>Yes</v>
      </c>
      <c r="J699" s="5" t="str">
        <f>IFERROR(__xludf.DUMMYFUNCTION("""COMPUTED_VALUE"""),"Yes")</f>
        <v>Yes</v>
      </c>
      <c r="K699" s="5" t="str">
        <f>IFERROR(__xludf.DUMMYFUNCTION("""COMPUTED_VALUE"""),"Yes")</f>
        <v>Yes</v>
      </c>
      <c r="L699" s="5" t="str">
        <f>IFERROR(__xludf.DUMMYFUNCTION("""COMPUTED_VALUE"""),"Yes")</f>
        <v>Yes</v>
      </c>
      <c r="M699" s="5" t="str">
        <f>IFERROR(__xludf.DUMMYFUNCTION("""COMPUTED_VALUE"""),"Yes")</f>
        <v>Yes</v>
      </c>
      <c r="N699" s="5" t="str">
        <f>IFERROR(__xludf.DUMMYFUNCTION("""COMPUTED_VALUE"""),"Yes")</f>
        <v>Yes</v>
      </c>
      <c r="O699" s="5" t="str">
        <f>IFERROR(__xludf.DUMMYFUNCTION("""COMPUTED_VALUE"""),"Yes")</f>
        <v>Yes</v>
      </c>
      <c r="P699" s="5" t="str">
        <f>IFERROR(__xludf.DUMMYFUNCTION("""COMPUTED_VALUE"""),"Yes")</f>
        <v>Yes</v>
      </c>
      <c r="Q699" s="5" t="str">
        <f>IFERROR(__xludf.DUMMYFUNCTION("""COMPUTED_VALUE"""),"Yes")</f>
        <v>Yes</v>
      </c>
      <c r="R699" s="5" t="str">
        <f>IFERROR(__xludf.DUMMYFUNCTION("""COMPUTED_VALUE"""),"No")</f>
        <v>No</v>
      </c>
      <c r="S699" s="5" t="str">
        <f>IFERROR(__xludf.DUMMYFUNCTION("""COMPUTED_VALUE"""),"No")</f>
        <v>No</v>
      </c>
      <c r="T699" s="5" t="str">
        <f>IFERROR(__xludf.DUMMYFUNCTION("""COMPUTED_VALUE"""),"No")</f>
        <v>No</v>
      </c>
      <c r="U699" s="5" t="str">
        <f>IFERROR(__xludf.DUMMYFUNCTION("""COMPUTED_VALUE"""),"No")</f>
        <v>No</v>
      </c>
      <c r="V699" s="5" t="str">
        <f>IFERROR(__xludf.DUMMYFUNCTION("""COMPUTED_VALUE"""),"No")</f>
        <v>No</v>
      </c>
      <c r="W699" s="5" t="str">
        <f>IFERROR(__xludf.DUMMYFUNCTION("""COMPUTED_VALUE"""),"No")</f>
        <v>No</v>
      </c>
      <c r="X699" s="5" t="str">
        <f>IFERROR(__xludf.DUMMYFUNCTION("""COMPUTED_VALUE"""),"Yes")</f>
        <v>Yes</v>
      </c>
      <c r="Y699" s="5" t="str">
        <f>IFERROR(__xludf.DUMMYFUNCTION("""COMPUTED_VALUE"""),"No")</f>
        <v>No</v>
      </c>
      <c r="Z699" s="5" t="str">
        <f>IFERROR(__xludf.DUMMYFUNCTION("""COMPUTED_VALUE"""),"No")</f>
        <v>No</v>
      </c>
      <c r="AA699" s="5" t="str">
        <f>IFERROR(__xludf.DUMMYFUNCTION("""COMPUTED_VALUE"""),"No")</f>
        <v>No</v>
      </c>
      <c r="AB699" s="5" t="str">
        <f>IFERROR(__xludf.DUMMYFUNCTION("""COMPUTED_VALUE"""),"Yes")</f>
        <v>Yes</v>
      </c>
      <c r="AC699" s="5" t="str">
        <f>IFERROR(__xludf.DUMMYFUNCTION("""COMPUTED_VALUE"""),"No")</f>
        <v>No</v>
      </c>
    </row>
    <row r="700">
      <c r="A700" s="5" t="str">
        <f>IFERROR(__xludf.DUMMYFUNCTION("""COMPUTED_VALUE"""),"Redstone5CrownDeluxe")</f>
        <v>Redstone5CrownDeluxe</v>
      </c>
      <c r="B700"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0" s="5" t="str">
        <f>IFERROR(__xludf.DUMMYFUNCTION("""COMPUTED_VALUE"""),"Yes")</f>
        <v>Yes</v>
      </c>
      <c r="D700" s="5" t="str">
        <f>IFERROR(__xludf.DUMMYFUNCTION("""COMPUTED_VALUE"""),"Yes")</f>
        <v>Yes</v>
      </c>
      <c r="E700" s="5" t="str">
        <f>IFERROR(__xludf.DUMMYFUNCTION("""COMPUTED_VALUE"""),"No")</f>
        <v>No</v>
      </c>
      <c r="F700" s="5" t="str">
        <f>IFERROR(__xludf.DUMMYFUNCTION("""COMPUTED_VALUE"""),"Yes")</f>
        <v>Yes</v>
      </c>
      <c r="G700" s="5" t="str">
        <f>IFERROR(__xludf.DUMMYFUNCTION("""COMPUTED_VALUE"""),"Yes")</f>
        <v>Yes</v>
      </c>
      <c r="H700" s="5" t="str">
        <f>IFERROR(__xludf.DUMMYFUNCTION("""COMPUTED_VALUE"""),"Yes")</f>
        <v>Yes</v>
      </c>
      <c r="I700" s="5" t="str">
        <f>IFERROR(__xludf.DUMMYFUNCTION("""COMPUTED_VALUE"""),"Yes")</f>
        <v>Yes</v>
      </c>
      <c r="J700" s="5" t="str">
        <f>IFERROR(__xludf.DUMMYFUNCTION("""COMPUTED_VALUE"""),"Yes")</f>
        <v>Yes</v>
      </c>
      <c r="K700" s="5" t="str">
        <f>IFERROR(__xludf.DUMMYFUNCTION("""COMPUTED_VALUE"""),"Yes")</f>
        <v>Yes</v>
      </c>
      <c r="L700" s="5" t="str">
        <f>IFERROR(__xludf.DUMMYFUNCTION("""COMPUTED_VALUE"""),"Yes")</f>
        <v>Yes</v>
      </c>
      <c r="M700" s="5" t="str">
        <f>IFERROR(__xludf.DUMMYFUNCTION("""COMPUTED_VALUE"""),"Yes")</f>
        <v>Yes</v>
      </c>
      <c r="N700" s="5" t="str">
        <f>IFERROR(__xludf.DUMMYFUNCTION("""COMPUTED_VALUE"""),"Yes")</f>
        <v>Yes</v>
      </c>
      <c r="O700" s="5" t="str">
        <f>IFERROR(__xludf.DUMMYFUNCTION("""COMPUTED_VALUE"""),"Yes")</f>
        <v>Yes</v>
      </c>
      <c r="P700" s="5" t="str">
        <f>IFERROR(__xludf.DUMMYFUNCTION("""COMPUTED_VALUE"""),"Yes")</f>
        <v>Yes</v>
      </c>
      <c r="Q700" s="5" t="str">
        <f>IFERROR(__xludf.DUMMYFUNCTION("""COMPUTED_VALUE"""),"Yes")</f>
        <v>Yes</v>
      </c>
      <c r="R700" s="5" t="str">
        <f>IFERROR(__xludf.DUMMYFUNCTION("""COMPUTED_VALUE"""),"No")</f>
        <v>No</v>
      </c>
      <c r="S700" s="5" t="str">
        <f>IFERROR(__xludf.DUMMYFUNCTION("""COMPUTED_VALUE"""),"No")</f>
        <v>No</v>
      </c>
      <c r="T700" s="5" t="str">
        <f>IFERROR(__xludf.DUMMYFUNCTION("""COMPUTED_VALUE"""),"No")</f>
        <v>No</v>
      </c>
      <c r="U700" s="5" t="str">
        <f>IFERROR(__xludf.DUMMYFUNCTION("""COMPUTED_VALUE"""),"No")</f>
        <v>No</v>
      </c>
      <c r="V700" s="5" t="str">
        <f>IFERROR(__xludf.DUMMYFUNCTION("""COMPUTED_VALUE"""),"No")</f>
        <v>No</v>
      </c>
      <c r="W700" s="5" t="str">
        <f>IFERROR(__xludf.DUMMYFUNCTION("""COMPUTED_VALUE"""),"No")</f>
        <v>No</v>
      </c>
      <c r="X700" s="5" t="str">
        <f>IFERROR(__xludf.DUMMYFUNCTION("""COMPUTED_VALUE"""),"Yes")</f>
        <v>Yes</v>
      </c>
      <c r="Y700" s="5" t="str">
        <f>IFERROR(__xludf.DUMMYFUNCTION("""COMPUTED_VALUE"""),"No")</f>
        <v>No</v>
      </c>
      <c r="Z700" s="5" t="str">
        <f>IFERROR(__xludf.DUMMYFUNCTION("""COMPUTED_VALUE"""),"No")</f>
        <v>No</v>
      </c>
      <c r="AA700" s="5" t="str">
        <f>IFERROR(__xludf.DUMMYFUNCTION("""COMPUTED_VALUE"""),"No")</f>
        <v>No</v>
      </c>
      <c r="AB700" s="5" t="str">
        <f>IFERROR(__xludf.DUMMYFUNCTION("""COMPUTED_VALUE"""),"Yes")</f>
        <v>Yes</v>
      </c>
      <c r="AC700" s="5" t="str">
        <f>IFERROR(__xludf.DUMMYFUNCTION("""COMPUTED_VALUE"""),"No")</f>
        <v>No</v>
      </c>
    </row>
    <row r="701">
      <c r="A701" s="5" t="str">
        <f>IFERROR(__xludf.DUMMYFUNCTION("""COMPUTED_VALUE"""),"RedstoneCrownDeluxe2X")</f>
        <v>RedstoneCrownDeluxe2X</v>
      </c>
      <c r="B701" s="5" t="str">
        <f>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1" s="5" t="str">
        <f>IFERROR(__xludf.DUMMYFUNCTION("""COMPUTED_VALUE"""),"Yes")</f>
        <v>Yes</v>
      </c>
      <c r="D701" s="5" t="str">
        <f>IFERROR(__xludf.DUMMYFUNCTION("""COMPUTED_VALUE"""),"Yes")</f>
        <v>Yes</v>
      </c>
      <c r="E701" s="5" t="str">
        <f>IFERROR(__xludf.DUMMYFUNCTION("""COMPUTED_VALUE"""),"No")</f>
        <v>No</v>
      </c>
      <c r="F701" s="5" t="str">
        <f>IFERROR(__xludf.DUMMYFUNCTION("""COMPUTED_VALUE"""),"Yes")</f>
        <v>Yes</v>
      </c>
      <c r="G701" s="5" t="str">
        <f>IFERROR(__xludf.DUMMYFUNCTION("""COMPUTED_VALUE"""),"Yes")</f>
        <v>Yes</v>
      </c>
      <c r="H701" s="5" t="str">
        <f>IFERROR(__xludf.DUMMYFUNCTION("""COMPUTED_VALUE"""),"Yes")</f>
        <v>Yes</v>
      </c>
      <c r="I701" s="5" t="str">
        <f>IFERROR(__xludf.DUMMYFUNCTION("""COMPUTED_VALUE"""),"Yes")</f>
        <v>Yes</v>
      </c>
      <c r="J701" s="5" t="str">
        <f>IFERROR(__xludf.DUMMYFUNCTION("""COMPUTED_VALUE"""),"Yes")</f>
        <v>Yes</v>
      </c>
      <c r="K701" s="5" t="str">
        <f>IFERROR(__xludf.DUMMYFUNCTION("""COMPUTED_VALUE"""),"Yes")</f>
        <v>Yes</v>
      </c>
      <c r="L701" s="5" t="str">
        <f>IFERROR(__xludf.DUMMYFUNCTION("""COMPUTED_VALUE"""),"Yes")</f>
        <v>Yes</v>
      </c>
      <c r="M701" s="5" t="str">
        <f>IFERROR(__xludf.DUMMYFUNCTION("""COMPUTED_VALUE"""),"Yes")</f>
        <v>Yes</v>
      </c>
      <c r="N701" s="5" t="str">
        <f>IFERROR(__xludf.DUMMYFUNCTION("""COMPUTED_VALUE"""),"Yes")</f>
        <v>Yes</v>
      </c>
      <c r="O701" s="5" t="str">
        <f>IFERROR(__xludf.DUMMYFUNCTION("""COMPUTED_VALUE"""),"Yes")</f>
        <v>Yes</v>
      </c>
      <c r="P701" s="5" t="str">
        <f>IFERROR(__xludf.DUMMYFUNCTION("""COMPUTED_VALUE"""),"Yes")</f>
        <v>Yes</v>
      </c>
      <c r="Q701" s="5" t="str">
        <f>IFERROR(__xludf.DUMMYFUNCTION("""COMPUTED_VALUE"""),"Yes")</f>
        <v>Yes</v>
      </c>
      <c r="R701" s="5" t="str">
        <f>IFERROR(__xludf.DUMMYFUNCTION("""COMPUTED_VALUE"""),"No")</f>
        <v>No</v>
      </c>
      <c r="S701" s="5" t="str">
        <f>IFERROR(__xludf.DUMMYFUNCTION("""COMPUTED_VALUE"""),"No")</f>
        <v>No</v>
      </c>
      <c r="T701" s="5" t="str">
        <f>IFERROR(__xludf.DUMMYFUNCTION("""COMPUTED_VALUE"""),"No")</f>
        <v>No</v>
      </c>
      <c r="U701" s="5" t="str">
        <f>IFERROR(__xludf.DUMMYFUNCTION("""COMPUTED_VALUE"""),"No")</f>
        <v>No</v>
      </c>
      <c r="V701" s="5" t="str">
        <f>IFERROR(__xludf.DUMMYFUNCTION("""COMPUTED_VALUE"""),"No")</f>
        <v>No</v>
      </c>
      <c r="W701" s="5" t="str">
        <f>IFERROR(__xludf.DUMMYFUNCTION("""COMPUTED_VALUE"""),"No")</f>
        <v>No</v>
      </c>
      <c r="X701" s="5" t="str">
        <f>IFERROR(__xludf.DUMMYFUNCTION("""COMPUTED_VALUE"""),"Yes")</f>
        <v>Yes</v>
      </c>
      <c r="Y701" s="5" t="str">
        <f>IFERROR(__xludf.DUMMYFUNCTION("""COMPUTED_VALUE"""),"No")</f>
        <v>No</v>
      </c>
      <c r="Z701" s="5" t="str">
        <f>IFERROR(__xludf.DUMMYFUNCTION("""COMPUTED_VALUE"""),"No")</f>
        <v>No</v>
      </c>
      <c r="AA701" s="5" t="str">
        <f>IFERROR(__xludf.DUMMYFUNCTION("""COMPUTED_VALUE"""),"No")</f>
        <v>No</v>
      </c>
      <c r="AB701" s="5" t="str">
        <f>IFERROR(__xludf.DUMMYFUNCTION("""COMPUTED_VALUE"""),"Yes")</f>
        <v>Yes</v>
      </c>
      <c r="AC701" s="5" t="str">
        <f>IFERROR(__xludf.DUMMYFUNCTION("""COMPUTED_VALUE"""),"No")</f>
        <v>No</v>
      </c>
    </row>
    <row r="702">
      <c r="A702" s="5" t="str">
        <f>IFERROR(__xludf.DUMMYFUNCTION("""COMPUTED_VALUE"""),"PlayNetRoyalFlame40")</f>
        <v>PlayNetRoyalFlame40</v>
      </c>
      <c r="B70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2" s="5" t="str">
        <f>IFERROR(__xludf.DUMMYFUNCTION("""COMPUTED_VALUE"""),"Yes")</f>
        <v>Yes</v>
      </c>
      <c r="D702" s="5" t="str">
        <f>IFERROR(__xludf.DUMMYFUNCTION("""COMPUTED_VALUE"""),"Yes")</f>
        <v>Yes</v>
      </c>
      <c r="E702" s="5" t="str">
        <f>IFERROR(__xludf.DUMMYFUNCTION("""COMPUTED_VALUE"""),"Yes")</f>
        <v>Yes</v>
      </c>
      <c r="F702" s="5" t="str">
        <f>IFERROR(__xludf.DUMMYFUNCTION("""COMPUTED_VALUE"""),"Yes")</f>
        <v>Yes</v>
      </c>
      <c r="G702" s="5" t="str">
        <f>IFERROR(__xludf.DUMMYFUNCTION("""COMPUTED_VALUE"""),"Yes")</f>
        <v>Yes</v>
      </c>
      <c r="H702" s="5" t="str">
        <f>IFERROR(__xludf.DUMMYFUNCTION("""COMPUTED_VALUE"""),"Yes")</f>
        <v>Yes</v>
      </c>
      <c r="I702" s="5" t="str">
        <f>IFERROR(__xludf.DUMMYFUNCTION("""COMPUTED_VALUE"""),"Yes")</f>
        <v>Yes</v>
      </c>
      <c r="J702" s="5" t="str">
        <f>IFERROR(__xludf.DUMMYFUNCTION("""COMPUTED_VALUE"""),"Yes")</f>
        <v>Yes</v>
      </c>
      <c r="K702" s="5" t="str">
        <f>IFERROR(__xludf.DUMMYFUNCTION("""COMPUTED_VALUE"""),"Yes")</f>
        <v>Yes</v>
      </c>
      <c r="L702" s="5" t="str">
        <f>IFERROR(__xludf.DUMMYFUNCTION("""COMPUTED_VALUE"""),"Yes")</f>
        <v>Yes</v>
      </c>
      <c r="M702" s="5" t="str">
        <f>IFERROR(__xludf.DUMMYFUNCTION("""COMPUTED_VALUE"""),"Yes")</f>
        <v>Yes</v>
      </c>
      <c r="N702" s="5" t="str">
        <f>IFERROR(__xludf.DUMMYFUNCTION("""COMPUTED_VALUE"""),"Yes")</f>
        <v>Yes</v>
      </c>
      <c r="O702" s="5" t="str">
        <f>IFERROR(__xludf.DUMMYFUNCTION("""COMPUTED_VALUE"""),"Yes")</f>
        <v>Yes</v>
      </c>
      <c r="P702" s="5" t="str">
        <f>IFERROR(__xludf.DUMMYFUNCTION("""COMPUTED_VALUE"""),"Yes")</f>
        <v>Yes</v>
      </c>
      <c r="Q702" s="5" t="str">
        <f>IFERROR(__xludf.DUMMYFUNCTION("""COMPUTED_VALUE"""),"Yes")</f>
        <v>Yes</v>
      </c>
      <c r="R702" s="5" t="str">
        <f>IFERROR(__xludf.DUMMYFUNCTION("""COMPUTED_VALUE"""),"No")</f>
        <v>No</v>
      </c>
      <c r="S702" s="5" t="str">
        <f>IFERROR(__xludf.DUMMYFUNCTION("""COMPUTED_VALUE"""),"No")</f>
        <v>No</v>
      </c>
      <c r="T702" s="5" t="str">
        <f>IFERROR(__xludf.DUMMYFUNCTION("""COMPUTED_VALUE"""),"No")</f>
        <v>No</v>
      </c>
      <c r="U702" s="5" t="str">
        <f>IFERROR(__xludf.DUMMYFUNCTION("""COMPUTED_VALUE"""),"No")</f>
        <v>No</v>
      </c>
      <c r="V702" s="5" t="str">
        <f>IFERROR(__xludf.DUMMYFUNCTION("""COMPUTED_VALUE"""),"No")</f>
        <v>No</v>
      </c>
      <c r="W702" s="5" t="str">
        <f>IFERROR(__xludf.DUMMYFUNCTION("""COMPUTED_VALUE"""),"No")</f>
        <v>No</v>
      </c>
      <c r="X702" s="5" t="str">
        <f>IFERROR(__xludf.DUMMYFUNCTION("""COMPUTED_VALUE"""),"No")</f>
        <v>No</v>
      </c>
      <c r="Y702" s="5" t="str">
        <f>IFERROR(__xludf.DUMMYFUNCTION("""COMPUTED_VALUE"""),"No")</f>
        <v>No</v>
      </c>
      <c r="Z702" s="5" t="str">
        <f>IFERROR(__xludf.DUMMYFUNCTION("""COMPUTED_VALUE"""),"No")</f>
        <v>No</v>
      </c>
      <c r="AA702" s="5" t="str">
        <f>IFERROR(__xludf.DUMMYFUNCTION("""COMPUTED_VALUE"""),"No")</f>
        <v>No</v>
      </c>
      <c r="AB702" s="5" t="str">
        <f>IFERROR(__xludf.DUMMYFUNCTION("""COMPUTED_VALUE"""),"Yes")</f>
        <v>Yes</v>
      </c>
      <c r="AC702" s="5" t="str">
        <f>IFERROR(__xludf.DUMMYFUNCTION("""COMPUTED_VALUE"""),"No")</f>
        <v>No</v>
      </c>
    </row>
    <row r="703">
      <c r="A703" s="5" t="str">
        <f>IFERROR(__xludf.DUMMYFUNCTION("""COMPUTED_VALUE"""),"PlayNetFruitJackPotx10000")</f>
        <v>PlayNetFruitJackPotx10000</v>
      </c>
      <c r="B70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3" s="5" t="str">
        <f>IFERROR(__xludf.DUMMYFUNCTION("""COMPUTED_VALUE"""),"Yes")</f>
        <v>Yes</v>
      </c>
      <c r="D703" s="5" t="str">
        <f>IFERROR(__xludf.DUMMYFUNCTION("""COMPUTED_VALUE"""),"Yes")</f>
        <v>Yes</v>
      </c>
      <c r="E703" s="5" t="str">
        <f>IFERROR(__xludf.DUMMYFUNCTION("""COMPUTED_VALUE"""),"Yes")</f>
        <v>Yes</v>
      </c>
      <c r="F703" s="5" t="str">
        <f>IFERROR(__xludf.DUMMYFUNCTION("""COMPUTED_VALUE"""),"Yes")</f>
        <v>Yes</v>
      </c>
      <c r="G703" s="5" t="str">
        <f>IFERROR(__xludf.DUMMYFUNCTION("""COMPUTED_VALUE"""),"Yes")</f>
        <v>Yes</v>
      </c>
      <c r="H703" s="5" t="str">
        <f>IFERROR(__xludf.DUMMYFUNCTION("""COMPUTED_VALUE"""),"Yes")</f>
        <v>Yes</v>
      </c>
      <c r="I703" s="5" t="str">
        <f>IFERROR(__xludf.DUMMYFUNCTION("""COMPUTED_VALUE"""),"Yes")</f>
        <v>Yes</v>
      </c>
      <c r="J703" s="5" t="str">
        <f>IFERROR(__xludf.DUMMYFUNCTION("""COMPUTED_VALUE"""),"Yes")</f>
        <v>Yes</v>
      </c>
      <c r="K703" s="5" t="str">
        <f>IFERROR(__xludf.DUMMYFUNCTION("""COMPUTED_VALUE"""),"Yes")</f>
        <v>Yes</v>
      </c>
      <c r="L703" s="5" t="str">
        <f>IFERROR(__xludf.DUMMYFUNCTION("""COMPUTED_VALUE"""),"Yes")</f>
        <v>Yes</v>
      </c>
      <c r="M703" s="5" t="str">
        <f>IFERROR(__xludf.DUMMYFUNCTION("""COMPUTED_VALUE"""),"Yes")</f>
        <v>Yes</v>
      </c>
      <c r="N703" s="5" t="str">
        <f>IFERROR(__xludf.DUMMYFUNCTION("""COMPUTED_VALUE"""),"Yes")</f>
        <v>Yes</v>
      </c>
      <c r="O703" s="5" t="str">
        <f>IFERROR(__xludf.DUMMYFUNCTION("""COMPUTED_VALUE"""),"Yes")</f>
        <v>Yes</v>
      </c>
      <c r="P703" s="5" t="str">
        <f>IFERROR(__xludf.DUMMYFUNCTION("""COMPUTED_VALUE"""),"Yes")</f>
        <v>Yes</v>
      </c>
      <c r="Q703" s="5" t="str">
        <f>IFERROR(__xludf.DUMMYFUNCTION("""COMPUTED_VALUE"""),"Yes")</f>
        <v>Yes</v>
      </c>
      <c r="R703" s="5" t="str">
        <f>IFERROR(__xludf.DUMMYFUNCTION("""COMPUTED_VALUE"""),"No")</f>
        <v>No</v>
      </c>
      <c r="S703" s="5" t="str">
        <f>IFERROR(__xludf.DUMMYFUNCTION("""COMPUTED_VALUE"""),"No")</f>
        <v>No</v>
      </c>
      <c r="T703" s="5"/>
      <c r="U703" s="5"/>
      <c r="V703" s="5"/>
      <c r="W703" s="5"/>
      <c r="X703" s="5"/>
      <c r="Y703" s="5"/>
      <c r="Z703" s="5"/>
      <c r="AA703" s="5"/>
      <c r="AB703" s="5" t="str">
        <f>IFERROR(__xludf.DUMMYFUNCTION("""COMPUTED_VALUE"""),"Yes")</f>
        <v>Yes</v>
      </c>
      <c r="AC703" s="5"/>
    </row>
    <row r="704">
      <c r="A704" s="5" t="str">
        <f>IFERROR(__xludf.DUMMYFUNCTION("""COMPUTED_VALUE"""),"PlayNet27LuckyFruits")</f>
        <v>PlayNet27LuckyFruits</v>
      </c>
      <c r="B70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04" s="5" t="str">
        <f>IFERROR(__xludf.DUMMYFUNCTION("""COMPUTED_VALUE"""),"Yes")</f>
        <v>Yes</v>
      </c>
      <c r="D704" s="5" t="str">
        <f>IFERROR(__xludf.DUMMYFUNCTION("""COMPUTED_VALUE"""),"Yes")</f>
        <v>Yes</v>
      </c>
      <c r="E704" s="5" t="str">
        <f>IFERROR(__xludf.DUMMYFUNCTION("""COMPUTED_VALUE"""),"Yes")</f>
        <v>Yes</v>
      </c>
      <c r="F704" s="5" t="str">
        <f>IFERROR(__xludf.DUMMYFUNCTION("""COMPUTED_VALUE"""),"Yes")</f>
        <v>Yes</v>
      </c>
      <c r="G704" s="5" t="str">
        <f>IFERROR(__xludf.DUMMYFUNCTION("""COMPUTED_VALUE"""),"Yes")</f>
        <v>Yes</v>
      </c>
      <c r="H704" s="5" t="str">
        <f>IFERROR(__xludf.DUMMYFUNCTION("""COMPUTED_VALUE"""),"Yes")</f>
        <v>Yes</v>
      </c>
      <c r="I704" s="5" t="str">
        <f>IFERROR(__xludf.DUMMYFUNCTION("""COMPUTED_VALUE"""),"Yes")</f>
        <v>Yes</v>
      </c>
      <c r="J704" s="5" t="str">
        <f>IFERROR(__xludf.DUMMYFUNCTION("""COMPUTED_VALUE"""),"Yes")</f>
        <v>Yes</v>
      </c>
      <c r="K704" s="5" t="str">
        <f>IFERROR(__xludf.DUMMYFUNCTION("""COMPUTED_VALUE"""),"Yes")</f>
        <v>Yes</v>
      </c>
      <c r="L704" s="5" t="str">
        <f>IFERROR(__xludf.DUMMYFUNCTION("""COMPUTED_VALUE"""),"Yes")</f>
        <v>Yes</v>
      </c>
      <c r="M704" s="5" t="str">
        <f>IFERROR(__xludf.DUMMYFUNCTION("""COMPUTED_VALUE"""),"Yes")</f>
        <v>Yes</v>
      </c>
      <c r="N704" s="5" t="str">
        <f>IFERROR(__xludf.DUMMYFUNCTION("""COMPUTED_VALUE"""),"Yes")</f>
        <v>Yes</v>
      </c>
      <c r="O704" s="5" t="str">
        <f>IFERROR(__xludf.DUMMYFUNCTION("""COMPUTED_VALUE"""),"Yes")</f>
        <v>Yes</v>
      </c>
      <c r="P704" s="5" t="str">
        <f>IFERROR(__xludf.DUMMYFUNCTION("""COMPUTED_VALUE"""),"Yes")</f>
        <v>Yes</v>
      </c>
      <c r="Q704" s="5" t="str">
        <f>IFERROR(__xludf.DUMMYFUNCTION("""COMPUTED_VALUE"""),"Yes")</f>
        <v>Yes</v>
      </c>
      <c r="R704" s="5" t="str">
        <f>IFERROR(__xludf.DUMMYFUNCTION("""COMPUTED_VALUE"""),"No")</f>
        <v>No</v>
      </c>
      <c r="S704" s="5" t="str">
        <f>IFERROR(__xludf.DUMMYFUNCTION("""COMPUTED_VALUE"""),"No")</f>
        <v>No</v>
      </c>
      <c r="T704" s="5" t="str">
        <f>IFERROR(__xludf.DUMMYFUNCTION("""COMPUTED_VALUE"""),"No")</f>
        <v>No</v>
      </c>
      <c r="U704" s="5" t="str">
        <f>IFERROR(__xludf.DUMMYFUNCTION("""COMPUTED_VALUE"""),"No")</f>
        <v>No</v>
      </c>
      <c r="V704" s="5" t="str">
        <f>IFERROR(__xludf.DUMMYFUNCTION("""COMPUTED_VALUE"""),"No")</f>
        <v>No</v>
      </c>
      <c r="W704" s="5" t="str">
        <f>IFERROR(__xludf.DUMMYFUNCTION("""COMPUTED_VALUE"""),"No")</f>
        <v>No</v>
      </c>
      <c r="X704" s="5" t="str">
        <f>IFERROR(__xludf.DUMMYFUNCTION("""COMPUTED_VALUE"""),"Yes")</f>
        <v>Yes</v>
      </c>
      <c r="Y704" s="5" t="str">
        <f>IFERROR(__xludf.DUMMYFUNCTION("""COMPUTED_VALUE"""),"No")</f>
        <v>No</v>
      </c>
      <c r="Z704" s="5" t="str">
        <f>IFERROR(__xludf.DUMMYFUNCTION("""COMPUTED_VALUE"""),"No")</f>
        <v>No</v>
      </c>
      <c r="AA704" s="5" t="str">
        <f>IFERROR(__xludf.DUMMYFUNCTION("""COMPUTED_VALUE"""),"No")</f>
        <v>No</v>
      </c>
      <c r="AB704" s="5" t="str">
        <f>IFERROR(__xludf.DUMMYFUNCTION("""COMPUTED_VALUE"""),"Yes")</f>
        <v>Yes</v>
      </c>
      <c r="AC704" s="5" t="str">
        <f>IFERROR(__xludf.DUMMYFUNCTION("""COMPUTED_VALUE"""),"No")</f>
        <v>No</v>
      </c>
    </row>
    <row r="705">
      <c r="A705" s="5" t="str">
        <f>IFERROR(__xludf.DUMMYFUNCTION("""COMPUTED_VALUE"""),"PlayNetShadowHunt10")</f>
        <v>PlayNetShadowHunt10</v>
      </c>
      <c r="B705"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5" s="5" t="str">
        <f>IFERROR(__xludf.DUMMYFUNCTION("""COMPUTED_VALUE"""),"Yes")</f>
        <v>Yes</v>
      </c>
      <c r="D705" s="5" t="str">
        <f>IFERROR(__xludf.DUMMYFUNCTION("""COMPUTED_VALUE"""),"Yes")</f>
        <v>Yes</v>
      </c>
      <c r="E705" s="5" t="str">
        <f>IFERROR(__xludf.DUMMYFUNCTION("""COMPUTED_VALUE"""),"Yes")</f>
        <v>Yes</v>
      </c>
      <c r="F705" s="5" t="str">
        <f>IFERROR(__xludf.DUMMYFUNCTION("""COMPUTED_VALUE"""),"Yes")</f>
        <v>Yes</v>
      </c>
      <c r="G705" s="5" t="str">
        <f>IFERROR(__xludf.DUMMYFUNCTION("""COMPUTED_VALUE"""),"Yes")</f>
        <v>Yes</v>
      </c>
      <c r="H705" s="5" t="str">
        <f>IFERROR(__xludf.DUMMYFUNCTION("""COMPUTED_VALUE"""),"Yes")</f>
        <v>Yes</v>
      </c>
      <c r="I705" s="5" t="str">
        <f>IFERROR(__xludf.DUMMYFUNCTION("""COMPUTED_VALUE"""),"Yes")</f>
        <v>Yes</v>
      </c>
      <c r="J705" s="5" t="str">
        <f>IFERROR(__xludf.DUMMYFUNCTION("""COMPUTED_VALUE"""),"Yes")</f>
        <v>Yes</v>
      </c>
      <c r="K705" s="5" t="str">
        <f>IFERROR(__xludf.DUMMYFUNCTION("""COMPUTED_VALUE"""),"Yes")</f>
        <v>Yes</v>
      </c>
      <c r="L705" s="5" t="str">
        <f>IFERROR(__xludf.DUMMYFUNCTION("""COMPUTED_VALUE"""),"Yes")</f>
        <v>Yes</v>
      </c>
      <c r="M705" s="5" t="str">
        <f>IFERROR(__xludf.DUMMYFUNCTION("""COMPUTED_VALUE"""),"Yes")</f>
        <v>Yes</v>
      </c>
      <c r="N705" s="5" t="str">
        <f>IFERROR(__xludf.DUMMYFUNCTION("""COMPUTED_VALUE"""),"Yes")</f>
        <v>Yes</v>
      </c>
      <c r="O705" s="5" t="str">
        <f>IFERROR(__xludf.DUMMYFUNCTION("""COMPUTED_VALUE"""),"Yes")</f>
        <v>Yes</v>
      </c>
      <c r="P705" s="5" t="str">
        <f>IFERROR(__xludf.DUMMYFUNCTION("""COMPUTED_VALUE"""),"Yes")</f>
        <v>Yes</v>
      </c>
      <c r="Q705" s="5" t="str">
        <f>IFERROR(__xludf.DUMMYFUNCTION("""COMPUTED_VALUE"""),"Yes")</f>
        <v>Yes</v>
      </c>
      <c r="R705" s="5"/>
      <c r="S705" s="5"/>
      <c r="T705" s="5"/>
      <c r="U705" s="5"/>
      <c r="V705" s="5"/>
      <c r="W705" s="5"/>
      <c r="X705" s="5"/>
      <c r="Y705" s="5"/>
      <c r="Z705" s="5"/>
      <c r="AA705" s="5"/>
      <c r="AB705" s="5" t="str">
        <f>IFERROR(__xludf.DUMMYFUNCTION("""COMPUTED_VALUE"""),"Yes")</f>
        <v>Yes</v>
      </c>
      <c r="AC705" s="5"/>
    </row>
    <row r="706">
      <c r="A706" s="5" t="str">
        <f>IFERROR(__xludf.DUMMYFUNCTION("""COMPUTED_VALUE"""),"PlayNetDiamondHeart20")</f>
        <v>PlayNetDiamondHeart20</v>
      </c>
      <c r="B706"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6" s="5" t="str">
        <f>IFERROR(__xludf.DUMMYFUNCTION("""COMPUTED_VALUE"""),"Yes")</f>
        <v>Yes</v>
      </c>
      <c r="D706" s="5" t="str">
        <f>IFERROR(__xludf.DUMMYFUNCTION("""COMPUTED_VALUE"""),"Yes")</f>
        <v>Yes</v>
      </c>
      <c r="E706" s="5" t="str">
        <f>IFERROR(__xludf.DUMMYFUNCTION("""COMPUTED_VALUE"""),"Yes")</f>
        <v>Yes</v>
      </c>
      <c r="F706" s="5" t="str">
        <f>IFERROR(__xludf.DUMMYFUNCTION("""COMPUTED_VALUE"""),"Yes")</f>
        <v>Yes</v>
      </c>
      <c r="G706" s="5" t="str">
        <f>IFERROR(__xludf.DUMMYFUNCTION("""COMPUTED_VALUE"""),"Yes")</f>
        <v>Yes</v>
      </c>
      <c r="H706" s="5" t="str">
        <f>IFERROR(__xludf.DUMMYFUNCTION("""COMPUTED_VALUE"""),"Yes")</f>
        <v>Yes</v>
      </c>
      <c r="I706" s="5" t="str">
        <f>IFERROR(__xludf.DUMMYFUNCTION("""COMPUTED_VALUE"""),"Yes")</f>
        <v>Yes</v>
      </c>
      <c r="J706" s="5" t="str">
        <f>IFERROR(__xludf.DUMMYFUNCTION("""COMPUTED_VALUE"""),"Yes")</f>
        <v>Yes</v>
      </c>
      <c r="K706" s="5" t="str">
        <f>IFERROR(__xludf.DUMMYFUNCTION("""COMPUTED_VALUE"""),"Yes")</f>
        <v>Yes</v>
      </c>
      <c r="L706" s="5" t="str">
        <f>IFERROR(__xludf.DUMMYFUNCTION("""COMPUTED_VALUE"""),"Yes")</f>
        <v>Yes</v>
      </c>
      <c r="M706" s="5" t="str">
        <f>IFERROR(__xludf.DUMMYFUNCTION("""COMPUTED_VALUE"""),"Yes")</f>
        <v>Yes</v>
      </c>
      <c r="N706" s="5" t="str">
        <f>IFERROR(__xludf.DUMMYFUNCTION("""COMPUTED_VALUE"""),"Yes")</f>
        <v>Yes</v>
      </c>
      <c r="O706" s="5" t="str">
        <f>IFERROR(__xludf.DUMMYFUNCTION("""COMPUTED_VALUE"""),"Yes")</f>
        <v>Yes</v>
      </c>
      <c r="P706" s="5" t="str">
        <f>IFERROR(__xludf.DUMMYFUNCTION("""COMPUTED_VALUE"""),"Yes")</f>
        <v>Yes</v>
      </c>
      <c r="Q706" s="5" t="str">
        <f>IFERROR(__xludf.DUMMYFUNCTION("""COMPUTED_VALUE"""),"Yes")</f>
        <v>Yes</v>
      </c>
      <c r="R706" s="5"/>
      <c r="S706" s="5"/>
      <c r="T706" s="5"/>
      <c r="U706" s="5"/>
      <c r="V706" s="5"/>
      <c r="W706" s="5"/>
      <c r="X706" s="5"/>
      <c r="Y706" s="5"/>
      <c r="Z706" s="5"/>
      <c r="AA706" s="5"/>
      <c r="AB706" s="5" t="str">
        <f>IFERROR(__xludf.DUMMYFUNCTION("""COMPUTED_VALUE"""),"Yes")</f>
        <v>Yes</v>
      </c>
      <c r="AC706" s="5"/>
    </row>
    <row r="707">
      <c r="A707" s="5" t="str">
        <f>IFERROR(__xludf.DUMMYFUNCTION("""COMPUTED_VALUE"""),"PlayNetBitQueen")</f>
        <v>PlayNetBitQueen</v>
      </c>
      <c r="B707"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7" s="5" t="str">
        <f>IFERROR(__xludf.DUMMYFUNCTION("""COMPUTED_VALUE"""),"Yes")</f>
        <v>Yes</v>
      </c>
      <c r="D707" s="5" t="str">
        <f>IFERROR(__xludf.DUMMYFUNCTION("""COMPUTED_VALUE"""),"Yes")</f>
        <v>Yes</v>
      </c>
      <c r="E707" s="5" t="str">
        <f>IFERROR(__xludf.DUMMYFUNCTION("""COMPUTED_VALUE"""),"Yes")</f>
        <v>Yes</v>
      </c>
      <c r="F707" s="5" t="str">
        <f>IFERROR(__xludf.DUMMYFUNCTION("""COMPUTED_VALUE"""),"Yes")</f>
        <v>Yes</v>
      </c>
      <c r="G707" s="5" t="str">
        <f>IFERROR(__xludf.DUMMYFUNCTION("""COMPUTED_VALUE"""),"Yes")</f>
        <v>Yes</v>
      </c>
      <c r="H707" s="5" t="str">
        <f>IFERROR(__xludf.DUMMYFUNCTION("""COMPUTED_VALUE"""),"Yes")</f>
        <v>Yes</v>
      </c>
      <c r="I707" s="5" t="str">
        <f>IFERROR(__xludf.DUMMYFUNCTION("""COMPUTED_VALUE"""),"Yes")</f>
        <v>Yes</v>
      </c>
      <c r="J707" s="5" t="str">
        <f>IFERROR(__xludf.DUMMYFUNCTION("""COMPUTED_VALUE"""),"Yes")</f>
        <v>Yes</v>
      </c>
      <c r="K707" s="5" t="str">
        <f>IFERROR(__xludf.DUMMYFUNCTION("""COMPUTED_VALUE"""),"Yes")</f>
        <v>Yes</v>
      </c>
      <c r="L707" s="5" t="str">
        <f>IFERROR(__xludf.DUMMYFUNCTION("""COMPUTED_VALUE"""),"Yes")</f>
        <v>Yes</v>
      </c>
      <c r="M707" s="5" t="str">
        <f>IFERROR(__xludf.DUMMYFUNCTION("""COMPUTED_VALUE"""),"Yes")</f>
        <v>Yes</v>
      </c>
      <c r="N707" s="5" t="str">
        <f>IFERROR(__xludf.DUMMYFUNCTION("""COMPUTED_VALUE"""),"Yes")</f>
        <v>Yes</v>
      </c>
      <c r="O707" s="5" t="str">
        <f>IFERROR(__xludf.DUMMYFUNCTION("""COMPUTED_VALUE"""),"Yes")</f>
        <v>Yes</v>
      </c>
      <c r="P707" s="5" t="str">
        <f>IFERROR(__xludf.DUMMYFUNCTION("""COMPUTED_VALUE"""),"Yes")</f>
        <v>Yes</v>
      </c>
      <c r="Q707" s="5" t="str">
        <f>IFERROR(__xludf.DUMMYFUNCTION("""COMPUTED_VALUE"""),"Yes")</f>
        <v>Yes</v>
      </c>
      <c r="R707" s="5"/>
      <c r="S707" s="5"/>
      <c r="T707" s="5"/>
      <c r="U707" s="5"/>
      <c r="V707" s="5"/>
      <c r="W707" s="5"/>
      <c r="X707" s="5"/>
      <c r="Y707" s="5"/>
      <c r="Z707" s="5"/>
      <c r="AA707" s="5"/>
      <c r="AB707" s="5" t="str">
        <f>IFERROR(__xludf.DUMMYFUNCTION("""COMPUTED_VALUE"""),"Yes")</f>
        <v>Yes</v>
      </c>
      <c r="AC707" s="5"/>
    </row>
    <row r="708">
      <c r="A708" s="5" t="str">
        <f>IFERROR(__xludf.DUMMYFUNCTION("""COMPUTED_VALUE"""),"PlayNetDashingHot40")</f>
        <v>PlayNetDashingHot40</v>
      </c>
      <c r="B708"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8" s="5" t="str">
        <f>IFERROR(__xludf.DUMMYFUNCTION("""COMPUTED_VALUE"""),"Yes")</f>
        <v>Yes</v>
      </c>
      <c r="D708" s="5" t="str">
        <f>IFERROR(__xludf.DUMMYFUNCTION("""COMPUTED_VALUE"""),"Yes")</f>
        <v>Yes</v>
      </c>
      <c r="E708" s="5" t="str">
        <f>IFERROR(__xludf.DUMMYFUNCTION("""COMPUTED_VALUE"""),"Yes")</f>
        <v>Yes</v>
      </c>
      <c r="F708" s="5" t="str">
        <f>IFERROR(__xludf.DUMMYFUNCTION("""COMPUTED_VALUE"""),"Yes")</f>
        <v>Yes</v>
      </c>
      <c r="G708" s="5" t="str">
        <f>IFERROR(__xludf.DUMMYFUNCTION("""COMPUTED_VALUE"""),"Yes")</f>
        <v>Yes</v>
      </c>
      <c r="H708" s="5" t="str">
        <f>IFERROR(__xludf.DUMMYFUNCTION("""COMPUTED_VALUE"""),"Yes")</f>
        <v>Yes</v>
      </c>
      <c r="I708" s="5" t="str">
        <f>IFERROR(__xludf.DUMMYFUNCTION("""COMPUTED_VALUE"""),"Yes")</f>
        <v>Yes</v>
      </c>
      <c r="J708" s="5" t="str">
        <f>IFERROR(__xludf.DUMMYFUNCTION("""COMPUTED_VALUE"""),"Yes")</f>
        <v>Yes</v>
      </c>
      <c r="K708" s="5" t="str">
        <f>IFERROR(__xludf.DUMMYFUNCTION("""COMPUTED_VALUE"""),"Yes")</f>
        <v>Yes</v>
      </c>
      <c r="L708" s="5" t="str">
        <f>IFERROR(__xludf.DUMMYFUNCTION("""COMPUTED_VALUE"""),"Yes")</f>
        <v>Yes</v>
      </c>
      <c r="M708" s="5" t="str">
        <f>IFERROR(__xludf.DUMMYFUNCTION("""COMPUTED_VALUE"""),"Yes")</f>
        <v>Yes</v>
      </c>
      <c r="N708" s="5" t="str">
        <f>IFERROR(__xludf.DUMMYFUNCTION("""COMPUTED_VALUE"""),"Yes")</f>
        <v>Yes</v>
      </c>
      <c r="O708" s="5" t="str">
        <f>IFERROR(__xludf.DUMMYFUNCTION("""COMPUTED_VALUE"""),"Yes")</f>
        <v>Yes</v>
      </c>
      <c r="P708" s="5" t="str">
        <f>IFERROR(__xludf.DUMMYFUNCTION("""COMPUTED_VALUE"""),"Yes")</f>
        <v>Yes</v>
      </c>
      <c r="Q708" s="5" t="str">
        <f>IFERROR(__xludf.DUMMYFUNCTION("""COMPUTED_VALUE"""),"Yes")</f>
        <v>Yes</v>
      </c>
      <c r="R708" s="5"/>
      <c r="S708" s="5"/>
      <c r="T708" s="5"/>
      <c r="U708" s="5"/>
      <c r="V708" s="5"/>
      <c r="W708" s="5"/>
      <c r="X708" s="5"/>
      <c r="Y708" s="5"/>
      <c r="Z708" s="5"/>
      <c r="AA708" s="5"/>
      <c r="AB708" s="5" t="str">
        <f>IFERROR(__xludf.DUMMYFUNCTION("""COMPUTED_VALUE"""),"Yes")</f>
        <v>Yes</v>
      </c>
      <c r="AC708" s="5"/>
    </row>
    <row r="709">
      <c r="A709" s="5" t="str">
        <f>IFERROR(__xludf.DUMMYFUNCTION("""COMPUTED_VALUE"""),"PlayNetDarkTemptress100")</f>
        <v>PlayNetDarkTemptress100</v>
      </c>
      <c r="B709"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9" s="5" t="str">
        <f>IFERROR(__xludf.DUMMYFUNCTION("""COMPUTED_VALUE"""),"Yes")</f>
        <v>Yes</v>
      </c>
      <c r="D709" s="5" t="str">
        <f>IFERROR(__xludf.DUMMYFUNCTION("""COMPUTED_VALUE"""),"Yes")</f>
        <v>Yes</v>
      </c>
      <c r="E709" s="5" t="str">
        <f>IFERROR(__xludf.DUMMYFUNCTION("""COMPUTED_VALUE"""),"Yes")</f>
        <v>Yes</v>
      </c>
      <c r="F709" s="5" t="str">
        <f>IFERROR(__xludf.DUMMYFUNCTION("""COMPUTED_VALUE"""),"Yes")</f>
        <v>Yes</v>
      </c>
      <c r="G709" s="5" t="str">
        <f>IFERROR(__xludf.DUMMYFUNCTION("""COMPUTED_VALUE"""),"Yes")</f>
        <v>Yes</v>
      </c>
      <c r="H709" s="5" t="str">
        <f>IFERROR(__xludf.DUMMYFUNCTION("""COMPUTED_VALUE"""),"Yes")</f>
        <v>Yes</v>
      </c>
      <c r="I709" s="5" t="str">
        <f>IFERROR(__xludf.DUMMYFUNCTION("""COMPUTED_VALUE"""),"Yes")</f>
        <v>Yes</v>
      </c>
      <c r="J709" s="5" t="str">
        <f>IFERROR(__xludf.DUMMYFUNCTION("""COMPUTED_VALUE"""),"Yes")</f>
        <v>Yes</v>
      </c>
      <c r="K709" s="5" t="str">
        <f>IFERROR(__xludf.DUMMYFUNCTION("""COMPUTED_VALUE"""),"Yes")</f>
        <v>Yes</v>
      </c>
      <c r="L709" s="5" t="str">
        <f>IFERROR(__xludf.DUMMYFUNCTION("""COMPUTED_VALUE"""),"Yes")</f>
        <v>Yes</v>
      </c>
      <c r="M709" s="5" t="str">
        <f>IFERROR(__xludf.DUMMYFUNCTION("""COMPUTED_VALUE"""),"Yes")</f>
        <v>Yes</v>
      </c>
      <c r="N709" s="5" t="str">
        <f>IFERROR(__xludf.DUMMYFUNCTION("""COMPUTED_VALUE"""),"Yes")</f>
        <v>Yes</v>
      </c>
      <c r="O709" s="5" t="str">
        <f>IFERROR(__xludf.DUMMYFUNCTION("""COMPUTED_VALUE"""),"Yes")</f>
        <v>Yes</v>
      </c>
      <c r="P709" s="5" t="str">
        <f>IFERROR(__xludf.DUMMYFUNCTION("""COMPUTED_VALUE"""),"Yes")</f>
        <v>Yes</v>
      </c>
      <c r="Q709" s="5" t="str">
        <f>IFERROR(__xludf.DUMMYFUNCTION("""COMPUTED_VALUE"""),"Yes")</f>
        <v>Yes</v>
      </c>
      <c r="R709" s="5"/>
      <c r="S709" s="5"/>
      <c r="T709" s="5"/>
      <c r="U709" s="5"/>
      <c r="V709" s="5"/>
      <c r="W709" s="5"/>
      <c r="X709" s="5"/>
      <c r="Y709" s="5"/>
      <c r="Z709" s="5"/>
      <c r="AA709" s="5"/>
      <c r="AB709" s="5" t="str">
        <f>IFERROR(__xludf.DUMMYFUNCTION("""COMPUTED_VALUE"""),"Yes")</f>
        <v>Yes</v>
      </c>
      <c r="AC709" s="5"/>
    </row>
    <row r="710">
      <c r="A710" s="5" t="str">
        <f>IFERROR(__xludf.DUMMYFUNCTION("""COMPUTED_VALUE"""),"PlayNetBarkinRiches")</f>
        <v>PlayNetBarkinRiches</v>
      </c>
      <c r="B710"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10" s="5" t="str">
        <f>IFERROR(__xludf.DUMMYFUNCTION("""COMPUTED_VALUE"""),"Yes")</f>
        <v>Yes</v>
      </c>
      <c r="D710" s="5" t="str">
        <f>IFERROR(__xludf.DUMMYFUNCTION("""COMPUTED_VALUE"""),"Yes")</f>
        <v>Yes</v>
      </c>
      <c r="E710" s="5" t="str">
        <f>IFERROR(__xludf.DUMMYFUNCTION("""COMPUTED_VALUE"""),"Yes")</f>
        <v>Yes</v>
      </c>
      <c r="F710" s="5" t="str">
        <f>IFERROR(__xludf.DUMMYFUNCTION("""COMPUTED_VALUE"""),"Yes")</f>
        <v>Yes</v>
      </c>
      <c r="G710" s="5" t="str">
        <f>IFERROR(__xludf.DUMMYFUNCTION("""COMPUTED_VALUE"""),"Yes")</f>
        <v>Yes</v>
      </c>
      <c r="H710" s="5" t="str">
        <f>IFERROR(__xludf.DUMMYFUNCTION("""COMPUTED_VALUE"""),"Yes")</f>
        <v>Yes</v>
      </c>
      <c r="I710" s="5" t="str">
        <f>IFERROR(__xludf.DUMMYFUNCTION("""COMPUTED_VALUE"""),"Yes")</f>
        <v>Yes</v>
      </c>
      <c r="J710" s="5" t="str">
        <f>IFERROR(__xludf.DUMMYFUNCTION("""COMPUTED_VALUE"""),"Yes")</f>
        <v>Yes</v>
      </c>
      <c r="K710" s="5" t="str">
        <f>IFERROR(__xludf.DUMMYFUNCTION("""COMPUTED_VALUE"""),"Yes")</f>
        <v>Yes</v>
      </c>
      <c r="L710" s="5" t="str">
        <f>IFERROR(__xludf.DUMMYFUNCTION("""COMPUTED_VALUE"""),"Yes")</f>
        <v>Yes</v>
      </c>
      <c r="M710" s="5" t="str">
        <f>IFERROR(__xludf.DUMMYFUNCTION("""COMPUTED_VALUE"""),"Yes")</f>
        <v>Yes</v>
      </c>
      <c r="N710" s="5" t="str">
        <f>IFERROR(__xludf.DUMMYFUNCTION("""COMPUTED_VALUE"""),"Yes")</f>
        <v>Yes</v>
      </c>
      <c r="O710" s="5" t="str">
        <f>IFERROR(__xludf.DUMMYFUNCTION("""COMPUTED_VALUE"""),"Yes")</f>
        <v>Yes</v>
      </c>
      <c r="P710" s="5" t="str">
        <f>IFERROR(__xludf.DUMMYFUNCTION("""COMPUTED_VALUE"""),"Yes")</f>
        <v>Yes</v>
      </c>
      <c r="Q710" s="5" t="str">
        <f>IFERROR(__xludf.DUMMYFUNCTION("""COMPUTED_VALUE"""),"Yes")</f>
        <v>Yes</v>
      </c>
      <c r="R710" s="5"/>
      <c r="S710" s="5"/>
      <c r="T710" s="5"/>
      <c r="U710" s="5"/>
      <c r="V710" s="5"/>
      <c r="W710" s="5"/>
      <c r="X710" s="5"/>
      <c r="Y710" s="5"/>
      <c r="Z710" s="5"/>
      <c r="AA710" s="5"/>
      <c r="AB710" s="5" t="str">
        <f>IFERROR(__xludf.DUMMYFUNCTION("""COMPUTED_VALUE"""),"Yes")</f>
        <v>Yes</v>
      </c>
      <c r="AC710" s="5"/>
    </row>
    <row r="711">
      <c r="A711" s="5" t="str">
        <f>IFERROR(__xludf.DUMMYFUNCTION("""COMPUTED_VALUE"""),"Special4RabetFruits")</f>
        <v>Special4RabetFruits</v>
      </c>
      <c r="B711" s="5" t="str">
        <f>IFERROR(__xludf.DUMMYFUNCTION("""COMPUTED_VALUE"""),"")</f>
        <v/>
      </c>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row>
    <row r="712">
      <c r="A712" s="5" t="str">
        <f>IFERROR(__xludf.DUMMYFUNCTION("""COMPUTED_VALUE"""),"MultihotPot")</f>
        <v>MultihotPot</v>
      </c>
      <c r="B7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2" s="5" t="str">
        <f>IFERROR(__xludf.DUMMYFUNCTION("""COMPUTED_VALUE"""),"Yes")</f>
        <v>Yes</v>
      </c>
      <c r="D712" s="5" t="str">
        <f>IFERROR(__xludf.DUMMYFUNCTION("""COMPUTED_VALUE"""),"Yes")</f>
        <v>Yes</v>
      </c>
      <c r="E712" s="5" t="str">
        <f>IFERROR(__xludf.DUMMYFUNCTION("""COMPUTED_VALUE"""),"Yes")</f>
        <v>Yes</v>
      </c>
      <c r="F712" s="5" t="str">
        <f>IFERROR(__xludf.DUMMYFUNCTION("""COMPUTED_VALUE"""),"Yes")</f>
        <v>Yes</v>
      </c>
      <c r="G712" s="5" t="str">
        <f>IFERROR(__xludf.DUMMYFUNCTION("""COMPUTED_VALUE"""),"Yes")</f>
        <v>Yes</v>
      </c>
      <c r="H712" s="5" t="str">
        <f>IFERROR(__xludf.DUMMYFUNCTION("""COMPUTED_VALUE"""),"Yes")</f>
        <v>Yes</v>
      </c>
      <c r="I712" s="5" t="str">
        <f>IFERROR(__xludf.DUMMYFUNCTION("""COMPUTED_VALUE"""),"Yes")</f>
        <v>Yes</v>
      </c>
      <c r="J712" s="5" t="str">
        <f>IFERROR(__xludf.DUMMYFUNCTION("""COMPUTED_VALUE"""),"Yes")</f>
        <v>Yes</v>
      </c>
      <c r="K712" s="5" t="str">
        <f>IFERROR(__xludf.DUMMYFUNCTION("""COMPUTED_VALUE"""),"Yes")</f>
        <v>Yes</v>
      </c>
      <c r="L712" s="5" t="str">
        <f>IFERROR(__xludf.DUMMYFUNCTION("""COMPUTED_VALUE"""),"Yes")</f>
        <v>Yes</v>
      </c>
      <c r="M712" s="5" t="str">
        <f>IFERROR(__xludf.DUMMYFUNCTION("""COMPUTED_VALUE"""),"Yes")</f>
        <v>Yes</v>
      </c>
      <c r="N712" s="5" t="str">
        <f>IFERROR(__xludf.DUMMYFUNCTION("""COMPUTED_VALUE"""),"Yes")</f>
        <v>Yes</v>
      </c>
      <c r="O712" s="5" t="str">
        <f>IFERROR(__xludf.DUMMYFUNCTION("""COMPUTED_VALUE"""),"Yes")</f>
        <v>Yes</v>
      </c>
      <c r="P712" s="5" t="str">
        <f>IFERROR(__xludf.DUMMYFUNCTION("""COMPUTED_VALUE"""),"Yes")</f>
        <v>Yes</v>
      </c>
      <c r="Q712" s="5" t="str">
        <f>IFERROR(__xludf.DUMMYFUNCTION("""COMPUTED_VALUE"""),"Yes")</f>
        <v>Yes</v>
      </c>
      <c r="R712" s="5" t="str">
        <f>IFERROR(__xludf.DUMMYFUNCTION("""COMPUTED_VALUE"""),"Yes")</f>
        <v>Yes</v>
      </c>
      <c r="S712" s="5" t="str">
        <f>IFERROR(__xludf.DUMMYFUNCTION("""COMPUTED_VALUE"""),"Yes")</f>
        <v>Yes</v>
      </c>
      <c r="T712" s="5" t="str">
        <f>IFERROR(__xludf.DUMMYFUNCTION("""COMPUTED_VALUE"""),"Yes")</f>
        <v>Yes</v>
      </c>
      <c r="U712" s="5" t="str">
        <f>IFERROR(__xludf.DUMMYFUNCTION("""COMPUTED_VALUE"""),"Yes")</f>
        <v>Yes</v>
      </c>
      <c r="V712" s="5" t="str">
        <f>IFERROR(__xludf.DUMMYFUNCTION("""COMPUTED_VALUE"""),"Yes")</f>
        <v>Yes</v>
      </c>
      <c r="W712" s="5" t="str">
        <f>IFERROR(__xludf.DUMMYFUNCTION("""COMPUTED_VALUE"""),"Yes")</f>
        <v>Yes</v>
      </c>
      <c r="X712" s="5" t="str">
        <f>IFERROR(__xludf.DUMMYFUNCTION("""COMPUTED_VALUE"""),"Yes")</f>
        <v>Yes</v>
      </c>
      <c r="Y712" s="5" t="str">
        <f>IFERROR(__xludf.DUMMYFUNCTION("""COMPUTED_VALUE"""),"Yes")</f>
        <v>Yes</v>
      </c>
      <c r="Z712" s="5" t="str">
        <f>IFERROR(__xludf.DUMMYFUNCTION("""COMPUTED_VALUE"""),"Yes")</f>
        <v>Yes</v>
      </c>
      <c r="AA712" s="5" t="str">
        <f>IFERROR(__xludf.DUMMYFUNCTION("""COMPUTED_VALUE"""),"Yes")</f>
        <v>Yes</v>
      </c>
      <c r="AB712" s="5" t="str">
        <f>IFERROR(__xludf.DUMMYFUNCTION("""COMPUTED_VALUE"""),"Yes")</f>
        <v>Yes</v>
      </c>
      <c r="AC712" s="5" t="str">
        <f>IFERROR(__xludf.DUMMYFUNCTION("""COMPUTED_VALUE"""),"Yes")</f>
        <v>Yes</v>
      </c>
    </row>
    <row r="713">
      <c r="A713" s="5" t="str">
        <f>IFERROR(__xludf.DUMMYFUNCTION("""COMPUTED_VALUE"""),"TripleWildCrown")</f>
        <v>TripleWildCrown</v>
      </c>
      <c r="B71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3" s="5" t="str">
        <f>IFERROR(__xludf.DUMMYFUNCTION("""COMPUTED_VALUE"""),"Yes")</f>
        <v>Yes</v>
      </c>
      <c r="D713" s="5" t="str">
        <f>IFERROR(__xludf.DUMMYFUNCTION("""COMPUTED_VALUE"""),"Yes")</f>
        <v>Yes</v>
      </c>
      <c r="E713" s="5" t="str">
        <f>IFERROR(__xludf.DUMMYFUNCTION("""COMPUTED_VALUE"""),"Yes")</f>
        <v>Yes</v>
      </c>
      <c r="F713" s="5" t="str">
        <f>IFERROR(__xludf.DUMMYFUNCTION("""COMPUTED_VALUE"""),"Yes")</f>
        <v>Yes</v>
      </c>
      <c r="G713" s="5" t="str">
        <f>IFERROR(__xludf.DUMMYFUNCTION("""COMPUTED_VALUE"""),"Yes")</f>
        <v>Yes</v>
      </c>
      <c r="H713" s="5" t="str">
        <f>IFERROR(__xludf.DUMMYFUNCTION("""COMPUTED_VALUE"""),"Yes")</f>
        <v>Yes</v>
      </c>
      <c r="I713" s="5" t="str">
        <f>IFERROR(__xludf.DUMMYFUNCTION("""COMPUTED_VALUE"""),"Yes")</f>
        <v>Yes</v>
      </c>
      <c r="J713" s="5" t="str">
        <f>IFERROR(__xludf.DUMMYFUNCTION("""COMPUTED_VALUE"""),"Yes")</f>
        <v>Yes</v>
      </c>
      <c r="K713" s="5" t="str">
        <f>IFERROR(__xludf.DUMMYFUNCTION("""COMPUTED_VALUE"""),"Yes")</f>
        <v>Yes</v>
      </c>
      <c r="L713" s="5" t="str">
        <f>IFERROR(__xludf.DUMMYFUNCTION("""COMPUTED_VALUE"""),"Yes")</f>
        <v>Yes</v>
      </c>
      <c r="M713" s="5" t="str">
        <f>IFERROR(__xludf.DUMMYFUNCTION("""COMPUTED_VALUE"""),"Yes")</f>
        <v>Yes</v>
      </c>
      <c r="N713" s="5" t="str">
        <f>IFERROR(__xludf.DUMMYFUNCTION("""COMPUTED_VALUE"""),"Yes")</f>
        <v>Yes</v>
      </c>
      <c r="O713" s="5" t="str">
        <f>IFERROR(__xludf.DUMMYFUNCTION("""COMPUTED_VALUE"""),"Yes")</f>
        <v>Yes</v>
      </c>
      <c r="P713" s="5" t="str">
        <f>IFERROR(__xludf.DUMMYFUNCTION("""COMPUTED_VALUE"""),"Yes")</f>
        <v>Yes</v>
      </c>
      <c r="Q713" s="5" t="str">
        <f>IFERROR(__xludf.DUMMYFUNCTION("""COMPUTED_VALUE"""),"Yes")</f>
        <v>Yes</v>
      </c>
      <c r="R713" s="5" t="str">
        <f>IFERROR(__xludf.DUMMYFUNCTION("""COMPUTED_VALUE"""),"Yes")</f>
        <v>Yes</v>
      </c>
      <c r="S713" s="5" t="str">
        <f>IFERROR(__xludf.DUMMYFUNCTION("""COMPUTED_VALUE"""),"Yes")</f>
        <v>Yes</v>
      </c>
      <c r="T713" s="5" t="str">
        <f>IFERROR(__xludf.DUMMYFUNCTION("""COMPUTED_VALUE"""),"Yes")</f>
        <v>Yes</v>
      </c>
      <c r="U713" s="5" t="str">
        <f>IFERROR(__xludf.DUMMYFUNCTION("""COMPUTED_VALUE"""),"Yes")</f>
        <v>Yes</v>
      </c>
      <c r="V713" s="5" t="str">
        <f>IFERROR(__xludf.DUMMYFUNCTION("""COMPUTED_VALUE"""),"Yes")</f>
        <v>Yes</v>
      </c>
      <c r="W713" s="5" t="str">
        <f>IFERROR(__xludf.DUMMYFUNCTION("""COMPUTED_VALUE"""),"Yes")</f>
        <v>Yes</v>
      </c>
      <c r="X713" s="5" t="str">
        <f>IFERROR(__xludf.DUMMYFUNCTION("""COMPUTED_VALUE"""),"Yes")</f>
        <v>Yes</v>
      </c>
      <c r="Y713" s="5" t="str">
        <f>IFERROR(__xludf.DUMMYFUNCTION("""COMPUTED_VALUE"""),"Yes")</f>
        <v>Yes</v>
      </c>
      <c r="Z713" s="5" t="str">
        <f>IFERROR(__xludf.DUMMYFUNCTION("""COMPUTED_VALUE"""),"Yes")</f>
        <v>Yes</v>
      </c>
      <c r="AA713" s="5" t="str">
        <f>IFERROR(__xludf.DUMMYFUNCTION("""COMPUTED_VALUE"""),"Yes")</f>
        <v>Yes</v>
      </c>
      <c r="AB713" s="5" t="str">
        <f>IFERROR(__xludf.DUMMYFUNCTION("""COMPUTED_VALUE"""),"Yes")</f>
        <v>Yes</v>
      </c>
      <c r="AC713" s="5" t="str">
        <f>IFERROR(__xludf.DUMMYFUNCTION("""COMPUTED_VALUE"""),"No")</f>
        <v>No</v>
      </c>
    </row>
    <row r="714">
      <c r="A714" s="5" t="str">
        <f>IFERROR(__xludf.DUMMYFUNCTION("""COMPUTED_VALUE"""),"BonusRoyalCrownExtralines")</f>
        <v>BonusRoyalCrownExtralines</v>
      </c>
      <c r="B71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4" s="5" t="str">
        <f>IFERROR(__xludf.DUMMYFUNCTION("""COMPUTED_VALUE"""),"Yes")</f>
        <v>Yes</v>
      </c>
      <c r="D714" s="5" t="str">
        <f>IFERROR(__xludf.DUMMYFUNCTION("""COMPUTED_VALUE"""),"Yes")</f>
        <v>Yes</v>
      </c>
      <c r="E714" s="5" t="str">
        <f>IFERROR(__xludf.DUMMYFUNCTION("""COMPUTED_VALUE"""),"Yes")</f>
        <v>Yes</v>
      </c>
      <c r="F714" s="5" t="str">
        <f>IFERROR(__xludf.DUMMYFUNCTION("""COMPUTED_VALUE"""),"Yes")</f>
        <v>Yes</v>
      </c>
      <c r="G714" s="5" t="str">
        <f>IFERROR(__xludf.DUMMYFUNCTION("""COMPUTED_VALUE"""),"Yes")</f>
        <v>Yes</v>
      </c>
      <c r="H714" s="5" t="str">
        <f>IFERROR(__xludf.DUMMYFUNCTION("""COMPUTED_VALUE"""),"Yes")</f>
        <v>Yes</v>
      </c>
      <c r="I714" s="5" t="str">
        <f>IFERROR(__xludf.DUMMYFUNCTION("""COMPUTED_VALUE"""),"Yes")</f>
        <v>Yes</v>
      </c>
      <c r="J714" s="5" t="str">
        <f>IFERROR(__xludf.DUMMYFUNCTION("""COMPUTED_VALUE"""),"Yes")</f>
        <v>Yes</v>
      </c>
      <c r="K714" s="5" t="str">
        <f>IFERROR(__xludf.DUMMYFUNCTION("""COMPUTED_VALUE"""),"Yes")</f>
        <v>Yes</v>
      </c>
      <c r="L714" s="5" t="str">
        <f>IFERROR(__xludf.DUMMYFUNCTION("""COMPUTED_VALUE"""),"Yes")</f>
        <v>Yes</v>
      </c>
      <c r="M714" s="5" t="str">
        <f>IFERROR(__xludf.DUMMYFUNCTION("""COMPUTED_VALUE"""),"Yes")</f>
        <v>Yes</v>
      </c>
      <c r="N714" s="5" t="str">
        <f>IFERROR(__xludf.DUMMYFUNCTION("""COMPUTED_VALUE"""),"Yes")</f>
        <v>Yes</v>
      </c>
      <c r="O714" s="5" t="str">
        <f>IFERROR(__xludf.DUMMYFUNCTION("""COMPUTED_VALUE"""),"Yes")</f>
        <v>Yes</v>
      </c>
      <c r="P714" s="5" t="str">
        <f>IFERROR(__xludf.DUMMYFUNCTION("""COMPUTED_VALUE"""),"Yes")</f>
        <v>Yes</v>
      </c>
      <c r="Q714" s="5" t="str">
        <f>IFERROR(__xludf.DUMMYFUNCTION("""COMPUTED_VALUE"""),"Yes")</f>
        <v>Yes</v>
      </c>
      <c r="R714" s="5" t="str">
        <f>IFERROR(__xludf.DUMMYFUNCTION("""COMPUTED_VALUE"""),"Yes")</f>
        <v>Yes</v>
      </c>
      <c r="S714" s="5" t="str">
        <f>IFERROR(__xludf.DUMMYFUNCTION("""COMPUTED_VALUE"""),"Yes")</f>
        <v>Yes</v>
      </c>
      <c r="T714" s="5" t="str">
        <f>IFERROR(__xludf.DUMMYFUNCTION("""COMPUTED_VALUE"""),"Yes")</f>
        <v>Yes</v>
      </c>
      <c r="U714" s="5" t="str">
        <f>IFERROR(__xludf.DUMMYFUNCTION("""COMPUTED_VALUE"""),"Yes")</f>
        <v>Yes</v>
      </c>
      <c r="V714" s="5" t="str">
        <f>IFERROR(__xludf.DUMMYFUNCTION("""COMPUTED_VALUE"""),"Yes")</f>
        <v>Yes</v>
      </c>
      <c r="W714" s="5" t="str">
        <f>IFERROR(__xludf.DUMMYFUNCTION("""COMPUTED_VALUE"""),"Yes")</f>
        <v>Yes</v>
      </c>
      <c r="X714" s="5" t="str">
        <f>IFERROR(__xludf.DUMMYFUNCTION("""COMPUTED_VALUE"""),"Yes")</f>
        <v>Yes</v>
      </c>
      <c r="Y714" s="5" t="str">
        <f>IFERROR(__xludf.DUMMYFUNCTION("""COMPUTED_VALUE"""),"Yes")</f>
        <v>Yes</v>
      </c>
      <c r="Z714" s="5" t="str">
        <f>IFERROR(__xludf.DUMMYFUNCTION("""COMPUTED_VALUE"""),"Yes")</f>
        <v>Yes</v>
      </c>
      <c r="AA714" s="5" t="str">
        <f>IFERROR(__xludf.DUMMYFUNCTION("""COMPUTED_VALUE"""),"Yes")</f>
        <v>Yes</v>
      </c>
      <c r="AB714" s="5" t="str">
        <f>IFERROR(__xludf.DUMMYFUNCTION("""COMPUTED_VALUE"""),"Yes")</f>
        <v>Yes</v>
      </c>
      <c r="AC714" s="5" t="str">
        <f>IFERROR(__xludf.DUMMYFUNCTION("""COMPUTED_VALUE"""),"Yes")</f>
        <v>Yes</v>
      </c>
    </row>
    <row r="715">
      <c r="A715" s="5" t="str">
        <f>IFERROR(__xludf.DUMMYFUNCTION("""COMPUTED_VALUE"""),"BonusEpicWildExtralines")</f>
        <v>BonusEpicWildExtralines</v>
      </c>
      <c r="B71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5" s="5" t="str">
        <f>IFERROR(__xludf.DUMMYFUNCTION("""COMPUTED_VALUE"""),"Yes")</f>
        <v>Yes</v>
      </c>
      <c r="D715" s="5" t="str">
        <f>IFERROR(__xludf.DUMMYFUNCTION("""COMPUTED_VALUE"""),"Yes")</f>
        <v>Yes</v>
      </c>
      <c r="E715" s="5" t="str">
        <f>IFERROR(__xludf.DUMMYFUNCTION("""COMPUTED_VALUE"""),"Yes")</f>
        <v>Yes</v>
      </c>
      <c r="F715" s="5" t="str">
        <f>IFERROR(__xludf.DUMMYFUNCTION("""COMPUTED_VALUE"""),"Yes")</f>
        <v>Yes</v>
      </c>
      <c r="G715" s="5" t="str">
        <f>IFERROR(__xludf.DUMMYFUNCTION("""COMPUTED_VALUE"""),"Yes")</f>
        <v>Yes</v>
      </c>
      <c r="H715" s="5" t="str">
        <f>IFERROR(__xludf.DUMMYFUNCTION("""COMPUTED_VALUE"""),"Yes")</f>
        <v>Yes</v>
      </c>
      <c r="I715" s="5" t="str">
        <f>IFERROR(__xludf.DUMMYFUNCTION("""COMPUTED_VALUE"""),"Yes")</f>
        <v>Yes</v>
      </c>
      <c r="J715" s="5" t="str">
        <f>IFERROR(__xludf.DUMMYFUNCTION("""COMPUTED_VALUE"""),"Yes")</f>
        <v>Yes</v>
      </c>
      <c r="K715" s="5" t="str">
        <f>IFERROR(__xludf.DUMMYFUNCTION("""COMPUTED_VALUE"""),"Yes")</f>
        <v>Yes</v>
      </c>
      <c r="L715" s="5" t="str">
        <f>IFERROR(__xludf.DUMMYFUNCTION("""COMPUTED_VALUE"""),"Yes")</f>
        <v>Yes</v>
      </c>
      <c r="M715" s="5" t="str">
        <f>IFERROR(__xludf.DUMMYFUNCTION("""COMPUTED_VALUE"""),"Yes")</f>
        <v>Yes</v>
      </c>
      <c r="N715" s="5" t="str">
        <f>IFERROR(__xludf.DUMMYFUNCTION("""COMPUTED_VALUE"""),"Yes")</f>
        <v>Yes</v>
      </c>
      <c r="O715" s="5" t="str">
        <f>IFERROR(__xludf.DUMMYFUNCTION("""COMPUTED_VALUE"""),"Yes")</f>
        <v>Yes</v>
      </c>
      <c r="P715" s="5" t="str">
        <f>IFERROR(__xludf.DUMMYFUNCTION("""COMPUTED_VALUE"""),"Yes")</f>
        <v>Yes</v>
      </c>
      <c r="Q715" s="5" t="str">
        <f>IFERROR(__xludf.DUMMYFUNCTION("""COMPUTED_VALUE"""),"Yes")</f>
        <v>Yes</v>
      </c>
      <c r="R715" s="5" t="str">
        <f>IFERROR(__xludf.DUMMYFUNCTION("""COMPUTED_VALUE"""),"Yes")</f>
        <v>Yes</v>
      </c>
      <c r="S715" s="5" t="str">
        <f>IFERROR(__xludf.DUMMYFUNCTION("""COMPUTED_VALUE"""),"Yes")</f>
        <v>Yes</v>
      </c>
      <c r="T715" s="5" t="str">
        <f>IFERROR(__xludf.DUMMYFUNCTION("""COMPUTED_VALUE"""),"Yes")</f>
        <v>Yes</v>
      </c>
      <c r="U715" s="5" t="str">
        <f>IFERROR(__xludf.DUMMYFUNCTION("""COMPUTED_VALUE"""),"Yes")</f>
        <v>Yes</v>
      </c>
      <c r="V715" s="5" t="str">
        <f>IFERROR(__xludf.DUMMYFUNCTION("""COMPUTED_VALUE"""),"Yes")</f>
        <v>Yes</v>
      </c>
      <c r="W715" s="5" t="str">
        <f>IFERROR(__xludf.DUMMYFUNCTION("""COMPUTED_VALUE"""),"Yes")</f>
        <v>Yes</v>
      </c>
      <c r="X715" s="5" t="str">
        <f>IFERROR(__xludf.DUMMYFUNCTION("""COMPUTED_VALUE"""),"Yes")</f>
        <v>Yes</v>
      </c>
      <c r="Y715" s="5" t="str">
        <f>IFERROR(__xludf.DUMMYFUNCTION("""COMPUTED_VALUE"""),"Yes")</f>
        <v>Yes</v>
      </c>
      <c r="Z715" s="5" t="str">
        <f>IFERROR(__xludf.DUMMYFUNCTION("""COMPUTED_VALUE"""),"Yes")</f>
        <v>Yes</v>
      </c>
      <c r="AA715" s="5" t="str">
        <f>IFERROR(__xludf.DUMMYFUNCTION("""COMPUTED_VALUE"""),"Yes")</f>
        <v>Yes</v>
      </c>
      <c r="AB715" s="5" t="str">
        <f>IFERROR(__xludf.DUMMYFUNCTION("""COMPUTED_VALUE"""),"Yes")</f>
        <v>Yes</v>
      </c>
      <c r="AC715" s="5" t="str">
        <f>IFERROR(__xludf.DUMMYFUNCTION("""COMPUTED_VALUE"""),"No")</f>
        <v>No</v>
      </c>
    </row>
    <row r="716">
      <c r="A716" s="5" t="str">
        <f>IFERROR(__xludf.DUMMYFUNCTION("""COMPUTED_VALUE"""),"VeryHot10Extreme")</f>
        <v>VeryHot10Extreme</v>
      </c>
      <c r="B716" s="5" t="str">
        <f>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Swahili(""swa""), Polish(""pol""), Latvian(""lav""), Lithuanian(""lit""), Ukrainian("""&amp;"ukr"")")</f>
        <v>English("eng"), Serbian(""srp","srb""), Montenegrian("mne"), Bulgarian("bul"), Spanish("spa"), Portuguese("por"), Italian("ita"), Romanian("rum/ron"), Croatian("hrv"), French("fre/fra"), German("ger/deu"), Dutch("dut/nld"), Turkish("tur"), Greek("gre/ell"), Czech("cze/ces"), Hungarian("hun"), N. Macedonian("mkd/mac"), Finnish("fin"), Armenian("arm/hye"), Social English("sen"), Swahili("swa"), Polish("pol"), Latvian("lav"), Lithuanian("lit"), Ukrainian("ukr")</v>
      </c>
      <c r="C716" s="5" t="str">
        <f>IFERROR(__xludf.DUMMYFUNCTION("""COMPUTED_VALUE"""),"Yes")</f>
        <v>Yes</v>
      </c>
      <c r="D716" s="5" t="str">
        <f>IFERROR(__xludf.DUMMYFUNCTION("""COMPUTED_VALUE"""),"Yes")</f>
        <v>Yes</v>
      </c>
      <c r="E716" s="5" t="str">
        <f>IFERROR(__xludf.DUMMYFUNCTION("""COMPUTED_VALUE"""),"Yes")</f>
        <v>Yes</v>
      </c>
      <c r="F716" s="5" t="str">
        <f>IFERROR(__xludf.DUMMYFUNCTION("""COMPUTED_VALUE"""),"Yes")</f>
        <v>Yes</v>
      </c>
      <c r="G716" s="5" t="str">
        <f>IFERROR(__xludf.DUMMYFUNCTION("""COMPUTED_VALUE"""),"Yes")</f>
        <v>Yes</v>
      </c>
      <c r="H716" s="5" t="str">
        <f>IFERROR(__xludf.DUMMYFUNCTION("""COMPUTED_VALUE"""),"Yes")</f>
        <v>Yes</v>
      </c>
      <c r="I716" s="5" t="str">
        <f>IFERROR(__xludf.DUMMYFUNCTION("""COMPUTED_VALUE"""),"Yes")</f>
        <v>Yes</v>
      </c>
      <c r="J716" s="5" t="str">
        <f>IFERROR(__xludf.DUMMYFUNCTION("""COMPUTED_VALUE"""),"Yes")</f>
        <v>Yes</v>
      </c>
      <c r="K716" s="5" t="str">
        <f>IFERROR(__xludf.DUMMYFUNCTION("""COMPUTED_VALUE"""),"Yes")</f>
        <v>Yes</v>
      </c>
      <c r="L716" s="5" t="str">
        <f>IFERROR(__xludf.DUMMYFUNCTION("""COMPUTED_VALUE"""),"Yes")</f>
        <v>Yes</v>
      </c>
      <c r="M716" s="5" t="str">
        <f>IFERROR(__xludf.DUMMYFUNCTION("""COMPUTED_VALUE"""),"Yes")</f>
        <v>Yes</v>
      </c>
      <c r="N716" s="5" t="str">
        <f>IFERROR(__xludf.DUMMYFUNCTION("""COMPUTED_VALUE"""),"Yes")</f>
        <v>Yes</v>
      </c>
      <c r="O716" s="5" t="str">
        <f>IFERROR(__xludf.DUMMYFUNCTION("""COMPUTED_VALUE"""),"Yes")</f>
        <v>Yes</v>
      </c>
      <c r="P716" s="5" t="str">
        <f>IFERROR(__xludf.DUMMYFUNCTION("""COMPUTED_VALUE"""),"Yes")</f>
        <v>Yes</v>
      </c>
      <c r="Q716" s="5"/>
      <c r="R716" s="5" t="str">
        <f>IFERROR(__xludf.DUMMYFUNCTION("""COMPUTED_VALUE"""),"Yes")</f>
        <v>Yes</v>
      </c>
      <c r="S716" s="5" t="str">
        <f>IFERROR(__xludf.DUMMYFUNCTION("""COMPUTED_VALUE"""),"Yes")</f>
        <v>Yes</v>
      </c>
      <c r="T716" s="5" t="str">
        <f>IFERROR(__xludf.DUMMYFUNCTION("""COMPUTED_VALUE"""),"Yes")</f>
        <v>Yes</v>
      </c>
      <c r="U716" s="5" t="str">
        <f>IFERROR(__xludf.DUMMYFUNCTION("""COMPUTED_VALUE"""),"Yes")</f>
        <v>Yes</v>
      </c>
      <c r="V716" s="5" t="str">
        <f>IFERROR(__xludf.DUMMYFUNCTION("""COMPUTED_VALUE"""),"Yes")</f>
        <v>Yes</v>
      </c>
      <c r="W716" s="5" t="str">
        <f>IFERROR(__xludf.DUMMYFUNCTION("""COMPUTED_VALUE"""),"Yes")</f>
        <v>Yes</v>
      </c>
      <c r="X716" s="5" t="str">
        <f>IFERROR(__xludf.DUMMYFUNCTION("""COMPUTED_VALUE"""),"Yes")</f>
        <v>Yes</v>
      </c>
      <c r="Y716" s="5" t="str">
        <f>IFERROR(__xludf.DUMMYFUNCTION("""COMPUTED_VALUE"""),"Yes")</f>
        <v>Yes</v>
      </c>
      <c r="Z716" s="5" t="str">
        <f>IFERROR(__xludf.DUMMYFUNCTION("""COMPUTED_VALUE"""),"Yes")</f>
        <v>Yes</v>
      </c>
      <c r="AA716" s="5" t="str">
        <f>IFERROR(__xludf.DUMMYFUNCTION("""COMPUTED_VALUE"""),"Yes")</f>
        <v>Yes</v>
      </c>
      <c r="AB716" s="5" t="str">
        <f>IFERROR(__xludf.DUMMYFUNCTION("""COMPUTED_VALUE"""),"Yes")</f>
        <v>Yes</v>
      </c>
      <c r="AC716" s="5"/>
    </row>
    <row r="717">
      <c r="A717" s="5" t="str">
        <f>IFERROR(__xludf.DUMMYFUNCTION("""COMPUTED_VALUE"""),"VeryHot20Extreme")</f>
        <v>VeryHot20Extreme</v>
      </c>
      <c r="B71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7" s="5" t="str">
        <f>IFERROR(__xludf.DUMMYFUNCTION("""COMPUTED_VALUE"""),"Yes")</f>
        <v>Yes</v>
      </c>
      <c r="D717" s="5" t="str">
        <f>IFERROR(__xludf.DUMMYFUNCTION("""COMPUTED_VALUE"""),"Yes")</f>
        <v>Yes</v>
      </c>
      <c r="E717" s="5" t="str">
        <f>IFERROR(__xludf.DUMMYFUNCTION("""COMPUTED_VALUE"""),"Yes")</f>
        <v>Yes</v>
      </c>
      <c r="F717" s="5" t="str">
        <f>IFERROR(__xludf.DUMMYFUNCTION("""COMPUTED_VALUE"""),"Yes")</f>
        <v>Yes</v>
      </c>
      <c r="G717" s="5" t="str">
        <f>IFERROR(__xludf.DUMMYFUNCTION("""COMPUTED_VALUE"""),"Yes")</f>
        <v>Yes</v>
      </c>
      <c r="H717" s="5" t="str">
        <f>IFERROR(__xludf.DUMMYFUNCTION("""COMPUTED_VALUE"""),"Yes")</f>
        <v>Yes</v>
      </c>
      <c r="I717" s="5" t="str">
        <f>IFERROR(__xludf.DUMMYFUNCTION("""COMPUTED_VALUE"""),"Yes")</f>
        <v>Yes</v>
      </c>
      <c r="J717" s="5" t="str">
        <f>IFERROR(__xludf.DUMMYFUNCTION("""COMPUTED_VALUE"""),"Yes")</f>
        <v>Yes</v>
      </c>
      <c r="K717" s="5" t="str">
        <f>IFERROR(__xludf.DUMMYFUNCTION("""COMPUTED_VALUE"""),"Yes")</f>
        <v>Yes</v>
      </c>
      <c r="L717" s="5" t="str">
        <f>IFERROR(__xludf.DUMMYFUNCTION("""COMPUTED_VALUE"""),"Yes")</f>
        <v>Yes</v>
      </c>
      <c r="M717" s="5" t="str">
        <f>IFERROR(__xludf.DUMMYFUNCTION("""COMPUTED_VALUE"""),"Yes")</f>
        <v>Yes</v>
      </c>
      <c r="N717" s="5" t="str">
        <f>IFERROR(__xludf.DUMMYFUNCTION("""COMPUTED_VALUE"""),"Yes")</f>
        <v>Yes</v>
      </c>
      <c r="O717" s="5" t="str">
        <f>IFERROR(__xludf.DUMMYFUNCTION("""COMPUTED_VALUE"""),"Yes")</f>
        <v>Yes</v>
      </c>
      <c r="P717" s="5" t="str">
        <f>IFERROR(__xludf.DUMMYFUNCTION("""COMPUTED_VALUE"""),"Yes")</f>
        <v>Yes</v>
      </c>
      <c r="Q717" s="5" t="str">
        <f>IFERROR(__xludf.DUMMYFUNCTION("""COMPUTED_VALUE"""),"Yes")</f>
        <v>Yes</v>
      </c>
      <c r="R717" s="5" t="str">
        <f>IFERROR(__xludf.DUMMYFUNCTION("""COMPUTED_VALUE"""),"Yes")</f>
        <v>Yes</v>
      </c>
      <c r="S717" s="5" t="str">
        <f>IFERROR(__xludf.DUMMYFUNCTION("""COMPUTED_VALUE"""),"Yes")</f>
        <v>Yes</v>
      </c>
      <c r="T717" s="5" t="str">
        <f>IFERROR(__xludf.DUMMYFUNCTION("""COMPUTED_VALUE"""),"Yes")</f>
        <v>Yes</v>
      </c>
      <c r="U717" s="5" t="str">
        <f>IFERROR(__xludf.DUMMYFUNCTION("""COMPUTED_VALUE"""),"Yes")</f>
        <v>Yes</v>
      </c>
      <c r="V717" s="5" t="str">
        <f>IFERROR(__xludf.DUMMYFUNCTION("""COMPUTED_VALUE"""),"Yes")</f>
        <v>Yes</v>
      </c>
      <c r="W717" s="5" t="str">
        <f>IFERROR(__xludf.DUMMYFUNCTION("""COMPUTED_VALUE"""),"Yes")</f>
        <v>Yes</v>
      </c>
      <c r="X717" s="5" t="str">
        <f>IFERROR(__xludf.DUMMYFUNCTION("""COMPUTED_VALUE"""),"Yes")</f>
        <v>Yes</v>
      </c>
      <c r="Y717" s="5" t="str">
        <f>IFERROR(__xludf.DUMMYFUNCTION("""COMPUTED_VALUE"""),"Yes")</f>
        <v>Yes</v>
      </c>
      <c r="Z717" s="5" t="str">
        <f>IFERROR(__xludf.DUMMYFUNCTION("""COMPUTED_VALUE"""),"Yes")</f>
        <v>Yes</v>
      </c>
      <c r="AA717" s="5" t="str">
        <f>IFERROR(__xludf.DUMMYFUNCTION("""COMPUTED_VALUE"""),"Yes")</f>
        <v>Yes</v>
      </c>
      <c r="AB717" s="5" t="str">
        <f>IFERROR(__xludf.DUMMYFUNCTION("""COMPUTED_VALUE"""),"Yes")</f>
        <v>Yes</v>
      </c>
      <c r="AC717" s="5" t="str">
        <f>IFERROR(__xludf.DUMMYFUNCTION("""COMPUTED_VALUE"""),"No")</f>
        <v>No</v>
      </c>
    </row>
    <row r="718">
      <c r="A718" s="5" t="str">
        <f>IFERROR(__xludf.DUMMYFUNCTION("""COMPUTED_VALUE"""),"VeryHot20ExtremeBooster")</f>
        <v>VeryHot20ExtremeBooster</v>
      </c>
      <c r="B71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8" s="5" t="str">
        <f>IFERROR(__xludf.DUMMYFUNCTION("""COMPUTED_VALUE"""),"Yes")</f>
        <v>Yes</v>
      </c>
      <c r="D718" s="5" t="str">
        <f>IFERROR(__xludf.DUMMYFUNCTION("""COMPUTED_VALUE"""),"Yes")</f>
        <v>Yes</v>
      </c>
      <c r="E718" s="5" t="str">
        <f>IFERROR(__xludf.DUMMYFUNCTION("""COMPUTED_VALUE"""),"Yes")</f>
        <v>Yes</v>
      </c>
      <c r="F718" s="5" t="str">
        <f>IFERROR(__xludf.DUMMYFUNCTION("""COMPUTED_VALUE"""),"Yes")</f>
        <v>Yes</v>
      </c>
      <c r="G718" s="5" t="str">
        <f>IFERROR(__xludf.DUMMYFUNCTION("""COMPUTED_VALUE"""),"Yes")</f>
        <v>Yes</v>
      </c>
      <c r="H718" s="5" t="str">
        <f>IFERROR(__xludf.DUMMYFUNCTION("""COMPUTED_VALUE"""),"Yes")</f>
        <v>Yes</v>
      </c>
      <c r="I718" s="5" t="str">
        <f>IFERROR(__xludf.DUMMYFUNCTION("""COMPUTED_VALUE"""),"Yes")</f>
        <v>Yes</v>
      </c>
      <c r="J718" s="5" t="str">
        <f>IFERROR(__xludf.DUMMYFUNCTION("""COMPUTED_VALUE"""),"Yes")</f>
        <v>Yes</v>
      </c>
      <c r="K718" s="5" t="str">
        <f>IFERROR(__xludf.DUMMYFUNCTION("""COMPUTED_VALUE"""),"Yes")</f>
        <v>Yes</v>
      </c>
      <c r="L718" s="5" t="str">
        <f>IFERROR(__xludf.DUMMYFUNCTION("""COMPUTED_VALUE"""),"Yes")</f>
        <v>Yes</v>
      </c>
      <c r="M718" s="5" t="str">
        <f>IFERROR(__xludf.DUMMYFUNCTION("""COMPUTED_VALUE"""),"Yes")</f>
        <v>Yes</v>
      </c>
      <c r="N718" s="5" t="str">
        <f>IFERROR(__xludf.DUMMYFUNCTION("""COMPUTED_VALUE"""),"Yes")</f>
        <v>Yes</v>
      </c>
      <c r="O718" s="5" t="str">
        <f>IFERROR(__xludf.DUMMYFUNCTION("""COMPUTED_VALUE"""),"Yes")</f>
        <v>Yes</v>
      </c>
      <c r="P718" s="5" t="str">
        <f>IFERROR(__xludf.DUMMYFUNCTION("""COMPUTED_VALUE"""),"Yes")</f>
        <v>Yes</v>
      </c>
      <c r="Q718" s="5" t="str">
        <f>IFERROR(__xludf.DUMMYFUNCTION("""COMPUTED_VALUE"""),"Yes")</f>
        <v>Yes</v>
      </c>
      <c r="R718" s="5" t="str">
        <f>IFERROR(__xludf.DUMMYFUNCTION("""COMPUTED_VALUE"""),"Yes")</f>
        <v>Yes</v>
      </c>
      <c r="S718" s="5" t="str">
        <f>IFERROR(__xludf.DUMMYFUNCTION("""COMPUTED_VALUE"""),"Yes")</f>
        <v>Yes</v>
      </c>
      <c r="T718" s="5" t="str">
        <f>IFERROR(__xludf.DUMMYFUNCTION("""COMPUTED_VALUE"""),"Yes")</f>
        <v>Yes</v>
      </c>
      <c r="U718" s="5" t="str">
        <f>IFERROR(__xludf.DUMMYFUNCTION("""COMPUTED_VALUE"""),"Yes")</f>
        <v>Yes</v>
      </c>
      <c r="V718" s="5" t="str">
        <f>IFERROR(__xludf.DUMMYFUNCTION("""COMPUTED_VALUE"""),"Yes")</f>
        <v>Yes</v>
      </c>
      <c r="W718" s="5" t="str">
        <f>IFERROR(__xludf.DUMMYFUNCTION("""COMPUTED_VALUE"""),"Yes")</f>
        <v>Yes</v>
      </c>
      <c r="X718" s="5" t="str">
        <f>IFERROR(__xludf.DUMMYFUNCTION("""COMPUTED_VALUE"""),"Yes")</f>
        <v>Yes</v>
      </c>
      <c r="Y718" s="5" t="str">
        <f>IFERROR(__xludf.DUMMYFUNCTION("""COMPUTED_VALUE"""),"Yes")</f>
        <v>Yes</v>
      </c>
      <c r="Z718" s="5" t="str">
        <f>IFERROR(__xludf.DUMMYFUNCTION("""COMPUTED_VALUE"""),"Yes")</f>
        <v>Yes</v>
      </c>
      <c r="AA718" s="5" t="str">
        <f>IFERROR(__xludf.DUMMYFUNCTION("""COMPUTED_VALUE"""),"Yes")</f>
        <v>Yes</v>
      </c>
      <c r="AB718" s="5" t="str">
        <f>IFERROR(__xludf.DUMMYFUNCTION("""COMPUTED_VALUE"""),"Yes")</f>
        <v>Yes</v>
      </c>
      <c r="AC718" s="5" t="str">
        <f>IFERROR(__xludf.DUMMYFUNCTION("""COMPUTED_VALUE"""),"No")</f>
        <v>No</v>
      </c>
    </row>
    <row r="719">
      <c r="A719" s="5" t="str">
        <f>IFERROR(__xludf.DUMMYFUNCTION("""COMPUTED_VALUE"""),"VeryHot10ExtremeBooster")</f>
        <v>VeryHot10ExtremeBooster</v>
      </c>
      <c r="B71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9" s="5" t="str">
        <f>IFERROR(__xludf.DUMMYFUNCTION("""COMPUTED_VALUE"""),"Yes")</f>
        <v>Yes</v>
      </c>
      <c r="D719" s="5" t="str">
        <f>IFERROR(__xludf.DUMMYFUNCTION("""COMPUTED_VALUE"""),"Yes")</f>
        <v>Yes</v>
      </c>
      <c r="E719" s="5" t="str">
        <f>IFERROR(__xludf.DUMMYFUNCTION("""COMPUTED_VALUE"""),"Yes")</f>
        <v>Yes</v>
      </c>
      <c r="F719" s="5" t="str">
        <f>IFERROR(__xludf.DUMMYFUNCTION("""COMPUTED_VALUE"""),"Yes")</f>
        <v>Yes</v>
      </c>
      <c r="G719" s="5" t="str">
        <f>IFERROR(__xludf.DUMMYFUNCTION("""COMPUTED_VALUE"""),"Yes")</f>
        <v>Yes</v>
      </c>
      <c r="H719" s="5" t="str">
        <f>IFERROR(__xludf.DUMMYFUNCTION("""COMPUTED_VALUE"""),"Yes")</f>
        <v>Yes</v>
      </c>
      <c r="I719" s="5" t="str">
        <f>IFERROR(__xludf.DUMMYFUNCTION("""COMPUTED_VALUE"""),"Yes")</f>
        <v>Yes</v>
      </c>
      <c r="J719" s="5" t="str">
        <f>IFERROR(__xludf.DUMMYFUNCTION("""COMPUTED_VALUE"""),"Yes")</f>
        <v>Yes</v>
      </c>
      <c r="K719" s="5" t="str">
        <f>IFERROR(__xludf.DUMMYFUNCTION("""COMPUTED_VALUE"""),"Yes")</f>
        <v>Yes</v>
      </c>
      <c r="L719" s="5" t="str">
        <f>IFERROR(__xludf.DUMMYFUNCTION("""COMPUTED_VALUE"""),"Yes")</f>
        <v>Yes</v>
      </c>
      <c r="M719" s="5" t="str">
        <f>IFERROR(__xludf.DUMMYFUNCTION("""COMPUTED_VALUE"""),"Yes")</f>
        <v>Yes</v>
      </c>
      <c r="N719" s="5" t="str">
        <f>IFERROR(__xludf.DUMMYFUNCTION("""COMPUTED_VALUE"""),"Yes")</f>
        <v>Yes</v>
      </c>
      <c r="O719" s="5" t="str">
        <f>IFERROR(__xludf.DUMMYFUNCTION("""COMPUTED_VALUE"""),"Yes")</f>
        <v>Yes</v>
      </c>
      <c r="P719" s="5" t="str">
        <f>IFERROR(__xludf.DUMMYFUNCTION("""COMPUTED_VALUE"""),"Yes")</f>
        <v>Yes</v>
      </c>
      <c r="Q719" s="5" t="str">
        <f>IFERROR(__xludf.DUMMYFUNCTION("""COMPUTED_VALUE"""),"Yes")</f>
        <v>Yes</v>
      </c>
      <c r="R719" s="5" t="str">
        <f>IFERROR(__xludf.DUMMYFUNCTION("""COMPUTED_VALUE"""),"Yes")</f>
        <v>Yes</v>
      </c>
      <c r="S719" s="5" t="str">
        <f>IFERROR(__xludf.DUMMYFUNCTION("""COMPUTED_VALUE"""),"Yes")</f>
        <v>Yes</v>
      </c>
      <c r="T719" s="5" t="str">
        <f>IFERROR(__xludf.DUMMYFUNCTION("""COMPUTED_VALUE"""),"Yes")</f>
        <v>Yes</v>
      </c>
      <c r="U719" s="5" t="str">
        <f>IFERROR(__xludf.DUMMYFUNCTION("""COMPUTED_VALUE"""),"Yes")</f>
        <v>Yes</v>
      </c>
      <c r="V719" s="5" t="str">
        <f>IFERROR(__xludf.DUMMYFUNCTION("""COMPUTED_VALUE"""),"Yes")</f>
        <v>Yes</v>
      </c>
      <c r="W719" s="5" t="str">
        <f>IFERROR(__xludf.DUMMYFUNCTION("""COMPUTED_VALUE"""),"Yes")</f>
        <v>Yes</v>
      </c>
      <c r="X719" s="5" t="str">
        <f>IFERROR(__xludf.DUMMYFUNCTION("""COMPUTED_VALUE"""),"Yes")</f>
        <v>Yes</v>
      </c>
      <c r="Y719" s="5" t="str">
        <f>IFERROR(__xludf.DUMMYFUNCTION("""COMPUTED_VALUE"""),"Yes")</f>
        <v>Yes</v>
      </c>
      <c r="Z719" s="5" t="str">
        <f>IFERROR(__xludf.DUMMYFUNCTION("""COMPUTED_VALUE"""),"Yes")</f>
        <v>Yes</v>
      </c>
      <c r="AA719" s="5" t="str">
        <f>IFERROR(__xludf.DUMMYFUNCTION("""COMPUTED_VALUE"""),"Yes")</f>
        <v>Yes</v>
      </c>
      <c r="AB719" s="5" t="str">
        <f>IFERROR(__xludf.DUMMYFUNCTION("""COMPUTED_VALUE"""),"Yes")</f>
        <v>Yes</v>
      </c>
      <c r="AC719" s="5" t="str">
        <f>IFERROR(__xludf.DUMMYFUNCTION("""COMPUTED_VALUE"""),"No")</f>
        <v>No</v>
      </c>
    </row>
    <row r="720">
      <c r="A720" s="5" t="str">
        <f>IFERROR(__xludf.DUMMYFUNCTION("""COMPUTED_VALUE"""),"VeryHot100Extreme")</f>
        <v>VeryHot100Extreme</v>
      </c>
      <c r="B72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0" s="5" t="str">
        <f>IFERROR(__xludf.DUMMYFUNCTION("""COMPUTED_VALUE"""),"Yes")</f>
        <v>Yes</v>
      </c>
      <c r="D720" s="5" t="str">
        <f>IFERROR(__xludf.DUMMYFUNCTION("""COMPUTED_VALUE"""),"Yes")</f>
        <v>Yes</v>
      </c>
      <c r="E720" s="5" t="str">
        <f>IFERROR(__xludf.DUMMYFUNCTION("""COMPUTED_VALUE"""),"Yes")</f>
        <v>Yes</v>
      </c>
      <c r="F720" s="5" t="str">
        <f>IFERROR(__xludf.DUMMYFUNCTION("""COMPUTED_VALUE"""),"Yes")</f>
        <v>Yes</v>
      </c>
      <c r="G720" s="5" t="str">
        <f>IFERROR(__xludf.DUMMYFUNCTION("""COMPUTED_VALUE"""),"Yes")</f>
        <v>Yes</v>
      </c>
      <c r="H720" s="5" t="str">
        <f>IFERROR(__xludf.DUMMYFUNCTION("""COMPUTED_VALUE"""),"Yes")</f>
        <v>Yes</v>
      </c>
      <c r="I720" s="5" t="str">
        <f>IFERROR(__xludf.DUMMYFUNCTION("""COMPUTED_VALUE"""),"Yes")</f>
        <v>Yes</v>
      </c>
      <c r="J720" s="5" t="str">
        <f>IFERROR(__xludf.DUMMYFUNCTION("""COMPUTED_VALUE"""),"Yes")</f>
        <v>Yes</v>
      </c>
      <c r="K720" s="5" t="str">
        <f>IFERROR(__xludf.DUMMYFUNCTION("""COMPUTED_VALUE"""),"Yes")</f>
        <v>Yes</v>
      </c>
      <c r="L720" s="5" t="str">
        <f>IFERROR(__xludf.DUMMYFUNCTION("""COMPUTED_VALUE"""),"Yes")</f>
        <v>Yes</v>
      </c>
      <c r="M720" s="5" t="str">
        <f>IFERROR(__xludf.DUMMYFUNCTION("""COMPUTED_VALUE"""),"Yes")</f>
        <v>Yes</v>
      </c>
      <c r="N720" s="5" t="str">
        <f>IFERROR(__xludf.DUMMYFUNCTION("""COMPUTED_VALUE"""),"Yes")</f>
        <v>Yes</v>
      </c>
      <c r="O720" s="5" t="str">
        <f>IFERROR(__xludf.DUMMYFUNCTION("""COMPUTED_VALUE"""),"Yes")</f>
        <v>Yes</v>
      </c>
      <c r="P720" s="5" t="str">
        <f>IFERROR(__xludf.DUMMYFUNCTION("""COMPUTED_VALUE"""),"Yes")</f>
        <v>Yes</v>
      </c>
      <c r="Q720" s="5" t="str">
        <f>IFERROR(__xludf.DUMMYFUNCTION("""COMPUTED_VALUE"""),"Yes")</f>
        <v>Yes</v>
      </c>
      <c r="R720" s="5" t="str">
        <f>IFERROR(__xludf.DUMMYFUNCTION("""COMPUTED_VALUE"""),"Yes")</f>
        <v>Yes</v>
      </c>
      <c r="S720" s="5" t="str">
        <f>IFERROR(__xludf.DUMMYFUNCTION("""COMPUTED_VALUE"""),"Yes")</f>
        <v>Yes</v>
      </c>
      <c r="T720" s="5" t="str">
        <f>IFERROR(__xludf.DUMMYFUNCTION("""COMPUTED_VALUE"""),"Yes")</f>
        <v>Yes</v>
      </c>
      <c r="U720" s="5" t="str">
        <f>IFERROR(__xludf.DUMMYFUNCTION("""COMPUTED_VALUE"""),"Yes")</f>
        <v>Yes</v>
      </c>
      <c r="V720" s="5" t="str">
        <f>IFERROR(__xludf.DUMMYFUNCTION("""COMPUTED_VALUE"""),"Yes")</f>
        <v>Yes</v>
      </c>
      <c r="W720" s="5" t="str">
        <f>IFERROR(__xludf.DUMMYFUNCTION("""COMPUTED_VALUE"""),"Yes")</f>
        <v>Yes</v>
      </c>
      <c r="X720" s="5" t="str">
        <f>IFERROR(__xludf.DUMMYFUNCTION("""COMPUTED_VALUE"""),"Yes")</f>
        <v>Yes</v>
      </c>
      <c r="Y720" s="5" t="str">
        <f>IFERROR(__xludf.DUMMYFUNCTION("""COMPUTED_VALUE"""),"Yes")</f>
        <v>Yes</v>
      </c>
      <c r="Z720" s="5" t="str">
        <f>IFERROR(__xludf.DUMMYFUNCTION("""COMPUTED_VALUE"""),"Yes")</f>
        <v>Yes</v>
      </c>
      <c r="AA720" s="5" t="str">
        <f>IFERROR(__xludf.DUMMYFUNCTION("""COMPUTED_VALUE"""),"Yes")</f>
        <v>Yes</v>
      </c>
      <c r="AB720" s="5" t="str">
        <f>IFERROR(__xludf.DUMMYFUNCTION("""COMPUTED_VALUE"""),"Yes")</f>
        <v>Yes</v>
      </c>
      <c r="AC720" s="5" t="str">
        <f>IFERROR(__xludf.DUMMYFUNCTION("""COMPUTED_VALUE"""),"No")</f>
        <v>No</v>
      </c>
    </row>
    <row r="721">
      <c r="A721" s="5" t="str">
        <f>IFERROR(__xludf.DUMMYFUNCTION("""COMPUTED_VALUE"""),"VeryHot100ExtremeBooster")</f>
        <v>VeryHot100ExtremeBooster</v>
      </c>
      <c r="B72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1" s="5" t="str">
        <f>IFERROR(__xludf.DUMMYFUNCTION("""COMPUTED_VALUE"""),"Yes")</f>
        <v>Yes</v>
      </c>
      <c r="D721" s="5" t="str">
        <f>IFERROR(__xludf.DUMMYFUNCTION("""COMPUTED_VALUE"""),"Yes")</f>
        <v>Yes</v>
      </c>
      <c r="E721" s="5" t="str">
        <f>IFERROR(__xludf.DUMMYFUNCTION("""COMPUTED_VALUE"""),"Yes")</f>
        <v>Yes</v>
      </c>
      <c r="F721" s="5" t="str">
        <f>IFERROR(__xludf.DUMMYFUNCTION("""COMPUTED_VALUE"""),"Yes")</f>
        <v>Yes</v>
      </c>
      <c r="G721" s="5" t="str">
        <f>IFERROR(__xludf.DUMMYFUNCTION("""COMPUTED_VALUE"""),"Yes")</f>
        <v>Yes</v>
      </c>
      <c r="H721" s="5" t="str">
        <f>IFERROR(__xludf.DUMMYFUNCTION("""COMPUTED_VALUE"""),"Yes")</f>
        <v>Yes</v>
      </c>
      <c r="I721" s="5" t="str">
        <f>IFERROR(__xludf.DUMMYFUNCTION("""COMPUTED_VALUE"""),"Yes")</f>
        <v>Yes</v>
      </c>
      <c r="J721" s="5" t="str">
        <f>IFERROR(__xludf.DUMMYFUNCTION("""COMPUTED_VALUE"""),"Yes")</f>
        <v>Yes</v>
      </c>
      <c r="K721" s="5" t="str">
        <f>IFERROR(__xludf.DUMMYFUNCTION("""COMPUTED_VALUE"""),"Yes")</f>
        <v>Yes</v>
      </c>
      <c r="L721" s="5" t="str">
        <f>IFERROR(__xludf.DUMMYFUNCTION("""COMPUTED_VALUE"""),"Yes")</f>
        <v>Yes</v>
      </c>
      <c r="M721" s="5" t="str">
        <f>IFERROR(__xludf.DUMMYFUNCTION("""COMPUTED_VALUE"""),"Yes")</f>
        <v>Yes</v>
      </c>
      <c r="N721" s="5" t="str">
        <f>IFERROR(__xludf.DUMMYFUNCTION("""COMPUTED_VALUE"""),"Yes")</f>
        <v>Yes</v>
      </c>
      <c r="O721" s="5" t="str">
        <f>IFERROR(__xludf.DUMMYFUNCTION("""COMPUTED_VALUE"""),"Yes")</f>
        <v>Yes</v>
      </c>
      <c r="P721" s="5" t="str">
        <f>IFERROR(__xludf.DUMMYFUNCTION("""COMPUTED_VALUE"""),"Yes")</f>
        <v>Yes</v>
      </c>
      <c r="Q721" s="5" t="str">
        <f>IFERROR(__xludf.DUMMYFUNCTION("""COMPUTED_VALUE"""),"Yes")</f>
        <v>Yes</v>
      </c>
      <c r="R721" s="5" t="str">
        <f>IFERROR(__xludf.DUMMYFUNCTION("""COMPUTED_VALUE"""),"Yes")</f>
        <v>Yes</v>
      </c>
      <c r="S721" s="5" t="str">
        <f>IFERROR(__xludf.DUMMYFUNCTION("""COMPUTED_VALUE"""),"Yes")</f>
        <v>Yes</v>
      </c>
      <c r="T721" s="5" t="str">
        <f>IFERROR(__xludf.DUMMYFUNCTION("""COMPUTED_VALUE"""),"Yes")</f>
        <v>Yes</v>
      </c>
      <c r="U721" s="5" t="str">
        <f>IFERROR(__xludf.DUMMYFUNCTION("""COMPUTED_VALUE"""),"Yes")</f>
        <v>Yes</v>
      </c>
      <c r="V721" s="5" t="str">
        <f>IFERROR(__xludf.DUMMYFUNCTION("""COMPUTED_VALUE"""),"Yes")</f>
        <v>Yes</v>
      </c>
      <c r="W721" s="5" t="str">
        <f>IFERROR(__xludf.DUMMYFUNCTION("""COMPUTED_VALUE"""),"Yes")</f>
        <v>Yes</v>
      </c>
      <c r="X721" s="5" t="str">
        <f>IFERROR(__xludf.DUMMYFUNCTION("""COMPUTED_VALUE"""),"Yes")</f>
        <v>Yes</v>
      </c>
      <c r="Y721" s="5" t="str">
        <f>IFERROR(__xludf.DUMMYFUNCTION("""COMPUTED_VALUE"""),"Yes")</f>
        <v>Yes</v>
      </c>
      <c r="Z721" s="5" t="str">
        <f>IFERROR(__xludf.DUMMYFUNCTION("""COMPUTED_VALUE"""),"Yes")</f>
        <v>Yes</v>
      </c>
      <c r="AA721" s="5" t="str">
        <f>IFERROR(__xludf.DUMMYFUNCTION("""COMPUTED_VALUE"""),"Yes")</f>
        <v>Yes</v>
      </c>
      <c r="AB721" s="5" t="str">
        <f>IFERROR(__xludf.DUMMYFUNCTION("""COMPUTED_VALUE"""),"Yes")</f>
        <v>Yes</v>
      </c>
      <c r="AC721" s="5" t="str">
        <f>IFERROR(__xludf.DUMMYFUNCTION("""COMPUTED_VALUE"""),"No")</f>
        <v>No</v>
      </c>
    </row>
    <row r="722">
      <c r="A722" s="5" t="str">
        <f>IFERROR(__xludf.DUMMYFUNCTION("""COMPUTED_VALUE"""),"OnDemandRoulette")</f>
        <v>OnDemandRoulette</v>
      </c>
      <c r="B72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2" s="5" t="str">
        <f>IFERROR(__xludf.DUMMYFUNCTION("""COMPUTED_VALUE"""),"Yes")</f>
        <v>Yes</v>
      </c>
      <c r="D722" s="5" t="str">
        <f>IFERROR(__xludf.DUMMYFUNCTION("""COMPUTED_VALUE"""),"Yes")</f>
        <v>Yes</v>
      </c>
      <c r="E722" s="5" t="str">
        <f>IFERROR(__xludf.DUMMYFUNCTION("""COMPUTED_VALUE"""),"Yes")</f>
        <v>Yes</v>
      </c>
      <c r="F722" s="5" t="str">
        <f>IFERROR(__xludf.DUMMYFUNCTION("""COMPUTED_VALUE"""),"Yes")</f>
        <v>Yes</v>
      </c>
      <c r="G722" s="5" t="str">
        <f>IFERROR(__xludf.DUMMYFUNCTION("""COMPUTED_VALUE"""),"Yes")</f>
        <v>Yes</v>
      </c>
      <c r="H722" s="5" t="str">
        <f>IFERROR(__xludf.DUMMYFUNCTION("""COMPUTED_VALUE"""),"Yes")</f>
        <v>Yes</v>
      </c>
      <c r="I722" s="5" t="str">
        <f>IFERROR(__xludf.DUMMYFUNCTION("""COMPUTED_VALUE"""),"Yes")</f>
        <v>Yes</v>
      </c>
      <c r="J722" s="5" t="str">
        <f>IFERROR(__xludf.DUMMYFUNCTION("""COMPUTED_VALUE"""),"Yes")</f>
        <v>Yes</v>
      </c>
      <c r="K722" s="5" t="str">
        <f>IFERROR(__xludf.DUMMYFUNCTION("""COMPUTED_VALUE"""),"Yes")</f>
        <v>Yes</v>
      </c>
      <c r="L722" s="5" t="str">
        <f>IFERROR(__xludf.DUMMYFUNCTION("""COMPUTED_VALUE"""),"Yes")</f>
        <v>Yes</v>
      </c>
      <c r="M722" s="5" t="str">
        <f>IFERROR(__xludf.DUMMYFUNCTION("""COMPUTED_VALUE"""),"Yes")</f>
        <v>Yes</v>
      </c>
      <c r="N722" s="5" t="str">
        <f>IFERROR(__xludf.DUMMYFUNCTION("""COMPUTED_VALUE"""),"Yes")</f>
        <v>Yes</v>
      </c>
      <c r="O722" s="5" t="str">
        <f>IFERROR(__xludf.DUMMYFUNCTION("""COMPUTED_VALUE"""),"Yes")</f>
        <v>Yes</v>
      </c>
      <c r="P722" s="5" t="str">
        <f>IFERROR(__xludf.DUMMYFUNCTION("""COMPUTED_VALUE"""),"Yes")</f>
        <v>Yes</v>
      </c>
      <c r="Q722" s="5" t="str">
        <f>IFERROR(__xludf.DUMMYFUNCTION("""COMPUTED_VALUE"""),"Yes")</f>
        <v>Yes</v>
      </c>
      <c r="R722" s="5" t="str">
        <f>IFERROR(__xludf.DUMMYFUNCTION("""COMPUTED_VALUE"""),"Yes")</f>
        <v>Yes</v>
      </c>
      <c r="S722" s="5" t="str">
        <f>IFERROR(__xludf.DUMMYFUNCTION("""COMPUTED_VALUE"""),"Yes")</f>
        <v>Yes</v>
      </c>
      <c r="T722" s="5" t="str">
        <f>IFERROR(__xludf.DUMMYFUNCTION("""COMPUTED_VALUE"""),"Yes")</f>
        <v>Yes</v>
      </c>
      <c r="U722" s="5" t="str">
        <f>IFERROR(__xludf.DUMMYFUNCTION("""COMPUTED_VALUE"""),"Yes")</f>
        <v>Yes</v>
      </c>
      <c r="V722" s="5" t="str">
        <f>IFERROR(__xludf.DUMMYFUNCTION("""COMPUTED_VALUE"""),"Yes")</f>
        <v>Yes</v>
      </c>
      <c r="W722" s="5" t="str">
        <f>IFERROR(__xludf.DUMMYFUNCTION("""COMPUTED_VALUE"""),"Yes")</f>
        <v>Yes</v>
      </c>
      <c r="X722" s="5" t="str">
        <f>IFERROR(__xludf.DUMMYFUNCTION("""COMPUTED_VALUE"""),"Yes")</f>
        <v>Yes</v>
      </c>
      <c r="Y722" s="5" t="str">
        <f>IFERROR(__xludf.DUMMYFUNCTION("""COMPUTED_VALUE"""),"Yes")</f>
        <v>Yes</v>
      </c>
      <c r="Z722" s="5" t="str">
        <f>IFERROR(__xludf.DUMMYFUNCTION("""COMPUTED_VALUE"""),"Yes")</f>
        <v>Yes</v>
      </c>
      <c r="AA722" s="5" t="str">
        <f>IFERROR(__xludf.DUMMYFUNCTION("""COMPUTED_VALUE"""),"Yes")</f>
        <v>Yes</v>
      </c>
      <c r="AB722" s="5" t="str">
        <f>IFERROR(__xludf.DUMMYFUNCTION("""COMPUTED_VALUE"""),"Yes")</f>
        <v>Yes</v>
      </c>
      <c r="AC722" s="5" t="str">
        <f>IFERROR(__xludf.DUMMYFUNCTION("""COMPUTED_VALUE"""),"No")</f>
        <v>No</v>
      </c>
    </row>
    <row r="723">
      <c r="A723" s="5" t="str">
        <f>IFERROR(__xludf.DUMMYFUNCTION("""COMPUTED_VALUE"""),"TBD")</f>
        <v>TBD</v>
      </c>
      <c r="B72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3" s="5" t="str">
        <f>IFERROR(__xludf.DUMMYFUNCTION("""COMPUTED_VALUE"""),"Yes")</f>
        <v>Yes</v>
      </c>
      <c r="D723" s="5" t="str">
        <f>IFERROR(__xludf.DUMMYFUNCTION("""COMPUTED_VALUE"""),"Yes")</f>
        <v>Yes</v>
      </c>
      <c r="E723" s="5" t="str">
        <f>IFERROR(__xludf.DUMMYFUNCTION("""COMPUTED_VALUE"""),"Yes")</f>
        <v>Yes</v>
      </c>
      <c r="F723" s="5" t="str">
        <f>IFERROR(__xludf.DUMMYFUNCTION("""COMPUTED_VALUE"""),"Yes")</f>
        <v>Yes</v>
      </c>
      <c r="G723" s="5" t="str">
        <f>IFERROR(__xludf.DUMMYFUNCTION("""COMPUTED_VALUE"""),"Yes")</f>
        <v>Yes</v>
      </c>
      <c r="H723" s="5" t="str">
        <f>IFERROR(__xludf.DUMMYFUNCTION("""COMPUTED_VALUE"""),"Yes")</f>
        <v>Yes</v>
      </c>
      <c r="I723" s="5" t="str">
        <f>IFERROR(__xludf.DUMMYFUNCTION("""COMPUTED_VALUE"""),"Yes")</f>
        <v>Yes</v>
      </c>
      <c r="J723" s="5" t="str">
        <f>IFERROR(__xludf.DUMMYFUNCTION("""COMPUTED_VALUE"""),"Yes")</f>
        <v>Yes</v>
      </c>
      <c r="K723" s="5" t="str">
        <f>IFERROR(__xludf.DUMMYFUNCTION("""COMPUTED_VALUE"""),"Yes")</f>
        <v>Yes</v>
      </c>
      <c r="L723" s="5" t="str">
        <f>IFERROR(__xludf.DUMMYFUNCTION("""COMPUTED_VALUE"""),"Yes")</f>
        <v>Yes</v>
      </c>
      <c r="M723" s="5" t="str">
        <f>IFERROR(__xludf.DUMMYFUNCTION("""COMPUTED_VALUE"""),"Yes")</f>
        <v>Yes</v>
      </c>
      <c r="N723" s="5" t="str">
        <f>IFERROR(__xludf.DUMMYFUNCTION("""COMPUTED_VALUE"""),"Yes")</f>
        <v>Yes</v>
      </c>
      <c r="O723" s="5" t="str">
        <f>IFERROR(__xludf.DUMMYFUNCTION("""COMPUTED_VALUE"""),"Yes")</f>
        <v>Yes</v>
      </c>
      <c r="P723" s="5" t="str">
        <f>IFERROR(__xludf.DUMMYFUNCTION("""COMPUTED_VALUE"""),"Yes")</f>
        <v>Yes</v>
      </c>
      <c r="Q723" s="5" t="str">
        <f>IFERROR(__xludf.DUMMYFUNCTION("""COMPUTED_VALUE"""),"Yes")</f>
        <v>Yes</v>
      </c>
      <c r="R723" s="5" t="str">
        <f>IFERROR(__xludf.DUMMYFUNCTION("""COMPUTED_VALUE"""),"Yes")</f>
        <v>Yes</v>
      </c>
      <c r="S723" s="5" t="str">
        <f>IFERROR(__xludf.DUMMYFUNCTION("""COMPUTED_VALUE"""),"Yes")</f>
        <v>Yes</v>
      </c>
      <c r="T723" s="5" t="str">
        <f>IFERROR(__xludf.DUMMYFUNCTION("""COMPUTED_VALUE"""),"Yes")</f>
        <v>Yes</v>
      </c>
      <c r="U723" s="5" t="str">
        <f>IFERROR(__xludf.DUMMYFUNCTION("""COMPUTED_VALUE"""),"Yes")</f>
        <v>Yes</v>
      </c>
      <c r="V723" s="5" t="str">
        <f>IFERROR(__xludf.DUMMYFUNCTION("""COMPUTED_VALUE"""),"Yes")</f>
        <v>Yes</v>
      </c>
      <c r="W723" s="5" t="str">
        <f>IFERROR(__xludf.DUMMYFUNCTION("""COMPUTED_VALUE"""),"Yes")</f>
        <v>Yes</v>
      </c>
      <c r="X723" s="5" t="str">
        <f>IFERROR(__xludf.DUMMYFUNCTION("""COMPUTED_VALUE"""),"Yes")</f>
        <v>Yes</v>
      </c>
      <c r="Y723" s="5" t="str">
        <f>IFERROR(__xludf.DUMMYFUNCTION("""COMPUTED_VALUE"""),"Yes")</f>
        <v>Yes</v>
      </c>
      <c r="Z723" s="5" t="str">
        <f>IFERROR(__xludf.DUMMYFUNCTION("""COMPUTED_VALUE"""),"Yes")</f>
        <v>Yes</v>
      </c>
      <c r="AA723" s="5" t="str">
        <f>IFERROR(__xludf.DUMMYFUNCTION("""COMPUTED_VALUE"""),"Yes")</f>
        <v>Yes</v>
      </c>
      <c r="AB723" s="5" t="str">
        <f>IFERROR(__xludf.DUMMYFUNCTION("""COMPUTED_VALUE"""),"Yes")</f>
        <v>Yes</v>
      </c>
      <c r="AC723" s="5" t="str">
        <f>IFERROR(__xludf.DUMMYFUNCTION("""COMPUTED_VALUE"""),"No")</f>
        <v>No</v>
      </c>
    </row>
    <row r="724">
      <c r="A724" s="5" t="str">
        <f>IFERROR(__xludf.DUMMYFUNCTION("""COMPUTED_VALUE"""),"Clover27")</f>
        <v>Clover27</v>
      </c>
      <c r="B72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4" s="5" t="str">
        <f>IFERROR(__xludf.DUMMYFUNCTION("""COMPUTED_VALUE"""),"Yes")</f>
        <v>Yes</v>
      </c>
      <c r="D724" s="5" t="str">
        <f>IFERROR(__xludf.DUMMYFUNCTION("""COMPUTED_VALUE"""),"Yes")</f>
        <v>Yes</v>
      </c>
      <c r="E724" s="5" t="str">
        <f>IFERROR(__xludf.DUMMYFUNCTION("""COMPUTED_VALUE"""),"Yes")</f>
        <v>Yes</v>
      </c>
      <c r="F724" s="5" t="str">
        <f>IFERROR(__xludf.DUMMYFUNCTION("""COMPUTED_VALUE"""),"Yes")</f>
        <v>Yes</v>
      </c>
      <c r="G724" s="5" t="str">
        <f>IFERROR(__xludf.DUMMYFUNCTION("""COMPUTED_VALUE"""),"Yes")</f>
        <v>Yes</v>
      </c>
      <c r="H724" s="5" t="str">
        <f>IFERROR(__xludf.DUMMYFUNCTION("""COMPUTED_VALUE"""),"Yes")</f>
        <v>Yes</v>
      </c>
      <c r="I724" s="5" t="str">
        <f>IFERROR(__xludf.DUMMYFUNCTION("""COMPUTED_VALUE"""),"Yes")</f>
        <v>Yes</v>
      </c>
      <c r="J724" s="5" t="str">
        <f>IFERROR(__xludf.DUMMYFUNCTION("""COMPUTED_VALUE"""),"Yes")</f>
        <v>Yes</v>
      </c>
      <c r="K724" s="5" t="str">
        <f>IFERROR(__xludf.DUMMYFUNCTION("""COMPUTED_VALUE"""),"Yes")</f>
        <v>Yes</v>
      </c>
      <c r="L724" s="5" t="str">
        <f>IFERROR(__xludf.DUMMYFUNCTION("""COMPUTED_VALUE"""),"Yes")</f>
        <v>Yes</v>
      </c>
      <c r="M724" s="5" t="str">
        <f>IFERROR(__xludf.DUMMYFUNCTION("""COMPUTED_VALUE"""),"Yes")</f>
        <v>Yes</v>
      </c>
      <c r="N724" s="5" t="str">
        <f>IFERROR(__xludf.DUMMYFUNCTION("""COMPUTED_VALUE"""),"Yes")</f>
        <v>Yes</v>
      </c>
      <c r="O724" s="5" t="str">
        <f>IFERROR(__xludf.DUMMYFUNCTION("""COMPUTED_VALUE"""),"Yes")</f>
        <v>Yes</v>
      </c>
      <c r="P724" s="5" t="str">
        <f>IFERROR(__xludf.DUMMYFUNCTION("""COMPUTED_VALUE"""),"Yes")</f>
        <v>Yes</v>
      </c>
      <c r="Q724" s="5" t="str">
        <f>IFERROR(__xludf.DUMMYFUNCTION("""COMPUTED_VALUE"""),"Yes")</f>
        <v>Yes</v>
      </c>
      <c r="R724" s="5" t="str">
        <f>IFERROR(__xludf.DUMMYFUNCTION("""COMPUTED_VALUE"""),"Yes")</f>
        <v>Yes</v>
      </c>
      <c r="S724" s="5" t="str">
        <f>IFERROR(__xludf.DUMMYFUNCTION("""COMPUTED_VALUE"""),"Yes")</f>
        <v>Yes</v>
      </c>
      <c r="T724" s="5" t="str">
        <f>IFERROR(__xludf.DUMMYFUNCTION("""COMPUTED_VALUE"""),"Yes")</f>
        <v>Yes</v>
      </c>
      <c r="U724" s="5" t="str">
        <f>IFERROR(__xludf.DUMMYFUNCTION("""COMPUTED_VALUE"""),"Yes")</f>
        <v>Yes</v>
      </c>
      <c r="V724" s="5" t="str">
        <f>IFERROR(__xludf.DUMMYFUNCTION("""COMPUTED_VALUE"""),"Yes")</f>
        <v>Yes</v>
      </c>
      <c r="W724" s="5" t="str">
        <f>IFERROR(__xludf.DUMMYFUNCTION("""COMPUTED_VALUE"""),"Yes")</f>
        <v>Yes</v>
      </c>
      <c r="X724" s="5" t="str">
        <f>IFERROR(__xludf.DUMMYFUNCTION("""COMPUTED_VALUE"""),"Yes")</f>
        <v>Yes</v>
      </c>
      <c r="Y724" s="5" t="str">
        <f>IFERROR(__xludf.DUMMYFUNCTION("""COMPUTED_VALUE"""),"Yes")</f>
        <v>Yes</v>
      </c>
      <c r="Z724" s="5" t="str">
        <f>IFERROR(__xludf.DUMMYFUNCTION("""COMPUTED_VALUE"""),"Yes")</f>
        <v>Yes</v>
      </c>
      <c r="AA724" s="5" t="str">
        <f>IFERROR(__xludf.DUMMYFUNCTION("""COMPUTED_VALUE"""),"Yes")</f>
        <v>Yes</v>
      </c>
      <c r="AB724" s="5" t="str">
        <f>IFERROR(__xludf.DUMMYFUNCTION("""COMPUTED_VALUE"""),"Yes")</f>
        <v>Yes</v>
      </c>
      <c r="AC724" s="5" t="str">
        <f>IFERROR(__xludf.DUMMYFUNCTION("""COMPUTED_VALUE"""),"No")</f>
        <v>No</v>
      </c>
    </row>
    <row r="725">
      <c r="A725" s="5" t="str">
        <f>IFERROR(__xludf.DUMMYFUNCTION("""COMPUTED_VALUE"""),"TBD")</f>
        <v>TBD</v>
      </c>
      <c r="B725" s="5" t="str">
        <f>IFERROR(__xludf.DUMMYFUNCTION("""COMPUTED_VALUE"""),"")</f>
        <v/>
      </c>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row>
    <row r="726">
      <c r="A726" s="5" t="str">
        <f>IFERROR(__xludf.DUMMYFUNCTION("""COMPUTED_VALUE"""),"TBD")</f>
        <v>TBD</v>
      </c>
      <c r="B726" s="5" t="str">
        <f>IFERROR(__xludf.DUMMYFUNCTION("""COMPUTED_VALUE"""),"")</f>
        <v/>
      </c>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row>
    <row r="727">
      <c r="A727" s="5" t="str">
        <f>IFERROR(__xludf.DUMMYFUNCTION("""COMPUTED_VALUE"""),"RedstoneXChilliHot")</f>
        <v>RedstoneXChilliHot</v>
      </c>
      <c r="B727"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7" s="5" t="str">
        <f>IFERROR(__xludf.DUMMYFUNCTION("""COMPUTED_VALUE"""),"Yes")</f>
        <v>Yes</v>
      </c>
      <c r="D727" s="5" t="str">
        <f>IFERROR(__xludf.DUMMYFUNCTION("""COMPUTED_VALUE"""),"Yes")</f>
        <v>Yes</v>
      </c>
      <c r="E727" s="5" t="str">
        <f>IFERROR(__xludf.DUMMYFUNCTION("""COMPUTED_VALUE"""),"Yes")</f>
        <v>Yes</v>
      </c>
      <c r="F727" s="5" t="str">
        <f>IFERROR(__xludf.DUMMYFUNCTION("""COMPUTED_VALUE"""),"Yes")</f>
        <v>Yes</v>
      </c>
      <c r="G727" s="5" t="str">
        <f>IFERROR(__xludf.DUMMYFUNCTION("""COMPUTED_VALUE"""),"Yes")</f>
        <v>Yes</v>
      </c>
      <c r="H727" s="5" t="str">
        <f>IFERROR(__xludf.DUMMYFUNCTION("""COMPUTED_VALUE"""),"Yes")</f>
        <v>Yes</v>
      </c>
      <c r="I727" s="5" t="str">
        <f>IFERROR(__xludf.DUMMYFUNCTION("""COMPUTED_VALUE"""),"Yes")</f>
        <v>Yes</v>
      </c>
      <c r="J727" s="5" t="str">
        <f>IFERROR(__xludf.DUMMYFUNCTION("""COMPUTED_VALUE"""),"Yes")</f>
        <v>Yes</v>
      </c>
      <c r="K727" s="5" t="str">
        <f>IFERROR(__xludf.DUMMYFUNCTION("""COMPUTED_VALUE"""),"Yes")</f>
        <v>Yes</v>
      </c>
      <c r="L727" s="5" t="str">
        <f>IFERROR(__xludf.DUMMYFUNCTION("""COMPUTED_VALUE"""),"Yes")</f>
        <v>Yes</v>
      </c>
      <c r="M727" s="5" t="str">
        <f>IFERROR(__xludf.DUMMYFUNCTION("""COMPUTED_VALUE"""),"Yes")</f>
        <v>Yes</v>
      </c>
      <c r="N727" s="5" t="str">
        <f>IFERROR(__xludf.DUMMYFUNCTION("""COMPUTED_VALUE"""),"Yes")</f>
        <v>Yes</v>
      </c>
      <c r="O727" s="5" t="str">
        <f>IFERROR(__xludf.DUMMYFUNCTION("""COMPUTED_VALUE"""),"Yes")</f>
        <v>Yes</v>
      </c>
      <c r="P727" s="5" t="str">
        <f>IFERROR(__xludf.DUMMYFUNCTION("""COMPUTED_VALUE"""),"Yes")</f>
        <v>Yes</v>
      </c>
      <c r="Q727" s="5" t="str">
        <f>IFERROR(__xludf.DUMMYFUNCTION("""COMPUTED_VALUE"""),"Yes")</f>
        <v>Yes</v>
      </c>
      <c r="R727" s="5" t="str">
        <f>IFERROR(__xludf.DUMMYFUNCTION("""COMPUTED_VALUE"""),"No")</f>
        <v>No</v>
      </c>
      <c r="S727" s="5" t="str">
        <f>IFERROR(__xludf.DUMMYFUNCTION("""COMPUTED_VALUE"""),"No")</f>
        <v>No</v>
      </c>
      <c r="T727" s="5" t="str">
        <f>IFERROR(__xludf.DUMMYFUNCTION("""COMPUTED_VALUE"""),"No")</f>
        <v>No</v>
      </c>
      <c r="U727" s="5" t="str">
        <f>IFERROR(__xludf.DUMMYFUNCTION("""COMPUTED_VALUE"""),"No")</f>
        <v>No</v>
      </c>
      <c r="V727" s="5" t="str">
        <f>IFERROR(__xludf.DUMMYFUNCTION("""COMPUTED_VALUE"""),"No")</f>
        <v>No</v>
      </c>
      <c r="W727" s="5" t="str">
        <f>IFERROR(__xludf.DUMMYFUNCTION("""COMPUTED_VALUE"""),"No")</f>
        <v>No</v>
      </c>
      <c r="X727" s="5" t="str">
        <f>IFERROR(__xludf.DUMMYFUNCTION("""COMPUTED_VALUE"""),"Yes")</f>
        <v>Yes</v>
      </c>
      <c r="Y727" s="5" t="str">
        <f>IFERROR(__xludf.DUMMYFUNCTION("""COMPUTED_VALUE"""),"No")</f>
        <v>No</v>
      </c>
      <c r="Z727" s="5" t="str">
        <f>IFERROR(__xludf.DUMMYFUNCTION("""COMPUTED_VALUE"""),"No")</f>
        <v>No</v>
      </c>
      <c r="AA727" s="5" t="str">
        <f>IFERROR(__xludf.DUMMYFUNCTION("""COMPUTED_VALUE"""),"No")</f>
        <v>No</v>
      </c>
      <c r="AB727" s="5" t="str">
        <f>IFERROR(__xludf.DUMMYFUNCTION("""COMPUTED_VALUE"""),"Yes")</f>
        <v>Yes</v>
      </c>
      <c r="AC727" s="5" t="str">
        <f>IFERROR(__xludf.DUMMYFUNCTION("""COMPUTED_VALUE"""),"No")</f>
        <v>No</v>
      </c>
    </row>
    <row r="728">
      <c r="A728" s="5" t="str">
        <f>IFERROR(__xludf.DUMMYFUNCTION("""COMPUTED_VALUE"""),"RedstoneXCrownFire")</f>
        <v>RedstoneXCrownFire</v>
      </c>
      <c r="B728"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8" s="5" t="str">
        <f>IFERROR(__xludf.DUMMYFUNCTION("""COMPUTED_VALUE"""),"Yes")</f>
        <v>Yes</v>
      </c>
      <c r="D728" s="5" t="str">
        <f>IFERROR(__xludf.DUMMYFUNCTION("""COMPUTED_VALUE"""),"Yes")</f>
        <v>Yes</v>
      </c>
      <c r="E728" s="5" t="str">
        <f>IFERROR(__xludf.DUMMYFUNCTION("""COMPUTED_VALUE"""),"Yes")</f>
        <v>Yes</v>
      </c>
      <c r="F728" s="5" t="str">
        <f>IFERROR(__xludf.DUMMYFUNCTION("""COMPUTED_VALUE"""),"Yes")</f>
        <v>Yes</v>
      </c>
      <c r="G728" s="5" t="str">
        <f>IFERROR(__xludf.DUMMYFUNCTION("""COMPUTED_VALUE"""),"Yes")</f>
        <v>Yes</v>
      </c>
      <c r="H728" s="5" t="str">
        <f>IFERROR(__xludf.DUMMYFUNCTION("""COMPUTED_VALUE"""),"Yes")</f>
        <v>Yes</v>
      </c>
      <c r="I728" s="5" t="str">
        <f>IFERROR(__xludf.DUMMYFUNCTION("""COMPUTED_VALUE"""),"Yes")</f>
        <v>Yes</v>
      </c>
      <c r="J728" s="5" t="str">
        <f>IFERROR(__xludf.DUMMYFUNCTION("""COMPUTED_VALUE"""),"Yes")</f>
        <v>Yes</v>
      </c>
      <c r="K728" s="5" t="str">
        <f>IFERROR(__xludf.DUMMYFUNCTION("""COMPUTED_VALUE"""),"Yes")</f>
        <v>Yes</v>
      </c>
      <c r="L728" s="5" t="str">
        <f>IFERROR(__xludf.DUMMYFUNCTION("""COMPUTED_VALUE"""),"Yes")</f>
        <v>Yes</v>
      </c>
      <c r="M728" s="5" t="str">
        <f>IFERROR(__xludf.DUMMYFUNCTION("""COMPUTED_VALUE"""),"Yes")</f>
        <v>Yes</v>
      </c>
      <c r="N728" s="5" t="str">
        <f>IFERROR(__xludf.DUMMYFUNCTION("""COMPUTED_VALUE"""),"Yes")</f>
        <v>Yes</v>
      </c>
      <c r="O728" s="5" t="str">
        <f>IFERROR(__xludf.DUMMYFUNCTION("""COMPUTED_VALUE"""),"Yes")</f>
        <v>Yes</v>
      </c>
      <c r="P728" s="5" t="str">
        <f>IFERROR(__xludf.DUMMYFUNCTION("""COMPUTED_VALUE"""),"Yes")</f>
        <v>Yes</v>
      </c>
      <c r="Q728" s="5" t="str">
        <f>IFERROR(__xludf.DUMMYFUNCTION("""COMPUTED_VALUE"""),"Yes")</f>
        <v>Yes</v>
      </c>
      <c r="R728" s="5" t="str">
        <f>IFERROR(__xludf.DUMMYFUNCTION("""COMPUTED_VALUE"""),"No")</f>
        <v>No</v>
      </c>
      <c r="S728" s="5" t="str">
        <f>IFERROR(__xludf.DUMMYFUNCTION("""COMPUTED_VALUE"""),"No")</f>
        <v>No</v>
      </c>
      <c r="T728" s="5" t="str">
        <f>IFERROR(__xludf.DUMMYFUNCTION("""COMPUTED_VALUE"""),"No")</f>
        <v>No</v>
      </c>
      <c r="U728" s="5" t="str">
        <f>IFERROR(__xludf.DUMMYFUNCTION("""COMPUTED_VALUE"""),"No")</f>
        <v>No</v>
      </c>
      <c r="V728" s="5" t="str">
        <f>IFERROR(__xludf.DUMMYFUNCTION("""COMPUTED_VALUE"""),"No")</f>
        <v>No</v>
      </c>
      <c r="W728" s="5" t="str">
        <f>IFERROR(__xludf.DUMMYFUNCTION("""COMPUTED_VALUE"""),"No")</f>
        <v>No</v>
      </c>
      <c r="X728" s="5" t="str">
        <f>IFERROR(__xludf.DUMMYFUNCTION("""COMPUTED_VALUE"""),"Yes")</f>
        <v>Yes</v>
      </c>
      <c r="Y728" s="5" t="str">
        <f>IFERROR(__xludf.DUMMYFUNCTION("""COMPUTED_VALUE"""),"No")</f>
        <v>No</v>
      </c>
      <c r="Z728" s="5" t="str">
        <f>IFERROR(__xludf.DUMMYFUNCTION("""COMPUTED_VALUE"""),"No")</f>
        <v>No</v>
      </c>
      <c r="AA728" s="5" t="str">
        <f>IFERROR(__xludf.DUMMYFUNCTION("""COMPUTED_VALUE"""),"No")</f>
        <v>No</v>
      </c>
      <c r="AB728" s="5" t="str">
        <f>IFERROR(__xludf.DUMMYFUNCTION("""COMPUTED_VALUE"""),"Yes")</f>
        <v>Yes</v>
      </c>
      <c r="AC728" s="5" t="str">
        <f>IFERROR(__xludf.DUMMYFUNCTION("""COMPUTED_VALUE"""),"No")</f>
        <v>No</v>
      </c>
    </row>
    <row r="729">
      <c r="A729" s="5" t="str">
        <f>IFERROR(__xludf.DUMMYFUNCTION("""COMPUTED_VALUE"""),"Redstone10CloverDeluxe")</f>
        <v>Redstone10CloverDeluxe</v>
      </c>
      <c r="B729"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9" s="5" t="str">
        <f>IFERROR(__xludf.DUMMYFUNCTION("""COMPUTED_VALUE"""),"Yes")</f>
        <v>Yes</v>
      </c>
      <c r="D729" s="5" t="str">
        <f>IFERROR(__xludf.DUMMYFUNCTION("""COMPUTED_VALUE"""),"Yes")</f>
        <v>Yes</v>
      </c>
      <c r="E729" s="5" t="str">
        <f>IFERROR(__xludf.DUMMYFUNCTION("""COMPUTED_VALUE"""),"Yes")</f>
        <v>Yes</v>
      </c>
      <c r="F729" s="5" t="str">
        <f>IFERROR(__xludf.DUMMYFUNCTION("""COMPUTED_VALUE"""),"Yes")</f>
        <v>Yes</v>
      </c>
      <c r="G729" s="5" t="str">
        <f>IFERROR(__xludf.DUMMYFUNCTION("""COMPUTED_VALUE"""),"Yes")</f>
        <v>Yes</v>
      </c>
      <c r="H729" s="5" t="str">
        <f>IFERROR(__xludf.DUMMYFUNCTION("""COMPUTED_VALUE"""),"Yes")</f>
        <v>Yes</v>
      </c>
      <c r="I729" s="5" t="str">
        <f>IFERROR(__xludf.DUMMYFUNCTION("""COMPUTED_VALUE"""),"Yes")</f>
        <v>Yes</v>
      </c>
      <c r="J729" s="5" t="str">
        <f>IFERROR(__xludf.DUMMYFUNCTION("""COMPUTED_VALUE"""),"Yes")</f>
        <v>Yes</v>
      </c>
      <c r="K729" s="5" t="str">
        <f>IFERROR(__xludf.DUMMYFUNCTION("""COMPUTED_VALUE"""),"Yes")</f>
        <v>Yes</v>
      </c>
      <c r="L729" s="5" t="str">
        <f>IFERROR(__xludf.DUMMYFUNCTION("""COMPUTED_VALUE"""),"Yes")</f>
        <v>Yes</v>
      </c>
      <c r="M729" s="5" t="str">
        <f>IFERROR(__xludf.DUMMYFUNCTION("""COMPUTED_VALUE"""),"Yes")</f>
        <v>Yes</v>
      </c>
      <c r="N729" s="5" t="str">
        <f>IFERROR(__xludf.DUMMYFUNCTION("""COMPUTED_VALUE"""),"Yes")</f>
        <v>Yes</v>
      </c>
      <c r="O729" s="5" t="str">
        <f>IFERROR(__xludf.DUMMYFUNCTION("""COMPUTED_VALUE"""),"Yes")</f>
        <v>Yes</v>
      </c>
      <c r="P729" s="5" t="str">
        <f>IFERROR(__xludf.DUMMYFUNCTION("""COMPUTED_VALUE"""),"Yes")</f>
        <v>Yes</v>
      </c>
      <c r="Q729" s="5" t="str">
        <f>IFERROR(__xludf.DUMMYFUNCTION("""COMPUTED_VALUE"""),"Yes")</f>
        <v>Yes</v>
      </c>
      <c r="R729" s="5" t="str">
        <f>IFERROR(__xludf.DUMMYFUNCTION("""COMPUTED_VALUE"""),"No")</f>
        <v>No</v>
      </c>
      <c r="S729" s="5" t="str">
        <f>IFERROR(__xludf.DUMMYFUNCTION("""COMPUTED_VALUE"""),"No")</f>
        <v>No</v>
      </c>
      <c r="T729" s="5" t="str">
        <f>IFERROR(__xludf.DUMMYFUNCTION("""COMPUTED_VALUE"""),"No")</f>
        <v>No</v>
      </c>
      <c r="U729" s="5" t="str">
        <f>IFERROR(__xludf.DUMMYFUNCTION("""COMPUTED_VALUE"""),"No")</f>
        <v>No</v>
      </c>
      <c r="V729" s="5" t="str">
        <f>IFERROR(__xludf.DUMMYFUNCTION("""COMPUTED_VALUE"""),"No")</f>
        <v>No</v>
      </c>
      <c r="W729" s="5" t="str">
        <f>IFERROR(__xludf.DUMMYFUNCTION("""COMPUTED_VALUE"""),"No")</f>
        <v>No</v>
      </c>
      <c r="X729" s="5" t="str">
        <f>IFERROR(__xludf.DUMMYFUNCTION("""COMPUTED_VALUE"""),"Yes")</f>
        <v>Yes</v>
      </c>
      <c r="Y729" s="5" t="str">
        <f>IFERROR(__xludf.DUMMYFUNCTION("""COMPUTED_VALUE"""),"No")</f>
        <v>No</v>
      </c>
      <c r="Z729" s="5" t="str">
        <f>IFERROR(__xludf.DUMMYFUNCTION("""COMPUTED_VALUE"""),"No")</f>
        <v>No</v>
      </c>
      <c r="AA729" s="5" t="str">
        <f>IFERROR(__xludf.DUMMYFUNCTION("""COMPUTED_VALUE"""),"No")</f>
        <v>No</v>
      </c>
      <c r="AB729" s="5" t="str">
        <f>IFERROR(__xludf.DUMMYFUNCTION("""COMPUTED_VALUE"""),"Yes")</f>
        <v>Yes</v>
      </c>
      <c r="AC729" s="5" t="str">
        <f>IFERROR(__xludf.DUMMYFUNCTION("""COMPUTED_VALUE"""),"No")</f>
        <v>No</v>
      </c>
    </row>
    <row r="730">
      <c r="A730" s="5" t="str">
        <f>IFERROR(__xludf.DUMMYFUNCTION("""COMPUTED_VALUE"""),"Redstone10CrownDeluxe")</f>
        <v>Redstone10CrownDeluxe</v>
      </c>
      <c r="B730"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0" s="5" t="str">
        <f>IFERROR(__xludf.DUMMYFUNCTION("""COMPUTED_VALUE"""),"Yes")</f>
        <v>Yes</v>
      </c>
      <c r="D730" s="5" t="str">
        <f>IFERROR(__xludf.DUMMYFUNCTION("""COMPUTED_VALUE"""),"Yes")</f>
        <v>Yes</v>
      </c>
      <c r="E730" s="5" t="str">
        <f>IFERROR(__xludf.DUMMYFUNCTION("""COMPUTED_VALUE"""),"Yes")</f>
        <v>Yes</v>
      </c>
      <c r="F730" s="5" t="str">
        <f>IFERROR(__xludf.DUMMYFUNCTION("""COMPUTED_VALUE"""),"Yes")</f>
        <v>Yes</v>
      </c>
      <c r="G730" s="5" t="str">
        <f>IFERROR(__xludf.DUMMYFUNCTION("""COMPUTED_VALUE"""),"Yes")</f>
        <v>Yes</v>
      </c>
      <c r="H730" s="5" t="str">
        <f>IFERROR(__xludf.DUMMYFUNCTION("""COMPUTED_VALUE"""),"Yes")</f>
        <v>Yes</v>
      </c>
      <c r="I730" s="5" t="str">
        <f>IFERROR(__xludf.DUMMYFUNCTION("""COMPUTED_VALUE"""),"Yes")</f>
        <v>Yes</v>
      </c>
      <c r="J730" s="5" t="str">
        <f>IFERROR(__xludf.DUMMYFUNCTION("""COMPUTED_VALUE"""),"Yes")</f>
        <v>Yes</v>
      </c>
      <c r="K730" s="5" t="str">
        <f>IFERROR(__xludf.DUMMYFUNCTION("""COMPUTED_VALUE"""),"Yes")</f>
        <v>Yes</v>
      </c>
      <c r="L730" s="5" t="str">
        <f>IFERROR(__xludf.DUMMYFUNCTION("""COMPUTED_VALUE"""),"Yes")</f>
        <v>Yes</v>
      </c>
      <c r="M730" s="5" t="str">
        <f>IFERROR(__xludf.DUMMYFUNCTION("""COMPUTED_VALUE"""),"Yes")</f>
        <v>Yes</v>
      </c>
      <c r="N730" s="5" t="str">
        <f>IFERROR(__xludf.DUMMYFUNCTION("""COMPUTED_VALUE"""),"Yes")</f>
        <v>Yes</v>
      </c>
      <c r="O730" s="5" t="str">
        <f>IFERROR(__xludf.DUMMYFUNCTION("""COMPUTED_VALUE"""),"Yes")</f>
        <v>Yes</v>
      </c>
      <c r="P730" s="5" t="str">
        <f>IFERROR(__xludf.DUMMYFUNCTION("""COMPUTED_VALUE"""),"Yes")</f>
        <v>Yes</v>
      </c>
      <c r="Q730" s="5" t="str">
        <f>IFERROR(__xludf.DUMMYFUNCTION("""COMPUTED_VALUE"""),"Yes")</f>
        <v>Yes</v>
      </c>
      <c r="R730" s="5" t="str">
        <f>IFERROR(__xludf.DUMMYFUNCTION("""COMPUTED_VALUE"""),"No")</f>
        <v>No</v>
      </c>
      <c r="S730" s="5" t="str">
        <f>IFERROR(__xludf.DUMMYFUNCTION("""COMPUTED_VALUE"""),"No")</f>
        <v>No</v>
      </c>
      <c r="T730" s="5" t="str">
        <f>IFERROR(__xludf.DUMMYFUNCTION("""COMPUTED_VALUE"""),"No")</f>
        <v>No</v>
      </c>
      <c r="U730" s="5" t="str">
        <f>IFERROR(__xludf.DUMMYFUNCTION("""COMPUTED_VALUE"""),"No")</f>
        <v>No</v>
      </c>
      <c r="V730" s="5" t="str">
        <f>IFERROR(__xludf.DUMMYFUNCTION("""COMPUTED_VALUE"""),"No")</f>
        <v>No</v>
      </c>
      <c r="W730" s="5" t="str">
        <f>IFERROR(__xludf.DUMMYFUNCTION("""COMPUTED_VALUE"""),"No")</f>
        <v>No</v>
      </c>
      <c r="X730" s="5" t="str">
        <f>IFERROR(__xludf.DUMMYFUNCTION("""COMPUTED_VALUE"""),"Yes")</f>
        <v>Yes</v>
      </c>
      <c r="Y730" s="5" t="str">
        <f>IFERROR(__xludf.DUMMYFUNCTION("""COMPUTED_VALUE"""),"No")</f>
        <v>No</v>
      </c>
      <c r="Z730" s="5" t="str">
        <f>IFERROR(__xludf.DUMMYFUNCTION("""COMPUTED_VALUE"""),"No")</f>
        <v>No</v>
      </c>
      <c r="AA730" s="5" t="str">
        <f>IFERROR(__xludf.DUMMYFUNCTION("""COMPUTED_VALUE"""),"No")</f>
        <v>No</v>
      </c>
      <c r="AB730" s="5" t="str">
        <f>IFERROR(__xludf.DUMMYFUNCTION("""COMPUTED_VALUE"""),"Yes")</f>
        <v>Yes</v>
      </c>
      <c r="AC730" s="5" t="str">
        <f>IFERROR(__xludf.DUMMYFUNCTION("""COMPUTED_VALUE"""),"No")</f>
        <v>No</v>
      </c>
    </row>
    <row r="731">
      <c r="A731" s="5" t="str">
        <f>IFERROR(__xludf.DUMMYFUNCTION("""COMPUTED_VALUE"""),"Redstone10HeartDeluxe")</f>
        <v>Redstone10HeartDeluxe</v>
      </c>
      <c r="B731"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1" s="5" t="str">
        <f>IFERROR(__xludf.DUMMYFUNCTION("""COMPUTED_VALUE"""),"Yes")</f>
        <v>Yes</v>
      </c>
      <c r="D731" s="5" t="str">
        <f>IFERROR(__xludf.DUMMYFUNCTION("""COMPUTED_VALUE"""),"Yes")</f>
        <v>Yes</v>
      </c>
      <c r="E731" s="5" t="str">
        <f>IFERROR(__xludf.DUMMYFUNCTION("""COMPUTED_VALUE"""),"Yes")</f>
        <v>Yes</v>
      </c>
      <c r="F731" s="5" t="str">
        <f>IFERROR(__xludf.DUMMYFUNCTION("""COMPUTED_VALUE"""),"Yes")</f>
        <v>Yes</v>
      </c>
      <c r="G731" s="5" t="str">
        <f>IFERROR(__xludf.DUMMYFUNCTION("""COMPUTED_VALUE"""),"Yes")</f>
        <v>Yes</v>
      </c>
      <c r="H731" s="5" t="str">
        <f>IFERROR(__xludf.DUMMYFUNCTION("""COMPUTED_VALUE"""),"Yes")</f>
        <v>Yes</v>
      </c>
      <c r="I731" s="5" t="str">
        <f>IFERROR(__xludf.DUMMYFUNCTION("""COMPUTED_VALUE"""),"Yes")</f>
        <v>Yes</v>
      </c>
      <c r="J731" s="5" t="str">
        <f>IFERROR(__xludf.DUMMYFUNCTION("""COMPUTED_VALUE"""),"Yes")</f>
        <v>Yes</v>
      </c>
      <c r="K731" s="5" t="str">
        <f>IFERROR(__xludf.DUMMYFUNCTION("""COMPUTED_VALUE"""),"Yes")</f>
        <v>Yes</v>
      </c>
      <c r="L731" s="5" t="str">
        <f>IFERROR(__xludf.DUMMYFUNCTION("""COMPUTED_VALUE"""),"Yes")</f>
        <v>Yes</v>
      </c>
      <c r="M731" s="5" t="str">
        <f>IFERROR(__xludf.DUMMYFUNCTION("""COMPUTED_VALUE"""),"Yes")</f>
        <v>Yes</v>
      </c>
      <c r="N731" s="5" t="str">
        <f>IFERROR(__xludf.DUMMYFUNCTION("""COMPUTED_VALUE"""),"Yes")</f>
        <v>Yes</v>
      </c>
      <c r="O731" s="5" t="str">
        <f>IFERROR(__xludf.DUMMYFUNCTION("""COMPUTED_VALUE"""),"Yes")</f>
        <v>Yes</v>
      </c>
      <c r="P731" s="5" t="str">
        <f>IFERROR(__xludf.DUMMYFUNCTION("""COMPUTED_VALUE"""),"Yes")</f>
        <v>Yes</v>
      </c>
      <c r="Q731" s="5" t="str">
        <f>IFERROR(__xludf.DUMMYFUNCTION("""COMPUTED_VALUE"""),"Yes")</f>
        <v>Yes</v>
      </c>
      <c r="R731" s="5" t="str">
        <f>IFERROR(__xludf.DUMMYFUNCTION("""COMPUTED_VALUE"""),"No")</f>
        <v>No</v>
      </c>
      <c r="S731" s="5" t="str">
        <f>IFERROR(__xludf.DUMMYFUNCTION("""COMPUTED_VALUE"""),"No")</f>
        <v>No</v>
      </c>
      <c r="T731" s="5" t="str">
        <f>IFERROR(__xludf.DUMMYFUNCTION("""COMPUTED_VALUE"""),"No")</f>
        <v>No</v>
      </c>
      <c r="U731" s="5" t="str">
        <f>IFERROR(__xludf.DUMMYFUNCTION("""COMPUTED_VALUE"""),"No")</f>
        <v>No</v>
      </c>
      <c r="V731" s="5" t="str">
        <f>IFERROR(__xludf.DUMMYFUNCTION("""COMPUTED_VALUE"""),"No")</f>
        <v>No</v>
      </c>
      <c r="W731" s="5" t="str">
        <f>IFERROR(__xludf.DUMMYFUNCTION("""COMPUTED_VALUE"""),"No")</f>
        <v>No</v>
      </c>
      <c r="X731" s="5" t="str">
        <f>IFERROR(__xludf.DUMMYFUNCTION("""COMPUTED_VALUE"""),"Yes")</f>
        <v>Yes</v>
      </c>
      <c r="Y731" s="5" t="str">
        <f>IFERROR(__xludf.DUMMYFUNCTION("""COMPUTED_VALUE"""),"No")</f>
        <v>No</v>
      </c>
      <c r="Z731" s="5" t="str">
        <f>IFERROR(__xludf.DUMMYFUNCTION("""COMPUTED_VALUE"""),"No")</f>
        <v>No</v>
      </c>
      <c r="AA731" s="5" t="str">
        <f>IFERROR(__xludf.DUMMYFUNCTION("""COMPUTED_VALUE"""),"No")</f>
        <v>No</v>
      </c>
      <c r="AB731" s="5" t="str">
        <f>IFERROR(__xludf.DUMMYFUNCTION("""COMPUTED_VALUE"""),"Yes")</f>
        <v>Yes</v>
      </c>
      <c r="AC731" s="5" t="str">
        <f>IFERROR(__xludf.DUMMYFUNCTION("""COMPUTED_VALUE"""),"No")</f>
        <v>No</v>
      </c>
    </row>
    <row r="732">
      <c r="A732" s="5" t="str">
        <f>IFERROR(__xludf.DUMMYFUNCTION("""COMPUTED_VALUE"""),"RedstoneMultiCrown5")</f>
        <v>RedstoneMultiCrown5</v>
      </c>
      <c r="B732" s="5" t="str">
        <f>IFERROR(__xludf.DUMMYFUNCTION("""COMPUTED_VALUE"""),"")</f>
        <v/>
      </c>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row>
    <row r="733">
      <c r="A733" s="5" t="str">
        <f>IFERROR(__xludf.DUMMYFUNCTION("""COMPUTED_VALUE"""),"RedstoneMultiHeart10")</f>
        <v>RedstoneMultiHeart10</v>
      </c>
      <c r="B733"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3" s="5" t="str">
        <f>IFERROR(__xludf.DUMMYFUNCTION("""COMPUTED_VALUE"""),"Yes")</f>
        <v>Yes</v>
      </c>
      <c r="D733" s="5" t="str">
        <f>IFERROR(__xludf.DUMMYFUNCTION("""COMPUTED_VALUE"""),"Yes")</f>
        <v>Yes</v>
      </c>
      <c r="E733" s="5" t="str">
        <f>IFERROR(__xludf.DUMMYFUNCTION("""COMPUTED_VALUE"""),"Yes")</f>
        <v>Yes</v>
      </c>
      <c r="F733" s="5" t="str">
        <f>IFERROR(__xludf.DUMMYFUNCTION("""COMPUTED_VALUE"""),"Yes")</f>
        <v>Yes</v>
      </c>
      <c r="G733" s="5" t="str">
        <f>IFERROR(__xludf.DUMMYFUNCTION("""COMPUTED_VALUE"""),"Yes")</f>
        <v>Yes</v>
      </c>
      <c r="H733" s="5" t="str">
        <f>IFERROR(__xludf.DUMMYFUNCTION("""COMPUTED_VALUE"""),"Yes")</f>
        <v>Yes</v>
      </c>
      <c r="I733" s="5" t="str">
        <f>IFERROR(__xludf.DUMMYFUNCTION("""COMPUTED_VALUE"""),"Yes")</f>
        <v>Yes</v>
      </c>
      <c r="J733" s="5" t="str">
        <f>IFERROR(__xludf.DUMMYFUNCTION("""COMPUTED_VALUE"""),"Yes")</f>
        <v>Yes</v>
      </c>
      <c r="K733" s="5" t="str">
        <f>IFERROR(__xludf.DUMMYFUNCTION("""COMPUTED_VALUE"""),"Yes")</f>
        <v>Yes</v>
      </c>
      <c r="L733" s="5" t="str">
        <f>IFERROR(__xludf.DUMMYFUNCTION("""COMPUTED_VALUE"""),"Yes")</f>
        <v>Yes</v>
      </c>
      <c r="M733" s="5" t="str">
        <f>IFERROR(__xludf.DUMMYFUNCTION("""COMPUTED_VALUE"""),"Yes")</f>
        <v>Yes</v>
      </c>
      <c r="N733" s="5" t="str">
        <f>IFERROR(__xludf.DUMMYFUNCTION("""COMPUTED_VALUE"""),"Yes")</f>
        <v>Yes</v>
      </c>
      <c r="O733" s="5" t="str">
        <f>IFERROR(__xludf.DUMMYFUNCTION("""COMPUTED_VALUE"""),"Yes")</f>
        <v>Yes</v>
      </c>
      <c r="P733" s="5" t="str">
        <f>IFERROR(__xludf.DUMMYFUNCTION("""COMPUTED_VALUE"""),"Yes")</f>
        <v>Yes</v>
      </c>
      <c r="Q733" s="5" t="str">
        <f>IFERROR(__xludf.DUMMYFUNCTION("""COMPUTED_VALUE"""),"Yes")</f>
        <v>Yes</v>
      </c>
      <c r="R733" s="5" t="str">
        <f>IFERROR(__xludf.DUMMYFUNCTION("""COMPUTED_VALUE"""),"No")</f>
        <v>No</v>
      </c>
      <c r="S733" s="5" t="str">
        <f>IFERROR(__xludf.DUMMYFUNCTION("""COMPUTED_VALUE"""),"No")</f>
        <v>No</v>
      </c>
      <c r="T733" s="5" t="str">
        <f>IFERROR(__xludf.DUMMYFUNCTION("""COMPUTED_VALUE"""),"No")</f>
        <v>No</v>
      </c>
      <c r="U733" s="5" t="str">
        <f>IFERROR(__xludf.DUMMYFUNCTION("""COMPUTED_VALUE"""),"No")</f>
        <v>No</v>
      </c>
      <c r="V733" s="5" t="str">
        <f>IFERROR(__xludf.DUMMYFUNCTION("""COMPUTED_VALUE"""),"No")</f>
        <v>No</v>
      </c>
      <c r="W733" s="5" t="str">
        <f>IFERROR(__xludf.DUMMYFUNCTION("""COMPUTED_VALUE"""),"No")</f>
        <v>No</v>
      </c>
      <c r="X733" s="5" t="str">
        <f>IFERROR(__xludf.DUMMYFUNCTION("""COMPUTED_VALUE"""),"Yes")</f>
        <v>Yes</v>
      </c>
      <c r="Y733" s="5" t="str">
        <f>IFERROR(__xludf.DUMMYFUNCTION("""COMPUTED_VALUE"""),"No")</f>
        <v>No</v>
      </c>
      <c r="Z733" s="5" t="str">
        <f>IFERROR(__xludf.DUMMYFUNCTION("""COMPUTED_VALUE"""),"No")</f>
        <v>No</v>
      </c>
      <c r="AA733" s="5" t="str">
        <f>IFERROR(__xludf.DUMMYFUNCTION("""COMPUTED_VALUE"""),"No")</f>
        <v>No</v>
      </c>
      <c r="AB733" s="5" t="str">
        <f>IFERROR(__xludf.DUMMYFUNCTION("""COMPUTED_VALUE"""),"Yes")</f>
        <v>Yes</v>
      </c>
      <c r="AC733" s="5" t="str">
        <f>IFERROR(__xludf.DUMMYFUNCTION("""COMPUTED_VALUE"""),"No")</f>
        <v>No</v>
      </c>
    </row>
    <row r="734">
      <c r="A734" s="5" t="str">
        <f>IFERROR(__xludf.DUMMYFUNCTION("""COMPUTED_VALUE"""),"RedstoneChilliDoubleChristmas")</f>
        <v>RedstoneChilliDoubleChristmas</v>
      </c>
      <c r="B734" s="5" t="str">
        <f>IFERROR(__xludf.DUMMYFUNCTION("""COMPUTED_VALUE"""),"")</f>
        <v/>
      </c>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row>
    <row r="735">
      <c r="A735" s="5" t="str">
        <f>IFERROR(__xludf.DUMMYFUNCTION("""COMPUTED_VALUE"""),"RedstoneMultiHeart5Christmas")</f>
        <v>RedstoneMultiHeart5Christmas</v>
      </c>
      <c r="B735" s="5" t="str">
        <f>IFERROR(__xludf.DUMMYFUNCTION("""COMPUTED_VALUE"""),"")</f>
        <v/>
      </c>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row>
    <row r="736">
      <c r="A736" s="5" t="str">
        <f>IFERROR(__xludf.DUMMYFUNCTION("""COMPUTED_VALUE"""),"RedstoneDoubleWildHeartHalloween")</f>
        <v>RedstoneDoubleWildHeartHalloween</v>
      </c>
      <c r="B736" s="5" t="str">
        <f>IFERROR(__xludf.DUMMYFUNCTION("""COMPUTED_VALUE"""),"")</f>
        <v/>
      </c>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row>
    <row r="737">
      <c r="A737" s="5" t="str">
        <f>IFERROR(__xludf.DUMMYFUNCTION("""COMPUTED_VALUE"""),"TBD")</f>
        <v>TBD</v>
      </c>
      <c r="B737" s="5" t="str">
        <f>IFERROR(__xludf.DUMMYFUNCTION("""COMPUTED_VALUE"""),"")</f>
        <v/>
      </c>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row>
    <row r="738">
      <c r="A738" s="5" t="str">
        <f>IFERROR(__xludf.DUMMYFUNCTION("""COMPUTED_VALUE"""),"TBD")</f>
        <v>TBD</v>
      </c>
      <c r="B738" s="5" t="str">
        <f>IFERROR(__xludf.DUMMYFUNCTION("""COMPUTED_VALUE"""),"")</f>
        <v/>
      </c>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row>
    <row r="739">
      <c r="A739" s="5" t="str">
        <f>IFERROR(__xludf.DUMMYFUNCTION("""COMPUTED_VALUE"""),"TBD")</f>
        <v>TBD</v>
      </c>
      <c r="B739" s="5" t="str">
        <f>IFERROR(__xludf.DUMMYFUNCTION("""COMPUTED_VALUE"""),"")</f>
        <v/>
      </c>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row>
    <row r="740">
      <c r="A740" s="5" t="str">
        <f>IFERROR(__xludf.DUMMYFUNCTION("""COMPUTED_VALUE"""),"TBD")</f>
        <v>TBD</v>
      </c>
      <c r="B740" s="5" t="str">
        <f>IFERROR(__xludf.DUMMYFUNCTION("""COMPUTED_VALUE"""),"")</f>
        <v/>
      </c>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row>
    <row r="741">
      <c r="A741" s="5" t="str">
        <f>IFERROR(__xludf.DUMMYFUNCTION("""COMPUTED_VALUE"""),"TBD")</f>
        <v>TBD</v>
      </c>
      <c r="B741" s="5" t="str">
        <f>IFERROR(__xludf.DUMMYFUNCTION("""COMPUTED_VALUE"""),"")</f>
        <v/>
      </c>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row>
    <row r="742">
      <c r="A742" s="5" t="str">
        <f>IFERROR(__xludf.DUMMYFUNCTION("""COMPUTED_VALUE"""),"TBD")</f>
        <v>TBD</v>
      </c>
      <c r="B742" s="5" t="str">
        <f>IFERROR(__xludf.DUMMYFUNCTION("""COMPUTED_VALUE"""),"")</f>
        <v/>
      </c>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row>
    <row r="743">
      <c r="A743" s="5" t="str">
        <f>IFERROR(__xludf.DUMMYFUNCTION("""COMPUTED_VALUE"""),"TBD")</f>
        <v>TBD</v>
      </c>
      <c r="B743" s="5" t="str">
        <f>IFERROR(__xludf.DUMMYFUNCTION("""COMPUTED_VALUE"""),"")</f>
        <v/>
      </c>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row>
    <row r="744">
      <c r="A744" s="5" t="str">
        <f>IFERROR(__xludf.DUMMYFUNCTION("""COMPUTED_VALUE"""),"IvansBonusCrown")</f>
        <v>IvansBonusCrown</v>
      </c>
      <c r="B74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4" s="5" t="str">
        <f>IFERROR(__xludf.DUMMYFUNCTION("""COMPUTED_VALUE"""),"Yes")</f>
        <v>Yes</v>
      </c>
      <c r="D744" s="5" t="str">
        <f>IFERROR(__xludf.DUMMYFUNCTION("""COMPUTED_VALUE"""),"Yes")</f>
        <v>Yes</v>
      </c>
      <c r="E744" s="5" t="str">
        <f>IFERROR(__xludf.DUMMYFUNCTION("""COMPUTED_VALUE"""),"Yes")</f>
        <v>Yes</v>
      </c>
      <c r="F744" s="5" t="str">
        <f>IFERROR(__xludf.DUMMYFUNCTION("""COMPUTED_VALUE"""),"Yes")</f>
        <v>Yes</v>
      </c>
      <c r="G744" s="5" t="str">
        <f>IFERROR(__xludf.DUMMYFUNCTION("""COMPUTED_VALUE"""),"Yes")</f>
        <v>Yes</v>
      </c>
      <c r="H744" s="5" t="str">
        <f>IFERROR(__xludf.DUMMYFUNCTION("""COMPUTED_VALUE"""),"Yes")</f>
        <v>Yes</v>
      </c>
      <c r="I744" s="5" t="str">
        <f>IFERROR(__xludf.DUMMYFUNCTION("""COMPUTED_VALUE"""),"Yes")</f>
        <v>Yes</v>
      </c>
      <c r="J744" s="5" t="str">
        <f>IFERROR(__xludf.DUMMYFUNCTION("""COMPUTED_VALUE"""),"Yes")</f>
        <v>Yes</v>
      </c>
      <c r="K744" s="5" t="str">
        <f>IFERROR(__xludf.DUMMYFUNCTION("""COMPUTED_VALUE"""),"Yes")</f>
        <v>Yes</v>
      </c>
      <c r="L744" s="5" t="str">
        <f>IFERROR(__xludf.DUMMYFUNCTION("""COMPUTED_VALUE"""),"Yes")</f>
        <v>Yes</v>
      </c>
      <c r="M744" s="5" t="str">
        <f>IFERROR(__xludf.DUMMYFUNCTION("""COMPUTED_VALUE"""),"Yes")</f>
        <v>Yes</v>
      </c>
      <c r="N744" s="5" t="str">
        <f>IFERROR(__xludf.DUMMYFUNCTION("""COMPUTED_VALUE"""),"Yes")</f>
        <v>Yes</v>
      </c>
      <c r="O744" s="5" t="str">
        <f>IFERROR(__xludf.DUMMYFUNCTION("""COMPUTED_VALUE"""),"Yes")</f>
        <v>Yes</v>
      </c>
      <c r="P744" s="5" t="str">
        <f>IFERROR(__xludf.DUMMYFUNCTION("""COMPUTED_VALUE"""),"Yes")</f>
        <v>Yes</v>
      </c>
      <c r="Q744" s="5" t="str">
        <f>IFERROR(__xludf.DUMMYFUNCTION("""COMPUTED_VALUE"""),"Yes")</f>
        <v>Yes</v>
      </c>
      <c r="R744" s="5" t="str">
        <f>IFERROR(__xludf.DUMMYFUNCTION("""COMPUTED_VALUE"""),"Yes")</f>
        <v>Yes</v>
      </c>
      <c r="S744" s="5" t="str">
        <f>IFERROR(__xludf.DUMMYFUNCTION("""COMPUTED_VALUE"""),"Yes")</f>
        <v>Yes</v>
      </c>
      <c r="T744" s="5" t="str">
        <f>IFERROR(__xludf.DUMMYFUNCTION("""COMPUTED_VALUE"""),"Yes")</f>
        <v>Yes</v>
      </c>
      <c r="U744" s="5" t="str">
        <f>IFERROR(__xludf.DUMMYFUNCTION("""COMPUTED_VALUE"""),"Yes")</f>
        <v>Yes</v>
      </c>
      <c r="V744" s="5" t="str">
        <f>IFERROR(__xludf.DUMMYFUNCTION("""COMPUTED_VALUE"""),"Yes")</f>
        <v>Yes</v>
      </c>
      <c r="W744" s="5" t="str">
        <f>IFERROR(__xludf.DUMMYFUNCTION("""COMPUTED_VALUE"""),"Yes")</f>
        <v>Yes</v>
      </c>
      <c r="X744" s="5" t="str">
        <f>IFERROR(__xludf.DUMMYFUNCTION("""COMPUTED_VALUE"""),"Yes")</f>
        <v>Yes</v>
      </c>
      <c r="Y744" s="5" t="str">
        <f>IFERROR(__xludf.DUMMYFUNCTION("""COMPUTED_VALUE"""),"Yes")</f>
        <v>Yes</v>
      </c>
      <c r="Z744" s="5" t="str">
        <f>IFERROR(__xludf.DUMMYFUNCTION("""COMPUTED_VALUE"""),"Yes")</f>
        <v>Yes</v>
      </c>
      <c r="AA744" s="5" t="str">
        <f>IFERROR(__xludf.DUMMYFUNCTION("""COMPUTED_VALUE"""),"Yes")</f>
        <v>Yes</v>
      </c>
      <c r="AB744" s="5" t="str">
        <f>IFERROR(__xludf.DUMMYFUNCTION("""COMPUTED_VALUE"""),"Yes")</f>
        <v>Yes</v>
      </c>
      <c r="AC744" s="5" t="str">
        <f>IFERROR(__xludf.DUMMYFUNCTION("""COMPUTED_VALUE"""),"Yes")</f>
        <v>Yes</v>
      </c>
    </row>
    <row r="745">
      <c r="A745" s="5" t="str">
        <f>IFERROR(__xludf.DUMMYFUNCTION("""COMPUTED_VALUE"""),"WildHot40Triunfo")</f>
        <v>WildHot40Triunfo</v>
      </c>
      <c r="B745" s="5" t="str">
        <f>IFERROR(__xludf.DUMMYFUNCTION("""COMPUTED_VALUE"""),"")</f>
        <v/>
      </c>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row>
    <row r="746">
      <c r="A746" s="5" t="str">
        <f>IFERROR(__xludf.DUMMYFUNCTION("""COMPUTED_VALUE"""),"WildHotGorilla")</f>
        <v>WildHotGorilla</v>
      </c>
      <c r="B746" s="5" t="str">
        <f>IFERROR(__xludf.DUMMYFUNCTION("""COMPUTED_VALUE"""),"")</f>
        <v/>
      </c>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row>
    <row r="747">
      <c r="A747" s="5" t="str">
        <f>IFERROR(__xludf.DUMMYFUNCTION("""COMPUTED_VALUE"""),"BetkingWild27")</f>
        <v>BetkingWild27</v>
      </c>
      <c r="B747" s="5" t="str">
        <f>IFERROR(__xludf.DUMMYFUNCTION("""COMPUTED_VALUE"""),"")</f>
        <v/>
      </c>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row>
    <row r="748">
      <c r="A748" s="5" t="str">
        <f>IFERROR(__xludf.DUMMYFUNCTION("""COMPUTED_VALUE"""),"SokoLuckyCrown10")</f>
        <v>SokoLuckyCrown10</v>
      </c>
      <c r="B748"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48" s="5" t="str">
        <f>IFERROR(__xludf.DUMMYFUNCTION("""COMPUTED_VALUE"""),"Yes")</f>
        <v>Yes</v>
      </c>
      <c r="D748" s="5" t="str">
        <f>IFERROR(__xludf.DUMMYFUNCTION("""COMPUTED_VALUE"""),"Yes")</f>
        <v>Yes</v>
      </c>
      <c r="E748" s="5" t="str">
        <f>IFERROR(__xludf.DUMMYFUNCTION("""COMPUTED_VALUE"""),"Yes")</f>
        <v>Yes</v>
      </c>
      <c r="F748" s="5" t="str">
        <f>IFERROR(__xludf.DUMMYFUNCTION("""COMPUTED_VALUE"""),"Yes")</f>
        <v>Yes</v>
      </c>
      <c r="G748" s="5" t="str">
        <f>IFERROR(__xludf.DUMMYFUNCTION("""COMPUTED_VALUE"""),"Yes")</f>
        <v>Yes</v>
      </c>
      <c r="H748" s="5" t="str">
        <f>IFERROR(__xludf.DUMMYFUNCTION("""COMPUTED_VALUE"""),"Yes")</f>
        <v>Yes</v>
      </c>
      <c r="I748" s="5" t="str">
        <f>IFERROR(__xludf.DUMMYFUNCTION("""COMPUTED_VALUE"""),"Yes")</f>
        <v>Yes</v>
      </c>
      <c r="J748" s="5" t="str">
        <f>IFERROR(__xludf.DUMMYFUNCTION("""COMPUTED_VALUE"""),"Yes")</f>
        <v>Yes</v>
      </c>
      <c r="K748" s="5" t="str">
        <f>IFERROR(__xludf.DUMMYFUNCTION("""COMPUTED_VALUE"""),"Yes")</f>
        <v>Yes</v>
      </c>
      <c r="L748" s="5" t="str">
        <f>IFERROR(__xludf.DUMMYFUNCTION("""COMPUTED_VALUE"""),"Yes")</f>
        <v>Yes</v>
      </c>
      <c r="M748" s="5" t="str">
        <f>IFERROR(__xludf.DUMMYFUNCTION("""COMPUTED_VALUE"""),"Yes")</f>
        <v>Yes</v>
      </c>
      <c r="N748" s="5" t="str">
        <f>IFERROR(__xludf.DUMMYFUNCTION("""COMPUTED_VALUE"""),"Yes")</f>
        <v>Yes</v>
      </c>
      <c r="O748" s="5" t="str">
        <f>IFERROR(__xludf.DUMMYFUNCTION("""COMPUTED_VALUE"""),"Yes")</f>
        <v>Yes</v>
      </c>
      <c r="P748" s="5" t="str">
        <f>IFERROR(__xludf.DUMMYFUNCTION("""COMPUTED_VALUE"""),"Yes")</f>
        <v>Yes</v>
      </c>
      <c r="Q748" s="5" t="str">
        <f>IFERROR(__xludf.DUMMYFUNCTION("""COMPUTED_VALUE"""),"Yes")</f>
        <v>Yes</v>
      </c>
      <c r="R748" s="5" t="str">
        <f>IFERROR(__xludf.DUMMYFUNCTION("""COMPUTED_VALUE"""),"Yes")</f>
        <v>Yes</v>
      </c>
      <c r="S748" s="5" t="str">
        <f>IFERROR(__xludf.DUMMYFUNCTION("""COMPUTED_VALUE"""),"Yes")</f>
        <v>Yes</v>
      </c>
      <c r="T748" s="5" t="str">
        <f>IFERROR(__xludf.DUMMYFUNCTION("""COMPUTED_VALUE"""),"No")</f>
        <v>No</v>
      </c>
      <c r="U748" s="5" t="str">
        <f>IFERROR(__xludf.DUMMYFUNCTION("""COMPUTED_VALUE"""),"No")</f>
        <v>No</v>
      </c>
      <c r="V748" s="5" t="str">
        <f>IFERROR(__xludf.DUMMYFUNCTION("""COMPUTED_VALUE"""),"No")</f>
        <v>No</v>
      </c>
      <c r="W748" s="5" t="str">
        <f>IFERROR(__xludf.DUMMYFUNCTION("""COMPUTED_VALUE"""),"No")</f>
        <v>No</v>
      </c>
      <c r="X748" s="5" t="str">
        <f>IFERROR(__xludf.DUMMYFUNCTION("""COMPUTED_VALUE"""),"No")</f>
        <v>No</v>
      </c>
      <c r="Y748" s="5" t="str">
        <f>IFERROR(__xludf.DUMMYFUNCTION("""COMPUTED_VALUE"""),"Yes")</f>
        <v>Yes</v>
      </c>
      <c r="Z748" s="5" t="str">
        <f>IFERROR(__xludf.DUMMYFUNCTION("""COMPUTED_VALUE"""),"No")</f>
        <v>No</v>
      </c>
      <c r="AA748" s="5" t="str">
        <f>IFERROR(__xludf.DUMMYFUNCTION("""COMPUTED_VALUE"""),"No")</f>
        <v>No</v>
      </c>
      <c r="AB748" s="5" t="str">
        <f>IFERROR(__xludf.DUMMYFUNCTION("""COMPUTED_VALUE"""),"No")</f>
        <v>No</v>
      </c>
      <c r="AC748" s="5" t="str">
        <f>IFERROR(__xludf.DUMMYFUNCTION("""COMPUTED_VALUE"""),"No")</f>
        <v>No</v>
      </c>
    </row>
    <row r="749">
      <c r="A749" s="5" t="str">
        <f>IFERROR(__xludf.DUMMYFUNCTION("""COMPUTED_VALUE"""),"HotClockExtreme")</f>
        <v>HotClockExtreme</v>
      </c>
      <c r="B74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9" s="5" t="str">
        <f>IFERROR(__xludf.DUMMYFUNCTION("""COMPUTED_VALUE"""),"Yes")</f>
        <v>Yes</v>
      </c>
      <c r="D749" s="5" t="str">
        <f>IFERROR(__xludf.DUMMYFUNCTION("""COMPUTED_VALUE"""),"Yes")</f>
        <v>Yes</v>
      </c>
      <c r="E749" s="5" t="str">
        <f>IFERROR(__xludf.DUMMYFUNCTION("""COMPUTED_VALUE"""),"Yes")</f>
        <v>Yes</v>
      </c>
      <c r="F749" s="5" t="str">
        <f>IFERROR(__xludf.DUMMYFUNCTION("""COMPUTED_VALUE"""),"Yes")</f>
        <v>Yes</v>
      </c>
      <c r="G749" s="5" t="str">
        <f>IFERROR(__xludf.DUMMYFUNCTION("""COMPUTED_VALUE"""),"Yes")</f>
        <v>Yes</v>
      </c>
      <c r="H749" s="5" t="str">
        <f>IFERROR(__xludf.DUMMYFUNCTION("""COMPUTED_VALUE"""),"Yes")</f>
        <v>Yes</v>
      </c>
      <c r="I749" s="5" t="str">
        <f>IFERROR(__xludf.DUMMYFUNCTION("""COMPUTED_VALUE"""),"Yes")</f>
        <v>Yes</v>
      </c>
      <c r="J749" s="5" t="str">
        <f>IFERROR(__xludf.DUMMYFUNCTION("""COMPUTED_VALUE"""),"Yes")</f>
        <v>Yes</v>
      </c>
      <c r="K749" s="5" t="str">
        <f>IFERROR(__xludf.DUMMYFUNCTION("""COMPUTED_VALUE"""),"Yes")</f>
        <v>Yes</v>
      </c>
      <c r="L749" s="5" t="str">
        <f>IFERROR(__xludf.DUMMYFUNCTION("""COMPUTED_VALUE"""),"Yes")</f>
        <v>Yes</v>
      </c>
      <c r="M749" s="5" t="str">
        <f>IFERROR(__xludf.DUMMYFUNCTION("""COMPUTED_VALUE"""),"Yes")</f>
        <v>Yes</v>
      </c>
      <c r="N749" s="5" t="str">
        <f>IFERROR(__xludf.DUMMYFUNCTION("""COMPUTED_VALUE"""),"Yes")</f>
        <v>Yes</v>
      </c>
      <c r="O749" s="5" t="str">
        <f>IFERROR(__xludf.DUMMYFUNCTION("""COMPUTED_VALUE"""),"Yes")</f>
        <v>Yes</v>
      </c>
      <c r="P749" s="5" t="str">
        <f>IFERROR(__xludf.DUMMYFUNCTION("""COMPUTED_VALUE"""),"Yes")</f>
        <v>Yes</v>
      </c>
      <c r="Q749" s="5" t="str">
        <f>IFERROR(__xludf.DUMMYFUNCTION("""COMPUTED_VALUE"""),"Yes")</f>
        <v>Yes</v>
      </c>
      <c r="R749" s="5" t="str">
        <f>IFERROR(__xludf.DUMMYFUNCTION("""COMPUTED_VALUE"""),"Yes")</f>
        <v>Yes</v>
      </c>
      <c r="S749" s="5" t="str">
        <f>IFERROR(__xludf.DUMMYFUNCTION("""COMPUTED_VALUE"""),"Yes")</f>
        <v>Yes</v>
      </c>
      <c r="T749" s="5" t="str">
        <f>IFERROR(__xludf.DUMMYFUNCTION("""COMPUTED_VALUE"""),"Yes")</f>
        <v>Yes</v>
      </c>
      <c r="U749" s="5" t="str">
        <f>IFERROR(__xludf.DUMMYFUNCTION("""COMPUTED_VALUE"""),"Yes")</f>
        <v>Yes</v>
      </c>
      <c r="V749" s="5" t="str">
        <f>IFERROR(__xludf.DUMMYFUNCTION("""COMPUTED_VALUE"""),"Yes")</f>
        <v>Yes</v>
      </c>
      <c r="W749" s="5" t="str">
        <f>IFERROR(__xludf.DUMMYFUNCTION("""COMPUTED_VALUE"""),"Yes")</f>
        <v>Yes</v>
      </c>
      <c r="X749" s="5" t="str">
        <f>IFERROR(__xludf.DUMMYFUNCTION("""COMPUTED_VALUE"""),"Yes")</f>
        <v>Yes</v>
      </c>
      <c r="Y749" s="5" t="str">
        <f>IFERROR(__xludf.DUMMYFUNCTION("""COMPUTED_VALUE"""),"Yes")</f>
        <v>Yes</v>
      </c>
      <c r="Z749" s="5" t="str">
        <f>IFERROR(__xludf.DUMMYFUNCTION("""COMPUTED_VALUE"""),"Yes")</f>
        <v>Yes</v>
      </c>
      <c r="AA749" s="5" t="str">
        <f>IFERROR(__xludf.DUMMYFUNCTION("""COMPUTED_VALUE"""),"Yes")</f>
        <v>Yes</v>
      </c>
      <c r="AB749" s="5" t="str">
        <f>IFERROR(__xludf.DUMMYFUNCTION("""COMPUTED_VALUE"""),"Yes")</f>
        <v>Yes</v>
      </c>
      <c r="AC749" s="5" t="str">
        <f>IFERROR(__xludf.DUMMYFUNCTION("""COMPUTED_VALUE"""),"Yes")</f>
        <v>Yes</v>
      </c>
    </row>
    <row r="750">
      <c r="A750" s="5" t="str">
        <f>IFERROR(__xludf.DUMMYFUNCTION("""COMPUTED_VALUE"""),"SokoHotChiliFiesta")</f>
        <v>SokoHotChiliFiesta</v>
      </c>
      <c r="B750"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50" s="5" t="str">
        <f>IFERROR(__xludf.DUMMYFUNCTION("""COMPUTED_VALUE"""),"Yes")</f>
        <v>Yes</v>
      </c>
      <c r="D750" s="5" t="str">
        <f>IFERROR(__xludf.DUMMYFUNCTION("""COMPUTED_VALUE"""),"Yes")</f>
        <v>Yes</v>
      </c>
      <c r="E750" s="5" t="str">
        <f>IFERROR(__xludf.DUMMYFUNCTION("""COMPUTED_VALUE"""),"Yes")</f>
        <v>Yes</v>
      </c>
      <c r="F750" s="5" t="str">
        <f>IFERROR(__xludf.DUMMYFUNCTION("""COMPUTED_VALUE"""),"Yes")</f>
        <v>Yes</v>
      </c>
      <c r="G750" s="5" t="str">
        <f>IFERROR(__xludf.DUMMYFUNCTION("""COMPUTED_VALUE"""),"Yes")</f>
        <v>Yes</v>
      </c>
      <c r="H750" s="5" t="str">
        <f>IFERROR(__xludf.DUMMYFUNCTION("""COMPUTED_VALUE"""),"Yes")</f>
        <v>Yes</v>
      </c>
      <c r="I750" s="5" t="str">
        <f>IFERROR(__xludf.DUMMYFUNCTION("""COMPUTED_VALUE"""),"Yes")</f>
        <v>Yes</v>
      </c>
      <c r="J750" s="5" t="str">
        <f>IFERROR(__xludf.DUMMYFUNCTION("""COMPUTED_VALUE"""),"Yes")</f>
        <v>Yes</v>
      </c>
      <c r="K750" s="5" t="str">
        <f>IFERROR(__xludf.DUMMYFUNCTION("""COMPUTED_VALUE"""),"Yes")</f>
        <v>Yes</v>
      </c>
      <c r="L750" s="5" t="str">
        <f>IFERROR(__xludf.DUMMYFUNCTION("""COMPUTED_VALUE"""),"Yes")</f>
        <v>Yes</v>
      </c>
      <c r="M750" s="5" t="str">
        <f>IFERROR(__xludf.DUMMYFUNCTION("""COMPUTED_VALUE"""),"Yes")</f>
        <v>Yes</v>
      </c>
      <c r="N750" s="5" t="str">
        <f>IFERROR(__xludf.DUMMYFUNCTION("""COMPUTED_VALUE"""),"Yes")</f>
        <v>Yes</v>
      </c>
      <c r="O750" s="5" t="str">
        <f>IFERROR(__xludf.DUMMYFUNCTION("""COMPUTED_VALUE"""),"Yes")</f>
        <v>Yes</v>
      </c>
      <c r="P750" s="5" t="str">
        <f>IFERROR(__xludf.DUMMYFUNCTION("""COMPUTED_VALUE"""),"Yes")</f>
        <v>Yes</v>
      </c>
      <c r="Q750" s="5" t="str">
        <f>IFERROR(__xludf.DUMMYFUNCTION("""COMPUTED_VALUE"""),"Yes")</f>
        <v>Yes</v>
      </c>
      <c r="R750" s="5" t="str">
        <f>IFERROR(__xludf.DUMMYFUNCTION("""COMPUTED_VALUE"""),"No")</f>
        <v>No</v>
      </c>
      <c r="S750" s="5" t="str">
        <f>IFERROR(__xludf.DUMMYFUNCTION("""COMPUTED_VALUE"""),"Yes")</f>
        <v>Yes</v>
      </c>
      <c r="T750" s="5" t="str">
        <f>IFERROR(__xludf.DUMMYFUNCTION("""COMPUTED_VALUE"""),"No")</f>
        <v>No</v>
      </c>
      <c r="U750" s="5" t="str">
        <f>IFERROR(__xludf.DUMMYFUNCTION("""COMPUTED_VALUE"""),"No")</f>
        <v>No</v>
      </c>
      <c r="V750" s="5" t="str">
        <f>IFERROR(__xludf.DUMMYFUNCTION("""COMPUTED_VALUE"""),"No")</f>
        <v>No</v>
      </c>
      <c r="W750" s="5" t="str">
        <f>IFERROR(__xludf.DUMMYFUNCTION("""COMPUTED_VALUE"""),"No")</f>
        <v>No</v>
      </c>
      <c r="X750" s="5" t="str">
        <f>IFERROR(__xludf.DUMMYFUNCTION("""COMPUTED_VALUE"""),"No")</f>
        <v>No</v>
      </c>
      <c r="Y750" s="5" t="str">
        <f>IFERROR(__xludf.DUMMYFUNCTION("""COMPUTED_VALUE"""),"Yes")</f>
        <v>Yes</v>
      </c>
      <c r="Z750" s="5" t="str">
        <f>IFERROR(__xludf.DUMMYFUNCTION("""COMPUTED_VALUE"""),"No")</f>
        <v>No</v>
      </c>
      <c r="AA750" s="5" t="str">
        <f>IFERROR(__xludf.DUMMYFUNCTION("""COMPUTED_VALUE"""),"No")</f>
        <v>No</v>
      </c>
      <c r="AB750" s="5" t="str">
        <f>IFERROR(__xludf.DUMMYFUNCTION("""COMPUTED_VALUE"""),"No")</f>
        <v>No</v>
      </c>
      <c r="AC750" s="5" t="str">
        <f>IFERROR(__xludf.DUMMYFUNCTION("""COMPUTED_VALUE"""),"No")</f>
        <v>No</v>
      </c>
    </row>
    <row r="751">
      <c r="A751" s="5" t="str">
        <f>IFERROR(__xludf.DUMMYFUNCTION("""COMPUTED_VALUE"""),"CoinkBank")</f>
        <v>CoinkBank</v>
      </c>
      <c r="B75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1" s="5" t="str">
        <f>IFERROR(__xludf.DUMMYFUNCTION("""COMPUTED_VALUE"""),"Yes")</f>
        <v>Yes</v>
      </c>
      <c r="D751" s="5" t="str">
        <f>IFERROR(__xludf.DUMMYFUNCTION("""COMPUTED_VALUE"""),"Yes")</f>
        <v>Yes</v>
      </c>
      <c r="E751" s="5" t="str">
        <f>IFERROR(__xludf.DUMMYFUNCTION("""COMPUTED_VALUE"""),"Yes")</f>
        <v>Yes</v>
      </c>
      <c r="F751" s="5" t="str">
        <f>IFERROR(__xludf.DUMMYFUNCTION("""COMPUTED_VALUE"""),"Yes")</f>
        <v>Yes</v>
      </c>
      <c r="G751" s="5" t="str">
        <f>IFERROR(__xludf.DUMMYFUNCTION("""COMPUTED_VALUE"""),"Yes")</f>
        <v>Yes</v>
      </c>
      <c r="H751" s="5" t="str">
        <f>IFERROR(__xludf.DUMMYFUNCTION("""COMPUTED_VALUE"""),"Yes")</f>
        <v>Yes</v>
      </c>
      <c r="I751" s="5" t="str">
        <f>IFERROR(__xludf.DUMMYFUNCTION("""COMPUTED_VALUE"""),"Yes")</f>
        <v>Yes</v>
      </c>
      <c r="J751" s="5" t="str">
        <f>IFERROR(__xludf.DUMMYFUNCTION("""COMPUTED_VALUE"""),"Yes")</f>
        <v>Yes</v>
      </c>
      <c r="K751" s="5" t="str">
        <f>IFERROR(__xludf.DUMMYFUNCTION("""COMPUTED_VALUE"""),"Yes")</f>
        <v>Yes</v>
      </c>
      <c r="L751" s="5" t="str">
        <f>IFERROR(__xludf.DUMMYFUNCTION("""COMPUTED_VALUE"""),"Yes")</f>
        <v>Yes</v>
      </c>
      <c r="M751" s="5" t="str">
        <f>IFERROR(__xludf.DUMMYFUNCTION("""COMPUTED_VALUE"""),"Yes")</f>
        <v>Yes</v>
      </c>
      <c r="N751" s="5" t="str">
        <f>IFERROR(__xludf.DUMMYFUNCTION("""COMPUTED_VALUE"""),"Yes")</f>
        <v>Yes</v>
      </c>
      <c r="O751" s="5" t="str">
        <f>IFERROR(__xludf.DUMMYFUNCTION("""COMPUTED_VALUE"""),"Yes")</f>
        <v>Yes</v>
      </c>
      <c r="P751" s="5" t="str">
        <f>IFERROR(__xludf.DUMMYFUNCTION("""COMPUTED_VALUE"""),"Yes")</f>
        <v>Yes</v>
      </c>
      <c r="Q751" s="5" t="str">
        <f>IFERROR(__xludf.DUMMYFUNCTION("""COMPUTED_VALUE"""),"Yes")</f>
        <v>Yes</v>
      </c>
      <c r="R751" s="5" t="str">
        <f>IFERROR(__xludf.DUMMYFUNCTION("""COMPUTED_VALUE"""),"Yes")</f>
        <v>Yes</v>
      </c>
      <c r="S751" s="5" t="str">
        <f>IFERROR(__xludf.DUMMYFUNCTION("""COMPUTED_VALUE"""),"Yes")</f>
        <v>Yes</v>
      </c>
      <c r="T751" s="5" t="str">
        <f>IFERROR(__xludf.DUMMYFUNCTION("""COMPUTED_VALUE"""),"Yes")</f>
        <v>Yes</v>
      </c>
      <c r="U751" s="5" t="str">
        <f>IFERROR(__xludf.DUMMYFUNCTION("""COMPUTED_VALUE"""),"Yes")</f>
        <v>Yes</v>
      </c>
      <c r="V751" s="5" t="str">
        <f>IFERROR(__xludf.DUMMYFUNCTION("""COMPUTED_VALUE"""),"Yes")</f>
        <v>Yes</v>
      </c>
      <c r="W751" s="5" t="str">
        <f>IFERROR(__xludf.DUMMYFUNCTION("""COMPUTED_VALUE"""),"Yes")</f>
        <v>Yes</v>
      </c>
      <c r="X751" s="5" t="str">
        <f>IFERROR(__xludf.DUMMYFUNCTION("""COMPUTED_VALUE"""),"Yes")</f>
        <v>Yes</v>
      </c>
      <c r="Y751" s="5" t="str">
        <f>IFERROR(__xludf.DUMMYFUNCTION("""COMPUTED_VALUE"""),"Yes")</f>
        <v>Yes</v>
      </c>
      <c r="Z751" s="5" t="str">
        <f>IFERROR(__xludf.DUMMYFUNCTION("""COMPUTED_VALUE"""),"Yes")</f>
        <v>Yes</v>
      </c>
      <c r="AA751" s="5" t="str">
        <f>IFERROR(__xludf.DUMMYFUNCTION("""COMPUTED_VALUE"""),"Yes")</f>
        <v>Yes</v>
      </c>
      <c r="AB751" s="5" t="str">
        <f>IFERROR(__xludf.DUMMYFUNCTION("""COMPUTED_VALUE"""),"Yes")</f>
        <v>Yes</v>
      </c>
      <c r="AC751" s="5" t="str">
        <f>IFERROR(__xludf.DUMMYFUNCTION("""COMPUTED_VALUE"""),"No")</f>
        <v>No</v>
      </c>
    </row>
    <row r="752">
      <c r="A752" s="5" t="str">
        <f>IFERROR(__xludf.DUMMYFUNCTION("""COMPUTED_VALUE"""),"RetroFlame5")</f>
        <v>RetroFlame5</v>
      </c>
      <c r="B75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2" s="5" t="str">
        <f>IFERROR(__xludf.DUMMYFUNCTION("""COMPUTED_VALUE"""),"Yes")</f>
        <v>Yes</v>
      </c>
      <c r="D752" s="5" t="str">
        <f>IFERROR(__xludf.DUMMYFUNCTION("""COMPUTED_VALUE"""),"Yes")</f>
        <v>Yes</v>
      </c>
      <c r="E752" s="5" t="str">
        <f>IFERROR(__xludf.DUMMYFUNCTION("""COMPUTED_VALUE"""),"Yes")</f>
        <v>Yes</v>
      </c>
      <c r="F752" s="5" t="str">
        <f>IFERROR(__xludf.DUMMYFUNCTION("""COMPUTED_VALUE"""),"Yes")</f>
        <v>Yes</v>
      </c>
      <c r="G752" s="5" t="str">
        <f>IFERROR(__xludf.DUMMYFUNCTION("""COMPUTED_VALUE"""),"Yes")</f>
        <v>Yes</v>
      </c>
      <c r="H752" s="5" t="str">
        <f>IFERROR(__xludf.DUMMYFUNCTION("""COMPUTED_VALUE"""),"Yes")</f>
        <v>Yes</v>
      </c>
      <c r="I752" s="5" t="str">
        <f>IFERROR(__xludf.DUMMYFUNCTION("""COMPUTED_VALUE"""),"Yes")</f>
        <v>Yes</v>
      </c>
      <c r="J752" s="5" t="str">
        <f>IFERROR(__xludf.DUMMYFUNCTION("""COMPUTED_VALUE"""),"Yes")</f>
        <v>Yes</v>
      </c>
      <c r="K752" s="5" t="str">
        <f>IFERROR(__xludf.DUMMYFUNCTION("""COMPUTED_VALUE"""),"Yes")</f>
        <v>Yes</v>
      </c>
      <c r="L752" s="5" t="str">
        <f>IFERROR(__xludf.DUMMYFUNCTION("""COMPUTED_VALUE"""),"Yes")</f>
        <v>Yes</v>
      </c>
      <c r="M752" s="5" t="str">
        <f>IFERROR(__xludf.DUMMYFUNCTION("""COMPUTED_VALUE"""),"Yes")</f>
        <v>Yes</v>
      </c>
      <c r="N752" s="5" t="str">
        <f>IFERROR(__xludf.DUMMYFUNCTION("""COMPUTED_VALUE"""),"Yes")</f>
        <v>Yes</v>
      </c>
      <c r="O752" s="5" t="str">
        <f>IFERROR(__xludf.DUMMYFUNCTION("""COMPUTED_VALUE"""),"Yes")</f>
        <v>Yes</v>
      </c>
      <c r="P752" s="5" t="str">
        <f>IFERROR(__xludf.DUMMYFUNCTION("""COMPUTED_VALUE"""),"Yes")</f>
        <v>Yes</v>
      </c>
      <c r="Q752" s="5" t="str">
        <f>IFERROR(__xludf.DUMMYFUNCTION("""COMPUTED_VALUE"""),"Yes")</f>
        <v>Yes</v>
      </c>
      <c r="R752" s="5" t="str">
        <f>IFERROR(__xludf.DUMMYFUNCTION("""COMPUTED_VALUE"""),"Yes")</f>
        <v>Yes</v>
      </c>
      <c r="S752" s="5" t="str">
        <f>IFERROR(__xludf.DUMMYFUNCTION("""COMPUTED_VALUE"""),"Yes")</f>
        <v>Yes</v>
      </c>
      <c r="T752" s="5" t="str">
        <f>IFERROR(__xludf.DUMMYFUNCTION("""COMPUTED_VALUE"""),"Yes")</f>
        <v>Yes</v>
      </c>
      <c r="U752" s="5" t="str">
        <f>IFERROR(__xludf.DUMMYFUNCTION("""COMPUTED_VALUE"""),"Yes")</f>
        <v>Yes</v>
      </c>
      <c r="V752" s="5" t="str">
        <f>IFERROR(__xludf.DUMMYFUNCTION("""COMPUTED_VALUE"""),"Yes")</f>
        <v>Yes</v>
      </c>
      <c r="W752" s="5" t="str">
        <f>IFERROR(__xludf.DUMMYFUNCTION("""COMPUTED_VALUE"""),"Yes")</f>
        <v>Yes</v>
      </c>
      <c r="X752" s="5" t="str">
        <f>IFERROR(__xludf.DUMMYFUNCTION("""COMPUTED_VALUE"""),"Yes")</f>
        <v>Yes</v>
      </c>
      <c r="Y752" s="5" t="str">
        <f>IFERROR(__xludf.DUMMYFUNCTION("""COMPUTED_VALUE"""),"Yes")</f>
        <v>Yes</v>
      </c>
      <c r="Z752" s="5" t="str">
        <f>IFERROR(__xludf.DUMMYFUNCTION("""COMPUTED_VALUE"""),"Yes")</f>
        <v>Yes</v>
      </c>
      <c r="AA752" s="5" t="str">
        <f>IFERROR(__xludf.DUMMYFUNCTION("""COMPUTED_VALUE"""),"Yes")</f>
        <v>Yes</v>
      </c>
      <c r="AB752" s="5" t="str">
        <f>IFERROR(__xludf.DUMMYFUNCTION("""COMPUTED_VALUE"""),"Yes")</f>
        <v>Yes</v>
      </c>
      <c r="AC752" s="5" t="str">
        <f>IFERROR(__xludf.DUMMYFUNCTION("""COMPUTED_VALUE"""),"No")</f>
        <v>No</v>
      </c>
    </row>
    <row r="753">
      <c r="A753" s="5" t="str">
        <f>IFERROR(__xludf.DUMMYFUNCTION("""COMPUTED_VALUE"""),"WinningFruits20")</f>
        <v>WinningFruits20</v>
      </c>
      <c r="B753"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3" s="5" t="str">
        <f>IFERROR(__xludf.DUMMYFUNCTION("""COMPUTED_VALUE"""),"Yes")</f>
        <v>Yes</v>
      </c>
      <c r="D753" s="5" t="str">
        <f>IFERROR(__xludf.DUMMYFUNCTION("""COMPUTED_VALUE"""),"Yes")</f>
        <v>Yes</v>
      </c>
      <c r="E753" s="5" t="str">
        <f>IFERROR(__xludf.DUMMYFUNCTION("""COMPUTED_VALUE"""),"Yes")</f>
        <v>Yes</v>
      </c>
      <c r="F753" s="5" t="str">
        <f>IFERROR(__xludf.DUMMYFUNCTION("""COMPUTED_VALUE"""),"Yes")</f>
        <v>Yes</v>
      </c>
      <c r="G753" s="5" t="str">
        <f>IFERROR(__xludf.DUMMYFUNCTION("""COMPUTED_VALUE"""),"Yes")</f>
        <v>Yes</v>
      </c>
      <c r="H753" s="5" t="str">
        <f>IFERROR(__xludf.DUMMYFUNCTION("""COMPUTED_VALUE"""),"Yes")</f>
        <v>Yes</v>
      </c>
      <c r="I753" s="5" t="str">
        <f>IFERROR(__xludf.DUMMYFUNCTION("""COMPUTED_VALUE"""),"Yes")</f>
        <v>Yes</v>
      </c>
      <c r="J753" s="5" t="str">
        <f>IFERROR(__xludf.DUMMYFUNCTION("""COMPUTED_VALUE"""),"Yes")</f>
        <v>Yes</v>
      </c>
      <c r="K753" s="5" t="str">
        <f>IFERROR(__xludf.DUMMYFUNCTION("""COMPUTED_VALUE"""),"Yes")</f>
        <v>Yes</v>
      </c>
      <c r="L753" s="5" t="str">
        <f>IFERROR(__xludf.DUMMYFUNCTION("""COMPUTED_VALUE"""),"Yes")</f>
        <v>Yes</v>
      </c>
      <c r="M753" s="5" t="str">
        <f>IFERROR(__xludf.DUMMYFUNCTION("""COMPUTED_VALUE"""),"Yes")</f>
        <v>Yes</v>
      </c>
      <c r="N753" s="5" t="str">
        <f>IFERROR(__xludf.DUMMYFUNCTION("""COMPUTED_VALUE"""),"Yes")</f>
        <v>Yes</v>
      </c>
      <c r="O753" s="5" t="str">
        <f>IFERROR(__xludf.DUMMYFUNCTION("""COMPUTED_VALUE"""),"Yes")</f>
        <v>Yes</v>
      </c>
      <c r="P753" s="5" t="str">
        <f>IFERROR(__xludf.DUMMYFUNCTION("""COMPUTED_VALUE"""),"Yes")</f>
        <v>Yes</v>
      </c>
      <c r="Q753" s="5" t="str">
        <f>IFERROR(__xludf.DUMMYFUNCTION("""COMPUTED_VALUE"""),"Yes")</f>
        <v>Yes</v>
      </c>
      <c r="R753" s="5" t="str">
        <f>IFERROR(__xludf.DUMMYFUNCTION("""COMPUTED_VALUE"""),"Yes")</f>
        <v>Yes</v>
      </c>
      <c r="S753" s="5" t="str">
        <f>IFERROR(__xludf.DUMMYFUNCTION("""COMPUTED_VALUE"""),"Yes")</f>
        <v>Yes</v>
      </c>
      <c r="T753" s="5" t="str">
        <f>IFERROR(__xludf.DUMMYFUNCTION("""COMPUTED_VALUE"""),"Yes")</f>
        <v>Yes</v>
      </c>
      <c r="U753" s="5" t="str">
        <f>IFERROR(__xludf.DUMMYFUNCTION("""COMPUTED_VALUE"""),"Yes")</f>
        <v>Yes</v>
      </c>
      <c r="V753" s="5" t="str">
        <f>IFERROR(__xludf.DUMMYFUNCTION("""COMPUTED_VALUE"""),"Yes")</f>
        <v>Yes</v>
      </c>
      <c r="W753" s="5" t="str">
        <f>IFERROR(__xludf.DUMMYFUNCTION("""COMPUTED_VALUE"""),"Yes")</f>
        <v>Yes</v>
      </c>
      <c r="X753" s="5" t="str">
        <f>IFERROR(__xludf.DUMMYFUNCTION("""COMPUTED_VALUE"""),"Yes")</f>
        <v>Yes</v>
      </c>
      <c r="Y753" s="5" t="str">
        <f>IFERROR(__xludf.DUMMYFUNCTION("""COMPUTED_VALUE"""),"Yes")</f>
        <v>Yes</v>
      </c>
      <c r="Z753" s="5" t="str">
        <f>IFERROR(__xludf.DUMMYFUNCTION("""COMPUTED_VALUE"""),"Yes")</f>
        <v>Yes</v>
      </c>
      <c r="AA753" s="5" t="str">
        <f>IFERROR(__xludf.DUMMYFUNCTION("""COMPUTED_VALUE"""),"Yes")</f>
        <v>Yes</v>
      </c>
      <c r="AB753" s="5" t="str">
        <f>IFERROR(__xludf.DUMMYFUNCTION("""COMPUTED_VALUE"""),"Yes")</f>
        <v>Yes</v>
      </c>
      <c r="AC753" s="5" t="str">
        <f>IFERROR(__xludf.DUMMYFUNCTION("""COMPUTED_VALUE"""),"No")</f>
        <v>No</v>
      </c>
    </row>
    <row r="754">
      <c r="A754" s="5" t="str">
        <f>IFERROR(__xludf.DUMMYFUNCTION("""COMPUTED_VALUE"""),"MagicMultiWin")</f>
        <v>MagicMultiWin</v>
      </c>
      <c r="B754"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4" s="5" t="str">
        <f>IFERROR(__xludf.DUMMYFUNCTION("""COMPUTED_VALUE"""),"Yes")</f>
        <v>Yes</v>
      </c>
      <c r="D754" s="5" t="str">
        <f>IFERROR(__xludf.DUMMYFUNCTION("""COMPUTED_VALUE"""),"Yes")</f>
        <v>Yes</v>
      </c>
      <c r="E754" s="5" t="str">
        <f>IFERROR(__xludf.DUMMYFUNCTION("""COMPUTED_VALUE"""),"Yes")</f>
        <v>Yes</v>
      </c>
      <c r="F754" s="5" t="str">
        <f>IFERROR(__xludf.DUMMYFUNCTION("""COMPUTED_VALUE"""),"Yes")</f>
        <v>Yes</v>
      </c>
      <c r="G754" s="5" t="str">
        <f>IFERROR(__xludf.DUMMYFUNCTION("""COMPUTED_VALUE"""),"Yes")</f>
        <v>Yes</v>
      </c>
      <c r="H754" s="5" t="str">
        <f>IFERROR(__xludf.DUMMYFUNCTION("""COMPUTED_VALUE"""),"Yes")</f>
        <v>Yes</v>
      </c>
      <c r="I754" s="5" t="str">
        <f>IFERROR(__xludf.DUMMYFUNCTION("""COMPUTED_VALUE"""),"Yes")</f>
        <v>Yes</v>
      </c>
      <c r="J754" s="5" t="str">
        <f>IFERROR(__xludf.DUMMYFUNCTION("""COMPUTED_VALUE"""),"Yes")</f>
        <v>Yes</v>
      </c>
      <c r="K754" s="5" t="str">
        <f>IFERROR(__xludf.DUMMYFUNCTION("""COMPUTED_VALUE"""),"Yes")</f>
        <v>Yes</v>
      </c>
      <c r="L754" s="5" t="str">
        <f>IFERROR(__xludf.DUMMYFUNCTION("""COMPUTED_VALUE"""),"Yes")</f>
        <v>Yes</v>
      </c>
      <c r="M754" s="5" t="str">
        <f>IFERROR(__xludf.DUMMYFUNCTION("""COMPUTED_VALUE"""),"Yes")</f>
        <v>Yes</v>
      </c>
      <c r="N754" s="5" t="str">
        <f>IFERROR(__xludf.DUMMYFUNCTION("""COMPUTED_VALUE"""),"Yes")</f>
        <v>Yes</v>
      </c>
      <c r="O754" s="5" t="str">
        <f>IFERROR(__xludf.DUMMYFUNCTION("""COMPUTED_VALUE"""),"Yes")</f>
        <v>Yes</v>
      </c>
      <c r="P754" s="5" t="str">
        <f>IFERROR(__xludf.DUMMYFUNCTION("""COMPUTED_VALUE"""),"Yes")</f>
        <v>Yes</v>
      </c>
      <c r="Q754" s="5" t="str">
        <f>IFERROR(__xludf.DUMMYFUNCTION("""COMPUTED_VALUE"""),"Yes")</f>
        <v>Yes</v>
      </c>
      <c r="R754" s="5" t="str">
        <f>IFERROR(__xludf.DUMMYFUNCTION("""COMPUTED_VALUE"""),"Yes")</f>
        <v>Yes</v>
      </c>
      <c r="S754" s="5" t="str">
        <f>IFERROR(__xludf.DUMMYFUNCTION("""COMPUTED_VALUE"""),"Yes")</f>
        <v>Yes</v>
      </c>
      <c r="T754" s="5" t="str">
        <f>IFERROR(__xludf.DUMMYFUNCTION("""COMPUTED_VALUE"""),"Yes")</f>
        <v>Yes</v>
      </c>
      <c r="U754" s="5" t="str">
        <f>IFERROR(__xludf.DUMMYFUNCTION("""COMPUTED_VALUE"""),"Yes")</f>
        <v>Yes</v>
      </c>
      <c r="V754" s="5" t="str">
        <f>IFERROR(__xludf.DUMMYFUNCTION("""COMPUTED_VALUE"""),"Yes")</f>
        <v>Yes</v>
      </c>
      <c r="W754" s="5" t="str">
        <f>IFERROR(__xludf.DUMMYFUNCTION("""COMPUTED_VALUE"""),"Yes")</f>
        <v>Yes</v>
      </c>
      <c r="X754" s="5" t="str">
        <f>IFERROR(__xludf.DUMMYFUNCTION("""COMPUTED_VALUE"""),"Yes")</f>
        <v>Yes</v>
      </c>
      <c r="Y754" s="5" t="str">
        <f>IFERROR(__xludf.DUMMYFUNCTION("""COMPUTED_VALUE"""),"Yes")</f>
        <v>Yes</v>
      </c>
      <c r="Z754" s="5" t="str">
        <f>IFERROR(__xludf.DUMMYFUNCTION("""COMPUTED_VALUE"""),"Yes")</f>
        <v>Yes</v>
      </c>
      <c r="AA754" s="5" t="str">
        <f>IFERROR(__xludf.DUMMYFUNCTION("""COMPUTED_VALUE"""),"Yes")</f>
        <v>Yes</v>
      </c>
      <c r="AB754" s="5" t="str">
        <f>IFERROR(__xludf.DUMMYFUNCTION("""COMPUTED_VALUE"""),"Yes")</f>
        <v>Yes</v>
      </c>
      <c r="AC754" s="5" t="str">
        <f>IFERROR(__xludf.DUMMYFUNCTION("""COMPUTED_VALUE"""),"No")</f>
        <v>No</v>
      </c>
    </row>
    <row r="755">
      <c r="A755" s="5" t="str">
        <f>IFERROR(__xludf.DUMMYFUNCTION("""COMPUTED_VALUE"""),"ChilliBurst")</f>
        <v>ChilliBurst</v>
      </c>
      <c r="B755"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5" s="5" t="str">
        <f>IFERROR(__xludf.DUMMYFUNCTION("""COMPUTED_VALUE"""),"Yes")</f>
        <v>Yes</v>
      </c>
      <c r="D755" s="5" t="str">
        <f>IFERROR(__xludf.DUMMYFUNCTION("""COMPUTED_VALUE"""),"Yes")</f>
        <v>Yes</v>
      </c>
      <c r="E755" s="5" t="str">
        <f>IFERROR(__xludf.DUMMYFUNCTION("""COMPUTED_VALUE"""),"Yes")</f>
        <v>Yes</v>
      </c>
      <c r="F755" s="5" t="str">
        <f>IFERROR(__xludf.DUMMYFUNCTION("""COMPUTED_VALUE"""),"Yes")</f>
        <v>Yes</v>
      </c>
      <c r="G755" s="5" t="str">
        <f>IFERROR(__xludf.DUMMYFUNCTION("""COMPUTED_VALUE"""),"Yes")</f>
        <v>Yes</v>
      </c>
      <c r="H755" s="5" t="str">
        <f>IFERROR(__xludf.DUMMYFUNCTION("""COMPUTED_VALUE"""),"Yes")</f>
        <v>Yes</v>
      </c>
      <c r="I755" s="5" t="str">
        <f>IFERROR(__xludf.DUMMYFUNCTION("""COMPUTED_VALUE"""),"Yes")</f>
        <v>Yes</v>
      </c>
      <c r="J755" s="5" t="str">
        <f>IFERROR(__xludf.DUMMYFUNCTION("""COMPUTED_VALUE"""),"Yes")</f>
        <v>Yes</v>
      </c>
      <c r="K755" s="5" t="str">
        <f>IFERROR(__xludf.DUMMYFUNCTION("""COMPUTED_VALUE"""),"Yes")</f>
        <v>Yes</v>
      </c>
      <c r="L755" s="5" t="str">
        <f>IFERROR(__xludf.DUMMYFUNCTION("""COMPUTED_VALUE"""),"Yes")</f>
        <v>Yes</v>
      </c>
      <c r="M755" s="5" t="str">
        <f>IFERROR(__xludf.DUMMYFUNCTION("""COMPUTED_VALUE"""),"Yes")</f>
        <v>Yes</v>
      </c>
      <c r="N755" s="5" t="str">
        <f>IFERROR(__xludf.DUMMYFUNCTION("""COMPUTED_VALUE"""),"Yes")</f>
        <v>Yes</v>
      </c>
      <c r="O755" s="5" t="str">
        <f>IFERROR(__xludf.DUMMYFUNCTION("""COMPUTED_VALUE"""),"Yes")</f>
        <v>Yes</v>
      </c>
      <c r="P755" s="5" t="str">
        <f>IFERROR(__xludf.DUMMYFUNCTION("""COMPUTED_VALUE"""),"Yes")</f>
        <v>Yes</v>
      </c>
      <c r="Q755" s="5" t="str">
        <f>IFERROR(__xludf.DUMMYFUNCTION("""COMPUTED_VALUE"""),"Yes")</f>
        <v>Yes</v>
      </c>
      <c r="R755" s="5" t="str">
        <f>IFERROR(__xludf.DUMMYFUNCTION("""COMPUTED_VALUE"""),"Yes")</f>
        <v>Yes</v>
      </c>
      <c r="S755" s="5" t="str">
        <f>IFERROR(__xludf.DUMMYFUNCTION("""COMPUTED_VALUE"""),"Yes")</f>
        <v>Yes</v>
      </c>
      <c r="T755" s="5" t="str">
        <f>IFERROR(__xludf.DUMMYFUNCTION("""COMPUTED_VALUE"""),"Yes")</f>
        <v>Yes</v>
      </c>
      <c r="U755" s="5" t="str">
        <f>IFERROR(__xludf.DUMMYFUNCTION("""COMPUTED_VALUE"""),"Yes")</f>
        <v>Yes</v>
      </c>
      <c r="V755" s="5" t="str">
        <f>IFERROR(__xludf.DUMMYFUNCTION("""COMPUTED_VALUE"""),"Yes")</f>
        <v>Yes</v>
      </c>
      <c r="W755" s="5" t="str">
        <f>IFERROR(__xludf.DUMMYFUNCTION("""COMPUTED_VALUE"""),"Yes")</f>
        <v>Yes</v>
      </c>
      <c r="X755" s="5" t="str">
        <f>IFERROR(__xludf.DUMMYFUNCTION("""COMPUTED_VALUE"""),"Yes")</f>
        <v>Yes</v>
      </c>
      <c r="Y755" s="5" t="str">
        <f>IFERROR(__xludf.DUMMYFUNCTION("""COMPUTED_VALUE"""),"Yes")</f>
        <v>Yes</v>
      </c>
      <c r="Z755" s="5" t="str">
        <f>IFERROR(__xludf.DUMMYFUNCTION("""COMPUTED_VALUE"""),"Yes")</f>
        <v>Yes</v>
      </c>
      <c r="AA755" s="5" t="str">
        <f>IFERROR(__xludf.DUMMYFUNCTION("""COMPUTED_VALUE"""),"Yes")</f>
        <v>Yes</v>
      </c>
      <c r="AB755" s="5" t="str">
        <f>IFERROR(__xludf.DUMMYFUNCTION("""COMPUTED_VALUE"""),"Yes")</f>
        <v>Yes</v>
      </c>
      <c r="AC755" s="5" t="str">
        <f>IFERROR(__xludf.DUMMYFUNCTION("""COMPUTED_VALUE"""),"No")</f>
        <v>No</v>
      </c>
    </row>
    <row r="756">
      <c r="A756" s="5" t="str">
        <f>IFERROR(__xludf.DUMMYFUNCTION("""COMPUTED_VALUE"""),"ExtremeStickyClover")</f>
        <v>ExtremeStickyClover</v>
      </c>
      <c r="B756"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6" s="5" t="str">
        <f>IFERROR(__xludf.DUMMYFUNCTION("""COMPUTED_VALUE"""),"Yes")</f>
        <v>Yes</v>
      </c>
      <c r="D756" s="5" t="str">
        <f>IFERROR(__xludf.DUMMYFUNCTION("""COMPUTED_VALUE"""),"Yes")</f>
        <v>Yes</v>
      </c>
      <c r="E756" s="5" t="str">
        <f>IFERROR(__xludf.DUMMYFUNCTION("""COMPUTED_VALUE"""),"Yes")</f>
        <v>Yes</v>
      </c>
      <c r="F756" s="5" t="str">
        <f>IFERROR(__xludf.DUMMYFUNCTION("""COMPUTED_VALUE"""),"Yes")</f>
        <v>Yes</v>
      </c>
      <c r="G756" s="5" t="str">
        <f>IFERROR(__xludf.DUMMYFUNCTION("""COMPUTED_VALUE"""),"Yes")</f>
        <v>Yes</v>
      </c>
      <c r="H756" s="5" t="str">
        <f>IFERROR(__xludf.DUMMYFUNCTION("""COMPUTED_VALUE"""),"Yes")</f>
        <v>Yes</v>
      </c>
      <c r="I756" s="5" t="str">
        <f>IFERROR(__xludf.DUMMYFUNCTION("""COMPUTED_VALUE"""),"Yes")</f>
        <v>Yes</v>
      </c>
      <c r="J756" s="5" t="str">
        <f>IFERROR(__xludf.DUMMYFUNCTION("""COMPUTED_VALUE"""),"Yes")</f>
        <v>Yes</v>
      </c>
      <c r="K756" s="5" t="str">
        <f>IFERROR(__xludf.DUMMYFUNCTION("""COMPUTED_VALUE"""),"Yes")</f>
        <v>Yes</v>
      </c>
      <c r="L756" s="5" t="str">
        <f>IFERROR(__xludf.DUMMYFUNCTION("""COMPUTED_VALUE"""),"Yes")</f>
        <v>Yes</v>
      </c>
      <c r="M756" s="5" t="str">
        <f>IFERROR(__xludf.DUMMYFUNCTION("""COMPUTED_VALUE"""),"Yes")</f>
        <v>Yes</v>
      </c>
      <c r="N756" s="5" t="str">
        <f>IFERROR(__xludf.DUMMYFUNCTION("""COMPUTED_VALUE"""),"Yes")</f>
        <v>Yes</v>
      </c>
      <c r="O756" s="5" t="str">
        <f>IFERROR(__xludf.DUMMYFUNCTION("""COMPUTED_VALUE"""),"Yes")</f>
        <v>Yes</v>
      </c>
      <c r="P756" s="5" t="str">
        <f>IFERROR(__xludf.DUMMYFUNCTION("""COMPUTED_VALUE"""),"Yes")</f>
        <v>Yes</v>
      </c>
      <c r="Q756" s="5" t="str">
        <f>IFERROR(__xludf.DUMMYFUNCTION("""COMPUTED_VALUE"""),"Yes")</f>
        <v>Yes</v>
      </c>
      <c r="R756" s="5" t="str">
        <f>IFERROR(__xludf.DUMMYFUNCTION("""COMPUTED_VALUE"""),"Yes")</f>
        <v>Yes</v>
      </c>
      <c r="S756" s="5" t="str">
        <f>IFERROR(__xludf.DUMMYFUNCTION("""COMPUTED_VALUE"""),"Yes")</f>
        <v>Yes</v>
      </c>
      <c r="T756" s="5" t="str">
        <f>IFERROR(__xludf.DUMMYFUNCTION("""COMPUTED_VALUE"""),"Yes")</f>
        <v>Yes</v>
      </c>
      <c r="U756" s="5" t="str">
        <f>IFERROR(__xludf.DUMMYFUNCTION("""COMPUTED_VALUE"""),"Yes")</f>
        <v>Yes</v>
      </c>
      <c r="V756" s="5" t="str">
        <f>IFERROR(__xludf.DUMMYFUNCTION("""COMPUTED_VALUE"""),"Yes")</f>
        <v>Yes</v>
      </c>
      <c r="W756" s="5" t="str">
        <f>IFERROR(__xludf.DUMMYFUNCTION("""COMPUTED_VALUE"""),"Yes")</f>
        <v>Yes</v>
      </c>
      <c r="X756" s="5" t="str">
        <f>IFERROR(__xludf.DUMMYFUNCTION("""COMPUTED_VALUE"""),"Yes")</f>
        <v>Yes</v>
      </c>
      <c r="Y756" s="5" t="str">
        <f>IFERROR(__xludf.DUMMYFUNCTION("""COMPUTED_VALUE"""),"Yes")</f>
        <v>Yes</v>
      </c>
      <c r="Z756" s="5" t="str">
        <f>IFERROR(__xludf.DUMMYFUNCTION("""COMPUTED_VALUE"""),"Yes")</f>
        <v>Yes</v>
      </c>
      <c r="AA756" s="5" t="str">
        <f>IFERROR(__xludf.DUMMYFUNCTION("""COMPUTED_VALUE"""),"Yes")</f>
        <v>Yes</v>
      </c>
      <c r="AB756" s="5" t="str">
        <f>IFERROR(__xludf.DUMMYFUNCTION("""COMPUTED_VALUE"""),"Yes")</f>
        <v>Yes</v>
      </c>
      <c r="AC756" s="5" t="str">
        <f>IFERROR(__xludf.DUMMYFUNCTION("""COMPUTED_VALUE"""),"No")</f>
        <v>No</v>
      </c>
    </row>
    <row r="757">
      <c r="A757" s="5" t="str">
        <f>IFERROR(__xludf.DUMMYFUNCTION("""COMPUTED_VALUE"""),"ExtremeHeat7s")</f>
        <v>ExtremeHeat7s</v>
      </c>
      <c r="B75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7" s="5" t="str">
        <f>IFERROR(__xludf.DUMMYFUNCTION("""COMPUTED_VALUE"""),"Yes")</f>
        <v>Yes</v>
      </c>
      <c r="D757" s="5" t="str">
        <f>IFERROR(__xludf.DUMMYFUNCTION("""COMPUTED_VALUE"""),"Yes")</f>
        <v>Yes</v>
      </c>
      <c r="E757" s="5" t="str">
        <f>IFERROR(__xludf.DUMMYFUNCTION("""COMPUTED_VALUE"""),"Yes")</f>
        <v>Yes</v>
      </c>
      <c r="F757" s="5" t="str">
        <f>IFERROR(__xludf.DUMMYFUNCTION("""COMPUTED_VALUE"""),"Yes")</f>
        <v>Yes</v>
      </c>
      <c r="G757" s="5" t="str">
        <f>IFERROR(__xludf.DUMMYFUNCTION("""COMPUTED_VALUE"""),"Yes")</f>
        <v>Yes</v>
      </c>
      <c r="H757" s="5" t="str">
        <f>IFERROR(__xludf.DUMMYFUNCTION("""COMPUTED_VALUE"""),"Yes")</f>
        <v>Yes</v>
      </c>
      <c r="I757" s="5" t="str">
        <f>IFERROR(__xludf.DUMMYFUNCTION("""COMPUTED_VALUE"""),"Yes")</f>
        <v>Yes</v>
      </c>
      <c r="J757" s="5" t="str">
        <f>IFERROR(__xludf.DUMMYFUNCTION("""COMPUTED_VALUE"""),"Yes")</f>
        <v>Yes</v>
      </c>
      <c r="K757" s="5" t="str">
        <f>IFERROR(__xludf.DUMMYFUNCTION("""COMPUTED_VALUE"""),"Yes")</f>
        <v>Yes</v>
      </c>
      <c r="L757" s="5" t="str">
        <f>IFERROR(__xludf.DUMMYFUNCTION("""COMPUTED_VALUE"""),"Yes")</f>
        <v>Yes</v>
      </c>
      <c r="M757" s="5" t="str">
        <f>IFERROR(__xludf.DUMMYFUNCTION("""COMPUTED_VALUE"""),"Yes")</f>
        <v>Yes</v>
      </c>
      <c r="N757" s="5" t="str">
        <f>IFERROR(__xludf.DUMMYFUNCTION("""COMPUTED_VALUE"""),"Yes")</f>
        <v>Yes</v>
      </c>
      <c r="O757" s="5" t="str">
        <f>IFERROR(__xludf.DUMMYFUNCTION("""COMPUTED_VALUE"""),"Yes")</f>
        <v>Yes</v>
      </c>
      <c r="P757" s="5" t="str">
        <f>IFERROR(__xludf.DUMMYFUNCTION("""COMPUTED_VALUE"""),"Yes")</f>
        <v>Yes</v>
      </c>
      <c r="Q757" s="5" t="str">
        <f>IFERROR(__xludf.DUMMYFUNCTION("""COMPUTED_VALUE"""),"Yes")</f>
        <v>Yes</v>
      </c>
      <c r="R757" s="5" t="str">
        <f>IFERROR(__xludf.DUMMYFUNCTION("""COMPUTED_VALUE"""),"Yes")</f>
        <v>Yes</v>
      </c>
      <c r="S757" s="5" t="str">
        <f>IFERROR(__xludf.DUMMYFUNCTION("""COMPUTED_VALUE"""),"Yes")</f>
        <v>Yes</v>
      </c>
      <c r="T757" s="5" t="str">
        <f>IFERROR(__xludf.DUMMYFUNCTION("""COMPUTED_VALUE"""),"Yes")</f>
        <v>Yes</v>
      </c>
      <c r="U757" s="5" t="str">
        <f>IFERROR(__xludf.DUMMYFUNCTION("""COMPUTED_VALUE"""),"Yes")</f>
        <v>Yes</v>
      </c>
      <c r="V757" s="5" t="str">
        <f>IFERROR(__xludf.DUMMYFUNCTION("""COMPUTED_VALUE"""),"Yes")</f>
        <v>Yes</v>
      </c>
      <c r="W757" s="5" t="str">
        <f>IFERROR(__xludf.DUMMYFUNCTION("""COMPUTED_VALUE"""),"Yes")</f>
        <v>Yes</v>
      </c>
      <c r="X757" s="5" t="str">
        <f>IFERROR(__xludf.DUMMYFUNCTION("""COMPUTED_VALUE"""),"Yes")</f>
        <v>Yes</v>
      </c>
      <c r="Y757" s="5" t="str">
        <f>IFERROR(__xludf.DUMMYFUNCTION("""COMPUTED_VALUE"""),"Yes")</f>
        <v>Yes</v>
      </c>
      <c r="Z757" s="5" t="str">
        <f>IFERROR(__xludf.DUMMYFUNCTION("""COMPUTED_VALUE"""),"Yes")</f>
        <v>Yes</v>
      </c>
      <c r="AA757" s="5" t="str">
        <f>IFERROR(__xludf.DUMMYFUNCTION("""COMPUTED_VALUE"""),"Yes")</f>
        <v>Yes</v>
      </c>
      <c r="AB757" s="5" t="str">
        <f>IFERROR(__xludf.DUMMYFUNCTION("""COMPUTED_VALUE"""),"Yes")</f>
        <v>Yes</v>
      </c>
      <c r="AC757" s="5" t="str">
        <f>IFERROR(__xludf.DUMMYFUNCTION("""COMPUTED_VALUE"""),"No")</f>
        <v>No</v>
      </c>
    </row>
    <row r="758">
      <c r="A758" s="5" t="str">
        <f>IFERROR(__xludf.DUMMYFUNCTION("""COMPUTED_VALUE"""),"BonusWild81Extralines")</f>
        <v>BonusWild81Extralines</v>
      </c>
      <c r="B75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8" s="5" t="str">
        <f>IFERROR(__xludf.DUMMYFUNCTION("""COMPUTED_VALUE"""),"Yes")</f>
        <v>Yes</v>
      </c>
      <c r="D758" s="5" t="str">
        <f>IFERROR(__xludf.DUMMYFUNCTION("""COMPUTED_VALUE"""),"Yes")</f>
        <v>Yes</v>
      </c>
      <c r="E758" s="5" t="str">
        <f>IFERROR(__xludf.DUMMYFUNCTION("""COMPUTED_VALUE"""),"Yes")</f>
        <v>Yes</v>
      </c>
      <c r="F758" s="5" t="str">
        <f>IFERROR(__xludf.DUMMYFUNCTION("""COMPUTED_VALUE"""),"Yes")</f>
        <v>Yes</v>
      </c>
      <c r="G758" s="5" t="str">
        <f>IFERROR(__xludf.DUMMYFUNCTION("""COMPUTED_VALUE"""),"Yes")</f>
        <v>Yes</v>
      </c>
      <c r="H758" s="5" t="str">
        <f>IFERROR(__xludf.DUMMYFUNCTION("""COMPUTED_VALUE"""),"Yes")</f>
        <v>Yes</v>
      </c>
      <c r="I758" s="5" t="str">
        <f>IFERROR(__xludf.DUMMYFUNCTION("""COMPUTED_VALUE"""),"Yes")</f>
        <v>Yes</v>
      </c>
      <c r="J758" s="5" t="str">
        <f>IFERROR(__xludf.DUMMYFUNCTION("""COMPUTED_VALUE"""),"Yes")</f>
        <v>Yes</v>
      </c>
      <c r="K758" s="5" t="str">
        <f>IFERROR(__xludf.DUMMYFUNCTION("""COMPUTED_VALUE"""),"Yes")</f>
        <v>Yes</v>
      </c>
      <c r="L758" s="5" t="str">
        <f>IFERROR(__xludf.DUMMYFUNCTION("""COMPUTED_VALUE"""),"Yes")</f>
        <v>Yes</v>
      </c>
      <c r="M758" s="5" t="str">
        <f>IFERROR(__xludf.DUMMYFUNCTION("""COMPUTED_VALUE"""),"Yes")</f>
        <v>Yes</v>
      </c>
      <c r="N758" s="5" t="str">
        <f>IFERROR(__xludf.DUMMYFUNCTION("""COMPUTED_VALUE"""),"Yes")</f>
        <v>Yes</v>
      </c>
      <c r="O758" s="5" t="str">
        <f>IFERROR(__xludf.DUMMYFUNCTION("""COMPUTED_VALUE"""),"Yes")</f>
        <v>Yes</v>
      </c>
      <c r="P758" s="5" t="str">
        <f>IFERROR(__xludf.DUMMYFUNCTION("""COMPUTED_VALUE"""),"Yes")</f>
        <v>Yes</v>
      </c>
      <c r="Q758" s="5" t="str">
        <f>IFERROR(__xludf.DUMMYFUNCTION("""COMPUTED_VALUE"""),"Yes")</f>
        <v>Yes</v>
      </c>
      <c r="R758" s="5" t="str">
        <f>IFERROR(__xludf.DUMMYFUNCTION("""COMPUTED_VALUE"""),"Yes")</f>
        <v>Yes</v>
      </c>
      <c r="S758" s="5" t="str">
        <f>IFERROR(__xludf.DUMMYFUNCTION("""COMPUTED_VALUE"""),"Yes")</f>
        <v>Yes</v>
      </c>
      <c r="T758" s="5" t="str">
        <f>IFERROR(__xludf.DUMMYFUNCTION("""COMPUTED_VALUE"""),"Yes")</f>
        <v>Yes</v>
      </c>
      <c r="U758" s="5" t="str">
        <f>IFERROR(__xludf.DUMMYFUNCTION("""COMPUTED_VALUE"""),"Yes")</f>
        <v>Yes</v>
      </c>
      <c r="V758" s="5" t="str">
        <f>IFERROR(__xludf.DUMMYFUNCTION("""COMPUTED_VALUE"""),"Yes")</f>
        <v>Yes</v>
      </c>
      <c r="W758" s="5" t="str">
        <f>IFERROR(__xludf.DUMMYFUNCTION("""COMPUTED_VALUE"""),"Yes")</f>
        <v>Yes</v>
      </c>
      <c r="X758" s="5" t="str">
        <f>IFERROR(__xludf.DUMMYFUNCTION("""COMPUTED_VALUE"""),"Yes")</f>
        <v>Yes</v>
      </c>
      <c r="Y758" s="5" t="str">
        <f>IFERROR(__xludf.DUMMYFUNCTION("""COMPUTED_VALUE"""),"Yes")</f>
        <v>Yes</v>
      </c>
      <c r="Z758" s="5" t="str">
        <f>IFERROR(__xludf.DUMMYFUNCTION("""COMPUTED_VALUE"""),"Yes")</f>
        <v>Yes</v>
      </c>
      <c r="AA758" s="5" t="str">
        <f>IFERROR(__xludf.DUMMYFUNCTION("""COMPUTED_VALUE"""),"Yes")</f>
        <v>Yes</v>
      </c>
      <c r="AB758" s="5" t="str">
        <f>IFERROR(__xludf.DUMMYFUNCTION("""COMPUTED_VALUE"""),"Yes")</f>
        <v>Yes</v>
      </c>
      <c r="AC758" s="5" t="str">
        <f>IFERROR(__xludf.DUMMYFUNCTION("""COMPUTED_VALUE"""),"No")</f>
        <v>No</v>
      </c>
    </row>
    <row r="759">
      <c r="A759" s="5" t="str">
        <f>IFERROR(__xludf.DUMMYFUNCTION("""COMPUTED_VALUE"""),"UnicornFlamyFireballs")</f>
        <v>UnicornFlamyFireballs</v>
      </c>
      <c r="B75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9" s="5" t="str">
        <f>IFERROR(__xludf.DUMMYFUNCTION("""COMPUTED_VALUE"""),"Yes")</f>
        <v>Yes</v>
      </c>
      <c r="D759" s="5" t="str">
        <f>IFERROR(__xludf.DUMMYFUNCTION("""COMPUTED_VALUE"""),"Yes")</f>
        <v>Yes</v>
      </c>
      <c r="E759" s="5" t="str">
        <f>IFERROR(__xludf.DUMMYFUNCTION("""COMPUTED_VALUE"""),"Yes")</f>
        <v>Yes</v>
      </c>
      <c r="F759" s="5" t="str">
        <f>IFERROR(__xludf.DUMMYFUNCTION("""COMPUTED_VALUE"""),"Yes")</f>
        <v>Yes</v>
      </c>
      <c r="G759" s="5" t="str">
        <f>IFERROR(__xludf.DUMMYFUNCTION("""COMPUTED_VALUE"""),"Yes")</f>
        <v>Yes</v>
      </c>
      <c r="H759" s="5" t="str">
        <f>IFERROR(__xludf.DUMMYFUNCTION("""COMPUTED_VALUE"""),"Yes")</f>
        <v>Yes</v>
      </c>
      <c r="I759" s="5" t="str">
        <f>IFERROR(__xludf.DUMMYFUNCTION("""COMPUTED_VALUE"""),"Yes")</f>
        <v>Yes</v>
      </c>
      <c r="J759" s="5" t="str">
        <f>IFERROR(__xludf.DUMMYFUNCTION("""COMPUTED_VALUE"""),"Yes")</f>
        <v>Yes</v>
      </c>
      <c r="K759" s="5" t="str">
        <f>IFERROR(__xludf.DUMMYFUNCTION("""COMPUTED_VALUE"""),"Yes")</f>
        <v>Yes</v>
      </c>
      <c r="L759" s="5" t="str">
        <f>IFERROR(__xludf.DUMMYFUNCTION("""COMPUTED_VALUE"""),"Yes")</f>
        <v>Yes</v>
      </c>
      <c r="M759" s="5" t="str">
        <f>IFERROR(__xludf.DUMMYFUNCTION("""COMPUTED_VALUE"""),"Yes")</f>
        <v>Yes</v>
      </c>
      <c r="N759" s="5" t="str">
        <f>IFERROR(__xludf.DUMMYFUNCTION("""COMPUTED_VALUE"""),"Yes")</f>
        <v>Yes</v>
      </c>
      <c r="O759" s="5" t="str">
        <f>IFERROR(__xludf.DUMMYFUNCTION("""COMPUTED_VALUE"""),"Yes")</f>
        <v>Yes</v>
      </c>
      <c r="P759" s="5" t="str">
        <f>IFERROR(__xludf.DUMMYFUNCTION("""COMPUTED_VALUE"""),"Yes")</f>
        <v>Yes</v>
      </c>
      <c r="Q759" s="5" t="str">
        <f>IFERROR(__xludf.DUMMYFUNCTION("""COMPUTED_VALUE"""),"Yes")</f>
        <v>Yes</v>
      </c>
      <c r="R759" s="5" t="str">
        <f>IFERROR(__xludf.DUMMYFUNCTION("""COMPUTED_VALUE"""),"Yes")</f>
        <v>Yes</v>
      </c>
      <c r="S759" s="5" t="str">
        <f>IFERROR(__xludf.DUMMYFUNCTION("""COMPUTED_VALUE"""),"Yes")</f>
        <v>Yes</v>
      </c>
      <c r="T759" s="5" t="str">
        <f>IFERROR(__xludf.DUMMYFUNCTION("""COMPUTED_VALUE"""),"Yes")</f>
        <v>Yes</v>
      </c>
      <c r="U759" s="5" t="str">
        <f>IFERROR(__xludf.DUMMYFUNCTION("""COMPUTED_VALUE"""),"Yes")</f>
        <v>Yes</v>
      </c>
      <c r="V759" s="5" t="str">
        <f>IFERROR(__xludf.DUMMYFUNCTION("""COMPUTED_VALUE"""),"Yes")</f>
        <v>Yes</v>
      </c>
      <c r="W759" s="5" t="str">
        <f>IFERROR(__xludf.DUMMYFUNCTION("""COMPUTED_VALUE"""),"Yes")</f>
        <v>Yes</v>
      </c>
      <c r="X759" s="5" t="str">
        <f>IFERROR(__xludf.DUMMYFUNCTION("""COMPUTED_VALUE"""),"Yes")</f>
        <v>Yes</v>
      </c>
      <c r="Y759" s="5" t="str">
        <f>IFERROR(__xludf.DUMMYFUNCTION("""COMPUTED_VALUE"""),"Yes")</f>
        <v>Yes</v>
      </c>
      <c r="Z759" s="5" t="str">
        <f>IFERROR(__xludf.DUMMYFUNCTION("""COMPUTED_VALUE"""),"Yes")</f>
        <v>Yes</v>
      </c>
      <c r="AA759" s="5" t="str">
        <f>IFERROR(__xludf.DUMMYFUNCTION("""COMPUTED_VALUE"""),"Yes")</f>
        <v>Yes</v>
      </c>
      <c r="AB759" s="5" t="str">
        <f>IFERROR(__xludf.DUMMYFUNCTION("""COMPUTED_VALUE"""),"Yes")</f>
        <v>Yes</v>
      </c>
      <c r="AC759" s="5" t="str">
        <f>IFERROR(__xludf.DUMMYFUNCTION("""COMPUTED_VALUE"""),"No")</f>
        <v>No</v>
      </c>
    </row>
    <row r="760">
      <c r="A760" s="5" t="str">
        <f>IFERROR(__xludf.DUMMYFUNCTION("""COMPUTED_VALUE"""),"UnicornFruitPlayDice")</f>
        <v>UnicornFruitPlayDice</v>
      </c>
      <c r="B76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0" s="5" t="str">
        <f>IFERROR(__xludf.DUMMYFUNCTION("""COMPUTED_VALUE"""),"Yes")</f>
        <v>Yes</v>
      </c>
      <c r="D760" s="5" t="str">
        <f>IFERROR(__xludf.DUMMYFUNCTION("""COMPUTED_VALUE"""),"Yes")</f>
        <v>Yes</v>
      </c>
      <c r="E760" s="5" t="str">
        <f>IFERROR(__xludf.DUMMYFUNCTION("""COMPUTED_VALUE"""),"Yes")</f>
        <v>Yes</v>
      </c>
      <c r="F760" s="5" t="str">
        <f>IFERROR(__xludf.DUMMYFUNCTION("""COMPUTED_VALUE"""),"Yes")</f>
        <v>Yes</v>
      </c>
      <c r="G760" s="5" t="str">
        <f>IFERROR(__xludf.DUMMYFUNCTION("""COMPUTED_VALUE"""),"Yes")</f>
        <v>Yes</v>
      </c>
      <c r="H760" s="5" t="str">
        <f>IFERROR(__xludf.DUMMYFUNCTION("""COMPUTED_VALUE"""),"Yes")</f>
        <v>Yes</v>
      </c>
      <c r="I760" s="5" t="str">
        <f>IFERROR(__xludf.DUMMYFUNCTION("""COMPUTED_VALUE"""),"Yes")</f>
        <v>Yes</v>
      </c>
      <c r="J760" s="5" t="str">
        <f>IFERROR(__xludf.DUMMYFUNCTION("""COMPUTED_VALUE"""),"Yes")</f>
        <v>Yes</v>
      </c>
      <c r="K760" s="5" t="str">
        <f>IFERROR(__xludf.DUMMYFUNCTION("""COMPUTED_VALUE"""),"Yes")</f>
        <v>Yes</v>
      </c>
      <c r="L760" s="5" t="str">
        <f>IFERROR(__xludf.DUMMYFUNCTION("""COMPUTED_VALUE"""),"Yes")</f>
        <v>Yes</v>
      </c>
      <c r="M760" s="5" t="str">
        <f>IFERROR(__xludf.DUMMYFUNCTION("""COMPUTED_VALUE"""),"Yes")</f>
        <v>Yes</v>
      </c>
      <c r="N760" s="5" t="str">
        <f>IFERROR(__xludf.DUMMYFUNCTION("""COMPUTED_VALUE"""),"Yes")</f>
        <v>Yes</v>
      </c>
      <c r="O760" s="5" t="str">
        <f>IFERROR(__xludf.DUMMYFUNCTION("""COMPUTED_VALUE"""),"Yes")</f>
        <v>Yes</v>
      </c>
      <c r="P760" s="5" t="str">
        <f>IFERROR(__xludf.DUMMYFUNCTION("""COMPUTED_VALUE"""),"Yes")</f>
        <v>Yes</v>
      </c>
      <c r="Q760" s="5" t="str">
        <f>IFERROR(__xludf.DUMMYFUNCTION("""COMPUTED_VALUE"""),"Yes")</f>
        <v>Yes</v>
      </c>
      <c r="R760" s="5" t="str">
        <f>IFERROR(__xludf.DUMMYFUNCTION("""COMPUTED_VALUE"""),"Yes")</f>
        <v>Yes</v>
      </c>
      <c r="S760" s="5" t="str">
        <f>IFERROR(__xludf.DUMMYFUNCTION("""COMPUTED_VALUE"""),"Yes")</f>
        <v>Yes</v>
      </c>
      <c r="T760" s="5" t="str">
        <f>IFERROR(__xludf.DUMMYFUNCTION("""COMPUTED_VALUE"""),"Yes")</f>
        <v>Yes</v>
      </c>
      <c r="U760" s="5" t="str">
        <f>IFERROR(__xludf.DUMMYFUNCTION("""COMPUTED_VALUE"""),"Yes")</f>
        <v>Yes</v>
      </c>
      <c r="V760" s="5" t="str">
        <f>IFERROR(__xludf.DUMMYFUNCTION("""COMPUTED_VALUE"""),"Yes")</f>
        <v>Yes</v>
      </c>
      <c r="W760" s="5" t="str">
        <f>IFERROR(__xludf.DUMMYFUNCTION("""COMPUTED_VALUE"""),"Yes")</f>
        <v>Yes</v>
      </c>
      <c r="X760" s="5" t="str">
        <f>IFERROR(__xludf.DUMMYFUNCTION("""COMPUTED_VALUE"""),"Yes")</f>
        <v>Yes</v>
      </c>
      <c r="Y760" s="5" t="str">
        <f>IFERROR(__xludf.DUMMYFUNCTION("""COMPUTED_VALUE"""),"Yes")</f>
        <v>Yes</v>
      </c>
      <c r="Z760" s="5" t="str">
        <f>IFERROR(__xludf.DUMMYFUNCTION("""COMPUTED_VALUE"""),"Yes")</f>
        <v>Yes</v>
      </c>
      <c r="AA760" s="5" t="str">
        <f>IFERROR(__xludf.DUMMYFUNCTION("""COMPUTED_VALUE"""),"Yes")</f>
        <v>Yes</v>
      </c>
      <c r="AB760" s="5" t="str">
        <f>IFERROR(__xludf.DUMMYFUNCTION("""COMPUTED_VALUE"""),"Yes")</f>
        <v>Yes</v>
      </c>
      <c r="AC760" s="5" t="str">
        <f>IFERROR(__xludf.DUMMYFUNCTION("""COMPUTED_VALUE"""),"No")</f>
        <v>No</v>
      </c>
    </row>
    <row r="761">
      <c r="A761" s="5" t="str">
        <f>IFERROR(__xludf.DUMMYFUNCTION("""COMPUTED_VALUE"""),"UnicornSpinTheSevens")</f>
        <v>UnicornSpinTheSevens</v>
      </c>
      <c r="B761" s="5" t="str">
        <f>IFERROR(__xludf.DUMMYFUNCTION("""COMPUTED_VALUE"""),"English(""eng"")")</f>
        <v>English("eng")</v>
      </c>
      <c r="C761" s="5" t="str">
        <f>IFERROR(__xludf.DUMMYFUNCTION("""COMPUTED_VALUE"""),"Yes")</f>
        <v>Yes</v>
      </c>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row>
    <row r="762">
      <c r="A762" s="5" t="str">
        <f>IFERROR(__xludf.DUMMYFUNCTION("""COMPUTED_VALUE"""),"UnicornCrazyWildSevens")</f>
        <v>UnicornCrazyWildSevens</v>
      </c>
      <c r="B762" s="5" t="str">
        <f>IFERROR(__xludf.DUMMYFUNCTION("""COMPUTED_VALUE"""),"English(""eng"")")</f>
        <v>English("eng")</v>
      </c>
      <c r="C762" s="5" t="str">
        <f>IFERROR(__xludf.DUMMYFUNCTION("""COMPUTED_VALUE"""),"Yes")</f>
        <v>Yes</v>
      </c>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row>
    <row r="763">
      <c r="A763" s="5" t="str">
        <f>IFERROR(__xludf.DUMMYFUNCTION("""COMPUTED_VALUE"""),"UnicornSunOfTheNile")</f>
        <v>UnicornSunOfTheNile</v>
      </c>
      <c r="B763" s="5" t="str">
        <f>IFERROR(__xludf.DUMMYFUNCTION("""COMPUTED_VALUE"""),"English(""eng"")")</f>
        <v>English("eng")</v>
      </c>
      <c r="C763" s="5" t="str">
        <f>IFERROR(__xludf.DUMMYFUNCTION("""COMPUTED_VALUE"""),"Yes")</f>
        <v>Yes</v>
      </c>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row>
    <row r="764">
      <c r="A764" s="5" t="str">
        <f>IFERROR(__xludf.DUMMYFUNCTION("""COMPUTED_VALUE"""),"UnicornDazzleFireballs")</f>
        <v>UnicornDazzleFireballs</v>
      </c>
      <c r="B764" s="5" t="str">
        <f>IFERROR(__xludf.DUMMYFUNCTION("""COMPUTED_VALUE"""),"English(""eng"")")</f>
        <v>English("eng")</v>
      </c>
      <c r="C764" s="5" t="str">
        <f>IFERROR(__xludf.DUMMYFUNCTION("""COMPUTED_VALUE"""),"Yes")</f>
        <v>Yes</v>
      </c>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row>
    <row r="765">
      <c r="A765" s="5" t="str">
        <f>IFERROR(__xludf.DUMMYFUNCTION("""COMPUTED_VALUE"""),"UnicornSevensPayDice")</f>
        <v>UnicornSevensPayDice</v>
      </c>
      <c r="B765" s="5" t="str">
        <f>IFERROR(__xludf.DUMMYFUNCTION("""COMPUTED_VALUE"""),"English(""eng"")")</f>
        <v>English("eng")</v>
      </c>
      <c r="C765" s="5" t="str">
        <f>IFERROR(__xludf.DUMMYFUNCTION("""COMPUTED_VALUE"""),"Yes")</f>
        <v>Yes</v>
      </c>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row>
    <row r="766">
      <c r="A766" s="5" t="str">
        <f>IFERROR(__xludf.DUMMYFUNCTION("""COMPUTED_VALUE"""),"UnicornFruituristicSevens")</f>
        <v>UnicornFruituristicSevens</v>
      </c>
      <c r="B766" s="5" t="str">
        <f>IFERROR(__xludf.DUMMYFUNCTION("""COMPUTED_VALUE"""),"")</f>
        <v/>
      </c>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row>
    <row r="767">
      <c r="A767" s="5" t="str">
        <f>IFERROR(__xludf.DUMMYFUNCTION("""COMPUTED_VALUE"""),"UnicornThreeReelFortuneWilds")</f>
        <v>UnicornThreeReelFortuneWilds</v>
      </c>
      <c r="B767" s="5" t="str">
        <f>IFERROR(__xludf.DUMMYFUNCTION("""COMPUTED_VALUE"""),"English(""eng"")")</f>
        <v>English("eng")</v>
      </c>
      <c r="C767" s="5" t="str">
        <f>IFERROR(__xludf.DUMMYFUNCTION("""COMPUTED_VALUE"""),"Yes")</f>
        <v>Yes</v>
      </c>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row>
    <row r="768">
      <c r="A768" s="5" t="str">
        <f>IFERROR(__xludf.DUMMYFUNCTION("""COMPUTED_VALUE"""),"UnicornSuperFireballs")</f>
        <v>UnicornSuperFireballs</v>
      </c>
      <c r="B768" s="5" t="str">
        <f>IFERROR(__xludf.DUMMYFUNCTION("""COMPUTED_VALUE"""),"English(""eng"")")</f>
        <v>English("eng")</v>
      </c>
      <c r="C768" s="5" t="str">
        <f>IFERROR(__xludf.DUMMYFUNCTION("""COMPUTED_VALUE"""),"Yes")</f>
        <v>Yes</v>
      </c>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row>
    <row r="769">
      <c r="A769" s="5" t="str">
        <f>IFERROR(__xludf.DUMMYFUNCTION("""COMPUTED_VALUE"""),"UnicornLionsDiceExtreme")</f>
        <v>UnicornLionsDiceExtreme</v>
      </c>
      <c r="B769" s="5" t="str">
        <f>IFERROR(__xludf.DUMMYFUNCTION("""COMPUTED_VALUE"""),"English(""eng"")")</f>
        <v>English("eng")</v>
      </c>
      <c r="C769" s="5" t="str">
        <f>IFERROR(__xludf.DUMMYFUNCTION("""COMPUTED_VALUE"""),"Yes")</f>
        <v>Yes</v>
      </c>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row>
    <row r="770">
      <c r="A770" s="5" t="str">
        <f>IFERROR(__xludf.DUMMYFUNCTION("""COMPUTED_VALUE"""),"UnicornLuckyPayReels")</f>
        <v>UnicornLuckyPayReels</v>
      </c>
      <c r="B770" s="5" t="str">
        <f>IFERROR(__xludf.DUMMYFUNCTION("""COMPUTED_VALUE"""),"")</f>
        <v/>
      </c>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row>
    <row r="771">
      <c r="A771" s="5" t="str">
        <f>IFERROR(__xludf.DUMMYFUNCTION("""COMPUTED_VALUE"""),"UnicornStackWildAttack")</f>
        <v>UnicornStackWildAttack</v>
      </c>
      <c r="B771" s="5" t="str">
        <f>IFERROR(__xludf.DUMMYFUNCTION("""COMPUTED_VALUE"""),"")</f>
        <v/>
      </c>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row>
    <row r="772">
      <c r="A772" s="5" t="str">
        <f>IFERROR(__xludf.DUMMYFUNCTION("""COMPUTED_VALUE"""),"UnicornForeverFruit")</f>
        <v>UnicornForeverFruit</v>
      </c>
      <c r="B772" s="5" t="str">
        <f>IFERROR(__xludf.DUMMYFUNCTION("""COMPUTED_VALUE"""),"English(""eng"")")</f>
        <v>English("eng")</v>
      </c>
      <c r="C772" s="5" t="str">
        <f>IFERROR(__xludf.DUMMYFUNCTION("""COMPUTED_VALUE"""),"Yes")</f>
        <v>Yes</v>
      </c>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row>
    <row r="773">
      <c r="A773" s="5" t="str">
        <f>IFERROR(__xludf.DUMMYFUNCTION("""COMPUTED_VALUE"""),"SokoDoubleHotChili")</f>
        <v>SokoDoubleHotChili</v>
      </c>
      <c r="B773" s="5" t="str">
        <f>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C773" s="5" t="str">
        <f>IFERROR(__xludf.DUMMYFUNCTION("""COMPUTED_VALUE"""),"Yes")</f>
        <v>Yes</v>
      </c>
      <c r="D773" s="5" t="str">
        <f>IFERROR(__xludf.DUMMYFUNCTION("""COMPUTED_VALUE"""),"Yes")</f>
        <v>Yes</v>
      </c>
      <c r="E773" s="5" t="str">
        <f>IFERROR(__xludf.DUMMYFUNCTION("""COMPUTED_VALUE"""),"Yes")</f>
        <v>Yes</v>
      </c>
      <c r="F773" s="5" t="str">
        <f>IFERROR(__xludf.DUMMYFUNCTION("""COMPUTED_VALUE"""),"Yes")</f>
        <v>Yes</v>
      </c>
      <c r="G773" s="5" t="str">
        <f>IFERROR(__xludf.DUMMYFUNCTION("""COMPUTED_VALUE"""),"Yes")</f>
        <v>Yes</v>
      </c>
      <c r="H773" s="5" t="str">
        <f>IFERROR(__xludf.DUMMYFUNCTION("""COMPUTED_VALUE"""),"Yes")</f>
        <v>Yes</v>
      </c>
      <c r="I773" s="5" t="str">
        <f>IFERROR(__xludf.DUMMYFUNCTION("""COMPUTED_VALUE"""),"Yes")</f>
        <v>Yes</v>
      </c>
      <c r="J773" s="5" t="str">
        <f>IFERROR(__xludf.DUMMYFUNCTION("""COMPUTED_VALUE"""),"Yes")</f>
        <v>Yes</v>
      </c>
      <c r="K773" s="5" t="str">
        <f>IFERROR(__xludf.DUMMYFUNCTION("""COMPUTED_VALUE"""),"Yes")</f>
        <v>Yes</v>
      </c>
      <c r="L773" s="5" t="str">
        <f>IFERROR(__xludf.DUMMYFUNCTION("""COMPUTED_VALUE"""),"Yes")</f>
        <v>Yes</v>
      </c>
      <c r="M773" s="5" t="str">
        <f>IFERROR(__xludf.DUMMYFUNCTION("""COMPUTED_VALUE"""),"Yes")</f>
        <v>Yes</v>
      </c>
      <c r="N773" s="5" t="str">
        <f>IFERROR(__xludf.DUMMYFUNCTION("""COMPUTED_VALUE"""),"Yes")</f>
        <v>Yes</v>
      </c>
      <c r="O773" s="5" t="str">
        <f>IFERROR(__xludf.DUMMYFUNCTION("""COMPUTED_VALUE"""),"Yes")</f>
        <v>Yes</v>
      </c>
      <c r="P773" s="5" t="str">
        <f>IFERROR(__xludf.DUMMYFUNCTION("""COMPUTED_VALUE"""),"No")</f>
        <v>No</v>
      </c>
      <c r="Q773" s="5" t="str">
        <f>IFERROR(__xludf.DUMMYFUNCTION("""COMPUTED_VALUE"""),"Yes")</f>
        <v>Yes</v>
      </c>
      <c r="R773" s="5" t="str">
        <f>IFERROR(__xludf.DUMMYFUNCTION("""COMPUTED_VALUE"""),"No")</f>
        <v>No</v>
      </c>
      <c r="S773" s="5" t="str">
        <f>IFERROR(__xludf.DUMMYFUNCTION("""COMPUTED_VALUE"""),"No")</f>
        <v>No</v>
      </c>
      <c r="T773" s="5" t="str">
        <f>IFERROR(__xludf.DUMMYFUNCTION("""COMPUTED_VALUE"""),"No")</f>
        <v>No</v>
      </c>
      <c r="U773" s="5" t="str">
        <f>IFERROR(__xludf.DUMMYFUNCTION("""COMPUTED_VALUE"""),"No")</f>
        <v>No</v>
      </c>
      <c r="V773" s="5" t="str">
        <f>IFERROR(__xludf.DUMMYFUNCTION("""COMPUTED_VALUE"""),"No")</f>
        <v>No</v>
      </c>
      <c r="W773" s="5" t="str">
        <f>IFERROR(__xludf.DUMMYFUNCTION("""COMPUTED_VALUE"""),"No")</f>
        <v>No</v>
      </c>
      <c r="X773" s="5" t="str">
        <f>IFERROR(__xludf.DUMMYFUNCTION("""COMPUTED_VALUE"""),"No")</f>
        <v>No</v>
      </c>
      <c r="Y773" s="5" t="str">
        <f>IFERROR(__xludf.DUMMYFUNCTION("""COMPUTED_VALUE"""),"Yes")</f>
        <v>Yes</v>
      </c>
      <c r="Z773" s="5" t="str">
        <f>IFERROR(__xludf.DUMMYFUNCTION("""COMPUTED_VALUE"""),"No")</f>
        <v>No</v>
      </c>
      <c r="AA773" s="5" t="str">
        <f>IFERROR(__xludf.DUMMYFUNCTION("""COMPUTED_VALUE"""),"No")</f>
        <v>No</v>
      </c>
      <c r="AB773" s="5" t="str">
        <f>IFERROR(__xludf.DUMMYFUNCTION("""COMPUTED_VALUE"""),"No")</f>
        <v>No</v>
      </c>
      <c r="AC773" s="5" t="str">
        <f>IFERROR(__xludf.DUMMYFUNCTION("""COMPUTED_VALUE"""),"No")</f>
        <v>No</v>
      </c>
    </row>
    <row r="774">
      <c r="A774" s="5" t="str">
        <f>IFERROR(__xludf.DUMMYFUNCTION("""COMPUTED_VALUE"""),"SokoGoldenSheriffWilds")</f>
        <v>SokoGoldenSheriffWilds</v>
      </c>
      <c r="B774" s="5" t="str">
        <f>IFERROR(__xludf.DUMMYFUNCTION("""COMPUTED_VALUE"""),"")</f>
        <v/>
      </c>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row>
    <row r="775">
      <c r="A775" s="5" t="str">
        <f>IFERROR(__xludf.DUMMYFUNCTION("""COMPUTED_VALUE"""),"SokoLuckyCrown5")</f>
        <v>SokoLuckyCrown5</v>
      </c>
      <c r="B775" s="5" t="str">
        <f>IFERROR(__xludf.DUMMYFUNCTION("""COMPUTED_VALUE"""),"")</f>
        <v/>
      </c>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row>
    <row r="776">
      <c r="A776" s="5" t="str">
        <f>IFERROR(__xludf.DUMMYFUNCTION("""COMPUTED_VALUE"""),"SokoRoyalJewelsFortuneDeluxe")</f>
        <v>SokoRoyalJewelsFortuneDeluxe</v>
      </c>
      <c r="B776" s="5" t="str">
        <f>IFERROR(__xludf.DUMMYFUNCTION("""COMPUTED_VALUE"""),"")</f>
        <v/>
      </c>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row>
    <row r="777">
      <c r="A777" s="5" t="str">
        <f>IFERROR(__xludf.DUMMYFUNCTION("""COMPUTED_VALUE"""),"SokoTripleHotChili")</f>
        <v>SokoTripleHotChili</v>
      </c>
      <c r="B777"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77" s="5" t="str">
        <f>IFERROR(__xludf.DUMMYFUNCTION("""COMPUTED_VALUE"""),"Yes")</f>
        <v>Yes</v>
      </c>
      <c r="D777" s="5" t="str">
        <f>IFERROR(__xludf.DUMMYFUNCTION("""COMPUTED_VALUE"""),"Yes")</f>
        <v>Yes</v>
      </c>
      <c r="E777" s="5" t="str">
        <f>IFERROR(__xludf.DUMMYFUNCTION("""COMPUTED_VALUE"""),"Yes")</f>
        <v>Yes</v>
      </c>
      <c r="F777" s="5" t="str">
        <f>IFERROR(__xludf.DUMMYFUNCTION("""COMPUTED_VALUE"""),"Yes")</f>
        <v>Yes</v>
      </c>
      <c r="G777" s="5" t="str">
        <f>IFERROR(__xludf.DUMMYFUNCTION("""COMPUTED_VALUE"""),"Yes")</f>
        <v>Yes</v>
      </c>
      <c r="H777" s="5" t="str">
        <f>IFERROR(__xludf.DUMMYFUNCTION("""COMPUTED_VALUE"""),"Yes")</f>
        <v>Yes</v>
      </c>
      <c r="I777" s="5" t="str">
        <f>IFERROR(__xludf.DUMMYFUNCTION("""COMPUTED_VALUE"""),"Yes")</f>
        <v>Yes</v>
      </c>
      <c r="J777" s="5" t="str">
        <f>IFERROR(__xludf.DUMMYFUNCTION("""COMPUTED_VALUE"""),"Yes")</f>
        <v>Yes</v>
      </c>
      <c r="K777" s="5" t="str">
        <f>IFERROR(__xludf.DUMMYFUNCTION("""COMPUTED_VALUE"""),"Yes")</f>
        <v>Yes</v>
      </c>
      <c r="L777" s="5" t="str">
        <f>IFERROR(__xludf.DUMMYFUNCTION("""COMPUTED_VALUE"""),"Yes")</f>
        <v>Yes</v>
      </c>
      <c r="M777" s="5" t="str">
        <f>IFERROR(__xludf.DUMMYFUNCTION("""COMPUTED_VALUE"""),"Yes")</f>
        <v>Yes</v>
      </c>
      <c r="N777" s="5" t="str">
        <f>IFERROR(__xludf.DUMMYFUNCTION("""COMPUTED_VALUE"""),"Yes")</f>
        <v>Yes</v>
      </c>
      <c r="O777" s="5" t="str">
        <f>IFERROR(__xludf.DUMMYFUNCTION("""COMPUTED_VALUE"""),"Yes")</f>
        <v>Yes</v>
      </c>
      <c r="P777" s="5" t="str">
        <f>IFERROR(__xludf.DUMMYFUNCTION("""COMPUTED_VALUE"""),"Yes")</f>
        <v>Yes</v>
      </c>
      <c r="Q777" s="5" t="str">
        <f>IFERROR(__xludf.DUMMYFUNCTION("""COMPUTED_VALUE"""),"Yes")</f>
        <v>Yes</v>
      </c>
      <c r="R777" s="5" t="str">
        <f>IFERROR(__xludf.DUMMYFUNCTION("""COMPUTED_VALUE"""),"Yes")</f>
        <v>Yes</v>
      </c>
      <c r="S777" s="5" t="str">
        <f>IFERROR(__xludf.DUMMYFUNCTION("""COMPUTED_VALUE"""),"Yes")</f>
        <v>Yes</v>
      </c>
      <c r="T777" s="5" t="str">
        <f>IFERROR(__xludf.DUMMYFUNCTION("""COMPUTED_VALUE"""),"No")</f>
        <v>No</v>
      </c>
      <c r="U777" s="5" t="str">
        <f>IFERROR(__xludf.DUMMYFUNCTION("""COMPUTED_VALUE"""),"No")</f>
        <v>No</v>
      </c>
      <c r="V777" s="5" t="str">
        <f>IFERROR(__xludf.DUMMYFUNCTION("""COMPUTED_VALUE"""),"No")</f>
        <v>No</v>
      </c>
      <c r="W777" s="5" t="str">
        <f>IFERROR(__xludf.DUMMYFUNCTION("""COMPUTED_VALUE"""),"No")</f>
        <v>No</v>
      </c>
      <c r="X777" s="5" t="str">
        <f>IFERROR(__xludf.DUMMYFUNCTION("""COMPUTED_VALUE"""),"No")</f>
        <v>No</v>
      </c>
      <c r="Y777" s="5" t="str">
        <f>IFERROR(__xludf.DUMMYFUNCTION("""COMPUTED_VALUE"""),"Yes")</f>
        <v>Yes</v>
      </c>
      <c r="Z777" s="5" t="str">
        <f>IFERROR(__xludf.DUMMYFUNCTION("""COMPUTED_VALUE"""),"No")</f>
        <v>No</v>
      </c>
      <c r="AA777" s="5" t="str">
        <f>IFERROR(__xludf.DUMMYFUNCTION("""COMPUTED_VALUE"""),"No")</f>
        <v>No</v>
      </c>
      <c r="AB777" s="5" t="str">
        <f>IFERROR(__xludf.DUMMYFUNCTION("""COMPUTED_VALUE"""),"No")</f>
        <v>No</v>
      </c>
      <c r="AC777" s="5" t="str">
        <f>IFERROR(__xludf.DUMMYFUNCTION("""COMPUTED_VALUE"""),"No")</f>
        <v>No</v>
      </c>
    </row>
    <row r="778">
      <c r="A778" s="5" t="str">
        <f>IFERROR(__xludf.DUMMYFUNCTION("""COMPUTED_VALUE"""),"SokoWildChiliFiesta")</f>
        <v>SokoWildChiliFiesta</v>
      </c>
      <c r="B778" s="5" t="str">
        <f>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78" s="5" t="str">
        <f>IFERROR(__xludf.DUMMYFUNCTION("""COMPUTED_VALUE"""),"Yes")</f>
        <v>Yes</v>
      </c>
      <c r="D778" s="5" t="str">
        <f>IFERROR(__xludf.DUMMYFUNCTION("""COMPUTED_VALUE"""),"Yes")</f>
        <v>Yes</v>
      </c>
      <c r="E778" s="5" t="str">
        <f>IFERROR(__xludf.DUMMYFUNCTION("""COMPUTED_VALUE"""),"Yes")</f>
        <v>Yes</v>
      </c>
      <c r="F778" s="5" t="str">
        <f>IFERROR(__xludf.DUMMYFUNCTION("""COMPUTED_VALUE"""),"Yes")</f>
        <v>Yes</v>
      </c>
      <c r="G778" s="5" t="str">
        <f>IFERROR(__xludf.DUMMYFUNCTION("""COMPUTED_VALUE"""),"Yes")</f>
        <v>Yes</v>
      </c>
      <c r="H778" s="5" t="str">
        <f>IFERROR(__xludf.DUMMYFUNCTION("""COMPUTED_VALUE"""),"Yes")</f>
        <v>Yes</v>
      </c>
      <c r="I778" s="5" t="str">
        <f>IFERROR(__xludf.DUMMYFUNCTION("""COMPUTED_VALUE"""),"Yes")</f>
        <v>Yes</v>
      </c>
      <c r="J778" s="5" t="str">
        <f>IFERROR(__xludf.DUMMYFUNCTION("""COMPUTED_VALUE"""),"Yes")</f>
        <v>Yes</v>
      </c>
      <c r="K778" s="5" t="str">
        <f>IFERROR(__xludf.DUMMYFUNCTION("""COMPUTED_VALUE"""),"Yes")</f>
        <v>Yes</v>
      </c>
      <c r="L778" s="5" t="str">
        <f>IFERROR(__xludf.DUMMYFUNCTION("""COMPUTED_VALUE"""),"Yes")</f>
        <v>Yes</v>
      </c>
      <c r="M778" s="5" t="str">
        <f>IFERROR(__xludf.DUMMYFUNCTION("""COMPUTED_VALUE"""),"Yes")</f>
        <v>Yes</v>
      </c>
      <c r="N778" s="5" t="str">
        <f>IFERROR(__xludf.DUMMYFUNCTION("""COMPUTED_VALUE"""),"Yes")</f>
        <v>Yes</v>
      </c>
      <c r="O778" s="5" t="str">
        <f>IFERROR(__xludf.DUMMYFUNCTION("""COMPUTED_VALUE"""),"Yes")</f>
        <v>Yes</v>
      </c>
      <c r="P778" s="5" t="str">
        <f>IFERROR(__xludf.DUMMYFUNCTION("""COMPUTED_VALUE"""),"Yes")</f>
        <v>Yes</v>
      </c>
      <c r="Q778" s="5" t="str">
        <f>IFERROR(__xludf.DUMMYFUNCTION("""COMPUTED_VALUE"""),"Yes")</f>
        <v>Yes</v>
      </c>
      <c r="R778" s="5" t="str">
        <f>IFERROR(__xludf.DUMMYFUNCTION("""COMPUTED_VALUE"""),"Yes")</f>
        <v>Yes</v>
      </c>
      <c r="S778" s="5" t="str">
        <f>IFERROR(__xludf.DUMMYFUNCTION("""COMPUTED_VALUE"""),"Yes")</f>
        <v>Yes</v>
      </c>
      <c r="T778" s="5" t="str">
        <f>IFERROR(__xludf.DUMMYFUNCTION("""COMPUTED_VALUE"""),"No")</f>
        <v>No</v>
      </c>
      <c r="U778" s="5" t="str">
        <f>IFERROR(__xludf.DUMMYFUNCTION("""COMPUTED_VALUE"""),"No")</f>
        <v>No</v>
      </c>
      <c r="V778" s="5" t="str">
        <f>IFERROR(__xludf.DUMMYFUNCTION("""COMPUTED_VALUE"""),"No")</f>
        <v>No</v>
      </c>
      <c r="W778" s="5" t="str">
        <f>IFERROR(__xludf.DUMMYFUNCTION("""COMPUTED_VALUE"""),"No")</f>
        <v>No</v>
      </c>
      <c r="X778" s="5" t="str">
        <f>IFERROR(__xludf.DUMMYFUNCTION("""COMPUTED_VALUE"""),"No")</f>
        <v>No</v>
      </c>
      <c r="Y778" s="5" t="str">
        <f>IFERROR(__xludf.DUMMYFUNCTION("""COMPUTED_VALUE"""),"Yes")</f>
        <v>Yes</v>
      </c>
      <c r="Z778" s="5" t="str">
        <f>IFERROR(__xludf.DUMMYFUNCTION("""COMPUTED_VALUE"""),"No")</f>
        <v>No</v>
      </c>
      <c r="AA778" s="5" t="str">
        <f>IFERROR(__xludf.DUMMYFUNCTION("""COMPUTED_VALUE"""),"No")</f>
        <v>No</v>
      </c>
      <c r="AB778" s="5" t="str">
        <f>IFERROR(__xludf.DUMMYFUNCTION("""COMPUTED_VALUE"""),"No")</f>
        <v>No</v>
      </c>
      <c r="AC778" s="5" t="str">
        <f>IFERROR(__xludf.DUMMYFUNCTION("""COMPUTED_VALUE"""),"No")</f>
        <v>No</v>
      </c>
    </row>
    <row r="779">
      <c r="A779" s="5" t="str">
        <f>IFERROR(__xludf.DUMMYFUNCTION("""COMPUTED_VALUE"""),"SokoRoyalCrownDelightDeluxe")</f>
        <v>SokoRoyalCrownDelightDeluxe</v>
      </c>
      <c r="B779" s="5" t="str">
        <f>IFERROR(__xludf.DUMMYFUNCTION("""COMPUTED_VALUE"""),"")</f>
        <v/>
      </c>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row>
    <row r="780">
      <c r="A780" s="5" t="str">
        <f>IFERROR(__xludf.DUMMYFUNCTION("""COMPUTED_VALUE"""),"SokoWildSheriffFortune")</f>
        <v>SokoWildSheriffFortune</v>
      </c>
      <c r="B780"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80" s="5" t="str">
        <f>IFERROR(__xludf.DUMMYFUNCTION("""COMPUTED_VALUE"""),"Yes")</f>
        <v>Yes</v>
      </c>
      <c r="D780" s="5" t="str">
        <f>IFERROR(__xludf.DUMMYFUNCTION("""COMPUTED_VALUE"""),"Yes")</f>
        <v>Yes</v>
      </c>
      <c r="E780" s="5" t="str">
        <f>IFERROR(__xludf.DUMMYFUNCTION("""COMPUTED_VALUE"""),"Yes")</f>
        <v>Yes</v>
      </c>
      <c r="F780" s="5" t="str">
        <f>IFERROR(__xludf.DUMMYFUNCTION("""COMPUTED_VALUE"""),"Yes")</f>
        <v>Yes</v>
      </c>
      <c r="G780" s="5" t="str">
        <f>IFERROR(__xludf.DUMMYFUNCTION("""COMPUTED_VALUE"""),"Yes")</f>
        <v>Yes</v>
      </c>
      <c r="H780" s="5" t="str">
        <f>IFERROR(__xludf.DUMMYFUNCTION("""COMPUTED_VALUE"""),"Yes")</f>
        <v>Yes</v>
      </c>
      <c r="I780" s="5" t="str">
        <f>IFERROR(__xludf.DUMMYFUNCTION("""COMPUTED_VALUE"""),"Yes")</f>
        <v>Yes</v>
      </c>
      <c r="J780" s="5" t="str">
        <f>IFERROR(__xludf.DUMMYFUNCTION("""COMPUTED_VALUE"""),"Yes")</f>
        <v>Yes</v>
      </c>
      <c r="K780" s="5" t="str">
        <f>IFERROR(__xludf.DUMMYFUNCTION("""COMPUTED_VALUE"""),"Yes")</f>
        <v>Yes</v>
      </c>
      <c r="L780" s="5" t="str">
        <f>IFERROR(__xludf.DUMMYFUNCTION("""COMPUTED_VALUE"""),"Yes")</f>
        <v>Yes</v>
      </c>
      <c r="M780" s="5" t="str">
        <f>IFERROR(__xludf.DUMMYFUNCTION("""COMPUTED_VALUE"""),"Yes")</f>
        <v>Yes</v>
      </c>
      <c r="N780" s="5" t="str">
        <f>IFERROR(__xludf.DUMMYFUNCTION("""COMPUTED_VALUE"""),"Yes")</f>
        <v>Yes</v>
      </c>
      <c r="O780" s="5" t="str">
        <f>IFERROR(__xludf.DUMMYFUNCTION("""COMPUTED_VALUE"""),"Yes")</f>
        <v>Yes</v>
      </c>
      <c r="P780" s="5" t="str">
        <f>IFERROR(__xludf.DUMMYFUNCTION("""COMPUTED_VALUE"""),"Yes")</f>
        <v>Yes</v>
      </c>
      <c r="Q780" s="5" t="str">
        <f>IFERROR(__xludf.DUMMYFUNCTION("""COMPUTED_VALUE"""),"Yes")</f>
        <v>Yes</v>
      </c>
      <c r="R780" s="5" t="str">
        <f>IFERROR(__xludf.DUMMYFUNCTION("""COMPUTED_VALUE"""),"No")</f>
        <v>No</v>
      </c>
      <c r="S780" s="5" t="str">
        <f>IFERROR(__xludf.DUMMYFUNCTION("""COMPUTED_VALUE"""),"Yes")</f>
        <v>Yes</v>
      </c>
      <c r="T780" s="5" t="str">
        <f>IFERROR(__xludf.DUMMYFUNCTION("""COMPUTED_VALUE"""),"No")</f>
        <v>No</v>
      </c>
      <c r="U780" s="5" t="str">
        <f>IFERROR(__xludf.DUMMYFUNCTION("""COMPUTED_VALUE"""),"No")</f>
        <v>No</v>
      </c>
      <c r="V780" s="5" t="str">
        <f>IFERROR(__xludf.DUMMYFUNCTION("""COMPUTED_VALUE"""),"No")</f>
        <v>No</v>
      </c>
      <c r="W780" s="5" t="str">
        <f>IFERROR(__xludf.DUMMYFUNCTION("""COMPUTED_VALUE"""),"No")</f>
        <v>No</v>
      </c>
      <c r="X780" s="5" t="str">
        <f>IFERROR(__xludf.DUMMYFUNCTION("""COMPUTED_VALUE"""),"No")</f>
        <v>No</v>
      </c>
      <c r="Y780" s="5" t="str">
        <f>IFERROR(__xludf.DUMMYFUNCTION("""COMPUTED_VALUE"""),"Yes")</f>
        <v>Yes</v>
      </c>
      <c r="Z780" s="5" t="str">
        <f>IFERROR(__xludf.DUMMYFUNCTION("""COMPUTED_VALUE"""),"No")</f>
        <v>No</v>
      </c>
      <c r="AA780" s="5" t="str">
        <f>IFERROR(__xludf.DUMMYFUNCTION("""COMPUTED_VALUE"""),"No")</f>
        <v>No</v>
      </c>
      <c r="AB780" s="5" t="str">
        <f>IFERROR(__xludf.DUMMYFUNCTION("""COMPUTED_VALUE"""),"No")</f>
        <v>No</v>
      </c>
      <c r="AC780" s="5" t="str">
        <f>IFERROR(__xludf.DUMMYFUNCTION("""COMPUTED_VALUE"""),"No")</f>
        <v>No</v>
      </c>
    </row>
    <row r="781">
      <c r="A781" s="5" t="str">
        <f>IFERROR(__xludf.DUMMYFUNCTION("""COMPUTED_VALUE"""),"SokoNileQueenTempleLegacy")</f>
        <v>SokoNileQueenTempleLegacy</v>
      </c>
      <c r="B78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Polish(""pol"")")</f>
        <v>English("eng"), Serbian(""srp","srb""), Montenegrian("mne"), Bulgarian("bul"), Spanish("spa"), Portuguese("por"), Italian("ita"), Romanian("rum/ron"), Croatian("hrv"), French("fre/fra"), German("ger/deu"), Dutch("dut/nld"), Turkish("tur"), Greek("gre/ell"), Russian("rus"), Czech("cze/ces"), Hungarian("hun"), N. Macedonian("mkd/mac"), Finnish("fin"), Polish("pol")</v>
      </c>
      <c r="C781" s="5" t="str">
        <f>IFERROR(__xludf.DUMMYFUNCTION("""COMPUTED_VALUE"""),"Yes")</f>
        <v>Yes</v>
      </c>
      <c r="D781" s="5" t="str">
        <f>IFERROR(__xludf.DUMMYFUNCTION("""COMPUTED_VALUE"""),"Yes")</f>
        <v>Yes</v>
      </c>
      <c r="E781" s="5" t="str">
        <f>IFERROR(__xludf.DUMMYFUNCTION("""COMPUTED_VALUE"""),"Yes")</f>
        <v>Yes</v>
      </c>
      <c r="F781" s="5" t="str">
        <f>IFERROR(__xludf.DUMMYFUNCTION("""COMPUTED_VALUE"""),"Yes")</f>
        <v>Yes</v>
      </c>
      <c r="G781" s="5" t="str">
        <f>IFERROR(__xludf.DUMMYFUNCTION("""COMPUTED_VALUE"""),"Yes")</f>
        <v>Yes</v>
      </c>
      <c r="H781" s="5" t="str">
        <f>IFERROR(__xludf.DUMMYFUNCTION("""COMPUTED_VALUE"""),"Yes")</f>
        <v>Yes</v>
      </c>
      <c r="I781" s="5" t="str">
        <f>IFERROR(__xludf.DUMMYFUNCTION("""COMPUTED_VALUE"""),"Yes")</f>
        <v>Yes</v>
      </c>
      <c r="J781" s="5" t="str">
        <f>IFERROR(__xludf.DUMMYFUNCTION("""COMPUTED_VALUE"""),"Yes")</f>
        <v>Yes</v>
      </c>
      <c r="K781" s="5" t="str">
        <f>IFERROR(__xludf.DUMMYFUNCTION("""COMPUTED_VALUE"""),"Yes")</f>
        <v>Yes</v>
      </c>
      <c r="L781" s="5" t="str">
        <f>IFERROR(__xludf.DUMMYFUNCTION("""COMPUTED_VALUE"""),"Yes")</f>
        <v>Yes</v>
      </c>
      <c r="M781" s="5" t="str">
        <f>IFERROR(__xludf.DUMMYFUNCTION("""COMPUTED_VALUE"""),"Yes")</f>
        <v>Yes</v>
      </c>
      <c r="N781" s="5" t="str">
        <f>IFERROR(__xludf.DUMMYFUNCTION("""COMPUTED_VALUE"""),"Yes")</f>
        <v>Yes</v>
      </c>
      <c r="O781" s="5" t="str">
        <f>IFERROR(__xludf.DUMMYFUNCTION("""COMPUTED_VALUE"""),"Yes")</f>
        <v>Yes</v>
      </c>
      <c r="P781" s="5" t="str">
        <f>IFERROR(__xludf.DUMMYFUNCTION("""COMPUTED_VALUE"""),"Yes")</f>
        <v>Yes</v>
      </c>
      <c r="Q781" s="5" t="str">
        <f>IFERROR(__xludf.DUMMYFUNCTION("""COMPUTED_VALUE"""),"Yes")</f>
        <v>Yes</v>
      </c>
      <c r="R781" s="5" t="str">
        <f>IFERROR(__xludf.DUMMYFUNCTION("""COMPUTED_VALUE"""),"Yes")</f>
        <v>Yes</v>
      </c>
      <c r="S781" s="5" t="str">
        <f>IFERROR(__xludf.DUMMYFUNCTION("""COMPUTED_VALUE"""),"Yes")</f>
        <v>Yes</v>
      </c>
      <c r="T781" s="5" t="str">
        <f>IFERROR(__xludf.DUMMYFUNCTION("""COMPUTED_VALUE"""),"Yes")</f>
        <v>Yes</v>
      </c>
      <c r="U781" s="5" t="str">
        <f>IFERROR(__xludf.DUMMYFUNCTION("""COMPUTED_VALUE"""),"Yes")</f>
        <v>Yes</v>
      </c>
      <c r="V781" s="5" t="str">
        <f>IFERROR(__xludf.DUMMYFUNCTION("""COMPUTED_VALUE"""),"No")</f>
        <v>No</v>
      </c>
      <c r="W781" s="5" t="str">
        <f>IFERROR(__xludf.DUMMYFUNCTION("""COMPUTED_VALUE"""),"No")</f>
        <v>No</v>
      </c>
      <c r="X781" s="5" t="str">
        <f>IFERROR(__xludf.DUMMYFUNCTION("""COMPUTED_VALUE"""),"No")</f>
        <v>No</v>
      </c>
      <c r="Y781" s="5" t="str">
        <f>IFERROR(__xludf.DUMMYFUNCTION("""COMPUTED_VALUE"""),"Yes")</f>
        <v>Yes</v>
      </c>
      <c r="Z781" s="5" t="str">
        <f>IFERROR(__xludf.DUMMYFUNCTION("""COMPUTED_VALUE"""),"No")</f>
        <v>No</v>
      </c>
      <c r="AA781" s="5" t="str">
        <f>IFERROR(__xludf.DUMMYFUNCTION("""COMPUTED_VALUE"""),"No")</f>
        <v>No</v>
      </c>
      <c r="AB781" s="5" t="str">
        <f>IFERROR(__xludf.DUMMYFUNCTION("""COMPUTED_VALUE"""),"No")</f>
        <v>No</v>
      </c>
      <c r="AC781" s="5" t="str">
        <f>IFERROR(__xludf.DUMMYFUNCTION("""COMPUTED_VALUE"""),"No")</f>
        <v>No</v>
      </c>
    </row>
    <row r="782">
      <c r="A782" s="5" t="str">
        <f>IFERROR(__xludf.DUMMYFUNCTION("""COMPUTED_VALUE"""),"SokoTripleCrownJewels")</f>
        <v>SokoTripleCrownJewels</v>
      </c>
      <c r="B782"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82" s="5" t="str">
        <f>IFERROR(__xludf.DUMMYFUNCTION("""COMPUTED_VALUE"""),"Yes")</f>
        <v>Yes</v>
      </c>
      <c r="D782" s="5" t="str">
        <f>IFERROR(__xludf.DUMMYFUNCTION("""COMPUTED_VALUE"""),"Yes")</f>
        <v>Yes</v>
      </c>
      <c r="E782" s="5" t="str">
        <f>IFERROR(__xludf.DUMMYFUNCTION("""COMPUTED_VALUE"""),"Yes")</f>
        <v>Yes</v>
      </c>
      <c r="F782" s="5" t="str">
        <f>IFERROR(__xludf.DUMMYFUNCTION("""COMPUTED_VALUE"""),"Yes")</f>
        <v>Yes</v>
      </c>
      <c r="G782" s="5" t="str">
        <f>IFERROR(__xludf.DUMMYFUNCTION("""COMPUTED_VALUE"""),"Yes")</f>
        <v>Yes</v>
      </c>
      <c r="H782" s="5" t="str">
        <f>IFERROR(__xludf.DUMMYFUNCTION("""COMPUTED_VALUE"""),"Yes")</f>
        <v>Yes</v>
      </c>
      <c r="I782" s="5" t="str">
        <f>IFERROR(__xludf.DUMMYFUNCTION("""COMPUTED_VALUE"""),"Yes")</f>
        <v>Yes</v>
      </c>
      <c r="J782" s="5" t="str">
        <f>IFERROR(__xludf.DUMMYFUNCTION("""COMPUTED_VALUE"""),"Yes")</f>
        <v>Yes</v>
      </c>
      <c r="K782" s="5" t="str">
        <f>IFERROR(__xludf.DUMMYFUNCTION("""COMPUTED_VALUE"""),"Yes")</f>
        <v>Yes</v>
      </c>
      <c r="L782" s="5" t="str">
        <f>IFERROR(__xludf.DUMMYFUNCTION("""COMPUTED_VALUE"""),"Yes")</f>
        <v>Yes</v>
      </c>
      <c r="M782" s="5" t="str">
        <f>IFERROR(__xludf.DUMMYFUNCTION("""COMPUTED_VALUE"""),"Yes")</f>
        <v>Yes</v>
      </c>
      <c r="N782" s="5" t="str">
        <f>IFERROR(__xludf.DUMMYFUNCTION("""COMPUTED_VALUE"""),"Yes")</f>
        <v>Yes</v>
      </c>
      <c r="O782" s="5" t="str">
        <f>IFERROR(__xludf.DUMMYFUNCTION("""COMPUTED_VALUE"""),"Yes")</f>
        <v>Yes</v>
      </c>
      <c r="P782" s="5" t="str">
        <f>IFERROR(__xludf.DUMMYFUNCTION("""COMPUTED_VALUE"""),"Yes")</f>
        <v>Yes</v>
      </c>
      <c r="Q782" s="5" t="str">
        <f>IFERROR(__xludf.DUMMYFUNCTION("""COMPUTED_VALUE"""),"Yes")</f>
        <v>Yes</v>
      </c>
      <c r="R782" s="5" t="str">
        <f>IFERROR(__xludf.DUMMYFUNCTION("""COMPUTED_VALUE"""),"No")</f>
        <v>No</v>
      </c>
      <c r="S782" s="5" t="str">
        <f>IFERROR(__xludf.DUMMYFUNCTION("""COMPUTED_VALUE"""),"Yes")</f>
        <v>Yes</v>
      </c>
      <c r="T782" s="5" t="str">
        <f>IFERROR(__xludf.DUMMYFUNCTION("""COMPUTED_VALUE"""),"No")</f>
        <v>No</v>
      </c>
      <c r="U782" s="5" t="str">
        <f>IFERROR(__xludf.DUMMYFUNCTION("""COMPUTED_VALUE"""),"No")</f>
        <v>No</v>
      </c>
      <c r="V782" s="5" t="str">
        <f>IFERROR(__xludf.DUMMYFUNCTION("""COMPUTED_VALUE"""),"No")</f>
        <v>No</v>
      </c>
      <c r="W782" s="5" t="str">
        <f>IFERROR(__xludf.DUMMYFUNCTION("""COMPUTED_VALUE"""),"No")</f>
        <v>No</v>
      </c>
      <c r="X782" s="5" t="str">
        <f>IFERROR(__xludf.DUMMYFUNCTION("""COMPUTED_VALUE"""),"No")</f>
        <v>No</v>
      </c>
      <c r="Y782" s="5" t="str">
        <f>IFERROR(__xludf.DUMMYFUNCTION("""COMPUTED_VALUE"""),"Yes")</f>
        <v>Yes</v>
      </c>
      <c r="Z782" s="5" t="str">
        <f>IFERROR(__xludf.DUMMYFUNCTION("""COMPUTED_VALUE"""),"No")</f>
        <v>No</v>
      </c>
      <c r="AA782" s="5" t="str">
        <f>IFERROR(__xludf.DUMMYFUNCTION("""COMPUTED_VALUE"""),"No")</f>
        <v>No</v>
      </c>
      <c r="AB782" s="5" t="str">
        <f>IFERROR(__xludf.DUMMYFUNCTION("""COMPUTED_VALUE"""),"No")</f>
        <v>No</v>
      </c>
      <c r="AC782" s="5" t="str">
        <f>IFERROR(__xludf.DUMMYFUNCTION("""COMPUTED_VALUE"""),"No")</f>
        <v>No</v>
      </c>
    </row>
    <row r="783">
      <c r="A783" s="5" t="str">
        <f>IFERROR(__xludf.DUMMYFUNCTION("""COMPUTED_VALUE"""),"SokoLaurelsOfOlympus")</f>
        <v>SokoLaurelsOfOlympus</v>
      </c>
      <c r="B783" s="5" t="str">
        <f>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83" s="5" t="str">
        <f>IFERROR(__xludf.DUMMYFUNCTION("""COMPUTED_VALUE"""),"Yes")</f>
        <v>Yes</v>
      </c>
      <c r="D783" s="5" t="str">
        <f>IFERROR(__xludf.DUMMYFUNCTION("""COMPUTED_VALUE"""),"Yes")</f>
        <v>Yes</v>
      </c>
      <c r="E783" s="5" t="str">
        <f>IFERROR(__xludf.DUMMYFUNCTION("""COMPUTED_VALUE"""),"Yes")</f>
        <v>Yes</v>
      </c>
      <c r="F783" s="5" t="str">
        <f>IFERROR(__xludf.DUMMYFUNCTION("""COMPUTED_VALUE"""),"Yes")</f>
        <v>Yes</v>
      </c>
      <c r="G783" s="5" t="str">
        <f>IFERROR(__xludf.DUMMYFUNCTION("""COMPUTED_VALUE"""),"Yes")</f>
        <v>Yes</v>
      </c>
      <c r="H783" s="5" t="str">
        <f>IFERROR(__xludf.DUMMYFUNCTION("""COMPUTED_VALUE"""),"Yes")</f>
        <v>Yes</v>
      </c>
      <c r="I783" s="5" t="str">
        <f>IFERROR(__xludf.DUMMYFUNCTION("""COMPUTED_VALUE"""),"Yes")</f>
        <v>Yes</v>
      </c>
      <c r="J783" s="5" t="str">
        <f>IFERROR(__xludf.DUMMYFUNCTION("""COMPUTED_VALUE"""),"Yes")</f>
        <v>Yes</v>
      </c>
      <c r="K783" s="5" t="str">
        <f>IFERROR(__xludf.DUMMYFUNCTION("""COMPUTED_VALUE"""),"Yes")</f>
        <v>Yes</v>
      </c>
      <c r="L783" s="5" t="str">
        <f>IFERROR(__xludf.DUMMYFUNCTION("""COMPUTED_VALUE"""),"Yes")</f>
        <v>Yes</v>
      </c>
      <c r="M783" s="5" t="str">
        <f>IFERROR(__xludf.DUMMYFUNCTION("""COMPUTED_VALUE"""),"Yes")</f>
        <v>Yes</v>
      </c>
      <c r="N783" s="5" t="str">
        <f>IFERROR(__xludf.DUMMYFUNCTION("""COMPUTED_VALUE"""),"Yes")</f>
        <v>Yes</v>
      </c>
      <c r="O783" s="5" t="str">
        <f>IFERROR(__xludf.DUMMYFUNCTION("""COMPUTED_VALUE"""),"Yes")</f>
        <v>Yes</v>
      </c>
      <c r="P783" s="5" t="str">
        <f>IFERROR(__xludf.DUMMYFUNCTION("""COMPUTED_VALUE"""),"Yes")</f>
        <v>Yes</v>
      </c>
      <c r="Q783" s="5" t="str">
        <f>IFERROR(__xludf.DUMMYFUNCTION("""COMPUTED_VALUE"""),"Yes")</f>
        <v>Yes</v>
      </c>
      <c r="R783" s="5" t="str">
        <f>IFERROR(__xludf.DUMMYFUNCTION("""COMPUTED_VALUE"""),"No")</f>
        <v>No</v>
      </c>
      <c r="S783" s="5" t="str">
        <f>IFERROR(__xludf.DUMMYFUNCTION("""COMPUTED_VALUE"""),"Yes")</f>
        <v>Yes</v>
      </c>
      <c r="T783" s="5" t="str">
        <f>IFERROR(__xludf.DUMMYFUNCTION("""COMPUTED_VALUE"""),"No")</f>
        <v>No</v>
      </c>
      <c r="U783" s="5" t="str">
        <f>IFERROR(__xludf.DUMMYFUNCTION("""COMPUTED_VALUE"""),"No")</f>
        <v>No</v>
      </c>
      <c r="V783" s="5" t="str">
        <f>IFERROR(__xludf.DUMMYFUNCTION("""COMPUTED_VALUE"""),"No")</f>
        <v>No</v>
      </c>
      <c r="W783" s="5" t="str">
        <f>IFERROR(__xludf.DUMMYFUNCTION("""COMPUTED_VALUE"""),"No")</f>
        <v>No</v>
      </c>
      <c r="X783" s="5" t="str">
        <f>IFERROR(__xludf.DUMMYFUNCTION("""COMPUTED_VALUE"""),"No")</f>
        <v>No</v>
      </c>
      <c r="Y783" s="5" t="str">
        <f>IFERROR(__xludf.DUMMYFUNCTION("""COMPUTED_VALUE"""),"Yes")</f>
        <v>Yes</v>
      </c>
      <c r="Z783" s="5" t="str">
        <f>IFERROR(__xludf.DUMMYFUNCTION("""COMPUTED_VALUE"""),"No")</f>
        <v>No</v>
      </c>
      <c r="AA783" s="5" t="str">
        <f>IFERROR(__xludf.DUMMYFUNCTION("""COMPUTED_VALUE"""),"No")</f>
        <v>No</v>
      </c>
      <c r="AB783" s="5" t="str">
        <f>IFERROR(__xludf.DUMMYFUNCTION("""COMPUTED_VALUE"""),"No")</f>
        <v>No</v>
      </c>
      <c r="AC783" s="5" t="str">
        <f>IFERROR(__xludf.DUMMYFUNCTION("""COMPUTED_VALUE"""),"No")</f>
        <v>No</v>
      </c>
    </row>
    <row r="784">
      <c r="A784" s="5" t="str">
        <f>IFERROR(__xludf.DUMMYFUNCTION("""COMPUTED_VALUE"""),"TBD")</f>
        <v>TBD</v>
      </c>
      <c r="B784" s="5" t="str">
        <f>IFERROR(__xludf.DUMMYFUNCTION("""COMPUTED_VALUE"""),"")</f>
        <v/>
      </c>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row>
    <row r="785">
      <c r="A785" s="5" t="str">
        <f>IFERROR(__xludf.DUMMYFUNCTION("""COMPUTED_VALUE"""),"TBD")</f>
        <v>TBD</v>
      </c>
      <c r="B785" s="5" t="str">
        <f>IFERROR(__xludf.DUMMYFUNCTION("""COMPUTED_VALUE"""),"")</f>
        <v/>
      </c>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row>
    <row r="786">
      <c r="A786" s="5" t="str">
        <f>IFERROR(__xludf.DUMMYFUNCTION("""COMPUTED_VALUE"""),"TBD")</f>
        <v>TBD</v>
      </c>
      <c r="B786" s="5" t="str">
        <f>IFERROR(__xludf.DUMMYFUNCTION("""COMPUTED_VALUE"""),"")</f>
        <v/>
      </c>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row>
    <row r="787">
      <c r="A787" s="5" t="str">
        <f>IFERROR(__xludf.DUMMYFUNCTION("""COMPUTED_VALUE"""),"TBD")</f>
        <v>TBD</v>
      </c>
      <c r="B787" s="5" t="str">
        <f>IFERROR(__xludf.DUMMYFUNCTION("""COMPUTED_VALUE"""),"")</f>
        <v/>
      </c>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row>
    <row r="788">
      <c r="A788" s="5" t="str">
        <f>IFERROR(__xludf.DUMMYFUNCTION("""COMPUTED_VALUE"""),"TBD")</f>
        <v>TBD</v>
      </c>
      <c r="B788" s="5" t="str">
        <f>IFERROR(__xludf.DUMMYFUNCTION("""COMPUTED_VALUE"""),"")</f>
        <v/>
      </c>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row>
    <row r="789">
      <c r="A789" s="5" t="str">
        <f>IFERROR(__xludf.DUMMYFUNCTION("""COMPUTED_VALUE"""),"TBD")</f>
        <v>TBD</v>
      </c>
      <c r="B789" s="5" t="str">
        <f>IFERROR(__xludf.DUMMYFUNCTION("""COMPUTED_VALUE"""),"")</f>
        <v/>
      </c>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row>
    <row r="790">
      <c r="A790" s="5" t="str">
        <f>IFERROR(__xludf.DUMMYFUNCTION("""COMPUTED_VALUE"""),"WuKong5")</f>
        <v>WuKong5</v>
      </c>
      <c r="B79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90" s="5" t="str">
        <f>IFERROR(__xludf.DUMMYFUNCTION("""COMPUTED_VALUE"""),"Yes")</f>
        <v>Yes</v>
      </c>
      <c r="D790" s="5" t="str">
        <f>IFERROR(__xludf.DUMMYFUNCTION("""COMPUTED_VALUE"""),"Yes")</f>
        <v>Yes</v>
      </c>
      <c r="E790" s="5" t="str">
        <f>IFERROR(__xludf.DUMMYFUNCTION("""COMPUTED_VALUE"""),"Yes")</f>
        <v>Yes</v>
      </c>
      <c r="F790" s="5" t="str">
        <f>IFERROR(__xludf.DUMMYFUNCTION("""COMPUTED_VALUE"""),"Yes")</f>
        <v>Yes</v>
      </c>
      <c r="G790" s="5" t="str">
        <f>IFERROR(__xludf.DUMMYFUNCTION("""COMPUTED_VALUE"""),"Yes")</f>
        <v>Yes</v>
      </c>
      <c r="H790" s="5" t="str">
        <f>IFERROR(__xludf.DUMMYFUNCTION("""COMPUTED_VALUE"""),"Yes")</f>
        <v>Yes</v>
      </c>
      <c r="I790" s="5" t="str">
        <f>IFERROR(__xludf.DUMMYFUNCTION("""COMPUTED_VALUE"""),"Yes")</f>
        <v>Yes</v>
      </c>
      <c r="J790" s="5" t="str">
        <f>IFERROR(__xludf.DUMMYFUNCTION("""COMPUTED_VALUE"""),"Yes")</f>
        <v>Yes</v>
      </c>
      <c r="K790" s="5" t="str">
        <f>IFERROR(__xludf.DUMMYFUNCTION("""COMPUTED_VALUE"""),"Yes")</f>
        <v>Yes</v>
      </c>
      <c r="L790" s="5" t="str">
        <f>IFERROR(__xludf.DUMMYFUNCTION("""COMPUTED_VALUE"""),"Yes")</f>
        <v>Yes</v>
      </c>
      <c r="M790" s="5" t="str">
        <f>IFERROR(__xludf.DUMMYFUNCTION("""COMPUTED_VALUE"""),"Yes")</f>
        <v>Yes</v>
      </c>
      <c r="N790" s="5" t="str">
        <f>IFERROR(__xludf.DUMMYFUNCTION("""COMPUTED_VALUE"""),"Yes")</f>
        <v>Yes</v>
      </c>
      <c r="O790" s="5" t="str">
        <f>IFERROR(__xludf.DUMMYFUNCTION("""COMPUTED_VALUE"""),"Yes")</f>
        <v>Yes</v>
      </c>
      <c r="P790" s="5" t="str">
        <f>IFERROR(__xludf.DUMMYFUNCTION("""COMPUTED_VALUE"""),"Yes")</f>
        <v>Yes</v>
      </c>
      <c r="Q790" s="5" t="str">
        <f>IFERROR(__xludf.DUMMYFUNCTION("""COMPUTED_VALUE"""),"Yes")</f>
        <v>Yes</v>
      </c>
      <c r="R790" s="5" t="str">
        <f>IFERROR(__xludf.DUMMYFUNCTION("""COMPUTED_VALUE"""),"Yes")</f>
        <v>Yes</v>
      </c>
      <c r="S790" s="5" t="str">
        <f>IFERROR(__xludf.DUMMYFUNCTION("""COMPUTED_VALUE"""),"Yes")</f>
        <v>Yes</v>
      </c>
      <c r="T790" s="5" t="str">
        <f>IFERROR(__xludf.DUMMYFUNCTION("""COMPUTED_VALUE"""),"Yes")</f>
        <v>Yes</v>
      </c>
      <c r="U790" s="5" t="str">
        <f>IFERROR(__xludf.DUMMYFUNCTION("""COMPUTED_VALUE"""),"Yes")</f>
        <v>Yes</v>
      </c>
      <c r="V790" s="5" t="str">
        <f>IFERROR(__xludf.DUMMYFUNCTION("""COMPUTED_VALUE"""),"Yes")</f>
        <v>Yes</v>
      </c>
      <c r="W790" s="5" t="str">
        <f>IFERROR(__xludf.DUMMYFUNCTION("""COMPUTED_VALUE"""),"Yes")</f>
        <v>Yes</v>
      </c>
      <c r="X790" s="5" t="str">
        <f>IFERROR(__xludf.DUMMYFUNCTION("""COMPUTED_VALUE"""),"Yes")</f>
        <v>Yes</v>
      </c>
      <c r="Y790" s="5" t="str">
        <f>IFERROR(__xludf.DUMMYFUNCTION("""COMPUTED_VALUE"""),"Yes")</f>
        <v>Yes</v>
      </c>
      <c r="Z790" s="5" t="str">
        <f>IFERROR(__xludf.DUMMYFUNCTION("""COMPUTED_VALUE"""),"Yes")</f>
        <v>Yes</v>
      </c>
      <c r="AA790" s="5" t="str">
        <f>IFERROR(__xludf.DUMMYFUNCTION("""COMPUTED_VALUE"""),"Yes")</f>
        <v>Yes</v>
      </c>
      <c r="AB790" s="5" t="str">
        <f>IFERROR(__xludf.DUMMYFUNCTION("""COMPUTED_VALUE"""),"Yes")</f>
        <v>Yes</v>
      </c>
      <c r="AC790" s="5" t="str">
        <f>IFERROR(__xludf.DUMMYFUNCTION("""COMPUTED_VALUE"""),"Yes")</f>
        <v>Yes</v>
      </c>
    </row>
    <row r="791">
      <c r="A791" s="5" t="str">
        <f>IFERROR(__xludf.DUMMYFUNCTION("""COMPUTED_VALUE"""),"PlayNetJokersCrownX2")</f>
        <v>PlayNetJokersCrownX2</v>
      </c>
      <c r="B79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1" s="5" t="str">
        <f>IFERROR(__xludf.DUMMYFUNCTION("""COMPUTED_VALUE"""),"Yes")</f>
        <v>Yes</v>
      </c>
      <c r="D791" s="5" t="str">
        <f>IFERROR(__xludf.DUMMYFUNCTION("""COMPUTED_VALUE"""),"Yes")</f>
        <v>Yes</v>
      </c>
      <c r="E791" s="5" t="str">
        <f>IFERROR(__xludf.DUMMYFUNCTION("""COMPUTED_VALUE"""),"No")</f>
        <v>No</v>
      </c>
      <c r="F791" s="5" t="str">
        <f>IFERROR(__xludf.DUMMYFUNCTION("""COMPUTED_VALUE"""),"Yes")</f>
        <v>Yes</v>
      </c>
      <c r="G791" s="5" t="str">
        <f>IFERROR(__xludf.DUMMYFUNCTION("""COMPUTED_VALUE"""),"Yes")</f>
        <v>Yes</v>
      </c>
      <c r="H791" s="5" t="str">
        <f>IFERROR(__xludf.DUMMYFUNCTION("""COMPUTED_VALUE"""),"Yes")</f>
        <v>Yes</v>
      </c>
      <c r="I791" s="5" t="str">
        <f>IFERROR(__xludf.DUMMYFUNCTION("""COMPUTED_VALUE"""),"Yes")</f>
        <v>Yes</v>
      </c>
      <c r="J791" s="5" t="str">
        <f>IFERROR(__xludf.DUMMYFUNCTION("""COMPUTED_VALUE"""),"Yes")</f>
        <v>Yes</v>
      </c>
      <c r="K791" s="5" t="str">
        <f>IFERROR(__xludf.DUMMYFUNCTION("""COMPUTED_VALUE"""),"Yes")</f>
        <v>Yes</v>
      </c>
      <c r="L791" s="5" t="str">
        <f>IFERROR(__xludf.DUMMYFUNCTION("""COMPUTED_VALUE"""),"Yes")</f>
        <v>Yes</v>
      </c>
      <c r="M791" s="5" t="str">
        <f>IFERROR(__xludf.DUMMYFUNCTION("""COMPUTED_VALUE"""),"Yes")</f>
        <v>Yes</v>
      </c>
      <c r="N791" s="5" t="str">
        <f>IFERROR(__xludf.DUMMYFUNCTION("""COMPUTED_VALUE"""),"Yes")</f>
        <v>Yes</v>
      </c>
      <c r="O791" s="5" t="str">
        <f>IFERROR(__xludf.DUMMYFUNCTION("""COMPUTED_VALUE"""),"Yes")</f>
        <v>Yes</v>
      </c>
      <c r="P791" s="5" t="str">
        <f>IFERROR(__xludf.DUMMYFUNCTION("""COMPUTED_VALUE"""),"Yes")</f>
        <v>Yes</v>
      </c>
      <c r="Q791" s="5" t="str">
        <f>IFERROR(__xludf.DUMMYFUNCTION("""COMPUTED_VALUE"""),"Yes")</f>
        <v>Yes</v>
      </c>
      <c r="R791" s="5" t="str">
        <f>IFERROR(__xludf.DUMMYFUNCTION("""COMPUTED_VALUE"""),"No")</f>
        <v>No</v>
      </c>
      <c r="S791" s="5" t="str">
        <f>IFERROR(__xludf.DUMMYFUNCTION("""COMPUTED_VALUE"""),"No")</f>
        <v>No</v>
      </c>
      <c r="T791" s="5" t="str">
        <f>IFERROR(__xludf.DUMMYFUNCTION("""COMPUTED_VALUE"""),"No")</f>
        <v>No</v>
      </c>
      <c r="U791" s="5" t="str">
        <f>IFERROR(__xludf.DUMMYFUNCTION("""COMPUTED_VALUE"""),"No")</f>
        <v>No</v>
      </c>
      <c r="V791" s="5" t="str">
        <f>IFERROR(__xludf.DUMMYFUNCTION("""COMPUTED_VALUE"""),"No")</f>
        <v>No</v>
      </c>
      <c r="W791" s="5" t="str">
        <f>IFERROR(__xludf.DUMMYFUNCTION("""COMPUTED_VALUE"""),"No")</f>
        <v>No</v>
      </c>
      <c r="X791" s="5" t="str">
        <f>IFERROR(__xludf.DUMMYFUNCTION("""COMPUTED_VALUE"""),"No")</f>
        <v>No</v>
      </c>
      <c r="Y791" s="5" t="str">
        <f>IFERROR(__xludf.DUMMYFUNCTION("""COMPUTED_VALUE"""),"No")</f>
        <v>No</v>
      </c>
      <c r="Z791" s="5" t="str">
        <f>IFERROR(__xludf.DUMMYFUNCTION("""COMPUTED_VALUE"""),"No")</f>
        <v>No</v>
      </c>
      <c r="AA791" s="5" t="str">
        <f>IFERROR(__xludf.DUMMYFUNCTION("""COMPUTED_VALUE"""),"No")</f>
        <v>No</v>
      </c>
      <c r="AB791" s="5" t="str">
        <f>IFERROR(__xludf.DUMMYFUNCTION("""COMPUTED_VALUE"""),"Yes")</f>
        <v>Yes</v>
      </c>
      <c r="AC791" s="5" t="str">
        <f>IFERROR(__xludf.DUMMYFUNCTION("""COMPUTED_VALUE"""),"No")</f>
        <v>No</v>
      </c>
    </row>
    <row r="792">
      <c r="A792" s="5" t="str">
        <f>IFERROR(__xludf.DUMMYFUNCTION("""COMPUTED_VALUE"""),"PlayNetRoxyUndercover")</f>
        <v>PlayNetRoxyUndercover</v>
      </c>
      <c r="B792"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2" s="5" t="str">
        <f>IFERROR(__xludf.DUMMYFUNCTION("""COMPUTED_VALUE"""),"Yes")</f>
        <v>Yes</v>
      </c>
      <c r="D792" s="5" t="str">
        <f>IFERROR(__xludf.DUMMYFUNCTION("""COMPUTED_VALUE"""),"Yes")</f>
        <v>Yes</v>
      </c>
      <c r="E792" s="5" t="str">
        <f>IFERROR(__xludf.DUMMYFUNCTION("""COMPUTED_VALUE"""),"Yes")</f>
        <v>Yes</v>
      </c>
      <c r="F792" s="5" t="str">
        <f>IFERROR(__xludf.DUMMYFUNCTION("""COMPUTED_VALUE"""),"Yes")</f>
        <v>Yes</v>
      </c>
      <c r="G792" s="5" t="str">
        <f>IFERROR(__xludf.DUMMYFUNCTION("""COMPUTED_VALUE"""),"Yes")</f>
        <v>Yes</v>
      </c>
      <c r="H792" s="5" t="str">
        <f>IFERROR(__xludf.DUMMYFUNCTION("""COMPUTED_VALUE"""),"Yes")</f>
        <v>Yes</v>
      </c>
      <c r="I792" s="5" t="str">
        <f>IFERROR(__xludf.DUMMYFUNCTION("""COMPUTED_VALUE"""),"Yes")</f>
        <v>Yes</v>
      </c>
      <c r="J792" s="5" t="str">
        <f>IFERROR(__xludf.DUMMYFUNCTION("""COMPUTED_VALUE"""),"Yes")</f>
        <v>Yes</v>
      </c>
      <c r="K792" s="5" t="str">
        <f>IFERROR(__xludf.DUMMYFUNCTION("""COMPUTED_VALUE"""),"Yes")</f>
        <v>Yes</v>
      </c>
      <c r="L792" s="5" t="str">
        <f>IFERROR(__xludf.DUMMYFUNCTION("""COMPUTED_VALUE"""),"Yes")</f>
        <v>Yes</v>
      </c>
      <c r="M792" s="5" t="str">
        <f>IFERROR(__xludf.DUMMYFUNCTION("""COMPUTED_VALUE"""),"Yes")</f>
        <v>Yes</v>
      </c>
      <c r="N792" s="5" t="str">
        <f>IFERROR(__xludf.DUMMYFUNCTION("""COMPUTED_VALUE"""),"Yes")</f>
        <v>Yes</v>
      </c>
      <c r="O792" s="5" t="str">
        <f>IFERROR(__xludf.DUMMYFUNCTION("""COMPUTED_VALUE"""),"Yes")</f>
        <v>Yes</v>
      </c>
      <c r="P792" s="5" t="str">
        <f>IFERROR(__xludf.DUMMYFUNCTION("""COMPUTED_VALUE"""),"Yes")</f>
        <v>Yes</v>
      </c>
      <c r="Q792" s="5" t="str">
        <f>IFERROR(__xludf.DUMMYFUNCTION("""COMPUTED_VALUE"""),"Yes")</f>
        <v>Yes</v>
      </c>
      <c r="R792" s="5"/>
      <c r="S792" s="5"/>
      <c r="T792" s="5"/>
      <c r="U792" s="5"/>
      <c r="V792" s="5"/>
      <c r="W792" s="5"/>
      <c r="X792" s="5"/>
      <c r="Y792" s="5"/>
      <c r="Z792" s="5"/>
      <c r="AA792" s="5"/>
      <c r="AB792" s="5" t="str">
        <f>IFERROR(__xludf.DUMMYFUNCTION("""COMPUTED_VALUE"""),"Yes")</f>
        <v>Yes</v>
      </c>
      <c r="AC792" s="5"/>
    </row>
    <row r="793">
      <c r="A793" s="5" t="str">
        <f>IFERROR(__xludf.DUMMYFUNCTION("""COMPUTED_VALUE"""),"PlayNetHeartGem100")</f>
        <v>PlayNetHeartGem100</v>
      </c>
      <c r="B793"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3" s="5" t="str">
        <f>IFERROR(__xludf.DUMMYFUNCTION("""COMPUTED_VALUE"""),"Yes")</f>
        <v>Yes</v>
      </c>
      <c r="D793" s="5" t="str">
        <f>IFERROR(__xludf.DUMMYFUNCTION("""COMPUTED_VALUE"""),"Yes")</f>
        <v>Yes</v>
      </c>
      <c r="E793" s="5" t="str">
        <f>IFERROR(__xludf.DUMMYFUNCTION("""COMPUTED_VALUE"""),"Yes")</f>
        <v>Yes</v>
      </c>
      <c r="F793" s="5" t="str">
        <f>IFERROR(__xludf.DUMMYFUNCTION("""COMPUTED_VALUE"""),"Yes")</f>
        <v>Yes</v>
      </c>
      <c r="G793" s="5" t="str">
        <f>IFERROR(__xludf.DUMMYFUNCTION("""COMPUTED_VALUE"""),"Yes")</f>
        <v>Yes</v>
      </c>
      <c r="H793" s="5" t="str">
        <f>IFERROR(__xludf.DUMMYFUNCTION("""COMPUTED_VALUE"""),"Yes")</f>
        <v>Yes</v>
      </c>
      <c r="I793" s="5" t="str">
        <f>IFERROR(__xludf.DUMMYFUNCTION("""COMPUTED_VALUE"""),"Yes")</f>
        <v>Yes</v>
      </c>
      <c r="J793" s="5" t="str">
        <f>IFERROR(__xludf.DUMMYFUNCTION("""COMPUTED_VALUE"""),"Yes")</f>
        <v>Yes</v>
      </c>
      <c r="K793" s="5" t="str">
        <f>IFERROR(__xludf.DUMMYFUNCTION("""COMPUTED_VALUE"""),"Yes")</f>
        <v>Yes</v>
      </c>
      <c r="L793" s="5" t="str">
        <f>IFERROR(__xludf.DUMMYFUNCTION("""COMPUTED_VALUE"""),"Yes")</f>
        <v>Yes</v>
      </c>
      <c r="M793" s="5" t="str">
        <f>IFERROR(__xludf.DUMMYFUNCTION("""COMPUTED_VALUE"""),"Yes")</f>
        <v>Yes</v>
      </c>
      <c r="N793" s="5" t="str">
        <f>IFERROR(__xludf.DUMMYFUNCTION("""COMPUTED_VALUE"""),"Yes")</f>
        <v>Yes</v>
      </c>
      <c r="O793" s="5" t="str">
        <f>IFERROR(__xludf.DUMMYFUNCTION("""COMPUTED_VALUE"""),"Yes")</f>
        <v>Yes</v>
      </c>
      <c r="P793" s="5" t="str">
        <f>IFERROR(__xludf.DUMMYFUNCTION("""COMPUTED_VALUE"""),"Yes")</f>
        <v>Yes</v>
      </c>
      <c r="Q793" s="5" t="str">
        <f>IFERROR(__xludf.DUMMYFUNCTION("""COMPUTED_VALUE"""),"Yes")</f>
        <v>Yes</v>
      </c>
      <c r="R793" s="5"/>
      <c r="S793" s="5"/>
      <c r="T793" s="5"/>
      <c r="U793" s="5"/>
      <c r="V793" s="5"/>
      <c r="W793" s="5"/>
      <c r="X793" s="5"/>
      <c r="Y793" s="5"/>
      <c r="Z793" s="5"/>
      <c r="AA793" s="5"/>
      <c r="AB793" s="5" t="str">
        <f>IFERROR(__xludf.DUMMYFUNCTION("""COMPUTED_VALUE"""),"Yes")</f>
        <v>Yes</v>
      </c>
      <c r="AC793" s="5"/>
    </row>
    <row r="794">
      <c r="A794" s="5" t="str">
        <f>IFERROR(__xludf.DUMMYFUNCTION("""COMPUTED_VALUE"""),"PlayNetCrownTreasure10")</f>
        <v>PlayNetCrownTreasure10</v>
      </c>
      <c r="B794" s="5" t="str">
        <f>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4" s="5" t="str">
        <f>IFERROR(__xludf.DUMMYFUNCTION("""COMPUTED_VALUE"""),"Yes")</f>
        <v>Yes</v>
      </c>
      <c r="D794" s="5" t="str">
        <f>IFERROR(__xludf.DUMMYFUNCTION("""COMPUTED_VALUE"""),"Yes")</f>
        <v>Yes</v>
      </c>
      <c r="E794" s="5" t="str">
        <f>IFERROR(__xludf.DUMMYFUNCTION("""COMPUTED_VALUE"""),"Yes")</f>
        <v>Yes</v>
      </c>
      <c r="F794" s="5" t="str">
        <f>IFERROR(__xludf.DUMMYFUNCTION("""COMPUTED_VALUE"""),"Yes")</f>
        <v>Yes</v>
      </c>
      <c r="G794" s="5" t="str">
        <f>IFERROR(__xludf.DUMMYFUNCTION("""COMPUTED_VALUE"""),"Yes")</f>
        <v>Yes</v>
      </c>
      <c r="H794" s="5" t="str">
        <f>IFERROR(__xludf.DUMMYFUNCTION("""COMPUTED_VALUE"""),"Yes")</f>
        <v>Yes</v>
      </c>
      <c r="I794" s="5" t="str">
        <f>IFERROR(__xludf.DUMMYFUNCTION("""COMPUTED_VALUE"""),"Yes")</f>
        <v>Yes</v>
      </c>
      <c r="J794" s="5" t="str">
        <f>IFERROR(__xludf.DUMMYFUNCTION("""COMPUTED_VALUE"""),"Yes")</f>
        <v>Yes</v>
      </c>
      <c r="K794" s="5" t="str">
        <f>IFERROR(__xludf.DUMMYFUNCTION("""COMPUTED_VALUE"""),"Yes")</f>
        <v>Yes</v>
      </c>
      <c r="L794" s="5" t="str">
        <f>IFERROR(__xludf.DUMMYFUNCTION("""COMPUTED_VALUE"""),"Yes")</f>
        <v>Yes</v>
      </c>
      <c r="M794" s="5" t="str">
        <f>IFERROR(__xludf.DUMMYFUNCTION("""COMPUTED_VALUE"""),"Yes")</f>
        <v>Yes</v>
      </c>
      <c r="N794" s="5" t="str">
        <f>IFERROR(__xludf.DUMMYFUNCTION("""COMPUTED_VALUE"""),"Yes")</f>
        <v>Yes</v>
      </c>
      <c r="O794" s="5" t="str">
        <f>IFERROR(__xludf.DUMMYFUNCTION("""COMPUTED_VALUE"""),"Yes")</f>
        <v>Yes</v>
      </c>
      <c r="P794" s="5" t="str">
        <f>IFERROR(__xludf.DUMMYFUNCTION("""COMPUTED_VALUE"""),"Yes")</f>
        <v>Yes</v>
      </c>
      <c r="Q794" s="5" t="str">
        <f>IFERROR(__xludf.DUMMYFUNCTION("""COMPUTED_VALUE"""),"Yes")</f>
        <v>Yes</v>
      </c>
      <c r="R794" s="5" t="str">
        <f>IFERROR(__xludf.DUMMYFUNCTION("""COMPUTED_VALUE"""),"No")</f>
        <v>No</v>
      </c>
      <c r="S794" s="5" t="str">
        <f>IFERROR(__xludf.DUMMYFUNCTION("""COMPUTED_VALUE"""),"No")</f>
        <v>No</v>
      </c>
      <c r="T794" s="5" t="str">
        <f>IFERROR(__xludf.DUMMYFUNCTION("""COMPUTED_VALUE"""),"No")</f>
        <v>No</v>
      </c>
      <c r="U794" s="5" t="str">
        <f>IFERROR(__xludf.DUMMYFUNCTION("""COMPUTED_VALUE"""),"No")</f>
        <v>No</v>
      </c>
      <c r="V794" s="5" t="str">
        <f>IFERROR(__xludf.DUMMYFUNCTION("""COMPUTED_VALUE"""),"No")</f>
        <v>No</v>
      </c>
      <c r="W794" s="5" t="str">
        <f>IFERROR(__xludf.DUMMYFUNCTION("""COMPUTED_VALUE"""),"No")</f>
        <v>No</v>
      </c>
      <c r="X794" s="5" t="str">
        <f>IFERROR(__xludf.DUMMYFUNCTION("""COMPUTED_VALUE"""),"No")</f>
        <v>No</v>
      </c>
      <c r="Y794" s="5" t="str">
        <f>IFERROR(__xludf.DUMMYFUNCTION("""COMPUTED_VALUE"""),"No")</f>
        <v>No</v>
      </c>
      <c r="Z794" s="5" t="str">
        <f>IFERROR(__xludf.DUMMYFUNCTION("""COMPUTED_VALUE"""),"No")</f>
        <v>No</v>
      </c>
      <c r="AA794" s="5" t="str">
        <f>IFERROR(__xludf.DUMMYFUNCTION("""COMPUTED_VALUE"""),"No")</f>
        <v>No</v>
      </c>
      <c r="AB794" s="5" t="str">
        <f>IFERROR(__xludf.DUMMYFUNCTION("""COMPUTED_VALUE"""),"Yes")</f>
        <v>Yes</v>
      </c>
      <c r="AC794" s="5" t="str">
        <f>IFERROR(__xludf.DUMMYFUNCTION("""COMPUTED_VALUE"""),"No")</f>
        <v>No</v>
      </c>
    </row>
    <row r="795">
      <c r="A795" s="5" t="str">
        <f>IFERROR(__xludf.DUMMYFUNCTION("""COMPUTED_VALUE"""),"PlayNetTropicTwistExtreme")</f>
        <v>PlayNetTropicTwistExtreme</v>
      </c>
      <c r="B795"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5" s="5" t="str">
        <f>IFERROR(__xludf.DUMMYFUNCTION("""COMPUTED_VALUE"""),"Yes")</f>
        <v>Yes</v>
      </c>
      <c r="D795" s="5" t="str">
        <f>IFERROR(__xludf.DUMMYFUNCTION("""COMPUTED_VALUE"""),"Yes")</f>
        <v>Yes</v>
      </c>
      <c r="E795" s="5" t="str">
        <f>IFERROR(__xludf.DUMMYFUNCTION("""COMPUTED_VALUE"""),"No")</f>
        <v>No</v>
      </c>
      <c r="F795" s="5" t="str">
        <f>IFERROR(__xludf.DUMMYFUNCTION("""COMPUTED_VALUE"""),"Yes")</f>
        <v>Yes</v>
      </c>
      <c r="G795" s="5" t="str">
        <f>IFERROR(__xludf.DUMMYFUNCTION("""COMPUTED_VALUE"""),"Yes")</f>
        <v>Yes</v>
      </c>
      <c r="H795" s="5" t="str">
        <f>IFERROR(__xludf.DUMMYFUNCTION("""COMPUTED_VALUE"""),"Yes")</f>
        <v>Yes</v>
      </c>
      <c r="I795" s="5" t="str">
        <f>IFERROR(__xludf.DUMMYFUNCTION("""COMPUTED_VALUE"""),"Yes")</f>
        <v>Yes</v>
      </c>
      <c r="J795" s="5" t="str">
        <f>IFERROR(__xludf.DUMMYFUNCTION("""COMPUTED_VALUE"""),"Yes")</f>
        <v>Yes</v>
      </c>
      <c r="K795" s="5" t="str">
        <f>IFERROR(__xludf.DUMMYFUNCTION("""COMPUTED_VALUE"""),"Yes")</f>
        <v>Yes</v>
      </c>
      <c r="L795" s="5" t="str">
        <f>IFERROR(__xludf.DUMMYFUNCTION("""COMPUTED_VALUE"""),"Yes")</f>
        <v>Yes</v>
      </c>
      <c r="M795" s="5" t="str">
        <f>IFERROR(__xludf.DUMMYFUNCTION("""COMPUTED_VALUE"""),"Yes")</f>
        <v>Yes</v>
      </c>
      <c r="N795" s="5" t="str">
        <f>IFERROR(__xludf.DUMMYFUNCTION("""COMPUTED_VALUE"""),"Yes")</f>
        <v>Yes</v>
      </c>
      <c r="O795" s="5" t="str">
        <f>IFERROR(__xludf.DUMMYFUNCTION("""COMPUTED_VALUE"""),"Yes")</f>
        <v>Yes</v>
      </c>
      <c r="P795" s="5" t="str">
        <f>IFERROR(__xludf.DUMMYFUNCTION("""COMPUTED_VALUE"""),"Yes")</f>
        <v>Yes</v>
      </c>
      <c r="Q795" s="5" t="str">
        <f>IFERROR(__xludf.DUMMYFUNCTION("""COMPUTED_VALUE"""),"Yes")</f>
        <v>Yes</v>
      </c>
      <c r="R795" s="5" t="str">
        <f>IFERROR(__xludf.DUMMYFUNCTION("""COMPUTED_VALUE"""),"No")</f>
        <v>No</v>
      </c>
      <c r="S795" s="5" t="str">
        <f>IFERROR(__xludf.DUMMYFUNCTION("""COMPUTED_VALUE"""),"No")</f>
        <v>No</v>
      </c>
      <c r="T795" s="5" t="str">
        <f>IFERROR(__xludf.DUMMYFUNCTION("""COMPUTED_VALUE"""),"No")</f>
        <v>No</v>
      </c>
      <c r="U795" s="5" t="str">
        <f>IFERROR(__xludf.DUMMYFUNCTION("""COMPUTED_VALUE"""),"No")</f>
        <v>No</v>
      </c>
      <c r="V795" s="5" t="str">
        <f>IFERROR(__xludf.DUMMYFUNCTION("""COMPUTED_VALUE"""),"No")</f>
        <v>No</v>
      </c>
      <c r="W795" s="5" t="str">
        <f>IFERROR(__xludf.DUMMYFUNCTION("""COMPUTED_VALUE"""),"No")</f>
        <v>No</v>
      </c>
      <c r="X795" s="5" t="str">
        <f>IFERROR(__xludf.DUMMYFUNCTION("""COMPUTED_VALUE"""),"No")</f>
        <v>No</v>
      </c>
      <c r="Y795" s="5" t="str">
        <f>IFERROR(__xludf.DUMMYFUNCTION("""COMPUTED_VALUE"""),"No")</f>
        <v>No</v>
      </c>
      <c r="Z795" s="5" t="str">
        <f>IFERROR(__xludf.DUMMYFUNCTION("""COMPUTED_VALUE"""),"No")</f>
        <v>No</v>
      </c>
      <c r="AA795" s="5" t="str">
        <f>IFERROR(__xludf.DUMMYFUNCTION("""COMPUTED_VALUE"""),"No")</f>
        <v>No</v>
      </c>
      <c r="AB795" s="5" t="str">
        <f>IFERROR(__xludf.DUMMYFUNCTION("""COMPUTED_VALUE"""),"Yes")</f>
        <v>Yes</v>
      </c>
      <c r="AC795" s="5" t="str">
        <f>IFERROR(__xludf.DUMMYFUNCTION("""COMPUTED_VALUE"""),"No")</f>
        <v>No</v>
      </c>
    </row>
    <row r="796">
      <c r="A796" s="5" t="str">
        <f>IFERROR(__xludf.DUMMYFUNCTION("""COMPUTED_VALUE"""),"PlayNetCloverWealth5")</f>
        <v>PlayNetCloverWealth5</v>
      </c>
      <c r="B796"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6" s="5" t="str">
        <f>IFERROR(__xludf.DUMMYFUNCTION("""COMPUTED_VALUE"""),"Yes")</f>
        <v>Yes</v>
      </c>
      <c r="D796" s="5" t="str">
        <f>IFERROR(__xludf.DUMMYFUNCTION("""COMPUTED_VALUE"""),"Yes")</f>
        <v>Yes</v>
      </c>
      <c r="E796" s="5" t="str">
        <f>IFERROR(__xludf.DUMMYFUNCTION("""COMPUTED_VALUE"""),"No")</f>
        <v>No</v>
      </c>
      <c r="F796" s="5" t="str">
        <f>IFERROR(__xludf.DUMMYFUNCTION("""COMPUTED_VALUE"""),"Yes")</f>
        <v>Yes</v>
      </c>
      <c r="G796" s="5" t="str">
        <f>IFERROR(__xludf.DUMMYFUNCTION("""COMPUTED_VALUE"""),"Yes")</f>
        <v>Yes</v>
      </c>
      <c r="H796" s="5" t="str">
        <f>IFERROR(__xludf.DUMMYFUNCTION("""COMPUTED_VALUE"""),"Yes")</f>
        <v>Yes</v>
      </c>
      <c r="I796" s="5" t="str">
        <f>IFERROR(__xludf.DUMMYFUNCTION("""COMPUTED_VALUE"""),"Yes")</f>
        <v>Yes</v>
      </c>
      <c r="J796" s="5" t="str">
        <f>IFERROR(__xludf.DUMMYFUNCTION("""COMPUTED_VALUE"""),"Yes")</f>
        <v>Yes</v>
      </c>
      <c r="K796" s="5" t="str">
        <f>IFERROR(__xludf.DUMMYFUNCTION("""COMPUTED_VALUE"""),"Yes")</f>
        <v>Yes</v>
      </c>
      <c r="L796" s="5" t="str">
        <f>IFERROR(__xludf.DUMMYFUNCTION("""COMPUTED_VALUE"""),"Yes")</f>
        <v>Yes</v>
      </c>
      <c r="M796" s="5" t="str">
        <f>IFERROR(__xludf.DUMMYFUNCTION("""COMPUTED_VALUE"""),"Yes")</f>
        <v>Yes</v>
      </c>
      <c r="N796" s="5" t="str">
        <f>IFERROR(__xludf.DUMMYFUNCTION("""COMPUTED_VALUE"""),"Yes")</f>
        <v>Yes</v>
      </c>
      <c r="O796" s="5" t="str">
        <f>IFERROR(__xludf.DUMMYFUNCTION("""COMPUTED_VALUE"""),"Yes")</f>
        <v>Yes</v>
      </c>
      <c r="P796" s="5" t="str">
        <f>IFERROR(__xludf.DUMMYFUNCTION("""COMPUTED_VALUE"""),"Yes")</f>
        <v>Yes</v>
      </c>
      <c r="Q796" s="5" t="str">
        <f>IFERROR(__xludf.DUMMYFUNCTION("""COMPUTED_VALUE"""),"Yes")</f>
        <v>Yes</v>
      </c>
      <c r="R796" s="5" t="str">
        <f>IFERROR(__xludf.DUMMYFUNCTION("""COMPUTED_VALUE"""),"No")</f>
        <v>No</v>
      </c>
      <c r="S796" s="5" t="str">
        <f>IFERROR(__xludf.DUMMYFUNCTION("""COMPUTED_VALUE"""),"No")</f>
        <v>No</v>
      </c>
      <c r="T796" s="5" t="str">
        <f>IFERROR(__xludf.DUMMYFUNCTION("""COMPUTED_VALUE"""),"No")</f>
        <v>No</v>
      </c>
      <c r="U796" s="5" t="str">
        <f>IFERROR(__xludf.DUMMYFUNCTION("""COMPUTED_VALUE"""),"No")</f>
        <v>No</v>
      </c>
      <c r="V796" s="5" t="str">
        <f>IFERROR(__xludf.DUMMYFUNCTION("""COMPUTED_VALUE"""),"No")</f>
        <v>No</v>
      </c>
      <c r="W796" s="5" t="str">
        <f>IFERROR(__xludf.DUMMYFUNCTION("""COMPUTED_VALUE"""),"No")</f>
        <v>No</v>
      </c>
      <c r="X796" s="5" t="str">
        <f>IFERROR(__xludf.DUMMYFUNCTION("""COMPUTED_VALUE"""),"No")</f>
        <v>No</v>
      </c>
      <c r="Y796" s="5" t="str">
        <f>IFERROR(__xludf.DUMMYFUNCTION("""COMPUTED_VALUE"""),"No")</f>
        <v>No</v>
      </c>
      <c r="Z796" s="5" t="str">
        <f>IFERROR(__xludf.DUMMYFUNCTION("""COMPUTED_VALUE"""),"No")</f>
        <v>No</v>
      </c>
      <c r="AA796" s="5" t="str">
        <f>IFERROR(__xludf.DUMMYFUNCTION("""COMPUTED_VALUE"""),"No")</f>
        <v>No</v>
      </c>
      <c r="AB796" s="5" t="str">
        <f>IFERROR(__xludf.DUMMYFUNCTION("""COMPUTED_VALUE"""),"Yes")</f>
        <v>Yes</v>
      </c>
      <c r="AC796" s="5" t="str">
        <f>IFERROR(__xludf.DUMMYFUNCTION("""COMPUTED_VALUE"""),"No")</f>
        <v>No</v>
      </c>
    </row>
    <row r="797">
      <c r="A797" s="5" t="str">
        <f>IFERROR(__xludf.DUMMYFUNCTION("""COMPUTED_VALUE"""),"PlayNet27LuckyCrown")</f>
        <v>PlayNet27LuckyCrown</v>
      </c>
      <c r="B797"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7" s="5" t="str">
        <f>IFERROR(__xludf.DUMMYFUNCTION("""COMPUTED_VALUE"""),"Yes")</f>
        <v>Yes</v>
      </c>
      <c r="D797" s="5" t="str">
        <f>IFERROR(__xludf.DUMMYFUNCTION("""COMPUTED_VALUE"""),"Yes")</f>
        <v>Yes</v>
      </c>
      <c r="E797" s="5" t="str">
        <f>IFERROR(__xludf.DUMMYFUNCTION("""COMPUTED_VALUE"""),"No")</f>
        <v>No</v>
      </c>
      <c r="F797" s="5" t="str">
        <f>IFERROR(__xludf.DUMMYFUNCTION("""COMPUTED_VALUE"""),"Yes")</f>
        <v>Yes</v>
      </c>
      <c r="G797" s="5" t="str">
        <f>IFERROR(__xludf.DUMMYFUNCTION("""COMPUTED_VALUE"""),"Yes")</f>
        <v>Yes</v>
      </c>
      <c r="H797" s="5" t="str">
        <f>IFERROR(__xludf.DUMMYFUNCTION("""COMPUTED_VALUE"""),"Yes")</f>
        <v>Yes</v>
      </c>
      <c r="I797" s="5" t="str">
        <f>IFERROR(__xludf.DUMMYFUNCTION("""COMPUTED_VALUE"""),"Yes")</f>
        <v>Yes</v>
      </c>
      <c r="J797" s="5" t="str">
        <f>IFERROR(__xludf.DUMMYFUNCTION("""COMPUTED_VALUE"""),"Yes")</f>
        <v>Yes</v>
      </c>
      <c r="K797" s="5" t="str">
        <f>IFERROR(__xludf.DUMMYFUNCTION("""COMPUTED_VALUE"""),"Yes")</f>
        <v>Yes</v>
      </c>
      <c r="L797" s="5" t="str">
        <f>IFERROR(__xludf.DUMMYFUNCTION("""COMPUTED_VALUE"""),"Yes")</f>
        <v>Yes</v>
      </c>
      <c r="M797" s="5" t="str">
        <f>IFERROR(__xludf.DUMMYFUNCTION("""COMPUTED_VALUE"""),"Yes")</f>
        <v>Yes</v>
      </c>
      <c r="N797" s="5" t="str">
        <f>IFERROR(__xludf.DUMMYFUNCTION("""COMPUTED_VALUE"""),"Yes")</f>
        <v>Yes</v>
      </c>
      <c r="O797" s="5" t="str">
        <f>IFERROR(__xludf.DUMMYFUNCTION("""COMPUTED_VALUE"""),"Yes")</f>
        <v>Yes</v>
      </c>
      <c r="P797" s="5" t="str">
        <f>IFERROR(__xludf.DUMMYFUNCTION("""COMPUTED_VALUE"""),"Yes")</f>
        <v>Yes</v>
      </c>
      <c r="Q797" s="5" t="str">
        <f>IFERROR(__xludf.DUMMYFUNCTION("""COMPUTED_VALUE"""),"Yes")</f>
        <v>Yes</v>
      </c>
      <c r="R797" s="5" t="str">
        <f>IFERROR(__xludf.DUMMYFUNCTION("""COMPUTED_VALUE"""),"No")</f>
        <v>No</v>
      </c>
      <c r="S797" s="5" t="str">
        <f>IFERROR(__xludf.DUMMYFUNCTION("""COMPUTED_VALUE"""),"No")</f>
        <v>No</v>
      </c>
      <c r="T797" s="5" t="str">
        <f>IFERROR(__xludf.DUMMYFUNCTION("""COMPUTED_VALUE"""),"No")</f>
        <v>No</v>
      </c>
      <c r="U797" s="5" t="str">
        <f>IFERROR(__xludf.DUMMYFUNCTION("""COMPUTED_VALUE"""),"No")</f>
        <v>No</v>
      </c>
      <c r="V797" s="5" t="str">
        <f>IFERROR(__xludf.DUMMYFUNCTION("""COMPUTED_VALUE"""),"No")</f>
        <v>No</v>
      </c>
      <c r="W797" s="5" t="str">
        <f>IFERROR(__xludf.DUMMYFUNCTION("""COMPUTED_VALUE"""),"No")</f>
        <v>No</v>
      </c>
      <c r="X797" s="5" t="str">
        <f>IFERROR(__xludf.DUMMYFUNCTION("""COMPUTED_VALUE"""),"No")</f>
        <v>No</v>
      </c>
      <c r="Y797" s="5" t="str">
        <f>IFERROR(__xludf.DUMMYFUNCTION("""COMPUTED_VALUE"""),"No")</f>
        <v>No</v>
      </c>
      <c r="Z797" s="5" t="str">
        <f>IFERROR(__xludf.DUMMYFUNCTION("""COMPUTED_VALUE"""),"No")</f>
        <v>No</v>
      </c>
      <c r="AA797" s="5" t="str">
        <f>IFERROR(__xludf.DUMMYFUNCTION("""COMPUTED_VALUE"""),"No")</f>
        <v>No</v>
      </c>
      <c r="AB797" s="5" t="str">
        <f>IFERROR(__xludf.DUMMYFUNCTION("""COMPUTED_VALUE"""),"Yes")</f>
        <v>Yes</v>
      </c>
      <c r="AC797" s="5" t="str">
        <f>IFERROR(__xludf.DUMMYFUNCTION("""COMPUTED_VALUE"""),"No")</f>
        <v>No</v>
      </c>
    </row>
    <row r="798">
      <c r="A798" s="5" t="str">
        <f>IFERROR(__xludf.DUMMYFUNCTION("""COMPUTED_VALUE"""),"PlayNetRoyalFlameX2")</f>
        <v>PlayNetRoyalFlameX2</v>
      </c>
      <c r="B798"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8" s="5" t="str">
        <f>IFERROR(__xludf.DUMMYFUNCTION("""COMPUTED_VALUE"""),"Yes")</f>
        <v>Yes</v>
      </c>
      <c r="D798" s="5" t="str">
        <f>IFERROR(__xludf.DUMMYFUNCTION("""COMPUTED_VALUE"""),"Yes")</f>
        <v>Yes</v>
      </c>
      <c r="E798" s="5" t="str">
        <f>IFERROR(__xludf.DUMMYFUNCTION("""COMPUTED_VALUE"""),"No")</f>
        <v>No</v>
      </c>
      <c r="F798" s="5" t="str">
        <f>IFERROR(__xludf.DUMMYFUNCTION("""COMPUTED_VALUE"""),"Yes")</f>
        <v>Yes</v>
      </c>
      <c r="G798" s="5" t="str">
        <f>IFERROR(__xludf.DUMMYFUNCTION("""COMPUTED_VALUE"""),"Yes")</f>
        <v>Yes</v>
      </c>
      <c r="H798" s="5" t="str">
        <f>IFERROR(__xludf.DUMMYFUNCTION("""COMPUTED_VALUE"""),"Yes")</f>
        <v>Yes</v>
      </c>
      <c r="I798" s="5" t="str">
        <f>IFERROR(__xludf.DUMMYFUNCTION("""COMPUTED_VALUE"""),"Yes")</f>
        <v>Yes</v>
      </c>
      <c r="J798" s="5" t="str">
        <f>IFERROR(__xludf.DUMMYFUNCTION("""COMPUTED_VALUE"""),"Yes")</f>
        <v>Yes</v>
      </c>
      <c r="K798" s="5" t="str">
        <f>IFERROR(__xludf.DUMMYFUNCTION("""COMPUTED_VALUE"""),"Yes")</f>
        <v>Yes</v>
      </c>
      <c r="L798" s="5" t="str">
        <f>IFERROR(__xludf.DUMMYFUNCTION("""COMPUTED_VALUE"""),"Yes")</f>
        <v>Yes</v>
      </c>
      <c r="M798" s="5" t="str">
        <f>IFERROR(__xludf.DUMMYFUNCTION("""COMPUTED_VALUE"""),"Yes")</f>
        <v>Yes</v>
      </c>
      <c r="N798" s="5" t="str">
        <f>IFERROR(__xludf.DUMMYFUNCTION("""COMPUTED_VALUE"""),"Yes")</f>
        <v>Yes</v>
      </c>
      <c r="O798" s="5" t="str">
        <f>IFERROR(__xludf.DUMMYFUNCTION("""COMPUTED_VALUE"""),"Yes")</f>
        <v>Yes</v>
      </c>
      <c r="P798" s="5" t="str">
        <f>IFERROR(__xludf.DUMMYFUNCTION("""COMPUTED_VALUE"""),"Yes")</f>
        <v>Yes</v>
      </c>
      <c r="Q798" s="5" t="str">
        <f>IFERROR(__xludf.DUMMYFUNCTION("""COMPUTED_VALUE"""),"Yes")</f>
        <v>Yes</v>
      </c>
      <c r="R798" s="5" t="str">
        <f>IFERROR(__xludf.DUMMYFUNCTION("""COMPUTED_VALUE"""),"No")</f>
        <v>No</v>
      </c>
      <c r="S798" s="5" t="str">
        <f>IFERROR(__xludf.DUMMYFUNCTION("""COMPUTED_VALUE"""),"No")</f>
        <v>No</v>
      </c>
      <c r="T798" s="5" t="str">
        <f>IFERROR(__xludf.DUMMYFUNCTION("""COMPUTED_VALUE"""),"No")</f>
        <v>No</v>
      </c>
      <c r="U798" s="5" t="str">
        <f>IFERROR(__xludf.DUMMYFUNCTION("""COMPUTED_VALUE"""),"No")</f>
        <v>No</v>
      </c>
      <c r="V798" s="5" t="str">
        <f>IFERROR(__xludf.DUMMYFUNCTION("""COMPUTED_VALUE"""),"No")</f>
        <v>No</v>
      </c>
      <c r="W798" s="5" t="str">
        <f>IFERROR(__xludf.DUMMYFUNCTION("""COMPUTED_VALUE"""),"No")</f>
        <v>No</v>
      </c>
      <c r="X798" s="5" t="str">
        <f>IFERROR(__xludf.DUMMYFUNCTION("""COMPUTED_VALUE"""),"No")</f>
        <v>No</v>
      </c>
      <c r="Y798" s="5" t="str">
        <f>IFERROR(__xludf.DUMMYFUNCTION("""COMPUTED_VALUE"""),"No")</f>
        <v>No</v>
      </c>
      <c r="Z798" s="5" t="str">
        <f>IFERROR(__xludf.DUMMYFUNCTION("""COMPUTED_VALUE"""),"No")</f>
        <v>No</v>
      </c>
      <c r="AA798" s="5" t="str">
        <f>IFERROR(__xludf.DUMMYFUNCTION("""COMPUTED_VALUE"""),"No")</f>
        <v>No</v>
      </c>
      <c r="AB798" s="5" t="str">
        <f>IFERROR(__xludf.DUMMYFUNCTION("""COMPUTED_VALUE"""),"Yes")</f>
        <v>Yes</v>
      </c>
      <c r="AC798" s="5" t="str">
        <f>IFERROR(__xludf.DUMMYFUNCTION("""COMPUTED_VALUE"""),"No")</f>
        <v>No</v>
      </c>
    </row>
    <row r="799">
      <c r="A799" s="5" t="str">
        <f>IFERROR(__xludf.DUMMYFUNCTION("""COMPUTED_VALUE"""),"PlayNetHeartGem5")</f>
        <v>PlayNetHeartGem5</v>
      </c>
      <c r="B799"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9" s="5" t="str">
        <f>IFERROR(__xludf.DUMMYFUNCTION("""COMPUTED_VALUE"""),"Yes")</f>
        <v>Yes</v>
      </c>
      <c r="D799" s="5" t="str">
        <f>IFERROR(__xludf.DUMMYFUNCTION("""COMPUTED_VALUE"""),"Yes")</f>
        <v>Yes</v>
      </c>
      <c r="E799" s="5" t="str">
        <f>IFERROR(__xludf.DUMMYFUNCTION("""COMPUTED_VALUE"""),"No")</f>
        <v>No</v>
      </c>
      <c r="F799" s="5" t="str">
        <f>IFERROR(__xludf.DUMMYFUNCTION("""COMPUTED_VALUE"""),"Yes")</f>
        <v>Yes</v>
      </c>
      <c r="G799" s="5" t="str">
        <f>IFERROR(__xludf.DUMMYFUNCTION("""COMPUTED_VALUE"""),"Yes")</f>
        <v>Yes</v>
      </c>
      <c r="H799" s="5" t="str">
        <f>IFERROR(__xludf.DUMMYFUNCTION("""COMPUTED_VALUE"""),"Yes")</f>
        <v>Yes</v>
      </c>
      <c r="I799" s="5" t="str">
        <f>IFERROR(__xludf.DUMMYFUNCTION("""COMPUTED_VALUE"""),"Yes")</f>
        <v>Yes</v>
      </c>
      <c r="J799" s="5" t="str">
        <f>IFERROR(__xludf.DUMMYFUNCTION("""COMPUTED_VALUE"""),"Yes")</f>
        <v>Yes</v>
      </c>
      <c r="K799" s="5" t="str">
        <f>IFERROR(__xludf.DUMMYFUNCTION("""COMPUTED_VALUE"""),"Yes")</f>
        <v>Yes</v>
      </c>
      <c r="L799" s="5" t="str">
        <f>IFERROR(__xludf.DUMMYFUNCTION("""COMPUTED_VALUE"""),"Yes")</f>
        <v>Yes</v>
      </c>
      <c r="M799" s="5" t="str">
        <f>IFERROR(__xludf.DUMMYFUNCTION("""COMPUTED_VALUE"""),"Yes")</f>
        <v>Yes</v>
      </c>
      <c r="N799" s="5" t="str">
        <f>IFERROR(__xludf.DUMMYFUNCTION("""COMPUTED_VALUE"""),"Yes")</f>
        <v>Yes</v>
      </c>
      <c r="O799" s="5" t="str">
        <f>IFERROR(__xludf.DUMMYFUNCTION("""COMPUTED_VALUE"""),"Yes")</f>
        <v>Yes</v>
      </c>
      <c r="P799" s="5" t="str">
        <f>IFERROR(__xludf.DUMMYFUNCTION("""COMPUTED_VALUE"""),"Yes")</f>
        <v>Yes</v>
      </c>
      <c r="Q799" s="5" t="str">
        <f>IFERROR(__xludf.DUMMYFUNCTION("""COMPUTED_VALUE"""),"Yes")</f>
        <v>Yes</v>
      </c>
      <c r="R799" s="5" t="str">
        <f>IFERROR(__xludf.DUMMYFUNCTION("""COMPUTED_VALUE"""),"No")</f>
        <v>No</v>
      </c>
      <c r="S799" s="5" t="str">
        <f>IFERROR(__xludf.DUMMYFUNCTION("""COMPUTED_VALUE"""),"No")</f>
        <v>No</v>
      </c>
      <c r="T799" s="5" t="str">
        <f>IFERROR(__xludf.DUMMYFUNCTION("""COMPUTED_VALUE"""),"No")</f>
        <v>No</v>
      </c>
      <c r="U799" s="5" t="str">
        <f>IFERROR(__xludf.DUMMYFUNCTION("""COMPUTED_VALUE"""),"No")</f>
        <v>No</v>
      </c>
      <c r="V799" s="5" t="str">
        <f>IFERROR(__xludf.DUMMYFUNCTION("""COMPUTED_VALUE"""),"No")</f>
        <v>No</v>
      </c>
      <c r="W799" s="5" t="str">
        <f>IFERROR(__xludf.DUMMYFUNCTION("""COMPUTED_VALUE"""),"No")</f>
        <v>No</v>
      </c>
      <c r="X799" s="5" t="str">
        <f>IFERROR(__xludf.DUMMYFUNCTION("""COMPUTED_VALUE"""),"No")</f>
        <v>No</v>
      </c>
      <c r="Y799" s="5" t="str">
        <f>IFERROR(__xludf.DUMMYFUNCTION("""COMPUTED_VALUE"""),"No")</f>
        <v>No</v>
      </c>
      <c r="Z799" s="5" t="str">
        <f>IFERROR(__xludf.DUMMYFUNCTION("""COMPUTED_VALUE"""),"No")</f>
        <v>No</v>
      </c>
      <c r="AA799" s="5" t="str">
        <f>IFERROR(__xludf.DUMMYFUNCTION("""COMPUTED_VALUE"""),"No")</f>
        <v>No</v>
      </c>
      <c r="AB799" s="5" t="str">
        <f>IFERROR(__xludf.DUMMYFUNCTION("""COMPUTED_VALUE"""),"Yes")</f>
        <v>Yes</v>
      </c>
      <c r="AC799" s="5" t="str">
        <f>IFERROR(__xludf.DUMMYFUNCTION("""COMPUTED_VALUE"""),"No")</f>
        <v>No</v>
      </c>
    </row>
    <row r="800">
      <c r="A800" s="5" t="str">
        <f>IFERROR(__xludf.DUMMYFUNCTION("""COMPUTED_VALUE"""),"PlayNetEmpressOfFlame20")</f>
        <v>PlayNetEmpressOfFlame20</v>
      </c>
      <c r="B800"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0" s="5" t="str">
        <f>IFERROR(__xludf.DUMMYFUNCTION("""COMPUTED_VALUE"""),"Yes")</f>
        <v>Yes</v>
      </c>
      <c r="D800" s="5" t="str">
        <f>IFERROR(__xludf.DUMMYFUNCTION("""COMPUTED_VALUE"""),"Yes")</f>
        <v>Yes</v>
      </c>
      <c r="E800" s="5" t="str">
        <f>IFERROR(__xludf.DUMMYFUNCTION("""COMPUTED_VALUE"""),"No")</f>
        <v>No</v>
      </c>
      <c r="F800" s="5" t="str">
        <f>IFERROR(__xludf.DUMMYFUNCTION("""COMPUTED_VALUE"""),"Yes")</f>
        <v>Yes</v>
      </c>
      <c r="G800" s="5" t="str">
        <f>IFERROR(__xludf.DUMMYFUNCTION("""COMPUTED_VALUE"""),"Yes")</f>
        <v>Yes</v>
      </c>
      <c r="H800" s="5" t="str">
        <f>IFERROR(__xludf.DUMMYFUNCTION("""COMPUTED_VALUE"""),"Yes")</f>
        <v>Yes</v>
      </c>
      <c r="I800" s="5" t="str">
        <f>IFERROR(__xludf.DUMMYFUNCTION("""COMPUTED_VALUE"""),"Yes")</f>
        <v>Yes</v>
      </c>
      <c r="J800" s="5" t="str">
        <f>IFERROR(__xludf.DUMMYFUNCTION("""COMPUTED_VALUE"""),"Yes")</f>
        <v>Yes</v>
      </c>
      <c r="K800" s="5" t="str">
        <f>IFERROR(__xludf.DUMMYFUNCTION("""COMPUTED_VALUE"""),"Yes")</f>
        <v>Yes</v>
      </c>
      <c r="L800" s="5" t="str">
        <f>IFERROR(__xludf.DUMMYFUNCTION("""COMPUTED_VALUE"""),"Yes")</f>
        <v>Yes</v>
      </c>
      <c r="M800" s="5" t="str">
        <f>IFERROR(__xludf.DUMMYFUNCTION("""COMPUTED_VALUE"""),"Yes")</f>
        <v>Yes</v>
      </c>
      <c r="N800" s="5" t="str">
        <f>IFERROR(__xludf.DUMMYFUNCTION("""COMPUTED_VALUE"""),"Yes")</f>
        <v>Yes</v>
      </c>
      <c r="O800" s="5" t="str">
        <f>IFERROR(__xludf.DUMMYFUNCTION("""COMPUTED_VALUE"""),"Yes")</f>
        <v>Yes</v>
      </c>
      <c r="P800" s="5" t="str">
        <f>IFERROR(__xludf.DUMMYFUNCTION("""COMPUTED_VALUE"""),"Yes")</f>
        <v>Yes</v>
      </c>
      <c r="Q800" s="5" t="str">
        <f>IFERROR(__xludf.DUMMYFUNCTION("""COMPUTED_VALUE"""),"Yes")</f>
        <v>Yes</v>
      </c>
      <c r="R800" s="5" t="str">
        <f>IFERROR(__xludf.DUMMYFUNCTION("""COMPUTED_VALUE"""),"No")</f>
        <v>No</v>
      </c>
      <c r="S800" s="5" t="str">
        <f>IFERROR(__xludf.DUMMYFUNCTION("""COMPUTED_VALUE"""),"No")</f>
        <v>No</v>
      </c>
      <c r="T800" s="5" t="str">
        <f>IFERROR(__xludf.DUMMYFUNCTION("""COMPUTED_VALUE"""),"No")</f>
        <v>No</v>
      </c>
      <c r="U800" s="5" t="str">
        <f>IFERROR(__xludf.DUMMYFUNCTION("""COMPUTED_VALUE"""),"No")</f>
        <v>No</v>
      </c>
      <c r="V800" s="5" t="str">
        <f>IFERROR(__xludf.DUMMYFUNCTION("""COMPUTED_VALUE"""),"No")</f>
        <v>No</v>
      </c>
      <c r="W800" s="5" t="str">
        <f>IFERROR(__xludf.DUMMYFUNCTION("""COMPUTED_VALUE"""),"No")</f>
        <v>No</v>
      </c>
      <c r="X800" s="5" t="str">
        <f>IFERROR(__xludf.DUMMYFUNCTION("""COMPUTED_VALUE"""),"No")</f>
        <v>No</v>
      </c>
      <c r="Y800" s="5" t="str">
        <f>IFERROR(__xludf.DUMMYFUNCTION("""COMPUTED_VALUE"""),"No")</f>
        <v>No</v>
      </c>
      <c r="Z800" s="5" t="str">
        <f>IFERROR(__xludf.DUMMYFUNCTION("""COMPUTED_VALUE"""),"No")</f>
        <v>No</v>
      </c>
      <c r="AA800" s="5" t="str">
        <f>IFERROR(__xludf.DUMMYFUNCTION("""COMPUTED_VALUE"""),"No")</f>
        <v>No</v>
      </c>
      <c r="AB800" s="5" t="str">
        <f>IFERROR(__xludf.DUMMYFUNCTION("""COMPUTED_VALUE"""),"Yes")</f>
        <v>Yes</v>
      </c>
      <c r="AC800" s="5" t="str">
        <f>IFERROR(__xludf.DUMMYFUNCTION("""COMPUTED_VALUE"""),"No")</f>
        <v>No</v>
      </c>
    </row>
    <row r="801">
      <c r="A801" s="5" t="str">
        <f>IFERROR(__xludf.DUMMYFUNCTION("""COMPUTED_VALUE"""),"PlayNetShadowHunt20")</f>
        <v>PlayNetShadowHunt20</v>
      </c>
      <c r="B801"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1" s="5" t="str">
        <f>IFERROR(__xludf.DUMMYFUNCTION("""COMPUTED_VALUE"""),"Yes")</f>
        <v>Yes</v>
      </c>
      <c r="D801" s="5" t="str">
        <f>IFERROR(__xludf.DUMMYFUNCTION("""COMPUTED_VALUE"""),"Yes")</f>
        <v>Yes</v>
      </c>
      <c r="E801" s="5" t="str">
        <f>IFERROR(__xludf.DUMMYFUNCTION("""COMPUTED_VALUE"""),"No")</f>
        <v>No</v>
      </c>
      <c r="F801" s="5" t="str">
        <f>IFERROR(__xludf.DUMMYFUNCTION("""COMPUTED_VALUE"""),"Yes")</f>
        <v>Yes</v>
      </c>
      <c r="G801" s="5" t="str">
        <f>IFERROR(__xludf.DUMMYFUNCTION("""COMPUTED_VALUE"""),"Yes")</f>
        <v>Yes</v>
      </c>
      <c r="H801" s="5" t="str">
        <f>IFERROR(__xludf.DUMMYFUNCTION("""COMPUTED_VALUE"""),"Yes")</f>
        <v>Yes</v>
      </c>
      <c r="I801" s="5" t="str">
        <f>IFERROR(__xludf.DUMMYFUNCTION("""COMPUTED_VALUE"""),"Yes")</f>
        <v>Yes</v>
      </c>
      <c r="J801" s="5" t="str">
        <f>IFERROR(__xludf.DUMMYFUNCTION("""COMPUTED_VALUE"""),"Yes")</f>
        <v>Yes</v>
      </c>
      <c r="K801" s="5" t="str">
        <f>IFERROR(__xludf.DUMMYFUNCTION("""COMPUTED_VALUE"""),"Yes")</f>
        <v>Yes</v>
      </c>
      <c r="L801" s="5" t="str">
        <f>IFERROR(__xludf.DUMMYFUNCTION("""COMPUTED_VALUE"""),"Yes")</f>
        <v>Yes</v>
      </c>
      <c r="M801" s="5" t="str">
        <f>IFERROR(__xludf.DUMMYFUNCTION("""COMPUTED_VALUE"""),"Yes")</f>
        <v>Yes</v>
      </c>
      <c r="N801" s="5" t="str">
        <f>IFERROR(__xludf.DUMMYFUNCTION("""COMPUTED_VALUE"""),"Yes")</f>
        <v>Yes</v>
      </c>
      <c r="O801" s="5" t="str">
        <f>IFERROR(__xludf.DUMMYFUNCTION("""COMPUTED_VALUE"""),"Yes")</f>
        <v>Yes</v>
      </c>
      <c r="P801" s="5" t="str">
        <f>IFERROR(__xludf.DUMMYFUNCTION("""COMPUTED_VALUE"""),"Yes")</f>
        <v>Yes</v>
      </c>
      <c r="Q801" s="5" t="str">
        <f>IFERROR(__xludf.DUMMYFUNCTION("""COMPUTED_VALUE"""),"Yes")</f>
        <v>Yes</v>
      </c>
      <c r="R801" s="5" t="str">
        <f>IFERROR(__xludf.DUMMYFUNCTION("""COMPUTED_VALUE"""),"No")</f>
        <v>No</v>
      </c>
      <c r="S801" s="5" t="str">
        <f>IFERROR(__xludf.DUMMYFUNCTION("""COMPUTED_VALUE"""),"No")</f>
        <v>No</v>
      </c>
      <c r="T801" s="5" t="str">
        <f>IFERROR(__xludf.DUMMYFUNCTION("""COMPUTED_VALUE"""),"No")</f>
        <v>No</v>
      </c>
      <c r="U801" s="5" t="str">
        <f>IFERROR(__xludf.DUMMYFUNCTION("""COMPUTED_VALUE"""),"No")</f>
        <v>No</v>
      </c>
      <c r="V801" s="5" t="str">
        <f>IFERROR(__xludf.DUMMYFUNCTION("""COMPUTED_VALUE"""),"No")</f>
        <v>No</v>
      </c>
      <c r="W801" s="5" t="str">
        <f>IFERROR(__xludf.DUMMYFUNCTION("""COMPUTED_VALUE"""),"No")</f>
        <v>No</v>
      </c>
      <c r="X801" s="5" t="str">
        <f>IFERROR(__xludf.DUMMYFUNCTION("""COMPUTED_VALUE"""),"No")</f>
        <v>No</v>
      </c>
      <c r="Y801" s="5" t="str">
        <f>IFERROR(__xludf.DUMMYFUNCTION("""COMPUTED_VALUE"""),"No")</f>
        <v>No</v>
      </c>
      <c r="Z801" s="5" t="str">
        <f>IFERROR(__xludf.DUMMYFUNCTION("""COMPUTED_VALUE"""),"No")</f>
        <v>No</v>
      </c>
      <c r="AA801" s="5" t="str">
        <f>IFERROR(__xludf.DUMMYFUNCTION("""COMPUTED_VALUE"""),"No")</f>
        <v>No</v>
      </c>
      <c r="AB801" s="5" t="str">
        <f>IFERROR(__xludf.DUMMYFUNCTION("""COMPUTED_VALUE"""),"Yes")</f>
        <v>Yes</v>
      </c>
      <c r="AC801" s="5" t="str">
        <f>IFERROR(__xludf.DUMMYFUNCTION("""COMPUTED_VALUE"""),"No")</f>
        <v>No</v>
      </c>
    </row>
    <row r="802">
      <c r="A802" s="5" t="str">
        <f>IFERROR(__xludf.DUMMYFUNCTION("""COMPUTED_VALUE"""),"PlayNet27WildStacksExtreme")</f>
        <v>PlayNet27WildStacksExtreme</v>
      </c>
      <c r="B802" s="5" t="str">
        <f>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02" s="5" t="str">
        <f>IFERROR(__xludf.DUMMYFUNCTION("""COMPUTED_VALUE"""),"Yes")</f>
        <v>Yes</v>
      </c>
      <c r="D802" s="5" t="str">
        <f>IFERROR(__xludf.DUMMYFUNCTION("""COMPUTED_VALUE"""),"Yes")</f>
        <v>Yes</v>
      </c>
      <c r="E802" s="5" t="str">
        <f>IFERROR(__xludf.DUMMYFUNCTION("""COMPUTED_VALUE"""),"No")</f>
        <v>No</v>
      </c>
      <c r="F802" s="5" t="str">
        <f>IFERROR(__xludf.DUMMYFUNCTION("""COMPUTED_VALUE"""),"Yes")</f>
        <v>Yes</v>
      </c>
      <c r="G802" s="5" t="str">
        <f>IFERROR(__xludf.DUMMYFUNCTION("""COMPUTED_VALUE"""),"Yes")</f>
        <v>Yes</v>
      </c>
      <c r="H802" s="5" t="str">
        <f>IFERROR(__xludf.DUMMYFUNCTION("""COMPUTED_VALUE"""),"Yes")</f>
        <v>Yes</v>
      </c>
      <c r="I802" s="5" t="str">
        <f>IFERROR(__xludf.DUMMYFUNCTION("""COMPUTED_VALUE"""),"Yes")</f>
        <v>Yes</v>
      </c>
      <c r="J802" s="5" t="str">
        <f>IFERROR(__xludf.DUMMYFUNCTION("""COMPUTED_VALUE"""),"Yes")</f>
        <v>Yes</v>
      </c>
      <c r="K802" s="5" t="str">
        <f>IFERROR(__xludf.DUMMYFUNCTION("""COMPUTED_VALUE"""),"Yes")</f>
        <v>Yes</v>
      </c>
      <c r="L802" s="5" t="str">
        <f>IFERROR(__xludf.DUMMYFUNCTION("""COMPUTED_VALUE"""),"Yes")</f>
        <v>Yes</v>
      </c>
      <c r="M802" s="5" t="str">
        <f>IFERROR(__xludf.DUMMYFUNCTION("""COMPUTED_VALUE"""),"Yes")</f>
        <v>Yes</v>
      </c>
      <c r="N802" s="5" t="str">
        <f>IFERROR(__xludf.DUMMYFUNCTION("""COMPUTED_VALUE"""),"Yes")</f>
        <v>Yes</v>
      </c>
      <c r="O802" s="5" t="str">
        <f>IFERROR(__xludf.DUMMYFUNCTION("""COMPUTED_VALUE"""),"Yes")</f>
        <v>Yes</v>
      </c>
      <c r="P802" s="5" t="str">
        <f>IFERROR(__xludf.DUMMYFUNCTION("""COMPUTED_VALUE"""),"Yes")</f>
        <v>Yes</v>
      </c>
      <c r="Q802" s="5" t="str">
        <f>IFERROR(__xludf.DUMMYFUNCTION("""COMPUTED_VALUE"""),"Yes")</f>
        <v>Yes</v>
      </c>
      <c r="R802" s="5" t="str">
        <f>IFERROR(__xludf.DUMMYFUNCTION("""COMPUTED_VALUE"""),"No")</f>
        <v>No</v>
      </c>
      <c r="S802" s="5" t="str">
        <f>IFERROR(__xludf.DUMMYFUNCTION("""COMPUTED_VALUE"""),"No")</f>
        <v>No</v>
      </c>
      <c r="T802" s="5" t="str">
        <f>IFERROR(__xludf.DUMMYFUNCTION("""COMPUTED_VALUE"""),"No")</f>
        <v>No</v>
      </c>
      <c r="U802" s="5" t="str">
        <f>IFERROR(__xludf.DUMMYFUNCTION("""COMPUTED_VALUE"""),"No")</f>
        <v>No</v>
      </c>
      <c r="V802" s="5" t="str">
        <f>IFERROR(__xludf.DUMMYFUNCTION("""COMPUTED_VALUE"""),"No")</f>
        <v>No</v>
      </c>
      <c r="W802" s="5" t="str">
        <f>IFERROR(__xludf.DUMMYFUNCTION("""COMPUTED_VALUE"""),"No")</f>
        <v>No</v>
      </c>
      <c r="X802" s="5" t="str">
        <f>IFERROR(__xludf.DUMMYFUNCTION("""COMPUTED_VALUE"""),"No")</f>
        <v>No</v>
      </c>
      <c r="Y802" s="5" t="str">
        <f>IFERROR(__xludf.DUMMYFUNCTION("""COMPUTED_VALUE"""),"No")</f>
        <v>No</v>
      </c>
      <c r="Z802" s="5" t="str">
        <f>IFERROR(__xludf.DUMMYFUNCTION("""COMPUTED_VALUE"""),"No")</f>
        <v>No</v>
      </c>
      <c r="AA802" s="5" t="str">
        <f>IFERROR(__xludf.DUMMYFUNCTION("""COMPUTED_VALUE"""),"No")</f>
        <v>No</v>
      </c>
      <c r="AB802" s="5" t="str">
        <f>IFERROR(__xludf.DUMMYFUNCTION("""COMPUTED_VALUE"""),"Yes")</f>
        <v>Yes</v>
      </c>
      <c r="AC802" s="5" t="str">
        <f>IFERROR(__xludf.DUMMYFUNCTION("""COMPUTED_VALUE"""),"No")</f>
        <v>No</v>
      </c>
    </row>
    <row r="803">
      <c r="A803" s="5" t="str">
        <f>IFERROR(__xludf.DUMMYFUNCTION("""COMPUTED_VALUE"""),"RedstoneLuckyLuckyBells")</f>
        <v>RedstoneLuckyLuckyBells</v>
      </c>
      <c r="B803" s="5" t="str">
        <f>IFERROR(__xludf.DUMMYFUNCTION("""COMPUTED_VALUE"""),"")</f>
        <v/>
      </c>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row>
    <row r="804">
      <c r="A804" s="5" t="str">
        <f>IFERROR(__xludf.DUMMYFUNCTION("""COMPUTED_VALUE"""),"RedstoneCloverFire1000")</f>
        <v>RedstoneCloverFire1000</v>
      </c>
      <c r="B804"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4" s="5" t="str">
        <f>IFERROR(__xludf.DUMMYFUNCTION("""COMPUTED_VALUE"""),"Yes")</f>
        <v>Yes</v>
      </c>
      <c r="D804" s="5" t="str">
        <f>IFERROR(__xludf.DUMMYFUNCTION("""COMPUTED_VALUE"""),"Yes")</f>
        <v>Yes</v>
      </c>
      <c r="E804" s="5" t="str">
        <f>IFERROR(__xludf.DUMMYFUNCTION("""COMPUTED_VALUE"""),"Yes")</f>
        <v>Yes</v>
      </c>
      <c r="F804" s="5" t="str">
        <f>IFERROR(__xludf.DUMMYFUNCTION("""COMPUTED_VALUE"""),"Yes")</f>
        <v>Yes</v>
      </c>
      <c r="G804" s="5" t="str">
        <f>IFERROR(__xludf.DUMMYFUNCTION("""COMPUTED_VALUE"""),"Yes")</f>
        <v>Yes</v>
      </c>
      <c r="H804" s="5" t="str">
        <f>IFERROR(__xludf.DUMMYFUNCTION("""COMPUTED_VALUE"""),"Yes")</f>
        <v>Yes</v>
      </c>
      <c r="I804" s="5" t="str">
        <f>IFERROR(__xludf.DUMMYFUNCTION("""COMPUTED_VALUE"""),"Yes")</f>
        <v>Yes</v>
      </c>
      <c r="J804" s="5" t="str">
        <f>IFERROR(__xludf.DUMMYFUNCTION("""COMPUTED_VALUE"""),"Yes")</f>
        <v>Yes</v>
      </c>
      <c r="K804" s="5" t="str">
        <f>IFERROR(__xludf.DUMMYFUNCTION("""COMPUTED_VALUE"""),"Yes")</f>
        <v>Yes</v>
      </c>
      <c r="L804" s="5" t="str">
        <f>IFERROR(__xludf.DUMMYFUNCTION("""COMPUTED_VALUE"""),"Yes")</f>
        <v>Yes</v>
      </c>
      <c r="M804" s="5" t="str">
        <f>IFERROR(__xludf.DUMMYFUNCTION("""COMPUTED_VALUE"""),"Yes")</f>
        <v>Yes</v>
      </c>
      <c r="N804" s="5" t="str">
        <f>IFERROR(__xludf.DUMMYFUNCTION("""COMPUTED_VALUE"""),"Yes")</f>
        <v>Yes</v>
      </c>
      <c r="O804" s="5" t="str">
        <f>IFERROR(__xludf.DUMMYFUNCTION("""COMPUTED_VALUE"""),"Yes")</f>
        <v>Yes</v>
      </c>
      <c r="P804" s="5" t="str">
        <f>IFERROR(__xludf.DUMMYFUNCTION("""COMPUTED_VALUE"""),"Yes")</f>
        <v>Yes</v>
      </c>
      <c r="Q804" s="5" t="str">
        <f>IFERROR(__xludf.DUMMYFUNCTION("""COMPUTED_VALUE"""),"Yes")</f>
        <v>Yes</v>
      </c>
      <c r="R804" s="5" t="str">
        <f>IFERROR(__xludf.DUMMYFUNCTION("""COMPUTED_VALUE"""),"No")</f>
        <v>No</v>
      </c>
      <c r="S804" s="5" t="str">
        <f>IFERROR(__xludf.DUMMYFUNCTION("""COMPUTED_VALUE"""),"No")</f>
        <v>No</v>
      </c>
      <c r="T804" s="5" t="str">
        <f>IFERROR(__xludf.DUMMYFUNCTION("""COMPUTED_VALUE"""),"No")</f>
        <v>No</v>
      </c>
      <c r="U804" s="5" t="str">
        <f>IFERROR(__xludf.DUMMYFUNCTION("""COMPUTED_VALUE"""),"No")</f>
        <v>No</v>
      </c>
      <c r="V804" s="5" t="str">
        <f>IFERROR(__xludf.DUMMYFUNCTION("""COMPUTED_VALUE"""),"No")</f>
        <v>No</v>
      </c>
      <c r="W804" s="5" t="str">
        <f>IFERROR(__xludf.DUMMYFUNCTION("""COMPUTED_VALUE"""),"No")</f>
        <v>No</v>
      </c>
      <c r="X804" s="5" t="str">
        <f>IFERROR(__xludf.DUMMYFUNCTION("""COMPUTED_VALUE"""),"Yes")</f>
        <v>Yes</v>
      </c>
      <c r="Y804" s="5" t="str">
        <f>IFERROR(__xludf.DUMMYFUNCTION("""COMPUTED_VALUE"""),"No")</f>
        <v>No</v>
      </c>
      <c r="Z804" s="5" t="str">
        <f>IFERROR(__xludf.DUMMYFUNCTION("""COMPUTED_VALUE"""),"No")</f>
        <v>No</v>
      </c>
      <c r="AA804" s="5" t="str">
        <f>IFERROR(__xludf.DUMMYFUNCTION("""COMPUTED_VALUE"""),"No")</f>
        <v>No</v>
      </c>
      <c r="AB804" s="5" t="str">
        <f>IFERROR(__xludf.DUMMYFUNCTION("""COMPUTED_VALUE"""),"Yes")</f>
        <v>Yes</v>
      </c>
      <c r="AC804" s="5" t="str">
        <f>IFERROR(__xludf.DUMMYFUNCTION("""COMPUTED_VALUE"""),"No")</f>
        <v>No</v>
      </c>
    </row>
    <row r="805">
      <c r="A805" s="5" t="str">
        <f>IFERROR(__xludf.DUMMYFUNCTION("""COMPUTED_VALUE"""),"RedstoneWildHeart1000")</f>
        <v>RedstoneWildHeart1000</v>
      </c>
      <c r="B805"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5" s="5" t="str">
        <f>IFERROR(__xludf.DUMMYFUNCTION("""COMPUTED_VALUE"""),"Yes")</f>
        <v>Yes</v>
      </c>
      <c r="D805" s="5" t="str">
        <f>IFERROR(__xludf.DUMMYFUNCTION("""COMPUTED_VALUE"""),"Yes")</f>
        <v>Yes</v>
      </c>
      <c r="E805" s="5" t="str">
        <f>IFERROR(__xludf.DUMMYFUNCTION("""COMPUTED_VALUE"""),"Yes")</f>
        <v>Yes</v>
      </c>
      <c r="F805" s="5" t="str">
        <f>IFERROR(__xludf.DUMMYFUNCTION("""COMPUTED_VALUE"""),"Yes")</f>
        <v>Yes</v>
      </c>
      <c r="G805" s="5" t="str">
        <f>IFERROR(__xludf.DUMMYFUNCTION("""COMPUTED_VALUE"""),"Yes")</f>
        <v>Yes</v>
      </c>
      <c r="H805" s="5" t="str">
        <f>IFERROR(__xludf.DUMMYFUNCTION("""COMPUTED_VALUE"""),"Yes")</f>
        <v>Yes</v>
      </c>
      <c r="I805" s="5" t="str">
        <f>IFERROR(__xludf.DUMMYFUNCTION("""COMPUTED_VALUE"""),"Yes")</f>
        <v>Yes</v>
      </c>
      <c r="J805" s="5" t="str">
        <f>IFERROR(__xludf.DUMMYFUNCTION("""COMPUTED_VALUE"""),"Yes")</f>
        <v>Yes</v>
      </c>
      <c r="K805" s="5" t="str">
        <f>IFERROR(__xludf.DUMMYFUNCTION("""COMPUTED_VALUE"""),"Yes")</f>
        <v>Yes</v>
      </c>
      <c r="L805" s="5" t="str">
        <f>IFERROR(__xludf.DUMMYFUNCTION("""COMPUTED_VALUE"""),"Yes")</f>
        <v>Yes</v>
      </c>
      <c r="M805" s="5" t="str">
        <f>IFERROR(__xludf.DUMMYFUNCTION("""COMPUTED_VALUE"""),"Yes")</f>
        <v>Yes</v>
      </c>
      <c r="N805" s="5" t="str">
        <f>IFERROR(__xludf.DUMMYFUNCTION("""COMPUTED_VALUE"""),"Yes")</f>
        <v>Yes</v>
      </c>
      <c r="O805" s="5" t="str">
        <f>IFERROR(__xludf.DUMMYFUNCTION("""COMPUTED_VALUE"""),"Yes")</f>
        <v>Yes</v>
      </c>
      <c r="P805" s="5" t="str">
        <f>IFERROR(__xludf.DUMMYFUNCTION("""COMPUTED_VALUE"""),"Yes")</f>
        <v>Yes</v>
      </c>
      <c r="Q805" s="5" t="str">
        <f>IFERROR(__xludf.DUMMYFUNCTION("""COMPUTED_VALUE"""),"Yes")</f>
        <v>Yes</v>
      </c>
      <c r="R805" s="5" t="str">
        <f>IFERROR(__xludf.DUMMYFUNCTION("""COMPUTED_VALUE"""),"No")</f>
        <v>No</v>
      </c>
      <c r="S805" s="5" t="str">
        <f>IFERROR(__xludf.DUMMYFUNCTION("""COMPUTED_VALUE"""),"No")</f>
        <v>No</v>
      </c>
      <c r="T805" s="5" t="str">
        <f>IFERROR(__xludf.DUMMYFUNCTION("""COMPUTED_VALUE"""),"No")</f>
        <v>No</v>
      </c>
      <c r="U805" s="5" t="str">
        <f>IFERROR(__xludf.DUMMYFUNCTION("""COMPUTED_VALUE"""),"No")</f>
        <v>No</v>
      </c>
      <c r="V805" s="5" t="str">
        <f>IFERROR(__xludf.DUMMYFUNCTION("""COMPUTED_VALUE"""),"No")</f>
        <v>No</v>
      </c>
      <c r="W805" s="5" t="str">
        <f>IFERROR(__xludf.DUMMYFUNCTION("""COMPUTED_VALUE"""),"No")</f>
        <v>No</v>
      </c>
      <c r="X805" s="5" t="str">
        <f>IFERROR(__xludf.DUMMYFUNCTION("""COMPUTED_VALUE"""),"Yes")</f>
        <v>Yes</v>
      </c>
      <c r="Y805" s="5" t="str">
        <f>IFERROR(__xludf.DUMMYFUNCTION("""COMPUTED_VALUE"""),"No")</f>
        <v>No</v>
      </c>
      <c r="Z805" s="5" t="str">
        <f>IFERROR(__xludf.DUMMYFUNCTION("""COMPUTED_VALUE"""),"No")</f>
        <v>No</v>
      </c>
      <c r="AA805" s="5" t="str">
        <f>IFERROR(__xludf.DUMMYFUNCTION("""COMPUTED_VALUE"""),"No")</f>
        <v>No</v>
      </c>
      <c r="AB805" s="5" t="str">
        <f>IFERROR(__xludf.DUMMYFUNCTION("""COMPUTED_VALUE"""),"Yes")</f>
        <v>Yes</v>
      </c>
      <c r="AC805" s="5" t="str">
        <f>IFERROR(__xludf.DUMMYFUNCTION("""COMPUTED_VALUE"""),"No")</f>
        <v>No</v>
      </c>
    </row>
    <row r="806">
      <c r="A806" s="5" t="str">
        <f>IFERROR(__xludf.DUMMYFUNCTION("""COMPUTED_VALUE"""),"RedstoneWildCrown1000")</f>
        <v>RedstoneWildCrown1000</v>
      </c>
      <c r="B806" s="5" t="str">
        <f>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6" s="5" t="str">
        <f>IFERROR(__xludf.DUMMYFUNCTION("""COMPUTED_VALUE"""),"Yes")</f>
        <v>Yes</v>
      </c>
      <c r="D806" s="5" t="str">
        <f>IFERROR(__xludf.DUMMYFUNCTION("""COMPUTED_VALUE"""),"Yes")</f>
        <v>Yes</v>
      </c>
      <c r="E806" s="5" t="str">
        <f>IFERROR(__xludf.DUMMYFUNCTION("""COMPUTED_VALUE"""),"Yes")</f>
        <v>Yes</v>
      </c>
      <c r="F806" s="5" t="str">
        <f>IFERROR(__xludf.DUMMYFUNCTION("""COMPUTED_VALUE"""),"Yes")</f>
        <v>Yes</v>
      </c>
      <c r="G806" s="5" t="str">
        <f>IFERROR(__xludf.DUMMYFUNCTION("""COMPUTED_VALUE"""),"Yes")</f>
        <v>Yes</v>
      </c>
      <c r="H806" s="5" t="str">
        <f>IFERROR(__xludf.DUMMYFUNCTION("""COMPUTED_VALUE"""),"Yes")</f>
        <v>Yes</v>
      </c>
      <c r="I806" s="5" t="str">
        <f>IFERROR(__xludf.DUMMYFUNCTION("""COMPUTED_VALUE"""),"Yes")</f>
        <v>Yes</v>
      </c>
      <c r="J806" s="5" t="str">
        <f>IFERROR(__xludf.DUMMYFUNCTION("""COMPUTED_VALUE"""),"Yes")</f>
        <v>Yes</v>
      </c>
      <c r="K806" s="5" t="str">
        <f>IFERROR(__xludf.DUMMYFUNCTION("""COMPUTED_VALUE"""),"Yes")</f>
        <v>Yes</v>
      </c>
      <c r="L806" s="5" t="str">
        <f>IFERROR(__xludf.DUMMYFUNCTION("""COMPUTED_VALUE"""),"Yes")</f>
        <v>Yes</v>
      </c>
      <c r="M806" s="5" t="str">
        <f>IFERROR(__xludf.DUMMYFUNCTION("""COMPUTED_VALUE"""),"Yes")</f>
        <v>Yes</v>
      </c>
      <c r="N806" s="5" t="str">
        <f>IFERROR(__xludf.DUMMYFUNCTION("""COMPUTED_VALUE"""),"Yes")</f>
        <v>Yes</v>
      </c>
      <c r="O806" s="5" t="str">
        <f>IFERROR(__xludf.DUMMYFUNCTION("""COMPUTED_VALUE"""),"Yes")</f>
        <v>Yes</v>
      </c>
      <c r="P806" s="5" t="str">
        <f>IFERROR(__xludf.DUMMYFUNCTION("""COMPUTED_VALUE"""),"Yes")</f>
        <v>Yes</v>
      </c>
      <c r="Q806" s="5" t="str">
        <f>IFERROR(__xludf.DUMMYFUNCTION("""COMPUTED_VALUE"""),"Yes")</f>
        <v>Yes</v>
      </c>
      <c r="R806" s="5" t="str">
        <f>IFERROR(__xludf.DUMMYFUNCTION("""COMPUTED_VALUE"""),"No")</f>
        <v>No</v>
      </c>
      <c r="S806" s="5" t="str">
        <f>IFERROR(__xludf.DUMMYFUNCTION("""COMPUTED_VALUE"""),"No")</f>
        <v>No</v>
      </c>
      <c r="T806" s="5" t="str">
        <f>IFERROR(__xludf.DUMMYFUNCTION("""COMPUTED_VALUE"""),"No")</f>
        <v>No</v>
      </c>
      <c r="U806" s="5" t="str">
        <f>IFERROR(__xludf.DUMMYFUNCTION("""COMPUTED_VALUE"""),"No")</f>
        <v>No</v>
      </c>
      <c r="V806" s="5" t="str">
        <f>IFERROR(__xludf.DUMMYFUNCTION("""COMPUTED_VALUE"""),"No")</f>
        <v>No</v>
      </c>
      <c r="W806" s="5" t="str">
        <f>IFERROR(__xludf.DUMMYFUNCTION("""COMPUTED_VALUE"""),"No")</f>
        <v>No</v>
      </c>
      <c r="X806" s="5" t="str">
        <f>IFERROR(__xludf.DUMMYFUNCTION("""COMPUTED_VALUE"""),"Yes")</f>
        <v>Yes</v>
      </c>
      <c r="Y806" s="5" t="str">
        <f>IFERROR(__xludf.DUMMYFUNCTION("""COMPUTED_VALUE"""),"No")</f>
        <v>No</v>
      </c>
      <c r="Z806" s="5" t="str">
        <f>IFERROR(__xludf.DUMMYFUNCTION("""COMPUTED_VALUE"""),"No")</f>
        <v>No</v>
      </c>
      <c r="AA806" s="5" t="str">
        <f>IFERROR(__xludf.DUMMYFUNCTION("""COMPUTED_VALUE"""),"No")</f>
        <v>No</v>
      </c>
      <c r="AB806" s="5" t="str">
        <f>IFERROR(__xludf.DUMMYFUNCTION("""COMPUTED_VALUE"""),"Yes")</f>
        <v>Yes</v>
      </c>
      <c r="AC806" s="5" t="str">
        <f>IFERROR(__xludf.DUMMYFUNCTION("""COMPUTED_VALUE"""),"No")</f>
        <v>No</v>
      </c>
    </row>
    <row r="807">
      <c r="A807" s="5" t="str">
        <f>IFERROR(__xludf.DUMMYFUNCTION("""COMPUTED_VALUE"""),"Clover81")</f>
        <v>Clover81</v>
      </c>
      <c r="B807"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807" s="5" t="str">
        <f>IFERROR(__xludf.DUMMYFUNCTION("""COMPUTED_VALUE"""),"Yes")</f>
        <v>Yes</v>
      </c>
      <c r="D807" s="5" t="str">
        <f>IFERROR(__xludf.DUMMYFUNCTION("""COMPUTED_VALUE"""),"Yes")</f>
        <v>Yes</v>
      </c>
      <c r="E807" s="5" t="str">
        <f>IFERROR(__xludf.DUMMYFUNCTION("""COMPUTED_VALUE"""),"Yes")</f>
        <v>Yes</v>
      </c>
      <c r="F807" s="5" t="str">
        <f>IFERROR(__xludf.DUMMYFUNCTION("""COMPUTED_VALUE"""),"Yes")</f>
        <v>Yes</v>
      </c>
      <c r="G807" s="5" t="str">
        <f>IFERROR(__xludf.DUMMYFUNCTION("""COMPUTED_VALUE"""),"Yes")</f>
        <v>Yes</v>
      </c>
      <c r="H807" s="5" t="str">
        <f>IFERROR(__xludf.DUMMYFUNCTION("""COMPUTED_VALUE"""),"Yes")</f>
        <v>Yes</v>
      </c>
      <c r="I807" s="5" t="str">
        <f>IFERROR(__xludf.DUMMYFUNCTION("""COMPUTED_VALUE"""),"Yes")</f>
        <v>Yes</v>
      </c>
      <c r="J807" s="5" t="str">
        <f>IFERROR(__xludf.DUMMYFUNCTION("""COMPUTED_VALUE"""),"Yes")</f>
        <v>Yes</v>
      </c>
      <c r="K807" s="5" t="str">
        <f>IFERROR(__xludf.DUMMYFUNCTION("""COMPUTED_VALUE"""),"Yes")</f>
        <v>Yes</v>
      </c>
      <c r="L807" s="5" t="str">
        <f>IFERROR(__xludf.DUMMYFUNCTION("""COMPUTED_VALUE"""),"Yes")</f>
        <v>Yes</v>
      </c>
      <c r="M807" s="5" t="str">
        <f>IFERROR(__xludf.DUMMYFUNCTION("""COMPUTED_VALUE"""),"Yes")</f>
        <v>Yes</v>
      </c>
      <c r="N807" s="5" t="str">
        <f>IFERROR(__xludf.DUMMYFUNCTION("""COMPUTED_VALUE"""),"Yes")</f>
        <v>Yes</v>
      </c>
      <c r="O807" s="5" t="str">
        <f>IFERROR(__xludf.DUMMYFUNCTION("""COMPUTED_VALUE"""),"Yes")</f>
        <v>Yes</v>
      </c>
      <c r="P807" s="5" t="str">
        <f>IFERROR(__xludf.DUMMYFUNCTION("""COMPUTED_VALUE"""),"Yes")</f>
        <v>Yes</v>
      </c>
      <c r="Q807" s="5" t="str">
        <f>IFERROR(__xludf.DUMMYFUNCTION("""COMPUTED_VALUE"""),"Yes")</f>
        <v>Yes</v>
      </c>
      <c r="R807" s="5" t="str">
        <f>IFERROR(__xludf.DUMMYFUNCTION("""COMPUTED_VALUE"""),"Yes")</f>
        <v>Yes</v>
      </c>
      <c r="S807" s="5" t="str">
        <f>IFERROR(__xludf.DUMMYFUNCTION("""COMPUTED_VALUE"""),"Yes")</f>
        <v>Yes</v>
      </c>
      <c r="T807" s="5" t="str">
        <f>IFERROR(__xludf.DUMMYFUNCTION("""COMPUTED_VALUE"""),"Yes")</f>
        <v>Yes</v>
      </c>
      <c r="U807" s="5" t="str">
        <f>IFERROR(__xludf.DUMMYFUNCTION("""COMPUTED_VALUE"""),"Yes")</f>
        <v>Yes</v>
      </c>
      <c r="V807" s="5" t="str">
        <f>IFERROR(__xludf.DUMMYFUNCTION("""COMPUTED_VALUE"""),"Yes")</f>
        <v>Yes</v>
      </c>
      <c r="W807" s="5" t="str">
        <f>IFERROR(__xludf.DUMMYFUNCTION("""COMPUTED_VALUE"""),"Yes")</f>
        <v>Yes</v>
      </c>
      <c r="X807" s="5" t="str">
        <f>IFERROR(__xludf.DUMMYFUNCTION("""COMPUTED_VALUE"""),"Yes")</f>
        <v>Yes</v>
      </c>
      <c r="Y807" s="5" t="str">
        <f>IFERROR(__xludf.DUMMYFUNCTION("""COMPUTED_VALUE"""),"Yes")</f>
        <v>Yes</v>
      </c>
      <c r="Z807" s="5" t="str">
        <f>IFERROR(__xludf.DUMMYFUNCTION("""COMPUTED_VALUE"""),"Yes")</f>
        <v>Yes</v>
      </c>
      <c r="AA807" s="5" t="str">
        <f>IFERROR(__xludf.DUMMYFUNCTION("""COMPUTED_VALUE"""),"Yes")</f>
        <v>Yes</v>
      </c>
      <c r="AB807" s="5" t="str">
        <f>IFERROR(__xludf.DUMMYFUNCTION("""COMPUTED_VALUE"""),"Yes")</f>
        <v>Yes</v>
      </c>
      <c r="AC807" s="5" t="str">
        <f>IFERROR(__xludf.DUMMYFUNCTION("""COMPUTED_VALUE"""),"Yes")</f>
        <v>Yes</v>
      </c>
    </row>
    <row r="808">
      <c r="A808" s="5" t="str">
        <f>IFERROR(__xludf.DUMMYFUNCTION("""COMPUTED_VALUE"""),"Clover5")</f>
        <v>Clover5</v>
      </c>
      <c r="B808"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8" s="5" t="str">
        <f>IFERROR(__xludf.DUMMYFUNCTION("""COMPUTED_VALUE"""),"Yes")</f>
        <v>Yes</v>
      </c>
      <c r="D808" s="5" t="str">
        <f>IFERROR(__xludf.DUMMYFUNCTION("""COMPUTED_VALUE"""),"Yes")</f>
        <v>Yes</v>
      </c>
      <c r="E808" s="5" t="str">
        <f>IFERROR(__xludf.DUMMYFUNCTION("""COMPUTED_VALUE"""),"Yes")</f>
        <v>Yes</v>
      </c>
      <c r="F808" s="5" t="str">
        <f>IFERROR(__xludf.DUMMYFUNCTION("""COMPUTED_VALUE"""),"Yes")</f>
        <v>Yes</v>
      </c>
      <c r="G808" s="5" t="str">
        <f>IFERROR(__xludf.DUMMYFUNCTION("""COMPUTED_VALUE"""),"Yes")</f>
        <v>Yes</v>
      </c>
      <c r="H808" s="5" t="str">
        <f>IFERROR(__xludf.DUMMYFUNCTION("""COMPUTED_VALUE"""),"Yes")</f>
        <v>Yes</v>
      </c>
      <c r="I808" s="5" t="str">
        <f>IFERROR(__xludf.DUMMYFUNCTION("""COMPUTED_VALUE"""),"Yes")</f>
        <v>Yes</v>
      </c>
      <c r="J808" s="5" t="str">
        <f>IFERROR(__xludf.DUMMYFUNCTION("""COMPUTED_VALUE"""),"Yes")</f>
        <v>Yes</v>
      </c>
      <c r="K808" s="5" t="str">
        <f>IFERROR(__xludf.DUMMYFUNCTION("""COMPUTED_VALUE"""),"Yes")</f>
        <v>Yes</v>
      </c>
      <c r="L808" s="5" t="str">
        <f>IFERROR(__xludf.DUMMYFUNCTION("""COMPUTED_VALUE"""),"Yes")</f>
        <v>Yes</v>
      </c>
      <c r="M808" s="5" t="str">
        <f>IFERROR(__xludf.DUMMYFUNCTION("""COMPUTED_VALUE"""),"Yes")</f>
        <v>Yes</v>
      </c>
      <c r="N808" s="5" t="str">
        <f>IFERROR(__xludf.DUMMYFUNCTION("""COMPUTED_VALUE"""),"Yes")</f>
        <v>Yes</v>
      </c>
      <c r="O808" s="5" t="str">
        <f>IFERROR(__xludf.DUMMYFUNCTION("""COMPUTED_VALUE"""),"Yes")</f>
        <v>Yes</v>
      </c>
      <c r="P808" s="5" t="str">
        <f>IFERROR(__xludf.DUMMYFUNCTION("""COMPUTED_VALUE"""),"Yes")</f>
        <v>Yes</v>
      </c>
      <c r="Q808" s="5" t="str">
        <f>IFERROR(__xludf.DUMMYFUNCTION("""COMPUTED_VALUE"""),"Yes")</f>
        <v>Yes</v>
      </c>
      <c r="R808" s="5" t="str">
        <f>IFERROR(__xludf.DUMMYFUNCTION("""COMPUTED_VALUE"""),"Yes")</f>
        <v>Yes</v>
      </c>
      <c r="S808" s="5" t="str">
        <f>IFERROR(__xludf.DUMMYFUNCTION("""COMPUTED_VALUE"""),"Yes")</f>
        <v>Yes</v>
      </c>
      <c r="T808" s="5" t="str">
        <f>IFERROR(__xludf.DUMMYFUNCTION("""COMPUTED_VALUE"""),"Yes")</f>
        <v>Yes</v>
      </c>
      <c r="U808" s="5" t="str">
        <f>IFERROR(__xludf.DUMMYFUNCTION("""COMPUTED_VALUE"""),"Yes")</f>
        <v>Yes</v>
      </c>
      <c r="V808" s="5" t="str">
        <f>IFERROR(__xludf.DUMMYFUNCTION("""COMPUTED_VALUE"""),"Yes")</f>
        <v>Yes</v>
      </c>
      <c r="W808" s="5" t="str">
        <f>IFERROR(__xludf.DUMMYFUNCTION("""COMPUTED_VALUE"""),"Yes")</f>
        <v>Yes</v>
      </c>
      <c r="X808" s="5" t="str">
        <f>IFERROR(__xludf.DUMMYFUNCTION("""COMPUTED_VALUE"""),"Yes")</f>
        <v>Yes</v>
      </c>
      <c r="Y808" s="5" t="str">
        <f>IFERROR(__xludf.DUMMYFUNCTION("""COMPUTED_VALUE"""),"Yes")</f>
        <v>Yes</v>
      </c>
      <c r="Z808" s="5" t="str">
        <f>IFERROR(__xludf.DUMMYFUNCTION("""COMPUTED_VALUE"""),"Yes")</f>
        <v>Yes</v>
      </c>
      <c r="AA808" s="5" t="str">
        <f>IFERROR(__xludf.DUMMYFUNCTION("""COMPUTED_VALUE"""),"Yes")</f>
        <v>Yes</v>
      </c>
      <c r="AB808" s="5" t="str">
        <f>IFERROR(__xludf.DUMMYFUNCTION("""COMPUTED_VALUE"""),"Yes")</f>
        <v>Yes</v>
      </c>
      <c r="AC808" s="5" t="str">
        <f>IFERROR(__xludf.DUMMYFUNCTION("""COMPUTED_VALUE"""),"No")</f>
        <v>No</v>
      </c>
    </row>
    <row r="809">
      <c r="A809" s="5" t="str">
        <f>IFERROR(__xludf.DUMMYFUNCTION("""COMPUTED_VALUE"""),"Clover10")</f>
        <v>Clover10</v>
      </c>
      <c r="B809"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9" s="5" t="str">
        <f>IFERROR(__xludf.DUMMYFUNCTION("""COMPUTED_VALUE"""),"Yes")</f>
        <v>Yes</v>
      </c>
      <c r="D809" s="5" t="str">
        <f>IFERROR(__xludf.DUMMYFUNCTION("""COMPUTED_VALUE"""),"Yes")</f>
        <v>Yes</v>
      </c>
      <c r="E809" s="5" t="str">
        <f>IFERROR(__xludf.DUMMYFUNCTION("""COMPUTED_VALUE"""),"Yes")</f>
        <v>Yes</v>
      </c>
      <c r="F809" s="5" t="str">
        <f>IFERROR(__xludf.DUMMYFUNCTION("""COMPUTED_VALUE"""),"Yes")</f>
        <v>Yes</v>
      </c>
      <c r="G809" s="5" t="str">
        <f>IFERROR(__xludf.DUMMYFUNCTION("""COMPUTED_VALUE"""),"Yes")</f>
        <v>Yes</v>
      </c>
      <c r="H809" s="5" t="str">
        <f>IFERROR(__xludf.DUMMYFUNCTION("""COMPUTED_VALUE"""),"Yes")</f>
        <v>Yes</v>
      </c>
      <c r="I809" s="5" t="str">
        <f>IFERROR(__xludf.DUMMYFUNCTION("""COMPUTED_VALUE"""),"Yes")</f>
        <v>Yes</v>
      </c>
      <c r="J809" s="5" t="str">
        <f>IFERROR(__xludf.DUMMYFUNCTION("""COMPUTED_VALUE"""),"Yes")</f>
        <v>Yes</v>
      </c>
      <c r="K809" s="5" t="str">
        <f>IFERROR(__xludf.DUMMYFUNCTION("""COMPUTED_VALUE"""),"Yes")</f>
        <v>Yes</v>
      </c>
      <c r="L809" s="5" t="str">
        <f>IFERROR(__xludf.DUMMYFUNCTION("""COMPUTED_VALUE"""),"Yes")</f>
        <v>Yes</v>
      </c>
      <c r="M809" s="5" t="str">
        <f>IFERROR(__xludf.DUMMYFUNCTION("""COMPUTED_VALUE"""),"Yes")</f>
        <v>Yes</v>
      </c>
      <c r="N809" s="5" t="str">
        <f>IFERROR(__xludf.DUMMYFUNCTION("""COMPUTED_VALUE"""),"Yes")</f>
        <v>Yes</v>
      </c>
      <c r="O809" s="5" t="str">
        <f>IFERROR(__xludf.DUMMYFUNCTION("""COMPUTED_VALUE"""),"Yes")</f>
        <v>Yes</v>
      </c>
      <c r="P809" s="5" t="str">
        <f>IFERROR(__xludf.DUMMYFUNCTION("""COMPUTED_VALUE"""),"Yes")</f>
        <v>Yes</v>
      </c>
      <c r="Q809" s="5" t="str">
        <f>IFERROR(__xludf.DUMMYFUNCTION("""COMPUTED_VALUE"""),"Yes")</f>
        <v>Yes</v>
      </c>
      <c r="R809" s="5" t="str">
        <f>IFERROR(__xludf.DUMMYFUNCTION("""COMPUTED_VALUE"""),"Yes")</f>
        <v>Yes</v>
      </c>
      <c r="S809" s="5" t="str">
        <f>IFERROR(__xludf.DUMMYFUNCTION("""COMPUTED_VALUE"""),"Yes")</f>
        <v>Yes</v>
      </c>
      <c r="T809" s="5" t="str">
        <f>IFERROR(__xludf.DUMMYFUNCTION("""COMPUTED_VALUE"""),"Yes")</f>
        <v>Yes</v>
      </c>
      <c r="U809" s="5" t="str">
        <f>IFERROR(__xludf.DUMMYFUNCTION("""COMPUTED_VALUE"""),"Yes")</f>
        <v>Yes</v>
      </c>
      <c r="V809" s="5" t="str">
        <f>IFERROR(__xludf.DUMMYFUNCTION("""COMPUTED_VALUE"""),"Yes")</f>
        <v>Yes</v>
      </c>
      <c r="W809" s="5" t="str">
        <f>IFERROR(__xludf.DUMMYFUNCTION("""COMPUTED_VALUE"""),"Yes")</f>
        <v>Yes</v>
      </c>
      <c r="X809" s="5" t="str">
        <f>IFERROR(__xludf.DUMMYFUNCTION("""COMPUTED_VALUE"""),"Yes")</f>
        <v>Yes</v>
      </c>
      <c r="Y809" s="5" t="str">
        <f>IFERROR(__xludf.DUMMYFUNCTION("""COMPUTED_VALUE"""),"Yes")</f>
        <v>Yes</v>
      </c>
      <c r="Z809" s="5" t="str">
        <f>IFERROR(__xludf.DUMMYFUNCTION("""COMPUTED_VALUE"""),"Yes")</f>
        <v>Yes</v>
      </c>
      <c r="AA809" s="5" t="str">
        <f>IFERROR(__xludf.DUMMYFUNCTION("""COMPUTED_VALUE"""),"Yes")</f>
        <v>Yes</v>
      </c>
      <c r="AB809" s="5" t="str">
        <f>IFERROR(__xludf.DUMMYFUNCTION("""COMPUTED_VALUE"""),"Yes")</f>
        <v>Yes</v>
      </c>
      <c r="AC809" s="5" t="str">
        <f>IFERROR(__xludf.DUMMYFUNCTION("""COMPUTED_VALUE"""),"No")</f>
        <v>No</v>
      </c>
    </row>
    <row r="810">
      <c r="A810" s="5" t="str">
        <f>IFERROR(__xludf.DUMMYFUNCTION("""COMPUTED_VALUE"""),"PowerLucky7")</f>
        <v>PowerLucky7</v>
      </c>
      <c r="B810"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0" s="5" t="str">
        <f>IFERROR(__xludf.DUMMYFUNCTION("""COMPUTED_VALUE"""),"Yes")</f>
        <v>Yes</v>
      </c>
      <c r="D810" s="5" t="str">
        <f>IFERROR(__xludf.DUMMYFUNCTION("""COMPUTED_VALUE"""),"Yes")</f>
        <v>Yes</v>
      </c>
      <c r="E810" s="5" t="str">
        <f>IFERROR(__xludf.DUMMYFUNCTION("""COMPUTED_VALUE"""),"Yes")</f>
        <v>Yes</v>
      </c>
      <c r="F810" s="5" t="str">
        <f>IFERROR(__xludf.DUMMYFUNCTION("""COMPUTED_VALUE"""),"Yes")</f>
        <v>Yes</v>
      </c>
      <c r="G810" s="5" t="str">
        <f>IFERROR(__xludf.DUMMYFUNCTION("""COMPUTED_VALUE"""),"Yes")</f>
        <v>Yes</v>
      </c>
      <c r="H810" s="5" t="str">
        <f>IFERROR(__xludf.DUMMYFUNCTION("""COMPUTED_VALUE"""),"Yes")</f>
        <v>Yes</v>
      </c>
      <c r="I810" s="5" t="str">
        <f>IFERROR(__xludf.DUMMYFUNCTION("""COMPUTED_VALUE"""),"Yes")</f>
        <v>Yes</v>
      </c>
      <c r="J810" s="5" t="str">
        <f>IFERROR(__xludf.DUMMYFUNCTION("""COMPUTED_VALUE"""),"Yes")</f>
        <v>Yes</v>
      </c>
      <c r="K810" s="5" t="str">
        <f>IFERROR(__xludf.DUMMYFUNCTION("""COMPUTED_VALUE"""),"Yes")</f>
        <v>Yes</v>
      </c>
      <c r="L810" s="5" t="str">
        <f>IFERROR(__xludf.DUMMYFUNCTION("""COMPUTED_VALUE"""),"Yes")</f>
        <v>Yes</v>
      </c>
      <c r="M810" s="5" t="str">
        <f>IFERROR(__xludf.DUMMYFUNCTION("""COMPUTED_VALUE"""),"Yes")</f>
        <v>Yes</v>
      </c>
      <c r="N810" s="5" t="str">
        <f>IFERROR(__xludf.DUMMYFUNCTION("""COMPUTED_VALUE"""),"Yes")</f>
        <v>Yes</v>
      </c>
      <c r="O810" s="5" t="str">
        <f>IFERROR(__xludf.DUMMYFUNCTION("""COMPUTED_VALUE"""),"Yes")</f>
        <v>Yes</v>
      </c>
      <c r="P810" s="5" t="str">
        <f>IFERROR(__xludf.DUMMYFUNCTION("""COMPUTED_VALUE"""),"Yes")</f>
        <v>Yes</v>
      </c>
      <c r="Q810" s="5" t="str">
        <f>IFERROR(__xludf.DUMMYFUNCTION("""COMPUTED_VALUE"""),"Yes")</f>
        <v>Yes</v>
      </c>
      <c r="R810" s="5" t="str">
        <f>IFERROR(__xludf.DUMMYFUNCTION("""COMPUTED_VALUE"""),"Yes")</f>
        <v>Yes</v>
      </c>
      <c r="S810" s="5" t="str">
        <f>IFERROR(__xludf.DUMMYFUNCTION("""COMPUTED_VALUE"""),"Yes")</f>
        <v>Yes</v>
      </c>
      <c r="T810" s="5" t="str">
        <f>IFERROR(__xludf.DUMMYFUNCTION("""COMPUTED_VALUE"""),"Yes")</f>
        <v>Yes</v>
      </c>
      <c r="U810" s="5" t="str">
        <f>IFERROR(__xludf.DUMMYFUNCTION("""COMPUTED_VALUE"""),"Yes")</f>
        <v>Yes</v>
      </c>
      <c r="V810" s="5" t="str">
        <f>IFERROR(__xludf.DUMMYFUNCTION("""COMPUTED_VALUE"""),"Yes")</f>
        <v>Yes</v>
      </c>
      <c r="W810" s="5" t="str">
        <f>IFERROR(__xludf.DUMMYFUNCTION("""COMPUTED_VALUE"""),"Yes")</f>
        <v>Yes</v>
      </c>
      <c r="X810" s="5" t="str">
        <f>IFERROR(__xludf.DUMMYFUNCTION("""COMPUTED_VALUE"""),"Yes")</f>
        <v>Yes</v>
      </c>
      <c r="Y810" s="5" t="str">
        <f>IFERROR(__xludf.DUMMYFUNCTION("""COMPUTED_VALUE"""),"Yes")</f>
        <v>Yes</v>
      </c>
      <c r="Z810" s="5" t="str">
        <f>IFERROR(__xludf.DUMMYFUNCTION("""COMPUTED_VALUE"""),"Yes")</f>
        <v>Yes</v>
      </c>
      <c r="AA810" s="5" t="str">
        <f>IFERROR(__xludf.DUMMYFUNCTION("""COMPUTED_VALUE"""),"Yes")</f>
        <v>Yes</v>
      </c>
      <c r="AB810" s="5" t="str">
        <f>IFERROR(__xludf.DUMMYFUNCTION("""COMPUTED_VALUE"""),"Yes")</f>
        <v>Yes</v>
      </c>
      <c r="AC810" s="5" t="str">
        <f>IFERROR(__xludf.DUMMYFUNCTION("""COMPUTED_VALUE"""),"No")</f>
        <v>No</v>
      </c>
    </row>
    <row r="811">
      <c r="A811" s="5" t="str">
        <f>IFERROR(__xludf.DUMMYFUNCTION("""COMPUTED_VALUE"""),"RedstoneXBombFire")</f>
        <v>RedstoneXBombFire</v>
      </c>
      <c r="B811"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1" s="5" t="str">
        <f>IFERROR(__xludf.DUMMYFUNCTION("""COMPUTED_VALUE"""),"Yes")</f>
        <v>Yes</v>
      </c>
      <c r="D811" s="5" t="str">
        <f>IFERROR(__xludf.DUMMYFUNCTION("""COMPUTED_VALUE"""),"Yes")</f>
        <v>Yes</v>
      </c>
      <c r="E811" s="5" t="str">
        <f>IFERROR(__xludf.DUMMYFUNCTION("""COMPUTED_VALUE"""),"Yes")</f>
        <v>Yes</v>
      </c>
      <c r="F811" s="5" t="str">
        <f>IFERROR(__xludf.DUMMYFUNCTION("""COMPUTED_VALUE"""),"Yes")</f>
        <v>Yes</v>
      </c>
      <c r="G811" s="5" t="str">
        <f>IFERROR(__xludf.DUMMYFUNCTION("""COMPUTED_VALUE"""),"Yes")</f>
        <v>Yes</v>
      </c>
      <c r="H811" s="5" t="str">
        <f>IFERROR(__xludf.DUMMYFUNCTION("""COMPUTED_VALUE"""),"Yes")</f>
        <v>Yes</v>
      </c>
      <c r="I811" s="5" t="str">
        <f>IFERROR(__xludf.DUMMYFUNCTION("""COMPUTED_VALUE"""),"Yes")</f>
        <v>Yes</v>
      </c>
      <c r="J811" s="5" t="str">
        <f>IFERROR(__xludf.DUMMYFUNCTION("""COMPUTED_VALUE"""),"Yes")</f>
        <v>Yes</v>
      </c>
      <c r="K811" s="5" t="str">
        <f>IFERROR(__xludf.DUMMYFUNCTION("""COMPUTED_VALUE"""),"Yes")</f>
        <v>Yes</v>
      </c>
      <c r="L811" s="5" t="str">
        <f>IFERROR(__xludf.DUMMYFUNCTION("""COMPUTED_VALUE"""),"Yes")</f>
        <v>Yes</v>
      </c>
      <c r="M811" s="5" t="str">
        <f>IFERROR(__xludf.DUMMYFUNCTION("""COMPUTED_VALUE"""),"Yes")</f>
        <v>Yes</v>
      </c>
      <c r="N811" s="5" t="str">
        <f>IFERROR(__xludf.DUMMYFUNCTION("""COMPUTED_VALUE"""),"Yes")</f>
        <v>Yes</v>
      </c>
      <c r="O811" s="5" t="str">
        <f>IFERROR(__xludf.DUMMYFUNCTION("""COMPUTED_VALUE"""),"Yes")</f>
        <v>Yes</v>
      </c>
      <c r="P811" s="5" t="str">
        <f>IFERROR(__xludf.DUMMYFUNCTION("""COMPUTED_VALUE"""),"Yes")</f>
        <v>Yes</v>
      </c>
      <c r="Q811" s="5" t="str">
        <f>IFERROR(__xludf.DUMMYFUNCTION("""COMPUTED_VALUE"""),"Yes")</f>
        <v>Yes</v>
      </c>
      <c r="R811" s="5" t="str">
        <f>IFERROR(__xludf.DUMMYFUNCTION("""COMPUTED_VALUE"""),"Yes")</f>
        <v>Yes</v>
      </c>
      <c r="S811" s="5" t="str">
        <f>IFERROR(__xludf.DUMMYFUNCTION("""COMPUTED_VALUE"""),"Yes")</f>
        <v>Yes</v>
      </c>
      <c r="T811" s="5" t="str">
        <f>IFERROR(__xludf.DUMMYFUNCTION("""COMPUTED_VALUE"""),"Yes")</f>
        <v>Yes</v>
      </c>
      <c r="U811" s="5" t="str">
        <f>IFERROR(__xludf.DUMMYFUNCTION("""COMPUTED_VALUE"""),"Yes")</f>
        <v>Yes</v>
      </c>
      <c r="V811" s="5" t="str">
        <f>IFERROR(__xludf.DUMMYFUNCTION("""COMPUTED_VALUE"""),"Yes")</f>
        <v>Yes</v>
      </c>
      <c r="W811" s="5" t="str">
        <f>IFERROR(__xludf.DUMMYFUNCTION("""COMPUTED_VALUE"""),"Yes")</f>
        <v>Yes</v>
      </c>
      <c r="X811" s="5" t="str">
        <f>IFERROR(__xludf.DUMMYFUNCTION("""COMPUTED_VALUE"""),"Yes")</f>
        <v>Yes</v>
      </c>
      <c r="Y811" s="5" t="str">
        <f>IFERROR(__xludf.DUMMYFUNCTION("""COMPUTED_VALUE"""),"Yes")</f>
        <v>Yes</v>
      </c>
      <c r="Z811" s="5" t="str">
        <f>IFERROR(__xludf.DUMMYFUNCTION("""COMPUTED_VALUE"""),"Yes")</f>
        <v>Yes</v>
      </c>
      <c r="AA811" s="5" t="str">
        <f>IFERROR(__xludf.DUMMYFUNCTION("""COMPUTED_VALUE"""),"Yes")</f>
        <v>Yes</v>
      </c>
      <c r="AB811" s="5" t="str">
        <f>IFERROR(__xludf.DUMMYFUNCTION("""COMPUTED_VALUE"""),"Yes")</f>
        <v>Yes</v>
      </c>
      <c r="AC811" s="5" t="str">
        <f>IFERROR(__xludf.DUMMYFUNCTION("""COMPUTED_VALUE"""),"No")</f>
        <v>No</v>
      </c>
    </row>
    <row r="812">
      <c r="A812" s="5" t="str">
        <f>IFERROR(__xludf.DUMMYFUNCTION("""COMPUTED_VALUE"""),"OctoberHot40")</f>
        <v>OctoberHot40</v>
      </c>
      <c r="B812" s="5" t="str">
        <f>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812" s="5" t="str">
        <f>IFERROR(__xludf.DUMMYFUNCTION("""COMPUTED_VALUE"""),"Yes")</f>
        <v>Yes</v>
      </c>
      <c r="D812" s="5" t="str">
        <f>IFERROR(__xludf.DUMMYFUNCTION("""COMPUTED_VALUE"""),"Yes")</f>
        <v>Yes</v>
      </c>
      <c r="E812" s="5" t="str">
        <f>IFERROR(__xludf.DUMMYFUNCTION("""COMPUTED_VALUE"""),"Yes")</f>
        <v>Yes</v>
      </c>
      <c r="F812" s="5" t="str">
        <f>IFERROR(__xludf.DUMMYFUNCTION("""COMPUTED_VALUE"""),"Yes")</f>
        <v>Yes</v>
      </c>
      <c r="G812" s="5" t="str">
        <f>IFERROR(__xludf.DUMMYFUNCTION("""COMPUTED_VALUE"""),"Yes")</f>
        <v>Yes</v>
      </c>
      <c r="H812" s="5" t="str">
        <f>IFERROR(__xludf.DUMMYFUNCTION("""COMPUTED_VALUE"""),"Yes")</f>
        <v>Yes</v>
      </c>
      <c r="I812" s="5" t="str">
        <f>IFERROR(__xludf.DUMMYFUNCTION("""COMPUTED_VALUE"""),"Yes")</f>
        <v>Yes</v>
      </c>
      <c r="J812" s="5" t="str">
        <f>IFERROR(__xludf.DUMMYFUNCTION("""COMPUTED_VALUE"""),"Yes")</f>
        <v>Yes</v>
      </c>
      <c r="K812" s="5" t="str">
        <f>IFERROR(__xludf.DUMMYFUNCTION("""COMPUTED_VALUE"""),"Yes")</f>
        <v>Yes</v>
      </c>
      <c r="L812" s="5" t="str">
        <f>IFERROR(__xludf.DUMMYFUNCTION("""COMPUTED_VALUE"""),"Yes")</f>
        <v>Yes</v>
      </c>
      <c r="M812" s="5" t="str">
        <f>IFERROR(__xludf.DUMMYFUNCTION("""COMPUTED_VALUE"""),"Yes")</f>
        <v>Yes</v>
      </c>
      <c r="N812" s="5" t="str">
        <f>IFERROR(__xludf.DUMMYFUNCTION("""COMPUTED_VALUE"""),"Yes")</f>
        <v>Yes</v>
      </c>
      <c r="O812" s="5" t="str">
        <f>IFERROR(__xludf.DUMMYFUNCTION("""COMPUTED_VALUE"""),"Yes")</f>
        <v>Yes</v>
      </c>
      <c r="P812" s="5" t="str">
        <f>IFERROR(__xludf.DUMMYFUNCTION("""COMPUTED_VALUE"""),"Yes")</f>
        <v>Yes</v>
      </c>
      <c r="Q812" s="5" t="str">
        <f>IFERROR(__xludf.DUMMYFUNCTION("""COMPUTED_VALUE"""),"Yes")</f>
        <v>Yes</v>
      </c>
      <c r="R812" s="5" t="str">
        <f>IFERROR(__xludf.DUMMYFUNCTION("""COMPUTED_VALUE"""),"Yes")</f>
        <v>Yes</v>
      </c>
      <c r="S812" s="5" t="str">
        <f>IFERROR(__xludf.DUMMYFUNCTION("""COMPUTED_VALUE"""),"Yes")</f>
        <v>Yes</v>
      </c>
      <c r="T812" s="5" t="str">
        <f>IFERROR(__xludf.DUMMYFUNCTION("""COMPUTED_VALUE"""),"Yes")</f>
        <v>Yes</v>
      </c>
      <c r="U812" s="5" t="str">
        <f>IFERROR(__xludf.DUMMYFUNCTION("""COMPUTED_VALUE"""),"Yes")</f>
        <v>Yes</v>
      </c>
      <c r="V812" s="5" t="str">
        <f>IFERROR(__xludf.DUMMYFUNCTION("""COMPUTED_VALUE"""),"Yes")</f>
        <v>Yes</v>
      </c>
      <c r="W812" s="5" t="str">
        <f>IFERROR(__xludf.DUMMYFUNCTION("""COMPUTED_VALUE"""),"Yes")</f>
        <v>Yes</v>
      </c>
      <c r="X812" s="5" t="str">
        <f>IFERROR(__xludf.DUMMYFUNCTION("""COMPUTED_VALUE"""),"Yes")</f>
        <v>Yes</v>
      </c>
      <c r="Y812" s="5" t="str">
        <f>IFERROR(__xludf.DUMMYFUNCTION("""COMPUTED_VALUE"""),"Yes")</f>
        <v>Yes</v>
      </c>
      <c r="Z812" s="5" t="str">
        <f>IFERROR(__xludf.DUMMYFUNCTION("""COMPUTED_VALUE"""),"Yes")</f>
        <v>Yes</v>
      </c>
      <c r="AA812" s="5" t="str">
        <f>IFERROR(__xludf.DUMMYFUNCTION("""COMPUTED_VALUE"""),"Yes")</f>
        <v>Yes</v>
      </c>
      <c r="AB812" s="5" t="str">
        <f>IFERROR(__xludf.DUMMYFUNCTION("""COMPUTED_VALUE"""),"Yes")</f>
        <v>Yes</v>
      </c>
      <c r="AC812" s="5" t="str">
        <f>IFERROR(__xludf.DUMMYFUNCTION("""COMPUTED_VALUE"""),"Yes")</f>
        <v>Yes</v>
      </c>
    </row>
    <row r="813">
      <c r="A813" s="5" t="str">
        <f>IFERROR(__xludf.DUMMYFUNCTION("""COMPUTED_VALUE"""),"WinningWildCrown")</f>
        <v>WinningWildCrown</v>
      </c>
      <c r="B813" s="5" t="str">
        <f>IFERROR(__xludf.DUMMYFUNCTION("""COMPUTED_VALUE"""),"")</f>
        <v/>
      </c>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row>
    <row r="814">
      <c r="A814" s="5" t="str">
        <f>IFERROR(__xludf.DUMMYFUNCTION("""COMPUTED_VALUE"""),"TipobetHot40")</f>
        <v>TipobetHot40</v>
      </c>
      <c r="B814" s="5" t="str">
        <f>IFERROR(__xludf.DUMMYFUNCTION("""COMPUTED_VALUE"""),"")</f>
        <v/>
      </c>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row>
    <row r="815">
      <c r="A815" s="5" t="str">
        <f>IFERROR(__xludf.DUMMYFUNCTION("""COMPUTED_VALUE"""),"CrownOfBonusExtrabet")</f>
        <v>CrownOfBonusExtrabet</v>
      </c>
      <c r="B815" s="5" t="str">
        <f>IFERROR(__xludf.DUMMYFUNCTION("""COMPUTED_VALUE"""),"")</f>
        <v/>
      </c>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row>
    <row r="816">
      <c r="A816" s="5" t="str">
        <f>IFERROR(__xludf.DUMMYFUNCTION("""COMPUTED_VALUE"""),"TreasureRush")</f>
        <v>TreasureRush</v>
      </c>
      <c r="B816" s="5" t="str">
        <f>IFERROR(__xludf.DUMMYFUNCTION("""COMPUTED_VALUE"""),"")</f>
        <v/>
      </c>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row>
    <row r="817">
      <c r="A817" s="5" t="str">
        <f>IFERROR(__xludf.DUMMYFUNCTION("""COMPUTED_VALUE"""),"TBD")</f>
        <v>TBD</v>
      </c>
      <c r="B817" s="5" t="str">
        <f>IFERROR(__xludf.DUMMYFUNCTION("""COMPUTED_VALUE"""),"")</f>
        <v/>
      </c>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row>
    <row r="818">
      <c r="A818" s="5" t="str">
        <f>IFERROR(__xludf.DUMMYFUNCTION("""COMPUTED_VALUE"""),"TBD")</f>
        <v>TBD</v>
      </c>
      <c r="B818" s="5" t="str">
        <f>IFERROR(__xludf.DUMMYFUNCTION("""COMPUTED_VALUE"""),"")</f>
        <v/>
      </c>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row>
    <row r="819">
      <c r="A819" s="5" t="str">
        <f>IFERROR(__xludf.DUMMYFUNCTION("""COMPUTED_VALUE"""),"WuKong27")</f>
        <v>WuKong27</v>
      </c>
      <c r="B819" s="5" t="str">
        <f>IFERROR(__xludf.DUMMYFUNCTION("""COMPUTED_VALUE"""),"")</f>
        <v/>
      </c>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row>
    <row r="820">
      <c r="A820" s="5" t="str">
        <f>IFERROR(__xludf.DUMMYFUNCTION("""COMPUTED_VALUE"""),"TBD")</f>
        <v>TBD</v>
      </c>
      <c r="B820" s="5" t="str">
        <f>IFERROR(__xludf.DUMMYFUNCTION("""COMPUTED_VALUE"""),"")</f>
        <v/>
      </c>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row>
    <row r="821">
      <c r="A821" s="5" t="str">
        <f>IFERROR(__xludf.DUMMYFUNCTION("""COMPUTED_VALUE"""),"TBD")</f>
        <v>TBD</v>
      </c>
      <c r="B821" s="5" t="str">
        <f>IFERROR(__xludf.DUMMYFUNCTION("""COMPUTED_VALUE"""),"")</f>
        <v/>
      </c>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row>
    <row r="822">
      <c r="A822" s="5" t="str">
        <f>IFERROR(__xludf.DUMMYFUNCTION("""COMPUTED_VALUE"""),"DoubleGift10")</f>
        <v>DoubleGift10</v>
      </c>
      <c r="B822" s="5" t="str">
        <f>IFERROR(__xludf.DUMMYFUNCTION("""COMPUTED_VALUE"""),"")</f>
        <v/>
      </c>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row>
    <row r="823">
      <c r="A823" s="5" t="str">
        <f>IFERROR(__xludf.DUMMYFUNCTION("""COMPUTED_VALUE"""),"DoubleGift5")</f>
        <v>DoubleGift5</v>
      </c>
      <c r="B823" s="5" t="str">
        <f>IFERROR(__xludf.DUMMYFUNCTION("""COMPUTED_VALUE"""),"")</f>
        <v/>
      </c>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row>
    <row r="824">
      <c r="A824" s="5" t="str">
        <f>IFERROR(__xludf.DUMMYFUNCTION("""COMPUTED_VALUE"""),"TBD")</f>
        <v>TBD</v>
      </c>
      <c r="B824" s="5" t="str">
        <f>IFERROR(__xludf.DUMMYFUNCTION("""COMPUTED_VALUE"""),"")</f>
        <v/>
      </c>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row>
    <row r="825">
      <c r="A825" s="5" t="str">
        <f>IFERROR(__xludf.DUMMYFUNCTION("""COMPUTED_VALUE"""),"TBD")</f>
        <v>TBD</v>
      </c>
      <c r="B825" s="5" t="str">
        <f>IFERROR(__xludf.DUMMYFUNCTION("""COMPUTED_VALUE"""),"")</f>
        <v/>
      </c>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row>
    <row r="826">
      <c r="A826" s="5" t="str">
        <f>IFERROR(__xludf.DUMMYFUNCTION("""COMPUTED_VALUE"""),"TBD")</f>
        <v>TBD</v>
      </c>
      <c r="B826" s="5" t="str">
        <f>IFERROR(__xludf.DUMMYFUNCTION("""COMPUTED_VALUE"""),"")</f>
        <v/>
      </c>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row>
    <row r="827">
      <c r="A827" s="5" t="str">
        <f>IFERROR(__xludf.DUMMYFUNCTION("""COMPUTED_VALUE"""),"TBD")</f>
        <v>TBD</v>
      </c>
      <c r="B827" s="5" t="str">
        <f>IFERROR(__xludf.DUMMYFUNCTION("""COMPUTED_VALUE"""),"")</f>
        <v/>
      </c>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row>
    <row r="828">
      <c r="A828" s="5" t="str">
        <f>IFERROR(__xludf.DUMMYFUNCTION("""COMPUTED_VALUE"""),"TBD")</f>
        <v>TBD</v>
      </c>
      <c r="B828" s="5" t="str">
        <f>IFERROR(__xludf.DUMMYFUNCTION("""COMPUTED_VALUE"""),"")</f>
        <v/>
      </c>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row>
    <row r="829">
      <c r="A829" s="5" t="str">
        <f>IFERROR(__xludf.DUMMYFUNCTION("""COMPUTED_VALUE"""),"TBD")</f>
        <v>TBD</v>
      </c>
      <c r="B829" s="5" t="str">
        <f>IFERROR(__xludf.DUMMYFUNCTION("""COMPUTED_VALUE"""),"")</f>
        <v/>
      </c>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row>
    <row r="830">
      <c r="A830" s="5" t="str">
        <f>IFERROR(__xludf.DUMMYFUNCTION("""COMPUTED_VALUE"""),"TBD")</f>
        <v>TBD</v>
      </c>
      <c r="B830" s="5" t="str">
        <f>IFERROR(__xludf.DUMMYFUNCTION("""COMPUTED_VALUE"""),"")</f>
        <v/>
      </c>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row>
    <row r="831">
      <c r="A831" s="5" t="str">
        <f>IFERROR(__xludf.DUMMYFUNCTION("""COMPUTED_VALUE"""),"TBD")</f>
        <v>TBD</v>
      </c>
      <c r="B831" s="5" t="str">
        <f>IFERROR(__xludf.DUMMYFUNCTION("""COMPUTED_VALUE"""),"")</f>
        <v/>
      </c>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row>
    <row r="832">
      <c r="A832" s="5" t="str">
        <f>IFERROR(__xludf.DUMMYFUNCTION("""COMPUTED_VALUE"""),"TBD")</f>
        <v>TBD</v>
      </c>
      <c r="B832" s="5" t="str">
        <f>IFERROR(__xludf.DUMMYFUNCTION("""COMPUTED_VALUE"""),"")</f>
        <v/>
      </c>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row>
    <row r="833">
      <c r="A833" s="5" t="str">
        <f>IFERROR(__xludf.DUMMYFUNCTION("""COMPUTED_VALUE"""),"TBD")</f>
        <v>TBD</v>
      </c>
      <c r="B833" s="5" t="str">
        <f>IFERROR(__xludf.DUMMYFUNCTION("""COMPUTED_VALUE"""),"")</f>
        <v/>
      </c>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row>
    <row r="834">
      <c r="A834" s="5" t="str">
        <f>IFERROR(__xludf.DUMMYFUNCTION("""COMPUTED_VALUE"""),"TBD")</f>
        <v>TBD</v>
      </c>
      <c r="B834" s="5" t="str">
        <f>IFERROR(__xludf.DUMMYFUNCTION("""COMPUTED_VALUE"""),"")</f>
        <v/>
      </c>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row>
    <row r="835">
      <c r="A835" s="5" t="str">
        <f>IFERROR(__xludf.DUMMYFUNCTION("""COMPUTED_VALUE"""),"TBD")</f>
        <v>TBD</v>
      </c>
      <c r="B835" s="5" t="str">
        <f>IFERROR(__xludf.DUMMYFUNCTION("""COMPUTED_VALUE"""),"")</f>
        <v/>
      </c>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row>
    <row r="836">
      <c r="A836" s="5" t="str">
        <f>IFERROR(__xludf.DUMMYFUNCTION("""COMPUTED_VALUE"""),"TBD")</f>
        <v>TBD</v>
      </c>
      <c r="B836" s="5" t="str">
        <f>IFERROR(__xludf.DUMMYFUNCTION("""COMPUTED_VALUE"""),"")</f>
        <v/>
      </c>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row>
    <row r="837">
      <c r="A837" s="5" t="str">
        <f>IFERROR(__xludf.DUMMYFUNCTION("""COMPUTED_VALUE"""),"TBD")</f>
        <v>TBD</v>
      </c>
      <c r="B837" s="5" t="str">
        <f>IFERROR(__xludf.DUMMYFUNCTION("""COMPUTED_VALUE"""),"")</f>
        <v/>
      </c>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row>
    <row r="838">
      <c r="A838" s="5" t="str">
        <f>IFERROR(__xludf.DUMMYFUNCTION("""COMPUTED_VALUE"""),"TBD")</f>
        <v>TBD</v>
      </c>
      <c r="B838" s="5" t="str">
        <f>IFERROR(__xludf.DUMMYFUNCTION("""COMPUTED_VALUE"""),"")</f>
        <v/>
      </c>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row>
    <row r="839">
      <c r="A839" s="5" t="str">
        <f>IFERROR(__xludf.DUMMYFUNCTION("""COMPUTED_VALUE"""),"TBD")</f>
        <v>TBD</v>
      </c>
      <c r="B839" s="5" t="str">
        <f>IFERROR(__xludf.DUMMYFUNCTION("""COMPUTED_VALUE"""),"")</f>
        <v/>
      </c>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row>
    <row r="840">
      <c r="A840" s="5" t="str">
        <f>IFERROR(__xludf.DUMMYFUNCTION("""COMPUTED_VALUE"""),"TBD")</f>
        <v>TBD</v>
      </c>
      <c r="B840" s="5" t="str">
        <f>IFERROR(__xludf.DUMMYFUNCTION("""COMPUTED_VALUE"""),"")</f>
        <v/>
      </c>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 t="str">
        <f>IFERROR(__xludf.DUMMYFUNCTION("IMPORTRANGE(""1G-EdsaEa0dkMkYpa8dYlgC9oTAomyN6JSY3z9qBegX4"", ""Languages!A:DZ"")"),"#")</f>
        <v>#</v>
      </c>
      <c r="B1" s="5" t="str">
        <f>IFERROR(__xludf.DUMMYFUNCTION("""COMPUTED_VALUE"""),"OrderNo")</f>
        <v>OrderNo</v>
      </c>
      <c r="C1" s="5" t="str">
        <f>IFERROR(__xludf.DUMMYFUNCTION("""COMPUTED_VALUE"""),"Language")</f>
        <v>Language</v>
      </c>
      <c r="D1" s="5" t="str">
        <f>IFERROR(__xludf.DUMMYFUNCTION("""COMPUTED_VALUE"""),"LanguageCode")</f>
        <v>LanguageCode</v>
      </c>
      <c r="E1" s="5" t="str">
        <f>IFERROR(__xludf.DUMMYFUNCTION("""COMPUTED_VALUE"""),"Active")</f>
        <v>Active</v>
      </c>
      <c r="F1" s="5" t="str">
        <f>IFERROR(__xludf.DUMMYFUNCTION("""COMPUTED_VALUE"""),"Image")</f>
        <v>Image</v>
      </c>
      <c r="G1" s="5" t="str">
        <f>IFERROR(__xludf.DUMMYFUNCTION("""COMPUTED_VALUE"""),"Created")</f>
        <v>Created</v>
      </c>
      <c r="H1" s="5" t="str">
        <f>IFERROR(__xludf.DUMMYFUNCTION("""COMPUTED_VALUE"""),"CreatedBy")</f>
        <v>CreatedBy</v>
      </c>
      <c r="I1" s="5" t="str">
        <f>IFERROR(__xludf.DUMMYFUNCTION("""COMPUTED_VALUE"""),"LastUpdated")</f>
        <v>LastUpdated</v>
      </c>
      <c r="J1" s="5" t="str">
        <f>IFERROR(__xludf.DUMMYFUNCTION("""COMPUTED_VALUE"""),"LastUpdatedBy")</f>
        <v>LastUpdatedBy</v>
      </c>
      <c r="K1" s="5" t="str">
        <f>IFERROR(__xludf.DUMMYFUNCTION("""COMPUTED_VALUE"""),"ClientArea")</f>
        <v>ClientArea</v>
      </c>
      <c r="L1" s="5"/>
      <c r="M1" s="5"/>
      <c r="N1" s="5"/>
      <c r="O1" s="5"/>
      <c r="P1" s="5"/>
      <c r="Q1" s="5"/>
      <c r="R1" s="5"/>
      <c r="S1" s="5"/>
      <c r="T1" s="5"/>
      <c r="U1" s="5"/>
      <c r="V1" s="5"/>
      <c r="W1" s="5"/>
      <c r="X1" s="5"/>
      <c r="Y1" s="5"/>
      <c r="Z1" s="5"/>
    </row>
    <row r="2">
      <c r="A2" s="5">
        <f>IFERROR(__xludf.DUMMYFUNCTION("""COMPUTED_VALUE"""),1.0)</f>
        <v>1</v>
      </c>
      <c r="B2" s="5">
        <f>IFERROR(__xludf.DUMMYFUNCTION("""COMPUTED_VALUE"""),1.0)</f>
        <v>1</v>
      </c>
      <c r="C2" s="5" t="str">
        <f>IFERROR(__xludf.DUMMYFUNCTION("""COMPUTED_VALUE"""),"English")</f>
        <v>English</v>
      </c>
      <c r="D2" s="5" t="str">
        <f>IFERROR(__xludf.DUMMYFUNCTION("""COMPUTED_VALUE"""),"eng")</f>
        <v>eng</v>
      </c>
      <c r="E2" s="5" t="b">
        <f>IFERROR(__xludf.DUMMYFUNCTION("""COMPUTED_VALUE"""),TRUE)</f>
        <v>1</v>
      </c>
      <c r="F2" s="5" t="str">
        <f>IFERROR(__xludf.DUMMYFUNCTION("""COMPUTED_VALUE"""),"NULL")</f>
        <v>NULL</v>
      </c>
      <c r="G2" s="5" t="str">
        <f>IFERROR(__xludf.DUMMYFUNCTION("""COMPUTED_VALUE"""),"2024-09-23T10:37:49.650Z")</f>
        <v>2024-09-23T10:37:49.650Z</v>
      </c>
      <c r="H2" s="5" t="str">
        <f>IFERROR(__xludf.DUMMYFUNCTION("""COMPUTED_VALUE"""),"sa")</f>
        <v>sa</v>
      </c>
      <c r="I2" s="8">
        <f>IFERROR(__xludf.DUMMYFUNCTION("""COMPUTED_VALUE"""),45989.01246527778)</f>
        <v>45989.01247</v>
      </c>
      <c r="J2" s="5" t="str">
        <f>IFERROR(__xludf.DUMMYFUNCTION("""COMPUTED_VALUE"""),"iva.cirkovic@fazi.rs")</f>
        <v>iva.cirkovic@fazi.rs</v>
      </c>
      <c r="K2" s="5" t="b">
        <f>IFERROR(__xludf.DUMMYFUNCTION("""COMPUTED_VALUE"""),TRUE)</f>
        <v>1</v>
      </c>
      <c r="L2" s="5"/>
      <c r="M2" s="5"/>
      <c r="N2" s="5"/>
      <c r="O2" s="5"/>
      <c r="P2" s="5"/>
      <c r="Q2" s="5"/>
      <c r="R2" s="5"/>
      <c r="S2" s="5"/>
      <c r="T2" s="5"/>
      <c r="U2" s="5"/>
      <c r="V2" s="5"/>
      <c r="W2" s="5"/>
      <c r="X2" s="5"/>
      <c r="Y2" s="5"/>
      <c r="Z2" s="5"/>
    </row>
    <row r="3">
      <c r="A3" s="5">
        <f>IFERROR(__xludf.DUMMYFUNCTION("""COMPUTED_VALUE"""),2.0)</f>
        <v>2</v>
      </c>
      <c r="B3" s="5">
        <f>IFERROR(__xludf.DUMMYFUNCTION("""COMPUTED_VALUE"""),2.0)</f>
        <v>2</v>
      </c>
      <c r="C3" s="5" t="str">
        <f>IFERROR(__xludf.DUMMYFUNCTION("""COMPUTED_VALUE"""),"Serbian")</f>
        <v>Serbian</v>
      </c>
      <c r="D3" s="5" t="str">
        <f>IFERROR(__xludf.DUMMYFUNCTION("""COMPUTED_VALUE"""),"""srp"",""srb""")</f>
        <v>"srp","srb"</v>
      </c>
      <c r="E3" s="5" t="b">
        <f>IFERROR(__xludf.DUMMYFUNCTION("""COMPUTED_VALUE"""),TRUE)</f>
        <v>1</v>
      </c>
      <c r="F3" s="5" t="str">
        <f>IFERROR(__xludf.DUMMYFUNCTION("""COMPUTED_VALUE"""),"NULL")</f>
        <v>NULL</v>
      </c>
      <c r="G3" s="5" t="str">
        <f>IFERROR(__xludf.DUMMYFUNCTION("""COMPUTED_VALUE"""),"2024-09-23T10:37:49.667Z")</f>
        <v>2024-09-23T10:37:49.667Z</v>
      </c>
      <c r="H3" s="5" t="str">
        <f>IFERROR(__xludf.DUMMYFUNCTION("""COMPUTED_VALUE"""),"sa")</f>
        <v>sa</v>
      </c>
      <c r="I3" s="9">
        <f>IFERROR(__xludf.DUMMYFUNCTION("""COMPUTED_VALUE"""),45989.47777777778)</f>
        <v>45989.47778</v>
      </c>
      <c r="J3" s="5" t="str">
        <f>IFERROR(__xludf.DUMMYFUNCTION("""COMPUTED_VALUE"""),"iva.cirkovic@fazi.rs")</f>
        <v>iva.cirkovic@fazi.rs</v>
      </c>
      <c r="K3" s="5" t="b">
        <f>IFERROR(__xludf.DUMMYFUNCTION("""COMPUTED_VALUE"""),TRUE)</f>
        <v>1</v>
      </c>
      <c r="L3" s="5"/>
      <c r="M3" s="5"/>
      <c r="N3" s="5"/>
      <c r="O3" s="5"/>
      <c r="P3" s="5"/>
      <c r="Q3" s="5"/>
      <c r="R3" s="5"/>
      <c r="S3" s="5"/>
      <c r="T3" s="5"/>
      <c r="U3" s="5"/>
      <c r="V3" s="5"/>
      <c r="W3" s="5"/>
      <c r="X3" s="5"/>
      <c r="Y3" s="5"/>
      <c r="Z3" s="5"/>
    </row>
    <row r="4">
      <c r="A4" s="5">
        <f>IFERROR(__xludf.DUMMYFUNCTION("""COMPUTED_VALUE"""),3.0)</f>
        <v>3</v>
      </c>
      <c r="B4" s="5">
        <f>IFERROR(__xludf.DUMMYFUNCTION("""COMPUTED_VALUE"""),3.0)</f>
        <v>3</v>
      </c>
      <c r="C4" s="5" t="str">
        <f>IFERROR(__xludf.DUMMYFUNCTION("""COMPUTED_VALUE"""),"Montenegrian")</f>
        <v>Montenegrian</v>
      </c>
      <c r="D4" s="5" t="str">
        <f>IFERROR(__xludf.DUMMYFUNCTION("""COMPUTED_VALUE"""),"mne")</f>
        <v>mne</v>
      </c>
      <c r="E4" s="5" t="b">
        <f>IFERROR(__xludf.DUMMYFUNCTION("""COMPUTED_VALUE"""),TRUE)</f>
        <v>1</v>
      </c>
      <c r="F4" s="5" t="str">
        <f>IFERROR(__xludf.DUMMYFUNCTION("""COMPUTED_VALUE"""),"NULL")</f>
        <v>NULL</v>
      </c>
      <c r="G4" s="9">
        <f>IFERROR(__xludf.DUMMYFUNCTION("""COMPUTED_VALUE"""),45558.52626929399)</f>
        <v>45558.52627</v>
      </c>
      <c r="H4" s="5" t="str">
        <f>IFERROR(__xludf.DUMMYFUNCTION("""COMPUTED_VALUE"""),"sa")</f>
        <v>sa</v>
      </c>
      <c r="I4" s="9">
        <f>IFERROR(__xludf.DUMMYFUNCTION("""COMPUTED_VALUE"""),45558.52626929399)</f>
        <v>45558.52627</v>
      </c>
      <c r="J4" s="5" t="str">
        <f>IFERROR(__xludf.DUMMYFUNCTION("""COMPUTED_VALUE"""),"sa")</f>
        <v>sa</v>
      </c>
      <c r="K4" s="5" t="b">
        <f>IFERROR(__xludf.DUMMYFUNCTION("""COMPUTED_VALUE"""),TRUE)</f>
        <v>1</v>
      </c>
      <c r="L4" s="5"/>
      <c r="M4" s="5"/>
      <c r="N4" s="5"/>
      <c r="O4" s="5"/>
      <c r="P4" s="5"/>
      <c r="Q4" s="5"/>
      <c r="R4" s="5"/>
      <c r="S4" s="5"/>
      <c r="T4" s="5"/>
      <c r="U4" s="5"/>
      <c r="V4" s="5"/>
      <c r="W4" s="5"/>
      <c r="X4" s="5"/>
      <c r="Y4" s="5"/>
      <c r="Z4" s="5"/>
    </row>
    <row r="5">
      <c r="A5" s="5">
        <f>IFERROR(__xludf.DUMMYFUNCTION("""COMPUTED_VALUE"""),4.0)</f>
        <v>4</v>
      </c>
      <c r="B5" s="5">
        <f>IFERROR(__xludf.DUMMYFUNCTION("""COMPUTED_VALUE"""),4.0)</f>
        <v>4</v>
      </c>
      <c r="C5" s="5" t="str">
        <f>IFERROR(__xludf.DUMMYFUNCTION("""COMPUTED_VALUE"""),"Bulgarian")</f>
        <v>Bulgarian</v>
      </c>
      <c r="D5" s="5" t="str">
        <f>IFERROR(__xludf.DUMMYFUNCTION("""COMPUTED_VALUE"""),"bul")</f>
        <v>bul</v>
      </c>
      <c r="E5" s="5" t="b">
        <f>IFERROR(__xludf.DUMMYFUNCTION("""COMPUTED_VALUE"""),TRUE)</f>
        <v>1</v>
      </c>
      <c r="F5" s="5" t="str">
        <f>IFERROR(__xludf.DUMMYFUNCTION("""COMPUTED_VALUE"""),"NULL")</f>
        <v>NULL</v>
      </c>
      <c r="G5" s="9">
        <f>IFERROR(__xludf.DUMMYFUNCTION("""COMPUTED_VALUE"""),45558.52626929399)</f>
        <v>45558.52627</v>
      </c>
      <c r="H5" s="5" t="str">
        <f>IFERROR(__xludf.DUMMYFUNCTION("""COMPUTED_VALUE"""),"sa")</f>
        <v>sa</v>
      </c>
      <c r="I5" s="9">
        <f>IFERROR(__xludf.DUMMYFUNCTION("""COMPUTED_VALUE"""),45558.52626929399)</f>
        <v>45558.52627</v>
      </c>
      <c r="J5" s="5" t="str">
        <f>IFERROR(__xludf.DUMMYFUNCTION("""COMPUTED_VALUE"""),"sa")</f>
        <v>sa</v>
      </c>
      <c r="K5" s="5" t="b">
        <f>IFERROR(__xludf.DUMMYFUNCTION("""COMPUTED_VALUE"""),TRUE)</f>
        <v>1</v>
      </c>
      <c r="L5" s="5"/>
      <c r="M5" s="5"/>
      <c r="N5" s="5"/>
      <c r="O5" s="5"/>
      <c r="P5" s="5"/>
      <c r="Q5" s="5"/>
      <c r="R5" s="5"/>
      <c r="S5" s="5"/>
      <c r="T5" s="5"/>
      <c r="U5" s="5"/>
      <c r="V5" s="5"/>
      <c r="W5" s="5"/>
      <c r="X5" s="5"/>
      <c r="Y5" s="5"/>
      <c r="Z5" s="5"/>
    </row>
    <row r="6">
      <c r="A6" s="5">
        <f>IFERROR(__xludf.DUMMYFUNCTION("""COMPUTED_VALUE"""),5.0)</f>
        <v>5</v>
      </c>
      <c r="B6" s="5">
        <f>IFERROR(__xludf.DUMMYFUNCTION("""COMPUTED_VALUE"""),5.0)</f>
        <v>5</v>
      </c>
      <c r="C6" s="5" t="str">
        <f>IFERROR(__xludf.DUMMYFUNCTION("""COMPUTED_VALUE"""),"Spanish")</f>
        <v>Spanish</v>
      </c>
      <c r="D6" s="5" t="str">
        <f>IFERROR(__xludf.DUMMYFUNCTION("""COMPUTED_VALUE"""),"spa")</f>
        <v>spa</v>
      </c>
      <c r="E6" s="5" t="b">
        <f>IFERROR(__xludf.DUMMYFUNCTION("""COMPUTED_VALUE"""),TRUE)</f>
        <v>1</v>
      </c>
      <c r="F6" s="5" t="str">
        <f>IFERROR(__xludf.DUMMYFUNCTION("""COMPUTED_VALUE"""),"NULL")</f>
        <v>NULL</v>
      </c>
      <c r="G6" s="9">
        <f>IFERROR(__xludf.DUMMYFUNCTION("""COMPUTED_VALUE"""),45558.52626929399)</f>
        <v>45558.52627</v>
      </c>
      <c r="H6" s="5" t="str">
        <f>IFERROR(__xludf.DUMMYFUNCTION("""COMPUTED_VALUE"""),"sa")</f>
        <v>sa</v>
      </c>
      <c r="I6" s="9">
        <f>IFERROR(__xludf.DUMMYFUNCTION("""COMPUTED_VALUE"""),45558.52626929399)</f>
        <v>45558.52627</v>
      </c>
      <c r="J6" s="5" t="str">
        <f>IFERROR(__xludf.DUMMYFUNCTION("""COMPUTED_VALUE"""),"sa")</f>
        <v>sa</v>
      </c>
      <c r="K6" s="5" t="b">
        <f>IFERROR(__xludf.DUMMYFUNCTION("""COMPUTED_VALUE"""),TRUE)</f>
        <v>1</v>
      </c>
      <c r="L6" s="5"/>
      <c r="M6" s="5"/>
      <c r="N6" s="5"/>
      <c r="O6" s="5"/>
      <c r="P6" s="5"/>
      <c r="Q6" s="5"/>
      <c r="R6" s="5"/>
      <c r="S6" s="5"/>
      <c r="T6" s="5"/>
      <c r="U6" s="5"/>
      <c r="V6" s="5"/>
      <c r="W6" s="5"/>
      <c r="X6" s="5"/>
      <c r="Y6" s="5"/>
      <c r="Z6" s="5"/>
    </row>
    <row r="7">
      <c r="A7" s="5">
        <f>IFERROR(__xludf.DUMMYFUNCTION("""COMPUTED_VALUE"""),6.0)</f>
        <v>6</v>
      </c>
      <c r="B7" s="5">
        <f>IFERROR(__xludf.DUMMYFUNCTION("""COMPUTED_VALUE"""),6.0)</f>
        <v>6</v>
      </c>
      <c r="C7" s="5" t="str">
        <f>IFERROR(__xludf.DUMMYFUNCTION("""COMPUTED_VALUE"""),"Portuguese")</f>
        <v>Portuguese</v>
      </c>
      <c r="D7" s="5" t="str">
        <f>IFERROR(__xludf.DUMMYFUNCTION("""COMPUTED_VALUE"""),"por")</f>
        <v>por</v>
      </c>
      <c r="E7" s="5" t="b">
        <f>IFERROR(__xludf.DUMMYFUNCTION("""COMPUTED_VALUE"""),TRUE)</f>
        <v>1</v>
      </c>
      <c r="F7" s="5" t="str">
        <f>IFERROR(__xludf.DUMMYFUNCTION("""COMPUTED_VALUE"""),"NULL")</f>
        <v>NULL</v>
      </c>
      <c r="G7" s="9">
        <f>IFERROR(__xludf.DUMMYFUNCTION("""COMPUTED_VALUE"""),45558.52626929399)</f>
        <v>45558.52627</v>
      </c>
      <c r="H7" s="5" t="str">
        <f>IFERROR(__xludf.DUMMYFUNCTION("""COMPUTED_VALUE"""),"sa")</f>
        <v>sa</v>
      </c>
      <c r="I7" s="9">
        <f>IFERROR(__xludf.DUMMYFUNCTION("""COMPUTED_VALUE"""),45558.52626929399)</f>
        <v>45558.52627</v>
      </c>
      <c r="J7" s="5" t="str">
        <f>IFERROR(__xludf.DUMMYFUNCTION("""COMPUTED_VALUE"""),"sa")</f>
        <v>sa</v>
      </c>
      <c r="K7" s="5" t="b">
        <f>IFERROR(__xludf.DUMMYFUNCTION("""COMPUTED_VALUE"""),TRUE)</f>
        <v>1</v>
      </c>
      <c r="L7" s="5"/>
      <c r="M7" s="5"/>
      <c r="N7" s="5"/>
      <c r="O7" s="5"/>
      <c r="P7" s="5"/>
      <c r="Q7" s="5"/>
      <c r="R7" s="5"/>
      <c r="S7" s="5"/>
      <c r="T7" s="5"/>
      <c r="U7" s="5"/>
      <c r="V7" s="5"/>
      <c r="W7" s="5"/>
      <c r="X7" s="5"/>
      <c r="Y7" s="5"/>
      <c r="Z7" s="5"/>
    </row>
    <row r="8">
      <c r="A8" s="5">
        <f>IFERROR(__xludf.DUMMYFUNCTION("""COMPUTED_VALUE"""),7.0)</f>
        <v>7</v>
      </c>
      <c r="B8" s="5">
        <f>IFERROR(__xludf.DUMMYFUNCTION("""COMPUTED_VALUE"""),7.0)</f>
        <v>7</v>
      </c>
      <c r="C8" s="5" t="str">
        <f>IFERROR(__xludf.DUMMYFUNCTION("""COMPUTED_VALUE"""),"Italian")</f>
        <v>Italian</v>
      </c>
      <c r="D8" s="5" t="str">
        <f>IFERROR(__xludf.DUMMYFUNCTION("""COMPUTED_VALUE"""),"ita")</f>
        <v>ita</v>
      </c>
      <c r="E8" s="5" t="b">
        <f>IFERROR(__xludf.DUMMYFUNCTION("""COMPUTED_VALUE"""),TRUE)</f>
        <v>1</v>
      </c>
      <c r="F8" s="5" t="str">
        <f>IFERROR(__xludf.DUMMYFUNCTION("""COMPUTED_VALUE"""),"NULL")</f>
        <v>NULL</v>
      </c>
      <c r="G8" s="9">
        <f>IFERROR(__xludf.DUMMYFUNCTION("""COMPUTED_VALUE"""),45558.52626929399)</f>
        <v>45558.52627</v>
      </c>
      <c r="H8" s="5" t="str">
        <f>IFERROR(__xludf.DUMMYFUNCTION("""COMPUTED_VALUE"""),"sa")</f>
        <v>sa</v>
      </c>
      <c r="I8" s="9">
        <f>IFERROR(__xludf.DUMMYFUNCTION("""COMPUTED_VALUE"""),45558.52626929399)</f>
        <v>45558.52627</v>
      </c>
      <c r="J8" s="5" t="str">
        <f>IFERROR(__xludf.DUMMYFUNCTION("""COMPUTED_VALUE"""),"sa")</f>
        <v>sa</v>
      </c>
      <c r="K8" s="5" t="b">
        <f>IFERROR(__xludf.DUMMYFUNCTION("""COMPUTED_VALUE"""),TRUE)</f>
        <v>1</v>
      </c>
      <c r="L8" s="5"/>
      <c r="M8" s="5"/>
      <c r="N8" s="5"/>
      <c r="O8" s="5"/>
      <c r="P8" s="5"/>
      <c r="Q8" s="5"/>
      <c r="R8" s="5"/>
      <c r="S8" s="5"/>
      <c r="T8" s="5"/>
      <c r="U8" s="5"/>
      <c r="V8" s="5"/>
      <c r="W8" s="5"/>
      <c r="X8" s="5"/>
      <c r="Y8" s="5"/>
      <c r="Z8" s="5"/>
    </row>
    <row r="9">
      <c r="A9" s="5">
        <f>IFERROR(__xludf.DUMMYFUNCTION("""COMPUTED_VALUE"""),8.0)</f>
        <v>8</v>
      </c>
      <c r="B9" s="5">
        <f>IFERROR(__xludf.DUMMYFUNCTION("""COMPUTED_VALUE"""),8.0)</f>
        <v>8</v>
      </c>
      <c r="C9" s="5" t="str">
        <f>IFERROR(__xludf.DUMMYFUNCTION("""COMPUTED_VALUE"""),"Romanian")</f>
        <v>Romanian</v>
      </c>
      <c r="D9" s="5" t="str">
        <f>IFERROR(__xludf.DUMMYFUNCTION("""COMPUTED_VALUE"""),"rum/ron")</f>
        <v>rum/ron</v>
      </c>
      <c r="E9" s="5" t="b">
        <f>IFERROR(__xludf.DUMMYFUNCTION("""COMPUTED_VALUE"""),TRUE)</f>
        <v>1</v>
      </c>
      <c r="F9" s="5" t="str">
        <f>IFERROR(__xludf.DUMMYFUNCTION("""COMPUTED_VALUE"""),"NULL")</f>
        <v>NULL</v>
      </c>
      <c r="G9" s="9">
        <f>IFERROR(__xludf.DUMMYFUNCTION("""COMPUTED_VALUE"""),45558.52626929399)</f>
        <v>45558.52627</v>
      </c>
      <c r="H9" s="5" t="str">
        <f>IFERROR(__xludf.DUMMYFUNCTION("""COMPUTED_VALUE"""),"sa")</f>
        <v>sa</v>
      </c>
      <c r="I9" s="9">
        <f>IFERROR(__xludf.DUMMYFUNCTION("""COMPUTED_VALUE"""),45558.52626929399)</f>
        <v>45558.52627</v>
      </c>
      <c r="J9" s="5" t="str">
        <f>IFERROR(__xludf.DUMMYFUNCTION("""COMPUTED_VALUE"""),"sa")</f>
        <v>sa</v>
      </c>
      <c r="K9" s="5" t="b">
        <f>IFERROR(__xludf.DUMMYFUNCTION("""COMPUTED_VALUE"""),TRUE)</f>
        <v>1</v>
      </c>
      <c r="L9" s="5"/>
      <c r="M9" s="5"/>
      <c r="N9" s="5"/>
      <c r="O9" s="5"/>
      <c r="P9" s="5"/>
      <c r="Q9" s="5"/>
      <c r="R9" s="5"/>
      <c r="S9" s="5"/>
      <c r="T9" s="5"/>
      <c r="U9" s="5"/>
      <c r="V9" s="5"/>
      <c r="W9" s="5"/>
      <c r="X9" s="5"/>
      <c r="Y9" s="5"/>
      <c r="Z9" s="5"/>
    </row>
    <row r="10">
      <c r="A10" s="5">
        <f>IFERROR(__xludf.DUMMYFUNCTION("""COMPUTED_VALUE"""),9.0)</f>
        <v>9</v>
      </c>
      <c r="B10" s="5">
        <f>IFERROR(__xludf.DUMMYFUNCTION("""COMPUTED_VALUE"""),9.0)</f>
        <v>9</v>
      </c>
      <c r="C10" s="5" t="str">
        <f>IFERROR(__xludf.DUMMYFUNCTION("""COMPUTED_VALUE"""),"Croatian")</f>
        <v>Croatian</v>
      </c>
      <c r="D10" s="5" t="str">
        <f>IFERROR(__xludf.DUMMYFUNCTION("""COMPUTED_VALUE"""),"hrv")</f>
        <v>hrv</v>
      </c>
      <c r="E10" s="5" t="b">
        <f>IFERROR(__xludf.DUMMYFUNCTION("""COMPUTED_VALUE"""),TRUE)</f>
        <v>1</v>
      </c>
      <c r="F10" s="5" t="str">
        <f>IFERROR(__xludf.DUMMYFUNCTION("""COMPUTED_VALUE"""),"NULL")</f>
        <v>NULL</v>
      </c>
      <c r="G10" s="9">
        <f>IFERROR(__xludf.DUMMYFUNCTION("""COMPUTED_VALUE"""),45558.52626929399)</f>
        <v>45558.52627</v>
      </c>
      <c r="H10" s="5" t="str">
        <f>IFERROR(__xludf.DUMMYFUNCTION("""COMPUTED_VALUE"""),"sa")</f>
        <v>sa</v>
      </c>
      <c r="I10" s="9">
        <f>IFERROR(__xludf.DUMMYFUNCTION("""COMPUTED_VALUE"""),45558.52626929399)</f>
        <v>45558.52627</v>
      </c>
      <c r="J10" s="5" t="str">
        <f>IFERROR(__xludf.DUMMYFUNCTION("""COMPUTED_VALUE"""),"sa")</f>
        <v>sa</v>
      </c>
      <c r="K10" s="5" t="b">
        <f>IFERROR(__xludf.DUMMYFUNCTION("""COMPUTED_VALUE"""),TRUE)</f>
        <v>1</v>
      </c>
      <c r="L10" s="5"/>
      <c r="M10" s="5"/>
      <c r="N10" s="5"/>
      <c r="O10" s="5"/>
      <c r="P10" s="5"/>
      <c r="Q10" s="5"/>
      <c r="R10" s="5"/>
      <c r="S10" s="5"/>
      <c r="T10" s="5"/>
      <c r="U10" s="5"/>
      <c r="V10" s="5"/>
      <c r="W10" s="5"/>
      <c r="X10" s="5"/>
      <c r="Y10" s="5"/>
      <c r="Z10" s="5"/>
    </row>
    <row r="11">
      <c r="A11" s="5">
        <f>IFERROR(__xludf.DUMMYFUNCTION("""COMPUTED_VALUE"""),10.0)</f>
        <v>10</v>
      </c>
      <c r="B11" s="5">
        <f>IFERROR(__xludf.DUMMYFUNCTION("""COMPUTED_VALUE"""),10.0)</f>
        <v>10</v>
      </c>
      <c r="C11" s="5" t="str">
        <f>IFERROR(__xludf.DUMMYFUNCTION("""COMPUTED_VALUE"""),"French")</f>
        <v>French</v>
      </c>
      <c r="D11" s="5" t="str">
        <f>IFERROR(__xludf.DUMMYFUNCTION("""COMPUTED_VALUE"""),"fre/fra")</f>
        <v>fre/fra</v>
      </c>
      <c r="E11" s="5" t="b">
        <f>IFERROR(__xludf.DUMMYFUNCTION("""COMPUTED_VALUE"""),TRUE)</f>
        <v>1</v>
      </c>
      <c r="F11" s="5" t="str">
        <f>IFERROR(__xludf.DUMMYFUNCTION("""COMPUTED_VALUE"""),"NULL")</f>
        <v>NULL</v>
      </c>
      <c r="G11" s="9">
        <f>IFERROR(__xludf.DUMMYFUNCTION("""COMPUTED_VALUE"""),45558.52626929399)</f>
        <v>45558.52627</v>
      </c>
      <c r="H11" s="5" t="str">
        <f>IFERROR(__xludf.DUMMYFUNCTION("""COMPUTED_VALUE"""),"sa")</f>
        <v>sa</v>
      </c>
      <c r="I11" s="9">
        <f>IFERROR(__xludf.DUMMYFUNCTION("""COMPUTED_VALUE"""),45558.52626929399)</f>
        <v>45558.52627</v>
      </c>
      <c r="J11" s="5" t="str">
        <f>IFERROR(__xludf.DUMMYFUNCTION("""COMPUTED_VALUE"""),"sa")</f>
        <v>sa</v>
      </c>
      <c r="K11" s="5" t="b">
        <f>IFERROR(__xludf.DUMMYFUNCTION("""COMPUTED_VALUE"""),TRUE)</f>
        <v>1</v>
      </c>
      <c r="L11" s="5"/>
      <c r="M11" s="5"/>
      <c r="N11" s="5"/>
      <c r="O11" s="5"/>
      <c r="P11" s="5"/>
      <c r="Q11" s="5"/>
      <c r="R11" s="5"/>
      <c r="S11" s="5"/>
      <c r="T11" s="5"/>
      <c r="U11" s="5"/>
      <c r="V11" s="5"/>
      <c r="W11" s="5"/>
      <c r="X11" s="5"/>
      <c r="Y11" s="5"/>
      <c r="Z11" s="5"/>
    </row>
    <row r="12">
      <c r="A12" s="5">
        <f>IFERROR(__xludf.DUMMYFUNCTION("""COMPUTED_VALUE"""),11.0)</f>
        <v>11</v>
      </c>
      <c r="B12" s="5">
        <f>IFERROR(__xludf.DUMMYFUNCTION("""COMPUTED_VALUE"""),11.0)</f>
        <v>11</v>
      </c>
      <c r="C12" s="5" t="str">
        <f>IFERROR(__xludf.DUMMYFUNCTION("""COMPUTED_VALUE"""),"German")</f>
        <v>German</v>
      </c>
      <c r="D12" s="5" t="str">
        <f>IFERROR(__xludf.DUMMYFUNCTION("""COMPUTED_VALUE"""),"ger/deu")</f>
        <v>ger/deu</v>
      </c>
      <c r="E12" s="5" t="b">
        <f>IFERROR(__xludf.DUMMYFUNCTION("""COMPUTED_VALUE"""),TRUE)</f>
        <v>1</v>
      </c>
      <c r="F12" s="5" t="str">
        <f>IFERROR(__xludf.DUMMYFUNCTION("""COMPUTED_VALUE"""),"NULL")</f>
        <v>NULL</v>
      </c>
      <c r="G12" s="9">
        <f>IFERROR(__xludf.DUMMYFUNCTION("""COMPUTED_VALUE"""),45558.52626929399)</f>
        <v>45558.52627</v>
      </c>
      <c r="H12" s="5" t="str">
        <f>IFERROR(__xludf.DUMMYFUNCTION("""COMPUTED_VALUE"""),"sa")</f>
        <v>sa</v>
      </c>
      <c r="I12" s="9">
        <f>IFERROR(__xludf.DUMMYFUNCTION("""COMPUTED_VALUE"""),45558.52626929399)</f>
        <v>45558.52627</v>
      </c>
      <c r="J12" s="5" t="str">
        <f>IFERROR(__xludf.DUMMYFUNCTION("""COMPUTED_VALUE"""),"sa")</f>
        <v>sa</v>
      </c>
      <c r="K12" s="5" t="b">
        <f>IFERROR(__xludf.DUMMYFUNCTION("""COMPUTED_VALUE"""),TRUE)</f>
        <v>1</v>
      </c>
      <c r="L12" s="5"/>
      <c r="M12" s="5"/>
      <c r="N12" s="5"/>
      <c r="O12" s="5"/>
      <c r="P12" s="5"/>
      <c r="Q12" s="5"/>
      <c r="R12" s="5"/>
      <c r="S12" s="5"/>
      <c r="T12" s="5"/>
      <c r="U12" s="5"/>
      <c r="V12" s="5"/>
      <c r="W12" s="5"/>
      <c r="X12" s="5"/>
      <c r="Y12" s="5"/>
      <c r="Z12" s="5"/>
    </row>
    <row r="13">
      <c r="A13" s="5">
        <f>IFERROR(__xludf.DUMMYFUNCTION("""COMPUTED_VALUE"""),12.0)</f>
        <v>12</v>
      </c>
      <c r="B13" s="5">
        <f>IFERROR(__xludf.DUMMYFUNCTION("""COMPUTED_VALUE"""),12.0)</f>
        <v>12</v>
      </c>
      <c r="C13" s="5" t="str">
        <f>IFERROR(__xludf.DUMMYFUNCTION("""COMPUTED_VALUE"""),"Dutch")</f>
        <v>Dutch</v>
      </c>
      <c r="D13" s="5" t="str">
        <f>IFERROR(__xludf.DUMMYFUNCTION("""COMPUTED_VALUE"""),"dut/nld")</f>
        <v>dut/nld</v>
      </c>
      <c r="E13" s="5" t="b">
        <f>IFERROR(__xludf.DUMMYFUNCTION("""COMPUTED_VALUE"""),TRUE)</f>
        <v>1</v>
      </c>
      <c r="F13" s="5" t="str">
        <f>IFERROR(__xludf.DUMMYFUNCTION("""COMPUTED_VALUE"""),"NULL")</f>
        <v>NULL</v>
      </c>
      <c r="G13" s="5" t="str">
        <f>IFERROR(__xludf.DUMMYFUNCTION("""COMPUTED_VALUE"""),"2024-09-23T10:37:49.667Z")</f>
        <v>2024-09-23T10:37:49.667Z</v>
      </c>
      <c r="H13" s="5" t="str">
        <f>IFERROR(__xludf.DUMMYFUNCTION("""COMPUTED_VALUE"""),"sa")</f>
        <v>sa</v>
      </c>
      <c r="I13" s="9">
        <f>IFERROR(__xludf.DUMMYFUNCTION("""COMPUTED_VALUE"""),46161.50335648148)</f>
        <v>46161.50336</v>
      </c>
      <c r="J13" s="5" t="str">
        <f>IFERROR(__xludf.DUMMYFUNCTION("""COMPUTED_VALUE"""),"djordje.petrovic@fazi.rs")</f>
        <v>djordje.petrovic@fazi.rs</v>
      </c>
      <c r="K13" s="5" t="b">
        <f>IFERROR(__xludf.DUMMYFUNCTION("""COMPUTED_VALUE"""),TRUE)</f>
        <v>1</v>
      </c>
      <c r="L13" s="5"/>
      <c r="M13" s="5"/>
      <c r="N13" s="5"/>
      <c r="O13" s="5"/>
      <c r="P13" s="5"/>
      <c r="Q13" s="5"/>
      <c r="R13" s="5"/>
      <c r="S13" s="5"/>
      <c r="T13" s="5"/>
      <c r="U13" s="5"/>
      <c r="V13" s="5"/>
      <c r="W13" s="5"/>
      <c r="X13" s="5"/>
      <c r="Y13" s="5"/>
      <c r="Z13" s="5"/>
    </row>
    <row r="14">
      <c r="A14" s="5">
        <f>IFERROR(__xludf.DUMMYFUNCTION("""COMPUTED_VALUE"""),13.0)</f>
        <v>13</v>
      </c>
      <c r="B14" s="5">
        <f>IFERROR(__xludf.DUMMYFUNCTION("""COMPUTED_VALUE"""),13.0)</f>
        <v>13</v>
      </c>
      <c r="C14" s="5" t="str">
        <f>IFERROR(__xludf.DUMMYFUNCTION("""COMPUTED_VALUE"""),"Turkish")</f>
        <v>Turkish</v>
      </c>
      <c r="D14" s="5" t="str">
        <f>IFERROR(__xludf.DUMMYFUNCTION("""COMPUTED_VALUE"""),"tur")</f>
        <v>tur</v>
      </c>
      <c r="E14" s="5" t="b">
        <f>IFERROR(__xludf.DUMMYFUNCTION("""COMPUTED_VALUE"""),TRUE)</f>
        <v>1</v>
      </c>
      <c r="F14" s="5" t="str">
        <f>IFERROR(__xludf.DUMMYFUNCTION("""COMPUTED_VALUE"""),"NULL")</f>
        <v>NULL</v>
      </c>
      <c r="G14" s="5" t="str">
        <f>IFERROR(__xludf.DUMMYFUNCTION("""COMPUTED_VALUE"""),"2024-09-23T10:37:49.667Z")</f>
        <v>2024-09-23T10:37:49.667Z</v>
      </c>
      <c r="H14" s="5" t="str">
        <f>IFERROR(__xludf.DUMMYFUNCTION("""COMPUTED_VALUE"""),"sa")</f>
        <v>sa</v>
      </c>
      <c r="I14" s="9">
        <f>IFERROR(__xludf.DUMMYFUNCTION("""COMPUTED_VALUE"""),46161.50347222222)</f>
        <v>46161.50347</v>
      </c>
      <c r="J14" s="5" t="str">
        <f>IFERROR(__xludf.DUMMYFUNCTION("""COMPUTED_VALUE"""),"djordje.petrovic@fazi.rs")</f>
        <v>djordje.petrovic@fazi.rs</v>
      </c>
      <c r="K14" s="5" t="b">
        <f>IFERROR(__xludf.DUMMYFUNCTION("""COMPUTED_VALUE"""),TRUE)</f>
        <v>1</v>
      </c>
      <c r="L14" s="5"/>
      <c r="M14" s="5"/>
      <c r="N14" s="5"/>
      <c r="O14" s="5"/>
      <c r="P14" s="5"/>
      <c r="Q14" s="5"/>
      <c r="R14" s="5"/>
      <c r="S14" s="5"/>
      <c r="T14" s="5"/>
      <c r="U14" s="5"/>
      <c r="V14" s="5"/>
      <c r="W14" s="5"/>
      <c r="X14" s="5"/>
      <c r="Y14" s="5"/>
      <c r="Z14" s="5"/>
    </row>
    <row r="15">
      <c r="A15" s="5">
        <f>IFERROR(__xludf.DUMMYFUNCTION("""COMPUTED_VALUE"""),14.0)</f>
        <v>14</v>
      </c>
      <c r="B15" s="5">
        <f>IFERROR(__xludf.DUMMYFUNCTION("""COMPUTED_VALUE"""),14.0)</f>
        <v>14</v>
      </c>
      <c r="C15" s="5" t="str">
        <f>IFERROR(__xludf.DUMMYFUNCTION("""COMPUTED_VALUE"""),"Greek")</f>
        <v>Greek</v>
      </c>
      <c r="D15" s="5" t="str">
        <f>IFERROR(__xludf.DUMMYFUNCTION("""COMPUTED_VALUE"""),"gre/ell")</f>
        <v>gre/ell</v>
      </c>
      <c r="E15" s="5" t="b">
        <f>IFERROR(__xludf.DUMMYFUNCTION("""COMPUTED_VALUE"""),TRUE)</f>
        <v>1</v>
      </c>
      <c r="F15" s="5" t="str">
        <f>IFERROR(__xludf.DUMMYFUNCTION("""COMPUTED_VALUE"""),"NULL")</f>
        <v>NULL</v>
      </c>
      <c r="G15" s="5" t="str">
        <f>IFERROR(__xludf.DUMMYFUNCTION("""COMPUTED_VALUE"""),"2024-09-23T10:37:49.667Z")</f>
        <v>2024-09-23T10:37:49.667Z</v>
      </c>
      <c r="H15" s="5" t="str">
        <f>IFERROR(__xludf.DUMMYFUNCTION("""COMPUTED_VALUE"""),"sa")</f>
        <v>sa</v>
      </c>
      <c r="I15" s="9">
        <f>IFERROR(__xludf.DUMMYFUNCTION("""COMPUTED_VALUE"""),46161.50519675926)</f>
        <v>46161.5052</v>
      </c>
      <c r="J15" s="5" t="str">
        <f>IFERROR(__xludf.DUMMYFUNCTION("""COMPUTED_VALUE"""),"djordje.petrovic@fazi.rs")</f>
        <v>djordje.petrovic@fazi.rs</v>
      </c>
      <c r="K15" s="5" t="b">
        <f>IFERROR(__xludf.DUMMYFUNCTION("""COMPUTED_VALUE"""),TRUE)</f>
        <v>1</v>
      </c>
      <c r="L15" s="5"/>
      <c r="M15" s="5"/>
      <c r="N15" s="5"/>
      <c r="O15" s="5"/>
      <c r="P15" s="5"/>
      <c r="Q15" s="5"/>
      <c r="R15" s="5"/>
      <c r="S15" s="5"/>
      <c r="T15" s="5"/>
      <c r="U15" s="5"/>
      <c r="V15" s="5"/>
      <c r="W15" s="5"/>
      <c r="X15" s="5"/>
      <c r="Y15" s="5"/>
      <c r="Z15" s="5"/>
    </row>
    <row r="16">
      <c r="A16" s="5">
        <f>IFERROR(__xludf.DUMMYFUNCTION("""COMPUTED_VALUE"""),15.0)</f>
        <v>15</v>
      </c>
      <c r="B16" s="5">
        <f>IFERROR(__xludf.DUMMYFUNCTION("""COMPUTED_VALUE"""),51.0)</f>
        <v>51</v>
      </c>
      <c r="C16" s="5" t="str">
        <f>IFERROR(__xludf.DUMMYFUNCTION("""COMPUTED_VALUE"""),"Russian")</f>
        <v>Russian</v>
      </c>
      <c r="D16" s="5" t="str">
        <f>IFERROR(__xludf.DUMMYFUNCTION("""COMPUTED_VALUE"""),"rus")</f>
        <v>rus</v>
      </c>
      <c r="E16" s="5" t="b">
        <f>IFERROR(__xludf.DUMMYFUNCTION("""COMPUTED_VALUE"""),TRUE)</f>
        <v>1</v>
      </c>
      <c r="F16" s="5" t="str">
        <f>IFERROR(__xludf.DUMMYFUNCTION("""COMPUTED_VALUE"""),"NULL")</f>
        <v>NULL</v>
      </c>
      <c r="G16" s="5" t="str">
        <f>IFERROR(__xludf.DUMMYFUNCTION("""COMPUTED_VALUE"""),"2024-09-23T10:37:49.667Z")</f>
        <v>2024-09-23T10:37:49.667Z</v>
      </c>
      <c r="H16" s="5" t="str">
        <f>IFERROR(__xludf.DUMMYFUNCTION("""COMPUTED_VALUE"""),"sa")</f>
        <v>sa</v>
      </c>
      <c r="I16" s="9">
        <f>IFERROR(__xludf.DUMMYFUNCTION("""COMPUTED_VALUE"""),46161.50528935185)</f>
        <v>46161.50529</v>
      </c>
      <c r="J16" s="5" t="str">
        <f>IFERROR(__xludf.DUMMYFUNCTION("""COMPUTED_VALUE"""),"djordje.petrovic@fazi.rs")</f>
        <v>djordje.petrovic@fazi.rs</v>
      </c>
      <c r="K16" s="5" t="b">
        <f>IFERROR(__xludf.DUMMYFUNCTION("""COMPUTED_VALUE"""),TRUE)</f>
        <v>1</v>
      </c>
      <c r="L16" s="5"/>
      <c r="M16" s="5"/>
      <c r="N16" s="5"/>
      <c r="O16" s="5"/>
      <c r="P16" s="5"/>
      <c r="Q16" s="5"/>
      <c r="R16" s="5"/>
      <c r="S16" s="5"/>
      <c r="T16" s="5"/>
      <c r="U16" s="5"/>
      <c r="V16" s="5"/>
      <c r="W16" s="5"/>
      <c r="X16" s="5"/>
      <c r="Y16" s="5"/>
      <c r="Z16" s="5"/>
    </row>
    <row r="17">
      <c r="A17" s="5">
        <f>IFERROR(__xludf.DUMMYFUNCTION("""COMPUTED_VALUE"""),16.0)</f>
        <v>16</v>
      </c>
      <c r="B17" s="5">
        <f>IFERROR(__xludf.DUMMYFUNCTION("""COMPUTED_VALUE"""),16.0)</f>
        <v>16</v>
      </c>
      <c r="C17" s="5" t="str">
        <f>IFERROR(__xludf.DUMMYFUNCTION("""COMPUTED_VALUE"""),"Czech")</f>
        <v>Czech</v>
      </c>
      <c r="D17" s="5" t="str">
        <f>IFERROR(__xludf.DUMMYFUNCTION("""COMPUTED_VALUE"""),"cze/ces")</f>
        <v>cze/ces</v>
      </c>
      <c r="E17" s="5" t="b">
        <f>IFERROR(__xludf.DUMMYFUNCTION("""COMPUTED_VALUE"""),TRUE)</f>
        <v>1</v>
      </c>
      <c r="F17" s="5" t="str">
        <f>IFERROR(__xludf.DUMMYFUNCTION("""COMPUTED_VALUE"""),"NULL")</f>
        <v>NULL</v>
      </c>
      <c r="G17" s="5" t="str">
        <f>IFERROR(__xludf.DUMMYFUNCTION("""COMPUTED_VALUE"""),"2024-09-23T10:37:49.667Z")</f>
        <v>2024-09-23T10:37:49.667Z</v>
      </c>
      <c r="H17" s="5" t="str">
        <f>IFERROR(__xludf.DUMMYFUNCTION("""COMPUTED_VALUE"""),"sa")</f>
        <v>sa</v>
      </c>
      <c r="I17" s="9">
        <f>IFERROR(__xludf.DUMMYFUNCTION("""COMPUTED_VALUE"""),46161.505381944444)</f>
        <v>46161.50538</v>
      </c>
      <c r="J17" s="5" t="str">
        <f>IFERROR(__xludf.DUMMYFUNCTION("""COMPUTED_VALUE"""),"djordje.petrovic@fazi.rs")</f>
        <v>djordje.petrovic@fazi.rs</v>
      </c>
      <c r="K17" s="5" t="b">
        <f>IFERROR(__xludf.DUMMYFUNCTION("""COMPUTED_VALUE"""),TRUE)</f>
        <v>1</v>
      </c>
      <c r="L17" s="5"/>
      <c r="M17" s="5"/>
      <c r="N17" s="5"/>
      <c r="O17" s="5"/>
      <c r="P17" s="5"/>
      <c r="Q17" s="5"/>
      <c r="R17" s="5"/>
      <c r="S17" s="5"/>
      <c r="T17" s="5"/>
      <c r="U17" s="5"/>
      <c r="V17" s="5"/>
      <c r="W17" s="5"/>
      <c r="X17" s="5"/>
      <c r="Y17" s="5"/>
      <c r="Z17" s="5"/>
    </row>
    <row r="18">
      <c r="A18" s="5">
        <f>IFERROR(__xludf.DUMMYFUNCTION("""COMPUTED_VALUE"""),17.0)</f>
        <v>17</v>
      </c>
      <c r="B18" s="5">
        <f>IFERROR(__xludf.DUMMYFUNCTION("""COMPUTED_VALUE"""),17.0)</f>
        <v>17</v>
      </c>
      <c r="C18" s="5" t="str">
        <f>IFERROR(__xludf.DUMMYFUNCTION("""COMPUTED_VALUE"""),"Hungarian")</f>
        <v>Hungarian</v>
      </c>
      <c r="D18" s="5" t="str">
        <f>IFERROR(__xludf.DUMMYFUNCTION("""COMPUTED_VALUE"""),"hun")</f>
        <v>hun</v>
      </c>
      <c r="E18" s="5" t="b">
        <f>IFERROR(__xludf.DUMMYFUNCTION("""COMPUTED_VALUE"""),TRUE)</f>
        <v>1</v>
      </c>
      <c r="F18" s="5" t="str">
        <f>IFERROR(__xludf.DUMMYFUNCTION("""COMPUTED_VALUE"""),"NULL")</f>
        <v>NULL</v>
      </c>
      <c r="G18" s="5" t="str">
        <f>IFERROR(__xludf.DUMMYFUNCTION("""COMPUTED_VALUE"""),"2024-09-23T10:37:49.667Z")</f>
        <v>2024-09-23T10:37:49.667Z</v>
      </c>
      <c r="H18" s="5" t="str">
        <f>IFERROR(__xludf.DUMMYFUNCTION("""COMPUTED_VALUE"""),"sa")</f>
        <v>sa</v>
      </c>
      <c r="I18" s="9">
        <f>IFERROR(__xludf.DUMMYFUNCTION("""COMPUTED_VALUE"""),46161.505474537036)</f>
        <v>46161.50547</v>
      </c>
      <c r="J18" s="5" t="str">
        <f>IFERROR(__xludf.DUMMYFUNCTION("""COMPUTED_VALUE"""),"djordje.petrovic@fazi.rs")</f>
        <v>djordje.petrovic@fazi.rs</v>
      </c>
      <c r="K18" s="5" t="b">
        <f>IFERROR(__xludf.DUMMYFUNCTION("""COMPUTED_VALUE"""),TRUE)</f>
        <v>1</v>
      </c>
      <c r="L18" s="5"/>
      <c r="M18" s="5"/>
      <c r="N18" s="5"/>
      <c r="O18" s="5"/>
      <c r="P18" s="5"/>
      <c r="Q18" s="5"/>
      <c r="R18" s="5"/>
      <c r="S18" s="5"/>
      <c r="T18" s="5"/>
      <c r="U18" s="5"/>
      <c r="V18" s="5"/>
      <c r="W18" s="5"/>
      <c r="X18" s="5"/>
      <c r="Y18" s="5"/>
      <c r="Z18" s="5"/>
    </row>
    <row r="19">
      <c r="A19" s="5">
        <f>IFERROR(__xludf.DUMMYFUNCTION("""COMPUTED_VALUE"""),18.0)</f>
        <v>18</v>
      </c>
      <c r="B19" s="5">
        <f>IFERROR(__xludf.DUMMYFUNCTION("""COMPUTED_VALUE"""),18.0)</f>
        <v>18</v>
      </c>
      <c r="C19" s="5" t="str">
        <f>IFERROR(__xludf.DUMMYFUNCTION("""COMPUTED_VALUE"""),"N. Macedonian")</f>
        <v>N. Macedonian</v>
      </c>
      <c r="D19" s="5" t="str">
        <f>IFERROR(__xludf.DUMMYFUNCTION("""COMPUTED_VALUE"""),"mkd/mac")</f>
        <v>mkd/mac</v>
      </c>
      <c r="E19" s="5" t="b">
        <f>IFERROR(__xludf.DUMMYFUNCTION("""COMPUTED_VALUE"""),TRUE)</f>
        <v>1</v>
      </c>
      <c r="F19" s="5" t="str">
        <f>IFERROR(__xludf.DUMMYFUNCTION("""COMPUTED_VALUE"""),"NULL")</f>
        <v>NULL</v>
      </c>
      <c r="G19" s="5" t="str">
        <f>IFERROR(__xludf.DUMMYFUNCTION("""COMPUTED_VALUE"""),"2024-09-23T10:37:49.667Z")</f>
        <v>2024-09-23T10:37:49.667Z</v>
      </c>
      <c r="H19" s="5" t="str">
        <f>IFERROR(__xludf.DUMMYFUNCTION("""COMPUTED_VALUE"""),"sa")</f>
        <v>sa</v>
      </c>
      <c r="I19" s="9">
        <f>IFERROR(__xludf.DUMMYFUNCTION("""COMPUTED_VALUE"""),45989.633784722224)</f>
        <v>45989.63378</v>
      </c>
      <c r="J19" s="5" t="str">
        <f>IFERROR(__xludf.DUMMYFUNCTION("""COMPUTED_VALUE"""),"iva.cirkovic@fazi.rs")</f>
        <v>iva.cirkovic@fazi.rs</v>
      </c>
      <c r="K19" s="5" t="b">
        <f>IFERROR(__xludf.DUMMYFUNCTION("""COMPUTED_VALUE"""),TRUE)</f>
        <v>1</v>
      </c>
      <c r="L19" s="5"/>
      <c r="M19" s="5"/>
      <c r="N19" s="5"/>
      <c r="O19" s="5"/>
      <c r="P19" s="5"/>
      <c r="Q19" s="5"/>
      <c r="R19" s="5"/>
      <c r="S19" s="5"/>
      <c r="T19" s="5"/>
      <c r="U19" s="5"/>
      <c r="V19" s="5"/>
      <c r="W19" s="5"/>
      <c r="X19" s="5"/>
      <c r="Y19" s="5"/>
      <c r="Z19" s="5"/>
    </row>
    <row r="20">
      <c r="A20" s="5">
        <f>IFERROR(__xludf.DUMMYFUNCTION("""COMPUTED_VALUE"""),19.0)</f>
        <v>19</v>
      </c>
      <c r="B20" s="5">
        <f>IFERROR(__xludf.DUMMYFUNCTION("""COMPUTED_VALUE"""),19.0)</f>
        <v>19</v>
      </c>
      <c r="C20" s="5" t="str">
        <f>IFERROR(__xludf.DUMMYFUNCTION("""COMPUTED_VALUE"""),"Finnish")</f>
        <v>Finnish</v>
      </c>
      <c r="D20" s="5" t="str">
        <f>IFERROR(__xludf.DUMMYFUNCTION("""COMPUTED_VALUE"""),"fin")</f>
        <v>fin</v>
      </c>
      <c r="E20" s="5" t="b">
        <f>IFERROR(__xludf.DUMMYFUNCTION("""COMPUTED_VALUE"""),TRUE)</f>
        <v>1</v>
      </c>
      <c r="F20" s="5" t="str">
        <f>IFERROR(__xludf.DUMMYFUNCTION("""COMPUTED_VALUE"""),"NULL")</f>
        <v>NULL</v>
      </c>
      <c r="G20" s="5" t="str">
        <f>IFERROR(__xludf.DUMMYFUNCTION("""COMPUTED_VALUE"""),"2024-09-23T10:37:49.667Z")</f>
        <v>2024-09-23T10:37:49.667Z</v>
      </c>
      <c r="H20" s="5" t="str">
        <f>IFERROR(__xludf.DUMMYFUNCTION("""COMPUTED_VALUE"""),"sa")</f>
        <v>sa</v>
      </c>
      <c r="I20" s="9">
        <f>IFERROR(__xludf.DUMMYFUNCTION("""COMPUTED_VALUE"""),46161.505625)</f>
        <v>46161.50563</v>
      </c>
      <c r="J20" s="5" t="str">
        <f>IFERROR(__xludf.DUMMYFUNCTION("""COMPUTED_VALUE"""),"djordje.petrovic@fazi.rs")</f>
        <v>djordje.petrovic@fazi.rs</v>
      </c>
      <c r="K20" s="5" t="b">
        <f>IFERROR(__xludf.DUMMYFUNCTION("""COMPUTED_VALUE"""),TRUE)</f>
        <v>1</v>
      </c>
      <c r="L20" s="5"/>
      <c r="M20" s="5"/>
      <c r="N20" s="5"/>
      <c r="O20" s="5"/>
      <c r="P20" s="5"/>
      <c r="Q20" s="5"/>
      <c r="R20" s="5"/>
      <c r="S20" s="5"/>
      <c r="T20" s="5"/>
      <c r="U20" s="5"/>
      <c r="V20" s="5"/>
      <c r="W20" s="5"/>
      <c r="X20" s="5"/>
      <c r="Y20" s="5"/>
      <c r="Z20" s="5"/>
    </row>
    <row r="21">
      <c r="A21" s="5">
        <f>IFERROR(__xludf.DUMMYFUNCTION("""COMPUTED_VALUE"""),20.0)</f>
        <v>20</v>
      </c>
      <c r="B21" s="5">
        <f>IFERROR(__xludf.DUMMYFUNCTION("""COMPUTED_VALUE"""),20.0)</f>
        <v>20</v>
      </c>
      <c r="C21" s="5" t="str">
        <f>IFERROR(__xludf.DUMMYFUNCTION("""COMPUTED_VALUE"""),"Armenian")</f>
        <v>Armenian</v>
      </c>
      <c r="D21" s="5" t="str">
        <f>IFERROR(__xludf.DUMMYFUNCTION("""COMPUTED_VALUE"""),"arm/hye")</f>
        <v>arm/hye</v>
      </c>
      <c r="E21" s="5" t="b">
        <f>IFERROR(__xludf.DUMMYFUNCTION("""COMPUTED_VALUE"""),TRUE)</f>
        <v>1</v>
      </c>
      <c r="F21" s="5" t="str">
        <f>IFERROR(__xludf.DUMMYFUNCTION("""COMPUTED_VALUE"""),"NULL")</f>
        <v>NULL</v>
      </c>
      <c r="G21" s="5" t="str">
        <f>IFERROR(__xludf.DUMMYFUNCTION("""COMPUTED_VALUE"""),"2024-09-23T10:37:49.667Z")</f>
        <v>2024-09-23T10:37:49.667Z</v>
      </c>
      <c r="H21" s="5" t="str">
        <f>IFERROR(__xludf.DUMMYFUNCTION("""COMPUTED_VALUE"""),"sa")</f>
        <v>sa</v>
      </c>
      <c r="I21" s="9">
        <f>IFERROR(__xludf.DUMMYFUNCTION("""COMPUTED_VALUE"""),46161.50682870371)</f>
        <v>46161.50683</v>
      </c>
      <c r="J21" s="5" t="str">
        <f>IFERROR(__xludf.DUMMYFUNCTION("""COMPUTED_VALUE"""),"djordje.petrovic@fazi.rs")</f>
        <v>djordje.petrovic@fazi.rs</v>
      </c>
      <c r="K21" s="5" t="b">
        <f>IFERROR(__xludf.DUMMYFUNCTION("""COMPUTED_VALUE"""),TRUE)</f>
        <v>1</v>
      </c>
      <c r="L21" s="5"/>
      <c r="M21" s="5"/>
      <c r="N21" s="5"/>
      <c r="O21" s="5"/>
      <c r="P21" s="5"/>
      <c r="Q21" s="5"/>
      <c r="R21" s="5"/>
      <c r="S21" s="5"/>
      <c r="T21" s="5"/>
      <c r="U21" s="5"/>
      <c r="V21" s="5"/>
      <c r="W21" s="5"/>
      <c r="X21" s="5"/>
      <c r="Y21" s="5"/>
      <c r="Z21" s="5"/>
    </row>
    <row r="22">
      <c r="A22" s="5">
        <f>IFERROR(__xludf.DUMMYFUNCTION("""COMPUTED_VALUE"""),21.0)</f>
        <v>21</v>
      </c>
      <c r="B22" s="5">
        <f>IFERROR(__xludf.DUMMYFUNCTION("""COMPUTED_VALUE"""),21.0)</f>
        <v>21</v>
      </c>
      <c r="C22" s="5" t="str">
        <f>IFERROR(__xludf.DUMMYFUNCTION("""COMPUTED_VALUE"""),"Social English")</f>
        <v>Social English</v>
      </c>
      <c r="D22" s="5" t="str">
        <f>IFERROR(__xludf.DUMMYFUNCTION("""COMPUTED_VALUE"""),"sen")</f>
        <v>sen</v>
      </c>
      <c r="E22" s="5" t="b">
        <f>IFERROR(__xludf.DUMMYFUNCTION("""COMPUTED_VALUE"""),TRUE)</f>
        <v>1</v>
      </c>
      <c r="F22" s="5" t="str">
        <f>IFERROR(__xludf.DUMMYFUNCTION("""COMPUTED_VALUE"""),"NULL")</f>
        <v>NULL</v>
      </c>
      <c r="G22" s="9"/>
      <c r="H22" s="5"/>
      <c r="I22" s="9">
        <f>IFERROR(__xludf.DUMMYFUNCTION("""COMPUTED_VALUE"""),46161.506215277775)</f>
        <v>46161.50622</v>
      </c>
      <c r="J22" s="5" t="str">
        <f>IFERROR(__xludf.DUMMYFUNCTION("""COMPUTED_VALUE"""),"djordje.petrovic@fazi.rs")</f>
        <v>djordje.petrovic@fazi.rs</v>
      </c>
      <c r="K22" s="5" t="b">
        <f>IFERROR(__xludf.DUMMYFUNCTION("""COMPUTED_VALUE"""),TRUE)</f>
        <v>1</v>
      </c>
      <c r="L22" s="5"/>
      <c r="M22" s="5"/>
      <c r="N22" s="5"/>
      <c r="O22" s="5"/>
      <c r="P22" s="5"/>
      <c r="Q22" s="5"/>
      <c r="R22" s="5"/>
      <c r="S22" s="5"/>
      <c r="T22" s="5"/>
      <c r="U22" s="5"/>
      <c r="V22" s="5"/>
      <c r="W22" s="5"/>
      <c r="X22" s="5"/>
      <c r="Y22" s="5"/>
      <c r="Z22" s="5"/>
    </row>
    <row r="23">
      <c r="A23" s="5">
        <f>IFERROR(__xludf.DUMMYFUNCTION("""COMPUTED_VALUE"""),22.0)</f>
        <v>22</v>
      </c>
      <c r="B23" s="5">
        <f>IFERROR(__xludf.DUMMYFUNCTION("""COMPUTED_VALUE"""),22.0)</f>
        <v>22</v>
      </c>
      <c r="C23" s="5" t="str">
        <f>IFERROR(__xludf.DUMMYFUNCTION("""COMPUTED_VALUE"""),"Amharic")</f>
        <v>Amharic</v>
      </c>
      <c r="D23" s="5" t="str">
        <f>IFERROR(__xludf.DUMMYFUNCTION("""COMPUTED_VALUE"""),"amh")</f>
        <v>amh</v>
      </c>
      <c r="E23" s="5" t="b">
        <f>IFERROR(__xludf.DUMMYFUNCTION("""COMPUTED_VALUE"""),TRUE)</f>
        <v>1</v>
      </c>
      <c r="F23" s="5" t="str">
        <f>IFERROR(__xludf.DUMMYFUNCTION("""COMPUTED_VALUE"""),"NULL")</f>
        <v>NULL</v>
      </c>
      <c r="G23" s="9"/>
      <c r="H23" s="5"/>
      <c r="I23" s="9"/>
      <c r="J23" s="5"/>
      <c r="K23" s="5"/>
      <c r="L23" s="5"/>
      <c r="M23" s="5"/>
      <c r="N23" s="5"/>
      <c r="O23" s="5"/>
      <c r="P23" s="5"/>
      <c r="Q23" s="5"/>
      <c r="R23" s="5"/>
      <c r="S23" s="5"/>
      <c r="T23" s="5"/>
      <c r="U23" s="5"/>
      <c r="V23" s="5"/>
      <c r="W23" s="5"/>
      <c r="X23" s="5"/>
      <c r="Y23" s="5"/>
      <c r="Z23" s="5"/>
    </row>
    <row r="24">
      <c r="A24" s="5">
        <f>IFERROR(__xludf.DUMMYFUNCTION("""COMPUTED_VALUE"""),23.0)</f>
        <v>23</v>
      </c>
      <c r="B24" s="5">
        <f>IFERROR(__xludf.DUMMYFUNCTION("""COMPUTED_VALUE"""),23.0)</f>
        <v>23</v>
      </c>
      <c r="C24" s="5" t="str">
        <f>IFERROR(__xludf.DUMMYFUNCTION("""COMPUTED_VALUE"""),"Swahili")</f>
        <v>Swahili</v>
      </c>
      <c r="D24" s="5" t="str">
        <f>IFERROR(__xludf.DUMMYFUNCTION("""COMPUTED_VALUE"""),"swa")</f>
        <v>swa</v>
      </c>
      <c r="E24" s="5" t="b">
        <f>IFERROR(__xludf.DUMMYFUNCTION("""COMPUTED_VALUE"""),TRUE)</f>
        <v>1</v>
      </c>
      <c r="F24" s="5" t="str">
        <f>IFERROR(__xludf.DUMMYFUNCTION("""COMPUTED_VALUE"""),"NULL")</f>
        <v>NULL</v>
      </c>
      <c r="G24" s="9"/>
      <c r="H24" s="5"/>
      <c r="I24" s="9">
        <f>IFERROR(__xludf.DUMMYFUNCTION("""COMPUTED_VALUE"""),46161.50633101852)</f>
        <v>46161.50633</v>
      </c>
      <c r="J24" s="5" t="str">
        <f>IFERROR(__xludf.DUMMYFUNCTION("""COMPUTED_VALUE"""),"djordje.petrovic@fazi.rs")</f>
        <v>djordje.petrovic@fazi.rs</v>
      </c>
      <c r="K24" s="5" t="b">
        <f>IFERROR(__xludf.DUMMYFUNCTION("""COMPUTED_VALUE"""),TRUE)</f>
        <v>1</v>
      </c>
      <c r="L24" s="5"/>
      <c r="M24" s="5"/>
      <c r="N24" s="5"/>
      <c r="O24" s="5"/>
      <c r="P24" s="5"/>
      <c r="Q24" s="5"/>
      <c r="R24" s="5"/>
      <c r="S24" s="5"/>
      <c r="T24" s="5"/>
      <c r="U24" s="5"/>
      <c r="V24" s="5"/>
      <c r="W24" s="5"/>
      <c r="X24" s="5"/>
      <c r="Y24" s="5"/>
      <c r="Z24" s="5"/>
    </row>
    <row r="25">
      <c r="A25" s="5">
        <f>IFERROR(__xludf.DUMMYFUNCTION("""COMPUTED_VALUE"""),24.0)</f>
        <v>24</v>
      </c>
      <c r="B25" s="5">
        <f>IFERROR(__xludf.DUMMYFUNCTION("""COMPUTED_VALUE"""),24.0)</f>
        <v>24</v>
      </c>
      <c r="C25" s="5" t="str">
        <f>IFERROR(__xludf.DUMMYFUNCTION("""COMPUTED_VALUE"""),"Polish")</f>
        <v>Polish</v>
      </c>
      <c r="D25" s="5" t="str">
        <f>IFERROR(__xludf.DUMMYFUNCTION("""COMPUTED_VALUE"""),"pol")</f>
        <v>pol</v>
      </c>
      <c r="E25" s="5" t="b">
        <f>IFERROR(__xludf.DUMMYFUNCTION("""COMPUTED_VALUE"""),TRUE)</f>
        <v>1</v>
      </c>
      <c r="F25" s="5" t="str">
        <f>IFERROR(__xludf.DUMMYFUNCTION("""COMPUTED_VALUE"""),"NULL")</f>
        <v>NULL</v>
      </c>
      <c r="G25" s="9"/>
      <c r="H25" s="5"/>
      <c r="I25" s="9">
        <f>IFERROR(__xludf.DUMMYFUNCTION("""COMPUTED_VALUE"""),46161.50667824074)</f>
        <v>46161.50668</v>
      </c>
      <c r="J25" s="5" t="str">
        <f>IFERROR(__xludf.DUMMYFUNCTION("""COMPUTED_VALUE"""),"djordje.petrovic@fazi.rs")</f>
        <v>djordje.petrovic@fazi.rs</v>
      </c>
      <c r="K25" s="5" t="b">
        <f>IFERROR(__xludf.DUMMYFUNCTION("""COMPUTED_VALUE"""),TRUE)</f>
        <v>1</v>
      </c>
      <c r="L25" s="5"/>
      <c r="M25" s="5"/>
      <c r="N25" s="5"/>
      <c r="O25" s="5"/>
      <c r="P25" s="5"/>
      <c r="Q25" s="5"/>
      <c r="R25" s="5"/>
      <c r="S25" s="5"/>
      <c r="T25" s="5"/>
      <c r="U25" s="5"/>
      <c r="V25" s="5"/>
      <c r="W25" s="5"/>
      <c r="X25" s="5"/>
      <c r="Y25" s="5"/>
      <c r="Z25" s="5"/>
    </row>
    <row r="26">
      <c r="A26" s="5">
        <f>IFERROR(__xludf.DUMMYFUNCTION("""COMPUTED_VALUE"""),25.0)</f>
        <v>25</v>
      </c>
      <c r="B26" s="5">
        <f>IFERROR(__xludf.DUMMYFUNCTION("""COMPUTED_VALUE"""),25.0)</f>
        <v>25</v>
      </c>
      <c r="C26" s="5" t="str">
        <f>IFERROR(__xludf.DUMMYFUNCTION("""COMPUTED_VALUE"""),"Latvian")</f>
        <v>Latvian</v>
      </c>
      <c r="D26" s="5" t="str">
        <f>IFERROR(__xludf.DUMMYFUNCTION("""COMPUTED_VALUE"""),"lav")</f>
        <v>lav</v>
      </c>
      <c r="E26" s="5" t="b">
        <f>IFERROR(__xludf.DUMMYFUNCTION("""COMPUTED_VALUE"""),TRUE)</f>
        <v>1</v>
      </c>
      <c r="F26" s="5" t="str">
        <f>IFERROR(__xludf.DUMMYFUNCTION("""COMPUTED_VALUE"""),"NULL")</f>
        <v>NULL</v>
      </c>
      <c r="G26" s="9"/>
      <c r="H26" s="5"/>
      <c r="I26" s="9">
        <f>IFERROR(__xludf.DUMMYFUNCTION("""COMPUTED_VALUE"""),46161.50585648148)</f>
        <v>46161.50586</v>
      </c>
      <c r="J26" s="5" t="str">
        <f>IFERROR(__xludf.DUMMYFUNCTION("""COMPUTED_VALUE"""),"djordje.petrovic@fazi.rs")</f>
        <v>djordje.petrovic@fazi.rs</v>
      </c>
      <c r="K26" s="5" t="b">
        <f>IFERROR(__xludf.DUMMYFUNCTION("""COMPUTED_VALUE"""),TRUE)</f>
        <v>1</v>
      </c>
      <c r="L26" s="5"/>
      <c r="M26" s="5"/>
      <c r="N26" s="5"/>
      <c r="O26" s="5"/>
      <c r="P26" s="5"/>
      <c r="Q26" s="5"/>
      <c r="R26" s="5"/>
      <c r="S26" s="5"/>
      <c r="T26" s="5"/>
      <c r="U26" s="5"/>
      <c r="V26" s="5"/>
      <c r="W26" s="5"/>
      <c r="X26" s="5"/>
      <c r="Y26" s="5"/>
      <c r="Z26" s="5"/>
    </row>
    <row r="27">
      <c r="A27" s="5">
        <f>IFERROR(__xludf.DUMMYFUNCTION("""COMPUTED_VALUE"""),26.0)</f>
        <v>26</v>
      </c>
      <c r="B27" s="5">
        <f>IFERROR(__xludf.DUMMYFUNCTION("""COMPUTED_VALUE"""),26.0)</f>
        <v>26</v>
      </c>
      <c r="C27" s="5" t="str">
        <f>IFERROR(__xludf.DUMMYFUNCTION("""COMPUTED_VALUE"""),"Lithuanian")</f>
        <v>Lithuanian</v>
      </c>
      <c r="D27" s="5" t="str">
        <f>IFERROR(__xludf.DUMMYFUNCTION("""COMPUTED_VALUE"""),"lit")</f>
        <v>lit</v>
      </c>
      <c r="E27" s="5" t="b">
        <f>IFERROR(__xludf.DUMMYFUNCTION("""COMPUTED_VALUE"""),TRUE)</f>
        <v>1</v>
      </c>
      <c r="F27" s="5" t="str">
        <f>IFERROR(__xludf.DUMMYFUNCTION("""COMPUTED_VALUE"""),"NULL")</f>
        <v>NULL</v>
      </c>
      <c r="G27" s="9"/>
      <c r="H27" s="5"/>
      <c r="I27" s="9">
        <f>IFERROR(__xludf.DUMMYFUNCTION("""COMPUTED_VALUE"""),46161.50601851852)</f>
        <v>46161.50602</v>
      </c>
      <c r="J27" s="5" t="str">
        <f>IFERROR(__xludf.DUMMYFUNCTION("""COMPUTED_VALUE"""),"djordje.petrovic@fazi.rs")</f>
        <v>djordje.petrovic@fazi.rs</v>
      </c>
      <c r="K27" s="5" t="b">
        <f>IFERROR(__xludf.DUMMYFUNCTION("""COMPUTED_VALUE"""),TRUE)</f>
        <v>1</v>
      </c>
      <c r="L27" s="5"/>
      <c r="M27" s="5"/>
      <c r="N27" s="5"/>
      <c r="O27" s="5"/>
      <c r="P27" s="5"/>
      <c r="Q27" s="5"/>
      <c r="R27" s="5"/>
      <c r="S27" s="5"/>
      <c r="T27" s="5"/>
      <c r="U27" s="5"/>
      <c r="V27" s="5"/>
      <c r="W27" s="5"/>
      <c r="X27" s="5"/>
      <c r="Y27" s="5"/>
      <c r="Z27" s="5"/>
    </row>
    <row r="28">
      <c r="A28" s="5">
        <f>IFERROR(__xludf.DUMMYFUNCTION("""COMPUTED_VALUE"""),27.0)</f>
        <v>27</v>
      </c>
      <c r="B28" s="5">
        <f>IFERROR(__xludf.DUMMYFUNCTION("""COMPUTED_VALUE"""),27.0)</f>
        <v>27</v>
      </c>
      <c r="C28" s="5" t="str">
        <f>IFERROR(__xludf.DUMMYFUNCTION("""COMPUTED_VALUE"""),"Slovak")</f>
        <v>Slovak</v>
      </c>
      <c r="D28" s="5" t="str">
        <f>IFERROR(__xludf.DUMMYFUNCTION("""COMPUTED_VALUE"""),"slk")</f>
        <v>slk</v>
      </c>
      <c r="E28" s="5" t="b">
        <f>IFERROR(__xludf.DUMMYFUNCTION("""COMPUTED_VALUE"""),TRUE)</f>
        <v>1</v>
      </c>
      <c r="F28" s="5" t="str">
        <f>IFERROR(__xludf.DUMMYFUNCTION("""COMPUTED_VALUE"""),"NULL")</f>
        <v>NULL</v>
      </c>
      <c r="G28" s="9"/>
      <c r="H28" s="5"/>
      <c r="I28" s="9">
        <f>IFERROR(__xludf.DUMMYFUNCTION("""COMPUTED_VALUE"""),46161.51048611111)</f>
        <v>46161.51049</v>
      </c>
      <c r="J28" s="5" t="str">
        <f>IFERROR(__xludf.DUMMYFUNCTION("""COMPUTED_VALUE"""),"djordje.petrovic@fazi.rs")</f>
        <v>djordje.petrovic@fazi.rs</v>
      </c>
      <c r="K28" s="5" t="b">
        <f>IFERROR(__xludf.DUMMYFUNCTION("""COMPUTED_VALUE"""),FALSE)</f>
        <v>0</v>
      </c>
      <c r="L28" s="5"/>
      <c r="M28" s="5"/>
      <c r="N28" s="5"/>
      <c r="O28" s="5"/>
      <c r="P28" s="5"/>
      <c r="Q28" s="5"/>
      <c r="R28" s="5"/>
      <c r="S28" s="5"/>
      <c r="T28" s="5"/>
      <c r="U28" s="5"/>
      <c r="V28" s="5"/>
      <c r="W28" s="5"/>
      <c r="X28" s="5"/>
      <c r="Y28" s="5"/>
      <c r="Z28" s="5"/>
    </row>
    <row r="29">
      <c r="A29" s="5">
        <f>IFERROR(__xludf.DUMMYFUNCTION("""COMPUTED_VALUE"""),28.0)</f>
        <v>28</v>
      </c>
      <c r="B29" s="5">
        <f>IFERROR(__xludf.DUMMYFUNCTION("""COMPUTED_VALUE"""),28.0)</f>
        <v>28</v>
      </c>
      <c r="C29" s="5" t="str">
        <f>IFERROR(__xludf.DUMMYFUNCTION("""COMPUTED_VALUE"""),"Ukrainian")</f>
        <v>Ukrainian</v>
      </c>
      <c r="D29" s="5" t="str">
        <f>IFERROR(__xludf.DUMMYFUNCTION("""COMPUTED_VALUE"""),"ukr")</f>
        <v>ukr</v>
      </c>
      <c r="E29" s="5" t="b">
        <f>IFERROR(__xludf.DUMMYFUNCTION("""COMPUTED_VALUE"""),TRUE)</f>
        <v>1</v>
      </c>
      <c r="F29" s="5" t="str">
        <f>IFERROR(__xludf.DUMMYFUNCTION("""COMPUTED_VALUE"""),"NULL")</f>
        <v>NULL</v>
      </c>
      <c r="G29" s="9"/>
      <c r="H29" s="5"/>
      <c r="I29" s="9">
        <f>IFERROR(__xludf.DUMMYFUNCTION("""COMPUTED_VALUE"""),46161.510405092595)</f>
        <v>46161.51041</v>
      </c>
      <c r="J29" s="5" t="str">
        <f>IFERROR(__xludf.DUMMYFUNCTION("""COMPUTED_VALUE"""),"djordje.petrovic@fazi.rs")</f>
        <v>djordje.petrovic@fazi.rs</v>
      </c>
      <c r="K29" s="5" t="b">
        <f>IFERROR(__xludf.DUMMYFUNCTION("""COMPUTED_VALUE"""),TRUE)</f>
        <v>1</v>
      </c>
      <c r="L29" s="5"/>
      <c r="M29" s="5"/>
      <c r="N29" s="5"/>
      <c r="O29" s="5"/>
      <c r="P29" s="5"/>
      <c r="Q29" s="5"/>
      <c r="R29" s="5"/>
      <c r="S29" s="5"/>
      <c r="T29" s="5"/>
      <c r="U29" s="5"/>
      <c r="V29" s="5"/>
      <c r="W29" s="5"/>
      <c r="X29" s="5"/>
      <c r="Y29" s="5"/>
      <c r="Z29" s="5"/>
    </row>
    <row r="30">
      <c r="A30" s="5">
        <f>IFERROR(__xludf.DUMMYFUNCTION("""COMPUTED_VALUE"""),29.0)</f>
        <v>29</v>
      </c>
      <c r="B30" s="5">
        <f>IFERROR(__xludf.DUMMYFUNCTION("""COMPUTED_VALUE"""),29.0)</f>
        <v>29</v>
      </c>
      <c r="C30" s="5" t="str">
        <f>IFERROR(__xludf.DUMMYFUNCTION("""COMPUTED_VALUE"""),"Filipino")</f>
        <v>Filipino</v>
      </c>
      <c r="D30" s="5" t="str">
        <f>IFERROR(__xludf.DUMMYFUNCTION("""COMPUTED_VALUE"""),"fil")</f>
        <v>fil</v>
      </c>
      <c r="E30" s="5" t="b">
        <f>IFERROR(__xludf.DUMMYFUNCTION("""COMPUTED_VALUE"""),TRUE)</f>
        <v>1</v>
      </c>
      <c r="F30" s="5" t="str">
        <f>IFERROR(__xludf.DUMMYFUNCTION("""COMPUTED_VALUE"""),"NULL")</f>
        <v>NULL</v>
      </c>
      <c r="G30" s="9"/>
      <c r="H30" s="5"/>
      <c r="I30" s="9"/>
      <c r="J30" s="5"/>
      <c r="K30" s="5"/>
      <c r="L30" s="5"/>
      <c r="M30" s="5"/>
      <c r="N30" s="5"/>
      <c r="O30" s="5"/>
      <c r="P30" s="5"/>
      <c r="Q30" s="5"/>
      <c r="R30" s="5"/>
      <c r="S30" s="5"/>
      <c r="T30" s="5"/>
      <c r="U30" s="5"/>
      <c r="V30" s="5"/>
      <c r="W30" s="5"/>
      <c r="X30" s="5"/>
      <c r="Y30" s="5"/>
      <c r="Z30" s="5"/>
    </row>
    <row r="31">
      <c r="A31" s="5">
        <f>IFERROR(__xludf.DUMMYFUNCTION("""COMPUTED_VALUE"""),30.0)</f>
        <v>30</v>
      </c>
      <c r="B31" s="5">
        <f>IFERROR(__xludf.DUMMYFUNCTION("""COMPUTED_VALUE"""),30.0)</f>
        <v>30</v>
      </c>
      <c r="C31" s="5" t="str">
        <f>IFERROR(__xludf.DUMMYFUNCTION("""COMPUTED_VALUE"""),"Chinese")</f>
        <v>Chinese</v>
      </c>
      <c r="D31" s="5" t="str">
        <f>IFERROR(__xludf.DUMMYFUNCTION("""COMPUTED_VALUE"""),"zho/chi")</f>
        <v>zho/chi</v>
      </c>
      <c r="E31" s="5" t="b">
        <f>IFERROR(__xludf.DUMMYFUNCTION("""COMPUTED_VALUE"""),TRUE)</f>
        <v>1</v>
      </c>
      <c r="F31" s="5" t="str">
        <f>IFERROR(__xludf.DUMMYFUNCTION("""COMPUTED_VALUE"""),"NULL")</f>
        <v>NULL</v>
      </c>
      <c r="G31" s="9"/>
      <c r="H31" s="5"/>
      <c r="I31" s="9"/>
      <c r="J31" s="5"/>
      <c r="K31" s="5"/>
      <c r="L31" s="5"/>
      <c r="M31" s="5"/>
      <c r="N31" s="5"/>
      <c r="O31" s="5"/>
      <c r="P31" s="5"/>
      <c r="Q31" s="5"/>
      <c r="R31" s="5"/>
      <c r="S31" s="5"/>
      <c r="T31" s="5"/>
      <c r="U31" s="5"/>
      <c r="V31" s="5"/>
      <c r="W31" s="5"/>
      <c r="X31" s="5"/>
      <c r="Y31" s="5"/>
      <c r="Z31" s="5"/>
    </row>
    <row r="32">
      <c r="A32" s="5">
        <f>IFERROR(__xludf.DUMMYFUNCTION("""COMPUTED_VALUE"""),31.0)</f>
        <v>31</v>
      </c>
      <c r="B32" s="5">
        <f>IFERROR(__xludf.DUMMYFUNCTION("""COMPUTED_VALUE"""),31.0)</f>
        <v>31</v>
      </c>
      <c r="C32" s="5" t="str">
        <f>IFERROR(__xludf.DUMMYFUNCTION("""COMPUTED_VALUE"""),"Traditional Chinese")</f>
        <v>Traditional Chinese</v>
      </c>
      <c r="D32" s="5" t="str">
        <f>IFERROR(__xludf.DUMMYFUNCTION("""COMPUTED_VALUE"""),"zht")</f>
        <v>zht</v>
      </c>
      <c r="E32" s="5" t="b">
        <f>IFERROR(__xludf.DUMMYFUNCTION("""COMPUTED_VALUE"""),TRUE)</f>
        <v>1</v>
      </c>
      <c r="F32" s="5" t="str">
        <f>IFERROR(__xludf.DUMMYFUNCTION("""COMPUTED_VALUE"""),"NULL")</f>
        <v>NULL</v>
      </c>
      <c r="G32" s="9"/>
      <c r="H32" s="5"/>
      <c r="I32" s="9"/>
      <c r="J32" s="5"/>
      <c r="K32" s="5"/>
      <c r="L32" s="5"/>
      <c r="M32" s="5"/>
      <c r="N32" s="5"/>
      <c r="O32" s="5"/>
      <c r="P32" s="5"/>
      <c r="Q32" s="5"/>
      <c r="R32" s="5"/>
      <c r="S32" s="5"/>
      <c r="T32" s="5"/>
      <c r="U32" s="5"/>
      <c r="V32" s="5"/>
      <c r="W32" s="5"/>
      <c r="X32" s="5"/>
      <c r="Y32" s="5"/>
      <c r="Z32" s="5"/>
    </row>
    <row r="33">
      <c r="A33" s="5">
        <f>IFERROR(__xludf.DUMMYFUNCTION("""COMPUTED_VALUE"""),32.0)</f>
        <v>32</v>
      </c>
      <c r="B33" s="5">
        <f>IFERROR(__xludf.DUMMYFUNCTION("""COMPUTED_VALUE"""),32.0)</f>
        <v>32</v>
      </c>
      <c r="C33" s="5" t="str">
        <f>IFERROR(__xludf.DUMMYFUNCTION("""COMPUTED_VALUE"""),"Japanese")</f>
        <v>Japanese</v>
      </c>
      <c r="D33" s="5" t="str">
        <f>IFERROR(__xludf.DUMMYFUNCTION("""COMPUTED_VALUE"""),"jpn")</f>
        <v>jpn</v>
      </c>
      <c r="E33" s="5" t="b">
        <f>IFERROR(__xludf.DUMMYFUNCTION("""COMPUTED_VALUE"""),TRUE)</f>
        <v>1</v>
      </c>
      <c r="F33" s="5" t="str">
        <f>IFERROR(__xludf.DUMMYFUNCTION("""COMPUTED_VALUE"""),"NULL")</f>
        <v>NULL</v>
      </c>
      <c r="G33" s="9"/>
      <c r="H33" s="5"/>
      <c r="I33" s="9"/>
      <c r="J33" s="5"/>
      <c r="K33" s="5"/>
      <c r="L33" s="5"/>
      <c r="M33" s="5"/>
      <c r="N33" s="5"/>
      <c r="O33" s="5"/>
      <c r="P33" s="5"/>
      <c r="Q33" s="5"/>
      <c r="R33" s="5"/>
      <c r="S33" s="5"/>
      <c r="T33" s="5"/>
      <c r="U33" s="5"/>
      <c r="V33" s="5"/>
      <c r="W33" s="5"/>
      <c r="X33" s="5"/>
      <c r="Y33" s="5"/>
      <c r="Z33" s="5"/>
    </row>
    <row r="34">
      <c r="A34" s="5">
        <f>IFERROR(__xludf.DUMMYFUNCTION("""COMPUTED_VALUE"""),33.0)</f>
        <v>33</v>
      </c>
      <c r="B34" s="5">
        <f>IFERROR(__xludf.DUMMYFUNCTION("""COMPUTED_VALUE"""),33.0)</f>
        <v>33</v>
      </c>
      <c r="C34" s="5" t="str">
        <f>IFERROR(__xludf.DUMMYFUNCTION("""COMPUTED_VALUE"""),"Korean")</f>
        <v>Korean</v>
      </c>
      <c r="D34" s="5" t="str">
        <f>IFERROR(__xludf.DUMMYFUNCTION("""COMPUTED_VALUE"""),"kor")</f>
        <v>kor</v>
      </c>
      <c r="E34" s="5" t="b">
        <f>IFERROR(__xludf.DUMMYFUNCTION("""COMPUTED_VALUE"""),TRUE)</f>
        <v>1</v>
      </c>
      <c r="F34" s="5" t="str">
        <f>IFERROR(__xludf.DUMMYFUNCTION("""COMPUTED_VALUE"""),"NULL")</f>
        <v>NULL</v>
      </c>
      <c r="G34" s="9"/>
      <c r="H34" s="5"/>
      <c r="I34" s="9">
        <f>IFERROR(__xludf.DUMMYFUNCTION("""COMPUTED_VALUE"""),46161.50770833333)</f>
        <v>46161.50771</v>
      </c>
      <c r="J34" s="5" t="str">
        <f>IFERROR(__xludf.DUMMYFUNCTION("""COMPUTED_VALUE"""),"djordje.petrovic@fazi.rs")</f>
        <v>djordje.petrovic@fazi.rs</v>
      </c>
      <c r="K34" s="5" t="b">
        <f>IFERROR(__xludf.DUMMYFUNCTION("""COMPUTED_VALUE"""),FALSE)</f>
        <v>0</v>
      </c>
      <c r="L34" s="5"/>
      <c r="M34" s="5"/>
      <c r="N34" s="5"/>
      <c r="O34" s="5"/>
      <c r="P34" s="5"/>
      <c r="Q34" s="5"/>
      <c r="R34" s="5"/>
      <c r="S34" s="5"/>
      <c r="T34" s="5"/>
      <c r="U34" s="5"/>
      <c r="V34" s="5"/>
      <c r="W34" s="5"/>
      <c r="X34" s="5"/>
      <c r="Y34" s="5"/>
      <c r="Z34" s="5"/>
    </row>
    <row r="35">
      <c r="A35" s="5">
        <f>IFERROR(__xludf.DUMMYFUNCTION("""COMPUTED_VALUE"""),34.0)</f>
        <v>34</v>
      </c>
      <c r="B35" s="5">
        <f>IFERROR(__xludf.DUMMYFUNCTION("""COMPUTED_VALUE"""),34.0)</f>
        <v>34</v>
      </c>
      <c r="C35" s="5" t="str">
        <f>IFERROR(__xludf.DUMMYFUNCTION("""COMPUTED_VALUE"""),"Bosnian")</f>
        <v>Bosnian</v>
      </c>
      <c r="D35" s="5"/>
      <c r="E35" s="5" t="b">
        <f>IFERROR(__xludf.DUMMYFUNCTION("""COMPUTED_VALUE"""),TRUE)</f>
        <v>1</v>
      </c>
      <c r="F35" s="5"/>
      <c r="G35" s="9"/>
      <c r="H35" s="5"/>
      <c r="I35" s="8">
        <f>IFERROR(__xludf.DUMMYFUNCTION("""COMPUTED_VALUE"""),46036.63041666667)</f>
        <v>46036.63042</v>
      </c>
      <c r="J35" s="5" t="str">
        <f>IFERROR(__xludf.DUMMYFUNCTION("""COMPUTED_VALUE"""),"iva.cirkovic@fazi.rs")</f>
        <v>iva.cirkovic@fazi.rs</v>
      </c>
      <c r="K35" s="5" t="b">
        <f>IFERROR(__xludf.DUMMYFUNCTION("""COMPUTED_VALUE"""),TRUE)</f>
        <v>1</v>
      </c>
      <c r="L35" s="5"/>
      <c r="M35" s="5"/>
      <c r="N35" s="5"/>
      <c r="O35" s="5"/>
      <c r="P35" s="5"/>
      <c r="Q35" s="5"/>
      <c r="R35" s="5"/>
      <c r="S35" s="5"/>
      <c r="T35" s="5"/>
      <c r="U35" s="5"/>
      <c r="V35" s="5"/>
      <c r="W35" s="5"/>
      <c r="X35" s="5"/>
      <c r="Y35" s="5"/>
      <c r="Z35" s="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63"/>
  </cols>
  <sheetData>
    <row r="1">
      <c r="A1" s="5" t="str">
        <f>IFERROR(__xludf.DUMMYFUNCTION("IMPORTRANGE(""1KY2uWXIWPXLFOhcsi9XG90Mf0s1xDuLfe-rnIQmeal4"", ""ReportGameJurisdiction_new!E:BZ"")"),"GameName")</f>
        <v>GameName</v>
      </c>
      <c r="B1" s="5" t="str">
        <f>IFERROR(__xludf.DUMMYFUNCTION("""COMPUTED_VALUE"""),"Brazil")</f>
        <v>Brazil</v>
      </c>
      <c r="C1" s="5" t="str">
        <f>IFERROR(__xludf.DUMMYFUNCTION("""COMPUTED_VALUE"""),"Portugal")</f>
        <v>Portugal</v>
      </c>
      <c r="D1" s="5" t="str">
        <f>IFERROR(__xludf.DUMMYFUNCTION("""COMPUTED_VALUE"""),"Switzerland")</f>
        <v>Switzerland</v>
      </c>
      <c r="E1" s="5" t="str">
        <f>IFERROR(__xludf.DUMMYFUNCTION("""COMPUTED_VALUE"""),"Peru")</f>
        <v>Peru</v>
      </c>
      <c r="F1" s="5" t="str">
        <f>IFERROR(__xludf.DUMMYFUNCTION("""COMPUTED_VALUE"""),"Italy")</f>
        <v>Italy</v>
      </c>
      <c r="G1" s="5" t="str">
        <f>IFERROR(__xludf.DUMMYFUNCTION("""COMPUTED_VALUE"""),"Belarus")</f>
        <v>Belarus</v>
      </c>
      <c r="H1" s="5" t="str">
        <f>IFERROR(__xludf.DUMMYFUNCTION("""COMPUTED_VALUE"""),"Croatia")</f>
        <v>Croatia</v>
      </c>
      <c r="I1" s="5" t="str">
        <f>IFERROR(__xludf.DUMMYFUNCTION("""COMPUTED_VALUE"""),"Romania")</f>
        <v>Romania</v>
      </c>
      <c r="J1" s="5" t="str">
        <f>IFERROR(__xludf.DUMMYFUNCTION("""COMPUTED_VALUE"""),"Colombia")</f>
        <v>Colombia</v>
      </c>
      <c r="K1" s="5" t="str">
        <f>IFERROR(__xludf.DUMMYFUNCTION("""COMPUTED_VALUE"""),"Greece")</f>
        <v>Greece</v>
      </c>
      <c r="L1" s="5" t="str">
        <f>IFERROR(__xludf.DUMMYFUNCTION("""COMPUTED_VALUE"""),"Czechia")</f>
        <v>Czechia</v>
      </c>
      <c r="M1" s="5" t="str">
        <f>IFERROR(__xludf.DUMMYFUNCTION("""COMPUTED_VALUE"""),"Netherlands")</f>
        <v>Netherlands</v>
      </c>
      <c r="N1" s="5" t="str">
        <f>IFERROR(__xludf.DUMMYFUNCTION("""COMPUTED_VALUE"""),"Lithuania")</f>
        <v>Lithuania</v>
      </c>
      <c r="O1" s="5" t="str">
        <f>IFERROR(__xludf.DUMMYFUNCTION("""COMPUTED_VALUE"""),"Latvia")</f>
        <v>Latvia</v>
      </c>
      <c r="P1" s="5" t="str">
        <f>IFERROR(__xludf.DUMMYFUNCTION("""COMPUTED_VALUE"""),"Bulgaria")</f>
        <v>Bulgaria</v>
      </c>
      <c r="Q1" s="5" t="str">
        <f>IFERROR(__xludf.DUMMYFUNCTION("""COMPUTED_VALUE"""),"Republic of Srpska")</f>
        <v>Republic of Srpska</v>
      </c>
      <c r="R1" s="5" t="str">
        <f>IFERROR(__xludf.DUMMYFUNCTION("""COMPUTED_VALUE"""),"Austria")</f>
        <v>Austria</v>
      </c>
      <c r="S1" s="5" t="str">
        <f>IFERROR(__xludf.DUMMYFUNCTION("""COMPUTED_VALUE"""),"Slovenia")</f>
        <v>Slovenia</v>
      </c>
      <c r="T1" s="5" t="str">
        <f>IFERROR(__xludf.DUMMYFUNCTION("""COMPUTED_VALUE"""),"Germany")</f>
        <v>Germany</v>
      </c>
      <c r="U1" s="5" t="str">
        <f>IFERROR(__xludf.DUMMYFUNCTION("""COMPUTED_VALUE"""),"South Africa")</f>
        <v>South Africa</v>
      </c>
      <c r="V1" s="5" t="str">
        <f>IFERROR(__xludf.DUMMYFUNCTION("""COMPUTED_VALUE"""),"Georgia")</f>
        <v>Georgia</v>
      </c>
      <c r="W1" s="5" t="str">
        <f>IFERROR(__xludf.DUMMYFUNCTION("""COMPUTED_VALUE"""),"Slovakia")</f>
        <v>Slovakia</v>
      </c>
      <c r="X1" s="5"/>
      <c r="Y1" s="5"/>
      <c r="Z1" s="5"/>
    </row>
    <row r="2">
      <c r="A2" s="5" t="str">
        <f>IFERROR(__xludf.DUMMYFUNCTION("""COMPUTED_VALUE"""),"Postman")</f>
        <v>Postman</v>
      </c>
      <c r="B2" s="5" t="str">
        <f>IFERROR(__xludf.DUMMYFUNCTION("""COMPUTED_VALUE"""),"")</f>
        <v/>
      </c>
      <c r="C2" s="5" t="str">
        <f>IFERROR(__xludf.DUMMYFUNCTION("""COMPUTED_VALUE"""),"")</f>
        <v/>
      </c>
      <c r="D2" s="5" t="str">
        <f>IFERROR(__xludf.DUMMYFUNCTION("""COMPUTED_VALUE"""),"")</f>
        <v/>
      </c>
      <c r="E2" s="5" t="str">
        <f>IFERROR(__xludf.DUMMYFUNCTION("""COMPUTED_VALUE"""),"")</f>
        <v/>
      </c>
      <c r="F2" s="5" t="str">
        <f>IFERROR(__xludf.DUMMYFUNCTION("""COMPUTED_VALUE"""),"")</f>
        <v/>
      </c>
      <c r="G2" s="5" t="str">
        <f>IFERROR(__xludf.DUMMYFUNCTION("""COMPUTED_VALUE"""),"")</f>
        <v/>
      </c>
      <c r="H2" s="5" t="str">
        <f>IFERROR(__xludf.DUMMYFUNCTION("""COMPUTED_VALUE"""),"")</f>
        <v/>
      </c>
      <c r="I2" s="5" t="str">
        <f>IFERROR(__xludf.DUMMYFUNCTION("""COMPUTED_VALUE"""),"")</f>
        <v/>
      </c>
      <c r="J2" s="5" t="str">
        <f>IFERROR(__xludf.DUMMYFUNCTION("""COMPUTED_VALUE"""),"")</f>
        <v/>
      </c>
      <c r="K2" s="5" t="str">
        <f>IFERROR(__xludf.DUMMYFUNCTION("""COMPUTED_VALUE"""),"")</f>
        <v/>
      </c>
      <c r="L2" s="5" t="str">
        <f>IFERROR(__xludf.DUMMYFUNCTION("""COMPUTED_VALUE"""),"")</f>
        <v/>
      </c>
      <c r="M2" s="5" t="str">
        <f>IFERROR(__xludf.DUMMYFUNCTION("""COMPUTED_VALUE"""),"")</f>
        <v/>
      </c>
      <c r="N2" s="5" t="str">
        <f>IFERROR(__xludf.DUMMYFUNCTION("""COMPUTED_VALUE"""),"")</f>
        <v/>
      </c>
      <c r="O2" s="5" t="str">
        <f>IFERROR(__xludf.DUMMYFUNCTION("""COMPUTED_VALUE"""),"")</f>
        <v/>
      </c>
      <c r="P2" s="5" t="str">
        <f>IFERROR(__xludf.DUMMYFUNCTION("""COMPUTED_VALUE"""),"")</f>
        <v/>
      </c>
      <c r="Q2" s="5" t="str">
        <f>IFERROR(__xludf.DUMMYFUNCTION("""COMPUTED_VALUE"""),"")</f>
        <v/>
      </c>
      <c r="R2" s="5" t="str">
        <f>IFERROR(__xludf.DUMMYFUNCTION("""COMPUTED_VALUE"""),"")</f>
        <v/>
      </c>
      <c r="S2" s="5" t="str">
        <f>IFERROR(__xludf.DUMMYFUNCTION("""COMPUTED_VALUE"""),"")</f>
        <v/>
      </c>
      <c r="T2" s="5" t="str">
        <f>IFERROR(__xludf.DUMMYFUNCTION("""COMPUTED_VALUE"""),"")</f>
        <v/>
      </c>
      <c r="U2" s="5" t="str">
        <f>IFERROR(__xludf.DUMMYFUNCTION("""COMPUTED_VALUE"""),"")</f>
        <v/>
      </c>
      <c r="V2" s="5" t="str">
        <f>IFERROR(__xludf.DUMMYFUNCTION("""COMPUTED_VALUE"""),"")</f>
        <v/>
      </c>
      <c r="W2" s="5" t="str">
        <f>IFERROR(__xludf.DUMMYFUNCTION("""COMPUTED_VALUE"""),"")</f>
        <v/>
      </c>
      <c r="X2" s="5" t="str">
        <f>IFERROR(__xludf.DUMMYFUNCTION("""COMPUTED_VALUE"""),"")</f>
        <v/>
      </c>
      <c r="Y2" s="5"/>
      <c r="Z2" s="5"/>
    </row>
    <row r="3">
      <c r="A3" s="5" t="str">
        <f>IFERROR(__xludf.DUMMYFUNCTION("""COMPUTED_VALUE"""),"Deep Jungle")</f>
        <v>Deep Jungle</v>
      </c>
      <c r="B3" s="5" t="str">
        <f>IFERROR(__xludf.DUMMYFUNCTION("""COMPUTED_VALUE"""),"Available")</f>
        <v>Available</v>
      </c>
      <c r="C3" s="5" t="str">
        <f>IFERROR(__xludf.DUMMYFUNCTION("""COMPUTED_VALUE"""),"")</f>
        <v/>
      </c>
      <c r="D3" s="5" t="str">
        <f>IFERROR(__xludf.DUMMYFUNCTION("""COMPUTED_VALUE"""),"")</f>
        <v/>
      </c>
      <c r="E3" s="5" t="str">
        <f>IFERROR(__xludf.DUMMYFUNCTION("""COMPUTED_VALUE"""),"Available")</f>
        <v>Available</v>
      </c>
      <c r="F3" s="5" t="str">
        <f>IFERROR(__xludf.DUMMYFUNCTION("""COMPUTED_VALUE"""),"")</f>
        <v/>
      </c>
      <c r="G3" s="5" t="str">
        <f>IFERROR(__xludf.DUMMYFUNCTION("""COMPUTED_VALUE"""),"")</f>
        <v/>
      </c>
      <c r="H3" s="5" t="str">
        <f>IFERROR(__xludf.DUMMYFUNCTION("""COMPUTED_VALUE"""),"")</f>
        <v/>
      </c>
      <c r="I3" s="5" t="str">
        <f>IFERROR(__xludf.DUMMYFUNCTION("""COMPUTED_VALUE"""),"")</f>
        <v/>
      </c>
      <c r="J3" s="5" t="str">
        <f>IFERROR(__xludf.DUMMYFUNCTION("""COMPUTED_VALUE"""),"Available")</f>
        <v>Available</v>
      </c>
      <c r="K3" s="5" t="str">
        <f>IFERROR(__xludf.DUMMYFUNCTION("""COMPUTED_VALUE"""),"")</f>
        <v/>
      </c>
      <c r="L3" s="5" t="str">
        <f>IFERROR(__xludf.DUMMYFUNCTION("""COMPUTED_VALUE"""),"")</f>
        <v/>
      </c>
      <c r="M3" s="5" t="str">
        <f>IFERROR(__xludf.DUMMYFUNCTION("""COMPUTED_VALUE"""),"")</f>
        <v/>
      </c>
      <c r="N3" s="5" t="str">
        <f>IFERROR(__xludf.DUMMYFUNCTION("""COMPUTED_VALUE"""),"")</f>
        <v/>
      </c>
      <c r="O3" s="5" t="str">
        <f>IFERROR(__xludf.DUMMYFUNCTION("""COMPUTED_VALUE"""),"")</f>
        <v/>
      </c>
      <c r="P3" s="5" t="str">
        <f>IFERROR(__xludf.DUMMYFUNCTION("""COMPUTED_VALUE"""),"")</f>
        <v/>
      </c>
      <c r="Q3" s="5" t="str">
        <f>IFERROR(__xludf.DUMMYFUNCTION("""COMPUTED_VALUE"""),"")</f>
        <v/>
      </c>
      <c r="R3" s="5" t="str">
        <f>IFERROR(__xludf.DUMMYFUNCTION("""COMPUTED_VALUE"""),"")</f>
        <v/>
      </c>
      <c r="S3" s="5" t="str">
        <f>IFERROR(__xludf.DUMMYFUNCTION("""COMPUTED_VALUE"""),"")</f>
        <v/>
      </c>
      <c r="T3" s="5" t="str">
        <f>IFERROR(__xludf.DUMMYFUNCTION("""COMPUTED_VALUE"""),"")</f>
        <v/>
      </c>
      <c r="U3" s="5" t="str">
        <f>IFERROR(__xludf.DUMMYFUNCTION("""COMPUTED_VALUE"""),"")</f>
        <v/>
      </c>
      <c r="V3" s="5" t="str">
        <f>IFERROR(__xludf.DUMMYFUNCTION("""COMPUTED_VALUE"""),"")</f>
        <v/>
      </c>
      <c r="W3" s="5" t="str">
        <f>IFERROR(__xludf.DUMMYFUNCTION("""COMPUTED_VALUE"""),"")</f>
        <v/>
      </c>
      <c r="X3" s="5" t="str">
        <f>IFERROR(__xludf.DUMMYFUNCTION("""COMPUTED_VALUE"""),"")</f>
        <v/>
      </c>
      <c r="Y3" s="5"/>
      <c r="Z3" s="5"/>
    </row>
    <row r="4">
      <c r="A4" s="5" t="str">
        <f>IFERROR(__xludf.DUMMYFUNCTION("""COMPUTED_VALUE"""),"Wizard")</f>
        <v>Wizard</v>
      </c>
      <c r="B4" s="5" t="str">
        <f>IFERROR(__xludf.DUMMYFUNCTION("""COMPUTED_VALUE"""),"")</f>
        <v/>
      </c>
      <c r="C4" s="5" t="str">
        <f>IFERROR(__xludf.DUMMYFUNCTION("""COMPUTED_VALUE"""),"")</f>
        <v/>
      </c>
      <c r="D4" s="5" t="str">
        <f>IFERROR(__xludf.DUMMYFUNCTION("""COMPUTED_VALUE"""),"Available")</f>
        <v>Available</v>
      </c>
      <c r="E4" s="5" t="str">
        <f>IFERROR(__xludf.DUMMYFUNCTION("""COMPUTED_VALUE"""),"")</f>
        <v/>
      </c>
      <c r="F4" s="5" t="str">
        <f>IFERROR(__xludf.DUMMYFUNCTION("""COMPUTED_VALUE"""),"Available")</f>
        <v>Available</v>
      </c>
      <c r="G4" s="5" t="str">
        <f>IFERROR(__xludf.DUMMYFUNCTION("""COMPUTED_VALUE"""),"Available")</f>
        <v>Available</v>
      </c>
      <c r="H4" s="5" t="str">
        <f>IFERROR(__xludf.DUMMYFUNCTION("""COMPUTED_VALUE"""),"")</f>
        <v/>
      </c>
      <c r="I4" s="5" t="str">
        <f>IFERROR(__xludf.DUMMYFUNCTION("""COMPUTED_VALUE"""),"Available")</f>
        <v>Available</v>
      </c>
      <c r="J4" s="5" t="str">
        <f>IFERROR(__xludf.DUMMYFUNCTION("""COMPUTED_VALUE"""),"")</f>
        <v/>
      </c>
      <c r="K4" s="5" t="str">
        <f>IFERROR(__xludf.DUMMYFUNCTION("""COMPUTED_VALUE"""),"")</f>
        <v/>
      </c>
      <c r="L4" s="5" t="str">
        <f>IFERROR(__xludf.DUMMYFUNCTION("""COMPUTED_VALUE"""),"")</f>
        <v/>
      </c>
      <c r="M4" s="5" t="str">
        <f>IFERROR(__xludf.DUMMYFUNCTION("""COMPUTED_VALUE"""),"")</f>
        <v/>
      </c>
      <c r="N4" s="5" t="str">
        <f>IFERROR(__xludf.DUMMYFUNCTION("""COMPUTED_VALUE"""),"")</f>
        <v/>
      </c>
      <c r="O4" s="5" t="str">
        <f>IFERROR(__xludf.DUMMYFUNCTION("""COMPUTED_VALUE"""),"")</f>
        <v/>
      </c>
      <c r="P4" s="5" t="str">
        <f>IFERROR(__xludf.DUMMYFUNCTION("""COMPUTED_VALUE"""),"Development")</f>
        <v>Development</v>
      </c>
      <c r="Q4" s="5" t="str">
        <f>IFERROR(__xludf.DUMMYFUNCTION("""COMPUTED_VALUE"""),"")</f>
        <v/>
      </c>
      <c r="R4" s="5" t="str">
        <f>IFERROR(__xludf.DUMMYFUNCTION("""COMPUTED_VALUE"""),"")</f>
        <v/>
      </c>
      <c r="S4" s="5" t="str">
        <f>IFERROR(__xludf.DUMMYFUNCTION("""COMPUTED_VALUE"""),"")</f>
        <v/>
      </c>
      <c r="T4" s="5" t="str">
        <f>IFERROR(__xludf.DUMMYFUNCTION("""COMPUTED_VALUE"""),"")</f>
        <v/>
      </c>
      <c r="U4" s="5" t="str">
        <f>IFERROR(__xludf.DUMMYFUNCTION("""COMPUTED_VALUE"""),"")</f>
        <v/>
      </c>
      <c r="V4" s="5" t="str">
        <f>IFERROR(__xludf.DUMMYFUNCTION("""COMPUTED_VALUE"""),"")</f>
        <v/>
      </c>
      <c r="W4" s="5" t="str">
        <f>IFERROR(__xludf.DUMMYFUNCTION("""COMPUTED_VALUE"""),"")</f>
        <v/>
      </c>
      <c r="X4" s="5" t="str">
        <f>IFERROR(__xludf.DUMMYFUNCTION("""COMPUTED_VALUE"""),"")</f>
        <v/>
      </c>
      <c r="Y4" s="5"/>
      <c r="Z4" s="5"/>
    </row>
    <row r="5">
      <c r="A5" s="5" t="str">
        <f>IFERROR(__xludf.DUMMYFUNCTION("""COMPUTED_VALUE"""),"Fruits and Stars")</f>
        <v>Fruits and Stars</v>
      </c>
      <c r="B5" s="5" t="str">
        <f>IFERROR(__xludf.DUMMYFUNCTION("""COMPUTED_VALUE"""),"Available")</f>
        <v>Available</v>
      </c>
      <c r="C5" s="5" t="str">
        <f>IFERROR(__xludf.DUMMYFUNCTION("""COMPUTED_VALUE"""),"Available")</f>
        <v>Available</v>
      </c>
      <c r="D5" s="5" t="str">
        <f>IFERROR(__xludf.DUMMYFUNCTION("""COMPUTED_VALUE"""),"Available")</f>
        <v>Available</v>
      </c>
      <c r="E5" s="5" t="str">
        <f>IFERROR(__xludf.DUMMYFUNCTION("""COMPUTED_VALUE"""),"Available")</f>
        <v>Available</v>
      </c>
      <c r="F5" s="5" t="str">
        <f>IFERROR(__xludf.DUMMYFUNCTION("""COMPUTED_VALUE"""),"Available")</f>
        <v>Available</v>
      </c>
      <c r="G5" s="5" t="str">
        <f>IFERROR(__xludf.DUMMYFUNCTION("""COMPUTED_VALUE"""),"Available")</f>
        <v>Available</v>
      </c>
      <c r="H5" s="5" t="str">
        <f>IFERROR(__xludf.DUMMYFUNCTION("""COMPUTED_VALUE"""),"Available")</f>
        <v>Available</v>
      </c>
      <c r="I5" s="5" t="str">
        <f>IFERROR(__xludf.DUMMYFUNCTION("""COMPUTED_VALUE"""),"Available")</f>
        <v>Available</v>
      </c>
      <c r="J5" s="5" t="str">
        <f>IFERROR(__xludf.DUMMYFUNCTION("""COMPUTED_VALUE"""),"Available")</f>
        <v>Available</v>
      </c>
      <c r="K5" s="5" t="str">
        <f>IFERROR(__xludf.DUMMYFUNCTION("""COMPUTED_VALUE"""),"Available")</f>
        <v>Available</v>
      </c>
      <c r="L5" s="5" t="str">
        <f>IFERROR(__xludf.DUMMYFUNCTION("""COMPUTED_VALUE"""),"")</f>
        <v/>
      </c>
      <c r="M5" s="5" t="str">
        <f>IFERROR(__xludf.DUMMYFUNCTION("""COMPUTED_VALUE"""),"Available")</f>
        <v>Available</v>
      </c>
      <c r="N5" s="5" t="str">
        <f>IFERROR(__xludf.DUMMYFUNCTION("""COMPUTED_VALUE"""),"Development")</f>
        <v>Development</v>
      </c>
      <c r="O5" s="5" t="str">
        <f>IFERROR(__xludf.DUMMYFUNCTION("""COMPUTED_VALUE"""),"Available")</f>
        <v>Available</v>
      </c>
      <c r="P5" s="5" t="str">
        <f>IFERROR(__xludf.DUMMYFUNCTION("""COMPUTED_VALUE"""),"Development")</f>
        <v>Development</v>
      </c>
      <c r="Q5" s="5" t="str">
        <f>IFERROR(__xludf.DUMMYFUNCTION("""COMPUTED_VALUE"""),"Available")</f>
        <v>Available</v>
      </c>
      <c r="R5" s="5" t="str">
        <f>IFERROR(__xludf.DUMMYFUNCTION("""COMPUTED_VALUE"""),"")</f>
        <v/>
      </c>
      <c r="S5" s="5" t="str">
        <f>IFERROR(__xludf.DUMMYFUNCTION("""COMPUTED_VALUE"""),"In Certification")</f>
        <v>In Certification</v>
      </c>
      <c r="T5" s="5" t="str">
        <f>IFERROR(__xludf.DUMMYFUNCTION("""COMPUTED_VALUE"""),"")</f>
        <v/>
      </c>
      <c r="U5" s="5" t="str">
        <f>IFERROR(__xludf.DUMMYFUNCTION("""COMPUTED_VALUE"""),"Certified")</f>
        <v>Certified</v>
      </c>
      <c r="V5" s="5" t="str">
        <f>IFERROR(__xludf.DUMMYFUNCTION("""COMPUTED_VALUE"""),"Available")</f>
        <v>Available</v>
      </c>
      <c r="W5" s="5" t="str">
        <f>IFERROR(__xludf.DUMMYFUNCTION("""COMPUTED_VALUE"""),"")</f>
        <v/>
      </c>
      <c r="X5" s="5" t="str">
        <f>IFERROR(__xludf.DUMMYFUNCTION("""COMPUTED_VALUE"""),"")</f>
        <v/>
      </c>
      <c r="Y5" s="5"/>
      <c r="Z5" s="5"/>
    </row>
    <row r="6">
      <c r="A6" s="5" t="str">
        <f>IFERROR(__xludf.DUMMYFUNCTION("""COMPUTED_VALUE"""),"Nevada Hot")</f>
        <v>Nevada Hot</v>
      </c>
      <c r="B6" s="5" t="str">
        <f>IFERROR(__xludf.DUMMYFUNCTION("""COMPUTED_VALUE"""),"")</f>
        <v/>
      </c>
      <c r="C6" s="5" t="str">
        <f>IFERROR(__xludf.DUMMYFUNCTION("""COMPUTED_VALUE"""),"")</f>
        <v/>
      </c>
      <c r="D6" s="5" t="str">
        <f>IFERROR(__xludf.DUMMYFUNCTION("""COMPUTED_VALUE"""),"")</f>
        <v/>
      </c>
      <c r="E6" s="5" t="str">
        <f>IFERROR(__xludf.DUMMYFUNCTION("""COMPUTED_VALUE"""),"")</f>
        <v/>
      </c>
      <c r="F6" s="5" t="str">
        <f>IFERROR(__xludf.DUMMYFUNCTION("""COMPUTED_VALUE"""),"")</f>
        <v/>
      </c>
      <c r="G6" s="5" t="str">
        <f>IFERROR(__xludf.DUMMYFUNCTION("""COMPUTED_VALUE"""),"")</f>
        <v/>
      </c>
      <c r="H6" s="5" t="str">
        <f>IFERROR(__xludf.DUMMYFUNCTION("""COMPUTED_VALUE"""),"")</f>
        <v/>
      </c>
      <c r="I6" s="5" t="str">
        <f>IFERROR(__xludf.DUMMYFUNCTION("""COMPUTED_VALUE"""),"")</f>
        <v/>
      </c>
      <c r="J6" s="5" t="str">
        <f>IFERROR(__xludf.DUMMYFUNCTION("""COMPUTED_VALUE"""),"")</f>
        <v/>
      </c>
      <c r="K6" s="5" t="str">
        <f>IFERROR(__xludf.DUMMYFUNCTION("""COMPUTED_VALUE"""),"")</f>
        <v/>
      </c>
      <c r="L6" s="5" t="str">
        <f>IFERROR(__xludf.DUMMYFUNCTION("""COMPUTED_VALUE"""),"")</f>
        <v/>
      </c>
      <c r="M6" s="5" t="str">
        <f>IFERROR(__xludf.DUMMYFUNCTION("""COMPUTED_VALUE"""),"")</f>
        <v/>
      </c>
      <c r="N6" s="5" t="str">
        <f>IFERROR(__xludf.DUMMYFUNCTION("""COMPUTED_VALUE"""),"")</f>
        <v/>
      </c>
      <c r="O6" s="5" t="str">
        <f>IFERROR(__xludf.DUMMYFUNCTION("""COMPUTED_VALUE"""),"")</f>
        <v/>
      </c>
      <c r="P6" s="5" t="str">
        <f>IFERROR(__xludf.DUMMYFUNCTION("""COMPUTED_VALUE"""),"")</f>
        <v/>
      </c>
      <c r="Q6" s="5" t="str">
        <f>IFERROR(__xludf.DUMMYFUNCTION("""COMPUTED_VALUE"""),"")</f>
        <v/>
      </c>
      <c r="R6" s="5" t="str">
        <f>IFERROR(__xludf.DUMMYFUNCTION("""COMPUTED_VALUE"""),"")</f>
        <v/>
      </c>
      <c r="S6" s="5" t="str">
        <f>IFERROR(__xludf.DUMMYFUNCTION("""COMPUTED_VALUE"""),"")</f>
        <v/>
      </c>
      <c r="T6" s="5" t="str">
        <f>IFERROR(__xludf.DUMMYFUNCTION("""COMPUTED_VALUE"""),"")</f>
        <v/>
      </c>
      <c r="U6" s="5" t="str">
        <f>IFERROR(__xludf.DUMMYFUNCTION("""COMPUTED_VALUE"""),"")</f>
        <v/>
      </c>
      <c r="V6" s="5" t="str">
        <f>IFERROR(__xludf.DUMMYFUNCTION("""COMPUTED_VALUE"""),"")</f>
        <v/>
      </c>
      <c r="W6" s="5" t="str">
        <f>IFERROR(__xludf.DUMMYFUNCTION("""COMPUTED_VALUE"""),"")</f>
        <v/>
      </c>
      <c r="X6" s="5" t="str">
        <f>IFERROR(__xludf.DUMMYFUNCTION("""COMPUTED_VALUE"""),"")</f>
        <v/>
      </c>
      <c r="Y6" s="5"/>
      <c r="Z6" s="5"/>
    </row>
    <row r="7">
      <c r="A7" s="5" t="str">
        <f>IFERROR(__xludf.DUMMYFUNCTION("""COMPUTED_VALUE"""),"Golden Fenix")</f>
        <v>Golden Fenix</v>
      </c>
      <c r="B7" s="5" t="str">
        <f>IFERROR(__xludf.DUMMYFUNCTION("""COMPUTED_VALUE"""),"")</f>
        <v/>
      </c>
      <c r="C7" s="5" t="str">
        <f>IFERROR(__xludf.DUMMYFUNCTION("""COMPUTED_VALUE"""),"")</f>
        <v/>
      </c>
      <c r="D7" s="5" t="str">
        <f>IFERROR(__xludf.DUMMYFUNCTION("""COMPUTED_VALUE"""),"")</f>
        <v/>
      </c>
      <c r="E7" s="5" t="str">
        <f>IFERROR(__xludf.DUMMYFUNCTION("""COMPUTED_VALUE"""),"")</f>
        <v/>
      </c>
      <c r="F7" s="5" t="str">
        <f>IFERROR(__xludf.DUMMYFUNCTION("""COMPUTED_VALUE"""),"")</f>
        <v/>
      </c>
      <c r="G7" s="5" t="str">
        <f>IFERROR(__xludf.DUMMYFUNCTION("""COMPUTED_VALUE"""),"")</f>
        <v/>
      </c>
      <c r="H7" s="5" t="str">
        <f>IFERROR(__xludf.DUMMYFUNCTION("""COMPUTED_VALUE"""),"")</f>
        <v/>
      </c>
      <c r="I7" s="5" t="str">
        <f>IFERROR(__xludf.DUMMYFUNCTION("""COMPUTED_VALUE"""),"")</f>
        <v/>
      </c>
      <c r="J7" s="5" t="str">
        <f>IFERROR(__xludf.DUMMYFUNCTION("""COMPUTED_VALUE"""),"")</f>
        <v/>
      </c>
      <c r="K7" s="5" t="str">
        <f>IFERROR(__xludf.DUMMYFUNCTION("""COMPUTED_VALUE"""),"")</f>
        <v/>
      </c>
      <c r="L7" s="5" t="str">
        <f>IFERROR(__xludf.DUMMYFUNCTION("""COMPUTED_VALUE"""),"")</f>
        <v/>
      </c>
      <c r="M7" s="5" t="str">
        <f>IFERROR(__xludf.DUMMYFUNCTION("""COMPUTED_VALUE"""),"")</f>
        <v/>
      </c>
      <c r="N7" s="5" t="str">
        <f>IFERROR(__xludf.DUMMYFUNCTION("""COMPUTED_VALUE"""),"")</f>
        <v/>
      </c>
      <c r="O7" s="5" t="str">
        <f>IFERROR(__xludf.DUMMYFUNCTION("""COMPUTED_VALUE"""),"")</f>
        <v/>
      </c>
      <c r="P7" s="5" t="str">
        <f>IFERROR(__xludf.DUMMYFUNCTION("""COMPUTED_VALUE"""),"")</f>
        <v/>
      </c>
      <c r="Q7" s="5" t="str">
        <f>IFERROR(__xludf.DUMMYFUNCTION("""COMPUTED_VALUE"""),"")</f>
        <v/>
      </c>
      <c r="R7" s="5" t="str">
        <f>IFERROR(__xludf.DUMMYFUNCTION("""COMPUTED_VALUE"""),"")</f>
        <v/>
      </c>
      <c r="S7" s="5" t="str">
        <f>IFERROR(__xludf.DUMMYFUNCTION("""COMPUTED_VALUE"""),"")</f>
        <v/>
      </c>
      <c r="T7" s="5" t="str">
        <f>IFERROR(__xludf.DUMMYFUNCTION("""COMPUTED_VALUE"""),"")</f>
        <v/>
      </c>
      <c r="U7" s="5" t="str">
        <f>IFERROR(__xludf.DUMMYFUNCTION("""COMPUTED_VALUE"""),"")</f>
        <v/>
      </c>
      <c r="V7" s="5" t="str">
        <f>IFERROR(__xludf.DUMMYFUNCTION("""COMPUTED_VALUE"""),"")</f>
        <v/>
      </c>
      <c r="W7" s="5" t="str">
        <f>IFERROR(__xludf.DUMMYFUNCTION("""COMPUTED_VALUE"""),"")</f>
        <v/>
      </c>
      <c r="X7" s="5" t="str">
        <f>IFERROR(__xludf.DUMMYFUNCTION("""COMPUTED_VALUE"""),"")</f>
        <v/>
      </c>
      <c r="Y7" s="5"/>
      <c r="Z7" s="5"/>
    </row>
    <row r="8">
      <c r="A8" s="5" t="str">
        <f>IFERROR(__xludf.DUMMYFUNCTION("""COMPUTED_VALUE"""),"Hot Beach")</f>
        <v>Hot Beach</v>
      </c>
      <c r="B8" s="5" t="str">
        <f>IFERROR(__xludf.DUMMYFUNCTION("""COMPUTED_VALUE"""),"")</f>
        <v/>
      </c>
      <c r="C8" s="5" t="str">
        <f>IFERROR(__xludf.DUMMYFUNCTION("""COMPUTED_VALUE"""),"")</f>
        <v/>
      </c>
      <c r="D8" s="5" t="str">
        <f>IFERROR(__xludf.DUMMYFUNCTION("""COMPUTED_VALUE"""),"")</f>
        <v/>
      </c>
      <c r="E8" s="5" t="str">
        <f>IFERROR(__xludf.DUMMYFUNCTION("""COMPUTED_VALUE"""),"")</f>
        <v/>
      </c>
      <c r="F8" s="5" t="str">
        <f>IFERROR(__xludf.DUMMYFUNCTION("""COMPUTED_VALUE"""),"")</f>
        <v/>
      </c>
      <c r="G8" s="5" t="str">
        <f>IFERROR(__xludf.DUMMYFUNCTION("""COMPUTED_VALUE"""),"")</f>
        <v/>
      </c>
      <c r="H8" s="5" t="str">
        <f>IFERROR(__xludf.DUMMYFUNCTION("""COMPUTED_VALUE"""),"")</f>
        <v/>
      </c>
      <c r="I8" s="5" t="str">
        <f>IFERROR(__xludf.DUMMYFUNCTION("""COMPUTED_VALUE"""),"")</f>
        <v/>
      </c>
      <c r="J8" s="5" t="str">
        <f>IFERROR(__xludf.DUMMYFUNCTION("""COMPUTED_VALUE"""),"")</f>
        <v/>
      </c>
      <c r="K8" s="5" t="str">
        <f>IFERROR(__xludf.DUMMYFUNCTION("""COMPUTED_VALUE"""),"")</f>
        <v/>
      </c>
      <c r="L8" s="5" t="str">
        <f>IFERROR(__xludf.DUMMYFUNCTION("""COMPUTED_VALUE"""),"")</f>
        <v/>
      </c>
      <c r="M8" s="5" t="str">
        <f>IFERROR(__xludf.DUMMYFUNCTION("""COMPUTED_VALUE"""),"")</f>
        <v/>
      </c>
      <c r="N8" s="5" t="str">
        <f>IFERROR(__xludf.DUMMYFUNCTION("""COMPUTED_VALUE"""),"")</f>
        <v/>
      </c>
      <c r="O8" s="5" t="str">
        <f>IFERROR(__xludf.DUMMYFUNCTION("""COMPUTED_VALUE"""),"")</f>
        <v/>
      </c>
      <c r="P8" s="5" t="str">
        <f>IFERROR(__xludf.DUMMYFUNCTION("""COMPUTED_VALUE"""),"")</f>
        <v/>
      </c>
      <c r="Q8" s="5" t="str">
        <f>IFERROR(__xludf.DUMMYFUNCTION("""COMPUTED_VALUE"""),"")</f>
        <v/>
      </c>
      <c r="R8" s="5" t="str">
        <f>IFERROR(__xludf.DUMMYFUNCTION("""COMPUTED_VALUE"""),"")</f>
        <v/>
      </c>
      <c r="S8" s="5" t="str">
        <f>IFERROR(__xludf.DUMMYFUNCTION("""COMPUTED_VALUE"""),"")</f>
        <v/>
      </c>
      <c r="T8" s="5" t="str">
        <f>IFERROR(__xludf.DUMMYFUNCTION("""COMPUTED_VALUE"""),"")</f>
        <v/>
      </c>
      <c r="U8" s="5" t="str">
        <f>IFERROR(__xludf.DUMMYFUNCTION("""COMPUTED_VALUE"""),"")</f>
        <v/>
      </c>
      <c r="V8" s="5" t="str">
        <f>IFERROR(__xludf.DUMMYFUNCTION("""COMPUTED_VALUE"""),"")</f>
        <v/>
      </c>
      <c r="W8" s="5" t="str">
        <f>IFERROR(__xludf.DUMMYFUNCTION("""COMPUTED_VALUE"""),"")</f>
        <v/>
      </c>
      <c r="X8" s="5" t="str">
        <f>IFERROR(__xludf.DUMMYFUNCTION("""COMPUTED_VALUE"""),"")</f>
        <v/>
      </c>
      <c r="Y8" s="5"/>
      <c r="Z8" s="5"/>
    </row>
    <row r="9">
      <c r="A9" s="5" t="str">
        <f>IFERROR(__xludf.DUMMYFUNCTION("""COMPUTED_VALUE"""),"King Of The Sea")</f>
        <v>King Of The Sea</v>
      </c>
      <c r="B9" s="5" t="str">
        <f>IFERROR(__xludf.DUMMYFUNCTION("""COMPUTED_VALUE"""),"")</f>
        <v/>
      </c>
      <c r="C9" s="5" t="str">
        <f>IFERROR(__xludf.DUMMYFUNCTION("""COMPUTED_VALUE"""),"")</f>
        <v/>
      </c>
      <c r="D9" s="5" t="str">
        <f>IFERROR(__xludf.DUMMYFUNCTION("""COMPUTED_VALUE"""),"")</f>
        <v/>
      </c>
      <c r="E9" s="5" t="str">
        <f>IFERROR(__xludf.DUMMYFUNCTION("""COMPUTED_VALUE"""),"")</f>
        <v/>
      </c>
      <c r="F9" s="5" t="str">
        <f>IFERROR(__xludf.DUMMYFUNCTION("""COMPUTED_VALUE"""),"")</f>
        <v/>
      </c>
      <c r="G9" s="5" t="str">
        <f>IFERROR(__xludf.DUMMYFUNCTION("""COMPUTED_VALUE"""),"")</f>
        <v/>
      </c>
      <c r="H9" s="5" t="str">
        <f>IFERROR(__xludf.DUMMYFUNCTION("""COMPUTED_VALUE"""),"")</f>
        <v/>
      </c>
      <c r="I9" s="5" t="str">
        <f>IFERROR(__xludf.DUMMYFUNCTION("""COMPUTED_VALUE"""),"")</f>
        <v/>
      </c>
      <c r="J9" s="5" t="str">
        <f>IFERROR(__xludf.DUMMYFUNCTION("""COMPUTED_VALUE"""),"")</f>
        <v/>
      </c>
      <c r="K9" s="5" t="str">
        <f>IFERROR(__xludf.DUMMYFUNCTION("""COMPUTED_VALUE"""),"")</f>
        <v/>
      </c>
      <c r="L9" s="5" t="str">
        <f>IFERROR(__xludf.DUMMYFUNCTION("""COMPUTED_VALUE"""),"")</f>
        <v/>
      </c>
      <c r="M9" s="5" t="str">
        <f>IFERROR(__xludf.DUMMYFUNCTION("""COMPUTED_VALUE"""),"")</f>
        <v/>
      </c>
      <c r="N9" s="5" t="str">
        <f>IFERROR(__xludf.DUMMYFUNCTION("""COMPUTED_VALUE"""),"")</f>
        <v/>
      </c>
      <c r="O9" s="5" t="str">
        <f>IFERROR(__xludf.DUMMYFUNCTION("""COMPUTED_VALUE"""),"")</f>
        <v/>
      </c>
      <c r="P9" s="5" t="str">
        <f>IFERROR(__xludf.DUMMYFUNCTION("""COMPUTED_VALUE"""),"")</f>
        <v/>
      </c>
      <c r="Q9" s="5" t="str">
        <f>IFERROR(__xludf.DUMMYFUNCTION("""COMPUTED_VALUE"""),"")</f>
        <v/>
      </c>
      <c r="R9" s="5" t="str">
        <f>IFERROR(__xludf.DUMMYFUNCTION("""COMPUTED_VALUE"""),"")</f>
        <v/>
      </c>
      <c r="S9" s="5" t="str">
        <f>IFERROR(__xludf.DUMMYFUNCTION("""COMPUTED_VALUE"""),"")</f>
        <v/>
      </c>
      <c r="T9" s="5" t="str">
        <f>IFERROR(__xludf.DUMMYFUNCTION("""COMPUTED_VALUE"""),"")</f>
        <v/>
      </c>
      <c r="U9" s="5" t="str">
        <f>IFERROR(__xludf.DUMMYFUNCTION("""COMPUTED_VALUE"""),"")</f>
        <v/>
      </c>
      <c r="V9" s="5" t="str">
        <f>IFERROR(__xludf.DUMMYFUNCTION("""COMPUTED_VALUE"""),"")</f>
        <v/>
      </c>
      <c r="W9" s="5" t="str">
        <f>IFERROR(__xludf.DUMMYFUNCTION("""COMPUTED_VALUE"""),"")</f>
        <v/>
      </c>
      <c r="X9" s="5" t="str">
        <f>IFERROR(__xludf.DUMMYFUNCTION("""COMPUTED_VALUE"""),"")</f>
        <v/>
      </c>
      <c r="Y9" s="5"/>
      <c r="Z9" s="5"/>
    </row>
    <row r="10">
      <c r="A10" s="5" t="str">
        <f>IFERROR(__xludf.DUMMYFUNCTION("""COMPUTED_VALUE"""),"Magic Joker")</f>
        <v>Magic Joker</v>
      </c>
      <c r="B10" s="5" t="str">
        <f>IFERROR(__xludf.DUMMYFUNCTION("""COMPUTED_VALUE"""),"")</f>
        <v/>
      </c>
      <c r="C10" s="5" t="str">
        <f>IFERROR(__xludf.DUMMYFUNCTION("""COMPUTED_VALUE"""),"")</f>
        <v/>
      </c>
      <c r="D10" s="5" t="str">
        <f>IFERROR(__xludf.DUMMYFUNCTION("""COMPUTED_VALUE"""),"")</f>
        <v/>
      </c>
      <c r="E10" s="5" t="str">
        <f>IFERROR(__xludf.DUMMYFUNCTION("""COMPUTED_VALUE"""),"")</f>
        <v/>
      </c>
      <c r="F10" s="5" t="str">
        <f>IFERROR(__xludf.DUMMYFUNCTION("""COMPUTED_VALUE"""),"")</f>
        <v/>
      </c>
      <c r="G10" s="5" t="str">
        <f>IFERROR(__xludf.DUMMYFUNCTION("""COMPUTED_VALUE"""),"")</f>
        <v/>
      </c>
      <c r="H10" s="5" t="str">
        <f>IFERROR(__xludf.DUMMYFUNCTION("""COMPUTED_VALUE"""),"")</f>
        <v/>
      </c>
      <c r="I10" s="5" t="str">
        <f>IFERROR(__xludf.DUMMYFUNCTION("""COMPUTED_VALUE"""),"")</f>
        <v/>
      </c>
      <c r="J10" s="5" t="str">
        <f>IFERROR(__xludf.DUMMYFUNCTION("""COMPUTED_VALUE"""),"")</f>
        <v/>
      </c>
      <c r="K10" s="5" t="str">
        <f>IFERROR(__xludf.DUMMYFUNCTION("""COMPUTED_VALUE"""),"")</f>
        <v/>
      </c>
      <c r="L10" s="5" t="str">
        <f>IFERROR(__xludf.DUMMYFUNCTION("""COMPUTED_VALUE"""),"")</f>
        <v/>
      </c>
      <c r="M10" s="5" t="str">
        <f>IFERROR(__xludf.DUMMYFUNCTION("""COMPUTED_VALUE"""),"")</f>
        <v/>
      </c>
      <c r="N10" s="5" t="str">
        <f>IFERROR(__xludf.DUMMYFUNCTION("""COMPUTED_VALUE"""),"")</f>
        <v/>
      </c>
      <c r="O10" s="5" t="str">
        <f>IFERROR(__xludf.DUMMYFUNCTION("""COMPUTED_VALUE"""),"")</f>
        <v/>
      </c>
      <c r="P10" s="5" t="str">
        <f>IFERROR(__xludf.DUMMYFUNCTION("""COMPUTED_VALUE"""),"")</f>
        <v/>
      </c>
      <c r="Q10" s="5" t="str">
        <f>IFERROR(__xludf.DUMMYFUNCTION("""COMPUTED_VALUE"""),"")</f>
        <v/>
      </c>
      <c r="R10" s="5" t="str">
        <f>IFERROR(__xludf.DUMMYFUNCTION("""COMPUTED_VALUE"""),"")</f>
        <v/>
      </c>
      <c r="S10" s="5" t="str">
        <f>IFERROR(__xludf.DUMMYFUNCTION("""COMPUTED_VALUE"""),"")</f>
        <v/>
      </c>
      <c r="T10" s="5" t="str">
        <f>IFERROR(__xludf.DUMMYFUNCTION("""COMPUTED_VALUE"""),"")</f>
        <v/>
      </c>
      <c r="U10" s="5" t="str">
        <f>IFERROR(__xludf.DUMMYFUNCTION("""COMPUTED_VALUE"""),"")</f>
        <v/>
      </c>
      <c r="V10" s="5" t="str">
        <f>IFERROR(__xludf.DUMMYFUNCTION("""COMPUTED_VALUE"""),"")</f>
        <v/>
      </c>
      <c r="W10" s="5" t="str">
        <f>IFERROR(__xludf.DUMMYFUNCTION("""COMPUTED_VALUE"""),"")</f>
        <v/>
      </c>
      <c r="X10" s="5" t="str">
        <f>IFERROR(__xludf.DUMMYFUNCTION("""COMPUTED_VALUE"""),"")</f>
        <v/>
      </c>
      <c r="Y10" s="5"/>
      <c r="Z10" s="5"/>
    </row>
    <row r="11">
      <c r="A11" s="5" t="str">
        <f>IFERROR(__xludf.DUMMYFUNCTION("""COMPUTED_VALUE"""),"Rings Magic")</f>
        <v>Rings Magic</v>
      </c>
      <c r="B11" s="5" t="str">
        <f>IFERROR(__xludf.DUMMYFUNCTION("""COMPUTED_VALUE"""),"")</f>
        <v/>
      </c>
      <c r="C11" s="5" t="str">
        <f>IFERROR(__xludf.DUMMYFUNCTION("""COMPUTED_VALUE"""),"")</f>
        <v/>
      </c>
      <c r="D11" s="5" t="str">
        <f>IFERROR(__xludf.DUMMYFUNCTION("""COMPUTED_VALUE"""),"")</f>
        <v/>
      </c>
      <c r="E11" s="5" t="str">
        <f>IFERROR(__xludf.DUMMYFUNCTION("""COMPUTED_VALUE"""),"")</f>
        <v/>
      </c>
      <c r="F11" s="5" t="str">
        <f>IFERROR(__xludf.DUMMYFUNCTION("""COMPUTED_VALUE"""),"")</f>
        <v/>
      </c>
      <c r="G11" s="5" t="str">
        <f>IFERROR(__xludf.DUMMYFUNCTION("""COMPUTED_VALUE"""),"")</f>
        <v/>
      </c>
      <c r="H11" s="5" t="str">
        <f>IFERROR(__xludf.DUMMYFUNCTION("""COMPUTED_VALUE"""),"")</f>
        <v/>
      </c>
      <c r="I11" s="5" t="str">
        <f>IFERROR(__xludf.DUMMYFUNCTION("""COMPUTED_VALUE"""),"")</f>
        <v/>
      </c>
      <c r="J11" s="5" t="str">
        <f>IFERROR(__xludf.DUMMYFUNCTION("""COMPUTED_VALUE"""),"")</f>
        <v/>
      </c>
      <c r="K11" s="5" t="str">
        <f>IFERROR(__xludf.DUMMYFUNCTION("""COMPUTED_VALUE"""),"")</f>
        <v/>
      </c>
      <c r="L11" s="5" t="str">
        <f>IFERROR(__xludf.DUMMYFUNCTION("""COMPUTED_VALUE"""),"")</f>
        <v/>
      </c>
      <c r="M11" s="5" t="str">
        <f>IFERROR(__xludf.DUMMYFUNCTION("""COMPUTED_VALUE"""),"")</f>
        <v/>
      </c>
      <c r="N11" s="5" t="str">
        <f>IFERROR(__xludf.DUMMYFUNCTION("""COMPUTED_VALUE"""),"")</f>
        <v/>
      </c>
      <c r="O11" s="5" t="str">
        <f>IFERROR(__xludf.DUMMYFUNCTION("""COMPUTED_VALUE"""),"")</f>
        <v/>
      </c>
      <c r="P11" s="5" t="str">
        <f>IFERROR(__xludf.DUMMYFUNCTION("""COMPUTED_VALUE"""),"")</f>
        <v/>
      </c>
      <c r="Q11" s="5" t="str">
        <f>IFERROR(__xludf.DUMMYFUNCTION("""COMPUTED_VALUE"""),"")</f>
        <v/>
      </c>
      <c r="R11" s="5" t="str">
        <f>IFERROR(__xludf.DUMMYFUNCTION("""COMPUTED_VALUE"""),"")</f>
        <v/>
      </c>
      <c r="S11" s="5" t="str">
        <f>IFERROR(__xludf.DUMMYFUNCTION("""COMPUTED_VALUE"""),"")</f>
        <v/>
      </c>
      <c r="T11" s="5" t="str">
        <f>IFERROR(__xludf.DUMMYFUNCTION("""COMPUTED_VALUE"""),"")</f>
        <v/>
      </c>
      <c r="U11" s="5" t="str">
        <f>IFERROR(__xludf.DUMMYFUNCTION("""COMPUTED_VALUE"""),"")</f>
        <v/>
      </c>
      <c r="V11" s="5" t="str">
        <f>IFERROR(__xludf.DUMMYFUNCTION("""COMPUTED_VALUE"""),"")</f>
        <v/>
      </c>
      <c r="W11" s="5" t="str">
        <f>IFERROR(__xludf.DUMMYFUNCTION("""COMPUTED_VALUE"""),"")</f>
        <v/>
      </c>
      <c r="X11" s="5" t="str">
        <f>IFERROR(__xludf.DUMMYFUNCTION("""COMPUTED_VALUE"""),"")</f>
        <v/>
      </c>
      <c r="Y11" s="5"/>
      <c r="Z11" s="5"/>
    </row>
    <row r="12">
      <c r="A12" s="5" t="str">
        <f>IFERROR(__xludf.DUMMYFUNCTION("""COMPUTED_VALUE"""),"The Triple 7 Hot")</f>
        <v>The Triple 7 Hot</v>
      </c>
      <c r="B12" s="5" t="str">
        <f>IFERROR(__xludf.DUMMYFUNCTION("""COMPUTED_VALUE"""),"")</f>
        <v/>
      </c>
      <c r="C12" s="5" t="str">
        <f>IFERROR(__xludf.DUMMYFUNCTION("""COMPUTED_VALUE"""),"")</f>
        <v/>
      </c>
      <c r="D12" s="5" t="str">
        <f>IFERROR(__xludf.DUMMYFUNCTION("""COMPUTED_VALUE"""),"")</f>
        <v/>
      </c>
      <c r="E12" s="5" t="str">
        <f>IFERROR(__xludf.DUMMYFUNCTION("""COMPUTED_VALUE"""),"")</f>
        <v/>
      </c>
      <c r="F12" s="5" t="str">
        <f>IFERROR(__xludf.DUMMYFUNCTION("""COMPUTED_VALUE"""),"")</f>
        <v/>
      </c>
      <c r="G12" s="5" t="str">
        <f>IFERROR(__xludf.DUMMYFUNCTION("""COMPUTED_VALUE"""),"")</f>
        <v/>
      </c>
      <c r="H12" s="5" t="str">
        <f>IFERROR(__xludf.DUMMYFUNCTION("""COMPUTED_VALUE"""),"")</f>
        <v/>
      </c>
      <c r="I12" s="5" t="str">
        <f>IFERROR(__xludf.DUMMYFUNCTION("""COMPUTED_VALUE"""),"")</f>
        <v/>
      </c>
      <c r="J12" s="5" t="str">
        <f>IFERROR(__xludf.DUMMYFUNCTION("""COMPUTED_VALUE"""),"")</f>
        <v/>
      </c>
      <c r="K12" s="5" t="str">
        <f>IFERROR(__xludf.DUMMYFUNCTION("""COMPUTED_VALUE"""),"")</f>
        <v/>
      </c>
      <c r="L12" s="5" t="str">
        <f>IFERROR(__xludf.DUMMYFUNCTION("""COMPUTED_VALUE"""),"")</f>
        <v/>
      </c>
      <c r="M12" s="5" t="str">
        <f>IFERROR(__xludf.DUMMYFUNCTION("""COMPUTED_VALUE"""),"")</f>
        <v/>
      </c>
      <c r="N12" s="5" t="str">
        <f>IFERROR(__xludf.DUMMYFUNCTION("""COMPUTED_VALUE"""),"")</f>
        <v/>
      </c>
      <c r="O12" s="5" t="str">
        <f>IFERROR(__xludf.DUMMYFUNCTION("""COMPUTED_VALUE"""),"")</f>
        <v/>
      </c>
      <c r="P12" s="5" t="str">
        <f>IFERROR(__xludf.DUMMYFUNCTION("""COMPUTED_VALUE"""),"")</f>
        <v/>
      </c>
      <c r="Q12" s="5" t="str">
        <f>IFERROR(__xludf.DUMMYFUNCTION("""COMPUTED_VALUE"""),"")</f>
        <v/>
      </c>
      <c r="R12" s="5" t="str">
        <f>IFERROR(__xludf.DUMMYFUNCTION("""COMPUTED_VALUE"""),"")</f>
        <v/>
      </c>
      <c r="S12" s="5" t="str">
        <f>IFERROR(__xludf.DUMMYFUNCTION("""COMPUTED_VALUE"""),"")</f>
        <v/>
      </c>
      <c r="T12" s="5" t="str">
        <f>IFERROR(__xludf.DUMMYFUNCTION("""COMPUTED_VALUE"""),"")</f>
        <v/>
      </c>
      <c r="U12" s="5" t="str">
        <f>IFERROR(__xludf.DUMMYFUNCTION("""COMPUTED_VALUE"""),"")</f>
        <v/>
      </c>
      <c r="V12" s="5" t="str">
        <f>IFERROR(__xludf.DUMMYFUNCTION("""COMPUTED_VALUE"""),"")</f>
        <v/>
      </c>
      <c r="W12" s="5" t="str">
        <f>IFERROR(__xludf.DUMMYFUNCTION("""COMPUTED_VALUE"""),"")</f>
        <v/>
      </c>
      <c r="X12" s="5" t="str">
        <f>IFERROR(__xludf.DUMMYFUNCTION("""COMPUTED_VALUE"""),"")</f>
        <v/>
      </c>
      <c r="Y12" s="5"/>
      <c r="Z12" s="5"/>
    </row>
    <row r="13">
      <c r="A13" s="5" t="str">
        <f>IFERROR(__xludf.DUMMYFUNCTION("""COMPUTED_VALUE"""),"Magic Cherry")</f>
        <v>Magic Cherry</v>
      </c>
      <c r="B13" s="5" t="str">
        <f>IFERROR(__xludf.DUMMYFUNCTION("""COMPUTED_VALUE"""),"")</f>
        <v/>
      </c>
      <c r="C13" s="5" t="str">
        <f>IFERROR(__xludf.DUMMYFUNCTION("""COMPUTED_VALUE"""),"")</f>
        <v/>
      </c>
      <c r="D13" s="5" t="str">
        <f>IFERROR(__xludf.DUMMYFUNCTION("""COMPUTED_VALUE"""),"")</f>
        <v/>
      </c>
      <c r="E13" s="5" t="str">
        <f>IFERROR(__xludf.DUMMYFUNCTION("""COMPUTED_VALUE"""),"")</f>
        <v/>
      </c>
      <c r="F13" s="5" t="str">
        <f>IFERROR(__xludf.DUMMYFUNCTION("""COMPUTED_VALUE"""),"")</f>
        <v/>
      </c>
      <c r="G13" s="5" t="str">
        <f>IFERROR(__xludf.DUMMYFUNCTION("""COMPUTED_VALUE"""),"")</f>
        <v/>
      </c>
      <c r="H13" s="5" t="str">
        <f>IFERROR(__xludf.DUMMYFUNCTION("""COMPUTED_VALUE"""),"")</f>
        <v/>
      </c>
      <c r="I13" s="5" t="str">
        <f>IFERROR(__xludf.DUMMYFUNCTION("""COMPUTED_VALUE"""),"")</f>
        <v/>
      </c>
      <c r="J13" s="5" t="str">
        <f>IFERROR(__xludf.DUMMYFUNCTION("""COMPUTED_VALUE"""),"")</f>
        <v/>
      </c>
      <c r="K13" s="5" t="str">
        <f>IFERROR(__xludf.DUMMYFUNCTION("""COMPUTED_VALUE"""),"")</f>
        <v/>
      </c>
      <c r="L13" s="5" t="str">
        <f>IFERROR(__xludf.DUMMYFUNCTION("""COMPUTED_VALUE"""),"")</f>
        <v/>
      </c>
      <c r="M13" s="5" t="str">
        <f>IFERROR(__xludf.DUMMYFUNCTION("""COMPUTED_VALUE"""),"")</f>
        <v/>
      </c>
      <c r="N13" s="5" t="str">
        <f>IFERROR(__xludf.DUMMYFUNCTION("""COMPUTED_VALUE"""),"")</f>
        <v/>
      </c>
      <c r="O13" s="5" t="str">
        <f>IFERROR(__xludf.DUMMYFUNCTION("""COMPUTED_VALUE"""),"")</f>
        <v/>
      </c>
      <c r="P13" s="5" t="str">
        <f>IFERROR(__xludf.DUMMYFUNCTION("""COMPUTED_VALUE"""),"")</f>
        <v/>
      </c>
      <c r="Q13" s="5" t="str">
        <f>IFERROR(__xludf.DUMMYFUNCTION("""COMPUTED_VALUE"""),"")</f>
        <v/>
      </c>
      <c r="R13" s="5" t="str">
        <f>IFERROR(__xludf.DUMMYFUNCTION("""COMPUTED_VALUE"""),"")</f>
        <v/>
      </c>
      <c r="S13" s="5" t="str">
        <f>IFERROR(__xludf.DUMMYFUNCTION("""COMPUTED_VALUE"""),"")</f>
        <v/>
      </c>
      <c r="T13" s="5" t="str">
        <f>IFERROR(__xludf.DUMMYFUNCTION("""COMPUTED_VALUE"""),"")</f>
        <v/>
      </c>
      <c r="U13" s="5" t="str">
        <f>IFERROR(__xludf.DUMMYFUNCTION("""COMPUTED_VALUE"""),"")</f>
        <v/>
      </c>
      <c r="V13" s="5" t="str">
        <f>IFERROR(__xludf.DUMMYFUNCTION("""COMPUTED_VALUE"""),"")</f>
        <v/>
      </c>
      <c r="W13" s="5" t="str">
        <f>IFERROR(__xludf.DUMMYFUNCTION("""COMPUTED_VALUE"""),"")</f>
        <v/>
      </c>
      <c r="X13" s="5" t="str">
        <f>IFERROR(__xludf.DUMMYFUNCTION("""COMPUTED_VALUE"""),"")</f>
        <v/>
      </c>
      <c r="Y13" s="5"/>
      <c r="Z13" s="5"/>
    </row>
    <row r="14">
      <c r="A14" s="5" t="str">
        <f>IFERROR(__xludf.DUMMYFUNCTION("""COMPUTED_VALUE"""),"Spellbook")</f>
        <v>Spellbook</v>
      </c>
      <c r="B14" s="5" t="str">
        <f>IFERROR(__xludf.DUMMYFUNCTION("""COMPUTED_VALUE"""),"")</f>
        <v/>
      </c>
      <c r="C14" s="5" t="str">
        <f>IFERROR(__xludf.DUMMYFUNCTION("""COMPUTED_VALUE"""),"")</f>
        <v/>
      </c>
      <c r="D14" s="5" t="str">
        <f>IFERROR(__xludf.DUMMYFUNCTION("""COMPUTED_VALUE"""),"")</f>
        <v/>
      </c>
      <c r="E14" s="5" t="str">
        <f>IFERROR(__xludf.DUMMYFUNCTION("""COMPUTED_VALUE"""),"")</f>
        <v/>
      </c>
      <c r="F14" s="5" t="str">
        <f>IFERROR(__xludf.DUMMYFUNCTION("""COMPUTED_VALUE"""),"")</f>
        <v/>
      </c>
      <c r="G14" s="5" t="str">
        <f>IFERROR(__xludf.DUMMYFUNCTION("""COMPUTED_VALUE"""),"")</f>
        <v/>
      </c>
      <c r="H14" s="5" t="str">
        <f>IFERROR(__xludf.DUMMYFUNCTION("""COMPUTED_VALUE"""),"")</f>
        <v/>
      </c>
      <c r="I14" s="5" t="str">
        <f>IFERROR(__xludf.DUMMYFUNCTION("""COMPUTED_VALUE"""),"")</f>
        <v/>
      </c>
      <c r="J14" s="5" t="str">
        <f>IFERROR(__xludf.DUMMYFUNCTION("""COMPUTED_VALUE"""),"")</f>
        <v/>
      </c>
      <c r="K14" s="5" t="str">
        <f>IFERROR(__xludf.DUMMYFUNCTION("""COMPUTED_VALUE"""),"")</f>
        <v/>
      </c>
      <c r="L14" s="5" t="str">
        <f>IFERROR(__xludf.DUMMYFUNCTION("""COMPUTED_VALUE"""),"")</f>
        <v/>
      </c>
      <c r="M14" s="5" t="str">
        <f>IFERROR(__xludf.DUMMYFUNCTION("""COMPUTED_VALUE"""),"")</f>
        <v/>
      </c>
      <c r="N14" s="5" t="str">
        <f>IFERROR(__xludf.DUMMYFUNCTION("""COMPUTED_VALUE"""),"")</f>
        <v/>
      </c>
      <c r="O14" s="5" t="str">
        <f>IFERROR(__xludf.DUMMYFUNCTION("""COMPUTED_VALUE"""),"")</f>
        <v/>
      </c>
      <c r="P14" s="5" t="str">
        <f>IFERROR(__xludf.DUMMYFUNCTION("""COMPUTED_VALUE"""),"")</f>
        <v/>
      </c>
      <c r="Q14" s="5" t="str">
        <f>IFERROR(__xludf.DUMMYFUNCTION("""COMPUTED_VALUE"""),"")</f>
        <v/>
      </c>
      <c r="R14" s="5" t="str">
        <f>IFERROR(__xludf.DUMMYFUNCTION("""COMPUTED_VALUE"""),"")</f>
        <v/>
      </c>
      <c r="S14" s="5" t="str">
        <f>IFERROR(__xludf.DUMMYFUNCTION("""COMPUTED_VALUE"""),"")</f>
        <v/>
      </c>
      <c r="T14" s="5" t="str">
        <f>IFERROR(__xludf.DUMMYFUNCTION("""COMPUTED_VALUE"""),"")</f>
        <v/>
      </c>
      <c r="U14" s="5" t="str">
        <f>IFERROR(__xludf.DUMMYFUNCTION("""COMPUTED_VALUE"""),"")</f>
        <v/>
      </c>
      <c r="V14" s="5" t="str">
        <f>IFERROR(__xludf.DUMMYFUNCTION("""COMPUTED_VALUE"""),"")</f>
        <v/>
      </c>
      <c r="W14" s="5" t="str">
        <f>IFERROR(__xludf.DUMMYFUNCTION("""COMPUTED_VALUE"""),"")</f>
        <v/>
      </c>
      <c r="X14" s="5" t="str">
        <f>IFERROR(__xludf.DUMMYFUNCTION("""COMPUTED_VALUE"""),"")</f>
        <v/>
      </c>
      <c r="Y14" s="5"/>
      <c r="Z14" s="5"/>
    </row>
    <row r="15">
      <c r="A15" s="5" t="str">
        <f>IFERROR(__xludf.DUMMYFUNCTION("""COMPUTED_VALUE"""),"Wild West")</f>
        <v>Wild West</v>
      </c>
      <c r="B15" s="5" t="str">
        <f>IFERROR(__xludf.DUMMYFUNCTION("""COMPUTED_VALUE"""),"")</f>
        <v/>
      </c>
      <c r="C15" s="5" t="str">
        <f>IFERROR(__xludf.DUMMYFUNCTION("""COMPUTED_VALUE"""),"")</f>
        <v/>
      </c>
      <c r="D15" s="5" t="str">
        <f>IFERROR(__xludf.DUMMYFUNCTION("""COMPUTED_VALUE"""),"")</f>
        <v/>
      </c>
      <c r="E15" s="5" t="str">
        <f>IFERROR(__xludf.DUMMYFUNCTION("""COMPUTED_VALUE"""),"")</f>
        <v/>
      </c>
      <c r="F15" s="5" t="str">
        <f>IFERROR(__xludf.DUMMYFUNCTION("""COMPUTED_VALUE"""),"Available")</f>
        <v>Available</v>
      </c>
      <c r="G15" s="5" t="str">
        <f>IFERROR(__xludf.DUMMYFUNCTION("""COMPUTED_VALUE"""),"Available")</f>
        <v>Available</v>
      </c>
      <c r="H15" s="5" t="str">
        <f>IFERROR(__xludf.DUMMYFUNCTION("""COMPUTED_VALUE"""),"")</f>
        <v/>
      </c>
      <c r="I15" s="5" t="str">
        <f>IFERROR(__xludf.DUMMYFUNCTION("""COMPUTED_VALUE"""),"")</f>
        <v/>
      </c>
      <c r="J15" s="5" t="str">
        <f>IFERROR(__xludf.DUMMYFUNCTION("""COMPUTED_VALUE"""),"")</f>
        <v/>
      </c>
      <c r="K15" s="5" t="str">
        <f>IFERROR(__xludf.DUMMYFUNCTION("""COMPUTED_VALUE"""),"")</f>
        <v/>
      </c>
      <c r="L15" s="5" t="str">
        <f>IFERROR(__xludf.DUMMYFUNCTION("""COMPUTED_VALUE"""),"")</f>
        <v/>
      </c>
      <c r="M15" s="5" t="str">
        <f>IFERROR(__xludf.DUMMYFUNCTION("""COMPUTED_VALUE"""),"")</f>
        <v/>
      </c>
      <c r="N15" s="5" t="str">
        <f>IFERROR(__xludf.DUMMYFUNCTION("""COMPUTED_VALUE"""),"")</f>
        <v/>
      </c>
      <c r="O15" s="5" t="str">
        <f>IFERROR(__xludf.DUMMYFUNCTION("""COMPUTED_VALUE"""),"")</f>
        <v/>
      </c>
      <c r="P15" s="5" t="str">
        <f>IFERROR(__xludf.DUMMYFUNCTION("""COMPUTED_VALUE"""),"")</f>
        <v/>
      </c>
      <c r="Q15" s="5" t="str">
        <f>IFERROR(__xludf.DUMMYFUNCTION("""COMPUTED_VALUE"""),"")</f>
        <v/>
      </c>
      <c r="R15" s="5" t="str">
        <f>IFERROR(__xludf.DUMMYFUNCTION("""COMPUTED_VALUE"""),"")</f>
        <v/>
      </c>
      <c r="S15" s="5" t="str">
        <f>IFERROR(__xludf.DUMMYFUNCTION("""COMPUTED_VALUE"""),"")</f>
        <v/>
      </c>
      <c r="T15" s="5" t="str">
        <f>IFERROR(__xludf.DUMMYFUNCTION("""COMPUTED_VALUE"""),"")</f>
        <v/>
      </c>
      <c r="U15" s="5" t="str">
        <f>IFERROR(__xludf.DUMMYFUNCTION("""COMPUTED_VALUE"""),"")</f>
        <v/>
      </c>
      <c r="V15" s="5" t="str">
        <f>IFERROR(__xludf.DUMMYFUNCTION("""COMPUTED_VALUE"""),"")</f>
        <v/>
      </c>
      <c r="W15" s="5" t="str">
        <f>IFERROR(__xludf.DUMMYFUNCTION("""COMPUTED_VALUE"""),"")</f>
        <v/>
      </c>
      <c r="X15" s="5" t="str">
        <f>IFERROR(__xludf.DUMMYFUNCTION("""COMPUTED_VALUE"""),"")</f>
        <v/>
      </c>
      <c r="Y15" s="5"/>
      <c r="Z15" s="5"/>
    </row>
    <row r="16">
      <c r="A16" s="5" t="str">
        <f>IFERROR(__xludf.DUMMYFUNCTION("""COMPUTED_VALUE"""),"Rolling Dices 81")</f>
        <v>Rolling Dices 81</v>
      </c>
      <c r="B16" s="5" t="str">
        <f>IFERROR(__xludf.DUMMYFUNCTION("""COMPUTED_VALUE"""),"")</f>
        <v/>
      </c>
      <c r="C16" s="5" t="str">
        <f>IFERROR(__xludf.DUMMYFUNCTION("""COMPUTED_VALUE"""),"")</f>
        <v/>
      </c>
      <c r="D16" s="5" t="str">
        <f>IFERROR(__xludf.DUMMYFUNCTION("""COMPUTED_VALUE"""),"")</f>
        <v/>
      </c>
      <c r="E16" s="5" t="str">
        <f>IFERROR(__xludf.DUMMYFUNCTION("""COMPUTED_VALUE"""),"")</f>
        <v/>
      </c>
      <c r="F16" s="5" t="str">
        <f>IFERROR(__xludf.DUMMYFUNCTION("""COMPUTED_VALUE"""),"")</f>
        <v/>
      </c>
      <c r="G16" s="5" t="str">
        <f>IFERROR(__xludf.DUMMYFUNCTION("""COMPUTED_VALUE"""),"")</f>
        <v/>
      </c>
      <c r="H16" s="5" t="str">
        <f>IFERROR(__xludf.DUMMYFUNCTION("""COMPUTED_VALUE"""),"")</f>
        <v/>
      </c>
      <c r="I16" s="5" t="str">
        <f>IFERROR(__xludf.DUMMYFUNCTION("""COMPUTED_VALUE"""),"")</f>
        <v/>
      </c>
      <c r="J16" s="5" t="str">
        <f>IFERROR(__xludf.DUMMYFUNCTION("""COMPUTED_VALUE"""),"")</f>
        <v/>
      </c>
      <c r="K16" s="5" t="str">
        <f>IFERROR(__xludf.DUMMYFUNCTION("""COMPUTED_VALUE"""),"")</f>
        <v/>
      </c>
      <c r="L16" s="5" t="str">
        <f>IFERROR(__xludf.DUMMYFUNCTION("""COMPUTED_VALUE"""),"")</f>
        <v/>
      </c>
      <c r="M16" s="5" t="str">
        <f>IFERROR(__xludf.DUMMYFUNCTION("""COMPUTED_VALUE"""),"")</f>
        <v/>
      </c>
      <c r="N16" s="5" t="str">
        <f>IFERROR(__xludf.DUMMYFUNCTION("""COMPUTED_VALUE"""),"")</f>
        <v/>
      </c>
      <c r="O16" s="5" t="str">
        <f>IFERROR(__xludf.DUMMYFUNCTION("""COMPUTED_VALUE"""),"")</f>
        <v/>
      </c>
      <c r="P16" s="5" t="str">
        <f>IFERROR(__xludf.DUMMYFUNCTION("""COMPUTED_VALUE"""),"")</f>
        <v/>
      </c>
      <c r="Q16" s="5" t="str">
        <f>IFERROR(__xludf.DUMMYFUNCTION("""COMPUTED_VALUE"""),"")</f>
        <v/>
      </c>
      <c r="R16" s="5" t="str">
        <f>IFERROR(__xludf.DUMMYFUNCTION("""COMPUTED_VALUE"""),"")</f>
        <v/>
      </c>
      <c r="S16" s="5" t="str">
        <f>IFERROR(__xludf.DUMMYFUNCTION("""COMPUTED_VALUE"""),"")</f>
        <v/>
      </c>
      <c r="T16" s="5" t="str">
        <f>IFERROR(__xludf.DUMMYFUNCTION("""COMPUTED_VALUE"""),"")</f>
        <v/>
      </c>
      <c r="U16" s="5" t="str">
        <f>IFERROR(__xludf.DUMMYFUNCTION("""COMPUTED_VALUE"""),"")</f>
        <v/>
      </c>
      <c r="V16" s="5" t="str">
        <f>IFERROR(__xludf.DUMMYFUNCTION("""COMPUTED_VALUE"""),"")</f>
        <v/>
      </c>
      <c r="W16" s="5" t="str">
        <f>IFERROR(__xludf.DUMMYFUNCTION("""COMPUTED_VALUE"""),"")</f>
        <v/>
      </c>
      <c r="X16" s="5" t="str">
        <f>IFERROR(__xludf.DUMMYFUNCTION("""COMPUTED_VALUE"""),"")</f>
        <v/>
      </c>
      <c r="Y16" s="5"/>
      <c r="Z16" s="5"/>
    </row>
    <row r="17">
      <c r="A17" s="5" t="str">
        <f>IFERROR(__xludf.DUMMYFUNCTION("""COMPUTED_VALUE"""),"Pyramid")</f>
        <v>Pyramid</v>
      </c>
      <c r="B17" s="5" t="str">
        <f>IFERROR(__xludf.DUMMYFUNCTION("""COMPUTED_VALUE"""),"")</f>
        <v/>
      </c>
      <c r="C17" s="5" t="str">
        <f>IFERROR(__xludf.DUMMYFUNCTION("""COMPUTED_VALUE"""),"Available")</f>
        <v>Available</v>
      </c>
      <c r="D17" s="5" t="str">
        <f>IFERROR(__xludf.DUMMYFUNCTION("""COMPUTED_VALUE"""),"Available")</f>
        <v>Available</v>
      </c>
      <c r="E17" s="5" t="str">
        <f>IFERROR(__xludf.DUMMYFUNCTION("""COMPUTED_VALUE"""),"Available")</f>
        <v>Available</v>
      </c>
      <c r="F17" s="5" t="str">
        <f>IFERROR(__xludf.DUMMYFUNCTION("""COMPUTED_VALUE"""),"Available")</f>
        <v>Available</v>
      </c>
      <c r="G17" s="5" t="str">
        <f>IFERROR(__xludf.DUMMYFUNCTION("""COMPUTED_VALUE"""),"Available")</f>
        <v>Available</v>
      </c>
      <c r="H17" s="5" t="str">
        <f>IFERROR(__xludf.DUMMYFUNCTION("""COMPUTED_VALUE"""),"Available")</f>
        <v>Available</v>
      </c>
      <c r="I17" s="5" t="str">
        <f>IFERROR(__xludf.DUMMYFUNCTION("""COMPUTED_VALUE"""),"Available")</f>
        <v>Available</v>
      </c>
      <c r="J17" s="5" t="str">
        <f>IFERROR(__xludf.DUMMYFUNCTION("""COMPUTED_VALUE"""),"")</f>
        <v/>
      </c>
      <c r="K17" s="5" t="str">
        <f>IFERROR(__xludf.DUMMYFUNCTION("""COMPUTED_VALUE"""),"")</f>
        <v/>
      </c>
      <c r="L17" s="5" t="str">
        <f>IFERROR(__xludf.DUMMYFUNCTION("""COMPUTED_VALUE"""),"")</f>
        <v/>
      </c>
      <c r="M17" s="5" t="str">
        <f>IFERROR(__xludf.DUMMYFUNCTION("""COMPUTED_VALUE"""),"")</f>
        <v/>
      </c>
      <c r="N17" s="5" t="str">
        <f>IFERROR(__xludf.DUMMYFUNCTION("""COMPUTED_VALUE"""),"")</f>
        <v/>
      </c>
      <c r="O17" s="5" t="str">
        <f>IFERROR(__xludf.DUMMYFUNCTION("""COMPUTED_VALUE"""),"")</f>
        <v/>
      </c>
      <c r="P17" s="5" t="str">
        <f>IFERROR(__xludf.DUMMYFUNCTION("""COMPUTED_VALUE"""),"Development")</f>
        <v>Development</v>
      </c>
      <c r="Q17" s="5" t="str">
        <f>IFERROR(__xludf.DUMMYFUNCTION("""COMPUTED_VALUE"""),"Available")</f>
        <v>Available</v>
      </c>
      <c r="R17" s="5" t="str">
        <f>IFERROR(__xludf.DUMMYFUNCTION("""COMPUTED_VALUE"""),"")</f>
        <v/>
      </c>
      <c r="S17" s="5" t="str">
        <f>IFERROR(__xludf.DUMMYFUNCTION("""COMPUTED_VALUE"""),"")</f>
        <v/>
      </c>
      <c r="T17" s="5" t="str">
        <f>IFERROR(__xludf.DUMMYFUNCTION("""COMPUTED_VALUE"""),"")</f>
        <v/>
      </c>
      <c r="U17" s="5" t="str">
        <f>IFERROR(__xludf.DUMMYFUNCTION("""COMPUTED_VALUE"""),"")</f>
        <v/>
      </c>
      <c r="V17" s="5" t="str">
        <f>IFERROR(__xludf.DUMMYFUNCTION("""COMPUTED_VALUE"""),"")</f>
        <v/>
      </c>
      <c r="W17" s="5" t="str">
        <f>IFERROR(__xludf.DUMMYFUNCTION("""COMPUTED_VALUE"""),"")</f>
        <v/>
      </c>
      <c r="X17" s="5" t="str">
        <f>IFERROR(__xludf.DUMMYFUNCTION("""COMPUTED_VALUE"""),"")</f>
        <v/>
      </c>
      <c r="Y17" s="5"/>
      <c r="Z17" s="5"/>
    </row>
    <row r="18">
      <c r="A18" s="5" t="str">
        <f>IFERROR(__xludf.DUMMYFUNCTION("""COMPUTED_VALUE"""),"Roulette")</f>
        <v>Roulette</v>
      </c>
      <c r="B18" s="5" t="str">
        <f>IFERROR(__xludf.DUMMYFUNCTION("""COMPUTED_VALUE"""),"")</f>
        <v/>
      </c>
      <c r="C18" s="5" t="str">
        <f>IFERROR(__xludf.DUMMYFUNCTION("""COMPUTED_VALUE"""),"Retired")</f>
        <v>Retired</v>
      </c>
      <c r="D18" s="5" t="str">
        <f>IFERROR(__xludf.DUMMYFUNCTION("""COMPUTED_VALUE"""),"Retired")</f>
        <v>Retired</v>
      </c>
      <c r="E18" s="5" t="str">
        <f>IFERROR(__xludf.DUMMYFUNCTION("""COMPUTED_VALUE"""),"")</f>
        <v/>
      </c>
      <c r="F18" s="5" t="str">
        <f>IFERROR(__xludf.DUMMYFUNCTION("""COMPUTED_VALUE"""),"Available")</f>
        <v>Available</v>
      </c>
      <c r="G18" s="5" t="str">
        <f>IFERROR(__xludf.DUMMYFUNCTION("""COMPUTED_VALUE"""),"Available")</f>
        <v>Available</v>
      </c>
      <c r="H18" s="5" t="str">
        <f>IFERROR(__xludf.DUMMYFUNCTION("""COMPUTED_VALUE"""),"Available")</f>
        <v>Available</v>
      </c>
      <c r="I18" s="5" t="str">
        <f>IFERROR(__xludf.DUMMYFUNCTION("""COMPUTED_VALUE"""),"Available")</f>
        <v>Available</v>
      </c>
      <c r="J18" s="5" t="str">
        <f>IFERROR(__xludf.DUMMYFUNCTION("""COMPUTED_VALUE"""),"Available")</f>
        <v>Available</v>
      </c>
      <c r="K18" s="5" t="str">
        <f>IFERROR(__xludf.DUMMYFUNCTION("""COMPUTED_VALUE"""),"")</f>
        <v/>
      </c>
      <c r="L18" s="5" t="str">
        <f>IFERROR(__xludf.DUMMYFUNCTION("""COMPUTED_VALUE"""),"Available")</f>
        <v>Available</v>
      </c>
      <c r="M18" s="5" t="str">
        <f>IFERROR(__xludf.DUMMYFUNCTION("""COMPUTED_VALUE"""),"Available")</f>
        <v>Available</v>
      </c>
      <c r="N18" s="5" t="str">
        <f>IFERROR(__xludf.DUMMYFUNCTION("""COMPUTED_VALUE"""),"")</f>
        <v/>
      </c>
      <c r="O18" s="5" t="str">
        <f>IFERROR(__xludf.DUMMYFUNCTION("""COMPUTED_VALUE"""),"Available")</f>
        <v>Available</v>
      </c>
      <c r="P18" s="5" t="str">
        <f>IFERROR(__xludf.DUMMYFUNCTION("""COMPUTED_VALUE"""),"Development")</f>
        <v>Development</v>
      </c>
      <c r="Q18" s="5" t="str">
        <f>IFERROR(__xludf.DUMMYFUNCTION("""COMPUTED_VALUE"""),"Available")</f>
        <v>Available</v>
      </c>
      <c r="R18" s="5" t="str">
        <f>IFERROR(__xludf.DUMMYFUNCTION("""COMPUTED_VALUE"""),"")</f>
        <v/>
      </c>
      <c r="S18" s="5" t="str">
        <f>IFERROR(__xludf.DUMMYFUNCTION("""COMPUTED_VALUE"""),"")</f>
        <v/>
      </c>
      <c r="T18" s="5" t="str">
        <f>IFERROR(__xludf.DUMMYFUNCTION("""COMPUTED_VALUE"""),"")</f>
        <v/>
      </c>
      <c r="U18" s="5" t="str">
        <f>IFERROR(__xludf.DUMMYFUNCTION("""COMPUTED_VALUE"""),"")</f>
        <v/>
      </c>
      <c r="V18" s="5" t="str">
        <f>IFERROR(__xludf.DUMMYFUNCTION("""COMPUTED_VALUE"""),"")</f>
        <v/>
      </c>
      <c r="W18" s="5" t="str">
        <f>IFERROR(__xludf.DUMMYFUNCTION("""COMPUTED_VALUE"""),"")</f>
        <v/>
      </c>
      <c r="X18" s="5" t="str">
        <f>IFERROR(__xludf.DUMMYFUNCTION("""COMPUTED_VALUE"""),"")</f>
        <v/>
      </c>
      <c r="Y18" s="5"/>
      <c r="Z18" s="5"/>
    </row>
    <row r="19">
      <c r="A19" s="5" t="str">
        <f>IFERROR(__xludf.DUMMYFUNCTION("""COMPUTED_VALUE"""),"Jolly Poker")</f>
        <v>Jolly Poker</v>
      </c>
      <c r="B19" s="5" t="str">
        <f>IFERROR(__xludf.DUMMYFUNCTION("""COMPUTED_VALUE"""),"")</f>
        <v/>
      </c>
      <c r="C19" s="5" t="str">
        <f>IFERROR(__xludf.DUMMYFUNCTION("""COMPUTED_VALUE"""),"")</f>
        <v/>
      </c>
      <c r="D19" s="5" t="str">
        <f>IFERROR(__xludf.DUMMYFUNCTION("""COMPUTED_VALUE"""),"")</f>
        <v/>
      </c>
      <c r="E19" s="5" t="str">
        <f>IFERROR(__xludf.DUMMYFUNCTION("""COMPUTED_VALUE"""),"")</f>
        <v/>
      </c>
      <c r="F19" s="5" t="str">
        <f>IFERROR(__xludf.DUMMYFUNCTION("""COMPUTED_VALUE"""),"")</f>
        <v/>
      </c>
      <c r="G19" s="5" t="str">
        <f>IFERROR(__xludf.DUMMYFUNCTION("""COMPUTED_VALUE"""),"")</f>
        <v/>
      </c>
      <c r="H19" s="5" t="str">
        <f>IFERROR(__xludf.DUMMYFUNCTION("""COMPUTED_VALUE"""),"Available")</f>
        <v>Available</v>
      </c>
      <c r="I19" s="5" t="str">
        <f>IFERROR(__xludf.DUMMYFUNCTION("""COMPUTED_VALUE"""),"")</f>
        <v/>
      </c>
      <c r="J19" s="5" t="str">
        <f>IFERROR(__xludf.DUMMYFUNCTION("""COMPUTED_VALUE"""),"")</f>
        <v/>
      </c>
      <c r="K19" s="5" t="str">
        <f>IFERROR(__xludf.DUMMYFUNCTION("""COMPUTED_VALUE"""),"")</f>
        <v/>
      </c>
      <c r="L19" s="5" t="str">
        <f>IFERROR(__xludf.DUMMYFUNCTION("""COMPUTED_VALUE"""),"")</f>
        <v/>
      </c>
      <c r="M19" s="5" t="str">
        <f>IFERROR(__xludf.DUMMYFUNCTION("""COMPUTED_VALUE"""),"")</f>
        <v/>
      </c>
      <c r="N19" s="5" t="str">
        <f>IFERROR(__xludf.DUMMYFUNCTION("""COMPUTED_VALUE"""),"")</f>
        <v/>
      </c>
      <c r="O19" s="5" t="str">
        <f>IFERROR(__xludf.DUMMYFUNCTION("""COMPUTED_VALUE"""),"")</f>
        <v/>
      </c>
      <c r="P19" s="5" t="str">
        <f>IFERROR(__xludf.DUMMYFUNCTION("""COMPUTED_VALUE"""),"")</f>
        <v/>
      </c>
      <c r="Q19" s="5" t="str">
        <f>IFERROR(__xludf.DUMMYFUNCTION("""COMPUTED_VALUE"""),"")</f>
        <v/>
      </c>
      <c r="R19" s="5" t="str">
        <f>IFERROR(__xludf.DUMMYFUNCTION("""COMPUTED_VALUE"""),"")</f>
        <v/>
      </c>
      <c r="S19" s="5" t="str">
        <f>IFERROR(__xludf.DUMMYFUNCTION("""COMPUTED_VALUE"""),"In Certification")</f>
        <v>In Certification</v>
      </c>
      <c r="T19" s="5" t="str">
        <f>IFERROR(__xludf.DUMMYFUNCTION("""COMPUTED_VALUE"""),"")</f>
        <v/>
      </c>
      <c r="U19" s="5" t="str">
        <f>IFERROR(__xludf.DUMMYFUNCTION("""COMPUTED_VALUE"""),"")</f>
        <v/>
      </c>
      <c r="V19" s="5" t="str">
        <f>IFERROR(__xludf.DUMMYFUNCTION("""COMPUTED_VALUE"""),"")</f>
        <v/>
      </c>
      <c r="W19" s="5" t="str">
        <f>IFERROR(__xludf.DUMMYFUNCTION("""COMPUTED_VALUE"""),"")</f>
        <v/>
      </c>
      <c r="X19" s="5" t="str">
        <f>IFERROR(__xludf.DUMMYFUNCTION("""COMPUTED_VALUE"""),"")</f>
        <v/>
      </c>
      <c r="Y19" s="5"/>
      <c r="Z19" s="5"/>
    </row>
    <row r="20">
      <c r="A20" s="5" t="str">
        <f>IFERROR(__xludf.DUMMYFUNCTION("""COMPUTED_VALUE"""),"Alpinist")</f>
        <v>Alpinist</v>
      </c>
      <c r="B20" s="5" t="str">
        <f>IFERROR(__xludf.DUMMYFUNCTION("""COMPUTED_VALUE"""),"")</f>
        <v/>
      </c>
      <c r="C20" s="5" t="str">
        <f>IFERROR(__xludf.DUMMYFUNCTION("""COMPUTED_VALUE"""),"")</f>
        <v/>
      </c>
      <c r="D20" s="5" t="str">
        <f>IFERROR(__xludf.DUMMYFUNCTION("""COMPUTED_VALUE"""),"")</f>
        <v/>
      </c>
      <c r="E20" s="5" t="str">
        <f>IFERROR(__xludf.DUMMYFUNCTION("""COMPUTED_VALUE"""),"")</f>
        <v/>
      </c>
      <c r="F20" s="5" t="str">
        <f>IFERROR(__xludf.DUMMYFUNCTION("""COMPUTED_VALUE"""),"")</f>
        <v/>
      </c>
      <c r="G20" s="5" t="str">
        <f>IFERROR(__xludf.DUMMYFUNCTION("""COMPUTED_VALUE"""),"")</f>
        <v/>
      </c>
      <c r="H20" s="5" t="str">
        <f>IFERROR(__xludf.DUMMYFUNCTION("""COMPUTED_VALUE"""),"")</f>
        <v/>
      </c>
      <c r="I20" s="5" t="str">
        <f>IFERROR(__xludf.DUMMYFUNCTION("""COMPUTED_VALUE"""),"")</f>
        <v/>
      </c>
      <c r="J20" s="5" t="str">
        <f>IFERROR(__xludf.DUMMYFUNCTION("""COMPUTED_VALUE"""),"")</f>
        <v/>
      </c>
      <c r="K20" s="5" t="str">
        <f>IFERROR(__xludf.DUMMYFUNCTION("""COMPUTED_VALUE"""),"")</f>
        <v/>
      </c>
      <c r="L20" s="5" t="str">
        <f>IFERROR(__xludf.DUMMYFUNCTION("""COMPUTED_VALUE"""),"")</f>
        <v/>
      </c>
      <c r="M20" s="5" t="str">
        <f>IFERROR(__xludf.DUMMYFUNCTION("""COMPUTED_VALUE"""),"")</f>
        <v/>
      </c>
      <c r="N20" s="5" t="str">
        <f>IFERROR(__xludf.DUMMYFUNCTION("""COMPUTED_VALUE"""),"")</f>
        <v/>
      </c>
      <c r="O20" s="5" t="str">
        <f>IFERROR(__xludf.DUMMYFUNCTION("""COMPUTED_VALUE"""),"")</f>
        <v/>
      </c>
      <c r="P20" s="5" t="str">
        <f>IFERROR(__xludf.DUMMYFUNCTION("""COMPUTED_VALUE"""),"")</f>
        <v/>
      </c>
      <c r="Q20" s="5" t="str">
        <f>IFERROR(__xludf.DUMMYFUNCTION("""COMPUTED_VALUE"""),"")</f>
        <v/>
      </c>
      <c r="R20" s="5" t="str">
        <f>IFERROR(__xludf.DUMMYFUNCTION("""COMPUTED_VALUE"""),"")</f>
        <v/>
      </c>
      <c r="S20" s="5" t="str">
        <f>IFERROR(__xludf.DUMMYFUNCTION("""COMPUTED_VALUE"""),"")</f>
        <v/>
      </c>
      <c r="T20" s="5" t="str">
        <f>IFERROR(__xludf.DUMMYFUNCTION("""COMPUTED_VALUE"""),"")</f>
        <v/>
      </c>
      <c r="U20" s="5" t="str">
        <f>IFERROR(__xludf.DUMMYFUNCTION("""COMPUTED_VALUE"""),"")</f>
        <v/>
      </c>
      <c r="V20" s="5" t="str">
        <f>IFERROR(__xludf.DUMMYFUNCTION("""COMPUTED_VALUE"""),"")</f>
        <v/>
      </c>
      <c r="W20" s="5" t="str">
        <f>IFERROR(__xludf.DUMMYFUNCTION("""COMPUTED_VALUE"""),"")</f>
        <v/>
      </c>
      <c r="X20" s="5" t="str">
        <f>IFERROR(__xludf.DUMMYFUNCTION("""COMPUTED_VALUE"""),"")</f>
        <v/>
      </c>
      <c r="Y20" s="5"/>
      <c r="Z20" s="5"/>
    </row>
    <row r="21">
      <c r="A21" s="5" t="str">
        <f>IFERROR(__xludf.DUMMYFUNCTION("""COMPUTED_VALUE"""),"Diamonds")</f>
        <v>Diamonds</v>
      </c>
      <c r="B21" s="5" t="str">
        <f>IFERROR(__xludf.DUMMYFUNCTION("""COMPUTED_VALUE"""),"")</f>
        <v/>
      </c>
      <c r="C21" s="5" t="str">
        <f>IFERROR(__xludf.DUMMYFUNCTION("""COMPUTED_VALUE"""),"")</f>
        <v/>
      </c>
      <c r="D21" s="5" t="str">
        <f>IFERROR(__xludf.DUMMYFUNCTION("""COMPUTED_VALUE"""),"")</f>
        <v/>
      </c>
      <c r="E21" s="5" t="str">
        <f>IFERROR(__xludf.DUMMYFUNCTION("""COMPUTED_VALUE"""),"")</f>
        <v/>
      </c>
      <c r="F21" s="5" t="str">
        <f>IFERROR(__xludf.DUMMYFUNCTION("""COMPUTED_VALUE"""),"")</f>
        <v/>
      </c>
      <c r="G21" s="5" t="str">
        <f>IFERROR(__xludf.DUMMYFUNCTION("""COMPUTED_VALUE"""),"")</f>
        <v/>
      </c>
      <c r="H21" s="5" t="str">
        <f>IFERROR(__xludf.DUMMYFUNCTION("""COMPUTED_VALUE"""),"")</f>
        <v/>
      </c>
      <c r="I21" s="5" t="str">
        <f>IFERROR(__xludf.DUMMYFUNCTION("""COMPUTED_VALUE"""),"")</f>
        <v/>
      </c>
      <c r="J21" s="5" t="str">
        <f>IFERROR(__xludf.DUMMYFUNCTION("""COMPUTED_VALUE"""),"")</f>
        <v/>
      </c>
      <c r="K21" s="5" t="str">
        <f>IFERROR(__xludf.DUMMYFUNCTION("""COMPUTED_VALUE"""),"")</f>
        <v/>
      </c>
      <c r="L21" s="5" t="str">
        <f>IFERROR(__xludf.DUMMYFUNCTION("""COMPUTED_VALUE"""),"")</f>
        <v/>
      </c>
      <c r="M21" s="5" t="str">
        <f>IFERROR(__xludf.DUMMYFUNCTION("""COMPUTED_VALUE"""),"")</f>
        <v/>
      </c>
      <c r="N21" s="5" t="str">
        <f>IFERROR(__xludf.DUMMYFUNCTION("""COMPUTED_VALUE"""),"")</f>
        <v/>
      </c>
      <c r="O21" s="5" t="str">
        <f>IFERROR(__xludf.DUMMYFUNCTION("""COMPUTED_VALUE"""),"")</f>
        <v/>
      </c>
      <c r="P21" s="5" t="str">
        <f>IFERROR(__xludf.DUMMYFUNCTION("""COMPUTED_VALUE"""),"")</f>
        <v/>
      </c>
      <c r="Q21" s="5" t="str">
        <f>IFERROR(__xludf.DUMMYFUNCTION("""COMPUTED_VALUE"""),"")</f>
        <v/>
      </c>
      <c r="R21" s="5" t="str">
        <f>IFERROR(__xludf.DUMMYFUNCTION("""COMPUTED_VALUE"""),"")</f>
        <v/>
      </c>
      <c r="S21" s="5" t="str">
        <f>IFERROR(__xludf.DUMMYFUNCTION("""COMPUTED_VALUE"""),"")</f>
        <v/>
      </c>
      <c r="T21" s="5" t="str">
        <f>IFERROR(__xludf.DUMMYFUNCTION("""COMPUTED_VALUE"""),"")</f>
        <v/>
      </c>
      <c r="U21" s="5" t="str">
        <f>IFERROR(__xludf.DUMMYFUNCTION("""COMPUTED_VALUE"""),"")</f>
        <v/>
      </c>
      <c r="V21" s="5" t="str">
        <f>IFERROR(__xludf.DUMMYFUNCTION("""COMPUTED_VALUE"""),"")</f>
        <v/>
      </c>
      <c r="W21" s="5" t="str">
        <f>IFERROR(__xludf.DUMMYFUNCTION("""COMPUTED_VALUE"""),"")</f>
        <v/>
      </c>
      <c r="X21" s="5" t="str">
        <f>IFERROR(__xludf.DUMMYFUNCTION("""COMPUTED_VALUE"""),"")</f>
        <v/>
      </c>
      <c r="Y21" s="5"/>
      <c r="Z21" s="5"/>
    </row>
    <row r="22">
      <c r="A22" s="5" t="str">
        <f>IFERROR(__xludf.DUMMYFUNCTION("""COMPUTED_VALUE"""),"Juicy Hot")</f>
        <v>Juicy Hot</v>
      </c>
      <c r="B22" s="5" t="str">
        <f>IFERROR(__xludf.DUMMYFUNCTION("""COMPUTED_VALUE"""),"")</f>
        <v/>
      </c>
      <c r="C22" s="5" t="str">
        <f>IFERROR(__xludf.DUMMYFUNCTION("""COMPUTED_VALUE"""),"")</f>
        <v/>
      </c>
      <c r="D22" s="5" t="str">
        <f>IFERROR(__xludf.DUMMYFUNCTION("""COMPUTED_VALUE"""),"")</f>
        <v/>
      </c>
      <c r="E22" s="5" t="str">
        <f>IFERROR(__xludf.DUMMYFUNCTION("""COMPUTED_VALUE"""),"")</f>
        <v/>
      </c>
      <c r="F22" s="5" t="str">
        <f>IFERROR(__xludf.DUMMYFUNCTION("""COMPUTED_VALUE"""),"")</f>
        <v/>
      </c>
      <c r="G22" s="5" t="str">
        <f>IFERROR(__xludf.DUMMYFUNCTION("""COMPUTED_VALUE"""),"")</f>
        <v/>
      </c>
      <c r="H22" s="5" t="str">
        <f>IFERROR(__xludf.DUMMYFUNCTION("""COMPUTED_VALUE"""),"Available")</f>
        <v>Available</v>
      </c>
      <c r="I22" s="5" t="str">
        <f>IFERROR(__xludf.DUMMYFUNCTION("""COMPUTED_VALUE"""),"")</f>
        <v/>
      </c>
      <c r="J22" s="5" t="str">
        <f>IFERROR(__xludf.DUMMYFUNCTION("""COMPUTED_VALUE"""),"")</f>
        <v/>
      </c>
      <c r="K22" s="5" t="str">
        <f>IFERROR(__xludf.DUMMYFUNCTION("""COMPUTED_VALUE"""),"")</f>
        <v/>
      </c>
      <c r="L22" s="5" t="str">
        <f>IFERROR(__xludf.DUMMYFUNCTION("""COMPUTED_VALUE"""),"")</f>
        <v/>
      </c>
      <c r="M22" s="5" t="str">
        <f>IFERROR(__xludf.DUMMYFUNCTION("""COMPUTED_VALUE"""),"")</f>
        <v/>
      </c>
      <c r="N22" s="5" t="str">
        <f>IFERROR(__xludf.DUMMYFUNCTION("""COMPUTED_VALUE"""),"")</f>
        <v/>
      </c>
      <c r="O22" s="5" t="str">
        <f>IFERROR(__xludf.DUMMYFUNCTION("""COMPUTED_VALUE"""),"")</f>
        <v/>
      </c>
      <c r="P22" s="5" t="str">
        <f>IFERROR(__xludf.DUMMYFUNCTION("""COMPUTED_VALUE"""),"")</f>
        <v/>
      </c>
      <c r="Q22" s="5" t="str">
        <f>IFERROR(__xludf.DUMMYFUNCTION("""COMPUTED_VALUE"""),"Available")</f>
        <v>Available</v>
      </c>
      <c r="R22" s="5" t="str">
        <f>IFERROR(__xludf.DUMMYFUNCTION("""COMPUTED_VALUE"""),"")</f>
        <v/>
      </c>
      <c r="S22" s="5" t="str">
        <f>IFERROR(__xludf.DUMMYFUNCTION("""COMPUTED_VALUE"""),"")</f>
        <v/>
      </c>
      <c r="T22" s="5" t="str">
        <f>IFERROR(__xludf.DUMMYFUNCTION("""COMPUTED_VALUE"""),"")</f>
        <v/>
      </c>
      <c r="U22" s="5" t="str">
        <f>IFERROR(__xludf.DUMMYFUNCTION("""COMPUTED_VALUE"""),"")</f>
        <v/>
      </c>
      <c r="V22" s="5" t="str">
        <f>IFERROR(__xludf.DUMMYFUNCTION("""COMPUTED_VALUE"""),"")</f>
        <v/>
      </c>
      <c r="W22" s="5" t="str">
        <f>IFERROR(__xludf.DUMMYFUNCTION("""COMPUTED_VALUE"""),"")</f>
        <v/>
      </c>
      <c r="X22" s="5" t="str">
        <f>IFERROR(__xludf.DUMMYFUNCTION("""COMPUTED_VALUE"""),"")</f>
        <v/>
      </c>
      <c r="Y22" s="5"/>
      <c r="Z22" s="5"/>
    </row>
    <row r="23">
      <c r="A23" s="5" t="str">
        <f>IFERROR(__xludf.DUMMYFUNCTION("""COMPUTED_VALUE"""),"Hot Stars")</f>
        <v>Hot Stars</v>
      </c>
      <c r="B23" s="5" t="str">
        <f>IFERROR(__xludf.DUMMYFUNCTION("""COMPUTED_VALUE"""),"")</f>
        <v/>
      </c>
      <c r="C23" s="5" t="str">
        <f>IFERROR(__xludf.DUMMYFUNCTION("""COMPUTED_VALUE"""),"Available")</f>
        <v>Available</v>
      </c>
      <c r="D23" s="5" t="str">
        <f>IFERROR(__xludf.DUMMYFUNCTION("""COMPUTED_VALUE"""),"Available")</f>
        <v>Available</v>
      </c>
      <c r="E23" s="5" t="str">
        <f>IFERROR(__xludf.DUMMYFUNCTION("""COMPUTED_VALUE"""),"")</f>
        <v/>
      </c>
      <c r="F23" s="5" t="str">
        <f>IFERROR(__xludf.DUMMYFUNCTION("""COMPUTED_VALUE"""),"Available")</f>
        <v>Available</v>
      </c>
      <c r="G23" s="5" t="str">
        <f>IFERROR(__xludf.DUMMYFUNCTION("""COMPUTED_VALUE"""),"Available")</f>
        <v>Available</v>
      </c>
      <c r="H23" s="5" t="str">
        <f>IFERROR(__xludf.DUMMYFUNCTION("""COMPUTED_VALUE"""),"Available")</f>
        <v>Available</v>
      </c>
      <c r="I23" s="5" t="str">
        <f>IFERROR(__xludf.DUMMYFUNCTION("""COMPUTED_VALUE"""),"Available")</f>
        <v>Available</v>
      </c>
      <c r="J23" s="5" t="str">
        <f>IFERROR(__xludf.DUMMYFUNCTION("""COMPUTED_VALUE"""),"")</f>
        <v/>
      </c>
      <c r="K23" s="5" t="str">
        <f>IFERROR(__xludf.DUMMYFUNCTION("""COMPUTED_VALUE"""),"Available")</f>
        <v>Available</v>
      </c>
      <c r="L23" s="5" t="str">
        <f>IFERROR(__xludf.DUMMYFUNCTION("""COMPUTED_VALUE"""),"")</f>
        <v/>
      </c>
      <c r="M23" s="5" t="str">
        <f>IFERROR(__xludf.DUMMYFUNCTION("""COMPUTED_VALUE"""),"")</f>
        <v/>
      </c>
      <c r="N23" s="5" t="str">
        <f>IFERROR(__xludf.DUMMYFUNCTION("""COMPUTED_VALUE"""),"")</f>
        <v/>
      </c>
      <c r="O23" s="5" t="str">
        <f>IFERROR(__xludf.DUMMYFUNCTION("""COMPUTED_VALUE"""),"Available")</f>
        <v>Available</v>
      </c>
      <c r="P23" s="5" t="str">
        <f>IFERROR(__xludf.DUMMYFUNCTION("""COMPUTED_VALUE"""),"Development")</f>
        <v>Development</v>
      </c>
      <c r="Q23" s="5" t="str">
        <f>IFERROR(__xludf.DUMMYFUNCTION("""COMPUTED_VALUE"""),"Available")</f>
        <v>Available</v>
      </c>
      <c r="R23" s="5" t="str">
        <f>IFERROR(__xludf.DUMMYFUNCTION("""COMPUTED_VALUE"""),"")</f>
        <v/>
      </c>
      <c r="S23" s="5" t="str">
        <f>IFERROR(__xludf.DUMMYFUNCTION("""COMPUTED_VALUE"""),"")</f>
        <v/>
      </c>
      <c r="T23" s="5" t="str">
        <f>IFERROR(__xludf.DUMMYFUNCTION("""COMPUTED_VALUE"""),"")</f>
        <v/>
      </c>
      <c r="U23" s="5" t="str">
        <f>IFERROR(__xludf.DUMMYFUNCTION("""COMPUTED_VALUE"""),"")</f>
        <v/>
      </c>
      <c r="V23" s="5" t="str">
        <f>IFERROR(__xludf.DUMMYFUNCTION("""COMPUTED_VALUE"""),"")</f>
        <v/>
      </c>
      <c r="W23" s="5" t="str">
        <f>IFERROR(__xludf.DUMMYFUNCTION("""COMPUTED_VALUE"""),"")</f>
        <v/>
      </c>
      <c r="X23" s="5" t="str">
        <f>IFERROR(__xludf.DUMMYFUNCTION("""COMPUTED_VALUE"""),"")</f>
        <v/>
      </c>
      <c r="Y23" s="5"/>
      <c r="Z23" s="5"/>
    </row>
    <row r="24">
      <c r="A24" s="5" t="str">
        <f>IFERROR(__xludf.DUMMYFUNCTION("""COMPUTED_VALUE"""),"Triple Crown")</f>
        <v>Triple Crown</v>
      </c>
      <c r="B24" s="5" t="str">
        <f>IFERROR(__xludf.DUMMYFUNCTION("""COMPUTED_VALUE"""),"")</f>
        <v/>
      </c>
      <c r="C24" s="5" t="str">
        <f>IFERROR(__xludf.DUMMYFUNCTION("""COMPUTED_VALUE"""),"")</f>
        <v/>
      </c>
      <c r="D24" s="5" t="str">
        <f>IFERROR(__xludf.DUMMYFUNCTION("""COMPUTED_VALUE"""),"")</f>
        <v/>
      </c>
      <c r="E24" s="5" t="str">
        <f>IFERROR(__xludf.DUMMYFUNCTION("""COMPUTED_VALUE"""),"")</f>
        <v/>
      </c>
      <c r="F24" s="5" t="str">
        <f>IFERROR(__xludf.DUMMYFUNCTION("""COMPUTED_VALUE"""),"")</f>
        <v/>
      </c>
      <c r="G24" s="5" t="str">
        <f>IFERROR(__xludf.DUMMYFUNCTION("""COMPUTED_VALUE"""),"")</f>
        <v/>
      </c>
      <c r="H24" s="5" t="str">
        <f>IFERROR(__xludf.DUMMYFUNCTION("""COMPUTED_VALUE"""),"")</f>
        <v/>
      </c>
      <c r="I24" s="5" t="str">
        <f>IFERROR(__xludf.DUMMYFUNCTION("""COMPUTED_VALUE"""),"")</f>
        <v/>
      </c>
      <c r="J24" s="5" t="str">
        <f>IFERROR(__xludf.DUMMYFUNCTION("""COMPUTED_VALUE"""),"")</f>
        <v/>
      </c>
      <c r="K24" s="5" t="str">
        <f>IFERROR(__xludf.DUMMYFUNCTION("""COMPUTED_VALUE"""),"")</f>
        <v/>
      </c>
      <c r="L24" s="5" t="str">
        <f>IFERROR(__xludf.DUMMYFUNCTION("""COMPUTED_VALUE"""),"")</f>
        <v/>
      </c>
      <c r="M24" s="5" t="str">
        <f>IFERROR(__xludf.DUMMYFUNCTION("""COMPUTED_VALUE"""),"")</f>
        <v/>
      </c>
      <c r="N24" s="5" t="str">
        <f>IFERROR(__xludf.DUMMYFUNCTION("""COMPUTED_VALUE"""),"")</f>
        <v/>
      </c>
      <c r="O24" s="5" t="str">
        <f>IFERROR(__xludf.DUMMYFUNCTION("""COMPUTED_VALUE"""),"")</f>
        <v/>
      </c>
      <c r="P24" s="5" t="str">
        <f>IFERROR(__xludf.DUMMYFUNCTION("""COMPUTED_VALUE"""),"")</f>
        <v/>
      </c>
      <c r="Q24" s="5" t="str">
        <f>IFERROR(__xludf.DUMMYFUNCTION("""COMPUTED_VALUE"""),"")</f>
        <v/>
      </c>
      <c r="R24" s="5" t="str">
        <f>IFERROR(__xludf.DUMMYFUNCTION("""COMPUTED_VALUE"""),"")</f>
        <v/>
      </c>
      <c r="S24" s="5" t="str">
        <f>IFERROR(__xludf.DUMMYFUNCTION("""COMPUTED_VALUE"""),"")</f>
        <v/>
      </c>
      <c r="T24" s="5" t="str">
        <f>IFERROR(__xludf.DUMMYFUNCTION("""COMPUTED_VALUE"""),"")</f>
        <v/>
      </c>
      <c r="U24" s="5" t="str">
        <f>IFERROR(__xludf.DUMMYFUNCTION("""COMPUTED_VALUE"""),"")</f>
        <v/>
      </c>
      <c r="V24" s="5" t="str">
        <f>IFERROR(__xludf.DUMMYFUNCTION("""COMPUTED_VALUE"""),"")</f>
        <v/>
      </c>
      <c r="W24" s="5" t="str">
        <f>IFERROR(__xludf.DUMMYFUNCTION("""COMPUTED_VALUE"""),"")</f>
        <v/>
      </c>
      <c r="X24" s="5" t="str">
        <f>IFERROR(__xludf.DUMMYFUNCTION("""COMPUTED_VALUE"""),"")</f>
        <v/>
      </c>
      <c r="Y24" s="5"/>
      <c r="Z24" s="5"/>
    </row>
    <row r="25">
      <c r="A25" s="5" t="str">
        <f>IFERROR(__xludf.DUMMYFUNCTION("""COMPUTED_VALUE"""),"Book of Spells")</f>
        <v>Book of Spells</v>
      </c>
      <c r="B25" s="5" t="str">
        <f>IFERROR(__xludf.DUMMYFUNCTION("""COMPUTED_VALUE"""),"Available")</f>
        <v>Available</v>
      </c>
      <c r="C25" s="5" t="str">
        <f>IFERROR(__xludf.DUMMYFUNCTION("""COMPUTED_VALUE"""),"Development")</f>
        <v>Development</v>
      </c>
      <c r="D25" s="5" t="str">
        <f>IFERROR(__xludf.DUMMYFUNCTION("""COMPUTED_VALUE"""),"Available")</f>
        <v>Available</v>
      </c>
      <c r="E25" s="5" t="str">
        <f>IFERROR(__xludf.DUMMYFUNCTION("""COMPUTED_VALUE"""),"Available")</f>
        <v>Available</v>
      </c>
      <c r="F25" s="5" t="str">
        <f>IFERROR(__xludf.DUMMYFUNCTION("""COMPUTED_VALUE"""),"Available")</f>
        <v>Available</v>
      </c>
      <c r="G25" s="5" t="str">
        <f>IFERROR(__xludf.DUMMYFUNCTION("""COMPUTED_VALUE"""),"Available")</f>
        <v>Available</v>
      </c>
      <c r="H25" s="5" t="str">
        <f>IFERROR(__xludf.DUMMYFUNCTION("""COMPUTED_VALUE"""),"Available")</f>
        <v>Available</v>
      </c>
      <c r="I25" s="5" t="str">
        <f>IFERROR(__xludf.DUMMYFUNCTION("""COMPUTED_VALUE"""),"Available")</f>
        <v>Available</v>
      </c>
      <c r="J25" s="5" t="str">
        <f>IFERROR(__xludf.DUMMYFUNCTION("""COMPUTED_VALUE"""),"Available")</f>
        <v>Available</v>
      </c>
      <c r="K25" s="5" t="str">
        <f>IFERROR(__xludf.DUMMYFUNCTION("""COMPUTED_VALUE"""),"Development")</f>
        <v>Development</v>
      </c>
      <c r="L25" s="5" t="str">
        <f>IFERROR(__xludf.DUMMYFUNCTION("""COMPUTED_VALUE"""),"")</f>
        <v/>
      </c>
      <c r="M25" s="5" t="str">
        <f>IFERROR(__xludf.DUMMYFUNCTION("""COMPUTED_VALUE"""),"Available")</f>
        <v>Available</v>
      </c>
      <c r="N25" s="5" t="str">
        <f>IFERROR(__xludf.DUMMYFUNCTION("""COMPUTED_VALUE"""),"Development")</f>
        <v>Development</v>
      </c>
      <c r="O25" s="5" t="str">
        <f>IFERROR(__xludf.DUMMYFUNCTION("""COMPUTED_VALUE"""),"")</f>
        <v/>
      </c>
      <c r="P25" s="5" t="str">
        <f>IFERROR(__xludf.DUMMYFUNCTION("""COMPUTED_VALUE"""),"Development")</f>
        <v>Development</v>
      </c>
      <c r="Q25" s="5" t="str">
        <f>IFERROR(__xludf.DUMMYFUNCTION("""COMPUTED_VALUE"""),"Available")</f>
        <v>Available</v>
      </c>
      <c r="R25" s="5" t="str">
        <f>IFERROR(__xludf.DUMMYFUNCTION("""COMPUTED_VALUE"""),"Available")</f>
        <v>Available</v>
      </c>
      <c r="S25" s="5" t="str">
        <f>IFERROR(__xludf.DUMMYFUNCTION("""COMPUTED_VALUE"""),"In Certification")</f>
        <v>In Certification</v>
      </c>
      <c r="T25" s="5" t="str">
        <f>IFERROR(__xludf.DUMMYFUNCTION("""COMPUTED_VALUE"""),"")</f>
        <v/>
      </c>
      <c r="U25" s="5" t="str">
        <f>IFERROR(__xludf.DUMMYFUNCTION("""COMPUTED_VALUE"""),"Certified")</f>
        <v>Certified</v>
      </c>
      <c r="V25" s="5" t="str">
        <f>IFERROR(__xludf.DUMMYFUNCTION("""COMPUTED_VALUE"""),"Available")</f>
        <v>Available</v>
      </c>
      <c r="W25" s="5" t="str">
        <f>IFERROR(__xludf.DUMMYFUNCTION("""COMPUTED_VALUE"""),"Planned")</f>
        <v>Planned</v>
      </c>
      <c r="X25" s="5" t="str">
        <f>IFERROR(__xludf.DUMMYFUNCTION("""COMPUTED_VALUE"""),"")</f>
        <v/>
      </c>
      <c r="Y25" s="5"/>
      <c r="Z25" s="5"/>
    </row>
    <row r="26">
      <c r="A26" s="5" t="str">
        <f>IFERROR(__xludf.DUMMYFUNCTION("""COMPUTED_VALUE"""),"Mega Hot")</f>
        <v>Mega Hot</v>
      </c>
      <c r="B26" s="5" t="str">
        <f>IFERROR(__xludf.DUMMYFUNCTION("""COMPUTED_VALUE"""),"")</f>
        <v/>
      </c>
      <c r="C26" s="5" t="str">
        <f>IFERROR(__xludf.DUMMYFUNCTION("""COMPUTED_VALUE"""),"Available")</f>
        <v>Available</v>
      </c>
      <c r="D26" s="5" t="str">
        <f>IFERROR(__xludf.DUMMYFUNCTION("""COMPUTED_VALUE"""),"")</f>
        <v/>
      </c>
      <c r="E26" s="5" t="str">
        <f>IFERROR(__xludf.DUMMYFUNCTION("""COMPUTED_VALUE"""),"")</f>
        <v/>
      </c>
      <c r="F26" s="5" t="str">
        <f>IFERROR(__xludf.DUMMYFUNCTION("""COMPUTED_VALUE"""),"")</f>
        <v/>
      </c>
      <c r="G26" s="5" t="str">
        <f>IFERROR(__xludf.DUMMYFUNCTION("""COMPUTED_VALUE"""),"")</f>
        <v/>
      </c>
      <c r="H26" s="5" t="str">
        <f>IFERROR(__xludf.DUMMYFUNCTION("""COMPUTED_VALUE"""),"")</f>
        <v/>
      </c>
      <c r="I26" s="5" t="str">
        <f>IFERROR(__xludf.DUMMYFUNCTION("""COMPUTED_VALUE"""),"Available")</f>
        <v>Available</v>
      </c>
      <c r="J26" s="5" t="str">
        <f>IFERROR(__xludf.DUMMYFUNCTION("""COMPUTED_VALUE"""),"")</f>
        <v/>
      </c>
      <c r="K26" s="5" t="str">
        <f>IFERROR(__xludf.DUMMYFUNCTION("""COMPUTED_VALUE"""),"")</f>
        <v/>
      </c>
      <c r="L26" s="5" t="str">
        <f>IFERROR(__xludf.DUMMYFUNCTION("""COMPUTED_VALUE"""),"Development")</f>
        <v>Development</v>
      </c>
      <c r="M26" s="5" t="str">
        <f>IFERROR(__xludf.DUMMYFUNCTION("""COMPUTED_VALUE"""),"")</f>
        <v/>
      </c>
      <c r="N26" s="5" t="str">
        <f>IFERROR(__xludf.DUMMYFUNCTION("""COMPUTED_VALUE"""),"")</f>
        <v/>
      </c>
      <c r="O26" s="5" t="str">
        <f>IFERROR(__xludf.DUMMYFUNCTION("""COMPUTED_VALUE"""),"")</f>
        <v/>
      </c>
      <c r="P26" s="5" t="str">
        <f>IFERROR(__xludf.DUMMYFUNCTION("""COMPUTED_VALUE"""),"Available")</f>
        <v>Available</v>
      </c>
      <c r="Q26" s="5" t="str">
        <f>IFERROR(__xludf.DUMMYFUNCTION("""COMPUTED_VALUE"""),"")</f>
        <v/>
      </c>
      <c r="R26" s="5" t="str">
        <f>IFERROR(__xludf.DUMMYFUNCTION("""COMPUTED_VALUE"""),"")</f>
        <v/>
      </c>
      <c r="S26" s="5" t="str">
        <f>IFERROR(__xludf.DUMMYFUNCTION("""COMPUTED_VALUE"""),"")</f>
        <v/>
      </c>
      <c r="T26" s="5" t="str">
        <f>IFERROR(__xludf.DUMMYFUNCTION("""COMPUTED_VALUE"""),"")</f>
        <v/>
      </c>
      <c r="U26" s="5" t="str">
        <f>IFERROR(__xludf.DUMMYFUNCTION("""COMPUTED_VALUE"""),"")</f>
        <v/>
      </c>
      <c r="V26" s="5" t="str">
        <f>IFERROR(__xludf.DUMMYFUNCTION("""COMPUTED_VALUE"""),"")</f>
        <v/>
      </c>
      <c r="W26" s="5" t="str">
        <f>IFERROR(__xludf.DUMMYFUNCTION("""COMPUTED_VALUE"""),"")</f>
        <v/>
      </c>
      <c r="X26" s="5" t="str">
        <f>IFERROR(__xludf.DUMMYFUNCTION("""COMPUTED_VALUE"""),"")</f>
        <v/>
      </c>
      <c r="Y26" s="5"/>
      <c r="Z26" s="5"/>
    </row>
    <row r="27">
      <c r="A27" s="5" t="str">
        <f>IFERROR(__xludf.DUMMYFUNCTION("""COMPUTED_VALUE"""),"Live European Roulette")</f>
        <v>Live European Roulette</v>
      </c>
      <c r="B27" s="5" t="str">
        <f>IFERROR(__xludf.DUMMYFUNCTION("""COMPUTED_VALUE"""),"")</f>
        <v/>
      </c>
      <c r="C27" s="5" t="str">
        <f>IFERROR(__xludf.DUMMYFUNCTION("""COMPUTED_VALUE"""),"")</f>
        <v/>
      </c>
      <c r="D27" s="5" t="str">
        <f>IFERROR(__xludf.DUMMYFUNCTION("""COMPUTED_VALUE"""),"")</f>
        <v/>
      </c>
      <c r="E27" s="5" t="str">
        <f>IFERROR(__xludf.DUMMYFUNCTION("""COMPUTED_VALUE"""),"")</f>
        <v/>
      </c>
      <c r="F27" s="5" t="str">
        <f>IFERROR(__xludf.DUMMYFUNCTION("""COMPUTED_VALUE"""),"")</f>
        <v/>
      </c>
      <c r="G27" s="5" t="str">
        <f>IFERROR(__xludf.DUMMYFUNCTION("""COMPUTED_VALUE"""),"")</f>
        <v/>
      </c>
      <c r="H27" s="5" t="str">
        <f>IFERROR(__xludf.DUMMYFUNCTION("""COMPUTED_VALUE"""),"")</f>
        <v/>
      </c>
      <c r="I27" s="5" t="str">
        <f>IFERROR(__xludf.DUMMYFUNCTION("""COMPUTED_VALUE"""),"")</f>
        <v/>
      </c>
      <c r="J27" s="5" t="str">
        <f>IFERROR(__xludf.DUMMYFUNCTION("""COMPUTED_VALUE"""),"")</f>
        <v/>
      </c>
      <c r="K27" s="5" t="str">
        <f>IFERROR(__xludf.DUMMYFUNCTION("""COMPUTED_VALUE"""),"")</f>
        <v/>
      </c>
      <c r="L27" s="5" t="str">
        <f>IFERROR(__xludf.DUMMYFUNCTION("""COMPUTED_VALUE"""),"")</f>
        <v/>
      </c>
      <c r="M27" s="5" t="str">
        <f>IFERROR(__xludf.DUMMYFUNCTION("""COMPUTED_VALUE"""),"")</f>
        <v/>
      </c>
      <c r="N27" s="5" t="str">
        <f>IFERROR(__xludf.DUMMYFUNCTION("""COMPUTED_VALUE"""),"")</f>
        <v/>
      </c>
      <c r="O27" s="5" t="str">
        <f>IFERROR(__xludf.DUMMYFUNCTION("""COMPUTED_VALUE"""),"")</f>
        <v/>
      </c>
      <c r="P27" s="5" t="str">
        <f>IFERROR(__xludf.DUMMYFUNCTION("""COMPUTED_VALUE"""),"")</f>
        <v/>
      </c>
      <c r="Q27" s="5" t="str">
        <f>IFERROR(__xludf.DUMMYFUNCTION("""COMPUTED_VALUE"""),"")</f>
        <v/>
      </c>
      <c r="R27" s="5" t="str">
        <f>IFERROR(__xludf.DUMMYFUNCTION("""COMPUTED_VALUE"""),"")</f>
        <v/>
      </c>
      <c r="S27" s="5" t="str">
        <f>IFERROR(__xludf.DUMMYFUNCTION("""COMPUTED_VALUE"""),"")</f>
        <v/>
      </c>
      <c r="T27" s="5" t="str">
        <f>IFERROR(__xludf.DUMMYFUNCTION("""COMPUTED_VALUE"""),"")</f>
        <v/>
      </c>
      <c r="U27" s="5" t="str">
        <f>IFERROR(__xludf.DUMMYFUNCTION("""COMPUTED_VALUE"""),"")</f>
        <v/>
      </c>
      <c r="V27" s="5" t="str">
        <f>IFERROR(__xludf.DUMMYFUNCTION("""COMPUTED_VALUE"""),"")</f>
        <v/>
      </c>
      <c r="W27" s="5" t="str">
        <f>IFERROR(__xludf.DUMMYFUNCTION("""COMPUTED_VALUE"""),"")</f>
        <v/>
      </c>
      <c r="X27" s="5" t="str">
        <f>IFERROR(__xludf.DUMMYFUNCTION("""COMPUTED_VALUE"""),"")</f>
        <v/>
      </c>
      <c r="Y27" s="5"/>
      <c r="Z27" s="5"/>
    </row>
    <row r="28">
      <c r="A28" s="5" t="str">
        <f>IFERROR(__xludf.DUMMYFUNCTION("""COMPUTED_VALUE"""),"Live American Roulette")</f>
        <v>Live American Roulette</v>
      </c>
      <c r="B28" s="5" t="str">
        <f>IFERROR(__xludf.DUMMYFUNCTION("""COMPUTED_VALUE"""),"")</f>
        <v/>
      </c>
      <c r="C28" s="5" t="str">
        <f>IFERROR(__xludf.DUMMYFUNCTION("""COMPUTED_VALUE"""),"")</f>
        <v/>
      </c>
      <c r="D28" s="5" t="str">
        <f>IFERROR(__xludf.DUMMYFUNCTION("""COMPUTED_VALUE"""),"")</f>
        <v/>
      </c>
      <c r="E28" s="5" t="str">
        <f>IFERROR(__xludf.DUMMYFUNCTION("""COMPUTED_VALUE"""),"")</f>
        <v/>
      </c>
      <c r="F28" s="5" t="str">
        <f>IFERROR(__xludf.DUMMYFUNCTION("""COMPUTED_VALUE"""),"")</f>
        <v/>
      </c>
      <c r="G28" s="5" t="str">
        <f>IFERROR(__xludf.DUMMYFUNCTION("""COMPUTED_VALUE"""),"")</f>
        <v/>
      </c>
      <c r="H28" s="5" t="str">
        <f>IFERROR(__xludf.DUMMYFUNCTION("""COMPUTED_VALUE"""),"")</f>
        <v/>
      </c>
      <c r="I28" s="5" t="str">
        <f>IFERROR(__xludf.DUMMYFUNCTION("""COMPUTED_VALUE"""),"")</f>
        <v/>
      </c>
      <c r="J28" s="5" t="str">
        <f>IFERROR(__xludf.DUMMYFUNCTION("""COMPUTED_VALUE"""),"")</f>
        <v/>
      </c>
      <c r="K28" s="5" t="str">
        <f>IFERROR(__xludf.DUMMYFUNCTION("""COMPUTED_VALUE"""),"")</f>
        <v/>
      </c>
      <c r="L28" s="5" t="str">
        <f>IFERROR(__xludf.DUMMYFUNCTION("""COMPUTED_VALUE"""),"")</f>
        <v/>
      </c>
      <c r="M28" s="5" t="str">
        <f>IFERROR(__xludf.DUMMYFUNCTION("""COMPUTED_VALUE"""),"")</f>
        <v/>
      </c>
      <c r="N28" s="5" t="str">
        <f>IFERROR(__xludf.DUMMYFUNCTION("""COMPUTED_VALUE"""),"")</f>
        <v/>
      </c>
      <c r="O28" s="5" t="str">
        <f>IFERROR(__xludf.DUMMYFUNCTION("""COMPUTED_VALUE"""),"")</f>
        <v/>
      </c>
      <c r="P28" s="5" t="str">
        <f>IFERROR(__xludf.DUMMYFUNCTION("""COMPUTED_VALUE"""),"")</f>
        <v/>
      </c>
      <c r="Q28" s="5" t="str">
        <f>IFERROR(__xludf.DUMMYFUNCTION("""COMPUTED_VALUE"""),"")</f>
        <v/>
      </c>
      <c r="R28" s="5" t="str">
        <f>IFERROR(__xludf.DUMMYFUNCTION("""COMPUTED_VALUE"""),"")</f>
        <v/>
      </c>
      <c r="S28" s="5" t="str">
        <f>IFERROR(__xludf.DUMMYFUNCTION("""COMPUTED_VALUE"""),"")</f>
        <v/>
      </c>
      <c r="T28" s="5" t="str">
        <f>IFERROR(__xludf.DUMMYFUNCTION("""COMPUTED_VALUE"""),"")</f>
        <v/>
      </c>
      <c r="U28" s="5" t="str">
        <f>IFERROR(__xludf.DUMMYFUNCTION("""COMPUTED_VALUE"""),"")</f>
        <v/>
      </c>
      <c r="V28" s="5" t="str">
        <f>IFERROR(__xludf.DUMMYFUNCTION("""COMPUTED_VALUE"""),"")</f>
        <v/>
      </c>
      <c r="W28" s="5" t="str">
        <f>IFERROR(__xludf.DUMMYFUNCTION("""COMPUTED_VALUE"""),"")</f>
        <v/>
      </c>
      <c r="X28" s="5" t="str">
        <f>IFERROR(__xludf.DUMMYFUNCTION("""COMPUTED_VALUE"""),"")</f>
        <v/>
      </c>
      <c r="Y28" s="5"/>
      <c r="Z28" s="5"/>
    </row>
    <row r="29">
      <c r="A29" s="5" t="str">
        <f>IFERROR(__xludf.DUMMYFUNCTION("""COMPUTED_VALUE"""),"Burning Ice")</f>
        <v>Burning Ice</v>
      </c>
      <c r="B29" s="5" t="str">
        <f>IFERROR(__xludf.DUMMYFUNCTION("""COMPUTED_VALUE"""),"")</f>
        <v/>
      </c>
      <c r="C29" s="5" t="str">
        <f>IFERROR(__xludf.DUMMYFUNCTION("""COMPUTED_VALUE"""),"")</f>
        <v/>
      </c>
      <c r="D29" s="5" t="str">
        <f>IFERROR(__xludf.DUMMYFUNCTION("""COMPUTED_VALUE"""),"")</f>
        <v/>
      </c>
      <c r="E29" s="5" t="str">
        <f>IFERROR(__xludf.DUMMYFUNCTION("""COMPUTED_VALUE"""),"")</f>
        <v/>
      </c>
      <c r="F29" s="5" t="str">
        <f>IFERROR(__xludf.DUMMYFUNCTION("""COMPUTED_VALUE"""),"")</f>
        <v/>
      </c>
      <c r="G29" s="5" t="str">
        <f>IFERROR(__xludf.DUMMYFUNCTION("""COMPUTED_VALUE"""),"")</f>
        <v/>
      </c>
      <c r="H29" s="5" t="str">
        <f>IFERROR(__xludf.DUMMYFUNCTION("""COMPUTED_VALUE"""),"")</f>
        <v/>
      </c>
      <c r="I29" s="5" t="str">
        <f>IFERROR(__xludf.DUMMYFUNCTION("""COMPUTED_VALUE"""),"")</f>
        <v/>
      </c>
      <c r="J29" s="5" t="str">
        <f>IFERROR(__xludf.DUMMYFUNCTION("""COMPUTED_VALUE"""),"")</f>
        <v/>
      </c>
      <c r="K29" s="5" t="str">
        <f>IFERROR(__xludf.DUMMYFUNCTION("""COMPUTED_VALUE"""),"")</f>
        <v/>
      </c>
      <c r="L29" s="5" t="str">
        <f>IFERROR(__xludf.DUMMYFUNCTION("""COMPUTED_VALUE"""),"")</f>
        <v/>
      </c>
      <c r="M29" s="5" t="str">
        <f>IFERROR(__xludf.DUMMYFUNCTION("""COMPUTED_VALUE"""),"")</f>
        <v/>
      </c>
      <c r="N29" s="5" t="str">
        <f>IFERROR(__xludf.DUMMYFUNCTION("""COMPUTED_VALUE"""),"")</f>
        <v/>
      </c>
      <c r="O29" s="5" t="str">
        <f>IFERROR(__xludf.DUMMYFUNCTION("""COMPUTED_VALUE"""),"")</f>
        <v/>
      </c>
      <c r="P29" s="5" t="str">
        <f>IFERROR(__xludf.DUMMYFUNCTION("""COMPUTED_VALUE"""),"")</f>
        <v/>
      </c>
      <c r="Q29" s="5" t="str">
        <f>IFERROR(__xludf.DUMMYFUNCTION("""COMPUTED_VALUE"""),"")</f>
        <v/>
      </c>
      <c r="R29" s="5" t="str">
        <f>IFERROR(__xludf.DUMMYFUNCTION("""COMPUTED_VALUE"""),"")</f>
        <v/>
      </c>
      <c r="S29" s="5" t="str">
        <f>IFERROR(__xludf.DUMMYFUNCTION("""COMPUTED_VALUE"""),"")</f>
        <v/>
      </c>
      <c r="T29" s="5" t="str">
        <f>IFERROR(__xludf.DUMMYFUNCTION("""COMPUTED_VALUE"""),"")</f>
        <v/>
      </c>
      <c r="U29" s="5" t="str">
        <f>IFERROR(__xludf.DUMMYFUNCTION("""COMPUTED_VALUE"""),"")</f>
        <v/>
      </c>
      <c r="V29" s="5" t="str">
        <f>IFERROR(__xludf.DUMMYFUNCTION("""COMPUTED_VALUE"""),"")</f>
        <v/>
      </c>
      <c r="W29" s="5" t="str">
        <f>IFERROR(__xludf.DUMMYFUNCTION("""COMPUTED_VALUE"""),"")</f>
        <v/>
      </c>
      <c r="X29" s="5" t="str">
        <f>IFERROR(__xludf.DUMMYFUNCTION("""COMPUTED_VALUE"""),"")</f>
        <v/>
      </c>
      <c r="Y29" s="5"/>
      <c r="Z29" s="5"/>
    </row>
    <row r="30">
      <c r="A30" s="5" t="str">
        <f>IFERROR(__xludf.DUMMYFUNCTION("""COMPUTED_VALUE"""),"Turbo Hot 40")</f>
        <v>Turbo Hot 40</v>
      </c>
      <c r="B30" s="5" t="str">
        <f>IFERROR(__xludf.DUMMYFUNCTION("""COMPUTED_VALUE"""),"Available")</f>
        <v>Available</v>
      </c>
      <c r="C30" s="5" t="str">
        <f>IFERROR(__xludf.DUMMYFUNCTION("""COMPUTED_VALUE"""),"Available")</f>
        <v>Available</v>
      </c>
      <c r="D30" s="5" t="str">
        <f>IFERROR(__xludf.DUMMYFUNCTION("""COMPUTED_VALUE"""),"Available")</f>
        <v>Available</v>
      </c>
      <c r="E30" s="5" t="str">
        <f>IFERROR(__xludf.DUMMYFUNCTION("""COMPUTED_VALUE"""),"")</f>
        <v/>
      </c>
      <c r="F30" s="5" t="str">
        <f>IFERROR(__xludf.DUMMYFUNCTION("""COMPUTED_VALUE"""),"Available")</f>
        <v>Available</v>
      </c>
      <c r="G30" s="5" t="str">
        <f>IFERROR(__xludf.DUMMYFUNCTION("""COMPUTED_VALUE"""),"Available")</f>
        <v>Available</v>
      </c>
      <c r="H30" s="5" t="str">
        <f>IFERROR(__xludf.DUMMYFUNCTION("""COMPUTED_VALUE"""),"Available")</f>
        <v>Available</v>
      </c>
      <c r="I30" s="5" t="str">
        <f>IFERROR(__xludf.DUMMYFUNCTION("""COMPUTED_VALUE"""),"Available")</f>
        <v>Available</v>
      </c>
      <c r="J30" s="5" t="str">
        <f>IFERROR(__xludf.DUMMYFUNCTION("""COMPUTED_VALUE"""),"")</f>
        <v/>
      </c>
      <c r="K30" s="5" t="str">
        <f>IFERROR(__xludf.DUMMYFUNCTION("""COMPUTED_VALUE"""),"Available")</f>
        <v>Available</v>
      </c>
      <c r="L30" s="5" t="str">
        <f>IFERROR(__xludf.DUMMYFUNCTION("""COMPUTED_VALUE"""),"Available")</f>
        <v>Available</v>
      </c>
      <c r="M30" s="5" t="str">
        <f>IFERROR(__xludf.DUMMYFUNCTION("""COMPUTED_VALUE"""),"Available")</f>
        <v>Available</v>
      </c>
      <c r="N30" s="5" t="str">
        <f>IFERROR(__xludf.DUMMYFUNCTION("""COMPUTED_VALUE"""),"Development")</f>
        <v>Development</v>
      </c>
      <c r="O30" s="5" t="str">
        <f>IFERROR(__xludf.DUMMYFUNCTION("""COMPUTED_VALUE"""),"Available")</f>
        <v>Available</v>
      </c>
      <c r="P30" s="5" t="str">
        <f>IFERROR(__xludf.DUMMYFUNCTION("""COMPUTED_VALUE"""),"Development")</f>
        <v>Development</v>
      </c>
      <c r="Q30" s="5" t="str">
        <f>IFERROR(__xludf.DUMMYFUNCTION("""COMPUTED_VALUE"""),"Available")</f>
        <v>Available</v>
      </c>
      <c r="R30" s="5" t="str">
        <f>IFERROR(__xludf.DUMMYFUNCTION("""COMPUTED_VALUE"""),"")</f>
        <v/>
      </c>
      <c r="S30" s="5" t="str">
        <f>IFERROR(__xludf.DUMMYFUNCTION("""COMPUTED_VALUE"""),"In Certification")</f>
        <v>In Certification</v>
      </c>
      <c r="T30" s="5" t="str">
        <f>IFERROR(__xludf.DUMMYFUNCTION("""COMPUTED_VALUE"""),"")</f>
        <v/>
      </c>
      <c r="U30" s="5" t="str">
        <f>IFERROR(__xludf.DUMMYFUNCTION("""COMPUTED_VALUE"""),"Certified")</f>
        <v>Certified</v>
      </c>
      <c r="V30" s="5" t="str">
        <f>IFERROR(__xludf.DUMMYFUNCTION("""COMPUTED_VALUE"""),"")</f>
        <v/>
      </c>
      <c r="W30" s="5" t="str">
        <f>IFERROR(__xludf.DUMMYFUNCTION("""COMPUTED_VALUE"""),"")</f>
        <v/>
      </c>
      <c r="X30" s="5" t="str">
        <f>IFERROR(__xludf.DUMMYFUNCTION("""COMPUTED_VALUE"""),"")</f>
        <v/>
      </c>
      <c r="Y30" s="5"/>
      <c r="Z30" s="5"/>
    </row>
    <row r="31">
      <c r="A31" s="5" t="str">
        <f>IFERROR(__xludf.DUMMYFUNCTION("""COMPUTED_VALUE"""),"Crystals of Magic")</f>
        <v>Crystals of Magic</v>
      </c>
      <c r="B31" s="5" t="str">
        <f>IFERROR(__xludf.DUMMYFUNCTION("""COMPUTED_VALUE"""),"")</f>
        <v/>
      </c>
      <c r="C31" s="5" t="str">
        <f>IFERROR(__xludf.DUMMYFUNCTION("""COMPUTED_VALUE"""),"")</f>
        <v/>
      </c>
      <c r="D31" s="5" t="str">
        <f>IFERROR(__xludf.DUMMYFUNCTION("""COMPUTED_VALUE"""),"")</f>
        <v/>
      </c>
      <c r="E31" s="5" t="str">
        <f>IFERROR(__xludf.DUMMYFUNCTION("""COMPUTED_VALUE"""),"")</f>
        <v/>
      </c>
      <c r="F31" s="5" t="str">
        <f>IFERROR(__xludf.DUMMYFUNCTION("""COMPUTED_VALUE"""),"")</f>
        <v/>
      </c>
      <c r="G31" s="5" t="str">
        <f>IFERROR(__xludf.DUMMYFUNCTION("""COMPUTED_VALUE"""),"")</f>
        <v/>
      </c>
      <c r="H31" s="5" t="str">
        <f>IFERROR(__xludf.DUMMYFUNCTION("""COMPUTED_VALUE"""),"")</f>
        <v/>
      </c>
      <c r="I31" s="5" t="str">
        <f>IFERROR(__xludf.DUMMYFUNCTION("""COMPUTED_VALUE"""),"")</f>
        <v/>
      </c>
      <c r="J31" s="5" t="str">
        <f>IFERROR(__xludf.DUMMYFUNCTION("""COMPUTED_VALUE"""),"")</f>
        <v/>
      </c>
      <c r="K31" s="5" t="str">
        <f>IFERROR(__xludf.DUMMYFUNCTION("""COMPUTED_VALUE"""),"")</f>
        <v/>
      </c>
      <c r="L31" s="5" t="str">
        <f>IFERROR(__xludf.DUMMYFUNCTION("""COMPUTED_VALUE"""),"")</f>
        <v/>
      </c>
      <c r="M31" s="5" t="str">
        <f>IFERROR(__xludf.DUMMYFUNCTION("""COMPUTED_VALUE"""),"")</f>
        <v/>
      </c>
      <c r="N31" s="5" t="str">
        <f>IFERROR(__xludf.DUMMYFUNCTION("""COMPUTED_VALUE"""),"")</f>
        <v/>
      </c>
      <c r="O31" s="5" t="str">
        <f>IFERROR(__xludf.DUMMYFUNCTION("""COMPUTED_VALUE"""),"")</f>
        <v/>
      </c>
      <c r="P31" s="5" t="str">
        <f>IFERROR(__xludf.DUMMYFUNCTION("""COMPUTED_VALUE"""),"")</f>
        <v/>
      </c>
      <c r="Q31" s="5" t="str">
        <f>IFERROR(__xludf.DUMMYFUNCTION("""COMPUTED_VALUE"""),"")</f>
        <v/>
      </c>
      <c r="R31" s="5" t="str">
        <f>IFERROR(__xludf.DUMMYFUNCTION("""COMPUTED_VALUE"""),"")</f>
        <v/>
      </c>
      <c r="S31" s="5" t="str">
        <f>IFERROR(__xludf.DUMMYFUNCTION("""COMPUTED_VALUE"""),"")</f>
        <v/>
      </c>
      <c r="T31" s="5" t="str">
        <f>IFERROR(__xludf.DUMMYFUNCTION("""COMPUTED_VALUE"""),"")</f>
        <v/>
      </c>
      <c r="U31" s="5" t="str">
        <f>IFERROR(__xludf.DUMMYFUNCTION("""COMPUTED_VALUE"""),"")</f>
        <v/>
      </c>
      <c r="V31" s="5" t="str">
        <f>IFERROR(__xludf.DUMMYFUNCTION("""COMPUTED_VALUE"""),"")</f>
        <v/>
      </c>
      <c r="W31" s="5" t="str">
        <f>IFERROR(__xludf.DUMMYFUNCTION("""COMPUTED_VALUE"""),"")</f>
        <v/>
      </c>
      <c r="X31" s="5" t="str">
        <f>IFERROR(__xludf.DUMMYFUNCTION("""COMPUTED_VALUE"""),"")</f>
        <v/>
      </c>
      <c r="Y31" s="5"/>
      <c r="Z31" s="5"/>
    </row>
    <row r="32">
      <c r="A32" s="5" t="str">
        <f>IFERROR(__xludf.DUMMYFUNCTION("""COMPUTED_VALUE"""),"Pirates")</f>
        <v>Pirates</v>
      </c>
      <c r="B32" s="5" t="str">
        <f>IFERROR(__xludf.DUMMYFUNCTION("""COMPUTED_VALUE"""),"")</f>
        <v/>
      </c>
      <c r="C32" s="5" t="str">
        <f>IFERROR(__xludf.DUMMYFUNCTION("""COMPUTED_VALUE"""),"")</f>
        <v/>
      </c>
      <c r="D32" s="5" t="str">
        <f>IFERROR(__xludf.DUMMYFUNCTION("""COMPUTED_VALUE"""),"")</f>
        <v/>
      </c>
      <c r="E32" s="5" t="str">
        <f>IFERROR(__xludf.DUMMYFUNCTION("""COMPUTED_VALUE"""),"")</f>
        <v/>
      </c>
      <c r="F32" s="5" t="str">
        <f>IFERROR(__xludf.DUMMYFUNCTION("""COMPUTED_VALUE"""),"")</f>
        <v/>
      </c>
      <c r="G32" s="5" t="str">
        <f>IFERROR(__xludf.DUMMYFUNCTION("""COMPUTED_VALUE"""),"")</f>
        <v/>
      </c>
      <c r="H32" s="5" t="str">
        <f>IFERROR(__xludf.DUMMYFUNCTION("""COMPUTED_VALUE"""),"Available")</f>
        <v>Available</v>
      </c>
      <c r="I32" s="5" t="str">
        <f>IFERROR(__xludf.DUMMYFUNCTION("""COMPUTED_VALUE"""),"Available")</f>
        <v>Available</v>
      </c>
      <c r="J32" s="5" t="str">
        <f>IFERROR(__xludf.DUMMYFUNCTION("""COMPUTED_VALUE"""),"")</f>
        <v/>
      </c>
      <c r="K32" s="5" t="str">
        <f>IFERROR(__xludf.DUMMYFUNCTION("""COMPUTED_VALUE"""),"")</f>
        <v/>
      </c>
      <c r="L32" s="5" t="str">
        <f>IFERROR(__xludf.DUMMYFUNCTION("""COMPUTED_VALUE"""),"")</f>
        <v/>
      </c>
      <c r="M32" s="5" t="str">
        <f>IFERROR(__xludf.DUMMYFUNCTION("""COMPUTED_VALUE"""),"")</f>
        <v/>
      </c>
      <c r="N32" s="5" t="str">
        <f>IFERROR(__xludf.DUMMYFUNCTION("""COMPUTED_VALUE"""),"")</f>
        <v/>
      </c>
      <c r="O32" s="5" t="str">
        <f>IFERROR(__xludf.DUMMYFUNCTION("""COMPUTED_VALUE"""),"")</f>
        <v/>
      </c>
      <c r="P32" s="5" t="str">
        <f>IFERROR(__xludf.DUMMYFUNCTION("""COMPUTED_VALUE"""),"")</f>
        <v/>
      </c>
      <c r="Q32" s="5" t="str">
        <f>IFERROR(__xludf.DUMMYFUNCTION("""COMPUTED_VALUE"""),"")</f>
        <v/>
      </c>
      <c r="R32" s="5" t="str">
        <f>IFERROR(__xludf.DUMMYFUNCTION("""COMPUTED_VALUE"""),"")</f>
        <v/>
      </c>
      <c r="S32" s="5" t="str">
        <f>IFERROR(__xludf.DUMMYFUNCTION("""COMPUTED_VALUE"""),"")</f>
        <v/>
      </c>
      <c r="T32" s="5" t="str">
        <f>IFERROR(__xludf.DUMMYFUNCTION("""COMPUTED_VALUE"""),"")</f>
        <v/>
      </c>
      <c r="U32" s="5" t="str">
        <f>IFERROR(__xludf.DUMMYFUNCTION("""COMPUTED_VALUE"""),"")</f>
        <v/>
      </c>
      <c r="V32" s="5" t="str">
        <f>IFERROR(__xludf.DUMMYFUNCTION("""COMPUTED_VALUE"""),"")</f>
        <v/>
      </c>
      <c r="W32" s="5" t="str">
        <f>IFERROR(__xludf.DUMMYFUNCTION("""COMPUTED_VALUE"""),"")</f>
        <v/>
      </c>
      <c r="X32" s="5" t="str">
        <f>IFERROR(__xludf.DUMMYFUNCTION("""COMPUTED_VALUE"""),"")</f>
        <v/>
      </c>
      <c r="Y32" s="5"/>
      <c r="Z32" s="5"/>
    </row>
    <row r="33">
      <c r="A33" s="5" t="str">
        <f>IFERROR(__xludf.DUMMYFUNCTION("""COMPUTED_VALUE"""),"Book of Bruno")</f>
        <v>Book of Bruno</v>
      </c>
      <c r="B33" s="5" t="str">
        <f>IFERROR(__xludf.DUMMYFUNCTION("""COMPUTED_VALUE"""),"")</f>
        <v/>
      </c>
      <c r="C33" s="5" t="str">
        <f>IFERROR(__xludf.DUMMYFUNCTION("""COMPUTED_VALUE"""),"")</f>
        <v/>
      </c>
      <c r="D33" s="5" t="str">
        <f>IFERROR(__xludf.DUMMYFUNCTION("""COMPUTED_VALUE"""),"")</f>
        <v/>
      </c>
      <c r="E33" s="5" t="str">
        <f>IFERROR(__xludf.DUMMYFUNCTION("""COMPUTED_VALUE"""),"")</f>
        <v/>
      </c>
      <c r="F33" s="5" t="str">
        <f>IFERROR(__xludf.DUMMYFUNCTION("""COMPUTED_VALUE"""),"")</f>
        <v/>
      </c>
      <c r="G33" s="5" t="str">
        <f>IFERROR(__xludf.DUMMYFUNCTION("""COMPUTED_VALUE"""),"")</f>
        <v/>
      </c>
      <c r="H33" s="5" t="str">
        <f>IFERROR(__xludf.DUMMYFUNCTION("""COMPUTED_VALUE"""),"Available")</f>
        <v>Available</v>
      </c>
      <c r="I33" s="5" t="str">
        <f>IFERROR(__xludf.DUMMYFUNCTION("""COMPUTED_VALUE"""),"")</f>
        <v/>
      </c>
      <c r="J33" s="5" t="str">
        <f>IFERROR(__xludf.DUMMYFUNCTION("""COMPUTED_VALUE"""),"")</f>
        <v/>
      </c>
      <c r="K33" s="5" t="str">
        <f>IFERROR(__xludf.DUMMYFUNCTION("""COMPUTED_VALUE"""),"")</f>
        <v/>
      </c>
      <c r="L33" s="5" t="str">
        <f>IFERROR(__xludf.DUMMYFUNCTION("""COMPUTED_VALUE"""),"")</f>
        <v/>
      </c>
      <c r="M33" s="5" t="str">
        <f>IFERROR(__xludf.DUMMYFUNCTION("""COMPUTED_VALUE"""),"")</f>
        <v/>
      </c>
      <c r="N33" s="5" t="str">
        <f>IFERROR(__xludf.DUMMYFUNCTION("""COMPUTED_VALUE"""),"")</f>
        <v/>
      </c>
      <c r="O33" s="5" t="str">
        <f>IFERROR(__xludf.DUMMYFUNCTION("""COMPUTED_VALUE"""),"")</f>
        <v/>
      </c>
      <c r="P33" s="5" t="str">
        <f>IFERROR(__xludf.DUMMYFUNCTION("""COMPUTED_VALUE"""),"")</f>
        <v/>
      </c>
      <c r="Q33" s="5" t="str">
        <f>IFERROR(__xludf.DUMMYFUNCTION("""COMPUTED_VALUE"""),"Available")</f>
        <v>Available</v>
      </c>
      <c r="R33" s="5" t="str">
        <f>IFERROR(__xludf.DUMMYFUNCTION("""COMPUTED_VALUE"""),"")</f>
        <v/>
      </c>
      <c r="S33" s="5" t="str">
        <f>IFERROR(__xludf.DUMMYFUNCTION("""COMPUTED_VALUE"""),"")</f>
        <v/>
      </c>
      <c r="T33" s="5" t="str">
        <f>IFERROR(__xludf.DUMMYFUNCTION("""COMPUTED_VALUE"""),"")</f>
        <v/>
      </c>
      <c r="U33" s="5" t="str">
        <f>IFERROR(__xludf.DUMMYFUNCTION("""COMPUTED_VALUE"""),"")</f>
        <v/>
      </c>
      <c r="V33" s="5" t="str">
        <f>IFERROR(__xludf.DUMMYFUNCTION("""COMPUTED_VALUE"""),"")</f>
        <v/>
      </c>
      <c r="W33" s="5" t="str">
        <f>IFERROR(__xludf.DUMMYFUNCTION("""COMPUTED_VALUE"""),"")</f>
        <v/>
      </c>
      <c r="X33" s="5" t="str">
        <f>IFERROR(__xludf.DUMMYFUNCTION("""COMPUTED_VALUE"""),"")</f>
        <v/>
      </c>
      <c r="Y33" s="5"/>
      <c r="Z33" s="5"/>
    </row>
    <row r="34">
      <c r="A34" s="5" t="str">
        <f>IFERROR(__xludf.DUMMYFUNCTION("""COMPUTED_VALUE"""),"Tropical Hot")</f>
        <v>Tropical Hot</v>
      </c>
      <c r="B34" s="5" t="str">
        <f>IFERROR(__xludf.DUMMYFUNCTION("""COMPUTED_VALUE"""),"")</f>
        <v/>
      </c>
      <c r="C34" s="5" t="str">
        <f>IFERROR(__xludf.DUMMYFUNCTION("""COMPUTED_VALUE"""),"")</f>
        <v/>
      </c>
      <c r="D34" s="5" t="str">
        <f>IFERROR(__xludf.DUMMYFUNCTION("""COMPUTED_VALUE"""),"")</f>
        <v/>
      </c>
      <c r="E34" s="5" t="str">
        <f>IFERROR(__xludf.DUMMYFUNCTION("""COMPUTED_VALUE"""),"")</f>
        <v/>
      </c>
      <c r="F34" s="5" t="str">
        <f>IFERROR(__xludf.DUMMYFUNCTION("""COMPUTED_VALUE"""),"")</f>
        <v/>
      </c>
      <c r="G34" s="5" t="str">
        <f>IFERROR(__xludf.DUMMYFUNCTION("""COMPUTED_VALUE"""),"")</f>
        <v/>
      </c>
      <c r="H34" s="5" t="str">
        <f>IFERROR(__xludf.DUMMYFUNCTION("""COMPUTED_VALUE"""),"")</f>
        <v/>
      </c>
      <c r="I34" s="5" t="str">
        <f>IFERROR(__xludf.DUMMYFUNCTION("""COMPUTED_VALUE"""),"")</f>
        <v/>
      </c>
      <c r="J34" s="5" t="str">
        <f>IFERROR(__xludf.DUMMYFUNCTION("""COMPUTED_VALUE"""),"")</f>
        <v/>
      </c>
      <c r="K34" s="5" t="str">
        <f>IFERROR(__xludf.DUMMYFUNCTION("""COMPUTED_VALUE"""),"")</f>
        <v/>
      </c>
      <c r="L34" s="5" t="str">
        <f>IFERROR(__xludf.DUMMYFUNCTION("""COMPUTED_VALUE"""),"")</f>
        <v/>
      </c>
      <c r="M34" s="5" t="str">
        <f>IFERROR(__xludf.DUMMYFUNCTION("""COMPUTED_VALUE"""),"")</f>
        <v/>
      </c>
      <c r="N34" s="5" t="str">
        <f>IFERROR(__xludf.DUMMYFUNCTION("""COMPUTED_VALUE"""),"")</f>
        <v/>
      </c>
      <c r="O34" s="5" t="str">
        <f>IFERROR(__xludf.DUMMYFUNCTION("""COMPUTED_VALUE"""),"")</f>
        <v/>
      </c>
      <c r="P34" s="5" t="str">
        <f>IFERROR(__xludf.DUMMYFUNCTION("""COMPUTED_VALUE"""),"")</f>
        <v/>
      </c>
      <c r="Q34" s="5" t="str">
        <f>IFERROR(__xludf.DUMMYFUNCTION("""COMPUTED_VALUE"""),"")</f>
        <v/>
      </c>
      <c r="R34" s="5" t="str">
        <f>IFERROR(__xludf.DUMMYFUNCTION("""COMPUTED_VALUE"""),"")</f>
        <v/>
      </c>
      <c r="S34" s="5" t="str">
        <f>IFERROR(__xludf.DUMMYFUNCTION("""COMPUTED_VALUE"""),"")</f>
        <v/>
      </c>
      <c r="T34" s="5" t="str">
        <f>IFERROR(__xludf.DUMMYFUNCTION("""COMPUTED_VALUE"""),"")</f>
        <v/>
      </c>
      <c r="U34" s="5" t="str">
        <f>IFERROR(__xludf.DUMMYFUNCTION("""COMPUTED_VALUE"""),"")</f>
        <v/>
      </c>
      <c r="V34" s="5" t="str">
        <f>IFERROR(__xludf.DUMMYFUNCTION("""COMPUTED_VALUE"""),"")</f>
        <v/>
      </c>
      <c r="W34" s="5" t="str">
        <f>IFERROR(__xludf.DUMMYFUNCTION("""COMPUTED_VALUE"""),"")</f>
        <v/>
      </c>
      <c r="X34" s="5" t="str">
        <f>IFERROR(__xludf.DUMMYFUNCTION("""COMPUTED_VALUE"""),"")</f>
        <v/>
      </c>
      <c r="Y34" s="5"/>
      <c r="Z34" s="5"/>
    </row>
    <row r="35">
      <c r="A35" s="5" t="str">
        <f>IFERROR(__xludf.DUMMYFUNCTION("""COMPUTED_VALUE"""),"Monsters")</f>
        <v>Monsters</v>
      </c>
      <c r="B35" s="5" t="str">
        <f>IFERROR(__xludf.DUMMYFUNCTION("""COMPUTED_VALUE"""),"")</f>
        <v/>
      </c>
      <c r="C35" s="5" t="str">
        <f>IFERROR(__xludf.DUMMYFUNCTION("""COMPUTED_VALUE"""),"")</f>
        <v/>
      </c>
      <c r="D35" s="5" t="str">
        <f>IFERROR(__xludf.DUMMYFUNCTION("""COMPUTED_VALUE"""),"")</f>
        <v/>
      </c>
      <c r="E35" s="5" t="str">
        <f>IFERROR(__xludf.DUMMYFUNCTION("""COMPUTED_VALUE"""),"")</f>
        <v/>
      </c>
      <c r="F35" s="5" t="str">
        <f>IFERROR(__xludf.DUMMYFUNCTION("""COMPUTED_VALUE"""),"")</f>
        <v/>
      </c>
      <c r="G35" s="5" t="str">
        <f>IFERROR(__xludf.DUMMYFUNCTION("""COMPUTED_VALUE"""),"")</f>
        <v/>
      </c>
      <c r="H35" s="5" t="str">
        <f>IFERROR(__xludf.DUMMYFUNCTION("""COMPUTED_VALUE"""),"")</f>
        <v/>
      </c>
      <c r="I35" s="5" t="str">
        <f>IFERROR(__xludf.DUMMYFUNCTION("""COMPUTED_VALUE"""),"")</f>
        <v/>
      </c>
      <c r="J35" s="5" t="str">
        <f>IFERROR(__xludf.DUMMYFUNCTION("""COMPUTED_VALUE"""),"")</f>
        <v/>
      </c>
      <c r="K35" s="5" t="str">
        <f>IFERROR(__xludf.DUMMYFUNCTION("""COMPUTED_VALUE"""),"")</f>
        <v/>
      </c>
      <c r="L35" s="5" t="str">
        <f>IFERROR(__xludf.DUMMYFUNCTION("""COMPUTED_VALUE"""),"")</f>
        <v/>
      </c>
      <c r="M35" s="5" t="str">
        <f>IFERROR(__xludf.DUMMYFUNCTION("""COMPUTED_VALUE"""),"")</f>
        <v/>
      </c>
      <c r="N35" s="5" t="str">
        <f>IFERROR(__xludf.DUMMYFUNCTION("""COMPUTED_VALUE"""),"")</f>
        <v/>
      </c>
      <c r="O35" s="5" t="str">
        <f>IFERROR(__xludf.DUMMYFUNCTION("""COMPUTED_VALUE"""),"")</f>
        <v/>
      </c>
      <c r="P35" s="5" t="str">
        <f>IFERROR(__xludf.DUMMYFUNCTION("""COMPUTED_VALUE"""),"")</f>
        <v/>
      </c>
      <c r="Q35" s="5" t="str">
        <f>IFERROR(__xludf.DUMMYFUNCTION("""COMPUTED_VALUE"""),"")</f>
        <v/>
      </c>
      <c r="R35" s="5" t="str">
        <f>IFERROR(__xludf.DUMMYFUNCTION("""COMPUTED_VALUE"""),"")</f>
        <v/>
      </c>
      <c r="S35" s="5" t="str">
        <f>IFERROR(__xludf.DUMMYFUNCTION("""COMPUTED_VALUE"""),"")</f>
        <v/>
      </c>
      <c r="T35" s="5" t="str">
        <f>IFERROR(__xludf.DUMMYFUNCTION("""COMPUTED_VALUE"""),"")</f>
        <v/>
      </c>
      <c r="U35" s="5" t="str">
        <f>IFERROR(__xludf.DUMMYFUNCTION("""COMPUTED_VALUE"""),"")</f>
        <v/>
      </c>
      <c r="V35" s="5" t="str">
        <f>IFERROR(__xludf.DUMMYFUNCTION("""COMPUTED_VALUE"""),"")</f>
        <v/>
      </c>
      <c r="W35" s="5" t="str">
        <f>IFERROR(__xludf.DUMMYFUNCTION("""COMPUTED_VALUE"""),"")</f>
        <v/>
      </c>
      <c r="X35" s="5" t="str">
        <f>IFERROR(__xludf.DUMMYFUNCTION("""COMPUTED_VALUE"""),"")</f>
        <v/>
      </c>
      <c r="Y35" s="5"/>
      <c r="Z35" s="5"/>
    </row>
    <row r="36">
      <c r="A36" s="5" t="str">
        <f>IFERROR(__xludf.DUMMYFUNCTION("""COMPUTED_VALUE"""),"Forest Fruits")</f>
        <v>Forest Fruits</v>
      </c>
      <c r="B36" s="5" t="str">
        <f>IFERROR(__xludf.DUMMYFUNCTION("""COMPUTED_VALUE"""),"")</f>
        <v/>
      </c>
      <c r="C36" s="5" t="str">
        <f>IFERROR(__xludf.DUMMYFUNCTION("""COMPUTED_VALUE"""),"")</f>
        <v/>
      </c>
      <c r="D36" s="5" t="str">
        <f>IFERROR(__xludf.DUMMYFUNCTION("""COMPUTED_VALUE"""),"")</f>
        <v/>
      </c>
      <c r="E36" s="5" t="str">
        <f>IFERROR(__xludf.DUMMYFUNCTION("""COMPUTED_VALUE"""),"")</f>
        <v/>
      </c>
      <c r="F36" s="5" t="str">
        <f>IFERROR(__xludf.DUMMYFUNCTION("""COMPUTED_VALUE"""),"")</f>
        <v/>
      </c>
      <c r="G36" s="5" t="str">
        <f>IFERROR(__xludf.DUMMYFUNCTION("""COMPUTED_VALUE"""),"")</f>
        <v/>
      </c>
      <c r="H36" s="5" t="str">
        <f>IFERROR(__xludf.DUMMYFUNCTION("""COMPUTED_VALUE"""),"")</f>
        <v/>
      </c>
      <c r="I36" s="5" t="str">
        <f>IFERROR(__xludf.DUMMYFUNCTION("""COMPUTED_VALUE"""),"")</f>
        <v/>
      </c>
      <c r="J36" s="5" t="str">
        <f>IFERROR(__xludf.DUMMYFUNCTION("""COMPUTED_VALUE"""),"")</f>
        <v/>
      </c>
      <c r="K36" s="5" t="str">
        <f>IFERROR(__xludf.DUMMYFUNCTION("""COMPUTED_VALUE"""),"")</f>
        <v/>
      </c>
      <c r="L36" s="5" t="str">
        <f>IFERROR(__xludf.DUMMYFUNCTION("""COMPUTED_VALUE"""),"")</f>
        <v/>
      </c>
      <c r="M36" s="5" t="str">
        <f>IFERROR(__xludf.DUMMYFUNCTION("""COMPUTED_VALUE"""),"")</f>
        <v/>
      </c>
      <c r="N36" s="5" t="str">
        <f>IFERROR(__xludf.DUMMYFUNCTION("""COMPUTED_VALUE"""),"")</f>
        <v/>
      </c>
      <c r="O36" s="5" t="str">
        <f>IFERROR(__xludf.DUMMYFUNCTION("""COMPUTED_VALUE"""),"")</f>
        <v/>
      </c>
      <c r="P36" s="5" t="str">
        <f>IFERROR(__xludf.DUMMYFUNCTION("""COMPUTED_VALUE"""),"")</f>
        <v/>
      </c>
      <c r="Q36" s="5" t="str">
        <f>IFERROR(__xludf.DUMMYFUNCTION("""COMPUTED_VALUE"""),"")</f>
        <v/>
      </c>
      <c r="R36" s="5" t="str">
        <f>IFERROR(__xludf.DUMMYFUNCTION("""COMPUTED_VALUE"""),"")</f>
        <v/>
      </c>
      <c r="S36" s="5" t="str">
        <f>IFERROR(__xludf.DUMMYFUNCTION("""COMPUTED_VALUE"""),"")</f>
        <v/>
      </c>
      <c r="T36" s="5" t="str">
        <f>IFERROR(__xludf.DUMMYFUNCTION("""COMPUTED_VALUE"""),"")</f>
        <v/>
      </c>
      <c r="U36" s="5" t="str">
        <f>IFERROR(__xludf.DUMMYFUNCTION("""COMPUTED_VALUE"""),"")</f>
        <v/>
      </c>
      <c r="V36" s="5" t="str">
        <f>IFERROR(__xludf.DUMMYFUNCTION("""COMPUTED_VALUE"""),"")</f>
        <v/>
      </c>
      <c r="W36" s="5" t="str">
        <f>IFERROR(__xludf.DUMMYFUNCTION("""COMPUTED_VALUE"""),"")</f>
        <v/>
      </c>
      <c r="X36" s="5" t="str">
        <f>IFERROR(__xludf.DUMMYFUNCTION("""COMPUTED_VALUE"""),"")</f>
        <v/>
      </c>
      <c r="Y36" s="5"/>
      <c r="Z36" s="5"/>
    </row>
    <row r="37">
      <c r="A37" s="5" t="str">
        <f>IFERROR(__xludf.DUMMYFUNCTION("""COMPUTED_VALUE"""),"Viking Gold")</f>
        <v>Viking Gold</v>
      </c>
      <c r="B37" s="5" t="str">
        <f>IFERROR(__xludf.DUMMYFUNCTION("""COMPUTED_VALUE"""),"")</f>
        <v/>
      </c>
      <c r="C37" s="5" t="str">
        <f>IFERROR(__xludf.DUMMYFUNCTION("""COMPUTED_VALUE"""),"")</f>
        <v/>
      </c>
      <c r="D37" s="5" t="str">
        <f>IFERROR(__xludf.DUMMYFUNCTION("""COMPUTED_VALUE"""),"")</f>
        <v/>
      </c>
      <c r="E37" s="5" t="str">
        <f>IFERROR(__xludf.DUMMYFUNCTION("""COMPUTED_VALUE"""),"")</f>
        <v/>
      </c>
      <c r="F37" s="5" t="str">
        <f>IFERROR(__xludf.DUMMYFUNCTION("""COMPUTED_VALUE"""),"")</f>
        <v/>
      </c>
      <c r="G37" s="5" t="str">
        <f>IFERROR(__xludf.DUMMYFUNCTION("""COMPUTED_VALUE"""),"")</f>
        <v/>
      </c>
      <c r="H37" s="5" t="str">
        <f>IFERROR(__xludf.DUMMYFUNCTION("""COMPUTED_VALUE"""),"")</f>
        <v/>
      </c>
      <c r="I37" s="5" t="str">
        <f>IFERROR(__xludf.DUMMYFUNCTION("""COMPUTED_VALUE"""),"")</f>
        <v/>
      </c>
      <c r="J37" s="5" t="str">
        <f>IFERROR(__xludf.DUMMYFUNCTION("""COMPUTED_VALUE"""),"")</f>
        <v/>
      </c>
      <c r="K37" s="5" t="str">
        <f>IFERROR(__xludf.DUMMYFUNCTION("""COMPUTED_VALUE"""),"")</f>
        <v/>
      </c>
      <c r="L37" s="5" t="str">
        <f>IFERROR(__xludf.DUMMYFUNCTION("""COMPUTED_VALUE"""),"")</f>
        <v/>
      </c>
      <c r="M37" s="5" t="str">
        <f>IFERROR(__xludf.DUMMYFUNCTION("""COMPUTED_VALUE"""),"")</f>
        <v/>
      </c>
      <c r="N37" s="5" t="str">
        <f>IFERROR(__xludf.DUMMYFUNCTION("""COMPUTED_VALUE"""),"")</f>
        <v/>
      </c>
      <c r="O37" s="5" t="str">
        <f>IFERROR(__xludf.DUMMYFUNCTION("""COMPUTED_VALUE"""),"")</f>
        <v/>
      </c>
      <c r="P37" s="5" t="str">
        <f>IFERROR(__xludf.DUMMYFUNCTION("""COMPUTED_VALUE"""),"")</f>
        <v/>
      </c>
      <c r="Q37" s="5" t="str">
        <f>IFERROR(__xludf.DUMMYFUNCTION("""COMPUTED_VALUE"""),"")</f>
        <v/>
      </c>
      <c r="R37" s="5" t="str">
        <f>IFERROR(__xludf.DUMMYFUNCTION("""COMPUTED_VALUE"""),"")</f>
        <v/>
      </c>
      <c r="S37" s="5" t="str">
        <f>IFERROR(__xludf.DUMMYFUNCTION("""COMPUTED_VALUE"""),"")</f>
        <v/>
      </c>
      <c r="T37" s="5" t="str">
        <f>IFERROR(__xludf.DUMMYFUNCTION("""COMPUTED_VALUE"""),"")</f>
        <v/>
      </c>
      <c r="U37" s="5" t="str">
        <f>IFERROR(__xludf.DUMMYFUNCTION("""COMPUTED_VALUE"""),"")</f>
        <v/>
      </c>
      <c r="V37" s="5" t="str">
        <f>IFERROR(__xludf.DUMMYFUNCTION("""COMPUTED_VALUE"""),"")</f>
        <v/>
      </c>
      <c r="W37" s="5" t="str">
        <f>IFERROR(__xludf.DUMMYFUNCTION("""COMPUTED_VALUE"""),"")</f>
        <v/>
      </c>
      <c r="X37" s="5" t="str">
        <f>IFERROR(__xludf.DUMMYFUNCTION("""COMPUTED_VALUE"""),"")</f>
        <v/>
      </c>
      <c r="Y37" s="5"/>
      <c r="Z37" s="5"/>
    </row>
    <row r="38">
      <c r="A38" s="5" t="str">
        <f>IFERROR(__xludf.DUMMYFUNCTION("""COMPUTED_VALUE"""),"Star Gems")</f>
        <v>Star Gems</v>
      </c>
      <c r="B38" s="5" t="str">
        <f>IFERROR(__xludf.DUMMYFUNCTION("""COMPUTED_VALUE"""),"")</f>
        <v/>
      </c>
      <c r="C38" s="5" t="str">
        <f>IFERROR(__xludf.DUMMYFUNCTION("""COMPUTED_VALUE"""),"")</f>
        <v/>
      </c>
      <c r="D38" s="5" t="str">
        <f>IFERROR(__xludf.DUMMYFUNCTION("""COMPUTED_VALUE"""),"")</f>
        <v/>
      </c>
      <c r="E38" s="5" t="str">
        <f>IFERROR(__xludf.DUMMYFUNCTION("""COMPUTED_VALUE"""),"")</f>
        <v/>
      </c>
      <c r="F38" s="5" t="str">
        <f>IFERROR(__xludf.DUMMYFUNCTION("""COMPUTED_VALUE"""),"")</f>
        <v/>
      </c>
      <c r="G38" s="5" t="str">
        <f>IFERROR(__xludf.DUMMYFUNCTION("""COMPUTED_VALUE"""),"")</f>
        <v/>
      </c>
      <c r="H38" s="5" t="str">
        <f>IFERROR(__xludf.DUMMYFUNCTION("""COMPUTED_VALUE"""),"Available")</f>
        <v>Available</v>
      </c>
      <c r="I38" s="5" t="str">
        <f>IFERROR(__xludf.DUMMYFUNCTION("""COMPUTED_VALUE"""),"")</f>
        <v/>
      </c>
      <c r="J38" s="5" t="str">
        <f>IFERROR(__xludf.DUMMYFUNCTION("""COMPUTED_VALUE"""),"")</f>
        <v/>
      </c>
      <c r="K38" s="5" t="str">
        <f>IFERROR(__xludf.DUMMYFUNCTION("""COMPUTED_VALUE"""),"")</f>
        <v/>
      </c>
      <c r="L38" s="5" t="str">
        <f>IFERROR(__xludf.DUMMYFUNCTION("""COMPUTED_VALUE"""),"")</f>
        <v/>
      </c>
      <c r="M38" s="5" t="str">
        <f>IFERROR(__xludf.DUMMYFUNCTION("""COMPUTED_VALUE"""),"")</f>
        <v/>
      </c>
      <c r="N38" s="5" t="str">
        <f>IFERROR(__xludf.DUMMYFUNCTION("""COMPUTED_VALUE"""),"")</f>
        <v/>
      </c>
      <c r="O38" s="5" t="str">
        <f>IFERROR(__xludf.DUMMYFUNCTION("""COMPUTED_VALUE"""),"")</f>
        <v/>
      </c>
      <c r="P38" s="5" t="str">
        <f>IFERROR(__xludf.DUMMYFUNCTION("""COMPUTED_VALUE"""),"")</f>
        <v/>
      </c>
      <c r="Q38" s="5" t="str">
        <f>IFERROR(__xludf.DUMMYFUNCTION("""COMPUTED_VALUE"""),"Available")</f>
        <v>Available</v>
      </c>
      <c r="R38" s="5" t="str">
        <f>IFERROR(__xludf.DUMMYFUNCTION("""COMPUTED_VALUE"""),"")</f>
        <v/>
      </c>
      <c r="S38" s="5" t="str">
        <f>IFERROR(__xludf.DUMMYFUNCTION("""COMPUTED_VALUE"""),"")</f>
        <v/>
      </c>
      <c r="T38" s="5" t="str">
        <f>IFERROR(__xludf.DUMMYFUNCTION("""COMPUTED_VALUE"""),"")</f>
        <v/>
      </c>
      <c r="U38" s="5" t="str">
        <f>IFERROR(__xludf.DUMMYFUNCTION("""COMPUTED_VALUE"""),"")</f>
        <v/>
      </c>
      <c r="V38" s="5" t="str">
        <f>IFERROR(__xludf.DUMMYFUNCTION("""COMPUTED_VALUE"""),"")</f>
        <v/>
      </c>
      <c r="W38" s="5" t="str">
        <f>IFERROR(__xludf.DUMMYFUNCTION("""COMPUTED_VALUE"""),"")</f>
        <v/>
      </c>
      <c r="X38" s="5" t="str">
        <f>IFERROR(__xludf.DUMMYFUNCTION("""COMPUTED_VALUE"""),"")</f>
        <v/>
      </c>
      <c r="Y38" s="5"/>
      <c r="Z38" s="5"/>
    </row>
    <row r="39">
      <c r="A39" s="5" t="str">
        <f>IFERROR(__xludf.DUMMYFUNCTION("""COMPUTED_VALUE"""),"Book of Spells V2")</f>
        <v>Book of Spells V2</v>
      </c>
      <c r="B39" s="5" t="str">
        <f>IFERROR(__xludf.DUMMYFUNCTION("""COMPUTED_VALUE"""),"")</f>
        <v/>
      </c>
      <c r="C39" s="5" t="str">
        <f>IFERROR(__xludf.DUMMYFUNCTION("""COMPUTED_VALUE"""),"")</f>
        <v/>
      </c>
      <c r="D39" s="5" t="str">
        <f>IFERROR(__xludf.DUMMYFUNCTION("""COMPUTED_VALUE"""),"")</f>
        <v/>
      </c>
      <c r="E39" s="5" t="str">
        <f>IFERROR(__xludf.DUMMYFUNCTION("""COMPUTED_VALUE"""),"")</f>
        <v/>
      </c>
      <c r="F39" s="5" t="str">
        <f>IFERROR(__xludf.DUMMYFUNCTION("""COMPUTED_VALUE"""),"")</f>
        <v/>
      </c>
      <c r="G39" s="5" t="str">
        <f>IFERROR(__xludf.DUMMYFUNCTION("""COMPUTED_VALUE"""),"")</f>
        <v/>
      </c>
      <c r="H39" s="5" t="str">
        <f>IFERROR(__xludf.DUMMYFUNCTION("""COMPUTED_VALUE"""),"")</f>
        <v/>
      </c>
      <c r="I39" s="5" t="str">
        <f>IFERROR(__xludf.DUMMYFUNCTION("""COMPUTED_VALUE"""),"")</f>
        <v/>
      </c>
      <c r="J39" s="5" t="str">
        <f>IFERROR(__xludf.DUMMYFUNCTION("""COMPUTED_VALUE"""),"")</f>
        <v/>
      </c>
      <c r="K39" s="5" t="str">
        <f>IFERROR(__xludf.DUMMYFUNCTION("""COMPUTED_VALUE"""),"")</f>
        <v/>
      </c>
      <c r="L39" s="5" t="str">
        <f>IFERROR(__xludf.DUMMYFUNCTION("""COMPUTED_VALUE"""),"")</f>
        <v/>
      </c>
      <c r="M39" s="5" t="str">
        <f>IFERROR(__xludf.DUMMYFUNCTION("""COMPUTED_VALUE"""),"")</f>
        <v/>
      </c>
      <c r="N39" s="5" t="str">
        <f>IFERROR(__xludf.DUMMYFUNCTION("""COMPUTED_VALUE"""),"")</f>
        <v/>
      </c>
      <c r="O39" s="5" t="str">
        <f>IFERROR(__xludf.DUMMYFUNCTION("""COMPUTED_VALUE"""),"")</f>
        <v/>
      </c>
      <c r="P39" s="5" t="str">
        <f>IFERROR(__xludf.DUMMYFUNCTION("""COMPUTED_VALUE"""),"")</f>
        <v/>
      </c>
      <c r="Q39" s="5" t="str">
        <f>IFERROR(__xludf.DUMMYFUNCTION("""COMPUTED_VALUE"""),"")</f>
        <v/>
      </c>
      <c r="R39" s="5" t="str">
        <f>IFERROR(__xludf.DUMMYFUNCTION("""COMPUTED_VALUE"""),"")</f>
        <v/>
      </c>
      <c r="S39" s="5" t="str">
        <f>IFERROR(__xludf.DUMMYFUNCTION("""COMPUTED_VALUE"""),"")</f>
        <v/>
      </c>
      <c r="T39" s="5" t="str">
        <f>IFERROR(__xludf.DUMMYFUNCTION("""COMPUTED_VALUE"""),"")</f>
        <v/>
      </c>
      <c r="U39" s="5" t="str">
        <f>IFERROR(__xludf.DUMMYFUNCTION("""COMPUTED_VALUE"""),"")</f>
        <v/>
      </c>
      <c r="V39" s="5" t="str">
        <f>IFERROR(__xludf.DUMMYFUNCTION("""COMPUTED_VALUE"""),"")</f>
        <v/>
      </c>
      <c r="W39" s="5" t="str">
        <f>IFERROR(__xludf.DUMMYFUNCTION("""COMPUTED_VALUE"""),"")</f>
        <v/>
      </c>
      <c r="X39" s="5" t="str">
        <f>IFERROR(__xludf.DUMMYFUNCTION("""COMPUTED_VALUE"""),"")</f>
        <v/>
      </c>
      <c r="Y39" s="5"/>
      <c r="Z39" s="5"/>
    </row>
    <row r="40">
      <c r="A40" s="5" t="str">
        <f>IFERROR(__xludf.DUMMYFUNCTION("""COMPUTED_VALUE"""),"Templars Quest")</f>
        <v>Templars Quest</v>
      </c>
      <c r="B40" s="5" t="str">
        <f>IFERROR(__xludf.DUMMYFUNCTION("""COMPUTED_VALUE"""),"")</f>
        <v/>
      </c>
      <c r="C40" s="5" t="str">
        <f>IFERROR(__xludf.DUMMYFUNCTION("""COMPUTED_VALUE"""),"")</f>
        <v/>
      </c>
      <c r="D40" s="5" t="str">
        <f>IFERROR(__xludf.DUMMYFUNCTION("""COMPUTED_VALUE"""),"")</f>
        <v/>
      </c>
      <c r="E40" s="5" t="str">
        <f>IFERROR(__xludf.DUMMYFUNCTION("""COMPUTED_VALUE"""),"")</f>
        <v/>
      </c>
      <c r="F40" s="5" t="str">
        <f>IFERROR(__xludf.DUMMYFUNCTION("""COMPUTED_VALUE"""),"")</f>
        <v/>
      </c>
      <c r="G40" s="5" t="str">
        <f>IFERROR(__xludf.DUMMYFUNCTION("""COMPUTED_VALUE"""),"")</f>
        <v/>
      </c>
      <c r="H40" s="5" t="str">
        <f>IFERROR(__xludf.DUMMYFUNCTION("""COMPUTED_VALUE"""),"")</f>
        <v/>
      </c>
      <c r="I40" s="5" t="str">
        <f>IFERROR(__xludf.DUMMYFUNCTION("""COMPUTED_VALUE"""),"")</f>
        <v/>
      </c>
      <c r="J40" s="5" t="str">
        <f>IFERROR(__xludf.DUMMYFUNCTION("""COMPUTED_VALUE"""),"")</f>
        <v/>
      </c>
      <c r="K40" s="5" t="str">
        <f>IFERROR(__xludf.DUMMYFUNCTION("""COMPUTED_VALUE"""),"")</f>
        <v/>
      </c>
      <c r="L40" s="5" t="str">
        <f>IFERROR(__xludf.DUMMYFUNCTION("""COMPUTED_VALUE"""),"")</f>
        <v/>
      </c>
      <c r="M40" s="5" t="str">
        <f>IFERROR(__xludf.DUMMYFUNCTION("""COMPUTED_VALUE"""),"")</f>
        <v/>
      </c>
      <c r="N40" s="5" t="str">
        <f>IFERROR(__xludf.DUMMYFUNCTION("""COMPUTED_VALUE"""),"")</f>
        <v/>
      </c>
      <c r="O40" s="5" t="str">
        <f>IFERROR(__xludf.DUMMYFUNCTION("""COMPUTED_VALUE"""),"")</f>
        <v/>
      </c>
      <c r="P40" s="5" t="str">
        <f>IFERROR(__xludf.DUMMYFUNCTION("""COMPUTED_VALUE"""),"")</f>
        <v/>
      </c>
      <c r="Q40" s="5" t="str">
        <f>IFERROR(__xludf.DUMMYFUNCTION("""COMPUTED_VALUE"""),"")</f>
        <v/>
      </c>
      <c r="R40" s="5" t="str">
        <f>IFERROR(__xludf.DUMMYFUNCTION("""COMPUTED_VALUE"""),"")</f>
        <v/>
      </c>
      <c r="S40" s="5" t="str">
        <f>IFERROR(__xludf.DUMMYFUNCTION("""COMPUTED_VALUE"""),"")</f>
        <v/>
      </c>
      <c r="T40" s="5" t="str">
        <f>IFERROR(__xludf.DUMMYFUNCTION("""COMPUTED_VALUE"""),"")</f>
        <v/>
      </c>
      <c r="U40" s="5" t="str">
        <f>IFERROR(__xludf.DUMMYFUNCTION("""COMPUTED_VALUE"""),"")</f>
        <v/>
      </c>
      <c r="V40" s="5" t="str">
        <f>IFERROR(__xludf.DUMMYFUNCTION("""COMPUTED_VALUE"""),"")</f>
        <v/>
      </c>
      <c r="W40" s="5" t="str">
        <f>IFERROR(__xludf.DUMMYFUNCTION("""COMPUTED_VALUE"""),"")</f>
        <v/>
      </c>
      <c r="X40" s="5" t="str">
        <f>IFERROR(__xludf.DUMMYFUNCTION("""COMPUTED_VALUE"""),"")</f>
        <v/>
      </c>
      <c r="Y40" s="5"/>
      <c r="Z40" s="5"/>
    </row>
    <row r="41">
      <c r="A41" s="5" t="str">
        <f>IFERROR(__xludf.DUMMYFUNCTION("""COMPUTED_VALUE"""),"Space Guardians")</f>
        <v>Space Guardians</v>
      </c>
      <c r="B41" s="5" t="str">
        <f>IFERROR(__xludf.DUMMYFUNCTION("""COMPUTED_VALUE"""),"")</f>
        <v/>
      </c>
      <c r="C41" s="5" t="str">
        <f>IFERROR(__xludf.DUMMYFUNCTION("""COMPUTED_VALUE"""),"")</f>
        <v/>
      </c>
      <c r="D41" s="5" t="str">
        <f>IFERROR(__xludf.DUMMYFUNCTION("""COMPUTED_VALUE"""),"")</f>
        <v/>
      </c>
      <c r="E41" s="5" t="str">
        <f>IFERROR(__xludf.DUMMYFUNCTION("""COMPUTED_VALUE"""),"")</f>
        <v/>
      </c>
      <c r="F41" s="5" t="str">
        <f>IFERROR(__xludf.DUMMYFUNCTION("""COMPUTED_VALUE"""),"")</f>
        <v/>
      </c>
      <c r="G41" s="5" t="str">
        <f>IFERROR(__xludf.DUMMYFUNCTION("""COMPUTED_VALUE"""),"")</f>
        <v/>
      </c>
      <c r="H41" s="5" t="str">
        <f>IFERROR(__xludf.DUMMYFUNCTION("""COMPUTED_VALUE"""),"")</f>
        <v/>
      </c>
      <c r="I41" s="5" t="str">
        <f>IFERROR(__xludf.DUMMYFUNCTION("""COMPUTED_VALUE"""),"")</f>
        <v/>
      </c>
      <c r="J41" s="5" t="str">
        <f>IFERROR(__xludf.DUMMYFUNCTION("""COMPUTED_VALUE"""),"")</f>
        <v/>
      </c>
      <c r="K41" s="5" t="str">
        <f>IFERROR(__xludf.DUMMYFUNCTION("""COMPUTED_VALUE"""),"")</f>
        <v/>
      </c>
      <c r="L41" s="5" t="str">
        <f>IFERROR(__xludf.DUMMYFUNCTION("""COMPUTED_VALUE"""),"")</f>
        <v/>
      </c>
      <c r="M41" s="5" t="str">
        <f>IFERROR(__xludf.DUMMYFUNCTION("""COMPUTED_VALUE"""),"")</f>
        <v/>
      </c>
      <c r="N41" s="5" t="str">
        <f>IFERROR(__xludf.DUMMYFUNCTION("""COMPUTED_VALUE"""),"")</f>
        <v/>
      </c>
      <c r="O41" s="5" t="str">
        <f>IFERROR(__xludf.DUMMYFUNCTION("""COMPUTED_VALUE"""),"")</f>
        <v/>
      </c>
      <c r="P41" s="5" t="str">
        <f>IFERROR(__xludf.DUMMYFUNCTION("""COMPUTED_VALUE"""),"")</f>
        <v/>
      </c>
      <c r="Q41" s="5" t="str">
        <f>IFERROR(__xludf.DUMMYFUNCTION("""COMPUTED_VALUE"""),"")</f>
        <v/>
      </c>
      <c r="R41" s="5" t="str">
        <f>IFERROR(__xludf.DUMMYFUNCTION("""COMPUTED_VALUE"""),"")</f>
        <v/>
      </c>
      <c r="S41" s="5" t="str">
        <f>IFERROR(__xludf.DUMMYFUNCTION("""COMPUTED_VALUE"""),"")</f>
        <v/>
      </c>
      <c r="T41" s="5" t="str">
        <f>IFERROR(__xludf.DUMMYFUNCTION("""COMPUTED_VALUE"""),"")</f>
        <v/>
      </c>
      <c r="U41" s="5" t="str">
        <f>IFERROR(__xludf.DUMMYFUNCTION("""COMPUTED_VALUE"""),"")</f>
        <v/>
      </c>
      <c r="V41" s="5" t="str">
        <f>IFERROR(__xludf.DUMMYFUNCTION("""COMPUTED_VALUE"""),"")</f>
        <v/>
      </c>
      <c r="W41" s="5" t="str">
        <f>IFERROR(__xludf.DUMMYFUNCTION("""COMPUTED_VALUE"""),"")</f>
        <v/>
      </c>
      <c r="X41" s="5" t="str">
        <f>IFERROR(__xludf.DUMMYFUNCTION("""COMPUTED_VALUE"""),"")</f>
        <v/>
      </c>
      <c r="Y41" s="5"/>
      <c r="Z41" s="5"/>
    </row>
    <row r="42">
      <c r="A42" s="5" t="str">
        <f>IFERROR(__xludf.DUMMYFUNCTION("""COMPUTED_VALUE"""),"Neon Hot 5")</f>
        <v>Neon Hot 5</v>
      </c>
      <c r="B42" s="5" t="str">
        <f>IFERROR(__xludf.DUMMYFUNCTION("""COMPUTED_VALUE"""),"")</f>
        <v/>
      </c>
      <c r="C42" s="5" t="str">
        <f>IFERROR(__xludf.DUMMYFUNCTION("""COMPUTED_VALUE"""),"")</f>
        <v/>
      </c>
      <c r="D42" s="5" t="str">
        <f>IFERROR(__xludf.DUMMYFUNCTION("""COMPUTED_VALUE"""),"")</f>
        <v/>
      </c>
      <c r="E42" s="5" t="str">
        <f>IFERROR(__xludf.DUMMYFUNCTION("""COMPUTED_VALUE"""),"")</f>
        <v/>
      </c>
      <c r="F42" s="5" t="str">
        <f>IFERROR(__xludf.DUMMYFUNCTION("""COMPUTED_VALUE"""),"")</f>
        <v/>
      </c>
      <c r="G42" s="5" t="str">
        <f>IFERROR(__xludf.DUMMYFUNCTION("""COMPUTED_VALUE"""),"")</f>
        <v/>
      </c>
      <c r="H42" s="5" t="str">
        <f>IFERROR(__xludf.DUMMYFUNCTION("""COMPUTED_VALUE"""),"")</f>
        <v/>
      </c>
      <c r="I42" s="5" t="str">
        <f>IFERROR(__xludf.DUMMYFUNCTION("""COMPUTED_VALUE"""),"")</f>
        <v/>
      </c>
      <c r="J42" s="5" t="str">
        <f>IFERROR(__xludf.DUMMYFUNCTION("""COMPUTED_VALUE"""),"")</f>
        <v/>
      </c>
      <c r="K42" s="5" t="str">
        <f>IFERROR(__xludf.DUMMYFUNCTION("""COMPUTED_VALUE"""),"")</f>
        <v/>
      </c>
      <c r="L42" s="5" t="str">
        <f>IFERROR(__xludf.DUMMYFUNCTION("""COMPUTED_VALUE"""),"")</f>
        <v/>
      </c>
      <c r="M42" s="5" t="str">
        <f>IFERROR(__xludf.DUMMYFUNCTION("""COMPUTED_VALUE"""),"")</f>
        <v/>
      </c>
      <c r="N42" s="5" t="str">
        <f>IFERROR(__xludf.DUMMYFUNCTION("""COMPUTED_VALUE"""),"")</f>
        <v/>
      </c>
      <c r="O42" s="5" t="str">
        <f>IFERROR(__xludf.DUMMYFUNCTION("""COMPUTED_VALUE"""),"")</f>
        <v/>
      </c>
      <c r="P42" s="5" t="str">
        <f>IFERROR(__xludf.DUMMYFUNCTION("""COMPUTED_VALUE"""),"")</f>
        <v/>
      </c>
      <c r="Q42" s="5" t="str">
        <f>IFERROR(__xludf.DUMMYFUNCTION("""COMPUTED_VALUE"""),"")</f>
        <v/>
      </c>
      <c r="R42" s="5" t="str">
        <f>IFERROR(__xludf.DUMMYFUNCTION("""COMPUTED_VALUE"""),"")</f>
        <v/>
      </c>
      <c r="S42" s="5" t="str">
        <f>IFERROR(__xludf.DUMMYFUNCTION("""COMPUTED_VALUE"""),"")</f>
        <v/>
      </c>
      <c r="T42" s="5" t="str">
        <f>IFERROR(__xludf.DUMMYFUNCTION("""COMPUTED_VALUE"""),"")</f>
        <v/>
      </c>
      <c r="U42" s="5" t="str">
        <f>IFERROR(__xludf.DUMMYFUNCTION("""COMPUTED_VALUE"""),"")</f>
        <v/>
      </c>
      <c r="V42" s="5" t="str">
        <f>IFERROR(__xludf.DUMMYFUNCTION("""COMPUTED_VALUE"""),"")</f>
        <v/>
      </c>
      <c r="W42" s="5" t="str">
        <f>IFERROR(__xludf.DUMMYFUNCTION("""COMPUTED_VALUE"""),"")</f>
        <v/>
      </c>
      <c r="X42" s="5" t="str">
        <f>IFERROR(__xludf.DUMMYFUNCTION("""COMPUTED_VALUE"""),"")</f>
        <v/>
      </c>
      <c r="Y42" s="5"/>
      <c r="Z42" s="5"/>
    </row>
    <row r="43">
      <c r="A43" s="5" t="str">
        <f>IFERROR(__xludf.DUMMYFUNCTION("""COMPUTED_VALUE"""),"Starlight")</f>
        <v>Starlight</v>
      </c>
      <c r="B43" s="5" t="str">
        <f>IFERROR(__xludf.DUMMYFUNCTION("""COMPUTED_VALUE"""),"")</f>
        <v/>
      </c>
      <c r="C43" s="5" t="str">
        <f>IFERROR(__xludf.DUMMYFUNCTION("""COMPUTED_VALUE"""),"")</f>
        <v/>
      </c>
      <c r="D43" s="5" t="str">
        <f>IFERROR(__xludf.DUMMYFUNCTION("""COMPUTED_VALUE"""),"")</f>
        <v/>
      </c>
      <c r="E43" s="5" t="str">
        <f>IFERROR(__xludf.DUMMYFUNCTION("""COMPUTED_VALUE"""),"")</f>
        <v/>
      </c>
      <c r="F43" s="5" t="str">
        <f>IFERROR(__xludf.DUMMYFUNCTION("""COMPUTED_VALUE"""),"Available")</f>
        <v>Available</v>
      </c>
      <c r="G43" s="5" t="str">
        <f>IFERROR(__xludf.DUMMYFUNCTION("""COMPUTED_VALUE"""),"Available")</f>
        <v>Available</v>
      </c>
      <c r="H43" s="5" t="str">
        <f>IFERROR(__xludf.DUMMYFUNCTION("""COMPUTED_VALUE"""),"")</f>
        <v/>
      </c>
      <c r="I43" s="5" t="str">
        <f>IFERROR(__xludf.DUMMYFUNCTION("""COMPUTED_VALUE"""),"")</f>
        <v/>
      </c>
      <c r="J43" s="5" t="str">
        <f>IFERROR(__xludf.DUMMYFUNCTION("""COMPUTED_VALUE"""),"")</f>
        <v/>
      </c>
      <c r="K43" s="5" t="str">
        <f>IFERROR(__xludf.DUMMYFUNCTION("""COMPUTED_VALUE"""),"Available")</f>
        <v>Available</v>
      </c>
      <c r="L43" s="5" t="str">
        <f>IFERROR(__xludf.DUMMYFUNCTION("""COMPUTED_VALUE"""),"")</f>
        <v/>
      </c>
      <c r="M43" s="5" t="str">
        <f>IFERROR(__xludf.DUMMYFUNCTION("""COMPUTED_VALUE"""),"Available")</f>
        <v>Available</v>
      </c>
      <c r="N43" s="5" t="str">
        <f>IFERROR(__xludf.DUMMYFUNCTION("""COMPUTED_VALUE"""),"")</f>
        <v/>
      </c>
      <c r="O43" s="5" t="str">
        <f>IFERROR(__xludf.DUMMYFUNCTION("""COMPUTED_VALUE"""),"")</f>
        <v/>
      </c>
      <c r="P43" s="5" t="str">
        <f>IFERROR(__xludf.DUMMYFUNCTION("""COMPUTED_VALUE"""),"")</f>
        <v/>
      </c>
      <c r="Q43" s="5" t="str">
        <f>IFERROR(__xludf.DUMMYFUNCTION("""COMPUTED_VALUE"""),"")</f>
        <v/>
      </c>
      <c r="R43" s="5" t="str">
        <f>IFERROR(__xludf.DUMMYFUNCTION("""COMPUTED_VALUE"""),"")</f>
        <v/>
      </c>
      <c r="S43" s="5" t="str">
        <f>IFERROR(__xludf.DUMMYFUNCTION("""COMPUTED_VALUE"""),"")</f>
        <v/>
      </c>
      <c r="T43" s="5" t="str">
        <f>IFERROR(__xludf.DUMMYFUNCTION("""COMPUTED_VALUE"""),"")</f>
        <v/>
      </c>
      <c r="U43" s="5" t="str">
        <f>IFERROR(__xludf.DUMMYFUNCTION("""COMPUTED_VALUE"""),"")</f>
        <v/>
      </c>
      <c r="V43" s="5" t="str">
        <f>IFERROR(__xludf.DUMMYFUNCTION("""COMPUTED_VALUE"""),"")</f>
        <v/>
      </c>
      <c r="W43" s="5" t="str">
        <f>IFERROR(__xludf.DUMMYFUNCTION("""COMPUTED_VALUE"""),"")</f>
        <v/>
      </c>
      <c r="X43" s="5" t="str">
        <f>IFERROR(__xludf.DUMMYFUNCTION("""COMPUTED_VALUE"""),"")</f>
        <v/>
      </c>
      <c r="Y43" s="5"/>
      <c r="Z43" s="5"/>
    </row>
    <row r="44">
      <c r="A44" s="5" t="str">
        <f>IFERROR(__xludf.DUMMYFUNCTION("""COMPUTED_VALUE"""),"Triple Hot")</f>
        <v>Triple Hot</v>
      </c>
      <c r="B44" s="5" t="str">
        <f>IFERROR(__xludf.DUMMYFUNCTION("""COMPUTED_VALUE"""),"")</f>
        <v/>
      </c>
      <c r="C44" s="5" t="str">
        <f>IFERROR(__xludf.DUMMYFUNCTION("""COMPUTED_VALUE"""),"")</f>
        <v/>
      </c>
      <c r="D44" s="5" t="str">
        <f>IFERROR(__xludf.DUMMYFUNCTION("""COMPUTED_VALUE"""),"Cert Preparation")</f>
        <v>Cert Preparation</v>
      </c>
      <c r="E44" s="5" t="str">
        <f>IFERROR(__xludf.DUMMYFUNCTION("""COMPUTED_VALUE"""),"")</f>
        <v/>
      </c>
      <c r="F44" s="5" t="str">
        <f>IFERROR(__xludf.DUMMYFUNCTION("""COMPUTED_VALUE"""),"")</f>
        <v/>
      </c>
      <c r="G44" s="5" t="str">
        <f>IFERROR(__xludf.DUMMYFUNCTION("""COMPUTED_VALUE"""),"")</f>
        <v/>
      </c>
      <c r="H44" s="5" t="str">
        <f>IFERROR(__xludf.DUMMYFUNCTION("""COMPUTED_VALUE"""),"")</f>
        <v/>
      </c>
      <c r="I44" s="5" t="str">
        <f>IFERROR(__xludf.DUMMYFUNCTION("""COMPUTED_VALUE"""),"")</f>
        <v/>
      </c>
      <c r="J44" s="5" t="str">
        <f>IFERROR(__xludf.DUMMYFUNCTION("""COMPUTED_VALUE"""),"")</f>
        <v/>
      </c>
      <c r="K44" s="5" t="str">
        <f>IFERROR(__xludf.DUMMYFUNCTION("""COMPUTED_VALUE"""),"")</f>
        <v/>
      </c>
      <c r="L44" s="5" t="str">
        <f>IFERROR(__xludf.DUMMYFUNCTION("""COMPUTED_VALUE"""),"")</f>
        <v/>
      </c>
      <c r="M44" s="5" t="str">
        <f>IFERROR(__xludf.DUMMYFUNCTION("""COMPUTED_VALUE"""),"")</f>
        <v/>
      </c>
      <c r="N44" s="5" t="str">
        <f>IFERROR(__xludf.DUMMYFUNCTION("""COMPUTED_VALUE"""),"")</f>
        <v/>
      </c>
      <c r="O44" s="5" t="str">
        <f>IFERROR(__xludf.DUMMYFUNCTION("""COMPUTED_VALUE"""),"")</f>
        <v/>
      </c>
      <c r="P44" s="5" t="str">
        <f>IFERROR(__xludf.DUMMYFUNCTION("""COMPUTED_VALUE"""),"")</f>
        <v/>
      </c>
      <c r="Q44" s="5" t="str">
        <f>IFERROR(__xludf.DUMMYFUNCTION("""COMPUTED_VALUE"""),"Available")</f>
        <v>Available</v>
      </c>
      <c r="R44" s="5" t="str">
        <f>IFERROR(__xludf.DUMMYFUNCTION("""COMPUTED_VALUE"""),"")</f>
        <v/>
      </c>
      <c r="S44" s="5" t="str">
        <f>IFERROR(__xludf.DUMMYFUNCTION("""COMPUTED_VALUE"""),"")</f>
        <v/>
      </c>
      <c r="T44" s="5" t="str">
        <f>IFERROR(__xludf.DUMMYFUNCTION("""COMPUTED_VALUE"""),"")</f>
        <v/>
      </c>
      <c r="U44" s="5" t="str">
        <f>IFERROR(__xludf.DUMMYFUNCTION("""COMPUTED_VALUE"""),"")</f>
        <v/>
      </c>
      <c r="V44" s="5" t="str">
        <f>IFERROR(__xludf.DUMMYFUNCTION("""COMPUTED_VALUE"""),"")</f>
        <v/>
      </c>
      <c r="W44" s="5" t="str">
        <f>IFERROR(__xludf.DUMMYFUNCTION("""COMPUTED_VALUE"""),"")</f>
        <v/>
      </c>
      <c r="X44" s="5" t="str">
        <f>IFERROR(__xludf.DUMMYFUNCTION("""COMPUTED_VALUE"""),"")</f>
        <v/>
      </c>
      <c r="Y44" s="5"/>
      <c r="Z44" s="5"/>
    </row>
    <row r="45">
      <c r="A45" s="5" t="str">
        <f>IFERROR(__xludf.DUMMYFUNCTION("""COMPUTED_VALUE"""),"Crystal Hot 40")</f>
        <v>Crystal Hot 40</v>
      </c>
      <c r="B45" s="5" t="str">
        <f>IFERROR(__xludf.DUMMYFUNCTION("""COMPUTED_VALUE"""),"Available")</f>
        <v>Available</v>
      </c>
      <c r="C45" s="5" t="str">
        <f>IFERROR(__xludf.DUMMYFUNCTION("""COMPUTED_VALUE"""),"Available")</f>
        <v>Available</v>
      </c>
      <c r="D45" s="5" t="str">
        <f>IFERROR(__xludf.DUMMYFUNCTION("""COMPUTED_VALUE"""),"Available")</f>
        <v>Available</v>
      </c>
      <c r="E45" s="5" t="str">
        <f>IFERROR(__xludf.DUMMYFUNCTION("""COMPUTED_VALUE"""),"Available")</f>
        <v>Available</v>
      </c>
      <c r="F45" s="5" t="str">
        <f>IFERROR(__xludf.DUMMYFUNCTION("""COMPUTED_VALUE"""),"Available")</f>
        <v>Available</v>
      </c>
      <c r="G45" s="5" t="str">
        <f>IFERROR(__xludf.DUMMYFUNCTION("""COMPUTED_VALUE"""),"Available")</f>
        <v>Available</v>
      </c>
      <c r="H45" s="5" t="str">
        <f>IFERROR(__xludf.DUMMYFUNCTION("""COMPUTED_VALUE"""),"Available")</f>
        <v>Available</v>
      </c>
      <c r="I45" s="5" t="str">
        <f>IFERROR(__xludf.DUMMYFUNCTION("""COMPUTED_VALUE"""),"Available")</f>
        <v>Available</v>
      </c>
      <c r="J45" s="5" t="str">
        <f>IFERROR(__xludf.DUMMYFUNCTION("""COMPUTED_VALUE"""),"Available")</f>
        <v>Available</v>
      </c>
      <c r="K45" s="5" t="str">
        <f>IFERROR(__xludf.DUMMYFUNCTION("""COMPUTED_VALUE"""),"Available")</f>
        <v>Available</v>
      </c>
      <c r="L45" s="5" t="str">
        <f>IFERROR(__xludf.DUMMYFUNCTION("""COMPUTED_VALUE"""),"Available")</f>
        <v>Available</v>
      </c>
      <c r="M45" s="5" t="str">
        <f>IFERROR(__xludf.DUMMYFUNCTION("""COMPUTED_VALUE"""),"Available")</f>
        <v>Available</v>
      </c>
      <c r="N45" s="5" t="str">
        <f>IFERROR(__xludf.DUMMYFUNCTION("""COMPUTED_VALUE"""),"Available")</f>
        <v>Available</v>
      </c>
      <c r="O45" s="5" t="str">
        <f>IFERROR(__xludf.DUMMYFUNCTION("""COMPUTED_VALUE"""),"Available")</f>
        <v>Available</v>
      </c>
      <c r="P45" s="5" t="str">
        <f>IFERROR(__xludf.DUMMYFUNCTION("""COMPUTED_VALUE"""),"Development")</f>
        <v>Development</v>
      </c>
      <c r="Q45" s="5" t="str">
        <f>IFERROR(__xludf.DUMMYFUNCTION("""COMPUTED_VALUE"""),"Available")</f>
        <v>Available</v>
      </c>
      <c r="R45" s="5" t="str">
        <f>IFERROR(__xludf.DUMMYFUNCTION("""COMPUTED_VALUE"""),"Development")</f>
        <v>Development</v>
      </c>
      <c r="S45" s="5" t="str">
        <f>IFERROR(__xludf.DUMMYFUNCTION("""COMPUTED_VALUE"""),"In Certification")</f>
        <v>In Certification</v>
      </c>
      <c r="T45" s="5" t="str">
        <f>IFERROR(__xludf.DUMMYFUNCTION("""COMPUTED_VALUE"""),"Development")</f>
        <v>Development</v>
      </c>
      <c r="U45" s="5" t="str">
        <f>IFERROR(__xludf.DUMMYFUNCTION("""COMPUTED_VALUE"""),"Certified")</f>
        <v>Certified</v>
      </c>
      <c r="V45" s="5" t="str">
        <f>IFERROR(__xludf.DUMMYFUNCTION("""COMPUTED_VALUE"""),"")</f>
        <v/>
      </c>
      <c r="W45" s="5" t="str">
        <f>IFERROR(__xludf.DUMMYFUNCTION("""COMPUTED_VALUE"""),"")</f>
        <v/>
      </c>
      <c r="X45" s="5" t="str">
        <f>IFERROR(__xludf.DUMMYFUNCTION("""COMPUTED_VALUE"""),"")</f>
        <v/>
      </c>
      <c r="Y45" s="5"/>
      <c r="Z45" s="5"/>
    </row>
    <row r="46">
      <c r="A46" s="5" t="str">
        <f>IFERROR(__xludf.DUMMYFUNCTION("""COMPUTED_VALUE"""),"Burning Ice Deluxe")</f>
        <v>Burning Ice Deluxe</v>
      </c>
      <c r="B46" s="5" t="str">
        <f>IFERROR(__xludf.DUMMYFUNCTION("""COMPUTED_VALUE"""),"")</f>
        <v/>
      </c>
      <c r="C46" s="5" t="str">
        <f>IFERROR(__xludf.DUMMYFUNCTION("""COMPUTED_VALUE"""),"")</f>
        <v/>
      </c>
      <c r="D46" s="5" t="str">
        <f>IFERROR(__xludf.DUMMYFUNCTION("""COMPUTED_VALUE"""),"")</f>
        <v/>
      </c>
      <c r="E46" s="5" t="str">
        <f>IFERROR(__xludf.DUMMYFUNCTION("""COMPUTED_VALUE"""),"")</f>
        <v/>
      </c>
      <c r="F46" s="5" t="str">
        <f>IFERROR(__xludf.DUMMYFUNCTION("""COMPUTED_VALUE"""),"")</f>
        <v/>
      </c>
      <c r="G46" s="5" t="str">
        <f>IFERROR(__xludf.DUMMYFUNCTION("""COMPUTED_VALUE"""),"")</f>
        <v/>
      </c>
      <c r="H46" s="5" t="str">
        <f>IFERROR(__xludf.DUMMYFUNCTION("""COMPUTED_VALUE"""),"")</f>
        <v/>
      </c>
      <c r="I46" s="5" t="str">
        <f>IFERROR(__xludf.DUMMYFUNCTION("""COMPUTED_VALUE"""),"")</f>
        <v/>
      </c>
      <c r="J46" s="5" t="str">
        <f>IFERROR(__xludf.DUMMYFUNCTION("""COMPUTED_VALUE"""),"")</f>
        <v/>
      </c>
      <c r="K46" s="5" t="str">
        <f>IFERROR(__xludf.DUMMYFUNCTION("""COMPUTED_VALUE"""),"")</f>
        <v/>
      </c>
      <c r="L46" s="5" t="str">
        <f>IFERROR(__xludf.DUMMYFUNCTION("""COMPUTED_VALUE"""),"")</f>
        <v/>
      </c>
      <c r="M46" s="5" t="str">
        <f>IFERROR(__xludf.DUMMYFUNCTION("""COMPUTED_VALUE"""),"")</f>
        <v/>
      </c>
      <c r="N46" s="5" t="str">
        <f>IFERROR(__xludf.DUMMYFUNCTION("""COMPUTED_VALUE"""),"")</f>
        <v/>
      </c>
      <c r="O46" s="5" t="str">
        <f>IFERROR(__xludf.DUMMYFUNCTION("""COMPUTED_VALUE"""),"")</f>
        <v/>
      </c>
      <c r="P46" s="5" t="str">
        <f>IFERROR(__xludf.DUMMYFUNCTION("""COMPUTED_VALUE"""),"")</f>
        <v/>
      </c>
      <c r="Q46" s="5" t="str">
        <f>IFERROR(__xludf.DUMMYFUNCTION("""COMPUTED_VALUE"""),"")</f>
        <v/>
      </c>
      <c r="R46" s="5" t="str">
        <f>IFERROR(__xludf.DUMMYFUNCTION("""COMPUTED_VALUE"""),"")</f>
        <v/>
      </c>
      <c r="S46" s="5" t="str">
        <f>IFERROR(__xludf.DUMMYFUNCTION("""COMPUTED_VALUE"""),"")</f>
        <v/>
      </c>
      <c r="T46" s="5" t="str">
        <f>IFERROR(__xludf.DUMMYFUNCTION("""COMPUTED_VALUE"""),"")</f>
        <v/>
      </c>
      <c r="U46" s="5" t="str">
        <f>IFERROR(__xludf.DUMMYFUNCTION("""COMPUTED_VALUE"""),"")</f>
        <v/>
      </c>
      <c r="V46" s="5" t="str">
        <f>IFERROR(__xludf.DUMMYFUNCTION("""COMPUTED_VALUE"""),"")</f>
        <v/>
      </c>
      <c r="W46" s="5" t="str">
        <f>IFERROR(__xludf.DUMMYFUNCTION("""COMPUTED_VALUE"""),"")</f>
        <v/>
      </c>
      <c r="X46" s="5" t="str">
        <f>IFERROR(__xludf.DUMMYFUNCTION("""COMPUTED_VALUE"""),"")</f>
        <v/>
      </c>
      <c r="Y46" s="5"/>
      <c r="Z46" s="5"/>
    </row>
    <row r="47">
      <c r="A47" s="5" t="str">
        <f>IFERROR(__xludf.DUMMYFUNCTION("""COMPUTED_VALUE"""),"Neon Dice 5")</f>
        <v>Neon Dice 5</v>
      </c>
      <c r="B47" s="5" t="str">
        <f>IFERROR(__xludf.DUMMYFUNCTION("""COMPUTED_VALUE"""),"")</f>
        <v/>
      </c>
      <c r="C47" s="5" t="str">
        <f>IFERROR(__xludf.DUMMYFUNCTION("""COMPUTED_VALUE"""),"")</f>
        <v/>
      </c>
      <c r="D47" s="5" t="str">
        <f>IFERROR(__xludf.DUMMYFUNCTION("""COMPUTED_VALUE"""),"")</f>
        <v/>
      </c>
      <c r="E47" s="5" t="str">
        <f>IFERROR(__xludf.DUMMYFUNCTION("""COMPUTED_VALUE"""),"")</f>
        <v/>
      </c>
      <c r="F47" s="5" t="str">
        <f>IFERROR(__xludf.DUMMYFUNCTION("""COMPUTED_VALUE"""),"")</f>
        <v/>
      </c>
      <c r="G47" s="5" t="str">
        <f>IFERROR(__xludf.DUMMYFUNCTION("""COMPUTED_VALUE"""),"")</f>
        <v/>
      </c>
      <c r="H47" s="5" t="str">
        <f>IFERROR(__xludf.DUMMYFUNCTION("""COMPUTED_VALUE"""),"")</f>
        <v/>
      </c>
      <c r="I47" s="5" t="str">
        <f>IFERROR(__xludf.DUMMYFUNCTION("""COMPUTED_VALUE"""),"")</f>
        <v/>
      </c>
      <c r="J47" s="5" t="str">
        <f>IFERROR(__xludf.DUMMYFUNCTION("""COMPUTED_VALUE"""),"")</f>
        <v/>
      </c>
      <c r="K47" s="5" t="str">
        <f>IFERROR(__xludf.DUMMYFUNCTION("""COMPUTED_VALUE"""),"")</f>
        <v/>
      </c>
      <c r="L47" s="5" t="str">
        <f>IFERROR(__xludf.DUMMYFUNCTION("""COMPUTED_VALUE"""),"")</f>
        <v/>
      </c>
      <c r="M47" s="5" t="str">
        <f>IFERROR(__xludf.DUMMYFUNCTION("""COMPUTED_VALUE"""),"")</f>
        <v/>
      </c>
      <c r="N47" s="5" t="str">
        <f>IFERROR(__xludf.DUMMYFUNCTION("""COMPUTED_VALUE"""),"")</f>
        <v/>
      </c>
      <c r="O47" s="5" t="str">
        <f>IFERROR(__xludf.DUMMYFUNCTION("""COMPUTED_VALUE"""),"")</f>
        <v/>
      </c>
      <c r="P47" s="5" t="str">
        <f>IFERROR(__xludf.DUMMYFUNCTION("""COMPUTED_VALUE"""),"")</f>
        <v/>
      </c>
      <c r="Q47" s="5" t="str">
        <f>IFERROR(__xludf.DUMMYFUNCTION("""COMPUTED_VALUE"""),"")</f>
        <v/>
      </c>
      <c r="R47" s="5" t="str">
        <f>IFERROR(__xludf.DUMMYFUNCTION("""COMPUTED_VALUE"""),"")</f>
        <v/>
      </c>
      <c r="S47" s="5" t="str">
        <f>IFERROR(__xludf.DUMMYFUNCTION("""COMPUTED_VALUE"""),"")</f>
        <v/>
      </c>
      <c r="T47" s="5" t="str">
        <f>IFERROR(__xludf.DUMMYFUNCTION("""COMPUTED_VALUE"""),"")</f>
        <v/>
      </c>
      <c r="U47" s="5" t="str">
        <f>IFERROR(__xludf.DUMMYFUNCTION("""COMPUTED_VALUE"""),"")</f>
        <v/>
      </c>
      <c r="V47" s="5" t="str">
        <f>IFERROR(__xludf.DUMMYFUNCTION("""COMPUTED_VALUE"""),"")</f>
        <v/>
      </c>
      <c r="W47" s="5" t="str">
        <f>IFERROR(__xludf.DUMMYFUNCTION("""COMPUTED_VALUE"""),"")</f>
        <v/>
      </c>
      <c r="X47" s="5" t="str">
        <f>IFERROR(__xludf.DUMMYFUNCTION("""COMPUTED_VALUE"""),"")</f>
        <v/>
      </c>
      <c r="Y47" s="5"/>
      <c r="Z47" s="5"/>
    </row>
    <row r="48">
      <c r="A48" s="5" t="str">
        <f>IFERROR(__xludf.DUMMYFUNCTION("""COMPUTED_VALUE"""),"Turbo Dice 40")</f>
        <v>Turbo Dice 40</v>
      </c>
      <c r="B48" s="5" t="str">
        <f>IFERROR(__xludf.DUMMYFUNCTION("""COMPUTED_VALUE"""),"")</f>
        <v/>
      </c>
      <c r="C48" s="5" t="str">
        <f>IFERROR(__xludf.DUMMYFUNCTION("""COMPUTED_VALUE"""),"")</f>
        <v/>
      </c>
      <c r="D48" s="5" t="str">
        <f>IFERROR(__xludf.DUMMYFUNCTION("""COMPUTED_VALUE"""),"")</f>
        <v/>
      </c>
      <c r="E48" s="5" t="str">
        <f>IFERROR(__xludf.DUMMYFUNCTION("""COMPUTED_VALUE"""),"")</f>
        <v/>
      </c>
      <c r="F48" s="5" t="str">
        <f>IFERROR(__xludf.DUMMYFUNCTION("""COMPUTED_VALUE"""),"")</f>
        <v/>
      </c>
      <c r="G48" s="5" t="str">
        <f>IFERROR(__xludf.DUMMYFUNCTION("""COMPUTED_VALUE"""),"")</f>
        <v/>
      </c>
      <c r="H48" s="5" t="str">
        <f>IFERROR(__xludf.DUMMYFUNCTION("""COMPUTED_VALUE"""),"")</f>
        <v/>
      </c>
      <c r="I48" s="5" t="str">
        <f>IFERROR(__xludf.DUMMYFUNCTION("""COMPUTED_VALUE"""),"")</f>
        <v/>
      </c>
      <c r="J48" s="5" t="str">
        <f>IFERROR(__xludf.DUMMYFUNCTION("""COMPUTED_VALUE"""),"")</f>
        <v/>
      </c>
      <c r="K48" s="5" t="str">
        <f>IFERROR(__xludf.DUMMYFUNCTION("""COMPUTED_VALUE"""),"")</f>
        <v/>
      </c>
      <c r="L48" s="5" t="str">
        <f>IFERROR(__xludf.DUMMYFUNCTION("""COMPUTED_VALUE"""),"")</f>
        <v/>
      </c>
      <c r="M48" s="5" t="str">
        <f>IFERROR(__xludf.DUMMYFUNCTION("""COMPUTED_VALUE"""),"")</f>
        <v/>
      </c>
      <c r="N48" s="5" t="str">
        <f>IFERROR(__xludf.DUMMYFUNCTION("""COMPUTED_VALUE"""),"")</f>
        <v/>
      </c>
      <c r="O48" s="5" t="str">
        <f>IFERROR(__xludf.DUMMYFUNCTION("""COMPUTED_VALUE"""),"")</f>
        <v/>
      </c>
      <c r="P48" s="5" t="str">
        <f>IFERROR(__xludf.DUMMYFUNCTION("""COMPUTED_VALUE"""),"")</f>
        <v/>
      </c>
      <c r="Q48" s="5" t="str">
        <f>IFERROR(__xludf.DUMMYFUNCTION("""COMPUTED_VALUE"""),"")</f>
        <v/>
      </c>
      <c r="R48" s="5" t="str">
        <f>IFERROR(__xludf.DUMMYFUNCTION("""COMPUTED_VALUE"""),"")</f>
        <v/>
      </c>
      <c r="S48" s="5" t="str">
        <f>IFERROR(__xludf.DUMMYFUNCTION("""COMPUTED_VALUE"""),"")</f>
        <v/>
      </c>
      <c r="T48" s="5" t="str">
        <f>IFERROR(__xludf.DUMMYFUNCTION("""COMPUTED_VALUE"""),"")</f>
        <v/>
      </c>
      <c r="U48" s="5" t="str">
        <f>IFERROR(__xludf.DUMMYFUNCTION("""COMPUTED_VALUE"""),"")</f>
        <v/>
      </c>
      <c r="V48" s="5" t="str">
        <f>IFERROR(__xludf.DUMMYFUNCTION("""COMPUTED_VALUE"""),"")</f>
        <v/>
      </c>
      <c r="W48" s="5" t="str">
        <f>IFERROR(__xludf.DUMMYFUNCTION("""COMPUTED_VALUE"""),"")</f>
        <v/>
      </c>
      <c r="X48" s="5" t="str">
        <f>IFERROR(__xludf.DUMMYFUNCTION("""COMPUTED_VALUE"""),"")</f>
        <v/>
      </c>
      <c r="Y48" s="5"/>
      <c r="Z48" s="5"/>
    </row>
    <row r="49">
      <c r="A49" s="5" t="str">
        <f>IFERROR(__xludf.DUMMYFUNCTION("""COMPUTED_VALUE"""),"Triple Dice")</f>
        <v>Triple Dice</v>
      </c>
      <c r="B49" s="5" t="str">
        <f>IFERROR(__xludf.DUMMYFUNCTION("""COMPUTED_VALUE"""),"")</f>
        <v/>
      </c>
      <c r="C49" s="5" t="str">
        <f>IFERROR(__xludf.DUMMYFUNCTION("""COMPUTED_VALUE"""),"")</f>
        <v/>
      </c>
      <c r="D49" s="5" t="str">
        <f>IFERROR(__xludf.DUMMYFUNCTION("""COMPUTED_VALUE"""),"")</f>
        <v/>
      </c>
      <c r="E49" s="5" t="str">
        <f>IFERROR(__xludf.DUMMYFUNCTION("""COMPUTED_VALUE"""),"")</f>
        <v/>
      </c>
      <c r="F49" s="5" t="str">
        <f>IFERROR(__xludf.DUMMYFUNCTION("""COMPUTED_VALUE"""),"")</f>
        <v/>
      </c>
      <c r="G49" s="5" t="str">
        <f>IFERROR(__xludf.DUMMYFUNCTION("""COMPUTED_VALUE"""),"")</f>
        <v/>
      </c>
      <c r="H49" s="5" t="str">
        <f>IFERROR(__xludf.DUMMYFUNCTION("""COMPUTED_VALUE"""),"")</f>
        <v/>
      </c>
      <c r="I49" s="5" t="str">
        <f>IFERROR(__xludf.DUMMYFUNCTION("""COMPUTED_VALUE"""),"")</f>
        <v/>
      </c>
      <c r="J49" s="5" t="str">
        <f>IFERROR(__xludf.DUMMYFUNCTION("""COMPUTED_VALUE"""),"")</f>
        <v/>
      </c>
      <c r="K49" s="5" t="str">
        <f>IFERROR(__xludf.DUMMYFUNCTION("""COMPUTED_VALUE"""),"")</f>
        <v/>
      </c>
      <c r="L49" s="5" t="str">
        <f>IFERROR(__xludf.DUMMYFUNCTION("""COMPUTED_VALUE"""),"")</f>
        <v/>
      </c>
      <c r="M49" s="5" t="str">
        <f>IFERROR(__xludf.DUMMYFUNCTION("""COMPUTED_VALUE"""),"")</f>
        <v/>
      </c>
      <c r="N49" s="5" t="str">
        <f>IFERROR(__xludf.DUMMYFUNCTION("""COMPUTED_VALUE"""),"")</f>
        <v/>
      </c>
      <c r="O49" s="5" t="str">
        <f>IFERROR(__xludf.DUMMYFUNCTION("""COMPUTED_VALUE"""),"")</f>
        <v/>
      </c>
      <c r="P49" s="5" t="str">
        <f>IFERROR(__xludf.DUMMYFUNCTION("""COMPUTED_VALUE"""),"")</f>
        <v/>
      </c>
      <c r="Q49" s="5" t="str">
        <f>IFERROR(__xludf.DUMMYFUNCTION("""COMPUTED_VALUE"""),"")</f>
        <v/>
      </c>
      <c r="R49" s="5" t="str">
        <f>IFERROR(__xludf.DUMMYFUNCTION("""COMPUTED_VALUE"""),"")</f>
        <v/>
      </c>
      <c r="S49" s="5" t="str">
        <f>IFERROR(__xludf.DUMMYFUNCTION("""COMPUTED_VALUE"""),"")</f>
        <v/>
      </c>
      <c r="T49" s="5" t="str">
        <f>IFERROR(__xludf.DUMMYFUNCTION("""COMPUTED_VALUE"""),"")</f>
        <v/>
      </c>
      <c r="U49" s="5" t="str">
        <f>IFERROR(__xludf.DUMMYFUNCTION("""COMPUTED_VALUE"""),"")</f>
        <v/>
      </c>
      <c r="V49" s="5" t="str">
        <f>IFERROR(__xludf.DUMMYFUNCTION("""COMPUTED_VALUE"""),"")</f>
        <v/>
      </c>
      <c r="W49" s="5" t="str">
        <f>IFERROR(__xludf.DUMMYFUNCTION("""COMPUTED_VALUE"""),"")</f>
        <v/>
      </c>
      <c r="X49" s="5" t="str">
        <f>IFERROR(__xludf.DUMMYFUNCTION("""COMPUTED_VALUE"""),"")</f>
        <v/>
      </c>
      <c r="Y49" s="5"/>
      <c r="Z49" s="5"/>
    </row>
    <row r="50">
      <c r="A50" s="5" t="str">
        <f>IFERROR(__xludf.DUMMYFUNCTION("""COMPUTED_VALUE"""),"Flashing Dice")</f>
        <v>Flashing Dice</v>
      </c>
      <c r="B50" s="5" t="str">
        <f>IFERROR(__xludf.DUMMYFUNCTION("""COMPUTED_VALUE"""),"")</f>
        <v/>
      </c>
      <c r="C50" s="5" t="str">
        <f>IFERROR(__xludf.DUMMYFUNCTION("""COMPUTED_VALUE"""),"")</f>
        <v/>
      </c>
      <c r="D50" s="5" t="str">
        <f>IFERROR(__xludf.DUMMYFUNCTION("""COMPUTED_VALUE"""),"")</f>
        <v/>
      </c>
      <c r="E50" s="5" t="str">
        <f>IFERROR(__xludf.DUMMYFUNCTION("""COMPUTED_VALUE"""),"")</f>
        <v/>
      </c>
      <c r="F50" s="5" t="str">
        <f>IFERROR(__xludf.DUMMYFUNCTION("""COMPUTED_VALUE"""),"")</f>
        <v/>
      </c>
      <c r="G50" s="5" t="str">
        <f>IFERROR(__xludf.DUMMYFUNCTION("""COMPUTED_VALUE"""),"")</f>
        <v/>
      </c>
      <c r="H50" s="5" t="str">
        <f>IFERROR(__xludf.DUMMYFUNCTION("""COMPUTED_VALUE"""),"")</f>
        <v/>
      </c>
      <c r="I50" s="5" t="str">
        <f>IFERROR(__xludf.DUMMYFUNCTION("""COMPUTED_VALUE"""),"")</f>
        <v/>
      </c>
      <c r="J50" s="5" t="str">
        <f>IFERROR(__xludf.DUMMYFUNCTION("""COMPUTED_VALUE"""),"")</f>
        <v/>
      </c>
      <c r="K50" s="5" t="str">
        <f>IFERROR(__xludf.DUMMYFUNCTION("""COMPUTED_VALUE"""),"")</f>
        <v/>
      </c>
      <c r="L50" s="5" t="str">
        <f>IFERROR(__xludf.DUMMYFUNCTION("""COMPUTED_VALUE"""),"")</f>
        <v/>
      </c>
      <c r="M50" s="5" t="str">
        <f>IFERROR(__xludf.DUMMYFUNCTION("""COMPUTED_VALUE"""),"")</f>
        <v/>
      </c>
      <c r="N50" s="5" t="str">
        <f>IFERROR(__xludf.DUMMYFUNCTION("""COMPUTED_VALUE"""),"")</f>
        <v/>
      </c>
      <c r="O50" s="5" t="str">
        <f>IFERROR(__xludf.DUMMYFUNCTION("""COMPUTED_VALUE"""),"")</f>
        <v/>
      </c>
      <c r="P50" s="5" t="str">
        <f>IFERROR(__xludf.DUMMYFUNCTION("""COMPUTED_VALUE"""),"")</f>
        <v/>
      </c>
      <c r="Q50" s="5" t="str">
        <f>IFERROR(__xludf.DUMMYFUNCTION("""COMPUTED_VALUE"""),"")</f>
        <v/>
      </c>
      <c r="R50" s="5" t="str">
        <f>IFERROR(__xludf.DUMMYFUNCTION("""COMPUTED_VALUE"""),"")</f>
        <v/>
      </c>
      <c r="S50" s="5" t="str">
        <f>IFERROR(__xludf.DUMMYFUNCTION("""COMPUTED_VALUE"""),"")</f>
        <v/>
      </c>
      <c r="T50" s="5" t="str">
        <f>IFERROR(__xludf.DUMMYFUNCTION("""COMPUTED_VALUE"""),"")</f>
        <v/>
      </c>
      <c r="U50" s="5" t="str">
        <f>IFERROR(__xludf.DUMMYFUNCTION("""COMPUTED_VALUE"""),"")</f>
        <v/>
      </c>
      <c r="V50" s="5" t="str">
        <f>IFERROR(__xludf.DUMMYFUNCTION("""COMPUTED_VALUE"""),"")</f>
        <v/>
      </c>
      <c r="W50" s="5" t="str">
        <f>IFERROR(__xludf.DUMMYFUNCTION("""COMPUTED_VALUE"""),"")</f>
        <v/>
      </c>
      <c r="X50" s="5" t="str">
        <f>IFERROR(__xludf.DUMMYFUNCTION("""COMPUTED_VALUE"""),"")</f>
        <v/>
      </c>
      <c r="Y50" s="5"/>
      <c r="Z50" s="5"/>
    </row>
    <row r="51">
      <c r="A51" s="5" t="str">
        <f>IFERROR(__xludf.DUMMYFUNCTION("""COMPUTED_VALUE"""),"Spin Cards")</f>
        <v>Spin Cards</v>
      </c>
      <c r="B51" s="5" t="str">
        <f>IFERROR(__xludf.DUMMYFUNCTION("""COMPUTED_VALUE"""),"")</f>
        <v/>
      </c>
      <c r="C51" s="5" t="str">
        <f>IFERROR(__xludf.DUMMYFUNCTION("""COMPUTED_VALUE"""),"")</f>
        <v/>
      </c>
      <c r="D51" s="5" t="str">
        <f>IFERROR(__xludf.DUMMYFUNCTION("""COMPUTED_VALUE"""),"")</f>
        <v/>
      </c>
      <c r="E51" s="5" t="str">
        <f>IFERROR(__xludf.DUMMYFUNCTION("""COMPUTED_VALUE"""),"")</f>
        <v/>
      </c>
      <c r="F51" s="5" t="str">
        <f>IFERROR(__xludf.DUMMYFUNCTION("""COMPUTED_VALUE"""),"")</f>
        <v/>
      </c>
      <c r="G51" s="5" t="str">
        <f>IFERROR(__xludf.DUMMYFUNCTION("""COMPUTED_VALUE"""),"")</f>
        <v/>
      </c>
      <c r="H51" s="5" t="str">
        <f>IFERROR(__xludf.DUMMYFUNCTION("""COMPUTED_VALUE"""),"")</f>
        <v/>
      </c>
      <c r="I51" s="5" t="str">
        <f>IFERROR(__xludf.DUMMYFUNCTION("""COMPUTED_VALUE"""),"")</f>
        <v/>
      </c>
      <c r="J51" s="5" t="str">
        <f>IFERROR(__xludf.DUMMYFUNCTION("""COMPUTED_VALUE"""),"")</f>
        <v/>
      </c>
      <c r="K51" s="5" t="str">
        <f>IFERROR(__xludf.DUMMYFUNCTION("""COMPUTED_VALUE"""),"")</f>
        <v/>
      </c>
      <c r="L51" s="5" t="str">
        <f>IFERROR(__xludf.DUMMYFUNCTION("""COMPUTED_VALUE"""),"")</f>
        <v/>
      </c>
      <c r="M51" s="5" t="str">
        <f>IFERROR(__xludf.DUMMYFUNCTION("""COMPUTED_VALUE"""),"")</f>
        <v/>
      </c>
      <c r="N51" s="5" t="str">
        <f>IFERROR(__xludf.DUMMYFUNCTION("""COMPUTED_VALUE"""),"")</f>
        <v/>
      </c>
      <c r="O51" s="5" t="str">
        <f>IFERROR(__xludf.DUMMYFUNCTION("""COMPUTED_VALUE"""),"")</f>
        <v/>
      </c>
      <c r="P51" s="5" t="str">
        <f>IFERROR(__xludf.DUMMYFUNCTION("""COMPUTED_VALUE"""),"")</f>
        <v/>
      </c>
      <c r="Q51" s="5" t="str">
        <f>IFERROR(__xludf.DUMMYFUNCTION("""COMPUTED_VALUE"""),"")</f>
        <v/>
      </c>
      <c r="R51" s="5" t="str">
        <f>IFERROR(__xludf.DUMMYFUNCTION("""COMPUTED_VALUE"""),"")</f>
        <v/>
      </c>
      <c r="S51" s="5" t="str">
        <f>IFERROR(__xludf.DUMMYFUNCTION("""COMPUTED_VALUE"""),"")</f>
        <v/>
      </c>
      <c r="T51" s="5" t="str">
        <f>IFERROR(__xludf.DUMMYFUNCTION("""COMPUTED_VALUE"""),"")</f>
        <v/>
      </c>
      <c r="U51" s="5" t="str">
        <f>IFERROR(__xludf.DUMMYFUNCTION("""COMPUTED_VALUE"""),"")</f>
        <v/>
      </c>
      <c r="V51" s="5" t="str">
        <f>IFERROR(__xludf.DUMMYFUNCTION("""COMPUTED_VALUE"""),"")</f>
        <v/>
      </c>
      <c r="W51" s="5" t="str">
        <f>IFERROR(__xludf.DUMMYFUNCTION("""COMPUTED_VALUE"""),"")</f>
        <v/>
      </c>
      <c r="X51" s="5" t="str">
        <f>IFERROR(__xludf.DUMMYFUNCTION("""COMPUTED_VALUE"""),"")</f>
        <v/>
      </c>
      <c r="Y51" s="5"/>
      <c r="Z51" s="5"/>
    </row>
    <row r="52">
      <c r="A52" s="5" t="str">
        <f>IFERROR(__xludf.DUMMYFUNCTION("""COMPUTED_VALUE"""),"Lucky Twister")</f>
        <v>Lucky Twister</v>
      </c>
      <c r="B52" s="5" t="str">
        <f>IFERROR(__xludf.DUMMYFUNCTION("""COMPUTED_VALUE"""),"")</f>
        <v/>
      </c>
      <c r="C52" s="5" t="str">
        <f>IFERROR(__xludf.DUMMYFUNCTION("""COMPUTED_VALUE"""),"")</f>
        <v/>
      </c>
      <c r="D52" s="5" t="str">
        <f>IFERROR(__xludf.DUMMYFUNCTION("""COMPUTED_VALUE"""),"")</f>
        <v/>
      </c>
      <c r="E52" s="5" t="str">
        <f>IFERROR(__xludf.DUMMYFUNCTION("""COMPUTED_VALUE"""),"")</f>
        <v/>
      </c>
      <c r="F52" s="5" t="str">
        <f>IFERROR(__xludf.DUMMYFUNCTION("""COMPUTED_VALUE"""),"")</f>
        <v/>
      </c>
      <c r="G52" s="5" t="str">
        <f>IFERROR(__xludf.DUMMYFUNCTION("""COMPUTED_VALUE"""),"")</f>
        <v/>
      </c>
      <c r="H52" s="5" t="str">
        <f>IFERROR(__xludf.DUMMYFUNCTION("""COMPUTED_VALUE"""),"")</f>
        <v/>
      </c>
      <c r="I52" s="5" t="str">
        <f>IFERROR(__xludf.DUMMYFUNCTION("""COMPUTED_VALUE"""),"Retired")</f>
        <v>Retired</v>
      </c>
      <c r="J52" s="5" t="str">
        <f>IFERROR(__xludf.DUMMYFUNCTION("""COMPUTED_VALUE"""),"")</f>
        <v/>
      </c>
      <c r="K52" s="5" t="str">
        <f>IFERROR(__xludf.DUMMYFUNCTION("""COMPUTED_VALUE"""),"")</f>
        <v/>
      </c>
      <c r="L52" s="5" t="str">
        <f>IFERROR(__xludf.DUMMYFUNCTION("""COMPUTED_VALUE"""),"")</f>
        <v/>
      </c>
      <c r="M52" s="5" t="str">
        <f>IFERROR(__xludf.DUMMYFUNCTION("""COMPUTED_VALUE"""),"")</f>
        <v/>
      </c>
      <c r="N52" s="5" t="str">
        <f>IFERROR(__xludf.DUMMYFUNCTION("""COMPUTED_VALUE"""),"")</f>
        <v/>
      </c>
      <c r="O52" s="5" t="str">
        <f>IFERROR(__xludf.DUMMYFUNCTION("""COMPUTED_VALUE"""),"")</f>
        <v/>
      </c>
      <c r="P52" s="5" t="str">
        <f>IFERROR(__xludf.DUMMYFUNCTION("""COMPUTED_VALUE"""),"")</f>
        <v/>
      </c>
      <c r="Q52" s="5" t="str">
        <f>IFERROR(__xludf.DUMMYFUNCTION("""COMPUTED_VALUE"""),"Retired")</f>
        <v>Retired</v>
      </c>
      <c r="R52" s="5" t="str">
        <f>IFERROR(__xludf.DUMMYFUNCTION("""COMPUTED_VALUE"""),"")</f>
        <v/>
      </c>
      <c r="S52" s="5" t="str">
        <f>IFERROR(__xludf.DUMMYFUNCTION("""COMPUTED_VALUE"""),"")</f>
        <v/>
      </c>
      <c r="T52" s="5" t="str">
        <f>IFERROR(__xludf.DUMMYFUNCTION("""COMPUTED_VALUE"""),"")</f>
        <v/>
      </c>
      <c r="U52" s="5" t="str">
        <f>IFERROR(__xludf.DUMMYFUNCTION("""COMPUTED_VALUE"""),"")</f>
        <v/>
      </c>
      <c r="V52" s="5" t="str">
        <f>IFERROR(__xludf.DUMMYFUNCTION("""COMPUTED_VALUE"""),"")</f>
        <v/>
      </c>
      <c r="W52" s="5" t="str">
        <f>IFERROR(__xludf.DUMMYFUNCTION("""COMPUTED_VALUE"""),"")</f>
        <v/>
      </c>
      <c r="X52" s="5" t="str">
        <f>IFERROR(__xludf.DUMMYFUNCTION("""COMPUTED_VALUE"""),"")</f>
        <v/>
      </c>
      <c r="Y52" s="5"/>
      <c r="Z52" s="5"/>
    </row>
    <row r="53">
      <c r="A53" s="5" t="str">
        <f>IFERROR(__xludf.DUMMYFUNCTION("""COMPUTED_VALUE"""),"Katanas Of Time")</f>
        <v>Katanas Of Time</v>
      </c>
      <c r="B53" s="5" t="str">
        <f>IFERROR(__xludf.DUMMYFUNCTION("""COMPUTED_VALUE"""),"")</f>
        <v/>
      </c>
      <c r="C53" s="5" t="str">
        <f>IFERROR(__xludf.DUMMYFUNCTION("""COMPUTED_VALUE"""),"")</f>
        <v/>
      </c>
      <c r="D53" s="5" t="str">
        <f>IFERROR(__xludf.DUMMYFUNCTION("""COMPUTED_VALUE"""),"")</f>
        <v/>
      </c>
      <c r="E53" s="5" t="str">
        <f>IFERROR(__xludf.DUMMYFUNCTION("""COMPUTED_VALUE"""),"")</f>
        <v/>
      </c>
      <c r="F53" s="5" t="str">
        <f>IFERROR(__xludf.DUMMYFUNCTION("""COMPUTED_VALUE"""),"")</f>
        <v/>
      </c>
      <c r="G53" s="5" t="str">
        <f>IFERROR(__xludf.DUMMYFUNCTION("""COMPUTED_VALUE"""),"")</f>
        <v/>
      </c>
      <c r="H53" s="5" t="str">
        <f>IFERROR(__xludf.DUMMYFUNCTION("""COMPUTED_VALUE"""),"")</f>
        <v/>
      </c>
      <c r="I53" s="5" t="str">
        <f>IFERROR(__xludf.DUMMYFUNCTION("""COMPUTED_VALUE"""),"")</f>
        <v/>
      </c>
      <c r="J53" s="5" t="str">
        <f>IFERROR(__xludf.DUMMYFUNCTION("""COMPUTED_VALUE"""),"")</f>
        <v/>
      </c>
      <c r="K53" s="5" t="str">
        <f>IFERROR(__xludf.DUMMYFUNCTION("""COMPUTED_VALUE"""),"")</f>
        <v/>
      </c>
      <c r="L53" s="5" t="str">
        <f>IFERROR(__xludf.DUMMYFUNCTION("""COMPUTED_VALUE"""),"")</f>
        <v/>
      </c>
      <c r="M53" s="5" t="str">
        <f>IFERROR(__xludf.DUMMYFUNCTION("""COMPUTED_VALUE"""),"")</f>
        <v/>
      </c>
      <c r="N53" s="5" t="str">
        <f>IFERROR(__xludf.DUMMYFUNCTION("""COMPUTED_VALUE"""),"")</f>
        <v/>
      </c>
      <c r="O53" s="5" t="str">
        <f>IFERROR(__xludf.DUMMYFUNCTION("""COMPUTED_VALUE"""),"")</f>
        <v/>
      </c>
      <c r="P53" s="5" t="str">
        <f>IFERROR(__xludf.DUMMYFUNCTION("""COMPUTED_VALUE"""),"")</f>
        <v/>
      </c>
      <c r="Q53" s="5" t="str">
        <f>IFERROR(__xludf.DUMMYFUNCTION("""COMPUTED_VALUE"""),"")</f>
        <v/>
      </c>
      <c r="R53" s="5" t="str">
        <f>IFERROR(__xludf.DUMMYFUNCTION("""COMPUTED_VALUE"""),"")</f>
        <v/>
      </c>
      <c r="S53" s="5" t="str">
        <f>IFERROR(__xludf.DUMMYFUNCTION("""COMPUTED_VALUE"""),"")</f>
        <v/>
      </c>
      <c r="T53" s="5" t="str">
        <f>IFERROR(__xludf.DUMMYFUNCTION("""COMPUTED_VALUE"""),"")</f>
        <v/>
      </c>
      <c r="U53" s="5" t="str">
        <f>IFERROR(__xludf.DUMMYFUNCTION("""COMPUTED_VALUE"""),"")</f>
        <v/>
      </c>
      <c r="V53" s="5" t="str">
        <f>IFERROR(__xludf.DUMMYFUNCTION("""COMPUTED_VALUE"""),"")</f>
        <v/>
      </c>
      <c r="W53" s="5" t="str">
        <f>IFERROR(__xludf.DUMMYFUNCTION("""COMPUTED_VALUE"""),"")</f>
        <v/>
      </c>
      <c r="X53" s="5" t="str">
        <f>IFERROR(__xludf.DUMMYFUNCTION("""COMPUTED_VALUE"""),"")</f>
        <v/>
      </c>
      <c r="Y53" s="5"/>
      <c r="Z53" s="5"/>
    </row>
    <row r="54">
      <c r="A54" s="5" t="str">
        <f>IFERROR(__xludf.DUMMYFUNCTION("""COMPUTED_VALUE"""),"Retro 7 Hot")</f>
        <v>Retro 7 Hot</v>
      </c>
      <c r="B54" s="5" t="str">
        <f>IFERROR(__xludf.DUMMYFUNCTION("""COMPUTED_VALUE"""),"Available")</f>
        <v>Available</v>
      </c>
      <c r="C54" s="5" t="str">
        <f>IFERROR(__xludf.DUMMYFUNCTION("""COMPUTED_VALUE"""),"Available")</f>
        <v>Available</v>
      </c>
      <c r="D54" s="5" t="str">
        <f>IFERROR(__xludf.DUMMYFUNCTION("""COMPUTED_VALUE"""),"Available")</f>
        <v>Available</v>
      </c>
      <c r="E54" s="5" t="str">
        <f>IFERROR(__xludf.DUMMYFUNCTION("""COMPUTED_VALUE"""),"")</f>
        <v/>
      </c>
      <c r="F54" s="5" t="str">
        <f>IFERROR(__xludf.DUMMYFUNCTION("""COMPUTED_VALUE"""),"Available")</f>
        <v>Available</v>
      </c>
      <c r="G54" s="5" t="str">
        <f>IFERROR(__xludf.DUMMYFUNCTION("""COMPUTED_VALUE"""),"Available")</f>
        <v>Available</v>
      </c>
      <c r="H54" s="5" t="str">
        <f>IFERROR(__xludf.DUMMYFUNCTION("""COMPUTED_VALUE"""),"Available")</f>
        <v>Available</v>
      </c>
      <c r="I54" s="5" t="str">
        <f>IFERROR(__xludf.DUMMYFUNCTION("""COMPUTED_VALUE"""),"Available")</f>
        <v>Available</v>
      </c>
      <c r="J54" s="5" t="str">
        <f>IFERROR(__xludf.DUMMYFUNCTION("""COMPUTED_VALUE"""),"")</f>
        <v/>
      </c>
      <c r="K54" s="5" t="str">
        <f>IFERROR(__xludf.DUMMYFUNCTION("""COMPUTED_VALUE"""),"Available")</f>
        <v>Available</v>
      </c>
      <c r="L54" s="5" t="str">
        <f>IFERROR(__xludf.DUMMYFUNCTION("""COMPUTED_VALUE"""),"")</f>
        <v/>
      </c>
      <c r="M54" s="5" t="str">
        <f>IFERROR(__xludf.DUMMYFUNCTION("""COMPUTED_VALUE"""),"Development")</f>
        <v>Development</v>
      </c>
      <c r="N54" s="5" t="str">
        <f>IFERROR(__xludf.DUMMYFUNCTION("""COMPUTED_VALUE"""),"")</f>
        <v/>
      </c>
      <c r="O54" s="5" t="str">
        <f>IFERROR(__xludf.DUMMYFUNCTION("""COMPUTED_VALUE"""),"")</f>
        <v/>
      </c>
      <c r="P54" s="5" t="str">
        <f>IFERROR(__xludf.DUMMYFUNCTION("""COMPUTED_VALUE"""),"Development")</f>
        <v>Development</v>
      </c>
      <c r="Q54" s="5" t="str">
        <f>IFERROR(__xludf.DUMMYFUNCTION("""COMPUTED_VALUE"""),"Available")</f>
        <v>Available</v>
      </c>
      <c r="R54" s="5" t="str">
        <f>IFERROR(__xludf.DUMMYFUNCTION("""COMPUTED_VALUE"""),"")</f>
        <v/>
      </c>
      <c r="S54" s="5" t="str">
        <f>IFERROR(__xludf.DUMMYFUNCTION("""COMPUTED_VALUE"""),"")</f>
        <v/>
      </c>
      <c r="T54" s="5" t="str">
        <f>IFERROR(__xludf.DUMMYFUNCTION("""COMPUTED_VALUE"""),"")</f>
        <v/>
      </c>
      <c r="U54" s="5" t="str">
        <f>IFERROR(__xludf.DUMMYFUNCTION("""COMPUTED_VALUE"""),"")</f>
        <v/>
      </c>
      <c r="V54" s="5" t="str">
        <f>IFERROR(__xludf.DUMMYFUNCTION("""COMPUTED_VALUE"""),"")</f>
        <v/>
      </c>
      <c r="W54" s="5" t="str">
        <f>IFERROR(__xludf.DUMMYFUNCTION("""COMPUTED_VALUE"""),"")</f>
        <v/>
      </c>
      <c r="X54" s="5" t="str">
        <f>IFERROR(__xludf.DUMMYFUNCTION("""COMPUTED_VALUE"""),"")</f>
        <v/>
      </c>
      <c r="Y54" s="5"/>
      <c r="Z54" s="5"/>
    </row>
    <row r="55">
      <c r="A55" s="5" t="str">
        <f>IFERROR(__xludf.DUMMYFUNCTION("""COMPUTED_VALUE"""),"VIP Roulette")</f>
        <v>VIP Roulette</v>
      </c>
      <c r="B55" s="5" t="str">
        <f>IFERROR(__xludf.DUMMYFUNCTION("""COMPUTED_VALUE"""),"")</f>
        <v/>
      </c>
      <c r="C55" s="5" t="str">
        <f>IFERROR(__xludf.DUMMYFUNCTION("""COMPUTED_VALUE"""),"Retired")</f>
        <v>Retired</v>
      </c>
      <c r="D55" s="5" t="str">
        <f>IFERROR(__xludf.DUMMYFUNCTION("""COMPUTED_VALUE"""),"")</f>
        <v/>
      </c>
      <c r="E55" s="5" t="str">
        <f>IFERROR(__xludf.DUMMYFUNCTION("""COMPUTED_VALUE"""),"")</f>
        <v/>
      </c>
      <c r="F55" s="5" t="str">
        <f>IFERROR(__xludf.DUMMYFUNCTION("""COMPUTED_VALUE"""),"")</f>
        <v/>
      </c>
      <c r="G55" s="5" t="str">
        <f>IFERROR(__xludf.DUMMYFUNCTION("""COMPUTED_VALUE"""),"")</f>
        <v/>
      </c>
      <c r="H55" s="5" t="str">
        <f>IFERROR(__xludf.DUMMYFUNCTION("""COMPUTED_VALUE"""),"")</f>
        <v/>
      </c>
      <c r="I55" s="5" t="str">
        <f>IFERROR(__xludf.DUMMYFUNCTION("""COMPUTED_VALUE"""),"")</f>
        <v/>
      </c>
      <c r="J55" s="5" t="str">
        <f>IFERROR(__xludf.DUMMYFUNCTION("""COMPUTED_VALUE"""),"")</f>
        <v/>
      </c>
      <c r="K55" s="5" t="str">
        <f>IFERROR(__xludf.DUMMYFUNCTION("""COMPUTED_VALUE"""),"")</f>
        <v/>
      </c>
      <c r="L55" s="5" t="str">
        <f>IFERROR(__xludf.DUMMYFUNCTION("""COMPUTED_VALUE"""),"")</f>
        <v/>
      </c>
      <c r="M55" s="5" t="str">
        <f>IFERROR(__xludf.DUMMYFUNCTION("""COMPUTED_VALUE"""),"")</f>
        <v/>
      </c>
      <c r="N55" s="5" t="str">
        <f>IFERROR(__xludf.DUMMYFUNCTION("""COMPUTED_VALUE"""),"")</f>
        <v/>
      </c>
      <c r="O55" s="5" t="str">
        <f>IFERROR(__xludf.DUMMYFUNCTION("""COMPUTED_VALUE"""),"")</f>
        <v/>
      </c>
      <c r="P55" s="5" t="str">
        <f>IFERROR(__xludf.DUMMYFUNCTION("""COMPUTED_VALUE"""),"")</f>
        <v/>
      </c>
      <c r="Q55" s="5" t="str">
        <f>IFERROR(__xludf.DUMMYFUNCTION("""COMPUTED_VALUE"""),"")</f>
        <v/>
      </c>
      <c r="R55" s="5" t="str">
        <f>IFERROR(__xludf.DUMMYFUNCTION("""COMPUTED_VALUE"""),"")</f>
        <v/>
      </c>
      <c r="S55" s="5" t="str">
        <f>IFERROR(__xludf.DUMMYFUNCTION("""COMPUTED_VALUE"""),"")</f>
        <v/>
      </c>
      <c r="T55" s="5" t="str">
        <f>IFERROR(__xludf.DUMMYFUNCTION("""COMPUTED_VALUE"""),"")</f>
        <v/>
      </c>
      <c r="U55" s="5" t="str">
        <f>IFERROR(__xludf.DUMMYFUNCTION("""COMPUTED_VALUE"""),"")</f>
        <v/>
      </c>
      <c r="V55" s="5" t="str">
        <f>IFERROR(__xludf.DUMMYFUNCTION("""COMPUTED_VALUE"""),"")</f>
        <v/>
      </c>
      <c r="W55" s="5" t="str">
        <f>IFERROR(__xludf.DUMMYFUNCTION("""COMPUTED_VALUE"""),"")</f>
        <v/>
      </c>
      <c r="X55" s="5" t="str">
        <f>IFERROR(__xludf.DUMMYFUNCTION("""COMPUTED_VALUE"""),"")</f>
        <v/>
      </c>
      <c r="Y55" s="5"/>
      <c r="Z55" s="5"/>
    </row>
    <row r="56">
      <c r="A56" s="5" t="str">
        <f>IFERROR(__xludf.DUMMYFUNCTION("""COMPUTED_VALUE"""),"Star Runner")</f>
        <v>Star Runner</v>
      </c>
      <c r="B56" s="5" t="str">
        <f>IFERROR(__xludf.DUMMYFUNCTION("""COMPUTED_VALUE"""),"")</f>
        <v/>
      </c>
      <c r="C56" s="5" t="str">
        <f>IFERROR(__xludf.DUMMYFUNCTION("""COMPUTED_VALUE"""),"")</f>
        <v/>
      </c>
      <c r="D56" s="5" t="str">
        <f>IFERROR(__xludf.DUMMYFUNCTION("""COMPUTED_VALUE"""),"")</f>
        <v/>
      </c>
      <c r="E56" s="5" t="str">
        <f>IFERROR(__xludf.DUMMYFUNCTION("""COMPUTED_VALUE"""),"")</f>
        <v/>
      </c>
      <c r="F56" s="5" t="str">
        <f>IFERROR(__xludf.DUMMYFUNCTION("""COMPUTED_VALUE"""),"")</f>
        <v/>
      </c>
      <c r="G56" s="5" t="str">
        <f>IFERROR(__xludf.DUMMYFUNCTION("""COMPUTED_VALUE"""),"")</f>
        <v/>
      </c>
      <c r="H56" s="5" t="str">
        <f>IFERROR(__xludf.DUMMYFUNCTION("""COMPUTED_VALUE"""),"")</f>
        <v/>
      </c>
      <c r="I56" s="5" t="str">
        <f>IFERROR(__xludf.DUMMYFUNCTION("""COMPUTED_VALUE"""),"")</f>
        <v/>
      </c>
      <c r="J56" s="5" t="str">
        <f>IFERROR(__xludf.DUMMYFUNCTION("""COMPUTED_VALUE"""),"")</f>
        <v/>
      </c>
      <c r="K56" s="5" t="str">
        <f>IFERROR(__xludf.DUMMYFUNCTION("""COMPUTED_VALUE"""),"")</f>
        <v/>
      </c>
      <c r="L56" s="5" t="str">
        <f>IFERROR(__xludf.DUMMYFUNCTION("""COMPUTED_VALUE"""),"")</f>
        <v/>
      </c>
      <c r="M56" s="5" t="str">
        <f>IFERROR(__xludf.DUMMYFUNCTION("""COMPUTED_VALUE"""),"")</f>
        <v/>
      </c>
      <c r="N56" s="5" t="str">
        <f>IFERROR(__xludf.DUMMYFUNCTION("""COMPUTED_VALUE"""),"")</f>
        <v/>
      </c>
      <c r="O56" s="5" t="str">
        <f>IFERROR(__xludf.DUMMYFUNCTION("""COMPUTED_VALUE"""),"")</f>
        <v/>
      </c>
      <c r="P56" s="5" t="str">
        <f>IFERROR(__xludf.DUMMYFUNCTION("""COMPUTED_VALUE"""),"Development")</f>
        <v>Development</v>
      </c>
      <c r="Q56" s="5" t="str">
        <f>IFERROR(__xludf.DUMMYFUNCTION("""COMPUTED_VALUE"""),"")</f>
        <v/>
      </c>
      <c r="R56" s="5" t="str">
        <f>IFERROR(__xludf.DUMMYFUNCTION("""COMPUTED_VALUE"""),"")</f>
        <v/>
      </c>
      <c r="S56" s="5" t="str">
        <f>IFERROR(__xludf.DUMMYFUNCTION("""COMPUTED_VALUE"""),"")</f>
        <v/>
      </c>
      <c r="T56" s="5" t="str">
        <f>IFERROR(__xludf.DUMMYFUNCTION("""COMPUTED_VALUE"""),"")</f>
        <v/>
      </c>
      <c r="U56" s="5" t="str">
        <f>IFERROR(__xludf.DUMMYFUNCTION("""COMPUTED_VALUE"""),"")</f>
        <v/>
      </c>
      <c r="V56" s="5" t="str">
        <f>IFERROR(__xludf.DUMMYFUNCTION("""COMPUTED_VALUE"""),"")</f>
        <v/>
      </c>
      <c r="W56" s="5" t="str">
        <f>IFERROR(__xludf.DUMMYFUNCTION("""COMPUTED_VALUE"""),"")</f>
        <v/>
      </c>
      <c r="X56" s="5" t="str">
        <f>IFERROR(__xludf.DUMMYFUNCTION("""COMPUTED_VALUE"""),"")</f>
        <v/>
      </c>
      <c r="Y56" s="5"/>
      <c r="Z56" s="5"/>
    </row>
    <row r="57">
      <c r="A57" s="5" t="str">
        <f>IFERROR(__xludf.DUMMYFUNCTION("""COMPUTED_VALUE"""),"Aloha Charm")</f>
        <v>Aloha Charm</v>
      </c>
      <c r="B57" s="5" t="str">
        <f>IFERROR(__xludf.DUMMYFUNCTION("""COMPUTED_VALUE"""),"")</f>
        <v/>
      </c>
      <c r="C57" s="5" t="str">
        <f>IFERROR(__xludf.DUMMYFUNCTION("""COMPUTED_VALUE"""),"")</f>
        <v/>
      </c>
      <c r="D57" s="5" t="str">
        <f>IFERROR(__xludf.DUMMYFUNCTION("""COMPUTED_VALUE"""),"")</f>
        <v/>
      </c>
      <c r="E57" s="5" t="str">
        <f>IFERROR(__xludf.DUMMYFUNCTION("""COMPUTED_VALUE"""),"")</f>
        <v/>
      </c>
      <c r="F57" s="5" t="str">
        <f>IFERROR(__xludf.DUMMYFUNCTION("""COMPUTED_VALUE"""),"Available")</f>
        <v>Available</v>
      </c>
      <c r="G57" s="5" t="str">
        <f>IFERROR(__xludf.DUMMYFUNCTION("""COMPUTED_VALUE"""),"Available")</f>
        <v>Available</v>
      </c>
      <c r="H57" s="5" t="str">
        <f>IFERROR(__xludf.DUMMYFUNCTION("""COMPUTED_VALUE"""),"Available")</f>
        <v>Available</v>
      </c>
      <c r="I57" s="5" t="str">
        <f>IFERROR(__xludf.DUMMYFUNCTION("""COMPUTED_VALUE"""),"")</f>
        <v/>
      </c>
      <c r="J57" s="5" t="str">
        <f>IFERROR(__xludf.DUMMYFUNCTION("""COMPUTED_VALUE"""),"Available")</f>
        <v>Available</v>
      </c>
      <c r="K57" s="5" t="str">
        <f>IFERROR(__xludf.DUMMYFUNCTION("""COMPUTED_VALUE"""),"")</f>
        <v/>
      </c>
      <c r="L57" s="5" t="str">
        <f>IFERROR(__xludf.DUMMYFUNCTION("""COMPUTED_VALUE"""),"")</f>
        <v/>
      </c>
      <c r="M57" s="5" t="str">
        <f>IFERROR(__xludf.DUMMYFUNCTION("""COMPUTED_VALUE"""),"")</f>
        <v/>
      </c>
      <c r="N57" s="5" t="str">
        <f>IFERROR(__xludf.DUMMYFUNCTION("""COMPUTED_VALUE"""),"")</f>
        <v/>
      </c>
      <c r="O57" s="5" t="str">
        <f>IFERROR(__xludf.DUMMYFUNCTION("""COMPUTED_VALUE"""),"")</f>
        <v/>
      </c>
      <c r="P57" s="5" t="str">
        <f>IFERROR(__xludf.DUMMYFUNCTION("""COMPUTED_VALUE"""),"Available")</f>
        <v>Available</v>
      </c>
      <c r="Q57" s="5" t="str">
        <f>IFERROR(__xludf.DUMMYFUNCTION("""COMPUTED_VALUE"""),"")</f>
        <v/>
      </c>
      <c r="R57" s="5" t="str">
        <f>IFERROR(__xludf.DUMMYFUNCTION("""COMPUTED_VALUE"""),"")</f>
        <v/>
      </c>
      <c r="S57" s="5" t="str">
        <f>IFERROR(__xludf.DUMMYFUNCTION("""COMPUTED_VALUE"""),"")</f>
        <v/>
      </c>
      <c r="T57" s="5" t="str">
        <f>IFERROR(__xludf.DUMMYFUNCTION("""COMPUTED_VALUE"""),"")</f>
        <v/>
      </c>
      <c r="U57" s="5" t="str">
        <f>IFERROR(__xludf.DUMMYFUNCTION("""COMPUTED_VALUE"""),"")</f>
        <v/>
      </c>
      <c r="V57" s="5" t="str">
        <f>IFERROR(__xludf.DUMMYFUNCTION("""COMPUTED_VALUE"""),"")</f>
        <v/>
      </c>
      <c r="W57" s="5" t="str">
        <f>IFERROR(__xludf.DUMMYFUNCTION("""COMPUTED_VALUE"""),"")</f>
        <v/>
      </c>
      <c r="X57" s="5" t="str">
        <f>IFERROR(__xludf.DUMMYFUNCTION("""COMPUTED_VALUE"""),"")</f>
        <v/>
      </c>
      <c r="Y57" s="5"/>
      <c r="Z57" s="5"/>
    </row>
    <row r="58">
      <c r="A58" s="5" t="str">
        <f>IFERROR(__xludf.DUMMYFUNCTION("""COMPUTED_VALUE"""),"Lux Roulette")</f>
        <v>Lux Roulette</v>
      </c>
      <c r="B58" s="5" t="str">
        <f>IFERROR(__xludf.DUMMYFUNCTION("""COMPUTED_VALUE"""),"")</f>
        <v/>
      </c>
      <c r="C58" s="5" t="str">
        <f>IFERROR(__xludf.DUMMYFUNCTION("""COMPUTED_VALUE"""),"")</f>
        <v/>
      </c>
      <c r="D58" s="5" t="str">
        <f>IFERROR(__xludf.DUMMYFUNCTION("""COMPUTED_VALUE"""),"")</f>
        <v/>
      </c>
      <c r="E58" s="5" t="str">
        <f>IFERROR(__xludf.DUMMYFUNCTION("""COMPUTED_VALUE"""),"")</f>
        <v/>
      </c>
      <c r="F58" s="5" t="str">
        <f>IFERROR(__xludf.DUMMYFUNCTION("""COMPUTED_VALUE"""),"")</f>
        <v/>
      </c>
      <c r="G58" s="5" t="str">
        <f>IFERROR(__xludf.DUMMYFUNCTION("""COMPUTED_VALUE"""),"")</f>
        <v/>
      </c>
      <c r="H58" s="5" t="str">
        <f>IFERROR(__xludf.DUMMYFUNCTION("""COMPUTED_VALUE"""),"")</f>
        <v/>
      </c>
      <c r="I58" s="5" t="str">
        <f>IFERROR(__xludf.DUMMYFUNCTION("""COMPUTED_VALUE"""),"")</f>
        <v/>
      </c>
      <c r="J58" s="5" t="str">
        <f>IFERROR(__xludf.DUMMYFUNCTION("""COMPUTED_VALUE"""),"")</f>
        <v/>
      </c>
      <c r="K58" s="5" t="str">
        <f>IFERROR(__xludf.DUMMYFUNCTION("""COMPUTED_VALUE"""),"")</f>
        <v/>
      </c>
      <c r="L58" s="5" t="str">
        <f>IFERROR(__xludf.DUMMYFUNCTION("""COMPUTED_VALUE"""),"")</f>
        <v/>
      </c>
      <c r="M58" s="5" t="str">
        <f>IFERROR(__xludf.DUMMYFUNCTION("""COMPUTED_VALUE"""),"")</f>
        <v/>
      </c>
      <c r="N58" s="5" t="str">
        <f>IFERROR(__xludf.DUMMYFUNCTION("""COMPUTED_VALUE"""),"")</f>
        <v/>
      </c>
      <c r="O58" s="5" t="str">
        <f>IFERROR(__xludf.DUMMYFUNCTION("""COMPUTED_VALUE"""),"")</f>
        <v/>
      </c>
      <c r="P58" s="5" t="str">
        <f>IFERROR(__xludf.DUMMYFUNCTION("""COMPUTED_VALUE"""),"")</f>
        <v/>
      </c>
      <c r="Q58" s="5" t="str">
        <f>IFERROR(__xludf.DUMMYFUNCTION("""COMPUTED_VALUE"""),"")</f>
        <v/>
      </c>
      <c r="R58" s="5" t="str">
        <f>IFERROR(__xludf.DUMMYFUNCTION("""COMPUTED_VALUE"""),"")</f>
        <v/>
      </c>
      <c r="S58" s="5" t="str">
        <f>IFERROR(__xludf.DUMMYFUNCTION("""COMPUTED_VALUE"""),"")</f>
        <v/>
      </c>
      <c r="T58" s="5" t="str">
        <f>IFERROR(__xludf.DUMMYFUNCTION("""COMPUTED_VALUE"""),"")</f>
        <v/>
      </c>
      <c r="U58" s="5" t="str">
        <f>IFERROR(__xludf.DUMMYFUNCTION("""COMPUTED_VALUE"""),"")</f>
        <v/>
      </c>
      <c r="V58" s="5" t="str">
        <f>IFERROR(__xludf.DUMMYFUNCTION("""COMPUTED_VALUE"""),"")</f>
        <v/>
      </c>
      <c r="W58" s="5" t="str">
        <f>IFERROR(__xludf.DUMMYFUNCTION("""COMPUTED_VALUE"""),"")</f>
        <v/>
      </c>
      <c r="X58" s="5" t="str">
        <f>IFERROR(__xludf.DUMMYFUNCTION("""COMPUTED_VALUE"""),"")</f>
        <v/>
      </c>
      <c r="Y58" s="5"/>
      <c r="Z58" s="5"/>
    </row>
    <row r="59">
      <c r="A59" s="5" t="str">
        <f>IFERROR(__xludf.DUMMYFUNCTION("""COMPUTED_VALUE"""),"Fruits And Stars 40")</f>
        <v>Fruits And Stars 40</v>
      </c>
      <c r="B59" s="5" t="str">
        <f>IFERROR(__xludf.DUMMYFUNCTION("""COMPUTED_VALUE"""),"")</f>
        <v/>
      </c>
      <c r="C59" s="5" t="str">
        <f>IFERROR(__xludf.DUMMYFUNCTION("""COMPUTED_VALUE"""),"Development")</f>
        <v>Development</v>
      </c>
      <c r="D59" s="5" t="str">
        <f>IFERROR(__xludf.DUMMYFUNCTION("""COMPUTED_VALUE"""),"Retired")</f>
        <v>Retired</v>
      </c>
      <c r="E59" s="5" t="str">
        <f>IFERROR(__xludf.DUMMYFUNCTION("""COMPUTED_VALUE"""),"")</f>
        <v/>
      </c>
      <c r="F59" s="5" t="str">
        <f>IFERROR(__xludf.DUMMYFUNCTION("""COMPUTED_VALUE"""),"Available")</f>
        <v>Available</v>
      </c>
      <c r="G59" s="5" t="str">
        <f>IFERROR(__xludf.DUMMYFUNCTION("""COMPUTED_VALUE"""),"Available")</f>
        <v>Available</v>
      </c>
      <c r="H59" s="5" t="str">
        <f>IFERROR(__xludf.DUMMYFUNCTION("""COMPUTED_VALUE"""),"Available")</f>
        <v>Available</v>
      </c>
      <c r="I59" s="5" t="str">
        <f>IFERROR(__xludf.DUMMYFUNCTION("""COMPUTED_VALUE"""),"Available")</f>
        <v>Available</v>
      </c>
      <c r="J59" s="5" t="str">
        <f>IFERROR(__xludf.DUMMYFUNCTION("""COMPUTED_VALUE"""),"")</f>
        <v/>
      </c>
      <c r="K59" s="5" t="str">
        <f>IFERROR(__xludf.DUMMYFUNCTION("""COMPUTED_VALUE"""),"")</f>
        <v/>
      </c>
      <c r="L59" s="5" t="str">
        <f>IFERROR(__xludf.DUMMYFUNCTION("""COMPUTED_VALUE"""),"")</f>
        <v/>
      </c>
      <c r="M59" s="5" t="str">
        <f>IFERROR(__xludf.DUMMYFUNCTION("""COMPUTED_VALUE"""),"")</f>
        <v/>
      </c>
      <c r="N59" s="5" t="str">
        <f>IFERROR(__xludf.DUMMYFUNCTION("""COMPUTED_VALUE"""),"Development")</f>
        <v>Development</v>
      </c>
      <c r="O59" s="5" t="str">
        <f>IFERROR(__xludf.DUMMYFUNCTION("""COMPUTED_VALUE"""),"")</f>
        <v/>
      </c>
      <c r="P59" s="5" t="str">
        <f>IFERROR(__xludf.DUMMYFUNCTION("""COMPUTED_VALUE"""),"Development")</f>
        <v>Development</v>
      </c>
      <c r="Q59" s="5" t="str">
        <f>IFERROR(__xludf.DUMMYFUNCTION("""COMPUTED_VALUE"""),"Available")</f>
        <v>Available</v>
      </c>
      <c r="R59" s="5" t="str">
        <f>IFERROR(__xludf.DUMMYFUNCTION("""COMPUTED_VALUE"""),"")</f>
        <v/>
      </c>
      <c r="S59" s="5" t="str">
        <f>IFERROR(__xludf.DUMMYFUNCTION("""COMPUTED_VALUE"""),"")</f>
        <v/>
      </c>
      <c r="T59" s="5" t="str">
        <f>IFERROR(__xludf.DUMMYFUNCTION("""COMPUTED_VALUE"""),"")</f>
        <v/>
      </c>
      <c r="U59" s="5" t="str">
        <f>IFERROR(__xludf.DUMMYFUNCTION("""COMPUTED_VALUE"""),"Certified")</f>
        <v>Certified</v>
      </c>
      <c r="V59" s="5" t="str">
        <f>IFERROR(__xludf.DUMMYFUNCTION("""COMPUTED_VALUE"""),"")</f>
        <v/>
      </c>
      <c r="W59" s="5" t="str">
        <f>IFERROR(__xludf.DUMMYFUNCTION("""COMPUTED_VALUE"""),"")</f>
        <v/>
      </c>
      <c r="X59" s="5" t="str">
        <f>IFERROR(__xludf.DUMMYFUNCTION("""COMPUTED_VALUE"""),"")</f>
        <v/>
      </c>
      <c r="Y59" s="5"/>
      <c r="Z59" s="5"/>
    </row>
    <row r="60">
      <c r="A60" s="5" t="str">
        <f>IFERROR(__xludf.DUMMYFUNCTION("""COMPUTED_VALUE"""),"Twinkling Hot 5")</f>
        <v>Twinkling Hot 5</v>
      </c>
      <c r="B60" s="5" t="str">
        <f>IFERROR(__xludf.DUMMYFUNCTION("""COMPUTED_VALUE"""),"")</f>
        <v/>
      </c>
      <c r="C60" s="5" t="str">
        <f>IFERROR(__xludf.DUMMYFUNCTION("""COMPUTED_VALUE"""),"Available")</f>
        <v>Available</v>
      </c>
      <c r="D60" s="5" t="str">
        <f>IFERROR(__xludf.DUMMYFUNCTION("""COMPUTED_VALUE"""),"Available")</f>
        <v>Available</v>
      </c>
      <c r="E60" s="5" t="str">
        <f>IFERROR(__xludf.DUMMYFUNCTION("""COMPUTED_VALUE"""),"")</f>
        <v/>
      </c>
      <c r="F60" s="5" t="str">
        <f>IFERROR(__xludf.DUMMYFUNCTION("""COMPUTED_VALUE"""),"Available")</f>
        <v>Available</v>
      </c>
      <c r="G60" s="5" t="str">
        <f>IFERROR(__xludf.DUMMYFUNCTION("""COMPUTED_VALUE"""),"Available")</f>
        <v>Available</v>
      </c>
      <c r="H60" s="5" t="str">
        <f>IFERROR(__xludf.DUMMYFUNCTION("""COMPUTED_VALUE"""),"Available")</f>
        <v>Available</v>
      </c>
      <c r="I60" s="5" t="str">
        <f>IFERROR(__xludf.DUMMYFUNCTION("""COMPUTED_VALUE"""),"Available")</f>
        <v>Available</v>
      </c>
      <c r="J60" s="5" t="str">
        <f>IFERROR(__xludf.DUMMYFUNCTION("""COMPUTED_VALUE"""),"")</f>
        <v/>
      </c>
      <c r="K60" s="5" t="str">
        <f>IFERROR(__xludf.DUMMYFUNCTION("""COMPUTED_VALUE"""),"Available")</f>
        <v>Available</v>
      </c>
      <c r="L60" s="5" t="str">
        <f>IFERROR(__xludf.DUMMYFUNCTION("""COMPUTED_VALUE"""),"")</f>
        <v/>
      </c>
      <c r="M60" s="5" t="str">
        <f>IFERROR(__xludf.DUMMYFUNCTION("""COMPUTED_VALUE"""),"Available")</f>
        <v>Available</v>
      </c>
      <c r="N60" s="5" t="str">
        <f>IFERROR(__xludf.DUMMYFUNCTION("""COMPUTED_VALUE"""),"")</f>
        <v/>
      </c>
      <c r="O60" s="5" t="str">
        <f>IFERROR(__xludf.DUMMYFUNCTION("""COMPUTED_VALUE"""),"Available")</f>
        <v>Available</v>
      </c>
      <c r="P60" s="5" t="str">
        <f>IFERROR(__xludf.DUMMYFUNCTION("""COMPUTED_VALUE"""),"Available")</f>
        <v>Available</v>
      </c>
      <c r="Q60" s="5" t="str">
        <f>IFERROR(__xludf.DUMMYFUNCTION("""COMPUTED_VALUE"""),"Available")</f>
        <v>Available</v>
      </c>
      <c r="R60" s="5" t="str">
        <f>IFERROR(__xludf.DUMMYFUNCTION("""COMPUTED_VALUE"""),"")</f>
        <v/>
      </c>
      <c r="S60" s="5" t="str">
        <f>IFERROR(__xludf.DUMMYFUNCTION("""COMPUTED_VALUE"""),"")</f>
        <v/>
      </c>
      <c r="T60" s="5" t="str">
        <f>IFERROR(__xludf.DUMMYFUNCTION("""COMPUTED_VALUE"""),"")</f>
        <v/>
      </c>
      <c r="U60" s="5" t="str">
        <f>IFERROR(__xludf.DUMMYFUNCTION("""COMPUTED_VALUE"""),"")</f>
        <v/>
      </c>
      <c r="V60" s="5" t="str">
        <f>IFERROR(__xludf.DUMMYFUNCTION("""COMPUTED_VALUE"""),"")</f>
        <v/>
      </c>
      <c r="W60" s="5" t="str">
        <f>IFERROR(__xludf.DUMMYFUNCTION("""COMPUTED_VALUE"""),"")</f>
        <v/>
      </c>
      <c r="X60" s="5" t="str">
        <f>IFERROR(__xludf.DUMMYFUNCTION("""COMPUTED_VALUE"""),"")</f>
        <v/>
      </c>
      <c r="Y60" s="5"/>
      <c r="Z60" s="5"/>
    </row>
    <row r="61">
      <c r="A61" s="5" t="str">
        <f>IFERROR(__xludf.DUMMYFUNCTION("""COMPUTED_VALUE"""),"Dice Of Spells")</f>
        <v>Dice Of Spells</v>
      </c>
      <c r="B61" s="5" t="str">
        <f>IFERROR(__xludf.DUMMYFUNCTION("""COMPUTED_VALUE"""),"")</f>
        <v/>
      </c>
      <c r="C61" s="5" t="str">
        <f>IFERROR(__xludf.DUMMYFUNCTION("""COMPUTED_VALUE"""),"")</f>
        <v/>
      </c>
      <c r="D61" s="5" t="str">
        <f>IFERROR(__xludf.DUMMYFUNCTION("""COMPUTED_VALUE"""),"")</f>
        <v/>
      </c>
      <c r="E61" s="5" t="str">
        <f>IFERROR(__xludf.DUMMYFUNCTION("""COMPUTED_VALUE"""),"")</f>
        <v/>
      </c>
      <c r="F61" s="5" t="str">
        <f>IFERROR(__xludf.DUMMYFUNCTION("""COMPUTED_VALUE"""),"")</f>
        <v/>
      </c>
      <c r="G61" s="5" t="str">
        <f>IFERROR(__xludf.DUMMYFUNCTION("""COMPUTED_VALUE"""),"")</f>
        <v/>
      </c>
      <c r="H61" s="5" t="str">
        <f>IFERROR(__xludf.DUMMYFUNCTION("""COMPUTED_VALUE"""),"")</f>
        <v/>
      </c>
      <c r="I61" s="5" t="str">
        <f>IFERROR(__xludf.DUMMYFUNCTION("""COMPUTED_VALUE"""),"")</f>
        <v/>
      </c>
      <c r="J61" s="5" t="str">
        <f>IFERROR(__xludf.DUMMYFUNCTION("""COMPUTED_VALUE"""),"")</f>
        <v/>
      </c>
      <c r="K61" s="5" t="str">
        <f>IFERROR(__xludf.DUMMYFUNCTION("""COMPUTED_VALUE"""),"")</f>
        <v/>
      </c>
      <c r="L61" s="5" t="str">
        <f>IFERROR(__xludf.DUMMYFUNCTION("""COMPUTED_VALUE"""),"")</f>
        <v/>
      </c>
      <c r="M61" s="5" t="str">
        <f>IFERROR(__xludf.DUMMYFUNCTION("""COMPUTED_VALUE"""),"")</f>
        <v/>
      </c>
      <c r="N61" s="5" t="str">
        <f>IFERROR(__xludf.DUMMYFUNCTION("""COMPUTED_VALUE"""),"")</f>
        <v/>
      </c>
      <c r="O61" s="5" t="str">
        <f>IFERROR(__xludf.DUMMYFUNCTION("""COMPUTED_VALUE"""),"")</f>
        <v/>
      </c>
      <c r="P61" s="5" t="str">
        <f>IFERROR(__xludf.DUMMYFUNCTION("""COMPUTED_VALUE"""),"")</f>
        <v/>
      </c>
      <c r="Q61" s="5" t="str">
        <f>IFERROR(__xludf.DUMMYFUNCTION("""COMPUTED_VALUE"""),"")</f>
        <v/>
      </c>
      <c r="R61" s="5" t="str">
        <f>IFERROR(__xludf.DUMMYFUNCTION("""COMPUTED_VALUE"""),"")</f>
        <v/>
      </c>
      <c r="S61" s="5" t="str">
        <f>IFERROR(__xludf.DUMMYFUNCTION("""COMPUTED_VALUE"""),"")</f>
        <v/>
      </c>
      <c r="T61" s="5" t="str">
        <f>IFERROR(__xludf.DUMMYFUNCTION("""COMPUTED_VALUE"""),"")</f>
        <v/>
      </c>
      <c r="U61" s="5" t="str">
        <f>IFERROR(__xludf.DUMMYFUNCTION("""COMPUTED_VALUE"""),"")</f>
        <v/>
      </c>
      <c r="V61" s="5" t="str">
        <f>IFERROR(__xludf.DUMMYFUNCTION("""COMPUTED_VALUE"""),"")</f>
        <v/>
      </c>
      <c r="W61" s="5" t="str">
        <f>IFERROR(__xludf.DUMMYFUNCTION("""COMPUTED_VALUE"""),"")</f>
        <v/>
      </c>
      <c r="X61" s="5" t="str">
        <f>IFERROR(__xludf.DUMMYFUNCTION("""COMPUTED_VALUE"""),"")</f>
        <v/>
      </c>
      <c r="Y61" s="5"/>
      <c r="Z61" s="5"/>
    </row>
    <row r="62">
      <c r="A62" s="5" t="str">
        <f>IFERROR(__xludf.DUMMYFUNCTION("""COMPUTED_VALUE"""),"Cubes And Stars")</f>
        <v>Cubes And Stars</v>
      </c>
      <c r="B62" s="5" t="str">
        <f>IFERROR(__xludf.DUMMYFUNCTION("""COMPUTED_VALUE"""),"")</f>
        <v/>
      </c>
      <c r="C62" s="5" t="str">
        <f>IFERROR(__xludf.DUMMYFUNCTION("""COMPUTED_VALUE"""),"")</f>
        <v/>
      </c>
      <c r="D62" s="5" t="str">
        <f>IFERROR(__xludf.DUMMYFUNCTION("""COMPUTED_VALUE"""),"")</f>
        <v/>
      </c>
      <c r="E62" s="5" t="str">
        <f>IFERROR(__xludf.DUMMYFUNCTION("""COMPUTED_VALUE"""),"")</f>
        <v/>
      </c>
      <c r="F62" s="5" t="str">
        <f>IFERROR(__xludf.DUMMYFUNCTION("""COMPUTED_VALUE"""),"")</f>
        <v/>
      </c>
      <c r="G62" s="5" t="str">
        <f>IFERROR(__xludf.DUMMYFUNCTION("""COMPUTED_VALUE"""),"")</f>
        <v/>
      </c>
      <c r="H62" s="5" t="str">
        <f>IFERROR(__xludf.DUMMYFUNCTION("""COMPUTED_VALUE"""),"")</f>
        <v/>
      </c>
      <c r="I62" s="5" t="str">
        <f>IFERROR(__xludf.DUMMYFUNCTION("""COMPUTED_VALUE"""),"")</f>
        <v/>
      </c>
      <c r="J62" s="5" t="str">
        <f>IFERROR(__xludf.DUMMYFUNCTION("""COMPUTED_VALUE"""),"")</f>
        <v/>
      </c>
      <c r="K62" s="5" t="str">
        <f>IFERROR(__xludf.DUMMYFUNCTION("""COMPUTED_VALUE"""),"")</f>
        <v/>
      </c>
      <c r="L62" s="5" t="str">
        <f>IFERROR(__xludf.DUMMYFUNCTION("""COMPUTED_VALUE"""),"")</f>
        <v/>
      </c>
      <c r="M62" s="5" t="str">
        <f>IFERROR(__xludf.DUMMYFUNCTION("""COMPUTED_VALUE"""),"")</f>
        <v/>
      </c>
      <c r="N62" s="5" t="str">
        <f>IFERROR(__xludf.DUMMYFUNCTION("""COMPUTED_VALUE"""),"")</f>
        <v/>
      </c>
      <c r="O62" s="5" t="str">
        <f>IFERROR(__xludf.DUMMYFUNCTION("""COMPUTED_VALUE"""),"")</f>
        <v/>
      </c>
      <c r="P62" s="5" t="str">
        <f>IFERROR(__xludf.DUMMYFUNCTION("""COMPUTED_VALUE"""),"")</f>
        <v/>
      </c>
      <c r="Q62" s="5" t="str">
        <f>IFERROR(__xludf.DUMMYFUNCTION("""COMPUTED_VALUE"""),"")</f>
        <v/>
      </c>
      <c r="R62" s="5" t="str">
        <f>IFERROR(__xludf.DUMMYFUNCTION("""COMPUTED_VALUE"""),"")</f>
        <v/>
      </c>
      <c r="S62" s="5" t="str">
        <f>IFERROR(__xludf.DUMMYFUNCTION("""COMPUTED_VALUE"""),"")</f>
        <v/>
      </c>
      <c r="T62" s="5" t="str">
        <f>IFERROR(__xludf.DUMMYFUNCTION("""COMPUTED_VALUE"""),"")</f>
        <v/>
      </c>
      <c r="U62" s="5" t="str">
        <f>IFERROR(__xludf.DUMMYFUNCTION("""COMPUTED_VALUE"""),"")</f>
        <v/>
      </c>
      <c r="V62" s="5" t="str">
        <f>IFERROR(__xludf.DUMMYFUNCTION("""COMPUTED_VALUE"""),"")</f>
        <v/>
      </c>
      <c r="W62" s="5" t="str">
        <f>IFERROR(__xludf.DUMMYFUNCTION("""COMPUTED_VALUE"""),"")</f>
        <v/>
      </c>
      <c r="X62" s="5" t="str">
        <f>IFERROR(__xludf.DUMMYFUNCTION("""COMPUTED_VALUE"""),"")</f>
        <v/>
      </c>
      <c r="Y62" s="5"/>
      <c r="Z62" s="5"/>
    </row>
    <row r="63">
      <c r="A63" s="5" t="str">
        <f>IFERROR(__xludf.DUMMYFUNCTION("""COMPUTED_VALUE"""),"Twinkling Hot 40")</f>
        <v>Twinkling Hot 40</v>
      </c>
      <c r="B63" s="5" t="str">
        <f>IFERROR(__xludf.DUMMYFUNCTION("""COMPUTED_VALUE"""),"")</f>
        <v/>
      </c>
      <c r="C63" s="5" t="str">
        <f>IFERROR(__xludf.DUMMYFUNCTION("""COMPUTED_VALUE"""),"")</f>
        <v/>
      </c>
      <c r="D63" s="5" t="str">
        <f>IFERROR(__xludf.DUMMYFUNCTION("""COMPUTED_VALUE"""),"Available")</f>
        <v>Available</v>
      </c>
      <c r="E63" s="5" t="str">
        <f>IFERROR(__xludf.DUMMYFUNCTION("""COMPUTED_VALUE"""),"")</f>
        <v/>
      </c>
      <c r="F63" s="5" t="str">
        <f>IFERROR(__xludf.DUMMYFUNCTION("""COMPUTED_VALUE"""),"Available")</f>
        <v>Available</v>
      </c>
      <c r="G63" s="5" t="str">
        <f>IFERROR(__xludf.DUMMYFUNCTION("""COMPUTED_VALUE"""),"Available")</f>
        <v>Available</v>
      </c>
      <c r="H63" s="5" t="str">
        <f>IFERROR(__xludf.DUMMYFUNCTION("""COMPUTED_VALUE"""),"Available")</f>
        <v>Available</v>
      </c>
      <c r="I63" s="5" t="str">
        <f>IFERROR(__xludf.DUMMYFUNCTION("""COMPUTED_VALUE"""),"Available")</f>
        <v>Available</v>
      </c>
      <c r="J63" s="5" t="str">
        <f>IFERROR(__xludf.DUMMYFUNCTION("""COMPUTED_VALUE"""),"")</f>
        <v/>
      </c>
      <c r="K63" s="5" t="str">
        <f>IFERROR(__xludf.DUMMYFUNCTION("""COMPUTED_VALUE"""),"Available")</f>
        <v>Available</v>
      </c>
      <c r="L63" s="5" t="str">
        <f>IFERROR(__xludf.DUMMYFUNCTION("""COMPUTED_VALUE"""),"")</f>
        <v/>
      </c>
      <c r="M63" s="5" t="str">
        <f>IFERROR(__xludf.DUMMYFUNCTION("""COMPUTED_VALUE"""),"Available")</f>
        <v>Available</v>
      </c>
      <c r="N63" s="5" t="str">
        <f>IFERROR(__xludf.DUMMYFUNCTION("""COMPUTED_VALUE"""),"Development")</f>
        <v>Development</v>
      </c>
      <c r="O63" s="5" t="str">
        <f>IFERROR(__xludf.DUMMYFUNCTION("""COMPUTED_VALUE"""),"Available")</f>
        <v>Available</v>
      </c>
      <c r="P63" s="5" t="str">
        <f>IFERROR(__xludf.DUMMYFUNCTION("""COMPUTED_VALUE"""),"Available")</f>
        <v>Available</v>
      </c>
      <c r="Q63" s="5" t="str">
        <f>IFERROR(__xludf.DUMMYFUNCTION("""COMPUTED_VALUE"""),"Available")</f>
        <v>Available</v>
      </c>
      <c r="R63" s="5" t="str">
        <f>IFERROR(__xludf.DUMMYFUNCTION("""COMPUTED_VALUE"""),"")</f>
        <v/>
      </c>
      <c r="S63" s="5" t="str">
        <f>IFERROR(__xludf.DUMMYFUNCTION("""COMPUTED_VALUE"""),"")</f>
        <v/>
      </c>
      <c r="T63" s="5" t="str">
        <f>IFERROR(__xludf.DUMMYFUNCTION("""COMPUTED_VALUE"""),"")</f>
        <v/>
      </c>
      <c r="U63" s="5" t="str">
        <f>IFERROR(__xludf.DUMMYFUNCTION("""COMPUTED_VALUE"""),"")</f>
        <v/>
      </c>
      <c r="V63" s="5" t="str">
        <f>IFERROR(__xludf.DUMMYFUNCTION("""COMPUTED_VALUE"""),"")</f>
        <v/>
      </c>
      <c r="W63" s="5" t="str">
        <f>IFERROR(__xludf.DUMMYFUNCTION("""COMPUTED_VALUE"""),"")</f>
        <v/>
      </c>
      <c r="X63" s="5" t="str">
        <f>IFERROR(__xludf.DUMMYFUNCTION("""COMPUTED_VALUE"""),"")</f>
        <v/>
      </c>
      <c r="Y63" s="5"/>
      <c r="Z63" s="5"/>
    </row>
    <row r="64">
      <c r="A64" s="5" t="str">
        <f>IFERROR(__xludf.DUMMYFUNCTION("""COMPUTED_VALUE"""),"Book Of Spells Deluxe")</f>
        <v>Book Of Spells Deluxe</v>
      </c>
      <c r="B64" s="5" t="str">
        <f>IFERROR(__xludf.DUMMYFUNCTION("""COMPUTED_VALUE"""),"")</f>
        <v/>
      </c>
      <c r="C64" s="5" t="str">
        <f>IFERROR(__xludf.DUMMYFUNCTION("""COMPUTED_VALUE"""),"")</f>
        <v/>
      </c>
      <c r="D64" s="5" t="str">
        <f>IFERROR(__xludf.DUMMYFUNCTION("""COMPUTED_VALUE"""),"Available")</f>
        <v>Available</v>
      </c>
      <c r="E64" s="5" t="str">
        <f>IFERROR(__xludf.DUMMYFUNCTION("""COMPUTED_VALUE"""),"")</f>
        <v/>
      </c>
      <c r="F64" s="5" t="str">
        <f>IFERROR(__xludf.DUMMYFUNCTION("""COMPUTED_VALUE"""),"Available")</f>
        <v>Available</v>
      </c>
      <c r="G64" s="5" t="str">
        <f>IFERROR(__xludf.DUMMYFUNCTION("""COMPUTED_VALUE"""),"Available")</f>
        <v>Available</v>
      </c>
      <c r="H64" s="5" t="str">
        <f>IFERROR(__xludf.DUMMYFUNCTION("""COMPUTED_VALUE"""),"Available")</f>
        <v>Available</v>
      </c>
      <c r="I64" s="5" t="str">
        <f>IFERROR(__xludf.DUMMYFUNCTION("""COMPUTED_VALUE"""),"Available")</f>
        <v>Available</v>
      </c>
      <c r="J64" s="5" t="str">
        <f>IFERROR(__xludf.DUMMYFUNCTION("""COMPUTED_VALUE"""),"")</f>
        <v/>
      </c>
      <c r="K64" s="5" t="str">
        <f>IFERROR(__xludf.DUMMYFUNCTION("""COMPUTED_VALUE"""),"")</f>
        <v/>
      </c>
      <c r="L64" s="5" t="str">
        <f>IFERROR(__xludf.DUMMYFUNCTION("""COMPUTED_VALUE"""),"")</f>
        <v/>
      </c>
      <c r="M64" s="5" t="str">
        <f>IFERROR(__xludf.DUMMYFUNCTION("""COMPUTED_VALUE"""),"")</f>
        <v/>
      </c>
      <c r="N64" s="5" t="str">
        <f>IFERROR(__xludf.DUMMYFUNCTION("""COMPUTED_VALUE"""),"")</f>
        <v/>
      </c>
      <c r="O64" s="5" t="str">
        <f>IFERROR(__xludf.DUMMYFUNCTION("""COMPUTED_VALUE"""),"")</f>
        <v/>
      </c>
      <c r="P64" s="5" t="str">
        <f>IFERROR(__xludf.DUMMYFUNCTION("""COMPUTED_VALUE"""),"Available")</f>
        <v>Available</v>
      </c>
      <c r="Q64" s="5" t="str">
        <f>IFERROR(__xludf.DUMMYFUNCTION("""COMPUTED_VALUE"""),"Available")</f>
        <v>Available</v>
      </c>
      <c r="R64" s="5" t="str">
        <f>IFERROR(__xludf.DUMMYFUNCTION("""COMPUTED_VALUE"""),"")</f>
        <v/>
      </c>
      <c r="S64" s="5" t="str">
        <f>IFERROR(__xludf.DUMMYFUNCTION("""COMPUTED_VALUE"""),"In Certification")</f>
        <v>In Certification</v>
      </c>
      <c r="T64" s="5" t="str">
        <f>IFERROR(__xludf.DUMMYFUNCTION("""COMPUTED_VALUE"""),"")</f>
        <v/>
      </c>
      <c r="U64" s="5" t="str">
        <f>IFERROR(__xludf.DUMMYFUNCTION("""COMPUTED_VALUE"""),"")</f>
        <v/>
      </c>
      <c r="V64" s="5" t="str">
        <f>IFERROR(__xludf.DUMMYFUNCTION("""COMPUTED_VALUE"""),"")</f>
        <v/>
      </c>
      <c r="W64" s="5" t="str">
        <f>IFERROR(__xludf.DUMMYFUNCTION("""COMPUTED_VALUE"""),"")</f>
        <v/>
      </c>
      <c r="X64" s="5" t="str">
        <f>IFERROR(__xludf.DUMMYFUNCTION("""COMPUTED_VALUE"""),"")</f>
        <v/>
      </c>
      <c r="Y64" s="5"/>
      <c r="Z64" s="5"/>
    </row>
    <row r="65">
      <c r="A65" s="5" t="str">
        <f>IFERROR(__xludf.DUMMYFUNCTION("""COMPUTED_VALUE"""),"Jazzy Fruits")</f>
        <v>Jazzy Fruits</v>
      </c>
      <c r="B65" s="5" t="str">
        <f>IFERROR(__xludf.DUMMYFUNCTION("""COMPUTED_VALUE"""),"")</f>
        <v/>
      </c>
      <c r="C65" s="5" t="str">
        <f>IFERROR(__xludf.DUMMYFUNCTION("""COMPUTED_VALUE"""),"")</f>
        <v/>
      </c>
      <c r="D65" s="5" t="str">
        <f>IFERROR(__xludf.DUMMYFUNCTION("""COMPUTED_VALUE"""),"")</f>
        <v/>
      </c>
      <c r="E65" s="5" t="str">
        <f>IFERROR(__xludf.DUMMYFUNCTION("""COMPUTED_VALUE"""),"")</f>
        <v/>
      </c>
      <c r="F65" s="5" t="str">
        <f>IFERROR(__xludf.DUMMYFUNCTION("""COMPUTED_VALUE"""),"Available")</f>
        <v>Available</v>
      </c>
      <c r="G65" s="5" t="str">
        <f>IFERROR(__xludf.DUMMYFUNCTION("""COMPUTED_VALUE"""),"Available")</f>
        <v>Available</v>
      </c>
      <c r="H65" s="5" t="str">
        <f>IFERROR(__xludf.DUMMYFUNCTION("""COMPUTED_VALUE"""),"Available")</f>
        <v>Available</v>
      </c>
      <c r="I65" s="5" t="str">
        <f>IFERROR(__xludf.DUMMYFUNCTION("""COMPUTED_VALUE"""),"")</f>
        <v/>
      </c>
      <c r="J65" s="5" t="str">
        <f>IFERROR(__xludf.DUMMYFUNCTION("""COMPUTED_VALUE"""),"")</f>
        <v/>
      </c>
      <c r="K65" s="5" t="str">
        <f>IFERROR(__xludf.DUMMYFUNCTION("""COMPUTED_VALUE"""),"")</f>
        <v/>
      </c>
      <c r="L65" s="5" t="str">
        <f>IFERROR(__xludf.DUMMYFUNCTION("""COMPUTED_VALUE"""),"")</f>
        <v/>
      </c>
      <c r="M65" s="5" t="str">
        <f>IFERROR(__xludf.DUMMYFUNCTION("""COMPUTED_VALUE"""),"")</f>
        <v/>
      </c>
      <c r="N65" s="5" t="str">
        <f>IFERROR(__xludf.DUMMYFUNCTION("""COMPUTED_VALUE"""),"")</f>
        <v/>
      </c>
      <c r="O65" s="5" t="str">
        <f>IFERROR(__xludf.DUMMYFUNCTION("""COMPUTED_VALUE"""),"")</f>
        <v/>
      </c>
      <c r="P65" s="5" t="str">
        <f>IFERROR(__xludf.DUMMYFUNCTION("""COMPUTED_VALUE"""),"Development")</f>
        <v>Development</v>
      </c>
      <c r="Q65" s="5" t="str">
        <f>IFERROR(__xludf.DUMMYFUNCTION("""COMPUTED_VALUE"""),"Available")</f>
        <v>Available</v>
      </c>
      <c r="R65" s="5" t="str">
        <f>IFERROR(__xludf.DUMMYFUNCTION("""COMPUTED_VALUE"""),"")</f>
        <v/>
      </c>
      <c r="S65" s="5" t="str">
        <f>IFERROR(__xludf.DUMMYFUNCTION("""COMPUTED_VALUE"""),"")</f>
        <v/>
      </c>
      <c r="T65" s="5" t="str">
        <f>IFERROR(__xludf.DUMMYFUNCTION("""COMPUTED_VALUE"""),"")</f>
        <v/>
      </c>
      <c r="U65" s="5" t="str">
        <f>IFERROR(__xludf.DUMMYFUNCTION("""COMPUTED_VALUE"""),"")</f>
        <v/>
      </c>
      <c r="V65" s="5" t="str">
        <f>IFERROR(__xludf.DUMMYFUNCTION("""COMPUTED_VALUE"""),"")</f>
        <v/>
      </c>
      <c r="W65" s="5" t="str">
        <f>IFERROR(__xludf.DUMMYFUNCTION("""COMPUTED_VALUE"""),"")</f>
        <v/>
      </c>
      <c r="X65" s="5" t="str">
        <f>IFERROR(__xludf.DUMMYFUNCTION("""COMPUTED_VALUE"""),"")</f>
        <v/>
      </c>
      <c r="Y65" s="5"/>
      <c r="Z65" s="5"/>
    </row>
    <row r="66">
      <c r="A66" s="5" t="str">
        <f>IFERROR(__xludf.DUMMYFUNCTION("""COMPUTED_VALUE"""),"Crystal Hot 80")</f>
        <v>Crystal Hot 80</v>
      </c>
      <c r="B66" s="5" t="str">
        <f>IFERROR(__xludf.DUMMYFUNCTION("""COMPUTED_VALUE"""),"Available")</f>
        <v>Available</v>
      </c>
      <c r="C66" s="5" t="str">
        <f>IFERROR(__xludf.DUMMYFUNCTION("""COMPUTED_VALUE"""),"Available")</f>
        <v>Available</v>
      </c>
      <c r="D66" s="5" t="str">
        <f>IFERROR(__xludf.DUMMYFUNCTION("""COMPUTED_VALUE"""),"Available")</f>
        <v>Available</v>
      </c>
      <c r="E66" s="5" t="str">
        <f>IFERROR(__xludf.DUMMYFUNCTION("""COMPUTED_VALUE"""),"Available")</f>
        <v>Available</v>
      </c>
      <c r="F66" s="5" t="str">
        <f>IFERROR(__xludf.DUMMYFUNCTION("""COMPUTED_VALUE"""),"Available")</f>
        <v>Available</v>
      </c>
      <c r="G66" s="5" t="str">
        <f>IFERROR(__xludf.DUMMYFUNCTION("""COMPUTED_VALUE"""),"Retired")</f>
        <v>Retired</v>
      </c>
      <c r="H66" s="5" t="str">
        <f>IFERROR(__xludf.DUMMYFUNCTION("""COMPUTED_VALUE"""),"Available")</f>
        <v>Available</v>
      </c>
      <c r="I66" s="5" t="str">
        <f>IFERROR(__xludf.DUMMYFUNCTION("""COMPUTED_VALUE"""),"Available")</f>
        <v>Available</v>
      </c>
      <c r="J66" s="5" t="str">
        <f>IFERROR(__xludf.DUMMYFUNCTION("""COMPUTED_VALUE"""),"")</f>
        <v/>
      </c>
      <c r="K66" s="5" t="str">
        <f>IFERROR(__xludf.DUMMYFUNCTION("""COMPUTED_VALUE"""),"Development")</f>
        <v>Development</v>
      </c>
      <c r="L66" s="5" t="str">
        <f>IFERROR(__xludf.DUMMYFUNCTION("""COMPUTED_VALUE"""),"Available")</f>
        <v>Available</v>
      </c>
      <c r="M66" s="5" t="str">
        <f>IFERROR(__xludf.DUMMYFUNCTION("""COMPUTED_VALUE"""),"Available")</f>
        <v>Available</v>
      </c>
      <c r="N66" s="5" t="str">
        <f>IFERROR(__xludf.DUMMYFUNCTION("""COMPUTED_VALUE"""),"Development")</f>
        <v>Development</v>
      </c>
      <c r="O66" s="5" t="str">
        <f>IFERROR(__xludf.DUMMYFUNCTION("""COMPUTED_VALUE"""),"")</f>
        <v/>
      </c>
      <c r="P66" s="5" t="str">
        <f>IFERROR(__xludf.DUMMYFUNCTION("""COMPUTED_VALUE"""),"Available")</f>
        <v>Available</v>
      </c>
      <c r="Q66" s="5" t="str">
        <f>IFERROR(__xludf.DUMMYFUNCTION("""COMPUTED_VALUE"""),"Available")</f>
        <v>Available</v>
      </c>
      <c r="R66" s="5" t="str">
        <f>IFERROR(__xludf.DUMMYFUNCTION("""COMPUTED_VALUE"""),"")</f>
        <v/>
      </c>
      <c r="S66" s="5" t="str">
        <f>IFERROR(__xludf.DUMMYFUNCTION("""COMPUTED_VALUE"""),"In Certification")</f>
        <v>In Certification</v>
      </c>
      <c r="T66" s="5" t="str">
        <f>IFERROR(__xludf.DUMMYFUNCTION("""COMPUTED_VALUE"""),"")</f>
        <v/>
      </c>
      <c r="U66" s="5" t="str">
        <f>IFERROR(__xludf.DUMMYFUNCTION("""COMPUTED_VALUE"""),"Certified")</f>
        <v>Certified</v>
      </c>
      <c r="V66" s="5" t="str">
        <f>IFERROR(__xludf.DUMMYFUNCTION("""COMPUTED_VALUE"""),"Available")</f>
        <v>Available</v>
      </c>
      <c r="W66" s="5" t="str">
        <f>IFERROR(__xludf.DUMMYFUNCTION("""COMPUTED_VALUE"""),"")</f>
        <v/>
      </c>
      <c r="X66" s="5" t="str">
        <f>IFERROR(__xludf.DUMMYFUNCTION("""COMPUTED_VALUE"""),"")</f>
        <v/>
      </c>
      <c r="Y66" s="5"/>
      <c r="Z66" s="5"/>
    </row>
    <row r="67">
      <c r="A67" s="5" t="str">
        <f>IFERROR(__xludf.DUMMYFUNCTION("""COMPUTED_VALUE"""),"Crystal Hot 40 gd")</f>
        <v>Crystal Hot 40 gd</v>
      </c>
      <c r="B67" s="5" t="str">
        <f>IFERROR(__xludf.DUMMYFUNCTION("""COMPUTED_VALUE"""),"")</f>
        <v/>
      </c>
      <c r="C67" s="5" t="str">
        <f>IFERROR(__xludf.DUMMYFUNCTION("""COMPUTED_VALUE"""),"")</f>
        <v/>
      </c>
      <c r="D67" s="5" t="str">
        <f>IFERROR(__xludf.DUMMYFUNCTION("""COMPUTED_VALUE"""),"")</f>
        <v/>
      </c>
      <c r="E67" s="5" t="str">
        <f>IFERROR(__xludf.DUMMYFUNCTION("""COMPUTED_VALUE"""),"")</f>
        <v/>
      </c>
      <c r="F67" s="5" t="str">
        <f>IFERROR(__xludf.DUMMYFUNCTION("""COMPUTED_VALUE"""),"")</f>
        <v/>
      </c>
      <c r="G67" s="5" t="str">
        <f>IFERROR(__xludf.DUMMYFUNCTION("""COMPUTED_VALUE"""),"")</f>
        <v/>
      </c>
      <c r="H67" s="5" t="str">
        <f>IFERROR(__xludf.DUMMYFUNCTION("""COMPUTED_VALUE"""),"")</f>
        <v/>
      </c>
      <c r="I67" s="5" t="str">
        <f>IFERROR(__xludf.DUMMYFUNCTION("""COMPUTED_VALUE"""),"")</f>
        <v/>
      </c>
      <c r="J67" s="5" t="str">
        <f>IFERROR(__xludf.DUMMYFUNCTION("""COMPUTED_VALUE"""),"")</f>
        <v/>
      </c>
      <c r="K67" s="5" t="str">
        <f>IFERROR(__xludf.DUMMYFUNCTION("""COMPUTED_VALUE"""),"")</f>
        <v/>
      </c>
      <c r="L67" s="5" t="str">
        <f>IFERROR(__xludf.DUMMYFUNCTION("""COMPUTED_VALUE"""),"")</f>
        <v/>
      </c>
      <c r="M67" s="5" t="str">
        <f>IFERROR(__xludf.DUMMYFUNCTION("""COMPUTED_VALUE"""),"")</f>
        <v/>
      </c>
      <c r="N67" s="5" t="str">
        <f>IFERROR(__xludf.DUMMYFUNCTION("""COMPUTED_VALUE"""),"")</f>
        <v/>
      </c>
      <c r="O67" s="5" t="str">
        <f>IFERROR(__xludf.DUMMYFUNCTION("""COMPUTED_VALUE"""),"")</f>
        <v/>
      </c>
      <c r="P67" s="5" t="str">
        <f>IFERROR(__xludf.DUMMYFUNCTION("""COMPUTED_VALUE"""),"")</f>
        <v/>
      </c>
      <c r="Q67" s="5" t="str">
        <f>IFERROR(__xludf.DUMMYFUNCTION("""COMPUTED_VALUE"""),"")</f>
        <v/>
      </c>
      <c r="R67" s="5" t="str">
        <f>IFERROR(__xludf.DUMMYFUNCTION("""COMPUTED_VALUE"""),"")</f>
        <v/>
      </c>
      <c r="S67" s="5" t="str">
        <f>IFERROR(__xludf.DUMMYFUNCTION("""COMPUTED_VALUE"""),"")</f>
        <v/>
      </c>
      <c r="T67" s="5" t="str">
        <f>IFERROR(__xludf.DUMMYFUNCTION("""COMPUTED_VALUE"""),"")</f>
        <v/>
      </c>
      <c r="U67" s="5" t="str">
        <f>IFERROR(__xludf.DUMMYFUNCTION("""COMPUTED_VALUE"""),"")</f>
        <v/>
      </c>
      <c r="V67" s="5" t="str">
        <f>IFERROR(__xludf.DUMMYFUNCTION("""COMPUTED_VALUE"""),"")</f>
        <v/>
      </c>
      <c r="W67" s="5" t="str">
        <f>IFERROR(__xludf.DUMMYFUNCTION("""COMPUTED_VALUE"""),"")</f>
        <v/>
      </c>
      <c r="X67" s="5" t="str">
        <f>IFERROR(__xludf.DUMMYFUNCTION("""COMPUTED_VALUE"""),"")</f>
        <v/>
      </c>
      <c r="Y67" s="5"/>
      <c r="Z67" s="5"/>
    </row>
    <row r="68">
      <c r="A68" s="5" t="str">
        <f>IFERROR(__xludf.DUMMYFUNCTION("""COMPUTED_VALUE"""),"Crystal Hot 40 Deluxe")</f>
        <v>Crystal Hot 40 Deluxe</v>
      </c>
      <c r="B68" s="5" t="str">
        <f>IFERROR(__xludf.DUMMYFUNCTION("""COMPUTED_VALUE"""),"Available")</f>
        <v>Available</v>
      </c>
      <c r="C68" s="5" t="str">
        <f>IFERROR(__xludf.DUMMYFUNCTION("""COMPUTED_VALUE"""),"")</f>
        <v/>
      </c>
      <c r="D68" s="5" t="str">
        <f>IFERROR(__xludf.DUMMYFUNCTION("""COMPUTED_VALUE"""),"Available")</f>
        <v>Available</v>
      </c>
      <c r="E68" s="5" t="str">
        <f>IFERROR(__xludf.DUMMYFUNCTION("""COMPUTED_VALUE"""),"")</f>
        <v/>
      </c>
      <c r="F68" s="5" t="str">
        <f>IFERROR(__xludf.DUMMYFUNCTION("""COMPUTED_VALUE"""),"Available")</f>
        <v>Available</v>
      </c>
      <c r="G68" s="5" t="str">
        <f>IFERROR(__xludf.DUMMYFUNCTION("""COMPUTED_VALUE"""),"Available")</f>
        <v>Available</v>
      </c>
      <c r="H68" s="5" t="str">
        <f>IFERROR(__xludf.DUMMYFUNCTION("""COMPUTED_VALUE"""),"Available")</f>
        <v>Available</v>
      </c>
      <c r="I68" s="5" t="str">
        <f>IFERROR(__xludf.DUMMYFUNCTION("""COMPUTED_VALUE"""),"Available")</f>
        <v>Available</v>
      </c>
      <c r="J68" s="5" t="str">
        <f>IFERROR(__xludf.DUMMYFUNCTION("""COMPUTED_VALUE"""),"")</f>
        <v/>
      </c>
      <c r="K68" s="5" t="str">
        <f>IFERROR(__xludf.DUMMYFUNCTION("""COMPUTED_VALUE"""),"")</f>
        <v/>
      </c>
      <c r="L68" s="5" t="str">
        <f>IFERROR(__xludf.DUMMYFUNCTION("""COMPUTED_VALUE"""),"")</f>
        <v/>
      </c>
      <c r="M68" s="5" t="str">
        <f>IFERROR(__xludf.DUMMYFUNCTION("""COMPUTED_VALUE"""),"Available")</f>
        <v>Available</v>
      </c>
      <c r="N68" s="5" t="str">
        <f>IFERROR(__xludf.DUMMYFUNCTION("""COMPUTED_VALUE"""),"")</f>
        <v/>
      </c>
      <c r="O68" s="5" t="str">
        <f>IFERROR(__xludf.DUMMYFUNCTION("""COMPUTED_VALUE"""),"")</f>
        <v/>
      </c>
      <c r="P68" s="5" t="str">
        <f>IFERROR(__xludf.DUMMYFUNCTION("""COMPUTED_VALUE"""),"Available")</f>
        <v>Available</v>
      </c>
      <c r="Q68" s="5" t="str">
        <f>IFERROR(__xludf.DUMMYFUNCTION("""COMPUTED_VALUE"""),"Available")</f>
        <v>Available</v>
      </c>
      <c r="R68" s="5" t="str">
        <f>IFERROR(__xludf.DUMMYFUNCTION("""COMPUTED_VALUE"""),"")</f>
        <v/>
      </c>
      <c r="S68" s="5" t="str">
        <f>IFERROR(__xludf.DUMMYFUNCTION("""COMPUTED_VALUE"""),"")</f>
        <v/>
      </c>
      <c r="T68" s="5" t="str">
        <f>IFERROR(__xludf.DUMMYFUNCTION("""COMPUTED_VALUE"""),"")</f>
        <v/>
      </c>
      <c r="U68" s="5" t="str">
        <f>IFERROR(__xludf.DUMMYFUNCTION("""COMPUTED_VALUE"""),"")</f>
        <v/>
      </c>
      <c r="V68" s="5" t="str">
        <f>IFERROR(__xludf.DUMMYFUNCTION("""COMPUTED_VALUE"""),"")</f>
        <v/>
      </c>
      <c r="W68" s="5" t="str">
        <f>IFERROR(__xludf.DUMMYFUNCTION("""COMPUTED_VALUE"""),"")</f>
        <v/>
      </c>
      <c r="X68" s="5" t="str">
        <f>IFERROR(__xludf.DUMMYFUNCTION("""COMPUTED_VALUE"""),"")</f>
        <v/>
      </c>
      <c r="Y68" s="5"/>
      <c r="Z68" s="5"/>
    </row>
    <row r="69">
      <c r="A69" s="5" t="str">
        <f>IFERROR(__xludf.DUMMYFUNCTION("""COMPUTED_VALUE"""),"Live Fazi Roulette")</f>
        <v>Live Fazi Roulette</v>
      </c>
      <c r="B69" s="5" t="str">
        <f>IFERROR(__xludf.DUMMYFUNCTION("""COMPUTED_VALUE"""),"")</f>
        <v/>
      </c>
      <c r="C69" s="5" t="str">
        <f>IFERROR(__xludf.DUMMYFUNCTION("""COMPUTED_VALUE"""),"")</f>
        <v/>
      </c>
      <c r="D69" s="5" t="str">
        <f>IFERROR(__xludf.DUMMYFUNCTION("""COMPUTED_VALUE"""),"")</f>
        <v/>
      </c>
      <c r="E69" s="5" t="str">
        <f>IFERROR(__xludf.DUMMYFUNCTION("""COMPUTED_VALUE"""),"")</f>
        <v/>
      </c>
      <c r="F69" s="5" t="str">
        <f>IFERROR(__xludf.DUMMYFUNCTION("""COMPUTED_VALUE"""),"")</f>
        <v/>
      </c>
      <c r="G69" s="5" t="str">
        <f>IFERROR(__xludf.DUMMYFUNCTION("""COMPUTED_VALUE"""),"")</f>
        <v/>
      </c>
      <c r="H69" s="5" t="str">
        <f>IFERROR(__xludf.DUMMYFUNCTION("""COMPUTED_VALUE"""),"")</f>
        <v/>
      </c>
      <c r="I69" s="5" t="str">
        <f>IFERROR(__xludf.DUMMYFUNCTION("""COMPUTED_VALUE"""),"")</f>
        <v/>
      </c>
      <c r="J69" s="5" t="str">
        <f>IFERROR(__xludf.DUMMYFUNCTION("""COMPUTED_VALUE"""),"")</f>
        <v/>
      </c>
      <c r="K69" s="5" t="str">
        <f>IFERROR(__xludf.DUMMYFUNCTION("""COMPUTED_VALUE"""),"")</f>
        <v/>
      </c>
      <c r="L69" s="5" t="str">
        <f>IFERROR(__xludf.DUMMYFUNCTION("""COMPUTED_VALUE"""),"")</f>
        <v/>
      </c>
      <c r="M69" s="5" t="str">
        <f>IFERROR(__xludf.DUMMYFUNCTION("""COMPUTED_VALUE"""),"")</f>
        <v/>
      </c>
      <c r="N69" s="5" t="str">
        <f>IFERROR(__xludf.DUMMYFUNCTION("""COMPUTED_VALUE"""),"")</f>
        <v/>
      </c>
      <c r="O69" s="5" t="str">
        <f>IFERROR(__xludf.DUMMYFUNCTION("""COMPUTED_VALUE"""),"")</f>
        <v/>
      </c>
      <c r="P69" s="5" t="str">
        <f>IFERROR(__xludf.DUMMYFUNCTION("""COMPUTED_VALUE"""),"")</f>
        <v/>
      </c>
      <c r="Q69" s="5" t="str">
        <f>IFERROR(__xludf.DUMMYFUNCTION("""COMPUTED_VALUE"""),"")</f>
        <v/>
      </c>
      <c r="R69" s="5" t="str">
        <f>IFERROR(__xludf.DUMMYFUNCTION("""COMPUTED_VALUE"""),"")</f>
        <v/>
      </c>
      <c r="S69" s="5" t="str">
        <f>IFERROR(__xludf.DUMMYFUNCTION("""COMPUTED_VALUE"""),"")</f>
        <v/>
      </c>
      <c r="T69" s="5" t="str">
        <f>IFERROR(__xludf.DUMMYFUNCTION("""COMPUTED_VALUE"""),"")</f>
        <v/>
      </c>
      <c r="U69" s="5" t="str">
        <f>IFERROR(__xludf.DUMMYFUNCTION("""COMPUTED_VALUE"""),"")</f>
        <v/>
      </c>
      <c r="V69" s="5" t="str">
        <f>IFERROR(__xludf.DUMMYFUNCTION("""COMPUTED_VALUE"""),"")</f>
        <v/>
      </c>
      <c r="W69" s="5" t="str">
        <f>IFERROR(__xludf.DUMMYFUNCTION("""COMPUTED_VALUE"""),"")</f>
        <v/>
      </c>
      <c r="X69" s="5" t="str">
        <f>IFERROR(__xludf.DUMMYFUNCTION("""COMPUTED_VALUE"""),"")</f>
        <v/>
      </c>
      <c r="Y69" s="5"/>
      <c r="Z69" s="5"/>
    </row>
    <row r="70">
      <c r="A70" s="5" t="str">
        <f>IFERROR(__xludf.DUMMYFUNCTION("""COMPUTED_VALUE"""),"Golden Clover")</f>
        <v>Golden Clover</v>
      </c>
      <c r="B70" s="5" t="str">
        <f>IFERROR(__xludf.DUMMYFUNCTION("""COMPUTED_VALUE"""),"")</f>
        <v/>
      </c>
      <c r="C70" s="5" t="str">
        <f>IFERROR(__xludf.DUMMYFUNCTION("""COMPUTED_VALUE"""),"")</f>
        <v/>
      </c>
      <c r="D70" s="5" t="str">
        <f>IFERROR(__xludf.DUMMYFUNCTION("""COMPUTED_VALUE"""),"")</f>
        <v/>
      </c>
      <c r="E70" s="5" t="str">
        <f>IFERROR(__xludf.DUMMYFUNCTION("""COMPUTED_VALUE"""),"")</f>
        <v/>
      </c>
      <c r="F70" s="5" t="str">
        <f>IFERROR(__xludf.DUMMYFUNCTION("""COMPUTED_VALUE"""),"")</f>
        <v/>
      </c>
      <c r="G70" s="5" t="str">
        <f>IFERROR(__xludf.DUMMYFUNCTION("""COMPUTED_VALUE"""),"")</f>
        <v/>
      </c>
      <c r="H70" s="5" t="str">
        <f>IFERROR(__xludf.DUMMYFUNCTION("""COMPUTED_VALUE"""),"")</f>
        <v/>
      </c>
      <c r="I70" s="5" t="str">
        <f>IFERROR(__xludf.DUMMYFUNCTION("""COMPUTED_VALUE"""),"")</f>
        <v/>
      </c>
      <c r="J70" s="5" t="str">
        <f>IFERROR(__xludf.DUMMYFUNCTION("""COMPUTED_VALUE"""),"")</f>
        <v/>
      </c>
      <c r="K70" s="5" t="str">
        <f>IFERROR(__xludf.DUMMYFUNCTION("""COMPUTED_VALUE"""),"")</f>
        <v/>
      </c>
      <c r="L70" s="5" t="str">
        <f>IFERROR(__xludf.DUMMYFUNCTION("""COMPUTED_VALUE"""),"")</f>
        <v/>
      </c>
      <c r="M70" s="5" t="str">
        <f>IFERROR(__xludf.DUMMYFUNCTION("""COMPUTED_VALUE"""),"")</f>
        <v/>
      </c>
      <c r="N70" s="5" t="str">
        <f>IFERROR(__xludf.DUMMYFUNCTION("""COMPUTED_VALUE"""),"")</f>
        <v/>
      </c>
      <c r="O70" s="5" t="str">
        <f>IFERROR(__xludf.DUMMYFUNCTION("""COMPUTED_VALUE"""),"")</f>
        <v/>
      </c>
      <c r="P70" s="5" t="str">
        <f>IFERROR(__xludf.DUMMYFUNCTION("""COMPUTED_VALUE"""),"")</f>
        <v/>
      </c>
      <c r="Q70" s="5" t="str">
        <f>IFERROR(__xludf.DUMMYFUNCTION("""COMPUTED_VALUE"""),"")</f>
        <v/>
      </c>
      <c r="R70" s="5" t="str">
        <f>IFERROR(__xludf.DUMMYFUNCTION("""COMPUTED_VALUE"""),"")</f>
        <v/>
      </c>
      <c r="S70" s="5" t="str">
        <f>IFERROR(__xludf.DUMMYFUNCTION("""COMPUTED_VALUE"""),"")</f>
        <v/>
      </c>
      <c r="T70" s="5" t="str">
        <f>IFERROR(__xludf.DUMMYFUNCTION("""COMPUTED_VALUE"""),"")</f>
        <v/>
      </c>
      <c r="U70" s="5" t="str">
        <f>IFERROR(__xludf.DUMMYFUNCTION("""COMPUTED_VALUE"""),"")</f>
        <v/>
      </c>
      <c r="V70" s="5" t="str">
        <f>IFERROR(__xludf.DUMMYFUNCTION("""COMPUTED_VALUE"""),"")</f>
        <v/>
      </c>
      <c r="W70" s="5" t="str">
        <f>IFERROR(__xludf.DUMMYFUNCTION("""COMPUTED_VALUE"""),"")</f>
        <v/>
      </c>
      <c r="X70" s="5" t="str">
        <f>IFERROR(__xludf.DUMMYFUNCTION("""COMPUTED_VALUE"""),"")</f>
        <v/>
      </c>
      <c r="Y70" s="5"/>
      <c r="Z70" s="5"/>
    </row>
    <row r="71">
      <c r="A71" s="5" t="str">
        <f>IFERROR(__xludf.DUMMYFUNCTION("""COMPUTED_VALUE"""),"Crystal Hot 40 gd2")</f>
        <v>Crystal Hot 40 gd2</v>
      </c>
      <c r="B71" s="5" t="str">
        <f>IFERROR(__xludf.DUMMYFUNCTION("""COMPUTED_VALUE"""),"")</f>
        <v/>
      </c>
      <c r="C71" s="5" t="str">
        <f>IFERROR(__xludf.DUMMYFUNCTION("""COMPUTED_VALUE"""),"")</f>
        <v/>
      </c>
      <c r="D71" s="5" t="str">
        <f>IFERROR(__xludf.DUMMYFUNCTION("""COMPUTED_VALUE"""),"")</f>
        <v/>
      </c>
      <c r="E71" s="5" t="str">
        <f>IFERROR(__xludf.DUMMYFUNCTION("""COMPUTED_VALUE"""),"")</f>
        <v/>
      </c>
      <c r="F71" s="5" t="str">
        <f>IFERROR(__xludf.DUMMYFUNCTION("""COMPUTED_VALUE"""),"")</f>
        <v/>
      </c>
      <c r="G71" s="5" t="str">
        <f>IFERROR(__xludf.DUMMYFUNCTION("""COMPUTED_VALUE"""),"")</f>
        <v/>
      </c>
      <c r="H71" s="5" t="str">
        <f>IFERROR(__xludf.DUMMYFUNCTION("""COMPUTED_VALUE"""),"")</f>
        <v/>
      </c>
      <c r="I71" s="5" t="str">
        <f>IFERROR(__xludf.DUMMYFUNCTION("""COMPUTED_VALUE"""),"")</f>
        <v/>
      </c>
      <c r="J71" s="5" t="str">
        <f>IFERROR(__xludf.DUMMYFUNCTION("""COMPUTED_VALUE"""),"")</f>
        <v/>
      </c>
      <c r="K71" s="5" t="str">
        <f>IFERROR(__xludf.DUMMYFUNCTION("""COMPUTED_VALUE"""),"")</f>
        <v/>
      </c>
      <c r="L71" s="5" t="str">
        <f>IFERROR(__xludf.DUMMYFUNCTION("""COMPUTED_VALUE"""),"")</f>
        <v/>
      </c>
      <c r="M71" s="5" t="str">
        <f>IFERROR(__xludf.DUMMYFUNCTION("""COMPUTED_VALUE"""),"")</f>
        <v/>
      </c>
      <c r="N71" s="5" t="str">
        <f>IFERROR(__xludf.DUMMYFUNCTION("""COMPUTED_VALUE"""),"")</f>
        <v/>
      </c>
      <c r="O71" s="5" t="str">
        <f>IFERROR(__xludf.DUMMYFUNCTION("""COMPUTED_VALUE"""),"")</f>
        <v/>
      </c>
      <c r="P71" s="5" t="str">
        <f>IFERROR(__xludf.DUMMYFUNCTION("""COMPUTED_VALUE"""),"")</f>
        <v/>
      </c>
      <c r="Q71" s="5" t="str">
        <f>IFERROR(__xludf.DUMMYFUNCTION("""COMPUTED_VALUE"""),"")</f>
        <v/>
      </c>
      <c r="R71" s="5" t="str">
        <f>IFERROR(__xludf.DUMMYFUNCTION("""COMPUTED_VALUE"""),"")</f>
        <v/>
      </c>
      <c r="S71" s="5" t="str">
        <f>IFERROR(__xludf.DUMMYFUNCTION("""COMPUTED_VALUE"""),"")</f>
        <v/>
      </c>
      <c r="T71" s="5" t="str">
        <f>IFERROR(__xludf.DUMMYFUNCTION("""COMPUTED_VALUE"""),"")</f>
        <v/>
      </c>
      <c r="U71" s="5" t="str">
        <f>IFERROR(__xludf.DUMMYFUNCTION("""COMPUTED_VALUE"""),"")</f>
        <v/>
      </c>
      <c r="V71" s="5" t="str">
        <f>IFERROR(__xludf.DUMMYFUNCTION("""COMPUTED_VALUE"""),"")</f>
        <v/>
      </c>
      <c r="W71" s="5" t="str">
        <f>IFERROR(__xludf.DUMMYFUNCTION("""COMPUTED_VALUE"""),"")</f>
        <v/>
      </c>
      <c r="X71" s="5" t="str">
        <f>IFERROR(__xludf.DUMMYFUNCTION("""COMPUTED_VALUE"""),"")</f>
        <v/>
      </c>
      <c r="Y71" s="5"/>
      <c r="Z71" s="5"/>
    </row>
    <row r="72">
      <c r="A72" s="5" t="str">
        <f>IFERROR(__xludf.DUMMYFUNCTION("""COMPUTED_VALUE"""),"Crystal Win")</f>
        <v>Crystal Win</v>
      </c>
      <c r="B72" s="5" t="str">
        <f>IFERROR(__xludf.DUMMYFUNCTION("""COMPUTED_VALUE"""),"")</f>
        <v/>
      </c>
      <c r="C72" s="5" t="str">
        <f>IFERROR(__xludf.DUMMYFUNCTION("""COMPUTED_VALUE"""),"")</f>
        <v/>
      </c>
      <c r="D72" s="5" t="str">
        <f>IFERROR(__xludf.DUMMYFUNCTION("""COMPUTED_VALUE"""),"")</f>
        <v/>
      </c>
      <c r="E72" s="5" t="str">
        <f>IFERROR(__xludf.DUMMYFUNCTION("""COMPUTED_VALUE"""),"")</f>
        <v/>
      </c>
      <c r="F72" s="5" t="str">
        <f>IFERROR(__xludf.DUMMYFUNCTION("""COMPUTED_VALUE"""),"")</f>
        <v/>
      </c>
      <c r="G72" s="5" t="str">
        <f>IFERROR(__xludf.DUMMYFUNCTION("""COMPUTED_VALUE"""),"")</f>
        <v/>
      </c>
      <c r="H72" s="5" t="str">
        <f>IFERROR(__xludf.DUMMYFUNCTION("""COMPUTED_VALUE"""),"")</f>
        <v/>
      </c>
      <c r="I72" s="5" t="str">
        <f>IFERROR(__xludf.DUMMYFUNCTION("""COMPUTED_VALUE"""),"")</f>
        <v/>
      </c>
      <c r="J72" s="5" t="str">
        <f>IFERROR(__xludf.DUMMYFUNCTION("""COMPUTED_VALUE"""),"")</f>
        <v/>
      </c>
      <c r="K72" s="5" t="str">
        <f>IFERROR(__xludf.DUMMYFUNCTION("""COMPUTED_VALUE"""),"")</f>
        <v/>
      </c>
      <c r="L72" s="5" t="str">
        <f>IFERROR(__xludf.DUMMYFUNCTION("""COMPUTED_VALUE"""),"")</f>
        <v/>
      </c>
      <c r="M72" s="5" t="str">
        <f>IFERROR(__xludf.DUMMYFUNCTION("""COMPUTED_VALUE"""),"")</f>
        <v/>
      </c>
      <c r="N72" s="5" t="str">
        <f>IFERROR(__xludf.DUMMYFUNCTION("""COMPUTED_VALUE"""),"")</f>
        <v/>
      </c>
      <c r="O72" s="5" t="str">
        <f>IFERROR(__xludf.DUMMYFUNCTION("""COMPUTED_VALUE"""),"")</f>
        <v/>
      </c>
      <c r="P72" s="5" t="str">
        <f>IFERROR(__xludf.DUMMYFUNCTION("""COMPUTED_VALUE"""),"")</f>
        <v/>
      </c>
      <c r="Q72" s="5" t="str">
        <f>IFERROR(__xludf.DUMMYFUNCTION("""COMPUTED_VALUE"""),"")</f>
        <v/>
      </c>
      <c r="R72" s="5" t="str">
        <f>IFERROR(__xludf.DUMMYFUNCTION("""COMPUTED_VALUE"""),"")</f>
        <v/>
      </c>
      <c r="S72" s="5" t="str">
        <f>IFERROR(__xludf.DUMMYFUNCTION("""COMPUTED_VALUE"""),"")</f>
        <v/>
      </c>
      <c r="T72" s="5" t="str">
        <f>IFERROR(__xludf.DUMMYFUNCTION("""COMPUTED_VALUE"""),"")</f>
        <v/>
      </c>
      <c r="U72" s="5" t="str">
        <f>IFERROR(__xludf.DUMMYFUNCTION("""COMPUTED_VALUE"""),"")</f>
        <v/>
      </c>
      <c r="V72" s="5" t="str">
        <f>IFERROR(__xludf.DUMMYFUNCTION("""COMPUTED_VALUE"""),"")</f>
        <v/>
      </c>
      <c r="W72" s="5" t="str">
        <f>IFERROR(__xludf.DUMMYFUNCTION("""COMPUTED_VALUE"""),"")</f>
        <v/>
      </c>
      <c r="X72" s="5" t="str">
        <f>IFERROR(__xludf.DUMMYFUNCTION("""COMPUTED_VALUE"""),"")</f>
        <v/>
      </c>
      <c r="Y72" s="5"/>
      <c r="Z72" s="5"/>
    </row>
    <row r="73">
      <c r="A73" s="5" t="str">
        <f>IFERROR(__xludf.DUMMYFUNCTION("""COMPUTED_VALUE"""),"Vegas Dice")</f>
        <v>Vegas Dice</v>
      </c>
      <c r="B73" s="5" t="str">
        <f>IFERROR(__xludf.DUMMYFUNCTION("""COMPUTED_VALUE"""),"")</f>
        <v/>
      </c>
      <c r="C73" s="5" t="str">
        <f>IFERROR(__xludf.DUMMYFUNCTION("""COMPUTED_VALUE"""),"")</f>
        <v/>
      </c>
      <c r="D73" s="5" t="str">
        <f>IFERROR(__xludf.DUMMYFUNCTION("""COMPUTED_VALUE"""),"")</f>
        <v/>
      </c>
      <c r="E73" s="5" t="str">
        <f>IFERROR(__xludf.DUMMYFUNCTION("""COMPUTED_VALUE"""),"")</f>
        <v/>
      </c>
      <c r="F73" s="5" t="str">
        <f>IFERROR(__xludf.DUMMYFUNCTION("""COMPUTED_VALUE"""),"")</f>
        <v/>
      </c>
      <c r="G73" s="5" t="str">
        <f>IFERROR(__xludf.DUMMYFUNCTION("""COMPUTED_VALUE"""),"")</f>
        <v/>
      </c>
      <c r="H73" s="5" t="str">
        <f>IFERROR(__xludf.DUMMYFUNCTION("""COMPUTED_VALUE"""),"")</f>
        <v/>
      </c>
      <c r="I73" s="5" t="str">
        <f>IFERROR(__xludf.DUMMYFUNCTION("""COMPUTED_VALUE"""),"")</f>
        <v/>
      </c>
      <c r="J73" s="5" t="str">
        <f>IFERROR(__xludf.DUMMYFUNCTION("""COMPUTED_VALUE"""),"")</f>
        <v/>
      </c>
      <c r="K73" s="5" t="str">
        <f>IFERROR(__xludf.DUMMYFUNCTION("""COMPUTED_VALUE"""),"")</f>
        <v/>
      </c>
      <c r="L73" s="5" t="str">
        <f>IFERROR(__xludf.DUMMYFUNCTION("""COMPUTED_VALUE"""),"")</f>
        <v/>
      </c>
      <c r="M73" s="5" t="str">
        <f>IFERROR(__xludf.DUMMYFUNCTION("""COMPUTED_VALUE"""),"")</f>
        <v/>
      </c>
      <c r="N73" s="5" t="str">
        <f>IFERROR(__xludf.DUMMYFUNCTION("""COMPUTED_VALUE"""),"")</f>
        <v/>
      </c>
      <c r="O73" s="5" t="str">
        <f>IFERROR(__xludf.DUMMYFUNCTION("""COMPUTED_VALUE"""),"")</f>
        <v/>
      </c>
      <c r="P73" s="5" t="str">
        <f>IFERROR(__xludf.DUMMYFUNCTION("""COMPUTED_VALUE"""),"")</f>
        <v/>
      </c>
      <c r="Q73" s="5" t="str">
        <f>IFERROR(__xludf.DUMMYFUNCTION("""COMPUTED_VALUE"""),"")</f>
        <v/>
      </c>
      <c r="R73" s="5" t="str">
        <f>IFERROR(__xludf.DUMMYFUNCTION("""COMPUTED_VALUE"""),"")</f>
        <v/>
      </c>
      <c r="S73" s="5" t="str">
        <f>IFERROR(__xludf.DUMMYFUNCTION("""COMPUTED_VALUE"""),"")</f>
        <v/>
      </c>
      <c r="T73" s="5" t="str">
        <f>IFERROR(__xludf.DUMMYFUNCTION("""COMPUTED_VALUE"""),"")</f>
        <v/>
      </c>
      <c r="U73" s="5" t="str">
        <f>IFERROR(__xludf.DUMMYFUNCTION("""COMPUTED_VALUE"""),"")</f>
        <v/>
      </c>
      <c r="V73" s="5" t="str">
        <f>IFERROR(__xludf.DUMMYFUNCTION("""COMPUTED_VALUE"""),"")</f>
        <v/>
      </c>
      <c r="W73" s="5" t="str">
        <f>IFERROR(__xludf.DUMMYFUNCTION("""COMPUTED_VALUE"""),"")</f>
        <v/>
      </c>
      <c r="X73" s="5" t="str">
        <f>IFERROR(__xludf.DUMMYFUNCTION("""COMPUTED_VALUE"""),"")</f>
        <v/>
      </c>
      <c r="Y73" s="5"/>
      <c r="Z73" s="5"/>
    </row>
    <row r="74">
      <c r="A74" s="5" t="str">
        <f>IFERROR(__xludf.DUMMYFUNCTION("""COMPUTED_VALUE"""),"Book Of Mayan Gold")</f>
        <v>Book Of Mayan Gold</v>
      </c>
      <c r="B74" s="5" t="str">
        <f>IFERROR(__xludf.DUMMYFUNCTION("""COMPUTED_VALUE"""),"")</f>
        <v/>
      </c>
      <c r="C74" s="5" t="str">
        <f>IFERROR(__xludf.DUMMYFUNCTION("""COMPUTED_VALUE"""),"")</f>
        <v/>
      </c>
      <c r="D74" s="5" t="str">
        <f>IFERROR(__xludf.DUMMYFUNCTION("""COMPUTED_VALUE"""),"")</f>
        <v/>
      </c>
      <c r="E74" s="5" t="str">
        <f>IFERROR(__xludf.DUMMYFUNCTION("""COMPUTED_VALUE"""),"")</f>
        <v/>
      </c>
      <c r="F74" s="5" t="str">
        <f>IFERROR(__xludf.DUMMYFUNCTION("""COMPUTED_VALUE"""),"")</f>
        <v/>
      </c>
      <c r="G74" s="5" t="str">
        <f>IFERROR(__xludf.DUMMYFUNCTION("""COMPUTED_VALUE"""),"")</f>
        <v/>
      </c>
      <c r="H74" s="5" t="str">
        <f>IFERROR(__xludf.DUMMYFUNCTION("""COMPUTED_VALUE"""),"")</f>
        <v/>
      </c>
      <c r="I74" s="5" t="str">
        <f>IFERROR(__xludf.DUMMYFUNCTION("""COMPUTED_VALUE"""),"")</f>
        <v/>
      </c>
      <c r="J74" s="5" t="str">
        <f>IFERROR(__xludf.DUMMYFUNCTION("""COMPUTED_VALUE"""),"")</f>
        <v/>
      </c>
      <c r="K74" s="5" t="str">
        <f>IFERROR(__xludf.DUMMYFUNCTION("""COMPUTED_VALUE"""),"")</f>
        <v/>
      </c>
      <c r="L74" s="5" t="str">
        <f>IFERROR(__xludf.DUMMYFUNCTION("""COMPUTED_VALUE"""),"")</f>
        <v/>
      </c>
      <c r="M74" s="5" t="str">
        <f>IFERROR(__xludf.DUMMYFUNCTION("""COMPUTED_VALUE"""),"")</f>
        <v/>
      </c>
      <c r="N74" s="5" t="str">
        <f>IFERROR(__xludf.DUMMYFUNCTION("""COMPUTED_VALUE"""),"")</f>
        <v/>
      </c>
      <c r="O74" s="5" t="str">
        <f>IFERROR(__xludf.DUMMYFUNCTION("""COMPUTED_VALUE"""),"")</f>
        <v/>
      </c>
      <c r="P74" s="5" t="str">
        <f>IFERROR(__xludf.DUMMYFUNCTION("""COMPUTED_VALUE"""),"")</f>
        <v/>
      </c>
      <c r="Q74" s="5" t="str">
        <f>IFERROR(__xludf.DUMMYFUNCTION("""COMPUTED_VALUE"""),"")</f>
        <v/>
      </c>
      <c r="R74" s="5" t="str">
        <f>IFERROR(__xludf.DUMMYFUNCTION("""COMPUTED_VALUE"""),"")</f>
        <v/>
      </c>
      <c r="S74" s="5" t="str">
        <f>IFERROR(__xludf.DUMMYFUNCTION("""COMPUTED_VALUE"""),"")</f>
        <v/>
      </c>
      <c r="T74" s="5" t="str">
        <f>IFERROR(__xludf.DUMMYFUNCTION("""COMPUTED_VALUE"""),"")</f>
        <v/>
      </c>
      <c r="U74" s="5" t="str">
        <f>IFERROR(__xludf.DUMMYFUNCTION("""COMPUTED_VALUE"""),"")</f>
        <v/>
      </c>
      <c r="V74" s="5" t="str">
        <f>IFERROR(__xludf.DUMMYFUNCTION("""COMPUTED_VALUE"""),"")</f>
        <v/>
      </c>
      <c r="W74" s="5" t="str">
        <f>IFERROR(__xludf.DUMMYFUNCTION("""COMPUTED_VALUE"""),"")</f>
        <v/>
      </c>
      <c r="X74" s="5" t="str">
        <f>IFERROR(__xludf.DUMMYFUNCTION("""COMPUTED_VALUE"""),"")</f>
        <v/>
      </c>
      <c r="Y74" s="5"/>
      <c r="Z74" s="5"/>
    </row>
    <row r="75">
      <c r="A75" s="5" t="str">
        <f>IFERROR(__xludf.DUMMYFUNCTION("""COMPUTED_VALUE"""),"Bursting Hot 5")</f>
        <v>Bursting Hot 5</v>
      </c>
      <c r="B75" s="5" t="str">
        <f>IFERROR(__xludf.DUMMYFUNCTION("""COMPUTED_VALUE"""),"")</f>
        <v/>
      </c>
      <c r="C75" s="5" t="str">
        <f>IFERROR(__xludf.DUMMYFUNCTION("""COMPUTED_VALUE"""),"")</f>
        <v/>
      </c>
      <c r="D75" s="5" t="str">
        <f>IFERROR(__xludf.DUMMYFUNCTION("""COMPUTED_VALUE"""),"")</f>
        <v/>
      </c>
      <c r="E75" s="5" t="str">
        <f>IFERROR(__xludf.DUMMYFUNCTION("""COMPUTED_VALUE"""),"")</f>
        <v/>
      </c>
      <c r="F75" s="5" t="str">
        <f>IFERROR(__xludf.DUMMYFUNCTION("""COMPUTED_VALUE"""),"")</f>
        <v/>
      </c>
      <c r="G75" s="5" t="str">
        <f>IFERROR(__xludf.DUMMYFUNCTION("""COMPUTED_VALUE"""),"")</f>
        <v/>
      </c>
      <c r="H75" s="5" t="str">
        <f>IFERROR(__xludf.DUMMYFUNCTION("""COMPUTED_VALUE"""),"")</f>
        <v/>
      </c>
      <c r="I75" s="5" t="str">
        <f>IFERROR(__xludf.DUMMYFUNCTION("""COMPUTED_VALUE"""),"")</f>
        <v/>
      </c>
      <c r="J75" s="5" t="str">
        <f>IFERROR(__xludf.DUMMYFUNCTION("""COMPUTED_VALUE"""),"")</f>
        <v/>
      </c>
      <c r="K75" s="5" t="str">
        <f>IFERROR(__xludf.DUMMYFUNCTION("""COMPUTED_VALUE"""),"")</f>
        <v/>
      </c>
      <c r="L75" s="5" t="str">
        <f>IFERROR(__xludf.DUMMYFUNCTION("""COMPUTED_VALUE"""),"")</f>
        <v/>
      </c>
      <c r="M75" s="5" t="str">
        <f>IFERROR(__xludf.DUMMYFUNCTION("""COMPUTED_VALUE"""),"")</f>
        <v/>
      </c>
      <c r="N75" s="5" t="str">
        <f>IFERROR(__xludf.DUMMYFUNCTION("""COMPUTED_VALUE"""),"")</f>
        <v/>
      </c>
      <c r="O75" s="5" t="str">
        <f>IFERROR(__xludf.DUMMYFUNCTION("""COMPUTED_VALUE"""),"")</f>
        <v/>
      </c>
      <c r="P75" s="5" t="str">
        <f>IFERROR(__xludf.DUMMYFUNCTION("""COMPUTED_VALUE"""),"")</f>
        <v/>
      </c>
      <c r="Q75" s="5" t="str">
        <f>IFERROR(__xludf.DUMMYFUNCTION("""COMPUTED_VALUE"""),"")</f>
        <v/>
      </c>
      <c r="R75" s="5" t="str">
        <f>IFERROR(__xludf.DUMMYFUNCTION("""COMPUTED_VALUE"""),"")</f>
        <v/>
      </c>
      <c r="S75" s="5" t="str">
        <f>IFERROR(__xludf.DUMMYFUNCTION("""COMPUTED_VALUE"""),"")</f>
        <v/>
      </c>
      <c r="T75" s="5" t="str">
        <f>IFERROR(__xludf.DUMMYFUNCTION("""COMPUTED_VALUE"""),"")</f>
        <v/>
      </c>
      <c r="U75" s="5" t="str">
        <f>IFERROR(__xludf.DUMMYFUNCTION("""COMPUTED_VALUE"""),"")</f>
        <v/>
      </c>
      <c r="V75" s="5" t="str">
        <f>IFERROR(__xludf.DUMMYFUNCTION("""COMPUTED_VALUE"""),"")</f>
        <v/>
      </c>
      <c r="W75" s="5" t="str">
        <f>IFERROR(__xludf.DUMMYFUNCTION("""COMPUTED_VALUE"""),"")</f>
        <v/>
      </c>
      <c r="X75" s="5" t="str">
        <f>IFERROR(__xludf.DUMMYFUNCTION("""COMPUTED_VALUE"""),"")</f>
        <v/>
      </c>
      <c r="Y75" s="5"/>
      <c r="Z75" s="5"/>
    </row>
    <row r="76">
      <c r="A76" s="5" t="str">
        <f>IFERROR(__xludf.DUMMYFUNCTION("""COMPUTED_VALUE"""),"Wild Hot 40")</f>
        <v>Wild Hot 40</v>
      </c>
      <c r="B76" s="5" t="str">
        <f>IFERROR(__xludf.DUMMYFUNCTION("""COMPUTED_VALUE"""),"Available")</f>
        <v>Available</v>
      </c>
      <c r="C76" s="5" t="str">
        <f>IFERROR(__xludf.DUMMYFUNCTION("""COMPUTED_VALUE"""),"Available")</f>
        <v>Available</v>
      </c>
      <c r="D76" s="5" t="str">
        <f>IFERROR(__xludf.DUMMYFUNCTION("""COMPUTED_VALUE"""),"Available")</f>
        <v>Available</v>
      </c>
      <c r="E76" s="5" t="str">
        <f>IFERROR(__xludf.DUMMYFUNCTION("""COMPUTED_VALUE"""),"Available")</f>
        <v>Available</v>
      </c>
      <c r="F76" s="5" t="str">
        <f>IFERROR(__xludf.DUMMYFUNCTION("""COMPUTED_VALUE"""),"Available")</f>
        <v>Available</v>
      </c>
      <c r="G76" s="5" t="str">
        <f>IFERROR(__xludf.DUMMYFUNCTION("""COMPUTED_VALUE"""),"Available")</f>
        <v>Available</v>
      </c>
      <c r="H76" s="5" t="str">
        <f>IFERROR(__xludf.DUMMYFUNCTION("""COMPUTED_VALUE"""),"Available")</f>
        <v>Available</v>
      </c>
      <c r="I76" s="5" t="str">
        <f>IFERROR(__xludf.DUMMYFUNCTION("""COMPUTED_VALUE"""),"Available")</f>
        <v>Available</v>
      </c>
      <c r="J76" s="5" t="str">
        <f>IFERROR(__xludf.DUMMYFUNCTION("""COMPUTED_VALUE"""),"Available")</f>
        <v>Available</v>
      </c>
      <c r="K76" s="5" t="str">
        <f>IFERROR(__xludf.DUMMYFUNCTION("""COMPUTED_VALUE"""),"Available")</f>
        <v>Available</v>
      </c>
      <c r="L76" s="5" t="str">
        <f>IFERROR(__xludf.DUMMYFUNCTION("""COMPUTED_VALUE"""),"Available")</f>
        <v>Available</v>
      </c>
      <c r="M76" s="5" t="str">
        <f>IFERROR(__xludf.DUMMYFUNCTION("""COMPUTED_VALUE"""),"Available")</f>
        <v>Available</v>
      </c>
      <c r="N76" s="5" t="str">
        <f>IFERROR(__xludf.DUMMYFUNCTION("""COMPUTED_VALUE"""),"Available")</f>
        <v>Available</v>
      </c>
      <c r="O76" s="5" t="str">
        <f>IFERROR(__xludf.DUMMYFUNCTION("""COMPUTED_VALUE"""),"Available")</f>
        <v>Available</v>
      </c>
      <c r="P76" s="5" t="str">
        <f>IFERROR(__xludf.DUMMYFUNCTION("""COMPUTED_VALUE"""),"Available")</f>
        <v>Available</v>
      </c>
      <c r="Q76" s="5" t="str">
        <f>IFERROR(__xludf.DUMMYFUNCTION("""COMPUTED_VALUE"""),"Available")</f>
        <v>Available</v>
      </c>
      <c r="R76" s="5" t="str">
        <f>IFERROR(__xludf.DUMMYFUNCTION("""COMPUTED_VALUE"""),"Available")</f>
        <v>Available</v>
      </c>
      <c r="S76" s="5" t="str">
        <f>IFERROR(__xludf.DUMMYFUNCTION("""COMPUTED_VALUE"""),"In Certification")</f>
        <v>In Certification</v>
      </c>
      <c r="T76" s="5" t="str">
        <f>IFERROR(__xludf.DUMMYFUNCTION("""COMPUTED_VALUE"""),"Development")</f>
        <v>Development</v>
      </c>
      <c r="U76" s="5" t="str">
        <f>IFERROR(__xludf.DUMMYFUNCTION("""COMPUTED_VALUE"""),"Certified")</f>
        <v>Certified</v>
      </c>
      <c r="V76" s="5" t="str">
        <f>IFERROR(__xludf.DUMMYFUNCTION("""COMPUTED_VALUE"""),"Available")</f>
        <v>Available</v>
      </c>
      <c r="W76" s="5" t="str">
        <f>IFERROR(__xludf.DUMMYFUNCTION("""COMPUTED_VALUE"""),"Planned")</f>
        <v>Planned</v>
      </c>
      <c r="X76" s="5" t="str">
        <f>IFERROR(__xludf.DUMMYFUNCTION("""COMPUTED_VALUE"""),"")</f>
        <v/>
      </c>
      <c r="Y76" s="5"/>
      <c r="Z76" s="5"/>
    </row>
    <row r="77">
      <c r="A77" s="5" t="str">
        <f>IFERROR(__xludf.DUMMYFUNCTION("""COMPUTED_VALUE"""),"Burning Ice Gd")</f>
        <v>Burning Ice Gd</v>
      </c>
      <c r="B77" s="5" t="str">
        <f>IFERROR(__xludf.DUMMYFUNCTION("""COMPUTED_VALUE"""),"")</f>
        <v/>
      </c>
      <c r="C77" s="5" t="str">
        <f>IFERROR(__xludf.DUMMYFUNCTION("""COMPUTED_VALUE"""),"")</f>
        <v/>
      </c>
      <c r="D77" s="5" t="str">
        <f>IFERROR(__xludf.DUMMYFUNCTION("""COMPUTED_VALUE"""),"")</f>
        <v/>
      </c>
      <c r="E77" s="5" t="str">
        <f>IFERROR(__xludf.DUMMYFUNCTION("""COMPUTED_VALUE"""),"")</f>
        <v/>
      </c>
      <c r="F77" s="5" t="str">
        <f>IFERROR(__xludf.DUMMYFUNCTION("""COMPUTED_VALUE"""),"")</f>
        <v/>
      </c>
      <c r="G77" s="5" t="str">
        <f>IFERROR(__xludf.DUMMYFUNCTION("""COMPUTED_VALUE"""),"")</f>
        <v/>
      </c>
      <c r="H77" s="5" t="str">
        <f>IFERROR(__xludf.DUMMYFUNCTION("""COMPUTED_VALUE"""),"")</f>
        <v/>
      </c>
      <c r="I77" s="5" t="str">
        <f>IFERROR(__xludf.DUMMYFUNCTION("""COMPUTED_VALUE"""),"")</f>
        <v/>
      </c>
      <c r="J77" s="5" t="str">
        <f>IFERROR(__xludf.DUMMYFUNCTION("""COMPUTED_VALUE"""),"")</f>
        <v/>
      </c>
      <c r="K77" s="5" t="str">
        <f>IFERROR(__xludf.DUMMYFUNCTION("""COMPUTED_VALUE"""),"")</f>
        <v/>
      </c>
      <c r="L77" s="5" t="str">
        <f>IFERROR(__xludf.DUMMYFUNCTION("""COMPUTED_VALUE"""),"")</f>
        <v/>
      </c>
      <c r="M77" s="5" t="str">
        <f>IFERROR(__xludf.DUMMYFUNCTION("""COMPUTED_VALUE"""),"")</f>
        <v/>
      </c>
      <c r="N77" s="5" t="str">
        <f>IFERROR(__xludf.DUMMYFUNCTION("""COMPUTED_VALUE"""),"")</f>
        <v/>
      </c>
      <c r="O77" s="5" t="str">
        <f>IFERROR(__xludf.DUMMYFUNCTION("""COMPUTED_VALUE"""),"")</f>
        <v/>
      </c>
      <c r="P77" s="5" t="str">
        <f>IFERROR(__xludf.DUMMYFUNCTION("""COMPUTED_VALUE"""),"")</f>
        <v/>
      </c>
      <c r="Q77" s="5" t="str">
        <f>IFERROR(__xludf.DUMMYFUNCTION("""COMPUTED_VALUE"""),"")</f>
        <v/>
      </c>
      <c r="R77" s="5" t="str">
        <f>IFERROR(__xludf.DUMMYFUNCTION("""COMPUTED_VALUE"""),"")</f>
        <v/>
      </c>
      <c r="S77" s="5" t="str">
        <f>IFERROR(__xludf.DUMMYFUNCTION("""COMPUTED_VALUE"""),"")</f>
        <v/>
      </c>
      <c r="T77" s="5" t="str">
        <f>IFERROR(__xludf.DUMMYFUNCTION("""COMPUTED_VALUE"""),"")</f>
        <v/>
      </c>
      <c r="U77" s="5" t="str">
        <f>IFERROR(__xludf.DUMMYFUNCTION("""COMPUTED_VALUE"""),"")</f>
        <v/>
      </c>
      <c r="V77" s="5" t="str">
        <f>IFERROR(__xludf.DUMMYFUNCTION("""COMPUTED_VALUE"""),"")</f>
        <v/>
      </c>
      <c r="W77" s="5" t="str">
        <f>IFERROR(__xludf.DUMMYFUNCTION("""COMPUTED_VALUE"""),"")</f>
        <v/>
      </c>
      <c r="X77" s="5" t="str">
        <f>IFERROR(__xludf.DUMMYFUNCTION("""COMPUTED_VALUE"""),"")</f>
        <v/>
      </c>
      <c r="Y77" s="5"/>
      <c r="Z77" s="5"/>
    </row>
    <row r="78">
      <c r="A78" s="5" t="str">
        <f>IFERROR(__xludf.DUMMYFUNCTION("""COMPUTED_VALUE"""),"Reel Dice")</f>
        <v>Reel Dice</v>
      </c>
      <c r="B78" s="5" t="str">
        <f>IFERROR(__xludf.DUMMYFUNCTION("""COMPUTED_VALUE"""),"")</f>
        <v/>
      </c>
      <c r="C78" s="5" t="str">
        <f>IFERROR(__xludf.DUMMYFUNCTION("""COMPUTED_VALUE"""),"")</f>
        <v/>
      </c>
      <c r="D78" s="5" t="str">
        <f>IFERROR(__xludf.DUMMYFUNCTION("""COMPUTED_VALUE"""),"")</f>
        <v/>
      </c>
      <c r="E78" s="5" t="str">
        <f>IFERROR(__xludf.DUMMYFUNCTION("""COMPUTED_VALUE"""),"")</f>
        <v/>
      </c>
      <c r="F78" s="5" t="str">
        <f>IFERROR(__xludf.DUMMYFUNCTION("""COMPUTED_VALUE"""),"")</f>
        <v/>
      </c>
      <c r="G78" s="5" t="str">
        <f>IFERROR(__xludf.DUMMYFUNCTION("""COMPUTED_VALUE"""),"")</f>
        <v/>
      </c>
      <c r="H78" s="5" t="str">
        <f>IFERROR(__xludf.DUMMYFUNCTION("""COMPUTED_VALUE"""),"")</f>
        <v/>
      </c>
      <c r="I78" s="5" t="str">
        <f>IFERROR(__xludf.DUMMYFUNCTION("""COMPUTED_VALUE"""),"")</f>
        <v/>
      </c>
      <c r="J78" s="5" t="str">
        <f>IFERROR(__xludf.DUMMYFUNCTION("""COMPUTED_VALUE"""),"")</f>
        <v/>
      </c>
      <c r="K78" s="5" t="str">
        <f>IFERROR(__xludf.DUMMYFUNCTION("""COMPUTED_VALUE"""),"")</f>
        <v/>
      </c>
      <c r="L78" s="5" t="str">
        <f>IFERROR(__xludf.DUMMYFUNCTION("""COMPUTED_VALUE"""),"")</f>
        <v/>
      </c>
      <c r="M78" s="5" t="str">
        <f>IFERROR(__xludf.DUMMYFUNCTION("""COMPUTED_VALUE"""),"")</f>
        <v/>
      </c>
      <c r="N78" s="5" t="str">
        <f>IFERROR(__xludf.DUMMYFUNCTION("""COMPUTED_VALUE"""),"")</f>
        <v/>
      </c>
      <c r="O78" s="5" t="str">
        <f>IFERROR(__xludf.DUMMYFUNCTION("""COMPUTED_VALUE"""),"")</f>
        <v/>
      </c>
      <c r="P78" s="5" t="str">
        <f>IFERROR(__xludf.DUMMYFUNCTION("""COMPUTED_VALUE"""),"")</f>
        <v/>
      </c>
      <c r="Q78" s="5" t="str">
        <f>IFERROR(__xludf.DUMMYFUNCTION("""COMPUTED_VALUE"""),"")</f>
        <v/>
      </c>
      <c r="R78" s="5" t="str">
        <f>IFERROR(__xludf.DUMMYFUNCTION("""COMPUTED_VALUE"""),"")</f>
        <v/>
      </c>
      <c r="S78" s="5" t="str">
        <f>IFERROR(__xludf.DUMMYFUNCTION("""COMPUTED_VALUE"""),"")</f>
        <v/>
      </c>
      <c r="T78" s="5" t="str">
        <f>IFERROR(__xludf.DUMMYFUNCTION("""COMPUTED_VALUE"""),"")</f>
        <v/>
      </c>
      <c r="U78" s="5" t="str">
        <f>IFERROR(__xludf.DUMMYFUNCTION("""COMPUTED_VALUE"""),"")</f>
        <v/>
      </c>
      <c r="V78" s="5" t="str">
        <f>IFERROR(__xludf.DUMMYFUNCTION("""COMPUTED_VALUE"""),"")</f>
        <v/>
      </c>
      <c r="W78" s="5" t="str">
        <f>IFERROR(__xludf.DUMMYFUNCTION("""COMPUTED_VALUE"""),"")</f>
        <v/>
      </c>
      <c r="X78" s="5" t="str">
        <f>IFERROR(__xludf.DUMMYFUNCTION("""COMPUTED_VALUE"""),"")</f>
        <v/>
      </c>
      <c r="Y78" s="5"/>
      <c r="Z78" s="5"/>
    </row>
    <row r="79">
      <c r="A79" s="5" t="str">
        <f>IFERROR(__xludf.DUMMYFUNCTION("""COMPUTED_VALUE"""),"Bursting Hot 40")</f>
        <v>Bursting Hot 40</v>
      </c>
      <c r="B79" s="5" t="str">
        <f>IFERROR(__xludf.DUMMYFUNCTION("""COMPUTED_VALUE"""),"")</f>
        <v/>
      </c>
      <c r="C79" s="5" t="str">
        <f>IFERROR(__xludf.DUMMYFUNCTION("""COMPUTED_VALUE"""),"")</f>
        <v/>
      </c>
      <c r="D79" s="5" t="str">
        <f>IFERROR(__xludf.DUMMYFUNCTION("""COMPUTED_VALUE"""),"")</f>
        <v/>
      </c>
      <c r="E79" s="5" t="str">
        <f>IFERROR(__xludf.DUMMYFUNCTION("""COMPUTED_VALUE"""),"")</f>
        <v/>
      </c>
      <c r="F79" s="5" t="str">
        <f>IFERROR(__xludf.DUMMYFUNCTION("""COMPUTED_VALUE"""),"")</f>
        <v/>
      </c>
      <c r="G79" s="5" t="str">
        <f>IFERROR(__xludf.DUMMYFUNCTION("""COMPUTED_VALUE"""),"")</f>
        <v/>
      </c>
      <c r="H79" s="5" t="str">
        <f>IFERROR(__xludf.DUMMYFUNCTION("""COMPUTED_VALUE"""),"")</f>
        <v/>
      </c>
      <c r="I79" s="5" t="str">
        <f>IFERROR(__xludf.DUMMYFUNCTION("""COMPUTED_VALUE"""),"")</f>
        <v/>
      </c>
      <c r="J79" s="5" t="str">
        <f>IFERROR(__xludf.DUMMYFUNCTION("""COMPUTED_VALUE"""),"")</f>
        <v/>
      </c>
      <c r="K79" s="5" t="str">
        <f>IFERROR(__xludf.DUMMYFUNCTION("""COMPUTED_VALUE"""),"")</f>
        <v/>
      </c>
      <c r="L79" s="5" t="str">
        <f>IFERROR(__xludf.DUMMYFUNCTION("""COMPUTED_VALUE"""),"")</f>
        <v/>
      </c>
      <c r="M79" s="5" t="str">
        <f>IFERROR(__xludf.DUMMYFUNCTION("""COMPUTED_VALUE"""),"")</f>
        <v/>
      </c>
      <c r="N79" s="5" t="str">
        <f>IFERROR(__xludf.DUMMYFUNCTION("""COMPUTED_VALUE"""),"")</f>
        <v/>
      </c>
      <c r="O79" s="5" t="str">
        <f>IFERROR(__xludf.DUMMYFUNCTION("""COMPUTED_VALUE"""),"")</f>
        <v/>
      </c>
      <c r="P79" s="5" t="str">
        <f>IFERROR(__xludf.DUMMYFUNCTION("""COMPUTED_VALUE"""),"")</f>
        <v/>
      </c>
      <c r="Q79" s="5" t="str">
        <f>IFERROR(__xludf.DUMMYFUNCTION("""COMPUTED_VALUE"""),"")</f>
        <v/>
      </c>
      <c r="R79" s="5" t="str">
        <f>IFERROR(__xludf.DUMMYFUNCTION("""COMPUTED_VALUE"""),"")</f>
        <v/>
      </c>
      <c r="S79" s="5" t="str">
        <f>IFERROR(__xludf.DUMMYFUNCTION("""COMPUTED_VALUE"""),"")</f>
        <v/>
      </c>
      <c r="T79" s="5" t="str">
        <f>IFERROR(__xludf.DUMMYFUNCTION("""COMPUTED_VALUE"""),"")</f>
        <v/>
      </c>
      <c r="U79" s="5" t="str">
        <f>IFERROR(__xludf.DUMMYFUNCTION("""COMPUTED_VALUE"""),"")</f>
        <v/>
      </c>
      <c r="V79" s="5" t="str">
        <f>IFERROR(__xludf.DUMMYFUNCTION("""COMPUTED_VALUE"""),"")</f>
        <v/>
      </c>
      <c r="W79" s="5" t="str">
        <f>IFERROR(__xludf.DUMMYFUNCTION("""COMPUTED_VALUE"""),"")</f>
        <v/>
      </c>
      <c r="X79" s="5" t="str">
        <f>IFERROR(__xludf.DUMMYFUNCTION("""COMPUTED_VALUE"""),"")</f>
        <v/>
      </c>
      <c r="Y79" s="5"/>
      <c r="Z79" s="5"/>
    </row>
    <row r="80">
      <c r="A80" s="5" t="str">
        <f>IFERROR(__xludf.DUMMYFUNCTION("""COMPUTED_VALUE"""),"Buffalo Fortune")</f>
        <v>Buffalo Fortune</v>
      </c>
      <c r="B80" s="5" t="str">
        <f>IFERROR(__xludf.DUMMYFUNCTION("""COMPUTED_VALUE"""),"")</f>
        <v/>
      </c>
      <c r="C80" s="5" t="str">
        <f>IFERROR(__xludf.DUMMYFUNCTION("""COMPUTED_VALUE"""),"")</f>
        <v/>
      </c>
      <c r="D80" s="5" t="str">
        <f>IFERROR(__xludf.DUMMYFUNCTION("""COMPUTED_VALUE"""),"")</f>
        <v/>
      </c>
      <c r="E80" s="5" t="str">
        <f>IFERROR(__xludf.DUMMYFUNCTION("""COMPUTED_VALUE"""),"")</f>
        <v/>
      </c>
      <c r="F80" s="5" t="str">
        <f>IFERROR(__xludf.DUMMYFUNCTION("""COMPUTED_VALUE"""),"")</f>
        <v/>
      </c>
      <c r="G80" s="5" t="str">
        <f>IFERROR(__xludf.DUMMYFUNCTION("""COMPUTED_VALUE"""),"")</f>
        <v/>
      </c>
      <c r="H80" s="5" t="str">
        <f>IFERROR(__xludf.DUMMYFUNCTION("""COMPUTED_VALUE"""),"")</f>
        <v/>
      </c>
      <c r="I80" s="5" t="str">
        <f>IFERROR(__xludf.DUMMYFUNCTION("""COMPUTED_VALUE"""),"")</f>
        <v/>
      </c>
      <c r="J80" s="5" t="str">
        <f>IFERROR(__xludf.DUMMYFUNCTION("""COMPUTED_VALUE"""),"")</f>
        <v/>
      </c>
      <c r="K80" s="5" t="str">
        <f>IFERROR(__xludf.DUMMYFUNCTION("""COMPUTED_VALUE"""),"")</f>
        <v/>
      </c>
      <c r="L80" s="5" t="str">
        <f>IFERROR(__xludf.DUMMYFUNCTION("""COMPUTED_VALUE"""),"")</f>
        <v/>
      </c>
      <c r="M80" s="5" t="str">
        <f>IFERROR(__xludf.DUMMYFUNCTION("""COMPUTED_VALUE"""),"")</f>
        <v/>
      </c>
      <c r="N80" s="5" t="str">
        <f>IFERROR(__xludf.DUMMYFUNCTION("""COMPUTED_VALUE"""),"")</f>
        <v/>
      </c>
      <c r="O80" s="5" t="str">
        <f>IFERROR(__xludf.DUMMYFUNCTION("""COMPUTED_VALUE"""),"")</f>
        <v/>
      </c>
      <c r="P80" s="5" t="str">
        <f>IFERROR(__xludf.DUMMYFUNCTION("""COMPUTED_VALUE"""),"")</f>
        <v/>
      </c>
      <c r="Q80" s="5" t="str">
        <f>IFERROR(__xludf.DUMMYFUNCTION("""COMPUTED_VALUE"""),"")</f>
        <v/>
      </c>
      <c r="R80" s="5" t="str">
        <f>IFERROR(__xludf.DUMMYFUNCTION("""COMPUTED_VALUE"""),"")</f>
        <v/>
      </c>
      <c r="S80" s="5" t="str">
        <f>IFERROR(__xludf.DUMMYFUNCTION("""COMPUTED_VALUE"""),"")</f>
        <v/>
      </c>
      <c r="T80" s="5" t="str">
        <f>IFERROR(__xludf.DUMMYFUNCTION("""COMPUTED_VALUE"""),"")</f>
        <v/>
      </c>
      <c r="U80" s="5" t="str">
        <f>IFERROR(__xludf.DUMMYFUNCTION("""COMPUTED_VALUE"""),"")</f>
        <v/>
      </c>
      <c r="V80" s="5" t="str">
        <f>IFERROR(__xludf.DUMMYFUNCTION("""COMPUTED_VALUE"""),"")</f>
        <v/>
      </c>
      <c r="W80" s="5" t="str">
        <f>IFERROR(__xludf.DUMMYFUNCTION("""COMPUTED_VALUE"""),"")</f>
        <v/>
      </c>
      <c r="X80" s="5" t="str">
        <f>IFERROR(__xludf.DUMMYFUNCTION("""COMPUTED_VALUE"""),"")</f>
        <v/>
      </c>
      <c r="Y80" s="5"/>
      <c r="Z80" s="5"/>
    </row>
    <row r="81">
      <c r="A81" s="5" t="str">
        <f>IFERROR(__xludf.DUMMYFUNCTION("""COMPUTED_VALUE"""),"Dolphin's Shine")</f>
        <v>Dolphin's Shine</v>
      </c>
      <c r="B81" s="5" t="str">
        <f>IFERROR(__xludf.DUMMYFUNCTION("""COMPUTED_VALUE"""),"")</f>
        <v/>
      </c>
      <c r="C81" s="5" t="str">
        <f>IFERROR(__xludf.DUMMYFUNCTION("""COMPUTED_VALUE"""),"")</f>
        <v/>
      </c>
      <c r="D81" s="5" t="str">
        <f>IFERROR(__xludf.DUMMYFUNCTION("""COMPUTED_VALUE"""),"Available")</f>
        <v>Available</v>
      </c>
      <c r="E81" s="5" t="str">
        <f>IFERROR(__xludf.DUMMYFUNCTION("""COMPUTED_VALUE"""),"")</f>
        <v/>
      </c>
      <c r="F81" s="5" t="str">
        <f>IFERROR(__xludf.DUMMYFUNCTION("""COMPUTED_VALUE"""),"Available")</f>
        <v>Available</v>
      </c>
      <c r="G81" s="5" t="str">
        <f>IFERROR(__xludf.DUMMYFUNCTION("""COMPUTED_VALUE"""),"Available")</f>
        <v>Available</v>
      </c>
      <c r="H81" s="5" t="str">
        <f>IFERROR(__xludf.DUMMYFUNCTION("""COMPUTED_VALUE"""),"Available")</f>
        <v>Available</v>
      </c>
      <c r="I81" s="5" t="str">
        <f>IFERROR(__xludf.DUMMYFUNCTION("""COMPUTED_VALUE"""),"Available")</f>
        <v>Available</v>
      </c>
      <c r="J81" s="5" t="str">
        <f>IFERROR(__xludf.DUMMYFUNCTION("""COMPUTED_VALUE"""),"")</f>
        <v/>
      </c>
      <c r="K81" s="5" t="str">
        <f>IFERROR(__xludf.DUMMYFUNCTION("""COMPUTED_VALUE"""),"")</f>
        <v/>
      </c>
      <c r="L81" s="5" t="str">
        <f>IFERROR(__xludf.DUMMYFUNCTION("""COMPUTED_VALUE"""),"")</f>
        <v/>
      </c>
      <c r="M81" s="5" t="str">
        <f>IFERROR(__xludf.DUMMYFUNCTION("""COMPUTED_VALUE"""),"")</f>
        <v/>
      </c>
      <c r="N81" s="5" t="str">
        <f>IFERROR(__xludf.DUMMYFUNCTION("""COMPUTED_VALUE"""),"")</f>
        <v/>
      </c>
      <c r="O81" s="5" t="str">
        <f>IFERROR(__xludf.DUMMYFUNCTION("""COMPUTED_VALUE"""),"")</f>
        <v/>
      </c>
      <c r="P81" s="5" t="str">
        <f>IFERROR(__xludf.DUMMYFUNCTION("""COMPUTED_VALUE"""),"Available")</f>
        <v>Available</v>
      </c>
      <c r="Q81" s="5" t="str">
        <f>IFERROR(__xludf.DUMMYFUNCTION("""COMPUTED_VALUE"""),"Available")</f>
        <v>Available</v>
      </c>
      <c r="R81" s="5" t="str">
        <f>IFERROR(__xludf.DUMMYFUNCTION("""COMPUTED_VALUE"""),"")</f>
        <v/>
      </c>
      <c r="S81" s="5" t="str">
        <f>IFERROR(__xludf.DUMMYFUNCTION("""COMPUTED_VALUE"""),"")</f>
        <v/>
      </c>
      <c r="T81" s="5" t="str">
        <f>IFERROR(__xludf.DUMMYFUNCTION("""COMPUTED_VALUE"""),"")</f>
        <v/>
      </c>
      <c r="U81" s="5" t="str">
        <f>IFERROR(__xludf.DUMMYFUNCTION("""COMPUTED_VALUE"""),"")</f>
        <v/>
      </c>
      <c r="V81" s="5" t="str">
        <f>IFERROR(__xludf.DUMMYFUNCTION("""COMPUTED_VALUE"""),"")</f>
        <v/>
      </c>
      <c r="W81" s="5" t="str">
        <f>IFERROR(__xludf.DUMMYFUNCTION("""COMPUTED_VALUE"""),"")</f>
        <v/>
      </c>
      <c r="X81" s="5" t="str">
        <f>IFERROR(__xludf.DUMMYFUNCTION("""COMPUTED_VALUE"""),"")</f>
        <v/>
      </c>
      <c r="Y81" s="5"/>
      <c r="Z81" s="5"/>
    </row>
    <row r="82">
      <c r="A82" s="5" t="str">
        <f>IFERROR(__xludf.DUMMYFUNCTION("""COMPUTED_VALUE"""),"Golden Crown")</f>
        <v>Golden Crown</v>
      </c>
      <c r="B82" s="5" t="str">
        <f>IFERROR(__xludf.DUMMYFUNCTION("""COMPUTED_VALUE"""),"Available")</f>
        <v>Available</v>
      </c>
      <c r="C82" s="5" t="str">
        <f>IFERROR(__xludf.DUMMYFUNCTION("""COMPUTED_VALUE"""),"Available")</f>
        <v>Available</v>
      </c>
      <c r="D82" s="5" t="str">
        <f>IFERROR(__xludf.DUMMYFUNCTION("""COMPUTED_VALUE"""),"Available")</f>
        <v>Available</v>
      </c>
      <c r="E82" s="5" t="str">
        <f>IFERROR(__xludf.DUMMYFUNCTION("""COMPUTED_VALUE"""),"Available")</f>
        <v>Available</v>
      </c>
      <c r="F82" s="5" t="str">
        <f>IFERROR(__xludf.DUMMYFUNCTION("""COMPUTED_VALUE"""),"Available")</f>
        <v>Available</v>
      </c>
      <c r="G82" s="5" t="str">
        <f>IFERROR(__xludf.DUMMYFUNCTION("""COMPUTED_VALUE"""),"Available")</f>
        <v>Available</v>
      </c>
      <c r="H82" s="5" t="str">
        <f>IFERROR(__xludf.DUMMYFUNCTION("""COMPUTED_VALUE"""),"Available")</f>
        <v>Available</v>
      </c>
      <c r="I82" s="5" t="str">
        <f>IFERROR(__xludf.DUMMYFUNCTION("""COMPUTED_VALUE"""),"Available")</f>
        <v>Available</v>
      </c>
      <c r="J82" s="5" t="str">
        <f>IFERROR(__xludf.DUMMYFUNCTION("""COMPUTED_VALUE"""),"Available")</f>
        <v>Available</v>
      </c>
      <c r="K82" s="5" t="str">
        <f>IFERROR(__xludf.DUMMYFUNCTION("""COMPUTED_VALUE"""),"Available")</f>
        <v>Available</v>
      </c>
      <c r="L82" s="5" t="str">
        <f>IFERROR(__xludf.DUMMYFUNCTION("""COMPUTED_VALUE"""),"Available")</f>
        <v>Available</v>
      </c>
      <c r="M82" s="5" t="str">
        <f>IFERROR(__xludf.DUMMYFUNCTION("""COMPUTED_VALUE"""),"Available")</f>
        <v>Available</v>
      </c>
      <c r="N82" s="5" t="str">
        <f>IFERROR(__xludf.DUMMYFUNCTION("""COMPUTED_VALUE"""),"Available")</f>
        <v>Available</v>
      </c>
      <c r="O82" s="5" t="str">
        <f>IFERROR(__xludf.DUMMYFUNCTION("""COMPUTED_VALUE"""),"Available")</f>
        <v>Available</v>
      </c>
      <c r="P82" s="5" t="str">
        <f>IFERROR(__xludf.DUMMYFUNCTION("""COMPUTED_VALUE"""),"Available")</f>
        <v>Available</v>
      </c>
      <c r="Q82" s="5" t="str">
        <f>IFERROR(__xludf.DUMMYFUNCTION("""COMPUTED_VALUE"""),"Available")</f>
        <v>Available</v>
      </c>
      <c r="R82" s="5" t="str">
        <f>IFERROR(__xludf.DUMMYFUNCTION("""COMPUTED_VALUE"""),"Retired")</f>
        <v>Retired</v>
      </c>
      <c r="S82" s="5" t="str">
        <f>IFERROR(__xludf.DUMMYFUNCTION("""COMPUTED_VALUE"""),"In Certification")</f>
        <v>In Certification</v>
      </c>
      <c r="T82" s="5" t="str">
        <f>IFERROR(__xludf.DUMMYFUNCTION("""COMPUTED_VALUE"""),"Development")</f>
        <v>Development</v>
      </c>
      <c r="U82" s="5" t="str">
        <f>IFERROR(__xludf.DUMMYFUNCTION("""COMPUTED_VALUE"""),"Certified")</f>
        <v>Certified</v>
      </c>
      <c r="V82" s="5" t="str">
        <f>IFERROR(__xludf.DUMMYFUNCTION("""COMPUTED_VALUE"""),"Available")</f>
        <v>Available</v>
      </c>
      <c r="W82" s="5" t="str">
        <f>IFERROR(__xludf.DUMMYFUNCTION("""COMPUTED_VALUE"""),"Planned")</f>
        <v>Planned</v>
      </c>
      <c r="X82" s="5" t="str">
        <f>IFERROR(__xludf.DUMMYFUNCTION("""COMPUTED_VALUE"""),"")</f>
        <v/>
      </c>
      <c r="Y82" s="5"/>
      <c r="Z82" s="5"/>
    </row>
    <row r="83">
      <c r="A83" s="5" t="str">
        <f>IFERROR(__xludf.DUMMYFUNCTION("""COMPUTED_VALUE"""),"Crystal Hot 40 1X")</f>
        <v>Crystal Hot 40 1X</v>
      </c>
      <c r="B83" s="5" t="str">
        <f>IFERROR(__xludf.DUMMYFUNCTION("""COMPUTED_VALUE"""),"")</f>
        <v/>
      </c>
      <c r="C83" s="5" t="str">
        <f>IFERROR(__xludf.DUMMYFUNCTION("""COMPUTED_VALUE"""),"")</f>
        <v/>
      </c>
      <c r="D83" s="5" t="str">
        <f>IFERROR(__xludf.DUMMYFUNCTION("""COMPUTED_VALUE"""),"")</f>
        <v/>
      </c>
      <c r="E83" s="5" t="str">
        <f>IFERROR(__xludf.DUMMYFUNCTION("""COMPUTED_VALUE"""),"")</f>
        <v/>
      </c>
      <c r="F83" s="5" t="str">
        <f>IFERROR(__xludf.DUMMYFUNCTION("""COMPUTED_VALUE"""),"")</f>
        <v/>
      </c>
      <c r="G83" s="5" t="str">
        <f>IFERROR(__xludf.DUMMYFUNCTION("""COMPUTED_VALUE"""),"")</f>
        <v/>
      </c>
      <c r="H83" s="5" t="str">
        <f>IFERROR(__xludf.DUMMYFUNCTION("""COMPUTED_VALUE"""),"")</f>
        <v/>
      </c>
      <c r="I83" s="5" t="str">
        <f>IFERROR(__xludf.DUMMYFUNCTION("""COMPUTED_VALUE"""),"")</f>
        <v/>
      </c>
      <c r="J83" s="5" t="str">
        <f>IFERROR(__xludf.DUMMYFUNCTION("""COMPUTED_VALUE"""),"")</f>
        <v/>
      </c>
      <c r="K83" s="5" t="str">
        <f>IFERROR(__xludf.DUMMYFUNCTION("""COMPUTED_VALUE"""),"")</f>
        <v/>
      </c>
      <c r="L83" s="5" t="str">
        <f>IFERROR(__xludf.DUMMYFUNCTION("""COMPUTED_VALUE"""),"")</f>
        <v/>
      </c>
      <c r="M83" s="5" t="str">
        <f>IFERROR(__xludf.DUMMYFUNCTION("""COMPUTED_VALUE"""),"")</f>
        <v/>
      </c>
      <c r="N83" s="5" t="str">
        <f>IFERROR(__xludf.DUMMYFUNCTION("""COMPUTED_VALUE"""),"")</f>
        <v/>
      </c>
      <c r="O83" s="5" t="str">
        <f>IFERROR(__xludf.DUMMYFUNCTION("""COMPUTED_VALUE"""),"")</f>
        <v/>
      </c>
      <c r="P83" s="5" t="str">
        <f>IFERROR(__xludf.DUMMYFUNCTION("""COMPUTED_VALUE"""),"")</f>
        <v/>
      </c>
      <c r="Q83" s="5" t="str">
        <f>IFERROR(__xludf.DUMMYFUNCTION("""COMPUTED_VALUE"""),"")</f>
        <v/>
      </c>
      <c r="R83" s="5" t="str">
        <f>IFERROR(__xludf.DUMMYFUNCTION("""COMPUTED_VALUE"""),"")</f>
        <v/>
      </c>
      <c r="S83" s="5" t="str">
        <f>IFERROR(__xludf.DUMMYFUNCTION("""COMPUTED_VALUE"""),"")</f>
        <v/>
      </c>
      <c r="T83" s="5" t="str">
        <f>IFERROR(__xludf.DUMMYFUNCTION("""COMPUTED_VALUE"""),"")</f>
        <v/>
      </c>
      <c r="U83" s="5" t="str">
        <f>IFERROR(__xludf.DUMMYFUNCTION("""COMPUTED_VALUE"""),"")</f>
        <v/>
      </c>
      <c r="V83" s="5" t="str">
        <f>IFERROR(__xludf.DUMMYFUNCTION("""COMPUTED_VALUE"""),"")</f>
        <v/>
      </c>
      <c r="W83" s="5" t="str">
        <f>IFERROR(__xludf.DUMMYFUNCTION("""COMPUTED_VALUE"""),"")</f>
        <v/>
      </c>
      <c r="X83" s="5" t="str">
        <f>IFERROR(__xludf.DUMMYFUNCTION("""COMPUTED_VALUE"""),"")</f>
        <v/>
      </c>
      <c r="Y83" s="5"/>
      <c r="Z83" s="5"/>
    </row>
    <row r="84">
      <c r="A84" s="5" t="str">
        <f>IFERROR(__xludf.DUMMYFUNCTION("""COMPUTED_VALUE"""),"40 Wild Clover")</f>
        <v>40 Wild Clover</v>
      </c>
      <c r="B84" s="5" t="str">
        <f>IFERROR(__xludf.DUMMYFUNCTION("""COMPUTED_VALUE"""),"")</f>
        <v/>
      </c>
      <c r="C84" s="5" t="str">
        <f>IFERROR(__xludf.DUMMYFUNCTION("""COMPUTED_VALUE"""),"")</f>
        <v/>
      </c>
      <c r="D84" s="5" t="str">
        <f>IFERROR(__xludf.DUMMYFUNCTION("""COMPUTED_VALUE"""),"Retired")</f>
        <v>Retired</v>
      </c>
      <c r="E84" s="5" t="str">
        <f>IFERROR(__xludf.DUMMYFUNCTION("""COMPUTED_VALUE"""),"")</f>
        <v/>
      </c>
      <c r="F84" s="5" t="str">
        <f>IFERROR(__xludf.DUMMYFUNCTION("""COMPUTED_VALUE"""),"Available")</f>
        <v>Available</v>
      </c>
      <c r="G84" s="5" t="str">
        <f>IFERROR(__xludf.DUMMYFUNCTION("""COMPUTED_VALUE"""),"Available")</f>
        <v>Available</v>
      </c>
      <c r="H84" s="5" t="str">
        <f>IFERROR(__xludf.DUMMYFUNCTION("""COMPUTED_VALUE"""),"Available")</f>
        <v>Available</v>
      </c>
      <c r="I84" s="5" t="str">
        <f>IFERROR(__xludf.DUMMYFUNCTION("""COMPUTED_VALUE"""),"")</f>
        <v/>
      </c>
      <c r="J84" s="5" t="str">
        <f>IFERROR(__xludf.DUMMYFUNCTION("""COMPUTED_VALUE"""),"")</f>
        <v/>
      </c>
      <c r="K84" s="5" t="str">
        <f>IFERROR(__xludf.DUMMYFUNCTION("""COMPUTED_VALUE"""),"")</f>
        <v/>
      </c>
      <c r="L84" s="5" t="str">
        <f>IFERROR(__xludf.DUMMYFUNCTION("""COMPUTED_VALUE"""),"")</f>
        <v/>
      </c>
      <c r="M84" s="5" t="str">
        <f>IFERROR(__xludf.DUMMYFUNCTION("""COMPUTED_VALUE"""),"")</f>
        <v/>
      </c>
      <c r="N84" s="5" t="str">
        <f>IFERROR(__xludf.DUMMYFUNCTION("""COMPUTED_VALUE"""),"")</f>
        <v/>
      </c>
      <c r="O84" s="5" t="str">
        <f>IFERROR(__xludf.DUMMYFUNCTION("""COMPUTED_VALUE"""),"")</f>
        <v/>
      </c>
      <c r="P84" s="5" t="str">
        <f>IFERROR(__xludf.DUMMYFUNCTION("""COMPUTED_VALUE"""),"Development")</f>
        <v>Development</v>
      </c>
      <c r="Q84" s="5" t="str">
        <f>IFERROR(__xludf.DUMMYFUNCTION("""COMPUTED_VALUE"""),"Available")</f>
        <v>Available</v>
      </c>
      <c r="R84" s="5" t="str">
        <f>IFERROR(__xludf.DUMMYFUNCTION("""COMPUTED_VALUE"""),"")</f>
        <v/>
      </c>
      <c r="S84" s="5" t="str">
        <f>IFERROR(__xludf.DUMMYFUNCTION("""COMPUTED_VALUE"""),"")</f>
        <v/>
      </c>
      <c r="T84" s="5" t="str">
        <f>IFERROR(__xludf.DUMMYFUNCTION("""COMPUTED_VALUE"""),"")</f>
        <v/>
      </c>
      <c r="U84" s="5" t="str">
        <f>IFERROR(__xludf.DUMMYFUNCTION("""COMPUTED_VALUE"""),"")</f>
        <v/>
      </c>
      <c r="V84" s="5" t="str">
        <f>IFERROR(__xludf.DUMMYFUNCTION("""COMPUTED_VALUE"""),"")</f>
        <v/>
      </c>
      <c r="W84" s="5" t="str">
        <f>IFERROR(__xludf.DUMMYFUNCTION("""COMPUTED_VALUE"""),"")</f>
        <v/>
      </c>
      <c r="X84" s="5" t="str">
        <f>IFERROR(__xludf.DUMMYFUNCTION("""COMPUTED_VALUE"""),"")</f>
        <v/>
      </c>
      <c r="Y84" s="5"/>
      <c r="Z84" s="5"/>
    </row>
    <row r="85">
      <c r="A85" s="5" t="str">
        <f>IFERROR(__xludf.DUMMYFUNCTION("""COMPUTED_VALUE"""),"Mystery Joker Hot")</f>
        <v>Mystery Joker Hot</v>
      </c>
      <c r="B85" s="5" t="str">
        <f>IFERROR(__xludf.DUMMYFUNCTION("""COMPUTED_VALUE"""),"Development")</f>
        <v>Development</v>
      </c>
      <c r="C85" s="5" t="str">
        <f>IFERROR(__xludf.DUMMYFUNCTION("""COMPUTED_VALUE"""),"Development")</f>
        <v>Development</v>
      </c>
      <c r="D85" s="5" t="str">
        <f>IFERROR(__xludf.DUMMYFUNCTION("""COMPUTED_VALUE"""),"Retired")</f>
        <v>Retired</v>
      </c>
      <c r="E85" s="5" t="str">
        <f>IFERROR(__xludf.DUMMYFUNCTION("""COMPUTED_VALUE"""),"")</f>
        <v/>
      </c>
      <c r="F85" s="5" t="str">
        <f>IFERROR(__xludf.DUMMYFUNCTION("""COMPUTED_VALUE"""),"Available")</f>
        <v>Available</v>
      </c>
      <c r="G85" s="5" t="str">
        <f>IFERROR(__xludf.DUMMYFUNCTION("""COMPUTED_VALUE"""),"Available")</f>
        <v>Available</v>
      </c>
      <c r="H85" s="5" t="str">
        <f>IFERROR(__xludf.DUMMYFUNCTION("""COMPUTED_VALUE"""),"Available")</f>
        <v>Available</v>
      </c>
      <c r="I85" s="5" t="str">
        <f>IFERROR(__xludf.DUMMYFUNCTION("""COMPUTED_VALUE"""),"Available")</f>
        <v>Available</v>
      </c>
      <c r="J85" s="5" t="str">
        <f>IFERROR(__xludf.DUMMYFUNCTION("""COMPUTED_VALUE"""),"")</f>
        <v/>
      </c>
      <c r="K85" s="5" t="str">
        <f>IFERROR(__xludf.DUMMYFUNCTION("""COMPUTED_VALUE"""),"")</f>
        <v/>
      </c>
      <c r="L85" s="5" t="str">
        <f>IFERROR(__xludf.DUMMYFUNCTION("""COMPUTED_VALUE"""),"Available")</f>
        <v>Available</v>
      </c>
      <c r="M85" s="5" t="str">
        <f>IFERROR(__xludf.DUMMYFUNCTION("""COMPUTED_VALUE"""),"Available")</f>
        <v>Available</v>
      </c>
      <c r="N85" s="5" t="str">
        <f>IFERROR(__xludf.DUMMYFUNCTION("""COMPUTED_VALUE"""),"")</f>
        <v/>
      </c>
      <c r="O85" s="5" t="str">
        <f>IFERROR(__xludf.DUMMYFUNCTION("""COMPUTED_VALUE"""),"")</f>
        <v/>
      </c>
      <c r="P85" s="5" t="str">
        <f>IFERROR(__xludf.DUMMYFUNCTION("""COMPUTED_VALUE"""),"Development")</f>
        <v>Development</v>
      </c>
      <c r="Q85" s="5" t="str">
        <f>IFERROR(__xludf.DUMMYFUNCTION("""COMPUTED_VALUE"""),"Available")</f>
        <v>Available</v>
      </c>
      <c r="R85" s="5" t="str">
        <f>IFERROR(__xludf.DUMMYFUNCTION("""COMPUTED_VALUE"""),"")</f>
        <v/>
      </c>
      <c r="S85" s="5" t="str">
        <f>IFERROR(__xludf.DUMMYFUNCTION("""COMPUTED_VALUE"""),"")</f>
        <v/>
      </c>
      <c r="T85" s="5" t="str">
        <f>IFERROR(__xludf.DUMMYFUNCTION("""COMPUTED_VALUE"""),"")</f>
        <v/>
      </c>
      <c r="U85" s="5" t="str">
        <f>IFERROR(__xludf.DUMMYFUNCTION("""COMPUTED_VALUE"""),"")</f>
        <v/>
      </c>
      <c r="V85" s="5" t="str">
        <f>IFERROR(__xludf.DUMMYFUNCTION("""COMPUTED_VALUE"""),"")</f>
        <v/>
      </c>
      <c r="W85" s="5" t="str">
        <f>IFERROR(__xludf.DUMMYFUNCTION("""COMPUTED_VALUE"""),"")</f>
        <v/>
      </c>
      <c r="X85" s="5" t="str">
        <f>IFERROR(__xludf.DUMMYFUNCTION("""COMPUTED_VALUE"""),"")</f>
        <v/>
      </c>
      <c r="Y85" s="5"/>
      <c r="Z85" s="5"/>
    </row>
    <row r="86">
      <c r="A86" s="5" t="str">
        <f>IFERROR(__xludf.DUMMYFUNCTION("""COMPUTED_VALUE"""),"Crystal Joker Hot")</f>
        <v>Crystal Joker Hot</v>
      </c>
      <c r="B86" s="5" t="str">
        <f>IFERROR(__xludf.DUMMYFUNCTION("""COMPUTED_VALUE"""),"Available")</f>
        <v>Available</v>
      </c>
      <c r="C86" s="5" t="str">
        <f>IFERROR(__xludf.DUMMYFUNCTION("""COMPUTED_VALUE"""),"Development")</f>
        <v>Development</v>
      </c>
      <c r="D86" s="5" t="str">
        <f>IFERROR(__xludf.DUMMYFUNCTION("""COMPUTED_VALUE"""),"Available")</f>
        <v>Available</v>
      </c>
      <c r="E86" s="5" t="str">
        <f>IFERROR(__xludf.DUMMYFUNCTION("""COMPUTED_VALUE"""),"")</f>
        <v/>
      </c>
      <c r="F86" s="5" t="str">
        <f>IFERROR(__xludf.DUMMYFUNCTION("""COMPUTED_VALUE"""),"Available")</f>
        <v>Available</v>
      </c>
      <c r="G86" s="5" t="str">
        <f>IFERROR(__xludf.DUMMYFUNCTION("""COMPUTED_VALUE"""),"Available")</f>
        <v>Available</v>
      </c>
      <c r="H86" s="5" t="str">
        <f>IFERROR(__xludf.DUMMYFUNCTION("""COMPUTED_VALUE"""),"Available")</f>
        <v>Available</v>
      </c>
      <c r="I86" s="5" t="str">
        <f>IFERROR(__xludf.DUMMYFUNCTION("""COMPUTED_VALUE"""),"Available")</f>
        <v>Available</v>
      </c>
      <c r="J86" s="5" t="str">
        <f>IFERROR(__xludf.DUMMYFUNCTION("""COMPUTED_VALUE"""),"Available")</f>
        <v>Available</v>
      </c>
      <c r="K86" s="5" t="str">
        <f>IFERROR(__xludf.DUMMYFUNCTION("""COMPUTED_VALUE"""),"")</f>
        <v/>
      </c>
      <c r="L86" s="5" t="str">
        <f>IFERROR(__xludf.DUMMYFUNCTION("""COMPUTED_VALUE"""),"Development")</f>
        <v>Development</v>
      </c>
      <c r="M86" s="5" t="str">
        <f>IFERROR(__xludf.DUMMYFUNCTION("""COMPUTED_VALUE"""),"Available")</f>
        <v>Available</v>
      </c>
      <c r="N86" s="5" t="str">
        <f>IFERROR(__xludf.DUMMYFUNCTION("""COMPUTED_VALUE"""),"")</f>
        <v/>
      </c>
      <c r="O86" s="5" t="str">
        <f>IFERROR(__xludf.DUMMYFUNCTION("""COMPUTED_VALUE"""),"")</f>
        <v/>
      </c>
      <c r="P86" s="5" t="str">
        <f>IFERROR(__xludf.DUMMYFUNCTION("""COMPUTED_VALUE"""),"Available")</f>
        <v>Available</v>
      </c>
      <c r="Q86" s="5" t="str">
        <f>IFERROR(__xludf.DUMMYFUNCTION("""COMPUTED_VALUE"""),"Available")</f>
        <v>Available</v>
      </c>
      <c r="R86" s="5" t="str">
        <f>IFERROR(__xludf.DUMMYFUNCTION("""COMPUTED_VALUE"""),"")</f>
        <v/>
      </c>
      <c r="S86" s="5" t="str">
        <f>IFERROR(__xludf.DUMMYFUNCTION("""COMPUTED_VALUE"""),"")</f>
        <v/>
      </c>
      <c r="T86" s="5" t="str">
        <f>IFERROR(__xludf.DUMMYFUNCTION("""COMPUTED_VALUE"""),"")</f>
        <v/>
      </c>
      <c r="U86" s="5" t="str">
        <f>IFERROR(__xludf.DUMMYFUNCTION("""COMPUTED_VALUE"""),"")</f>
        <v/>
      </c>
      <c r="V86" s="5" t="str">
        <f>IFERROR(__xludf.DUMMYFUNCTION("""COMPUTED_VALUE"""),"Available")</f>
        <v>Available</v>
      </c>
      <c r="W86" s="5" t="str">
        <f>IFERROR(__xludf.DUMMYFUNCTION("""COMPUTED_VALUE"""),"")</f>
        <v/>
      </c>
      <c r="X86" s="5" t="str">
        <f>IFERROR(__xludf.DUMMYFUNCTION("""COMPUTED_VALUE"""),"")</f>
        <v/>
      </c>
      <c r="Y86" s="5"/>
      <c r="Z86" s="5"/>
    </row>
    <row r="87">
      <c r="A87" s="5" t="str">
        <f>IFERROR(__xludf.DUMMYFUNCTION("""COMPUTED_VALUE"""),"Fruit Island")</f>
        <v>Fruit Island</v>
      </c>
      <c r="B87" s="5" t="str">
        <f>IFERROR(__xludf.DUMMYFUNCTION("""COMPUTED_VALUE"""),"")</f>
        <v/>
      </c>
      <c r="C87" s="5" t="str">
        <f>IFERROR(__xludf.DUMMYFUNCTION("""COMPUTED_VALUE"""),"")</f>
        <v/>
      </c>
      <c r="D87" s="5" t="str">
        <f>IFERROR(__xludf.DUMMYFUNCTION("""COMPUTED_VALUE"""),"")</f>
        <v/>
      </c>
      <c r="E87" s="5" t="str">
        <f>IFERROR(__xludf.DUMMYFUNCTION("""COMPUTED_VALUE"""),"")</f>
        <v/>
      </c>
      <c r="F87" s="5" t="str">
        <f>IFERROR(__xludf.DUMMYFUNCTION("""COMPUTED_VALUE"""),"")</f>
        <v/>
      </c>
      <c r="G87" s="5" t="str">
        <f>IFERROR(__xludf.DUMMYFUNCTION("""COMPUTED_VALUE"""),"")</f>
        <v/>
      </c>
      <c r="H87" s="5" t="str">
        <f>IFERROR(__xludf.DUMMYFUNCTION("""COMPUTED_VALUE"""),"")</f>
        <v/>
      </c>
      <c r="I87" s="5" t="str">
        <f>IFERROR(__xludf.DUMMYFUNCTION("""COMPUTED_VALUE"""),"")</f>
        <v/>
      </c>
      <c r="J87" s="5" t="str">
        <f>IFERROR(__xludf.DUMMYFUNCTION("""COMPUTED_VALUE"""),"")</f>
        <v/>
      </c>
      <c r="K87" s="5" t="str">
        <f>IFERROR(__xludf.DUMMYFUNCTION("""COMPUTED_VALUE"""),"")</f>
        <v/>
      </c>
      <c r="L87" s="5" t="str">
        <f>IFERROR(__xludf.DUMMYFUNCTION("""COMPUTED_VALUE"""),"")</f>
        <v/>
      </c>
      <c r="M87" s="5" t="str">
        <f>IFERROR(__xludf.DUMMYFUNCTION("""COMPUTED_VALUE"""),"")</f>
        <v/>
      </c>
      <c r="N87" s="5" t="str">
        <f>IFERROR(__xludf.DUMMYFUNCTION("""COMPUTED_VALUE"""),"")</f>
        <v/>
      </c>
      <c r="O87" s="5" t="str">
        <f>IFERROR(__xludf.DUMMYFUNCTION("""COMPUTED_VALUE"""),"")</f>
        <v/>
      </c>
      <c r="P87" s="5" t="str">
        <f>IFERROR(__xludf.DUMMYFUNCTION("""COMPUTED_VALUE"""),"")</f>
        <v/>
      </c>
      <c r="Q87" s="5" t="str">
        <f>IFERROR(__xludf.DUMMYFUNCTION("""COMPUTED_VALUE"""),"")</f>
        <v/>
      </c>
      <c r="R87" s="5" t="str">
        <f>IFERROR(__xludf.DUMMYFUNCTION("""COMPUTED_VALUE"""),"")</f>
        <v/>
      </c>
      <c r="S87" s="5" t="str">
        <f>IFERROR(__xludf.DUMMYFUNCTION("""COMPUTED_VALUE"""),"")</f>
        <v/>
      </c>
      <c r="T87" s="5" t="str">
        <f>IFERROR(__xludf.DUMMYFUNCTION("""COMPUTED_VALUE"""),"")</f>
        <v/>
      </c>
      <c r="U87" s="5" t="str">
        <f>IFERROR(__xludf.DUMMYFUNCTION("""COMPUTED_VALUE"""),"")</f>
        <v/>
      </c>
      <c r="V87" s="5" t="str">
        <f>IFERROR(__xludf.DUMMYFUNCTION("""COMPUTED_VALUE"""),"")</f>
        <v/>
      </c>
      <c r="W87" s="5" t="str">
        <f>IFERROR(__xludf.DUMMYFUNCTION("""COMPUTED_VALUE"""),"")</f>
        <v/>
      </c>
      <c r="X87" s="5" t="str">
        <f>IFERROR(__xludf.DUMMYFUNCTION("""COMPUTED_VALUE"""),"")</f>
        <v/>
      </c>
      <c r="Y87" s="5"/>
      <c r="Z87" s="5"/>
    </row>
    <row r="88">
      <c r="A88" s="5" t="str">
        <f>IFERROR(__xludf.DUMMYFUNCTION("""COMPUTED_VALUE"""),"Fruity Joker Hot")</f>
        <v>Fruity Joker Hot</v>
      </c>
      <c r="B88" s="5" t="str">
        <f>IFERROR(__xludf.DUMMYFUNCTION("""COMPUTED_VALUE"""),"Development")</f>
        <v>Development</v>
      </c>
      <c r="C88" s="5" t="str">
        <f>IFERROR(__xludf.DUMMYFUNCTION("""COMPUTED_VALUE"""),"Development")</f>
        <v>Development</v>
      </c>
      <c r="D88" s="5" t="str">
        <f>IFERROR(__xludf.DUMMYFUNCTION("""COMPUTED_VALUE"""),"Retired")</f>
        <v>Retired</v>
      </c>
      <c r="E88" s="5" t="str">
        <f>IFERROR(__xludf.DUMMYFUNCTION("""COMPUTED_VALUE"""),"")</f>
        <v/>
      </c>
      <c r="F88" s="5" t="str">
        <f>IFERROR(__xludf.DUMMYFUNCTION("""COMPUTED_VALUE"""),"Available")</f>
        <v>Available</v>
      </c>
      <c r="G88" s="5" t="str">
        <f>IFERROR(__xludf.DUMMYFUNCTION("""COMPUTED_VALUE"""),"Available")</f>
        <v>Available</v>
      </c>
      <c r="H88" s="5" t="str">
        <f>IFERROR(__xludf.DUMMYFUNCTION("""COMPUTED_VALUE"""),"Available")</f>
        <v>Available</v>
      </c>
      <c r="I88" s="5" t="str">
        <f>IFERROR(__xludf.DUMMYFUNCTION("""COMPUTED_VALUE"""),"Available")</f>
        <v>Available</v>
      </c>
      <c r="J88" s="5" t="str">
        <f>IFERROR(__xludf.DUMMYFUNCTION("""COMPUTED_VALUE"""),"")</f>
        <v/>
      </c>
      <c r="K88" s="5" t="str">
        <f>IFERROR(__xludf.DUMMYFUNCTION("""COMPUTED_VALUE"""),"Development")</f>
        <v>Development</v>
      </c>
      <c r="L88" s="5" t="str">
        <f>IFERROR(__xludf.DUMMYFUNCTION("""COMPUTED_VALUE"""),"Development")</f>
        <v>Development</v>
      </c>
      <c r="M88" s="5" t="str">
        <f>IFERROR(__xludf.DUMMYFUNCTION("""COMPUTED_VALUE"""),"Available")</f>
        <v>Available</v>
      </c>
      <c r="N88" s="5" t="str">
        <f>IFERROR(__xludf.DUMMYFUNCTION("""COMPUTED_VALUE"""),"Development")</f>
        <v>Development</v>
      </c>
      <c r="O88" s="5" t="str">
        <f>IFERROR(__xludf.DUMMYFUNCTION("""COMPUTED_VALUE"""),"")</f>
        <v/>
      </c>
      <c r="P88" s="5" t="str">
        <f>IFERROR(__xludf.DUMMYFUNCTION("""COMPUTED_VALUE"""),"Available")</f>
        <v>Available</v>
      </c>
      <c r="Q88" s="5" t="str">
        <f>IFERROR(__xludf.DUMMYFUNCTION("""COMPUTED_VALUE"""),"Available")</f>
        <v>Available</v>
      </c>
      <c r="R88" s="5" t="str">
        <f>IFERROR(__xludf.DUMMYFUNCTION("""COMPUTED_VALUE"""),"")</f>
        <v/>
      </c>
      <c r="S88" s="5" t="str">
        <f>IFERROR(__xludf.DUMMYFUNCTION("""COMPUTED_VALUE"""),"")</f>
        <v/>
      </c>
      <c r="T88" s="5" t="str">
        <f>IFERROR(__xludf.DUMMYFUNCTION("""COMPUTED_VALUE"""),"")</f>
        <v/>
      </c>
      <c r="U88" s="5" t="str">
        <f>IFERROR(__xludf.DUMMYFUNCTION("""COMPUTED_VALUE"""),"")</f>
        <v/>
      </c>
      <c r="V88" s="5" t="str">
        <f>IFERROR(__xludf.DUMMYFUNCTION("""COMPUTED_VALUE"""),"")</f>
        <v/>
      </c>
      <c r="W88" s="5" t="str">
        <f>IFERROR(__xludf.DUMMYFUNCTION("""COMPUTED_VALUE"""),"")</f>
        <v/>
      </c>
      <c r="X88" s="5" t="str">
        <f>IFERROR(__xludf.DUMMYFUNCTION("""COMPUTED_VALUE"""),"")</f>
        <v/>
      </c>
      <c r="Y88" s="5"/>
      <c r="Z88" s="5"/>
    </row>
    <row r="89">
      <c r="A89" s="5" t="str">
        <f>IFERROR(__xludf.DUMMYFUNCTION("""COMPUTED_VALUE"""),"Wild Paradice")</f>
        <v>Wild Paradice</v>
      </c>
      <c r="B89" s="5" t="str">
        <f>IFERROR(__xludf.DUMMYFUNCTION("""COMPUTED_VALUE"""),"")</f>
        <v/>
      </c>
      <c r="C89" s="5" t="str">
        <f>IFERROR(__xludf.DUMMYFUNCTION("""COMPUTED_VALUE"""),"")</f>
        <v/>
      </c>
      <c r="D89" s="5" t="str">
        <f>IFERROR(__xludf.DUMMYFUNCTION("""COMPUTED_VALUE"""),"")</f>
        <v/>
      </c>
      <c r="E89" s="5" t="str">
        <f>IFERROR(__xludf.DUMMYFUNCTION("""COMPUTED_VALUE"""),"")</f>
        <v/>
      </c>
      <c r="F89" s="5" t="str">
        <f>IFERROR(__xludf.DUMMYFUNCTION("""COMPUTED_VALUE"""),"")</f>
        <v/>
      </c>
      <c r="G89" s="5" t="str">
        <f>IFERROR(__xludf.DUMMYFUNCTION("""COMPUTED_VALUE"""),"")</f>
        <v/>
      </c>
      <c r="H89" s="5" t="str">
        <f>IFERROR(__xludf.DUMMYFUNCTION("""COMPUTED_VALUE"""),"")</f>
        <v/>
      </c>
      <c r="I89" s="5" t="str">
        <f>IFERROR(__xludf.DUMMYFUNCTION("""COMPUTED_VALUE"""),"")</f>
        <v/>
      </c>
      <c r="J89" s="5" t="str">
        <f>IFERROR(__xludf.DUMMYFUNCTION("""COMPUTED_VALUE"""),"")</f>
        <v/>
      </c>
      <c r="K89" s="5" t="str">
        <f>IFERROR(__xludf.DUMMYFUNCTION("""COMPUTED_VALUE"""),"")</f>
        <v/>
      </c>
      <c r="L89" s="5" t="str">
        <f>IFERROR(__xludf.DUMMYFUNCTION("""COMPUTED_VALUE"""),"")</f>
        <v/>
      </c>
      <c r="M89" s="5" t="str">
        <f>IFERROR(__xludf.DUMMYFUNCTION("""COMPUTED_VALUE"""),"")</f>
        <v/>
      </c>
      <c r="N89" s="5" t="str">
        <f>IFERROR(__xludf.DUMMYFUNCTION("""COMPUTED_VALUE"""),"")</f>
        <v/>
      </c>
      <c r="O89" s="5" t="str">
        <f>IFERROR(__xludf.DUMMYFUNCTION("""COMPUTED_VALUE"""),"")</f>
        <v/>
      </c>
      <c r="P89" s="5" t="str">
        <f>IFERROR(__xludf.DUMMYFUNCTION("""COMPUTED_VALUE"""),"")</f>
        <v/>
      </c>
      <c r="Q89" s="5" t="str">
        <f>IFERROR(__xludf.DUMMYFUNCTION("""COMPUTED_VALUE"""),"")</f>
        <v/>
      </c>
      <c r="R89" s="5" t="str">
        <f>IFERROR(__xludf.DUMMYFUNCTION("""COMPUTED_VALUE"""),"")</f>
        <v/>
      </c>
      <c r="S89" s="5" t="str">
        <f>IFERROR(__xludf.DUMMYFUNCTION("""COMPUTED_VALUE"""),"")</f>
        <v/>
      </c>
      <c r="T89" s="5" t="str">
        <f>IFERROR(__xludf.DUMMYFUNCTION("""COMPUTED_VALUE"""),"")</f>
        <v/>
      </c>
      <c r="U89" s="5" t="str">
        <f>IFERROR(__xludf.DUMMYFUNCTION("""COMPUTED_VALUE"""),"")</f>
        <v/>
      </c>
      <c r="V89" s="5" t="str">
        <f>IFERROR(__xludf.DUMMYFUNCTION("""COMPUTED_VALUE"""),"")</f>
        <v/>
      </c>
      <c r="W89" s="5" t="str">
        <f>IFERROR(__xludf.DUMMYFUNCTION("""COMPUTED_VALUE"""),"")</f>
        <v/>
      </c>
      <c r="X89" s="5" t="str">
        <f>IFERROR(__xludf.DUMMYFUNCTION("""COMPUTED_VALUE"""),"")</f>
        <v/>
      </c>
      <c r="Y89" s="5"/>
      <c r="Z89" s="5"/>
    </row>
    <row r="90">
      <c r="A90" s="5" t="str">
        <f>IFERROR(__xludf.DUMMYFUNCTION("""COMPUTED_VALUE"""),"Rainbow Sevens")</f>
        <v>Rainbow Sevens</v>
      </c>
      <c r="B90" s="5" t="str">
        <f>IFERROR(__xludf.DUMMYFUNCTION("""COMPUTED_VALUE"""),"")</f>
        <v/>
      </c>
      <c r="C90" s="5" t="str">
        <f>IFERROR(__xludf.DUMMYFUNCTION("""COMPUTED_VALUE"""),"")</f>
        <v/>
      </c>
      <c r="D90" s="5" t="str">
        <f>IFERROR(__xludf.DUMMYFUNCTION("""COMPUTED_VALUE"""),"")</f>
        <v/>
      </c>
      <c r="E90" s="5" t="str">
        <f>IFERROR(__xludf.DUMMYFUNCTION("""COMPUTED_VALUE"""),"")</f>
        <v/>
      </c>
      <c r="F90" s="5" t="str">
        <f>IFERROR(__xludf.DUMMYFUNCTION("""COMPUTED_VALUE"""),"")</f>
        <v/>
      </c>
      <c r="G90" s="5" t="str">
        <f>IFERROR(__xludf.DUMMYFUNCTION("""COMPUTED_VALUE"""),"")</f>
        <v/>
      </c>
      <c r="H90" s="5" t="str">
        <f>IFERROR(__xludf.DUMMYFUNCTION("""COMPUTED_VALUE"""),"")</f>
        <v/>
      </c>
      <c r="I90" s="5" t="str">
        <f>IFERROR(__xludf.DUMMYFUNCTION("""COMPUTED_VALUE"""),"")</f>
        <v/>
      </c>
      <c r="J90" s="5" t="str">
        <f>IFERROR(__xludf.DUMMYFUNCTION("""COMPUTED_VALUE"""),"")</f>
        <v/>
      </c>
      <c r="K90" s="5" t="str">
        <f>IFERROR(__xludf.DUMMYFUNCTION("""COMPUTED_VALUE"""),"")</f>
        <v/>
      </c>
      <c r="L90" s="5" t="str">
        <f>IFERROR(__xludf.DUMMYFUNCTION("""COMPUTED_VALUE"""),"")</f>
        <v/>
      </c>
      <c r="M90" s="5" t="str">
        <f>IFERROR(__xludf.DUMMYFUNCTION("""COMPUTED_VALUE"""),"")</f>
        <v/>
      </c>
      <c r="N90" s="5" t="str">
        <f>IFERROR(__xludf.DUMMYFUNCTION("""COMPUTED_VALUE"""),"")</f>
        <v/>
      </c>
      <c r="O90" s="5" t="str">
        <f>IFERROR(__xludf.DUMMYFUNCTION("""COMPUTED_VALUE"""),"")</f>
        <v/>
      </c>
      <c r="P90" s="5" t="str">
        <f>IFERROR(__xludf.DUMMYFUNCTION("""COMPUTED_VALUE"""),"")</f>
        <v/>
      </c>
      <c r="Q90" s="5" t="str">
        <f>IFERROR(__xludf.DUMMYFUNCTION("""COMPUTED_VALUE"""),"")</f>
        <v/>
      </c>
      <c r="R90" s="5" t="str">
        <f>IFERROR(__xludf.DUMMYFUNCTION("""COMPUTED_VALUE"""),"")</f>
        <v/>
      </c>
      <c r="S90" s="5" t="str">
        <f>IFERROR(__xludf.DUMMYFUNCTION("""COMPUTED_VALUE"""),"")</f>
        <v/>
      </c>
      <c r="T90" s="5" t="str">
        <f>IFERROR(__xludf.DUMMYFUNCTION("""COMPUTED_VALUE"""),"")</f>
        <v/>
      </c>
      <c r="U90" s="5" t="str">
        <f>IFERROR(__xludf.DUMMYFUNCTION("""COMPUTED_VALUE"""),"")</f>
        <v/>
      </c>
      <c r="V90" s="5" t="str">
        <f>IFERROR(__xludf.DUMMYFUNCTION("""COMPUTED_VALUE"""),"")</f>
        <v/>
      </c>
      <c r="W90" s="5" t="str">
        <f>IFERROR(__xludf.DUMMYFUNCTION("""COMPUTED_VALUE"""),"")</f>
        <v/>
      </c>
      <c r="X90" s="5" t="str">
        <f>IFERROR(__xludf.DUMMYFUNCTION("""COMPUTED_VALUE"""),"")</f>
        <v/>
      </c>
      <c r="Y90" s="5"/>
      <c r="Z90" s="5"/>
    </row>
    <row r="91">
      <c r="A91" s="5" t="str">
        <f>IFERROR(__xludf.DUMMYFUNCTION("""COMPUTED_VALUE"""),"Havana Dice")</f>
        <v>Havana Dice</v>
      </c>
      <c r="B91" s="5" t="str">
        <f>IFERROR(__xludf.DUMMYFUNCTION("""COMPUTED_VALUE"""),"")</f>
        <v/>
      </c>
      <c r="C91" s="5" t="str">
        <f>IFERROR(__xludf.DUMMYFUNCTION("""COMPUTED_VALUE"""),"")</f>
        <v/>
      </c>
      <c r="D91" s="5" t="str">
        <f>IFERROR(__xludf.DUMMYFUNCTION("""COMPUTED_VALUE"""),"")</f>
        <v/>
      </c>
      <c r="E91" s="5" t="str">
        <f>IFERROR(__xludf.DUMMYFUNCTION("""COMPUTED_VALUE"""),"")</f>
        <v/>
      </c>
      <c r="F91" s="5" t="str">
        <f>IFERROR(__xludf.DUMMYFUNCTION("""COMPUTED_VALUE"""),"")</f>
        <v/>
      </c>
      <c r="G91" s="5" t="str">
        <f>IFERROR(__xludf.DUMMYFUNCTION("""COMPUTED_VALUE"""),"")</f>
        <v/>
      </c>
      <c r="H91" s="5" t="str">
        <f>IFERROR(__xludf.DUMMYFUNCTION("""COMPUTED_VALUE"""),"")</f>
        <v/>
      </c>
      <c r="I91" s="5" t="str">
        <f>IFERROR(__xludf.DUMMYFUNCTION("""COMPUTED_VALUE"""),"")</f>
        <v/>
      </c>
      <c r="J91" s="5" t="str">
        <f>IFERROR(__xludf.DUMMYFUNCTION("""COMPUTED_VALUE"""),"")</f>
        <v/>
      </c>
      <c r="K91" s="5" t="str">
        <f>IFERROR(__xludf.DUMMYFUNCTION("""COMPUTED_VALUE"""),"")</f>
        <v/>
      </c>
      <c r="L91" s="5" t="str">
        <f>IFERROR(__xludf.DUMMYFUNCTION("""COMPUTED_VALUE"""),"")</f>
        <v/>
      </c>
      <c r="M91" s="5" t="str">
        <f>IFERROR(__xludf.DUMMYFUNCTION("""COMPUTED_VALUE"""),"")</f>
        <v/>
      </c>
      <c r="N91" s="5" t="str">
        <f>IFERROR(__xludf.DUMMYFUNCTION("""COMPUTED_VALUE"""),"")</f>
        <v/>
      </c>
      <c r="O91" s="5" t="str">
        <f>IFERROR(__xludf.DUMMYFUNCTION("""COMPUTED_VALUE"""),"")</f>
        <v/>
      </c>
      <c r="P91" s="5" t="str">
        <f>IFERROR(__xludf.DUMMYFUNCTION("""COMPUTED_VALUE"""),"")</f>
        <v/>
      </c>
      <c r="Q91" s="5" t="str">
        <f>IFERROR(__xludf.DUMMYFUNCTION("""COMPUTED_VALUE"""),"")</f>
        <v/>
      </c>
      <c r="R91" s="5" t="str">
        <f>IFERROR(__xludf.DUMMYFUNCTION("""COMPUTED_VALUE"""),"")</f>
        <v/>
      </c>
      <c r="S91" s="5" t="str">
        <f>IFERROR(__xludf.DUMMYFUNCTION("""COMPUTED_VALUE"""),"")</f>
        <v/>
      </c>
      <c r="T91" s="5" t="str">
        <f>IFERROR(__xludf.DUMMYFUNCTION("""COMPUTED_VALUE"""),"")</f>
        <v/>
      </c>
      <c r="U91" s="5" t="str">
        <f>IFERROR(__xludf.DUMMYFUNCTION("""COMPUTED_VALUE"""),"")</f>
        <v/>
      </c>
      <c r="V91" s="5" t="str">
        <f>IFERROR(__xludf.DUMMYFUNCTION("""COMPUTED_VALUE"""),"")</f>
        <v/>
      </c>
      <c r="W91" s="5" t="str">
        <f>IFERROR(__xludf.DUMMYFUNCTION("""COMPUTED_VALUE"""),"")</f>
        <v/>
      </c>
      <c r="X91" s="5" t="str">
        <f>IFERROR(__xludf.DUMMYFUNCTION("""COMPUTED_VALUE"""),"")</f>
        <v/>
      </c>
      <c r="Y91" s="5"/>
      <c r="Z91" s="5"/>
    </row>
    <row r="92">
      <c r="A92" s="5" t="str">
        <f>IFERROR(__xludf.DUMMYFUNCTION("""COMPUTED_VALUE"""),"Mayan Coins")</f>
        <v>Mayan Coins</v>
      </c>
      <c r="B92" s="5" t="str">
        <f>IFERROR(__xludf.DUMMYFUNCTION("""COMPUTED_VALUE"""),"")</f>
        <v/>
      </c>
      <c r="C92" s="5" t="str">
        <f>IFERROR(__xludf.DUMMYFUNCTION("""COMPUTED_VALUE"""),"")</f>
        <v/>
      </c>
      <c r="D92" s="5" t="str">
        <f>IFERROR(__xludf.DUMMYFUNCTION("""COMPUTED_VALUE"""),"")</f>
        <v/>
      </c>
      <c r="E92" s="5" t="str">
        <f>IFERROR(__xludf.DUMMYFUNCTION("""COMPUTED_VALUE"""),"")</f>
        <v/>
      </c>
      <c r="F92" s="5" t="str">
        <f>IFERROR(__xludf.DUMMYFUNCTION("""COMPUTED_VALUE"""),"Retired")</f>
        <v>Retired</v>
      </c>
      <c r="G92" s="5" t="str">
        <f>IFERROR(__xludf.DUMMYFUNCTION("""COMPUTED_VALUE"""),"Available")</f>
        <v>Available</v>
      </c>
      <c r="H92" s="5" t="str">
        <f>IFERROR(__xludf.DUMMYFUNCTION("""COMPUTED_VALUE"""),"")</f>
        <v/>
      </c>
      <c r="I92" s="5" t="str">
        <f>IFERROR(__xludf.DUMMYFUNCTION("""COMPUTED_VALUE"""),"")</f>
        <v/>
      </c>
      <c r="J92" s="5" t="str">
        <f>IFERROR(__xludf.DUMMYFUNCTION("""COMPUTED_VALUE"""),"")</f>
        <v/>
      </c>
      <c r="K92" s="5" t="str">
        <f>IFERROR(__xludf.DUMMYFUNCTION("""COMPUTED_VALUE"""),"Available")</f>
        <v>Available</v>
      </c>
      <c r="L92" s="5" t="str">
        <f>IFERROR(__xludf.DUMMYFUNCTION("""COMPUTED_VALUE"""),"")</f>
        <v/>
      </c>
      <c r="M92" s="5" t="str">
        <f>IFERROR(__xludf.DUMMYFUNCTION("""COMPUTED_VALUE"""),"")</f>
        <v/>
      </c>
      <c r="N92" s="5" t="str">
        <f>IFERROR(__xludf.DUMMYFUNCTION("""COMPUTED_VALUE"""),"")</f>
        <v/>
      </c>
      <c r="O92" s="5" t="str">
        <f>IFERROR(__xludf.DUMMYFUNCTION("""COMPUTED_VALUE"""),"")</f>
        <v/>
      </c>
      <c r="P92" s="5" t="str">
        <f>IFERROR(__xludf.DUMMYFUNCTION("""COMPUTED_VALUE"""),"")</f>
        <v/>
      </c>
      <c r="Q92" s="5" t="str">
        <f>IFERROR(__xludf.DUMMYFUNCTION("""COMPUTED_VALUE"""),"")</f>
        <v/>
      </c>
      <c r="R92" s="5" t="str">
        <f>IFERROR(__xludf.DUMMYFUNCTION("""COMPUTED_VALUE"""),"")</f>
        <v/>
      </c>
      <c r="S92" s="5" t="str">
        <f>IFERROR(__xludf.DUMMYFUNCTION("""COMPUTED_VALUE"""),"")</f>
        <v/>
      </c>
      <c r="T92" s="5" t="str">
        <f>IFERROR(__xludf.DUMMYFUNCTION("""COMPUTED_VALUE"""),"")</f>
        <v/>
      </c>
      <c r="U92" s="5" t="str">
        <f>IFERROR(__xludf.DUMMYFUNCTION("""COMPUTED_VALUE"""),"")</f>
        <v/>
      </c>
      <c r="V92" s="5" t="str">
        <f>IFERROR(__xludf.DUMMYFUNCTION("""COMPUTED_VALUE"""),"")</f>
        <v/>
      </c>
      <c r="W92" s="5" t="str">
        <f>IFERROR(__xludf.DUMMYFUNCTION("""COMPUTED_VALUE"""),"")</f>
        <v/>
      </c>
      <c r="X92" s="5" t="str">
        <f>IFERROR(__xludf.DUMMYFUNCTION("""COMPUTED_VALUE"""),"")</f>
        <v/>
      </c>
      <c r="Y92" s="5"/>
      <c r="Z92" s="5"/>
    </row>
    <row r="93">
      <c r="A93" s="5" t="str">
        <f>IFERROR(__xludf.DUMMYFUNCTION("""COMPUTED_VALUE"""),"5 Clover Fire")</f>
        <v>5 Clover Fire</v>
      </c>
      <c r="B93" s="5" t="str">
        <f>IFERROR(__xludf.DUMMYFUNCTION("""COMPUTED_VALUE"""),"")</f>
        <v/>
      </c>
      <c r="C93" s="5" t="str">
        <f>IFERROR(__xludf.DUMMYFUNCTION("""COMPUTED_VALUE"""),"")</f>
        <v/>
      </c>
      <c r="D93" s="5" t="str">
        <f>IFERROR(__xludf.DUMMYFUNCTION("""COMPUTED_VALUE"""),"Available")</f>
        <v>Available</v>
      </c>
      <c r="E93" s="5" t="str">
        <f>IFERROR(__xludf.DUMMYFUNCTION("""COMPUTED_VALUE"""),"")</f>
        <v/>
      </c>
      <c r="F93" s="5" t="str">
        <f>IFERROR(__xludf.DUMMYFUNCTION("""COMPUTED_VALUE"""),"Available")</f>
        <v>Available</v>
      </c>
      <c r="G93" s="5" t="str">
        <f>IFERROR(__xludf.DUMMYFUNCTION("""COMPUTED_VALUE"""),"Available")</f>
        <v>Available</v>
      </c>
      <c r="H93" s="5" t="str">
        <f>IFERROR(__xludf.DUMMYFUNCTION("""COMPUTED_VALUE"""),"Available")</f>
        <v>Available</v>
      </c>
      <c r="I93" s="5" t="str">
        <f>IFERROR(__xludf.DUMMYFUNCTION("""COMPUTED_VALUE"""),"")</f>
        <v/>
      </c>
      <c r="J93" s="5" t="str">
        <f>IFERROR(__xludf.DUMMYFUNCTION("""COMPUTED_VALUE"""),"")</f>
        <v/>
      </c>
      <c r="K93" s="5" t="str">
        <f>IFERROR(__xludf.DUMMYFUNCTION("""COMPUTED_VALUE"""),"")</f>
        <v/>
      </c>
      <c r="L93" s="5" t="str">
        <f>IFERROR(__xludf.DUMMYFUNCTION("""COMPUTED_VALUE"""),"")</f>
        <v/>
      </c>
      <c r="M93" s="5" t="str">
        <f>IFERROR(__xludf.DUMMYFUNCTION("""COMPUTED_VALUE"""),"")</f>
        <v/>
      </c>
      <c r="N93" s="5" t="str">
        <f>IFERROR(__xludf.DUMMYFUNCTION("""COMPUTED_VALUE"""),"")</f>
        <v/>
      </c>
      <c r="O93" s="5" t="str">
        <f>IFERROR(__xludf.DUMMYFUNCTION("""COMPUTED_VALUE"""),"")</f>
        <v/>
      </c>
      <c r="P93" s="5" t="str">
        <f>IFERROR(__xludf.DUMMYFUNCTION("""COMPUTED_VALUE"""),"Development")</f>
        <v>Development</v>
      </c>
      <c r="Q93" s="5" t="str">
        <f>IFERROR(__xludf.DUMMYFUNCTION("""COMPUTED_VALUE"""),"Available")</f>
        <v>Available</v>
      </c>
      <c r="R93" s="5" t="str">
        <f>IFERROR(__xludf.DUMMYFUNCTION("""COMPUTED_VALUE"""),"")</f>
        <v/>
      </c>
      <c r="S93" s="5" t="str">
        <f>IFERROR(__xludf.DUMMYFUNCTION("""COMPUTED_VALUE"""),"")</f>
        <v/>
      </c>
      <c r="T93" s="5" t="str">
        <f>IFERROR(__xludf.DUMMYFUNCTION("""COMPUTED_VALUE"""),"")</f>
        <v/>
      </c>
      <c r="U93" s="5" t="str">
        <f>IFERROR(__xludf.DUMMYFUNCTION("""COMPUTED_VALUE"""),"")</f>
        <v/>
      </c>
      <c r="V93" s="5" t="str">
        <f>IFERROR(__xludf.DUMMYFUNCTION("""COMPUTED_VALUE"""),"")</f>
        <v/>
      </c>
      <c r="W93" s="5" t="str">
        <f>IFERROR(__xludf.DUMMYFUNCTION("""COMPUTED_VALUE"""),"")</f>
        <v/>
      </c>
      <c r="X93" s="5" t="str">
        <f>IFERROR(__xludf.DUMMYFUNCTION("""COMPUTED_VALUE"""),"")</f>
        <v/>
      </c>
      <c r="Y93" s="5"/>
      <c r="Z93" s="5"/>
    </row>
    <row r="94">
      <c r="A94" s="5" t="str">
        <f>IFERROR(__xludf.DUMMYFUNCTION("""COMPUTED_VALUE"""),"Crystal Hot Yes")</f>
        <v>Crystal Hot Yes</v>
      </c>
      <c r="B94" s="5" t="str">
        <f>IFERROR(__xludf.DUMMYFUNCTION("""COMPUTED_VALUE"""),"")</f>
        <v/>
      </c>
      <c r="C94" s="5" t="str">
        <f>IFERROR(__xludf.DUMMYFUNCTION("""COMPUTED_VALUE"""),"")</f>
        <v/>
      </c>
      <c r="D94" s="5" t="str">
        <f>IFERROR(__xludf.DUMMYFUNCTION("""COMPUTED_VALUE"""),"")</f>
        <v/>
      </c>
      <c r="E94" s="5" t="str">
        <f>IFERROR(__xludf.DUMMYFUNCTION("""COMPUTED_VALUE"""),"")</f>
        <v/>
      </c>
      <c r="F94" s="5" t="str">
        <f>IFERROR(__xludf.DUMMYFUNCTION("""COMPUTED_VALUE"""),"Available")</f>
        <v>Available</v>
      </c>
      <c r="G94" s="5" t="str">
        <f>IFERROR(__xludf.DUMMYFUNCTION("""COMPUTED_VALUE"""),"")</f>
        <v/>
      </c>
      <c r="H94" s="5" t="str">
        <f>IFERROR(__xludf.DUMMYFUNCTION("""COMPUTED_VALUE"""),"")</f>
        <v/>
      </c>
      <c r="I94" s="5" t="str">
        <f>IFERROR(__xludf.DUMMYFUNCTION("""COMPUTED_VALUE"""),"")</f>
        <v/>
      </c>
      <c r="J94" s="5" t="str">
        <f>IFERROR(__xludf.DUMMYFUNCTION("""COMPUTED_VALUE"""),"")</f>
        <v/>
      </c>
      <c r="K94" s="5" t="str">
        <f>IFERROR(__xludf.DUMMYFUNCTION("""COMPUTED_VALUE"""),"")</f>
        <v/>
      </c>
      <c r="L94" s="5" t="str">
        <f>IFERROR(__xludf.DUMMYFUNCTION("""COMPUTED_VALUE"""),"")</f>
        <v/>
      </c>
      <c r="M94" s="5" t="str">
        <f>IFERROR(__xludf.DUMMYFUNCTION("""COMPUTED_VALUE"""),"")</f>
        <v/>
      </c>
      <c r="N94" s="5" t="str">
        <f>IFERROR(__xludf.DUMMYFUNCTION("""COMPUTED_VALUE"""),"")</f>
        <v/>
      </c>
      <c r="O94" s="5" t="str">
        <f>IFERROR(__xludf.DUMMYFUNCTION("""COMPUTED_VALUE"""),"")</f>
        <v/>
      </c>
      <c r="P94" s="5" t="str">
        <f>IFERROR(__xludf.DUMMYFUNCTION("""COMPUTED_VALUE"""),"")</f>
        <v/>
      </c>
      <c r="Q94" s="5" t="str">
        <f>IFERROR(__xludf.DUMMYFUNCTION("""COMPUTED_VALUE"""),"")</f>
        <v/>
      </c>
      <c r="R94" s="5" t="str">
        <f>IFERROR(__xludf.DUMMYFUNCTION("""COMPUTED_VALUE"""),"")</f>
        <v/>
      </c>
      <c r="S94" s="5" t="str">
        <f>IFERROR(__xludf.DUMMYFUNCTION("""COMPUTED_VALUE"""),"")</f>
        <v/>
      </c>
      <c r="T94" s="5" t="str">
        <f>IFERROR(__xludf.DUMMYFUNCTION("""COMPUTED_VALUE"""),"")</f>
        <v/>
      </c>
      <c r="U94" s="5" t="str">
        <f>IFERROR(__xludf.DUMMYFUNCTION("""COMPUTED_VALUE"""),"")</f>
        <v/>
      </c>
      <c r="V94" s="5" t="str">
        <f>IFERROR(__xludf.DUMMYFUNCTION("""COMPUTED_VALUE"""),"")</f>
        <v/>
      </c>
      <c r="W94" s="5" t="str">
        <f>IFERROR(__xludf.DUMMYFUNCTION("""COMPUTED_VALUE"""),"")</f>
        <v/>
      </c>
      <c r="X94" s="5" t="str">
        <f>IFERROR(__xludf.DUMMYFUNCTION("""COMPUTED_VALUE"""),"")</f>
        <v/>
      </c>
      <c r="Y94" s="5"/>
      <c r="Z94" s="5"/>
    </row>
    <row r="95">
      <c r="A95" s="5" t="str">
        <f>IFERROR(__xludf.DUMMYFUNCTION("""COMPUTED_VALUE"""),"10 Wild Crown")</f>
        <v>10 Wild Crown</v>
      </c>
      <c r="B95" s="5" t="str">
        <f>IFERROR(__xludf.DUMMYFUNCTION("""COMPUTED_VALUE"""),"")</f>
        <v/>
      </c>
      <c r="C95" s="5" t="str">
        <f>IFERROR(__xludf.DUMMYFUNCTION("""COMPUTED_VALUE"""),"")</f>
        <v/>
      </c>
      <c r="D95" s="5" t="str">
        <f>IFERROR(__xludf.DUMMYFUNCTION("""COMPUTED_VALUE"""),"Retired")</f>
        <v>Retired</v>
      </c>
      <c r="E95" s="5" t="str">
        <f>IFERROR(__xludf.DUMMYFUNCTION("""COMPUTED_VALUE"""),"")</f>
        <v/>
      </c>
      <c r="F95" s="5" t="str">
        <f>IFERROR(__xludf.DUMMYFUNCTION("""COMPUTED_VALUE"""),"Available")</f>
        <v>Available</v>
      </c>
      <c r="G95" s="5" t="str">
        <f>IFERROR(__xludf.DUMMYFUNCTION("""COMPUTED_VALUE"""),"Available")</f>
        <v>Available</v>
      </c>
      <c r="H95" s="5" t="str">
        <f>IFERROR(__xludf.DUMMYFUNCTION("""COMPUTED_VALUE"""),"Available")</f>
        <v>Available</v>
      </c>
      <c r="I95" s="5" t="str">
        <f>IFERROR(__xludf.DUMMYFUNCTION("""COMPUTED_VALUE"""),"")</f>
        <v/>
      </c>
      <c r="J95" s="5" t="str">
        <f>IFERROR(__xludf.DUMMYFUNCTION("""COMPUTED_VALUE"""),"")</f>
        <v/>
      </c>
      <c r="K95" s="5" t="str">
        <f>IFERROR(__xludf.DUMMYFUNCTION("""COMPUTED_VALUE"""),"Available")</f>
        <v>Available</v>
      </c>
      <c r="L95" s="5" t="str">
        <f>IFERROR(__xludf.DUMMYFUNCTION("""COMPUTED_VALUE"""),"")</f>
        <v/>
      </c>
      <c r="M95" s="5" t="str">
        <f>IFERROR(__xludf.DUMMYFUNCTION("""COMPUTED_VALUE"""),"")</f>
        <v/>
      </c>
      <c r="N95" s="5" t="str">
        <f>IFERROR(__xludf.DUMMYFUNCTION("""COMPUTED_VALUE"""),"")</f>
        <v/>
      </c>
      <c r="O95" s="5" t="str">
        <f>IFERROR(__xludf.DUMMYFUNCTION("""COMPUTED_VALUE"""),"")</f>
        <v/>
      </c>
      <c r="P95" s="5" t="str">
        <f>IFERROR(__xludf.DUMMYFUNCTION("""COMPUTED_VALUE"""),"Development")</f>
        <v>Development</v>
      </c>
      <c r="Q95" s="5" t="str">
        <f>IFERROR(__xludf.DUMMYFUNCTION("""COMPUTED_VALUE"""),"Available")</f>
        <v>Available</v>
      </c>
      <c r="R95" s="5" t="str">
        <f>IFERROR(__xludf.DUMMYFUNCTION("""COMPUTED_VALUE"""),"")</f>
        <v/>
      </c>
      <c r="S95" s="5" t="str">
        <f>IFERROR(__xludf.DUMMYFUNCTION("""COMPUTED_VALUE"""),"")</f>
        <v/>
      </c>
      <c r="T95" s="5" t="str">
        <f>IFERROR(__xludf.DUMMYFUNCTION("""COMPUTED_VALUE"""),"")</f>
        <v/>
      </c>
      <c r="U95" s="5" t="str">
        <f>IFERROR(__xludf.DUMMYFUNCTION("""COMPUTED_VALUE"""),"")</f>
        <v/>
      </c>
      <c r="V95" s="5" t="str">
        <f>IFERROR(__xludf.DUMMYFUNCTION("""COMPUTED_VALUE"""),"")</f>
        <v/>
      </c>
      <c r="W95" s="5" t="str">
        <f>IFERROR(__xludf.DUMMYFUNCTION("""COMPUTED_VALUE"""),"")</f>
        <v/>
      </c>
      <c r="X95" s="5" t="str">
        <f>IFERROR(__xludf.DUMMYFUNCTION("""COMPUTED_VALUE"""),"")</f>
        <v/>
      </c>
      <c r="Y95" s="5"/>
      <c r="Z95" s="5"/>
    </row>
    <row r="96">
      <c r="A96" s="5" t="str">
        <f>IFERROR(__xludf.DUMMYFUNCTION("""COMPUTED_VALUE"""),"Casino Fruits")</f>
        <v>Casino Fruits</v>
      </c>
      <c r="B96" s="5" t="str">
        <f>IFERROR(__xludf.DUMMYFUNCTION("""COMPUTED_VALUE"""),"")</f>
        <v/>
      </c>
      <c r="C96" s="5" t="str">
        <f>IFERROR(__xludf.DUMMYFUNCTION("""COMPUTED_VALUE"""),"")</f>
        <v/>
      </c>
      <c r="D96" s="5" t="str">
        <f>IFERROR(__xludf.DUMMYFUNCTION("""COMPUTED_VALUE"""),"")</f>
        <v/>
      </c>
      <c r="E96" s="5" t="str">
        <f>IFERROR(__xludf.DUMMYFUNCTION("""COMPUTED_VALUE"""),"")</f>
        <v/>
      </c>
      <c r="F96" s="5" t="str">
        <f>IFERROR(__xludf.DUMMYFUNCTION("""COMPUTED_VALUE"""),"")</f>
        <v/>
      </c>
      <c r="G96" s="5" t="str">
        <f>IFERROR(__xludf.DUMMYFUNCTION("""COMPUTED_VALUE"""),"")</f>
        <v/>
      </c>
      <c r="H96" s="5" t="str">
        <f>IFERROR(__xludf.DUMMYFUNCTION("""COMPUTED_VALUE"""),"")</f>
        <v/>
      </c>
      <c r="I96" s="5" t="str">
        <f>IFERROR(__xludf.DUMMYFUNCTION("""COMPUTED_VALUE"""),"")</f>
        <v/>
      </c>
      <c r="J96" s="5" t="str">
        <f>IFERROR(__xludf.DUMMYFUNCTION("""COMPUTED_VALUE"""),"")</f>
        <v/>
      </c>
      <c r="K96" s="5" t="str">
        <f>IFERROR(__xludf.DUMMYFUNCTION("""COMPUTED_VALUE"""),"")</f>
        <v/>
      </c>
      <c r="L96" s="5" t="str">
        <f>IFERROR(__xludf.DUMMYFUNCTION("""COMPUTED_VALUE"""),"")</f>
        <v/>
      </c>
      <c r="M96" s="5" t="str">
        <f>IFERROR(__xludf.DUMMYFUNCTION("""COMPUTED_VALUE"""),"")</f>
        <v/>
      </c>
      <c r="N96" s="5" t="str">
        <f>IFERROR(__xludf.DUMMYFUNCTION("""COMPUTED_VALUE"""),"")</f>
        <v/>
      </c>
      <c r="O96" s="5" t="str">
        <f>IFERROR(__xludf.DUMMYFUNCTION("""COMPUTED_VALUE"""),"")</f>
        <v/>
      </c>
      <c r="P96" s="5" t="str">
        <f>IFERROR(__xludf.DUMMYFUNCTION("""COMPUTED_VALUE"""),"")</f>
        <v/>
      </c>
      <c r="Q96" s="5" t="str">
        <f>IFERROR(__xludf.DUMMYFUNCTION("""COMPUTED_VALUE"""),"")</f>
        <v/>
      </c>
      <c r="R96" s="5" t="str">
        <f>IFERROR(__xludf.DUMMYFUNCTION("""COMPUTED_VALUE"""),"")</f>
        <v/>
      </c>
      <c r="S96" s="5" t="str">
        <f>IFERROR(__xludf.DUMMYFUNCTION("""COMPUTED_VALUE"""),"")</f>
        <v/>
      </c>
      <c r="T96" s="5" t="str">
        <f>IFERROR(__xludf.DUMMYFUNCTION("""COMPUTED_VALUE"""),"")</f>
        <v/>
      </c>
      <c r="U96" s="5" t="str">
        <f>IFERROR(__xludf.DUMMYFUNCTION("""COMPUTED_VALUE"""),"")</f>
        <v/>
      </c>
      <c r="V96" s="5" t="str">
        <f>IFERROR(__xludf.DUMMYFUNCTION("""COMPUTED_VALUE"""),"")</f>
        <v/>
      </c>
      <c r="W96" s="5" t="str">
        <f>IFERROR(__xludf.DUMMYFUNCTION("""COMPUTED_VALUE"""),"")</f>
        <v/>
      </c>
      <c r="X96" s="5" t="str">
        <f>IFERROR(__xludf.DUMMYFUNCTION("""COMPUTED_VALUE"""),"")</f>
        <v/>
      </c>
      <c r="Y96" s="5"/>
      <c r="Z96" s="5"/>
    </row>
    <row r="97">
      <c r="A97" s="5" t="str">
        <f>IFERROR(__xludf.DUMMYFUNCTION("""COMPUTED_VALUE"""),"The Crown Fruit")</f>
        <v>The Crown Fruit</v>
      </c>
      <c r="B97" s="5" t="str">
        <f>IFERROR(__xludf.DUMMYFUNCTION("""COMPUTED_VALUE"""),"")</f>
        <v/>
      </c>
      <c r="C97" s="5" t="str">
        <f>IFERROR(__xludf.DUMMYFUNCTION("""COMPUTED_VALUE"""),"")</f>
        <v/>
      </c>
      <c r="D97" s="5" t="str">
        <f>IFERROR(__xludf.DUMMYFUNCTION("""COMPUTED_VALUE"""),"")</f>
        <v/>
      </c>
      <c r="E97" s="5" t="str">
        <f>IFERROR(__xludf.DUMMYFUNCTION("""COMPUTED_VALUE"""),"")</f>
        <v/>
      </c>
      <c r="F97" s="5" t="str">
        <f>IFERROR(__xludf.DUMMYFUNCTION("""COMPUTED_VALUE"""),"")</f>
        <v/>
      </c>
      <c r="G97" s="5" t="str">
        <f>IFERROR(__xludf.DUMMYFUNCTION("""COMPUTED_VALUE"""),"")</f>
        <v/>
      </c>
      <c r="H97" s="5" t="str">
        <f>IFERROR(__xludf.DUMMYFUNCTION("""COMPUTED_VALUE"""),"")</f>
        <v/>
      </c>
      <c r="I97" s="5" t="str">
        <f>IFERROR(__xludf.DUMMYFUNCTION("""COMPUTED_VALUE"""),"")</f>
        <v/>
      </c>
      <c r="J97" s="5" t="str">
        <f>IFERROR(__xludf.DUMMYFUNCTION("""COMPUTED_VALUE"""),"")</f>
        <v/>
      </c>
      <c r="K97" s="5" t="str">
        <f>IFERROR(__xludf.DUMMYFUNCTION("""COMPUTED_VALUE"""),"")</f>
        <v/>
      </c>
      <c r="L97" s="5" t="str">
        <f>IFERROR(__xludf.DUMMYFUNCTION("""COMPUTED_VALUE"""),"")</f>
        <v/>
      </c>
      <c r="M97" s="5" t="str">
        <f>IFERROR(__xludf.DUMMYFUNCTION("""COMPUTED_VALUE"""),"")</f>
        <v/>
      </c>
      <c r="N97" s="5" t="str">
        <f>IFERROR(__xludf.DUMMYFUNCTION("""COMPUTED_VALUE"""),"")</f>
        <v/>
      </c>
      <c r="O97" s="5" t="str">
        <f>IFERROR(__xludf.DUMMYFUNCTION("""COMPUTED_VALUE"""),"")</f>
        <v/>
      </c>
      <c r="P97" s="5" t="str">
        <f>IFERROR(__xludf.DUMMYFUNCTION("""COMPUTED_VALUE"""),"")</f>
        <v/>
      </c>
      <c r="Q97" s="5" t="str">
        <f>IFERROR(__xludf.DUMMYFUNCTION("""COMPUTED_VALUE"""),"")</f>
        <v/>
      </c>
      <c r="R97" s="5" t="str">
        <f>IFERROR(__xludf.DUMMYFUNCTION("""COMPUTED_VALUE"""),"")</f>
        <v/>
      </c>
      <c r="S97" s="5" t="str">
        <f>IFERROR(__xludf.DUMMYFUNCTION("""COMPUTED_VALUE"""),"")</f>
        <v/>
      </c>
      <c r="T97" s="5" t="str">
        <f>IFERROR(__xludf.DUMMYFUNCTION("""COMPUTED_VALUE"""),"")</f>
        <v/>
      </c>
      <c r="U97" s="5" t="str">
        <f>IFERROR(__xludf.DUMMYFUNCTION("""COMPUTED_VALUE"""),"")</f>
        <v/>
      </c>
      <c r="V97" s="5" t="str">
        <f>IFERROR(__xludf.DUMMYFUNCTION("""COMPUTED_VALUE"""),"")</f>
        <v/>
      </c>
      <c r="W97" s="5" t="str">
        <f>IFERROR(__xludf.DUMMYFUNCTION("""COMPUTED_VALUE"""),"")</f>
        <v/>
      </c>
      <c r="X97" s="5" t="str">
        <f>IFERROR(__xludf.DUMMYFUNCTION("""COMPUTED_VALUE"""),"")</f>
        <v/>
      </c>
      <c r="Y97" s="5"/>
      <c r="Z97" s="5"/>
    </row>
    <row r="98">
      <c r="A98" s="5" t="str">
        <f>IFERROR(__xludf.DUMMYFUNCTION("""COMPUTED_VALUE"""),"40 Wild Dice")</f>
        <v>40 Wild Dice</v>
      </c>
      <c r="B98" s="5" t="str">
        <f>IFERROR(__xludf.DUMMYFUNCTION("""COMPUTED_VALUE"""),"")</f>
        <v/>
      </c>
      <c r="C98" s="5" t="str">
        <f>IFERROR(__xludf.DUMMYFUNCTION("""COMPUTED_VALUE"""),"")</f>
        <v/>
      </c>
      <c r="D98" s="5" t="str">
        <f>IFERROR(__xludf.DUMMYFUNCTION("""COMPUTED_VALUE"""),"")</f>
        <v/>
      </c>
      <c r="E98" s="5" t="str">
        <f>IFERROR(__xludf.DUMMYFUNCTION("""COMPUTED_VALUE"""),"")</f>
        <v/>
      </c>
      <c r="F98" s="5" t="str">
        <f>IFERROR(__xludf.DUMMYFUNCTION("""COMPUTED_VALUE"""),"")</f>
        <v/>
      </c>
      <c r="G98" s="5" t="str">
        <f>IFERROR(__xludf.DUMMYFUNCTION("""COMPUTED_VALUE"""),"")</f>
        <v/>
      </c>
      <c r="H98" s="5" t="str">
        <f>IFERROR(__xludf.DUMMYFUNCTION("""COMPUTED_VALUE"""),"")</f>
        <v/>
      </c>
      <c r="I98" s="5" t="str">
        <f>IFERROR(__xludf.DUMMYFUNCTION("""COMPUTED_VALUE"""),"")</f>
        <v/>
      </c>
      <c r="J98" s="5" t="str">
        <f>IFERROR(__xludf.DUMMYFUNCTION("""COMPUTED_VALUE"""),"")</f>
        <v/>
      </c>
      <c r="K98" s="5" t="str">
        <f>IFERROR(__xludf.DUMMYFUNCTION("""COMPUTED_VALUE"""),"")</f>
        <v/>
      </c>
      <c r="L98" s="5" t="str">
        <f>IFERROR(__xludf.DUMMYFUNCTION("""COMPUTED_VALUE"""),"")</f>
        <v/>
      </c>
      <c r="M98" s="5" t="str">
        <f>IFERROR(__xludf.DUMMYFUNCTION("""COMPUTED_VALUE"""),"")</f>
        <v/>
      </c>
      <c r="N98" s="5" t="str">
        <f>IFERROR(__xludf.DUMMYFUNCTION("""COMPUTED_VALUE"""),"")</f>
        <v/>
      </c>
      <c r="O98" s="5" t="str">
        <f>IFERROR(__xludf.DUMMYFUNCTION("""COMPUTED_VALUE"""),"")</f>
        <v/>
      </c>
      <c r="P98" s="5" t="str">
        <f>IFERROR(__xludf.DUMMYFUNCTION("""COMPUTED_VALUE"""),"Development")</f>
        <v>Development</v>
      </c>
      <c r="Q98" s="5" t="str">
        <f>IFERROR(__xludf.DUMMYFUNCTION("""COMPUTED_VALUE"""),"")</f>
        <v/>
      </c>
      <c r="R98" s="5" t="str">
        <f>IFERROR(__xludf.DUMMYFUNCTION("""COMPUTED_VALUE"""),"")</f>
        <v/>
      </c>
      <c r="S98" s="5" t="str">
        <f>IFERROR(__xludf.DUMMYFUNCTION("""COMPUTED_VALUE"""),"")</f>
        <v/>
      </c>
      <c r="T98" s="5" t="str">
        <f>IFERROR(__xludf.DUMMYFUNCTION("""COMPUTED_VALUE"""),"")</f>
        <v/>
      </c>
      <c r="U98" s="5" t="str">
        <f>IFERROR(__xludf.DUMMYFUNCTION("""COMPUTED_VALUE"""),"")</f>
        <v/>
      </c>
      <c r="V98" s="5" t="str">
        <f>IFERROR(__xludf.DUMMYFUNCTION("""COMPUTED_VALUE"""),"")</f>
        <v/>
      </c>
      <c r="W98" s="5" t="str">
        <f>IFERROR(__xludf.DUMMYFUNCTION("""COMPUTED_VALUE"""),"")</f>
        <v/>
      </c>
      <c r="X98" s="5" t="str">
        <f>IFERROR(__xludf.DUMMYFUNCTION("""COMPUTED_VALUE"""),"")</f>
        <v/>
      </c>
      <c r="Y98" s="5"/>
      <c r="Z98" s="5"/>
    </row>
    <row r="99">
      <c r="A99" s="5" t="str">
        <f>IFERROR(__xludf.DUMMYFUNCTION("""COMPUTED_VALUE"""),"Twenty Fruits")</f>
        <v>Twenty Fruits</v>
      </c>
      <c r="B99" s="5" t="str">
        <f>IFERROR(__xludf.DUMMYFUNCTION("""COMPUTED_VALUE"""),"")</f>
        <v/>
      </c>
      <c r="C99" s="5" t="str">
        <f>IFERROR(__xludf.DUMMYFUNCTION("""COMPUTED_VALUE"""),"")</f>
        <v/>
      </c>
      <c r="D99" s="5" t="str">
        <f>IFERROR(__xludf.DUMMYFUNCTION("""COMPUTED_VALUE"""),"")</f>
        <v/>
      </c>
      <c r="E99" s="5" t="str">
        <f>IFERROR(__xludf.DUMMYFUNCTION("""COMPUTED_VALUE"""),"")</f>
        <v/>
      </c>
      <c r="F99" s="5" t="str">
        <f>IFERROR(__xludf.DUMMYFUNCTION("""COMPUTED_VALUE"""),"")</f>
        <v/>
      </c>
      <c r="G99" s="5" t="str">
        <f>IFERROR(__xludf.DUMMYFUNCTION("""COMPUTED_VALUE"""),"")</f>
        <v/>
      </c>
      <c r="H99" s="5" t="str">
        <f>IFERROR(__xludf.DUMMYFUNCTION("""COMPUTED_VALUE"""),"")</f>
        <v/>
      </c>
      <c r="I99" s="5" t="str">
        <f>IFERROR(__xludf.DUMMYFUNCTION("""COMPUTED_VALUE"""),"")</f>
        <v/>
      </c>
      <c r="J99" s="5" t="str">
        <f>IFERROR(__xludf.DUMMYFUNCTION("""COMPUTED_VALUE"""),"")</f>
        <v/>
      </c>
      <c r="K99" s="5" t="str">
        <f>IFERROR(__xludf.DUMMYFUNCTION("""COMPUTED_VALUE"""),"")</f>
        <v/>
      </c>
      <c r="L99" s="5" t="str">
        <f>IFERROR(__xludf.DUMMYFUNCTION("""COMPUTED_VALUE"""),"")</f>
        <v/>
      </c>
      <c r="M99" s="5" t="str">
        <f>IFERROR(__xludf.DUMMYFUNCTION("""COMPUTED_VALUE"""),"")</f>
        <v/>
      </c>
      <c r="N99" s="5" t="str">
        <f>IFERROR(__xludf.DUMMYFUNCTION("""COMPUTED_VALUE"""),"")</f>
        <v/>
      </c>
      <c r="O99" s="5" t="str">
        <f>IFERROR(__xludf.DUMMYFUNCTION("""COMPUTED_VALUE"""),"")</f>
        <v/>
      </c>
      <c r="P99" s="5" t="str">
        <f>IFERROR(__xludf.DUMMYFUNCTION("""COMPUTED_VALUE"""),"")</f>
        <v/>
      </c>
      <c r="Q99" s="5" t="str">
        <f>IFERROR(__xludf.DUMMYFUNCTION("""COMPUTED_VALUE"""),"")</f>
        <v/>
      </c>
      <c r="R99" s="5" t="str">
        <f>IFERROR(__xludf.DUMMYFUNCTION("""COMPUTED_VALUE"""),"")</f>
        <v/>
      </c>
      <c r="S99" s="5" t="str">
        <f>IFERROR(__xludf.DUMMYFUNCTION("""COMPUTED_VALUE"""),"")</f>
        <v/>
      </c>
      <c r="T99" s="5" t="str">
        <f>IFERROR(__xludf.DUMMYFUNCTION("""COMPUTED_VALUE"""),"")</f>
        <v/>
      </c>
      <c r="U99" s="5" t="str">
        <f>IFERROR(__xludf.DUMMYFUNCTION("""COMPUTED_VALUE"""),"")</f>
        <v/>
      </c>
      <c r="V99" s="5" t="str">
        <f>IFERROR(__xludf.DUMMYFUNCTION("""COMPUTED_VALUE"""),"")</f>
        <v/>
      </c>
      <c r="W99" s="5" t="str">
        <f>IFERROR(__xludf.DUMMYFUNCTION("""COMPUTED_VALUE"""),"")</f>
        <v/>
      </c>
      <c r="X99" s="5" t="str">
        <f>IFERROR(__xludf.DUMMYFUNCTION("""COMPUTED_VALUE"""),"")</f>
        <v/>
      </c>
      <c r="Y99" s="5"/>
      <c r="Z99" s="5"/>
    </row>
    <row r="100">
      <c r="A100" s="5" t="str">
        <f>IFERROR(__xludf.DUMMYFUNCTION("""COMPUTED_VALUE"""),"Twenty Dice")</f>
        <v>Twenty Dice</v>
      </c>
      <c r="B100" s="5" t="str">
        <f>IFERROR(__xludf.DUMMYFUNCTION("""COMPUTED_VALUE"""),"")</f>
        <v/>
      </c>
      <c r="C100" s="5" t="str">
        <f>IFERROR(__xludf.DUMMYFUNCTION("""COMPUTED_VALUE"""),"")</f>
        <v/>
      </c>
      <c r="D100" s="5" t="str">
        <f>IFERROR(__xludf.DUMMYFUNCTION("""COMPUTED_VALUE"""),"")</f>
        <v/>
      </c>
      <c r="E100" s="5" t="str">
        <f>IFERROR(__xludf.DUMMYFUNCTION("""COMPUTED_VALUE"""),"")</f>
        <v/>
      </c>
      <c r="F100" s="5" t="str">
        <f>IFERROR(__xludf.DUMMYFUNCTION("""COMPUTED_VALUE"""),"")</f>
        <v/>
      </c>
      <c r="G100" s="5" t="str">
        <f>IFERROR(__xludf.DUMMYFUNCTION("""COMPUTED_VALUE"""),"")</f>
        <v/>
      </c>
      <c r="H100" s="5" t="str">
        <f>IFERROR(__xludf.DUMMYFUNCTION("""COMPUTED_VALUE"""),"")</f>
        <v/>
      </c>
      <c r="I100" s="5" t="str">
        <f>IFERROR(__xludf.DUMMYFUNCTION("""COMPUTED_VALUE"""),"")</f>
        <v/>
      </c>
      <c r="J100" s="5" t="str">
        <f>IFERROR(__xludf.DUMMYFUNCTION("""COMPUTED_VALUE"""),"")</f>
        <v/>
      </c>
      <c r="K100" s="5" t="str">
        <f>IFERROR(__xludf.DUMMYFUNCTION("""COMPUTED_VALUE"""),"")</f>
        <v/>
      </c>
      <c r="L100" s="5" t="str">
        <f>IFERROR(__xludf.DUMMYFUNCTION("""COMPUTED_VALUE"""),"")</f>
        <v/>
      </c>
      <c r="M100" s="5" t="str">
        <f>IFERROR(__xludf.DUMMYFUNCTION("""COMPUTED_VALUE"""),"")</f>
        <v/>
      </c>
      <c r="N100" s="5" t="str">
        <f>IFERROR(__xludf.DUMMYFUNCTION("""COMPUTED_VALUE"""),"")</f>
        <v/>
      </c>
      <c r="O100" s="5" t="str">
        <f>IFERROR(__xludf.DUMMYFUNCTION("""COMPUTED_VALUE"""),"")</f>
        <v/>
      </c>
      <c r="P100" s="5" t="str">
        <f>IFERROR(__xludf.DUMMYFUNCTION("""COMPUTED_VALUE"""),"")</f>
        <v/>
      </c>
      <c r="Q100" s="5" t="str">
        <f>IFERROR(__xludf.DUMMYFUNCTION("""COMPUTED_VALUE"""),"")</f>
        <v/>
      </c>
      <c r="R100" s="5" t="str">
        <f>IFERROR(__xludf.DUMMYFUNCTION("""COMPUTED_VALUE"""),"")</f>
        <v/>
      </c>
      <c r="S100" s="5" t="str">
        <f>IFERROR(__xludf.DUMMYFUNCTION("""COMPUTED_VALUE"""),"")</f>
        <v/>
      </c>
      <c r="T100" s="5" t="str">
        <f>IFERROR(__xludf.DUMMYFUNCTION("""COMPUTED_VALUE"""),"")</f>
        <v/>
      </c>
      <c r="U100" s="5" t="str">
        <f>IFERROR(__xludf.DUMMYFUNCTION("""COMPUTED_VALUE"""),"")</f>
        <v/>
      </c>
      <c r="V100" s="5" t="str">
        <f>IFERROR(__xludf.DUMMYFUNCTION("""COMPUTED_VALUE"""),"")</f>
        <v/>
      </c>
      <c r="W100" s="5" t="str">
        <f>IFERROR(__xludf.DUMMYFUNCTION("""COMPUTED_VALUE"""),"")</f>
        <v/>
      </c>
      <c r="X100" s="5" t="str">
        <f>IFERROR(__xludf.DUMMYFUNCTION("""COMPUTED_VALUE"""),"")</f>
        <v/>
      </c>
      <c r="Y100" s="5"/>
      <c r="Z100" s="5"/>
    </row>
    <row r="101">
      <c r="A101" s="5" t="str">
        <f>IFERROR(__xludf.DUMMYFUNCTION("""COMPUTED_VALUE"""),"5 Dice Fire")</f>
        <v>5 Dice Fire</v>
      </c>
      <c r="B101" s="5" t="str">
        <f>IFERROR(__xludf.DUMMYFUNCTION("""COMPUTED_VALUE"""),"")</f>
        <v/>
      </c>
      <c r="C101" s="5" t="str">
        <f>IFERROR(__xludf.DUMMYFUNCTION("""COMPUTED_VALUE"""),"")</f>
        <v/>
      </c>
      <c r="D101" s="5" t="str">
        <f>IFERROR(__xludf.DUMMYFUNCTION("""COMPUTED_VALUE"""),"")</f>
        <v/>
      </c>
      <c r="E101" s="5" t="str">
        <f>IFERROR(__xludf.DUMMYFUNCTION("""COMPUTED_VALUE"""),"")</f>
        <v/>
      </c>
      <c r="F101" s="5" t="str">
        <f>IFERROR(__xludf.DUMMYFUNCTION("""COMPUTED_VALUE"""),"")</f>
        <v/>
      </c>
      <c r="G101" s="5" t="str">
        <f>IFERROR(__xludf.DUMMYFUNCTION("""COMPUTED_VALUE"""),"")</f>
        <v/>
      </c>
      <c r="H101" s="5" t="str">
        <f>IFERROR(__xludf.DUMMYFUNCTION("""COMPUTED_VALUE"""),"")</f>
        <v/>
      </c>
      <c r="I101" s="5" t="str">
        <f>IFERROR(__xludf.DUMMYFUNCTION("""COMPUTED_VALUE"""),"")</f>
        <v/>
      </c>
      <c r="J101" s="5" t="str">
        <f>IFERROR(__xludf.DUMMYFUNCTION("""COMPUTED_VALUE"""),"")</f>
        <v/>
      </c>
      <c r="K101" s="5" t="str">
        <f>IFERROR(__xludf.DUMMYFUNCTION("""COMPUTED_VALUE"""),"")</f>
        <v/>
      </c>
      <c r="L101" s="5" t="str">
        <f>IFERROR(__xludf.DUMMYFUNCTION("""COMPUTED_VALUE"""),"")</f>
        <v/>
      </c>
      <c r="M101" s="5" t="str">
        <f>IFERROR(__xludf.DUMMYFUNCTION("""COMPUTED_VALUE"""),"")</f>
        <v/>
      </c>
      <c r="N101" s="5" t="str">
        <f>IFERROR(__xludf.DUMMYFUNCTION("""COMPUTED_VALUE"""),"")</f>
        <v/>
      </c>
      <c r="O101" s="5" t="str">
        <f>IFERROR(__xludf.DUMMYFUNCTION("""COMPUTED_VALUE"""),"")</f>
        <v/>
      </c>
      <c r="P101" s="5" t="str">
        <f>IFERROR(__xludf.DUMMYFUNCTION("""COMPUTED_VALUE"""),"Development")</f>
        <v>Development</v>
      </c>
      <c r="Q101" s="5" t="str">
        <f>IFERROR(__xludf.DUMMYFUNCTION("""COMPUTED_VALUE"""),"")</f>
        <v/>
      </c>
      <c r="R101" s="5" t="str">
        <f>IFERROR(__xludf.DUMMYFUNCTION("""COMPUTED_VALUE"""),"")</f>
        <v/>
      </c>
      <c r="S101" s="5" t="str">
        <f>IFERROR(__xludf.DUMMYFUNCTION("""COMPUTED_VALUE"""),"")</f>
        <v/>
      </c>
      <c r="T101" s="5" t="str">
        <f>IFERROR(__xludf.DUMMYFUNCTION("""COMPUTED_VALUE"""),"")</f>
        <v/>
      </c>
      <c r="U101" s="5" t="str">
        <f>IFERROR(__xludf.DUMMYFUNCTION("""COMPUTED_VALUE"""),"")</f>
        <v/>
      </c>
      <c r="V101" s="5" t="str">
        <f>IFERROR(__xludf.DUMMYFUNCTION("""COMPUTED_VALUE"""),"")</f>
        <v/>
      </c>
      <c r="W101" s="5" t="str">
        <f>IFERROR(__xludf.DUMMYFUNCTION("""COMPUTED_VALUE"""),"")</f>
        <v/>
      </c>
      <c r="X101" s="5" t="str">
        <f>IFERROR(__xludf.DUMMYFUNCTION("""COMPUTED_VALUE"""),"")</f>
        <v/>
      </c>
      <c r="Y101" s="5"/>
      <c r="Z101" s="5"/>
    </row>
    <row r="102">
      <c r="A102" s="5" t="str">
        <f>IFERROR(__xludf.DUMMYFUNCTION("""COMPUTED_VALUE"""),"Wild Kingdom")</f>
        <v>Wild Kingdom</v>
      </c>
      <c r="B102" s="5" t="str">
        <f>IFERROR(__xludf.DUMMYFUNCTION("""COMPUTED_VALUE"""),"Available")</f>
        <v>Available</v>
      </c>
      <c r="C102" s="5" t="str">
        <f>IFERROR(__xludf.DUMMYFUNCTION("""COMPUTED_VALUE"""),"")</f>
        <v/>
      </c>
      <c r="D102" s="5" t="str">
        <f>IFERROR(__xludf.DUMMYFUNCTION("""COMPUTED_VALUE"""),"Available")</f>
        <v>Available</v>
      </c>
      <c r="E102" s="5" t="str">
        <f>IFERROR(__xludf.DUMMYFUNCTION("""COMPUTED_VALUE"""),"Available")</f>
        <v>Available</v>
      </c>
      <c r="F102" s="5" t="str">
        <f>IFERROR(__xludf.DUMMYFUNCTION("""COMPUTED_VALUE"""),"Available")</f>
        <v>Available</v>
      </c>
      <c r="G102" s="5" t="str">
        <f>IFERROR(__xludf.DUMMYFUNCTION("""COMPUTED_VALUE"""),"Available")</f>
        <v>Available</v>
      </c>
      <c r="H102" s="5" t="str">
        <f>IFERROR(__xludf.DUMMYFUNCTION("""COMPUTED_VALUE"""),"Available")</f>
        <v>Available</v>
      </c>
      <c r="I102" s="5" t="str">
        <f>IFERROR(__xludf.DUMMYFUNCTION("""COMPUTED_VALUE"""),"")</f>
        <v/>
      </c>
      <c r="J102" s="5" t="str">
        <f>IFERROR(__xludf.DUMMYFUNCTION("""COMPUTED_VALUE"""),"")</f>
        <v/>
      </c>
      <c r="K102" s="5" t="str">
        <f>IFERROR(__xludf.DUMMYFUNCTION("""COMPUTED_VALUE"""),"")</f>
        <v/>
      </c>
      <c r="L102" s="5" t="str">
        <f>IFERROR(__xludf.DUMMYFUNCTION("""COMPUTED_VALUE"""),"")</f>
        <v/>
      </c>
      <c r="M102" s="5" t="str">
        <f>IFERROR(__xludf.DUMMYFUNCTION("""COMPUTED_VALUE"""),"")</f>
        <v/>
      </c>
      <c r="N102" s="5" t="str">
        <f>IFERROR(__xludf.DUMMYFUNCTION("""COMPUTED_VALUE"""),"")</f>
        <v/>
      </c>
      <c r="O102" s="5" t="str">
        <f>IFERROR(__xludf.DUMMYFUNCTION("""COMPUTED_VALUE"""),"")</f>
        <v/>
      </c>
      <c r="P102" s="5" t="str">
        <f>IFERROR(__xludf.DUMMYFUNCTION("""COMPUTED_VALUE"""),"Available")</f>
        <v>Available</v>
      </c>
      <c r="Q102" s="5" t="str">
        <f>IFERROR(__xludf.DUMMYFUNCTION("""COMPUTED_VALUE"""),"Available")</f>
        <v>Available</v>
      </c>
      <c r="R102" s="5" t="str">
        <f>IFERROR(__xludf.DUMMYFUNCTION("""COMPUTED_VALUE"""),"")</f>
        <v/>
      </c>
      <c r="S102" s="5" t="str">
        <f>IFERROR(__xludf.DUMMYFUNCTION("""COMPUTED_VALUE"""),"")</f>
        <v/>
      </c>
      <c r="T102" s="5" t="str">
        <f>IFERROR(__xludf.DUMMYFUNCTION("""COMPUTED_VALUE"""),"")</f>
        <v/>
      </c>
      <c r="U102" s="5" t="str">
        <f>IFERROR(__xludf.DUMMYFUNCTION("""COMPUTED_VALUE"""),"Certified")</f>
        <v>Certified</v>
      </c>
      <c r="V102" s="5" t="str">
        <f>IFERROR(__xludf.DUMMYFUNCTION("""COMPUTED_VALUE"""),"")</f>
        <v/>
      </c>
      <c r="W102" s="5" t="str">
        <f>IFERROR(__xludf.DUMMYFUNCTION("""COMPUTED_VALUE"""),"")</f>
        <v/>
      </c>
      <c r="X102" s="5" t="str">
        <f>IFERROR(__xludf.DUMMYFUNCTION("""COMPUTED_VALUE"""),"")</f>
        <v/>
      </c>
      <c r="Y102" s="5"/>
      <c r="Z102" s="5"/>
    </row>
    <row r="103">
      <c r="A103" s="5" t="str">
        <f>IFERROR(__xludf.DUMMYFUNCTION("""COMPUTED_VALUE"""),"Book Of Luxor Double")</f>
        <v>Book Of Luxor Double</v>
      </c>
      <c r="B103" s="5" t="str">
        <f>IFERROR(__xludf.DUMMYFUNCTION("""COMPUTED_VALUE"""),"Available")</f>
        <v>Available</v>
      </c>
      <c r="C103" s="5" t="str">
        <f>IFERROR(__xludf.DUMMYFUNCTION("""COMPUTED_VALUE"""),"Development")</f>
        <v>Development</v>
      </c>
      <c r="D103" s="5" t="str">
        <f>IFERROR(__xludf.DUMMYFUNCTION("""COMPUTED_VALUE"""),"Available")</f>
        <v>Available</v>
      </c>
      <c r="E103" s="5" t="str">
        <f>IFERROR(__xludf.DUMMYFUNCTION("""COMPUTED_VALUE"""),"Available")</f>
        <v>Available</v>
      </c>
      <c r="F103" s="5" t="str">
        <f>IFERROR(__xludf.DUMMYFUNCTION("""COMPUTED_VALUE"""),"Available")</f>
        <v>Available</v>
      </c>
      <c r="G103" s="5" t="str">
        <f>IFERROR(__xludf.DUMMYFUNCTION("""COMPUTED_VALUE"""),"Available")</f>
        <v>Available</v>
      </c>
      <c r="H103" s="5" t="str">
        <f>IFERROR(__xludf.DUMMYFUNCTION("""COMPUTED_VALUE"""),"Available")</f>
        <v>Available</v>
      </c>
      <c r="I103" s="5" t="str">
        <f>IFERROR(__xludf.DUMMYFUNCTION("""COMPUTED_VALUE"""),"Available")</f>
        <v>Available</v>
      </c>
      <c r="J103" s="5" t="str">
        <f>IFERROR(__xludf.DUMMYFUNCTION("""COMPUTED_VALUE"""),"")</f>
        <v/>
      </c>
      <c r="K103" s="5" t="str">
        <f>IFERROR(__xludf.DUMMYFUNCTION("""COMPUTED_VALUE"""),"Development")</f>
        <v>Development</v>
      </c>
      <c r="L103" s="5" t="str">
        <f>IFERROR(__xludf.DUMMYFUNCTION("""COMPUTED_VALUE"""),"")</f>
        <v/>
      </c>
      <c r="M103" s="5" t="str">
        <f>IFERROR(__xludf.DUMMYFUNCTION("""COMPUTED_VALUE"""),"")</f>
        <v/>
      </c>
      <c r="N103" s="5" t="str">
        <f>IFERROR(__xludf.DUMMYFUNCTION("""COMPUTED_VALUE"""),"Available")</f>
        <v>Available</v>
      </c>
      <c r="O103" s="5" t="str">
        <f>IFERROR(__xludf.DUMMYFUNCTION("""COMPUTED_VALUE"""),"Available")</f>
        <v>Available</v>
      </c>
      <c r="P103" s="5" t="str">
        <f>IFERROR(__xludf.DUMMYFUNCTION("""COMPUTED_VALUE"""),"Available")</f>
        <v>Available</v>
      </c>
      <c r="Q103" s="5" t="str">
        <f>IFERROR(__xludf.DUMMYFUNCTION("""COMPUTED_VALUE"""),"Available")</f>
        <v>Available</v>
      </c>
      <c r="R103" s="5" t="str">
        <f>IFERROR(__xludf.DUMMYFUNCTION("""COMPUTED_VALUE"""),"Development")</f>
        <v>Development</v>
      </c>
      <c r="S103" s="5" t="str">
        <f>IFERROR(__xludf.DUMMYFUNCTION("""COMPUTED_VALUE"""),"In Certification")</f>
        <v>In Certification</v>
      </c>
      <c r="T103" s="5" t="str">
        <f>IFERROR(__xludf.DUMMYFUNCTION("""COMPUTED_VALUE"""),"")</f>
        <v/>
      </c>
      <c r="U103" s="5" t="str">
        <f>IFERROR(__xludf.DUMMYFUNCTION("""COMPUTED_VALUE"""),"Certified")</f>
        <v>Certified</v>
      </c>
      <c r="V103" s="5" t="str">
        <f>IFERROR(__xludf.DUMMYFUNCTION("""COMPUTED_VALUE"""),"Available")</f>
        <v>Available</v>
      </c>
      <c r="W103" s="5" t="str">
        <f>IFERROR(__xludf.DUMMYFUNCTION("""COMPUTED_VALUE"""),"")</f>
        <v/>
      </c>
      <c r="X103" s="5" t="str">
        <f>IFERROR(__xludf.DUMMYFUNCTION("""COMPUTED_VALUE"""),"")</f>
        <v/>
      </c>
      <c r="Y103" s="5"/>
      <c r="Z103" s="5"/>
    </row>
    <row r="104">
      <c r="A104" s="5" t="str">
        <f>IFERROR(__xludf.DUMMYFUNCTION("""COMPUTED_VALUE"""),"Mega Cubes Deluxe")</f>
        <v>Mega Cubes Deluxe</v>
      </c>
      <c r="B104" s="5" t="str">
        <f>IFERROR(__xludf.DUMMYFUNCTION("""COMPUTED_VALUE"""),"Available")</f>
        <v>Available</v>
      </c>
      <c r="C104" s="5" t="str">
        <f>IFERROR(__xludf.DUMMYFUNCTION("""COMPUTED_VALUE"""),"")</f>
        <v/>
      </c>
      <c r="D104" s="5" t="str">
        <f>IFERROR(__xludf.DUMMYFUNCTION("""COMPUTED_VALUE"""),"")</f>
        <v/>
      </c>
      <c r="E104" s="5" t="str">
        <f>IFERROR(__xludf.DUMMYFUNCTION("""COMPUTED_VALUE"""),"")</f>
        <v/>
      </c>
      <c r="F104" s="5" t="str">
        <f>IFERROR(__xludf.DUMMYFUNCTION("""COMPUTED_VALUE"""),"")</f>
        <v/>
      </c>
      <c r="G104" s="5" t="str">
        <f>IFERROR(__xludf.DUMMYFUNCTION("""COMPUTED_VALUE"""),"")</f>
        <v/>
      </c>
      <c r="H104" s="5" t="str">
        <f>IFERROR(__xludf.DUMMYFUNCTION("""COMPUTED_VALUE"""),"")</f>
        <v/>
      </c>
      <c r="I104" s="5" t="str">
        <f>IFERROR(__xludf.DUMMYFUNCTION("""COMPUTED_VALUE"""),"")</f>
        <v/>
      </c>
      <c r="J104" s="5" t="str">
        <f>IFERROR(__xludf.DUMMYFUNCTION("""COMPUTED_VALUE"""),"")</f>
        <v/>
      </c>
      <c r="K104" s="5" t="str">
        <f>IFERROR(__xludf.DUMMYFUNCTION("""COMPUTED_VALUE"""),"")</f>
        <v/>
      </c>
      <c r="L104" s="5" t="str">
        <f>IFERROR(__xludf.DUMMYFUNCTION("""COMPUTED_VALUE"""),"")</f>
        <v/>
      </c>
      <c r="M104" s="5" t="str">
        <f>IFERROR(__xludf.DUMMYFUNCTION("""COMPUTED_VALUE"""),"")</f>
        <v/>
      </c>
      <c r="N104" s="5" t="str">
        <f>IFERROR(__xludf.DUMMYFUNCTION("""COMPUTED_VALUE"""),"")</f>
        <v/>
      </c>
      <c r="O104" s="5" t="str">
        <f>IFERROR(__xludf.DUMMYFUNCTION("""COMPUTED_VALUE"""),"")</f>
        <v/>
      </c>
      <c r="P104" s="5" t="str">
        <f>IFERROR(__xludf.DUMMYFUNCTION("""COMPUTED_VALUE"""),"")</f>
        <v/>
      </c>
      <c r="Q104" s="5" t="str">
        <f>IFERROR(__xludf.DUMMYFUNCTION("""COMPUTED_VALUE"""),"")</f>
        <v/>
      </c>
      <c r="R104" s="5" t="str">
        <f>IFERROR(__xludf.DUMMYFUNCTION("""COMPUTED_VALUE"""),"")</f>
        <v/>
      </c>
      <c r="S104" s="5" t="str">
        <f>IFERROR(__xludf.DUMMYFUNCTION("""COMPUTED_VALUE"""),"")</f>
        <v/>
      </c>
      <c r="T104" s="5" t="str">
        <f>IFERROR(__xludf.DUMMYFUNCTION("""COMPUTED_VALUE"""),"")</f>
        <v/>
      </c>
      <c r="U104" s="5" t="str">
        <f>IFERROR(__xludf.DUMMYFUNCTION("""COMPUTED_VALUE"""),"")</f>
        <v/>
      </c>
      <c r="V104" s="5" t="str">
        <f>IFERROR(__xludf.DUMMYFUNCTION("""COMPUTED_VALUE"""),"")</f>
        <v/>
      </c>
      <c r="W104" s="5" t="str">
        <f>IFERROR(__xludf.DUMMYFUNCTION("""COMPUTED_VALUE"""),"")</f>
        <v/>
      </c>
      <c r="X104" s="5" t="str">
        <f>IFERROR(__xludf.DUMMYFUNCTION("""COMPUTED_VALUE"""),"")</f>
        <v/>
      </c>
      <c r="Y104" s="5"/>
      <c r="Z104" s="5"/>
    </row>
    <row r="105">
      <c r="A105" s="5" t="str">
        <f>IFERROR(__xludf.DUMMYFUNCTION("""COMPUTED_VALUE"""),"Lolla's World")</f>
        <v>Lolla's World</v>
      </c>
      <c r="B105" s="5" t="str">
        <f>IFERROR(__xludf.DUMMYFUNCTION("""COMPUTED_VALUE"""),"Available")</f>
        <v>Available</v>
      </c>
      <c r="C105" s="5" t="str">
        <f>IFERROR(__xludf.DUMMYFUNCTION("""COMPUTED_VALUE"""),"Available")</f>
        <v>Available</v>
      </c>
      <c r="D105" s="5" t="str">
        <f>IFERROR(__xludf.DUMMYFUNCTION("""COMPUTED_VALUE"""),"Available")</f>
        <v>Available</v>
      </c>
      <c r="E105" s="5" t="str">
        <f>IFERROR(__xludf.DUMMYFUNCTION("""COMPUTED_VALUE"""),"Available")</f>
        <v>Available</v>
      </c>
      <c r="F105" s="5" t="str">
        <f>IFERROR(__xludf.DUMMYFUNCTION("""COMPUTED_VALUE"""),"Available")</f>
        <v>Available</v>
      </c>
      <c r="G105" s="5" t="str">
        <f>IFERROR(__xludf.DUMMYFUNCTION("""COMPUTED_VALUE"""),"Retired")</f>
        <v>Retired</v>
      </c>
      <c r="H105" s="5" t="str">
        <f>IFERROR(__xludf.DUMMYFUNCTION("""COMPUTED_VALUE"""),"Available")</f>
        <v>Available</v>
      </c>
      <c r="I105" s="5" t="str">
        <f>IFERROR(__xludf.DUMMYFUNCTION("""COMPUTED_VALUE"""),"Available")</f>
        <v>Available</v>
      </c>
      <c r="J105" s="5" t="str">
        <f>IFERROR(__xludf.DUMMYFUNCTION("""COMPUTED_VALUE"""),"Available")</f>
        <v>Available</v>
      </c>
      <c r="K105" s="5" t="str">
        <f>IFERROR(__xludf.DUMMYFUNCTION("""COMPUTED_VALUE"""),"Available")</f>
        <v>Available</v>
      </c>
      <c r="L105" s="5" t="str">
        <f>IFERROR(__xludf.DUMMYFUNCTION("""COMPUTED_VALUE"""),"Available")</f>
        <v>Available</v>
      </c>
      <c r="M105" s="5" t="str">
        <f>IFERROR(__xludf.DUMMYFUNCTION("""COMPUTED_VALUE"""),"Available")</f>
        <v>Available</v>
      </c>
      <c r="N105" s="5" t="str">
        <f>IFERROR(__xludf.DUMMYFUNCTION("""COMPUTED_VALUE"""),"Available")</f>
        <v>Available</v>
      </c>
      <c r="O105" s="5" t="str">
        <f>IFERROR(__xludf.DUMMYFUNCTION("""COMPUTED_VALUE"""),"Available")</f>
        <v>Available</v>
      </c>
      <c r="P105" s="5" t="str">
        <f>IFERROR(__xludf.DUMMYFUNCTION("""COMPUTED_VALUE"""),"Available")</f>
        <v>Available</v>
      </c>
      <c r="Q105" s="5" t="str">
        <f>IFERROR(__xludf.DUMMYFUNCTION("""COMPUTED_VALUE"""),"Available")</f>
        <v>Available</v>
      </c>
      <c r="R105" s="5" t="str">
        <f>IFERROR(__xludf.DUMMYFUNCTION("""COMPUTED_VALUE"""),"Development")</f>
        <v>Development</v>
      </c>
      <c r="S105" s="5" t="str">
        <f>IFERROR(__xludf.DUMMYFUNCTION("""COMPUTED_VALUE"""),"In Certification")</f>
        <v>In Certification</v>
      </c>
      <c r="T105" s="5" t="str">
        <f>IFERROR(__xludf.DUMMYFUNCTION("""COMPUTED_VALUE"""),"Development")</f>
        <v>Development</v>
      </c>
      <c r="U105" s="5" t="str">
        <f>IFERROR(__xludf.DUMMYFUNCTION("""COMPUTED_VALUE"""),"Certified")</f>
        <v>Certified</v>
      </c>
      <c r="V105" s="5" t="str">
        <f>IFERROR(__xludf.DUMMYFUNCTION("""COMPUTED_VALUE"""),"Available")</f>
        <v>Available</v>
      </c>
      <c r="W105" s="5" t="str">
        <f>IFERROR(__xludf.DUMMYFUNCTION("""COMPUTED_VALUE"""),"Planned")</f>
        <v>Planned</v>
      </c>
      <c r="X105" s="5" t="str">
        <f>IFERROR(__xludf.DUMMYFUNCTION("""COMPUTED_VALUE"""),"")</f>
        <v/>
      </c>
      <c r="Y105" s="5"/>
      <c r="Z105" s="5"/>
    </row>
    <row r="106">
      <c r="A106" s="5" t="str">
        <f>IFERROR(__xludf.DUMMYFUNCTION("""COMPUTED_VALUE"""),"40 Clover Fire")</f>
        <v>40 Clover Fire</v>
      </c>
      <c r="B106" s="5" t="str">
        <f>IFERROR(__xludf.DUMMYFUNCTION("""COMPUTED_VALUE"""),"")</f>
        <v/>
      </c>
      <c r="C106" s="5" t="str">
        <f>IFERROR(__xludf.DUMMYFUNCTION("""COMPUTED_VALUE"""),"")</f>
        <v/>
      </c>
      <c r="D106" s="5" t="str">
        <f>IFERROR(__xludf.DUMMYFUNCTION("""COMPUTED_VALUE"""),"Retired")</f>
        <v>Retired</v>
      </c>
      <c r="E106" s="5" t="str">
        <f>IFERROR(__xludf.DUMMYFUNCTION("""COMPUTED_VALUE"""),"")</f>
        <v/>
      </c>
      <c r="F106" s="5" t="str">
        <f>IFERROR(__xludf.DUMMYFUNCTION("""COMPUTED_VALUE"""),"Available")</f>
        <v>Available</v>
      </c>
      <c r="G106" s="5" t="str">
        <f>IFERROR(__xludf.DUMMYFUNCTION("""COMPUTED_VALUE"""),"Available")</f>
        <v>Available</v>
      </c>
      <c r="H106" s="5" t="str">
        <f>IFERROR(__xludf.DUMMYFUNCTION("""COMPUTED_VALUE"""),"Available")</f>
        <v>Available</v>
      </c>
      <c r="I106" s="5" t="str">
        <f>IFERROR(__xludf.DUMMYFUNCTION("""COMPUTED_VALUE"""),"")</f>
        <v/>
      </c>
      <c r="J106" s="5" t="str">
        <f>IFERROR(__xludf.DUMMYFUNCTION("""COMPUTED_VALUE"""),"")</f>
        <v/>
      </c>
      <c r="K106" s="5" t="str">
        <f>IFERROR(__xludf.DUMMYFUNCTION("""COMPUTED_VALUE"""),"")</f>
        <v/>
      </c>
      <c r="L106" s="5" t="str">
        <f>IFERROR(__xludf.DUMMYFUNCTION("""COMPUTED_VALUE"""),"")</f>
        <v/>
      </c>
      <c r="M106" s="5" t="str">
        <f>IFERROR(__xludf.DUMMYFUNCTION("""COMPUTED_VALUE"""),"")</f>
        <v/>
      </c>
      <c r="N106" s="5" t="str">
        <f>IFERROR(__xludf.DUMMYFUNCTION("""COMPUTED_VALUE"""),"")</f>
        <v/>
      </c>
      <c r="O106" s="5" t="str">
        <f>IFERROR(__xludf.DUMMYFUNCTION("""COMPUTED_VALUE"""),"")</f>
        <v/>
      </c>
      <c r="P106" s="5" t="str">
        <f>IFERROR(__xludf.DUMMYFUNCTION("""COMPUTED_VALUE"""),"Development")</f>
        <v>Development</v>
      </c>
      <c r="Q106" s="5" t="str">
        <f>IFERROR(__xludf.DUMMYFUNCTION("""COMPUTED_VALUE"""),"Available")</f>
        <v>Available</v>
      </c>
      <c r="R106" s="5" t="str">
        <f>IFERROR(__xludf.DUMMYFUNCTION("""COMPUTED_VALUE"""),"")</f>
        <v/>
      </c>
      <c r="S106" s="5" t="str">
        <f>IFERROR(__xludf.DUMMYFUNCTION("""COMPUTED_VALUE"""),"")</f>
        <v/>
      </c>
      <c r="T106" s="5" t="str">
        <f>IFERROR(__xludf.DUMMYFUNCTION("""COMPUTED_VALUE"""),"")</f>
        <v/>
      </c>
      <c r="U106" s="5" t="str">
        <f>IFERROR(__xludf.DUMMYFUNCTION("""COMPUTED_VALUE"""),"")</f>
        <v/>
      </c>
      <c r="V106" s="5" t="str">
        <f>IFERROR(__xludf.DUMMYFUNCTION("""COMPUTED_VALUE"""),"")</f>
        <v/>
      </c>
      <c r="W106" s="5" t="str">
        <f>IFERROR(__xludf.DUMMYFUNCTION("""COMPUTED_VALUE"""),"")</f>
        <v/>
      </c>
      <c r="X106" s="5" t="str">
        <f>IFERROR(__xludf.DUMMYFUNCTION("""COMPUTED_VALUE"""),"")</f>
        <v/>
      </c>
      <c r="Y106" s="5"/>
      <c r="Z106" s="5"/>
    </row>
    <row r="107">
      <c r="A107" s="5" t="str">
        <f>IFERROR(__xludf.DUMMYFUNCTION("""COMPUTED_VALUE"""),"Very Hot 5")</f>
        <v>Very Hot 5</v>
      </c>
      <c r="B107" s="5" t="str">
        <f>IFERROR(__xludf.DUMMYFUNCTION("""COMPUTED_VALUE"""),"Available")</f>
        <v>Available</v>
      </c>
      <c r="C107" s="5" t="str">
        <f>IFERROR(__xludf.DUMMYFUNCTION("""COMPUTED_VALUE"""),"Available")</f>
        <v>Available</v>
      </c>
      <c r="D107" s="5" t="str">
        <f>IFERROR(__xludf.DUMMYFUNCTION("""COMPUTED_VALUE"""),"Available")</f>
        <v>Available</v>
      </c>
      <c r="E107" s="5" t="str">
        <f>IFERROR(__xludf.DUMMYFUNCTION("""COMPUTED_VALUE"""),"Available")</f>
        <v>Available</v>
      </c>
      <c r="F107" s="5" t="str">
        <f>IFERROR(__xludf.DUMMYFUNCTION("""COMPUTED_VALUE"""),"Available")</f>
        <v>Available</v>
      </c>
      <c r="G107" s="5" t="str">
        <f>IFERROR(__xludf.DUMMYFUNCTION("""COMPUTED_VALUE"""),"Available")</f>
        <v>Available</v>
      </c>
      <c r="H107" s="5" t="str">
        <f>IFERROR(__xludf.DUMMYFUNCTION("""COMPUTED_VALUE"""),"Available")</f>
        <v>Available</v>
      </c>
      <c r="I107" s="5" t="str">
        <f>IFERROR(__xludf.DUMMYFUNCTION("""COMPUTED_VALUE"""),"Available")</f>
        <v>Available</v>
      </c>
      <c r="J107" s="5" t="str">
        <f>IFERROR(__xludf.DUMMYFUNCTION("""COMPUTED_VALUE"""),"Available")</f>
        <v>Available</v>
      </c>
      <c r="K107" s="5" t="str">
        <f>IFERROR(__xludf.DUMMYFUNCTION("""COMPUTED_VALUE"""),"Available")</f>
        <v>Available</v>
      </c>
      <c r="L107" s="5" t="str">
        <f>IFERROR(__xludf.DUMMYFUNCTION("""COMPUTED_VALUE"""),"Available")</f>
        <v>Available</v>
      </c>
      <c r="M107" s="5" t="str">
        <f>IFERROR(__xludf.DUMMYFUNCTION("""COMPUTED_VALUE"""),"Available")</f>
        <v>Available</v>
      </c>
      <c r="N107" s="5" t="str">
        <f>IFERROR(__xludf.DUMMYFUNCTION("""COMPUTED_VALUE"""),"Available")</f>
        <v>Available</v>
      </c>
      <c r="O107" s="5" t="str">
        <f>IFERROR(__xludf.DUMMYFUNCTION("""COMPUTED_VALUE"""),"Available")</f>
        <v>Available</v>
      </c>
      <c r="P107" s="5" t="str">
        <f>IFERROR(__xludf.DUMMYFUNCTION("""COMPUTED_VALUE"""),"Available")</f>
        <v>Available</v>
      </c>
      <c r="Q107" s="5" t="str">
        <f>IFERROR(__xludf.DUMMYFUNCTION("""COMPUTED_VALUE"""),"Available")</f>
        <v>Available</v>
      </c>
      <c r="R107" s="5" t="str">
        <f>IFERROR(__xludf.DUMMYFUNCTION("""COMPUTED_VALUE"""),"Available")</f>
        <v>Available</v>
      </c>
      <c r="S107" s="5" t="str">
        <f>IFERROR(__xludf.DUMMYFUNCTION("""COMPUTED_VALUE"""),"In Certification")</f>
        <v>In Certification</v>
      </c>
      <c r="T107" s="5" t="str">
        <f>IFERROR(__xludf.DUMMYFUNCTION("""COMPUTED_VALUE"""),"Development")</f>
        <v>Development</v>
      </c>
      <c r="U107" s="5" t="str">
        <f>IFERROR(__xludf.DUMMYFUNCTION("""COMPUTED_VALUE"""),"Certified")</f>
        <v>Certified</v>
      </c>
      <c r="V107" s="5" t="str">
        <f>IFERROR(__xludf.DUMMYFUNCTION("""COMPUTED_VALUE"""),"Available")</f>
        <v>Available</v>
      </c>
      <c r="W107" s="5" t="str">
        <f>IFERROR(__xludf.DUMMYFUNCTION("""COMPUTED_VALUE"""),"Planned")</f>
        <v>Planned</v>
      </c>
      <c r="X107" s="5" t="str">
        <f>IFERROR(__xludf.DUMMYFUNCTION("""COMPUTED_VALUE"""),"")</f>
        <v/>
      </c>
      <c r="Y107" s="5"/>
      <c r="Z107" s="5"/>
    </row>
    <row r="108">
      <c r="A108" s="5" t="str">
        <f>IFERROR(__xludf.DUMMYFUNCTION("""COMPUTED_VALUE"""),"Very Hot 40")</f>
        <v>Very Hot 40</v>
      </c>
      <c r="B108" s="5" t="str">
        <f>IFERROR(__xludf.DUMMYFUNCTION("""COMPUTED_VALUE"""),"Available")</f>
        <v>Available</v>
      </c>
      <c r="C108" s="5" t="str">
        <f>IFERROR(__xludf.DUMMYFUNCTION("""COMPUTED_VALUE"""),"Available")</f>
        <v>Available</v>
      </c>
      <c r="D108" s="5" t="str">
        <f>IFERROR(__xludf.DUMMYFUNCTION("""COMPUTED_VALUE"""),"Available")</f>
        <v>Available</v>
      </c>
      <c r="E108" s="5" t="str">
        <f>IFERROR(__xludf.DUMMYFUNCTION("""COMPUTED_VALUE"""),"Available")</f>
        <v>Available</v>
      </c>
      <c r="F108" s="5" t="str">
        <f>IFERROR(__xludf.DUMMYFUNCTION("""COMPUTED_VALUE"""),"Available")</f>
        <v>Available</v>
      </c>
      <c r="G108" s="5" t="str">
        <f>IFERROR(__xludf.DUMMYFUNCTION("""COMPUTED_VALUE"""),"Available")</f>
        <v>Available</v>
      </c>
      <c r="H108" s="5" t="str">
        <f>IFERROR(__xludf.DUMMYFUNCTION("""COMPUTED_VALUE"""),"Available")</f>
        <v>Available</v>
      </c>
      <c r="I108" s="5" t="str">
        <f>IFERROR(__xludf.DUMMYFUNCTION("""COMPUTED_VALUE"""),"Available")</f>
        <v>Available</v>
      </c>
      <c r="J108" s="5" t="str">
        <f>IFERROR(__xludf.DUMMYFUNCTION("""COMPUTED_VALUE"""),"Available")</f>
        <v>Available</v>
      </c>
      <c r="K108" s="5" t="str">
        <f>IFERROR(__xludf.DUMMYFUNCTION("""COMPUTED_VALUE"""),"Available")</f>
        <v>Available</v>
      </c>
      <c r="L108" s="5" t="str">
        <f>IFERROR(__xludf.DUMMYFUNCTION("""COMPUTED_VALUE"""),"Available")</f>
        <v>Available</v>
      </c>
      <c r="M108" s="5" t="str">
        <f>IFERROR(__xludf.DUMMYFUNCTION("""COMPUTED_VALUE"""),"Available")</f>
        <v>Available</v>
      </c>
      <c r="N108" s="5" t="str">
        <f>IFERROR(__xludf.DUMMYFUNCTION("""COMPUTED_VALUE"""),"Development")</f>
        <v>Development</v>
      </c>
      <c r="O108" s="5" t="str">
        <f>IFERROR(__xludf.DUMMYFUNCTION("""COMPUTED_VALUE"""),"Available")</f>
        <v>Available</v>
      </c>
      <c r="P108" s="5" t="str">
        <f>IFERROR(__xludf.DUMMYFUNCTION("""COMPUTED_VALUE"""),"Available")</f>
        <v>Available</v>
      </c>
      <c r="Q108" s="5" t="str">
        <f>IFERROR(__xludf.DUMMYFUNCTION("""COMPUTED_VALUE"""),"Available")</f>
        <v>Available</v>
      </c>
      <c r="R108" s="5" t="str">
        <f>IFERROR(__xludf.DUMMYFUNCTION("""COMPUTED_VALUE"""),"")</f>
        <v/>
      </c>
      <c r="S108" s="5" t="str">
        <f>IFERROR(__xludf.DUMMYFUNCTION("""COMPUTED_VALUE"""),"In Certification")</f>
        <v>In Certification</v>
      </c>
      <c r="T108" s="5" t="str">
        <f>IFERROR(__xludf.DUMMYFUNCTION("""COMPUTED_VALUE"""),"Development")</f>
        <v>Development</v>
      </c>
      <c r="U108" s="5" t="str">
        <f>IFERROR(__xludf.DUMMYFUNCTION("""COMPUTED_VALUE"""),"Certified")</f>
        <v>Certified</v>
      </c>
      <c r="V108" s="5" t="str">
        <f>IFERROR(__xludf.DUMMYFUNCTION("""COMPUTED_VALUE"""),"Available")</f>
        <v>Available</v>
      </c>
      <c r="W108" s="5" t="str">
        <f>IFERROR(__xludf.DUMMYFUNCTION("""COMPUTED_VALUE"""),"Planned")</f>
        <v>Planned</v>
      </c>
      <c r="X108" s="5" t="str">
        <f>IFERROR(__xludf.DUMMYFUNCTION("""COMPUTED_VALUE"""),"")</f>
        <v/>
      </c>
      <c r="Y108" s="5"/>
      <c r="Z108" s="5"/>
    </row>
    <row r="109">
      <c r="A109" s="5" t="str">
        <f>IFERROR(__xludf.DUMMYFUNCTION("""COMPUTED_VALUE"""),"Jewels Beat")</f>
        <v>Jewels Beat</v>
      </c>
      <c r="B109" s="5" t="str">
        <f>IFERROR(__xludf.DUMMYFUNCTION("""COMPUTED_VALUE"""),"")</f>
        <v/>
      </c>
      <c r="C109" s="5" t="str">
        <f>IFERROR(__xludf.DUMMYFUNCTION("""COMPUTED_VALUE"""),"")</f>
        <v/>
      </c>
      <c r="D109" s="5" t="str">
        <f>IFERROR(__xludf.DUMMYFUNCTION("""COMPUTED_VALUE"""),"Available")</f>
        <v>Available</v>
      </c>
      <c r="E109" s="5" t="str">
        <f>IFERROR(__xludf.DUMMYFUNCTION("""COMPUTED_VALUE"""),"")</f>
        <v/>
      </c>
      <c r="F109" s="5" t="str">
        <f>IFERROR(__xludf.DUMMYFUNCTION("""COMPUTED_VALUE"""),"Available")</f>
        <v>Available</v>
      </c>
      <c r="G109" s="5" t="str">
        <f>IFERROR(__xludf.DUMMYFUNCTION("""COMPUTED_VALUE"""),"Available")</f>
        <v>Available</v>
      </c>
      <c r="H109" s="5" t="str">
        <f>IFERROR(__xludf.DUMMYFUNCTION("""COMPUTED_VALUE"""),"Available")</f>
        <v>Available</v>
      </c>
      <c r="I109" s="5" t="str">
        <f>IFERROR(__xludf.DUMMYFUNCTION("""COMPUTED_VALUE"""),"Available")</f>
        <v>Available</v>
      </c>
      <c r="J109" s="5" t="str">
        <f>IFERROR(__xludf.DUMMYFUNCTION("""COMPUTED_VALUE"""),"")</f>
        <v/>
      </c>
      <c r="K109" s="5" t="str">
        <f>IFERROR(__xludf.DUMMYFUNCTION("""COMPUTED_VALUE"""),"Available")</f>
        <v>Available</v>
      </c>
      <c r="L109" s="5" t="str">
        <f>IFERROR(__xludf.DUMMYFUNCTION("""COMPUTED_VALUE"""),"")</f>
        <v/>
      </c>
      <c r="M109" s="5" t="str">
        <f>IFERROR(__xludf.DUMMYFUNCTION("""COMPUTED_VALUE"""),"")</f>
        <v/>
      </c>
      <c r="N109" s="5" t="str">
        <f>IFERROR(__xludf.DUMMYFUNCTION("""COMPUTED_VALUE"""),"")</f>
        <v/>
      </c>
      <c r="O109" s="5" t="str">
        <f>IFERROR(__xludf.DUMMYFUNCTION("""COMPUTED_VALUE"""),"")</f>
        <v/>
      </c>
      <c r="P109" s="5" t="str">
        <f>IFERROR(__xludf.DUMMYFUNCTION("""COMPUTED_VALUE"""),"Available")</f>
        <v>Available</v>
      </c>
      <c r="Q109" s="5" t="str">
        <f>IFERROR(__xludf.DUMMYFUNCTION("""COMPUTED_VALUE"""),"")</f>
        <v/>
      </c>
      <c r="R109" s="5" t="str">
        <f>IFERROR(__xludf.DUMMYFUNCTION("""COMPUTED_VALUE"""),"")</f>
        <v/>
      </c>
      <c r="S109" s="5" t="str">
        <f>IFERROR(__xludf.DUMMYFUNCTION("""COMPUTED_VALUE"""),"")</f>
        <v/>
      </c>
      <c r="T109" s="5" t="str">
        <f>IFERROR(__xludf.DUMMYFUNCTION("""COMPUTED_VALUE"""),"")</f>
        <v/>
      </c>
      <c r="U109" s="5" t="str">
        <f>IFERROR(__xludf.DUMMYFUNCTION("""COMPUTED_VALUE"""),"")</f>
        <v/>
      </c>
      <c r="V109" s="5" t="str">
        <f>IFERROR(__xludf.DUMMYFUNCTION("""COMPUTED_VALUE"""),"")</f>
        <v/>
      </c>
      <c r="W109" s="5" t="str">
        <f>IFERROR(__xludf.DUMMYFUNCTION("""COMPUTED_VALUE"""),"")</f>
        <v/>
      </c>
      <c r="X109" s="5" t="str">
        <f>IFERROR(__xludf.DUMMYFUNCTION("""COMPUTED_VALUE"""),"")</f>
        <v/>
      </c>
      <c r="Y109" s="5"/>
      <c r="Z109" s="5"/>
    </row>
    <row r="110">
      <c r="A110" s="5" t="str">
        <f>IFERROR(__xludf.DUMMYFUNCTION("""COMPUTED_VALUE"""),"Heating Ice")</f>
        <v>Heating Ice</v>
      </c>
      <c r="B110" s="5" t="str">
        <f>IFERROR(__xludf.DUMMYFUNCTION("""COMPUTED_VALUE"""),"Available")</f>
        <v>Available</v>
      </c>
      <c r="C110" s="5" t="str">
        <f>IFERROR(__xludf.DUMMYFUNCTION("""COMPUTED_VALUE"""),"Development")</f>
        <v>Development</v>
      </c>
      <c r="D110" s="5" t="str">
        <f>IFERROR(__xludf.DUMMYFUNCTION("""COMPUTED_VALUE"""),"Available")</f>
        <v>Available</v>
      </c>
      <c r="E110" s="5" t="str">
        <f>IFERROR(__xludf.DUMMYFUNCTION("""COMPUTED_VALUE"""),"")</f>
        <v/>
      </c>
      <c r="F110" s="5" t="str">
        <f>IFERROR(__xludf.DUMMYFUNCTION("""COMPUTED_VALUE"""),"Available")</f>
        <v>Available</v>
      </c>
      <c r="G110" s="5" t="str">
        <f>IFERROR(__xludf.DUMMYFUNCTION("""COMPUTED_VALUE"""),"Available")</f>
        <v>Available</v>
      </c>
      <c r="H110" s="5" t="str">
        <f>IFERROR(__xludf.DUMMYFUNCTION("""COMPUTED_VALUE"""),"Available")</f>
        <v>Available</v>
      </c>
      <c r="I110" s="5" t="str">
        <f>IFERROR(__xludf.DUMMYFUNCTION("""COMPUTED_VALUE"""),"Available")</f>
        <v>Available</v>
      </c>
      <c r="J110" s="5" t="str">
        <f>IFERROR(__xludf.DUMMYFUNCTION("""COMPUTED_VALUE"""),"")</f>
        <v/>
      </c>
      <c r="K110" s="5" t="str">
        <f>IFERROR(__xludf.DUMMYFUNCTION("""COMPUTED_VALUE"""),"Available")</f>
        <v>Available</v>
      </c>
      <c r="L110" s="5" t="str">
        <f>IFERROR(__xludf.DUMMYFUNCTION("""COMPUTED_VALUE"""),"Available")</f>
        <v>Available</v>
      </c>
      <c r="M110" s="5" t="str">
        <f>IFERROR(__xludf.DUMMYFUNCTION("""COMPUTED_VALUE"""),"")</f>
        <v/>
      </c>
      <c r="N110" s="5" t="str">
        <f>IFERROR(__xludf.DUMMYFUNCTION("""COMPUTED_VALUE"""),"")</f>
        <v/>
      </c>
      <c r="O110" s="5" t="str">
        <f>IFERROR(__xludf.DUMMYFUNCTION("""COMPUTED_VALUE"""),"Available")</f>
        <v>Available</v>
      </c>
      <c r="P110" s="5" t="str">
        <f>IFERROR(__xludf.DUMMYFUNCTION("""COMPUTED_VALUE"""),"Available")</f>
        <v>Available</v>
      </c>
      <c r="Q110" s="5" t="str">
        <f>IFERROR(__xludf.DUMMYFUNCTION("""COMPUTED_VALUE"""),"Available")</f>
        <v>Available</v>
      </c>
      <c r="R110" s="5" t="str">
        <f>IFERROR(__xludf.DUMMYFUNCTION("""COMPUTED_VALUE"""),"")</f>
        <v/>
      </c>
      <c r="S110" s="5" t="str">
        <f>IFERROR(__xludf.DUMMYFUNCTION("""COMPUTED_VALUE"""),"")</f>
        <v/>
      </c>
      <c r="T110" s="5" t="str">
        <f>IFERROR(__xludf.DUMMYFUNCTION("""COMPUTED_VALUE"""),"")</f>
        <v/>
      </c>
      <c r="U110" s="5" t="str">
        <f>IFERROR(__xludf.DUMMYFUNCTION("""COMPUTED_VALUE"""),"")</f>
        <v/>
      </c>
      <c r="V110" s="5" t="str">
        <f>IFERROR(__xludf.DUMMYFUNCTION("""COMPUTED_VALUE"""),"")</f>
        <v/>
      </c>
      <c r="W110" s="5" t="str">
        <f>IFERROR(__xludf.DUMMYFUNCTION("""COMPUTED_VALUE"""),"")</f>
        <v/>
      </c>
      <c r="X110" s="5" t="str">
        <f>IFERROR(__xludf.DUMMYFUNCTION("""COMPUTED_VALUE"""),"")</f>
        <v/>
      </c>
      <c r="Y110" s="5"/>
      <c r="Z110" s="5"/>
    </row>
    <row r="111">
      <c r="A111" s="5" t="str">
        <f>IFERROR(__xludf.DUMMYFUNCTION("""COMPUTED_VALUE"""),"Heating Ice Deluxe")</f>
        <v>Heating Ice Deluxe</v>
      </c>
      <c r="B111" s="5" t="str">
        <f>IFERROR(__xludf.DUMMYFUNCTION("""COMPUTED_VALUE"""),"Available")</f>
        <v>Available</v>
      </c>
      <c r="C111" s="5" t="str">
        <f>IFERROR(__xludf.DUMMYFUNCTION("""COMPUTED_VALUE"""),"Development")</f>
        <v>Development</v>
      </c>
      <c r="D111" s="5" t="str">
        <f>IFERROR(__xludf.DUMMYFUNCTION("""COMPUTED_VALUE"""),"Available")</f>
        <v>Available</v>
      </c>
      <c r="E111" s="5" t="str">
        <f>IFERROR(__xludf.DUMMYFUNCTION("""COMPUTED_VALUE"""),"")</f>
        <v/>
      </c>
      <c r="F111" s="5" t="str">
        <f>IFERROR(__xludf.DUMMYFUNCTION("""COMPUTED_VALUE"""),"Available")</f>
        <v>Available</v>
      </c>
      <c r="G111" s="5" t="str">
        <f>IFERROR(__xludf.DUMMYFUNCTION("""COMPUTED_VALUE"""),"Available")</f>
        <v>Available</v>
      </c>
      <c r="H111" s="5" t="str">
        <f>IFERROR(__xludf.DUMMYFUNCTION("""COMPUTED_VALUE"""),"Available")</f>
        <v>Available</v>
      </c>
      <c r="I111" s="5" t="str">
        <f>IFERROR(__xludf.DUMMYFUNCTION("""COMPUTED_VALUE"""),"Available")</f>
        <v>Available</v>
      </c>
      <c r="J111" s="5" t="str">
        <f>IFERROR(__xludf.DUMMYFUNCTION("""COMPUTED_VALUE"""),"")</f>
        <v/>
      </c>
      <c r="K111" s="5" t="str">
        <f>IFERROR(__xludf.DUMMYFUNCTION("""COMPUTED_VALUE"""),"Available")</f>
        <v>Available</v>
      </c>
      <c r="L111" s="5" t="str">
        <f>IFERROR(__xludf.DUMMYFUNCTION("""COMPUTED_VALUE"""),"")</f>
        <v/>
      </c>
      <c r="M111" s="5" t="str">
        <f>IFERROR(__xludf.DUMMYFUNCTION("""COMPUTED_VALUE"""),"Available")</f>
        <v>Available</v>
      </c>
      <c r="N111" s="5" t="str">
        <f>IFERROR(__xludf.DUMMYFUNCTION("""COMPUTED_VALUE"""),"")</f>
        <v/>
      </c>
      <c r="O111" s="5" t="str">
        <f>IFERROR(__xludf.DUMMYFUNCTION("""COMPUTED_VALUE"""),"")</f>
        <v/>
      </c>
      <c r="P111" s="5" t="str">
        <f>IFERROR(__xludf.DUMMYFUNCTION("""COMPUTED_VALUE"""),"Available")</f>
        <v>Available</v>
      </c>
      <c r="Q111" s="5" t="str">
        <f>IFERROR(__xludf.DUMMYFUNCTION("""COMPUTED_VALUE"""),"Available")</f>
        <v>Available</v>
      </c>
      <c r="R111" s="5" t="str">
        <f>IFERROR(__xludf.DUMMYFUNCTION("""COMPUTED_VALUE"""),"")</f>
        <v/>
      </c>
      <c r="S111" s="5" t="str">
        <f>IFERROR(__xludf.DUMMYFUNCTION("""COMPUTED_VALUE"""),"In Certification")</f>
        <v>In Certification</v>
      </c>
      <c r="T111" s="5" t="str">
        <f>IFERROR(__xludf.DUMMYFUNCTION("""COMPUTED_VALUE"""),"")</f>
        <v/>
      </c>
      <c r="U111" s="5" t="str">
        <f>IFERROR(__xludf.DUMMYFUNCTION("""COMPUTED_VALUE"""),"")</f>
        <v/>
      </c>
      <c r="V111" s="5" t="str">
        <f>IFERROR(__xludf.DUMMYFUNCTION("""COMPUTED_VALUE"""),"Available")</f>
        <v>Available</v>
      </c>
      <c r="W111" s="5" t="str">
        <f>IFERROR(__xludf.DUMMYFUNCTION("""COMPUTED_VALUE"""),"")</f>
        <v/>
      </c>
      <c r="X111" s="5" t="str">
        <f>IFERROR(__xludf.DUMMYFUNCTION("""COMPUTED_VALUE"""),"")</f>
        <v/>
      </c>
      <c r="Y111" s="5"/>
      <c r="Z111" s="5"/>
    </row>
    <row r="112">
      <c r="A112" s="5" t="str">
        <f>IFERROR(__xludf.DUMMYFUNCTION("""COMPUTED_VALUE"""),"Fluo Dice 5")</f>
        <v>Fluo Dice 5</v>
      </c>
      <c r="B112" s="5" t="str">
        <f>IFERROR(__xludf.DUMMYFUNCTION("""COMPUTED_VALUE"""),"")</f>
        <v/>
      </c>
      <c r="C112" s="5" t="str">
        <f>IFERROR(__xludf.DUMMYFUNCTION("""COMPUTED_VALUE"""),"")</f>
        <v/>
      </c>
      <c r="D112" s="5" t="str">
        <f>IFERROR(__xludf.DUMMYFUNCTION("""COMPUTED_VALUE"""),"")</f>
        <v/>
      </c>
      <c r="E112" s="5" t="str">
        <f>IFERROR(__xludf.DUMMYFUNCTION("""COMPUTED_VALUE"""),"")</f>
        <v/>
      </c>
      <c r="F112" s="5" t="str">
        <f>IFERROR(__xludf.DUMMYFUNCTION("""COMPUTED_VALUE"""),"")</f>
        <v/>
      </c>
      <c r="G112" s="5" t="str">
        <f>IFERROR(__xludf.DUMMYFUNCTION("""COMPUTED_VALUE"""),"")</f>
        <v/>
      </c>
      <c r="H112" s="5" t="str">
        <f>IFERROR(__xludf.DUMMYFUNCTION("""COMPUTED_VALUE"""),"")</f>
        <v/>
      </c>
      <c r="I112" s="5" t="str">
        <f>IFERROR(__xludf.DUMMYFUNCTION("""COMPUTED_VALUE"""),"")</f>
        <v/>
      </c>
      <c r="J112" s="5" t="str">
        <f>IFERROR(__xludf.DUMMYFUNCTION("""COMPUTED_VALUE"""),"")</f>
        <v/>
      </c>
      <c r="K112" s="5" t="str">
        <f>IFERROR(__xludf.DUMMYFUNCTION("""COMPUTED_VALUE"""),"")</f>
        <v/>
      </c>
      <c r="L112" s="5" t="str">
        <f>IFERROR(__xludf.DUMMYFUNCTION("""COMPUTED_VALUE"""),"")</f>
        <v/>
      </c>
      <c r="M112" s="5" t="str">
        <f>IFERROR(__xludf.DUMMYFUNCTION("""COMPUTED_VALUE"""),"")</f>
        <v/>
      </c>
      <c r="N112" s="5" t="str">
        <f>IFERROR(__xludf.DUMMYFUNCTION("""COMPUTED_VALUE"""),"")</f>
        <v/>
      </c>
      <c r="O112" s="5" t="str">
        <f>IFERROR(__xludf.DUMMYFUNCTION("""COMPUTED_VALUE"""),"")</f>
        <v/>
      </c>
      <c r="P112" s="5" t="str">
        <f>IFERROR(__xludf.DUMMYFUNCTION("""COMPUTED_VALUE"""),"")</f>
        <v/>
      </c>
      <c r="Q112" s="5" t="str">
        <f>IFERROR(__xludf.DUMMYFUNCTION("""COMPUTED_VALUE"""),"")</f>
        <v/>
      </c>
      <c r="R112" s="5" t="str">
        <f>IFERROR(__xludf.DUMMYFUNCTION("""COMPUTED_VALUE"""),"")</f>
        <v/>
      </c>
      <c r="S112" s="5" t="str">
        <f>IFERROR(__xludf.DUMMYFUNCTION("""COMPUTED_VALUE"""),"")</f>
        <v/>
      </c>
      <c r="T112" s="5" t="str">
        <f>IFERROR(__xludf.DUMMYFUNCTION("""COMPUTED_VALUE"""),"")</f>
        <v/>
      </c>
      <c r="U112" s="5" t="str">
        <f>IFERROR(__xludf.DUMMYFUNCTION("""COMPUTED_VALUE"""),"")</f>
        <v/>
      </c>
      <c r="V112" s="5" t="str">
        <f>IFERROR(__xludf.DUMMYFUNCTION("""COMPUTED_VALUE"""),"")</f>
        <v/>
      </c>
      <c r="W112" s="5" t="str">
        <f>IFERROR(__xludf.DUMMYFUNCTION("""COMPUTED_VALUE"""),"")</f>
        <v/>
      </c>
      <c r="X112" s="5" t="str">
        <f>IFERROR(__xludf.DUMMYFUNCTION("""COMPUTED_VALUE"""),"")</f>
        <v/>
      </c>
      <c r="Y112" s="5"/>
      <c r="Z112" s="5"/>
    </row>
    <row r="113">
      <c r="A113" s="5" t="str">
        <f>IFERROR(__xludf.DUMMYFUNCTION("""COMPUTED_VALUE"""),"Fluo Hot 5")</f>
        <v>Fluo Hot 5</v>
      </c>
      <c r="B113" s="5" t="str">
        <f>IFERROR(__xludf.DUMMYFUNCTION("""COMPUTED_VALUE"""),"Available")</f>
        <v>Available</v>
      </c>
      <c r="C113" s="5" t="str">
        <f>IFERROR(__xludf.DUMMYFUNCTION("""COMPUTED_VALUE"""),"")</f>
        <v/>
      </c>
      <c r="D113" s="5" t="str">
        <f>IFERROR(__xludf.DUMMYFUNCTION("""COMPUTED_VALUE"""),"Available")</f>
        <v>Available</v>
      </c>
      <c r="E113" s="5" t="str">
        <f>IFERROR(__xludf.DUMMYFUNCTION("""COMPUTED_VALUE"""),"")</f>
        <v/>
      </c>
      <c r="F113" s="5" t="str">
        <f>IFERROR(__xludf.DUMMYFUNCTION("""COMPUTED_VALUE"""),"Available")</f>
        <v>Available</v>
      </c>
      <c r="G113" s="5" t="str">
        <f>IFERROR(__xludf.DUMMYFUNCTION("""COMPUTED_VALUE"""),"Available")</f>
        <v>Available</v>
      </c>
      <c r="H113" s="5" t="str">
        <f>IFERROR(__xludf.DUMMYFUNCTION("""COMPUTED_VALUE"""),"Available")</f>
        <v>Available</v>
      </c>
      <c r="I113" s="5" t="str">
        <f>IFERROR(__xludf.DUMMYFUNCTION("""COMPUTED_VALUE"""),"Available")</f>
        <v>Available</v>
      </c>
      <c r="J113" s="5" t="str">
        <f>IFERROR(__xludf.DUMMYFUNCTION("""COMPUTED_VALUE"""),"")</f>
        <v/>
      </c>
      <c r="K113" s="5" t="str">
        <f>IFERROR(__xludf.DUMMYFUNCTION("""COMPUTED_VALUE"""),"")</f>
        <v/>
      </c>
      <c r="L113" s="5" t="str">
        <f>IFERROR(__xludf.DUMMYFUNCTION("""COMPUTED_VALUE"""),"")</f>
        <v/>
      </c>
      <c r="M113" s="5" t="str">
        <f>IFERROR(__xludf.DUMMYFUNCTION("""COMPUTED_VALUE"""),"")</f>
        <v/>
      </c>
      <c r="N113" s="5" t="str">
        <f>IFERROR(__xludf.DUMMYFUNCTION("""COMPUTED_VALUE"""),"")</f>
        <v/>
      </c>
      <c r="O113" s="5" t="str">
        <f>IFERROR(__xludf.DUMMYFUNCTION("""COMPUTED_VALUE"""),"")</f>
        <v/>
      </c>
      <c r="P113" s="5" t="str">
        <f>IFERROR(__xludf.DUMMYFUNCTION("""COMPUTED_VALUE"""),"Available")</f>
        <v>Available</v>
      </c>
      <c r="Q113" s="5" t="str">
        <f>IFERROR(__xludf.DUMMYFUNCTION("""COMPUTED_VALUE"""),"")</f>
        <v/>
      </c>
      <c r="R113" s="5" t="str">
        <f>IFERROR(__xludf.DUMMYFUNCTION("""COMPUTED_VALUE"""),"")</f>
        <v/>
      </c>
      <c r="S113" s="5" t="str">
        <f>IFERROR(__xludf.DUMMYFUNCTION("""COMPUTED_VALUE"""),"")</f>
        <v/>
      </c>
      <c r="T113" s="5" t="str">
        <f>IFERROR(__xludf.DUMMYFUNCTION("""COMPUTED_VALUE"""),"")</f>
        <v/>
      </c>
      <c r="U113" s="5" t="str">
        <f>IFERROR(__xludf.DUMMYFUNCTION("""COMPUTED_VALUE"""),"")</f>
        <v/>
      </c>
      <c r="V113" s="5" t="str">
        <f>IFERROR(__xludf.DUMMYFUNCTION("""COMPUTED_VALUE"""),"")</f>
        <v/>
      </c>
      <c r="W113" s="5" t="str">
        <f>IFERROR(__xludf.DUMMYFUNCTION("""COMPUTED_VALUE"""),"")</f>
        <v/>
      </c>
      <c r="X113" s="5" t="str">
        <f>IFERROR(__xludf.DUMMYFUNCTION("""COMPUTED_VALUE"""),"")</f>
        <v/>
      </c>
      <c r="Y113" s="5"/>
      <c r="Z113" s="5"/>
    </row>
    <row r="114">
      <c r="A114" s="5" t="str">
        <f>IFERROR(__xludf.DUMMYFUNCTION("""COMPUTED_VALUE"""),"Heating Dice")</f>
        <v>Heating Dice</v>
      </c>
      <c r="B114" s="5" t="str">
        <f>IFERROR(__xludf.DUMMYFUNCTION("""COMPUTED_VALUE"""),"")</f>
        <v/>
      </c>
      <c r="C114" s="5" t="str">
        <f>IFERROR(__xludf.DUMMYFUNCTION("""COMPUTED_VALUE"""),"")</f>
        <v/>
      </c>
      <c r="D114" s="5" t="str">
        <f>IFERROR(__xludf.DUMMYFUNCTION("""COMPUTED_VALUE"""),"")</f>
        <v/>
      </c>
      <c r="E114" s="5" t="str">
        <f>IFERROR(__xludf.DUMMYFUNCTION("""COMPUTED_VALUE"""),"")</f>
        <v/>
      </c>
      <c r="F114" s="5" t="str">
        <f>IFERROR(__xludf.DUMMYFUNCTION("""COMPUTED_VALUE"""),"")</f>
        <v/>
      </c>
      <c r="G114" s="5" t="str">
        <f>IFERROR(__xludf.DUMMYFUNCTION("""COMPUTED_VALUE"""),"")</f>
        <v/>
      </c>
      <c r="H114" s="5" t="str">
        <f>IFERROR(__xludf.DUMMYFUNCTION("""COMPUTED_VALUE"""),"")</f>
        <v/>
      </c>
      <c r="I114" s="5" t="str">
        <f>IFERROR(__xludf.DUMMYFUNCTION("""COMPUTED_VALUE"""),"")</f>
        <v/>
      </c>
      <c r="J114" s="5" t="str">
        <f>IFERROR(__xludf.DUMMYFUNCTION("""COMPUTED_VALUE"""),"")</f>
        <v/>
      </c>
      <c r="K114" s="5" t="str">
        <f>IFERROR(__xludf.DUMMYFUNCTION("""COMPUTED_VALUE"""),"")</f>
        <v/>
      </c>
      <c r="L114" s="5" t="str">
        <f>IFERROR(__xludf.DUMMYFUNCTION("""COMPUTED_VALUE"""),"")</f>
        <v/>
      </c>
      <c r="M114" s="5" t="str">
        <f>IFERROR(__xludf.DUMMYFUNCTION("""COMPUTED_VALUE"""),"")</f>
        <v/>
      </c>
      <c r="N114" s="5" t="str">
        <f>IFERROR(__xludf.DUMMYFUNCTION("""COMPUTED_VALUE"""),"")</f>
        <v/>
      </c>
      <c r="O114" s="5" t="str">
        <f>IFERROR(__xludf.DUMMYFUNCTION("""COMPUTED_VALUE"""),"")</f>
        <v/>
      </c>
      <c r="P114" s="5" t="str">
        <f>IFERROR(__xludf.DUMMYFUNCTION("""COMPUTED_VALUE"""),"")</f>
        <v/>
      </c>
      <c r="Q114" s="5" t="str">
        <f>IFERROR(__xludf.DUMMYFUNCTION("""COMPUTED_VALUE"""),"")</f>
        <v/>
      </c>
      <c r="R114" s="5" t="str">
        <f>IFERROR(__xludf.DUMMYFUNCTION("""COMPUTED_VALUE"""),"")</f>
        <v/>
      </c>
      <c r="S114" s="5" t="str">
        <f>IFERROR(__xludf.DUMMYFUNCTION("""COMPUTED_VALUE"""),"")</f>
        <v/>
      </c>
      <c r="T114" s="5" t="str">
        <f>IFERROR(__xludf.DUMMYFUNCTION("""COMPUTED_VALUE"""),"")</f>
        <v/>
      </c>
      <c r="U114" s="5" t="str">
        <f>IFERROR(__xludf.DUMMYFUNCTION("""COMPUTED_VALUE"""),"")</f>
        <v/>
      </c>
      <c r="V114" s="5" t="str">
        <f>IFERROR(__xludf.DUMMYFUNCTION("""COMPUTED_VALUE"""),"")</f>
        <v/>
      </c>
      <c r="W114" s="5" t="str">
        <f>IFERROR(__xludf.DUMMYFUNCTION("""COMPUTED_VALUE"""),"")</f>
        <v/>
      </c>
      <c r="X114" s="5" t="str">
        <f>IFERROR(__xludf.DUMMYFUNCTION("""COMPUTED_VALUE"""),"")</f>
        <v/>
      </c>
      <c r="Y114" s="5"/>
      <c r="Z114" s="5"/>
    </row>
    <row r="115">
      <c r="A115" s="5" t="str">
        <f>IFERROR(__xludf.DUMMYFUNCTION("""COMPUTED_VALUE"""),"Crystal Jewels")</f>
        <v>Crystal Jewels</v>
      </c>
      <c r="B115" s="5" t="str">
        <f>IFERROR(__xludf.DUMMYFUNCTION("""COMPUTED_VALUE"""),"")</f>
        <v/>
      </c>
      <c r="C115" s="5" t="str">
        <f>IFERROR(__xludf.DUMMYFUNCTION("""COMPUTED_VALUE"""),"")</f>
        <v/>
      </c>
      <c r="D115" s="5" t="str">
        <f>IFERROR(__xludf.DUMMYFUNCTION("""COMPUTED_VALUE"""),"Available")</f>
        <v>Available</v>
      </c>
      <c r="E115" s="5" t="str">
        <f>IFERROR(__xludf.DUMMYFUNCTION("""COMPUTED_VALUE"""),"")</f>
        <v/>
      </c>
      <c r="F115" s="5" t="str">
        <f>IFERROR(__xludf.DUMMYFUNCTION("""COMPUTED_VALUE"""),"Available")</f>
        <v>Available</v>
      </c>
      <c r="G115" s="5" t="str">
        <f>IFERROR(__xludf.DUMMYFUNCTION("""COMPUTED_VALUE"""),"Available")</f>
        <v>Available</v>
      </c>
      <c r="H115" s="5" t="str">
        <f>IFERROR(__xludf.DUMMYFUNCTION("""COMPUTED_VALUE"""),"Available")</f>
        <v>Available</v>
      </c>
      <c r="I115" s="5" t="str">
        <f>IFERROR(__xludf.DUMMYFUNCTION("""COMPUTED_VALUE"""),"Available")</f>
        <v>Available</v>
      </c>
      <c r="J115" s="5" t="str">
        <f>IFERROR(__xludf.DUMMYFUNCTION("""COMPUTED_VALUE"""),"")</f>
        <v/>
      </c>
      <c r="K115" s="5" t="str">
        <f>IFERROR(__xludf.DUMMYFUNCTION("""COMPUTED_VALUE"""),"")</f>
        <v/>
      </c>
      <c r="L115" s="5" t="str">
        <f>IFERROR(__xludf.DUMMYFUNCTION("""COMPUTED_VALUE"""),"")</f>
        <v/>
      </c>
      <c r="M115" s="5" t="str">
        <f>IFERROR(__xludf.DUMMYFUNCTION("""COMPUTED_VALUE"""),"Available")</f>
        <v>Available</v>
      </c>
      <c r="N115" s="5" t="str">
        <f>IFERROR(__xludf.DUMMYFUNCTION("""COMPUTED_VALUE"""),"")</f>
        <v/>
      </c>
      <c r="O115" s="5" t="str">
        <f>IFERROR(__xludf.DUMMYFUNCTION("""COMPUTED_VALUE"""),"")</f>
        <v/>
      </c>
      <c r="P115" s="5" t="str">
        <f>IFERROR(__xludf.DUMMYFUNCTION("""COMPUTED_VALUE"""),"Development")</f>
        <v>Development</v>
      </c>
      <c r="Q115" s="5" t="str">
        <f>IFERROR(__xludf.DUMMYFUNCTION("""COMPUTED_VALUE"""),"Available")</f>
        <v>Available</v>
      </c>
      <c r="R115" s="5" t="str">
        <f>IFERROR(__xludf.DUMMYFUNCTION("""COMPUTED_VALUE"""),"")</f>
        <v/>
      </c>
      <c r="S115" s="5" t="str">
        <f>IFERROR(__xludf.DUMMYFUNCTION("""COMPUTED_VALUE"""),"")</f>
        <v/>
      </c>
      <c r="T115" s="5" t="str">
        <f>IFERROR(__xludf.DUMMYFUNCTION("""COMPUTED_VALUE"""),"")</f>
        <v/>
      </c>
      <c r="U115" s="5" t="str">
        <f>IFERROR(__xludf.DUMMYFUNCTION("""COMPUTED_VALUE"""),"")</f>
        <v/>
      </c>
      <c r="V115" s="5" t="str">
        <f>IFERROR(__xludf.DUMMYFUNCTION("""COMPUTED_VALUE"""),"")</f>
        <v/>
      </c>
      <c r="W115" s="5" t="str">
        <f>IFERROR(__xludf.DUMMYFUNCTION("""COMPUTED_VALUE"""),"")</f>
        <v/>
      </c>
      <c r="X115" s="5" t="str">
        <f>IFERROR(__xludf.DUMMYFUNCTION("""COMPUTED_VALUE"""),"")</f>
        <v/>
      </c>
      <c r="Y115" s="5"/>
      <c r="Z115" s="5"/>
    </row>
    <row r="116">
      <c r="A116" s="5" t="str">
        <f>IFERROR(__xludf.DUMMYFUNCTION("""COMPUTED_VALUE"""),"50 Wild Cash")</f>
        <v>50 Wild Cash</v>
      </c>
      <c r="B116" s="5" t="str">
        <f>IFERROR(__xludf.DUMMYFUNCTION("""COMPUTED_VALUE"""),"")</f>
        <v/>
      </c>
      <c r="C116" s="5" t="str">
        <f>IFERROR(__xludf.DUMMYFUNCTION("""COMPUTED_VALUE"""),"")</f>
        <v/>
      </c>
      <c r="D116" s="5" t="str">
        <f>IFERROR(__xludf.DUMMYFUNCTION("""COMPUTED_VALUE"""),"Retired")</f>
        <v>Retired</v>
      </c>
      <c r="E116" s="5" t="str">
        <f>IFERROR(__xludf.DUMMYFUNCTION("""COMPUTED_VALUE"""),"")</f>
        <v/>
      </c>
      <c r="F116" s="5" t="str">
        <f>IFERROR(__xludf.DUMMYFUNCTION("""COMPUTED_VALUE"""),"Available")</f>
        <v>Available</v>
      </c>
      <c r="G116" s="5" t="str">
        <f>IFERROR(__xludf.DUMMYFUNCTION("""COMPUTED_VALUE"""),"Retired")</f>
        <v>Retired</v>
      </c>
      <c r="H116" s="5" t="str">
        <f>IFERROR(__xludf.DUMMYFUNCTION("""COMPUTED_VALUE"""),"Available")</f>
        <v>Available</v>
      </c>
      <c r="I116" s="5" t="str">
        <f>IFERROR(__xludf.DUMMYFUNCTION("""COMPUTED_VALUE"""),"Available")</f>
        <v>Available</v>
      </c>
      <c r="J116" s="5" t="str">
        <f>IFERROR(__xludf.DUMMYFUNCTION("""COMPUTED_VALUE"""),"")</f>
        <v/>
      </c>
      <c r="K116" s="5" t="str">
        <f>IFERROR(__xludf.DUMMYFUNCTION("""COMPUTED_VALUE"""),"")</f>
        <v/>
      </c>
      <c r="L116" s="5" t="str">
        <f>IFERROR(__xludf.DUMMYFUNCTION("""COMPUTED_VALUE"""),"")</f>
        <v/>
      </c>
      <c r="M116" s="5" t="str">
        <f>IFERROR(__xludf.DUMMYFUNCTION("""COMPUTED_VALUE"""),"")</f>
        <v/>
      </c>
      <c r="N116" s="5" t="str">
        <f>IFERROR(__xludf.DUMMYFUNCTION("""COMPUTED_VALUE"""),"")</f>
        <v/>
      </c>
      <c r="O116" s="5" t="str">
        <f>IFERROR(__xludf.DUMMYFUNCTION("""COMPUTED_VALUE"""),"")</f>
        <v/>
      </c>
      <c r="P116" s="5" t="str">
        <f>IFERROR(__xludf.DUMMYFUNCTION("""COMPUTED_VALUE"""),"Development")</f>
        <v>Development</v>
      </c>
      <c r="Q116" s="5" t="str">
        <f>IFERROR(__xludf.DUMMYFUNCTION("""COMPUTED_VALUE"""),"Available")</f>
        <v>Available</v>
      </c>
      <c r="R116" s="5" t="str">
        <f>IFERROR(__xludf.DUMMYFUNCTION("""COMPUTED_VALUE"""),"")</f>
        <v/>
      </c>
      <c r="S116" s="5" t="str">
        <f>IFERROR(__xludf.DUMMYFUNCTION("""COMPUTED_VALUE"""),"")</f>
        <v/>
      </c>
      <c r="T116" s="5" t="str">
        <f>IFERROR(__xludf.DUMMYFUNCTION("""COMPUTED_VALUE"""),"")</f>
        <v/>
      </c>
      <c r="U116" s="5" t="str">
        <f>IFERROR(__xludf.DUMMYFUNCTION("""COMPUTED_VALUE"""),"")</f>
        <v/>
      </c>
      <c r="V116" s="5" t="str">
        <f>IFERROR(__xludf.DUMMYFUNCTION("""COMPUTED_VALUE"""),"")</f>
        <v/>
      </c>
      <c r="W116" s="5" t="str">
        <f>IFERROR(__xludf.DUMMYFUNCTION("""COMPUTED_VALUE"""),"")</f>
        <v/>
      </c>
      <c r="X116" s="5" t="str">
        <f>IFERROR(__xludf.DUMMYFUNCTION("""COMPUTED_VALUE"""),"")</f>
        <v/>
      </c>
      <c r="Y116" s="5"/>
      <c r="Z116" s="5"/>
    </row>
    <row r="117">
      <c r="A117" s="5" t="str">
        <f>IFERROR(__xludf.DUMMYFUNCTION("""COMPUTED_VALUE"""),"Twinkling Hot 80")</f>
        <v>Twinkling Hot 80</v>
      </c>
      <c r="B117" s="5" t="str">
        <f>IFERROR(__xludf.DUMMYFUNCTION("""COMPUTED_VALUE"""),"")</f>
        <v/>
      </c>
      <c r="C117" s="5" t="str">
        <f>IFERROR(__xludf.DUMMYFUNCTION("""COMPUTED_VALUE"""),"Development")</f>
        <v>Development</v>
      </c>
      <c r="D117" s="5" t="str">
        <f>IFERROR(__xludf.DUMMYFUNCTION("""COMPUTED_VALUE"""),"Available")</f>
        <v>Available</v>
      </c>
      <c r="E117" s="5" t="str">
        <f>IFERROR(__xludf.DUMMYFUNCTION("""COMPUTED_VALUE"""),"")</f>
        <v/>
      </c>
      <c r="F117" s="5" t="str">
        <f>IFERROR(__xludf.DUMMYFUNCTION("""COMPUTED_VALUE"""),"Available")</f>
        <v>Available</v>
      </c>
      <c r="G117" s="5" t="str">
        <f>IFERROR(__xludf.DUMMYFUNCTION("""COMPUTED_VALUE"""),"Available")</f>
        <v>Available</v>
      </c>
      <c r="H117" s="5" t="str">
        <f>IFERROR(__xludf.DUMMYFUNCTION("""COMPUTED_VALUE"""),"Available")</f>
        <v>Available</v>
      </c>
      <c r="I117" s="5" t="str">
        <f>IFERROR(__xludf.DUMMYFUNCTION("""COMPUTED_VALUE"""),"Available")</f>
        <v>Available</v>
      </c>
      <c r="J117" s="5" t="str">
        <f>IFERROR(__xludf.DUMMYFUNCTION("""COMPUTED_VALUE"""),"")</f>
        <v/>
      </c>
      <c r="K117" s="5" t="str">
        <f>IFERROR(__xludf.DUMMYFUNCTION("""COMPUTED_VALUE"""),"")</f>
        <v/>
      </c>
      <c r="L117" s="5" t="str">
        <f>IFERROR(__xludf.DUMMYFUNCTION("""COMPUTED_VALUE"""),"")</f>
        <v/>
      </c>
      <c r="M117" s="5" t="str">
        <f>IFERROR(__xludf.DUMMYFUNCTION("""COMPUTED_VALUE"""),"")</f>
        <v/>
      </c>
      <c r="N117" s="5" t="str">
        <f>IFERROR(__xludf.DUMMYFUNCTION("""COMPUTED_VALUE"""),"")</f>
        <v/>
      </c>
      <c r="O117" s="5" t="str">
        <f>IFERROR(__xludf.DUMMYFUNCTION("""COMPUTED_VALUE"""),"")</f>
        <v/>
      </c>
      <c r="P117" s="5" t="str">
        <f>IFERROR(__xludf.DUMMYFUNCTION("""COMPUTED_VALUE"""),"Available")</f>
        <v>Available</v>
      </c>
      <c r="Q117" s="5" t="str">
        <f>IFERROR(__xludf.DUMMYFUNCTION("""COMPUTED_VALUE"""),"Available")</f>
        <v>Available</v>
      </c>
      <c r="R117" s="5" t="str">
        <f>IFERROR(__xludf.DUMMYFUNCTION("""COMPUTED_VALUE"""),"")</f>
        <v/>
      </c>
      <c r="S117" s="5" t="str">
        <f>IFERROR(__xludf.DUMMYFUNCTION("""COMPUTED_VALUE"""),"")</f>
        <v/>
      </c>
      <c r="T117" s="5" t="str">
        <f>IFERROR(__xludf.DUMMYFUNCTION("""COMPUTED_VALUE"""),"")</f>
        <v/>
      </c>
      <c r="U117" s="5" t="str">
        <f>IFERROR(__xludf.DUMMYFUNCTION("""COMPUTED_VALUE"""),"")</f>
        <v/>
      </c>
      <c r="V117" s="5" t="str">
        <f>IFERROR(__xludf.DUMMYFUNCTION("""COMPUTED_VALUE"""),"")</f>
        <v/>
      </c>
      <c r="W117" s="5" t="str">
        <f>IFERROR(__xludf.DUMMYFUNCTION("""COMPUTED_VALUE"""),"")</f>
        <v/>
      </c>
      <c r="X117" s="5" t="str">
        <f>IFERROR(__xludf.DUMMYFUNCTION("""COMPUTED_VALUE"""),"")</f>
        <v/>
      </c>
      <c r="Y117" s="5"/>
      <c r="Z117" s="5"/>
    </row>
    <row r="118">
      <c r="A118" s="5" t="str">
        <f>IFERROR(__xludf.DUMMYFUNCTION("""COMPUTED_VALUE"""),"Island Respins")</f>
        <v>Island Respins</v>
      </c>
      <c r="B118" s="5" t="str">
        <f>IFERROR(__xludf.DUMMYFUNCTION("""COMPUTED_VALUE"""),"")</f>
        <v/>
      </c>
      <c r="C118" s="5" t="str">
        <f>IFERROR(__xludf.DUMMYFUNCTION("""COMPUTED_VALUE"""),"")</f>
        <v/>
      </c>
      <c r="D118" s="5" t="str">
        <f>IFERROR(__xludf.DUMMYFUNCTION("""COMPUTED_VALUE"""),"")</f>
        <v/>
      </c>
      <c r="E118" s="5" t="str">
        <f>IFERROR(__xludf.DUMMYFUNCTION("""COMPUTED_VALUE"""),"")</f>
        <v/>
      </c>
      <c r="F118" s="5" t="str">
        <f>IFERROR(__xludf.DUMMYFUNCTION("""COMPUTED_VALUE"""),"")</f>
        <v/>
      </c>
      <c r="G118" s="5" t="str">
        <f>IFERROR(__xludf.DUMMYFUNCTION("""COMPUTED_VALUE"""),"")</f>
        <v/>
      </c>
      <c r="H118" s="5" t="str">
        <f>IFERROR(__xludf.DUMMYFUNCTION("""COMPUTED_VALUE"""),"")</f>
        <v/>
      </c>
      <c r="I118" s="5" t="str">
        <f>IFERROR(__xludf.DUMMYFUNCTION("""COMPUTED_VALUE"""),"")</f>
        <v/>
      </c>
      <c r="J118" s="5" t="str">
        <f>IFERROR(__xludf.DUMMYFUNCTION("""COMPUTED_VALUE"""),"")</f>
        <v/>
      </c>
      <c r="K118" s="5" t="str">
        <f>IFERROR(__xludf.DUMMYFUNCTION("""COMPUTED_VALUE"""),"")</f>
        <v/>
      </c>
      <c r="L118" s="5" t="str">
        <f>IFERROR(__xludf.DUMMYFUNCTION("""COMPUTED_VALUE"""),"")</f>
        <v/>
      </c>
      <c r="M118" s="5" t="str">
        <f>IFERROR(__xludf.DUMMYFUNCTION("""COMPUTED_VALUE"""),"")</f>
        <v/>
      </c>
      <c r="N118" s="5" t="str">
        <f>IFERROR(__xludf.DUMMYFUNCTION("""COMPUTED_VALUE"""),"")</f>
        <v/>
      </c>
      <c r="O118" s="5" t="str">
        <f>IFERROR(__xludf.DUMMYFUNCTION("""COMPUTED_VALUE"""),"")</f>
        <v/>
      </c>
      <c r="P118" s="5" t="str">
        <f>IFERROR(__xludf.DUMMYFUNCTION("""COMPUTED_VALUE"""),"")</f>
        <v/>
      </c>
      <c r="Q118" s="5" t="str">
        <f>IFERROR(__xludf.DUMMYFUNCTION("""COMPUTED_VALUE"""),"")</f>
        <v/>
      </c>
      <c r="R118" s="5" t="str">
        <f>IFERROR(__xludf.DUMMYFUNCTION("""COMPUTED_VALUE"""),"")</f>
        <v/>
      </c>
      <c r="S118" s="5" t="str">
        <f>IFERROR(__xludf.DUMMYFUNCTION("""COMPUTED_VALUE"""),"")</f>
        <v/>
      </c>
      <c r="T118" s="5" t="str">
        <f>IFERROR(__xludf.DUMMYFUNCTION("""COMPUTED_VALUE"""),"")</f>
        <v/>
      </c>
      <c r="U118" s="5" t="str">
        <f>IFERROR(__xludf.DUMMYFUNCTION("""COMPUTED_VALUE"""),"")</f>
        <v/>
      </c>
      <c r="V118" s="5" t="str">
        <f>IFERROR(__xludf.DUMMYFUNCTION("""COMPUTED_VALUE"""),"")</f>
        <v/>
      </c>
      <c r="W118" s="5" t="str">
        <f>IFERROR(__xludf.DUMMYFUNCTION("""COMPUTED_VALUE"""),"")</f>
        <v/>
      </c>
      <c r="X118" s="5" t="str">
        <f>IFERROR(__xludf.DUMMYFUNCTION("""COMPUTED_VALUE"""),"")</f>
        <v/>
      </c>
      <c r="Y118" s="5"/>
      <c r="Z118" s="5"/>
    </row>
    <row r="119">
      <c r="A119" s="5" t="str">
        <f>IFERROR(__xludf.DUMMYFUNCTION("""COMPUTED_VALUE"""),"Unicorn Dice Respins")</f>
        <v>Unicorn Dice Respins</v>
      </c>
      <c r="B119" s="5" t="str">
        <f>IFERROR(__xludf.DUMMYFUNCTION("""COMPUTED_VALUE"""),"")</f>
        <v/>
      </c>
      <c r="C119" s="5" t="str">
        <f>IFERROR(__xludf.DUMMYFUNCTION("""COMPUTED_VALUE"""),"")</f>
        <v/>
      </c>
      <c r="D119" s="5" t="str">
        <f>IFERROR(__xludf.DUMMYFUNCTION("""COMPUTED_VALUE"""),"")</f>
        <v/>
      </c>
      <c r="E119" s="5" t="str">
        <f>IFERROR(__xludf.DUMMYFUNCTION("""COMPUTED_VALUE"""),"")</f>
        <v/>
      </c>
      <c r="F119" s="5" t="str">
        <f>IFERROR(__xludf.DUMMYFUNCTION("""COMPUTED_VALUE"""),"")</f>
        <v/>
      </c>
      <c r="G119" s="5" t="str">
        <f>IFERROR(__xludf.DUMMYFUNCTION("""COMPUTED_VALUE"""),"")</f>
        <v/>
      </c>
      <c r="H119" s="5" t="str">
        <f>IFERROR(__xludf.DUMMYFUNCTION("""COMPUTED_VALUE"""),"")</f>
        <v/>
      </c>
      <c r="I119" s="5" t="str">
        <f>IFERROR(__xludf.DUMMYFUNCTION("""COMPUTED_VALUE"""),"")</f>
        <v/>
      </c>
      <c r="J119" s="5" t="str">
        <f>IFERROR(__xludf.DUMMYFUNCTION("""COMPUTED_VALUE"""),"")</f>
        <v/>
      </c>
      <c r="K119" s="5" t="str">
        <f>IFERROR(__xludf.DUMMYFUNCTION("""COMPUTED_VALUE"""),"")</f>
        <v/>
      </c>
      <c r="L119" s="5" t="str">
        <f>IFERROR(__xludf.DUMMYFUNCTION("""COMPUTED_VALUE"""),"")</f>
        <v/>
      </c>
      <c r="M119" s="5" t="str">
        <f>IFERROR(__xludf.DUMMYFUNCTION("""COMPUTED_VALUE"""),"")</f>
        <v/>
      </c>
      <c r="N119" s="5" t="str">
        <f>IFERROR(__xludf.DUMMYFUNCTION("""COMPUTED_VALUE"""),"")</f>
        <v/>
      </c>
      <c r="O119" s="5" t="str">
        <f>IFERROR(__xludf.DUMMYFUNCTION("""COMPUTED_VALUE"""),"")</f>
        <v/>
      </c>
      <c r="P119" s="5" t="str">
        <f>IFERROR(__xludf.DUMMYFUNCTION("""COMPUTED_VALUE"""),"")</f>
        <v/>
      </c>
      <c r="Q119" s="5" t="str">
        <f>IFERROR(__xludf.DUMMYFUNCTION("""COMPUTED_VALUE"""),"")</f>
        <v/>
      </c>
      <c r="R119" s="5" t="str">
        <f>IFERROR(__xludf.DUMMYFUNCTION("""COMPUTED_VALUE"""),"")</f>
        <v/>
      </c>
      <c r="S119" s="5" t="str">
        <f>IFERROR(__xludf.DUMMYFUNCTION("""COMPUTED_VALUE"""),"")</f>
        <v/>
      </c>
      <c r="T119" s="5" t="str">
        <f>IFERROR(__xludf.DUMMYFUNCTION("""COMPUTED_VALUE"""),"")</f>
        <v/>
      </c>
      <c r="U119" s="5" t="str">
        <f>IFERROR(__xludf.DUMMYFUNCTION("""COMPUTED_VALUE"""),"")</f>
        <v/>
      </c>
      <c r="V119" s="5" t="str">
        <f>IFERROR(__xludf.DUMMYFUNCTION("""COMPUTED_VALUE"""),"")</f>
        <v/>
      </c>
      <c r="W119" s="5" t="str">
        <f>IFERROR(__xludf.DUMMYFUNCTION("""COMPUTED_VALUE"""),"")</f>
        <v/>
      </c>
      <c r="X119" s="5" t="str">
        <f>IFERROR(__xludf.DUMMYFUNCTION("""COMPUTED_VALUE"""),"")</f>
        <v/>
      </c>
      <c r="Y119" s="5"/>
      <c r="Z119" s="5"/>
    </row>
    <row r="120">
      <c r="A120" s="5" t="str">
        <f>IFERROR(__xludf.DUMMYFUNCTION("""COMPUTED_VALUE"""),"Lost Book")</f>
        <v>Lost Book</v>
      </c>
      <c r="B120" s="5" t="str">
        <f>IFERROR(__xludf.DUMMYFUNCTION("""COMPUTED_VALUE"""),"")</f>
        <v/>
      </c>
      <c r="C120" s="5" t="str">
        <f>IFERROR(__xludf.DUMMYFUNCTION("""COMPUTED_VALUE"""),"")</f>
        <v/>
      </c>
      <c r="D120" s="5" t="str">
        <f>IFERROR(__xludf.DUMMYFUNCTION("""COMPUTED_VALUE"""),"Retired")</f>
        <v>Retired</v>
      </c>
      <c r="E120" s="5" t="str">
        <f>IFERROR(__xludf.DUMMYFUNCTION("""COMPUTED_VALUE"""),"")</f>
        <v/>
      </c>
      <c r="F120" s="5" t="str">
        <f>IFERROR(__xludf.DUMMYFUNCTION("""COMPUTED_VALUE"""),"Available")</f>
        <v>Available</v>
      </c>
      <c r="G120" s="5" t="str">
        <f>IFERROR(__xludf.DUMMYFUNCTION("""COMPUTED_VALUE"""),"Available")</f>
        <v>Available</v>
      </c>
      <c r="H120" s="5" t="str">
        <f>IFERROR(__xludf.DUMMYFUNCTION("""COMPUTED_VALUE"""),"Available")</f>
        <v>Available</v>
      </c>
      <c r="I120" s="5" t="str">
        <f>IFERROR(__xludf.DUMMYFUNCTION("""COMPUTED_VALUE"""),"")</f>
        <v/>
      </c>
      <c r="J120" s="5" t="str">
        <f>IFERROR(__xludf.DUMMYFUNCTION("""COMPUTED_VALUE"""),"")</f>
        <v/>
      </c>
      <c r="K120" s="5" t="str">
        <f>IFERROR(__xludf.DUMMYFUNCTION("""COMPUTED_VALUE"""),"")</f>
        <v/>
      </c>
      <c r="L120" s="5" t="str">
        <f>IFERROR(__xludf.DUMMYFUNCTION("""COMPUTED_VALUE"""),"")</f>
        <v/>
      </c>
      <c r="M120" s="5" t="str">
        <f>IFERROR(__xludf.DUMMYFUNCTION("""COMPUTED_VALUE"""),"")</f>
        <v/>
      </c>
      <c r="N120" s="5" t="str">
        <f>IFERROR(__xludf.DUMMYFUNCTION("""COMPUTED_VALUE"""),"")</f>
        <v/>
      </c>
      <c r="O120" s="5" t="str">
        <f>IFERROR(__xludf.DUMMYFUNCTION("""COMPUTED_VALUE"""),"")</f>
        <v/>
      </c>
      <c r="P120" s="5" t="str">
        <f>IFERROR(__xludf.DUMMYFUNCTION("""COMPUTED_VALUE"""),"Development")</f>
        <v>Development</v>
      </c>
      <c r="Q120" s="5" t="str">
        <f>IFERROR(__xludf.DUMMYFUNCTION("""COMPUTED_VALUE"""),"Available")</f>
        <v>Available</v>
      </c>
      <c r="R120" s="5" t="str">
        <f>IFERROR(__xludf.DUMMYFUNCTION("""COMPUTED_VALUE"""),"")</f>
        <v/>
      </c>
      <c r="S120" s="5" t="str">
        <f>IFERROR(__xludf.DUMMYFUNCTION("""COMPUTED_VALUE"""),"")</f>
        <v/>
      </c>
      <c r="T120" s="5" t="str">
        <f>IFERROR(__xludf.DUMMYFUNCTION("""COMPUTED_VALUE"""),"")</f>
        <v/>
      </c>
      <c r="U120" s="5" t="str">
        <f>IFERROR(__xludf.DUMMYFUNCTION("""COMPUTED_VALUE"""),"")</f>
        <v/>
      </c>
      <c r="V120" s="5" t="str">
        <f>IFERROR(__xludf.DUMMYFUNCTION("""COMPUTED_VALUE"""),"")</f>
        <v/>
      </c>
      <c r="W120" s="5" t="str">
        <f>IFERROR(__xludf.DUMMYFUNCTION("""COMPUTED_VALUE"""),"")</f>
        <v/>
      </c>
      <c r="X120" s="5" t="str">
        <f>IFERROR(__xludf.DUMMYFUNCTION("""COMPUTED_VALUE"""),"")</f>
        <v/>
      </c>
      <c r="Y120" s="5"/>
      <c r="Z120" s="5"/>
    </row>
    <row r="121">
      <c r="A121" s="5" t="str">
        <f>IFERROR(__xludf.DUMMYFUNCTION("""COMPUTED_VALUE"""),"Bursting Hot 40 Mozzart")</f>
        <v>Bursting Hot 40 Mozzart</v>
      </c>
      <c r="B121" s="5" t="str">
        <f>IFERROR(__xludf.DUMMYFUNCTION("""COMPUTED_VALUE"""),"")</f>
        <v/>
      </c>
      <c r="C121" s="5" t="str">
        <f>IFERROR(__xludf.DUMMYFUNCTION("""COMPUTED_VALUE"""),"")</f>
        <v/>
      </c>
      <c r="D121" s="5" t="str">
        <f>IFERROR(__xludf.DUMMYFUNCTION("""COMPUTED_VALUE"""),"")</f>
        <v/>
      </c>
      <c r="E121" s="5" t="str">
        <f>IFERROR(__xludf.DUMMYFUNCTION("""COMPUTED_VALUE"""),"")</f>
        <v/>
      </c>
      <c r="F121" s="5" t="str">
        <f>IFERROR(__xludf.DUMMYFUNCTION("""COMPUTED_VALUE"""),"")</f>
        <v/>
      </c>
      <c r="G121" s="5" t="str">
        <f>IFERROR(__xludf.DUMMYFUNCTION("""COMPUTED_VALUE"""),"")</f>
        <v/>
      </c>
      <c r="H121" s="5" t="str">
        <f>IFERROR(__xludf.DUMMYFUNCTION("""COMPUTED_VALUE"""),"")</f>
        <v/>
      </c>
      <c r="I121" s="5" t="str">
        <f>IFERROR(__xludf.DUMMYFUNCTION("""COMPUTED_VALUE"""),"")</f>
        <v/>
      </c>
      <c r="J121" s="5" t="str">
        <f>IFERROR(__xludf.DUMMYFUNCTION("""COMPUTED_VALUE"""),"")</f>
        <v/>
      </c>
      <c r="K121" s="5" t="str">
        <f>IFERROR(__xludf.DUMMYFUNCTION("""COMPUTED_VALUE"""),"")</f>
        <v/>
      </c>
      <c r="L121" s="5" t="str">
        <f>IFERROR(__xludf.DUMMYFUNCTION("""COMPUTED_VALUE"""),"")</f>
        <v/>
      </c>
      <c r="M121" s="5" t="str">
        <f>IFERROR(__xludf.DUMMYFUNCTION("""COMPUTED_VALUE"""),"")</f>
        <v/>
      </c>
      <c r="N121" s="5" t="str">
        <f>IFERROR(__xludf.DUMMYFUNCTION("""COMPUTED_VALUE"""),"")</f>
        <v/>
      </c>
      <c r="O121" s="5" t="str">
        <f>IFERROR(__xludf.DUMMYFUNCTION("""COMPUTED_VALUE"""),"")</f>
        <v/>
      </c>
      <c r="P121" s="5" t="str">
        <f>IFERROR(__xludf.DUMMYFUNCTION("""COMPUTED_VALUE"""),"")</f>
        <v/>
      </c>
      <c r="Q121" s="5" t="str">
        <f>IFERROR(__xludf.DUMMYFUNCTION("""COMPUTED_VALUE"""),"")</f>
        <v/>
      </c>
      <c r="R121" s="5" t="str">
        <f>IFERROR(__xludf.DUMMYFUNCTION("""COMPUTED_VALUE"""),"")</f>
        <v/>
      </c>
      <c r="S121" s="5" t="str">
        <f>IFERROR(__xludf.DUMMYFUNCTION("""COMPUTED_VALUE"""),"")</f>
        <v/>
      </c>
      <c r="T121" s="5" t="str">
        <f>IFERROR(__xludf.DUMMYFUNCTION("""COMPUTED_VALUE"""),"")</f>
        <v/>
      </c>
      <c r="U121" s="5" t="str">
        <f>IFERROR(__xludf.DUMMYFUNCTION("""COMPUTED_VALUE"""),"")</f>
        <v/>
      </c>
      <c r="V121" s="5" t="str">
        <f>IFERROR(__xludf.DUMMYFUNCTION("""COMPUTED_VALUE"""),"")</f>
        <v/>
      </c>
      <c r="W121" s="5" t="str">
        <f>IFERROR(__xludf.DUMMYFUNCTION("""COMPUTED_VALUE"""),"")</f>
        <v/>
      </c>
      <c r="X121" s="5" t="str">
        <f>IFERROR(__xludf.DUMMYFUNCTION("""COMPUTED_VALUE"""),"")</f>
        <v/>
      </c>
      <c r="Y121" s="5"/>
      <c r="Z121" s="5"/>
    </row>
    <row r="122">
      <c r="A122" s="5" t="str">
        <f>IFERROR(__xludf.DUMMYFUNCTION("""COMPUTED_VALUE"""),"Maxbet Crown")</f>
        <v>Maxbet Crown</v>
      </c>
      <c r="B122" s="5" t="str">
        <f>IFERROR(__xludf.DUMMYFUNCTION("""COMPUTED_VALUE"""),"")</f>
        <v/>
      </c>
      <c r="C122" s="5" t="str">
        <f>IFERROR(__xludf.DUMMYFUNCTION("""COMPUTED_VALUE"""),"")</f>
        <v/>
      </c>
      <c r="D122" s="5" t="str">
        <f>IFERROR(__xludf.DUMMYFUNCTION("""COMPUTED_VALUE"""),"")</f>
        <v/>
      </c>
      <c r="E122" s="5" t="str">
        <f>IFERROR(__xludf.DUMMYFUNCTION("""COMPUTED_VALUE"""),"")</f>
        <v/>
      </c>
      <c r="F122" s="5" t="str">
        <f>IFERROR(__xludf.DUMMYFUNCTION("""COMPUTED_VALUE"""),"")</f>
        <v/>
      </c>
      <c r="G122" s="5" t="str">
        <f>IFERROR(__xludf.DUMMYFUNCTION("""COMPUTED_VALUE"""),"")</f>
        <v/>
      </c>
      <c r="H122" s="5" t="str">
        <f>IFERROR(__xludf.DUMMYFUNCTION("""COMPUTED_VALUE"""),"")</f>
        <v/>
      </c>
      <c r="I122" s="5" t="str">
        <f>IFERROR(__xludf.DUMMYFUNCTION("""COMPUTED_VALUE"""),"")</f>
        <v/>
      </c>
      <c r="J122" s="5" t="str">
        <f>IFERROR(__xludf.DUMMYFUNCTION("""COMPUTED_VALUE"""),"")</f>
        <v/>
      </c>
      <c r="K122" s="5" t="str">
        <f>IFERROR(__xludf.DUMMYFUNCTION("""COMPUTED_VALUE"""),"")</f>
        <v/>
      </c>
      <c r="L122" s="5" t="str">
        <f>IFERROR(__xludf.DUMMYFUNCTION("""COMPUTED_VALUE"""),"")</f>
        <v/>
      </c>
      <c r="M122" s="5" t="str">
        <f>IFERROR(__xludf.DUMMYFUNCTION("""COMPUTED_VALUE"""),"")</f>
        <v/>
      </c>
      <c r="N122" s="5" t="str">
        <f>IFERROR(__xludf.DUMMYFUNCTION("""COMPUTED_VALUE"""),"")</f>
        <v/>
      </c>
      <c r="O122" s="5" t="str">
        <f>IFERROR(__xludf.DUMMYFUNCTION("""COMPUTED_VALUE"""),"")</f>
        <v/>
      </c>
      <c r="P122" s="5" t="str">
        <f>IFERROR(__xludf.DUMMYFUNCTION("""COMPUTED_VALUE"""),"")</f>
        <v/>
      </c>
      <c r="Q122" s="5" t="str">
        <f>IFERROR(__xludf.DUMMYFUNCTION("""COMPUTED_VALUE"""),"")</f>
        <v/>
      </c>
      <c r="R122" s="5" t="str">
        <f>IFERROR(__xludf.DUMMYFUNCTION("""COMPUTED_VALUE"""),"")</f>
        <v/>
      </c>
      <c r="S122" s="5" t="str">
        <f>IFERROR(__xludf.DUMMYFUNCTION("""COMPUTED_VALUE"""),"")</f>
        <v/>
      </c>
      <c r="T122" s="5" t="str">
        <f>IFERROR(__xludf.DUMMYFUNCTION("""COMPUTED_VALUE"""),"")</f>
        <v/>
      </c>
      <c r="U122" s="5" t="str">
        <f>IFERROR(__xludf.DUMMYFUNCTION("""COMPUTED_VALUE"""),"")</f>
        <v/>
      </c>
      <c r="V122" s="5" t="str">
        <f>IFERROR(__xludf.DUMMYFUNCTION("""COMPUTED_VALUE"""),"")</f>
        <v/>
      </c>
      <c r="W122" s="5" t="str">
        <f>IFERROR(__xludf.DUMMYFUNCTION("""COMPUTED_VALUE"""),"")</f>
        <v/>
      </c>
      <c r="X122" s="5" t="str">
        <f>IFERROR(__xludf.DUMMYFUNCTION("""COMPUTED_VALUE"""),"")</f>
        <v/>
      </c>
      <c r="Y122" s="5"/>
      <c r="Z122" s="5"/>
    </row>
    <row r="123">
      <c r="A123" s="5" t="str">
        <f>IFERROR(__xludf.DUMMYFUNCTION("""COMPUTED_VALUE"""),"Fire Dice 40")</f>
        <v>Fire Dice 40</v>
      </c>
      <c r="B123" s="5" t="str">
        <f>IFERROR(__xludf.DUMMYFUNCTION("""COMPUTED_VALUE"""),"")</f>
        <v/>
      </c>
      <c r="C123" s="5" t="str">
        <f>IFERROR(__xludf.DUMMYFUNCTION("""COMPUTED_VALUE"""),"")</f>
        <v/>
      </c>
      <c r="D123" s="5" t="str">
        <f>IFERROR(__xludf.DUMMYFUNCTION("""COMPUTED_VALUE"""),"")</f>
        <v/>
      </c>
      <c r="E123" s="5" t="str">
        <f>IFERROR(__xludf.DUMMYFUNCTION("""COMPUTED_VALUE"""),"")</f>
        <v/>
      </c>
      <c r="F123" s="5" t="str">
        <f>IFERROR(__xludf.DUMMYFUNCTION("""COMPUTED_VALUE"""),"")</f>
        <v/>
      </c>
      <c r="G123" s="5" t="str">
        <f>IFERROR(__xludf.DUMMYFUNCTION("""COMPUTED_VALUE"""),"")</f>
        <v/>
      </c>
      <c r="H123" s="5" t="str">
        <f>IFERROR(__xludf.DUMMYFUNCTION("""COMPUTED_VALUE"""),"")</f>
        <v/>
      </c>
      <c r="I123" s="5" t="str">
        <f>IFERROR(__xludf.DUMMYFUNCTION("""COMPUTED_VALUE"""),"")</f>
        <v/>
      </c>
      <c r="J123" s="5" t="str">
        <f>IFERROR(__xludf.DUMMYFUNCTION("""COMPUTED_VALUE"""),"")</f>
        <v/>
      </c>
      <c r="K123" s="5" t="str">
        <f>IFERROR(__xludf.DUMMYFUNCTION("""COMPUTED_VALUE"""),"")</f>
        <v/>
      </c>
      <c r="L123" s="5" t="str">
        <f>IFERROR(__xludf.DUMMYFUNCTION("""COMPUTED_VALUE"""),"")</f>
        <v/>
      </c>
      <c r="M123" s="5" t="str">
        <f>IFERROR(__xludf.DUMMYFUNCTION("""COMPUTED_VALUE"""),"")</f>
        <v/>
      </c>
      <c r="N123" s="5" t="str">
        <f>IFERROR(__xludf.DUMMYFUNCTION("""COMPUTED_VALUE"""),"")</f>
        <v/>
      </c>
      <c r="O123" s="5" t="str">
        <f>IFERROR(__xludf.DUMMYFUNCTION("""COMPUTED_VALUE"""),"")</f>
        <v/>
      </c>
      <c r="P123" s="5" t="str">
        <f>IFERROR(__xludf.DUMMYFUNCTION("""COMPUTED_VALUE"""),"Development")</f>
        <v>Development</v>
      </c>
      <c r="Q123" s="5" t="str">
        <f>IFERROR(__xludf.DUMMYFUNCTION("""COMPUTED_VALUE"""),"")</f>
        <v/>
      </c>
      <c r="R123" s="5" t="str">
        <f>IFERROR(__xludf.DUMMYFUNCTION("""COMPUTED_VALUE"""),"")</f>
        <v/>
      </c>
      <c r="S123" s="5" t="str">
        <f>IFERROR(__xludf.DUMMYFUNCTION("""COMPUTED_VALUE"""),"")</f>
        <v/>
      </c>
      <c r="T123" s="5" t="str">
        <f>IFERROR(__xludf.DUMMYFUNCTION("""COMPUTED_VALUE"""),"")</f>
        <v/>
      </c>
      <c r="U123" s="5" t="str">
        <f>IFERROR(__xludf.DUMMYFUNCTION("""COMPUTED_VALUE"""),"")</f>
        <v/>
      </c>
      <c r="V123" s="5" t="str">
        <f>IFERROR(__xludf.DUMMYFUNCTION("""COMPUTED_VALUE"""),"")</f>
        <v/>
      </c>
      <c r="W123" s="5" t="str">
        <f>IFERROR(__xludf.DUMMYFUNCTION("""COMPUTED_VALUE"""),"")</f>
        <v/>
      </c>
      <c r="X123" s="5" t="str">
        <f>IFERROR(__xludf.DUMMYFUNCTION("""COMPUTED_VALUE"""),"")</f>
        <v/>
      </c>
      <c r="Y123" s="5"/>
      <c r="Z123" s="5"/>
    </row>
    <row r="124">
      <c r="A124" s="5" t="str">
        <f>IFERROR(__xludf.DUMMYFUNCTION("""COMPUTED_VALUE"""),"Unicorn The Stolen Book")</f>
        <v>Unicorn The Stolen Book</v>
      </c>
      <c r="B124" s="5" t="str">
        <f>IFERROR(__xludf.DUMMYFUNCTION("""COMPUTED_VALUE"""),"")</f>
        <v/>
      </c>
      <c r="C124" s="5" t="str">
        <f>IFERROR(__xludf.DUMMYFUNCTION("""COMPUTED_VALUE"""),"")</f>
        <v/>
      </c>
      <c r="D124" s="5" t="str">
        <f>IFERROR(__xludf.DUMMYFUNCTION("""COMPUTED_VALUE"""),"")</f>
        <v/>
      </c>
      <c r="E124" s="5" t="str">
        <f>IFERROR(__xludf.DUMMYFUNCTION("""COMPUTED_VALUE"""),"")</f>
        <v/>
      </c>
      <c r="F124" s="5" t="str">
        <f>IFERROR(__xludf.DUMMYFUNCTION("""COMPUTED_VALUE"""),"")</f>
        <v/>
      </c>
      <c r="G124" s="5" t="str">
        <f>IFERROR(__xludf.DUMMYFUNCTION("""COMPUTED_VALUE"""),"")</f>
        <v/>
      </c>
      <c r="H124" s="5" t="str">
        <f>IFERROR(__xludf.DUMMYFUNCTION("""COMPUTED_VALUE"""),"")</f>
        <v/>
      </c>
      <c r="I124" s="5" t="str">
        <f>IFERROR(__xludf.DUMMYFUNCTION("""COMPUTED_VALUE"""),"")</f>
        <v/>
      </c>
      <c r="J124" s="5" t="str">
        <f>IFERROR(__xludf.DUMMYFUNCTION("""COMPUTED_VALUE"""),"")</f>
        <v/>
      </c>
      <c r="K124" s="5" t="str">
        <f>IFERROR(__xludf.DUMMYFUNCTION("""COMPUTED_VALUE"""),"")</f>
        <v/>
      </c>
      <c r="L124" s="5" t="str">
        <f>IFERROR(__xludf.DUMMYFUNCTION("""COMPUTED_VALUE"""),"")</f>
        <v/>
      </c>
      <c r="M124" s="5" t="str">
        <f>IFERROR(__xludf.DUMMYFUNCTION("""COMPUTED_VALUE"""),"")</f>
        <v/>
      </c>
      <c r="N124" s="5" t="str">
        <f>IFERROR(__xludf.DUMMYFUNCTION("""COMPUTED_VALUE"""),"")</f>
        <v/>
      </c>
      <c r="O124" s="5" t="str">
        <f>IFERROR(__xludf.DUMMYFUNCTION("""COMPUTED_VALUE"""),"")</f>
        <v/>
      </c>
      <c r="P124" s="5" t="str">
        <f>IFERROR(__xludf.DUMMYFUNCTION("""COMPUTED_VALUE"""),"")</f>
        <v/>
      </c>
      <c r="Q124" s="5" t="str">
        <f>IFERROR(__xludf.DUMMYFUNCTION("""COMPUTED_VALUE"""),"")</f>
        <v/>
      </c>
      <c r="R124" s="5" t="str">
        <f>IFERROR(__xludf.DUMMYFUNCTION("""COMPUTED_VALUE"""),"")</f>
        <v/>
      </c>
      <c r="S124" s="5" t="str">
        <f>IFERROR(__xludf.DUMMYFUNCTION("""COMPUTED_VALUE"""),"")</f>
        <v/>
      </c>
      <c r="T124" s="5" t="str">
        <f>IFERROR(__xludf.DUMMYFUNCTION("""COMPUTED_VALUE"""),"")</f>
        <v/>
      </c>
      <c r="U124" s="5" t="str">
        <f>IFERROR(__xludf.DUMMYFUNCTION("""COMPUTED_VALUE"""),"")</f>
        <v/>
      </c>
      <c r="V124" s="5" t="str">
        <f>IFERROR(__xludf.DUMMYFUNCTION("""COMPUTED_VALUE"""),"")</f>
        <v/>
      </c>
      <c r="W124" s="5" t="str">
        <f>IFERROR(__xludf.DUMMYFUNCTION("""COMPUTED_VALUE"""),"")</f>
        <v/>
      </c>
      <c r="X124" s="5" t="str">
        <f>IFERROR(__xludf.DUMMYFUNCTION("""COMPUTED_VALUE"""),"")</f>
        <v/>
      </c>
      <c r="Y124" s="5"/>
      <c r="Z124" s="5"/>
    </row>
    <row r="125">
      <c r="A125" s="5" t="str">
        <f>IFERROR(__xludf.DUMMYFUNCTION("""COMPUTED_VALUE"""),"Lucky Brilliants")</f>
        <v>Lucky Brilliants</v>
      </c>
      <c r="B125" s="5" t="str">
        <f>IFERROR(__xludf.DUMMYFUNCTION("""COMPUTED_VALUE"""),"")</f>
        <v/>
      </c>
      <c r="C125" s="5" t="str">
        <f>IFERROR(__xludf.DUMMYFUNCTION("""COMPUTED_VALUE"""),"")</f>
        <v/>
      </c>
      <c r="D125" s="5" t="str">
        <f>IFERROR(__xludf.DUMMYFUNCTION("""COMPUTED_VALUE"""),"Available")</f>
        <v>Available</v>
      </c>
      <c r="E125" s="5" t="str">
        <f>IFERROR(__xludf.DUMMYFUNCTION("""COMPUTED_VALUE"""),"")</f>
        <v/>
      </c>
      <c r="F125" s="5" t="str">
        <f>IFERROR(__xludf.DUMMYFUNCTION("""COMPUTED_VALUE"""),"")</f>
        <v/>
      </c>
      <c r="G125" s="5" t="str">
        <f>IFERROR(__xludf.DUMMYFUNCTION("""COMPUTED_VALUE"""),"")</f>
        <v/>
      </c>
      <c r="H125" s="5" t="str">
        <f>IFERROR(__xludf.DUMMYFUNCTION("""COMPUTED_VALUE"""),"Available")</f>
        <v>Available</v>
      </c>
      <c r="I125" s="5" t="str">
        <f>IFERROR(__xludf.DUMMYFUNCTION("""COMPUTED_VALUE"""),"Available")</f>
        <v>Available</v>
      </c>
      <c r="J125" s="5" t="str">
        <f>IFERROR(__xludf.DUMMYFUNCTION("""COMPUTED_VALUE"""),"")</f>
        <v/>
      </c>
      <c r="K125" s="5" t="str">
        <f>IFERROR(__xludf.DUMMYFUNCTION("""COMPUTED_VALUE"""),"")</f>
        <v/>
      </c>
      <c r="L125" s="5" t="str">
        <f>IFERROR(__xludf.DUMMYFUNCTION("""COMPUTED_VALUE"""),"")</f>
        <v/>
      </c>
      <c r="M125" s="5" t="str">
        <f>IFERROR(__xludf.DUMMYFUNCTION("""COMPUTED_VALUE"""),"")</f>
        <v/>
      </c>
      <c r="N125" s="5" t="str">
        <f>IFERROR(__xludf.DUMMYFUNCTION("""COMPUTED_VALUE"""),"")</f>
        <v/>
      </c>
      <c r="O125" s="5" t="str">
        <f>IFERROR(__xludf.DUMMYFUNCTION("""COMPUTED_VALUE"""),"")</f>
        <v/>
      </c>
      <c r="P125" s="5" t="str">
        <f>IFERROR(__xludf.DUMMYFUNCTION("""COMPUTED_VALUE"""),"Development")</f>
        <v>Development</v>
      </c>
      <c r="Q125" s="5" t="str">
        <f>IFERROR(__xludf.DUMMYFUNCTION("""COMPUTED_VALUE"""),"Available")</f>
        <v>Available</v>
      </c>
      <c r="R125" s="5" t="str">
        <f>IFERROR(__xludf.DUMMYFUNCTION("""COMPUTED_VALUE"""),"")</f>
        <v/>
      </c>
      <c r="S125" s="5" t="str">
        <f>IFERROR(__xludf.DUMMYFUNCTION("""COMPUTED_VALUE"""),"")</f>
        <v/>
      </c>
      <c r="T125" s="5" t="str">
        <f>IFERROR(__xludf.DUMMYFUNCTION("""COMPUTED_VALUE"""),"")</f>
        <v/>
      </c>
      <c r="U125" s="5" t="str">
        <f>IFERROR(__xludf.DUMMYFUNCTION("""COMPUTED_VALUE"""),"")</f>
        <v/>
      </c>
      <c r="V125" s="5" t="str">
        <f>IFERROR(__xludf.DUMMYFUNCTION("""COMPUTED_VALUE"""),"")</f>
        <v/>
      </c>
      <c r="W125" s="5" t="str">
        <f>IFERROR(__xludf.DUMMYFUNCTION("""COMPUTED_VALUE"""),"")</f>
        <v/>
      </c>
      <c r="X125" s="5" t="str">
        <f>IFERROR(__xludf.DUMMYFUNCTION("""COMPUTED_VALUE"""),"")</f>
        <v/>
      </c>
      <c r="Y125" s="5"/>
      <c r="Z125" s="5"/>
    </row>
    <row r="126">
      <c r="A126" s="5" t="str">
        <f>IFERROR(__xludf.DUMMYFUNCTION("""COMPUTED_VALUE"""),"Crystal Hot 40 Soccer")</f>
        <v>Crystal Hot 40 Soccer</v>
      </c>
      <c r="B126" s="5" t="str">
        <f>IFERROR(__xludf.DUMMYFUNCTION("""COMPUTED_VALUE"""),"")</f>
        <v/>
      </c>
      <c r="C126" s="5" t="str">
        <f>IFERROR(__xludf.DUMMYFUNCTION("""COMPUTED_VALUE"""),"")</f>
        <v/>
      </c>
      <c r="D126" s="5" t="str">
        <f>IFERROR(__xludf.DUMMYFUNCTION("""COMPUTED_VALUE"""),"")</f>
        <v/>
      </c>
      <c r="E126" s="5" t="str">
        <f>IFERROR(__xludf.DUMMYFUNCTION("""COMPUTED_VALUE"""),"")</f>
        <v/>
      </c>
      <c r="F126" s="5" t="str">
        <f>IFERROR(__xludf.DUMMYFUNCTION("""COMPUTED_VALUE"""),"")</f>
        <v/>
      </c>
      <c r="G126" s="5" t="str">
        <f>IFERROR(__xludf.DUMMYFUNCTION("""COMPUTED_VALUE"""),"")</f>
        <v/>
      </c>
      <c r="H126" s="5" t="str">
        <f>IFERROR(__xludf.DUMMYFUNCTION("""COMPUTED_VALUE"""),"")</f>
        <v/>
      </c>
      <c r="I126" s="5" t="str">
        <f>IFERROR(__xludf.DUMMYFUNCTION("""COMPUTED_VALUE"""),"")</f>
        <v/>
      </c>
      <c r="J126" s="5" t="str">
        <f>IFERROR(__xludf.DUMMYFUNCTION("""COMPUTED_VALUE"""),"")</f>
        <v/>
      </c>
      <c r="K126" s="5" t="str">
        <f>IFERROR(__xludf.DUMMYFUNCTION("""COMPUTED_VALUE"""),"")</f>
        <v/>
      </c>
      <c r="L126" s="5" t="str">
        <f>IFERROR(__xludf.DUMMYFUNCTION("""COMPUTED_VALUE"""),"")</f>
        <v/>
      </c>
      <c r="M126" s="5" t="str">
        <f>IFERROR(__xludf.DUMMYFUNCTION("""COMPUTED_VALUE"""),"")</f>
        <v/>
      </c>
      <c r="N126" s="5" t="str">
        <f>IFERROR(__xludf.DUMMYFUNCTION("""COMPUTED_VALUE"""),"")</f>
        <v/>
      </c>
      <c r="O126" s="5" t="str">
        <f>IFERROR(__xludf.DUMMYFUNCTION("""COMPUTED_VALUE"""),"")</f>
        <v/>
      </c>
      <c r="P126" s="5" t="str">
        <f>IFERROR(__xludf.DUMMYFUNCTION("""COMPUTED_VALUE"""),"")</f>
        <v/>
      </c>
      <c r="Q126" s="5" t="str">
        <f>IFERROR(__xludf.DUMMYFUNCTION("""COMPUTED_VALUE"""),"")</f>
        <v/>
      </c>
      <c r="R126" s="5" t="str">
        <f>IFERROR(__xludf.DUMMYFUNCTION("""COMPUTED_VALUE"""),"")</f>
        <v/>
      </c>
      <c r="S126" s="5" t="str">
        <f>IFERROR(__xludf.DUMMYFUNCTION("""COMPUTED_VALUE"""),"")</f>
        <v/>
      </c>
      <c r="T126" s="5" t="str">
        <f>IFERROR(__xludf.DUMMYFUNCTION("""COMPUTED_VALUE"""),"")</f>
        <v/>
      </c>
      <c r="U126" s="5" t="str">
        <f>IFERROR(__xludf.DUMMYFUNCTION("""COMPUTED_VALUE"""),"")</f>
        <v/>
      </c>
      <c r="V126" s="5" t="str">
        <f>IFERROR(__xludf.DUMMYFUNCTION("""COMPUTED_VALUE"""),"")</f>
        <v/>
      </c>
      <c r="W126" s="5" t="str">
        <f>IFERROR(__xludf.DUMMYFUNCTION("""COMPUTED_VALUE"""),"")</f>
        <v/>
      </c>
      <c r="X126" s="5" t="str">
        <f>IFERROR(__xludf.DUMMYFUNCTION("""COMPUTED_VALUE"""),"")</f>
        <v/>
      </c>
      <c r="Y126" s="5"/>
      <c r="Z126" s="5"/>
    </row>
    <row r="127">
      <c r="A127" s="5" t="str">
        <f>IFERROR(__xludf.DUMMYFUNCTION("""COMPUTED_VALUE"""),"Bursting Hot 5 Admiral")</f>
        <v>Bursting Hot 5 Admiral</v>
      </c>
      <c r="B127" s="5" t="str">
        <f>IFERROR(__xludf.DUMMYFUNCTION("""COMPUTED_VALUE"""),"")</f>
        <v/>
      </c>
      <c r="C127" s="5" t="str">
        <f>IFERROR(__xludf.DUMMYFUNCTION("""COMPUTED_VALUE"""),"")</f>
        <v/>
      </c>
      <c r="D127" s="5" t="str">
        <f>IFERROR(__xludf.DUMMYFUNCTION("""COMPUTED_VALUE"""),"")</f>
        <v/>
      </c>
      <c r="E127" s="5" t="str">
        <f>IFERROR(__xludf.DUMMYFUNCTION("""COMPUTED_VALUE"""),"")</f>
        <v/>
      </c>
      <c r="F127" s="5" t="str">
        <f>IFERROR(__xludf.DUMMYFUNCTION("""COMPUTED_VALUE"""),"")</f>
        <v/>
      </c>
      <c r="G127" s="5" t="str">
        <f>IFERROR(__xludf.DUMMYFUNCTION("""COMPUTED_VALUE"""),"")</f>
        <v/>
      </c>
      <c r="H127" s="5" t="str">
        <f>IFERROR(__xludf.DUMMYFUNCTION("""COMPUTED_VALUE"""),"")</f>
        <v/>
      </c>
      <c r="I127" s="5" t="str">
        <f>IFERROR(__xludf.DUMMYFUNCTION("""COMPUTED_VALUE"""),"")</f>
        <v/>
      </c>
      <c r="J127" s="5" t="str">
        <f>IFERROR(__xludf.DUMMYFUNCTION("""COMPUTED_VALUE"""),"")</f>
        <v/>
      </c>
      <c r="K127" s="5" t="str">
        <f>IFERROR(__xludf.DUMMYFUNCTION("""COMPUTED_VALUE"""),"")</f>
        <v/>
      </c>
      <c r="L127" s="5" t="str">
        <f>IFERROR(__xludf.DUMMYFUNCTION("""COMPUTED_VALUE"""),"")</f>
        <v/>
      </c>
      <c r="M127" s="5" t="str">
        <f>IFERROR(__xludf.DUMMYFUNCTION("""COMPUTED_VALUE"""),"")</f>
        <v/>
      </c>
      <c r="N127" s="5" t="str">
        <f>IFERROR(__xludf.DUMMYFUNCTION("""COMPUTED_VALUE"""),"")</f>
        <v/>
      </c>
      <c r="O127" s="5" t="str">
        <f>IFERROR(__xludf.DUMMYFUNCTION("""COMPUTED_VALUE"""),"")</f>
        <v/>
      </c>
      <c r="P127" s="5" t="str">
        <f>IFERROR(__xludf.DUMMYFUNCTION("""COMPUTED_VALUE"""),"")</f>
        <v/>
      </c>
      <c r="Q127" s="5" t="str">
        <f>IFERROR(__xludf.DUMMYFUNCTION("""COMPUTED_VALUE"""),"")</f>
        <v/>
      </c>
      <c r="R127" s="5" t="str">
        <f>IFERROR(__xludf.DUMMYFUNCTION("""COMPUTED_VALUE"""),"")</f>
        <v/>
      </c>
      <c r="S127" s="5" t="str">
        <f>IFERROR(__xludf.DUMMYFUNCTION("""COMPUTED_VALUE"""),"")</f>
        <v/>
      </c>
      <c r="T127" s="5" t="str">
        <f>IFERROR(__xludf.DUMMYFUNCTION("""COMPUTED_VALUE"""),"")</f>
        <v/>
      </c>
      <c r="U127" s="5" t="str">
        <f>IFERROR(__xludf.DUMMYFUNCTION("""COMPUTED_VALUE"""),"")</f>
        <v/>
      </c>
      <c r="V127" s="5" t="str">
        <f>IFERROR(__xludf.DUMMYFUNCTION("""COMPUTED_VALUE"""),"")</f>
        <v/>
      </c>
      <c r="W127" s="5" t="str">
        <f>IFERROR(__xludf.DUMMYFUNCTION("""COMPUTED_VALUE"""),"")</f>
        <v/>
      </c>
      <c r="X127" s="5" t="str">
        <f>IFERROR(__xludf.DUMMYFUNCTION("""COMPUTED_VALUE"""),"")</f>
        <v/>
      </c>
      <c r="Y127" s="5"/>
      <c r="Z127" s="5"/>
    </row>
    <row r="128">
      <c r="A128" s="5" t="str">
        <f>IFERROR(__xludf.DUMMYFUNCTION("""COMPUTED_VALUE"""),"Golden Crown 20 BalkanBet")</f>
        <v>Golden Crown 20 BalkanBet</v>
      </c>
      <c r="B128" s="5" t="str">
        <f>IFERROR(__xludf.DUMMYFUNCTION("""COMPUTED_VALUE"""),"")</f>
        <v/>
      </c>
      <c r="C128" s="5" t="str">
        <f>IFERROR(__xludf.DUMMYFUNCTION("""COMPUTED_VALUE"""),"")</f>
        <v/>
      </c>
      <c r="D128" s="5" t="str">
        <f>IFERROR(__xludf.DUMMYFUNCTION("""COMPUTED_VALUE"""),"")</f>
        <v/>
      </c>
      <c r="E128" s="5" t="str">
        <f>IFERROR(__xludf.DUMMYFUNCTION("""COMPUTED_VALUE"""),"")</f>
        <v/>
      </c>
      <c r="F128" s="5" t="str">
        <f>IFERROR(__xludf.DUMMYFUNCTION("""COMPUTED_VALUE"""),"")</f>
        <v/>
      </c>
      <c r="G128" s="5" t="str">
        <f>IFERROR(__xludf.DUMMYFUNCTION("""COMPUTED_VALUE"""),"")</f>
        <v/>
      </c>
      <c r="H128" s="5" t="str">
        <f>IFERROR(__xludf.DUMMYFUNCTION("""COMPUTED_VALUE"""),"")</f>
        <v/>
      </c>
      <c r="I128" s="5" t="str">
        <f>IFERROR(__xludf.DUMMYFUNCTION("""COMPUTED_VALUE"""),"")</f>
        <v/>
      </c>
      <c r="J128" s="5" t="str">
        <f>IFERROR(__xludf.DUMMYFUNCTION("""COMPUTED_VALUE"""),"")</f>
        <v/>
      </c>
      <c r="K128" s="5" t="str">
        <f>IFERROR(__xludf.DUMMYFUNCTION("""COMPUTED_VALUE"""),"")</f>
        <v/>
      </c>
      <c r="L128" s="5" t="str">
        <f>IFERROR(__xludf.DUMMYFUNCTION("""COMPUTED_VALUE"""),"")</f>
        <v/>
      </c>
      <c r="M128" s="5" t="str">
        <f>IFERROR(__xludf.DUMMYFUNCTION("""COMPUTED_VALUE"""),"")</f>
        <v/>
      </c>
      <c r="N128" s="5" t="str">
        <f>IFERROR(__xludf.DUMMYFUNCTION("""COMPUTED_VALUE"""),"")</f>
        <v/>
      </c>
      <c r="O128" s="5" t="str">
        <f>IFERROR(__xludf.DUMMYFUNCTION("""COMPUTED_VALUE"""),"")</f>
        <v/>
      </c>
      <c r="P128" s="5" t="str">
        <f>IFERROR(__xludf.DUMMYFUNCTION("""COMPUTED_VALUE"""),"")</f>
        <v/>
      </c>
      <c r="Q128" s="5" t="str">
        <f>IFERROR(__xludf.DUMMYFUNCTION("""COMPUTED_VALUE"""),"")</f>
        <v/>
      </c>
      <c r="R128" s="5" t="str">
        <f>IFERROR(__xludf.DUMMYFUNCTION("""COMPUTED_VALUE"""),"")</f>
        <v/>
      </c>
      <c r="S128" s="5" t="str">
        <f>IFERROR(__xludf.DUMMYFUNCTION("""COMPUTED_VALUE"""),"")</f>
        <v/>
      </c>
      <c r="T128" s="5" t="str">
        <f>IFERROR(__xludf.DUMMYFUNCTION("""COMPUTED_VALUE"""),"")</f>
        <v/>
      </c>
      <c r="U128" s="5" t="str">
        <f>IFERROR(__xludf.DUMMYFUNCTION("""COMPUTED_VALUE"""),"")</f>
        <v/>
      </c>
      <c r="V128" s="5" t="str">
        <f>IFERROR(__xludf.DUMMYFUNCTION("""COMPUTED_VALUE"""),"")</f>
        <v/>
      </c>
      <c r="W128" s="5" t="str">
        <f>IFERROR(__xludf.DUMMYFUNCTION("""COMPUTED_VALUE"""),"")</f>
        <v/>
      </c>
      <c r="X128" s="5" t="str">
        <f>IFERROR(__xludf.DUMMYFUNCTION("""COMPUTED_VALUE"""),"")</f>
        <v/>
      </c>
      <c r="Y128" s="5"/>
      <c r="Z128" s="5"/>
    </row>
    <row r="129">
      <c r="A129" s="5" t="str">
        <f>IFERROR(__xludf.DUMMYFUNCTION("""COMPUTED_VALUE"""),"Wild Hot 40 Meridian")</f>
        <v>Wild Hot 40 Meridian</v>
      </c>
      <c r="B129" s="5" t="str">
        <f>IFERROR(__xludf.DUMMYFUNCTION("""COMPUTED_VALUE"""),"")</f>
        <v/>
      </c>
      <c r="C129" s="5" t="str">
        <f>IFERROR(__xludf.DUMMYFUNCTION("""COMPUTED_VALUE"""),"")</f>
        <v/>
      </c>
      <c r="D129" s="5" t="str">
        <f>IFERROR(__xludf.DUMMYFUNCTION("""COMPUTED_VALUE"""),"")</f>
        <v/>
      </c>
      <c r="E129" s="5" t="str">
        <f>IFERROR(__xludf.DUMMYFUNCTION("""COMPUTED_VALUE"""),"")</f>
        <v/>
      </c>
      <c r="F129" s="5" t="str">
        <f>IFERROR(__xludf.DUMMYFUNCTION("""COMPUTED_VALUE"""),"")</f>
        <v/>
      </c>
      <c r="G129" s="5" t="str">
        <f>IFERROR(__xludf.DUMMYFUNCTION("""COMPUTED_VALUE"""),"")</f>
        <v/>
      </c>
      <c r="H129" s="5" t="str">
        <f>IFERROR(__xludf.DUMMYFUNCTION("""COMPUTED_VALUE"""),"")</f>
        <v/>
      </c>
      <c r="I129" s="5" t="str">
        <f>IFERROR(__xludf.DUMMYFUNCTION("""COMPUTED_VALUE"""),"")</f>
        <v/>
      </c>
      <c r="J129" s="5" t="str">
        <f>IFERROR(__xludf.DUMMYFUNCTION("""COMPUTED_VALUE"""),"")</f>
        <v/>
      </c>
      <c r="K129" s="5" t="str">
        <f>IFERROR(__xludf.DUMMYFUNCTION("""COMPUTED_VALUE"""),"")</f>
        <v/>
      </c>
      <c r="L129" s="5" t="str">
        <f>IFERROR(__xludf.DUMMYFUNCTION("""COMPUTED_VALUE"""),"")</f>
        <v/>
      </c>
      <c r="M129" s="5" t="str">
        <f>IFERROR(__xludf.DUMMYFUNCTION("""COMPUTED_VALUE"""),"")</f>
        <v/>
      </c>
      <c r="N129" s="5" t="str">
        <f>IFERROR(__xludf.DUMMYFUNCTION("""COMPUTED_VALUE"""),"")</f>
        <v/>
      </c>
      <c r="O129" s="5" t="str">
        <f>IFERROR(__xludf.DUMMYFUNCTION("""COMPUTED_VALUE"""),"")</f>
        <v/>
      </c>
      <c r="P129" s="5" t="str">
        <f>IFERROR(__xludf.DUMMYFUNCTION("""COMPUTED_VALUE"""),"")</f>
        <v/>
      </c>
      <c r="Q129" s="5" t="str">
        <f>IFERROR(__xludf.DUMMYFUNCTION("""COMPUTED_VALUE"""),"")</f>
        <v/>
      </c>
      <c r="R129" s="5" t="str">
        <f>IFERROR(__xludf.DUMMYFUNCTION("""COMPUTED_VALUE"""),"")</f>
        <v/>
      </c>
      <c r="S129" s="5" t="str">
        <f>IFERROR(__xludf.DUMMYFUNCTION("""COMPUTED_VALUE"""),"")</f>
        <v/>
      </c>
      <c r="T129" s="5" t="str">
        <f>IFERROR(__xludf.DUMMYFUNCTION("""COMPUTED_VALUE"""),"")</f>
        <v/>
      </c>
      <c r="U129" s="5" t="str">
        <f>IFERROR(__xludf.DUMMYFUNCTION("""COMPUTED_VALUE"""),"")</f>
        <v/>
      </c>
      <c r="V129" s="5" t="str">
        <f>IFERROR(__xludf.DUMMYFUNCTION("""COMPUTED_VALUE"""),"")</f>
        <v/>
      </c>
      <c r="W129" s="5" t="str">
        <f>IFERROR(__xludf.DUMMYFUNCTION("""COMPUTED_VALUE"""),"")</f>
        <v/>
      </c>
      <c r="X129" s="5" t="str">
        <f>IFERROR(__xludf.DUMMYFUNCTION("""COMPUTED_VALUE"""),"")</f>
        <v/>
      </c>
      <c r="Y129" s="5"/>
      <c r="Z129" s="5"/>
    </row>
    <row r="130">
      <c r="A130" s="5" t="str">
        <f>IFERROR(__xludf.DUMMYFUNCTION("""COMPUTED_VALUE"""),"Crystal Hot 40 Free")</f>
        <v>Crystal Hot 40 Free</v>
      </c>
      <c r="B130" s="5" t="str">
        <f>IFERROR(__xludf.DUMMYFUNCTION("""COMPUTED_VALUE"""),"Available")</f>
        <v>Available</v>
      </c>
      <c r="C130" s="5" t="str">
        <f>IFERROR(__xludf.DUMMYFUNCTION("""COMPUTED_VALUE"""),"Available")</f>
        <v>Available</v>
      </c>
      <c r="D130" s="5" t="str">
        <f>IFERROR(__xludf.DUMMYFUNCTION("""COMPUTED_VALUE"""),"Available")</f>
        <v>Available</v>
      </c>
      <c r="E130" s="5" t="str">
        <f>IFERROR(__xludf.DUMMYFUNCTION("""COMPUTED_VALUE"""),"Available")</f>
        <v>Available</v>
      </c>
      <c r="F130" s="5" t="str">
        <f>IFERROR(__xludf.DUMMYFUNCTION("""COMPUTED_VALUE"""),"Available")</f>
        <v>Available</v>
      </c>
      <c r="G130" s="5" t="str">
        <f>IFERROR(__xludf.DUMMYFUNCTION("""COMPUTED_VALUE"""),"Available")</f>
        <v>Available</v>
      </c>
      <c r="H130" s="5" t="str">
        <f>IFERROR(__xludf.DUMMYFUNCTION("""COMPUTED_VALUE"""),"Available")</f>
        <v>Available</v>
      </c>
      <c r="I130" s="5" t="str">
        <f>IFERROR(__xludf.DUMMYFUNCTION("""COMPUTED_VALUE"""),"Available")</f>
        <v>Available</v>
      </c>
      <c r="J130" s="5" t="str">
        <f>IFERROR(__xludf.DUMMYFUNCTION("""COMPUTED_VALUE"""),"")</f>
        <v/>
      </c>
      <c r="K130" s="5" t="str">
        <f>IFERROR(__xludf.DUMMYFUNCTION("""COMPUTED_VALUE"""),"Available")</f>
        <v>Available</v>
      </c>
      <c r="L130" s="5" t="str">
        <f>IFERROR(__xludf.DUMMYFUNCTION("""COMPUTED_VALUE"""),"")</f>
        <v/>
      </c>
      <c r="M130" s="5" t="str">
        <f>IFERROR(__xludf.DUMMYFUNCTION("""COMPUTED_VALUE"""),"Available")</f>
        <v>Available</v>
      </c>
      <c r="N130" s="5" t="str">
        <f>IFERROR(__xludf.DUMMYFUNCTION("""COMPUTED_VALUE"""),"Development")</f>
        <v>Development</v>
      </c>
      <c r="O130" s="5" t="str">
        <f>IFERROR(__xludf.DUMMYFUNCTION("""COMPUTED_VALUE"""),"Available")</f>
        <v>Available</v>
      </c>
      <c r="P130" s="5" t="str">
        <f>IFERROR(__xludf.DUMMYFUNCTION("""COMPUTED_VALUE"""),"Available")</f>
        <v>Available</v>
      </c>
      <c r="Q130" s="5" t="str">
        <f>IFERROR(__xludf.DUMMYFUNCTION("""COMPUTED_VALUE"""),"Available")</f>
        <v>Available</v>
      </c>
      <c r="R130" s="5" t="str">
        <f>IFERROR(__xludf.DUMMYFUNCTION("""COMPUTED_VALUE"""),"Development")</f>
        <v>Development</v>
      </c>
      <c r="S130" s="5" t="str">
        <f>IFERROR(__xludf.DUMMYFUNCTION("""COMPUTED_VALUE"""),"In Certification")</f>
        <v>In Certification</v>
      </c>
      <c r="T130" s="5" t="str">
        <f>IFERROR(__xludf.DUMMYFUNCTION("""COMPUTED_VALUE"""),"")</f>
        <v/>
      </c>
      <c r="U130" s="5" t="str">
        <f>IFERROR(__xludf.DUMMYFUNCTION("""COMPUTED_VALUE"""),"Certified")</f>
        <v>Certified</v>
      </c>
      <c r="V130" s="5" t="str">
        <f>IFERROR(__xludf.DUMMYFUNCTION("""COMPUTED_VALUE"""),"")</f>
        <v/>
      </c>
      <c r="W130" s="5" t="str">
        <f>IFERROR(__xludf.DUMMYFUNCTION("""COMPUTED_VALUE"""),"")</f>
        <v/>
      </c>
      <c r="X130" s="5" t="str">
        <f>IFERROR(__xludf.DUMMYFUNCTION("""COMPUTED_VALUE"""),"")</f>
        <v/>
      </c>
      <c r="Y130" s="5"/>
      <c r="Z130" s="5"/>
    </row>
    <row r="131">
      <c r="A131" s="5" t="str">
        <f>IFERROR(__xludf.DUMMYFUNCTION("""COMPUTED_VALUE"""),"Planet Hot 40")</f>
        <v>Planet Hot 40</v>
      </c>
      <c r="B131" s="5" t="str">
        <f>IFERROR(__xludf.DUMMYFUNCTION("""COMPUTED_VALUE"""),"")</f>
        <v/>
      </c>
      <c r="C131" s="5" t="str">
        <f>IFERROR(__xludf.DUMMYFUNCTION("""COMPUTED_VALUE"""),"")</f>
        <v/>
      </c>
      <c r="D131" s="5" t="str">
        <f>IFERROR(__xludf.DUMMYFUNCTION("""COMPUTED_VALUE"""),"")</f>
        <v/>
      </c>
      <c r="E131" s="5" t="str">
        <f>IFERROR(__xludf.DUMMYFUNCTION("""COMPUTED_VALUE"""),"")</f>
        <v/>
      </c>
      <c r="F131" s="5" t="str">
        <f>IFERROR(__xludf.DUMMYFUNCTION("""COMPUTED_VALUE"""),"Available")</f>
        <v>Available</v>
      </c>
      <c r="G131" s="5" t="str">
        <f>IFERROR(__xludf.DUMMYFUNCTION("""COMPUTED_VALUE"""),"")</f>
        <v/>
      </c>
      <c r="H131" s="5" t="str">
        <f>IFERROR(__xludf.DUMMYFUNCTION("""COMPUTED_VALUE"""),"")</f>
        <v/>
      </c>
      <c r="I131" s="5" t="str">
        <f>IFERROR(__xludf.DUMMYFUNCTION("""COMPUTED_VALUE"""),"")</f>
        <v/>
      </c>
      <c r="J131" s="5" t="str">
        <f>IFERROR(__xludf.DUMMYFUNCTION("""COMPUTED_VALUE"""),"")</f>
        <v/>
      </c>
      <c r="K131" s="5" t="str">
        <f>IFERROR(__xludf.DUMMYFUNCTION("""COMPUTED_VALUE"""),"")</f>
        <v/>
      </c>
      <c r="L131" s="5" t="str">
        <f>IFERROR(__xludf.DUMMYFUNCTION("""COMPUTED_VALUE"""),"")</f>
        <v/>
      </c>
      <c r="M131" s="5" t="str">
        <f>IFERROR(__xludf.DUMMYFUNCTION("""COMPUTED_VALUE"""),"")</f>
        <v/>
      </c>
      <c r="N131" s="5" t="str">
        <f>IFERROR(__xludf.DUMMYFUNCTION("""COMPUTED_VALUE"""),"")</f>
        <v/>
      </c>
      <c r="O131" s="5" t="str">
        <f>IFERROR(__xludf.DUMMYFUNCTION("""COMPUTED_VALUE"""),"")</f>
        <v/>
      </c>
      <c r="P131" s="5" t="str">
        <f>IFERROR(__xludf.DUMMYFUNCTION("""COMPUTED_VALUE"""),"")</f>
        <v/>
      </c>
      <c r="Q131" s="5" t="str">
        <f>IFERROR(__xludf.DUMMYFUNCTION("""COMPUTED_VALUE"""),"")</f>
        <v/>
      </c>
      <c r="R131" s="5" t="str">
        <f>IFERROR(__xludf.DUMMYFUNCTION("""COMPUTED_VALUE"""),"")</f>
        <v/>
      </c>
      <c r="S131" s="5" t="str">
        <f>IFERROR(__xludf.DUMMYFUNCTION("""COMPUTED_VALUE"""),"")</f>
        <v/>
      </c>
      <c r="T131" s="5" t="str">
        <f>IFERROR(__xludf.DUMMYFUNCTION("""COMPUTED_VALUE"""),"")</f>
        <v/>
      </c>
      <c r="U131" s="5" t="str">
        <f>IFERROR(__xludf.DUMMYFUNCTION("""COMPUTED_VALUE"""),"")</f>
        <v/>
      </c>
      <c r="V131" s="5" t="str">
        <f>IFERROR(__xludf.DUMMYFUNCTION("""COMPUTED_VALUE"""),"")</f>
        <v/>
      </c>
      <c r="W131" s="5" t="str">
        <f>IFERROR(__xludf.DUMMYFUNCTION("""COMPUTED_VALUE"""),"")</f>
        <v/>
      </c>
      <c r="X131" s="5" t="str">
        <f>IFERROR(__xludf.DUMMYFUNCTION("""COMPUTED_VALUE"""),"")</f>
        <v/>
      </c>
      <c r="Y131" s="5"/>
      <c r="Z131" s="5"/>
    </row>
    <row r="132">
      <c r="A132" s="5" t="str">
        <f>IFERROR(__xludf.DUMMYFUNCTION("""COMPUTED_VALUE"""),"El Grande Toro")</f>
        <v>El Grande Toro</v>
      </c>
      <c r="B132" s="5" t="str">
        <f>IFERROR(__xludf.DUMMYFUNCTION("""COMPUTED_VALUE"""),"Available")</f>
        <v>Available</v>
      </c>
      <c r="C132" s="5" t="str">
        <f>IFERROR(__xludf.DUMMYFUNCTION("""COMPUTED_VALUE"""),"")</f>
        <v/>
      </c>
      <c r="D132" s="5" t="str">
        <f>IFERROR(__xludf.DUMMYFUNCTION("""COMPUTED_VALUE"""),"Available")</f>
        <v>Available</v>
      </c>
      <c r="E132" s="5" t="str">
        <f>IFERROR(__xludf.DUMMYFUNCTION("""COMPUTED_VALUE"""),"")</f>
        <v/>
      </c>
      <c r="F132" s="5" t="str">
        <f>IFERROR(__xludf.DUMMYFUNCTION("""COMPUTED_VALUE"""),"Available")</f>
        <v>Available</v>
      </c>
      <c r="G132" s="5" t="str">
        <f>IFERROR(__xludf.DUMMYFUNCTION("""COMPUTED_VALUE"""),"Available")</f>
        <v>Available</v>
      </c>
      <c r="H132" s="5" t="str">
        <f>IFERROR(__xludf.DUMMYFUNCTION("""COMPUTED_VALUE"""),"Available")</f>
        <v>Available</v>
      </c>
      <c r="I132" s="5" t="str">
        <f>IFERROR(__xludf.DUMMYFUNCTION("""COMPUTED_VALUE"""),"Available")</f>
        <v>Available</v>
      </c>
      <c r="J132" s="5" t="str">
        <f>IFERROR(__xludf.DUMMYFUNCTION("""COMPUTED_VALUE"""),"")</f>
        <v/>
      </c>
      <c r="K132" s="5" t="str">
        <f>IFERROR(__xludf.DUMMYFUNCTION("""COMPUTED_VALUE"""),"Available")</f>
        <v>Available</v>
      </c>
      <c r="L132" s="5" t="str">
        <f>IFERROR(__xludf.DUMMYFUNCTION("""COMPUTED_VALUE"""),"")</f>
        <v/>
      </c>
      <c r="M132" s="5" t="str">
        <f>IFERROR(__xludf.DUMMYFUNCTION("""COMPUTED_VALUE"""),"")</f>
        <v/>
      </c>
      <c r="N132" s="5" t="str">
        <f>IFERROR(__xludf.DUMMYFUNCTION("""COMPUTED_VALUE"""),"")</f>
        <v/>
      </c>
      <c r="O132" s="5" t="str">
        <f>IFERROR(__xludf.DUMMYFUNCTION("""COMPUTED_VALUE"""),"")</f>
        <v/>
      </c>
      <c r="P132" s="5" t="str">
        <f>IFERROR(__xludf.DUMMYFUNCTION("""COMPUTED_VALUE"""),"Available")</f>
        <v>Available</v>
      </c>
      <c r="Q132" s="5" t="str">
        <f>IFERROR(__xludf.DUMMYFUNCTION("""COMPUTED_VALUE"""),"Available")</f>
        <v>Available</v>
      </c>
      <c r="R132" s="5" t="str">
        <f>IFERROR(__xludf.DUMMYFUNCTION("""COMPUTED_VALUE"""),"")</f>
        <v/>
      </c>
      <c r="S132" s="5" t="str">
        <f>IFERROR(__xludf.DUMMYFUNCTION("""COMPUTED_VALUE"""),"")</f>
        <v/>
      </c>
      <c r="T132" s="5" t="str">
        <f>IFERROR(__xludf.DUMMYFUNCTION("""COMPUTED_VALUE"""),"")</f>
        <v/>
      </c>
      <c r="U132" s="5" t="str">
        <f>IFERROR(__xludf.DUMMYFUNCTION("""COMPUTED_VALUE"""),"")</f>
        <v/>
      </c>
      <c r="V132" s="5" t="str">
        <f>IFERROR(__xludf.DUMMYFUNCTION("""COMPUTED_VALUE"""),"")</f>
        <v/>
      </c>
      <c r="W132" s="5" t="str">
        <f>IFERROR(__xludf.DUMMYFUNCTION("""COMPUTED_VALUE"""),"")</f>
        <v/>
      </c>
      <c r="X132" s="5" t="str">
        <f>IFERROR(__xludf.DUMMYFUNCTION("""COMPUTED_VALUE"""),"")</f>
        <v/>
      </c>
      <c r="Y132" s="5"/>
      <c r="Z132" s="5"/>
    </row>
    <row r="133">
      <c r="A133" s="5" t="str">
        <f>IFERROR(__xludf.DUMMYFUNCTION("""COMPUTED_VALUE"""),"Great Whale")</f>
        <v>Great Whale</v>
      </c>
      <c r="B133" s="5" t="str">
        <f>IFERROR(__xludf.DUMMYFUNCTION("""COMPUTED_VALUE"""),"")</f>
        <v/>
      </c>
      <c r="C133" s="5" t="str">
        <f>IFERROR(__xludf.DUMMYFUNCTION("""COMPUTED_VALUE"""),"")</f>
        <v/>
      </c>
      <c r="D133" s="5" t="str">
        <f>IFERROR(__xludf.DUMMYFUNCTION("""COMPUTED_VALUE"""),"")</f>
        <v/>
      </c>
      <c r="E133" s="5" t="str">
        <f>IFERROR(__xludf.DUMMYFUNCTION("""COMPUTED_VALUE"""),"")</f>
        <v/>
      </c>
      <c r="F133" s="5" t="str">
        <f>IFERROR(__xludf.DUMMYFUNCTION("""COMPUTED_VALUE"""),"")</f>
        <v/>
      </c>
      <c r="G133" s="5" t="str">
        <f>IFERROR(__xludf.DUMMYFUNCTION("""COMPUTED_VALUE"""),"")</f>
        <v/>
      </c>
      <c r="H133" s="5" t="str">
        <f>IFERROR(__xludf.DUMMYFUNCTION("""COMPUTED_VALUE"""),"")</f>
        <v/>
      </c>
      <c r="I133" s="5" t="str">
        <f>IFERROR(__xludf.DUMMYFUNCTION("""COMPUTED_VALUE"""),"")</f>
        <v/>
      </c>
      <c r="J133" s="5" t="str">
        <f>IFERROR(__xludf.DUMMYFUNCTION("""COMPUTED_VALUE"""),"")</f>
        <v/>
      </c>
      <c r="K133" s="5" t="str">
        <f>IFERROR(__xludf.DUMMYFUNCTION("""COMPUTED_VALUE"""),"")</f>
        <v/>
      </c>
      <c r="L133" s="5" t="str">
        <f>IFERROR(__xludf.DUMMYFUNCTION("""COMPUTED_VALUE"""),"")</f>
        <v/>
      </c>
      <c r="M133" s="5" t="str">
        <f>IFERROR(__xludf.DUMMYFUNCTION("""COMPUTED_VALUE"""),"")</f>
        <v/>
      </c>
      <c r="N133" s="5" t="str">
        <f>IFERROR(__xludf.DUMMYFUNCTION("""COMPUTED_VALUE"""),"")</f>
        <v/>
      </c>
      <c r="O133" s="5" t="str">
        <f>IFERROR(__xludf.DUMMYFUNCTION("""COMPUTED_VALUE"""),"")</f>
        <v/>
      </c>
      <c r="P133" s="5" t="str">
        <f>IFERROR(__xludf.DUMMYFUNCTION("""COMPUTED_VALUE"""),"")</f>
        <v/>
      </c>
      <c r="Q133" s="5" t="str">
        <f>IFERROR(__xludf.DUMMYFUNCTION("""COMPUTED_VALUE"""),"")</f>
        <v/>
      </c>
      <c r="R133" s="5" t="str">
        <f>IFERROR(__xludf.DUMMYFUNCTION("""COMPUTED_VALUE"""),"")</f>
        <v/>
      </c>
      <c r="S133" s="5" t="str">
        <f>IFERROR(__xludf.DUMMYFUNCTION("""COMPUTED_VALUE"""),"")</f>
        <v/>
      </c>
      <c r="T133" s="5" t="str">
        <f>IFERROR(__xludf.DUMMYFUNCTION("""COMPUTED_VALUE"""),"")</f>
        <v/>
      </c>
      <c r="U133" s="5" t="str">
        <f>IFERROR(__xludf.DUMMYFUNCTION("""COMPUTED_VALUE"""),"")</f>
        <v/>
      </c>
      <c r="V133" s="5" t="str">
        <f>IFERROR(__xludf.DUMMYFUNCTION("""COMPUTED_VALUE"""),"")</f>
        <v/>
      </c>
      <c r="W133" s="5" t="str">
        <f>IFERROR(__xludf.DUMMYFUNCTION("""COMPUTED_VALUE"""),"")</f>
        <v/>
      </c>
      <c r="X133" s="5" t="str">
        <f>IFERROR(__xludf.DUMMYFUNCTION("""COMPUTED_VALUE"""),"")</f>
        <v/>
      </c>
      <c r="Y133" s="5"/>
      <c r="Z133" s="5"/>
    </row>
    <row r="134">
      <c r="A134" s="5" t="str">
        <f>IFERROR(__xludf.DUMMYFUNCTION("""COMPUTED_VALUE"""),"Winning Stars")</f>
        <v>Winning Stars</v>
      </c>
      <c r="B134" s="5" t="str">
        <f>IFERROR(__xludf.DUMMYFUNCTION("""COMPUTED_VALUE"""),"")</f>
        <v/>
      </c>
      <c r="C134" s="5" t="str">
        <f>IFERROR(__xludf.DUMMYFUNCTION("""COMPUTED_VALUE"""),"")</f>
        <v/>
      </c>
      <c r="D134" s="5" t="str">
        <f>IFERROR(__xludf.DUMMYFUNCTION("""COMPUTED_VALUE"""),"Available")</f>
        <v>Available</v>
      </c>
      <c r="E134" s="5" t="str">
        <f>IFERROR(__xludf.DUMMYFUNCTION("""COMPUTED_VALUE"""),"")</f>
        <v/>
      </c>
      <c r="F134" s="5" t="str">
        <f>IFERROR(__xludf.DUMMYFUNCTION("""COMPUTED_VALUE"""),"Available")</f>
        <v>Available</v>
      </c>
      <c r="G134" s="5" t="str">
        <f>IFERROR(__xludf.DUMMYFUNCTION("""COMPUTED_VALUE"""),"Available")</f>
        <v>Available</v>
      </c>
      <c r="H134" s="5" t="str">
        <f>IFERROR(__xludf.DUMMYFUNCTION("""COMPUTED_VALUE"""),"Available")</f>
        <v>Available</v>
      </c>
      <c r="I134" s="5" t="str">
        <f>IFERROR(__xludf.DUMMYFUNCTION("""COMPUTED_VALUE"""),"Available")</f>
        <v>Available</v>
      </c>
      <c r="J134" s="5" t="str">
        <f>IFERROR(__xludf.DUMMYFUNCTION("""COMPUTED_VALUE"""),"")</f>
        <v/>
      </c>
      <c r="K134" s="5" t="str">
        <f>IFERROR(__xludf.DUMMYFUNCTION("""COMPUTED_VALUE"""),"")</f>
        <v/>
      </c>
      <c r="L134" s="5" t="str">
        <f>IFERROR(__xludf.DUMMYFUNCTION("""COMPUTED_VALUE"""),"")</f>
        <v/>
      </c>
      <c r="M134" s="5" t="str">
        <f>IFERROR(__xludf.DUMMYFUNCTION("""COMPUTED_VALUE"""),"")</f>
        <v/>
      </c>
      <c r="N134" s="5" t="str">
        <f>IFERROR(__xludf.DUMMYFUNCTION("""COMPUTED_VALUE"""),"")</f>
        <v/>
      </c>
      <c r="O134" s="5" t="str">
        <f>IFERROR(__xludf.DUMMYFUNCTION("""COMPUTED_VALUE"""),"")</f>
        <v/>
      </c>
      <c r="P134" s="5" t="str">
        <f>IFERROR(__xludf.DUMMYFUNCTION("""COMPUTED_VALUE"""),"Available")</f>
        <v>Available</v>
      </c>
      <c r="Q134" s="5" t="str">
        <f>IFERROR(__xludf.DUMMYFUNCTION("""COMPUTED_VALUE"""),"Available")</f>
        <v>Available</v>
      </c>
      <c r="R134" s="5" t="str">
        <f>IFERROR(__xludf.DUMMYFUNCTION("""COMPUTED_VALUE"""),"")</f>
        <v/>
      </c>
      <c r="S134" s="5" t="str">
        <f>IFERROR(__xludf.DUMMYFUNCTION("""COMPUTED_VALUE"""),"")</f>
        <v/>
      </c>
      <c r="T134" s="5" t="str">
        <f>IFERROR(__xludf.DUMMYFUNCTION("""COMPUTED_VALUE"""),"")</f>
        <v/>
      </c>
      <c r="U134" s="5" t="str">
        <f>IFERROR(__xludf.DUMMYFUNCTION("""COMPUTED_VALUE"""),"")</f>
        <v/>
      </c>
      <c r="V134" s="5" t="str">
        <f>IFERROR(__xludf.DUMMYFUNCTION("""COMPUTED_VALUE"""),"")</f>
        <v/>
      </c>
      <c r="W134" s="5" t="str">
        <f>IFERROR(__xludf.DUMMYFUNCTION("""COMPUTED_VALUE"""),"")</f>
        <v/>
      </c>
      <c r="X134" s="5" t="str">
        <f>IFERROR(__xludf.DUMMYFUNCTION("""COMPUTED_VALUE"""),"")</f>
        <v/>
      </c>
      <c r="Y134" s="5"/>
      <c r="Z134" s="5"/>
    </row>
    <row r="135">
      <c r="A135" s="5" t="str">
        <f>IFERROR(__xludf.DUMMYFUNCTION("""COMPUTED_VALUE"""),"Big Buddha")</f>
        <v>Big Buddha</v>
      </c>
      <c r="B135" s="5" t="str">
        <f>IFERROR(__xludf.DUMMYFUNCTION("""COMPUTED_VALUE"""),"")</f>
        <v/>
      </c>
      <c r="C135" s="5" t="str">
        <f>IFERROR(__xludf.DUMMYFUNCTION("""COMPUTED_VALUE"""),"")</f>
        <v/>
      </c>
      <c r="D135" s="5" t="str">
        <f>IFERROR(__xludf.DUMMYFUNCTION("""COMPUTED_VALUE"""),"")</f>
        <v/>
      </c>
      <c r="E135" s="5" t="str">
        <f>IFERROR(__xludf.DUMMYFUNCTION("""COMPUTED_VALUE"""),"")</f>
        <v/>
      </c>
      <c r="F135" s="5" t="str">
        <f>IFERROR(__xludf.DUMMYFUNCTION("""COMPUTED_VALUE"""),"")</f>
        <v/>
      </c>
      <c r="G135" s="5" t="str">
        <f>IFERROR(__xludf.DUMMYFUNCTION("""COMPUTED_VALUE"""),"")</f>
        <v/>
      </c>
      <c r="H135" s="5" t="str">
        <f>IFERROR(__xludf.DUMMYFUNCTION("""COMPUTED_VALUE"""),"")</f>
        <v/>
      </c>
      <c r="I135" s="5" t="str">
        <f>IFERROR(__xludf.DUMMYFUNCTION("""COMPUTED_VALUE"""),"")</f>
        <v/>
      </c>
      <c r="J135" s="5" t="str">
        <f>IFERROR(__xludf.DUMMYFUNCTION("""COMPUTED_VALUE"""),"")</f>
        <v/>
      </c>
      <c r="K135" s="5" t="str">
        <f>IFERROR(__xludf.DUMMYFUNCTION("""COMPUTED_VALUE"""),"")</f>
        <v/>
      </c>
      <c r="L135" s="5" t="str">
        <f>IFERROR(__xludf.DUMMYFUNCTION("""COMPUTED_VALUE"""),"")</f>
        <v/>
      </c>
      <c r="M135" s="5" t="str">
        <f>IFERROR(__xludf.DUMMYFUNCTION("""COMPUTED_VALUE"""),"")</f>
        <v/>
      </c>
      <c r="N135" s="5" t="str">
        <f>IFERROR(__xludf.DUMMYFUNCTION("""COMPUTED_VALUE"""),"")</f>
        <v/>
      </c>
      <c r="O135" s="5" t="str">
        <f>IFERROR(__xludf.DUMMYFUNCTION("""COMPUTED_VALUE"""),"")</f>
        <v/>
      </c>
      <c r="P135" s="5" t="str">
        <f>IFERROR(__xludf.DUMMYFUNCTION("""COMPUTED_VALUE"""),"")</f>
        <v/>
      </c>
      <c r="Q135" s="5" t="str">
        <f>IFERROR(__xludf.DUMMYFUNCTION("""COMPUTED_VALUE"""),"")</f>
        <v/>
      </c>
      <c r="R135" s="5" t="str">
        <f>IFERROR(__xludf.DUMMYFUNCTION("""COMPUTED_VALUE"""),"")</f>
        <v/>
      </c>
      <c r="S135" s="5" t="str">
        <f>IFERROR(__xludf.DUMMYFUNCTION("""COMPUTED_VALUE"""),"")</f>
        <v/>
      </c>
      <c r="T135" s="5" t="str">
        <f>IFERROR(__xludf.DUMMYFUNCTION("""COMPUTED_VALUE"""),"")</f>
        <v/>
      </c>
      <c r="U135" s="5" t="str">
        <f>IFERROR(__xludf.DUMMYFUNCTION("""COMPUTED_VALUE"""),"")</f>
        <v/>
      </c>
      <c r="V135" s="5" t="str">
        <f>IFERROR(__xludf.DUMMYFUNCTION("""COMPUTED_VALUE"""),"")</f>
        <v/>
      </c>
      <c r="W135" s="5" t="str">
        <f>IFERROR(__xludf.DUMMYFUNCTION("""COMPUTED_VALUE"""),"")</f>
        <v/>
      </c>
      <c r="X135" s="5" t="str">
        <f>IFERROR(__xludf.DUMMYFUNCTION("""COMPUTED_VALUE"""),"")</f>
        <v/>
      </c>
      <c r="Y135" s="5"/>
      <c r="Z135" s="5"/>
    </row>
    <row r="136">
      <c r="A136" s="5" t="str">
        <f>IFERROR(__xludf.DUMMYFUNCTION("""COMPUTED_VALUE"""),"Crystal Hot 100")</f>
        <v>Crystal Hot 100</v>
      </c>
      <c r="B136" s="5" t="str">
        <f>IFERROR(__xludf.DUMMYFUNCTION("""COMPUTED_VALUE"""),"Available")</f>
        <v>Available</v>
      </c>
      <c r="C136" s="5" t="str">
        <f>IFERROR(__xludf.DUMMYFUNCTION("""COMPUTED_VALUE"""),"Development")</f>
        <v>Development</v>
      </c>
      <c r="D136" s="5" t="str">
        <f>IFERROR(__xludf.DUMMYFUNCTION("""COMPUTED_VALUE"""),"Available")</f>
        <v>Available</v>
      </c>
      <c r="E136" s="5" t="str">
        <f>IFERROR(__xludf.DUMMYFUNCTION("""COMPUTED_VALUE"""),"Development")</f>
        <v>Development</v>
      </c>
      <c r="F136" s="5" t="str">
        <f>IFERROR(__xludf.DUMMYFUNCTION("""COMPUTED_VALUE"""),"Available")</f>
        <v>Available</v>
      </c>
      <c r="G136" s="5" t="str">
        <f>IFERROR(__xludf.DUMMYFUNCTION("""COMPUTED_VALUE"""),"Available")</f>
        <v>Available</v>
      </c>
      <c r="H136" s="5" t="str">
        <f>IFERROR(__xludf.DUMMYFUNCTION("""COMPUTED_VALUE"""),"Available")</f>
        <v>Available</v>
      </c>
      <c r="I136" s="5" t="str">
        <f>IFERROR(__xludf.DUMMYFUNCTION("""COMPUTED_VALUE"""),"Available")</f>
        <v>Available</v>
      </c>
      <c r="J136" s="5" t="str">
        <f>IFERROR(__xludf.DUMMYFUNCTION("""COMPUTED_VALUE"""),"")</f>
        <v/>
      </c>
      <c r="K136" s="5" t="str">
        <f>IFERROR(__xludf.DUMMYFUNCTION("""COMPUTED_VALUE"""),"Available")</f>
        <v>Available</v>
      </c>
      <c r="L136" s="5" t="str">
        <f>IFERROR(__xludf.DUMMYFUNCTION("""COMPUTED_VALUE"""),"Available")</f>
        <v>Available</v>
      </c>
      <c r="M136" s="5" t="str">
        <f>IFERROR(__xludf.DUMMYFUNCTION("""COMPUTED_VALUE"""),"Development")</f>
        <v>Development</v>
      </c>
      <c r="N136" s="5" t="str">
        <f>IFERROR(__xludf.DUMMYFUNCTION("""COMPUTED_VALUE"""),"Development")</f>
        <v>Development</v>
      </c>
      <c r="O136" s="5" t="str">
        <f>IFERROR(__xludf.DUMMYFUNCTION("""COMPUTED_VALUE"""),"")</f>
        <v/>
      </c>
      <c r="P136" s="5" t="str">
        <f>IFERROR(__xludf.DUMMYFUNCTION("""COMPUTED_VALUE"""),"Available")</f>
        <v>Available</v>
      </c>
      <c r="Q136" s="5" t="str">
        <f>IFERROR(__xludf.DUMMYFUNCTION("""COMPUTED_VALUE"""),"Available")</f>
        <v>Available</v>
      </c>
      <c r="R136" s="5" t="str">
        <f>IFERROR(__xludf.DUMMYFUNCTION("""COMPUTED_VALUE"""),"")</f>
        <v/>
      </c>
      <c r="S136" s="5" t="str">
        <f>IFERROR(__xludf.DUMMYFUNCTION("""COMPUTED_VALUE"""),"")</f>
        <v/>
      </c>
      <c r="T136" s="5" t="str">
        <f>IFERROR(__xludf.DUMMYFUNCTION("""COMPUTED_VALUE"""),"")</f>
        <v/>
      </c>
      <c r="U136" s="5" t="str">
        <f>IFERROR(__xludf.DUMMYFUNCTION("""COMPUTED_VALUE"""),"Certified")</f>
        <v>Certified</v>
      </c>
      <c r="V136" s="5" t="str">
        <f>IFERROR(__xludf.DUMMYFUNCTION("""COMPUTED_VALUE"""),"")</f>
        <v/>
      </c>
      <c r="W136" s="5" t="str">
        <f>IFERROR(__xludf.DUMMYFUNCTION("""COMPUTED_VALUE"""),"")</f>
        <v/>
      </c>
      <c r="X136" s="5" t="str">
        <f>IFERROR(__xludf.DUMMYFUNCTION("""COMPUTED_VALUE"""),"")</f>
        <v/>
      </c>
      <c r="Y136" s="5"/>
      <c r="Z136" s="5"/>
    </row>
    <row r="137">
      <c r="A137" s="5" t="str">
        <f>IFERROR(__xludf.DUMMYFUNCTION("""COMPUTED_VALUE"""),"Turbo Hot 80")</f>
        <v>Turbo Hot 80</v>
      </c>
      <c r="B137" s="5" t="str">
        <f>IFERROR(__xludf.DUMMYFUNCTION("""COMPUTED_VALUE"""),"Development")</f>
        <v>Development</v>
      </c>
      <c r="C137" s="5" t="str">
        <f>IFERROR(__xludf.DUMMYFUNCTION("""COMPUTED_VALUE"""),"Development")</f>
        <v>Development</v>
      </c>
      <c r="D137" s="5" t="str">
        <f>IFERROR(__xludf.DUMMYFUNCTION("""COMPUTED_VALUE"""),"Available")</f>
        <v>Available</v>
      </c>
      <c r="E137" s="5" t="str">
        <f>IFERROR(__xludf.DUMMYFUNCTION("""COMPUTED_VALUE"""),"")</f>
        <v/>
      </c>
      <c r="F137" s="5" t="str">
        <f>IFERROR(__xludf.DUMMYFUNCTION("""COMPUTED_VALUE"""),"Available")</f>
        <v>Available</v>
      </c>
      <c r="G137" s="5" t="str">
        <f>IFERROR(__xludf.DUMMYFUNCTION("""COMPUTED_VALUE"""),"Available")</f>
        <v>Available</v>
      </c>
      <c r="H137" s="5" t="str">
        <f>IFERROR(__xludf.DUMMYFUNCTION("""COMPUTED_VALUE"""),"Available")</f>
        <v>Available</v>
      </c>
      <c r="I137" s="5" t="str">
        <f>IFERROR(__xludf.DUMMYFUNCTION("""COMPUTED_VALUE"""),"Available")</f>
        <v>Available</v>
      </c>
      <c r="J137" s="5" t="str">
        <f>IFERROR(__xludf.DUMMYFUNCTION("""COMPUTED_VALUE"""),"")</f>
        <v/>
      </c>
      <c r="K137" s="5" t="str">
        <f>IFERROR(__xludf.DUMMYFUNCTION("""COMPUTED_VALUE"""),"Development")</f>
        <v>Development</v>
      </c>
      <c r="L137" s="5" t="str">
        <f>IFERROR(__xludf.DUMMYFUNCTION("""COMPUTED_VALUE"""),"")</f>
        <v/>
      </c>
      <c r="M137" s="5" t="str">
        <f>IFERROR(__xludf.DUMMYFUNCTION("""COMPUTED_VALUE"""),"Available")</f>
        <v>Available</v>
      </c>
      <c r="N137" s="5" t="str">
        <f>IFERROR(__xludf.DUMMYFUNCTION("""COMPUTED_VALUE"""),"")</f>
        <v/>
      </c>
      <c r="O137" s="5" t="str">
        <f>IFERROR(__xludf.DUMMYFUNCTION("""COMPUTED_VALUE"""),"")</f>
        <v/>
      </c>
      <c r="P137" s="5" t="str">
        <f>IFERROR(__xludf.DUMMYFUNCTION("""COMPUTED_VALUE"""),"Available")</f>
        <v>Available</v>
      </c>
      <c r="Q137" s="5" t="str">
        <f>IFERROR(__xludf.DUMMYFUNCTION("""COMPUTED_VALUE"""),"Available")</f>
        <v>Available</v>
      </c>
      <c r="R137" s="5" t="str">
        <f>IFERROR(__xludf.DUMMYFUNCTION("""COMPUTED_VALUE"""),"")</f>
        <v/>
      </c>
      <c r="S137" s="5" t="str">
        <f>IFERROR(__xludf.DUMMYFUNCTION("""COMPUTED_VALUE"""),"")</f>
        <v/>
      </c>
      <c r="T137" s="5" t="str">
        <f>IFERROR(__xludf.DUMMYFUNCTION("""COMPUTED_VALUE"""),"")</f>
        <v/>
      </c>
      <c r="U137" s="5" t="str">
        <f>IFERROR(__xludf.DUMMYFUNCTION("""COMPUTED_VALUE"""),"")</f>
        <v/>
      </c>
      <c r="V137" s="5" t="str">
        <f>IFERROR(__xludf.DUMMYFUNCTION("""COMPUTED_VALUE"""),"")</f>
        <v/>
      </c>
      <c r="W137" s="5" t="str">
        <f>IFERROR(__xludf.DUMMYFUNCTION("""COMPUTED_VALUE"""),"")</f>
        <v/>
      </c>
      <c r="X137" s="5" t="str">
        <f>IFERROR(__xludf.DUMMYFUNCTION("""COMPUTED_VALUE"""),"")</f>
        <v/>
      </c>
      <c r="Y137" s="5"/>
      <c r="Z137" s="5"/>
    </row>
    <row r="138">
      <c r="A138" s="5" t="str">
        <f>IFERROR(__xludf.DUMMYFUNCTION("""COMPUTED_VALUE"""),"Seven Classic Slot")</f>
        <v>Seven Classic Slot</v>
      </c>
      <c r="B138" s="5" t="str">
        <f>IFERROR(__xludf.DUMMYFUNCTION("""COMPUTED_VALUE"""),"")</f>
        <v/>
      </c>
      <c r="C138" s="5" t="str">
        <f>IFERROR(__xludf.DUMMYFUNCTION("""COMPUTED_VALUE"""),"")</f>
        <v/>
      </c>
      <c r="D138" s="5" t="str">
        <f>IFERROR(__xludf.DUMMYFUNCTION("""COMPUTED_VALUE"""),"Available")</f>
        <v>Available</v>
      </c>
      <c r="E138" s="5" t="str">
        <f>IFERROR(__xludf.DUMMYFUNCTION("""COMPUTED_VALUE"""),"")</f>
        <v/>
      </c>
      <c r="F138" s="5" t="str">
        <f>IFERROR(__xludf.DUMMYFUNCTION("""COMPUTED_VALUE"""),"Available")</f>
        <v>Available</v>
      </c>
      <c r="G138" s="5" t="str">
        <f>IFERROR(__xludf.DUMMYFUNCTION("""COMPUTED_VALUE"""),"Available")</f>
        <v>Available</v>
      </c>
      <c r="H138" s="5" t="str">
        <f>IFERROR(__xludf.DUMMYFUNCTION("""COMPUTED_VALUE"""),"Available")</f>
        <v>Available</v>
      </c>
      <c r="I138" s="5" t="str">
        <f>IFERROR(__xludf.DUMMYFUNCTION("""COMPUTED_VALUE"""),"Available")</f>
        <v>Available</v>
      </c>
      <c r="J138" s="5" t="str">
        <f>IFERROR(__xludf.DUMMYFUNCTION("""COMPUTED_VALUE"""),"")</f>
        <v/>
      </c>
      <c r="K138" s="5" t="str">
        <f>IFERROR(__xludf.DUMMYFUNCTION("""COMPUTED_VALUE"""),"")</f>
        <v/>
      </c>
      <c r="L138" s="5" t="str">
        <f>IFERROR(__xludf.DUMMYFUNCTION("""COMPUTED_VALUE"""),"")</f>
        <v/>
      </c>
      <c r="M138" s="5" t="str">
        <f>IFERROR(__xludf.DUMMYFUNCTION("""COMPUTED_VALUE"""),"")</f>
        <v/>
      </c>
      <c r="N138" s="5" t="str">
        <f>IFERROR(__xludf.DUMMYFUNCTION("""COMPUTED_VALUE"""),"")</f>
        <v/>
      </c>
      <c r="O138" s="5" t="str">
        <f>IFERROR(__xludf.DUMMYFUNCTION("""COMPUTED_VALUE"""),"")</f>
        <v/>
      </c>
      <c r="P138" s="5" t="str">
        <f>IFERROR(__xludf.DUMMYFUNCTION("""COMPUTED_VALUE"""),"Available")</f>
        <v>Available</v>
      </c>
      <c r="Q138" s="5" t="str">
        <f>IFERROR(__xludf.DUMMYFUNCTION("""COMPUTED_VALUE"""),"Available")</f>
        <v>Available</v>
      </c>
      <c r="R138" s="5" t="str">
        <f>IFERROR(__xludf.DUMMYFUNCTION("""COMPUTED_VALUE"""),"")</f>
        <v/>
      </c>
      <c r="S138" s="5" t="str">
        <f>IFERROR(__xludf.DUMMYFUNCTION("""COMPUTED_VALUE"""),"")</f>
        <v/>
      </c>
      <c r="T138" s="5" t="str">
        <f>IFERROR(__xludf.DUMMYFUNCTION("""COMPUTED_VALUE"""),"")</f>
        <v/>
      </c>
      <c r="U138" s="5" t="str">
        <f>IFERROR(__xludf.DUMMYFUNCTION("""COMPUTED_VALUE"""),"")</f>
        <v/>
      </c>
      <c r="V138" s="5" t="str">
        <f>IFERROR(__xludf.DUMMYFUNCTION("""COMPUTED_VALUE"""),"")</f>
        <v/>
      </c>
      <c r="W138" s="5" t="str">
        <f>IFERROR(__xludf.DUMMYFUNCTION("""COMPUTED_VALUE"""),"")</f>
        <v/>
      </c>
      <c r="X138" s="5" t="str">
        <f>IFERROR(__xludf.DUMMYFUNCTION("""COMPUTED_VALUE"""),"")</f>
        <v/>
      </c>
      <c r="Y138" s="5"/>
      <c r="Z138" s="5"/>
    </row>
    <row r="139">
      <c r="A139" s="5" t="str">
        <f>IFERROR(__xludf.DUMMYFUNCTION("""COMPUTED_VALUE"""),"Turbo Hot 100")</f>
        <v>Turbo Hot 100</v>
      </c>
      <c r="B139" s="5" t="str">
        <f>IFERROR(__xludf.DUMMYFUNCTION("""COMPUTED_VALUE"""),"Development")</f>
        <v>Development</v>
      </c>
      <c r="C139" s="5" t="str">
        <f>IFERROR(__xludf.DUMMYFUNCTION("""COMPUTED_VALUE"""),"Development")</f>
        <v>Development</v>
      </c>
      <c r="D139" s="5" t="str">
        <f>IFERROR(__xludf.DUMMYFUNCTION("""COMPUTED_VALUE"""),"Available")</f>
        <v>Available</v>
      </c>
      <c r="E139" s="5" t="str">
        <f>IFERROR(__xludf.DUMMYFUNCTION("""COMPUTED_VALUE"""),"")</f>
        <v/>
      </c>
      <c r="F139" s="5" t="str">
        <f>IFERROR(__xludf.DUMMYFUNCTION("""COMPUTED_VALUE"""),"Available")</f>
        <v>Available</v>
      </c>
      <c r="G139" s="5" t="str">
        <f>IFERROR(__xludf.DUMMYFUNCTION("""COMPUTED_VALUE"""),"Available")</f>
        <v>Available</v>
      </c>
      <c r="H139" s="5" t="str">
        <f>IFERROR(__xludf.DUMMYFUNCTION("""COMPUTED_VALUE"""),"Available")</f>
        <v>Available</v>
      </c>
      <c r="I139" s="5" t="str">
        <f>IFERROR(__xludf.DUMMYFUNCTION("""COMPUTED_VALUE"""),"Available")</f>
        <v>Available</v>
      </c>
      <c r="J139" s="5" t="str">
        <f>IFERROR(__xludf.DUMMYFUNCTION("""COMPUTED_VALUE"""),"")</f>
        <v/>
      </c>
      <c r="K139" s="5" t="str">
        <f>IFERROR(__xludf.DUMMYFUNCTION("""COMPUTED_VALUE"""),"")</f>
        <v/>
      </c>
      <c r="L139" s="5" t="str">
        <f>IFERROR(__xludf.DUMMYFUNCTION("""COMPUTED_VALUE"""),"")</f>
        <v/>
      </c>
      <c r="M139" s="5" t="str">
        <f>IFERROR(__xludf.DUMMYFUNCTION("""COMPUTED_VALUE"""),"")</f>
        <v/>
      </c>
      <c r="N139" s="5" t="str">
        <f>IFERROR(__xludf.DUMMYFUNCTION("""COMPUTED_VALUE"""),"Development")</f>
        <v>Development</v>
      </c>
      <c r="O139" s="5" t="str">
        <f>IFERROR(__xludf.DUMMYFUNCTION("""COMPUTED_VALUE"""),"")</f>
        <v/>
      </c>
      <c r="P139" s="5" t="str">
        <f>IFERROR(__xludf.DUMMYFUNCTION("""COMPUTED_VALUE"""),"Available")</f>
        <v>Available</v>
      </c>
      <c r="Q139" s="5" t="str">
        <f>IFERROR(__xludf.DUMMYFUNCTION("""COMPUTED_VALUE"""),"Available")</f>
        <v>Available</v>
      </c>
      <c r="R139" s="5" t="str">
        <f>IFERROR(__xludf.DUMMYFUNCTION("""COMPUTED_VALUE"""),"")</f>
        <v/>
      </c>
      <c r="S139" s="5" t="str">
        <f>IFERROR(__xludf.DUMMYFUNCTION("""COMPUTED_VALUE"""),"")</f>
        <v/>
      </c>
      <c r="T139" s="5" t="str">
        <f>IFERROR(__xludf.DUMMYFUNCTION("""COMPUTED_VALUE"""),"")</f>
        <v/>
      </c>
      <c r="U139" s="5" t="str">
        <f>IFERROR(__xludf.DUMMYFUNCTION("""COMPUTED_VALUE"""),"")</f>
        <v/>
      </c>
      <c r="V139" s="5" t="str">
        <f>IFERROR(__xludf.DUMMYFUNCTION("""COMPUTED_VALUE"""),"")</f>
        <v/>
      </c>
      <c r="W139" s="5" t="str">
        <f>IFERROR(__xludf.DUMMYFUNCTION("""COMPUTED_VALUE"""),"")</f>
        <v/>
      </c>
      <c r="X139" s="5" t="str">
        <f>IFERROR(__xludf.DUMMYFUNCTION("""COMPUTED_VALUE"""),"")</f>
        <v/>
      </c>
      <c r="Y139" s="5"/>
      <c r="Z139" s="5"/>
    </row>
    <row r="140">
      <c r="A140" s="5" t="str">
        <f>IFERROR(__xludf.DUMMYFUNCTION("""COMPUTED_VALUE"""),"Bonus Bells")</f>
        <v>Bonus Bells</v>
      </c>
      <c r="B140" s="5" t="str">
        <f>IFERROR(__xludf.DUMMYFUNCTION("""COMPUTED_VALUE"""),"")</f>
        <v/>
      </c>
      <c r="C140" s="5" t="str">
        <f>IFERROR(__xludf.DUMMYFUNCTION("""COMPUTED_VALUE"""),"")</f>
        <v/>
      </c>
      <c r="D140" s="5" t="str">
        <f>IFERROR(__xludf.DUMMYFUNCTION("""COMPUTED_VALUE"""),"Cert Preparation")</f>
        <v>Cert Preparation</v>
      </c>
      <c r="E140" s="5" t="str">
        <f>IFERROR(__xludf.DUMMYFUNCTION("""COMPUTED_VALUE"""),"")</f>
        <v/>
      </c>
      <c r="F140" s="5" t="str">
        <f>IFERROR(__xludf.DUMMYFUNCTION("""COMPUTED_VALUE"""),"")</f>
        <v/>
      </c>
      <c r="G140" s="5" t="str">
        <f>IFERROR(__xludf.DUMMYFUNCTION("""COMPUTED_VALUE"""),"")</f>
        <v/>
      </c>
      <c r="H140" s="5" t="str">
        <f>IFERROR(__xludf.DUMMYFUNCTION("""COMPUTED_VALUE"""),"")</f>
        <v/>
      </c>
      <c r="I140" s="5" t="str">
        <f>IFERROR(__xludf.DUMMYFUNCTION("""COMPUTED_VALUE"""),"Development")</f>
        <v>Development</v>
      </c>
      <c r="J140" s="5" t="str">
        <f>IFERROR(__xludf.DUMMYFUNCTION("""COMPUTED_VALUE"""),"")</f>
        <v/>
      </c>
      <c r="K140" s="5" t="str">
        <f>IFERROR(__xludf.DUMMYFUNCTION("""COMPUTED_VALUE"""),"")</f>
        <v/>
      </c>
      <c r="L140" s="5" t="str">
        <f>IFERROR(__xludf.DUMMYFUNCTION("""COMPUTED_VALUE"""),"")</f>
        <v/>
      </c>
      <c r="M140" s="5" t="str">
        <f>IFERROR(__xludf.DUMMYFUNCTION("""COMPUTED_VALUE"""),"")</f>
        <v/>
      </c>
      <c r="N140" s="5" t="str">
        <f>IFERROR(__xludf.DUMMYFUNCTION("""COMPUTED_VALUE"""),"")</f>
        <v/>
      </c>
      <c r="O140" s="5" t="str">
        <f>IFERROR(__xludf.DUMMYFUNCTION("""COMPUTED_VALUE"""),"")</f>
        <v/>
      </c>
      <c r="P140" s="5" t="str">
        <f>IFERROR(__xludf.DUMMYFUNCTION("""COMPUTED_VALUE"""),"")</f>
        <v/>
      </c>
      <c r="Q140" s="5" t="str">
        <f>IFERROR(__xludf.DUMMYFUNCTION("""COMPUTED_VALUE"""),"")</f>
        <v/>
      </c>
      <c r="R140" s="5" t="str">
        <f>IFERROR(__xludf.DUMMYFUNCTION("""COMPUTED_VALUE"""),"")</f>
        <v/>
      </c>
      <c r="S140" s="5" t="str">
        <f>IFERROR(__xludf.DUMMYFUNCTION("""COMPUTED_VALUE"""),"")</f>
        <v/>
      </c>
      <c r="T140" s="5" t="str">
        <f>IFERROR(__xludf.DUMMYFUNCTION("""COMPUTED_VALUE"""),"")</f>
        <v/>
      </c>
      <c r="U140" s="5" t="str">
        <f>IFERROR(__xludf.DUMMYFUNCTION("""COMPUTED_VALUE"""),"")</f>
        <v/>
      </c>
      <c r="V140" s="5" t="str">
        <f>IFERROR(__xludf.DUMMYFUNCTION("""COMPUTED_VALUE"""),"")</f>
        <v/>
      </c>
      <c r="W140" s="5" t="str">
        <f>IFERROR(__xludf.DUMMYFUNCTION("""COMPUTED_VALUE"""),"")</f>
        <v/>
      </c>
      <c r="X140" s="5" t="str">
        <f>IFERROR(__xludf.DUMMYFUNCTION("""COMPUTED_VALUE"""),"")</f>
        <v/>
      </c>
      <c r="Y140" s="5"/>
      <c r="Z140" s="5"/>
    </row>
    <row r="141">
      <c r="A141" s="5" t="str">
        <f>IFERROR(__xludf.DUMMYFUNCTION("""COMPUTED_VALUE"""),"Fruity Hot")</f>
        <v>Fruity Hot</v>
      </c>
      <c r="B141" s="5" t="str">
        <f>IFERROR(__xludf.DUMMYFUNCTION("""COMPUTED_VALUE"""),"Available")</f>
        <v>Available</v>
      </c>
      <c r="C141" s="5" t="str">
        <f>IFERROR(__xludf.DUMMYFUNCTION("""COMPUTED_VALUE"""),"Development")</f>
        <v>Development</v>
      </c>
      <c r="D141" s="5" t="str">
        <f>IFERROR(__xludf.DUMMYFUNCTION("""COMPUTED_VALUE"""),"Available")</f>
        <v>Available</v>
      </c>
      <c r="E141" s="5" t="str">
        <f>IFERROR(__xludf.DUMMYFUNCTION("""COMPUTED_VALUE"""),"Available")</f>
        <v>Available</v>
      </c>
      <c r="F141" s="5" t="str">
        <f>IFERROR(__xludf.DUMMYFUNCTION("""COMPUTED_VALUE"""),"Available")</f>
        <v>Available</v>
      </c>
      <c r="G141" s="5" t="str">
        <f>IFERROR(__xludf.DUMMYFUNCTION("""COMPUTED_VALUE"""),"Available")</f>
        <v>Available</v>
      </c>
      <c r="H141" s="5" t="str">
        <f>IFERROR(__xludf.DUMMYFUNCTION("""COMPUTED_VALUE"""),"Available")</f>
        <v>Available</v>
      </c>
      <c r="I141" s="5" t="str">
        <f>IFERROR(__xludf.DUMMYFUNCTION("""COMPUTED_VALUE"""),"Available")</f>
        <v>Available</v>
      </c>
      <c r="J141" s="5" t="str">
        <f>IFERROR(__xludf.DUMMYFUNCTION("""COMPUTED_VALUE"""),"")</f>
        <v/>
      </c>
      <c r="K141" s="5" t="str">
        <f>IFERROR(__xludf.DUMMYFUNCTION("""COMPUTED_VALUE"""),"Available")</f>
        <v>Available</v>
      </c>
      <c r="L141" s="5" t="str">
        <f>IFERROR(__xludf.DUMMYFUNCTION("""COMPUTED_VALUE"""),"")</f>
        <v/>
      </c>
      <c r="M141" s="5" t="str">
        <f>IFERROR(__xludf.DUMMYFUNCTION("""COMPUTED_VALUE"""),"Development")</f>
        <v>Development</v>
      </c>
      <c r="N141" s="5" t="str">
        <f>IFERROR(__xludf.DUMMYFUNCTION("""COMPUTED_VALUE"""),"Development")</f>
        <v>Development</v>
      </c>
      <c r="O141" s="5" t="str">
        <f>IFERROR(__xludf.DUMMYFUNCTION("""COMPUTED_VALUE"""),"")</f>
        <v/>
      </c>
      <c r="P141" s="5" t="str">
        <f>IFERROR(__xludf.DUMMYFUNCTION("""COMPUTED_VALUE"""),"Available")</f>
        <v>Available</v>
      </c>
      <c r="Q141" s="5" t="str">
        <f>IFERROR(__xludf.DUMMYFUNCTION("""COMPUTED_VALUE"""),"Available")</f>
        <v>Available</v>
      </c>
      <c r="R141" s="5" t="str">
        <f>IFERROR(__xludf.DUMMYFUNCTION("""COMPUTED_VALUE"""),"")</f>
        <v/>
      </c>
      <c r="S141" s="5" t="str">
        <f>IFERROR(__xludf.DUMMYFUNCTION("""COMPUTED_VALUE"""),"")</f>
        <v/>
      </c>
      <c r="T141" s="5" t="str">
        <f>IFERROR(__xludf.DUMMYFUNCTION("""COMPUTED_VALUE"""),"")</f>
        <v/>
      </c>
      <c r="U141" s="5" t="str">
        <f>IFERROR(__xludf.DUMMYFUNCTION("""COMPUTED_VALUE"""),"Certified")</f>
        <v>Certified</v>
      </c>
      <c r="V141" s="5" t="str">
        <f>IFERROR(__xludf.DUMMYFUNCTION("""COMPUTED_VALUE"""),"")</f>
        <v/>
      </c>
      <c r="W141" s="5" t="str">
        <f>IFERROR(__xludf.DUMMYFUNCTION("""COMPUTED_VALUE"""),"")</f>
        <v/>
      </c>
      <c r="X141" s="5" t="str">
        <f>IFERROR(__xludf.DUMMYFUNCTION("""COMPUTED_VALUE"""),"")</f>
        <v/>
      </c>
      <c r="Y141" s="5"/>
      <c r="Z141" s="5"/>
    </row>
    <row r="142">
      <c r="A142" s="5" t="str">
        <f>IFERROR(__xludf.DUMMYFUNCTION("""COMPUTED_VALUE"""),"Action Hot 40")</f>
        <v>Action Hot 40</v>
      </c>
      <c r="B142" s="5" t="str">
        <f>IFERROR(__xludf.DUMMYFUNCTION("""COMPUTED_VALUE"""),"")</f>
        <v/>
      </c>
      <c r="C142" s="5" t="str">
        <f>IFERROR(__xludf.DUMMYFUNCTION("""COMPUTED_VALUE"""),"")</f>
        <v/>
      </c>
      <c r="D142" s="5" t="str">
        <f>IFERROR(__xludf.DUMMYFUNCTION("""COMPUTED_VALUE"""),"Available")</f>
        <v>Available</v>
      </c>
      <c r="E142" s="5" t="str">
        <f>IFERROR(__xludf.DUMMYFUNCTION("""COMPUTED_VALUE"""),"")</f>
        <v/>
      </c>
      <c r="F142" s="5" t="str">
        <f>IFERROR(__xludf.DUMMYFUNCTION("""COMPUTED_VALUE"""),"Available")</f>
        <v>Available</v>
      </c>
      <c r="G142" s="5" t="str">
        <f>IFERROR(__xludf.DUMMYFUNCTION("""COMPUTED_VALUE"""),"Available")</f>
        <v>Available</v>
      </c>
      <c r="H142" s="5" t="str">
        <f>IFERROR(__xludf.DUMMYFUNCTION("""COMPUTED_VALUE"""),"Available")</f>
        <v>Available</v>
      </c>
      <c r="I142" s="5" t="str">
        <f>IFERROR(__xludf.DUMMYFUNCTION("""COMPUTED_VALUE"""),"")</f>
        <v/>
      </c>
      <c r="J142" s="5" t="str">
        <f>IFERROR(__xludf.DUMMYFUNCTION("""COMPUTED_VALUE"""),"")</f>
        <v/>
      </c>
      <c r="K142" s="5" t="str">
        <f>IFERROR(__xludf.DUMMYFUNCTION("""COMPUTED_VALUE"""),"")</f>
        <v/>
      </c>
      <c r="L142" s="5" t="str">
        <f>IFERROR(__xludf.DUMMYFUNCTION("""COMPUTED_VALUE"""),"")</f>
        <v/>
      </c>
      <c r="M142" s="5" t="str">
        <f>IFERROR(__xludf.DUMMYFUNCTION("""COMPUTED_VALUE"""),"")</f>
        <v/>
      </c>
      <c r="N142" s="5" t="str">
        <f>IFERROR(__xludf.DUMMYFUNCTION("""COMPUTED_VALUE"""),"")</f>
        <v/>
      </c>
      <c r="O142" s="5" t="str">
        <f>IFERROR(__xludf.DUMMYFUNCTION("""COMPUTED_VALUE"""),"")</f>
        <v/>
      </c>
      <c r="P142" s="5" t="str">
        <f>IFERROR(__xludf.DUMMYFUNCTION("""COMPUTED_VALUE"""),"Development")</f>
        <v>Development</v>
      </c>
      <c r="Q142" s="5" t="str">
        <f>IFERROR(__xludf.DUMMYFUNCTION("""COMPUTED_VALUE"""),"Available")</f>
        <v>Available</v>
      </c>
      <c r="R142" s="5" t="str">
        <f>IFERROR(__xludf.DUMMYFUNCTION("""COMPUTED_VALUE"""),"")</f>
        <v/>
      </c>
      <c r="S142" s="5" t="str">
        <f>IFERROR(__xludf.DUMMYFUNCTION("""COMPUTED_VALUE"""),"")</f>
        <v/>
      </c>
      <c r="T142" s="5" t="str">
        <f>IFERROR(__xludf.DUMMYFUNCTION("""COMPUTED_VALUE"""),"")</f>
        <v/>
      </c>
      <c r="U142" s="5" t="str">
        <f>IFERROR(__xludf.DUMMYFUNCTION("""COMPUTED_VALUE"""),"")</f>
        <v/>
      </c>
      <c r="V142" s="5" t="str">
        <f>IFERROR(__xludf.DUMMYFUNCTION("""COMPUTED_VALUE"""),"")</f>
        <v/>
      </c>
      <c r="W142" s="5" t="str">
        <f>IFERROR(__xludf.DUMMYFUNCTION("""COMPUTED_VALUE"""),"")</f>
        <v/>
      </c>
      <c r="X142" s="5" t="str">
        <f>IFERROR(__xludf.DUMMYFUNCTION("""COMPUTED_VALUE"""),"")</f>
        <v/>
      </c>
      <c r="Y142" s="5"/>
      <c r="Z142" s="5"/>
    </row>
    <row r="143">
      <c r="A143" s="5" t="str">
        <f>IFERROR(__xludf.DUMMYFUNCTION("""COMPUTED_VALUE"""),"Turbo Pinn 40")</f>
        <v>Turbo Pinn 40</v>
      </c>
      <c r="B143" s="5" t="str">
        <f>IFERROR(__xludf.DUMMYFUNCTION("""COMPUTED_VALUE"""),"")</f>
        <v/>
      </c>
      <c r="C143" s="5" t="str">
        <f>IFERROR(__xludf.DUMMYFUNCTION("""COMPUTED_VALUE"""),"")</f>
        <v/>
      </c>
      <c r="D143" s="5" t="str">
        <f>IFERROR(__xludf.DUMMYFUNCTION("""COMPUTED_VALUE"""),"")</f>
        <v/>
      </c>
      <c r="E143" s="5" t="str">
        <f>IFERROR(__xludf.DUMMYFUNCTION("""COMPUTED_VALUE"""),"")</f>
        <v/>
      </c>
      <c r="F143" s="5" t="str">
        <f>IFERROR(__xludf.DUMMYFUNCTION("""COMPUTED_VALUE"""),"")</f>
        <v/>
      </c>
      <c r="G143" s="5" t="str">
        <f>IFERROR(__xludf.DUMMYFUNCTION("""COMPUTED_VALUE"""),"")</f>
        <v/>
      </c>
      <c r="H143" s="5" t="str">
        <f>IFERROR(__xludf.DUMMYFUNCTION("""COMPUTED_VALUE"""),"")</f>
        <v/>
      </c>
      <c r="I143" s="5" t="str">
        <f>IFERROR(__xludf.DUMMYFUNCTION("""COMPUTED_VALUE"""),"")</f>
        <v/>
      </c>
      <c r="J143" s="5" t="str">
        <f>IFERROR(__xludf.DUMMYFUNCTION("""COMPUTED_VALUE"""),"")</f>
        <v/>
      </c>
      <c r="K143" s="5" t="str">
        <f>IFERROR(__xludf.DUMMYFUNCTION("""COMPUTED_VALUE"""),"")</f>
        <v/>
      </c>
      <c r="L143" s="5" t="str">
        <f>IFERROR(__xludf.DUMMYFUNCTION("""COMPUTED_VALUE"""),"")</f>
        <v/>
      </c>
      <c r="M143" s="5" t="str">
        <f>IFERROR(__xludf.DUMMYFUNCTION("""COMPUTED_VALUE"""),"")</f>
        <v/>
      </c>
      <c r="N143" s="5" t="str">
        <f>IFERROR(__xludf.DUMMYFUNCTION("""COMPUTED_VALUE"""),"")</f>
        <v/>
      </c>
      <c r="O143" s="5" t="str">
        <f>IFERROR(__xludf.DUMMYFUNCTION("""COMPUTED_VALUE"""),"")</f>
        <v/>
      </c>
      <c r="P143" s="5" t="str">
        <f>IFERROR(__xludf.DUMMYFUNCTION("""COMPUTED_VALUE"""),"")</f>
        <v/>
      </c>
      <c r="Q143" s="5" t="str">
        <f>IFERROR(__xludf.DUMMYFUNCTION("""COMPUTED_VALUE"""),"")</f>
        <v/>
      </c>
      <c r="R143" s="5" t="str">
        <f>IFERROR(__xludf.DUMMYFUNCTION("""COMPUTED_VALUE"""),"")</f>
        <v/>
      </c>
      <c r="S143" s="5" t="str">
        <f>IFERROR(__xludf.DUMMYFUNCTION("""COMPUTED_VALUE"""),"")</f>
        <v/>
      </c>
      <c r="T143" s="5" t="str">
        <f>IFERROR(__xludf.DUMMYFUNCTION("""COMPUTED_VALUE"""),"")</f>
        <v/>
      </c>
      <c r="U143" s="5" t="str">
        <f>IFERROR(__xludf.DUMMYFUNCTION("""COMPUTED_VALUE"""),"")</f>
        <v/>
      </c>
      <c r="V143" s="5" t="str">
        <f>IFERROR(__xludf.DUMMYFUNCTION("""COMPUTED_VALUE"""),"")</f>
        <v/>
      </c>
      <c r="W143" s="5" t="str">
        <f>IFERROR(__xludf.DUMMYFUNCTION("""COMPUTED_VALUE"""),"")</f>
        <v/>
      </c>
      <c r="X143" s="5" t="str">
        <f>IFERROR(__xludf.DUMMYFUNCTION("""COMPUTED_VALUE"""),"")</f>
        <v/>
      </c>
      <c r="Y143" s="5"/>
      <c r="Z143" s="5"/>
    </row>
    <row r="144">
      <c r="A144" s="5" t="str">
        <f>IFERROR(__xludf.DUMMYFUNCTION("""COMPUTED_VALUE"""),"Stars of Oktagon")</f>
        <v>Stars of Oktagon</v>
      </c>
      <c r="B144" s="5" t="str">
        <f>IFERROR(__xludf.DUMMYFUNCTION("""COMPUTED_VALUE"""),"")</f>
        <v/>
      </c>
      <c r="C144" s="5" t="str">
        <f>IFERROR(__xludf.DUMMYFUNCTION("""COMPUTED_VALUE"""),"")</f>
        <v/>
      </c>
      <c r="D144" s="5" t="str">
        <f>IFERROR(__xludf.DUMMYFUNCTION("""COMPUTED_VALUE"""),"")</f>
        <v/>
      </c>
      <c r="E144" s="5" t="str">
        <f>IFERROR(__xludf.DUMMYFUNCTION("""COMPUTED_VALUE"""),"")</f>
        <v/>
      </c>
      <c r="F144" s="5" t="str">
        <f>IFERROR(__xludf.DUMMYFUNCTION("""COMPUTED_VALUE"""),"")</f>
        <v/>
      </c>
      <c r="G144" s="5" t="str">
        <f>IFERROR(__xludf.DUMMYFUNCTION("""COMPUTED_VALUE"""),"")</f>
        <v/>
      </c>
      <c r="H144" s="5" t="str">
        <f>IFERROR(__xludf.DUMMYFUNCTION("""COMPUTED_VALUE"""),"")</f>
        <v/>
      </c>
      <c r="I144" s="5" t="str">
        <f>IFERROR(__xludf.DUMMYFUNCTION("""COMPUTED_VALUE"""),"")</f>
        <v/>
      </c>
      <c r="J144" s="5" t="str">
        <f>IFERROR(__xludf.DUMMYFUNCTION("""COMPUTED_VALUE"""),"")</f>
        <v/>
      </c>
      <c r="K144" s="5" t="str">
        <f>IFERROR(__xludf.DUMMYFUNCTION("""COMPUTED_VALUE"""),"")</f>
        <v/>
      </c>
      <c r="L144" s="5" t="str">
        <f>IFERROR(__xludf.DUMMYFUNCTION("""COMPUTED_VALUE"""),"")</f>
        <v/>
      </c>
      <c r="M144" s="5" t="str">
        <f>IFERROR(__xludf.DUMMYFUNCTION("""COMPUTED_VALUE"""),"")</f>
        <v/>
      </c>
      <c r="N144" s="5" t="str">
        <f>IFERROR(__xludf.DUMMYFUNCTION("""COMPUTED_VALUE"""),"")</f>
        <v/>
      </c>
      <c r="O144" s="5" t="str">
        <f>IFERROR(__xludf.DUMMYFUNCTION("""COMPUTED_VALUE"""),"")</f>
        <v/>
      </c>
      <c r="P144" s="5" t="str">
        <f>IFERROR(__xludf.DUMMYFUNCTION("""COMPUTED_VALUE"""),"")</f>
        <v/>
      </c>
      <c r="Q144" s="5" t="str">
        <f>IFERROR(__xludf.DUMMYFUNCTION("""COMPUTED_VALUE"""),"")</f>
        <v/>
      </c>
      <c r="R144" s="5" t="str">
        <f>IFERROR(__xludf.DUMMYFUNCTION("""COMPUTED_VALUE"""),"")</f>
        <v/>
      </c>
      <c r="S144" s="5" t="str">
        <f>IFERROR(__xludf.DUMMYFUNCTION("""COMPUTED_VALUE"""),"")</f>
        <v/>
      </c>
      <c r="T144" s="5" t="str">
        <f>IFERROR(__xludf.DUMMYFUNCTION("""COMPUTED_VALUE"""),"")</f>
        <v/>
      </c>
      <c r="U144" s="5" t="str">
        <f>IFERROR(__xludf.DUMMYFUNCTION("""COMPUTED_VALUE"""),"")</f>
        <v/>
      </c>
      <c r="V144" s="5" t="str">
        <f>IFERROR(__xludf.DUMMYFUNCTION("""COMPUTED_VALUE"""),"")</f>
        <v/>
      </c>
      <c r="W144" s="5" t="str">
        <f>IFERROR(__xludf.DUMMYFUNCTION("""COMPUTED_VALUE"""),"")</f>
        <v/>
      </c>
      <c r="X144" s="5" t="str">
        <f>IFERROR(__xludf.DUMMYFUNCTION("""COMPUTED_VALUE"""),"")</f>
        <v/>
      </c>
      <c r="Y144" s="5"/>
      <c r="Z144" s="5"/>
    </row>
    <row r="145">
      <c r="A145" s="5" t="str">
        <f>IFERROR(__xludf.DUMMYFUNCTION("""COMPUTED_VALUE"""),"Eye Of Tut")</f>
        <v>Eye Of Tut</v>
      </c>
      <c r="B145" s="5" t="str">
        <f>IFERROR(__xludf.DUMMYFUNCTION("""COMPUTED_VALUE"""),"")</f>
        <v/>
      </c>
      <c r="C145" s="5" t="str">
        <f>IFERROR(__xludf.DUMMYFUNCTION("""COMPUTED_VALUE"""),"")</f>
        <v/>
      </c>
      <c r="D145" s="5" t="str">
        <f>IFERROR(__xludf.DUMMYFUNCTION("""COMPUTED_VALUE"""),"")</f>
        <v/>
      </c>
      <c r="E145" s="5" t="str">
        <f>IFERROR(__xludf.DUMMYFUNCTION("""COMPUTED_VALUE"""),"")</f>
        <v/>
      </c>
      <c r="F145" s="5" t="str">
        <f>IFERROR(__xludf.DUMMYFUNCTION("""COMPUTED_VALUE"""),"")</f>
        <v/>
      </c>
      <c r="G145" s="5" t="str">
        <f>IFERROR(__xludf.DUMMYFUNCTION("""COMPUTED_VALUE"""),"")</f>
        <v/>
      </c>
      <c r="H145" s="5" t="str">
        <f>IFERROR(__xludf.DUMMYFUNCTION("""COMPUTED_VALUE"""),"Available")</f>
        <v>Available</v>
      </c>
      <c r="I145" s="5" t="str">
        <f>IFERROR(__xludf.DUMMYFUNCTION("""COMPUTED_VALUE"""),"")</f>
        <v/>
      </c>
      <c r="J145" s="5" t="str">
        <f>IFERROR(__xludf.DUMMYFUNCTION("""COMPUTED_VALUE"""),"")</f>
        <v/>
      </c>
      <c r="K145" s="5" t="str">
        <f>IFERROR(__xludf.DUMMYFUNCTION("""COMPUTED_VALUE"""),"")</f>
        <v/>
      </c>
      <c r="L145" s="5" t="str">
        <f>IFERROR(__xludf.DUMMYFUNCTION("""COMPUTED_VALUE"""),"")</f>
        <v/>
      </c>
      <c r="M145" s="5" t="str">
        <f>IFERROR(__xludf.DUMMYFUNCTION("""COMPUTED_VALUE"""),"")</f>
        <v/>
      </c>
      <c r="N145" s="5" t="str">
        <f>IFERROR(__xludf.DUMMYFUNCTION("""COMPUTED_VALUE"""),"")</f>
        <v/>
      </c>
      <c r="O145" s="5" t="str">
        <f>IFERROR(__xludf.DUMMYFUNCTION("""COMPUTED_VALUE"""),"Available")</f>
        <v>Available</v>
      </c>
      <c r="P145" s="5" t="str">
        <f>IFERROR(__xludf.DUMMYFUNCTION("""COMPUTED_VALUE"""),"")</f>
        <v/>
      </c>
      <c r="Q145" s="5" t="str">
        <f>IFERROR(__xludf.DUMMYFUNCTION("""COMPUTED_VALUE"""),"")</f>
        <v/>
      </c>
      <c r="R145" s="5" t="str">
        <f>IFERROR(__xludf.DUMMYFUNCTION("""COMPUTED_VALUE"""),"")</f>
        <v/>
      </c>
      <c r="S145" s="5" t="str">
        <f>IFERROR(__xludf.DUMMYFUNCTION("""COMPUTED_VALUE"""),"")</f>
        <v/>
      </c>
      <c r="T145" s="5" t="str">
        <f>IFERROR(__xludf.DUMMYFUNCTION("""COMPUTED_VALUE"""),"")</f>
        <v/>
      </c>
      <c r="U145" s="5" t="str">
        <f>IFERROR(__xludf.DUMMYFUNCTION("""COMPUTED_VALUE"""),"")</f>
        <v/>
      </c>
      <c r="V145" s="5" t="str">
        <f>IFERROR(__xludf.DUMMYFUNCTION("""COMPUTED_VALUE"""),"")</f>
        <v/>
      </c>
      <c r="W145" s="5" t="str">
        <f>IFERROR(__xludf.DUMMYFUNCTION("""COMPUTED_VALUE"""),"")</f>
        <v/>
      </c>
      <c r="X145" s="5" t="str">
        <f>IFERROR(__xludf.DUMMYFUNCTION("""COMPUTED_VALUE"""),"")</f>
        <v/>
      </c>
      <c r="Y145" s="5"/>
      <c r="Z145" s="5"/>
    </row>
    <row r="146">
      <c r="A146" s="5" t="str">
        <f>IFERROR(__xludf.DUMMYFUNCTION("""COMPUTED_VALUE"""),"Fruity Win 40")</f>
        <v>Fruity Win 40</v>
      </c>
      <c r="B146" s="5" t="str">
        <f>IFERROR(__xludf.DUMMYFUNCTION("""COMPUTED_VALUE"""),"Available")</f>
        <v>Available</v>
      </c>
      <c r="C146" s="5" t="str">
        <f>IFERROR(__xludf.DUMMYFUNCTION("""COMPUTED_VALUE"""),"Available")</f>
        <v>Available</v>
      </c>
      <c r="D146" s="5" t="str">
        <f>IFERROR(__xludf.DUMMYFUNCTION("""COMPUTED_VALUE"""),"Available")</f>
        <v>Available</v>
      </c>
      <c r="E146" s="5" t="str">
        <f>IFERROR(__xludf.DUMMYFUNCTION("""COMPUTED_VALUE"""),"Available")</f>
        <v>Available</v>
      </c>
      <c r="F146" s="5" t="str">
        <f>IFERROR(__xludf.DUMMYFUNCTION("""COMPUTED_VALUE"""),"Available")</f>
        <v>Available</v>
      </c>
      <c r="G146" s="5" t="str">
        <f>IFERROR(__xludf.DUMMYFUNCTION("""COMPUTED_VALUE"""),"Available")</f>
        <v>Available</v>
      </c>
      <c r="H146" s="5" t="str">
        <f>IFERROR(__xludf.DUMMYFUNCTION("""COMPUTED_VALUE"""),"Available")</f>
        <v>Available</v>
      </c>
      <c r="I146" s="5" t="str">
        <f>IFERROR(__xludf.DUMMYFUNCTION("""COMPUTED_VALUE"""),"Available")</f>
        <v>Available</v>
      </c>
      <c r="J146" s="5" t="str">
        <f>IFERROR(__xludf.DUMMYFUNCTION("""COMPUTED_VALUE"""),"")</f>
        <v/>
      </c>
      <c r="K146" s="5" t="str">
        <f>IFERROR(__xludf.DUMMYFUNCTION("""COMPUTED_VALUE"""),"Development")</f>
        <v>Development</v>
      </c>
      <c r="L146" s="5" t="str">
        <f>IFERROR(__xludf.DUMMYFUNCTION("""COMPUTED_VALUE"""),"Available")</f>
        <v>Available</v>
      </c>
      <c r="M146" s="5" t="str">
        <f>IFERROR(__xludf.DUMMYFUNCTION("""COMPUTED_VALUE"""),"Available")</f>
        <v>Available</v>
      </c>
      <c r="N146" s="5" t="str">
        <f>IFERROR(__xludf.DUMMYFUNCTION("""COMPUTED_VALUE"""),"Development")</f>
        <v>Development</v>
      </c>
      <c r="O146" s="5" t="str">
        <f>IFERROR(__xludf.DUMMYFUNCTION("""COMPUTED_VALUE"""),"")</f>
        <v/>
      </c>
      <c r="P146" s="5" t="str">
        <f>IFERROR(__xludf.DUMMYFUNCTION("""COMPUTED_VALUE"""),"")</f>
        <v/>
      </c>
      <c r="Q146" s="5" t="str">
        <f>IFERROR(__xludf.DUMMYFUNCTION("""COMPUTED_VALUE"""),"Available")</f>
        <v>Available</v>
      </c>
      <c r="R146" s="5" t="str">
        <f>IFERROR(__xludf.DUMMYFUNCTION("""COMPUTED_VALUE"""),"")</f>
        <v/>
      </c>
      <c r="S146" s="5" t="str">
        <f>IFERROR(__xludf.DUMMYFUNCTION("""COMPUTED_VALUE"""),"In Certification")</f>
        <v>In Certification</v>
      </c>
      <c r="T146" s="5" t="str">
        <f>IFERROR(__xludf.DUMMYFUNCTION("""COMPUTED_VALUE"""),"")</f>
        <v/>
      </c>
      <c r="U146" s="5" t="str">
        <f>IFERROR(__xludf.DUMMYFUNCTION("""COMPUTED_VALUE"""),"Certified")</f>
        <v>Certified</v>
      </c>
      <c r="V146" s="5" t="str">
        <f>IFERROR(__xludf.DUMMYFUNCTION("""COMPUTED_VALUE"""),"Available")</f>
        <v>Available</v>
      </c>
      <c r="W146" s="5" t="str">
        <f>IFERROR(__xludf.DUMMYFUNCTION("""COMPUTED_VALUE"""),"")</f>
        <v/>
      </c>
      <c r="X146" s="5" t="str">
        <f>IFERROR(__xludf.DUMMYFUNCTION("""COMPUTED_VALUE"""),"")</f>
        <v/>
      </c>
      <c r="Y146" s="5"/>
      <c r="Z146" s="5"/>
    </row>
    <row r="147">
      <c r="A147" s="5" t="str">
        <f>IFERROR(__xludf.DUMMYFUNCTION("""COMPUTED_VALUE"""),"Action Hot 20")</f>
        <v>Action Hot 20</v>
      </c>
      <c r="B147" s="5" t="str">
        <f>IFERROR(__xludf.DUMMYFUNCTION("""COMPUTED_VALUE"""),"")</f>
        <v/>
      </c>
      <c r="C147" s="5" t="str">
        <f>IFERROR(__xludf.DUMMYFUNCTION("""COMPUTED_VALUE"""),"")</f>
        <v/>
      </c>
      <c r="D147" s="5" t="str">
        <f>IFERROR(__xludf.DUMMYFUNCTION("""COMPUTED_VALUE"""),"Available")</f>
        <v>Available</v>
      </c>
      <c r="E147" s="5" t="str">
        <f>IFERROR(__xludf.DUMMYFUNCTION("""COMPUTED_VALUE"""),"")</f>
        <v/>
      </c>
      <c r="F147" s="5" t="str">
        <f>IFERROR(__xludf.DUMMYFUNCTION("""COMPUTED_VALUE"""),"Available")</f>
        <v>Available</v>
      </c>
      <c r="G147" s="5" t="str">
        <f>IFERROR(__xludf.DUMMYFUNCTION("""COMPUTED_VALUE"""),"Available")</f>
        <v>Available</v>
      </c>
      <c r="H147" s="5" t="str">
        <f>IFERROR(__xludf.DUMMYFUNCTION("""COMPUTED_VALUE"""),"Available")</f>
        <v>Available</v>
      </c>
      <c r="I147" s="5" t="str">
        <f>IFERROR(__xludf.DUMMYFUNCTION("""COMPUTED_VALUE"""),"")</f>
        <v/>
      </c>
      <c r="J147" s="5" t="str">
        <f>IFERROR(__xludf.DUMMYFUNCTION("""COMPUTED_VALUE"""),"")</f>
        <v/>
      </c>
      <c r="K147" s="5" t="str">
        <f>IFERROR(__xludf.DUMMYFUNCTION("""COMPUTED_VALUE"""),"")</f>
        <v/>
      </c>
      <c r="L147" s="5" t="str">
        <f>IFERROR(__xludf.DUMMYFUNCTION("""COMPUTED_VALUE"""),"")</f>
        <v/>
      </c>
      <c r="M147" s="5" t="str">
        <f>IFERROR(__xludf.DUMMYFUNCTION("""COMPUTED_VALUE"""),"")</f>
        <v/>
      </c>
      <c r="N147" s="5" t="str">
        <f>IFERROR(__xludf.DUMMYFUNCTION("""COMPUTED_VALUE"""),"")</f>
        <v/>
      </c>
      <c r="O147" s="5" t="str">
        <f>IFERROR(__xludf.DUMMYFUNCTION("""COMPUTED_VALUE"""),"")</f>
        <v/>
      </c>
      <c r="P147" s="5" t="str">
        <f>IFERROR(__xludf.DUMMYFUNCTION("""COMPUTED_VALUE"""),"Development")</f>
        <v>Development</v>
      </c>
      <c r="Q147" s="5" t="str">
        <f>IFERROR(__xludf.DUMMYFUNCTION("""COMPUTED_VALUE"""),"Available")</f>
        <v>Available</v>
      </c>
      <c r="R147" s="5" t="str">
        <f>IFERROR(__xludf.DUMMYFUNCTION("""COMPUTED_VALUE"""),"")</f>
        <v/>
      </c>
      <c r="S147" s="5" t="str">
        <f>IFERROR(__xludf.DUMMYFUNCTION("""COMPUTED_VALUE"""),"")</f>
        <v/>
      </c>
      <c r="T147" s="5" t="str">
        <f>IFERROR(__xludf.DUMMYFUNCTION("""COMPUTED_VALUE"""),"")</f>
        <v/>
      </c>
      <c r="U147" s="5" t="str">
        <f>IFERROR(__xludf.DUMMYFUNCTION("""COMPUTED_VALUE"""),"")</f>
        <v/>
      </c>
      <c r="V147" s="5" t="str">
        <f>IFERROR(__xludf.DUMMYFUNCTION("""COMPUTED_VALUE"""),"")</f>
        <v/>
      </c>
      <c r="W147" s="5" t="str">
        <f>IFERROR(__xludf.DUMMYFUNCTION("""COMPUTED_VALUE"""),"")</f>
        <v/>
      </c>
      <c r="X147" s="5" t="str">
        <f>IFERROR(__xludf.DUMMYFUNCTION("""COMPUTED_VALUE"""),"")</f>
        <v/>
      </c>
      <c r="Y147" s="5"/>
      <c r="Z147" s="5"/>
    </row>
    <row r="148">
      <c r="A148" s="5" t="str">
        <f>IFERROR(__xludf.DUMMYFUNCTION("""COMPUTED_VALUE"""),"Joker Queen")</f>
        <v>Joker Queen</v>
      </c>
      <c r="B148" s="5" t="str">
        <f>IFERROR(__xludf.DUMMYFUNCTION("""COMPUTED_VALUE"""),"")</f>
        <v/>
      </c>
      <c r="C148" s="5" t="str">
        <f>IFERROR(__xludf.DUMMYFUNCTION("""COMPUTED_VALUE"""),"")</f>
        <v/>
      </c>
      <c r="D148" s="5" t="str">
        <f>IFERROR(__xludf.DUMMYFUNCTION("""COMPUTED_VALUE"""),"")</f>
        <v/>
      </c>
      <c r="E148" s="5" t="str">
        <f>IFERROR(__xludf.DUMMYFUNCTION("""COMPUTED_VALUE"""),"")</f>
        <v/>
      </c>
      <c r="F148" s="5" t="str">
        <f>IFERROR(__xludf.DUMMYFUNCTION("""COMPUTED_VALUE"""),"")</f>
        <v/>
      </c>
      <c r="G148" s="5" t="str">
        <f>IFERROR(__xludf.DUMMYFUNCTION("""COMPUTED_VALUE"""),"")</f>
        <v/>
      </c>
      <c r="H148" s="5" t="str">
        <f>IFERROR(__xludf.DUMMYFUNCTION("""COMPUTED_VALUE"""),"")</f>
        <v/>
      </c>
      <c r="I148" s="5" t="str">
        <f>IFERROR(__xludf.DUMMYFUNCTION("""COMPUTED_VALUE"""),"")</f>
        <v/>
      </c>
      <c r="J148" s="5" t="str">
        <f>IFERROR(__xludf.DUMMYFUNCTION("""COMPUTED_VALUE"""),"")</f>
        <v/>
      </c>
      <c r="K148" s="5" t="str">
        <f>IFERROR(__xludf.DUMMYFUNCTION("""COMPUTED_VALUE"""),"")</f>
        <v/>
      </c>
      <c r="L148" s="5" t="str">
        <f>IFERROR(__xludf.DUMMYFUNCTION("""COMPUTED_VALUE"""),"")</f>
        <v/>
      </c>
      <c r="M148" s="5" t="str">
        <f>IFERROR(__xludf.DUMMYFUNCTION("""COMPUTED_VALUE"""),"")</f>
        <v/>
      </c>
      <c r="N148" s="5" t="str">
        <f>IFERROR(__xludf.DUMMYFUNCTION("""COMPUTED_VALUE"""),"")</f>
        <v/>
      </c>
      <c r="O148" s="5" t="str">
        <f>IFERROR(__xludf.DUMMYFUNCTION("""COMPUTED_VALUE"""),"")</f>
        <v/>
      </c>
      <c r="P148" s="5" t="str">
        <f>IFERROR(__xludf.DUMMYFUNCTION("""COMPUTED_VALUE"""),"")</f>
        <v/>
      </c>
      <c r="Q148" s="5" t="str">
        <f>IFERROR(__xludf.DUMMYFUNCTION("""COMPUTED_VALUE"""),"")</f>
        <v/>
      </c>
      <c r="R148" s="5" t="str">
        <f>IFERROR(__xludf.DUMMYFUNCTION("""COMPUTED_VALUE"""),"")</f>
        <v/>
      </c>
      <c r="S148" s="5" t="str">
        <f>IFERROR(__xludf.DUMMYFUNCTION("""COMPUTED_VALUE"""),"")</f>
        <v/>
      </c>
      <c r="T148" s="5" t="str">
        <f>IFERROR(__xludf.DUMMYFUNCTION("""COMPUTED_VALUE"""),"")</f>
        <v/>
      </c>
      <c r="U148" s="5" t="str">
        <f>IFERROR(__xludf.DUMMYFUNCTION("""COMPUTED_VALUE"""),"")</f>
        <v/>
      </c>
      <c r="V148" s="5" t="str">
        <f>IFERROR(__xludf.DUMMYFUNCTION("""COMPUTED_VALUE"""),"")</f>
        <v/>
      </c>
      <c r="W148" s="5" t="str">
        <f>IFERROR(__xludf.DUMMYFUNCTION("""COMPUTED_VALUE"""),"")</f>
        <v/>
      </c>
      <c r="X148" s="5" t="str">
        <f>IFERROR(__xludf.DUMMYFUNCTION("""COMPUTED_VALUE"""),"")</f>
        <v/>
      </c>
      <c r="Y148" s="5"/>
      <c r="Z148" s="5"/>
    </row>
    <row r="149">
      <c r="A149" s="5" t="str">
        <f>IFERROR(__xludf.DUMMYFUNCTION("""COMPUTED_VALUE"""),"Roulette On Demand")</f>
        <v>Roulette On Demand</v>
      </c>
      <c r="B149" s="5" t="str">
        <f>IFERROR(__xludf.DUMMYFUNCTION("""COMPUTED_VALUE"""),"")</f>
        <v/>
      </c>
      <c r="C149" s="5" t="str">
        <f>IFERROR(__xludf.DUMMYFUNCTION("""COMPUTED_VALUE"""),"")</f>
        <v/>
      </c>
      <c r="D149" s="5" t="str">
        <f>IFERROR(__xludf.DUMMYFUNCTION("""COMPUTED_VALUE"""),"")</f>
        <v/>
      </c>
      <c r="E149" s="5" t="str">
        <f>IFERROR(__xludf.DUMMYFUNCTION("""COMPUTED_VALUE"""),"")</f>
        <v/>
      </c>
      <c r="F149" s="5" t="str">
        <f>IFERROR(__xludf.DUMMYFUNCTION("""COMPUTED_VALUE"""),"")</f>
        <v/>
      </c>
      <c r="G149" s="5" t="str">
        <f>IFERROR(__xludf.DUMMYFUNCTION("""COMPUTED_VALUE"""),"")</f>
        <v/>
      </c>
      <c r="H149" s="5" t="str">
        <f>IFERROR(__xludf.DUMMYFUNCTION("""COMPUTED_VALUE"""),"")</f>
        <v/>
      </c>
      <c r="I149" s="5" t="str">
        <f>IFERROR(__xludf.DUMMYFUNCTION("""COMPUTED_VALUE"""),"")</f>
        <v/>
      </c>
      <c r="J149" s="5" t="str">
        <f>IFERROR(__xludf.DUMMYFUNCTION("""COMPUTED_VALUE"""),"")</f>
        <v/>
      </c>
      <c r="K149" s="5" t="str">
        <f>IFERROR(__xludf.DUMMYFUNCTION("""COMPUTED_VALUE"""),"")</f>
        <v/>
      </c>
      <c r="L149" s="5" t="str">
        <f>IFERROR(__xludf.DUMMYFUNCTION("""COMPUTED_VALUE"""),"")</f>
        <v/>
      </c>
      <c r="M149" s="5" t="str">
        <f>IFERROR(__xludf.DUMMYFUNCTION("""COMPUTED_VALUE"""),"")</f>
        <v/>
      </c>
      <c r="N149" s="5" t="str">
        <f>IFERROR(__xludf.DUMMYFUNCTION("""COMPUTED_VALUE"""),"")</f>
        <v/>
      </c>
      <c r="O149" s="5" t="str">
        <f>IFERROR(__xludf.DUMMYFUNCTION("""COMPUTED_VALUE"""),"")</f>
        <v/>
      </c>
      <c r="P149" s="5" t="str">
        <f>IFERROR(__xludf.DUMMYFUNCTION("""COMPUTED_VALUE"""),"")</f>
        <v/>
      </c>
      <c r="Q149" s="5" t="str">
        <f>IFERROR(__xludf.DUMMYFUNCTION("""COMPUTED_VALUE"""),"")</f>
        <v/>
      </c>
      <c r="R149" s="5" t="str">
        <f>IFERROR(__xludf.DUMMYFUNCTION("""COMPUTED_VALUE"""),"")</f>
        <v/>
      </c>
      <c r="S149" s="5" t="str">
        <f>IFERROR(__xludf.DUMMYFUNCTION("""COMPUTED_VALUE"""),"")</f>
        <v/>
      </c>
      <c r="T149" s="5" t="str">
        <f>IFERROR(__xludf.DUMMYFUNCTION("""COMPUTED_VALUE"""),"")</f>
        <v/>
      </c>
      <c r="U149" s="5" t="str">
        <f>IFERROR(__xludf.DUMMYFUNCTION("""COMPUTED_VALUE"""),"")</f>
        <v/>
      </c>
      <c r="V149" s="5" t="str">
        <f>IFERROR(__xludf.DUMMYFUNCTION("""COMPUTED_VALUE"""),"")</f>
        <v/>
      </c>
      <c r="W149" s="5" t="str">
        <f>IFERROR(__xludf.DUMMYFUNCTION("""COMPUTED_VALUE"""),"")</f>
        <v/>
      </c>
      <c r="X149" s="5" t="str">
        <f>IFERROR(__xludf.DUMMYFUNCTION("""COMPUTED_VALUE"""),"")</f>
        <v/>
      </c>
      <c r="Y149" s="5"/>
      <c r="Z149" s="5"/>
    </row>
    <row r="150">
      <c r="A150" s="5" t="str">
        <f>IFERROR(__xludf.DUMMYFUNCTION("""COMPUTED_VALUE"""),"Olimp Hot")</f>
        <v>Olimp Hot</v>
      </c>
      <c r="B150" s="5" t="str">
        <f>IFERROR(__xludf.DUMMYFUNCTION("""COMPUTED_VALUE"""),"")</f>
        <v/>
      </c>
      <c r="C150" s="5" t="str">
        <f>IFERROR(__xludf.DUMMYFUNCTION("""COMPUTED_VALUE"""),"")</f>
        <v/>
      </c>
      <c r="D150" s="5" t="str">
        <f>IFERROR(__xludf.DUMMYFUNCTION("""COMPUTED_VALUE"""),"")</f>
        <v/>
      </c>
      <c r="E150" s="5" t="str">
        <f>IFERROR(__xludf.DUMMYFUNCTION("""COMPUTED_VALUE"""),"")</f>
        <v/>
      </c>
      <c r="F150" s="5" t="str">
        <f>IFERROR(__xludf.DUMMYFUNCTION("""COMPUTED_VALUE"""),"")</f>
        <v/>
      </c>
      <c r="G150" s="5" t="str">
        <f>IFERROR(__xludf.DUMMYFUNCTION("""COMPUTED_VALUE"""),"")</f>
        <v/>
      </c>
      <c r="H150" s="5" t="str">
        <f>IFERROR(__xludf.DUMMYFUNCTION("""COMPUTED_VALUE"""),"")</f>
        <v/>
      </c>
      <c r="I150" s="5" t="str">
        <f>IFERROR(__xludf.DUMMYFUNCTION("""COMPUTED_VALUE"""),"")</f>
        <v/>
      </c>
      <c r="J150" s="5" t="str">
        <f>IFERROR(__xludf.DUMMYFUNCTION("""COMPUTED_VALUE"""),"")</f>
        <v/>
      </c>
      <c r="K150" s="5" t="str">
        <f>IFERROR(__xludf.DUMMYFUNCTION("""COMPUTED_VALUE"""),"")</f>
        <v/>
      </c>
      <c r="L150" s="5" t="str">
        <f>IFERROR(__xludf.DUMMYFUNCTION("""COMPUTED_VALUE"""),"")</f>
        <v/>
      </c>
      <c r="M150" s="5" t="str">
        <f>IFERROR(__xludf.DUMMYFUNCTION("""COMPUTED_VALUE"""),"")</f>
        <v/>
      </c>
      <c r="N150" s="5" t="str">
        <f>IFERROR(__xludf.DUMMYFUNCTION("""COMPUTED_VALUE"""),"")</f>
        <v/>
      </c>
      <c r="O150" s="5" t="str">
        <f>IFERROR(__xludf.DUMMYFUNCTION("""COMPUTED_VALUE"""),"")</f>
        <v/>
      </c>
      <c r="P150" s="5" t="str">
        <f>IFERROR(__xludf.DUMMYFUNCTION("""COMPUTED_VALUE"""),"")</f>
        <v/>
      </c>
      <c r="Q150" s="5" t="str">
        <f>IFERROR(__xludf.DUMMYFUNCTION("""COMPUTED_VALUE"""),"")</f>
        <v/>
      </c>
      <c r="R150" s="5" t="str">
        <f>IFERROR(__xludf.DUMMYFUNCTION("""COMPUTED_VALUE"""),"")</f>
        <v/>
      </c>
      <c r="S150" s="5" t="str">
        <f>IFERROR(__xludf.DUMMYFUNCTION("""COMPUTED_VALUE"""),"")</f>
        <v/>
      </c>
      <c r="T150" s="5" t="str">
        <f>IFERROR(__xludf.DUMMYFUNCTION("""COMPUTED_VALUE"""),"")</f>
        <v/>
      </c>
      <c r="U150" s="5" t="str">
        <f>IFERROR(__xludf.DUMMYFUNCTION("""COMPUTED_VALUE"""),"")</f>
        <v/>
      </c>
      <c r="V150" s="5" t="str">
        <f>IFERROR(__xludf.DUMMYFUNCTION("""COMPUTED_VALUE"""),"")</f>
        <v/>
      </c>
      <c r="W150" s="5" t="str">
        <f>IFERROR(__xludf.DUMMYFUNCTION("""COMPUTED_VALUE"""),"")</f>
        <v/>
      </c>
      <c r="X150" s="5" t="str">
        <f>IFERROR(__xludf.DUMMYFUNCTION("""COMPUTED_VALUE"""),"")</f>
        <v/>
      </c>
      <c r="Y150" s="5"/>
      <c r="Z150" s="5"/>
    </row>
    <row r="151">
      <c r="A151" s="5" t="str">
        <f>IFERROR(__xludf.DUMMYFUNCTION("""COMPUTED_VALUE"""),"40 Cash Bells")</f>
        <v>40 Cash Bells</v>
      </c>
      <c r="B151" s="5" t="str">
        <f>IFERROR(__xludf.DUMMYFUNCTION("""COMPUTED_VALUE"""),"")</f>
        <v/>
      </c>
      <c r="C151" s="5" t="str">
        <f>IFERROR(__xludf.DUMMYFUNCTION("""COMPUTED_VALUE"""),"")</f>
        <v/>
      </c>
      <c r="D151" s="5" t="str">
        <f>IFERROR(__xludf.DUMMYFUNCTION("""COMPUTED_VALUE"""),"Available")</f>
        <v>Available</v>
      </c>
      <c r="E151" s="5" t="str">
        <f>IFERROR(__xludf.DUMMYFUNCTION("""COMPUTED_VALUE"""),"")</f>
        <v/>
      </c>
      <c r="F151" s="5" t="str">
        <f>IFERROR(__xludf.DUMMYFUNCTION("""COMPUTED_VALUE"""),"Available")</f>
        <v>Available</v>
      </c>
      <c r="G151" s="5" t="str">
        <f>IFERROR(__xludf.DUMMYFUNCTION("""COMPUTED_VALUE"""),"Available")</f>
        <v>Available</v>
      </c>
      <c r="H151" s="5" t="str">
        <f>IFERROR(__xludf.DUMMYFUNCTION("""COMPUTED_VALUE"""),"Available")</f>
        <v>Available</v>
      </c>
      <c r="I151" s="5" t="str">
        <f>IFERROR(__xludf.DUMMYFUNCTION("""COMPUTED_VALUE"""),"")</f>
        <v/>
      </c>
      <c r="J151" s="5" t="str">
        <f>IFERROR(__xludf.DUMMYFUNCTION("""COMPUTED_VALUE"""),"")</f>
        <v/>
      </c>
      <c r="K151" s="5" t="str">
        <f>IFERROR(__xludf.DUMMYFUNCTION("""COMPUTED_VALUE"""),"")</f>
        <v/>
      </c>
      <c r="L151" s="5" t="str">
        <f>IFERROR(__xludf.DUMMYFUNCTION("""COMPUTED_VALUE"""),"")</f>
        <v/>
      </c>
      <c r="M151" s="5" t="str">
        <f>IFERROR(__xludf.DUMMYFUNCTION("""COMPUTED_VALUE"""),"")</f>
        <v/>
      </c>
      <c r="N151" s="5" t="str">
        <f>IFERROR(__xludf.DUMMYFUNCTION("""COMPUTED_VALUE"""),"")</f>
        <v/>
      </c>
      <c r="O151" s="5" t="str">
        <f>IFERROR(__xludf.DUMMYFUNCTION("""COMPUTED_VALUE"""),"")</f>
        <v/>
      </c>
      <c r="P151" s="5" t="str">
        <f>IFERROR(__xludf.DUMMYFUNCTION("""COMPUTED_VALUE"""),"Development")</f>
        <v>Development</v>
      </c>
      <c r="Q151" s="5" t="str">
        <f>IFERROR(__xludf.DUMMYFUNCTION("""COMPUTED_VALUE"""),"Available")</f>
        <v>Available</v>
      </c>
      <c r="R151" s="5" t="str">
        <f>IFERROR(__xludf.DUMMYFUNCTION("""COMPUTED_VALUE"""),"")</f>
        <v/>
      </c>
      <c r="S151" s="5" t="str">
        <f>IFERROR(__xludf.DUMMYFUNCTION("""COMPUTED_VALUE"""),"")</f>
        <v/>
      </c>
      <c r="T151" s="5" t="str">
        <f>IFERROR(__xludf.DUMMYFUNCTION("""COMPUTED_VALUE"""),"")</f>
        <v/>
      </c>
      <c r="U151" s="5" t="str">
        <f>IFERROR(__xludf.DUMMYFUNCTION("""COMPUTED_VALUE"""),"")</f>
        <v/>
      </c>
      <c r="V151" s="5" t="str">
        <f>IFERROR(__xludf.DUMMYFUNCTION("""COMPUTED_VALUE"""),"")</f>
        <v/>
      </c>
      <c r="W151" s="5" t="str">
        <f>IFERROR(__xludf.DUMMYFUNCTION("""COMPUTED_VALUE"""),"")</f>
        <v/>
      </c>
      <c r="X151" s="5" t="str">
        <f>IFERROR(__xludf.DUMMYFUNCTION("""COMPUTED_VALUE"""),"")</f>
        <v/>
      </c>
      <c r="Y151" s="5"/>
      <c r="Z151" s="5"/>
    </row>
    <row r="152">
      <c r="A152" s="5" t="str">
        <f>IFERROR(__xludf.DUMMYFUNCTION("""COMPUTED_VALUE"""),"Simply Runner")</f>
        <v>Simply Runner</v>
      </c>
      <c r="B152" s="5" t="str">
        <f>IFERROR(__xludf.DUMMYFUNCTION("""COMPUTED_VALUE"""),"")</f>
        <v/>
      </c>
      <c r="C152" s="5" t="str">
        <f>IFERROR(__xludf.DUMMYFUNCTION("""COMPUTED_VALUE"""),"")</f>
        <v/>
      </c>
      <c r="D152" s="5" t="str">
        <f>IFERROR(__xludf.DUMMYFUNCTION("""COMPUTED_VALUE"""),"")</f>
        <v/>
      </c>
      <c r="E152" s="5" t="str">
        <f>IFERROR(__xludf.DUMMYFUNCTION("""COMPUTED_VALUE"""),"")</f>
        <v/>
      </c>
      <c r="F152" s="5" t="str">
        <f>IFERROR(__xludf.DUMMYFUNCTION("""COMPUTED_VALUE"""),"")</f>
        <v/>
      </c>
      <c r="G152" s="5" t="str">
        <f>IFERROR(__xludf.DUMMYFUNCTION("""COMPUTED_VALUE"""),"")</f>
        <v/>
      </c>
      <c r="H152" s="5" t="str">
        <f>IFERROR(__xludf.DUMMYFUNCTION("""COMPUTED_VALUE"""),"")</f>
        <v/>
      </c>
      <c r="I152" s="5" t="str">
        <f>IFERROR(__xludf.DUMMYFUNCTION("""COMPUTED_VALUE"""),"")</f>
        <v/>
      </c>
      <c r="J152" s="5" t="str">
        <f>IFERROR(__xludf.DUMMYFUNCTION("""COMPUTED_VALUE"""),"")</f>
        <v/>
      </c>
      <c r="K152" s="5" t="str">
        <f>IFERROR(__xludf.DUMMYFUNCTION("""COMPUTED_VALUE"""),"")</f>
        <v/>
      </c>
      <c r="L152" s="5" t="str">
        <f>IFERROR(__xludf.DUMMYFUNCTION("""COMPUTED_VALUE"""),"")</f>
        <v/>
      </c>
      <c r="M152" s="5" t="str">
        <f>IFERROR(__xludf.DUMMYFUNCTION("""COMPUTED_VALUE"""),"")</f>
        <v/>
      </c>
      <c r="N152" s="5" t="str">
        <f>IFERROR(__xludf.DUMMYFUNCTION("""COMPUTED_VALUE"""),"")</f>
        <v/>
      </c>
      <c r="O152" s="5" t="str">
        <f>IFERROR(__xludf.DUMMYFUNCTION("""COMPUTED_VALUE"""),"")</f>
        <v/>
      </c>
      <c r="P152" s="5" t="str">
        <f>IFERROR(__xludf.DUMMYFUNCTION("""COMPUTED_VALUE"""),"")</f>
        <v/>
      </c>
      <c r="Q152" s="5" t="str">
        <f>IFERROR(__xludf.DUMMYFUNCTION("""COMPUTED_VALUE"""),"")</f>
        <v/>
      </c>
      <c r="R152" s="5" t="str">
        <f>IFERROR(__xludf.DUMMYFUNCTION("""COMPUTED_VALUE"""),"")</f>
        <v/>
      </c>
      <c r="S152" s="5" t="str">
        <f>IFERROR(__xludf.DUMMYFUNCTION("""COMPUTED_VALUE"""),"")</f>
        <v/>
      </c>
      <c r="T152" s="5" t="str">
        <f>IFERROR(__xludf.DUMMYFUNCTION("""COMPUTED_VALUE"""),"")</f>
        <v/>
      </c>
      <c r="U152" s="5" t="str">
        <f>IFERROR(__xludf.DUMMYFUNCTION("""COMPUTED_VALUE"""),"")</f>
        <v/>
      </c>
      <c r="V152" s="5" t="str">
        <f>IFERROR(__xludf.DUMMYFUNCTION("""COMPUTED_VALUE"""),"")</f>
        <v/>
      </c>
      <c r="W152" s="5" t="str">
        <f>IFERROR(__xludf.DUMMYFUNCTION("""COMPUTED_VALUE"""),"")</f>
        <v/>
      </c>
      <c r="X152" s="5" t="str">
        <f>IFERROR(__xludf.DUMMYFUNCTION("""COMPUTED_VALUE"""),"")</f>
        <v/>
      </c>
      <c r="Y152" s="5"/>
      <c r="Z152" s="5"/>
    </row>
    <row r="153">
      <c r="A153" s="5" t="str">
        <f>IFERROR(__xludf.DUMMYFUNCTION("""COMPUTED_VALUE"""),"20 Mega Flames")</f>
        <v>20 Mega Flames</v>
      </c>
      <c r="B153" s="5" t="str">
        <f>IFERROR(__xludf.DUMMYFUNCTION("""COMPUTED_VALUE"""),"")</f>
        <v/>
      </c>
      <c r="C153" s="5" t="str">
        <f>IFERROR(__xludf.DUMMYFUNCTION("""COMPUTED_VALUE"""),"")</f>
        <v/>
      </c>
      <c r="D153" s="5" t="str">
        <f>IFERROR(__xludf.DUMMYFUNCTION("""COMPUTED_VALUE"""),"")</f>
        <v/>
      </c>
      <c r="E153" s="5" t="str">
        <f>IFERROR(__xludf.DUMMYFUNCTION("""COMPUTED_VALUE"""),"")</f>
        <v/>
      </c>
      <c r="F153" s="5" t="str">
        <f>IFERROR(__xludf.DUMMYFUNCTION("""COMPUTED_VALUE"""),"")</f>
        <v/>
      </c>
      <c r="G153" s="5" t="str">
        <f>IFERROR(__xludf.DUMMYFUNCTION("""COMPUTED_VALUE"""),"")</f>
        <v/>
      </c>
      <c r="H153" s="5" t="str">
        <f>IFERROR(__xludf.DUMMYFUNCTION("""COMPUTED_VALUE"""),"")</f>
        <v/>
      </c>
      <c r="I153" s="5" t="str">
        <f>IFERROR(__xludf.DUMMYFUNCTION("""COMPUTED_VALUE"""),"")</f>
        <v/>
      </c>
      <c r="J153" s="5" t="str">
        <f>IFERROR(__xludf.DUMMYFUNCTION("""COMPUTED_VALUE"""),"")</f>
        <v/>
      </c>
      <c r="K153" s="5" t="str">
        <f>IFERROR(__xludf.DUMMYFUNCTION("""COMPUTED_VALUE"""),"")</f>
        <v/>
      </c>
      <c r="L153" s="5" t="str">
        <f>IFERROR(__xludf.DUMMYFUNCTION("""COMPUTED_VALUE"""),"")</f>
        <v/>
      </c>
      <c r="M153" s="5" t="str">
        <f>IFERROR(__xludf.DUMMYFUNCTION("""COMPUTED_VALUE"""),"")</f>
        <v/>
      </c>
      <c r="N153" s="5" t="str">
        <f>IFERROR(__xludf.DUMMYFUNCTION("""COMPUTED_VALUE"""),"")</f>
        <v/>
      </c>
      <c r="O153" s="5" t="str">
        <f>IFERROR(__xludf.DUMMYFUNCTION("""COMPUTED_VALUE"""),"")</f>
        <v/>
      </c>
      <c r="P153" s="5" t="str">
        <f>IFERROR(__xludf.DUMMYFUNCTION("""COMPUTED_VALUE"""),"")</f>
        <v/>
      </c>
      <c r="Q153" s="5" t="str">
        <f>IFERROR(__xludf.DUMMYFUNCTION("""COMPUTED_VALUE"""),"")</f>
        <v/>
      </c>
      <c r="R153" s="5" t="str">
        <f>IFERROR(__xludf.DUMMYFUNCTION("""COMPUTED_VALUE"""),"")</f>
        <v/>
      </c>
      <c r="S153" s="5" t="str">
        <f>IFERROR(__xludf.DUMMYFUNCTION("""COMPUTED_VALUE"""),"")</f>
        <v/>
      </c>
      <c r="T153" s="5" t="str">
        <f>IFERROR(__xludf.DUMMYFUNCTION("""COMPUTED_VALUE"""),"")</f>
        <v/>
      </c>
      <c r="U153" s="5" t="str">
        <f>IFERROR(__xludf.DUMMYFUNCTION("""COMPUTED_VALUE"""),"")</f>
        <v/>
      </c>
      <c r="V153" s="5" t="str">
        <f>IFERROR(__xludf.DUMMYFUNCTION("""COMPUTED_VALUE"""),"")</f>
        <v/>
      </c>
      <c r="W153" s="5" t="str">
        <f>IFERROR(__xludf.DUMMYFUNCTION("""COMPUTED_VALUE"""),"")</f>
        <v/>
      </c>
      <c r="X153" s="5" t="str">
        <f>IFERROR(__xludf.DUMMYFUNCTION("""COMPUTED_VALUE"""),"")</f>
        <v/>
      </c>
      <c r="Y153" s="5"/>
      <c r="Z153" s="5"/>
    </row>
    <row r="154">
      <c r="A154" s="5" t="str">
        <f>IFERROR(__xludf.DUMMYFUNCTION("""COMPUTED_VALUE"""),"Very Hot 20")</f>
        <v>Very Hot 20</v>
      </c>
      <c r="B154" s="5" t="str">
        <f>IFERROR(__xludf.DUMMYFUNCTION("""COMPUTED_VALUE"""),"Available")</f>
        <v>Available</v>
      </c>
      <c r="C154" s="5" t="str">
        <f>IFERROR(__xludf.DUMMYFUNCTION("""COMPUTED_VALUE"""),"Development")</f>
        <v>Development</v>
      </c>
      <c r="D154" s="5" t="str">
        <f>IFERROR(__xludf.DUMMYFUNCTION("""COMPUTED_VALUE"""),"Available")</f>
        <v>Available</v>
      </c>
      <c r="E154" s="5" t="str">
        <f>IFERROR(__xludf.DUMMYFUNCTION("""COMPUTED_VALUE"""),"Development")</f>
        <v>Development</v>
      </c>
      <c r="F154" s="5" t="str">
        <f>IFERROR(__xludf.DUMMYFUNCTION("""COMPUTED_VALUE"""),"Available")</f>
        <v>Available</v>
      </c>
      <c r="G154" s="5" t="str">
        <f>IFERROR(__xludf.DUMMYFUNCTION("""COMPUTED_VALUE"""),"Available")</f>
        <v>Available</v>
      </c>
      <c r="H154" s="5" t="str">
        <f>IFERROR(__xludf.DUMMYFUNCTION("""COMPUTED_VALUE"""),"Available")</f>
        <v>Available</v>
      </c>
      <c r="I154" s="5" t="str">
        <f>IFERROR(__xludf.DUMMYFUNCTION("""COMPUTED_VALUE"""),"Available")</f>
        <v>Available</v>
      </c>
      <c r="J154" s="5" t="str">
        <f>IFERROR(__xludf.DUMMYFUNCTION("""COMPUTED_VALUE"""),"")</f>
        <v/>
      </c>
      <c r="K154" s="5" t="str">
        <f>IFERROR(__xludf.DUMMYFUNCTION("""COMPUTED_VALUE"""),"")</f>
        <v/>
      </c>
      <c r="L154" s="5" t="str">
        <f>IFERROR(__xludf.DUMMYFUNCTION("""COMPUTED_VALUE"""),"")</f>
        <v/>
      </c>
      <c r="M154" s="5" t="str">
        <f>IFERROR(__xludf.DUMMYFUNCTION("""COMPUTED_VALUE"""),"Available")</f>
        <v>Available</v>
      </c>
      <c r="N154" s="5" t="str">
        <f>IFERROR(__xludf.DUMMYFUNCTION("""COMPUTED_VALUE"""),"Development")</f>
        <v>Development</v>
      </c>
      <c r="O154" s="5" t="str">
        <f>IFERROR(__xludf.DUMMYFUNCTION("""COMPUTED_VALUE"""),"")</f>
        <v/>
      </c>
      <c r="P154" s="5" t="str">
        <f>IFERROR(__xludf.DUMMYFUNCTION("""COMPUTED_VALUE"""),"")</f>
        <v/>
      </c>
      <c r="Q154" s="5" t="str">
        <f>IFERROR(__xludf.DUMMYFUNCTION("""COMPUTED_VALUE"""),"Available")</f>
        <v>Available</v>
      </c>
      <c r="R154" s="5" t="str">
        <f>IFERROR(__xludf.DUMMYFUNCTION("""COMPUTED_VALUE"""),"Development")</f>
        <v>Development</v>
      </c>
      <c r="S154" s="5" t="str">
        <f>IFERROR(__xludf.DUMMYFUNCTION("""COMPUTED_VALUE"""),"In Certification")</f>
        <v>In Certification</v>
      </c>
      <c r="T154" s="5" t="str">
        <f>IFERROR(__xludf.DUMMYFUNCTION("""COMPUTED_VALUE"""),"")</f>
        <v/>
      </c>
      <c r="U154" s="5" t="str">
        <f>IFERROR(__xludf.DUMMYFUNCTION("""COMPUTED_VALUE"""),"Certified")</f>
        <v>Certified</v>
      </c>
      <c r="V154" s="5" t="str">
        <f>IFERROR(__xludf.DUMMYFUNCTION("""COMPUTED_VALUE"""),"")</f>
        <v/>
      </c>
      <c r="W154" s="5" t="str">
        <f>IFERROR(__xludf.DUMMYFUNCTION("""COMPUTED_VALUE"""),"")</f>
        <v/>
      </c>
      <c r="X154" s="5" t="str">
        <f>IFERROR(__xludf.DUMMYFUNCTION("""COMPUTED_VALUE"""),"")</f>
        <v/>
      </c>
      <c r="Y154" s="5"/>
      <c r="Z154" s="5"/>
    </row>
    <row r="155">
      <c r="A155" s="5" t="str">
        <f>IFERROR(__xludf.DUMMYFUNCTION("""COMPUTED_VALUE"""),"King Of Thunder")</f>
        <v>King Of Thunder</v>
      </c>
      <c r="B155" s="5" t="str">
        <f>IFERROR(__xludf.DUMMYFUNCTION("""COMPUTED_VALUE"""),"")</f>
        <v/>
      </c>
      <c r="C155" s="5" t="str">
        <f>IFERROR(__xludf.DUMMYFUNCTION("""COMPUTED_VALUE"""),"")</f>
        <v/>
      </c>
      <c r="D155" s="5" t="str">
        <f>IFERROR(__xludf.DUMMYFUNCTION("""COMPUTED_VALUE"""),"")</f>
        <v/>
      </c>
      <c r="E155" s="5" t="str">
        <f>IFERROR(__xludf.DUMMYFUNCTION("""COMPUTED_VALUE"""),"")</f>
        <v/>
      </c>
      <c r="F155" s="5" t="str">
        <f>IFERROR(__xludf.DUMMYFUNCTION("""COMPUTED_VALUE"""),"Available")</f>
        <v>Available</v>
      </c>
      <c r="G155" s="5" t="str">
        <f>IFERROR(__xludf.DUMMYFUNCTION("""COMPUTED_VALUE"""),"Available")</f>
        <v>Available</v>
      </c>
      <c r="H155" s="5" t="str">
        <f>IFERROR(__xludf.DUMMYFUNCTION("""COMPUTED_VALUE"""),"")</f>
        <v/>
      </c>
      <c r="I155" s="5" t="str">
        <f>IFERROR(__xludf.DUMMYFUNCTION("""COMPUTED_VALUE"""),"")</f>
        <v/>
      </c>
      <c r="J155" s="5" t="str">
        <f>IFERROR(__xludf.DUMMYFUNCTION("""COMPUTED_VALUE"""),"")</f>
        <v/>
      </c>
      <c r="K155" s="5" t="str">
        <f>IFERROR(__xludf.DUMMYFUNCTION("""COMPUTED_VALUE"""),"Development")</f>
        <v>Development</v>
      </c>
      <c r="L155" s="5" t="str">
        <f>IFERROR(__xludf.DUMMYFUNCTION("""COMPUTED_VALUE"""),"")</f>
        <v/>
      </c>
      <c r="M155" s="5" t="str">
        <f>IFERROR(__xludf.DUMMYFUNCTION("""COMPUTED_VALUE"""),"")</f>
        <v/>
      </c>
      <c r="N155" s="5" t="str">
        <f>IFERROR(__xludf.DUMMYFUNCTION("""COMPUTED_VALUE"""),"")</f>
        <v/>
      </c>
      <c r="O155" s="5" t="str">
        <f>IFERROR(__xludf.DUMMYFUNCTION("""COMPUTED_VALUE"""),"")</f>
        <v/>
      </c>
      <c r="P155" s="5" t="str">
        <f>IFERROR(__xludf.DUMMYFUNCTION("""COMPUTED_VALUE"""),"")</f>
        <v/>
      </c>
      <c r="Q155" s="5" t="str">
        <f>IFERROR(__xludf.DUMMYFUNCTION("""COMPUTED_VALUE"""),"")</f>
        <v/>
      </c>
      <c r="R155" s="5" t="str">
        <f>IFERROR(__xludf.DUMMYFUNCTION("""COMPUTED_VALUE"""),"")</f>
        <v/>
      </c>
      <c r="S155" s="5" t="str">
        <f>IFERROR(__xludf.DUMMYFUNCTION("""COMPUTED_VALUE"""),"")</f>
        <v/>
      </c>
      <c r="T155" s="5" t="str">
        <f>IFERROR(__xludf.DUMMYFUNCTION("""COMPUTED_VALUE"""),"")</f>
        <v/>
      </c>
      <c r="U155" s="5" t="str">
        <f>IFERROR(__xludf.DUMMYFUNCTION("""COMPUTED_VALUE"""),"")</f>
        <v/>
      </c>
      <c r="V155" s="5" t="str">
        <f>IFERROR(__xludf.DUMMYFUNCTION("""COMPUTED_VALUE"""),"")</f>
        <v/>
      </c>
      <c r="W155" s="5" t="str">
        <f>IFERROR(__xludf.DUMMYFUNCTION("""COMPUTED_VALUE"""),"")</f>
        <v/>
      </c>
      <c r="X155" s="5" t="str">
        <f>IFERROR(__xludf.DUMMYFUNCTION("""COMPUTED_VALUE"""),"")</f>
        <v/>
      </c>
      <c r="Y155" s="5"/>
      <c r="Z155" s="5"/>
    </row>
    <row r="156">
      <c r="A156" s="5" t="str">
        <f>IFERROR(__xludf.DUMMYFUNCTION("""COMPUTED_VALUE"""),"Book Of Spells 2")</f>
        <v>Book Of Spells 2</v>
      </c>
      <c r="B156" s="5" t="str">
        <f>IFERROR(__xludf.DUMMYFUNCTION("""COMPUTED_VALUE"""),"Available")</f>
        <v>Available</v>
      </c>
      <c r="C156" s="5" t="str">
        <f>IFERROR(__xludf.DUMMYFUNCTION("""COMPUTED_VALUE"""),"")</f>
        <v/>
      </c>
      <c r="D156" s="5" t="str">
        <f>IFERROR(__xludf.DUMMYFUNCTION("""COMPUTED_VALUE"""),"Cert Preparation")</f>
        <v>Cert Preparation</v>
      </c>
      <c r="E156" s="5" t="str">
        <f>IFERROR(__xludf.DUMMYFUNCTION("""COMPUTED_VALUE"""),"Available")</f>
        <v>Available</v>
      </c>
      <c r="F156" s="5" t="str">
        <f>IFERROR(__xludf.DUMMYFUNCTION("""COMPUTED_VALUE"""),"")</f>
        <v/>
      </c>
      <c r="G156" s="5" t="str">
        <f>IFERROR(__xludf.DUMMYFUNCTION("""COMPUTED_VALUE"""),"")</f>
        <v/>
      </c>
      <c r="H156" s="5" t="str">
        <f>IFERROR(__xludf.DUMMYFUNCTION("""COMPUTED_VALUE"""),"Available")</f>
        <v>Available</v>
      </c>
      <c r="I156" s="5" t="str">
        <f>IFERROR(__xludf.DUMMYFUNCTION("""COMPUTED_VALUE"""),"Development")</f>
        <v>Development</v>
      </c>
      <c r="J156" s="5" t="str">
        <f>IFERROR(__xludf.DUMMYFUNCTION("""COMPUTED_VALUE"""),"")</f>
        <v/>
      </c>
      <c r="K156" s="5" t="str">
        <f>IFERROR(__xludf.DUMMYFUNCTION("""COMPUTED_VALUE"""),"")</f>
        <v/>
      </c>
      <c r="L156" s="5" t="str">
        <f>IFERROR(__xludf.DUMMYFUNCTION("""COMPUTED_VALUE"""),"")</f>
        <v/>
      </c>
      <c r="M156" s="5" t="str">
        <f>IFERROR(__xludf.DUMMYFUNCTION("""COMPUTED_VALUE"""),"")</f>
        <v/>
      </c>
      <c r="N156" s="5" t="str">
        <f>IFERROR(__xludf.DUMMYFUNCTION("""COMPUTED_VALUE"""),"")</f>
        <v/>
      </c>
      <c r="O156" s="5" t="str">
        <f>IFERROR(__xludf.DUMMYFUNCTION("""COMPUTED_VALUE"""),"Available")</f>
        <v>Available</v>
      </c>
      <c r="P156" s="5" t="str">
        <f>IFERROR(__xludf.DUMMYFUNCTION("""COMPUTED_VALUE"""),"")</f>
        <v/>
      </c>
      <c r="Q156" s="5" t="str">
        <f>IFERROR(__xludf.DUMMYFUNCTION("""COMPUTED_VALUE"""),"")</f>
        <v/>
      </c>
      <c r="R156" s="5" t="str">
        <f>IFERROR(__xludf.DUMMYFUNCTION("""COMPUTED_VALUE"""),"")</f>
        <v/>
      </c>
      <c r="S156" s="5" t="str">
        <f>IFERROR(__xludf.DUMMYFUNCTION("""COMPUTED_VALUE"""),"")</f>
        <v/>
      </c>
      <c r="T156" s="5" t="str">
        <f>IFERROR(__xludf.DUMMYFUNCTION("""COMPUTED_VALUE"""),"Development")</f>
        <v>Development</v>
      </c>
      <c r="U156" s="5" t="str">
        <f>IFERROR(__xludf.DUMMYFUNCTION("""COMPUTED_VALUE"""),"")</f>
        <v/>
      </c>
      <c r="V156" s="5" t="str">
        <f>IFERROR(__xludf.DUMMYFUNCTION("""COMPUTED_VALUE"""),"")</f>
        <v/>
      </c>
      <c r="W156" s="5" t="str">
        <f>IFERROR(__xludf.DUMMYFUNCTION("""COMPUTED_VALUE"""),"")</f>
        <v/>
      </c>
      <c r="X156" s="5" t="str">
        <f>IFERROR(__xludf.DUMMYFUNCTION("""COMPUTED_VALUE"""),"")</f>
        <v/>
      </c>
      <c r="Y156" s="5"/>
      <c r="Z156" s="5"/>
    </row>
    <row r="157">
      <c r="A157" s="5" t="str">
        <f>IFERROR(__xludf.DUMMYFUNCTION("""COMPUTED_VALUE"""),"Crystal Hot 40 Max")</f>
        <v>Crystal Hot 40 Max</v>
      </c>
      <c r="B157" s="5" t="str">
        <f>IFERROR(__xludf.DUMMYFUNCTION("""COMPUTED_VALUE"""),"Available")</f>
        <v>Available</v>
      </c>
      <c r="C157" s="5" t="str">
        <f>IFERROR(__xludf.DUMMYFUNCTION("""COMPUTED_VALUE"""),"Development")</f>
        <v>Development</v>
      </c>
      <c r="D157" s="5" t="str">
        <f>IFERROR(__xludf.DUMMYFUNCTION("""COMPUTED_VALUE"""),"Available")</f>
        <v>Available</v>
      </c>
      <c r="E157" s="5" t="str">
        <f>IFERROR(__xludf.DUMMYFUNCTION("""COMPUTED_VALUE"""),"Available")</f>
        <v>Available</v>
      </c>
      <c r="F157" s="5" t="str">
        <f>IFERROR(__xludf.DUMMYFUNCTION("""COMPUTED_VALUE"""),"Available")</f>
        <v>Available</v>
      </c>
      <c r="G157" s="5" t="str">
        <f>IFERROR(__xludf.DUMMYFUNCTION("""COMPUTED_VALUE"""),"Available")</f>
        <v>Available</v>
      </c>
      <c r="H157" s="5" t="str">
        <f>IFERROR(__xludf.DUMMYFUNCTION("""COMPUTED_VALUE"""),"Available")</f>
        <v>Available</v>
      </c>
      <c r="I157" s="5" t="str">
        <f>IFERROR(__xludf.DUMMYFUNCTION("""COMPUTED_VALUE"""),"Available")</f>
        <v>Available</v>
      </c>
      <c r="J157" s="5" t="str">
        <f>IFERROR(__xludf.DUMMYFUNCTION("""COMPUTED_VALUE"""),"")</f>
        <v/>
      </c>
      <c r="K157" s="5" t="str">
        <f>IFERROR(__xludf.DUMMYFUNCTION("""COMPUTED_VALUE"""),"")</f>
        <v/>
      </c>
      <c r="L157" s="5" t="str">
        <f>IFERROR(__xludf.DUMMYFUNCTION("""COMPUTED_VALUE"""),"")</f>
        <v/>
      </c>
      <c r="M157" s="5" t="str">
        <f>IFERROR(__xludf.DUMMYFUNCTION("""COMPUTED_VALUE"""),"Available")</f>
        <v>Available</v>
      </c>
      <c r="N157" s="5" t="str">
        <f>IFERROR(__xludf.DUMMYFUNCTION("""COMPUTED_VALUE"""),"")</f>
        <v/>
      </c>
      <c r="O157" s="5" t="str">
        <f>IFERROR(__xludf.DUMMYFUNCTION("""COMPUTED_VALUE"""),"Available")</f>
        <v>Available</v>
      </c>
      <c r="P157" s="5" t="str">
        <f>IFERROR(__xludf.DUMMYFUNCTION("""COMPUTED_VALUE"""),"")</f>
        <v/>
      </c>
      <c r="Q157" s="5" t="str">
        <f>IFERROR(__xludf.DUMMYFUNCTION("""COMPUTED_VALUE"""),"")</f>
        <v/>
      </c>
      <c r="R157" s="5" t="str">
        <f>IFERROR(__xludf.DUMMYFUNCTION("""COMPUTED_VALUE"""),"")</f>
        <v/>
      </c>
      <c r="S157" s="5" t="str">
        <f>IFERROR(__xludf.DUMMYFUNCTION("""COMPUTED_VALUE"""),"")</f>
        <v/>
      </c>
      <c r="T157" s="5" t="str">
        <f>IFERROR(__xludf.DUMMYFUNCTION("""COMPUTED_VALUE"""),"")</f>
        <v/>
      </c>
      <c r="U157" s="5" t="str">
        <f>IFERROR(__xludf.DUMMYFUNCTION("""COMPUTED_VALUE"""),"")</f>
        <v/>
      </c>
      <c r="V157" s="5" t="str">
        <f>IFERROR(__xludf.DUMMYFUNCTION("""COMPUTED_VALUE"""),"")</f>
        <v/>
      </c>
      <c r="W157" s="5" t="str">
        <f>IFERROR(__xludf.DUMMYFUNCTION("""COMPUTED_VALUE"""),"")</f>
        <v/>
      </c>
      <c r="X157" s="5" t="str">
        <f>IFERROR(__xludf.DUMMYFUNCTION("""COMPUTED_VALUE"""),"")</f>
        <v/>
      </c>
      <c r="Y157" s="5"/>
      <c r="Z157" s="5"/>
    </row>
    <row r="158">
      <c r="A158" s="5" t="str">
        <f>IFERROR(__xludf.DUMMYFUNCTION("""COMPUTED_VALUE"""),"King Of My Castle Dice")</f>
        <v>King Of My Castle Dice</v>
      </c>
      <c r="B158" s="5" t="str">
        <f>IFERROR(__xludf.DUMMYFUNCTION("""COMPUTED_VALUE"""),"")</f>
        <v/>
      </c>
      <c r="C158" s="5" t="str">
        <f>IFERROR(__xludf.DUMMYFUNCTION("""COMPUTED_VALUE"""),"")</f>
        <v/>
      </c>
      <c r="D158" s="5" t="str">
        <f>IFERROR(__xludf.DUMMYFUNCTION("""COMPUTED_VALUE"""),"")</f>
        <v/>
      </c>
      <c r="E158" s="5" t="str">
        <f>IFERROR(__xludf.DUMMYFUNCTION("""COMPUTED_VALUE"""),"")</f>
        <v/>
      </c>
      <c r="F158" s="5" t="str">
        <f>IFERROR(__xludf.DUMMYFUNCTION("""COMPUTED_VALUE"""),"")</f>
        <v/>
      </c>
      <c r="G158" s="5" t="str">
        <f>IFERROR(__xludf.DUMMYFUNCTION("""COMPUTED_VALUE"""),"")</f>
        <v/>
      </c>
      <c r="H158" s="5" t="str">
        <f>IFERROR(__xludf.DUMMYFUNCTION("""COMPUTED_VALUE"""),"")</f>
        <v/>
      </c>
      <c r="I158" s="5" t="str">
        <f>IFERROR(__xludf.DUMMYFUNCTION("""COMPUTED_VALUE"""),"")</f>
        <v/>
      </c>
      <c r="J158" s="5" t="str">
        <f>IFERROR(__xludf.DUMMYFUNCTION("""COMPUTED_VALUE"""),"")</f>
        <v/>
      </c>
      <c r="K158" s="5" t="str">
        <f>IFERROR(__xludf.DUMMYFUNCTION("""COMPUTED_VALUE"""),"")</f>
        <v/>
      </c>
      <c r="L158" s="5" t="str">
        <f>IFERROR(__xludf.DUMMYFUNCTION("""COMPUTED_VALUE"""),"")</f>
        <v/>
      </c>
      <c r="M158" s="5" t="str">
        <f>IFERROR(__xludf.DUMMYFUNCTION("""COMPUTED_VALUE"""),"")</f>
        <v/>
      </c>
      <c r="N158" s="5" t="str">
        <f>IFERROR(__xludf.DUMMYFUNCTION("""COMPUTED_VALUE"""),"")</f>
        <v/>
      </c>
      <c r="O158" s="5" t="str">
        <f>IFERROR(__xludf.DUMMYFUNCTION("""COMPUTED_VALUE"""),"")</f>
        <v/>
      </c>
      <c r="P158" s="5" t="str">
        <f>IFERROR(__xludf.DUMMYFUNCTION("""COMPUTED_VALUE"""),"")</f>
        <v/>
      </c>
      <c r="Q158" s="5" t="str">
        <f>IFERROR(__xludf.DUMMYFUNCTION("""COMPUTED_VALUE"""),"")</f>
        <v/>
      </c>
      <c r="R158" s="5" t="str">
        <f>IFERROR(__xludf.DUMMYFUNCTION("""COMPUTED_VALUE"""),"")</f>
        <v/>
      </c>
      <c r="S158" s="5" t="str">
        <f>IFERROR(__xludf.DUMMYFUNCTION("""COMPUTED_VALUE"""),"")</f>
        <v/>
      </c>
      <c r="T158" s="5" t="str">
        <f>IFERROR(__xludf.DUMMYFUNCTION("""COMPUTED_VALUE"""),"")</f>
        <v/>
      </c>
      <c r="U158" s="5" t="str">
        <f>IFERROR(__xludf.DUMMYFUNCTION("""COMPUTED_VALUE"""),"")</f>
        <v/>
      </c>
      <c r="V158" s="5" t="str">
        <f>IFERROR(__xludf.DUMMYFUNCTION("""COMPUTED_VALUE"""),"")</f>
        <v/>
      </c>
      <c r="W158" s="5" t="str">
        <f>IFERROR(__xludf.DUMMYFUNCTION("""COMPUTED_VALUE"""),"")</f>
        <v/>
      </c>
      <c r="X158" s="5" t="str">
        <f>IFERROR(__xludf.DUMMYFUNCTION("""COMPUTED_VALUE"""),"")</f>
        <v/>
      </c>
      <c r="Y158" s="5"/>
      <c r="Z158" s="5"/>
    </row>
    <row r="159">
      <c r="A159" s="5" t="str">
        <f>IFERROR(__xludf.DUMMYFUNCTION("""COMPUTED_VALUE"""),"King Of My Castle")</f>
        <v>King Of My Castle</v>
      </c>
      <c r="B159" s="5" t="str">
        <f>IFERROR(__xludf.DUMMYFUNCTION("""COMPUTED_VALUE"""),"")</f>
        <v/>
      </c>
      <c r="C159" s="5" t="str">
        <f>IFERROR(__xludf.DUMMYFUNCTION("""COMPUTED_VALUE"""),"")</f>
        <v/>
      </c>
      <c r="D159" s="5" t="str">
        <f>IFERROR(__xludf.DUMMYFUNCTION("""COMPUTED_VALUE"""),"")</f>
        <v/>
      </c>
      <c r="E159" s="5" t="str">
        <f>IFERROR(__xludf.DUMMYFUNCTION("""COMPUTED_VALUE"""),"")</f>
        <v/>
      </c>
      <c r="F159" s="5" t="str">
        <f>IFERROR(__xludf.DUMMYFUNCTION("""COMPUTED_VALUE"""),"")</f>
        <v/>
      </c>
      <c r="G159" s="5" t="str">
        <f>IFERROR(__xludf.DUMMYFUNCTION("""COMPUTED_VALUE"""),"")</f>
        <v/>
      </c>
      <c r="H159" s="5" t="str">
        <f>IFERROR(__xludf.DUMMYFUNCTION("""COMPUTED_VALUE"""),"")</f>
        <v/>
      </c>
      <c r="I159" s="5" t="str">
        <f>IFERROR(__xludf.DUMMYFUNCTION("""COMPUTED_VALUE"""),"")</f>
        <v/>
      </c>
      <c r="J159" s="5" t="str">
        <f>IFERROR(__xludf.DUMMYFUNCTION("""COMPUTED_VALUE"""),"")</f>
        <v/>
      </c>
      <c r="K159" s="5" t="str">
        <f>IFERROR(__xludf.DUMMYFUNCTION("""COMPUTED_VALUE"""),"")</f>
        <v/>
      </c>
      <c r="L159" s="5" t="str">
        <f>IFERROR(__xludf.DUMMYFUNCTION("""COMPUTED_VALUE"""),"")</f>
        <v/>
      </c>
      <c r="M159" s="5" t="str">
        <f>IFERROR(__xludf.DUMMYFUNCTION("""COMPUTED_VALUE"""),"")</f>
        <v/>
      </c>
      <c r="N159" s="5" t="str">
        <f>IFERROR(__xludf.DUMMYFUNCTION("""COMPUTED_VALUE"""),"")</f>
        <v/>
      </c>
      <c r="O159" s="5" t="str">
        <f>IFERROR(__xludf.DUMMYFUNCTION("""COMPUTED_VALUE"""),"")</f>
        <v/>
      </c>
      <c r="P159" s="5" t="str">
        <f>IFERROR(__xludf.DUMMYFUNCTION("""COMPUTED_VALUE"""),"")</f>
        <v/>
      </c>
      <c r="Q159" s="5" t="str">
        <f>IFERROR(__xludf.DUMMYFUNCTION("""COMPUTED_VALUE"""),"")</f>
        <v/>
      </c>
      <c r="R159" s="5" t="str">
        <f>IFERROR(__xludf.DUMMYFUNCTION("""COMPUTED_VALUE"""),"")</f>
        <v/>
      </c>
      <c r="S159" s="5" t="str">
        <f>IFERROR(__xludf.DUMMYFUNCTION("""COMPUTED_VALUE"""),"")</f>
        <v/>
      </c>
      <c r="T159" s="5" t="str">
        <f>IFERROR(__xludf.DUMMYFUNCTION("""COMPUTED_VALUE"""),"")</f>
        <v/>
      </c>
      <c r="U159" s="5" t="str">
        <f>IFERROR(__xludf.DUMMYFUNCTION("""COMPUTED_VALUE"""),"")</f>
        <v/>
      </c>
      <c r="V159" s="5" t="str">
        <f>IFERROR(__xludf.DUMMYFUNCTION("""COMPUTED_VALUE"""),"")</f>
        <v/>
      </c>
      <c r="W159" s="5" t="str">
        <f>IFERROR(__xludf.DUMMYFUNCTION("""COMPUTED_VALUE"""),"")</f>
        <v/>
      </c>
      <c r="X159" s="5" t="str">
        <f>IFERROR(__xludf.DUMMYFUNCTION("""COMPUTED_VALUE"""),"")</f>
        <v/>
      </c>
      <c r="Y159" s="5"/>
      <c r="Z159" s="5"/>
    </row>
    <row r="160">
      <c r="A160" s="5" t="str">
        <f>IFERROR(__xludf.DUMMYFUNCTION("""COMPUTED_VALUE"""),"Fruity Win 20")</f>
        <v>Fruity Win 20</v>
      </c>
      <c r="B160" s="5" t="str">
        <f>IFERROR(__xludf.DUMMYFUNCTION("""COMPUTED_VALUE"""),"Available")</f>
        <v>Available</v>
      </c>
      <c r="C160" s="5" t="str">
        <f>IFERROR(__xludf.DUMMYFUNCTION("""COMPUTED_VALUE"""),"Available")</f>
        <v>Available</v>
      </c>
      <c r="D160" s="5" t="str">
        <f>IFERROR(__xludf.DUMMYFUNCTION("""COMPUTED_VALUE"""),"Certified")</f>
        <v>Certified</v>
      </c>
      <c r="E160" s="5" t="str">
        <f>IFERROR(__xludf.DUMMYFUNCTION("""COMPUTED_VALUE"""),"Development")</f>
        <v>Development</v>
      </c>
      <c r="F160" s="5" t="str">
        <f>IFERROR(__xludf.DUMMYFUNCTION("""COMPUTED_VALUE"""),"Available")</f>
        <v>Available</v>
      </c>
      <c r="G160" s="5" t="str">
        <f>IFERROR(__xludf.DUMMYFUNCTION("""COMPUTED_VALUE"""),"Available")</f>
        <v>Available</v>
      </c>
      <c r="H160" s="5" t="str">
        <f>IFERROR(__xludf.DUMMYFUNCTION("""COMPUTED_VALUE"""),"Available")</f>
        <v>Available</v>
      </c>
      <c r="I160" s="5" t="str">
        <f>IFERROR(__xludf.DUMMYFUNCTION("""COMPUTED_VALUE"""),"Available")</f>
        <v>Available</v>
      </c>
      <c r="J160" s="5" t="str">
        <f>IFERROR(__xludf.DUMMYFUNCTION("""COMPUTED_VALUE"""),"Available")</f>
        <v>Available</v>
      </c>
      <c r="K160" s="5" t="str">
        <f>IFERROR(__xludf.DUMMYFUNCTION("""COMPUTED_VALUE"""),"Development")</f>
        <v>Development</v>
      </c>
      <c r="L160" s="5" t="str">
        <f>IFERROR(__xludf.DUMMYFUNCTION("""COMPUTED_VALUE"""),"Available")</f>
        <v>Available</v>
      </c>
      <c r="M160" s="5" t="str">
        <f>IFERROR(__xludf.DUMMYFUNCTION("""COMPUTED_VALUE"""),"Development")</f>
        <v>Development</v>
      </c>
      <c r="N160" s="5" t="str">
        <f>IFERROR(__xludf.DUMMYFUNCTION("""COMPUTED_VALUE"""),"Development")</f>
        <v>Development</v>
      </c>
      <c r="O160" s="5" t="str">
        <f>IFERROR(__xludf.DUMMYFUNCTION("""COMPUTED_VALUE"""),"")</f>
        <v/>
      </c>
      <c r="P160" s="5" t="str">
        <f>IFERROR(__xludf.DUMMYFUNCTION("""COMPUTED_VALUE"""),"")</f>
        <v/>
      </c>
      <c r="Q160" s="5" t="str">
        <f>IFERROR(__xludf.DUMMYFUNCTION("""COMPUTED_VALUE"""),"")</f>
        <v/>
      </c>
      <c r="R160" s="5" t="str">
        <f>IFERROR(__xludf.DUMMYFUNCTION("""COMPUTED_VALUE"""),"Retired")</f>
        <v>Retired</v>
      </c>
      <c r="S160" s="5" t="str">
        <f>IFERROR(__xludf.DUMMYFUNCTION("""COMPUTED_VALUE"""),"")</f>
        <v/>
      </c>
      <c r="T160" s="5" t="str">
        <f>IFERROR(__xludf.DUMMYFUNCTION("""COMPUTED_VALUE"""),"")</f>
        <v/>
      </c>
      <c r="U160" s="5" t="str">
        <f>IFERROR(__xludf.DUMMYFUNCTION("""COMPUTED_VALUE"""),"Certified")</f>
        <v>Certified</v>
      </c>
      <c r="V160" s="5" t="str">
        <f>IFERROR(__xludf.DUMMYFUNCTION("""COMPUTED_VALUE"""),"Available")</f>
        <v>Available</v>
      </c>
      <c r="W160" s="5" t="str">
        <f>IFERROR(__xludf.DUMMYFUNCTION("""COMPUTED_VALUE"""),"")</f>
        <v/>
      </c>
      <c r="X160" s="5" t="str">
        <f>IFERROR(__xludf.DUMMYFUNCTION("""COMPUTED_VALUE"""),"")</f>
        <v/>
      </c>
      <c r="Y160" s="5"/>
      <c r="Z160" s="5"/>
    </row>
    <row r="161">
      <c r="A161" s="5" t="str">
        <f>IFERROR(__xludf.DUMMYFUNCTION("""COMPUTED_VALUE"""),"Fruity Hot 5")</f>
        <v>Fruity Hot 5</v>
      </c>
      <c r="B161" s="5" t="str">
        <f>IFERROR(__xludf.DUMMYFUNCTION("""COMPUTED_VALUE"""),"Available")</f>
        <v>Available</v>
      </c>
      <c r="C161" s="5" t="str">
        <f>IFERROR(__xludf.DUMMYFUNCTION("""COMPUTED_VALUE"""),"Development")</f>
        <v>Development</v>
      </c>
      <c r="D161" s="5" t="str">
        <f>IFERROR(__xludf.DUMMYFUNCTION("""COMPUTED_VALUE"""),"Cert Preparation")</f>
        <v>Cert Preparation</v>
      </c>
      <c r="E161" s="5" t="str">
        <f>IFERROR(__xludf.DUMMYFUNCTION("""COMPUTED_VALUE"""),"")</f>
        <v/>
      </c>
      <c r="F161" s="5" t="str">
        <f>IFERROR(__xludf.DUMMYFUNCTION("""COMPUTED_VALUE"""),"Available")</f>
        <v>Available</v>
      </c>
      <c r="G161" s="5" t="str">
        <f>IFERROR(__xludf.DUMMYFUNCTION("""COMPUTED_VALUE"""),"Available")</f>
        <v>Available</v>
      </c>
      <c r="H161" s="5" t="str">
        <f>IFERROR(__xludf.DUMMYFUNCTION("""COMPUTED_VALUE"""),"Available")</f>
        <v>Available</v>
      </c>
      <c r="I161" s="5" t="str">
        <f>IFERROR(__xludf.DUMMYFUNCTION("""COMPUTED_VALUE"""),"Development")</f>
        <v>Development</v>
      </c>
      <c r="J161" s="5" t="str">
        <f>IFERROR(__xludf.DUMMYFUNCTION("""COMPUTED_VALUE"""),"")</f>
        <v/>
      </c>
      <c r="K161" s="5" t="str">
        <f>IFERROR(__xludf.DUMMYFUNCTION("""COMPUTED_VALUE"""),"")</f>
        <v/>
      </c>
      <c r="L161" s="5" t="str">
        <f>IFERROR(__xludf.DUMMYFUNCTION("""COMPUTED_VALUE"""),"")</f>
        <v/>
      </c>
      <c r="M161" s="5" t="str">
        <f>IFERROR(__xludf.DUMMYFUNCTION("""COMPUTED_VALUE"""),"")</f>
        <v/>
      </c>
      <c r="N161" s="5" t="str">
        <f>IFERROR(__xludf.DUMMYFUNCTION("""COMPUTED_VALUE"""),"")</f>
        <v/>
      </c>
      <c r="O161" s="5" t="str">
        <f>IFERROR(__xludf.DUMMYFUNCTION("""COMPUTED_VALUE"""),"")</f>
        <v/>
      </c>
      <c r="P161" s="5" t="str">
        <f>IFERROR(__xludf.DUMMYFUNCTION("""COMPUTED_VALUE"""),"")</f>
        <v/>
      </c>
      <c r="Q161" s="5" t="str">
        <f>IFERROR(__xludf.DUMMYFUNCTION("""COMPUTED_VALUE"""),"")</f>
        <v/>
      </c>
      <c r="R161" s="5" t="str">
        <f>IFERROR(__xludf.DUMMYFUNCTION("""COMPUTED_VALUE"""),"")</f>
        <v/>
      </c>
      <c r="S161" s="5" t="str">
        <f>IFERROR(__xludf.DUMMYFUNCTION("""COMPUTED_VALUE"""),"")</f>
        <v/>
      </c>
      <c r="T161" s="5" t="str">
        <f>IFERROR(__xludf.DUMMYFUNCTION("""COMPUTED_VALUE"""),"")</f>
        <v/>
      </c>
      <c r="U161" s="5" t="str">
        <f>IFERROR(__xludf.DUMMYFUNCTION("""COMPUTED_VALUE"""),"")</f>
        <v/>
      </c>
      <c r="V161" s="5" t="str">
        <f>IFERROR(__xludf.DUMMYFUNCTION("""COMPUTED_VALUE"""),"Available")</f>
        <v>Available</v>
      </c>
      <c r="W161" s="5" t="str">
        <f>IFERROR(__xludf.DUMMYFUNCTION("""COMPUTED_VALUE"""),"")</f>
        <v/>
      </c>
      <c r="X161" s="5" t="str">
        <f>IFERROR(__xludf.DUMMYFUNCTION("""COMPUTED_VALUE"""),"")</f>
        <v/>
      </c>
      <c r="Y161" s="5"/>
      <c r="Z161" s="5"/>
    </row>
    <row r="162">
      <c r="A162" s="5" t="str">
        <f>IFERROR(__xludf.DUMMYFUNCTION("""COMPUTED_VALUE"""),"Giga Hot 40")</f>
        <v>Giga Hot 40</v>
      </c>
      <c r="B162" s="5" t="str">
        <f>IFERROR(__xludf.DUMMYFUNCTION("""COMPUTED_VALUE"""),"Available")</f>
        <v>Available</v>
      </c>
      <c r="C162" s="5" t="str">
        <f>IFERROR(__xludf.DUMMYFUNCTION("""COMPUTED_VALUE"""),"Available")</f>
        <v>Available</v>
      </c>
      <c r="D162" s="5" t="str">
        <f>IFERROR(__xludf.DUMMYFUNCTION("""COMPUTED_VALUE"""),"Certified")</f>
        <v>Certified</v>
      </c>
      <c r="E162" s="5" t="str">
        <f>IFERROR(__xludf.DUMMYFUNCTION("""COMPUTED_VALUE"""),"Available")</f>
        <v>Available</v>
      </c>
      <c r="F162" s="5" t="str">
        <f>IFERROR(__xludf.DUMMYFUNCTION("""COMPUTED_VALUE"""),"Available")</f>
        <v>Available</v>
      </c>
      <c r="G162" s="5" t="str">
        <f>IFERROR(__xludf.DUMMYFUNCTION("""COMPUTED_VALUE"""),"Available")</f>
        <v>Available</v>
      </c>
      <c r="H162" s="5" t="str">
        <f>IFERROR(__xludf.DUMMYFUNCTION("""COMPUTED_VALUE"""),"Available")</f>
        <v>Available</v>
      </c>
      <c r="I162" s="5" t="str">
        <f>IFERROR(__xludf.DUMMYFUNCTION("""COMPUTED_VALUE"""),"Available")</f>
        <v>Available</v>
      </c>
      <c r="J162" s="5" t="str">
        <f>IFERROR(__xludf.DUMMYFUNCTION("""COMPUTED_VALUE"""),"Available")</f>
        <v>Available</v>
      </c>
      <c r="K162" s="5" t="str">
        <f>IFERROR(__xludf.DUMMYFUNCTION("""COMPUTED_VALUE"""),"Development")</f>
        <v>Development</v>
      </c>
      <c r="L162" s="5" t="str">
        <f>IFERROR(__xludf.DUMMYFUNCTION("""COMPUTED_VALUE"""),"Available")</f>
        <v>Available</v>
      </c>
      <c r="M162" s="5" t="str">
        <f>IFERROR(__xludf.DUMMYFUNCTION("""COMPUTED_VALUE"""),"Development")</f>
        <v>Development</v>
      </c>
      <c r="N162" s="5" t="str">
        <f>IFERROR(__xludf.DUMMYFUNCTION("""COMPUTED_VALUE"""),"Development")</f>
        <v>Development</v>
      </c>
      <c r="O162" s="5" t="str">
        <f>IFERROR(__xludf.DUMMYFUNCTION("""COMPUTED_VALUE"""),"Available")</f>
        <v>Available</v>
      </c>
      <c r="P162" s="5" t="str">
        <f>IFERROR(__xludf.DUMMYFUNCTION("""COMPUTED_VALUE"""),"")</f>
        <v/>
      </c>
      <c r="Q162" s="5" t="str">
        <f>IFERROR(__xludf.DUMMYFUNCTION("""COMPUTED_VALUE"""),"")</f>
        <v/>
      </c>
      <c r="R162" s="5" t="str">
        <f>IFERROR(__xludf.DUMMYFUNCTION("""COMPUTED_VALUE"""),"")</f>
        <v/>
      </c>
      <c r="S162" s="5" t="str">
        <f>IFERROR(__xludf.DUMMYFUNCTION("""COMPUTED_VALUE"""),"")</f>
        <v/>
      </c>
      <c r="T162" s="5" t="str">
        <f>IFERROR(__xludf.DUMMYFUNCTION("""COMPUTED_VALUE"""),"")</f>
        <v/>
      </c>
      <c r="U162" s="5" t="str">
        <f>IFERROR(__xludf.DUMMYFUNCTION("""COMPUTED_VALUE"""),"Certified")</f>
        <v>Certified</v>
      </c>
      <c r="V162" s="5" t="str">
        <f>IFERROR(__xludf.DUMMYFUNCTION("""COMPUTED_VALUE"""),"")</f>
        <v/>
      </c>
      <c r="W162" s="5" t="str">
        <f>IFERROR(__xludf.DUMMYFUNCTION("""COMPUTED_VALUE"""),"")</f>
        <v/>
      </c>
      <c r="X162" s="5" t="str">
        <f>IFERROR(__xludf.DUMMYFUNCTION("""COMPUTED_VALUE"""),"")</f>
        <v/>
      </c>
      <c r="Y162" s="5"/>
      <c r="Z162" s="5"/>
    </row>
    <row r="163">
      <c r="A163" s="5" t="str">
        <f>IFERROR(__xludf.DUMMYFUNCTION("""COMPUTED_VALUE"""),"Da Vinci's Fruits")</f>
        <v>Da Vinci's Fruits</v>
      </c>
      <c r="B163" s="5" t="str">
        <f>IFERROR(__xludf.DUMMYFUNCTION("""COMPUTED_VALUE"""),"")</f>
        <v/>
      </c>
      <c r="C163" s="5" t="str">
        <f>IFERROR(__xludf.DUMMYFUNCTION("""COMPUTED_VALUE"""),"")</f>
        <v/>
      </c>
      <c r="D163" s="5" t="str">
        <f>IFERROR(__xludf.DUMMYFUNCTION("""COMPUTED_VALUE"""),"")</f>
        <v/>
      </c>
      <c r="E163" s="5" t="str">
        <f>IFERROR(__xludf.DUMMYFUNCTION("""COMPUTED_VALUE"""),"")</f>
        <v/>
      </c>
      <c r="F163" s="5" t="str">
        <f>IFERROR(__xludf.DUMMYFUNCTION("""COMPUTED_VALUE"""),"")</f>
        <v/>
      </c>
      <c r="G163" s="5" t="str">
        <f>IFERROR(__xludf.DUMMYFUNCTION("""COMPUTED_VALUE"""),"")</f>
        <v/>
      </c>
      <c r="H163" s="5" t="str">
        <f>IFERROR(__xludf.DUMMYFUNCTION("""COMPUTED_VALUE"""),"")</f>
        <v/>
      </c>
      <c r="I163" s="5" t="str">
        <f>IFERROR(__xludf.DUMMYFUNCTION("""COMPUTED_VALUE"""),"")</f>
        <v/>
      </c>
      <c r="J163" s="5" t="str">
        <f>IFERROR(__xludf.DUMMYFUNCTION("""COMPUTED_VALUE"""),"")</f>
        <v/>
      </c>
      <c r="K163" s="5" t="str">
        <f>IFERROR(__xludf.DUMMYFUNCTION("""COMPUTED_VALUE"""),"")</f>
        <v/>
      </c>
      <c r="L163" s="5" t="str">
        <f>IFERROR(__xludf.DUMMYFUNCTION("""COMPUTED_VALUE"""),"")</f>
        <v/>
      </c>
      <c r="M163" s="5" t="str">
        <f>IFERROR(__xludf.DUMMYFUNCTION("""COMPUTED_VALUE"""),"")</f>
        <v/>
      </c>
      <c r="N163" s="5" t="str">
        <f>IFERROR(__xludf.DUMMYFUNCTION("""COMPUTED_VALUE"""),"")</f>
        <v/>
      </c>
      <c r="O163" s="5" t="str">
        <f>IFERROR(__xludf.DUMMYFUNCTION("""COMPUTED_VALUE"""),"")</f>
        <v/>
      </c>
      <c r="P163" s="5" t="str">
        <f>IFERROR(__xludf.DUMMYFUNCTION("""COMPUTED_VALUE"""),"")</f>
        <v/>
      </c>
      <c r="Q163" s="5" t="str">
        <f>IFERROR(__xludf.DUMMYFUNCTION("""COMPUTED_VALUE"""),"")</f>
        <v/>
      </c>
      <c r="R163" s="5" t="str">
        <f>IFERROR(__xludf.DUMMYFUNCTION("""COMPUTED_VALUE"""),"")</f>
        <v/>
      </c>
      <c r="S163" s="5" t="str">
        <f>IFERROR(__xludf.DUMMYFUNCTION("""COMPUTED_VALUE"""),"")</f>
        <v/>
      </c>
      <c r="T163" s="5" t="str">
        <f>IFERROR(__xludf.DUMMYFUNCTION("""COMPUTED_VALUE"""),"")</f>
        <v/>
      </c>
      <c r="U163" s="5" t="str">
        <f>IFERROR(__xludf.DUMMYFUNCTION("""COMPUTED_VALUE"""),"")</f>
        <v/>
      </c>
      <c r="V163" s="5" t="str">
        <f>IFERROR(__xludf.DUMMYFUNCTION("""COMPUTED_VALUE"""),"")</f>
        <v/>
      </c>
      <c r="W163" s="5" t="str">
        <f>IFERROR(__xludf.DUMMYFUNCTION("""COMPUTED_VALUE"""),"")</f>
        <v/>
      </c>
      <c r="X163" s="5" t="str">
        <f>IFERROR(__xludf.DUMMYFUNCTION("""COMPUTED_VALUE"""),"")</f>
        <v/>
      </c>
      <c r="Y163" s="5"/>
      <c r="Z163" s="5"/>
    </row>
    <row r="164">
      <c r="A164" s="5" t="str">
        <f>IFERROR(__xludf.DUMMYFUNCTION("""COMPUTED_VALUE"""),"Fruit Magic")</f>
        <v>Fruit Magic</v>
      </c>
      <c r="B164" s="5" t="str">
        <f>IFERROR(__xludf.DUMMYFUNCTION("""COMPUTED_VALUE"""),"")</f>
        <v/>
      </c>
      <c r="C164" s="5" t="str">
        <f>IFERROR(__xludf.DUMMYFUNCTION("""COMPUTED_VALUE"""),"")</f>
        <v/>
      </c>
      <c r="D164" s="5" t="str">
        <f>IFERROR(__xludf.DUMMYFUNCTION("""COMPUTED_VALUE"""),"")</f>
        <v/>
      </c>
      <c r="E164" s="5" t="str">
        <f>IFERROR(__xludf.DUMMYFUNCTION("""COMPUTED_VALUE"""),"")</f>
        <v/>
      </c>
      <c r="F164" s="5" t="str">
        <f>IFERROR(__xludf.DUMMYFUNCTION("""COMPUTED_VALUE"""),"")</f>
        <v/>
      </c>
      <c r="G164" s="5" t="str">
        <f>IFERROR(__xludf.DUMMYFUNCTION("""COMPUTED_VALUE"""),"")</f>
        <v/>
      </c>
      <c r="H164" s="5" t="str">
        <f>IFERROR(__xludf.DUMMYFUNCTION("""COMPUTED_VALUE"""),"")</f>
        <v/>
      </c>
      <c r="I164" s="5" t="str">
        <f>IFERROR(__xludf.DUMMYFUNCTION("""COMPUTED_VALUE"""),"")</f>
        <v/>
      </c>
      <c r="J164" s="5" t="str">
        <f>IFERROR(__xludf.DUMMYFUNCTION("""COMPUTED_VALUE"""),"")</f>
        <v/>
      </c>
      <c r="K164" s="5" t="str">
        <f>IFERROR(__xludf.DUMMYFUNCTION("""COMPUTED_VALUE"""),"")</f>
        <v/>
      </c>
      <c r="L164" s="5" t="str">
        <f>IFERROR(__xludf.DUMMYFUNCTION("""COMPUTED_VALUE"""),"")</f>
        <v/>
      </c>
      <c r="M164" s="5" t="str">
        <f>IFERROR(__xludf.DUMMYFUNCTION("""COMPUTED_VALUE"""),"")</f>
        <v/>
      </c>
      <c r="N164" s="5" t="str">
        <f>IFERROR(__xludf.DUMMYFUNCTION("""COMPUTED_VALUE"""),"")</f>
        <v/>
      </c>
      <c r="O164" s="5" t="str">
        <f>IFERROR(__xludf.DUMMYFUNCTION("""COMPUTED_VALUE"""),"")</f>
        <v/>
      </c>
      <c r="P164" s="5" t="str">
        <f>IFERROR(__xludf.DUMMYFUNCTION("""COMPUTED_VALUE"""),"")</f>
        <v/>
      </c>
      <c r="Q164" s="5" t="str">
        <f>IFERROR(__xludf.DUMMYFUNCTION("""COMPUTED_VALUE"""),"")</f>
        <v/>
      </c>
      <c r="R164" s="5" t="str">
        <f>IFERROR(__xludf.DUMMYFUNCTION("""COMPUTED_VALUE"""),"")</f>
        <v/>
      </c>
      <c r="S164" s="5" t="str">
        <f>IFERROR(__xludf.DUMMYFUNCTION("""COMPUTED_VALUE"""),"")</f>
        <v/>
      </c>
      <c r="T164" s="5" t="str">
        <f>IFERROR(__xludf.DUMMYFUNCTION("""COMPUTED_VALUE"""),"")</f>
        <v/>
      </c>
      <c r="U164" s="5" t="str">
        <f>IFERROR(__xludf.DUMMYFUNCTION("""COMPUTED_VALUE"""),"")</f>
        <v/>
      </c>
      <c r="V164" s="5" t="str">
        <f>IFERROR(__xludf.DUMMYFUNCTION("""COMPUTED_VALUE"""),"")</f>
        <v/>
      </c>
      <c r="W164" s="5" t="str">
        <f>IFERROR(__xludf.DUMMYFUNCTION("""COMPUTED_VALUE"""),"")</f>
        <v/>
      </c>
      <c r="X164" s="5" t="str">
        <f>IFERROR(__xludf.DUMMYFUNCTION("""COMPUTED_VALUE"""),"")</f>
        <v/>
      </c>
      <c r="Y164" s="5"/>
      <c r="Z164" s="5"/>
    </row>
    <row r="165">
      <c r="A165" s="5" t="str">
        <f>IFERROR(__xludf.DUMMYFUNCTION("""COMPUTED_VALUE"""),"Money Standard")</f>
        <v>Money Standard</v>
      </c>
      <c r="B165" s="5" t="str">
        <f>IFERROR(__xludf.DUMMYFUNCTION("""COMPUTED_VALUE"""),"")</f>
        <v/>
      </c>
      <c r="C165" s="5" t="str">
        <f>IFERROR(__xludf.DUMMYFUNCTION("""COMPUTED_VALUE"""),"")</f>
        <v/>
      </c>
      <c r="D165" s="5" t="str">
        <f>IFERROR(__xludf.DUMMYFUNCTION("""COMPUTED_VALUE"""),"")</f>
        <v/>
      </c>
      <c r="E165" s="5" t="str">
        <f>IFERROR(__xludf.DUMMYFUNCTION("""COMPUTED_VALUE"""),"")</f>
        <v/>
      </c>
      <c r="F165" s="5" t="str">
        <f>IFERROR(__xludf.DUMMYFUNCTION("""COMPUTED_VALUE"""),"")</f>
        <v/>
      </c>
      <c r="G165" s="5" t="str">
        <f>IFERROR(__xludf.DUMMYFUNCTION("""COMPUTED_VALUE"""),"")</f>
        <v/>
      </c>
      <c r="H165" s="5" t="str">
        <f>IFERROR(__xludf.DUMMYFUNCTION("""COMPUTED_VALUE"""),"")</f>
        <v/>
      </c>
      <c r="I165" s="5" t="str">
        <f>IFERROR(__xludf.DUMMYFUNCTION("""COMPUTED_VALUE"""),"")</f>
        <v/>
      </c>
      <c r="J165" s="5" t="str">
        <f>IFERROR(__xludf.DUMMYFUNCTION("""COMPUTED_VALUE"""),"")</f>
        <v/>
      </c>
      <c r="K165" s="5" t="str">
        <f>IFERROR(__xludf.DUMMYFUNCTION("""COMPUTED_VALUE"""),"")</f>
        <v/>
      </c>
      <c r="L165" s="5" t="str">
        <f>IFERROR(__xludf.DUMMYFUNCTION("""COMPUTED_VALUE"""),"")</f>
        <v/>
      </c>
      <c r="M165" s="5" t="str">
        <f>IFERROR(__xludf.DUMMYFUNCTION("""COMPUTED_VALUE"""),"")</f>
        <v/>
      </c>
      <c r="N165" s="5" t="str">
        <f>IFERROR(__xludf.DUMMYFUNCTION("""COMPUTED_VALUE"""),"")</f>
        <v/>
      </c>
      <c r="O165" s="5" t="str">
        <f>IFERROR(__xludf.DUMMYFUNCTION("""COMPUTED_VALUE"""),"")</f>
        <v/>
      </c>
      <c r="P165" s="5" t="str">
        <f>IFERROR(__xludf.DUMMYFUNCTION("""COMPUTED_VALUE"""),"")</f>
        <v/>
      </c>
      <c r="Q165" s="5" t="str">
        <f>IFERROR(__xludf.DUMMYFUNCTION("""COMPUTED_VALUE"""),"")</f>
        <v/>
      </c>
      <c r="R165" s="5" t="str">
        <f>IFERROR(__xludf.DUMMYFUNCTION("""COMPUTED_VALUE"""),"")</f>
        <v/>
      </c>
      <c r="S165" s="5" t="str">
        <f>IFERROR(__xludf.DUMMYFUNCTION("""COMPUTED_VALUE"""),"")</f>
        <v/>
      </c>
      <c r="T165" s="5" t="str">
        <f>IFERROR(__xludf.DUMMYFUNCTION("""COMPUTED_VALUE"""),"")</f>
        <v/>
      </c>
      <c r="U165" s="5" t="str">
        <f>IFERROR(__xludf.DUMMYFUNCTION("""COMPUTED_VALUE"""),"")</f>
        <v/>
      </c>
      <c r="V165" s="5" t="str">
        <f>IFERROR(__xludf.DUMMYFUNCTION("""COMPUTED_VALUE"""),"")</f>
        <v/>
      </c>
      <c r="W165" s="5" t="str">
        <f>IFERROR(__xludf.DUMMYFUNCTION("""COMPUTED_VALUE"""),"")</f>
        <v/>
      </c>
      <c r="X165" s="5" t="str">
        <f>IFERROR(__xludf.DUMMYFUNCTION("""COMPUTED_VALUE"""),"")</f>
        <v/>
      </c>
      <c r="Y165" s="5"/>
      <c r="Z165" s="5"/>
    </row>
    <row r="166">
      <c r="A166" s="5" t="str">
        <f>IFERROR(__xludf.DUMMYFUNCTION("""COMPUTED_VALUE"""),"10 Wild Diamond")</f>
        <v>10 Wild Diamond</v>
      </c>
      <c r="B166" s="5" t="str">
        <f>IFERROR(__xludf.DUMMYFUNCTION("""COMPUTED_VALUE"""),"")</f>
        <v/>
      </c>
      <c r="C166" s="5" t="str">
        <f>IFERROR(__xludf.DUMMYFUNCTION("""COMPUTED_VALUE"""),"")</f>
        <v/>
      </c>
      <c r="D166" s="5" t="str">
        <f>IFERROR(__xludf.DUMMYFUNCTION("""COMPUTED_VALUE"""),"")</f>
        <v/>
      </c>
      <c r="E166" s="5" t="str">
        <f>IFERROR(__xludf.DUMMYFUNCTION("""COMPUTED_VALUE"""),"")</f>
        <v/>
      </c>
      <c r="F166" s="5" t="str">
        <f>IFERROR(__xludf.DUMMYFUNCTION("""COMPUTED_VALUE"""),"")</f>
        <v/>
      </c>
      <c r="G166" s="5" t="str">
        <f>IFERROR(__xludf.DUMMYFUNCTION("""COMPUTED_VALUE"""),"")</f>
        <v/>
      </c>
      <c r="H166" s="5" t="str">
        <f>IFERROR(__xludf.DUMMYFUNCTION("""COMPUTED_VALUE"""),"")</f>
        <v/>
      </c>
      <c r="I166" s="5" t="str">
        <f>IFERROR(__xludf.DUMMYFUNCTION("""COMPUTED_VALUE"""),"")</f>
        <v/>
      </c>
      <c r="J166" s="5" t="str">
        <f>IFERROR(__xludf.DUMMYFUNCTION("""COMPUTED_VALUE"""),"")</f>
        <v/>
      </c>
      <c r="K166" s="5" t="str">
        <f>IFERROR(__xludf.DUMMYFUNCTION("""COMPUTED_VALUE"""),"")</f>
        <v/>
      </c>
      <c r="L166" s="5" t="str">
        <f>IFERROR(__xludf.DUMMYFUNCTION("""COMPUTED_VALUE"""),"")</f>
        <v/>
      </c>
      <c r="M166" s="5" t="str">
        <f>IFERROR(__xludf.DUMMYFUNCTION("""COMPUTED_VALUE"""),"")</f>
        <v/>
      </c>
      <c r="N166" s="5" t="str">
        <f>IFERROR(__xludf.DUMMYFUNCTION("""COMPUTED_VALUE"""),"")</f>
        <v/>
      </c>
      <c r="O166" s="5" t="str">
        <f>IFERROR(__xludf.DUMMYFUNCTION("""COMPUTED_VALUE"""),"")</f>
        <v/>
      </c>
      <c r="P166" s="5" t="str">
        <f>IFERROR(__xludf.DUMMYFUNCTION("""COMPUTED_VALUE"""),"")</f>
        <v/>
      </c>
      <c r="Q166" s="5" t="str">
        <f>IFERROR(__xludf.DUMMYFUNCTION("""COMPUTED_VALUE"""),"")</f>
        <v/>
      </c>
      <c r="R166" s="5" t="str">
        <f>IFERROR(__xludf.DUMMYFUNCTION("""COMPUTED_VALUE"""),"")</f>
        <v/>
      </c>
      <c r="S166" s="5" t="str">
        <f>IFERROR(__xludf.DUMMYFUNCTION("""COMPUTED_VALUE"""),"")</f>
        <v/>
      </c>
      <c r="T166" s="5" t="str">
        <f>IFERROR(__xludf.DUMMYFUNCTION("""COMPUTED_VALUE"""),"")</f>
        <v/>
      </c>
      <c r="U166" s="5" t="str">
        <f>IFERROR(__xludf.DUMMYFUNCTION("""COMPUTED_VALUE"""),"")</f>
        <v/>
      </c>
      <c r="V166" s="5" t="str">
        <f>IFERROR(__xludf.DUMMYFUNCTION("""COMPUTED_VALUE"""),"")</f>
        <v/>
      </c>
      <c r="W166" s="5" t="str">
        <f>IFERROR(__xludf.DUMMYFUNCTION("""COMPUTED_VALUE"""),"")</f>
        <v/>
      </c>
      <c r="X166" s="5" t="str">
        <f>IFERROR(__xludf.DUMMYFUNCTION("""COMPUTED_VALUE"""),"")</f>
        <v/>
      </c>
      <c r="Y166" s="5"/>
      <c r="Z166" s="5"/>
    </row>
    <row r="167">
      <c r="A167" s="5" t="str">
        <f>IFERROR(__xludf.DUMMYFUNCTION("""COMPUTED_VALUE"""),"Mini Mega Cash")</f>
        <v>Mini Mega Cash</v>
      </c>
      <c r="B167" s="5" t="str">
        <f>IFERROR(__xludf.DUMMYFUNCTION("""COMPUTED_VALUE"""),"")</f>
        <v/>
      </c>
      <c r="C167" s="5" t="str">
        <f>IFERROR(__xludf.DUMMYFUNCTION("""COMPUTED_VALUE"""),"")</f>
        <v/>
      </c>
      <c r="D167" s="5" t="str">
        <f>IFERROR(__xludf.DUMMYFUNCTION("""COMPUTED_VALUE"""),"")</f>
        <v/>
      </c>
      <c r="E167" s="5" t="str">
        <f>IFERROR(__xludf.DUMMYFUNCTION("""COMPUTED_VALUE"""),"")</f>
        <v/>
      </c>
      <c r="F167" s="5" t="str">
        <f>IFERROR(__xludf.DUMMYFUNCTION("""COMPUTED_VALUE"""),"")</f>
        <v/>
      </c>
      <c r="G167" s="5" t="str">
        <f>IFERROR(__xludf.DUMMYFUNCTION("""COMPUTED_VALUE"""),"")</f>
        <v/>
      </c>
      <c r="H167" s="5" t="str">
        <f>IFERROR(__xludf.DUMMYFUNCTION("""COMPUTED_VALUE"""),"")</f>
        <v/>
      </c>
      <c r="I167" s="5" t="str">
        <f>IFERROR(__xludf.DUMMYFUNCTION("""COMPUTED_VALUE"""),"")</f>
        <v/>
      </c>
      <c r="J167" s="5" t="str">
        <f>IFERROR(__xludf.DUMMYFUNCTION("""COMPUTED_VALUE"""),"")</f>
        <v/>
      </c>
      <c r="K167" s="5" t="str">
        <f>IFERROR(__xludf.DUMMYFUNCTION("""COMPUTED_VALUE"""),"")</f>
        <v/>
      </c>
      <c r="L167" s="5" t="str">
        <f>IFERROR(__xludf.DUMMYFUNCTION("""COMPUTED_VALUE"""),"")</f>
        <v/>
      </c>
      <c r="M167" s="5" t="str">
        <f>IFERROR(__xludf.DUMMYFUNCTION("""COMPUTED_VALUE"""),"")</f>
        <v/>
      </c>
      <c r="N167" s="5" t="str">
        <f>IFERROR(__xludf.DUMMYFUNCTION("""COMPUTED_VALUE"""),"")</f>
        <v/>
      </c>
      <c r="O167" s="5" t="str">
        <f>IFERROR(__xludf.DUMMYFUNCTION("""COMPUTED_VALUE"""),"")</f>
        <v/>
      </c>
      <c r="P167" s="5" t="str">
        <f>IFERROR(__xludf.DUMMYFUNCTION("""COMPUTED_VALUE"""),"")</f>
        <v/>
      </c>
      <c r="Q167" s="5" t="str">
        <f>IFERROR(__xludf.DUMMYFUNCTION("""COMPUTED_VALUE"""),"")</f>
        <v/>
      </c>
      <c r="R167" s="5" t="str">
        <f>IFERROR(__xludf.DUMMYFUNCTION("""COMPUTED_VALUE"""),"")</f>
        <v/>
      </c>
      <c r="S167" s="5" t="str">
        <f>IFERROR(__xludf.DUMMYFUNCTION("""COMPUTED_VALUE"""),"")</f>
        <v/>
      </c>
      <c r="T167" s="5" t="str">
        <f>IFERROR(__xludf.DUMMYFUNCTION("""COMPUTED_VALUE"""),"")</f>
        <v/>
      </c>
      <c r="U167" s="5" t="str">
        <f>IFERROR(__xludf.DUMMYFUNCTION("""COMPUTED_VALUE"""),"")</f>
        <v/>
      </c>
      <c r="V167" s="5" t="str">
        <f>IFERROR(__xludf.DUMMYFUNCTION("""COMPUTED_VALUE"""),"")</f>
        <v/>
      </c>
      <c r="W167" s="5" t="str">
        <f>IFERROR(__xludf.DUMMYFUNCTION("""COMPUTED_VALUE"""),"")</f>
        <v/>
      </c>
      <c r="X167" s="5" t="str">
        <f>IFERROR(__xludf.DUMMYFUNCTION("""COMPUTED_VALUE"""),"")</f>
        <v/>
      </c>
      <c r="Y167" s="5"/>
      <c r="Z167" s="5"/>
    </row>
    <row r="168">
      <c r="A168" s="5" t="str">
        <f>IFERROR(__xludf.DUMMYFUNCTION("""COMPUTED_VALUE"""),"Fruity Face")</f>
        <v>Fruity Face</v>
      </c>
      <c r="B168" s="5" t="str">
        <f>IFERROR(__xludf.DUMMYFUNCTION("""COMPUTED_VALUE"""),"")</f>
        <v/>
      </c>
      <c r="C168" s="5" t="str">
        <f>IFERROR(__xludf.DUMMYFUNCTION("""COMPUTED_VALUE"""),"")</f>
        <v/>
      </c>
      <c r="D168" s="5" t="str">
        <f>IFERROR(__xludf.DUMMYFUNCTION("""COMPUTED_VALUE"""),"Cert Preparation")</f>
        <v>Cert Preparation</v>
      </c>
      <c r="E168" s="5" t="str">
        <f>IFERROR(__xludf.DUMMYFUNCTION("""COMPUTED_VALUE"""),"")</f>
        <v/>
      </c>
      <c r="F168" s="5" t="str">
        <f>IFERROR(__xludf.DUMMYFUNCTION("""COMPUTED_VALUE"""),"")</f>
        <v/>
      </c>
      <c r="G168" s="5" t="str">
        <f>IFERROR(__xludf.DUMMYFUNCTION("""COMPUTED_VALUE"""),"")</f>
        <v/>
      </c>
      <c r="H168" s="5" t="str">
        <f>IFERROR(__xludf.DUMMYFUNCTION("""COMPUTED_VALUE"""),"")</f>
        <v/>
      </c>
      <c r="I168" s="5" t="str">
        <f>IFERROR(__xludf.DUMMYFUNCTION("""COMPUTED_VALUE"""),"")</f>
        <v/>
      </c>
      <c r="J168" s="5" t="str">
        <f>IFERROR(__xludf.DUMMYFUNCTION("""COMPUTED_VALUE"""),"")</f>
        <v/>
      </c>
      <c r="K168" s="5" t="str">
        <f>IFERROR(__xludf.DUMMYFUNCTION("""COMPUTED_VALUE"""),"")</f>
        <v/>
      </c>
      <c r="L168" s="5" t="str">
        <f>IFERROR(__xludf.DUMMYFUNCTION("""COMPUTED_VALUE"""),"")</f>
        <v/>
      </c>
      <c r="M168" s="5" t="str">
        <f>IFERROR(__xludf.DUMMYFUNCTION("""COMPUTED_VALUE"""),"")</f>
        <v/>
      </c>
      <c r="N168" s="5" t="str">
        <f>IFERROR(__xludf.DUMMYFUNCTION("""COMPUTED_VALUE"""),"")</f>
        <v/>
      </c>
      <c r="O168" s="5" t="str">
        <f>IFERROR(__xludf.DUMMYFUNCTION("""COMPUTED_VALUE"""),"")</f>
        <v/>
      </c>
      <c r="P168" s="5" t="str">
        <f>IFERROR(__xludf.DUMMYFUNCTION("""COMPUTED_VALUE"""),"")</f>
        <v/>
      </c>
      <c r="Q168" s="5" t="str">
        <f>IFERROR(__xludf.DUMMYFUNCTION("""COMPUTED_VALUE"""),"")</f>
        <v/>
      </c>
      <c r="R168" s="5" t="str">
        <f>IFERROR(__xludf.DUMMYFUNCTION("""COMPUTED_VALUE"""),"")</f>
        <v/>
      </c>
      <c r="S168" s="5" t="str">
        <f>IFERROR(__xludf.DUMMYFUNCTION("""COMPUTED_VALUE"""),"")</f>
        <v/>
      </c>
      <c r="T168" s="5" t="str">
        <f>IFERROR(__xludf.DUMMYFUNCTION("""COMPUTED_VALUE"""),"")</f>
        <v/>
      </c>
      <c r="U168" s="5" t="str">
        <f>IFERROR(__xludf.DUMMYFUNCTION("""COMPUTED_VALUE"""),"")</f>
        <v/>
      </c>
      <c r="V168" s="5" t="str">
        <f>IFERROR(__xludf.DUMMYFUNCTION("""COMPUTED_VALUE"""),"")</f>
        <v/>
      </c>
      <c r="W168" s="5" t="str">
        <f>IFERROR(__xludf.DUMMYFUNCTION("""COMPUTED_VALUE"""),"")</f>
        <v/>
      </c>
      <c r="X168" s="5" t="str">
        <f>IFERROR(__xludf.DUMMYFUNCTION("""COMPUTED_VALUE"""),"")</f>
        <v/>
      </c>
      <c r="Y168" s="5"/>
      <c r="Z168" s="5"/>
    </row>
    <row r="169">
      <c r="A169" s="5" t="str">
        <f>IFERROR(__xludf.DUMMYFUNCTION("""COMPUTED_VALUE"""),"5 Wild Heart")</f>
        <v>5 Wild Heart</v>
      </c>
      <c r="B169" s="5" t="str">
        <f>IFERROR(__xludf.DUMMYFUNCTION("""COMPUTED_VALUE"""),"")</f>
        <v/>
      </c>
      <c r="C169" s="5" t="str">
        <f>IFERROR(__xludf.DUMMYFUNCTION("""COMPUTED_VALUE"""),"")</f>
        <v/>
      </c>
      <c r="D169" s="5" t="str">
        <f>IFERROR(__xludf.DUMMYFUNCTION("""COMPUTED_VALUE"""),"")</f>
        <v/>
      </c>
      <c r="E169" s="5" t="str">
        <f>IFERROR(__xludf.DUMMYFUNCTION("""COMPUTED_VALUE"""),"")</f>
        <v/>
      </c>
      <c r="F169" s="5" t="str">
        <f>IFERROR(__xludf.DUMMYFUNCTION("""COMPUTED_VALUE"""),"")</f>
        <v/>
      </c>
      <c r="G169" s="5" t="str">
        <f>IFERROR(__xludf.DUMMYFUNCTION("""COMPUTED_VALUE"""),"")</f>
        <v/>
      </c>
      <c r="H169" s="5" t="str">
        <f>IFERROR(__xludf.DUMMYFUNCTION("""COMPUTED_VALUE"""),"")</f>
        <v/>
      </c>
      <c r="I169" s="5" t="str">
        <f>IFERROR(__xludf.DUMMYFUNCTION("""COMPUTED_VALUE"""),"")</f>
        <v/>
      </c>
      <c r="J169" s="5" t="str">
        <f>IFERROR(__xludf.DUMMYFUNCTION("""COMPUTED_VALUE"""),"")</f>
        <v/>
      </c>
      <c r="K169" s="5" t="str">
        <f>IFERROR(__xludf.DUMMYFUNCTION("""COMPUTED_VALUE"""),"")</f>
        <v/>
      </c>
      <c r="L169" s="5" t="str">
        <f>IFERROR(__xludf.DUMMYFUNCTION("""COMPUTED_VALUE"""),"")</f>
        <v/>
      </c>
      <c r="M169" s="5" t="str">
        <f>IFERROR(__xludf.DUMMYFUNCTION("""COMPUTED_VALUE"""),"")</f>
        <v/>
      </c>
      <c r="N169" s="5" t="str">
        <f>IFERROR(__xludf.DUMMYFUNCTION("""COMPUTED_VALUE"""),"")</f>
        <v/>
      </c>
      <c r="O169" s="5" t="str">
        <f>IFERROR(__xludf.DUMMYFUNCTION("""COMPUTED_VALUE"""),"")</f>
        <v/>
      </c>
      <c r="P169" s="5" t="str">
        <f>IFERROR(__xludf.DUMMYFUNCTION("""COMPUTED_VALUE"""),"")</f>
        <v/>
      </c>
      <c r="Q169" s="5" t="str">
        <f>IFERROR(__xludf.DUMMYFUNCTION("""COMPUTED_VALUE"""),"")</f>
        <v/>
      </c>
      <c r="R169" s="5" t="str">
        <f>IFERROR(__xludf.DUMMYFUNCTION("""COMPUTED_VALUE"""),"")</f>
        <v/>
      </c>
      <c r="S169" s="5" t="str">
        <f>IFERROR(__xludf.DUMMYFUNCTION("""COMPUTED_VALUE"""),"")</f>
        <v/>
      </c>
      <c r="T169" s="5" t="str">
        <f>IFERROR(__xludf.DUMMYFUNCTION("""COMPUTED_VALUE"""),"")</f>
        <v/>
      </c>
      <c r="U169" s="5" t="str">
        <f>IFERROR(__xludf.DUMMYFUNCTION("""COMPUTED_VALUE"""),"")</f>
        <v/>
      </c>
      <c r="V169" s="5" t="str">
        <f>IFERROR(__xludf.DUMMYFUNCTION("""COMPUTED_VALUE"""),"")</f>
        <v/>
      </c>
      <c r="W169" s="5" t="str">
        <f>IFERROR(__xludf.DUMMYFUNCTION("""COMPUTED_VALUE"""),"")</f>
        <v/>
      </c>
      <c r="X169" s="5" t="str">
        <f>IFERROR(__xludf.DUMMYFUNCTION("""COMPUTED_VALUE"""),"")</f>
        <v/>
      </c>
      <c r="Y169" s="5"/>
      <c r="Z169" s="5"/>
    </row>
    <row r="170">
      <c r="A170" s="5" t="str">
        <f>IFERROR(__xludf.DUMMYFUNCTION("""COMPUTED_VALUE"""),"Classic Lucky Spin")</f>
        <v>Classic Lucky Spin</v>
      </c>
      <c r="B170" s="5" t="str">
        <f>IFERROR(__xludf.DUMMYFUNCTION("""COMPUTED_VALUE"""),"Development")</f>
        <v>Development</v>
      </c>
      <c r="C170" s="5" t="str">
        <f>IFERROR(__xludf.DUMMYFUNCTION("""COMPUTED_VALUE"""),"Development")</f>
        <v>Development</v>
      </c>
      <c r="D170" s="5" t="str">
        <f>IFERROR(__xludf.DUMMYFUNCTION("""COMPUTED_VALUE"""),"Cert Preparation")</f>
        <v>Cert Preparation</v>
      </c>
      <c r="E170" s="5" t="str">
        <f>IFERROR(__xludf.DUMMYFUNCTION("""COMPUTED_VALUE"""),"")</f>
        <v/>
      </c>
      <c r="F170" s="5" t="str">
        <f>IFERROR(__xludf.DUMMYFUNCTION("""COMPUTED_VALUE"""),"")</f>
        <v/>
      </c>
      <c r="G170" s="5" t="str">
        <f>IFERROR(__xludf.DUMMYFUNCTION("""COMPUTED_VALUE"""),"")</f>
        <v/>
      </c>
      <c r="H170" s="5" t="str">
        <f>IFERROR(__xludf.DUMMYFUNCTION("""COMPUTED_VALUE"""),"Available")</f>
        <v>Available</v>
      </c>
      <c r="I170" s="5" t="str">
        <f>IFERROR(__xludf.DUMMYFUNCTION("""COMPUTED_VALUE"""),"Available")</f>
        <v>Available</v>
      </c>
      <c r="J170" s="5" t="str">
        <f>IFERROR(__xludf.DUMMYFUNCTION("""COMPUTED_VALUE"""),"")</f>
        <v/>
      </c>
      <c r="K170" s="5" t="str">
        <f>IFERROR(__xludf.DUMMYFUNCTION("""COMPUTED_VALUE"""),"")</f>
        <v/>
      </c>
      <c r="L170" s="5" t="str">
        <f>IFERROR(__xludf.DUMMYFUNCTION("""COMPUTED_VALUE"""),"")</f>
        <v/>
      </c>
      <c r="M170" s="5" t="str">
        <f>IFERROR(__xludf.DUMMYFUNCTION("""COMPUTED_VALUE"""),"Development")</f>
        <v>Development</v>
      </c>
      <c r="N170" s="5" t="str">
        <f>IFERROR(__xludf.DUMMYFUNCTION("""COMPUTED_VALUE"""),"")</f>
        <v/>
      </c>
      <c r="O170" s="5" t="str">
        <f>IFERROR(__xludf.DUMMYFUNCTION("""COMPUTED_VALUE"""),"Available")</f>
        <v>Available</v>
      </c>
      <c r="P170" s="5" t="str">
        <f>IFERROR(__xludf.DUMMYFUNCTION("""COMPUTED_VALUE"""),"")</f>
        <v/>
      </c>
      <c r="Q170" s="5" t="str">
        <f>IFERROR(__xludf.DUMMYFUNCTION("""COMPUTED_VALUE"""),"")</f>
        <v/>
      </c>
      <c r="R170" s="5" t="str">
        <f>IFERROR(__xludf.DUMMYFUNCTION("""COMPUTED_VALUE"""),"")</f>
        <v/>
      </c>
      <c r="S170" s="5" t="str">
        <f>IFERROR(__xludf.DUMMYFUNCTION("""COMPUTED_VALUE"""),"")</f>
        <v/>
      </c>
      <c r="T170" s="5" t="str">
        <f>IFERROR(__xludf.DUMMYFUNCTION("""COMPUTED_VALUE"""),"")</f>
        <v/>
      </c>
      <c r="U170" s="5" t="str">
        <f>IFERROR(__xludf.DUMMYFUNCTION("""COMPUTED_VALUE"""),"")</f>
        <v/>
      </c>
      <c r="V170" s="5" t="str">
        <f>IFERROR(__xludf.DUMMYFUNCTION("""COMPUTED_VALUE"""),"")</f>
        <v/>
      </c>
      <c r="W170" s="5" t="str">
        <f>IFERROR(__xludf.DUMMYFUNCTION("""COMPUTED_VALUE"""),"")</f>
        <v/>
      </c>
      <c r="X170" s="5" t="str">
        <f>IFERROR(__xludf.DUMMYFUNCTION("""COMPUTED_VALUE"""),"")</f>
        <v/>
      </c>
      <c r="Y170" s="5"/>
      <c r="Z170" s="5"/>
    </row>
    <row r="171">
      <c r="A171" s="5" t="str">
        <f>IFERROR(__xludf.DUMMYFUNCTION("""COMPUTED_VALUE"""),"20 Dice Flames")</f>
        <v>20 Dice Flames</v>
      </c>
      <c r="B171" s="5" t="str">
        <f>IFERROR(__xludf.DUMMYFUNCTION("""COMPUTED_VALUE"""),"")</f>
        <v/>
      </c>
      <c r="C171" s="5" t="str">
        <f>IFERROR(__xludf.DUMMYFUNCTION("""COMPUTED_VALUE"""),"")</f>
        <v/>
      </c>
      <c r="D171" s="5" t="str">
        <f>IFERROR(__xludf.DUMMYFUNCTION("""COMPUTED_VALUE"""),"")</f>
        <v/>
      </c>
      <c r="E171" s="5" t="str">
        <f>IFERROR(__xludf.DUMMYFUNCTION("""COMPUTED_VALUE"""),"")</f>
        <v/>
      </c>
      <c r="F171" s="5" t="str">
        <f>IFERROR(__xludf.DUMMYFUNCTION("""COMPUTED_VALUE"""),"")</f>
        <v/>
      </c>
      <c r="G171" s="5" t="str">
        <f>IFERROR(__xludf.DUMMYFUNCTION("""COMPUTED_VALUE"""),"")</f>
        <v/>
      </c>
      <c r="H171" s="5" t="str">
        <f>IFERROR(__xludf.DUMMYFUNCTION("""COMPUTED_VALUE"""),"")</f>
        <v/>
      </c>
      <c r="I171" s="5" t="str">
        <f>IFERROR(__xludf.DUMMYFUNCTION("""COMPUTED_VALUE"""),"")</f>
        <v/>
      </c>
      <c r="J171" s="5" t="str">
        <f>IFERROR(__xludf.DUMMYFUNCTION("""COMPUTED_VALUE"""),"")</f>
        <v/>
      </c>
      <c r="K171" s="5" t="str">
        <f>IFERROR(__xludf.DUMMYFUNCTION("""COMPUTED_VALUE"""),"")</f>
        <v/>
      </c>
      <c r="L171" s="5" t="str">
        <f>IFERROR(__xludf.DUMMYFUNCTION("""COMPUTED_VALUE"""),"")</f>
        <v/>
      </c>
      <c r="M171" s="5" t="str">
        <f>IFERROR(__xludf.DUMMYFUNCTION("""COMPUTED_VALUE"""),"")</f>
        <v/>
      </c>
      <c r="N171" s="5" t="str">
        <f>IFERROR(__xludf.DUMMYFUNCTION("""COMPUTED_VALUE"""),"")</f>
        <v/>
      </c>
      <c r="O171" s="5" t="str">
        <f>IFERROR(__xludf.DUMMYFUNCTION("""COMPUTED_VALUE"""),"")</f>
        <v/>
      </c>
      <c r="P171" s="5" t="str">
        <f>IFERROR(__xludf.DUMMYFUNCTION("""COMPUTED_VALUE"""),"")</f>
        <v/>
      </c>
      <c r="Q171" s="5" t="str">
        <f>IFERROR(__xludf.DUMMYFUNCTION("""COMPUTED_VALUE"""),"")</f>
        <v/>
      </c>
      <c r="R171" s="5" t="str">
        <f>IFERROR(__xludf.DUMMYFUNCTION("""COMPUTED_VALUE"""),"")</f>
        <v/>
      </c>
      <c r="S171" s="5" t="str">
        <f>IFERROR(__xludf.DUMMYFUNCTION("""COMPUTED_VALUE"""),"")</f>
        <v/>
      </c>
      <c r="T171" s="5" t="str">
        <f>IFERROR(__xludf.DUMMYFUNCTION("""COMPUTED_VALUE"""),"")</f>
        <v/>
      </c>
      <c r="U171" s="5" t="str">
        <f>IFERROR(__xludf.DUMMYFUNCTION("""COMPUTED_VALUE"""),"")</f>
        <v/>
      </c>
      <c r="V171" s="5" t="str">
        <f>IFERROR(__xludf.DUMMYFUNCTION("""COMPUTED_VALUE"""),"")</f>
        <v/>
      </c>
      <c r="W171" s="5" t="str">
        <f>IFERROR(__xludf.DUMMYFUNCTION("""COMPUTED_VALUE"""),"")</f>
        <v/>
      </c>
      <c r="X171" s="5" t="str">
        <f>IFERROR(__xludf.DUMMYFUNCTION("""COMPUTED_VALUE"""),"")</f>
        <v/>
      </c>
      <c r="Y171" s="5"/>
      <c r="Z171" s="5"/>
    </row>
    <row r="172">
      <c r="A172" s="5" t="str">
        <f>IFERROR(__xludf.DUMMYFUNCTION("""COMPUTED_VALUE"""),"Volcano Hot 40")</f>
        <v>Volcano Hot 40</v>
      </c>
      <c r="B172" s="5" t="str">
        <f>IFERROR(__xludf.DUMMYFUNCTION("""COMPUTED_VALUE"""),"")</f>
        <v/>
      </c>
      <c r="C172" s="5" t="str">
        <f>IFERROR(__xludf.DUMMYFUNCTION("""COMPUTED_VALUE"""),"")</f>
        <v/>
      </c>
      <c r="D172" s="5" t="str">
        <f>IFERROR(__xludf.DUMMYFUNCTION("""COMPUTED_VALUE"""),"")</f>
        <v/>
      </c>
      <c r="E172" s="5" t="str">
        <f>IFERROR(__xludf.DUMMYFUNCTION("""COMPUTED_VALUE"""),"")</f>
        <v/>
      </c>
      <c r="F172" s="5" t="str">
        <f>IFERROR(__xludf.DUMMYFUNCTION("""COMPUTED_VALUE"""),"")</f>
        <v/>
      </c>
      <c r="G172" s="5" t="str">
        <f>IFERROR(__xludf.DUMMYFUNCTION("""COMPUTED_VALUE"""),"")</f>
        <v/>
      </c>
      <c r="H172" s="5" t="str">
        <f>IFERROR(__xludf.DUMMYFUNCTION("""COMPUTED_VALUE"""),"")</f>
        <v/>
      </c>
      <c r="I172" s="5" t="str">
        <f>IFERROR(__xludf.DUMMYFUNCTION("""COMPUTED_VALUE"""),"")</f>
        <v/>
      </c>
      <c r="J172" s="5" t="str">
        <f>IFERROR(__xludf.DUMMYFUNCTION("""COMPUTED_VALUE"""),"")</f>
        <v/>
      </c>
      <c r="K172" s="5" t="str">
        <f>IFERROR(__xludf.DUMMYFUNCTION("""COMPUTED_VALUE"""),"")</f>
        <v/>
      </c>
      <c r="L172" s="5" t="str">
        <f>IFERROR(__xludf.DUMMYFUNCTION("""COMPUTED_VALUE"""),"")</f>
        <v/>
      </c>
      <c r="M172" s="5" t="str">
        <f>IFERROR(__xludf.DUMMYFUNCTION("""COMPUTED_VALUE"""),"")</f>
        <v/>
      </c>
      <c r="N172" s="5" t="str">
        <f>IFERROR(__xludf.DUMMYFUNCTION("""COMPUTED_VALUE"""),"")</f>
        <v/>
      </c>
      <c r="O172" s="5" t="str">
        <f>IFERROR(__xludf.DUMMYFUNCTION("""COMPUTED_VALUE"""),"")</f>
        <v/>
      </c>
      <c r="P172" s="5" t="str">
        <f>IFERROR(__xludf.DUMMYFUNCTION("""COMPUTED_VALUE"""),"")</f>
        <v/>
      </c>
      <c r="Q172" s="5" t="str">
        <f>IFERROR(__xludf.DUMMYFUNCTION("""COMPUTED_VALUE"""),"")</f>
        <v/>
      </c>
      <c r="R172" s="5" t="str">
        <f>IFERROR(__xludf.DUMMYFUNCTION("""COMPUTED_VALUE"""),"")</f>
        <v/>
      </c>
      <c r="S172" s="5" t="str">
        <f>IFERROR(__xludf.DUMMYFUNCTION("""COMPUTED_VALUE"""),"")</f>
        <v/>
      </c>
      <c r="T172" s="5" t="str">
        <f>IFERROR(__xludf.DUMMYFUNCTION("""COMPUTED_VALUE"""),"")</f>
        <v/>
      </c>
      <c r="U172" s="5" t="str">
        <f>IFERROR(__xludf.DUMMYFUNCTION("""COMPUTED_VALUE"""),"")</f>
        <v/>
      </c>
      <c r="V172" s="5" t="str">
        <f>IFERROR(__xludf.DUMMYFUNCTION("""COMPUTED_VALUE"""),"")</f>
        <v/>
      </c>
      <c r="W172" s="5" t="str">
        <f>IFERROR(__xludf.DUMMYFUNCTION("""COMPUTED_VALUE"""),"")</f>
        <v/>
      </c>
      <c r="X172" s="5" t="str">
        <f>IFERROR(__xludf.DUMMYFUNCTION("""COMPUTED_VALUE"""),"")</f>
        <v/>
      </c>
      <c r="Y172" s="5"/>
      <c r="Z172" s="5"/>
    </row>
    <row r="173">
      <c r="A173" s="5" t="str">
        <f>IFERROR(__xludf.DUMMYFUNCTION("""COMPUTED_VALUE"""),"Zabranjeno Voce")</f>
        <v>Zabranjeno Voce</v>
      </c>
      <c r="B173" s="5" t="str">
        <f>IFERROR(__xludf.DUMMYFUNCTION("""COMPUTED_VALUE"""),"")</f>
        <v/>
      </c>
      <c r="C173" s="5" t="str">
        <f>IFERROR(__xludf.DUMMYFUNCTION("""COMPUTED_VALUE"""),"")</f>
        <v/>
      </c>
      <c r="D173" s="5" t="str">
        <f>IFERROR(__xludf.DUMMYFUNCTION("""COMPUTED_VALUE"""),"")</f>
        <v/>
      </c>
      <c r="E173" s="5" t="str">
        <f>IFERROR(__xludf.DUMMYFUNCTION("""COMPUTED_VALUE"""),"")</f>
        <v/>
      </c>
      <c r="F173" s="5" t="str">
        <f>IFERROR(__xludf.DUMMYFUNCTION("""COMPUTED_VALUE"""),"")</f>
        <v/>
      </c>
      <c r="G173" s="5" t="str">
        <f>IFERROR(__xludf.DUMMYFUNCTION("""COMPUTED_VALUE"""),"")</f>
        <v/>
      </c>
      <c r="H173" s="5" t="str">
        <f>IFERROR(__xludf.DUMMYFUNCTION("""COMPUTED_VALUE"""),"")</f>
        <v/>
      </c>
      <c r="I173" s="5" t="str">
        <f>IFERROR(__xludf.DUMMYFUNCTION("""COMPUTED_VALUE"""),"")</f>
        <v/>
      </c>
      <c r="J173" s="5" t="str">
        <f>IFERROR(__xludf.DUMMYFUNCTION("""COMPUTED_VALUE"""),"")</f>
        <v/>
      </c>
      <c r="K173" s="5" t="str">
        <f>IFERROR(__xludf.DUMMYFUNCTION("""COMPUTED_VALUE"""),"")</f>
        <v/>
      </c>
      <c r="L173" s="5" t="str">
        <f>IFERROR(__xludf.DUMMYFUNCTION("""COMPUTED_VALUE"""),"")</f>
        <v/>
      </c>
      <c r="M173" s="5" t="str">
        <f>IFERROR(__xludf.DUMMYFUNCTION("""COMPUTED_VALUE"""),"")</f>
        <v/>
      </c>
      <c r="N173" s="5" t="str">
        <f>IFERROR(__xludf.DUMMYFUNCTION("""COMPUTED_VALUE"""),"")</f>
        <v/>
      </c>
      <c r="O173" s="5" t="str">
        <f>IFERROR(__xludf.DUMMYFUNCTION("""COMPUTED_VALUE"""),"")</f>
        <v/>
      </c>
      <c r="P173" s="5" t="str">
        <f>IFERROR(__xludf.DUMMYFUNCTION("""COMPUTED_VALUE"""),"")</f>
        <v/>
      </c>
      <c r="Q173" s="5" t="str">
        <f>IFERROR(__xludf.DUMMYFUNCTION("""COMPUTED_VALUE"""),"")</f>
        <v/>
      </c>
      <c r="R173" s="5" t="str">
        <f>IFERROR(__xludf.DUMMYFUNCTION("""COMPUTED_VALUE"""),"")</f>
        <v/>
      </c>
      <c r="S173" s="5" t="str">
        <f>IFERROR(__xludf.DUMMYFUNCTION("""COMPUTED_VALUE"""),"")</f>
        <v/>
      </c>
      <c r="T173" s="5" t="str">
        <f>IFERROR(__xludf.DUMMYFUNCTION("""COMPUTED_VALUE"""),"")</f>
        <v/>
      </c>
      <c r="U173" s="5" t="str">
        <f>IFERROR(__xludf.DUMMYFUNCTION("""COMPUTED_VALUE"""),"")</f>
        <v/>
      </c>
      <c r="V173" s="5" t="str">
        <f>IFERROR(__xludf.DUMMYFUNCTION("""COMPUTED_VALUE"""),"")</f>
        <v/>
      </c>
      <c r="W173" s="5" t="str">
        <f>IFERROR(__xludf.DUMMYFUNCTION("""COMPUTED_VALUE"""),"")</f>
        <v/>
      </c>
      <c r="X173" s="5" t="str">
        <f>IFERROR(__xludf.DUMMYFUNCTION("""COMPUTED_VALUE"""),"")</f>
        <v/>
      </c>
      <c r="Y173" s="5"/>
      <c r="Z173" s="5"/>
    </row>
    <row r="174">
      <c r="A174" s="5" t="str">
        <f>IFERROR(__xludf.DUMMYFUNCTION("""COMPUTED_VALUE"""),"Unicorn Surfin Heat")</f>
        <v>Unicorn Surfin Heat</v>
      </c>
      <c r="B174" s="5" t="str">
        <f>IFERROR(__xludf.DUMMYFUNCTION("""COMPUTED_VALUE"""),"")</f>
        <v/>
      </c>
      <c r="C174" s="5" t="str">
        <f>IFERROR(__xludf.DUMMYFUNCTION("""COMPUTED_VALUE"""),"")</f>
        <v/>
      </c>
      <c r="D174" s="5" t="str">
        <f>IFERROR(__xludf.DUMMYFUNCTION("""COMPUTED_VALUE"""),"")</f>
        <v/>
      </c>
      <c r="E174" s="5" t="str">
        <f>IFERROR(__xludf.DUMMYFUNCTION("""COMPUTED_VALUE"""),"")</f>
        <v/>
      </c>
      <c r="F174" s="5" t="str">
        <f>IFERROR(__xludf.DUMMYFUNCTION("""COMPUTED_VALUE"""),"")</f>
        <v/>
      </c>
      <c r="G174" s="5" t="str">
        <f>IFERROR(__xludf.DUMMYFUNCTION("""COMPUTED_VALUE"""),"")</f>
        <v/>
      </c>
      <c r="H174" s="5" t="str">
        <f>IFERROR(__xludf.DUMMYFUNCTION("""COMPUTED_VALUE"""),"")</f>
        <v/>
      </c>
      <c r="I174" s="5" t="str">
        <f>IFERROR(__xludf.DUMMYFUNCTION("""COMPUTED_VALUE"""),"")</f>
        <v/>
      </c>
      <c r="J174" s="5" t="str">
        <f>IFERROR(__xludf.DUMMYFUNCTION("""COMPUTED_VALUE"""),"")</f>
        <v/>
      </c>
      <c r="K174" s="5" t="str">
        <f>IFERROR(__xludf.DUMMYFUNCTION("""COMPUTED_VALUE"""),"")</f>
        <v/>
      </c>
      <c r="L174" s="5" t="str">
        <f>IFERROR(__xludf.DUMMYFUNCTION("""COMPUTED_VALUE"""),"")</f>
        <v/>
      </c>
      <c r="M174" s="5" t="str">
        <f>IFERROR(__xludf.DUMMYFUNCTION("""COMPUTED_VALUE"""),"")</f>
        <v/>
      </c>
      <c r="N174" s="5" t="str">
        <f>IFERROR(__xludf.DUMMYFUNCTION("""COMPUTED_VALUE"""),"")</f>
        <v/>
      </c>
      <c r="O174" s="5" t="str">
        <f>IFERROR(__xludf.DUMMYFUNCTION("""COMPUTED_VALUE"""),"")</f>
        <v/>
      </c>
      <c r="P174" s="5" t="str">
        <f>IFERROR(__xludf.DUMMYFUNCTION("""COMPUTED_VALUE"""),"")</f>
        <v/>
      </c>
      <c r="Q174" s="5" t="str">
        <f>IFERROR(__xludf.DUMMYFUNCTION("""COMPUTED_VALUE"""),"")</f>
        <v/>
      </c>
      <c r="R174" s="5" t="str">
        <f>IFERROR(__xludf.DUMMYFUNCTION("""COMPUTED_VALUE"""),"")</f>
        <v/>
      </c>
      <c r="S174" s="5" t="str">
        <f>IFERROR(__xludf.DUMMYFUNCTION("""COMPUTED_VALUE"""),"")</f>
        <v/>
      </c>
      <c r="T174" s="5" t="str">
        <f>IFERROR(__xludf.DUMMYFUNCTION("""COMPUTED_VALUE"""),"")</f>
        <v/>
      </c>
      <c r="U174" s="5" t="str">
        <f>IFERROR(__xludf.DUMMYFUNCTION("""COMPUTED_VALUE"""),"")</f>
        <v/>
      </c>
      <c r="V174" s="5" t="str">
        <f>IFERROR(__xludf.DUMMYFUNCTION("""COMPUTED_VALUE"""),"")</f>
        <v/>
      </c>
      <c r="W174" s="5" t="str">
        <f>IFERROR(__xludf.DUMMYFUNCTION("""COMPUTED_VALUE"""),"")</f>
        <v/>
      </c>
      <c r="X174" s="5" t="str">
        <f>IFERROR(__xludf.DUMMYFUNCTION("""COMPUTED_VALUE"""),"")</f>
        <v/>
      </c>
      <c r="Y174" s="5"/>
      <c r="Z174" s="5"/>
    </row>
    <row r="175">
      <c r="A175" s="5" t="str">
        <f>IFERROR(__xludf.DUMMYFUNCTION("""COMPUTED_VALUE"""),"Wild Joker Hot")</f>
        <v>Wild Joker Hot</v>
      </c>
      <c r="B175" s="5" t="str">
        <f>IFERROR(__xludf.DUMMYFUNCTION("""COMPUTED_VALUE"""),"Available")</f>
        <v>Available</v>
      </c>
      <c r="C175" s="5" t="str">
        <f>IFERROR(__xludf.DUMMYFUNCTION("""COMPUTED_VALUE"""),"Development")</f>
        <v>Development</v>
      </c>
      <c r="D175" s="5" t="str">
        <f>IFERROR(__xludf.DUMMYFUNCTION("""COMPUTED_VALUE"""),"Available")</f>
        <v>Available</v>
      </c>
      <c r="E175" s="5" t="str">
        <f>IFERROR(__xludf.DUMMYFUNCTION("""COMPUTED_VALUE"""),"Available")</f>
        <v>Available</v>
      </c>
      <c r="F175" s="5" t="str">
        <f>IFERROR(__xludf.DUMMYFUNCTION("""COMPUTED_VALUE"""),"Available")</f>
        <v>Available</v>
      </c>
      <c r="G175" s="5" t="str">
        <f>IFERROR(__xludf.DUMMYFUNCTION("""COMPUTED_VALUE"""),"Available")</f>
        <v>Available</v>
      </c>
      <c r="H175" s="5" t="str">
        <f>IFERROR(__xludf.DUMMYFUNCTION("""COMPUTED_VALUE"""),"Available")</f>
        <v>Available</v>
      </c>
      <c r="I175" s="5" t="str">
        <f>IFERROR(__xludf.DUMMYFUNCTION("""COMPUTED_VALUE"""),"Available")</f>
        <v>Available</v>
      </c>
      <c r="J175" s="5" t="str">
        <f>IFERROR(__xludf.DUMMYFUNCTION("""COMPUTED_VALUE"""),"")</f>
        <v/>
      </c>
      <c r="K175" s="5" t="str">
        <f>IFERROR(__xludf.DUMMYFUNCTION("""COMPUTED_VALUE"""),"Development")</f>
        <v>Development</v>
      </c>
      <c r="L175" s="5" t="str">
        <f>IFERROR(__xludf.DUMMYFUNCTION("""COMPUTED_VALUE"""),"Available")</f>
        <v>Available</v>
      </c>
      <c r="M175" s="5" t="str">
        <f>IFERROR(__xludf.DUMMYFUNCTION("""COMPUTED_VALUE"""),"Development")</f>
        <v>Development</v>
      </c>
      <c r="N175" s="5" t="str">
        <f>IFERROR(__xludf.DUMMYFUNCTION("""COMPUTED_VALUE"""),"Available")</f>
        <v>Available</v>
      </c>
      <c r="O175" s="5" t="str">
        <f>IFERROR(__xludf.DUMMYFUNCTION("""COMPUTED_VALUE"""),"")</f>
        <v/>
      </c>
      <c r="P175" s="5" t="str">
        <f>IFERROR(__xludf.DUMMYFUNCTION("""COMPUTED_VALUE"""),"")</f>
        <v/>
      </c>
      <c r="Q175" s="5" t="str">
        <f>IFERROR(__xludf.DUMMYFUNCTION("""COMPUTED_VALUE"""),"Available")</f>
        <v>Available</v>
      </c>
      <c r="R175" s="5" t="str">
        <f>IFERROR(__xludf.DUMMYFUNCTION("""COMPUTED_VALUE"""),"")</f>
        <v/>
      </c>
      <c r="S175" s="5" t="str">
        <f>IFERROR(__xludf.DUMMYFUNCTION("""COMPUTED_VALUE"""),"")</f>
        <v/>
      </c>
      <c r="T175" s="5" t="str">
        <f>IFERROR(__xludf.DUMMYFUNCTION("""COMPUTED_VALUE"""),"Development")</f>
        <v>Development</v>
      </c>
      <c r="U175" s="5" t="str">
        <f>IFERROR(__xludf.DUMMYFUNCTION("""COMPUTED_VALUE"""),"Certified")</f>
        <v>Certified</v>
      </c>
      <c r="V175" s="5" t="str">
        <f>IFERROR(__xludf.DUMMYFUNCTION("""COMPUTED_VALUE"""),"Available")</f>
        <v>Available</v>
      </c>
      <c r="W175" s="5" t="str">
        <f>IFERROR(__xludf.DUMMYFUNCTION("""COMPUTED_VALUE"""),"")</f>
        <v/>
      </c>
      <c r="X175" s="5" t="str">
        <f>IFERROR(__xludf.DUMMYFUNCTION("""COMPUTED_VALUE"""),"")</f>
        <v/>
      </c>
      <c r="Y175" s="5"/>
      <c r="Z175" s="5"/>
    </row>
    <row r="176">
      <c r="A176" s="5" t="str">
        <f>IFERROR(__xludf.DUMMYFUNCTION("""COMPUTED_VALUE"""),"10 Wild Dice")</f>
        <v>10 Wild Dice</v>
      </c>
      <c r="B176" s="5" t="str">
        <f>IFERROR(__xludf.DUMMYFUNCTION("""COMPUTED_VALUE"""),"")</f>
        <v/>
      </c>
      <c r="C176" s="5" t="str">
        <f>IFERROR(__xludf.DUMMYFUNCTION("""COMPUTED_VALUE"""),"")</f>
        <v/>
      </c>
      <c r="D176" s="5" t="str">
        <f>IFERROR(__xludf.DUMMYFUNCTION("""COMPUTED_VALUE"""),"")</f>
        <v/>
      </c>
      <c r="E176" s="5" t="str">
        <f>IFERROR(__xludf.DUMMYFUNCTION("""COMPUTED_VALUE"""),"")</f>
        <v/>
      </c>
      <c r="F176" s="5" t="str">
        <f>IFERROR(__xludf.DUMMYFUNCTION("""COMPUTED_VALUE"""),"")</f>
        <v/>
      </c>
      <c r="G176" s="5" t="str">
        <f>IFERROR(__xludf.DUMMYFUNCTION("""COMPUTED_VALUE"""),"")</f>
        <v/>
      </c>
      <c r="H176" s="5" t="str">
        <f>IFERROR(__xludf.DUMMYFUNCTION("""COMPUTED_VALUE"""),"")</f>
        <v/>
      </c>
      <c r="I176" s="5" t="str">
        <f>IFERROR(__xludf.DUMMYFUNCTION("""COMPUTED_VALUE"""),"")</f>
        <v/>
      </c>
      <c r="J176" s="5" t="str">
        <f>IFERROR(__xludf.DUMMYFUNCTION("""COMPUTED_VALUE"""),"")</f>
        <v/>
      </c>
      <c r="K176" s="5" t="str">
        <f>IFERROR(__xludf.DUMMYFUNCTION("""COMPUTED_VALUE"""),"")</f>
        <v/>
      </c>
      <c r="L176" s="5" t="str">
        <f>IFERROR(__xludf.DUMMYFUNCTION("""COMPUTED_VALUE"""),"")</f>
        <v/>
      </c>
      <c r="M176" s="5" t="str">
        <f>IFERROR(__xludf.DUMMYFUNCTION("""COMPUTED_VALUE"""),"")</f>
        <v/>
      </c>
      <c r="N176" s="5" t="str">
        <f>IFERROR(__xludf.DUMMYFUNCTION("""COMPUTED_VALUE"""),"")</f>
        <v/>
      </c>
      <c r="O176" s="5" t="str">
        <f>IFERROR(__xludf.DUMMYFUNCTION("""COMPUTED_VALUE"""),"")</f>
        <v/>
      </c>
      <c r="P176" s="5" t="str">
        <f>IFERROR(__xludf.DUMMYFUNCTION("""COMPUTED_VALUE"""),"")</f>
        <v/>
      </c>
      <c r="Q176" s="5" t="str">
        <f>IFERROR(__xludf.DUMMYFUNCTION("""COMPUTED_VALUE"""),"")</f>
        <v/>
      </c>
      <c r="R176" s="5" t="str">
        <f>IFERROR(__xludf.DUMMYFUNCTION("""COMPUTED_VALUE"""),"")</f>
        <v/>
      </c>
      <c r="S176" s="5" t="str">
        <f>IFERROR(__xludf.DUMMYFUNCTION("""COMPUTED_VALUE"""),"")</f>
        <v/>
      </c>
      <c r="T176" s="5" t="str">
        <f>IFERROR(__xludf.DUMMYFUNCTION("""COMPUTED_VALUE"""),"")</f>
        <v/>
      </c>
      <c r="U176" s="5" t="str">
        <f>IFERROR(__xludf.DUMMYFUNCTION("""COMPUTED_VALUE"""),"")</f>
        <v/>
      </c>
      <c r="V176" s="5" t="str">
        <f>IFERROR(__xludf.DUMMYFUNCTION("""COMPUTED_VALUE"""),"")</f>
        <v/>
      </c>
      <c r="W176" s="5" t="str">
        <f>IFERROR(__xludf.DUMMYFUNCTION("""COMPUTED_VALUE"""),"")</f>
        <v/>
      </c>
      <c r="X176" s="5" t="str">
        <f>IFERROR(__xludf.DUMMYFUNCTION("""COMPUTED_VALUE"""),"")</f>
        <v/>
      </c>
      <c r="Y176" s="5"/>
      <c r="Z176" s="5"/>
    </row>
    <row r="177">
      <c r="A177" s="5" t="str">
        <f>IFERROR(__xludf.DUMMYFUNCTION("""COMPUTED_VALUE"""),"Heating Fruits")</f>
        <v>Heating Fruits</v>
      </c>
      <c r="B177" s="5" t="str">
        <f>IFERROR(__xludf.DUMMYFUNCTION("""COMPUTED_VALUE"""),"")</f>
        <v/>
      </c>
      <c r="C177" s="5" t="str">
        <f>IFERROR(__xludf.DUMMYFUNCTION("""COMPUTED_VALUE"""),"")</f>
        <v/>
      </c>
      <c r="D177" s="5" t="str">
        <f>IFERROR(__xludf.DUMMYFUNCTION("""COMPUTED_VALUE"""),"Cert Preparation")</f>
        <v>Cert Preparation</v>
      </c>
      <c r="E177" s="5" t="str">
        <f>IFERROR(__xludf.DUMMYFUNCTION("""COMPUTED_VALUE"""),"")</f>
        <v/>
      </c>
      <c r="F177" s="5" t="str">
        <f>IFERROR(__xludf.DUMMYFUNCTION("""COMPUTED_VALUE"""),"")</f>
        <v/>
      </c>
      <c r="G177" s="5" t="str">
        <f>IFERROR(__xludf.DUMMYFUNCTION("""COMPUTED_VALUE"""),"")</f>
        <v/>
      </c>
      <c r="H177" s="5" t="str">
        <f>IFERROR(__xludf.DUMMYFUNCTION("""COMPUTED_VALUE"""),"Available")</f>
        <v>Available</v>
      </c>
      <c r="I177" s="5" t="str">
        <f>IFERROR(__xludf.DUMMYFUNCTION("""COMPUTED_VALUE"""),"")</f>
        <v/>
      </c>
      <c r="J177" s="5" t="str">
        <f>IFERROR(__xludf.DUMMYFUNCTION("""COMPUTED_VALUE"""),"")</f>
        <v/>
      </c>
      <c r="K177" s="5" t="str">
        <f>IFERROR(__xludf.DUMMYFUNCTION("""COMPUTED_VALUE"""),"")</f>
        <v/>
      </c>
      <c r="L177" s="5" t="str">
        <f>IFERROR(__xludf.DUMMYFUNCTION("""COMPUTED_VALUE"""),"")</f>
        <v/>
      </c>
      <c r="M177" s="5" t="str">
        <f>IFERROR(__xludf.DUMMYFUNCTION("""COMPUTED_VALUE"""),"")</f>
        <v/>
      </c>
      <c r="N177" s="5" t="str">
        <f>IFERROR(__xludf.DUMMYFUNCTION("""COMPUTED_VALUE"""),"")</f>
        <v/>
      </c>
      <c r="O177" s="5" t="str">
        <f>IFERROR(__xludf.DUMMYFUNCTION("""COMPUTED_VALUE"""),"")</f>
        <v/>
      </c>
      <c r="P177" s="5" t="str">
        <f>IFERROR(__xludf.DUMMYFUNCTION("""COMPUTED_VALUE"""),"")</f>
        <v/>
      </c>
      <c r="Q177" s="5" t="str">
        <f>IFERROR(__xludf.DUMMYFUNCTION("""COMPUTED_VALUE"""),"")</f>
        <v/>
      </c>
      <c r="R177" s="5" t="str">
        <f>IFERROR(__xludf.DUMMYFUNCTION("""COMPUTED_VALUE"""),"")</f>
        <v/>
      </c>
      <c r="S177" s="5" t="str">
        <f>IFERROR(__xludf.DUMMYFUNCTION("""COMPUTED_VALUE"""),"")</f>
        <v/>
      </c>
      <c r="T177" s="5" t="str">
        <f>IFERROR(__xludf.DUMMYFUNCTION("""COMPUTED_VALUE"""),"")</f>
        <v/>
      </c>
      <c r="U177" s="5" t="str">
        <f>IFERROR(__xludf.DUMMYFUNCTION("""COMPUTED_VALUE"""),"")</f>
        <v/>
      </c>
      <c r="V177" s="5" t="str">
        <f>IFERROR(__xludf.DUMMYFUNCTION("""COMPUTED_VALUE"""),"")</f>
        <v/>
      </c>
      <c r="W177" s="5" t="str">
        <f>IFERROR(__xludf.DUMMYFUNCTION("""COMPUTED_VALUE"""),"")</f>
        <v/>
      </c>
      <c r="X177" s="5" t="str">
        <f>IFERROR(__xludf.DUMMYFUNCTION("""COMPUTED_VALUE"""),"")</f>
        <v/>
      </c>
      <c r="Y177" s="5"/>
      <c r="Z177" s="5"/>
    </row>
    <row r="178">
      <c r="A178" s="5" t="str">
        <f>IFERROR(__xludf.DUMMYFUNCTION("""COMPUTED_VALUE"""),"Extra Flames 10")</f>
        <v>Extra Flames 10</v>
      </c>
      <c r="B178" s="5" t="str">
        <f>IFERROR(__xludf.DUMMYFUNCTION("""COMPUTED_VALUE"""),"")</f>
        <v/>
      </c>
      <c r="C178" s="5" t="str">
        <f>IFERROR(__xludf.DUMMYFUNCTION("""COMPUTED_VALUE"""),"")</f>
        <v/>
      </c>
      <c r="D178" s="5" t="str">
        <f>IFERROR(__xludf.DUMMYFUNCTION("""COMPUTED_VALUE"""),"")</f>
        <v/>
      </c>
      <c r="E178" s="5" t="str">
        <f>IFERROR(__xludf.DUMMYFUNCTION("""COMPUTED_VALUE"""),"")</f>
        <v/>
      </c>
      <c r="F178" s="5" t="str">
        <f>IFERROR(__xludf.DUMMYFUNCTION("""COMPUTED_VALUE"""),"")</f>
        <v/>
      </c>
      <c r="G178" s="5" t="str">
        <f>IFERROR(__xludf.DUMMYFUNCTION("""COMPUTED_VALUE"""),"")</f>
        <v/>
      </c>
      <c r="H178" s="5" t="str">
        <f>IFERROR(__xludf.DUMMYFUNCTION("""COMPUTED_VALUE"""),"")</f>
        <v/>
      </c>
      <c r="I178" s="5" t="str">
        <f>IFERROR(__xludf.DUMMYFUNCTION("""COMPUTED_VALUE"""),"")</f>
        <v/>
      </c>
      <c r="J178" s="5" t="str">
        <f>IFERROR(__xludf.DUMMYFUNCTION("""COMPUTED_VALUE"""),"")</f>
        <v/>
      </c>
      <c r="K178" s="5" t="str">
        <f>IFERROR(__xludf.DUMMYFUNCTION("""COMPUTED_VALUE"""),"")</f>
        <v/>
      </c>
      <c r="L178" s="5" t="str">
        <f>IFERROR(__xludf.DUMMYFUNCTION("""COMPUTED_VALUE"""),"")</f>
        <v/>
      </c>
      <c r="M178" s="5" t="str">
        <f>IFERROR(__xludf.DUMMYFUNCTION("""COMPUTED_VALUE"""),"")</f>
        <v/>
      </c>
      <c r="N178" s="5" t="str">
        <f>IFERROR(__xludf.DUMMYFUNCTION("""COMPUTED_VALUE"""),"")</f>
        <v/>
      </c>
      <c r="O178" s="5" t="str">
        <f>IFERROR(__xludf.DUMMYFUNCTION("""COMPUTED_VALUE"""),"")</f>
        <v/>
      </c>
      <c r="P178" s="5" t="str">
        <f>IFERROR(__xludf.DUMMYFUNCTION("""COMPUTED_VALUE"""),"")</f>
        <v/>
      </c>
      <c r="Q178" s="5" t="str">
        <f>IFERROR(__xludf.DUMMYFUNCTION("""COMPUTED_VALUE"""),"")</f>
        <v/>
      </c>
      <c r="R178" s="5" t="str">
        <f>IFERROR(__xludf.DUMMYFUNCTION("""COMPUTED_VALUE"""),"")</f>
        <v/>
      </c>
      <c r="S178" s="5" t="str">
        <f>IFERROR(__xludf.DUMMYFUNCTION("""COMPUTED_VALUE"""),"")</f>
        <v/>
      </c>
      <c r="T178" s="5" t="str">
        <f>IFERROR(__xludf.DUMMYFUNCTION("""COMPUTED_VALUE"""),"")</f>
        <v/>
      </c>
      <c r="U178" s="5" t="str">
        <f>IFERROR(__xludf.DUMMYFUNCTION("""COMPUTED_VALUE"""),"")</f>
        <v/>
      </c>
      <c r="V178" s="5" t="str">
        <f>IFERROR(__xludf.DUMMYFUNCTION("""COMPUTED_VALUE"""),"")</f>
        <v/>
      </c>
      <c r="W178" s="5" t="str">
        <f>IFERROR(__xludf.DUMMYFUNCTION("""COMPUTED_VALUE"""),"")</f>
        <v/>
      </c>
      <c r="X178" s="5" t="str">
        <f>IFERROR(__xludf.DUMMYFUNCTION("""COMPUTED_VALUE"""),"")</f>
        <v/>
      </c>
      <c r="Y178" s="5"/>
      <c r="Z178" s="5"/>
    </row>
    <row r="179">
      <c r="A179" s="5" t="str">
        <f>IFERROR(__xludf.DUMMYFUNCTION("""COMPUTED_VALUE"""),"Book Of Ibis")</f>
        <v>Book Of Ibis</v>
      </c>
      <c r="B179" s="5" t="str">
        <f>IFERROR(__xludf.DUMMYFUNCTION("""COMPUTED_VALUE"""),"")</f>
        <v/>
      </c>
      <c r="C179" s="5" t="str">
        <f>IFERROR(__xludf.DUMMYFUNCTION("""COMPUTED_VALUE"""),"")</f>
        <v/>
      </c>
      <c r="D179" s="5" t="str">
        <f>IFERROR(__xludf.DUMMYFUNCTION("""COMPUTED_VALUE"""),"")</f>
        <v/>
      </c>
      <c r="E179" s="5" t="str">
        <f>IFERROR(__xludf.DUMMYFUNCTION("""COMPUTED_VALUE"""),"")</f>
        <v/>
      </c>
      <c r="F179" s="5" t="str">
        <f>IFERROR(__xludf.DUMMYFUNCTION("""COMPUTED_VALUE"""),"")</f>
        <v/>
      </c>
      <c r="G179" s="5" t="str">
        <f>IFERROR(__xludf.DUMMYFUNCTION("""COMPUTED_VALUE"""),"")</f>
        <v/>
      </c>
      <c r="H179" s="5" t="str">
        <f>IFERROR(__xludf.DUMMYFUNCTION("""COMPUTED_VALUE"""),"")</f>
        <v/>
      </c>
      <c r="I179" s="5" t="str">
        <f>IFERROR(__xludf.DUMMYFUNCTION("""COMPUTED_VALUE"""),"")</f>
        <v/>
      </c>
      <c r="J179" s="5" t="str">
        <f>IFERROR(__xludf.DUMMYFUNCTION("""COMPUTED_VALUE"""),"")</f>
        <v/>
      </c>
      <c r="K179" s="5" t="str">
        <f>IFERROR(__xludf.DUMMYFUNCTION("""COMPUTED_VALUE"""),"")</f>
        <v/>
      </c>
      <c r="L179" s="5" t="str">
        <f>IFERROR(__xludf.DUMMYFUNCTION("""COMPUTED_VALUE"""),"")</f>
        <v/>
      </c>
      <c r="M179" s="5" t="str">
        <f>IFERROR(__xludf.DUMMYFUNCTION("""COMPUTED_VALUE"""),"")</f>
        <v/>
      </c>
      <c r="N179" s="5" t="str">
        <f>IFERROR(__xludf.DUMMYFUNCTION("""COMPUTED_VALUE"""),"")</f>
        <v/>
      </c>
      <c r="O179" s="5" t="str">
        <f>IFERROR(__xludf.DUMMYFUNCTION("""COMPUTED_VALUE"""),"")</f>
        <v/>
      </c>
      <c r="P179" s="5" t="str">
        <f>IFERROR(__xludf.DUMMYFUNCTION("""COMPUTED_VALUE"""),"")</f>
        <v/>
      </c>
      <c r="Q179" s="5" t="str">
        <f>IFERROR(__xludf.DUMMYFUNCTION("""COMPUTED_VALUE"""),"")</f>
        <v/>
      </c>
      <c r="R179" s="5" t="str">
        <f>IFERROR(__xludf.DUMMYFUNCTION("""COMPUTED_VALUE"""),"")</f>
        <v/>
      </c>
      <c r="S179" s="5" t="str">
        <f>IFERROR(__xludf.DUMMYFUNCTION("""COMPUTED_VALUE"""),"")</f>
        <v/>
      </c>
      <c r="T179" s="5" t="str">
        <f>IFERROR(__xludf.DUMMYFUNCTION("""COMPUTED_VALUE"""),"")</f>
        <v/>
      </c>
      <c r="U179" s="5" t="str">
        <f>IFERROR(__xludf.DUMMYFUNCTION("""COMPUTED_VALUE"""),"")</f>
        <v/>
      </c>
      <c r="V179" s="5" t="str">
        <f>IFERROR(__xludf.DUMMYFUNCTION("""COMPUTED_VALUE"""),"")</f>
        <v/>
      </c>
      <c r="W179" s="5" t="str">
        <f>IFERROR(__xludf.DUMMYFUNCTION("""COMPUTED_VALUE"""),"")</f>
        <v/>
      </c>
      <c r="X179" s="5" t="str">
        <f>IFERROR(__xludf.DUMMYFUNCTION("""COMPUTED_VALUE"""),"")</f>
        <v/>
      </c>
      <c r="Y179" s="5"/>
      <c r="Z179" s="5"/>
    </row>
    <row r="180">
      <c r="A180" s="5" t="str">
        <f>IFERROR(__xludf.DUMMYFUNCTION("""COMPUTED_VALUE"""),"Clover Coin")</f>
        <v>Clover Coin</v>
      </c>
      <c r="B180" s="5" t="str">
        <f>IFERROR(__xludf.DUMMYFUNCTION("""COMPUTED_VALUE"""),"")</f>
        <v/>
      </c>
      <c r="C180" s="5" t="str">
        <f>IFERROR(__xludf.DUMMYFUNCTION("""COMPUTED_VALUE"""),"")</f>
        <v/>
      </c>
      <c r="D180" s="5" t="str">
        <f>IFERROR(__xludf.DUMMYFUNCTION("""COMPUTED_VALUE"""),"")</f>
        <v/>
      </c>
      <c r="E180" s="5" t="str">
        <f>IFERROR(__xludf.DUMMYFUNCTION("""COMPUTED_VALUE"""),"")</f>
        <v/>
      </c>
      <c r="F180" s="5" t="str">
        <f>IFERROR(__xludf.DUMMYFUNCTION("""COMPUTED_VALUE"""),"")</f>
        <v/>
      </c>
      <c r="G180" s="5" t="str">
        <f>IFERROR(__xludf.DUMMYFUNCTION("""COMPUTED_VALUE"""),"")</f>
        <v/>
      </c>
      <c r="H180" s="5" t="str">
        <f>IFERROR(__xludf.DUMMYFUNCTION("""COMPUTED_VALUE"""),"")</f>
        <v/>
      </c>
      <c r="I180" s="5" t="str">
        <f>IFERROR(__xludf.DUMMYFUNCTION("""COMPUTED_VALUE"""),"")</f>
        <v/>
      </c>
      <c r="J180" s="5" t="str">
        <f>IFERROR(__xludf.DUMMYFUNCTION("""COMPUTED_VALUE"""),"")</f>
        <v/>
      </c>
      <c r="K180" s="5" t="str">
        <f>IFERROR(__xludf.DUMMYFUNCTION("""COMPUTED_VALUE"""),"")</f>
        <v/>
      </c>
      <c r="L180" s="5" t="str">
        <f>IFERROR(__xludf.DUMMYFUNCTION("""COMPUTED_VALUE"""),"")</f>
        <v/>
      </c>
      <c r="M180" s="5" t="str">
        <f>IFERROR(__xludf.DUMMYFUNCTION("""COMPUTED_VALUE"""),"")</f>
        <v/>
      </c>
      <c r="N180" s="5" t="str">
        <f>IFERROR(__xludf.DUMMYFUNCTION("""COMPUTED_VALUE"""),"")</f>
        <v/>
      </c>
      <c r="O180" s="5" t="str">
        <f>IFERROR(__xludf.DUMMYFUNCTION("""COMPUTED_VALUE"""),"")</f>
        <v/>
      </c>
      <c r="P180" s="5" t="str">
        <f>IFERROR(__xludf.DUMMYFUNCTION("""COMPUTED_VALUE"""),"")</f>
        <v/>
      </c>
      <c r="Q180" s="5" t="str">
        <f>IFERROR(__xludf.DUMMYFUNCTION("""COMPUTED_VALUE"""),"")</f>
        <v/>
      </c>
      <c r="R180" s="5" t="str">
        <f>IFERROR(__xludf.DUMMYFUNCTION("""COMPUTED_VALUE"""),"")</f>
        <v/>
      </c>
      <c r="S180" s="5" t="str">
        <f>IFERROR(__xludf.DUMMYFUNCTION("""COMPUTED_VALUE"""),"")</f>
        <v/>
      </c>
      <c r="T180" s="5" t="str">
        <f>IFERROR(__xludf.DUMMYFUNCTION("""COMPUTED_VALUE"""),"")</f>
        <v/>
      </c>
      <c r="U180" s="5" t="str">
        <f>IFERROR(__xludf.DUMMYFUNCTION("""COMPUTED_VALUE"""),"")</f>
        <v/>
      </c>
      <c r="V180" s="5" t="str">
        <f>IFERROR(__xludf.DUMMYFUNCTION("""COMPUTED_VALUE"""),"")</f>
        <v/>
      </c>
      <c r="W180" s="5" t="str">
        <f>IFERROR(__xludf.DUMMYFUNCTION("""COMPUTED_VALUE"""),"")</f>
        <v/>
      </c>
      <c r="X180" s="5" t="str">
        <f>IFERROR(__xludf.DUMMYFUNCTION("""COMPUTED_VALUE"""),"")</f>
        <v/>
      </c>
      <c r="Y180" s="5"/>
      <c r="Z180" s="5"/>
    </row>
    <row r="181">
      <c r="A181" s="5" t="str">
        <f>IFERROR(__xludf.DUMMYFUNCTION("""COMPUTED_VALUE"""),"Admiral Hot 5")</f>
        <v>Admiral Hot 5</v>
      </c>
      <c r="B181" s="5" t="str">
        <f>IFERROR(__xludf.DUMMYFUNCTION("""COMPUTED_VALUE"""),"")</f>
        <v/>
      </c>
      <c r="C181" s="5" t="str">
        <f>IFERROR(__xludf.DUMMYFUNCTION("""COMPUTED_VALUE"""),"")</f>
        <v/>
      </c>
      <c r="D181" s="5" t="str">
        <f>IFERROR(__xludf.DUMMYFUNCTION("""COMPUTED_VALUE"""),"")</f>
        <v/>
      </c>
      <c r="E181" s="5" t="str">
        <f>IFERROR(__xludf.DUMMYFUNCTION("""COMPUTED_VALUE"""),"")</f>
        <v/>
      </c>
      <c r="F181" s="5" t="str">
        <f>IFERROR(__xludf.DUMMYFUNCTION("""COMPUTED_VALUE"""),"")</f>
        <v/>
      </c>
      <c r="G181" s="5" t="str">
        <f>IFERROR(__xludf.DUMMYFUNCTION("""COMPUTED_VALUE"""),"")</f>
        <v/>
      </c>
      <c r="H181" s="5" t="str">
        <f>IFERROR(__xludf.DUMMYFUNCTION("""COMPUTED_VALUE"""),"Available")</f>
        <v>Available</v>
      </c>
      <c r="I181" s="5" t="str">
        <f>IFERROR(__xludf.DUMMYFUNCTION("""COMPUTED_VALUE"""),"")</f>
        <v/>
      </c>
      <c r="J181" s="5" t="str">
        <f>IFERROR(__xludf.DUMMYFUNCTION("""COMPUTED_VALUE"""),"")</f>
        <v/>
      </c>
      <c r="K181" s="5" t="str">
        <f>IFERROR(__xludf.DUMMYFUNCTION("""COMPUTED_VALUE"""),"")</f>
        <v/>
      </c>
      <c r="L181" s="5" t="str">
        <f>IFERROR(__xludf.DUMMYFUNCTION("""COMPUTED_VALUE"""),"")</f>
        <v/>
      </c>
      <c r="M181" s="5" t="str">
        <f>IFERROR(__xludf.DUMMYFUNCTION("""COMPUTED_VALUE"""),"")</f>
        <v/>
      </c>
      <c r="N181" s="5" t="str">
        <f>IFERROR(__xludf.DUMMYFUNCTION("""COMPUTED_VALUE"""),"")</f>
        <v/>
      </c>
      <c r="O181" s="5" t="str">
        <f>IFERROR(__xludf.DUMMYFUNCTION("""COMPUTED_VALUE"""),"")</f>
        <v/>
      </c>
      <c r="P181" s="5" t="str">
        <f>IFERROR(__xludf.DUMMYFUNCTION("""COMPUTED_VALUE"""),"")</f>
        <v/>
      </c>
      <c r="Q181" s="5" t="str">
        <f>IFERROR(__xludf.DUMMYFUNCTION("""COMPUTED_VALUE"""),"Available")</f>
        <v>Available</v>
      </c>
      <c r="R181" s="5" t="str">
        <f>IFERROR(__xludf.DUMMYFUNCTION("""COMPUTED_VALUE"""),"")</f>
        <v/>
      </c>
      <c r="S181" s="5" t="str">
        <f>IFERROR(__xludf.DUMMYFUNCTION("""COMPUTED_VALUE"""),"")</f>
        <v/>
      </c>
      <c r="T181" s="5" t="str">
        <f>IFERROR(__xludf.DUMMYFUNCTION("""COMPUTED_VALUE"""),"")</f>
        <v/>
      </c>
      <c r="U181" s="5" t="str">
        <f>IFERROR(__xludf.DUMMYFUNCTION("""COMPUTED_VALUE"""),"")</f>
        <v/>
      </c>
      <c r="V181" s="5" t="str">
        <f>IFERROR(__xludf.DUMMYFUNCTION("""COMPUTED_VALUE"""),"")</f>
        <v/>
      </c>
      <c r="W181" s="5" t="str">
        <f>IFERROR(__xludf.DUMMYFUNCTION("""COMPUTED_VALUE"""),"")</f>
        <v/>
      </c>
      <c r="X181" s="5" t="str">
        <f>IFERROR(__xludf.DUMMYFUNCTION("""COMPUTED_VALUE"""),"")</f>
        <v/>
      </c>
      <c r="Y181" s="5"/>
      <c r="Z181" s="5"/>
    </row>
    <row r="182">
      <c r="A182" s="5" t="str">
        <f>IFERROR(__xludf.DUMMYFUNCTION("""COMPUTED_VALUE"""),"Arena Hot 40")</f>
        <v>Arena Hot 40</v>
      </c>
      <c r="B182" s="5" t="str">
        <f>IFERROR(__xludf.DUMMYFUNCTION("""COMPUTED_VALUE"""),"")</f>
        <v/>
      </c>
      <c r="C182" s="5" t="str">
        <f>IFERROR(__xludf.DUMMYFUNCTION("""COMPUTED_VALUE"""),"")</f>
        <v/>
      </c>
      <c r="D182" s="5" t="str">
        <f>IFERROR(__xludf.DUMMYFUNCTION("""COMPUTED_VALUE"""),"")</f>
        <v/>
      </c>
      <c r="E182" s="5" t="str">
        <f>IFERROR(__xludf.DUMMYFUNCTION("""COMPUTED_VALUE"""),"")</f>
        <v/>
      </c>
      <c r="F182" s="5" t="str">
        <f>IFERROR(__xludf.DUMMYFUNCTION("""COMPUTED_VALUE"""),"")</f>
        <v/>
      </c>
      <c r="G182" s="5" t="str">
        <f>IFERROR(__xludf.DUMMYFUNCTION("""COMPUTED_VALUE"""),"")</f>
        <v/>
      </c>
      <c r="H182" s="5" t="str">
        <f>IFERROR(__xludf.DUMMYFUNCTION("""COMPUTED_VALUE"""),"Available")</f>
        <v>Available</v>
      </c>
      <c r="I182" s="5" t="str">
        <f>IFERROR(__xludf.DUMMYFUNCTION("""COMPUTED_VALUE"""),"")</f>
        <v/>
      </c>
      <c r="J182" s="5" t="str">
        <f>IFERROR(__xludf.DUMMYFUNCTION("""COMPUTED_VALUE"""),"")</f>
        <v/>
      </c>
      <c r="K182" s="5" t="str">
        <f>IFERROR(__xludf.DUMMYFUNCTION("""COMPUTED_VALUE"""),"")</f>
        <v/>
      </c>
      <c r="L182" s="5" t="str">
        <f>IFERROR(__xludf.DUMMYFUNCTION("""COMPUTED_VALUE"""),"")</f>
        <v/>
      </c>
      <c r="M182" s="5" t="str">
        <f>IFERROR(__xludf.DUMMYFUNCTION("""COMPUTED_VALUE"""),"")</f>
        <v/>
      </c>
      <c r="N182" s="5" t="str">
        <f>IFERROR(__xludf.DUMMYFUNCTION("""COMPUTED_VALUE"""),"")</f>
        <v/>
      </c>
      <c r="O182" s="5" t="str">
        <f>IFERROR(__xludf.DUMMYFUNCTION("""COMPUTED_VALUE"""),"")</f>
        <v/>
      </c>
      <c r="P182" s="5" t="str">
        <f>IFERROR(__xludf.DUMMYFUNCTION("""COMPUTED_VALUE"""),"")</f>
        <v/>
      </c>
      <c r="Q182" s="5" t="str">
        <f>IFERROR(__xludf.DUMMYFUNCTION("""COMPUTED_VALUE"""),"")</f>
        <v/>
      </c>
      <c r="R182" s="5" t="str">
        <f>IFERROR(__xludf.DUMMYFUNCTION("""COMPUTED_VALUE"""),"")</f>
        <v/>
      </c>
      <c r="S182" s="5" t="str">
        <f>IFERROR(__xludf.DUMMYFUNCTION("""COMPUTED_VALUE"""),"")</f>
        <v/>
      </c>
      <c r="T182" s="5" t="str">
        <f>IFERROR(__xludf.DUMMYFUNCTION("""COMPUTED_VALUE"""),"")</f>
        <v/>
      </c>
      <c r="U182" s="5" t="str">
        <f>IFERROR(__xludf.DUMMYFUNCTION("""COMPUTED_VALUE"""),"")</f>
        <v/>
      </c>
      <c r="V182" s="5" t="str">
        <f>IFERROR(__xludf.DUMMYFUNCTION("""COMPUTED_VALUE"""),"")</f>
        <v/>
      </c>
      <c r="W182" s="5" t="str">
        <f>IFERROR(__xludf.DUMMYFUNCTION("""COMPUTED_VALUE"""),"")</f>
        <v/>
      </c>
      <c r="X182" s="5" t="str">
        <f>IFERROR(__xludf.DUMMYFUNCTION("""COMPUTED_VALUE"""),"")</f>
        <v/>
      </c>
      <c r="Y182" s="5"/>
      <c r="Z182" s="5"/>
    </row>
    <row r="183">
      <c r="A183" s="5" t="str">
        <f>IFERROR(__xludf.DUMMYFUNCTION("""COMPUTED_VALUE"""),"Germania Hot 40")</f>
        <v>Germania Hot 40</v>
      </c>
      <c r="B183" s="5" t="str">
        <f>IFERROR(__xludf.DUMMYFUNCTION("""COMPUTED_VALUE"""),"")</f>
        <v/>
      </c>
      <c r="C183" s="5" t="str">
        <f>IFERROR(__xludf.DUMMYFUNCTION("""COMPUTED_VALUE"""),"")</f>
        <v/>
      </c>
      <c r="D183" s="5" t="str">
        <f>IFERROR(__xludf.DUMMYFUNCTION("""COMPUTED_VALUE"""),"")</f>
        <v/>
      </c>
      <c r="E183" s="5" t="str">
        <f>IFERROR(__xludf.DUMMYFUNCTION("""COMPUTED_VALUE"""),"")</f>
        <v/>
      </c>
      <c r="F183" s="5" t="str">
        <f>IFERROR(__xludf.DUMMYFUNCTION("""COMPUTED_VALUE"""),"")</f>
        <v/>
      </c>
      <c r="G183" s="5" t="str">
        <f>IFERROR(__xludf.DUMMYFUNCTION("""COMPUTED_VALUE"""),"")</f>
        <v/>
      </c>
      <c r="H183" s="5" t="str">
        <f>IFERROR(__xludf.DUMMYFUNCTION("""COMPUTED_VALUE"""),"Available")</f>
        <v>Available</v>
      </c>
      <c r="I183" s="5" t="str">
        <f>IFERROR(__xludf.DUMMYFUNCTION("""COMPUTED_VALUE"""),"")</f>
        <v/>
      </c>
      <c r="J183" s="5" t="str">
        <f>IFERROR(__xludf.DUMMYFUNCTION("""COMPUTED_VALUE"""),"")</f>
        <v/>
      </c>
      <c r="K183" s="5" t="str">
        <f>IFERROR(__xludf.DUMMYFUNCTION("""COMPUTED_VALUE"""),"")</f>
        <v/>
      </c>
      <c r="L183" s="5" t="str">
        <f>IFERROR(__xludf.DUMMYFUNCTION("""COMPUTED_VALUE"""),"")</f>
        <v/>
      </c>
      <c r="M183" s="5" t="str">
        <f>IFERROR(__xludf.DUMMYFUNCTION("""COMPUTED_VALUE"""),"")</f>
        <v/>
      </c>
      <c r="N183" s="5" t="str">
        <f>IFERROR(__xludf.DUMMYFUNCTION("""COMPUTED_VALUE"""),"")</f>
        <v/>
      </c>
      <c r="O183" s="5" t="str">
        <f>IFERROR(__xludf.DUMMYFUNCTION("""COMPUTED_VALUE"""),"")</f>
        <v/>
      </c>
      <c r="P183" s="5" t="str">
        <f>IFERROR(__xludf.DUMMYFUNCTION("""COMPUTED_VALUE"""),"")</f>
        <v/>
      </c>
      <c r="Q183" s="5" t="str">
        <f>IFERROR(__xludf.DUMMYFUNCTION("""COMPUTED_VALUE"""),"")</f>
        <v/>
      </c>
      <c r="R183" s="5" t="str">
        <f>IFERROR(__xludf.DUMMYFUNCTION("""COMPUTED_VALUE"""),"")</f>
        <v/>
      </c>
      <c r="S183" s="5" t="str">
        <f>IFERROR(__xludf.DUMMYFUNCTION("""COMPUTED_VALUE"""),"")</f>
        <v/>
      </c>
      <c r="T183" s="5" t="str">
        <f>IFERROR(__xludf.DUMMYFUNCTION("""COMPUTED_VALUE"""),"")</f>
        <v/>
      </c>
      <c r="U183" s="5" t="str">
        <f>IFERROR(__xludf.DUMMYFUNCTION("""COMPUTED_VALUE"""),"")</f>
        <v/>
      </c>
      <c r="V183" s="5" t="str">
        <f>IFERROR(__xludf.DUMMYFUNCTION("""COMPUTED_VALUE"""),"")</f>
        <v/>
      </c>
      <c r="W183" s="5" t="str">
        <f>IFERROR(__xludf.DUMMYFUNCTION("""COMPUTED_VALUE"""),"")</f>
        <v/>
      </c>
      <c r="X183" s="5" t="str">
        <f>IFERROR(__xludf.DUMMYFUNCTION("""COMPUTED_VALUE"""),"")</f>
        <v/>
      </c>
      <c r="Y183" s="5"/>
      <c r="Z183" s="5"/>
    </row>
    <row r="184">
      <c r="A184" s="5" t="str">
        <f>IFERROR(__xludf.DUMMYFUNCTION("""COMPUTED_VALUE"""),"WinXtip")</f>
        <v>WinXtip</v>
      </c>
      <c r="B184" s="5" t="str">
        <f>IFERROR(__xludf.DUMMYFUNCTION("""COMPUTED_VALUE"""),"")</f>
        <v/>
      </c>
      <c r="C184" s="5" t="str">
        <f>IFERROR(__xludf.DUMMYFUNCTION("""COMPUTED_VALUE"""),"")</f>
        <v/>
      </c>
      <c r="D184" s="5" t="str">
        <f>IFERROR(__xludf.DUMMYFUNCTION("""COMPUTED_VALUE"""),"")</f>
        <v/>
      </c>
      <c r="E184" s="5" t="str">
        <f>IFERROR(__xludf.DUMMYFUNCTION("""COMPUTED_VALUE"""),"")</f>
        <v/>
      </c>
      <c r="F184" s="5" t="str">
        <f>IFERROR(__xludf.DUMMYFUNCTION("""COMPUTED_VALUE"""),"")</f>
        <v/>
      </c>
      <c r="G184" s="5" t="str">
        <f>IFERROR(__xludf.DUMMYFUNCTION("""COMPUTED_VALUE"""),"")</f>
        <v/>
      </c>
      <c r="H184" s="5" t="str">
        <f>IFERROR(__xludf.DUMMYFUNCTION("""COMPUTED_VALUE"""),"")</f>
        <v/>
      </c>
      <c r="I184" s="5" t="str">
        <f>IFERROR(__xludf.DUMMYFUNCTION("""COMPUTED_VALUE"""),"")</f>
        <v/>
      </c>
      <c r="J184" s="5" t="str">
        <f>IFERROR(__xludf.DUMMYFUNCTION("""COMPUTED_VALUE"""),"")</f>
        <v/>
      </c>
      <c r="K184" s="5" t="str">
        <f>IFERROR(__xludf.DUMMYFUNCTION("""COMPUTED_VALUE"""),"")</f>
        <v/>
      </c>
      <c r="L184" s="5" t="str">
        <f>IFERROR(__xludf.DUMMYFUNCTION("""COMPUTED_VALUE"""),"")</f>
        <v/>
      </c>
      <c r="M184" s="5" t="str">
        <f>IFERROR(__xludf.DUMMYFUNCTION("""COMPUTED_VALUE"""),"")</f>
        <v/>
      </c>
      <c r="N184" s="5" t="str">
        <f>IFERROR(__xludf.DUMMYFUNCTION("""COMPUTED_VALUE"""),"")</f>
        <v/>
      </c>
      <c r="O184" s="5" t="str">
        <f>IFERROR(__xludf.DUMMYFUNCTION("""COMPUTED_VALUE"""),"")</f>
        <v/>
      </c>
      <c r="P184" s="5" t="str">
        <f>IFERROR(__xludf.DUMMYFUNCTION("""COMPUTED_VALUE"""),"")</f>
        <v/>
      </c>
      <c r="Q184" s="5" t="str">
        <f>IFERROR(__xludf.DUMMYFUNCTION("""COMPUTED_VALUE"""),"")</f>
        <v/>
      </c>
      <c r="R184" s="5" t="str">
        <f>IFERROR(__xludf.DUMMYFUNCTION("""COMPUTED_VALUE"""),"")</f>
        <v/>
      </c>
      <c r="S184" s="5" t="str">
        <f>IFERROR(__xludf.DUMMYFUNCTION("""COMPUTED_VALUE"""),"")</f>
        <v/>
      </c>
      <c r="T184" s="5" t="str">
        <f>IFERROR(__xludf.DUMMYFUNCTION("""COMPUTED_VALUE"""),"")</f>
        <v/>
      </c>
      <c r="U184" s="5" t="str">
        <f>IFERROR(__xludf.DUMMYFUNCTION("""COMPUTED_VALUE"""),"")</f>
        <v/>
      </c>
      <c r="V184" s="5" t="str">
        <f>IFERROR(__xludf.DUMMYFUNCTION("""COMPUTED_VALUE"""),"")</f>
        <v/>
      </c>
      <c r="W184" s="5" t="str">
        <f>IFERROR(__xludf.DUMMYFUNCTION("""COMPUTED_VALUE"""),"")</f>
        <v/>
      </c>
      <c r="X184" s="5" t="str">
        <f>IFERROR(__xludf.DUMMYFUNCTION("""COMPUTED_VALUE"""),"")</f>
        <v/>
      </c>
      <c r="Y184" s="5"/>
      <c r="Z184" s="5"/>
    </row>
    <row r="185">
      <c r="A185" s="5" t="str">
        <f>IFERROR(__xludf.DUMMYFUNCTION("""COMPUTED_VALUE"""),"Psk Hot 40")</f>
        <v>Psk Hot 40</v>
      </c>
      <c r="B185" s="5" t="str">
        <f>IFERROR(__xludf.DUMMYFUNCTION("""COMPUTED_VALUE"""),"")</f>
        <v/>
      </c>
      <c r="C185" s="5" t="str">
        <f>IFERROR(__xludf.DUMMYFUNCTION("""COMPUTED_VALUE"""),"")</f>
        <v/>
      </c>
      <c r="D185" s="5" t="str">
        <f>IFERROR(__xludf.DUMMYFUNCTION("""COMPUTED_VALUE"""),"")</f>
        <v/>
      </c>
      <c r="E185" s="5" t="str">
        <f>IFERROR(__xludf.DUMMYFUNCTION("""COMPUTED_VALUE"""),"")</f>
        <v/>
      </c>
      <c r="F185" s="5" t="str">
        <f>IFERROR(__xludf.DUMMYFUNCTION("""COMPUTED_VALUE"""),"")</f>
        <v/>
      </c>
      <c r="G185" s="5" t="str">
        <f>IFERROR(__xludf.DUMMYFUNCTION("""COMPUTED_VALUE"""),"")</f>
        <v/>
      </c>
      <c r="H185" s="5" t="str">
        <f>IFERROR(__xludf.DUMMYFUNCTION("""COMPUTED_VALUE"""),"Available")</f>
        <v>Available</v>
      </c>
      <c r="I185" s="5" t="str">
        <f>IFERROR(__xludf.DUMMYFUNCTION("""COMPUTED_VALUE"""),"")</f>
        <v/>
      </c>
      <c r="J185" s="5" t="str">
        <f>IFERROR(__xludf.DUMMYFUNCTION("""COMPUTED_VALUE"""),"")</f>
        <v/>
      </c>
      <c r="K185" s="5" t="str">
        <f>IFERROR(__xludf.DUMMYFUNCTION("""COMPUTED_VALUE"""),"")</f>
        <v/>
      </c>
      <c r="L185" s="5" t="str">
        <f>IFERROR(__xludf.DUMMYFUNCTION("""COMPUTED_VALUE"""),"")</f>
        <v/>
      </c>
      <c r="M185" s="5" t="str">
        <f>IFERROR(__xludf.DUMMYFUNCTION("""COMPUTED_VALUE"""),"")</f>
        <v/>
      </c>
      <c r="N185" s="5" t="str">
        <f>IFERROR(__xludf.DUMMYFUNCTION("""COMPUTED_VALUE"""),"")</f>
        <v/>
      </c>
      <c r="O185" s="5" t="str">
        <f>IFERROR(__xludf.DUMMYFUNCTION("""COMPUTED_VALUE"""),"")</f>
        <v/>
      </c>
      <c r="P185" s="5" t="str">
        <f>IFERROR(__xludf.DUMMYFUNCTION("""COMPUTED_VALUE"""),"")</f>
        <v/>
      </c>
      <c r="Q185" s="5" t="str">
        <f>IFERROR(__xludf.DUMMYFUNCTION("""COMPUTED_VALUE"""),"")</f>
        <v/>
      </c>
      <c r="R185" s="5" t="str">
        <f>IFERROR(__xludf.DUMMYFUNCTION("""COMPUTED_VALUE"""),"")</f>
        <v/>
      </c>
      <c r="S185" s="5" t="str">
        <f>IFERROR(__xludf.DUMMYFUNCTION("""COMPUTED_VALUE"""),"")</f>
        <v/>
      </c>
      <c r="T185" s="5" t="str">
        <f>IFERROR(__xludf.DUMMYFUNCTION("""COMPUTED_VALUE"""),"")</f>
        <v/>
      </c>
      <c r="U185" s="5" t="str">
        <f>IFERROR(__xludf.DUMMYFUNCTION("""COMPUTED_VALUE"""),"")</f>
        <v/>
      </c>
      <c r="V185" s="5" t="str">
        <f>IFERROR(__xludf.DUMMYFUNCTION("""COMPUTED_VALUE"""),"")</f>
        <v/>
      </c>
      <c r="W185" s="5" t="str">
        <f>IFERROR(__xludf.DUMMYFUNCTION("""COMPUTED_VALUE"""),"")</f>
        <v/>
      </c>
      <c r="X185" s="5" t="str">
        <f>IFERROR(__xludf.DUMMYFUNCTION("""COMPUTED_VALUE"""),"")</f>
        <v/>
      </c>
      <c r="Y185" s="5"/>
      <c r="Z185" s="5"/>
    </row>
    <row r="186">
      <c r="A186" s="5" t="str">
        <f>IFERROR(__xludf.DUMMYFUNCTION("""COMPUTED_VALUE"""),"Super Casino Crown")</f>
        <v>Super Casino Crown</v>
      </c>
      <c r="B186" s="5" t="str">
        <f>IFERROR(__xludf.DUMMYFUNCTION("""COMPUTED_VALUE"""),"")</f>
        <v/>
      </c>
      <c r="C186" s="5" t="str">
        <f>IFERROR(__xludf.DUMMYFUNCTION("""COMPUTED_VALUE"""),"")</f>
        <v/>
      </c>
      <c r="D186" s="5" t="str">
        <f>IFERROR(__xludf.DUMMYFUNCTION("""COMPUTED_VALUE"""),"")</f>
        <v/>
      </c>
      <c r="E186" s="5" t="str">
        <f>IFERROR(__xludf.DUMMYFUNCTION("""COMPUTED_VALUE"""),"")</f>
        <v/>
      </c>
      <c r="F186" s="5" t="str">
        <f>IFERROR(__xludf.DUMMYFUNCTION("""COMPUTED_VALUE"""),"")</f>
        <v/>
      </c>
      <c r="G186" s="5" t="str">
        <f>IFERROR(__xludf.DUMMYFUNCTION("""COMPUTED_VALUE"""),"")</f>
        <v/>
      </c>
      <c r="H186" s="5" t="str">
        <f>IFERROR(__xludf.DUMMYFUNCTION("""COMPUTED_VALUE"""),"Available")</f>
        <v>Available</v>
      </c>
      <c r="I186" s="5" t="str">
        <f>IFERROR(__xludf.DUMMYFUNCTION("""COMPUTED_VALUE"""),"")</f>
        <v/>
      </c>
      <c r="J186" s="5" t="str">
        <f>IFERROR(__xludf.DUMMYFUNCTION("""COMPUTED_VALUE"""),"")</f>
        <v/>
      </c>
      <c r="K186" s="5" t="str">
        <f>IFERROR(__xludf.DUMMYFUNCTION("""COMPUTED_VALUE"""),"")</f>
        <v/>
      </c>
      <c r="L186" s="5" t="str">
        <f>IFERROR(__xludf.DUMMYFUNCTION("""COMPUTED_VALUE"""),"")</f>
        <v/>
      </c>
      <c r="M186" s="5" t="str">
        <f>IFERROR(__xludf.DUMMYFUNCTION("""COMPUTED_VALUE"""),"")</f>
        <v/>
      </c>
      <c r="N186" s="5" t="str">
        <f>IFERROR(__xludf.DUMMYFUNCTION("""COMPUTED_VALUE"""),"")</f>
        <v/>
      </c>
      <c r="O186" s="5" t="str">
        <f>IFERROR(__xludf.DUMMYFUNCTION("""COMPUTED_VALUE"""),"")</f>
        <v/>
      </c>
      <c r="P186" s="5" t="str">
        <f>IFERROR(__xludf.DUMMYFUNCTION("""COMPUTED_VALUE"""),"")</f>
        <v/>
      </c>
      <c r="Q186" s="5" t="str">
        <f>IFERROR(__xludf.DUMMYFUNCTION("""COMPUTED_VALUE"""),"")</f>
        <v/>
      </c>
      <c r="R186" s="5" t="str">
        <f>IFERROR(__xludf.DUMMYFUNCTION("""COMPUTED_VALUE"""),"")</f>
        <v/>
      </c>
      <c r="S186" s="5" t="str">
        <f>IFERROR(__xludf.DUMMYFUNCTION("""COMPUTED_VALUE"""),"")</f>
        <v/>
      </c>
      <c r="T186" s="5" t="str">
        <f>IFERROR(__xludf.DUMMYFUNCTION("""COMPUTED_VALUE"""),"")</f>
        <v/>
      </c>
      <c r="U186" s="5" t="str">
        <f>IFERROR(__xludf.DUMMYFUNCTION("""COMPUTED_VALUE"""),"")</f>
        <v/>
      </c>
      <c r="V186" s="5" t="str">
        <f>IFERROR(__xludf.DUMMYFUNCTION("""COMPUTED_VALUE"""),"")</f>
        <v/>
      </c>
      <c r="W186" s="5" t="str">
        <f>IFERROR(__xludf.DUMMYFUNCTION("""COMPUTED_VALUE"""),"")</f>
        <v/>
      </c>
      <c r="X186" s="5" t="str">
        <f>IFERROR(__xludf.DUMMYFUNCTION("""COMPUTED_VALUE"""),"")</f>
        <v/>
      </c>
      <c r="Y186" s="5"/>
      <c r="Z186" s="5"/>
    </row>
    <row r="187">
      <c r="A187" s="5" t="str">
        <f>IFERROR(__xludf.DUMMYFUNCTION("""COMPUTED_VALUE"""),"Top Hot 20")</f>
        <v>Top Hot 20</v>
      </c>
      <c r="B187" s="5" t="str">
        <f>IFERROR(__xludf.DUMMYFUNCTION("""COMPUTED_VALUE"""),"")</f>
        <v/>
      </c>
      <c r="C187" s="5" t="str">
        <f>IFERROR(__xludf.DUMMYFUNCTION("""COMPUTED_VALUE"""),"")</f>
        <v/>
      </c>
      <c r="D187" s="5" t="str">
        <f>IFERROR(__xludf.DUMMYFUNCTION("""COMPUTED_VALUE"""),"")</f>
        <v/>
      </c>
      <c r="E187" s="5" t="str">
        <f>IFERROR(__xludf.DUMMYFUNCTION("""COMPUTED_VALUE"""),"")</f>
        <v/>
      </c>
      <c r="F187" s="5" t="str">
        <f>IFERROR(__xludf.DUMMYFUNCTION("""COMPUTED_VALUE"""),"")</f>
        <v/>
      </c>
      <c r="G187" s="5" t="str">
        <f>IFERROR(__xludf.DUMMYFUNCTION("""COMPUTED_VALUE"""),"")</f>
        <v/>
      </c>
      <c r="H187" s="5" t="str">
        <f>IFERROR(__xludf.DUMMYFUNCTION("""COMPUTED_VALUE"""),"")</f>
        <v/>
      </c>
      <c r="I187" s="5" t="str">
        <f>IFERROR(__xludf.DUMMYFUNCTION("""COMPUTED_VALUE"""),"")</f>
        <v/>
      </c>
      <c r="J187" s="5" t="str">
        <f>IFERROR(__xludf.DUMMYFUNCTION("""COMPUTED_VALUE"""),"")</f>
        <v/>
      </c>
      <c r="K187" s="5" t="str">
        <f>IFERROR(__xludf.DUMMYFUNCTION("""COMPUTED_VALUE"""),"")</f>
        <v/>
      </c>
      <c r="L187" s="5" t="str">
        <f>IFERROR(__xludf.DUMMYFUNCTION("""COMPUTED_VALUE"""),"")</f>
        <v/>
      </c>
      <c r="M187" s="5" t="str">
        <f>IFERROR(__xludf.DUMMYFUNCTION("""COMPUTED_VALUE"""),"")</f>
        <v/>
      </c>
      <c r="N187" s="5" t="str">
        <f>IFERROR(__xludf.DUMMYFUNCTION("""COMPUTED_VALUE"""),"")</f>
        <v/>
      </c>
      <c r="O187" s="5" t="str">
        <f>IFERROR(__xludf.DUMMYFUNCTION("""COMPUTED_VALUE"""),"")</f>
        <v/>
      </c>
      <c r="P187" s="5" t="str">
        <f>IFERROR(__xludf.DUMMYFUNCTION("""COMPUTED_VALUE"""),"")</f>
        <v/>
      </c>
      <c r="Q187" s="5" t="str">
        <f>IFERROR(__xludf.DUMMYFUNCTION("""COMPUTED_VALUE"""),"")</f>
        <v/>
      </c>
      <c r="R187" s="5" t="str">
        <f>IFERROR(__xludf.DUMMYFUNCTION("""COMPUTED_VALUE"""),"")</f>
        <v/>
      </c>
      <c r="S187" s="5" t="str">
        <f>IFERROR(__xludf.DUMMYFUNCTION("""COMPUTED_VALUE"""),"")</f>
        <v/>
      </c>
      <c r="T187" s="5" t="str">
        <f>IFERROR(__xludf.DUMMYFUNCTION("""COMPUTED_VALUE"""),"")</f>
        <v/>
      </c>
      <c r="U187" s="5" t="str">
        <f>IFERROR(__xludf.DUMMYFUNCTION("""COMPUTED_VALUE"""),"")</f>
        <v/>
      </c>
      <c r="V187" s="5" t="str">
        <f>IFERROR(__xludf.DUMMYFUNCTION("""COMPUTED_VALUE"""),"")</f>
        <v/>
      </c>
      <c r="W187" s="5" t="str">
        <f>IFERROR(__xludf.DUMMYFUNCTION("""COMPUTED_VALUE"""),"")</f>
        <v/>
      </c>
      <c r="X187" s="5" t="str">
        <f>IFERROR(__xludf.DUMMYFUNCTION("""COMPUTED_VALUE"""),"")</f>
        <v/>
      </c>
      <c r="Y187" s="5"/>
      <c r="Z187" s="5"/>
    </row>
    <row r="188">
      <c r="A188" s="5" t="str">
        <f>IFERROR(__xludf.DUMMYFUNCTION("""COMPUTED_VALUE"""),"Pari Hot 40")</f>
        <v>Pari Hot 40</v>
      </c>
      <c r="B188" s="5" t="str">
        <f>IFERROR(__xludf.DUMMYFUNCTION("""COMPUTED_VALUE"""),"")</f>
        <v/>
      </c>
      <c r="C188" s="5" t="str">
        <f>IFERROR(__xludf.DUMMYFUNCTION("""COMPUTED_VALUE"""),"")</f>
        <v/>
      </c>
      <c r="D188" s="5" t="str">
        <f>IFERROR(__xludf.DUMMYFUNCTION("""COMPUTED_VALUE"""),"")</f>
        <v/>
      </c>
      <c r="E188" s="5" t="str">
        <f>IFERROR(__xludf.DUMMYFUNCTION("""COMPUTED_VALUE"""),"")</f>
        <v/>
      </c>
      <c r="F188" s="5" t="str">
        <f>IFERROR(__xludf.DUMMYFUNCTION("""COMPUTED_VALUE"""),"")</f>
        <v/>
      </c>
      <c r="G188" s="5" t="str">
        <f>IFERROR(__xludf.DUMMYFUNCTION("""COMPUTED_VALUE"""),"")</f>
        <v/>
      </c>
      <c r="H188" s="5" t="str">
        <f>IFERROR(__xludf.DUMMYFUNCTION("""COMPUTED_VALUE"""),"")</f>
        <v/>
      </c>
      <c r="I188" s="5" t="str">
        <f>IFERROR(__xludf.DUMMYFUNCTION("""COMPUTED_VALUE"""),"")</f>
        <v/>
      </c>
      <c r="J188" s="5" t="str">
        <f>IFERROR(__xludf.DUMMYFUNCTION("""COMPUTED_VALUE"""),"")</f>
        <v/>
      </c>
      <c r="K188" s="5" t="str">
        <f>IFERROR(__xludf.DUMMYFUNCTION("""COMPUTED_VALUE"""),"")</f>
        <v/>
      </c>
      <c r="L188" s="5" t="str">
        <f>IFERROR(__xludf.DUMMYFUNCTION("""COMPUTED_VALUE"""),"")</f>
        <v/>
      </c>
      <c r="M188" s="5" t="str">
        <f>IFERROR(__xludf.DUMMYFUNCTION("""COMPUTED_VALUE"""),"")</f>
        <v/>
      </c>
      <c r="N188" s="5" t="str">
        <f>IFERROR(__xludf.DUMMYFUNCTION("""COMPUTED_VALUE"""),"")</f>
        <v/>
      </c>
      <c r="O188" s="5" t="str">
        <f>IFERROR(__xludf.DUMMYFUNCTION("""COMPUTED_VALUE"""),"")</f>
        <v/>
      </c>
      <c r="P188" s="5" t="str">
        <f>IFERROR(__xludf.DUMMYFUNCTION("""COMPUTED_VALUE"""),"")</f>
        <v/>
      </c>
      <c r="Q188" s="5" t="str">
        <f>IFERROR(__xludf.DUMMYFUNCTION("""COMPUTED_VALUE"""),"")</f>
        <v/>
      </c>
      <c r="R188" s="5" t="str">
        <f>IFERROR(__xludf.DUMMYFUNCTION("""COMPUTED_VALUE"""),"")</f>
        <v/>
      </c>
      <c r="S188" s="5" t="str">
        <f>IFERROR(__xludf.DUMMYFUNCTION("""COMPUTED_VALUE"""),"")</f>
        <v/>
      </c>
      <c r="T188" s="5" t="str">
        <f>IFERROR(__xludf.DUMMYFUNCTION("""COMPUTED_VALUE"""),"")</f>
        <v/>
      </c>
      <c r="U188" s="5" t="str">
        <f>IFERROR(__xludf.DUMMYFUNCTION("""COMPUTED_VALUE"""),"")</f>
        <v/>
      </c>
      <c r="V188" s="5" t="str">
        <f>IFERROR(__xludf.DUMMYFUNCTION("""COMPUTED_VALUE"""),"")</f>
        <v/>
      </c>
      <c r="W188" s="5" t="str">
        <f>IFERROR(__xludf.DUMMYFUNCTION("""COMPUTED_VALUE"""),"")</f>
        <v/>
      </c>
      <c r="X188" s="5" t="str">
        <f>IFERROR(__xludf.DUMMYFUNCTION("""COMPUTED_VALUE"""),"")</f>
        <v/>
      </c>
      <c r="Y188" s="5"/>
      <c r="Z188" s="5"/>
    </row>
    <row r="189">
      <c r="A189" s="5" t="str">
        <f>IFERROR(__xludf.DUMMYFUNCTION("""COMPUTED_VALUE"""),"Power Of The Great")</f>
        <v>Power Of The Great</v>
      </c>
      <c r="B189" s="5" t="str">
        <f>IFERROR(__xludf.DUMMYFUNCTION("""COMPUTED_VALUE"""),"")</f>
        <v/>
      </c>
      <c r="C189" s="5" t="str">
        <f>IFERROR(__xludf.DUMMYFUNCTION("""COMPUTED_VALUE"""),"")</f>
        <v/>
      </c>
      <c r="D189" s="5" t="str">
        <f>IFERROR(__xludf.DUMMYFUNCTION("""COMPUTED_VALUE"""),"Cert Preparation")</f>
        <v>Cert Preparation</v>
      </c>
      <c r="E189" s="5" t="str">
        <f>IFERROR(__xludf.DUMMYFUNCTION("""COMPUTED_VALUE"""),"")</f>
        <v/>
      </c>
      <c r="F189" s="5" t="str">
        <f>IFERROR(__xludf.DUMMYFUNCTION("""COMPUTED_VALUE"""),"")</f>
        <v/>
      </c>
      <c r="G189" s="5" t="str">
        <f>IFERROR(__xludf.DUMMYFUNCTION("""COMPUTED_VALUE"""),"")</f>
        <v/>
      </c>
      <c r="H189" s="5" t="str">
        <f>IFERROR(__xludf.DUMMYFUNCTION("""COMPUTED_VALUE"""),"")</f>
        <v/>
      </c>
      <c r="I189" s="5" t="str">
        <f>IFERROR(__xludf.DUMMYFUNCTION("""COMPUTED_VALUE"""),"")</f>
        <v/>
      </c>
      <c r="J189" s="5" t="str">
        <f>IFERROR(__xludf.DUMMYFUNCTION("""COMPUTED_VALUE"""),"")</f>
        <v/>
      </c>
      <c r="K189" s="5" t="str">
        <f>IFERROR(__xludf.DUMMYFUNCTION("""COMPUTED_VALUE"""),"Development")</f>
        <v>Development</v>
      </c>
      <c r="L189" s="5" t="str">
        <f>IFERROR(__xludf.DUMMYFUNCTION("""COMPUTED_VALUE"""),"")</f>
        <v/>
      </c>
      <c r="M189" s="5" t="str">
        <f>IFERROR(__xludf.DUMMYFUNCTION("""COMPUTED_VALUE"""),"")</f>
        <v/>
      </c>
      <c r="N189" s="5" t="str">
        <f>IFERROR(__xludf.DUMMYFUNCTION("""COMPUTED_VALUE"""),"")</f>
        <v/>
      </c>
      <c r="O189" s="5" t="str">
        <f>IFERROR(__xludf.DUMMYFUNCTION("""COMPUTED_VALUE"""),"")</f>
        <v/>
      </c>
      <c r="P189" s="5" t="str">
        <f>IFERROR(__xludf.DUMMYFUNCTION("""COMPUTED_VALUE"""),"")</f>
        <v/>
      </c>
      <c r="Q189" s="5" t="str">
        <f>IFERROR(__xludf.DUMMYFUNCTION("""COMPUTED_VALUE"""),"")</f>
        <v/>
      </c>
      <c r="R189" s="5" t="str">
        <f>IFERROR(__xludf.DUMMYFUNCTION("""COMPUTED_VALUE"""),"")</f>
        <v/>
      </c>
      <c r="S189" s="5" t="str">
        <f>IFERROR(__xludf.DUMMYFUNCTION("""COMPUTED_VALUE"""),"")</f>
        <v/>
      </c>
      <c r="T189" s="5" t="str">
        <f>IFERROR(__xludf.DUMMYFUNCTION("""COMPUTED_VALUE"""),"")</f>
        <v/>
      </c>
      <c r="U189" s="5" t="str">
        <f>IFERROR(__xludf.DUMMYFUNCTION("""COMPUTED_VALUE"""),"")</f>
        <v/>
      </c>
      <c r="V189" s="5" t="str">
        <f>IFERROR(__xludf.DUMMYFUNCTION("""COMPUTED_VALUE"""),"")</f>
        <v/>
      </c>
      <c r="W189" s="5" t="str">
        <f>IFERROR(__xludf.DUMMYFUNCTION("""COMPUTED_VALUE"""),"")</f>
        <v/>
      </c>
      <c r="X189" s="5" t="str">
        <f>IFERROR(__xludf.DUMMYFUNCTION("""COMPUTED_VALUE"""),"")</f>
        <v/>
      </c>
      <c r="Y189" s="5"/>
      <c r="Z189" s="5"/>
    </row>
    <row r="190">
      <c r="A190" s="5" t="str">
        <f>IFERROR(__xludf.DUMMYFUNCTION("""COMPUTED_VALUE"""),"40 Mega Flames")</f>
        <v>40 Mega Flames</v>
      </c>
      <c r="B190" s="5" t="str">
        <f>IFERROR(__xludf.DUMMYFUNCTION("""COMPUTED_VALUE"""),"")</f>
        <v/>
      </c>
      <c r="C190" s="5" t="str">
        <f>IFERROR(__xludf.DUMMYFUNCTION("""COMPUTED_VALUE"""),"")</f>
        <v/>
      </c>
      <c r="D190" s="5" t="str">
        <f>IFERROR(__xludf.DUMMYFUNCTION("""COMPUTED_VALUE"""),"")</f>
        <v/>
      </c>
      <c r="E190" s="5" t="str">
        <f>IFERROR(__xludf.DUMMYFUNCTION("""COMPUTED_VALUE"""),"")</f>
        <v/>
      </c>
      <c r="F190" s="5" t="str">
        <f>IFERROR(__xludf.DUMMYFUNCTION("""COMPUTED_VALUE"""),"")</f>
        <v/>
      </c>
      <c r="G190" s="5" t="str">
        <f>IFERROR(__xludf.DUMMYFUNCTION("""COMPUTED_VALUE"""),"")</f>
        <v/>
      </c>
      <c r="H190" s="5" t="str">
        <f>IFERROR(__xludf.DUMMYFUNCTION("""COMPUTED_VALUE"""),"")</f>
        <v/>
      </c>
      <c r="I190" s="5" t="str">
        <f>IFERROR(__xludf.DUMMYFUNCTION("""COMPUTED_VALUE"""),"")</f>
        <v/>
      </c>
      <c r="J190" s="5" t="str">
        <f>IFERROR(__xludf.DUMMYFUNCTION("""COMPUTED_VALUE"""),"")</f>
        <v/>
      </c>
      <c r="K190" s="5" t="str">
        <f>IFERROR(__xludf.DUMMYFUNCTION("""COMPUTED_VALUE"""),"")</f>
        <v/>
      </c>
      <c r="L190" s="5" t="str">
        <f>IFERROR(__xludf.DUMMYFUNCTION("""COMPUTED_VALUE"""),"")</f>
        <v/>
      </c>
      <c r="M190" s="5" t="str">
        <f>IFERROR(__xludf.DUMMYFUNCTION("""COMPUTED_VALUE"""),"")</f>
        <v/>
      </c>
      <c r="N190" s="5" t="str">
        <f>IFERROR(__xludf.DUMMYFUNCTION("""COMPUTED_VALUE"""),"")</f>
        <v/>
      </c>
      <c r="O190" s="5" t="str">
        <f>IFERROR(__xludf.DUMMYFUNCTION("""COMPUTED_VALUE"""),"")</f>
        <v/>
      </c>
      <c r="P190" s="5" t="str">
        <f>IFERROR(__xludf.DUMMYFUNCTION("""COMPUTED_VALUE"""),"")</f>
        <v/>
      </c>
      <c r="Q190" s="5" t="str">
        <f>IFERROR(__xludf.DUMMYFUNCTION("""COMPUTED_VALUE"""),"")</f>
        <v/>
      </c>
      <c r="R190" s="5" t="str">
        <f>IFERROR(__xludf.DUMMYFUNCTION("""COMPUTED_VALUE"""),"")</f>
        <v/>
      </c>
      <c r="S190" s="5" t="str">
        <f>IFERROR(__xludf.DUMMYFUNCTION("""COMPUTED_VALUE"""),"")</f>
        <v/>
      </c>
      <c r="T190" s="5" t="str">
        <f>IFERROR(__xludf.DUMMYFUNCTION("""COMPUTED_VALUE"""),"")</f>
        <v/>
      </c>
      <c r="U190" s="5" t="str">
        <f>IFERROR(__xludf.DUMMYFUNCTION("""COMPUTED_VALUE"""),"")</f>
        <v/>
      </c>
      <c r="V190" s="5" t="str">
        <f>IFERROR(__xludf.DUMMYFUNCTION("""COMPUTED_VALUE"""),"")</f>
        <v/>
      </c>
      <c r="W190" s="5" t="str">
        <f>IFERROR(__xludf.DUMMYFUNCTION("""COMPUTED_VALUE"""),"")</f>
        <v/>
      </c>
      <c r="X190" s="5" t="str">
        <f>IFERROR(__xludf.DUMMYFUNCTION("""COMPUTED_VALUE"""),"")</f>
        <v/>
      </c>
      <c r="Y190" s="5"/>
      <c r="Z190" s="5"/>
    </row>
    <row r="191">
      <c r="A191" s="5" t="str">
        <f>IFERROR(__xludf.DUMMYFUNCTION("""COMPUTED_VALUE"""),"40 Dice Flames")</f>
        <v>40 Dice Flames</v>
      </c>
      <c r="B191" s="5" t="str">
        <f>IFERROR(__xludf.DUMMYFUNCTION("""COMPUTED_VALUE"""),"")</f>
        <v/>
      </c>
      <c r="C191" s="5" t="str">
        <f>IFERROR(__xludf.DUMMYFUNCTION("""COMPUTED_VALUE"""),"")</f>
        <v/>
      </c>
      <c r="D191" s="5" t="str">
        <f>IFERROR(__xludf.DUMMYFUNCTION("""COMPUTED_VALUE"""),"")</f>
        <v/>
      </c>
      <c r="E191" s="5" t="str">
        <f>IFERROR(__xludf.DUMMYFUNCTION("""COMPUTED_VALUE"""),"")</f>
        <v/>
      </c>
      <c r="F191" s="5" t="str">
        <f>IFERROR(__xludf.DUMMYFUNCTION("""COMPUTED_VALUE"""),"")</f>
        <v/>
      </c>
      <c r="G191" s="5" t="str">
        <f>IFERROR(__xludf.DUMMYFUNCTION("""COMPUTED_VALUE"""),"")</f>
        <v/>
      </c>
      <c r="H191" s="5" t="str">
        <f>IFERROR(__xludf.DUMMYFUNCTION("""COMPUTED_VALUE"""),"")</f>
        <v/>
      </c>
      <c r="I191" s="5" t="str">
        <f>IFERROR(__xludf.DUMMYFUNCTION("""COMPUTED_VALUE"""),"")</f>
        <v/>
      </c>
      <c r="J191" s="5" t="str">
        <f>IFERROR(__xludf.DUMMYFUNCTION("""COMPUTED_VALUE"""),"")</f>
        <v/>
      </c>
      <c r="K191" s="5" t="str">
        <f>IFERROR(__xludf.DUMMYFUNCTION("""COMPUTED_VALUE"""),"")</f>
        <v/>
      </c>
      <c r="L191" s="5" t="str">
        <f>IFERROR(__xludf.DUMMYFUNCTION("""COMPUTED_VALUE"""),"")</f>
        <v/>
      </c>
      <c r="M191" s="5" t="str">
        <f>IFERROR(__xludf.DUMMYFUNCTION("""COMPUTED_VALUE"""),"")</f>
        <v/>
      </c>
      <c r="N191" s="5" t="str">
        <f>IFERROR(__xludf.DUMMYFUNCTION("""COMPUTED_VALUE"""),"")</f>
        <v/>
      </c>
      <c r="O191" s="5" t="str">
        <f>IFERROR(__xludf.DUMMYFUNCTION("""COMPUTED_VALUE"""),"")</f>
        <v/>
      </c>
      <c r="P191" s="5" t="str">
        <f>IFERROR(__xludf.DUMMYFUNCTION("""COMPUTED_VALUE"""),"")</f>
        <v/>
      </c>
      <c r="Q191" s="5" t="str">
        <f>IFERROR(__xludf.DUMMYFUNCTION("""COMPUTED_VALUE"""),"")</f>
        <v/>
      </c>
      <c r="R191" s="5" t="str">
        <f>IFERROR(__xludf.DUMMYFUNCTION("""COMPUTED_VALUE"""),"")</f>
        <v/>
      </c>
      <c r="S191" s="5" t="str">
        <f>IFERROR(__xludf.DUMMYFUNCTION("""COMPUTED_VALUE"""),"")</f>
        <v/>
      </c>
      <c r="T191" s="5" t="str">
        <f>IFERROR(__xludf.DUMMYFUNCTION("""COMPUTED_VALUE"""),"")</f>
        <v/>
      </c>
      <c r="U191" s="5" t="str">
        <f>IFERROR(__xludf.DUMMYFUNCTION("""COMPUTED_VALUE"""),"")</f>
        <v/>
      </c>
      <c r="V191" s="5" t="str">
        <f>IFERROR(__xludf.DUMMYFUNCTION("""COMPUTED_VALUE"""),"")</f>
        <v/>
      </c>
      <c r="W191" s="5" t="str">
        <f>IFERROR(__xludf.DUMMYFUNCTION("""COMPUTED_VALUE"""),"")</f>
        <v/>
      </c>
      <c r="X191" s="5" t="str">
        <f>IFERROR(__xludf.DUMMYFUNCTION("""COMPUTED_VALUE"""),"")</f>
        <v/>
      </c>
      <c r="Y191" s="5"/>
      <c r="Z191" s="5"/>
    </row>
    <row r="192">
      <c r="A192" s="5" t="str">
        <f>IFERROR(__xludf.DUMMYFUNCTION("""COMPUTED_VALUE"""),"Heat Classic 5")</f>
        <v>Heat Classic 5</v>
      </c>
      <c r="B192" s="5" t="str">
        <f>IFERROR(__xludf.DUMMYFUNCTION("""COMPUTED_VALUE"""),"")</f>
        <v/>
      </c>
      <c r="C192" s="5" t="str">
        <f>IFERROR(__xludf.DUMMYFUNCTION("""COMPUTED_VALUE"""),"")</f>
        <v/>
      </c>
      <c r="D192" s="5" t="str">
        <f>IFERROR(__xludf.DUMMYFUNCTION("""COMPUTED_VALUE"""),"")</f>
        <v/>
      </c>
      <c r="E192" s="5" t="str">
        <f>IFERROR(__xludf.DUMMYFUNCTION("""COMPUTED_VALUE"""),"")</f>
        <v/>
      </c>
      <c r="F192" s="5" t="str">
        <f>IFERROR(__xludf.DUMMYFUNCTION("""COMPUTED_VALUE"""),"")</f>
        <v/>
      </c>
      <c r="G192" s="5" t="str">
        <f>IFERROR(__xludf.DUMMYFUNCTION("""COMPUTED_VALUE"""),"")</f>
        <v/>
      </c>
      <c r="H192" s="5" t="str">
        <f>IFERROR(__xludf.DUMMYFUNCTION("""COMPUTED_VALUE"""),"")</f>
        <v/>
      </c>
      <c r="I192" s="5" t="str">
        <f>IFERROR(__xludf.DUMMYFUNCTION("""COMPUTED_VALUE"""),"")</f>
        <v/>
      </c>
      <c r="J192" s="5" t="str">
        <f>IFERROR(__xludf.DUMMYFUNCTION("""COMPUTED_VALUE"""),"")</f>
        <v/>
      </c>
      <c r="K192" s="5" t="str">
        <f>IFERROR(__xludf.DUMMYFUNCTION("""COMPUTED_VALUE"""),"")</f>
        <v/>
      </c>
      <c r="L192" s="5" t="str">
        <f>IFERROR(__xludf.DUMMYFUNCTION("""COMPUTED_VALUE"""),"")</f>
        <v/>
      </c>
      <c r="M192" s="5" t="str">
        <f>IFERROR(__xludf.DUMMYFUNCTION("""COMPUTED_VALUE"""),"")</f>
        <v/>
      </c>
      <c r="N192" s="5" t="str">
        <f>IFERROR(__xludf.DUMMYFUNCTION("""COMPUTED_VALUE"""),"")</f>
        <v/>
      </c>
      <c r="O192" s="5" t="str">
        <f>IFERROR(__xludf.DUMMYFUNCTION("""COMPUTED_VALUE"""),"")</f>
        <v/>
      </c>
      <c r="P192" s="5" t="str">
        <f>IFERROR(__xludf.DUMMYFUNCTION("""COMPUTED_VALUE"""),"")</f>
        <v/>
      </c>
      <c r="Q192" s="5" t="str">
        <f>IFERROR(__xludf.DUMMYFUNCTION("""COMPUTED_VALUE"""),"")</f>
        <v/>
      </c>
      <c r="R192" s="5" t="str">
        <f>IFERROR(__xludf.DUMMYFUNCTION("""COMPUTED_VALUE"""),"")</f>
        <v/>
      </c>
      <c r="S192" s="5" t="str">
        <f>IFERROR(__xludf.DUMMYFUNCTION("""COMPUTED_VALUE"""),"")</f>
        <v/>
      </c>
      <c r="T192" s="5" t="str">
        <f>IFERROR(__xludf.DUMMYFUNCTION("""COMPUTED_VALUE"""),"")</f>
        <v/>
      </c>
      <c r="U192" s="5" t="str">
        <f>IFERROR(__xludf.DUMMYFUNCTION("""COMPUTED_VALUE"""),"")</f>
        <v/>
      </c>
      <c r="V192" s="5" t="str">
        <f>IFERROR(__xludf.DUMMYFUNCTION("""COMPUTED_VALUE"""),"")</f>
        <v/>
      </c>
      <c r="W192" s="5" t="str">
        <f>IFERROR(__xludf.DUMMYFUNCTION("""COMPUTED_VALUE"""),"")</f>
        <v/>
      </c>
      <c r="X192" s="5" t="str">
        <f>IFERROR(__xludf.DUMMYFUNCTION("""COMPUTED_VALUE"""),"")</f>
        <v/>
      </c>
      <c r="Y192" s="5"/>
      <c r="Z192" s="5"/>
    </row>
    <row r="193">
      <c r="A193" s="5" t="str">
        <f>IFERROR(__xludf.DUMMYFUNCTION("""COMPUTED_VALUE"""),"Wild Hot 40 Halloween")</f>
        <v>Wild Hot 40 Halloween</v>
      </c>
      <c r="B193" s="5" t="str">
        <f>IFERROR(__xludf.DUMMYFUNCTION("""COMPUTED_VALUE"""),"")</f>
        <v/>
      </c>
      <c r="C193" s="5" t="str">
        <f>IFERROR(__xludf.DUMMYFUNCTION("""COMPUTED_VALUE"""),"")</f>
        <v/>
      </c>
      <c r="D193" s="5" t="str">
        <f>IFERROR(__xludf.DUMMYFUNCTION("""COMPUTED_VALUE"""),"")</f>
        <v/>
      </c>
      <c r="E193" s="5" t="str">
        <f>IFERROR(__xludf.DUMMYFUNCTION("""COMPUTED_VALUE"""),"")</f>
        <v/>
      </c>
      <c r="F193" s="5" t="str">
        <f>IFERROR(__xludf.DUMMYFUNCTION("""COMPUTED_VALUE"""),"")</f>
        <v/>
      </c>
      <c r="G193" s="5" t="str">
        <f>IFERROR(__xludf.DUMMYFUNCTION("""COMPUTED_VALUE"""),"")</f>
        <v/>
      </c>
      <c r="H193" s="5" t="str">
        <f>IFERROR(__xludf.DUMMYFUNCTION("""COMPUTED_VALUE"""),"")</f>
        <v/>
      </c>
      <c r="I193" s="5" t="str">
        <f>IFERROR(__xludf.DUMMYFUNCTION("""COMPUTED_VALUE"""),"")</f>
        <v/>
      </c>
      <c r="J193" s="5" t="str">
        <f>IFERROR(__xludf.DUMMYFUNCTION("""COMPUTED_VALUE"""),"")</f>
        <v/>
      </c>
      <c r="K193" s="5" t="str">
        <f>IFERROR(__xludf.DUMMYFUNCTION("""COMPUTED_VALUE"""),"")</f>
        <v/>
      </c>
      <c r="L193" s="5" t="str">
        <f>IFERROR(__xludf.DUMMYFUNCTION("""COMPUTED_VALUE"""),"")</f>
        <v/>
      </c>
      <c r="M193" s="5" t="str">
        <f>IFERROR(__xludf.DUMMYFUNCTION("""COMPUTED_VALUE"""),"")</f>
        <v/>
      </c>
      <c r="N193" s="5" t="str">
        <f>IFERROR(__xludf.DUMMYFUNCTION("""COMPUTED_VALUE"""),"")</f>
        <v/>
      </c>
      <c r="O193" s="5" t="str">
        <f>IFERROR(__xludf.DUMMYFUNCTION("""COMPUTED_VALUE"""),"")</f>
        <v/>
      </c>
      <c r="P193" s="5" t="str">
        <f>IFERROR(__xludf.DUMMYFUNCTION("""COMPUTED_VALUE"""),"")</f>
        <v/>
      </c>
      <c r="Q193" s="5" t="str">
        <f>IFERROR(__xludf.DUMMYFUNCTION("""COMPUTED_VALUE"""),"")</f>
        <v/>
      </c>
      <c r="R193" s="5" t="str">
        <f>IFERROR(__xludf.DUMMYFUNCTION("""COMPUTED_VALUE"""),"")</f>
        <v/>
      </c>
      <c r="S193" s="5" t="str">
        <f>IFERROR(__xludf.DUMMYFUNCTION("""COMPUTED_VALUE"""),"")</f>
        <v/>
      </c>
      <c r="T193" s="5" t="str">
        <f>IFERROR(__xludf.DUMMYFUNCTION("""COMPUTED_VALUE"""),"")</f>
        <v/>
      </c>
      <c r="U193" s="5" t="str">
        <f>IFERROR(__xludf.DUMMYFUNCTION("""COMPUTED_VALUE"""),"")</f>
        <v/>
      </c>
      <c r="V193" s="5" t="str">
        <f>IFERROR(__xludf.DUMMYFUNCTION("""COMPUTED_VALUE"""),"")</f>
        <v/>
      </c>
      <c r="W193" s="5" t="str">
        <f>IFERROR(__xludf.DUMMYFUNCTION("""COMPUTED_VALUE"""),"")</f>
        <v/>
      </c>
      <c r="X193" s="5" t="str">
        <f>IFERROR(__xludf.DUMMYFUNCTION("""COMPUTED_VALUE"""),"")</f>
        <v/>
      </c>
      <c r="Y193" s="5"/>
      <c r="Z193" s="5"/>
    </row>
    <row r="194">
      <c r="A194" s="5" t="str">
        <f>IFERROR(__xludf.DUMMYFUNCTION("""COMPUTED_VALUE"""),"Crystal Hot 40 Halloween")</f>
        <v>Crystal Hot 40 Halloween</v>
      </c>
      <c r="B194" s="5" t="str">
        <f>IFERROR(__xludf.DUMMYFUNCTION("""COMPUTED_VALUE"""),"")</f>
        <v/>
      </c>
      <c r="C194" s="5" t="str">
        <f>IFERROR(__xludf.DUMMYFUNCTION("""COMPUTED_VALUE"""),"")</f>
        <v/>
      </c>
      <c r="D194" s="5" t="str">
        <f>IFERROR(__xludf.DUMMYFUNCTION("""COMPUTED_VALUE"""),"")</f>
        <v/>
      </c>
      <c r="E194" s="5" t="str">
        <f>IFERROR(__xludf.DUMMYFUNCTION("""COMPUTED_VALUE"""),"")</f>
        <v/>
      </c>
      <c r="F194" s="5" t="str">
        <f>IFERROR(__xludf.DUMMYFUNCTION("""COMPUTED_VALUE"""),"")</f>
        <v/>
      </c>
      <c r="G194" s="5" t="str">
        <f>IFERROR(__xludf.DUMMYFUNCTION("""COMPUTED_VALUE"""),"")</f>
        <v/>
      </c>
      <c r="H194" s="5" t="str">
        <f>IFERROR(__xludf.DUMMYFUNCTION("""COMPUTED_VALUE"""),"")</f>
        <v/>
      </c>
      <c r="I194" s="5" t="str">
        <f>IFERROR(__xludf.DUMMYFUNCTION("""COMPUTED_VALUE"""),"")</f>
        <v/>
      </c>
      <c r="J194" s="5" t="str">
        <f>IFERROR(__xludf.DUMMYFUNCTION("""COMPUTED_VALUE"""),"")</f>
        <v/>
      </c>
      <c r="K194" s="5" t="str">
        <f>IFERROR(__xludf.DUMMYFUNCTION("""COMPUTED_VALUE"""),"")</f>
        <v/>
      </c>
      <c r="L194" s="5" t="str">
        <f>IFERROR(__xludf.DUMMYFUNCTION("""COMPUTED_VALUE"""),"")</f>
        <v/>
      </c>
      <c r="M194" s="5" t="str">
        <f>IFERROR(__xludf.DUMMYFUNCTION("""COMPUTED_VALUE"""),"")</f>
        <v/>
      </c>
      <c r="N194" s="5" t="str">
        <f>IFERROR(__xludf.DUMMYFUNCTION("""COMPUTED_VALUE"""),"")</f>
        <v/>
      </c>
      <c r="O194" s="5" t="str">
        <f>IFERROR(__xludf.DUMMYFUNCTION("""COMPUTED_VALUE"""),"")</f>
        <v/>
      </c>
      <c r="P194" s="5" t="str">
        <f>IFERROR(__xludf.DUMMYFUNCTION("""COMPUTED_VALUE"""),"")</f>
        <v/>
      </c>
      <c r="Q194" s="5" t="str">
        <f>IFERROR(__xludf.DUMMYFUNCTION("""COMPUTED_VALUE"""),"")</f>
        <v/>
      </c>
      <c r="R194" s="5" t="str">
        <f>IFERROR(__xludf.DUMMYFUNCTION("""COMPUTED_VALUE"""),"")</f>
        <v/>
      </c>
      <c r="S194" s="5" t="str">
        <f>IFERROR(__xludf.DUMMYFUNCTION("""COMPUTED_VALUE"""),"")</f>
        <v/>
      </c>
      <c r="T194" s="5" t="str">
        <f>IFERROR(__xludf.DUMMYFUNCTION("""COMPUTED_VALUE"""),"")</f>
        <v/>
      </c>
      <c r="U194" s="5" t="str">
        <f>IFERROR(__xludf.DUMMYFUNCTION("""COMPUTED_VALUE"""),"")</f>
        <v/>
      </c>
      <c r="V194" s="5" t="str">
        <f>IFERROR(__xludf.DUMMYFUNCTION("""COMPUTED_VALUE"""),"")</f>
        <v/>
      </c>
      <c r="W194" s="5" t="str">
        <f>IFERROR(__xludf.DUMMYFUNCTION("""COMPUTED_VALUE"""),"")</f>
        <v/>
      </c>
      <c r="X194" s="5" t="str">
        <f>IFERROR(__xludf.DUMMYFUNCTION("""COMPUTED_VALUE"""),"")</f>
        <v/>
      </c>
      <c r="Y194" s="5"/>
      <c r="Z194" s="5"/>
    </row>
    <row r="195">
      <c r="A195" s="5" t="str">
        <f>IFERROR(__xludf.DUMMYFUNCTION("""COMPUTED_VALUE"""),"Very Hot 40 Dice")</f>
        <v>Very Hot 40 Dice</v>
      </c>
      <c r="B195" s="5" t="str">
        <f>IFERROR(__xludf.DUMMYFUNCTION("""COMPUTED_VALUE"""),"")</f>
        <v/>
      </c>
      <c r="C195" s="5" t="str">
        <f>IFERROR(__xludf.DUMMYFUNCTION("""COMPUTED_VALUE"""),"")</f>
        <v/>
      </c>
      <c r="D195" s="5" t="str">
        <f>IFERROR(__xludf.DUMMYFUNCTION("""COMPUTED_VALUE"""),"Cert Preparation")</f>
        <v>Cert Preparation</v>
      </c>
      <c r="E195" s="5" t="str">
        <f>IFERROR(__xludf.DUMMYFUNCTION("""COMPUTED_VALUE"""),"")</f>
        <v/>
      </c>
      <c r="F195" s="5" t="str">
        <f>IFERROR(__xludf.DUMMYFUNCTION("""COMPUTED_VALUE"""),"")</f>
        <v/>
      </c>
      <c r="G195" s="5" t="str">
        <f>IFERROR(__xludf.DUMMYFUNCTION("""COMPUTED_VALUE"""),"")</f>
        <v/>
      </c>
      <c r="H195" s="5" t="str">
        <f>IFERROR(__xludf.DUMMYFUNCTION("""COMPUTED_VALUE"""),"")</f>
        <v/>
      </c>
      <c r="I195" s="5" t="str">
        <f>IFERROR(__xludf.DUMMYFUNCTION("""COMPUTED_VALUE"""),"")</f>
        <v/>
      </c>
      <c r="J195" s="5" t="str">
        <f>IFERROR(__xludf.DUMMYFUNCTION("""COMPUTED_VALUE"""),"")</f>
        <v/>
      </c>
      <c r="K195" s="5" t="str">
        <f>IFERROR(__xludf.DUMMYFUNCTION("""COMPUTED_VALUE"""),"")</f>
        <v/>
      </c>
      <c r="L195" s="5" t="str">
        <f>IFERROR(__xludf.DUMMYFUNCTION("""COMPUTED_VALUE"""),"")</f>
        <v/>
      </c>
      <c r="M195" s="5" t="str">
        <f>IFERROR(__xludf.DUMMYFUNCTION("""COMPUTED_VALUE"""),"")</f>
        <v/>
      </c>
      <c r="N195" s="5" t="str">
        <f>IFERROR(__xludf.DUMMYFUNCTION("""COMPUTED_VALUE"""),"")</f>
        <v/>
      </c>
      <c r="O195" s="5" t="str">
        <f>IFERROR(__xludf.DUMMYFUNCTION("""COMPUTED_VALUE"""),"")</f>
        <v/>
      </c>
      <c r="P195" s="5" t="str">
        <f>IFERROR(__xludf.DUMMYFUNCTION("""COMPUTED_VALUE"""),"")</f>
        <v/>
      </c>
      <c r="Q195" s="5" t="str">
        <f>IFERROR(__xludf.DUMMYFUNCTION("""COMPUTED_VALUE"""),"")</f>
        <v/>
      </c>
      <c r="R195" s="5" t="str">
        <f>IFERROR(__xludf.DUMMYFUNCTION("""COMPUTED_VALUE"""),"")</f>
        <v/>
      </c>
      <c r="S195" s="5" t="str">
        <f>IFERROR(__xludf.DUMMYFUNCTION("""COMPUTED_VALUE"""),"")</f>
        <v/>
      </c>
      <c r="T195" s="5" t="str">
        <f>IFERROR(__xludf.DUMMYFUNCTION("""COMPUTED_VALUE"""),"")</f>
        <v/>
      </c>
      <c r="U195" s="5" t="str">
        <f>IFERROR(__xludf.DUMMYFUNCTION("""COMPUTED_VALUE"""),"")</f>
        <v/>
      </c>
      <c r="V195" s="5" t="str">
        <f>IFERROR(__xludf.DUMMYFUNCTION("""COMPUTED_VALUE"""),"")</f>
        <v/>
      </c>
      <c r="W195" s="5" t="str">
        <f>IFERROR(__xludf.DUMMYFUNCTION("""COMPUTED_VALUE"""),"")</f>
        <v/>
      </c>
      <c r="X195" s="5" t="str">
        <f>IFERROR(__xludf.DUMMYFUNCTION("""COMPUTED_VALUE"""),"")</f>
        <v/>
      </c>
      <c r="Y195" s="5"/>
      <c r="Z195" s="5"/>
    </row>
    <row r="196">
      <c r="A196" s="5" t="str">
        <f>IFERROR(__xludf.DUMMYFUNCTION("""COMPUTED_VALUE"""),"Wild Lucky Clover")</f>
        <v>Wild Lucky Clover</v>
      </c>
      <c r="B196" s="5" t="str">
        <f>IFERROR(__xludf.DUMMYFUNCTION("""COMPUTED_VALUE"""),"Available")</f>
        <v>Available</v>
      </c>
      <c r="C196" s="5" t="str">
        <f>IFERROR(__xludf.DUMMYFUNCTION("""COMPUTED_VALUE"""),"Available")</f>
        <v>Available</v>
      </c>
      <c r="D196" s="5" t="str">
        <f>IFERROR(__xludf.DUMMYFUNCTION("""COMPUTED_VALUE"""),"Available")</f>
        <v>Available</v>
      </c>
      <c r="E196" s="5" t="str">
        <f>IFERROR(__xludf.DUMMYFUNCTION("""COMPUTED_VALUE"""),"Available")</f>
        <v>Available</v>
      </c>
      <c r="F196" s="5" t="str">
        <f>IFERROR(__xludf.DUMMYFUNCTION("""COMPUTED_VALUE"""),"Available")</f>
        <v>Available</v>
      </c>
      <c r="G196" s="5" t="str">
        <f>IFERROR(__xludf.DUMMYFUNCTION("""COMPUTED_VALUE"""),"Available")</f>
        <v>Available</v>
      </c>
      <c r="H196" s="5" t="str">
        <f>IFERROR(__xludf.DUMMYFUNCTION("""COMPUTED_VALUE"""),"Available")</f>
        <v>Available</v>
      </c>
      <c r="I196" s="5" t="str">
        <f>IFERROR(__xludf.DUMMYFUNCTION("""COMPUTED_VALUE"""),"Development")</f>
        <v>Development</v>
      </c>
      <c r="J196" s="5" t="str">
        <f>IFERROR(__xludf.DUMMYFUNCTION("""COMPUTED_VALUE"""),"Available")</f>
        <v>Available</v>
      </c>
      <c r="K196" s="5" t="str">
        <f>IFERROR(__xludf.DUMMYFUNCTION("""COMPUTED_VALUE"""),"Available")</f>
        <v>Available</v>
      </c>
      <c r="L196" s="5" t="str">
        <f>IFERROR(__xludf.DUMMYFUNCTION("""COMPUTED_VALUE"""),"Development")</f>
        <v>Development</v>
      </c>
      <c r="M196" s="5" t="str">
        <f>IFERROR(__xludf.DUMMYFUNCTION("""COMPUTED_VALUE"""),"Available")</f>
        <v>Available</v>
      </c>
      <c r="N196" s="5" t="str">
        <f>IFERROR(__xludf.DUMMYFUNCTION("""COMPUTED_VALUE"""),"Available")</f>
        <v>Available</v>
      </c>
      <c r="O196" s="5" t="str">
        <f>IFERROR(__xludf.DUMMYFUNCTION("""COMPUTED_VALUE"""),"")</f>
        <v/>
      </c>
      <c r="P196" s="5" t="str">
        <f>IFERROR(__xludf.DUMMYFUNCTION("""COMPUTED_VALUE"""),"")</f>
        <v/>
      </c>
      <c r="Q196" s="5" t="str">
        <f>IFERROR(__xludf.DUMMYFUNCTION("""COMPUTED_VALUE"""),"Available")</f>
        <v>Available</v>
      </c>
      <c r="R196" s="5" t="str">
        <f>IFERROR(__xludf.DUMMYFUNCTION("""COMPUTED_VALUE"""),"Development")</f>
        <v>Development</v>
      </c>
      <c r="S196" s="5" t="str">
        <f>IFERROR(__xludf.DUMMYFUNCTION("""COMPUTED_VALUE"""),"In Certification")</f>
        <v>In Certification</v>
      </c>
      <c r="T196" s="5" t="str">
        <f>IFERROR(__xludf.DUMMYFUNCTION("""COMPUTED_VALUE"""),"Development")</f>
        <v>Development</v>
      </c>
      <c r="U196" s="5" t="str">
        <f>IFERROR(__xludf.DUMMYFUNCTION("""COMPUTED_VALUE"""),"Certified")</f>
        <v>Certified</v>
      </c>
      <c r="V196" s="5" t="str">
        <f>IFERROR(__xludf.DUMMYFUNCTION("""COMPUTED_VALUE"""),"Available")</f>
        <v>Available</v>
      </c>
      <c r="W196" s="5" t="str">
        <f>IFERROR(__xludf.DUMMYFUNCTION("""COMPUTED_VALUE"""),"Planned")</f>
        <v>Planned</v>
      </c>
      <c r="X196" s="5" t="str">
        <f>IFERROR(__xludf.DUMMYFUNCTION("""COMPUTED_VALUE"""),"")</f>
        <v/>
      </c>
      <c r="Y196" s="5"/>
      <c r="Z196" s="5"/>
    </row>
    <row r="197">
      <c r="A197" s="5" t="str">
        <f>IFERROR(__xludf.DUMMYFUNCTION("""COMPUTED_VALUE"""),"Fruits And Stars 20 Deluxe")</f>
        <v>Fruits And Stars 20 Deluxe</v>
      </c>
      <c r="B197" s="5" t="str">
        <f>IFERROR(__xludf.DUMMYFUNCTION("""COMPUTED_VALUE"""),"")</f>
        <v/>
      </c>
      <c r="C197" s="5" t="str">
        <f>IFERROR(__xludf.DUMMYFUNCTION("""COMPUTED_VALUE"""),"")</f>
        <v/>
      </c>
      <c r="D197" s="5" t="str">
        <f>IFERROR(__xludf.DUMMYFUNCTION("""COMPUTED_VALUE"""),"Cert Preparation")</f>
        <v>Cert Preparation</v>
      </c>
      <c r="E197" s="5" t="str">
        <f>IFERROR(__xludf.DUMMYFUNCTION("""COMPUTED_VALUE"""),"")</f>
        <v/>
      </c>
      <c r="F197" s="5" t="str">
        <f>IFERROR(__xludf.DUMMYFUNCTION("""COMPUTED_VALUE"""),"Available")</f>
        <v>Available</v>
      </c>
      <c r="G197" s="5" t="str">
        <f>IFERROR(__xludf.DUMMYFUNCTION("""COMPUTED_VALUE"""),"Available")</f>
        <v>Available</v>
      </c>
      <c r="H197" s="5" t="str">
        <f>IFERROR(__xludf.DUMMYFUNCTION("""COMPUTED_VALUE"""),"Available")</f>
        <v>Available</v>
      </c>
      <c r="I197" s="5" t="str">
        <f>IFERROR(__xludf.DUMMYFUNCTION("""COMPUTED_VALUE"""),"Available")</f>
        <v>Available</v>
      </c>
      <c r="J197" s="5" t="str">
        <f>IFERROR(__xludf.DUMMYFUNCTION("""COMPUTED_VALUE"""),"")</f>
        <v/>
      </c>
      <c r="K197" s="5" t="str">
        <f>IFERROR(__xludf.DUMMYFUNCTION("""COMPUTED_VALUE"""),"")</f>
        <v/>
      </c>
      <c r="L197" s="5" t="str">
        <f>IFERROR(__xludf.DUMMYFUNCTION("""COMPUTED_VALUE"""),"Development")</f>
        <v>Development</v>
      </c>
      <c r="M197" s="5" t="str">
        <f>IFERROR(__xludf.DUMMYFUNCTION("""COMPUTED_VALUE"""),"")</f>
        <v/>
      </c>
      <c r="N197" s="5" t="str">
        <f>IFERROR(__xludf.DUMMYFUNCTION("""COMPUTED_VALUE"""),"")</f>
        <v/>
      </c>
      <c r="O197" s="5" t="str">
        <f>IFERROR(__xludf.DUMMYFUNCTION("""COMPUTED_VALUE"""),"")</f>
        <v/>
      </c>
      <c r="P197" s="5" t="str">
        <f>IFERROR(__xludf.DUMMYFUNCTION("""COMPUTED_VALUE"""),"")</f>
        <v/>
      </c>
      <c r="Q197" s="5" t="str">
        <f>IFERROR(__xludf.DUMMYFUNCTION("""COMPUTED_VALUE"""),"Available")</f>
        <v>Available</v>
      </c>
      <c r="R197" s="5" t="str">
        <f>IFERROR(__xludf.DUMMYFUNCTION("""COMPUTED_VALUE"""),"")</f>
        <v/>
      </c>
      <c r="S197" s="5" t="str">
        <f>IFERROR(__xludf.DUMMYFUNCTION("""COMPUTED_VALUE"""),"")</f>
        <v/>
      </c>
      <c r="T197" s="5" t="str">
        <f>IFERROR(__xludf.DUMMYFUNCTION("""COMPUTED_VALUE"""),"")</f>
        <v/>
      </c>
      <c r="U197" s="5" t="str">
        <f>IFERROR(__xludf.DUMMYFUNCTION("""COMPUTED_VALUE"""),"")</f>
        <v/>
      </c>
      <c r="V197" s="5" t="str">
        <f>IFERROR(__xludf.DUMMYFUNCTION("""COMPUTED_VALUE"""),"")</f>
        <v/>
      </c>
      <c r="W197" s="5" t="str">
        <f>IFERROR(__xludf.DUMMYFUNCTION("""COMPUTED_VALUE"""),"")</f>
        <v/>
      </c>
      <c r="X197" s="5" t="str">
        <f>IFERROR(__xludf.DUMMYFUNCTION("""COMPUTED_VALUE"""),"")</f>
        <v/>
      </c>
      <c r="Y197" s="5"/>
      <c r="Z197" s="5"/>
    </row>
    <row r="198">
      <c r="A198" s="5" t="str">
        <f>IFERROR(__xludf.DUMMYFUNCTION("""COMPUTED_VALUE"""),"Very Hot 40 Respin")</f>
        <v>Very Hot 40 Respin</v>
      </c>
      <c r="B198" s="5" t="str">
        <f>IFERROR(__xludf.DUMMYFUNCTION("""COMPUTED_VALUE"""),"Available")</f>
        <v>Available</v>
      </c>
      <c r="C198" s="5" t="str">
        <f>IFERROR(__xludf.DUMMYFUNCTION("""COMPUTED_VALUE"""),"Development")</f>
        <v>Development</v>
      </c>
      <c r="D198" s="5" t="str">
        <f>IFERROR(__xludf.DUMMYFUNCTION("""COMPUTED_VALUE"""),"Available")</f>
        <v>Available</v>
      </c>
      <c r="E198" s="5" t="str">
        <f>IFERROR(__xludf.DUMMYFUNCTION("""COMPUTED_VALUE"""),"Development")</f>
        <v>Development</v>
      </c>
      <c r="F198" s="5" t="str">
        <f>IFERROR(__xludf.DUMMYFUNCTION("""COMPUTED_VALUE"""),"Available")</f>
        <v>Available</v>
      </c>
      <c r="G198" s="5" t="str">
        <f>IFERROR(__xludf.DUMMYFUNCTION("""COMPUTED_VALUE"""),"Available")</f>
        <v>Available</v>
      </c>
      <c r="H198" s="5" t="str">
        <f>IFERROR(__xludf.DUMMYFUNCTION("""COMPUTED_VALUE"""),"Available")</f>
        <v>Available</v>
      </c>
      <c r="I198" s="5" t="str">
        <f>IFERROR(__xludf.DUMMYFUNCTION("""COMPUTED_VALUE"""),"Available")</f>
        <v>Available</v>
      </c>
      <c r="J198" s="5" t="str">
        <f>IFERROR(__xludf.DUMMYFUNCTION("""COMPUTED_VALUE"""),"")</f>
        <v/>
      </c>
      <c r="K198" s="5" t="str">
        <f>IFERROR(__xludf.DUMMYFUNCTION("""COMPUTED_VALUE"""),"Development")</f>
        <v>Development</v>
      </c>
      <c r="L198" s="5" t="str">
        <f>IFERROR(__xludf.DUMMYFUNCTION("""COMPUTED_VALUE"""),"")</f>
        <v/>
      </c>
      <c r="M198" s="5" t="str">
        <f>IFERROR(__xludf.DUMMYFUNCTION("""COMPUTED_VALUE"""),"Available")</f>
        <v>Available</v>
      </c>
      <c r="N198" s="5" t="str">
        <f>IFERROR(__xludf.DUMMYFUNCTION("""COMPUTED_VALUE"""),"Development")</f>
        <v>Development</v>
      </c>
      <c r="O198" s="5" t="str">
        <f>IFERROR(__xludf.DUMMYFUNCTION("""COMPUTED_VALUE"""),"")</f>
        <v/>
      </c>
      <c r="P198" s="5" t="str">
        <f>IFERROR(__xludf.DUMMYFUNCTION("""COMPUTED_VALUE"""),"")</f>
        <v/>
      </c>
      <c r="Q198" s="5" t="str">
        <f>IFERROR(__xludf.DUMMYFUNCTION("""COMPUTED_VALUE"""),"Available")</f>
        <v>Available</v>
      </c>
      <c r="R198" s="5" t="str">
        <f>IFERROR(__xludf.DUMMYFUNCTION("""COMPUTED_VALUE"""),"")</f>
        <v/>
      </c>
      <c r="S198" s="5" t="str">
        <f>IFERROR(__xludf.DUMMYFUNCTION("""COMPUTED_VALUE"""),"In Certification")</f>
        <v>In Certification</v>
      </c>
      <c r="T198" s="5" t="str">
        <f>IFERROR(__xludf.DUMMYFUNCTION("""COMPUTED_VALUE"""),"")</f>
        <v/>
      </c>
      <c r="U198" s="5" t="str">
        <f>IFERROR(__xludf.DUMMYFUNCTION("""COMPUTED_VALUE"""),"Certified")</f>
        <v>Certified</v>
      </c>
      <c r="V198" s="5" t="str">
        <f>IFERROR(__xludf.DUMMYFUNCTION("""COMPUTED_VALUE"""),"")</f>
        <v/>
      </c>
      <c r="W198" s="5" t="str">
        <f>IFERROR(__xludf.DUMMYFUNCTION("""COMPUTED_VALUE"""),"")</f>
        <v/>
      </c>
      <c r="X198" s="5" t="str">
        <f>IFERROR(__xludf.DUMMYFUNCTION("""COMPUTED_VALUE"""),"")</f>
        <v/>
      </c>
      <c r="Y198" s="5"/>
      <c r="Z198" s="5"/>
    </row>
    <row r="199">
      <c r="A199" s="5" t="str">
        <f>IFERROR(__xludf.DUMMYFUNCTION("""COMPUTED_VALUE"""),"Book Of Dread")</f>
        <v>Book Of Dread</v>
      </c>
      <c r="B199" s="5" t="str">
        <f>IFERROR(__xludf.DUMMYFUNCTION("""COMPUTED_VALUE"""),"")</f>
        <v/>
      </c>
      <c r="C199" s="5" t="str">
        <f>IFERROR(__xludf.DUMMYFUNCTION("""COMPUTED_VALUE"""),"")</f>
        <v/>
      </c>
      <c r="D199" s="5" t="str">
        <f>IFERROR(__xludf.DUMMYFUNCTION("""COMPUTED_VALUE"""),"")</f>
        <v/>
      </c>
      <c r="E199" s="5" t="str">
        <f>IFERROR(__xludf.DUMMYFUNCTION("""COMPUTED_VALUE"""),"")</f>
        <v/>
      </c>
      <c r="F199" s="5" t="str">
        <f>IFERROR(__xludf.DUMMYFUNCTION("""COMPUTED_VALUE"""),"Available")</f>
        <v>Available</v>
      </c>
      <c r="G199" s="5" t="str">
        <f>IFERROR(__xludf.DUMMYFUNCTION("""COMPUTED_VALUE"""),"")</f>
        <v/>
      </c>
      <c r="H199" s="5" t="str">
        <f>IFERROR(__xludf.DUMMYFUNCTION("""COMPUTED_VALUE"""),"Available")</f>
        <v>Available</v>
      </c>
      <c r="I199" s="5" t="str">
        <f>IFERROR(__xludf.DUMMYFUNCTION("""COMPUTED_VALUE"""),"")</f>
        <v/>
      </c>
      <c r="J199" s="5" t="str">
        <f>IFERROR(__xludf.DUMMYFUNCTION("""COMPUTED_VALUE"""),"")</f>
        <v/>
      </c>
      <c r="K199" s="5" t="str">
        <f>IFERROR(__xludf.DUMMYFUNCTION("""COMPUTED_VALUE"""),"")</f>
        <v/>
      </c>
      <c r="L199" s="5" t="str">
        <f>IFERROR(__xludf.DUMMYFUNCTION("""COMPUTED_VALUE"""),"")</f>
        <v/>
      </c>
      <c r="M199" s="5" t="str">
        <f>IFERROR(__xludf.DUMMYFUNCTION("""COMPUTED_VALUE"""),"")</f>
        <v/>
      </c>
      <c r="N199" s="5" t="str">
        <f>IFERROR(__xludf.DUMMYFUNCTION("""COMPUTED_VALUE"""),"")</f>
        <v/>
      </c>
      <c r="O199" s="5" t="str">
        <f>IFERROR(__xludf.DUMMYFUNCTION("""COMPUTED_VALUE"""),"")</f>
        <v/>
      </c>
      <c r="P199" s="5" t="str">
        <f>IFERROR(__xludf.DUMMYFUNCTION("""COMPUTED_VALUE"""),"")</f>
        <v/>
      </c>
      <c r="Q199" s="5" t="str">
        <f>IFERROR(__xludf.DUMMYFUNCTION("""COMPUTED_VALUE"""),"")</f>
        <v/>
      </c>
      <c r="R199" s="5" t="str">
        <f>IFERROR(__xludf.DUMMYFUNCTION("""COMPUTED_VALUE"""),"")</f>
        <v/>
      </c>
      <c r="S199" s="5" t="str">
        <f>IFERROR(__xludf.DUMMYFUNCTION("""COMPUTED_VALUE"""),"")</f>
        <v/>
      </c>
      <c r="T199" s="5" t="str">
        <f>IFERROR(__xludf.DUMMYFUNCTION("""COMPUTED_VALUE"""),"")</f>
        <v/>
      </c>
      <c r="U199" s="5" t="str">
        <f>IFERROR(__xludf.DUMMYFUNCTION("""COMPUTED_VALUE"""),"")</f>
        <v/>
      </c>
      <c r="V199" s="5" t="str">
        <f>IFERROR(__xludf.DUMMYFUNCTION("""COMPUTED_VALUE"""),"")</f>
        <v/>
      </c>
      <c r="W199" s="5" t="str">
        <f>IFERROR(__xludf.DUMMYFUNCTION("""COMPUTED_VALUE"""),"")</f>
        <v/>
      </c>
      <c r="X199" s="5" t="str">
        <f>IFERROR(__xludf.DUMMYFUNCTION("""COMPUTED_VALUE"""),"")</f>
        <v/>
      </c>
      <c r="Y199" s="5"/>
      <c r="Z199" s="5"/>
    </row>
    <row r="200">
      <c r="A200" s="5" t="str">
        <f>IFERROR(__xludf.DUMMYFUNCTION("""COMPUTED_VALUE"""),"10 Wild Pumpkin")</f>
        <v>10 Wild Pumpkin</v>
      </c>
      <c r="B200" s="5" t="str">
        <f>IFERROR(__xludf.DUMMYFUNCTION("""COMPUTED_VALUE"""),"")</f>
        <v/>
      </c>
      <c r="C200" s="5" t="str">
        <f>IFERROR(__xludf.DUMMYFUNCTION("""COMPUTED_VALUE"""),"")</f>
        <v/>
      </c>
      <c r="D200" s="5" t="str">
        <f>IFERROR(__xludf.DUMMYFUNCTION("""COMPUTED_VALUE"""),"")</f>
        <v/>
      </c>
      <c r="E200" s="5" t="str">
        <f>IFERROR(__xludf.DUMMYFUNCTION("""COMPUTED_VALUE"""),"")</f>
        <v/>
      </c>
      <c r="F200" s="5" t="str">
        <f>IFERROR(__xludf.DUMMYFUNCTION("""COMPUTED_VALUE"""),"")</f>
        <v/>
      </c>
      <c r="G200" s="5" t="str">
        <f>IFERROR(__xludf.DUMMYFUNCTION("""COMPUTED_VALUE"""),"")</f>
        <v/>
      </c>
      <c r="H200" s="5" t="str">
        <f>IFERROR(__xludf.DUMMYFUNCTION("""COMPUTED_VALUE"""),"")</f>
        <v/>
      </c>
      <c r="I200" s="5" t="str">
        <f>IFERROR(__xludf.DUMMYFUNCTION("""COMPUTED_VALUE"""),"")</f>
        <v/>
      </c>
      <c r="J200" s="5" t="str">
        <f>IFERROR(__xludf.DUMMYFUNCTION("""COMPUTED_VALUE"""),"")</f>
        <v/>
      </c>
      <c r="K200" s="5" t="str">
        <f>IFERROR(__xludf.DUMMYFUNCTION("""COMPUTED_VALUE"""),"")</f>
        <v/>
      </c>
      <c r="L200" s="5" t="str">
        <f>IFERROR(__xludf.DUMMYFUNCTION("""COMPUTED_VALUE"""),"")</f>
        <v/>
      </c>
      <c r="M200" s="5" t="str">
        <f>IFERROR(__xludf.DUMMYFUNCTION("""COMPUTED_VALUE"""),"")</f>
        <v/>
      </c>
      <c r="N200" s="5" t="str">
        <f>IFERROR(__xludf.DUMMYFUNCTION("""COMPUTED_VALUE"""),"")</f>
        <v/>
      </c>
      <c r="O200" s="5" t="str">
        <f>IFERROR(__xludf.DUMMYFUNCTION("""COMPUTED_VALUE"""),"")</f>
        <v/>
      </c>
      <c r="P200" s="5" t="str">
        <f>IFERROR(__xludf.DUMMYFUNCTION("""COMPUTED_VALUE"""),"")</f>
        <v/>
      </c>
      <c r="Q200" s="5" t="str">
        <f>IFERROR(__xludf.DUMMYFUNCTION("""COMPUTED_VALUE"""),"")</f>
        <v/>
      </c>
      <c r="R200" s="5" t="str">
        <f>IFERROR(__xludf.DUMMYFUNCTION("""COMPUTED_VALUE"""),"")</f>
        <v/>
      </c>
      <c r="S200" s="5" t="str">
        <f>IFERROR(__xludf.DUMMYFUNCTION("""COMPUTED_VALUE"""),"")</f>
        <v/>
      </c>
      <c r="T200" s="5" t="str">
        <f>IFERROR(__xludf.DUMMYFUNCTION("""COMPUTED_VALUE"""),"")</f>
        <v/>
      </c>
      <c r="U200" s="5" t="str">
        <f>IFERROR(__xludf.DUMMYFUNCTION("""COMPUTED_VALUE"""),"")</f>
        <v/>
      </c>
      <c r="V200" s="5" t="str">
        <f>IFERROR(__xludf.DUMMYFUNCTION("""COMPUTED_VALUE"""),"")</f>
        <v/>
      </c>
      <c r="W200" s="5" t="str">
        <f>IFERROR(__xludf.DUMMYFUNCTION("""COMPUTED_VALUE"""),"")</f>
        <v/>
      </c>
      <c r="X200" s="5" t="str">
        <f>IFERROR(__xludf.DUMMYFUNCTION("""COMPUTED_VALUE"""),"")</f>
        <v/>
      </c>
      <c r="Y200" s="5"/>
      <c r="Z200" s="5"/>
    </row>
    <row r="201">
      <c r="A201" s="5" t="str">
        <f>IFERROR(__xludf.DUMMYFUNCTION("""COMPUTED_VALUE"""),"African Treasure")</f>
        <v>African Treasure</v>
      </c>
      <c r="B201" s="5" t="str">
        <f>IFERROR(__xludf.DUMMYFUNCTION("""COMPUTED_VALUE"""),"Development")</f>
        <v>Development</v>
      </c>
      <c r="C201" s="5" t="str">
        <f>IFERROR(__xludf.DUMMYFUNCTION("""COMPUTED_VALUE"""),"Development")</f>
        <v>Development</v>
      </c>
      <c r="D201" s="5" t="str">
        <f>IFERROR(__xludf.DUMMYFUNCTION("""COMPUTED_VALUE"""),"Cert Preparation")</f>
        <v>Cert Preparation</v>
      </c>
      <c r="E201" s="5" t="str">
        <f>IFERROR(__xludf.DUMMYFUNCTION("""COMPUTED_VALUE"""),"")</f>
        <v/>
      </c>
      <c r="F201" s="5" t="str">
        <f>IFERROR(__xludf.DUMMYFUNCTION("""COMPUTED_VALUE"""),"")</f>
        <v/>
      </c>
      <c r="G201" s="5" t="str">
        <f>IFERROR(__xludf.DUMMYFUNCTION("""COMPUTED_VALUE"""),"")</f>
        <v/>
      </c>
      <c r="H201" s="5" t="str">
        <f>IFERROR(__xludf.DUMMYFUNCTION("""COMPUTED_VALUE"""),"Available")</f>
        <v>Available</v>
      </c>
      <c r="I201" s="5" t="str">
        <f>IFERROR(__xludf.DUMMYFUNCTION("""COMPUTED_VALUE"""),"")</f>
        <v/>
      </c>
      <c r="J201" s="5" t="str">
        <f>IFERROR(__xludf.DUMMYFUNCTION("""COMPUTED_VALUE"""),"Available")</f>
        <v>Available</v>
      </c>
      <c r="K201" s="5" t="str">
        <f>IFERROR(__xludf.DUMMYFUNCTION("""COMPUTED_VALUE"""),"")</f>
        <v/>
      </c>
      <c r="L201" s="5" t="str">
        <f>IFERROR(__xludf.DUMMYFUNCTION("""COMPUTED_VALUE"""),"")</f>
        <v/>
      </c>
      <c r="M201" s="5" t="str">
        <f>IFERROR(__xludf.DUMMYFUNCTION("""COMPUTED_VALUE"""),"")</f>
        <v/>
      </c>
      <c r="N201" s="5" t="str">
        <f>IFERROR(__xludf.DUMMYFUNCTION("""COMPUTED_VALUE"""),"")</f>
        <v/>
      </c>
      <c r="O201" s="5" t="str">
        <f>IFERROR(__xludf.DUMMYFUNCTION("""COMPUTED_VALUE"""),"")</f>
        <v/>
      </c>
      <c r="P201" s="5" t="str">
        <f>IFERROR(__xludf.DUMMYFUNCTION("""COMPUTED_VALUE"""),"")</f>
        <v/>
      </c>
      <c r="Q201" s="5" t="str">
        <f>IFERROR(__xludf.DUMMYFUNCTION("""COMPUTED_VALUE"""),"")</f>
        <v/>
      </c>
      <c r="R201" s="5" t="str">
        <f>IFERROR(__xludf.DUMMYFUNCTION("""COMPUTED_VALUE"""),"")</f>
        <v/>
      </c>
      <c r="S201" s="5" t="str">
        <f>IFERROR(__xludf.DUMMYFUNCTION("""COMPUTED_VALUE"""),"")</f>
        <v/>
      </c>
      <c r="T201" s="5" t="str">
        <f>IFERROR(__xludf.DUMMYFUNCTION("""COMPUTED_VALUE"""),"")</f>
        <v/>
      </c>
      <c r="U201" s="5" t="str">
        <f>IFERROR(__xludf.DUMMYFUNCTION("""COMPUTED_VALUE"""),"")</f>
        <v/>
      </c>
      <c r="V201" s="5" t="str">
        <f>IFERROR(__xludf.DUMMYFUNCTION("""COMPUTED_VALUE"""),"")</f>
        <v/>
      </c>
      <c r="W201" s="5" t="str">
        <f>IFERROR(__xludf.DUMMYFUNCTION("""COMPUTED_VALUE"""),"")</f>
        <v/>
      </c>
      <c r="X201" s="5" t="str">
        <f>IFERROR(__xludf.DUMMYFUNCTION("""COMPUTED_VALUE"""),"")</f>
        <v/>
      </c>
      <c r="Y201" s="5"/>
      <c r="Z201" s="5"/>
    </row>
    <row r="202">
      <c r="A202" s="5" t="str">
        <f>IFERROR(__xludf.DUMMYFUNCTION("""COMPUTED_VALUE"""),"Da Vinci's Dice")</f>
        <v>Da Vinci's Dice</v>
      </c>
      <c r="B202" s="5" t="str">
        <f>IFERROR(__xludf.DUMMYFUNCTION("""COMPUTED_VALUE"""),"")</f>
        <v/>
      </c>
      <c r="C202" s="5" t="str">
        <f>IFERROR(__xludf.DUMMYFUNCTION("""COMPUTED_VALUE"""),"")</f>
        <v/>
      </c>
      <c r="D202" s="5" t="str">
        <f>IFERROR(__xludf.DUMMYFUNCTION("""COMPUTED_VALUE"""),"")</f>
        <v/>
      </c>
      <c r="E202" s="5" t="str">
        <f>IFERROR(__xludf.DUMMYFUNCTION("""COMPUTED_VALUE"""),"")</f>
        <v/>
      </c>
      <c r="F202" s="5" t="str">
        <f>IFERROR(__xludf.DUMMYFUNCTION("""COMPUTED_VALUE"""),"")</f>
        <v/>
      </c>
      <c r="G202" s="5" t="str">
        <f>IFERROR(__xludf.DUMMYFUNCTION("""COMPUTED_VALUE"""),"")</f>
        <v/>
      </c>
      <c r="H202" s="5" t="str">
        <f>IFERROR(__xludf.DUMMYFUNCTION("""COMPUTED_VALUE"""),"")</f>
        <v/>
      </c>
      <c r="I202" s="5" t="str">
        <f>IFERROR(__xludf.DUMMYFUNCTION("""COMPUTED_VALUE"""),"")</f>
        <v/>
      </c>
      <c r="J202" s="5" t="str">
        <f>IFERROR(__xludf.DUMMYFUNCTION("""COMPUTED_VALUE"""),"")</f>
        <v/>
      </c>
      <c r="K202" s="5" t="str">
        <f>IFERROR(__xludf.DUMMYFUNCTION("""COMPUTED_VALUE"""),"")</f>
        <v/>
      </c>
      <c r="L202" s="5" t="str">
        <f>IFERROR(__xludf.DUMMYFUNCTION("""COMPUTED_VALUE"""),"")</f>
        <v/>
      </c>
      <c r="M202" s="5" t="str">
        <f>IFERROR(__xludf.DUMMYFUNCTION("""COMPUTED_VALUE"""),"")</f>
        <v/>
      </c>
      <c r="N202" s="5" t="str">
        <f>IFERROR(__xludf.DUMMYFUNCTION("""COMPUTED_VALUE"""),"")</f>
        <v/>
      </c>
      <c r="O202" s="5" t="str">
        <f>IFERROR(__xludf.DUMMYFUNCTION("""COMPUTED_VALUE"""),"")</f>
        <v/>
      </c>
      <c r="P202" s="5" t="str">
        <f>IFERROR(__xludf.DUMMYFUNCTION("""COMPUTED_VALUE"""),"")</f>
        <v/>
      </c>
      <c r="Q202" s="5" t="str">
        <f>IFERROR(__xludf.DUMMYFUNCTION("""COMPUTED_VALUE"""),"")</f>
        <v/>
      </c>
      <c r="R202" s="5" t="str">
        <f>IFERROR(__xludf.DUMMYFUNCTION("""COMPUTED_VALUE"""),"")</f>
        <v/>
      </c>
      <c r="S202" s="5" t="str">
        <f>IFERROR(__xludf.DUMMYFUNCTION("""COMPUTED_VALUE"""),"")</f>
        <v/>
      </c>
      <c r="T202" s="5" t="str">
        <f>IFERROR(__xludf.DUMMYFUNCTION("""COMPUTED_VALUE"""),"")</f>
        <v/>
      </c>
      <c r="U202" s="5" t="str">
        <f>IFERROR(__xludf.DUMMYFUNCTION("""COMPUTED_VALUE"""),"")</f>
        <v/>
      </c>
      <c r="V202" s="5" t="str">
        <f>IFERROR(__xludf.DUMMYFUNCTION("""COMPUTED_VALUE"""),"")</f>
        <v/>
      </c>
      <c r="W202" s="5" t="str">
        <f>IFERROR(__xludf.DUMMYFUNCTION("""COMPUTED_VALUE"""),"")</f>
        <v/>
      </c>
      <c r="X202" s="5" t="str">
        <f>IFERROR(__xludf.DUMMYFUNCTION("""COMPUTED_VALUE"""),"")</f>
        <v/>
      </c>
      <c r="Y202" s="5"/>
      <c r="Z202" s="5"/>
    </row>
    <row r="203">
      <c r="A203" s="5" t="str">
        <f>IFERROR(__xludf.DUMMYFUNCTION("""COMPUTED_VALUE"""),"Winter Fruits")</f>
        <v>Winter Fruits</v>
      </c>
      <c r="B203" s="5" t="str">
        <f>IFERROR(__xludf.DUMMYFUNCTION("""COMPUTED_VALUE"""),"")</f>
        <v/>
      </c>
      <c r="C203" s="5" t="str">
        <f>IFERROR(__xludf.DUMMYFUNCTION("""COMPUTED_VALUE"""),"")</f>
        <v/>
      </c>
      <c r="D203" s="5" t="str">
        <f>IFERROR(__xludf.DUMMYFUNCTION("""COMPUTED_VALUE"""),"")</f>
        <v/>
      </c>
      <c r="E203" s="5" t="str">
        <f>IFERROR(__xludf.DUMMYFUNCTION("""COMPUTED_VALUE"""),"")</f>
        <v/>
      </c>
      <c r="F203" s="5" t="str">
        <f>IFERROR(__xludf.DUMMYFUNCTION("""COMPUTED_VALUE"""),"")</f>
        <v/>
      </c>
      <c r="G203" s="5" t="str">
        <f>IFERROR(__xludf.DUMMYFUNCTION("""COMPUTED_VALUE"""),"")</f>
        <v/>
      </c>
      <c r="H203" s="5" t="str">
        <f>IFERROR(__xludf.DUMMYFUNCTION("""COMPUTED_VALUE"""),"")</f>
        <v/>
      </c>
      <c r="I203" s="5" t="str">
        <f>IFERROR(__xludf.DUMMYFUNCTION("""COMPUTED_VALUE"""),"")</f>
        <v/>
      </c>
      <c r="J203" s="5" t="str">
        <f>IFERROR(__xludf.DUMMYFUNCTION("""COMPUTED_VALUE"""),"")</f>
        <v/>
      </c>
      <c r="K203" s="5" t="str">
        <f>IFERROR(__xludf.DUMMYFUNCTION("""COMPUTED_VALUE"""),"")</f>
        <v/>
      </c>
      <c r="L203" s="5" t="str">
        <f>IFERROR(__xludf.DUMMYFUNCTION("""COMPUTED_VALUE"""),"")</f>
        <v/>
      </c>
      <c r="M203" s="5" t="str">
        <f>IFERROR(__xludf.DUMMYFUNCTION("""COMPUTED_VALUE"""),"")</f>
        <v/>
      </c>
      <c r="N203" s="5" t="str">
        <f>IFERROR(__xludf.DUMMYFUNCTION("""COMPUTED_VALUE"""),"")</f>
        <v/>
      </c>
      <c r="O203" s="5" t="str">
        <f>IFERROR(__xludf.DUMMYFUNCTION("""COMPUTED_VALUE"""),"")</f>
        <v/>
      </c>
      <c r="P203" s="5" t="str">
        <f>IFERROR(__xludf.DUMMYFUNCTION("""COMPUTED_VALUE"""),"")</f>
        <v/>
      </c>
      <c r="Q203" s="5" t="str">
        <f>IFERROR(__xludf.DUMMYFUNCTION("""COMPUTED_VALUE"""),"")</f>
        <v/>
      </c>
      <c r="R203" s="5" t="str">
        <f>IFERROR(__xludf.DUMMYFUNCTION("""COMPUTED_VALUE"""),"")</f>
        <v/>
      </c>
      <c r="S203" s="5" t="str">
        <f>IFERROR(__xludf.DUMMYFUNCTION("""COMPUTED_VALUE"""),"")</f>
        <v/>
      </c>
      <c r="T203" s="5" t="str">
        <f>IFERROR(__xludf.DUMMYFUNCTION("""COMPUTED_VALUE"""),"")</f>
        <v/>
      </c>
      <c r="U203" s="5" t="str">
        <f>IFERROR(__xludf.DUMMYFUNCTION("""COMPUTED_VALUE"""),"")</f>
        <v/>
      </c>
      <c r="V203" s="5" t="str">
        <f>IFERROR(__xludf.DUMMYFUNCTION("""COMPUTED_VALUE"""),"")</f>
        <v/>
      </c>
      <c r="W203" s="5" t="str">
        <f>IFERROR(__xludf.DUMMYFUNCTION("""COMPUTED_VALUE"""),"")</f>
        <v/>
      </c>
      <c r="X203" s="5" t="str">
        <f>IFERROR(__xludf.DUMMYFUNCTION("""COMPUTED_VALUE"""),"")</f>
        <v/>
      </c>
      <c r="Y203" s="5"/>
      <c r="Z203" s="5"/>
    </row>
    <row r="204">
      <c r="A204" s="5" t="str">
        <f>IFERROR(__xludf.DUMMYFUNCTION("""COMPUTED_VALUE"""),"Crystal Hot 40 Christmas")</f>
        <v>Crystal Hot 40 Christmas</v>
      </c>
      <c r="B204" s="5" t="str">
        <f>IFERROR(__xludf.DUMMYFUNCTION("""COMPUTED_VALUE"""),"")</f>
        <v/>
      </c>
      <c r="C204" s="5" t="str">
        <f>IFERROR(__xludf.DUMMYFUNCTION("""COMPUTED_VALUE"""),"")</f>
        <v/>
      </c>
      <c r="D204" s="5" t="str">
        <f>IFERROR(__xludf.DUMMYFUNCTION("""COMPUTED_VALUE"""),"")</f>
        <v/>
      </c>
      <c r="E204" s="5" t="str">
        <f>IFERROR(__xludf.DUMMYFUNCTION("""COMPUTED_VALUE"""),"")</f>
        <v/>
      </c>
      <c r="F204" s="5" t="str">
        <f>IFERROR(__xludf.DUMMYFUNCTION("""COMPUTED_VALUE"""),"")</f>
        <v/>
      </c>
      <c r="G204" s="5" t="str">
        <f>IFERROR(__xludf.DUMMYFUNCTION("""COMPUTED_VALUE"""),"")</f>
        <v/>
      </c>
      <c r="H204" s="5" t="str">
        <f>IFERROR(__xludf.DUMMYFUNCTION("""COMPUTED_VALUE"""),"")</f>
        <v/>
      </c>
      <c r="I204" s="5" t="str">
        <f>IFERROR(__xludf.DUMMYFUNCTION("""COMPUTED_VALUE"""),"")</f>
        <v/>
      </c>
      <c r="J204" s="5" t="str">
        <f>IFERROR(__xludf.DUMMYFUNCTION("""COMPUTED_VALUE"""),"")</f>
        <v/>
      </c>
      <c r="K204" s="5" t="str">
        <f>IFERROR(__xludf.DUMMYFUNCTION("""COMPUTED_VALUE"""),"")</f>
        <v/>
      </c>
      <c r="L204" s="5" t="str">
        <f>IFERROR(__xludf.DUMMYFUNCTION("""COMPUTED_VALUE"""),"")</f>
        <v/>
      </c>
      <c r="M204" s="5" t="str">
        <f>IFERROR(__xludf.DUMMYFUNCTION("""COMPUTED_VALUE"""),"")</f>
        <v/>
      </c>
      <c r="N204" s="5" t="str">
        <f>IFERROR(__xludf.DUMMYFUNCTION("""COMPUTED_VALUE"""),"")</f>
        <v/>
      </c>
      <c r="O204" s="5" t="str">
        <f>IFERROR(__xludf.DUMMYFUNCTION("""COMPUTED_VALUE"""),"")</f>
        <v/>
      </c>
      <c r="P204" s="5" t="str">
        <f>IFERROR(__xludf.DUMMYFUNCTION("""COMPUTED_VALUE"""),"")</f>
        <v/>
      </c>
      <c r="Q204" s="5" t="str">
        <f>IFERROR(__xludf.DUMMYFUNCTION("""COMPUTED_VALUE"""),"")</f>
        <v/>
      </c>
      <c r="R204" s="5" t="str">
        <f>IFERROR(__xludf.DUMMYFUNCTION("""COMPUTED_VALUE"""),"")</f>
        <v/>
      </c>
      <c r="S204" s="5" t="str">
        <f>IFERROR(__xludf.DUMMYFUNCTION("""COMPUTED_VALUE"""),"")</f>
        <v/>
      </c>
      <c r="T204" s="5" t="str">
        <f>IFERROR(__xludf.DUMMYFUNCTION("""COMPUTED_VALUE"""),"")</f>
        <v/>
      </c>
      <c r="U204" s="5" t="str">
        <f>IFERROR(__xludf.DUMMYFUNCTION("""COMPUTED_VALUE"""),"")</f>
        <v/>
      </c>
      <c r="V204" s="5" t="str">
        <f>IFERROR(__xludf.DUMMYFUNCTION("""COMPUTED_VALUE"""),"")</f>
        <v/>
      </c>
      <c r="W204" s="5" t="str">
        <f>IFERROR(__xludf.DUMMYFUNCTION("""COMPUTED_VALUE"""),"")</f>
        <v/>
      </c>
      <c r="X204" s="5" t="str">
        <f>IFERROR(__xludf.DUMMYFUNCTION("""COMPUTED_VALUE"""),"")</f>
        <v/>
      </c>
      <c r="Y204" s="5"/>
      <c r="Z204" s="5"/>
    </row>
    <row r="205">
      <c r="A205" s="5" t="str">
        <f>IFERROR(__xludf.DUMMYFUNCTION("""COMPUTED_VALUE"""),"Fruits And Stars Christmas")</f>
        <v>Fruits And Stars Christmas</v>
      </c>
      <c r="B205" s="5" t="str">
        <f>IFERROR(__xludf.DUMMYFUNCTION("""COMPUTED_VALUE"""),"")</f>
        <v/>
      </c>
      <c r="C205" s="5" t="str">
        <f>IFERROR(__xludf.DUMMYFUNCTION("""COMPUTED_VALUE"""),"")</f>
        <v/>
      </c>
      <c r="D205" s="5" t="str">
        <f>IFERROR(__xludf.DUMMYFUNCTION("""COMPUTED_VALUE"""),"")</f>
        <v/>
      </c>
      <c r="E205" s="5" t="str">
        <f>IFERROR(__xludf.DUMMYFUNCTION("""COMPUTED_VALUE"""),"")</f>
        <v/>
      </c>
      <c r="F205" s="5" t="str">
        <f>IFERROR(__xludf.DUMMYFUNCTION("""COMPUTED_VALUE"""),"")</f>
        <v/>
      </c>
      <c r="G205" s="5" t="str">
        <f>IFERROR(__xludf.DUMMYFUNCTION("""COMPUTED_VALUE"""),"")</f>
        <v/>
      </c>
      <c r="H205" s="5" t="str">
        <f>IFERROR(__xludf.DUMMYFUNCTION("""COMPUTED_VALUE"""),"")</f>
        <v/>
      </c>
      <c r="I205" s="5" t="str">
        <f>IFERROR(__xludf.DUMMYFUNCTION("""COMPUTED_VALUE"""),"")</f>
        <v/>
      </c>
      <c r="J205" s="5" t="str">
        <f>IFERROR(__xludf.DUMMYFUNCTION("""COMPUTED_VALUE"""),"")</f>
        <v/>
      </c>
      <c r="K205" s="5" t="str">
        <f>IFERROR(__xludf.DUMMYFUNCTION("""COMPUTED_VALUE"""),"")</f>
        <v/>
      </c>
      <c r="L205" s="5" t="str">
        <f>IFERROR(__xludf.DUMMYFUNCTION("""COMPUTED_VALUE"""),"")</f>
        <v/>
      </c>
      <c r="M205" s="5" t="str">
        <f>IFERROR(__xludf.DUMMYFUNCTION("""COMPUTED_VALUE"""),"")</f>
        <v/>
      </c>
      <c r="N205" s="5" t="str">
        <f>IFERROR(__xludf.DUMMYFUNCTION("""COMPUTED_VALUE"""),"")</f>
        <v/>
      </c>
      <c r="O205" s="5" t="str">
        <f>IFERROR(__xludf.DUMMYFUNCTION("""COMPUTED_VALUE"""),"")</f>
        <v/>
      </c>
      <c r="P205" s="5" t="str">
        <f>IFERROR(__xludf.DUMMYFUNCTION("""COMPUTED_VALUE"""),"")</f>
        <v/>
      </c>
      <c r="Q205" s="5" t="str">
        <f>IFERROR(__xludf.DUMMYFUNCTION("""COMPUTED_VALUE"""),"")</f>
        <v/>
      </c>
      <c r="R205" s="5" t="str">
        <f>IFERROR(__xludf.DUMMYFUNCTION("""COMPUTED_VALUE"""),"")</f>
        <v/>
      </c>
      <c r="S205" s="5" t="str">
        <f>IFERROR(__xludf.DUMMYFUNCTION("""COMPUTED_VALUE"""),"")</f>
        <v/>
      </c>
      <c r="T205" s="5" t="str">
        <f>IFERROR(__xludf.DUMMYFUNCTION("""COMPUTED_VALUE"""),"")</f>
        <v/>
      </c>
      <c r="U205" s="5" t="str">
        <f>IFERROR(__xludf.DUMMYFUNCTION("""COMPUTED_VALUE"""),"")</f>
        <v/>
      </c>
      <c r="V205" s="5" t="str">
        <f>IFERROR(__xludf.DUMMYFUNCTION("""COMPUTED_VALUE"""),"")</f>
        <v/>
      </c>
      <c r="W205" s="5" t="str">
        <f>IFERROR(__xludf.DUMMYFUNCTION("""COMPUTED_VALUE"""),"")</f>
        <v/>
      </c>
      <c r="X205" s="5" t="str">
        <f>IFERROR(__xludf.DUMMYFUNCTION("""COMPUTED_VALUE"""),"")</f>
        <v/>
      </c>
      <c r="Y205" s="5"/>
      <c r="Z205" s="5"/>
    </row>
    <row r="206">
      <c r="A206" s="5" t="str">
        <f>IFERROR(__xludf.DUMMYFUNCTION("""COMPUTED_VALUE"""),"Hot Stars Christmas")</f>
        <v>Hot Stars Christmas</v>
      </c>
      <c r="B206" s="5" t="str">
        <f>IFERROR(__xludf.DUMMYFUNCTION("""COMPUTED_VALUE"""),"")</f>
        <v/>
      </c>
      <c r="C206" s="5" t="str">
        <f>IFERROR(__xludf.DUMMYFUNCTION("""COMPUTED_VALUE"""),"")</f>
        <v/>
      </c>
      <c r="D206" s="5" t="str">
        <f>IFERROR(__xludf.DUMMYFUNCTION("""COMPUTED_VALUE"""),"")</f>
        <v/>
      </c>
      <c r="E206" s="5" t="str">
        <f>IFERROR(__xludf.DUMMYFUNCTION("""COMPUTED_VALUE"""),"")</f>
        <v/>
      </c>
      <c r="F206" s="5" t="str">
        <f>IFERROR(__xludf.DUMMYFUNCTION("""COMPUTED_VALUE"""),"")</f>
        <v/>
      </c>
      <c r="G206" s="5" t="str">
        <f>IFERROR(__xludf.DUMMYFUNCTION("""COMPUTED_VALUE"""),"")</f>
        <v/>
      </c>
      <c r="H206" s="5" t="str">
        <f>IFERROR(__xludf.DUMMYFUNCTION("""COMPUTED_VALUE"""),"")</f>
        <v/>
      </c>
      <c r="I206" s="5" t="str">
        <f>IFERROR(__xludf.DUMMYFUNCTION("""COMPUTED_VALUE"""),"")</f>
        <v/>
      </c>
      <c r="J206" s="5" t="str">
        <f>IFERROR(__xludf.DUMMYFUNCTION("""COMPUTED_VALUE"""),"")</f>
        <v/>
      </c>
      <c r="K206" s="5" t="str">
        <f>IFERROR(__xludf.DUMMYFUNCTION("""COMPUTED_VALUE"""),"")</f>
        <v/>
      </c>
      <c r="L206" s="5" t="str">
        <f>IFERROR(__xludf.DUMMYFUNCTION("""COMPUTED_VALUE"""),"")</f>
        <v/>
      </c>
      <c r="M206" s="5" t="str">
        <f>IFERROR(__xludf.DUMMYFUNCTION("""COMPUTED_VALUE"""),"")</f>
        <v/>
      </c>
      <c r="N206" s="5" t="str">
        <f>IFERROR(__xludf.DUMMYFUNCTION("""COMPUTED_VALUE"""),"")</f>
        <v/>
      </c>
      <c r="O206" s="5" t="str">
        <f>IFERROR(__xludf.DUMMYFUNCTION("""COMPUTED_VALUE"""),"")</f>
        <v/>
      </c>
      <c r="P206" s="5" t="str">
        <f>IFERROR(__xludf.DUMMYFUNCTION("""COMPUTED_VALUE"""),"")</f>
        <v/>
      </c>
      <c r="Q206" s="5" t="str">
        <f>IFERROR(__xludf.DUMMYFUNCTION("""COMPUTED_VALUE"""),"")</f>
        <v/>
      </c>
      <c r="R206" s="5" t="str">
        <f>IFERROR(__xludf.DUMMYFUNCTION("""COMPUTED_VALUE"""),"")</f>
        <v/>
      </c>
      <c r="S206" s="5" t="str">
        <f>IFERROR(__xludf.DUMMYFUNCTION("""COMPUTED_VALUE"""),"")</f>
        <v/>
      </c>
      <c r="T206" s="5" t="str">
        <f>IFERROR(__xludf.DUMMYFUNCTION("""COMPUTED_VALUE"""),"")</f>
        <v/>
      </c>
      <c r="U206" s="5" t="str">
        <f>IFERROR(__xludf.DUMMYFUNCTION("""COMPUTED_VALUE"""),"")</f>
        <v/>
      </c>
      <c r="V206" s="5" t="str">
        <f>IFERROR(__xludf.DUMMYFUNCTION("""COMPUTED_VALUE"""),"")</f>
        <v/>
      </c>
      <c r="W206" s="5" t="str">
        <f>IFERROR(__xludf.DUMMYFUNCTION("""COMPUTED_VALUE"""),"")</f>
        <v/>
      </c>
      <c r="X206" s="5" t="str">
        <f>IFERROR(__xludf.DUMMYFUNCTION("""COMPUTED_VALUE"""),"")</f>
        <v/>
      </c>
      <c r="Y206" s="5"/>
      <c r="Z206" s="5"/>
    </row>
    <row r="207">
      <c r="A207" s="5" t="str">
        <f>IFERROR(__xludf.DUMMYFUNCTION("""COMPUTED_VALUE"""),"Turbo Hot 40 Christmas")</f>
        <v>Turbo Hot 40 Christmas</v>
      </c>
      <c r="B207" s="5" t="str">
        <f>IFERROR(__xludf.DUMMYFUNCTION("""COMPUTED_VALUE"""),"")</f>
        <v/>
      </c>
      <c r="C207" s="5" t="str">
        <f>IFERROR(__xludf.DUMMYFUNCTION("""COMPUTED_VALUE"""),"")</f>
        <v/>
      </c>
      <c r="D207" s="5" t="str">
        <f>IFERROR(__xludf.DUMMYFUNCTION("""COMPUTED_VALUE"""),"")</f>
        <v/>
      </c>
      <c r="E207" s="5" t="str">
        <f>IFERROR(__xludf.DUMMYFUNCTION("""COMPUTED_VALUE"""),"")</f>
        <v/>
      </c>
      <c r="F207" s="5" t="str">
        <f>IFERROR(__xludf.DUMMYFUNCTION("""COMPUTED_VALUE"""),"")</f>
        <v/>
      </c>
      <c r="G207" s="5" t="str">
        <f>IFERROR(__xludf.DUMMYFUNCTION("""COMPUTED_VALUE"""),"")</f>
        <v/>
      </c>
      <c r="H207" s="5" t="str">
        <f>IFERROR(__xludf.DUMMYFUNCTION("""COMPUTED_VALUE"""),"")</f>
        <v/>
      </c>
      <c r="I207" s="5" t="str">
        <f>IFERROR(__xludf.DUMMYFUNCTION("""COMPUTED_VALUE"""),"")</f>
        <v/>
      </c>
      <c r="J207" s="5" t="str">
        <f>IFERROR(__xludf.DUMMYFUNCTION("""COMPUTED_VALUE"""),"")</f>
        <v/>
      </c>
      <c r="K207" s="5" t="str">
        <f>IFERROR(__xludf.DUMMYFUNCTION("""COMPUTED_VALUE"""),"")</f>
        <v/>
      </c>
      <c r="L207" s="5" t="str">
        <f>IFERROR(__xludf.DUMMYFUNCTION("""COMPUTED_VALUE"""),"")</f>
        <v/>
      </c>
      <c r="M207" s="5" t="str">
        <f>IFERROR(__xludf.DUMMYFUNCTION("""COMPUTED_VALUE"""),"")</f>
        <v/>
      </c>
      <c r="N207" s="5" t="str">
        <f>IFERROR(__xludf.DUMMYFUNCTION("""COMPUTED_VALUE"""),"")</f>
        <v/>
      </c>
      <c r="O207" s="5" t="str">
        <f>IFERROR(__xludf.DUMMYFUNCTION("""COMPUTED_VALUE"""),"")</f>
        <v/>
      </c>
      <c r="P207" s="5" t="str">
        <f>IFERROR(__xludf.DUMMYFUNCTION("""COMPUTED_VALUE"""),"")</f>
        <v/>
      </c>
      <c r="Q207" s="5" t="str">
        <f>IFERROR(__xludf.DUMMYFUNCTION("""COMPUTED_VALUE"""),"")</f>
        <v/>
      </c>
      <c r="R207" s="5" t="str">
        <f>IFERROR(__xludf.DUMMYFUNCTION("""COMPUTED_VALUE"""),"")</f>
        <v/>
      </c>
      <c r="S207" s="5" t="str">
        <f>IFERROR(__xludf.DUMMYFUNCTION("""COMPUTED_VALUE"""),"")</f>
        <v/>
      </c>
      <c r="T207" s="5" t="str">
        <f>IFERROR(__xludf.DUMMYFUNCTION("""COMPUTED_VALUE"""),"")</f>
        <v/>
      </c>
      <c r="U207" s="5" t="str">
        <f>IFERROR(__xludf.DUMMYFUNCTION("""COMPUTED_VALUE"""),"")</f>
        <v/>
      </c>
      <c r="V207" s="5" t="str">
        <f>IFERROR(__xludf.DUMMYFUNCTION("""COMPUTED_VALUE"""),"")</f>
        <v/>
      </c>
      <c r="W207" s="5" t="str">
        <f>IFERROR(__xludf.DUMMYFUNCTION("""COMPUTED_VALUE"""),"")</f>
        <v/>
      </c>
      <c r="X207" s="5" t="str">
        <f>IFERROR(__xludf.DUMMYFUNCTION("""COMPUTED_VALUE"""),"")</f>
        <v/>
      </c>
      <c r="Y207" s="5"/>
      <c r="Z207" s="5"/>
    </row>
    <row r="208">
      <c r="A208" s="5" t="str">
        <f>IFERROR(__xludf.DUMMYFUNCTION("""COMPUTED_VALUE"""),"Retro 7 Hot Christmas")</f>
        <v>Retro 7 Hot Christmas</v>
      </c>
      <c r="B208" s="5" t="str">
        <f>IFERROR(__xludf.DUMMYFUNCTION("""COMPUTED_VALUE"""),"")</f>
        <v/>
      </c>
      <c r="C208" s="5" t="str">
        <f>IFERROR(__xludf.DUMMYFUNCTION("""COMPUTED_VALUE"""),"")</f>
        <v/>
      </c>
      <c r="D208" s="5" t="str">
        <f>IFERROR(__xludf.DUMMYFUNCTION("""COMPUTED_VALUE"""),"")</f>
        <v/>
      </c>
      <c r="E208" s="5" t="str">
        <f>IFERROR(__xludf.DUMMYFUNCTION("""COMPUTED_VALUE"""),"")</f>
        <v/>
      </c>
      <c r="F208" s="5" t="str">
        <f>IFERROR(__xludf.DUMMYFUNCTION("""COMPUTED_VALUE"""),"")</f>
        <v/>
      </c>
      <c r="G208" s="5" t="str">
        <f>IFERROR(__xludf.DUMMYFUNCTION("""COMPUTED_VALUE"""),"")</f>
        <v/>
      </c>
      <c r="H208" s="5" t="str">
        <f>IFERROR(__xludf.DUMMYFUNCTION("""COMPUTED_VALUE"""),"")</f>
        <v/>
      </c>
      <c r="I208" s="5" t="str">
        <f>IFERROR(__xludf.DUMMYFUNCTION("""COMPUTED_VALUE"""),"")</f>
        <v/>
      </c>
      <c r="J208" s="5" t="str">
        <f>IFERROR(__xludf.DUMMYFUNCTION("""COMPUTED_VALUE"""),"")</f>
        <v/>
      </c>
      <c r="K208" s="5" t="str">
        <f>IFERROR(__xludf.DUMMYFUNCTION("""COMPUTED_VALUE"""),"")</f>
        <v/>
      </c>
      <c r="L208" s="5" t="str">
        <f>IFERROR(__xludf.DUMMYFUNCTION("""COMPUTED_VALUE"""),"")</f>
        <v/>
      </c>
      <c r="M208" s="5" t="str">
        <f>IFERROR(__xludf.DUMMYFUNCTION("""COMPUTED_VALUE"""),"")</f>
        <v/>
      </c>
      <c r="N208" s="5" t="str">
        <f>IFERROR(__xludf.DUMMYFUNCTION("""COMPUTED_VALUE"""),"")</f>
        <v/>
      </c>
      <c r="O208" s="5" t="str">
        <f>IFERROR(__xludf.DUMMYFUNCTION("""COMPUTED_VALUE"""),"")</f>
        <v/>
      </c>
      <c r="P208" s="5" t="str">
        <f>IFERROR(__xludf.DUMMYFUNCTION("""COMPUTED_VALUE"""),"")</f>
        <v/>
      </c>
      <c r="Q208" s="5" t="str">
        <f>IFERROR(__xludf.DUMMYFUNCTION("""COMPUTED_VALUE"""),"")</f>
        <v/>
      </c>
      <c r="R208" s="5" t="str">
        <f>IFERROR(__xludf.DUMMYFUNCTION("""COMPUTED_VALUE"""),"")</f>
        <v/>
      </c>
      <c r="S208" s="5" t="str">
        <f>IFERROR(__xludf.DUMMYFUNCTION("""COMPUTED_VALUE"""),"")</f>
        <v/>
      </c>
      <c r="T208" s="5" t="str">
        <f>IFERROR(__xludf.DUMMYFUNCTION("""COMPUTED_VALUE"""),"")</f>
        <v/>
      </c>
      <c r="U208" s="5" t="str">
        <f>IFERROR(__xludf.DUMMYFUNCTION("""COMPUTED_VALUE"""),"")</f>
        <v/>
      </c>
      <c r="V208" s="5" t="str">
        <f>IFERROR(__xludf.DUMMYFUNCTION("""COMPUTED_VALUE"""),"")</f>
        <v/>
      </c>
      <c r="W208" s="5" t="str">
        <f>IFERROR(__xludf.DUMMYFUNCTION("""COMPUTED_VALUE"""),"")</f>
        <v/>
      </c>
      <c r="X208" s="5" t="str">
        <f>IFERROR(__xludf.DUMMYFUNCTION("""COMPUTED_VALUE"""),"")</f>
        <v/>
      </c>
      <c r="Y208" s="5"/>
      <c r="Z208" s="5"/>
    </row>
    <row r="209">
      <c r="A209" s="5" t="str">
        <f>IFERROR(__xludf.DUMMYFUNCTION("""COMPUTED_VALUE"""),"Fruits And Stars 40 Christmas")</f>
        <v>Fruits And Stars 40 Christmas</v>
      </c>
      <c r="B209" s="5" t="str">
        <f>IFERROR(__xludf.DUMMYFUNCTION("""COMPUTED_VALUE"""),"")</f>
        <v/>
      </c>
      <c r="C209" s="5" t="str">
        <f>IFERROR(__xludf.DUMMYFUNCTION("""COMPUTED_VALUE"""),"")</f>
        <v/>
      </c>
      <c r="D209" s="5" t="str">
        <f>IFERROR(__xludf.DUMMYFUNCTION("""COMPUTED_VALUE"""),"")</f>
        <v/>
      </c>
      <c r="E209" s="5" t="str">
        <f>IFERROR(__xludf.DUMMYFUNCTION("""COMPUTED_VALUE"""),"")</f>
        <v/>
      </c>
      <c r="F209" s="5" t="str">
        <f>IFERROR(__xludf.DUMMYFUNCTION("""COMPUTED_VALUE"""),"")</f>
        <v/>
      </c>
      <c r="G209" s="5" t="str">
        <f>IFERROR(__xludf.DUMMYFUNCTION("""COMPUTED_VALUE"""),"")</f>
        <v/>
      </c>
      <c r="H209" s="5" t="str">
        <f>IFERROR(__xludf.DUMMYFUNCTION("""COMPUTED_VALUE"""),"")</f>
        <v/>
      </c>
      <c r="I209" s="5" t="str">
        <f>IFERROR(__xludf.DUMMYFUNCTION("""COMPUTED_VALUE"""),"")</f>
        <v/>
      </c>
      <c r="J209" s="5" t="str">
        <f>IFERROR(__xludf.DUMMYFUNCTION("""COMPUTED_VALUE"""),"")</f>
        <v/>
      </c>
      <c r="K209" s="5" t="str">
        <f>IFERROR(__xludf.DUMMYFUNCTION("""COMPUTED_VALUE"""),"")</f>
        <v/>
      </c>
      <c r="L209" s="5" t="str">
        <f>IFERROR(__xludf.DUMMYFUNCTION("""COMPUTED_VALUE"""),"")</f>
        <v/>
      </c>
      <c r="M209" s="5" t="str">
        <f>IFERROR(__xludf.DUMMYFUNCTION("""COMPUTED_VALUE"""),"")</f>
        <v/>
      </c>
      <c r="N209" s="5" t="str">
        <f>IFERROR(__xludf.DUMMYFUNCTION("""COMPUTED_VALUE"""),"")</f>
        <v/>
      </c>
      <c r="O209" s="5" t="str">
        <f>IFERROR(__xludf.DUMMYFUNCTION("""COMPUTED_VALUE"""),"")</f>
        <v/>
      </c>
      <c r="P209" s="5" t="str">
        <f>IFERROR(__xludf.DUMMYFUNCTION("""COMPUTED_VALUE"""),"")</f>
        <v/>
      </c>
      <c r="Q209" s="5" t="str">
        <f>IFERROR(__xludf.DUMMYFUNCTION("""COMPUTED_VALUE"""),"")</f>
        <v/>
      </c>
      <c r="R209" s="5" t="str">
        <f>IFERROR(__xludf.DUMMYFUNCTION("""COMPUTED_VALUE"""),"")</f>
        <v/>
      </c>
      <c r="S209" s="5" t="str">
        <f>IFERROR(__xludf.DUMMYFUNCTION("""COMPUTED_VALUE"""),"")</f>
        <v/>
      </c>
      <c r="T209" s="5" t="str">
        <f>IFERROR(__xludf.DUMMYFUNCTION("""COMPUTED_VALUE"""),"")</f>
        <v/>
      </c>
      <c r="U209" s="5" t="str">
        <f>IFERROR(__xludf.DUMMYFUNCTION("""COMPUTED_VALUE"""),"")</f>
        <v/>
      </c>
      <c r="V209" s="5" t="str">
        <f>IFERROR(__xludf.DUMMYFUNCTION("""COMPUTED_VALUE"""),"")</f>
        <v/>
      </c>
      <c r="W209" s="5" t="str">
        <f>IFERROR(__xludf.DUMMYFUNCTION("""COMPUTED_VALUE"""),"")</f>
        <v/>
      </c>
      <c r="X209" s="5" t="str">
        <f>IFERROR(__xludf.DUMMYFUNCTION("""COMPUTED_VALUE"""),"")</f>
        <v/>
      </c>
      <c r="Y209" s="5"/>
      <c r="Z209" s="5"/>
    </row>
    <row r="210">
      <c r="A210" s="5" t="str">
        <f>IFERROR(__xludf.DUMMYFUNCTION("""COMPUTED_VALUE"""),"Twinkling Hot 40 Christmas")</f>
        <v>Twinkling Hot 40 Christmas</v>
      </c>
      <c r="B210" s="5" t="str">
        <f>IFERROR(__xludf.DUMMYFUNCTION("""COMPUTED_VALUE"""),"")</f>
        <v/>
      </c>
      <c r="C210" s="5" t="str">
        <f>IFERROR(__xludf.DUMMYFUNCTION("""COMPUTED_VALUE"""),"")</f>
        <v/>
      </c>
      <c r="D210" s="5" t="str">
        <f>IFERROR(__xludf.DUMMYFUNCTION("""COMPUTED_VALUE"""),"")</f>
        <v/>
      </c>
      <c r="E210" s="5" t="str">
        <f>IFERROR(__xludf.DUMMYFUNCTION("""COMPUTED_VALUE"""),"")</f>
        <v/>
      </c>
      <c r="F210" s="5" t="str">
        <f>IFERROR(__xludf.DUMMYFUNCTION("""COMPUTED_VALUE"""),"")</f>
        <v/>
      </c>
      <c r="G210" s="5" t="str">
        <f>IFERROR(__xludf.DUMMYFUNCTION("""COMPUTED_VALUE"""),"")</f>
        <v/>
      </c>
      <c r="H210" s="5" t="str">
        <f>IFERROR(__xludf.DUMMYFUNCTION("""COMPUTED_VALUE"""),"")</f>
        <v/>
      </c>
      <c r="I210" s="5" t="str">
        <f>IFERROR(__xludf.DUMMYFUNCTION("""COMPUTED_VALUE"""),"")</f>
        <v/>
      </c>
      <c r="J210" s="5" t="str">
        <f>IFERROR(__xludf.DUMMYFUNCTION("""COMPUTED_VALUE"""),"")</f>
        <v/>
      </c>
      <c r="K210" s="5" t="str">
        <f>IFERROR(__xludf.DUMMYFUNCTION("""COMPUTED_VALUE"""),"")</f>
        <v/>
      </c>
      <c r="L210" s="5" t="str">
        <f>IFERROR(__xludf.DUMMYFUNCTION("""COMPUTED_VALUE"""),"")</f>
        <v/>
      </c>
      <c r="M210" s="5" t="str">
        <f>IFERROR(__xludf.DUMMYFUNCTION("""COMPUTED_VALUE"""),"")</f>
        <v/>
      </c>
      <c r="N210" s="5" t="str">
        <f>IFERROR(__xludf.DUMMYFUNCTION("""COMPUTED_VALUE"""),"")</f>
        <v/>
      </c>
      <c r="O210" s="5" t="str">
        <f>IFERROR(__xludf.DUMMYFUNCTION("""COMPUTED_VALUE"""),"")</f>
        <v/>
      </c>
      <c r="P210" s="5" t="str">
        <f>IFERROR(__xludf.DUMMYFUNCTION("""COMPUTED_VALUE"""),"")</f>
        <v/>
      </c>
      <c r="Q210" s="5" t="str">
        <f>IFERROR(__xludf.DUMMYFUNCTION("""COMPUTED_VALUE"""),"")</f>
        <v/>
      </c>
      <c r="R210" s="5" t="str">
        <f>IFERROR(__xludf.DUMMYFUNCTION("""COMPUTED_VALUE"""),"")</f>
        <v/>
      </c>
      <c r="S210" s="5" t="str">
        <f>IFERROR(__xludf.DUMMYFUNCTION("""COMPUTED_VALUE"""),"")</f>
        <v/>
      </c>
      <c r="T210" s="5" t="str">
        <f>IFERROR(__xludf.DUMMYFUNCTION("""COMPUTED_VALUE"""),"")</f>
        <v/>
      </c>
      <c r="U210" s="5" t="str">
        <f>IFERROR(__xludf.DUMMYFUNCTION("""COMPUTED_VALUE"""),"")</f>
        <v/>
      </c>
      <c r="V210" s="5" t="str">
        <f>IFERROR(__xludf.DUMMYFUNCTION("""COMPUTED_VALUE"""),"")</f>
        <v/>
      </c>
      <c r="W210" s="5" t="str">
        <f>IFERROR(__xludf.DUMMYFUNCTION("""COMPUTED_VALUE"""),"")</f>
        <v/>
      </c>
      <c r="X210" s="5" t="str">
        <f>IFERROR(__xludf.DUMMYFUNCTION("""COMPUTED_VALUE"""),"")</f>
        <v/>
      </c>
      <c r="Y210" s="5"/>
      <c r="Z210" s="5"/>
    </row>
    <row r="211">
      <c r="A211" s="5" t="str">
        <f>IFERROR(__xludf.DUMMYFUNCTION("""COMPUTED_VALUE"""),"Golden Crown Christmas")</f>
        <v>Golden Crown Christmas</v>
      </c>
      <c r="B211" s="5" t="str">
        <f>IFERROR(__xludf.DUMMYFUNCTION("""COMPUTED_VALUE"""),"")</f>
        <v/>
      </c>
      <c r="C211" s="5" t="str">
        <f>IFERROR(__xludf.DUMMYFUNCTION("""COMPUTED_VALUE"""),"")</f>
        <v/>
      </c>
      <c r="D211" s="5" t="str">
        <f>IFERROR(__xludf.DUMMYFUNCTION("""COMPUTED_VALUE"""),"")</f>
        <v/>
      </c>
      <c r="E211" s="5" t="str">
        <f>IFERROR(__xludf.DUMMYFUNCTION("""COMPUTED_VALUE"""),"")</f>
        <v/>
      </c>
      <c r="F211" s="5" t="str">
        <f>IFERROR(__xludf.DUMMYFUNCTION("""COMPUTED_VALUE"""),"")</f>
        <v/>
      </c>
      <c r="G211" s="5" t="str">
        <f>IFERROR(__xludf.DUMMYFUNCTION("""COMPUTED_VALUE"""),"")</f>
        <v/>
      </c>
      <c r="H211" s="5" t="str">
        <f>IFERROR(__xludf.DUMMYFUNCTION("""COMPUTED_VALUE"""),"")</f>
        <v/>
      </c>
      <c r="I211" s="5" t="str">
        <f>IFERROR(__xludf.DUMMYFUNCTION("""COMPUTED_VALUE"""),"")</f>
        <v/>
      </c>
      <c r="J211" s="5" t="str">
        <f>IFERROR(__xludf.DUMMYFUNCTION("""COMPUTED_VALUE"""),"")</f>
        <v/>
      </c>
      <c r="K211" s="5" t="str">
        <f>IFERROR(__xludf.DUMMYFUNCTION("""COMPUTED_VALUE"""),"Development")</f>
        <v>Development</v>
      </c>
      <c r="L211" s="5" t="str">
        <f>IFERROR(__xludf.DUMMYFUNCTION("""COMPUTED_VALUE"""),"")</f>
        <v/>
      </c>
      <c r="M211" s="5" t="str">
        <f>IFERROR(__xludf.DUMMYFUNCTION("""COMPUTED_VALUE"""),"")</f>
        <v/>
      </c>
      <c r="N211" s="5" t="str">
        <f>IFERROR(__xludf.DUMMYFUNCTION("""COMPUTED_VALUE"""),"")</f>
        <v/>
      </c>
      <c r="O211" s="5" t="str">
        <f>IFERROR(__xludf.DUMMYFUNCTION("""COMPUTED_VALUE"""),"")</f>
        <v/>
      </c>
      <c r="P211" s="5" t="str">
        <f>IFERROR(__xludf.DUMMYFUNCTION("""COMPUTED_VALUE"""),"")</f>
        <v/>
      </c>
      <c r="Q211" s="5" t="str">
        <f>IFERROR(__xludf.DUMMYFUNCTION("""COMPUTED_VALUE"""),"")</f>
        <v/>
      </c>
      <c r="R211" s="5" t="str">
        <f>IFERROR(__xludf.DUMMYFUNCTION("""COMPUTED_VALUE"""),"")</f>
        <v/>
      </c>
      <c r="S211" s="5" t="str">
        <f>IFERROR(__xludf.DUMMYFUNCTION("""COMPUTED_VALUE"""),"")</f>
        <v/>
      </c>
      <c r="T211" s="5" t="str">
        <f>IFERROR(__xludf.DUMMYFUNCTION("""COMPUTED_VALUE"""),"")</f>
        <v/>
      </c>
      <c r="U211" s="5" t="str">
        <f>IFERROR(__xludf.DUMMYFUNCTION("""COMPUTED_VALUE"""),"")</f>
        <v/>
      </c>
      <c r="V211" s="5" t="str">
        <f>IFERROR(__xludf.DUMMYFUNCTION("""COMPUTED_VALUE"""),"")</f>
        <v/>
      </c>
      <c r="W211" s="5" t="str">
        <f>IFERROR(__xludf.DUMMYFUNCTION("""COMPUTED_VALUE"""),"")</f>
        <v/>
      </c>
      <c r="X211" s="5" t="str">
        <f>IFERROR(__xludf.DUMMYFUNCTION("""COMPUTED_VALUE"""),"")</f>
        <v/>
      </c>
      <c r="Y211" s="5"/>
      <c r="Z211" s="5"/>
    </row>
    <row r="212">
      <c r="A212" s="5" t="str">
        <f>IFERROR(__xludf.DUMMYFUNCTION("""COMPUTED_VALUE"""),"Lollas World Christmas")</f>
        <v>Lollas World Christmas</v>
      </c>
      <c r="B212" s="5" t="str">
        <f>IFERROR(__xludf.DUMMYFUNCTION("""COMPUTED_VALUE"""),"")</f>
        <v/>
      </c>
      <c r="C212" s="5" t="str">
        <f>IFERROR(__xludf.DUMMYFUNCTION("""COMPUTED_VALUE"""),"")</f>
        <v/>
      </c>
      <c r="D212" s="5" t="str">
        <f>IFERROR(__xludf.DUMMYFUNCTION("""COMPUTED_VALUE"""),"")</f>
        <v/>
      </c>
      <c r="E212" s="5" t="str">
        <f>IFERROR(__xludf.DUMMYFUNCTION("""COMPUTED_VALUE"""),"")</f>
        <v/>
      </c>
      <c r="F212" s="5" t="str">
        <f>IFERROR(__xludf.DUMMYFUNCTION("""COMPUTED_VALUE"""),"")</f>
        <v/>
      </c>
      <c r="G212" s="5" t="str">
        <f>IFERROR(__xludf.DUMMYFUNCTION("""COMPUTED_VALUE"""),"")</f>
        <v/>
      </c>
      <c r="H212" s="5" t="str">
        <f>IFERROR(__xludf.DUMMYFUNCTION("""COMPUTED_VALUE"""),"")</f>
        <v/>
      </c>
      <c r="I212" s="5" t="str">
        <f>IFERROR(__xludf.DUMMYFUNCTION("""COMPUTED_VALUE"""),"")</f>
        <v/>
      </c>
      <c r="J212" s="5" t="str">
        <f>IFERROR(__xludf.DUMMYFUNCTION("""COMPUTED_VALUE"""),"")</f>
        <v/>
      </c>
      <c r="K212" s="5" t="str">
        <f>IFERROR(__xludf.DUMMYFUNCTION("""COMPUTED_VALUE"""),"")</f>
        <v/>
      </c>
      <c r="L212" s="5" t="str">
        <f>IFERROR(__xludf.DUMMYFUNCTION("""COMPUTED_VALUE"""),"")</f>
        <v/>
      </c>
      <c r="M212" s="5" t="str">
        <f>IFERROR(__xludf.DUMMYFUNCTION("""COMPUTED_VALUE"""),"")</f>
        <v/>
      </c>
      <c r="N212" s="5" t="str">
        <f>IFERROR(__xludf.DUMMYFUNCTION("""COMPUTED_VALUE"""),"")</f>
        <v/>
      </c>
      <c r="O212" s="5" t="str">
        <f>IFERROR(__xludf.DUMMYFUNCTION("""COMPUTED_VALUE"""),"")</f>
        <v/>
      </c>
      <c r="P212" s="5" t="str">
        <f>IFERROR(__xludf.DUMMYFUNCTION("""COMPUTED_VALUE"""),"")</f>
        <v/>
      </c>
      <c r="Q212" s="5" t="str">
        <f>IFERROR(__xludf.DUMMYFUNCTION("""COMPUTED_VALUE"""),"")</f>
        <v/>
      </c>
      <c r="R212" s="5" t="str">
        <f>IFERROR(__xludf.DUMMYFUNCTION("""COMPUTED_VALUE"""),"")</f>
        <v/>
      </c>
      <c r="S212" s="5" t="str">
        <f>IFERROR(__xludf.DUMMYFUNCTION("""COMPUTED_VALUE"""),"")</f>
        <v/>
      </c>
      <c r="T212" s="5" t="str">
        <f>IFERROR(__xludf.DUMMYFUNCTION("""COMPUTED_VALUE"""),"")</f>
        <v/>
      </c>
      <c r="U212" s="5" t="str">
        <f>IFERROR(__xludf.DUMMYFUNCTION("""COMPUTED_VALUE"""),"")</f>
        <v/>
      </c>
      <c r="V212" s="5" t="str">
        <f>IFERROR(__xludf.DUMMYFUNCTION("""COMPUTED_VALUE"""),"")</f>
        <v/>
      </c>
      <c r="W212" s="5" t="str">
        <f>IFERROR(__xludf.DUMMYFUNCTION("""COMPUTED_VALUE"""),"")</f>
        <v/>
      </c>
      <c r="X212" s="5" t="str">
        <f>IFERROR(__xludf.DUMMYFUNCTION("""COMPUTED_VALUE"""),"")</f>
        <v/>
      </c>
      <c r="Y212" s="5"/>
      <c r="Z212" s="5"/>
    </row>
    <row r="213">
      <c r="A213" s="5" t="str">
        <f>IFERROR(__xludf.DUMMYFUNCTION("""COMPUTED_VALUE"""),"Wild Hot 40 Christmas")</f>
        <v>Wild Hot 40 Christmas</v>
      </c>
      <c r="B213" s="5" t="str">
        <f>IFERROR(__xludf.DUMMYFUNCTION("""COMPUTED_VALUE"""),"")</f>
        <v/>
      </c>
      <c r="C213" s="5" t="str">
        <f>IFERROR(__xludf.DUMMYFUNCTION("""COMPUTED_VALUE"""),"")</f>
        <v/>
      </c>
      <c r="D213" s="5" t="str">
        <f>IFERROR(__xludf.DUMMYFUNCTION("""COMPUTED_VALUE"""),"")</f>
        <v/>
      </c>
      <c r="E213" s="5" t="str">
        <f>IFERROR(__xludf.DUMMYFUNCTION("""COMPUTED_VALUE"""),"")</f>
        <v/>
      </c>
      <c r="F213" s="5" t="str">
        <f>IFERROR(__xludf.DUMMYFUNCTION("""COMPUTED_VALUE"""),"")</f>
        <v/>
      </c>
      <c r="G213" s="5" t="str">
        <f>IFERROR(__xludf.DUMMYFUNCTION("""COMPUTED_VALUE"""),"")</f>
        <v/>
      </c>
      <c r="H213" s="5" t="str">
        <f>IFERROR(__xludf.DUMMYFUNCTION("""COMPUTED_VALUE"""),"")</f>
        <v/>
      </c>
      <c r="I213" s="5" t="str">
        <f>IFERROR(__xludf.DUMMYFUNCTION("""COMPUTED_VALUE"""),"")</f>
        <v/>
      </c>
      <c r="J213" s="5" t="str">
        <f>IFERROR(__xludf.DUMMYFUNCTION("""COMPUTED_VALUE"""),"")</f>
        <v/>
      </c>
      <c r="K213" s="5" t="str">
        <f>IFERROR(__xludf.DUMMYFUNCTION("""COMPUTED_VALUE"""),"")</f>
        <v/>
      </c>
      <c r="L213" s="5" t="str">
        <f>IFERROR(__xludf.DUMMYFUNCTION("""COMPUTED_VALUE"""),"")</f>
        <v/>
      </c>
      <c r="M213" s="5" t="str">
        <f>IFERROR(__xludf.DUMMYFUNCTION("""COMPUTED_VALUE"""),"")</f>
        <v/>
      </c>
      <c r="N213" s="5" t="str">
        <f>IFERROR(__xludf.DUMMYFUNCTION("""COMPUTED_VALUE"""),"")</f>
        <v/>
      </c>
      <c r="O213" s="5" t="str">
        <f>IFERROR(__xludf.DUMMYFUNCTION("""COMPUTED_VALUE"""),"")</f>
        <v/>
      </c>
      <c r="P213" s="5" t="str">
        <f>IFERROR(__xludf.DUMMYFUNCTION("""COMPUTED_VALUE"""),"")</f>
        <v/>
      </c>
      <c r="Q213" s="5" t="str">
        <f>IFERROR(__xludf.DUMMYFUNCTION("""COMPUTED_VALUE"""),"")</f>
        <v/>
      </c>
      <c r="R213" s="5" t="str">
        <f>IFERROR(__xludf.DUMMYFUNCTION("""COMPUTED_VALUE"""),"")</f>
        <v/>
      </c>
      <c r="S213" s="5" t="str">
        <f>IFERROR(__xludf.DUMMYFUNCTION("""COMPUTED_VALUE"""),"")</f>
        <v/>
      </c>
      <c r="T213" s="5" t="str">
        <f>IFERROR(__xludf.DUMMYFUNCTION("""COMPUTED_VALUE"""),"")</f>
        <v/>
      </c>
      <c r="U213" s="5" t="str">
        <f>IFERROR(__xludf.DUMMYFUNCTION("""COMPUTED_VALUE"""),"")</f>
        <v/>
      </c>
      <c r="V213" s="5" t="str">
        <f>IFERROR(__xludf.DUMMYFUNCTION("""COMPUTED_VALUE"""),"")</f>
        <v/>
      </c>
      <c r="W213" s="5" t="str">
        <f>IFERROR(__xludf.DUMMYFUNCTION("""COMPUTED_VALUE"""),"")</f>
        <v/>
      </c>
      <c r="X213" s="5" t="str">
        <f>IFERROR(__xludf.DUMMYFUNCTION("""COMPUTED_VALUE"""),"")</f>
        <v/>
      </c>
      <c r="Y213" s="5"/>
      <c r="Z213" s="5"/>
    </row>
    <row r="214">
      <c r="A214" s="5" t="str">
        <f>IFERROR(__xludf.DUMMYFUNCTION("""COMPUTED_VALUE"""),"Very Hot 5 Christmas")</f>
        <v>Very Hot 5 Christmas</v>
      </c>
      <c r="B214" s="5" t="str">
        <f>IFERROR(__xludf.DUMMYFUNCTION("""COMPUTED_VALUE"""),"")</f>
        <v/>
      </c>
      <c r="C214" s="5" t="str">
        <f>IFERROR(__xludf.DUMMYFUNCTION("""COMPUTED_VALUE"""),"")</f>
        <v/>
      </c>
      <c r="D214" s="5" t="str">
        <f>IFERROR(__xludf.DUMMYFUNCTION("""COMPUTED_VALUE"""),"")</f>
        <v/>
      </c>
      <c r="E214" s="5" t="str">
        <f>IFERROR(__xludf.DUMMYFUNCTION("""COMPUTED_VALUE"""),"")</f>
        <v/>
      </c>
      <c r="F214" s="5" t="str">
        <f>IFERROR(__xludf.DUMMYFUNCTION("""COMPUTED_VALUE"""),"")</f>
        <v/>
      </c>
      <c r="G214" s="5" t="str">
        <f>IFERROR(__xludf.DUMMYFUNCTION("""COMPUTED_VALUE"""),"")</f>
        <v/>
      </c>
      <c r="H214" s="5" t="str">
        <f>IFERROR(__xludf.DUMMYFUNCTION("""COMPUTED_VALUE"""),"")</f>
        <v/>
      </c>
      <c r="I214" s="5" t="str">
        <f>IFERROR(__xludf.DUMMYFUNCTION("""COMPUTED_VALUE"""),"")</f>
        <v/>
      </c>
      <c r="J214" s="5" t="str">
        <f>IFERROR(__xludf.DUMMYFUNCTION("""COMPUTED_VALUE"""),"")</f>
        <v/>
      </c>
      <c r="K214" s="5" t="str">
        <f>IFERROR(__xludf.DUMMYFUNCTION("""COMPUTED_VALUE"""),"")</f>
        <v/>
      </c>
      <c r="L214" s="5" t="str">
        <f>IFERROR(__xludf.DUMMYFUNCTION("""COMPUTED_VALUE"""),"")</f>
        <v/>
      </c>
      <c r="M214" s="5" t="str">
        <f>IFERROR(__xludf.DUMMYFUNCTION("""COMPUTED_VALUE"""),"")</f>
        <v/>
      </c>
      <c r="N214" s="5" t="str">
        <f>IFERROR(__xludf.DUMMYFUNCTION("""COMPUTED_VALUE"""),"")</f>
        <v/>
      </c>
      <c r="O214" s="5" t="str">
        <f>IFERROR(__xludf.DUMMYFUNCTION("""COMPUTED_VALUE"""),"")</f>
        <v/>
      </c>
      <c r="P214" s="5" t="str">
        <f>IFERROR(__xludf.DUMMYFUNCTION("""COMPUTED_VALUE"""),"")</f>
        <v/>
      </c>
      <c r="Q214" s="5" t="str">
        <f>IFERROR(__xludf.DUMMYFUNCTION("""COMPUTED_VALUE"""),"")</f>
        <v/>
      </c>
      <c r="R214" s="5" t="str">
        <f>IFERROR(__xludf.DUMMYFUNCTION("""COMPUTED_VALUE"""),"")</f>
        <v/>
      </c>
      <c r="S214" s="5" t="str">
        <f>IFERROR(__xludf.DUMMYFUNCTION("""COMPUTED_VALUE"""),"")</f>
        <v/>
      </c>
      <c r="T214" s="5" t="str">
        <f>IFERROR(__xludf.DUMMYFUNCTION("""COMPUTED_VALUE"""),"")</f>
        <v/>
      </c>
      <c r="U214" s="5" t="str">
        <f>IFERROR(__xludf.DUMMYFUNCTION("""COMPUTED_VALUE"""),"")</f>
        <v/>
      </c>
      <c r="V214" s="5" t="str">
        <f>IFERROR(__xludf.DUMMYFUNCTION("""COMPUTED_VALUE"""),"")</f>
        <v/>
      </c>
      <c r="W214" s="5" t="str">
        <f>IFERROR(__xludf.DUMMYFUNCTION("""COMPUTED_VALUE"""),"")</f>
        <v/>
      </c>
      <c r="X214" s="5" t="str">
        <f>IFERROR(__xludf.DUMMYFUNCTION("""COMPUTED_VALUE"""),"")</f>
        <v/>
      </c>
      <c r="Y214" s="5"/>
      <c r="Z214" s="5"/>
    </row>
    <row r="215">
      <c r="A215" s="5" t="str">
        <f>IFERROR(__xludf.DUMMYFUNCTION("""COMPUTED_VALUE"""),"Very Hot 40 Christmas")</f>
        <v>Very Hot 40 Christmas</v>
      </c>
      <c r="B215" s="5" t="str">
        <f>IFERROR(__xludf.DUMMYFUNCTION("""COMPUTED_VALUE"""),"")</f>
        <v/>
      </c>
      <c r="C215" s="5" t="str">
        <f>IFERROR(__xludf.DUMMYFUNCTION("""COMPUTED_VALUE"""),"")</f>
        <v/>
      </c>
      <c r="D215" s="5" t="str">
        <f>IFERROR(__xludf.DUMMYFUNCTION("""COMPUTED_VALUE"""),"")</f>
        <v/>
      </c>
      <c r="E215" s="5" t="str">
        <f>IFERROR(__xludf.DUMMYFUNCTION("""COMPUTED_VALUE"""),"")</f>
        <v/>
      </c>
      <c r="F215" s="5" t="str">
        <f>IFERROR(__xludf.DUMMYFUNCTION("""COMPUTED_VALUE"""),"")</f>
        <v/>
      </c>
      <c r="G215" s="5" t="str">
        <f>IFERROR(__xludf.DUMMYFUNCTION("""COMPUTED_VALUE"""),"")</f>
        <v/>
      </c>
      <c r="H215" s="5" t="str">
        <f>IFERROR(__xludf.DUMMYFUNCTION("""COMPUTED_VALUE"""),"")</f>
        <v/>
      </c>
      <c r="I215" s="5" t="str">
        <f>IFERROR(__xludf.DUMMYFUNCTION("""COMPUTED_VALUE"""),"")</f>
        <v/>
      </c>
      <c r="J215" s="5" t="str">
        <f>IFERROR(__xludf.DUMMYFUNCTION("""COMPUTED_VALUE"""),"")</f>
        <v/>
      </c>
      <c r="K215" s="5" t="str">
        <f>IFERROR(__xludf.DUMMYFUNCTION("""COMPUTED_VALUE"""),"")</f>
        <v/>
      </c>
      <c r="L215" s="5" t="str">
        <f>IFERROR(__xludf.DUMMYFUNCTION("""COMPUTED_VALUE"""),"")</f>
        <v/>
      </c>
      <c r="M215" s="5" t="str">
        <f>IFERROR(__xludf.DUMMYFUNCTION("""COMPUTED_VALUE"""),"")</f>
        <v/>
      </c>
      <c r="N215" s="5" t="str">
        <f>IFERROR(__xludf.DUMMYFUNCTION("""COMPUTED_VALUE"""),"")</f>
        <v/>
      </c>
      <c r="O215" s="5" t="str">
        <f>IFERROR(__xludf.DUMMYFUNCTION("""COMPUTED_VALUE"""),"")</f>
        <v/>
      </c>
      <c r="P215" s="5" t="str">
        <f>IFERROR(__xludf.DUMMYFUNCTION("""COMPUTED_VALUE"""),"")</f>
        <v/>
      </c>
      <c r="Q215" s="5" t="str">
        <f>IFERROR(__xludf.DUMMYFUNCTION("""COMPUTED_VALUE"""),"")</f>
        <v/>
      </c>
      <c r="R215" s="5" t="str">
        <f>IFERROR(__xludf.DUMMYFUNCTION("""COMPUTED_VALUE"""),"")</f>
        <v/>
      </c>
      <c r="S215" s="5" t="str">
        <f>IFERROR(__xludf.DUMMYFUNCTION("""COMPUTED_VALUE"""),"")</f>
        <v/>
      </c>
      <c r="T215" s="5" t="str">
        <f>IFERROR(__xludf.DUMMYFUNCTION("""COMPUTED_VALUE"""),"")</f>
        <v/>
      </c>
      <c r="U215" s="5" t="str">
        <f>IFERROR(__xludf.DUMMYFUNCTION("""COMPUTED_VALUE"""),"")</f>
        <v/>
      </c>
      <c r="V215" s="5" t="str">
        <f>IFERROR(__xludf.DUMMYFUNCTION("""COMPUTED_VALUE"""),"")</f>
        <v/>
      </c>
      <c r="W215" s="5" t="str">
        <f>IFERROR(__xludf.DUMMYFUNCTION("""COMPUTED_VALUE"""),"")</f>
        <v/>
      </c>
      <c r="X215" s="5" t="str">
        <f>IFERROR(__xludf.DUMMYFUNCTION("""COMPUTED_VALUE"""),"")</f>
        <v/>
      </c>
      <c r="Y215" s="5"/>
      <c r="Z215" s="5"/>
    </row>
    <row r="216">
      <c r="A216" s="5" t="str">
        <f>IFERROR(__xludf.DUMMYFUNCTION("""COMPUTED_VALUE"""),"5 Crown Fire")</f>
        <v>5 Crown Fire</v>
      </c>
      <c r="B216" s="5" t="str">
        <f>IFERROR(__xludf.DUMMYFUNCTION("""COMPUTED_VALUE"""),"")</f>
        <v/>
      </c>
      <c r="C216" s="5" t="str">
        <f>IFERROR(__xludf.DUMMYFUNCTION("""COMPUTED_VALUE"""),"")</f>
        <v/>
      </c>
      <c r="D216" s="5" t="str">
        <f>IFERROR(__xludf.DUMMYFUNCTION("""COMPUTED_VALUE"""),"")</f>
        <v/>
      </c>
      <c r="E216" s="5" t="str">
        <f>IFERROR(__xludf.DUMMYFUNCTION("""COMPUTED_VALUE"""),"")</f>
        <v/>
      </c>
      <c r="F216" s="5" t="str">
        <f>IFERROR(__xludf.DUMMYFUNCTION("""COMPUTED_VALUE"""),"")</f>
        <v/>
      </c>
      <c r="G216" s="5" t="str">
        <f>IFERROR(__xludf.DUMMYFUNCTION("""COMPUTED_VALUE"""),"")</f>
        <v/>
      </c>
      <c r="H216" s="5" t="str">
        <f>IFERROR(__xludf.DUMMYFUNCTION("""COMPUTED_VALUE"""),"")</f>
        <v/>
      </c>
      <c r="I216" s="5" t="str">
        <f>IFERROR(__xludf.DUMMYFUNCTION("""COMPUTED_VALUE"""),"")</f>
        <v/>
      </c>
      <c r="J216" s="5" t="str">
        <f>IFERROR(__xludf.DUMMYFUNCTION("""COMPUTED_VALUE"""),"")</f>
        <v/>
      </c>
      <c r="K216" s="5" t="str">
        <f>IFERROR(__xludf.DUMMYFUNCTION("""COMPUTED_VALUE"""),"")</f>
        <v/>
      </c>
      <c r="L216" s="5" t="str">
        <f>IFERROR(__xludf.DUMMYFUNCTION("""COMPUTED_VALUE"""),"")</f>
        <v/>
      </c>
      <c r="M216" s="5" t="str">
        <f>IFERROR(__xludf.DUMMYFUNCTION("""COMPUTED_VALUE"""),"")</f>
        <v/>
      </c>
      <c r="N216" s="5" t="str">
        <f>IFERROR(__xludf.DUMMYFUNCTION("""COMPUTED_VALUE"""),"")</f>
        <v/>
      </c>
      <c r="O216" s="5" t="str">
        <f>IFERROR(__xludf.DUMMYFUNCTION("""COMPUTED_VALUE"""),"")</f>
        <v/>
      </c>
      <c r="P216" s="5" t="str">
        <f>IFERROR(__xludf.DUMMYFUNCTION("""COMPUTED_VALUE"""),"")</f>
        <v/>
      </c>
      <c r="Q216" s="5" t="str">
        <f>IFERROR(__xludf.DUMMYFUNCTION("""COMPUTED_VALUE"""),"")</f>
        <v/>
      </c>
      <c r="R216" s="5" t="str">
        <f>IFERROR(__xludf.DUMMYFUNCTION("""COMPUTED_VALUE"""),"")</f>
        <v/>
      </c>
      <c r="S216" s="5" t="str">
        <f>IFERROR(__xludf.DUMMYFUNCTION("""COMPUTED_VALUE"""),"")</f>
        <v/>
      </c>
      <c r="T216" s="5" t="str">
        <f>IFERROR(__xludf.DUMMYFUNCTION("""COMPUTED_VALUE"""),"")</f>
        <v/>
      </c>
      <c r="U216" s="5" t="str">
        <f>IFERROR(__xludf.DUMMYFUNCTION("""COMPUTED_VALUE"""),"")</f>
        <v/>
      </c>
      <c r="V216" s="5" t="str">
        <f>IFERROR(__xludf.DUMMYFUNCTION("""COMPUTED_VALUE"""),"")</f>
        <v/>
      </c>
      <c r="W216" s="5" t="str">
        <f>IFERROR(__xludf.DUMMYFUNCTION("""COMPUTED_VALUE"""),"")</f>
        <v/>
      </c>
      <c r="X216" s="5" t="str">
        <f>IFERROR(__xludf.DUMMYFUNCTION("""COMPUTED_VALUE"""),"")</f>
        <v/>
      </c>
      <c r="Y216" s="5"/>
      <c r="Z216" s="5"/>
    </row>
    <row r="217">
      <c r="A217" s="5" t="str">
        <f>IFERROR(__xludf.DUMMYFUNCTION("""COMPUTED_VALUE"""),"Shining Presents")</f>
        <v>Shining Presents</v>
      </c>
      <c r="B217" s="5" t="str">
        <f>IFERROR(__xludf.DUMMYFUNCTION("""COMPUTED_VALUE"""),"")</f>
        <v/>
      </c>
      <c r="C217" s="5" t="str">
        <f>IFERROR(__xludf.DUMMYFUNCTION("""COMPUTED_VALUE"""),"")</f>
        <v/>
      </c>
      <c r="D217" s="5" t="str">
        <f>IFERROR(__xludf.DUMMYFUNCTION("""COMPUTED_VALUE"""),"")</f>
        <v/>
      </c>
      <c r="E217" s="5" t="str">
        <f>IFERROR(__xludf.DUMMYFUNCTION("""COMPUTED_VALUE"""),"")</f>
        <v/>
      </c>
      <c r="F217" s="5" t="str">
        <f>IFERROR(__xludf.DUMMYFUNCTION("""COMPUTED_VALUE"""),"")</f>
        <v/>
      </c>
      <c r="G217" s="5" t="str">
        <f>IFERROR(__xludf.DUMMYFUNCTION("""COMPUTED_VALUE"""),"")</f>
        <v/>
      </c>
      <c r="H217" s="5" t="str">
        <f>IFERROR(__xludf.DUMMYFUNCTION("""COMPUTED_VALUE"""),"")</f>
        <v/>
      </c>
      <c r="I217" s="5" t="str">
        <f>IFERROR(__xludf.DUMMYFUNCTION("""COMPUTED_VALUE"""),"")</f>
        <v/>
      </c>
      <c r="J217" s="5" t="str">
        <f>IFERROR(__xludf.DUMMYFUNCTION("""COMPUTED_VALUE"""),"")</f>
        <v/>
      </c>
      <c r="K217" s="5" t="str">
        <f>IFERROR(__xludf.DUMMYFUNCTION("""COMPUTED_VALUE"""),"")</f>
        <v/>
      </c>
      <c r="L217" s="5" t="str">
        <f>IFERROR(__xludf.DUMMYFUNCTION("""COMPUTED_VALUE"""),"")</f>
        <v/>
      </c>
      <c r="M217" s="5" t="str">
        <f>IFERROR(__xludf.DUMMYFUNCTION("""COMPUTED_VALUE"""),"")</f>
        <v/>
      </c>
      <c r="N217" s="5" t="str">
        <f>IFERROR(__xludf.DUMMYFUNCTION("""COMPUTED_VALUE"""),"")</f>
        <v/>
      </c>
      <c r="O217" s="5" t="str">
        <f>IFERROR(__xludf.DUMMYFUNCTION("""COMPUTED_VALUE"""),"")</f>
        <v/>
      </c>
      <c r="P217" s="5" t="str">
        <f>IFERROR(__xludf.DUMMYFUNCTION("""COMPUTED_VALUE"""),"")</f>
        <v/>
      </c>
      <c r="Q217" s="5" t="str">
        <f>IFERROR(__xludf.DUMMYFUNCTION("""COMPUTED_VALUE"""),"")</f>
        <v/>
      </c>
      <c r="R217" s="5" t="str">
        <f>IFERROR(__xludf.DUMMYFUNCTION("""COMPUTED_VALUE"""),"")</f>
        <v/>
      </c>
      <c r="S217" s="5" t="str">
        <f>IFERROR(__xludf.DUMMYFUNCTION("""COMPUTED_VALUE"""),"")</f>
        <v/>
      </c>
      <c r="T217" s="5" t="str">
        <f>IFERROR(__xludf.DUMMYFUNCTION("""COMPUTED_VALUE"""),"")</f>
        <v/>
      </c>
      <c r="U217" s="5" t="str">
        <f>IFERROR(__xludf.DUMMYFUNCTION("""COMPUTED_VALUE"""),"")</f>
        <v/>
      </c>
      <c r="V217" s="5" t="str">
        <f>IFERROR(__xludf.DUMMYFUNCTION("""COMPUTED_VALUE"""),"")</f>
        <v/>
      </c>
      <c r="W217" s="5" t="str">
        <f>IFERROR(__xludf.DUMMYFUNCTION("""COMPUTED_VALUE"""),"")</f>
        <v/>
      </c>
      <c r="X217" s="5" t="str">
        <f>IFERROR(__xludf.DUMMYFUNCTION("""COMPUTED_VALUE"""),"")</f>
        <v/>
      </c>
      <c r="Y217" s="5"/>
      <c r="Z217" s="5"/>
    </row>
    <row r="218">
      <c r="A218" s="5" t="str">
        <f>IFERROR(__xludf.DUMMYFUNCTION("""COMPUTED_VALUE"""),"10 Wild Santa")</f>
        <v>10 Wild Santa</v>
      </c>
      <c r="B218" s="5" t="str">
        <f>IFERROR(__xludf.DUMMYFUNCTION("""COMPUTED_VALUE"""),"")</f>
        <v/>
      </c>
      <c r="C218" s="5" t="str">
        <f>IFERROR(__xludf.DUMMYFUNCTION("""COMPUTED_VALUE"""),"")</f>
        <v/>
      </c>
      <c r="D218" s="5" t="str">
        <f>IFERROR(__xludf.DUMMYFUNCTION("""COMPUTED_VALUE"""),"")</f>
        <v/>
      </c>
      <c r="E218" s="5" t="str">
        <f>IFERROR(__xludf.DUMMYFUNCTION("""COMPUTED_VALUE"""),"")</f>
        <v/>
      </c>
      <c r="F218" s="5" t="str">
        <f>IFERROR(__xludf.DUMMYFUNCTION("""COMPUTED_VALUE"""),"")</f>
        <v/>
      </c>
      <c r="G218" s="5" t="str">
        <f>IFERROR(__xludf.DUMMYFUNCTION("""COMPUTED_VALUE"""),"")</f>
        <v/>
      </c>
      <c r="H218" s="5" t="str">
        <f>IFERROR(__xludf.DUMMYFUNCTION("""COMPUTED_VALUE"""),"")</f>
        <v/>
      </c>
      <c r="I218" s="5" t="str">
        <f>IFERROR(__xludf.DUMMYFUNCTION("""COMPUTED_VALUE"""),"")</f>
        <v/>
      </c>
      <c r="J218" s="5" t="str">
        <f>IFERROR(__xludf.DUMMYFUNCTION("""COMPUTED_VALUE"""),"")</f>
        <v/>
      </c>
      <c r="K218" s="5" t="str">
        <f>IFERROR(__xludf.DUMMYFUNCTION("""COMPUTED_VALUE"""),"")</f>
        <v/>
      </c>
      <c r="L218" s="5" t="str">
        <f>IFERROR(__xludf.DUMMYFUNCTION("""COMPUTED_VALUE"""),"")</f>
        <v/>
      </c>
      <c r="M218" s="5" t="str">
        <f>IFERROR(__xludf.DUMMYFUNCTION("""COMPUTED_VALUE"""),"")</f>
        <v/>
      </c>
      <c r="N218" s="5" t="str">
        <f>IFERROR(__xludf.DUMMYFUNCTION("""COMPUTED_VALUE"""),"")</f>
        <v/>
      </c>
      <c r="O218" s="5" t="str">
        <f>IFERROR(__xludf.DUMMYFUNCTION("""COMPUTED_VALUE"""),"")</f>
        <v/>
      </c>
      <c r="P218" s="5" t="str">
        <f>IFERROR(__xludf.DUMMYFUNCTION("""COMPUTED_VALUE"""),"")</f>
        <v/>
      </c>
      <c r="Q218" s="5" t="str">
        <f>IFERROR(__xludf.DUMMYFUNCTION("""COMPUTED_VALUE"""),"")</f>
        <v/>
      </c>
      <c r="R218" s="5" t="str">
        <f>IFERROR(__xludf.DUMMYFUNCTION("""COMPUTED_VALUE"""),"")</f>
        <v/>
      </c>
      <c r="S218" s="5" t="str">
        <f>IFERROR(__xludf.DUMMYFUNCTION("""COMPUTED_VALUE"""),"")</f>
        <v/>
      </c>
      <c r="T218" s="5" t="str">
        <f>IFERROR(__xludf.DUMMYFUNCTION("""COMPUTED_VALUE"""),"")</f>
        <v/>
      </c>
      <c r="U218" s="5" t="str">
        <f>IFERROR(__xludf.DUMMYFUNCTION("""COMPUTED_VALUE"""),"")</f>
        <v/>
      </c>
      <c r="V218" s="5" t="str">
        <f>IFERROR(__xludf.DUMMYFUNCTION("""COMPUTED_VALUE"""),"")</f>
        <v/>
      </c>
      <c r="W218" s="5" t="str">
        <f>IFERROR(__xludf.DUMMYFUNCTION("""COMPUTED_VALUE"""),"")</f>
        <v/>
      </c>
      <c r="X218" s="5" t="str">
        <f>IFERROR(__xludf.DUMMYFUNCTION("""COMPUTED_VALUE"""),"")</f>
        <v/>
      </c>
      <c r="Y218" s="5"/>
      <c r="Z218" s="5"/>
    </row>
    <row r="219">
      <c r="A219" s="5" t="str">
        <f>IFERROR(__xludf.DUMMYFUNCTION("""COMPUTED_VALUE"""),"Fast Fruits")</f>
        <v>Fast Fruits</v>
      </c>
      <c r="B219" s="5" t="str">
        <f>IFERROR(__xludf.DUMMYFUNCTION("""COMPUTED_VALUE"""),"")</f>
        <v/>
      </c>
      <c r="C219" s="5" t="str">
        <f>IFERROR(__xludf.DUMMYFUNCTION("""COMPUTED_VALUE"""),"")</f>
        <v/>
      </c>
      <c r="D219" s="5" t="str">
        <f>IFERROR(__xludf.DUMMYFUNCTION("""COMPUTED_VALUE"""),"")</f>
        <v/>
      </c>
      <c r="E219" s="5" t="str">
        <f>IFERROR(__xludf.DUMMYFUNCTION("""COMPUTED_VALUE"""),"")</f>
        <v/>
      </c>
      <c r="F219" s="5" t="str">
        <f>IFERROR(__xludf.DUMMYFUNCTION("""COMPUTED_VALUE"""),"")</f>
        <v/>
      </c>
      <c r="G219" s="5" t="str">
        <f>IFERROR(__xludf.DUMMYFUNCTION("""COMPUTED_VALUE"""),"")</f>
        <v/>
      </c>
      <c r="H219" s="5" t="str">
        <f>IFERROR(__xludf.DUMMYFUNCTION("""COMPUTED_VALUE"""),"")</f>
        <v/>
      </c>
      <c r="I219" s="5" t="str">
        <f>IFERROR(__xludf.DUMMYFUNCTION("""COMPUTED_VALUE"""),"")</f>
        <v/>
      </c>
      <c r="J219" s="5" t="str">
        <f>IFERROR(__xludf.DUMMYFUNCTION("""COMPUTED_VALUE"""),"")</f>
        <v/>
      </c>
      <c r="K219" s="5" t="str">
        <f>IFERROR(__xludf.DUMMYFUNCTION("""COMPUTED_VALUE"""),"")</f>
        <v/>
      </c>
      <c r="L219" s="5" t="str">
        <f>IFERROR(__xludf.DUMMYFUNCTION("""COMPUTED_VALUE"""),"")</f>
        <v/>
      </c>
      <c r="M219" s="5" t="str">
        <f>IFERROR(__xludf.DUMMYFUNCTION("""COMPUTED_VALUE"""),"")</f>
        <v/>
      </c>
      <c r="N219" s="5" t="str">
        <f>IFERROR(__xludf.DUMMYFUNCTION("""COMPUTED_VALUE"""),"")</f>
        <v/>
      </c>
      <c r="O219" s="5" t="str">
        <f>IFERROR(__xludf.DUMMYFUNCTION("""COMPUTED_VALUE"""),"")</f>
        <v/>
      </c>
      <c r="P219" s="5" t="str">
        <f>IFERROR(__xludf.DUMMYFUNCTION("""COMPUTED_VALUE"""),"")</f>
        <v/>
      </c>
      <c r="Q219" s="5" t="str">
        <f>IFERROR(__xludf.DUMMYFUNCTION("""COMPUTED_VALUE"""),"")</f>
        <v/>
      </c>
      <c r="R219" s="5" t="str">
        <f>IFERROR(__xludf.DUMMYFUNCTION("""COMPUTED_VALUE"""),"")</f>
        <v/>
      </c>
      <c r="S219" s="5" t="str">
        <f>IFERROR(__xludf.DUMMYFUNCTION("""COMPUTED_VALUE"""),"")</f>
        <v/>
      </c>
      <c r="T219" s="5" t="str">
        <f>IFERROR(__xludf.DUMMYFUNCTION("""COMPUTED_VALUE"""),"")</f>
        <v/>
      </c>
      <c r="U219" s="5" t="str">
        <f>IFERROR(__xludf.DUMMYFUNCTION("""COMPUTED_VALUE"""),"")</f>
        <v/>
      </c>
      <c r="V219" s="5" t="str">
        <f>IFERROR(__xludf.DUMMYFUNCTION("""COMPUTED_VALUE"""),"")</f>
        <v/>
      </c>
      <c r="W219" s="5" t="str">
        <f>IFERROR(__xludf.DUMMYFUNCTION("""COMPUTED_VALUE"""),"")</f>
        <v/>
      </c>
      <c r="X219" s="5" t="str">
        <f>IFERROR(__xludf.DUMMYFUNCTION("""COMPUTED_VALUE"""),"")</f>
        <v/>
      </c>
      <c r="Y219" s="5"/>
      <c r="Z219" s="5"/>
    </row>
    <row r="220">
      <c r="A220" s="5" t="str">
        <f>IFERROR(__xludf.DUMMYFUNCTION("""COMPUTED_VALUE"""),"Money Standard Wild")</f>
        <v>Money Standard Wild</v>
      </c>
      <c r="B220" s="5" t="str">
        <f>IFERROR(__xludf.DUMMYFUNCTION("""COMPUTED_VALUE"""),"")</f>
        <v/>
      </c>
      <c r="C220" s="5" t="str">
        <f>IFERROR(__xludf.DUMMYFUNCTION("""COMPUTED_VALUE"""),"")</f>
        <v/>
      </c>
      <c r="D220" s="5" t="str">
        <f>IFERROR(__xludf.DUMMYFUNCTION("""COMPUTED_VALUE"""),"")</f>
        <v/>
      </c>
      <c r="E220" s="5" t="str">
        <f>IFERROR(__xludf.DUMMYFUNCTION("""COMPUTED_VALUE"""),"")</f>
        <v/>
      </c>
      <c r="F220" s="5" t="str">
        <f>IFERROR(__xludf.DUMMYFUNCTION("""COMPUTED_VALUE"""),"")</f>
        <v/>
      </c>
      <c r="G220" s="5" t="str">
        <f>IFERROR(__xludf.DUMMYFUNCTION("""COMPUTED_VALUE"""),"")</f>
        <v/>
      </c>
      <c r="H220" s="5" t="str">
        <f>IFERROR(__xludf.DUMMYFUNCTION("""COMPUTED_VALUE"""),"")</f>
        <v/>
      </c>
      <c r="I220" s="5" t="str">
        <f>IFERROR(__xludf.DUMMYFUNCTION("""COMPUTED_VALUE"""),"")</f>
        <v/>
      </c>
      <c r="J220" s="5" t="str">
        <f>IFERROR(__xludf.DUMMYFUNCTION("""COMPUTED_VALUE"""),"")</f>
        <v/>
      </c>
      <c r="K220" s="5" t="str">
        <f>IFERROR(__xludf.DUMMYFUNCTION("""COMPUTED_VALUE"""),"")</f>
        <v/>
      </c>
      <c r="L220" s="5" t="str">
        <f>IFERROR(__xludf.DUMMYFUNCTION("""COMPUTED_VALUE"""),"")</f>
        <v/>
      </c>
      <c r="M220" s="5" t="str">
        <f>IFERROR(__xludf.DUMMYFUNCTION("""COMPUTED_VALUE"""),"")</f>
        <v/>
      </c>
      <c r="N220" s="5" t="str">
        <f>IFERROR(__xludf.DUMMYFUNCTION("""COMPUTED_VALUE"""),"")</f>
        <v/>
      </c>
      <c r="O220" s="5" t="str">
        <f>IFERROR(__xludf.DUMMYFUNCTION("""COMPUTED_VALUE"""),"")</f>
        <v/>
      </c>
      <c r="P220" s="5" t="str">
        <f>IFERROR(__xludf.DUMMYFUNCTION("""COMPUTED_VALUE"""),"")</f>
        <v/>
      </c>
      <c r="Q220" s="5" t="str">
        <f>IFERROR(__xludf.DUMMYFUNCTION("""COMPUTED_VALUE"""),"")</f>
        <v/>
      </c>
      <c r="R220" s="5" t="str">
        <f>IFERROR(__xludf.DUMMYFUNCTION("""COMPUTED_VALUE"""),"")</f>
        <v/>
      </c>
      <c r="S220" s="5" t="str">
        <f>IFERROR(__xludf.DUMMYFUNCTION("""COMPUTED_VALUE"""),"")</f>
        <v/>
      </c>
      <c r="T220" s="5" t="str">
        <f>IFERROR(__xludf.DUMMYFUNCTION("""COMPUTED_VALUE"""),"")</f>
        <v/>
      </c>
      <c r="U220" s="5" t="str">
        <f>IFERROR(__xludf.DUMMYFUNCTION("""COMPUTED_VALUE"""),"")</f>
        <v/>
      </c>
      <c r="V220" s="5" t="str">
        <f>IFERROR(__xludf.DUMMYFUNCTION("""COMPUTED_VALUE"""),"")</f>
        <v/>
      </c>
      <c r="W220" s="5" t="str">
        <f>IFERROR(__xludf.DUMMYFUNCTION("""COMPUTED_VALUE"""),"")</f>
        <v/>
      </c>
      <c r="X220" s="5" t="str">
        <f>IFERROR(__xludf.DUMMYFUNCTION("""COMPUTED_VALUE"""),"")</f>
        <v/>
      </c>
      <c r="Y220" s="5"/>
      <c r="Z220" s="5"/>
    </row>
    <row r="221">
      <c r="A221" s="5" t="str">
        <f>IFERROR(__xludf.DUMMYFUNCTION("""COMPUTED_VALUE"""),"Wild Hot 40 Blow")</f>
        <v>Wild Hot 40 Blow</v>
      </c>
      <c r="B221" s="5" t="str">
        <f>IFERROR(__xludf.DUMMYFUNCTION("""COMPUTED_VALUE"""),"Available")</f>
        <v>Available</v>
      </c>
      <c r="C221" s="5" t="str">
        <f>IFERROR(__xludf.DUMMYFUNCTION("""COMPUTED_VALUE"""),"Available")</f>
        <v>Available</v>
      </c>
      <c r="D221" s="5" t="str">
        <f>IFERROR(__xludf.DUMMYFUNCTION("""COMPUTED_VALUE"""),"Available")</f>
        <v>Available</v>
      </c>
      <c r="E221" s="5" t="str">
        <f>IFERROR(__xludf.DUMMYFUNCTION("""COMPUTED_VALUE"""),"Available")</f>
        <v>Available</v>
      </c>
      <c r="F221" s="5" t="str">
        <f>IFERROR(__xludf.DUMMYFUNCTION("""COMPUTED_VALUE"""),"Available")</f>
        <v>Available</v>
      </c>
      <c r="G221" s="5" t="str">
        <f>IFERROR(__xludf.DUMMYFUNCTION("""COMPUTED_VALUE"""),"Available")</f>
        <v>Available</v>
      </c>
      <c r="H221" s="5" t="str">
        <f>IFERROR(__xludf.DUMMYFUNCTION("""COMPUTED_VALUE"""),"Available")</f>
        <v>Available</v>
      </c>
      <c r="I221" s="5" t="str">
        <f>IFERROR(__xludf.DUMMYFUNCTION("""COMPUTED_VALUE"""),"Available")</f>
        <v>Available</v>
      </c>
      <c r="J221" s="5" t="str">
        <f>IFERROR(__xludf.DUMMYFUNCTION("""COMPUTED_VALUE"""),"Available")</f>
        <v>Available</v>
      </c>
      <c r="K221" s="5" t="str">
        <f>IFERROR(__xludf.DUMMYFUNCTION("""COMPUTED_VALUE"""),"Available")</f>
        <v>Available</v>
      </c>
      <c r="L221" s="5" t="str">
        <f>IFERROR(__xludf.DUMMYFUNCTION("""COMPUTED_VALUE"""),"Available")</f>
        <v>Available</v>
      </c>
      <c r="M221" s="5" t="str">
        <f>IFERROR(__xludf.DUMMYFUNCTION("""COMPUTED_VALUE"""),"Available")</f>
        <v>Available</v>
      </c>
      <c r="N221" s="5" t="str">
        <f>IFERROR(__xludf.DUMMYFUNCTION("""COMPUTED_VALUE"""),"Available")</f>
        <v>Available</v>
      </c>
      <c r="O221" s="5" t="str">
        <f>IFERROR(__xludf.DUMMYFUNCTION("""COMPUTED_VALUE"""),"")</f>
        <v/>
      </c>
      <c r="P221" s="5" t="str">
        <f>IFERROR(__xludf.DUMMYFUNCTION("""COMPUTED_VALUE"""),"")</f>
        <v/>
      </c>
      <c r="Q221" s="5" t="str">
        <f>IFERROR(__xludf.DUMMYFUNCTION("""COMPUTED_VALUE"""),"Available")</f>
        <v>Available</v>
      </c>
      <c r="R221" s="5" t="str">
        <f>IFERROR(__xludf.DUMMYFUNCTION("""COMPUTED_VALUE"""),"Development")</f>
        <v>Development</v>
      </c>
      <c r="S221" s="5" t="str">
        <f>IFERROR(__xludf.DUMMYFUNCTION("""COMPUTED_VALUE"""),"In Certification")</f>
        <v>In Certification</v>
      </c>
      <c r="T221" s="5" t="str">
        <f>IFERROR(__xludf.DUMMYFUNCTION("""COMPUTED_VALUE"""),"Development")</f>
        <v>Development</v>
      </c>
      <c r="U221" s="5" t="str">
        <f>IFERROR(__xludf.DUMMYFUNCTION("""COMPUTED_VALUE"""),"Certified")</f>
        <v>Certified</v>
      </c>
      <c r="V221" s="5" t="str">
        <f>IFERROR(__xludf.DUMMYFUNCTION("""COMPUTED_VALUE"""),"Available")</f>
        <v>Available</v>
      </c>
      <c r="W221" s="5" t="str">
        <f>IFERROR(__xludf.DUMMYFUNCTION("""COMPUTED_VALUE"""),"Planned")</f>
        <v>Planned</v>
      </c>
      <c r="X221" s="5" t="str">
        <f>IFERROR(__xludf.DUMMYFUNCTION("""COMPUTED_VALUE"""),"")</f>
        <v/>
      </c>
      <c r="Y221" s="5"/>
      <c r="Z221" s="5"/>
    </row>
    <row r="222">
      <c r="A222" s="5" t="str">
        <f>IFERROR(__xludf.DUMMYFUNCTION("""COMPUTED_VALUE"""),"Dice Mega Cash")</f>
        <v>Dice Mega Cash</v>
      </c>
      <c r="B222" s="5" t="str">
        <f>IFERROR(__xludf.DUMMYFUNCTION("""COMPUTED_VALUE"""),"")</f>
        <v/>
      </c>
      <c r="C222" s="5" t="str">
        <f>IFERROR(__xludf.DUMMYFUNCTION("""COMPUTED_VALUE"""),"")</f>
        <v/>
      </c>
      <c r="D222" s="5" t="str">
        <f>IFERROR(__xludf.DUMMYFUNCTION("""COMPUTED_VALUE"""),"")</f>
        <v/>
      </c>
      <c r="E222" s="5" t="str">
        <f>IFERROR(__xludf.DUMMYFUNCTION("""COMPUTED_VALUE"""),"")</f>
        <v/>
      </c>
      <c r="F222" s="5" t="str">
        <f>IFERROR(__xludf.DUMMYFUNCTION("""COMPUTED_VALUE"""),"")</f>
        <v/>
      </c>
      <c r="G222" s="5" t="str">
        <f>IFERROR(__xludf.DUMMYFUNCTION("""COMPUTED_VALUE"""),"")</f>
        <v/>
      </c>
      <c r="H222" s="5" t="str">
        <f>IFERROR(__xludf.DUMMYFUNCTION("""COMPUTED_VALUE"""),"")</f>
        <v/>
      </c>
      <c r="I222" s="5" t="str">
        <f>IFERROR(__xludf.DUMMYFUNCTION("""COMPUTED_VALUE"""),"")</f>
        <v/>
      </c>
      <c r="J222" s="5" t="str">
        <f>IFERROR(__xludf.DUMMYFUNCTION("""COMPUTED_VALUE"""),"")</f>
        <v/>
      </c>
      <c r="K222" s="5" t="str">
        <f>IFERROR(__xludf.DUMMYFUNCTION("""COMPUTED_VALUE"""),"")</f>
        <v/>
      </c>
      <c r="L222" s="5" t="str">
        <f>IFERROR(__xludf.DUMMYFUNCTION("""COMPUTED_VALUE"""),"")</f>
        <v/>
      </c>
      <c r="M222" s="5" t="str">
        <f>IFERROR(__xludf.DUMMYFUNCTION("""COMPUTED_VALUE"""),"")</f>
        <v/>
      </c>
      <c r="N222" s="5" t="str">
        <f>IFERROR(__xludf.DUMMYFUNCTION("""COMPUTED_VALUE"""),"")</f>
        <v/>
      </c>
      <c r="O222" s="5" t="str">
        <f>IFERROR(__xludf.DUMMYFUNCTION("""COMPUTED_VALUE"""),"")</f>
        <v/>
      </c>
      <c r="P222" s="5" t="str">
        <f>IFERROR(__xludf.DUMMYFUNCTION("""COMPUTED_VALUE"""),"")</f>
        <v/>
      </c>
      <c r="Q222" s="5" t="str">
        <f>IFERROR(__xludf.DUMMYFUNCTION("""COMPUTED_VALUE"""),"")</f>
        <v/>
      </c>
      <c r="R222" s="5" t="str">
        <f>IFERROR(__xludf.DUMMYFUNCTION("""COMPUTED_VALUE"""),"")</f>
        <v/>
      </c>
      <c r="S222" s="5" t="str">
        <f>IFERROR(__xludf.DUMMYFUNCTION("""COMPUTED_VALUE"""),"")</f>
        <v/>
      </c>
      <c r="T222" s="5" t="str">
        <f>IFERROR(__xludf.DUMMYFUNCTION("""COMPUTED_VALUE"""),"")</f>
        <v/>
      </c>
      <c r="U222" s="5" t="str">
        <f>IFERROR(__xludf.DUMMYFUNCTION("""COMPUTED_VALUE"""),"")</f>
        <v/>
      </c>
      <c r="V222" s="5" t="str">
        <f>IFERROR(__xludf.DUMMYFUNCTION("""COMPUTED_VALUE"""),"")</f>
        <v/>
      </c>
      <c r="W222" s="5" t="str">
        <f>IFERROR(__xludf.DUMMYFUNCTION("""COMPUTED_VALUE"""),"")</f>
        <v/>
      </c>
      <c r="X222" s="5" t="str">
        <f>IFERROR(__xludf.DUMMYFUNCTION("""COMPUTED_VALUE"""),"")</f>
        <v/>
      </c>
      <c r="Y222" s="5"/>
      <c r="Z222" s="5"/>
    </row>
    <row r="223">
      <c r="A223" s="5" t="str">
        <f>IFERROR(__xludf.DUMMYFUNCTION("""COMPUTED_VALUE"""),"40 Hot Strike")</f>
        <v>40 Hot Strike</v>
      </c>
      <c r="B223" s="5" t="str">
        <f>IFERROR(__xludf.DUMMYFUNCTION("""COMPUTED_VALUE"""),"")</f>
        <v/>
      </c>
      <c r="C223" s="5" t="str">
        <f>IFERROR(__xludf.DUMMYFUNCTION("""COMPUTED_VALUE"""),"")</f>
        <v/>
      </c>
      <c r="D223" s="5" t="str">
        <f>IFERROR(__xludf.DUMMYFUNCTION("""COMPUTED_VALUE"""),"")</f>
        <v/>
      </c>
      <c r="E223" s="5" t="str">
        <f>IFERROR(__xludf.DUMMYFUNCTION("""COMPUTED_VALUE"""),"")</f>
        <v/>
      </c>
      <c r="F223" s="5" t="str">
        <f>IFERROR(__xludf.DUMMYFUNCTION("""COMPUTED_VALUE"""),"")</f>
        <v/>
      </c>
      <c r="G223" s="5" t="str">
        <f>IFERROR(__xludf.DUMMYFUNCTION("""COMPUTED_VALUE"""),"")</f>
        <v/>
      </c>
      <c r="H223" s="5" t="str">
        <f>IFERROR(__xludf.DUMMYFUNCTION("""COMPUTED_VALUE"""),"")</f>
        <v/>
      </c>
      <c r="I223" s="5" t="str">
        <f>IFERROR(__xludf.DUMMYFUNCTION("""COMPUTED_VALUE"""),"")</f>
        <v/>
      </c>
      <c r="J223" s="5" t="str">
        <f>IFERROR(__xludf.DUMMYFUNCTION("""COMPUTED_VALUE"""),"")</f>
        <v/>
      </c>
      <c r="K223" s="5" t="str">
        <f>IFERROR(__xludf.DUMMYFUNCTION("""COMPUTED_VALUE"""),"")</f>
        <v/>
      </c>
      <c r="L223" s="5" t="str">
        <f>IFERROR(__xludf.DUMMYFUNCTION("""COMPUTED_VALUE"""),"")</f>
        <v/>
      </c>
      <c r="M223" s="5" t="str">
        <f>IFERROR(__xludf.DUMMYFUNCTION("""COMPUTED_VALUE"""),"")</f>
        <v/>
      </c>
      <c r="N223" s="5" t="str">
        <f>IFERROR(__xludf.DUMMYFUNCTION("""COMPUTED_VALUE"""),"")</f>
        <v/>
      </c>
      <c r="O223" s="5" t="str">
        <f>IFERROR(__xludf.DUMMYFUNCTION("""COMPUTED_VALUE"""),"")</f>
        <v/>
      </c>
      <c r="P223" s="5" t="str">
        <f>IFERROR(__xludf.DUMMYFUNCTION("""COMPUTED_VALUE"""),"")</f>
        <v/>
      </c>
      <c r="Q223" s="5" t="str">
        <f>IFERROR(__xludf.DUMMYFUNCTION("""COMPUTED_VALUE"""),"")</f>
        <v/>
      </c>
      <c r="R223" s="5" t="str">
        <f>IFERROR(__xludf.DUMMYFUNCTION("""COMPUTED_VALUE"""),"")</f>
        <v/>
      </c>
      <c r="S223" s="5" t="str">
        <f>IFERROR(__xludf.DUMMYFUNCTION("""COMPUTED_VALUE"""),"")</f>
        <v/>
      </c>
      <c r="T223" s="5" t="str">
        <f>IFERROR(__xludf.DUMMYFUNCTION("""COMPUTED_VALUE"""),"")</f>
        <v/>
      </c>
      <c r="U223" s="5" t="str">
        <f>IFERROR(__xludf.DUMMYFUNCTION("""COMPUTED_VALUE"""),"")</f>
        <v/>
      </c>
      <c r="V223" s="5" t="str">
        <f>IFERROR(__xludf.DUMMYFUNCTION("""COMPUTED_VALUE"""),"")</f>
        <v/>
      </c>
      <c r="W223" s="5" t="str">
        <f>IFERROR(__xludf.DUMMYFUNCTION("""COMPUTED_VALUE"""),"")</f>
        <v/>
      </c>
      <c r="X223" s="5" t="str">
        <f>IFERROR(__xludf.DUMMYFUNCTION("""COMPUTED_VALUE"""),"")</f>
        <v/>
      </c>
      <c r="Y223" s="5"/>
      <c r="Z223" s="5"/>
    </row>
    <row r="224">
      <c r="A224" s="5" t="str">
        <f>IFERROR(__xludf.DUMMYFUNCTION("""COMPUTED_VALUE"""),"Shining Rush")</f>
        <v>Shining Rush</v>
      </c>
      <c r="B224" s="5" t="str">
        <f>IFERROR(__xludf.DUMMYFUNCTION("""COMPUTED_VALUE"""),"")</f>
        <v/>
      </c>
      <c r="C224" s="5" t="str">
        <f>IFERROR(__xludf.DUMMYFUNCTION("""COMPUTED_VALUE"""),"")</f>
        <v/>
      </c>
      <c r="D224" s="5" t="str">
        <f>IFERROR(__xludf.DUMMYFUNCTION("""COMPUTED_VALUE"""),"")</f>
        <v/>
      </c>
      <c r="E224" s="5" t="str">
        <f>IFERROR(__xludf.DUMMYFUNCTION("""COMPUTED_VALUE"""),"")</f>
        <v/>
      </c>
      <c r="F224" s="5" t="str">
        <f>IFERROR(__xludf.DUMMYFUNCTION("""COMPUTED_VALUE"""),"Retired")</f>
        <v>Retired</v>
      </c>
      <c r="G224" s="5" t="str">
        <f>IFERROR(__xludf.DUMMYFUNCTION("""COMPUTED_VALUE"""),"")</f>
        <v/>
      </c>
      <c r="H224" s="5" t="str">
        <f>IFERROR(__xludf.DUMMYFUNCTION("""COMPUTED_VALUE"""),"")</f>
        <v/>
      </c>
      <c r="I224" s="5" t="str">
        <f>IFERROR(__xludf.DUMMYFUNCTION("""COMPUTED_VALUE"""),"Available")</f>
        <v>Available</v>
      </c>
      <c r="J224" s="5" t="str">
        <f>IFERROR(__xludf.DUMMYFUNCTION("""COMPUTED_VALUE"""),"")</f>
        <v/>
      </c>
      <c r="K224" s="5" t="str">
        <f>IFERROR(__xludf.DUMMYFUNCTION("""COMPUTED_VALUE"""),"")</f>
        <v/>
      </c>
      <c r="L224" s="5" t="str">
        <f>IFERROR(__xludf.DUMMYFUNCTION("""COMPUTED_VALUE"""),"")</f>
        <v/>
      </c>
      <c r="M224" s="5" t="str">
        <f>IFERROR(__xludf.DUMMYFUNCTION("""COMPUTED_VALUE"""),"")</f>
        <v/>
      </c>
      <c r="N224" s="5" t="str">
        <f>IFERROR(__xludf.DUMMYFUNCTION("""COMPUTED_VALUE"""),"")</f>
        <v/>
      </c>
      <c r="O224" s="5" t="str">
        <f>IFERROR(__xludf.DUMMYFUNCTION("""COMPUTED_VALUE"""),"")</f>
        <v/>
      </c>
      <c r="P224" s="5" t="str">
        <f>IFERROR(__xludf.DUMMYFUNCTION("""COMPUTED_VALUE"""),"")</f>
        <v/>
      </c>
      <c r="Q224" s="5" t="str">
        <f>IFERROR(__xludf.DUMMYFUNCTION("""COMPUTED_VALUE"""),"")</f>
        <v/>
      </c>
      <c r="R224" s="5" t="str">
        <f>IFERROR(__xludf.DUMMYFUNCTION("""COMPUTED_VALUE"""),"")</f>
        <v/>
      </c>
      <c r="S224" s="5" t="str">
        <f>IFERROR(__xludf.DUMMYFUNCTION("""COMPUTED_VALUE"""),"")</f>
        <v/>
      </c>
      <c r="T224" s="5" t="str">
        <f>IFERROR(__xludf.DUMMYFUNCTION("""COMPUTED_VALUE"""),"")</f>
        <v/>
      </c>
      <c r="U224" s="5" t="str">
        <f>IFERROR(__xludf.DUMMYFUNCTION("""COMPUTED_VALUE"""),"")</f>
        <v/>
      </c>
      <c r="V224" s="5" t="str">
        <f>IFERROR(__xludf.DUMMYFUNCTION("""COMPUTED_VALUE"""),"")</f>
        <v/>
      </c>
      <c r="W224" s="5" t="str">
        <f>IFERROR(__xludf.DUMMYFUNCTION("""COMPUTED_VALUE"""),"")</f>
        <v/>
      </c>
      <c r="X224" s="5" t="str">
        <f>IFERROR(__xludf.DUMMYFUNCTION("""COMPUTED_VALUE"""),"")</f>
        <v/>
      </c>
      <c r="Y224" s="5"/>
      <c r="Z224" s="5"/>
    </row>
    <row r="225">
      <c r="A225" s="5" t="str">
        <f>IFERROR(__xludf.DUMMYFUNCTION("""COMPUTED_VALUE"""),"Golden Explosion")</f>
        <v>Golden Explosion</v>
      </c>
      <c r="B225" s="5" t="str">
        <f>IFERROR(__xludf.DUMMYFUNCTION("""COMPUTED_VALUE"""),"")</f>
        <v/>
      </c>
      <c r="C225" s="5" t="str">
        <f>IFERROR(__xludf.DUMMYFUNCTION("""COMPUTED_VALUE"""),"")</f>
        <v/>
      </c>
      <c r="D225" s="5" t="str">
        <f>IFERROR(__xludf.DUMMYFUNCTION("""COMPUTED_VALUE"""),"Available")</f>
        <v>Available</v>
      </c>
      <c r="E225" s="5" t="str">
        <f>IFERROR(__xludf.DUMMYFUNCTION("""COMPUTED_VALUE"""),"Available")</f>
        <v>Available</v>
      </c>
      <c r="F225" s="5" t="str">
        <f>IFERROR(__xludf.DUMMYFUNCTION("""COMPUTED_VALUE"""),"Available")</f>
        <v>Available</v>
      </c>
      <c r="G225" s="5" t="str">
        <f>IFERROR(__xludf.DUMMYFUNCTION("""COMPUTED_VALUE"""),"Available")</f>
        <v>Available</v>
      </c>
      <c r="H225" s="5" t="str">
        <f>IFERROR(__xludf.DUMMYFUNCTION("""COMPUTED_VALUE"""),"Available")</f>
        <v>Available</v>
      </c>
      <c r="I225" s="5" t="str">
        <f>IFERROR(__xludf.DUMMYFUNCTION("""COMPUTED_VALUE"""),"Available")</f>
        <v>Available</v>
      </c>
      <c r="J225" s="5" t="str">
        <f>IFERROR(__xludf.DUMMYFUNCTION("""COMPUTED_VALUE"""),"")</f>
        <v/>
      </c>
      <c r="K225" s="5" t="str">
        <f>IFERROR(__xludf.DUMMYFUNCTION("""COMPUTED_VALUE"""),"")</f>
        <v/>
      </c>
      <c r="L225" s="5" t="str">
        <f>IFERROR(__xludf.DUMMYFUNCTION("""COMPUTED_VALUE"""),"")</f>
        <v/>
      </c>
      <c r="M225" s="5" t="str">
        <f>IFERROR(__xludf.DUMMYFUNCTION("""COMPUTED_VALUE"""),"Available")</f>
        <v>Available</v>
      </c>
      <c r="N225" s="5" t="str">
        <f>IFERROR(__xludf.DUMMYFUNCTION("""COMPUTED_VALUE"""),"")</f>
        <v/>
      </c>
      <c r="O225" s="5" t="str">
        <f>IFERROR(__xludf.DUMMYFUNCTION("""COMPUTED_VALUE"""),"")</f>
        <v/>
      </c>
      <c r="P225" s="5" t="str">
        <f>IFERROR(__xludf.DUMMYFUNCTION("""COMPUTED_VALUE"""),"")</f>
        <v/>
      </c>
      <c r="Q225" s="5" t="str">
        <f>IFERROR(__xludf.DUMMYFUNCTION("""COMPUTED_VALUE"""),"")</f>
        <v/>
      </c>
      <c r="R225" s="5" t="str">
        <f>IFERROR(__xludf.DUMMYFUNCTION("""COMPUTED_VALUE"""),"")</f>
        <v/>
      </c>
      <c r="S225" s="5" t="str">
        <f>IFERROR(__xludf.DUMMYFUNCTION("""COMPUTED_VALUE"""),"")</f>
        <v/>
      </c>
      <c r="T225" s="5" t="str">
        <f>IFERROR(__xludf.DUMMYFUNCTION("""COMPUTED_VALUE"""),"")</f>
        <v/>
      </c>
      <c r="U225" s="5" t="str">
        <f>IFERROR(__xludf.DUMMYFUNCTION("""COMPUTED_VALUE"""),"")</f>
        <v/>
      </c>
      <c r="V225" s="5" t="str">
        <f>IFERROR(__xludf.DUMMYFUNCTION("""COMPUTED_VALUE"""),"")</f>
        <v/>
      </c>
      <c r="W225" s="5" t="str">
        <f>IFERROR(__xludf.DUMMYFUNCTION("""COMPUTED_VALUE"""),"")</f>
        <v/>
      </c>
      <c r="X225" s="5" t="str">
        <f>IFERROR(__xludf.DUMMYFUNCTION("""COMPUTED_VALUE"""),"")</f>
        <v/>
      </c>
      <c r="Y225" s="5"/>
      <c r="Z225" s="5"/>
    </row>
    <row r="226">
      <c r="A226" s="5" t="str">
        <f>IFERROR(__xludf.DUMMYFUNCTION("""COMPUTED_VALUE"""),"Very Hot 5 Extreme")</f>
        <v>Very Hot 5 Extreme</v>
      </c>
      <c r="B226" s="5" t="str">
        <f>IFERROR(__xludf.DUMMYFUNCTION("""COMPUTED_VALUE"""),"Development")</f>
        <v>Development</v>
      </c>
      <c r="C226" s="5" t="str">
        <f>IFERROR(__xludf.DUMMYFUNCTION("""COMPUTED_VALUE"""),"Development")</f>
        <v>Development</v>
      </c>
      <c r="D226" s="5" t="str">
        <f>IFERROR(__xludf.DUMMYFUNCTION("""COMPUTED_VALUE"""),"Certified")</f>
        <v>Certified</v>
      </c>
      <c r="E226" s="5" t="str">
        <f>IFERROR(__xludf.DUMMYFUNCTION("""COMPUTED_VALUE"""),"Available")</f>
        <v>Available</v>
      </c>
      <c r="F226" s="5" t="str">
        <f>IFERROR(__xludf.DUMMYFUNCTION("""COMPUTED_VALUE"""),"Available")</f>
        <v>Available</v>
      </c>
      <c r="G226" s="5" t="str">
        <f>IFERROR(__xludf.DUMMYFUNCTION("""COMPUTED_VALUE"""),"Available")</f>
        <v>Available</v>
      </c>
      <c r="H226" s="5" t="str">
        <f>IFERROR(__xludf.DUMMYFUNCTION("""COMPUTED_VALUE"""),"Available")</f>
        <v>Available</v>
      </c>
      <c r="I226" s="5" t="str">
        <f>IFERROR(__xludf.DUMMYFUNCTION("""COMPUTED_VALUE"""),"Available")</f>
        <v>Available</v>
      </c>
      <c r="J226" s="5" t="str">
        <f>IFERROR(__xludf.DUMMYFUNCTION("""COMPUTED_VALUE"""),"")</f>
        <v/>
      </c>
      <c r="K226" s="5" t="str">
        <f>IFERROR(__xludf.DUMMYFUNCTION("""COMPUTED_VALUE"""),"Development")</f>
        <v>Development</v>
      </c>
      <c r="L226" s="5" t="str">
        <f>IFERROR(__xludf.DUMMYFUNCTION("""COMPUTED_VALUE"""),"Development")</f>
        <v>Development</v>
      </c>
      <c r="M226" s="5" t="str">
        <f>IFERROR(__xludf.DUMMYFUNCTION("""COMPUTED_VALUE"""),"Development")</f>
        <v>Development</v>
      </c>
      <c r="N226" s="5" t="str">
        <f>IFERROR(__xludf.DUMMYFUNCTION("""COMPUTED_VALUE"""),"Development")</f>
        <v>Development</v>
      </c>
      <c r="O226" s="5" t="str">
        <f>IFERROR(__xludf.DUMMYFUNCTION("""COMPUTED_VALUE"""),"")</f>
        <v/>
      </c>
      <c r="P226" s="5" t="str">
        <f>IFERROR(__xludf.DUMMYFUNCTION("""COMPUTED_VALUE"""),"")</f>
        <v/>
      </c>
      <c r="Q226" s="5" t="str">
        <f>IFERROR(__xludf.DUMMYFUNCTION("""COMPUTED_VALUE"""),"Available")</f>
        <v>Available</v>
      </c>
      <c r="R226" s="5" t="str">
        <f>IFERROR(__xludf.DUMMYFUNCTION("""COMPUTED_VALUE"""),"")</f>
        <v/>
      </c>
      <c r="S226" s="5" t="str">
        <f>IFERROR(__xludf.DUMMYFUNCTION("""COMPUTED_VALUE"""),"In Certification")</f>
        <v>In Certification</v>
      </c>
      <c r="T226" s="5" t="str">
        <f>IFERROR(__xludf.DUMMYFUNCTION("""COMPUTED_VALUE"""),"")</f>
        <v/>
      </c>
      <c r="U226" s="5" t="str">
        <f>IFERROR(__xludf.DUMMYFUNCTION("""COMPUTED_VALUE"""),"")</f>
        <v/>
      </c>
      <c r="V226" s="5" t="str">
        <f>IFERROR(__xludf.DUMMYFUNCTION("""COMPUTED_VALUE"""),"")</f>
        <v/>
      </c>
      <c r="W226" s="5" t="str">
        <f>IFERROR(__xludf.DUMMYFUNCTION("""COMPUTED_VALUE"""),"")</f>
        <v/>
      </c>
      <c r="X226" s="5" t="str">
        <f>IFERROR(__xludf.DUMMYFUNCTION("""COMPUTED_VALUE"""),"")</f>
        <v/>
      </c>
      <c r="Y226" s="5"/>
      <c r="Z226" s="5"/>
    </row>
    <row r="227">
      <c r="A227" s="5" t="str">
        <f>IFERROR(__xludf.DUMMYFUNCTION("""COMPUTED_VALUE"""),"Pixel Hot 40")</f>
        <v>Pixel Hot 40</v>
      </c>
      <c r="B227" s="5" t="str">
        <f>IFERROR(__xludf.DUMMYFUNCTION("""COMPUTED_VALUE"""),"Development")</f>
        <v>Development</v>
      </c>
      <c r="C227" s="5" t="str">
        <f>IFERROR(__xludf.DUMMYFUNCTION("""COMPUTED_VALUE"""),"Development")</f>
        <v>Development</v>
      </c>
      <c r="D227" s="5" t="str">
        <f>IFERROR(__xludf.DUMMYFUNCTION("""COMPUTED_VALUE"""),"Cert Preparation")</f>
        <v>Cert Preparation</v>
      </c>
      <c r="E227" s="5" t="str">
        <f>IFERROR(__xludf.DUMMYFUNCTION("""COMPUTED_VALUE"""),"")</f>
        <v/>
      </c>
      <c r="F227" s="5" t="str">
        <f>IFERROR(__xludf.DUMMYFUNCTION("""COMPUTED_VALUE"""),"")</f>
        <v/>
      </c>
      <c r="G227" s="5" t="str">
        <f>IFERROR(__xludf.DUMMYFUNCTION("""COMPUTED_VALUE"""),"")</f>
        <v/>
      </c>
      <c r="H227" s="5" t="str">
        <f>IFERROR(__xludf.DUMMYFUNCTION("""COMPUTED_VALUE"""),"")</f>
        <v/>
      </c>
      <c r="I227" s="5" t="str">
        <f>IFERROR(__xludf.DUMMYFUNCTION("""COMPUTED_VALUE"""),"")</f>
        <v/>
      </c>
      <c r="J227" s="5" t="str">
        <f>IFERROR(__xludf.DUMMYFUNCTION("""COMPUTED_VALUE"""),"")</f>
        <v/>
      </c>
      <c r="K227" s="5" t="str">
        <f>IFERROR(__xludf.DUMMYFUNCTION("""COMPUTED_VALUE"""),"")</f>
        <v/>
      </c>
      <c r="L227" s="5" t="str">
        <f>IFERROR(__xludf.DUMMYFUNCTION("""COMPUTED_VALUE"""),"")</f>
        <v/>
      </c>
      <c r="M227" s="5" t="str">
        <f>IFERROR(__xludf.DUMMYFUNCTION("""COMPUTED_VALUE"""),"")</f>
        <v/>
      </c>
      <c r="N227" s="5" t="str">
        <f>IFERROR(__xludf.DUMMYFUNCTION("""COMPUTED_VALUE"""),"")</f>
        <v/>
      </c>
      <c r="O227" s="5" t="str">
        <f>IFERROR(__xludf.DUMMYFUNCTION("""COMPUTED_VALUE"""),"")</f>
        <v/>
      </c>
      <c r="P227" s="5" t="str">
        <f>IFERROR(__xludf.DUMMYFUNCTION("""COMPUTED_VALUE"""),"")</f>
        <v/>
      </c>
      <c r="Q227" s="5" t="str">
        <f>IFERROR(__xludf.DUMMYFUNCTION("""COMPUTED_VALUE"""),"")</f>
        <v/>
      </c>
      <c r="R227" s="5" t="str">
        <f>IFERROR(__xludf.DUMMYFUNCTION("""COMPUTED_VALUE"""),"")</f>
        <v/>
      </c>
      <c r="S227" s="5" t="str">
        <f>IFERROR(__xludf.DUMMYFUNCTION("""COMPUTED_VALUE"""),"")</f>
        <v/>
      </c>
      <c r="T227" s="5" t="str">
        <f>IFERROR(__xludf.DUMMYFUNCTION("""COMPUTED_VALUE"""),"")</f>
        <v/>
      </c>
      <c r="U227" s="5" t="str">
        <f>IFERROR(__xludf.DUMMYFUNCTION("""COMPUTED_VALUE"""),"")</f>
        <v/>
      </c>
      <c r="V227" s="5" t="str">
        <f>IFERROR(__xludf.DUMMYFUNCTION("""COMPUTED_VALUE"""),"")</f>
        <v/>
      </c>
      <c r="W227" s="5" t="str">
        <f>IFERROR(__xludf.DUMMYFUNCTION("""COMPUTED_VALUE"""),"")</f>
        <v/>
      </c>
      <c r="X227" s="5" t="str">
        <f>IFERROR(__xludf.DUMMYFUNCTION("""COMPUTED_VALUE"""),"")</f>
        <v/>
      </c>
      <c r="Y227" s="5"/>
      <c r="Z227" s="5"/>
    </row>
    <row r="228">
      <c r="A228" s="5" t="str">
        <f>IFERROR(__xludf.DUMMYFUNCTION("""COMPUTED_VALUE"""),"40 Hot Strike Dice")</f>
        <v>40 Hot Strike Dice</v>
      </c>
      <c r="B228" s="5" t="str">
        <f>IFERROR(__xludf.DUMMYFUNCTION("""COMPUTED_VALUE"""),"")</f>
        <v/>
      </c>
      <c r="C228" s="5" t="str">
        <f>IFERROR(__xludf.DUMMYFUNCTION("""COMPUTED_VALUE"""),"")</f>
        <v/>
      </c>
      <c r="D228" s="5" t="str">
        <f>IFERROR(__xludf.DUMMYFUNCTION("""COMPUTED_VALUE"""),"")</f>
        <v/>
      </c>
      <c r="E228" s="5" t="str">
        <f>IFERROR(__xludf.DUMMYFUNCTION("""COMPUTED_VALUE"""),"")</f>
        <v/>
      </c>
      <c r="F228" s="5" t="str">
        <f>IFERROR(__xludf.DUMMYFUNCTION("""COMPUTED_VALUE"""),"")</f>
        <v/>
      </c>
      <c r="G228" s="5" t="str">
        <f>IFERROR(__xludf.DUMMYFUNCTION("""COMPUTED_VALUE"""),"")</f>
        <v/>
      </c>
      <c r="H228" s="5" t="str">
        <f>IFERROR(__xludf.DUMMYFUNCTION("""COMPUTED_VALUE"""),"")</f>
        <v/>
      </c>
      <c r="I228" s="5" t="str">
        <f>IFERROR(__xludf.DUMMYFUNCTION("""COMPUTED_VALUE"""),"")</f>
        <v/>
      </c>
      <c r="J228" s="5" t="str">
        <f>IFERROR(__xludf.DUMMYFUNCTION("""COMPUTED_VALUE"""),"")</f>
        <v/>
      </c>
      <c r="K228" s="5" t="str">
        <f>IFERROR(__xludf.DUMMYFUNCTION("""COMPUTED_VALUE"""),"")</f>
        <v/>
      </c>
      <c r="L228" s="5" t="str">
        <f>IFERROR(__xludf.DUMMYFUNCTION("""COMPUTED_VALUE"""),"")</f>
        <v/>
      </c>
      <c r="M228" s="5" t="str">
        <f>IFERROR(__xludf.DUMMYFUNCTION("""COMPUTED_VALUE"""),"")</f>
        <v/>
      </c>
      <c r="N228" s="5" t="str">
        <f>IFERROR(__xludf.DUMMYFUNCTION("""COMPUTED_VALUE"""),"")</f>
        <v/>
      </c>
      <c r="O228" s="5" t="str">
        <f>IFERROR(__xludf.DUMMYFUNCTION("""COMPUTED_VALUE"""),"")</f>
        <v/>
      </c>
      <c r="P228" s="5" t="str">
        <f>IFERROR(__xludf.DUMMYFUNCTION("""COMPUTED_VALUE"""),"")</f>
        <v/>
      </c>
      <c r="Q228" s="5" t="str">
        <f>IFERROR(__xludf.DUMMYFUNCTION("""COMPUTED_VALUE"""),"")</f>
        <v/>
      </c>
      <c r="R228" s="5" t="str">
        <f>IFERROR(__xludf.DUMMYFUNCTION("""COMPUTED_VALUE"""),"")</f>
        <v/>
      </c>
      <c r="S228" s="5" t="str">
        <f>IFERROR(__xludf.DUMMYFUNCTION("""COMPUTED_VALUE"""),"")</f>
        <v/>
      </c>
      <c r="T228" s="5" t="str">
        <f>IFERROR(__xludf.DUMMYFUNCTION("""COMPUTED_VALUE"""),"")</f>
        <v/>
      </c>
      <c r="U228" s="5" t="str">
        <f>IFERROR(__xludf.DUMMYFUNCTION("""COMPUTED_VALUE"""),"")</f>
        <v/>
      </c>
      <c r="V228" s="5" t="str">
        <f>IFERROR(__xludf.DUMMYFUNCTION("""COMPUTED_VALUE"""),"")</f>
        <v/>
      </c>
      <c r="W228" s="5" t="str">
        <f>IFERROR(__xludf.DUMMYFUNCTION("""COMPUTED_VALUE"""),"")</f>
        <v/>
      </c>
      <c r="X228" s="5" t="str">
        <f>IFERROR(__xludf.DUMMYFUNCTION("""COMPUTED_VALUE"""),"")</f>
        <v/>
      </c>
      <c r="Y228" s="5"/>
      <c r="Z228" s="5"/>
    </row>
    <row r="229">
      <c r="A229" s="5" t="str">
        <f>IFERROR(__xludf.DUMMYFUNCTION("""COMPUTED_VALUE"""),"20 Hot Strike")</f>
        <v>20 Hot Strike</v>
      </c>
      <c r="B229" s="5" t="str">
        <f>IFERROR(__xludf.DUMMYFUNCTION("""COMPUTED_VALUE"""),"")</f>
        <v/>
      </c>
      <c r="C229" s="5" t="str">
        <f>IFERROR(__xludf.DUMMYFUNCTION("""COMPUTED_VALUE"""),"")</f>
        <v/>
      </c>
      <c r="D229" s="5" t="str">
        <f>IFERROR(__xludf.DUMMYFUNCTION("""COMPUTED_VALUE"""),"")</f>
        <v/>
      </c>
      <c r="E229" s="5" t="str">
        <f>IFERROR(__xludf.DUMMYFUNCTION("""COMPUTED_VALUE"""),"")</f>
        <v/>
      </c>
      <c r="F229" s="5" t="str">
        <f>IFERROR(__xludf.DUMMYFUNCTION("""COMPUTED_VALUE"""),"")</f>
        <v/>
      </c>
      <c r="G229" s="5" t="str">
        <f>IFERROR(__xludf.DUMMYFUNCTION("""COMPUTED_VALUE"""),"")</f>
        <v/>
      </c>
      <c r="H229" s="5" t="str">
        <f>IFERROR(__xludf.DUMMYFUNCTION("""COMPUTED_VALUE"""),"")</f>
        <v/>
      </c>
      <c r="I229" s="5" t="str">
        <f>IFERROR(__xludf.DUMMYFUNCTION("""COMPUTED_VALUE"""),"")</f>
        <v/>
      </c>
      <c r="J229" s="5" t="str">
        <f>IFERROR(__xludf.DUMMYFUNCTION("""COMPUTED_VALUE"""),"")</f>
        <v/>
      </c>
      <c r="K229" s="5" t="str">
        <f>IFERROR(__xludf.DUMMYFUNCTION("""COMPUTED_VALUE"""),"")</f>
        <v/>
      </c>
      <c r="L229" s="5" t="str">
        <f>IFERROR(__xludf.DUMMYFUNCTION("""COMPUTED_VALUE"""),"")</f>
        <v/>
      </c>
      <c r="M229" s="5" t="str">
        <f>IFERROR(__xludf.DUMMYFUNCTION("""COMPUTED_VALUE"""),"")</f>
        <v/>
      </c>
      <c r="N229" s="5" t="str">
        <f>IFERROR(__xludf.DUMMYFUNCTION("""COMPUTED_VALUE"""),"")</f>
        <v/>
      </c>
      <c r="O229" s="5" t="str">
        <f>IFERROR(__xludf.DUMMYFUNCTION("""COMPUTED_VALUE"""),"")</f>
        <v/>
      </c>
      <c r="P229" s="5" t="str">
        <f>IFERROR(__xludf.DUMMYFUNCTION("""COMPUTED_VALUE"""),"")</f>
        <v/>
      </c>
      <c r="Q229" s="5" t="str">
        <f>IFERROR(__xludf.DUMMYFUNCTION("""COMPUTED_VALUE"""),"")</f>
        <v/>
      </c>
      <c r="R229" s="5" t="str">
        <f>IFERROR(__xludf.DUMMYFUNCTION("""COMPUTED_VALUE"""),"")</f>
        <v/>
      </c>
      <c r="S229" s="5" t="str">
        <f>IFERROR(__xludf.DUMMYFUNCTION("""COMPUTED_VALUE"""),"")</f>
        <v/>
      </c>
      <c r="T229" s="5" t="str">
        <f>IFERROR(__xludf.DUMMYFUNCTION("""COMPUTED_VALUE"""),"")</f>
        <v/>
      </c>
      <c r="U229" s="5" t="str">
        <f>IFERROR(__xludf.DUMMYFUNCTION("""COMPUTED_VALUE"""),"")</f>
        <v/>
      </c>
      <c r="V229" s="5" t="str">
        <f>IFERROR(__xludf.DUMMYFUNCTION("""COMPUTED_VALUE"""),"")</f>
        <v/>
      </c>
      <c r="W229" s="5" t="str">
        <f>IFERROR(__xludf.DUMMYFUNCTION("""COMPUTED_VALUE"""),"")</f>
        <v/>
      </c>
      <c r="X229" s="5" t="str">
        <f>IFERROR(__xludf.DUMMYFUNCTION("""COMPUTED_VALUE"""),"")</f>
        <v/>
      </c>
      <c r="Y229" s="5"/>
      <c r="Z229" s="5"/>
    </row>
    <row r="230">
      <c r="A230" s="5" t="str">
        <f>IFERROR(__xludf.DUMMYFUNCTION("""COMPUTED_VALUE"""),"20 Fire Cash")</f>
        <v>20 Fire Cash</v>
      </c>
      <c r="B230" s="5" t="str">
        <f>IFERROR(__xludf.DUMMYFUNCTION("""COMPUTED_VALUE"""),"")</f>
        <v/>
      </c>
      <c r="C230" s="5" t="str">
        <f>IFERROR(__xludf.DUMMYFUNCTION("""COMPUTED_VALUE"""),"")</f>
        <v/>
      </c>
      <c r="D230" s="5" t="str">
        <f>IFERROR(__xludf.DUMMYFUNCTION("""COMPUTED_VALUE"""),"")</f>
        <v/>
      </c>
      <c r="E230" s="5" t="str">
        <f>IFERROR(__xludf.DUMMYFUNCTION("""COMPUTED_VALUE"""),"")</f>
        <v/>
      </c>
      <c r="F230" s="5" t="str">
        <f>IFERROR(__xludf.DUMMYFUNCTION("""COMPUTED_VALUE"""),"")</f>
        <v/>
      </c>
      <c r="G230" s="5" t="str">
        <f>IFERROR(__xludf.DUMMYFUNCTION("""COMPUTED_VALUE"""),"")</f>
        <v/>
      </c>
      <c r="H230" s="5" t="str">
        <f>IFERROR(__xludf.DUMMYFUNCTION("""COMPUTED_VALUE"""),"")</f>
        <v/>
      </c>
      <c r="I230" s="5" t="str">
        <f>IFERROR(__xludf.DUMMYFUNCTION("""COMPUTED_VALUE"""),"")</f>
        <v/>
      </c>
      <c r="J230" s="5" t="str">
        <f>IFERROR(__xludf.DUMMYFUNCTION("""COMPUTED_VALUE"""),"")</f>
        <v/>
      </c>
      <c r="K230" s="5" t="str">
        <f>IFERROR(__xludf.DUMMYFUNCTION("""COMPUTED_VALUE"""),"")</f>
        <v/>
      </c>
      <c r="L230" s="5" t="str">
        <f>IFERROR(__xludf.DUMMYFUNCTION("""COMPUTED_VALUE"""),"")</f>
        <v/>
      </c>
      <c r="M230" s="5" t="str">
        <f>IFERROR(__xludf.DUMMYFUNCTION("""COMPUTED_VALUE"""),"")</f>
        <v/>
      </c>
      <c r="N230" s="5" t="str">
        <f>IFERROR(__xludf.DUMMYFUNCTION("""COMPUTED_VALUE"""),"")</f>
        <v/>
      </c>
      <c r="O230" s="5" t="str">
        <f>IFERROR(__xludf.DUMMYFUNCTION("""COMPUTED_VALUE"""),"")</f>
        <v/>
      </c>
      <c r="P230" s="5" t="str">
        <f>IFERROR(__xludf.DUMMYFUNCTION("""COMPUTED_VALUE"""),"")</f>
        <v/>
      </c>
      <c r="Q230" s="5" t="str">
        <f>IFERROR(__xludf.DUMMYFUNCTION("""COMPUTED_VALUE"""),"")</f>
        <v/>
      </c>
      <c r="R230" s="5" t="str">
        <f>IFERROR(__xludf.DUMMYFUNCTION("""COMPUTED_VALUE"""),"")</f>
        <v/>
      </c>
      <c r="S230" s="5" t="str">
        <f>IFERROR(__xludf.DUMMYFUNCTION("""COMPUTED_VALUE"""),"")</f>
        <v/>
      </c>
      <c r="T230" s="5" t="str">
        <f>IFERROR(__xludf.DUMMYFUNCTION("""COMPUTED_VALUE"""),"")</f>
        <v/>
      </c>
      <c r="U230" s="5" t="str">
        <f>IFERROR(__xludf.DUMMYFUNCTION("""COMPUTED_VALUE"""),"")</f>
        <v/>
      </c>
      <c r="V230" s="5" t="str">
        <f>IFERROR(__xludf.DUMMYFUNCTION("""COMPUTED_VALUE"""),"")</f>
        <v/>
      </c>
      <c r="W230" s="5" t="str">
        <f>IFERROR(__xludf.DUMMYFUNCTION("""COMPUTED_VALUE"""),"")</f>
        <v/>
      </c>
      <c r="X230" s="5" t="str">
        <f>IFERROR(__xludf.DUMMYFUNCTION("""COMPUTED_VALUE"""),"")</f>
        <v/>
      </c>
      <c r="Y230" s="5"/>
      <c r="Z230" s="5"/>
    </row>
    <row r="231">
      <c r="A231" s="5" t="str">
        <f>IFERROR(__xludf.DUMMYFUNCTION("""COMPUTED_VALUE"""),"Coyote Sevens")</f>
        <v>Coyote Sevens</v>
      </c>
      <c r="B231" s="5" t="str">
        <f>IFERROR(__xludf.DUMMYFUNCTION("""COMPUTED_VALUE"""),"")</f>
        <v/>
      </c>
      <c r="C231" s="5" t="str">
        <f>IFERROR(__xludf.DUMMYFUNCTION("""COMPUTED_VALUE"""),"")</f>
        <v/>
      </c>
      <c r="D231" s="5" t="str">
        <f>IFERROR(__xludf.DUMMYFUNCTION("""COMPUTED_VALUE"""),"")</f>
        <v/>
      </c>
      <c r="E231" s="5" t="str">
        <f>IFERROR(__xludf.DUMMYFUNCTION("""COMPUTED_VALUE"""),"")</f>
        <v/>
      </c>
      <c r="F231" s="5" t="str">
        <f>IFERROR(__xludf.DUMMYFUNCTION("""COMPUTED_VALUE"""),"")</f>
        <v/>
      </c>
      <c r="G231" s="5" t="str">
        <f>IFERROR(__xludf.DUMMYFUNCTION("""COMPUTED_VALUE"""),"")</f>
        <v/>
      </c>
      <c r="H231" s="5" t="str">
        <f>IFERROR(__xludf.DUMMYFUNCTION("""COMPUTED_VALUE"""),"")</f>
        <v/>
      </c>
      <c r="I231" s="5" t="str">
        <f>IFERROR(__xludf.DUMMYFUNCTION("""COMPUTED_VALUE"""),"")</f>
        <v/>
      </c>
      <c r="J231" s="5" t="str">
        <f>IFERROR(__xludf.DUMMYFUNCTION("""COMPUTED_VALUE"""),"")</f>
        <v/>
      </c>
      <c r="K231" s="5" t="str">
        <f>IFERROR(__xludf.DUMMYFUNCTION("""COMPUTED_VALUE"""),"")</f>
        <v/>
      </c>
      <c r="L231" s="5" t="str">
        <f>IFERROR(__xludf.DUMMYFUNCTION("""COMPUTED_VALUE"""),"")</f>
        <v/>
      </c>
      <c r="M231" s="5" t="str">
        <f>IFERROR(__xludf.DUMMYFUNCTION("""COMPUTED_VALUE"""),"")</f>
        <v/>
      </c>
      <c r="N231" s="5" t="str">
        <f>IFERROR(__xludf.DUMMYFUNCTION("""COMPUTED_VALUE"""),"")</f>
        <v/>
      </c>
      <c r="O231" s="5" t="str">
        <f>IFERROR(__xludf.DUMMYFUNCTION("""COMPUTED_VALUE"""),"")</f>
        <v/>
      </c>
      <c r="P231" s="5" t="str">
        <f>IFERROR(__xludf.DUMMYFUNCTION("""COMPUTED_VALUE"""),"")</f>
        <v/>
      </c>
      <c r="Q231" s="5" t="str">
        <f>IFERROR(__xludf.DUMMYFUNCTION("""COMPUTED_VALUE"""),"")</f>
        <v/>
      </c>
      <c r="R231" s="5" t="str">
        <f>IFERROR(__xludf.DUMMYFUNCTION("""COMPUTED_VALUE"""),"")</f>
        <v/>
      </c>
      <c r="S231" s="5" t="str">
        <f>IFERROR(__xludf.DUMMYFUNCTION("""COMPUTED_VALUE"""),"")</f>
        <v/>
      </c>
      <c r="T231" s="5" t="str">
        <f>IFERROR(__xludf.DUMMYFUNCTION("""COMPUTED_VALUE"""),"")</f>
        <v/>
      </c>
      <c r="U231" s="5" t="str">
        <f>IFERROR(__xludf.DUMMYFUNCTION("""COMPUTED_VALUE"""),"")</f>
        <v/>
      </c>
      <c r="V231" s="5" t="str">
        <f>IFERROR(__xludf.DUMMYFUNCTION("""COMPUTED_VALUE"""),"")</f>
        <v/>
      </c>
      <c r="W231" s="5" t="str">
        <f>IFERROR(__xludf.DUMMYFUNCTION("""COMPUTED_VALUE"""),"")</f>
        <v/>
      </c>
      <c r="X231" s="5" t="str">
        <f>IFERROR(__xludf.DUMMYFUNCTION("""COMPUTED_VALUE"""),"")</f>
        <v/>
      </c>
      <c r="Y231" s="5"/>
      <c r="Z231" s="5"/>
    </row>
    <row r="232">
      <c r="A232" s="5" t="str">
        <f>IFERROR(__xludf.DUMMYFUNCTION("""COMPUTED_VALUE"""),"Epic Fire 40")</f>
        <v>Epic Fire 40</v>
      </c>
      <c r="B232" s="5" t="str">
        <f>IFERROR(__xludf.DUMMYFUNCTION("""COMPUTED_VALUE"""),"Development")</f>
        <v>Development</v>
      </c>
      <c r="C232" s="5" t="str">
        <f>IFERROR(__xludf.DUMMYFUNCTION("""COMPUTED_VALUE"""),"Development")</f>
        <v>Development</v>
      </c>
      <c r="D232" s="5" t="str">
        <f>IFERROR(__xludf.DUMMYFUNCTION("""COMPUTED_VALUE"""),"Cert Preparation")</f>
        <v>Cert Preparation</v>
      </c>
      <c r="E232" s="5" t="str">
        <f>IFERROR(__xludf.DUMMYFUNCTION("""COMPUTED_VALUE"""),"Available")</f>
        <v>Available</v>
      </c>
      <c r="F232" s="5" t="str">
        <f>IFERROR(__xludf.DUMMYFUNCTION("""COMPUTED_VALUE"""),"Available")</f>
        <v>Available</v>
      </c>
      <c r="G232" s="5" t="str">
        <f>IFERROR(__xludf.DUMMYFUNCTION("""COMPUTED_VALUE"""),"Available")</f>
        <v>Available</v>
      </c>
      <c r="H232" s="5" t="str">
        <f>IFERROR(__xludf.DUMMYFUNCTION("""COMPUTED_VALUE"""),"Available")</f>
        <v>Available</v>
      </c>
      <c r="I232" s="5" t="str">
        <f>IFERROR(__xludf.DUMMYFUNCTION("""COMPUTED_VALUE"""),"Available")</f>
        <v>Available</v>
      </c>
      <c r="J232" s="5" t="str">
        <f>IFERROR(__xludf.DUMMYFUNCTION("""COMPUTED_VALUE"""),"")</f>
        <v/>
      </c>
      <c r="K232" s="5" t="str">
        <f>IFERROR(__xludf.DUMMYFUNCTION("""COMPUTED_VALUE"""),"Development")</f>
        <v>Development</v>
      </c>
      <c r="L232" s="5" t="str">
        <f>IFERROR(__xludf.DUMMYFUNCTION("""COMPUTED_VALUE"""),"Available")</f>
        <v>Available</v>
      </c>
      <c r="M232" s="5" t="str">
        <f>IFERROR(__xludf.DUMMYFUNCTION("""COMPUTED_VALUE"""),"Available")</f>
        <v>Available</v>
      </c>
      <c r="N232" s="5" t="str">
        <f>IFERROR(__xludf.DUMMYFUNCTION("""COMPUTED_VALUE"""),"Development")</f>
        <v>Development</v>
      </c>
      <c r="O232" s="5" t="str">
        <f>IFERROR(__xludf.DUMMYFUNCTION("""COMPUTED_VALUE"""),"")</f>
        <v/>
      </c>
      <c r="P232" s="5" t="str">
        <f>IFERROR(__xludf.DUMMYFUNCTION("""COMPUTED_VALUE"""),"")</f>
        <v/>
      </c>
      <c r="Q232" s="5" t="str">
        <f>IFERROR(__xludf.DUMMYFUNCTION("""COMPUTED_VALUE"""),"Available")</f>
        <v>Available</v>
      </c>
      <c r="R232" s="5" t="str">
        <f>IFERROR(__xludf.DUMMYFUNCTION("""COMPUTED_VALUE"""),"")</f>
        <v/>
      </c>
      <c r="S232" s="5" t="str">
        <f>IFERROR(__xludf.DUMMYFUNCTION("""COMPUTED_VALUE"""),"")</f>
        <v/>
      </c>
      <c r="T232" s="5" t="str">
        <f>IFERROR(__xludf.DUMMYFUNCTION("""COMPUTED_VALUE"""),"")</f>
        <v/>
      </c>
      <c r="U232" s="5" t="str">
        <f>IFERROR(__xludf.DUMMYFUNCTION("""COMPUTED_VALUE"""),"")</f>
        <v/>
      </c>
      <c r="V232" s="5" t="str">
        <f>IFERROR(__xludf.DUMMYFUNCTION("""COMPUTED_VALUE"""),"Available")</f>
        <v>Available</v>
      </c>
      <c r="W232" s="5" t="str">
        <f>IFERROR(__xludf.DUMMYFUNCTION("""COMPUTED_VALUE"""),"")</f>
        <v/>
      </c>
      <c r="X232" s="5" t="str">
        <f>IFERROR(__xludf.DUMMYFUNCTION("""COMPUTED_VALUE"""),"")</f>
        <v/>
      </c>
      <c r="Y232" s="5"/>
      <c r="Z232" s="5"/>
    </row>
    <row r="233">
      <c r="A233" s="5" t="str">
        <f>IFERROR(__xludf.DUMMYFUNCTION("""COMPUTED_VALUE"""),"Golden Crown 40")</f>
        <v>Golden Crown 40</v>
      </c>
      <c r="B233" s="5" t="str">
        <f>IFERROR(__xludf.DUMMYFUNCTION("""COMPUTED_VALUE"""),"Available")</f>
        <v>Available</v>
      </c>
      <c r="C233" s="5" t="str">
        <f>IFERROR(__xludf.DUMMYFUNCTION("""COMPUTED_VALUE"""),"Available")</f>
        <v>Available</v>
      </c>
      <c r="D233" s="5" t="str">
        <f>IFERROR(__xludf.DUMMYFUNCTION("""COMPUTED_VALUE"""),"Available")</f>
        <v>Available</v>
      </c>
      <c r="E233" s="5" t="str">
        <f>IFERROR(__xludf.DUMMYFUNCTION("""COMPUTED_VALUE"""),"Available")</f>
        <v>Available</v>
      </c>
      <c r="F233" s="5" t="str">
        <f>IFERROR(__xludf.DUMMYFUNCTION("""COMPUTED_VALUE"""),"Available")</f>
        <v>Available</v>
      </c>
      <c r="G233" s="5" t="str">
        <f>IFERROR(__xludf.DUMMYFUNCTION("""COMPUTED_VALUE"""),"Available")</f>
        <v>Available</v>
      </c>
      <c r="H233" s="5" t="str">
        <f>IFERROR(__xludf.DUMMYFUNCTION("""COMPUTED_VALUE"""),"Available")</f>
        <v>Available</v>
      </c>
      <c r="I233" s="5" t="str">
        <f>IFERROR(__xludf.DUMMYFUNCTION("""COMPUTED_VALUE"""),"Available")</f>
        <v>Available</v>
      </c>
      <c r="J233" s="5" t="str">
        <f>IFERROR(__xludf.DUMMYFUNCTION("""COMPUTED_VALUE"""),"")</f>
        <v/>
      </c>
      <c r="K233" s="5" t="str">
        <f>IFERROR(__xludf.DUMMYFUNCTION("""COMPUTED_VALUE"""),"Development")</f>
        <v>Development</v>
      </c>
      <c r="L233" s="5" t="str">
        <f>IFERROR(__xludf.DUMMYFUNCTION("""COMPUTED_VALUE"""),"Available")</f>
        <v>Available</v>
      </c>
      <c r="M233" s="5" t="str">
        <f>IFERROR(__xludf.DUMMYFUNCTION("""COMPUTED_VALUE"""),"Available")</f>
        <v>Available</v>
      </c>
      <c r="N233" s="5" t="str">
        <f>IFERROR(__xludf.DUMMYFUNCTION("""COMPUTED_VALUE"""),"Development")</f>
        <v>Development</v>
      </c>
      <c r="O233" s="5" t="str">
        <f>IFERROR(__xludf.DUMMYFUNCTION("""COMPUTED_VALUE"""),"")</f>
        <v/>
      </c>
      <c r="P233" s="5" t="str">
        <f>IFERROR(__xludf.DUMMYFUNCTION("""COMPUTED_VALUE"""),"")</f>
        <v/>
      </c>
      <c r="Q233" s="5" t="str">
        <f>IFERROR(__xludf.DUMMYFUNCTION("""COMPUTED_VALUE"""),"Available")</f>
        <v>Available</v>
      </c>
      <c r="R233" s="5" t="str">
        <f>IFERROR(__xludf.DUMMYFUNCTION("""COMPUTED_VALUE"""),"")</f>
        <v/>
      </c>
      <c r="S233" s="5" t="str">
        <f>IFERROR(__xludf.DUMMYFUNCTION("""COMPUTED_VALUE"""),"In Certification")</f>
        <v>In Certification</v>
      </c>
      <c r="T233" s="5" t="str">
        <f>IFERROR(__xludf.DUMMYFUNCTION("""COMPUTED_VALUE"""),"")</f>
        <v/>
      </c>
      <c r="U233" s="5" t="str">
        <f>IFERROR(__xludf.DUMMYFUNCTION("""COMPUTED_VALUE"""),"Certified")</f>
        <v>Certified</v>
      </c>
      <c r="V233" s="5" t="str">
        <f>IFERROR(__xludf.DUMMYFUNCTION("""COMPUTED_VALUE"""),"Available")</f>
        <v>Available</v>
      </c>
      <c r="W233" s="5" t="str">
        <f>IFERROR(__xludf.DUMMYFUNCTION("""COMPUTED_VALUE"""),"")</f>
        <v/>
      </c>
      <c r="X233" s="5" t="str">
        <f>IFERROR(__xludf.DUMMYFUNCTION("""COMPUTED_VALUE"""),"")</f>
        <v/>
      </c>
      <c r="Y233" s="5"/>
      <c r="Z233" s="5"/>
    </row>
    <row r="234">
      <c r="A234" s="5" t="str">
        <f>IFERROR(__xludf.DUMMYFUNCTION("""COMPUTED_VALUE"""),"Coyote Dice")</f>
        <v>Coyote Dice</v>
      </c>
      <c r="B234" s="5" t="str">
        <f>IFERROR(__xludf.DUMMYFUNCTION("""COMPUTED_VALUE"""),"")</f>
        <v/>
      </c>
      <c r="C234" s="5" t="str">
        <f>IFERROR(__xludf.DUMMYFUNCTION("""COMPUTED_VALUE"""),"")</f>
        <v/>
      </c>
      <c r="D234" s="5" t="str">
        <f>IFERROR(__xludf.DUMMYFUNCTION("""COMPUTED_VALUE"""),"")</f>
        <v/>
      </c>
      <c r="E234" s="5" t="str">
        <f>IFERROR(__xludf.DUMMYFUNCTION("""COMPUTED_VALUE"""),"")</f>
        <v/>
      </c>
      <c r="F234" s="5" t="str">
        <f>IFERROR(__xludf.DUMMYFUNCTION("""COMPUTED_VALUE"""),"")</f>
        <v/>
      </c>
      <c r="G234" s="5" t="str">
        <f>IFERROR(__xludf.DUMMYFUNCTION("""COMPUTED_VALUE"""),"")</f>
        <v/>
      </c>
      <c r="H234" s="5" t="str">
        <f>IFERROR(__xludf.DUMMYFUNCTION("""COMPUTED_VALUE"""),"")</f>
        <v/>
      </c>
      <c r="I234" s="5" t="str">
        <f>IFERROR(__xludf.DUMMYFUNCTION("""COMPUTED_VALUE"""),"")</f>
        <v/>
      </c>
      <c r="J234" s="5" t="str">
        <f>IFERROR(__xludf.DUMMYFUNCTION("""COMPUTED_VALUE"""),"")</f>
        <v/>
      </c>
      <c r="K234" s="5" t="str">
        <f>IFERROR(__xludf.DUMMYFUNCTION("""COMPUTED_VALUE"""),"")</f>
        <v/>
      </c>
      <c r="L234" s="5" t="str">
        <f>IFERROR(__xludf.DUMMYFUNCTION("""COMPUTED_VALUE"""),"")</f>
        <v/>
      </c>
      <c r="M234" s="5" t="str">
        <f>IFERROR(__xludf.DUMMYFUNCTION("""COMPUTED_VALUE"""),"")</f>
        <v/>
      </c>
      <c r="N234" s="5" t="str">
        <f>IFERROR(__xludf.DUMMYFUNCTION("""COMPUTED_VALUE"""),"")</f>
        <v/>
      </c>
      <c r="O234" s="5" t="str">
        <f>IFERROR(__xludf.DUMMYFUNCTION("""COMPUTED_VALUE"""),"")</f>
        <v/>
      </c>
      <c r="P234" s="5" t="str">
        <f>IFERROR(__xludf.DUMMYFUNCTION("""COMPUTED_VALUE"""),"")</f>
        <v/>
      </c>
      <c r="Q234" s="5" t="str">
        <f>IFERROR(__xludf.DUMMYFUNCTION("""COMPUTED_VALUE"""),"")</f>
        <v/>
      </c>
      <c r="R234" s="5" t="str">
        <f>IFERROR(__xludf.DUMMYFUNCTION("""COMPUTED_VALUE"""),"")</f>
        <v/>
      </c>
      <c r="S234" s="5" t="str">
        <f>IFERROR(__xludf.DUMMYFUNCTION("""COMPUTED_VALUE"""),"")</f>
        <v/>
      </c>
      <c r="T234" s="5" t="str">
        <f>IFERROR(__xludf.DUMMYFUNCTION("""COMPUTED_VALUE"""),"")</f>
        <v/>
      </c>
      <c r="U234" s="5" t="str">
        <f>IFERROR(__xludf.DUMMYFUNCTION("""COMPUTED_VALUE"""),"")</f>
        <v/>
      </c>
      <c r="V234" s="5" t="str">
        <f>IFERROR(__xludf.DUMMYFUNCTION("""COMPUTED_VALUE"""),"")</f>
        <v/>
      </c>
      <c r="W234" s="5" t="str">
        <f>IFERROR(__xludf.DUMMYFUNCTION("""COMPUTED_VALUE"""),"")</f>
        <v/>
      </c>
      <c r="X234" s="5" t="str">
        <f>IFERROR(__xludf.DUMMYFUNCTION("""COMPUTED_VALUE"""),"")</f>
        <v/>
      </c>
      <c r="Y234" s="5"/>
      <c r="Z234" s="5"/>
    </row>
    <row r="235">
      <c r="A235" s="5" t="str">
        <f>IFERROR(__xludf.DUMMYFUNCTION("""COMPUTED_VALUE"""),"Wild 27")</f>
        <v>Wild 27</v>
      </c>
      <c r="B235" s="5" t="str">
        <f>IFERROR(__xludf.DUMMYFUNCTION("""COMPUTED_VALUE"""),"Available")</f>
        <v>Available</v>
      </c>
      <c r="C235" s="5" t="str">
        <f>IFERROR(__xludf.DUMMYFUNCTION("""COMPUTED_VALUE"""),"Development")</f>
        <v>Development</v>
      </c>
      <c r="D235" s="5" t="str">
        <f>IFERROR(__xludf.DUMMYFUNCTION("""COMPUTED_VALUE"""),"Certified")</f>
        <v>Certified</v>
      </c>
      <c r="E235" s="5" t="str">
        <f>IFERROR(__xludf.DUMMYFUNCTION("""COMPUTED_VALUE"""),"Available")</f>
        <v>Available</v>
      </c>
      <c r="F235" s="5" t="str">
        <f>IFERROR(__xludf.DUMMYFUNCTION("""COMPUTED_VALUE"""),"Available")</f>
        <v>Available</v>
      </c>
      <c r="G235" s="5" t="str">
        <f>IFERROR(__xludf.DUMMYFUNCTION("""COMPUTED_VALUE"""),"Available")</f>
        <v>Available</v>
      </c>
      <c r="H235" s="5" t="str">
        <f>IFERROR(__xludf.DUMMYFUNCTION("""COMPUTED_VALUE"""),"Available")</f>
        <v>Available</v>
      </c>
      <c r="I235" s="5" t="str">
        <f>IFERROR(__xludf.DUMMYFUNCTION("""COMPUTED_VALUE"""),"Available")</f>
        <v>Available</v>
      </c>
      <c r="J235" s="5" t="str">
        <f>IFERROR(__xludf.DUMMYFUNCTION("""COMPUTED_VALUE"""),"")</f>
        <v/>
      </c>
      <c r="K235" s="5" t="str">
        <f>IFERROR(__xludf.DUMMYFUNCTION("""COMPUTED_VALUE"""),"Development")</f>
        <v>Development</v>
      </c>
      <c r="L235" s="5" t="str">
        <f>IFERROR(__xludf.DUMMYFUNCTION("""COMPUTED_VALUE"""),"Development")</f>
        <v>Development</v>
      </c>
      <c r="M235" s="5" t="str">
        <f>IFERROR(__xludf.DUMMYFUNCTION("""COMPUTED_VALUE"""),"Development")</f>
        <v>Development</v>
      </c>
      <c r="N235" s="5" t="str">
        <f>IFERROR(__xludf.DUMMYFUNCTION("""COMPUTED_VALUE"""),"Development")</f>
        <v>Development</v>
      </c>
      <c r="O235" s="5" t="str">
        <f>IFERROR(__xludf.DUMMYFUNCTION("""COMPUTED_VALUE"""),"")</f>
        <v/>
      </c>
      <c r="P235" s="5" t="str">
        <f>IFERROR(__xludf.DUMMYFUNCTION("""COMPUTED_VALUE"""),"")</f>
        <v/>
      </c>
      <c r="Q235" s="5" t="str">
        <f>IFERROR(__xludf.DUMMYFUNCTION("""COMPUTED_VALUE"""),"Available")</f>
        <v>Available</v>
      </c>
      <c r="R235" s="5" t="str">
        <f>IFERROR(__xludf.DUMMYFUNCTION("""COMPUTED_VALUE"""),"Retired")</f>
        <v>Retired</v>
      </c>
      <c r="S235" s="5" t="str">
        <f>IFERROR(__xludf.DUMMYFUNCTION("""COMPUTED_VALUE"""),"In Certification")</f>
        <v>In Certification</v>
      </c>
      <c r="T235" s="5" t="str">
        <f>IFERROR(__xludf.DUMMYFUNCTION("""COMPUTED_VALUE"""),"")</f>
        <v/>
      </c>
      <c r="U235" s="5" t="str">
        <f>IFERROR(__xludf.DUMMYFUNCTION("""COMPUTED_VALUE"""),"Certified")</f>
        <v>Certified</v>
      </c>
      <c r="V235" s="5" t="str">
        <f>IFERROR(__xludf.DUMMYFUNCTION("""COMPUTED_VALUE"""),"")</f>
        <v/>
      </c>
      <c r="W235" s="5" t="str">
        <f>IFERROR(__xludf.DUMMYFUNCTION("""COMPUTED_VALUE"""),"Planned")</f>
        <v>Planned</v>
      </c>
      <c r="X235" s="5" t="str">
        <f>IFERROR(__xludf.DUMMYFUNCTION("""COMPUTED_VALUE"""),"")</f>
        <v/>
      </c>
      <c r="Y235" s="5"/>
      <c r="Z235" s="5"/>
    </row>
    <row r="236">
      <c r="A236" s="5" t="str">
        <f>IFERROR(__xludf.DUMMYFUNCTION("""COMPUTED_VALUE"""),"Fruit Wild Lines")</f>
        <v>Fruit Wild Lines</v>
      </c>
      <c r="B236" s="5" t="str">
        <f>IFERROR(__xludf.DUMMYFUNCTION("""COMPUTED_VALUE"""),"")</f>
        <v/>
      </c>
      <c r="C236" s="5" t="str">
        <f>IFERROR(__xludf.DUMMYFUNCTION("""COMPUTED_VALUE"""),"")</f>
        <v/>
      </c>
      <c r="D236" s="5" t="str">
        <f>IFERROR(__xludf.DUMMYFUNCTION("""COMPUTED_VALUE"""),"")</f>
        <v/>
      </c>
      <c r="E236" s="5" t="str">
        <f>IFERROR(__xludf.DUMMYFUNCTION("""COMPUTED_VALUE"""),"")</f>
        <v/>
      </c>
      <c r="F236" s="5" t="str">
        <f>IFERROR(__xludf.DUMMYFUNCTION("""COMPUTED_VALUE"""),"")</f>
        <v/>
      </c>
      <c r="G236" s="5" t="str">
        <f>IFERROR(__xludf.DUMMYFUNCTION("""COMPUTED_VALUE"""),"")</f>
        <v/>
      </c>
      <c r="H236" s="5" t="str">
        <f>IFERROR(__xludf.DUMMYFUNCTION("""COMPUTED_VALUE"""),"")</f>
        <v/>
      </c>
      <c r="I236" s="5" t="str">
        <f>IFERROR(__xludf.DUMMYFUNCTION("""COMPUTED_VALUE"""),"")</f>
        <v/>
      </c>
      <c r="J236" s="5" t="str">
        <f>IFERROR(__xludf.DUMMYFUNCTION("""COMPUTED_VALUE"""),"")</f>
        <v/>
      </c>
      <c r="K236" s="5" t="str">
        <f>IFERROR(__xludf.DUMMYFUNCTION("""COMPUTED_VALUE"""),"")</f>
        <v/>
      </c>
      <c r="L236" s="5" t="str">
        <f>IFERROR(__xludf.DUMMYFUNCTION("""COMPUTED_VALUE"""),"")</f>
        <v/>
      </c>
      <c r="M236" s="5" t="str">
        <f>IFERROR(__xludf.DUMMYFUNCTION("""COMPUTED_VALUE"""),"")</f>
        <v/>
      </c>
      <c r="N236" s="5" t="str">
        <f>IFERROR(__xludf.DUMMYFUNCTION("""COMPUTED_VALUE"""),"")</f>
        <v/>
      </c>
      <c r="O236" s="5" t="str">
        <f>IFERROR(__xludf.DUMMYFUNCTION("""COMPUTED_VALUE"""),"")</f>
        <v/>
      </c>
      <c r="P236" s="5" t="str">
        <f>IFERROR(__xludf.DUMMYFUNCTION("""COMPUTED_VALUE"""),"")</f>
        <v/>
      </c>
      <c r="Q236" s="5" t="str">
        <f>IFERROR(__xludf.DUMMYFUNCTION("""COMPUTED_VALUE"""),"")</f>
        <v/>
      </c>
      <c r="R236" s="5" t="str">
        <f>IFERROR(__xludf.DUMMYFUNCTION("""COMPUTED_VALUE"""),"")</f>
        <v/>
      </c>
      <c r="S236" s="5" t="str">
        <f>IFERROR(__xludf.DUMMYFUNCTION("""COMPUTED_VALUE"""),"")</f>
        <v/>
      </c>
      <c r="T236" s="5" t="str">
        <f>IFERROR(__xludf.DUMMYFUNCTION("""COMPUTED_VALUE"""),"")</f>
        <v/>
      </c>
      <c r="U236" s="5" t="str">
        <f>IFERROR(__xludf.DUMMYFUNCTION("""COMPUTED_VALUE"""),"")</f>
        <v/>
      </c>
      <c r="V236" s="5" t="str">
        <f>IFERROR(__xludf.DUMMYFUNCTION("""COMPUTED_VALUE"""),"")</f>
        <v/>
      </c>
      <c r="W236" s="5" t="str">
        <f>IFERROR(__xludf.DUMMYFUNCTION("""COMPUTED_VALUE"""),"")</f>
        <v/>
      </c>
      <c r="X236" s="5" t="str">
        <f>IFERROR(__xludf.DUMMYFUNCTION("""COMPUTED_VALUE"""),"")</f>
        <v/>
      </c>
      <c r="Y236" s="5"/>
      <c r="Z236" s="5"/>
    </row>
    <row r="237">
      <c r="A237" s="5" t="str">
        <f>IFERROR(__xludf.DUMMYFUNCTION("""COMPUTED_VALUE"""),"40 Fire Cash")</f>
        <v>40 Fire Cash</v>
      </c>
      <c r="B237" s="5" t="str">
        <f>IFERROR(__xludf.DUMMYFUNCTION("""COMPUTED_VALUE"""),"")</f>
        <v/>
      </c>
      <c r="C237" s="5" t="str">
        <f>IFERROR(__xludf.DUMMYFUNCTION("""COMPUTED_VALUE"""),"")</f>
        <v/>
      </c>
      <c r="D237" s="5" t="str">
        <f>IFERROR(__xludf.DUMMYFUNCTION("""COMPUTED_VALUE"""),"")</f>
        <v/>
      </c>
      <c r="E237" s="5" t="str">
        <f>IFERROR(__xludf.DUMMYFUNCTION("""COMPUTED_VALUE"""),"")</f>
        <v/>
      </c>
      <c r="F237" s="5" t="str">
        <f>IFERROR(__xludf.DUMMYFUNCTION("""COMPUTED_VALUE"""),"")</f>
        <v/>
      </c>
      <c r="G237" s="5" t="str">
        <f>IFERROR(__xludf.DUMMYFUNCTION("""COMPUTED_VALUE"""),"")</f>
        <v/>
      </c>
      <c r="H237" s="5" t="str">
        <f>IFERROR(__xludf.DUMMYFUNCTION("""COMPUTED_VALUE"""),"")</f>
        <v/>
      </c>
      <c r="I237" s="5" t="str">
        <f>IFERROR(__xludf.DUMMYFUNCTION("""COMPUTED_VALUE"""),"")</f>
        <v/>
      </c>
      <c r="J237" s="5" t="str">
        <f>IFERROR(__xludf.DUMMYFUNCTION("""COMPUTED_VALUE"""),"")</f>
        <v/>
      </c>
      <c r="K237" s="5" t="str">
        <f>IFERROR(__xludf.DUMMYFUNCTION("""COMPUTED_VALUE"""),"")</f>
        <v/>
      </c>
      <c r="L237" s="5" t="str">
        <f>IFERROR(__xludf.DUMMYFUNCTION("""COMPUTED_VALUE"""),"")</f>
        <v/>
      </c>
      <c r="M237" s="5" t="str">
        <f>IFERROR(__xludf.DUMMYFUNCTION("""COMPUTED_VALUE"""),"")</f>
        <v/>
      </c>
      <c r="N237" s="5" t="str">
        <f>IFERROR(__xludf.DUMMYFUNCTION("""COMPUTED_VALUE"""),"")</f>
        <v/>
      </c>
      <c r="O237" s="5" t="str">
        <f>IFERROR(__xludf.DUMMYFUNCTION("""COMPUTED_VALUE"""),"")</f>
        <v/>
      </c>
      <c r="P237" s="5" t="str">
        <f>IFERROR(__xludf.DUMMYFUNCTION("""COMPUTED_VALUE"""),"")</f>
        <v/>
      </c>
      <c r="Q237" s="5" t="str">
        <f>IFERROR(__xludf.DUMMYFUNCTION("""COMPUTED_VALUE"""),"")</f>
        <v/>
      </c>
      <c r="R237" s="5" t="str">
        <f>IFERROR(__xludf.DUMMYFUNCTION("""COMPUTED_VALUE"""),"")</f>
        <v/>
      </c>
      <c r="S237" s="5" t="str">
        <f>IFERROR(__xludf.DUMMYFUNCTION("""COMPUTED_VALUE"""),"")</f>
        <v/>
      </c>
      <c r="T237" s="5" t="str">
        <f>IFERROR(__xludf.DUMMYFUNCTION("""COMPUTED_VALUE"""),"")</f>
        <v/>
      </c>
      <c r="U237" s="5" t="str">
        <f>IFERROR(__xludf.DUMMYFUNCTION("""COMPUTED_VALUE"""),"")</f>
        <v/>
      </c>
      <c r="V237" s="5" t="str">
        <f>IFERROR(__xludf.DUMMYFUNCTION("""COMPUTED_VALUE"""),"")</f>
        <v/>
      </c>
      <c r="W237" s="5" t="str">
        <f>IFERROR(__xludf.DUMMYFUNCTION("""COMPUTED_VALUE"""),"")</f>
        <v/>
      </c>
      <c r="X237" s="5" t="str">
        <f>IFERROR(__xludf.DUMMYFUNCTION("""COMPUTED_VALUE"""),"")</f>
        <v/>
      </c>
      <c r="Y237" s="5"/>
      <c r="Z237" s="5"/>
    </row>
    <row r="238">
      <c r="A238" s="5" t="str">
        <f>IFERROR(__xludf.DUMMYFUNCTION("""COMPUTED_VALUE"""),"Wild Hot 40 Free Spins")</f>
        <v>Wild Hot 40 Free Spins</v>
      </c>
      <c r="B238" s="5" t="str">
        <f>IFERROR(__xludf.DUMMYFUNCTION("""COMPUTED_VALUE"""),"Available")</f>
        <v>Available</v>
      </c>
      <c r="C238" s="5" t="str">
        <f>IFERROR(__xludf.DUMMYFUNCTION("""COMPUTED_VALUE"""),"Available")</f>
        <v>Available</v>
      </c>
      <c r="D238" s="5" t="str">
        <f>IFERROR(__xludf.DUMMYFUNCTION("""COMPUTED_VALUE"""),"Available")</f>
        <v>Available</v>
      </c>
      <c r="E238" s="5" t="str">
        <f>IFERROR(__xludf.DUMMYFUNCTION("""COMPUTED_VALUE"""),"Available")</f>
        <v>Available</v>
      </c>
      <c r="F238" s="5" t="str">
        <f>IFERROR(__xludf.DUMMYFUNCTION("""COMPUTED_VALUE"""),"")</f>
        <v/>
      </c>
      <c r="G238" s="5" t="str">
        <f>IFERROR(__xludf.DUMMYFUNCTION("""COMPUTED_VALUE"""),"")</f>
        <v/>
      </c>
      <c r="H238" s="5" t="str">
        <f>IFERROR(__xludf.DUMMYFUNCTION("""COMPUTED_VALUE"""),"Available")</f>
        <v>Available</v>
      </c>
      <c r="I238" s="5" t="str">
        <f>IFERROR(__xludf.DUMMYFUNCTION("""COMPUTED_VALUE"""),"Development")</f>
        <v>Development</v>
      </c>
      <c r="J238" s="5" t="str">
        <f>IFERROR(__xludf.DUMMYFUNCTION("""COMPUTED_VALUE"""),"")</f>
        <v/>
      </c>
      <c r="K238" s="5" t="str">
        <f>IFERROR(__xludf.DUMMYFUNCTION("""COMPUTED_VALUE"""),"Development")</f>
        <v>Development</v>
      </c>
      <c r="L238" s="5" t="str">
        <f>IFERROR(__xludf.DUMMYFUNCTION("""COMPUTED_VALUE"""),"")</f>
        <v/>
      </c>
      <c r="M238" s="5" t="str">
        <f>IFERROR(__xludf.DUMMYFUNCTION("""COMPUTED_VALUE"""),"Available")</f>
        <v>Available</v>
      </c>
      <c r="N238" s="5" t="str">
        <f>IFERROR(__xludf.DUMMYFUNCTION("""COMPUTED_VALUE"""),"Development")</f>
        <v>Development</v>
      </c>
      <c r="O238" s="5" t="str">
        <f>IFERROR(__xludf.DUMMYFUNCTION("""COMPUTED_VALUE"""),"")</f>
        <v/>
      </c>
      <c r="P238" s="5" t="str">
        <f>IFERROR(__xludf.DUMMYFUNCTION("""COMPUTED_VALUE"""),"")</f>
        <v/>
      </c>
      <c r="Q238" s="5" t="str">
        <f>IFERROR(__xludf.DUMMYFUNCTION("""COMPUTED_VALUE"""),"Available")</f>
        <v>Available</v>
      </c>
      <c r="R238" s="5" t="str">
        <f>IFERROR(__xludf.DUMMYFUNCTION("""COMPUTED_VALUE"""),"Development")</f>
        <v>Development</v>
      </c>
      <c r="S238" s="5" t="str">
        <f>IFERROR(__xludf.DUMMYFUNCTION("""COMPUTED_VALUE"""),"In Certification")</f>
        <v>In Certification</v>
      </c>
      <c r="T238" s="5" t="str">
        <f>IFERROR(__xludf.DUMMYFUNCTION("""COMPUTED_VALUE"""),"")</f>
        <v/>
      </c>
      <c r="U238" s="5" t="str">
        <f>IFERROR(__xludf.DUMMYFUNCTION("""COMPUTED_VALUE"""),"")</f>
        <v/>
      </c>
      <c r="V238" s="5" t="str">
        <f>IFERROR(__xludf.DUMMYFUNCTION("""COMPUTED_VALUE"""),"Available")</f>
        <v>Available</v>
      </c>
      <c r="W238" s="5" t="str">
        <f>IFERROR(__xludf.DUMMYFUNCTION("""COMPUTED_VALUE"""),"Planned")</f>
        <v>Planned</v>
      </c>
      <c r="X238" s="5" t="str">
        <f>IFERROR(__xludf.DUMMYFUNCTION("""COMPUTED_VALUE"""),"")</f>
        <v/>
      </c>
      <c r="Y238" s="5"/>
      <c r="Z238" s="5"/>
    </row>
    <row r="239">
      <c r="A239" s="5" t="str">
        <f>IFERROR(__xludf.DUMMYFUNCTION("""COMPUTED_VALUE"""),"Money Standard Dice")</f>
        <v>Money Standard Dice</v>
      </c>
      <c r="B239" s="5" t="str">
        <f>IFERROR(__xludf.DUMMYFUNCTION("""COMPUTED_VALUE"""),"")</f>
        <v/>
      </c>
      <c r="C239" s="5" t="str">
        <f>IFERROR(__xludf.DUMMYFUNCTION("""COMPUTED_VALUE"""),"")</f>
        <v/>
      </c>
      <c r="D239" s="5" t="str">
        <f>IFERROR(__xludf.DUMMYFUNCTION("""COMPUTED_VALUE"""),"")</f>
        <v/>
      </c>
      <c r="E239" s="5" t="str">
        <f>IFERROR(__xludf.DUMMYFUNCTION("""COMPUTED_VALUE"""),"")</f>
        <v/>
      </c>
      <c r="F239" s="5" t="str">
        <f>IFERROR(__xludf.DUMMYFUNCTION("""COMPUTED_VALUE"""),"")</f>
        <v/>
      </c>
      <c r="G239" s="5" t="str">
        <f>IFERROR(__xludf.DUMMYFUNCTION("""COMPUTED_VALUE"""),"")</f>
        <v/>
      </c>
      <c r="H239" s="5" t="str">
        <f>IFERROR(__xludf.DUMMYFUNCTION("""COMPUTED_VALUE"""),"")</f>
        <v/>
      </c>
      <c r="I239" s="5" t="str">
        <f>IFERROR(__xludf.DUMMYFUNCTION("""COMPUTED_VALUE"""),"")</f>
        <v/>
      </c>
      <c r="J239" s="5" t="str">
        <f>IFERROR(__xludf.DUMMYFUNCTION("""COMPUTED_VALUE"""),"")</f>
        <v/>
      </c>
      <c r="K239" s="5" t="str">
        <f>IFERROR(__xludf.DUMMYFUNCTION("""COMPUTED_VALUE"""),"")</f>
        <v/>
      </c>
      <c r="L239" s="5" t="str">
        <f>IFERROR(__xludf.DUMMYFUNCTION("""COMPUTED_VALUE"""),"")</f>
        <v/>
      </c>
      <c r="M239" s="5" t="str">
        <f>IFERROR(__xludf.DUMMYFUNCTION("""COMPUTED_VALUE"""),"")</f>
        <v/>
      </c>
      <c r="N239" s="5" t="str">
        <f>IFERROR(__xludf.DUMMYFUNCTION("""COMPUTED_VALUE"""),"")</f>
        <v/>
      </c>
      <c r="O239" s="5" t="str">
        <f>IFERROR(__xludf.DUMMYFUNCTION("""COMPUTED_VALUE"""),"")</f>
        <v/>
      </c>
      <c r="P239" s="5" t="str">
        <f>IFERROR(__xludf.DUMMYFUNCTION("""COMPUTED_VALUE"""),"")</f>
        <v/>
      </c>
      <c r="Q239" s="5" t="str">
        <f>IFERROR(__xludf.DUMMYFUNCTION("""COMPUTED_VALUE"""),"")</f>
        <v/>
      </c>
      <c r="R239" s="5" t="str">
        <f>IFERROR(__xludf.DUMMYFUNCTION("""COMPUTED_VALUE"""),"")</f>
        <v/>
      </c>
      <c r="S239" s="5" t="str">
        <f>IFERROR(__xludf.DUMMYFUNCTION("""COMPUTED_VALUE"""),"")</f>
        <v/>
      </c>
      <c r="T239" s="5" t="str">
        <f>IFERROR(__xludf.DUMMYFUNCTION("""COMPUTED_VALUE"""),"")</f>
        <v/>
      </c>
      <c r="U239" s="5" t="str">
        <f>IFERROR(__xludf.DUMMYFUNCTION("""COMPUTED_VALUE"""),"")</f>
        <v/>
      </c>
      <c r="V239" s="5" t="str">
        <f>IFERROR(__xludf.DUMMYFUNCTION("""COMPUTED_VALUE"""),"")</f>
        <v/>
      </c>
      <c r="W239" s="5" t="str">
        <f>IFERROR(__xludf.DUMMYFUNCTION("""COMPUTED_VALUE"""),"")</f>
        <v/>
      </c>
      <c r="X239" s="5" t="str">
        <f>IFERROR(__xludf.DUMMYFUNCTION("""COMPUTED_VALUE"""),"")</f>
        <v/>
      </c>
      <c r="Y239" s="5"/>
      <c r="Z239" s="5"/>
    </row>
    <row r="240">
      <c r="A240" s="5" t="str">
        <f>IFERROR(__xludf.DUMMYFUNCTION("""COMPUTED_VALUE"""),"Double Wild Dice")</f>
        <v>Double Wild Dice</v>
      </c>
      <c r="B240" s="5" t="str">
        <f>IFERROR(__xludf.DUMMYFUNCTION("""COMPUTED_VALUE"""),"")</f>
        <v/>
      </c>
      <c r="C240" s="5" t="str">
        <f>IFERROR(__xludf.DUMMYFUNCTION("""COMPUTED_VALUE"""),"")</f>
        <v/>
      </c>
      <c r="D240" s="5" t="str">
        <f>IFERROR(__xludf.DUMMYFUNCTION("""COMPUTED_VALUE"""),"")</f>
        <v/>
      </c>
      <c r="E240" s="5" t="str">
        <f>IFERROR(__xludf.DUMMYFUNCTION("""COMPUTED_VALUE"""),"")</f>
        <v/>
      </c>
      <c r="F240" s="5" t="str">
        <f>IFERROR(__xludf.DUMMYFUNCTION("""COMPUTED_VALUE"""),"")</f>
        <v/>
      </c>
      <c r="G240" s="5" t="str">
        <f>IFERROR(__xludf.DUMMYFUNCTION("""COMPUTED_VALUE"""),"")</f>
        <v/>
      </c>
      <c r="H240" s="5" t="str">
        <f>IFERROR(__xludf.DUMMYFUNCTION("""COMPUTED_VALUE"""),"")</f>
        <v/>
      </c>
      <c r="I240" s="5" t="str">
        <f>IFERROR(__xludf.DUMMYFUNCTION("""COMPUTED_VALUE"""),"")</f>
        <v/>
      </c>
      <c r="J240" s="5" t="str">
        <f>IFERROR(__xludf.DUMMYFUNCTION("""COMPUTED_VALUE"""),"")</f>
        <v/>
      </c>
      <c r="K240" s="5" t="str">
        <f>IFERROR(__xludf.DUMMYFUNCTION("""COMPUTED_VALUE"""),"")</f>
        <v/>
      </c>
      <c r="L240" s="5" t="str">
        <f>IFERROR(__xludf.DUMMYFUNCTION("""COMPUTED_VALUE"""),"")</f>
        <v/>
      </c>
      <c r="M240" s="5" t="str">
        <f>IFERROR(__xludf.DUMMYFUNCTION("""COMPUTED_VALUE"""),"")</f>
        <v/>
      </c>
      <c r="N240" s="5" t="str">
        <f>IFERROR(__xludf.DUMMYFUNCTION("""COMPUTED_VALUE"""),"")</f>
        <v/>
      </c>
      <c r="O240" s="5" t="str">
        <f>IFERROR(__xludf.DUMMYFUNCTION("""COMPUTED_VALUE"""),"")</f>
        <v/>
      </c>
      <c r="P240" s="5" t="str">
        <f>IFERROR(__xludf.DUMMYFUNCTION("""COMPUTED_VALUE"""),"")</f>
        <v/>
      </c>
      <c r="Q240" s="5" t="str">
        <f>IFERROR(__xludf.DUMMYFUNCTION("""COMPUTED_VALUE"""),"")</f>
        <v/>
      </c>
      <c r="R240" s="5" t="str">
        <f>IFERROR(__xludf.DUMMYFUNCTION("""COMPUTED_VALUE"""),"")</f>
        <v/>
      </c>
      <c r="S240" s="5" t="str">
        <f>IFERROR(__xludf.DUMMYFUNCTION("""COMPUTED_VALUE"""),"")</f>
        <v/>
      </c>
      <c r="T240" s="5" t="str">
        <f>IFERROR(__xludf.DUMMYFUNCTION("""COMPUTED_VALUE"""),"")</f>
        <v/>
      </c>
      <c r="U240" s="5" t="str">
        <f>IFERROR(__xludf.DUMMYFUNCTION("""COMPUTED_VALUE"""),"")</f>
        <v/>
      </c>
      <c r="V240" s="5" t="str">
        <f>IFERROR(__xludf.DUMMYFUNCTION("""COMPUTED_VALUE"""),"")</f>
        <v/>
      </c>
      <c r="W240" s="5" t="str">
        <f>IFERROR(__xludf.DUMMYFUNCTION("""COMPUTED_VALUE"""),"")</f>
        <v/>
      </c>
      <c r="X240" s="5" t="str">
        <f>IFERROR(__xludf.DUMMYFUNCTION("""COMPUTED_VALUE"""),"")</f>
        <v/>
      </c>
      <c r="Y240" s="5"/>
      <c r="Z240" s="5"/>
    </row>
    <row r="241">
      <c r="A241" s="5" t="str">
        <f>IFERROR(__xludf.DUMMYFUNCTION("""COMPUTED_VALUE"""),"Pirates Fazi")</f>
        <v>Pirates Fazi</v>
      </c>
      <c r="B241" s="5" t="str">
        <f>IFERROR(__xludf.DUMMYFUNCTION("""COMPUTED_VALUE"""),"")</f>
        <v/>
      </c>
      <c r="C241" s="5" t="str">
        <f>IFERROR(__xludf.DUMMYFUNCTION("""COMPUTED_VALUE"""),"")</f>
        <v/>
      </c>
      <c r="D241" s="5" t="str">
        <f>IFERROR(__xludf.DUMMYFUNCTION("""COMPUTED_VALUE"""),"")</f>
        <v/>
      </c>
      <c r="E241" s="5" t="str">
        <f>IFERROR(__xludf.DUMMYFUNCTION("""COMPUTED_VALUE"""),"")</f>
        <v/>
      </c>
      <c r="F241" s="5" t="str">
        <f>IFERROR(__xludf.DUMMYFUNCTION("""COMPUTED_VALUE"""),"Available")</f>
        <v>Available</v>
      </c>
      <c r="G241" s="5" t="str">
        <f>IFERROR(__xludf.DUMMYFUNCTION("""COMPUTED_VALUE"""),"Available")</f>
        <v>Available</v>
      </c>
      <c r="H241" s="5" t="str">
        <f>IFERROR(__xludf.DUMMYFUNCTION("""COMPUTED_VALUE"""),"")</f>
        <v/>
      </c>
      <c r="I241" s="5" t="str">
        <f>IFERROR(__xludf.DUMMYFUNCTION("""COMPUTED_VALUE"""),"")</f>
        <v/>
      </c>
      <c r="J241" s="5" t="str">
        <f>IFERROR(__xludf.DUMMYFUNCTION("""COMPUTED_VALUE"""),"")</f>
        <v/>
      </c>
      <c r="K241" s="5" t="str">
        <f>IFERROR(__xludf.DUMMYFUNCTION("""COMPUTED_VALUE"""),"")</f>
        <v/>
      </c>
      <c r="L241" s="5" t="str">
        <f>IFERROR(__xludf.DUMMYFUNCTION("""COMPUTED_VALUE"""),"")</f>
        <v/>
      </c>
      <c r="M241" s="5" t="str">
        <f>IFERROR(__xludf.DUMMYFUNCTION("""COMPUTED_VALUE"""),"")</f>
        <v/>
      </c>
      <c r="N241" s="5" t="str">
        <f>IFERROR(__xludf.DUMMYFUNCTION("""COMPUTED_VALUE"""),"")</f>
        <v/>
      </c>
      <c r="O241" s="5" t="str">
        <f>IFERROR(__xludf.DUMMYFUNCTION("""COMPUTED_VALUE"""),"")</f>
        <v/>
      </c>
      <c r="P241" s="5" t="str">
        <f>IFERROR(__xludf.DUMMYFUNCTION("""COMPUTED_VALUE"""),"")</f>
        <v/>
      </c>
      <c r="Q241" s="5" t="str">
        <f>IFERROR(__xludf.DUMMYFUNCTION("""COMPUTED_VALUE"""),"Available")</f>
        <v>Available</v>
      </c>
      <c r="R241" s="5" t="str">
        <f>IFERROR(__xludf.DUMMYFUNCTION("""COMPUTED_VALUE"""),"")</f>
        <v/>
      </c>
      <c r="S241" s="5" t="str">
        <f>IFERROR(__xludf.DUMMYFUNCTION("""COMPUTED_VALUE"""),"")</f>
        <v/>
      </c>
      <c r="T241" s="5" t="str">
        <f>IFERROR(__xludf.DUMMYFUNCTION("""COMPUTED_VALUE"""),"")</f>
        <v/>
      </c>
      <c r="U241" s="5" t="str">
        <f>IFERROR(__xludf.DUMMYFUNCTION("""COMPUTED_VALUE"""),"")</f>
        <v/>
      </c>
      <c r="V241" s="5" t="str">
        <f>IFERROR(__xludf.DUMMYFUNCTION("""COMPUTED_VALUE"""),"")</f>
        <v/>
      </c>
      <c r="W241" s="5" t="str">
        <f>IFERROR(__xludf.DUMMYFUNCTION("""COMPUTED_VALUE"""),"")</f>
        <v/>
      </c>
      <c r="X241" s="5" t="str">
        <f>IFERROR(__xludf.DUMMYFUNCTION("""COMPUTED_VALUE"""),"")</f>
        <v/>
      </c>
      <c r="Y241" s="5"/>
      <c r="Z241" s="5"/>
    </row>
    <row r="242">
      <c r="A242" s="5" t="str">
        <f>IFERROR(__xludf.DUMMYFUNCTION("""COMPUTED_VALUE"""),"Super Lucky")</f>
        <v>Super Lucky</v>
      </c>
      <c r="B242" s="5" t="str">
        <f>IFERROR(__xludf.DUMMYFUNCTION("""COMPUTED_VALUE"""),"")</f>
        <v/>
      </c>
      <c r="C242" s="5" t="str">
        <f>IFERROR(__xludf.DUMMYFUNCTION("""COMPUTED_VALUE"""),"")</f>
        <v/>
      </c>
      <c r="D242" s="5" t="str">
        <f>IFERROR(__xludf.DUMMYFUNCTION("""COMPUTED_VALUE"""),"")</f>
        <v/>
      </c>
      <c r="E242" s="5" t="str">
        <f>IFERROR(__xludf.DUMMYFUNCTION("""COMPUTED_VALUE"""),"")</f>
        <v/>
      </c>
      <c r="F242" s="5" t="str">
        <f>IFERROR(__xludf.DUMMYFUNCTION("""COMPUTED_VALUE"""),"")</f>
        <v/>
      </c>
      <c r="G242" s="5" t="str">
        <f>IFERROR(__xludf.DUMMYFUNCTION("""COMPUTED_VALUE"""),"")</f>
        <v/>
      </c>
      <c r="H242" s="5" t="str">
        <f>IFERROR(__xludf.DUMMYFUNCTION("""COMPUTED_VALUE"""),"")</f>
        <v/>
      </c>
      <c r="I242" s="5" t="str">
        <f>IFERROR(__xludf.DUMMYFUNCTION("""COMPUTED_VALUE"""),"")</f>
        <v/>
      </c>
      <c r="J242" s="5" t="str">
        <f>IFERROR(__xludf.DUMMYFUNCTION("""COMPUTED_VALUE"""),"")</f>
        <v/>
      </c>
      <c r="K242" s="5" t="str">
        <f>IFERROR(__xludf.DUMMYFUNCTION("""COMPUTED_VALUE"""),"")</f>
        <v/>
      </c>
      <c r="L242" s="5" t="str">
        <f>IFERROR(__xludf.DUMMYFUNCTION("""COMPUTED_VALUE"""),"")</f>
        <v/>
      </c>
      <c r="M242" s="5" t="str">
        <f>IFERROR(__xludf.DUMMYFUNCTION("""COMPUTED_VALUE"""),"")</f>
        <v/>
      </c>
      <c r="N242" s="5" t="str">
        <f>IFERROR(__xludf.DUMMYFUNCTION("""COMPUTED_VALUE"""),"")</f>
        <v/>
      </c>
      <c r="O242" s="5" t="str">
        <f>IFERROR(__xludf.DUMMYFUNCTION("""COMPUTED_VALUE"""),"")</f>
        <v/>
      </c>
      <c r="P242" s="5" t="str">
        <f>IFERROR(__xludf.DUMMYFUNCTION("""COMPUTED_VALUE"""),"")</f>
        <v/>
      </c>
      <c r="Q242" s="5" t="str">
        <f>IFERROR(__xludf.DUMMYFUNCTION("""COMPUTED_VALUE"""),"")</f>
        <v/>
      </c>
      <c r="R242" s="5" t="str">
        <f>IFERROR(__xludf.DUMMYFUNCTION("""COMPUTED_VALUE"""),"")</f>
        <v/>
      </c>
      <c r="S242" s="5" t="str">
        <f>IFERROR(__xludf.DUMMYFUNCTION("""COMPUTED_VALUE"""),"")</f>
        <v/>
      </c>
      <c r="T242" s="5" t="str">
        <f>IFERROR(__xludf.DUMMYFUNCTION("""COMPUTED_VALUE"""),"")</f>
        <v/>
      </c>
      <c r="U242" s="5" t="str">
        <f>IFERROR(__xludf.DUMMYFUNCTION("""COMPUTED_VALUE"""),"")</f>
        <v/>
      </c>
      <c r="V242" s="5" t="str">
        <f>IFERROR(__xludf.DUMMYFUNCTION("""COMPUTED_VALUE"""),"")</f>
        <v/>
      </c>
      <c r="W242" s="5" t="str">
        <f>IFERROR(__xludf.DUMMYFUNCTION("""COMPUTED_VALUE"""),"")</f>
        <v/>
      </c>
      <c r="X242" s="5" t="str">
        <f>IFERROR(__xludf.DUMMYFUNCTION("""COMPUTED_VALUE"""),"")</f>
        <v/>
      </c>
      <c r="Y242" s="5"/>
      <c r="Z242" s="5"/>
    </row>
    <row r="243">
      <c r="A243" s="5" t="str">
        <f>IFERROR(__xludf.DUMMYFUNCTION("""COMPUTED_VALUE"""),"Epic Clover 40")</f>
        <v>Epic Clover 40</v>
      </c>
      <c r="B243" s="5" t="str">
        <f>IFERROR(__xludf.DUMMYFUNCTION("""COMPUTED_VALUE"""),"Available")</f>
        <v>Available</v>
      </c>
      <c r="C243" s="5" t="str">
        <f>IFERROR(__xludf.DUMMYFUNCTION("""COMPUTED_VALUE"""),"Available")</f>
        <v>Available</v>
      </c>
      <c r="D243" s="5" t="str">
        <f>IFERROR(__xludf.DUMMYFUNCTION("""COMPUTED_VALUE"""),"Available")</f>
        <v>Available</v>
      </c>
      <c r="E243" s="5" t="str">
        <f>IFERROR(__xludf.DUMMYFUNCTION("""COMPUTED_VALUE"""),"Available")</f>
        <v>Available</v>
      </c>
      <c r="F243" s="5" t="str">
        <f>IFERROR(__xludf.DUMMYFUNCTION("""COMPUTED_VALUE"""),"Available")</f>
        <v>Available</v>
      </c>
      <c r="G243" s="5" t="str">
        <f>IFERROR(__xludf.DUMMYFUNCTION("""COMPUTED_VALUE"""),"Available")</f>
        <v>Available</v>
      </c>
      <c r="H243" s="5" t="str">
        <f>IFERROR(__xludf.DUMMYFUNCTION("""COMPUTED_VALUE"""),"Available")</f>
        <v>Available</v>
      </c>
      <c r="I243" s="5" t="str">
        <f>IFERROR(__xludf.DUMMYFUNCTION("""COMPUTED_VALUE"""),"Development")</f>
        <v>Development</v>
      </c>
      <c r="J243" s="5" t="str">
        <f>IFERROR(__xludf.DUMMYFUNCTION("""COMPUTED_VALUE"""),"Available")</f>
        <v>Available</v>
      </c>
      <c r="K243" s="5" t="str">
        <f>IFERROR(__xludf.DUMMYFUNCTION("""COMPUTED_VALUE"""),"Development")</f>
        <v>Development</v>
      </c>
      <c r="L243" s="5" t="str">
        <f>IFERROR(__xludf.DUMMYFUNCTION("""COMPUTED_VALUE"""),"Available")</f>
        <v>Available</v>
      </c>
      <c r="M243" s="5" t="str">
        <f>IFERROR(__xludf.DUMMYFUNCTION("""COMPUTED_VALUE"""),"Available")</f>
        <v>Available</v>
      </c>
      <c r="N243" s="5" t="str">
        <f>IFERROR(__xludf.DUMMYFUNCTION("""COMPUTED_VALUE"""),"Available")</f>
        <v>Available</v>
      </c>
      <c r="O243" s="5" t="str">
        <f>IFERROR(__xludf.DUMMYFUNCTION("""COMPUTED_VALUE"""),"")</f>
        <v/>
      </c>
      <c r="P243" s="5" t="str">
        <f>IFERROR(__xludf.DUMMYFUNCTION("""COMPUTED_VALUE"""),"")</f>
        <v/>
      </c>
      <c r="Q243" s="5" t="str">
        <f>IFERROR(__xludf.DUMMYFUNCTION("""COMPUTED_VALUE"""),"Available")</f>
        <v>Available</v>
      </c>
      <c r="R243" s="5" t="str">
        <f>IFERROR(__xludf.DUMMYFUNCTION("""COMPUTED_VALUE"""),"Development")</f>
        <v>Development</v>
      </c>
      <c r="S243" s="5" t="str">
        <f>IFERROR(__xludf.DUMMYFUNCTION("""COMPUTED_VALUE"""),"")</f>
        <v/>
      </c>
      <c r="T243" s="5" t="str">
        <f>IFERROR(__xludf.DUMMYFUNCTION("""COMPUTED_VALUE"""),"")</f>
        <v/>
      </c>
      <c r="U243" s="5" t="str">
        <f>IFERROR(__xludf.DUMMYFUNCTION("""COMPUTED_VALUE"""),"")</f>
        <v/>
      </c>
      <c r="V243" s="5" t="str">
        <f>IFERROR(__xludf.DUMMYFUNCTION("""COMPUTED_VALUE"""),"Available")</f>
        <v>Available</v>
      </c>
      <c r="W243" s="5" t="str">
        <f>IFERROR(__xludf.DUMMYFUNCTION("""COMPUTED_VALUE"""),"")</f>
        <v/>
      </c>
      <c r="X243" s="5" t="str">
        <f>IFERROR(__xludf.DUMMYFUNCTION("""COMPUTED_VALUE"""),"")</f>
        <v/>
      </c>
      <c r="Y243" s="5"/>
      <c r="Z243" s="5"/>
    </row>
    <row r="244">
      <c r="A244" s="5" t="str">
        <f>IFERROR(__xludf.DUMMYFUNCTION("""COMPUTED_VALUE"""),"Wild Lucky Clover 2")</f>
        <v>Wild Lucky Clover 2</v>
      </c>
      <c r="B244" s="5" t="str">
        <f>IFERROR(__xludf.DUMMYFUNCTION("""COMPUTED_VALUE"""),"Available")</f>
        <v>Available</v>
      </c>
      <c r="C244" s="5" t="str">
        <f>IFERROR(__xludf.DUMMYFUNCTION("""COMPUTED_VALUE"""),"Development")</f>
        <v>Development</v>
      </c>
      <c r="D244" s="5" t="str">
        <f>IFERROR(__xludf.DUMMYFUNCTION("""COMPUTED_VALUE"""),"Available")</f>
        <v>Available</v>
      </c>
      <c r="E244" s="5" t="str">
        <f>IFERROR(__xludf.DUMMYFUNCTION("""COMPUTED_VALUE"""),"Development")</f>
        <v>Development</v>
      </c>
      <c r="F244" s="5" t="str">
        <f>IFERROR(__xludf.DUMMYFUNCTION("""COMPUTED_VALUE"""),"Available")</f>
        <v>Available</v>
      </c>
      <c r="G244" s="5" t="str">
        <f>IFERROR(__xludf.DUMMYFUNCTION("""COMPUTED_VALUE"""),"Available")</f>
        <v>Available</v>
      </c>
      <c r="H244" s="5" t="str">
        <f>IFERROR(__xludf.DUMMYFUNCTION("""COMPUTED_VALUE"""),"Available")</f>
        <v>Available</v>
      </c>
      <c r="I244" s="5" t="str">
        <f>IFERROR(__xludf.DUMMYFUNCTION("""COMPUTED_VALUE"""),"Available")</f>
        <v>Available</v>
      </c>
      <c r="J244" s="5" t="str">
        <f>IFERROR(__xludf.DUMMYFUNCTION("""COMPUTED_VALUE"""),"")</f>
        <v/>
      </c>
      <c r="K244" s="5" t="str">
        <f>IFERROR(__xludf.DUMMYFUNCTION("""COMPUTED_VALUE"""),"")</f>
        <v/>
      </c>
      <c r="L244" s="5" t="str">
        <f>IFERROR(__xludf.DUMMYFUNCTION("""COMPUTED_VALUE"""),"")</f>
        <v/>
      </c>
      <c r="M244" s="5" t="str">
        <f>IFERROR(__xludf.DUMMYFUNCTION("""COMPUTED_VALUE"""),"Available")</f>
        <v>Available</v>
      </c>
      <c r="N244" s="5" t="str">
        <f>IFERROR(__xludf.DUMMYFUNCTION("""COMPUTED_VALUE"""),"Development")</f>
        <v>Development</v>
      </c>
      <c r="O244" s="5" t="str">
        <f>IFERROR(__xludf.DUMMYFUNCTION("""COMPUTED_VALUE"""),"")</f>
        <v/>
      </c>
      <c r="P244" s="5" t="str">
        <f>IFERROR(__xludf.DUMMYFUNCTION("""COMPUTED_VALUE"""),"")</f>
        <v/>
      </c>
      <c r="Q244" s="5" t="str">
        <f>IFERROR(__xludf.DUMMYFUNCTION("""COMPUTED_VALUE"""),"Available")</f>
        <v>Available</v>
      </c>
      <c r="R244" s="5" t="str">
        <f>IFERROR(__xludf.DUMMYFUNCTION("""COMPUTED_VALUE"""),"")</f>
        <v/>
      </c>
      <c r="S244" s="5" t="str">
        <f>IFERROR(__xludf.DUMMYFUNCTION("""COMPUTED_VALUE"""),"")</f>
        <v/>
      </c>
      <c r="T244" s="5" t="str">
        <f>IFERROR(__xludf.DUMMYFUNCTION("""COMPUTED_VALUE"""),"")</f>
        <v/>
      </c>
      <c r="U244" s="5" t="str">
        <f>IFERROR(__xludf.DUMMYFUNCTION("""COMPUTED_VALUE"""),"Certified")</f>
        <v>Certified</v>
      </c>
      <c r="V244" s="5" t="str">
        <f>IFERROR(__xludf.DUMMYFUNCTION("""COMPUTED_VALUE"""),"")</f>
        <v/>
      </c>
      <c r="W244" s="5" t="str">
        <f>IFERROR(__xludf.DUMMYFUNCTION("""COMPUTED_VALUE"""),"")</f>
        <v/>
      </c>
      <c r="X244" s="5" t="str">
        <f>IFERROR(__xludf.DUMMYFUNCTION("""COMPUTED_VALUE"""),"")</f>
        <v/>
      </c>
      <c r="Y244" s="5"/>
      <c r="Z244" s="5"/>
    </row>
    <row r="245">
      <c r="A245" s="5" t="str">
        <f>IFERROR(__xludf.DUMMYFUNCTION("""COMPUTED_VALUE"""),"40 Fruit Reels")</f>
        <v>40 Fruit Reels</v>
      </c>
      <c r="B245" s="5" t="str">
        <f>IFERROR(__xludf.DUMMYFUNCTION("""COMPUTED_VALUE"""),"")</f>
        <v/>
      </c>
      <c r="C245" s="5" t="str">
        <f>IFERROR(__xludf.DUMMYFUNCTION("""COMPUTED_VALUE"""),"")</f>
        <v/>
      </c>
      <c r="D245" s="5" t="str">
        <f>IFERROR(__xludf.DUMMYFUNCTION("""COMPUTED_VALUE"""),"")</f>
        <v/>
      </c>
      <c r="E245" s="5" t="str">
        <f>IFERROR(__xludf.DUMMYFUNCTION("""COMPUTED_VALUE"""),"")</f>
        <v/>
      </c>
      <c r="F245" s="5" t="str">
        <f>IFERROR(__xludf.DUMMYFUNCTION("""COMPUTED_VALUE"""),"")</f>
        <v/>
      </c>
      <c r="G245" s="5" t="str">
        <f>IFERROR(__xludf.DUMMYFUNCTION("""COMPUTED_VALUE"""),"")</f>
        <v/>
      </c>
      <c r="H245" s="5" t="str">
        <f>IFERROR(__xludf.DUMMYFUNCTION("""COMPUTED_VALUE"""),"")</f>
        <v/>
      </c>
      <c r="I245" s="5" t="str">
        <f>IFERROR(__xludf.DUMMYFUNCTION("""COMPUTED_VALUE"""),"")</f>
        <v/>
      </c>
      <c r="J245" s="5" t="str">
        <f>IFERROR(__xludf.DUMMYFUNCTION("""COMPUTED_VALUE"""),"")</f>
        <v/>
      </c>
      <c r="K245" s="5" t="str">
        <f>IFERROR(__xludf.DUMMYFUNCTION("""COMPUTED_VALUE"""),"")</f>
        <v/>
      </c>
      <c r="L245" s="5" t="str">
        <f>IFERROR(__xludf.DUMMYFUNCTION("""COMPUTED_VALUE"""),"")</f>
        <v/>
      </c>
      <c r="M245" s="5" t="str">
        <f>IFERROR(__xludf.DUMMYFUNCTION("""COMPUTED_VALUE"""),"")</f>
        <v/>
      </c>
      <c r="N245" s="5" t="str">
        <f>IFERROR(__xludf.DUMMYFUNCTION("""COMPUTED_VALUE"""),"")</f>
        <v/>
      </c>
      <c r="O245" s="5" t="str">
        <f>IFERROR(__xludf.DUMMYFUNCTION("""COMPUTED_VALUE"""),"")</f>
        <v/>
      </c>
      <c r="P245" s="5" t="str">
        <f>IFERROR(__xludf.DUMMYFUNCTION("""COMPUTED_VALUE"""),"")</f>
        <v/>
      </c>
      <c r="Q245" s="5" t="str">
        <f>IFERROR(__xludf.DUMMYFUNCTION("""COMPUTED_VALUE"""),"")</f>
        <v/>
      </c>
      <c r="R245" s="5" t="str">
        <f>IFERROR(__xludf.DUMMYFUNCTION("""COMPUTED_VALUE"""),"")</f>
        <v/>
      </c>
      <c r="S245" s="5" t="str">
        <f>IFERROR(__xludf.DUMMYFUNCTION("""COMPUTED_VALUE"""),"")</f>
        <v/>
      </c>
      <c r="T245" s="5" t="str">
        <f>IFERROR(__xludf.DUMMYFUNCTION("""COMPUTED_VALUE"""),"")</f>
        <v/>
      </c>
      <c r="U245" s="5" t="str">
        <f>IFERROR(__xludf.DUMMYFUNCTION("""COMPUTED_VALUE"""),"")</f>
        <v/>
      </c>
      <c r="V245" s="5" t="str">
        <f>IFERROR(__xludf.DUMMYFUNCTION("""COMPUTED_VALUE"""),"")</f>
        <v/>
      </c>
      <c r="W245" s="5" t="str">
        <f>IFERROR(__xludf.DUMMYFUNCTION("""COMPUTED_VALUE"""),"")</f>
        <v/>
      </c>
      <c r="X245" s="5" t="str">
        <f>IFERROR(__xludf.DUMMYFUNCTION("""COMPUTED_VALUE"""),"")</f>
        <v/>
      </c>
      <c r="Y245" s="5"/>
      <c r="Z245" s="5"/>
    </row>
    <row r="246">
      <c r="A246" s="5" t="str">
        <f>IFERROR(__xludf.DUMMYFUNCTION("""COMPUTED_VALUE"""),"Epic Crown 10")</f>
        <v>Epic Crown 10</v>
      </c>
      <c r="B246" s="5" t="str">
        <f>IFERROR(__xludf.DUMMYFUNCTION("""COMPUTED_VALUE"""),"Available")</f>
        <v>Available</v>
      </c>
      <c r="C246" s="5" t="str">
        <f>IFERROR(__xludf.DUMMYFUNCTION("""COMPUTED_VALUE"""),"Available")</f>
        <v>Available</v>
      </c>
      <c r="D246" s="5" t="str">
        <f>IFERROR(__xludf.DUMMYFUNCTION("""COMPUTED_VALUE"""),"Certified")</f>
        <v>Certified</v>
      </c>
      <c r="E246" s="5" t="str">
        <f>IFERROR(__xludf.DUMMYFUNCTION("""COMPUTED_VALUE"""),"Available")</f>
        <v>Available</v>
      </c>
      <c r="F246" s="5" t="str">
        <f>IFERROR(__xludf.DUMMYFUNCTION("""COMPUTED_VALUE"""),"Available")</f>
        <v>Available</v>
      </c>
      <c r="G246" s="5" t="str">
        <f>IFERROR(__xludf.DUMMYFUNCTION("""COMPUTED_VALUE"""),"Available")</f>
        <v>Available</v>
      </c>
      <c r="H246" s="5" t="str">
        <f>IFERROR(__xludf.DUMMYFUNCTION("""COMPUTED_VALUE"""),"Available")</f>
        <v>Available</v>
      </c>
      <c r="I246" s="5" t="str">
        <f>IFERROR(__xludf.DUMMYFUNCTION("""COMPUTED_VALUE"""),"Development")</f>
        <v>Development</v>
      </c>
      <c r="J246" s="5" t="str">
        <f>IFERROR(__xludf.DUMMYFUNCTION("""COMPUTED_VALUE"""),"Available")</f>
        <v>Available</v>
      </c>
      <c r="K246" s="5" t="str">
        <f>IFERROR(__xludf.DUMMYFUNCTION("""COMPUTED_VALUE"""),"Development")</f>
        <v>Development</v>
      </c>
      <c r="L246" s="5" t="str">
        <f>IFERROR(__xludf.DUMMYFUNCTION("""COMPUTED_VALUE"""),"Available")</f>
        <v>Available</v>
      </c>
      <c r="M246" s="5" t="str">
        <f>IFERROR(__xludf.DUMMYFUNCTION("""COMPUTED_VALUE"""),"Development")</f>
        <v>Development</v>
      </c>
      <c r="N246" s="5" t="str">
        <f>IFERROR(__xludf.DUMMYFUNCTION("""COMPUTED_VALUE"""),"Development")</f>
        <v>Development</v>
      </c>
      <c r="O246" s="5" t="str">
        <f>IFERROR(__xludf.DUMMYFUNCTION("""COMPUTED_VALUE"""),"")</f>
        <v/>
      </c>
      <c r="P246" s="5" t="str">
        <f>IFERROR(__xludf.DUMMYFUNCTION("""COMPUTED_VALUE"""),"")</f>
        <v/>
      </c>
      <c r="Q246" s="5" t="str">
        <f>IFERROR(__xludf.DUMMYFUNCTION("""COMPUTED_VALUE"""),"")</f>
        <v/>
      </c>
      <c r="R246" s="5" t="str">
        <f>IFERROR(__xludf.DUMMYFUNCTION("""COMPUTED_VALUE"""),"")</f>
        <v/>
      </c>
      <c r="S246" s="5" t="str">
        <f>IFERROR(__xludf.DUMMYFUNCTION("""COMPUTED_VALUE"""),"")</f>
        <v/>
      </c>
      <c r="T246" s="5" t="str">
        <f>IFERROR(__xludf.DUMMYFUNCTION("""COMPUTED_VALUE"""),"")</f>
        <v/>
      </c>
      <c r="U246" s="5" t="str">
        <f>IFERROR(__xludf.DUMMYFUNCTION("""COMPUTED_VALUE"""),"")</f>
        <v/>
      </c>
      <c r="V246" s="5" t="str">
        <f>IFERROR(__xludf.DUMMYFUNCTION("""COMPUTED_VALUE"""),"Available")</f>
        <v>Available</v>
      </c>
      <c r="W246" s="5" t="str">
        <f>IFERROR(__xludf.DUMMYFUNCTION("""COMPUTED_VALUE"""),"")</f>
        <v/>
      </c>
      <c r="X246" s="5" t="str">
        <f>IFERROR(__xludf.DUMMYFUNCTION("""COMPUTED_VALUE"""),"")</f>
        <v/>
      </c>
      <c r="Y246" s="5"/>
      <c r="Z246" s="5"/>
    </row>
    <row r="247">
      <c r="A247" s="5" t="str">
        <f>IFERROR(__xludf.DUMMYFUNCTION("""COMPUTED_VALUE"""),"Joker Triple Double")</f>
        <v>Joker Triple Double</v>
      </c>
      <c r="B247" s="5" t="str">
        <f>IFERROR(__xludf.DUMMYFUNCTION("""COMPUTED_VALUE"""),"Development")</f>
        <v>Development</v>
      </c>
      <c r="C247" s="5" t="str">
        <f>IFERROR(__xludf.DUMMYFUNCTION("""COMPUTED_VALUE"""),"Development")</f>
        <v>Development</v>
      </c>
      <c r="D247" s="5" t="str">
        <f>IFERROR(__xludf.DUMMYFUNCTION("""COMPUTED_VALUE"""),"Cert Preparation")</f>
        <v>Cert Preparation</v>
      </c>
      <c r="E247" s="5" t="str">
        <f>IFERROR(__xludf.DUMMYFUNCTION("""COMPUTED_VALUE"""),"")</f>
        <v/>
      </c>
      <c r="F247" s="5" t="str">
        <f>IFERROR(__xludf.DUMMYFUNCTION("""COMPUTED_VALUE"""),"Available")</f>
        <v>Available</v>
      </c>
      <c r="G247" s="5" t="str">
        <f>IFERROR(__xludf.DUMMYFUNCTION("""COMPUTED_VALUE"""),"Available")</f>
        <v>Available</v>
      </c>
      <c r="H247" s="5" t="str">
        <f>IFERROR(__xludf.DUMMYFUNCTION("""COMPUTED_VALUE"""),"Available")</f>
        <v>Available</v>
      </c>
      <c r="I247" s="5" t="str">
        <f>IFERROR(__xludf.DUMMYFUNCTION("""COMPUTED_VALUE"""),"Available")</f>
        <v>Available</v>
      </c>
      <c r="J247" s="5" t="str">
        <f>IFERROR(__xludf.DUMMYFUNCTION("""COMPUTED_VALUE"""),"")</f>
        <v/>
      </c>
      <c r="K247" s="5" t="str">
        <f>IFERROR(__xludf.DUMMYFUNCTION("""COMPUTED_VALUE"""),"Development")</f>
        <v>Development</v>
      </c>
      <c r="L247" s="5" t="str">
        <f>IFERROR(__xludf.DUMMYFUNCTION("""COMPUTED_VALUE"""),"Development")</f>
        <v>Development</v>
      </c>
      <c r="M247" s="5" t="str">
        <f>IFERROR(__xludf.DUMMYFUNCTION("""COMPUTED_VALUE"""),"")</f>
        <v/>
      </c>
      <c r="N247" s="5" t="str">
        <f>IFERROR(__xludf.DUMMYFUNCTION("""COMPUTED_VALUE"""),"Development")</f>
        <v>Development</v>
      </c>
      <c r="O247" s="5" t="str">
        <f>IFERROR(__xludf.DUMMYFUNCTION("""COMPUTED_VALUE"""),"")</f>
        <v/>
      </c>
      <c r="P247" s="5" t="str">
        <f>IFERROR(__xludf.DUMMYFUNCTION("""COMPUTED_VALUE"""),"")</f>
        <v/>
      </c>
      <c r="Q247" s="5" t="str">
        <f>IFERROR(__xludf.DUMMYFUNCTION("""COMPUTED_VALUE"""),"Available")</f>
        <v>Available</v>
      </c>
      <c r="R247" s="5" t="str">
        <f>IFERROR(__xludf.DUMMYFUNCTION("""COMPUTED_VALUE"""),"")</f>
        <v/>
      </c>
      <c r="S247" s="5" t="str">
        <f>IFERROR(__xludf.DUMMYFUNCTION("""COMPUTED_VALUE"""),"In Certification")</f>
        <v>In Certification</v>
      </c>
      <c r="T247" s="5" t="str">
        <f>IFERROR(__xludf.DUMMYFUNCTION("""COMPUTED_VALUE"""),"")</f>
        <v/>
      </c>
      <c r="U247" s="5" t="str">
        <f>IFERROR(__xludf.DUMMYFUNCTION("""COMPUTED_VALUE"""),"")</f>
        <v/>
      </c>
      <c r="V247" s="5" t="str">
        <f>IFERROR(__xludf.DUMMYFUNCTION("""COMPUTED_VALUE"""),"")</f>
        <v/>
      </c>
      <c r="W247" s="5" t="str">
        <f>IFERROR(__xludf.DUMMYFUNCTION("""COMPUTED_VALUE"""),"")</f>
        <v/>
      </c>
      <c r="X247" s="5" t="str">
        <f>IFERROR(__xludf.DUMMYFUNCTION("""COMPUTED_VALUE"""),"")</f>
        <v/>
      </c>
      <c r="Y247" s="5"/>
      <c r="Z247" s="5"/>
    </row>
    <row r="248">
      <c r="A248" s="5" t="str">
        <f>IFERROR(__xludf.DUMMYFUNCTION("""COMPUTED_VALUE"""),"Heat Double")</f>
        <v>Heat Double</v>
      </c>
      <c r="B248" s="5" t="str">
        <f>IFERROR(__xludf.DUMMYFUNCTION("""COMPUTED_VALUE"""),"")</f>
        <v/>
      </c>
      <c r="C248" s="5" t="str">
        <f>IFERROR(__xludf.DUMMYFUNCTION("""COMPUTED_VALUE"""),"")</f>
        <v/>
      </c>
      <c r="D248" s="5" t="str">
        <f>IFERROR(__xludf.DUMMYFUNCTION("""COMPUTED_VALUE"""),"")</f>
        <v/>
      </c>
      <c r="E248" s="5" t="str">
        <f>IFERROR(__xludf.DUMMYFUNCTION("""COMPUTED_VALUE"""),"")</f>
        <v/>
      </c>
      <c r="F248" s="5" t="str">
        <f>IFERROR(__xludf.DUMMYFUNCTION("""COMPUTED_VALUE"""),"")</f>
        <v/>
      </c>
      <c r="G248" s="5" t="str">
        <f>IFERROR(__xludf.DUMMYFUNCTION("""COMPUTED_VALUE"""),"")</f>
        <v/>
      </c>
      <c r="H248" s="5" t="str">
        <f>IFERROR(__xludf.DUMMYFUNCTION("""COMPUTED_VALUE"""),"")</f>
        <v/>
      </c>
      <c r="I248" s="5" t="str">
        <f>IFERROR(__xludf.DUMMYFUNCTION("""COMPUTED_VALUE"""),"")</f>
        <v/>
      </c>
      <c r="J248" s="5" t="str">
        <f>IFERROR(__xludf.DUMMYFUNCTION("""COMPUTED_VALUE"""),"")</f>
        <v/>
      </c>
      <c r="K248" s="5" t="str">
        <f>IFERROR(__xludf.DUMMYFUNCTION("""COMPUTED_VALUE"""),"")</f>
        <v/>
      </c>
      <c r="L248" s="5" t="str">
        <f>IFERROR(__xludf.DUMMYFUNCTION("""COMPUTED_VALUE"""),"")</f>
        <v/>
      </c>
      <c r="M248" s="5" t="str">
        <f>IFERROR(__xludf.DUMMYFUNCTION("""COMPUTED_VALUE"""),"")</f>
        <v/>
      </c>
      <c r="N248" s="5" t="str">
        <f>IFERROR(__xludf.DUMMYFUNCTION("""COMPUTED_VALUE"""),"")</f>
        <v/>
      </c>
      <c r="O248" s="5" t="str">
        <f>IFERROR(__xludf.DUMMYFUNCTION("""COMPUTED_VALUE"""),"")</f>
        <v/>
      </c>
      <c r="P248" s="5" t="str">
        <f>IFERROR(__xludf.DUMMYFUNCTION("""COMPUTED_VALUE"""),"")</f>
        <v/>
      </c>
      <c r="Q248" s="5" t="str">
        <f>IFERROR(__xludf.DUMMYFUNCTION("""COMPUTED_VALUE"""),"")</f>
        <v/>
      </c>
      <c r="R248" s="5" t="str">
        <f>IFERROR(__xludf.DUMMYFUNCTION("""COMPUTED_VALUE"""),"")</f>
        <v/>
      </c>
      <c r="S248" s="5" t="str">
        <f>IFERROR(__xludf.DUMMYFUNCTION("""COMPUTED_VALUE"""),"")</f>
        <v/>
      </c>
      <c r="T248" s="5" t="str">
        <f>IFERROR(__xludf.DUMMYFUNCTION("""COMPUTED_VALUE"""),"")</f>
        <v/>
      </c>
      <c r="U248" s="5" t="str">
        <f>IFERROR(__xludf.DUMMYFUNCTION("""COMPUTED_VALUE"""),"")</f>
        <v/>
      </c>
      <c r="V248" s="5" t="str">
        <f>IFERROR(__xludf.DUMMYFUNCTION("""COMPUTED_VALUE"""),"")</f>
        <v/>
      </c>
      <c r="W248" s="5" t="str">
        <f>IFERROR(__xludf.DUMMYFUNCTION("""COMPUTED_VALUE"""),"")</f>
        <v/>
      </c>
      <c r="X248" s="5" t="str">
        <f>IFERROR(__xludf.DUMMYFUNCTION("""COMPUTED_VALUE"""),"")</f>
        <v/>
      </c>
      <c r="Y248" s="5"/>
      <c r="Z248" s="5"/>
    </row>
    <row r="249">
      <c r="A249" s="5" t="str">
        <f>IFERROR(__xludf.DUMMYFUNCTION("""COMPUTED_VALUE"""),"5 Hot Strike")</f>
        <v>5 Hot Strike</v>
      </c>
      <c r="B249" s="5" t="str">
        <f>IFERROR(__xludf.DUMMYFUNCTION("""COMPUTED_VALUE"""),"")</f>
        <v/>
      </c>
      <c r="C249" s="5" t="str">
        <f>IFERROR(__xludf.DUMMYFUNCTION("""COMPUTED_VALUE"""),"")</f>
        <v/>
      </c>
      <c r="D249" s="5" t="str">
        <f>IFERROR(__xludf.DUMMYFUNCTION("""COMPUTED_VALUE"""),"")</f>
        <v/>
      </c>
      <c r="E249" s="5" t="str">
        <f>IFERROR(__xludf.DUMMYFUNCTION("""COMPUTED_VALUE"""),"")</f>
        <v/>
      </c>
      <c r="F249" s="5" t="str">
        <f>IFERROR(__xludf.DUMMYFUNCTION("""COMPUTED_VALUE"""),"")</f>
        <v/>
      </c>
      <c r="G249" s="5" t="str">
        <f>IFERROR(__xludf.DUMMYFUNCTION("""COMPUTED_VALUE"""),"")</f>
        <v/>
      </c>
      <c r="H249" s="5" t="str">
        <f>IFERROR(__xludf.DUMMYFUNCTION("""COMPUTED_VALUE"""),"")</f>
        <v/>
      </c>
      <c r="I249" s="5" t="str">
        <f>IFERROR(__xludf.DUMMYFUNCTION("""COMPUTED_VALUE"""),"")</f>
        <v/>
      </c>
      <c r="J249" s="5" t="str">
        <f>IFERROR(__xludf.DUMMYFUNCTION("""COMPUTED_VALUE"""),"")</f>
        <v/>
      </c>
      <c r="K249" s="5" t="str">
        <f>IFERROR(__xludf.DUMMYFUNCTION("""COMPUTED_VALUE"""),"")</f>
        <v/>
      </c>
      <c r="L249" s="5" t="str">
        <f>IFERROR(__xludf.DUMMYFUNCTION("""COMPUTED_VALUE"""),"")</f>
        <v/>
      </c>
      <c r="M249" s="5" t="str">
        <f>IFERROR(__xludf.DUMMYFUNCTION("""COMPUTED_VALUE"""),"")</f>
        <v/>
      </c>
      <c r="N249" s="5" t="str">
        <f>IFERROR(__xludf.DUMMYFUNCTION("""COMPUTED_VALUE"""),"")</f>
        <v/>
      </c>
      <c r="O249" s="5" t="str">
        <f>IFERROR(__xludf.DUMMYFUNCTION("""COMPUTED_VALUE"""),"")</f>
        <v/>
      </c>
      <c r="P249" s="5" t="str">
        <f>IFERROR(__xludf.DUMMYFUNCTION("""COMPUTED_VALUE"""),"")</f>
        <v/>
      </c>
      <c r="Q249" s="5" t="str">
        <f>IFERROR(__xludf.DUMMYFUNCTION("""COMPUTED_VALUE"""),"")</f>
        <v/>
      </c>
      <c r="R249" s="5" t="str">
        <f>IFERROR(__xludf.DUMMYFUNCTION("""COMPUTED_VALUE"""),"")</f>
        <v/>
      </c>
      <c r="S249" s="5" t="str">
        <f>IFERROR(__xludf.DUMMYFUNCTION("""COMPUTED_VALUE"""),"")</f>
        <v/>
      </c>
      <c r="T249" s="5" t="str">
        <f>IFERROR(__xludf.DUMMYFUNCTION("""COMPUTED_VALUE"""),"")</f>
        <v/>
      </c>
      <c r="U249" s="5" t="str">
        <f>IFERROR(__xludf.DUMMYFUNCTION("""COMPUTED_VALUE"""),"")</f>
        <v/>
      </c>
      <c r="V249" s="5" t="str">
        <f>IFERROR(__xludf.DUMMYFUNCTION("""COMPUTED_VALUE"""),"")</f>
        <v/>
      </c>
      <c r="W249" s="5" t="str">
        <f>IFERROR(__xludf.DUMMYFUNCTION("""COMPUTED_VALUE"""),"")</f>
        <v/>
      </c>
      <c r="X249" s="5" t="str">
        <f>IFERROR(__xludf.DUMMYFUNCTION("""COMPUTED_VALUE"""),"")</f>
        <v/>
      </c>
      <c r="Y249" s="5"/>
      <c r="Z249" s="5"/>
    </row>
    <row r="250">
      <c r="A250" s="5" t="str">
        <f>IFERROR(__xludf.DUMMYFUNCTION("""COMPUTED_VALUE"""),"Bikini Fruits")</f>
        <v>Bikini Fruits</v>
      </c>
      <c r="B250" s="5" t="str">
        <f>IFERROR(__xludf.DUMMYFUNCTION("""COMPUTED_VALUE"""),"")</f>
        <v/>
      </c>
      <c r="C250" s="5" t="str">
        <f>IFERROR(__xludf.DUMMYFUNCTION("""COMPUTED_VALUE"""),"")</f>
        <v/>
      </c>
      <c r="D250" s="5" t="str">
        <f>IFERROR(__xludf.DUMMYFUNCTION("""COMPUTED_VALUE"""),"")</f>
        <v/>
      </c>
      <c r="E250" s="5" t="str">
        <f>IFERROR(__xludf.DUMMYFUNCTION("""COMPUTED_VALUE"""),"")</f>
        <v/>
      </c>
      <c r="F250" s="5" t="str">
        <f>IFERROR(__xludf.DUMMYFUNCTION("""COMPUTED_VALUE"""),"")</f>
        <v/>
      </c>
      <c r="G250" s="5" t="str">
        <f>IFERROR(__xludf.DUMMYFUNCTION("""COMPUTED_VALUE"""),"")</f>
        <v/>
      </c>
      <c r="H250" s="5" t="str">
        <f>IFERROR(__xludf.DUMMYFUNCTION("""COMPUTED_VALUE"""),"")</f>
        <v/>
      </c>
      <c r="I250" s="5" t="str">
        <f>IFERROR(__xludf.DUMMYFUNCTION("""COMPUTED_VALUE"""),"")</f>
        <v/>
      </c>
      <c r="J250" s="5" t="str">
        <f>IFERROR(__xludf.DUMMYFUNCTION("""COMPUTED_VALUE"""),"")</f>
        <v/>
      </c>
      <c r="K250" s="5" t="str">
        <f>IFERROR(__xludf.DUMMYFUNCTION("""COMPUTED_VALUE"""),"")</f>
        <v/>
      </c>
      <c r="L250" s="5" t="str">
        <f>IFERROR(__xludf.DUMMYFUNCTION("""COMPUTED_VALUE"""),"")</f>
        <v/>
      </c>
      <c r="M250" s="5" t="str">
        <f>IFERROR(__xludf.DUMMYFUNCTION("""COMPUTED_VALUE"""),"")</f>
        <v/>
      </c>
      <c r="N250" s="5" t="str">
        <f>IFERROR(__xludf.DUMMYFUNCTION("""COMPUTED_VALUE"""),"")</f>
        <v/>
      </c>
      <c r="O250" s="5" t="str">
        <f>IFERROR(__xludf.DUMMYFUNCTION("""COMPUTED_VALUE"""),"")</f>
        <v/>
      </c>
      <c r="P250" s="5" t="str">
        <f>IFERROR(__xludf.DUMMYFUNCTION("""COMPUTED_VALUE"""),"")</f>
        <v/>
      </c>
      <c r="Q250" s="5" t="str">
        <f>IFERROR(__xludf.DUMMYFUNCTION("""COMPUTED_VALUE"""),"")</f>
        <v/>
      </c>
      <c r="R250" s="5" t="str">
        <f>IFERROR(__xludf.DUMMYFUNCTION("""COMPUTED_VALUE"""),"")</f>
        <v/>
      </c>
      <c r="S250" s="5" t="str">
        <f>IFERROR(__xludf.DUMMYFUNCTION("""COMPUTED_VALUE"""),"")</f>
        <v/>
      </c>
      <c r="T250" s="5" t="str">
        <f>IFERROR(__xludf.DUMMYFUNCTION("""COMPUTED_VALUE"""),"")</f>
        <v/>
      </c>
      <c r="U250" s="5" t="str">
        <f>IFERROR(__xludf.DUMMYFUNCTION("""COMPUTED_VALUE"""),"")</f>
        <v/>
      </c>
      <c r="V250" s="5" t="str">
        <f>IFERROR(__xludf.DUMMYFUNCTION("""COMPUTED_VALUE"""),"")</f>
        <v/>
      </c>
      <c r="W250" s="5" t="str">
        <f>IFERROR(__xludf.DUMMYFUNCTION("""COMPUTED_VALUE"""),"")</f>
        <v/>
      </c>
      <c r="X250" s="5" t="str">
        <f>IFERROR(__xludf.DUMMYFUNCTION("""COMPUTED_VALUE"""),"")</f>
        <v/>
      </c>
      <c r="Y250" s="5"/>
      <c r="Z250" s="5"/>
    </row>
    <row r="251">
      <c r="A251" s="5" t="str">
        <f>IFERROR(__xludf.DUMMYFUNCTION("""COMPUTED_VALUE"""),"Unicorn Queen Of Pyramids")</f>
        <v>Unicorn Queen Of Pyramids</v>
      </c>
      <c r="B251" s="5" t="str">
        <f>IFERROR(__xludf.DUMMYFUNCTION("""COMPUTED_VALUE"""),"")</f>
        <v/>
      </c>
      <c r="C251" s="5" t="str">
        <f>IFERROR(__xludf.DUMMYFUNCTION("""COMPUTED_VALUE"""),"")</f>
        <v/>
      </c>
      <c r="D251" s="5" t="str">
        <f>IFERROR(__xludf.DUMMYFUNCTION("""COMPUTED_VALUE"""),"")</f>
        <v/>
      </c>
      <c r="E251" s="5" t="str">
        <f>IFERROR(__xludf.DUMMYFUNCTION("""COMPUTED_VALUE"""),"")</f>
        <v/>
      </c>
      <c r="F251" s="5" t="str">
        <f>IFERROR(__xludf.DUMMYFUNCTION("""COMPUTED_VALUE"""),"")</f>
        <v/>
      </c>
      <c r="G251" s="5" t="str">
        <f>IFERROR(__xludf.DUMMYFUNCTION("""COMPUTED_VALUE"""),"")</f>
        <v/>
      </c>
      <c r="H251" s="5" t="str">
        <f>IFERROR(__xludf.DUMMYFUNCTION("""COMPUTED_VALUE"""),"")</f>
        <v/>
      </c>
      <c r="I251" s="5" t="str">
        <f>IFERROR(__xludf.DUMMYFUNCTION("""COMPUTED_VALUE"""),"")</f>
        <v/>
      </c>
      <c r="J251" s="5" t="str">
        <f>IFERROR(__xludf.DUMMYFUNCTION("""COMPUTED_VALUE"""),"")</f>
        <v/>
      </c>
      <c r="K251" s="5" t="str">
        <f>IFERROR(__xludf.DUMMYFUNCTION("""COMPUTED_VALUE"""),"")</f>
        <v/>
      </c>
      <c r="L251" s="5" t="str">
        <f>IFERROR(__xludf.DUMMYFUNCTION("""COMPUTED_VALUE"""),"")</f>
        <v/>
      </c>
      <c r="M251" s="5" t="str">
        <f>IFERROR(__xludf.DUMMYFUNCTION("""COMPUTED_VALUE"""),"")</f>
        <v/>
      </c>
      <c r="N251" s="5" t="str">
        <f>IFERROR(__xludf.DUMMYFUNCTION("""COMPUTED_VALUE"""),"")</f>
        <v/>
      </c>
      <c r="O251" s="5" t="str">
        <f>IFERROR(__xludf.DUMMYFUNCTION("""COMPUTED_VALUE"""),"")</f>
        <v/>
      </c>
      <c r="P251" s="5" t="str">
        <f>IFERROR(__xludf.DUMMYFUNCTION("""COMPUTED_VALUE"""),"")</f>
        <v/>
      </c>
      <c r="Q251" s="5" t="str">
        <f>IFERROR(__xludf.DUMMYFUNCTION("""COMPUTED_VALUE"""),"")</f>
        <v/>
      </c>
      <c r="R251" s="5" t="str">
        <f>IFERROR(__xludf.DUMMYFUNCTION("""COMPUTED_VALUE"""),"")</f>
        <v/>
      </c>
      <c r="S251" s="5" t="str">
        <f>IFERROR(__xludf.DUMMYFUNCTION("""COMPUTED_VALUE"""),"")</f>
        <v/>
      </c>
      <c r="T251" s="5" t="str">
        <f>IFERROR(__xludf.DUMMYFUNCTION("""COMPUTED_VALUE"""),"")</f>
        <v/>
      </c>
      <c r="U251" s="5" t="str">
        <f>IFERROR(__xludf.DUMMYFUNCTION("""COMPUTED_VALUE"""),"")</f>
        <v/>
      </c>
      <c r="V251" s="5" t="str">
        <f>IFERROR(__xludf.DUMMYFUNCTION("""COMPUTED_VALUE"""),"")</f>
        <v/>
      </c>
      <c r="W251" s="5" t="str">
        <f>IFERROR(__xludf.DUMMYFUNCTION("""COMPUTED_VALUE"""),"")</f>
        <v/>
      </c>
      <c r="X251" s="5" t="str">
        <f>IFERROR(__xludf.DUMMYFUNCTION("""COMPUTED_VALUE"""),"")</f>
        <v/>
      </c>
      <c r="Y251" s="5"/>
      <c r="Z251" s="5"/>
    </row>
    <row r="252">
      <c r="A252" s="5" t="str">
        <f>IFERROR(__xludf.DUMMYFUNCTION("""COMPUTED_VALUE"""),"Kettys Fashion World")</f>
        <v>Kettys Fashion World</v>
      </c>
      <c r="B252" s="5" t="str">
        <f>IFERROR(__xludf.DUMMYFUNCTION("""COMPUTED_VALUE"""),"")</f>
        <v/>
      </c>
      <c r="C252" s="5" t="str">
        <f>IFERROR(__xludf.DUMMYFUNCTION("""COMPUTED_VALUE"""),"")</f>
        <v/>
      </c>
      <c r="D252" s="5" t="str">
        <f>IFERROR(__xludf.DUMMYFUNCTION("""COMPUTED_VALUE"""),"")</f>
        <v/>
      </c>
      <c r="E252" s="5" t="str">
        <f>IFERROR(__xludf.DUMMYFUNCTION("""COMPUTED_VALUE"""),"")</f>
        <v/>
      </c>
      <c r="F252" s="5" t="str">
        <f>IFERROR(__xludf.DUMMYFUNCTION("""COMPUTED_VALUE"""),"")</f>
        <v/>
      </c>
      <c r="G252" s="5" t="str">
        <f>IFERROR(__xludf.DUMMYFUNCTION("""COMPUTED_VALUE"""),"")</f>
        <v/>
      </c>
      <c r="H252" s="5" t="str">
        <f>IFERROR(__xludf.DUMMYFUNCTION("""COMPUTED_VALUE"""),"")</f>
        <v/>
      </c>
      <c r="I252" s="5" t="str">
        <f>IFERROR(__xludf.DUMMYFUNCTION("""COMPUTED_VALUE"""),"")</f>
        <v/>
      </c>
      <c r="J252" s="5" t="str">
        <f>IFERROR(__xludf.DUMMYFUNCTION("""COMPUTED_VALUE"""),"")</f>
        <v/>
      </c>
      <c r="K252" s="5" t="str">
        <f>IFERROR(__xludf.DUMMYFUNCTION("""COMPUTED_VALUE"""),"")</f>
        <v/>
      </c>
      <c r="L252" s="5" t="str">
        <f>IFERROR(__xludf.DUMMYFUNCTION("""COMPUTED_VALUE"""),"")</f>
        <v/>
      </c>
      <c r="M252" s="5" t="str">
        <f>IFERROR(__xludf.DUMMYFUNCTION("""COMPUTED_VALUE"""),"")</f>
        <v/>
      </c>
      <c r="N252" s="5" t="str">
        <f>IFERROR(__xludf.DUMMYFUNCTION("""COMPUTED_VALUE"""),"")</f>
        <v/>
      </c>
      <c r="O252" s="5" t="str">
        <f>IFERROR(__xludf.DUMMYFUNCTION("""COMPUTED_VALUE"""),"")</f>
        <v/>
      </c>
      <c r="P252" s="5" t="str">
        <f>IFERROR(__xludf.DUMMYFUNCTION("""COMPUTED_VALUE"""),"")</f>
        <v/>
      </c>
      <c r="Q252" s="5" t="str">
        <f>IFERROR(__xludf.DUMMYFUNCTION("""COMPUTED_VALUE"""),"")</f>
        <v/>
      </c>
      <c r="R252" s="5" t="str">
        <f>IFERROR(__xludf.DUMMYFUNCTION("""COMPUTED_VALUE"""),"")</f>
        <v/>
      </c>
      <c r="S252" s="5" t="str">
        <f>IFERROR(__xludf.DUMMYFUNCTION("""COMPUTED_VALUE"""),"")</f>
        <v/>
      </c>
      <c r="T252" s="5" t="str">
        <f>IFERROR(__xludf.DUMMYFUNCTION("""COMPUTED_VALUE"""),"")</f>
        <v/>
      </c>
      <c r="U252" s="5" t="str">
        <f>IFERROR(__xludf.DUMMYFUNCTION("""COMPUTED_VALUE"""),"")</f>
        <v/>
      </c>
      <c r="V252" s="5" t="str">
        <f>IFERROR(__xludf.DUMMYFUNCTION("""COMPUTED_VALUE"""),"")</f>
        <v/>
      </c>
      <c r="W252" s="5" t="str">
        <f>IFERROR(__xludf.DUMMYFUNCTION("""COMPUTED_VALUE"""),"")</f>
        <v/>
      </c>
      <c r="X252" s="5" t="str">
        <f>IFERROR(__xludf.DUMMYFUNCTION("""COMPUTED_VALUE"""),"")</f>
        <v/>
      </c>
      <c r="Y252" s="5"/>
      <c r="Z252" s="5"/>
    </row>
    <row r="253">
      <c r="A253" s="5" t="str">
        <f>IFERROR(__xludf.DUMMYFUNCTION("""COMPUTED_VALUE"""),"Retro Fire")</f>
        <v>Retro Fire</v>
      </c>
      <c r="B253" s="5" t="str">
        <f>IFERROR(__xludf.DUMMYFUNCTION("""COMPUTED_VALUE"""),"")</f>
        <v/>
      </c>
      <c r="C253" s="5" t="str">
        <f>IFERROR(__xludf.DUMMYFUNCTION("""COMPUTED_VALUE"""),"Development")</f>
        <v>Development</v>
      </c>
      <c r="D253" s="5" t="str">
        <f>IFERROR(__xludf.DUMMYFUNCTION("""COMPUTED_VALUE"""),"Certified")</f>
        <v>Certified</v>
      </c>
      <c r="E253" s="5" t="str">
        <f>IFERROR(__xludf.DUMMYFUNCTION("""COMPUTED_VALUE"""),"")</f>
        <v/>
      </c>
      <c r="F253" s="5" t="str">
        <f>IFERROR(__xludf.DUMMYFUNCTION("""COMPUTED_VALUE"""),"")</f>
        <v/>
      </c>
      <c r="G253" s="5" t="str">
        <f>IFERROR(__xludf.DUMMYFUNCTION("""COMPUTED_VALUE"""),"")</f>
        <v/>
      </c>
      <c r="H253" s="5" t="str">
        <f>IFERROR(__xludf.DUMMYFUNCTION("""COMPUTED_VALUE"""),"")</f>
        <v/>
      </c>
      <c r="I253" s="5" t="str">
        <f>IFERROR(__xludf.DUMMYFUNCTION("""COMPUTED_VALUE"""),"")</f>
        <v/>
      </c>
      <c r="J253" s="5" t="str">
        <f>IFERROR(__xludf.DUMMYFUNCTION("""COMPUTED_VALUE"""),"Available")</f>
        <v>Available</v>
      </c>
      <c r="K253" s="5" t="str">
        <f>IFERROR(__xludf.DUMMYFUNCTION("""COMPUTED_VALUE"""),"")</f>
        <v/>
      </c>
      <c r="L253" s="5" t="str">
        <f>IFERROR(__xludf.DUMMYFUNCTION("""COMPUTED_VALUE"""),"Available")</f>
        <v>Available</v>
      </c>
      <c r="M253" s="5" t="str">
        <f>IFERROR(__xludf.DUMMYFUNCTION("""COMPUTED_VALUE"""),"")</f>
        <v/>
      </c>
      <c r="N253" s="5" t="str">
        <f>IFERROR(__xludf.DUMMYFUNCTION("""COMPUTED_VALUE"""),"")</f>
        <v/>
      </c>
      <c r="O253" s="5" t="str">
        <f>IFERROR(__xludf.DUMMYFUNCTION("""COMPUTED_VALUE"""),"")</f>
        <v/>
      </c>
      <c r="P253" s="5" t="str">
        <f>IFERROR(__xludf.DUMMYFUNCTION("""COMPUTED_VALUE"""),"")</f>
        <v/>
      </c>
      <c r="Q253" s="5" t="str">
        <f>IFERROR(__xludf.DUMMYFUNCTION("""COMPUTED_VALUE"""),"")</f>
        <v/>
      </c>
      <c r="R253" s="5" t="str">
        <f>IFERROR(__xludf.DUMMYFUNCTION("""COMPUTED_VALUE"""),"")</f>
        <v/>
      </c>
      <c r="S253" s="5" t="str">
        <f>IFERROR(__xludf.DUMMYFUNCTION("""COMPUTED_VALUE"""),"")</f>
        <v/>
      </c>
      <c r="T253" s="5" t="str">
        <f>IFERROR(__xludf.DUMMYFUNCTION("""COMPUTED_VALUE"""),"")</f>
        <v/>
      </c>
      <c r="U253" s="5" t="str">
        <f>IFERROR(__xludf.DUMMYFUNCTION("""COMPUTED_VALUE"""),"")</f>
        <v/>
      </c>
      <c r="V253" s="5" t="str">
        <f>IFERROR(__xludf.DUMMYFUNCTION("""COMPUTED_VALUE"""),"")</f>
        <v/>
      </c>
      <c r="W253" s="5" t="str">
        <f>IFERROR(__xludf.DUMMYFUNCTION("""COMPUTED_VALUE"""),"")</f>
        <v/>
      </c>
      <c r="X253" s="5" t="str">
        <f>IFERROR(__xludf.DUMMYFUNCTION("""COMPUTED_VALUE"""),"")</f>
        <v/>
      </c>
      <c r="Y253" s="5"/>
      <c r="Z253" s="5"/>
    </row>
    <row r="254">
      <c r="A254" s="5" t="str">
        <f>IFERROR(__xludf.DUMMYFUNCTION("""COMPUTED_VALUE"""),"Money 5")</f>
        <v>Money 5</v>
      </c>
      <c r="B254" s="5" t="str">
        <f>IFERROR(__xludf.DUMMYFUNCTION("""COMPUTED_VALUE"""),"Available")</f>
        <v>Available</v>
      </c>
      <c r="C254" s="5" t="str">
        <f>IFERROR(__xludf.DUMMYFUNCTION("""COMPUTED_VALUE"""),"Available")</f>
        <v>Available</v>
      </c>
      <c r="D254" s="5" t="str">
        <f>IFERROR(__xludf.DUMMYFUNCTION("""COMPUTED_VALUE"""),"Certified")</f>
        <v>Certified</v>
      </c>
      <c r="E254" s="5" t="str">
        <f>IFERROR(__xludf.DUMMYFUNCTION("""COMPUTED_VALUE"""),"Available")</f>
        <v>Available</v>
      </c>
      <c r="F254" s="5" t="str">
        <f>IFERROR(__xludf.DUMMYFUNCTION("""COMPUTED_VALUE"""),"Available")</f>
        <v>Available</v>
      </c>
      <c r="G254" s="5" t="str">
        <f>IFERROR(__xludf.DUMMYFUNCTION("""COMPUTED_VALUE"""),"Available")</f>
        <v>Available</v>
      </c>
      <c r="H254" s="5" t="str">
        <f>IFERROR(__xludf.DUMMYFUNCTION("""COMPUTED_VALUE"""),"Available")</f>
        <v>Available</v>
      </c>
      <c r="I254" s="5" t="str">
        <f>IFERROR(__xludf.DUMMYFUNCTION("""COMPUTED_VALUE"""),"Available")</f>
        <v>Available</v>
      </c>
      <c r="J254" s="5" t="str">
        <f>IFERROR(__xludf.DUMMYFUNCTION("""COMPUTED_VALUE"""),"")</f>
        <v/>
      </c>
      <c r="K254" s="5" t="str">
        <f>IFERROR(__xludf.DUMMYFUNCTION("""COMPUTED_VALUE"""),"Development")</f>
        <v>Development</v>
      </c>
      <c r="L254" s="5" t="str">
        <f>IFERROR(__xludf.DUMMYFUNCTION("""COMPUTED_VALUE"""),"Development")</f>
        <v>Development</v>
      </c>
      <c r="M254" s="5" t="str">
        <f>IFERROR(__xludf.DUMMYFUNCTION("""COMPUTED_VALUE"""),"Available")</f>
        <v>Available</v>
      </c>
      <c r="N254" s="5" t="str">
        <f>IFERROR(__xludf.DUMMYFUNCTION("""COMPUTED_VALUE"""),"Development")</f>
        <v>Development</v>
      </c>
      <c r="O254" s="5" t="str">
        <f>IFERROR(__xludf.DUMMYFUNCTION("""COMPUTED_VALUE"""),"")</f>
        <v/>
      </c>
      <c r="P254" s="5" t="str">
        <f>IFERROR(__xludf.DUMMYFUNCTION("""COMPUTED_VALUE"""),"")</f>
        <v/>
      </c>
      <c r="Q254" s="5" t="str">
        <f>IFERROR(__xludf.DUMMYFUNCTION("""COMPUTED_VALUE"""),"Available")</f>
        <v>Available</v>
      </c>
      <c r="R254" s="5" t="str">
        <f>IFERROR(__xludf.DUMMYFUNCTION("""COMPUTED_VALUE"""),"")</f>
        <v/>
      </c>
      <c r="S254" s="5" t="str">
        <f>IFERROR(__xludf.DUMMYFUNCTION("""COMPUTED_VALUE"""),"In Certification")</f>
        <v>In Certification</v>
      </c>
      <c r="T254" s="5" t="str">
        <f>IFERROR(__xludf.DUMMYFUNCTION("""COMPUTED_VALUE"""),"")</f>
        <v/>
      </c>
      <c r="U254" s="5" t="str">
        <f>IFERROR(__xludf.DUMMYFUNCTION("""COMPUTED_VALUE"""),"")</f>
        <v/>
      </c>
      <c r="V254" s="5" t="str">
        <f>IFERROR(__xludf.DUMMYFUNCTION("""COMPUTED_VALUE"""),"Available")</f>
        <v>Available</v>
      </c>
      <c r="W254" s="5" t="str">
        <f>IFERROR(__xludf.DUMMYFUNCTION("""COMPUTED_VALUE"""),"")</f>
        <v/>
      </c>
      <c r="X254" s="5" t="str">
        <f>IFERROR(__xludf.DUMMYFUNCTION("""COMPUTED_VALUE"""),"")</f>
        <v/>
      </c>
      <c r="Y254" s="5"/>
      <c r="Z254" s="5"/>
    </row>
    <row r="255">
      <c r="A255" s="5" t="str">
        <f>IFERROR(__xludf.DUMMYFUNCTION("""COMPUTED_VALUE"""),"Blazing Heat")</f>
        <v>Blazing Heat</v>
      </c>
      <c r="B255" s="5" t="str">
        <f>IFERROR(__xludf.DUMMYFUNCTION("""COMPUTED_VALUE"""),"")</f>
        <v/>
      </c>
      <c r="C255" s="5" t="str">
        <f>IFERROR(__xludf.DUMMYFUNCTION("""COMPUTED_VALUE"""),"")</f>
        <v/>
      </c>
      <c r="D255" s="5" t="str">
        <f>IFERROR(__xludf.DUMMYFUNCTION("""COMPUTED_VALUE"""),"")</f>
        <v/>
      </c>
      <c r="E255" s="5" t="str">
        <f>IFERROR(__xludf.DUMMYFUNCTION("""COMPUTED_VALUE"""),"")</f>
        <v/>
      </c>
      <c r="F255" s="5" t="str">
        <f>IFERROR(__xludf.DUMMYFUNCTION("""COMPUTED_VALUE"""),"")</f>
        <v/>
      </c>
      <c r="G255" s="5" t="str">
        <f>IFERROR(__xludf.DUMMYFUNCTION("""COMPUTED_VALUE"""),"")</f>
        <v/>
      </c>
      <c r="H255" s="5" t="str">
        <f>IFERROR(__xludf.DUMMYFUNCTION("""COMPUTED_VALUE"""),"")</f>
        <v/>
      </c>
      <c r="I255" s="5" t="str">
        <f>IFERROR(__xludf.DUMMYFUNCTION("""COMPUTED_VALUE"""),"")</f>
        <v/>
      </c>
      <c r="J255" s="5" t="str">
        <f>IFERROR(__xludf.DUMMYFUNCTION("""COMPUTED_VALUE"""),"")</f>
        <v/>
      </c>
      <c r="K255" s="5" t="str">
        <f>IFERROR(__xludf.DUMMYFUNCTION("""COMPUTED_VALUE"""),"")</f>
        <v/>
      </c>
      <c r="L255" s="5" t="str">
        <f>IFERROR(__xludf.DUMMYFUNCTION("""COMPUTED_VALUE"""),"")</f>
        <v/>
      </c>
      <c r="M255" s="5" t="str">
        <f>IFERROR(__xludf.DUMMYFUNCTION("""COMPUTED_VALUE"""),"")</f>
        <v/>
      </c>
      <c r="N255" s="5" t="str">
        <f>IFERROR(__xludf.DUMMYFUNCTION("""COMPUTED_VALUE"""),"")</f>
        <v/>
      </c>
      <c r="O255" s="5" t="str">
        <f>IFERROR(__xludf.DUMMYFUNCTION("""COMPUTED_VALUE"""),"")</f>
        <v/>
      </c>
      <c r="P255" s="5" t="str">
        <f>IFERROR(__xludf.DUMMYFUNCTION("""COMPUTED_VALUE"""),"")</f>
        <v/>
      </c>
      <c r="Q255" s="5" t="str">
        <f>IFERROR(__xludf.DUMMYFUNCTION("""COMPUTED_VALUE"""),"")</f>
        <v/>
      </c>
      <c r="R255" s="5" t="str">
        <f>IFERROR(__xludf.DUMMYFUNCTION("""COMPUTED_VALUE"""),"")</f>
        <v/>
      </c>
      <c r="S255" s="5" t="str">
        <f>IFERROR(__xludf.DUMMYFUNCTION("""COMPUTED_VALUE"""),"")</f>
        <v/>
      </c>
      <c r="T255" s="5" t="str">
        <f>IFERROR(__xludf.DUMMYFUNCTION("""COMPUTED_VALUE"""),"")</f>
        <v/>
      </c>
      <c r="U255" s="5" t="str">
        <f>IFERROR(__xludf.DUMMYFUNCTION("""COMPUTED_VALUE"""),"")</f>
        <v/>
      </c>
      <c r="V255" s="5" t="str">
        <f>IFERROR(__xludf.DUMMYFUNCTION("""COMPUTED_VALUE"""),"")</f>
        <v/>
      </c>
      <c r="W255" s="5" t="str">
        <f>IFERROR(__xludf.DUMMYFUNCTION("""COMPUTED_VALUE"""),"")</f>
        <v/>
      </c>
      <c r="X255" s="5" t="str">
        <f>IFERROR(__xludf.DUMMYFUNCTION("""COMPUTED_VALUE"""),"")</f>
        <v/>
      </c>
      <c r="Y255" s="5"/>
      <c r="Z255" s="5"/>
    </row>
    <row r="256">
      <c r="A256" s="5" t="str">
        <f>IFERROR(__xludf.DUMMYFUNCTION("""COMPUTED_VALUE"""),"MAIN")</f>
        <v>MAIN</v>
      </c>
      <c r="B256" s="5" t="str">
        <f>IFERROR(__xludf.DUMMYFUNCTION("""COMPUTED_VALUE"""),"")</f>
        <v/>
      </c>
      <c r="C256" s="5" t="str">
        <f>IFERROR(__xludf.DUMMYFUNCTION("""COMPUTED_VALUE"""),"")</f>
        <v/>
      </c>
      <c r="D256" s="5" t="str">
        <f>IFERROR(__xludf.DUMMYFUNCTION("""COMPUTED_VALUE"""),"")</f>
        <v/>
      </c>
      <c r="E256" s="5" t="str">
        <f>IFERROR(__xludf.DUMMYFUNCTION("""COMPUTED_VALUE"""),"")</f>
        <v/>
      </c>
      <c r="F256" s="5" t="str">
        <f>IFERROR(__xludf.DUMMYFUNCTION("""COMPUTED_VALUE"""),"")</f>
        <v/>
      </c>
      <c r="G256" s="5" t="str">
        <f>IFERROR(__xludf.DUMMYFUNCTION("""COMPUTED_VALUE"""),"")</f>
        <v/>
      </c>
      <c r="H256" s="5" t="str">
        <f>IFERROR(__xludf.DUMMYFUNCTION("""COMPUTED_VALUE"""),"")</f>
        <v/>
      </c>
      <c r="I256" s="5" t="str">
        <f>IFERROR(__xludf.DUMMYFUNCTION("""COMPUTED_VALUE"""),"")</f>
        <v/>
      </c>
      <c r="J256" s="5" t="str">
        <f>IFERROR(__xludf.DUMMYFUNCTION("""COMPUTED_VALUE"""),"")</f>
        <v/>
      </c>
      <c r="K256" s="5" t="str">
        <f>IFERROR(__xludf.DUMMYFUNCTION("""COMPUTED_VALUE"""),"")</f>
        <v/>
      </c>
      <c r="L256" s="5" t="str">
        <f>IFERROR(__xludf.DUMMYFUNCTION("""COMPUTED_VALUE"""),"")</f>
        <v/>
      </c>
      <c r="M256" s="5" t="str">
        <f>IFERROR(__xludf.DUMMYFUNCTION("""COMPUTED_VALUE"""),"")</f>
        <v/>
      </c>
      <c r="N256" s="5" t="str">
        <f>IFERROR(__xludf.DUMMYFUNCTION("""COMPUTED_VALUE"""),"")</f>
        <v/>
      </c>
      <c r="O256" s="5" t="str">
        <f>IFERROR(__xludf.DUMMYFUNCTION("""COMPUTED_VALUE"""),"")</f>
        <v/>
      </c>
      <c r="P256" s="5" t="str">
        <f>IFERROR(__xludf.DUMMYFUNCTION("""COMPUTED_VALUE"""),"")</f>
        <v/>
      </c>
      <c r="Q256" s="5" t="str">
        <f>IFERROR(__xludf.DUMMYFUNCTION("""COMPUTED_VALUE"""),"")</f>
        <v/>
      </c>
      <c r="R256" s="5" t="str">
        <f>IFERROR(__xludf.DUMMYFUNCTION("""COMPUTED_VALUE"""),"")</f>
        <v/>
      </c>
      <c r="S256" s="5" t="str">
        <f>IFERROR(__xludf.DUMMYFUNCTION("""COMPUTED_VALUE"""),"")</f>
        <v/>
      </c>
      <c r="T256" s="5" t="str">
        <f>IFERROR(__xludf.DUMMYFUNCTION("""COMPUTED_VALUE"""),"")</f>
        <v/>
      </c>
      <c r="U256" s="5" t="str">
        <f>IFERROR(__xludf.DUMMYFUNCTION("""COMPUTED_VALUE"""),"")</f>
        <v/>
      </c>
      <c r="V256" s="5" t="str">
        <f>IFERROR(__xludf.DUMMYFUNCTION("""COMPUTED_VALUE"""),"")</f>
        <v/>
      </c>
      <c r="W256" s="5" t="str">
        <f>IFERROR(__xludf.DUMMYFUNCTION("""COMPUTED_VALUE"""),"")</f>
        <v/>
      </c>
      <c r="X256" s="5" t="str">
        <f>IFERROR(__xludf.DUMMYFUNCTION("""COMPUTED_VALUE"""),"")</f>
        <v/>
      </c>
      <c r="Y256" s="5"/>
      <c r="Z256" s="5"/>
    </row>
    <row r="257">
      <c r="A257" s="5" t="str">
        <f>IFERROR(__xludf.DUMMYFUNCTION("""COMPUTED_VALUE"""),"Fire Stars")</f>
        <v>Fire Stars</v>
      </c>
      <c r="B257" s="5" t="str">
        <f>IFERROR(__xludf.DUMMYFUNCTION("""COMPUTED_VALUE"""),"")</f>
        <v/>
      </c>
      <c r="C257" s="5" t="str">
        <f>IFERROR(__xludf.DUMMYFUNCTION("""COMPUTED_VALUE"""),"")</f>
        <v/>
      </c>
      <c r="D257" s="5" t="str">
        <f>IFERROR(__xludf.DUMMYFUNCTION("""COMPUTED_VALUE"""),"")</f>
        <v/>
      </c>
      <c r="E257" s="5" t="str">
        <f>IFERROR(__xludf.DUMMYFUNCTION("""COMPUTED_VALUE"""),"")</f>
        <v/>
      </c>
      <c r="F257" s="5" t="str">
        <f>IFERROR(__xludf.DUMMYFUNCTION("""COMPUTED_VALUE"""),"")</f>
        <v/>
      </c>
      <c r="G257" s="5" t="str">
        <f>IFERROR(__xludf.DUMMYFUNCTION("""COMPUTED_VALUE"""),"")</f>
        <v/>
      </c>
      <c r="H257" s="5" t="str">
        <f>IFERROR(__xludf.DUMMYFUNCTION("""COMPUTED_VALUE"""),"")</f>
        <v/>
      </c>
      <c r="I257" s="5" t="str">
        <f>IFERROR(__xludf.DUMMYFUNCTION("""COMPUTED_VALUE"""),"")</f>
        <v/>
      </c>
      <c r="J257" s="5" t="str">
        <f>IFERROR(__xludf.DUMMYFUNCTION("""COMPUTED_VALUE"""),"")</f>
        <v/>
      </c>
      <c r="K257" s="5" t="str">
        <f>IFERROR(__xludf.DUMMYFUNCTION("""COMPUTED_VALUE"""),"")</f>
        <v/>
      </c>
      <c r="L257" s="5" t="str">
        <f>IFERROR(__xludf.DUMMYFUNCTION("""COMPUTED_VALUE"""),"")</f>
        <v/>
      </c>
      <c r="M257" s="5" t="str">
        <f>IFERROR(__xludf.DUMMYFUNCTION("""COMPUTED_VALUE"""),"")</f>
        <v/>
      </c>
      <c r="N257" s="5" t="str">
        <f>IFERROR(__xludf.DUMMYFUNCTION("""COMPUTED_VALUE"""),"")</f>
        <v/>
      </c>
      <c r="O257" s="5" t="str">
        <f>IFERROR(__xludf.DUMMYFUNCTION("""COMPUTED_VALUE"""),"")</f>
        <v/>
      </c>
      <c r="P257" s="5" t="str">
        <f>IFERROR(__xludf.DUMMYFUNCTION("""COMPUTED_VALUE"""),"")</f>
        <v/>
      </c>
      <c r="Q257" s="5" t="str">
        <f>IFERROR(__xludf.DUMMYFUNCTION("""COMPUTED_VALUE"""),"")</f>
        <v/>
      </c>
      <c r="R257" s="5" t="str">
        <f>IFERROR(__xludf.DUMMYFUNCTION("""COMPUTED_VALUE"""),"")</f>
        <v/>
      </c>
      <c r="S257" s="5" t="str">
        <f>IFERROR(__xludf.DUMMYFUNCTION("""COMPUTED_VALUE"""),"")</f>
        <v/>
      </c>
      <c r="T257" s="5" t="str">
        <f>IFERROR(__xludf.DUMMYFUNCTION("""COMPUTED_VALUE"""),"")</f>
        <v/>
      </c>
      <c r="U257" s="5" t="str">
        <f>IFERROR(__xludf.DUMMYFUNCTION("""COMPUTED_VALUE"""),"")</f>
        <v/>
      </c>
      <c r="V257" s="5" t="str">
        <f>IFERROR(__xludf.DUMMYFUNCTION("""COMPUTED_VALUE"""),"")</f>
        <v/>
      </c>
      <c r="W257" s="5" t="str">
        <f>IFERROR(__xludf.DUMMYFUNCTION("""COMPUTED_VALUE"""),"")</f>
        <v/>
      </c>
      <c r="X257" s="5" t="str">
        <f>IFERROR(__xludf.DUMMYFUNCTION("""COMPUTED_VALUE"""),"")</f>
        <v/>
      </c>
      <c r="Y257" s="5"/>
      <c r="Z257" s="5"/>
    </row>
    <row r="258">
      <c r="A258" s="5" t="str">
        <f>IFERROR(__xludf.DUMMYFUNCTION("""COMPUTED_VALUE"""),"20 Hot Strike Dice")</f>
        <v>20 Hot Strike Dice</v>
      </c>
      <c r="B258" s="5" t="str">
        <f>IFERROR(__xludf.DUMMYFUNCTION("""COMPUTED_VALUE"""),"")</f>
        <v/>
      </c>
      <c r="C258" s="5" t="str">
        <f>IFERROR(__xludf.DUMMYFUNCTION("""COMPUTED_VALUE"""),"")</f>
        <v/>
      </c>
      <c r="D258" s="5" t="str">
        <f>IFERROR(__xludf.DUMMYFUNCTION("""COMPUTED_VALUE"""),"")</f>
        <v/>
      </c>
      <c r="E258" s="5" t="str">
        <f>IFERROR(__xludf.DUMMYFUNCTION("""COMPUTED_VALUE"""),"")</f>
        <v/>
      </c>
      <c r="F258" s="5" t="str">
        <f>IFERROR(__xludf.DUMMYFUNCTION("""COMPUTED_VALUE"""),"")</f>
        <v/>
      </c>
      <c r="G258" s="5" t="str">
        <f>IFERROR(__xludf.DUMMYFUNCTION("""COMPUTED_VALUE"""),"")</f>
        <v/>
      </c>
      <c r="H258" s="5" t="str">
        <f>IFERROR(__xludf.DUMMYFUNCTION("""COMPUTED_VALUE"""),"")</f>
        <v/>
      </c>
      <c r="I258" s="5" t="str">
        <f>IFERROR(__xludf.DUMMYFUNCTION("""COMPUTED_VALUE"""),"")</f>
        <v/>
      </c>
      <c r="J258" s="5" t="str">
        <f>IFERROR(__xludf.DUMMYFUNCTION("""COMPUTED_VALUE"""),"")</f>
        <v/>
      </c>
      <c r="K258" s="5" t="str">
        <f>IFERROR(__xludf.DUMMYFUNCTION("""COMPUTED_VALUE"""),"")</f>
        <v/>
      </c>
      <c r="L258" s="5" t="str">
        <f>IFERROR(__xludf.DUMMYFUNCTION("""COMPUTED_VALUE"""),"")</f>
        <v/>
      </c>
      <c r="M258" s="5" t="str">
        <f>IFERROR(__xludf.DUMMYFUNCTION("""COMPUTED_VALUE"""),"")</f>
        <v/>
      </c>
      <c r="N258" s="5" t="str">
        <f>IFERROR(__xludf.DUMMYFUNCTION("""COMPUTED_VALUE"""),"")</f>
        <v/>
      </c>
      <c r="O258" s="5" t="str">
        <f>IFERROR(__xludf.DUMMYFUNCTION("""COMPUTED_VALUE"""),"")</f>
        <v/>
      </c>
      <c r="P258" s="5" t="str">
        <f>IFERROR(__xludf.DUMMYFUNCTION("""COMPUTED_VALUE"""),"")</f>
        <v/>
      </c>
      <c r="Q258" s="5" t="str">
        <f>IFERROR(__xludf.DUMMYFUNCTION("""COMPUTED_VALUE"""),"")</f>
        <v/>
      </c>
      <c r="R258" s="5" t="str">
        <f>IFERROR(__xludf.DUMMYFUNCTION("""COMPUTED_VALUE"""),"")</f>
        <v/>
      </c>
      <c r="S258" s="5" t="str">
        <f>IFERROR(__xludf.DUMMYFUNCTION("""COMPUTED_VALUE"""),"")</f>
        <v/>
      </c>
      <c r="T258" s="5" t="str">
        <f>IFERROR(__xludf.DUMMYFUNCTION("""COMPUTED_VALUE"""),"")</f>
        <v/>
      </c>
      <c r="U258" s="5" t="str">
        <f>IFERROR(__xludf.DUMMYFUNCTION("""COMPUTED_VALUE"""),"")</f>
        <v/>
      </c>
      <c r="V258" s="5" t="str">
        <f>IFERROR(__xludf.DUMMYFUNCTION("""COMPUTED_VALUE"""),"")</f>
        <v/>
      </c>
      <c r="W258" s="5" t="str">
        <f>IFERROR(__xludf.DUMMYFUNCTION("""COMPUTED_VALUE"""),"")</f>
        <v/>
      </c>
      <c r="X258" s="5" t="str">
        <f>IFERROR(__xludf.DUMMYFUNCTION("""COMPUTED_VALUE"""),"")</f>
        <v/>
      </c>
      <c r="Y258" s="5"/>
      <c r="Z258" s="5"/>
    </row>
    <row r="259">
      <c r="A259" s="5" t="str">
        <f>IFERROR(__xludf.DUMMYFUNCTION("""COMPUTED_VALUE"""),"Bikini Dice")</f>
        <v>Bikini Dice</v>
      </c>
      <c r="B259" s="5" t="str">
        <f>IFERROR(__xludf.DUMMYFUNCTION("""COMPUTED_VALUE"""),"")</f>
        <v/>
      </c>
      <c r="C259" s="5" t="str">
        <f>IFERROR(__xludf.DUMMYFUNCTION("""COMPUTED_VALUE"""),"")</f>
        <v/>
      </c>
      <c r="D259" s="5" t="str">
        <f>IFERROR(__xludf.DUMMYFUNCTION("""COMPUTED_VALUE"""),"")</f>
        <v/>
      </c>
      <c r="E259" s="5" t="str">
        <f>IFERROR(__xludf.DUMMYFUNCTION("""COMPUTED_VALUE"""),"")</f>
        <v/>
      </c>
      <c r="F259" s="5" t="str">
        <f>IFERROR(__xludf.DUMMYFUNCTION("""COMPUTED_VALUE"""),"")</f>
        <v/>
      </c>
      <c r="G259" s="5" t="str">
        <f>IFERROR(__xludf.DUMMYFUNCTION("""COMPUTED_VALUE"""),"")</f>
        <v/>
      </c>
      <c r="H259" s="5" t="str">
        <f>IFERROR(__xludf.DUMMYFUNCTION("""COMPUTED_VALUE"""),"")</f>
        <v/>
      </c>
      <c r="I259" s="5" t="str">
        <f>IFERROR(__xludf.DUMMYFUNCTION("""COMPUTED_VALUE"""),"")</f>
        <v/>
      </c>
      <c r="J259" s="5" t="str">
        <f>IFERROR(__xludf.DUMMYFUNCTION("""COMPUTED_VALUE"""),"")</f>
        <v/>
      </c>
      <c r="K259" s="5" t="str">
        <f>IFERROR(__xludf.DUMMYFUNCTION("""COMPUTED_VALUE"""),"")</f>
        <v/>
      </c>
      <c r="L259" s="5" t="str">
        <f>IFERROR(__xludf.DUMMYFUNCTION("""COMPUTED_VALUE"""),"")</f>
        <v/>
      </c>
      <c r="M259" s="5" t="str">
        <f>IFERROR(__xludf.DUMMYFUNCTION("""COMPUTED_VALUE"""),"")</f>
        <v/>
      </c>
      <c r="N259" s="5" t="str">
        <f>IFERROR(__xludf.DUMMYFUNCTION("""COMPUTED_VALUE"""),"")</f>
        <v/>
      </c>
      <c r="O259" s="5" t="str">
        <f>IFERROR(__xludf.DUMMYFUNCTION("""COMPUTED_VALUE"""),"")</f>
        <v/>
      </c>
      <c r="P259" s="5" t="str">
        <f>IFERROR(__xludf.DUMMYFUNCTION("""COMPUTED_VALUE"""),"")</f>
        <v/>
      </c>
      <c r="Q259" s="5" t="str">
        <f>IFERROR(__xludf.DUMMYFUNCTION("""COMPUTED_VALUE"""),"")</f>
        <v/>
      </c>
      <c r="R259" s="5" t="str">
        <f>IFERROR(__xludf.DUMMYFUNCTION("""COMPUTED_VALUE"""),"")</f>
        <v/>
      </c>
      <c r="S259" s="5" t="str">
        <f>IFERROR(__xludf.DUMMYFUNCTION("""COMPUTED_VALUE"""),"")</f>
        <v/>
      </c>
      <c r="T259" s="5" t="str">
        <f>IFERROR(__xludf.DUMMYFUNCTION("""COMPUTED_VALUE"""),"")</f>
        <v/>
      </c>
      <c r="U259" s="5" t="str">
        <f>IFERROR(__xludf.DUMMYFUNCTION("""COMPUTED_VALUE"""),"")</f>
        <v/>
      </c>
      <c r="V259" s="5" t="str">
        <f>IFERROR(__xludf.DUMMYFUNCTION("""COMPUTED_VALUE"""),"")</f>
        <v/>
      </c>
      <c r="W259" s="5" t="str">
        <f>IFERROR(__xludf.DUMMYFUNCTION("""COMPUTED_VALUE"""),"")</f>
        <v/>
      </c>
      <c r="X259" s="5" t="str">
        <f>IFERROR(__xludf.DUMMYFUNCTION("""COMPUTED_VALUE"""),"")</f>
        <v/>
      </c>
      <c r="Y259" s="5"/>
      <c r="Z259" s="5"/>
    </row>
    <row r="260">
      <c r="A260" s="5" t="str">
        <f>IFERROR(__xludf.DUMMYFUNCTION("""COMPUTED_VALUE"""),"Hot Hot Stereo Win")</f>
        <v>Hot Hot Stereo Win</v>
      </c>
      <c r="B260" s="5" t="str">
        <f>IFERROR(__xludf.DUMMYFUNCTION("""COMPUTED_VALUE"""),"")</f>
        <v/>
      </c>
      <c r="C260" s="5" t="str">
        <f>IFERROR(__xludf.DUMMYFUNCTION("""COMPUTED_VALUE"""),"")</f>
        <v/>
      </c>
      <c r="D260" s="5" t="str">
        <f>IFERROR(__xludf.DUMMYFUNCTION("""COMPUTED_VALUE"""),"")</f>
        <v/>
      </c>
      <c r="E260" s="5" t="str">
        <f>IFERROR(__xludf.DUMMYFUNCTION("""COMPUTED_VALUE"""),"")</f>
        <v/>
      </c>
      <c r="F260" s="5" t="str">
        <f>IFERROR(__xludf.DUMMYFUNCTION("""COMPUTED_VALUE"""),"")</f>
        <v/>
      </c>
      <c r="G260" s="5" t="str">
        <f>IFERROR(__xludf.DUMMYFUNCTION("""COMPUTED_VALUE"""),"")</f>
        <v/>
      </c>
      <c r="H260" s="5" t="str">
        <f>IFERROR(__xludf.DUMMYFUNCTION("""COMPUTED_VALUE"""),"")</f>
        <v/>
      </c>
      <c r="I260" s="5" t="str">
        <f>IFERROR(__xludf.DUMMYFUNCTION("""COMPUTED_VALUE"""),"")</f>
        <v/>
      </c>
      <c r="J260" s="5" t="str">
        <f>IFERROR(__xludf.DUMMYFUNCTION("""COMPUTED_VALUE"""),"")</f>
        <v/>
      </c>
      <c r="K260" s="5" t="str">
        <f>IFERROR(__xludf.DUMMYFUNCTION("""COMPUTED_VALUE"""),"")</f>
        <v/>
      </c>
      <c r="L260" s="5" t="str">
        <f>IFERROR(__xludf.DUMMYFUNCTION("""COMPUTED_VALUE"""),"")</f>
        <v/>
      </c>
      <c r="M260" s="5" t="str">
        <f>IFERROR(__xludf.DUMMYFUNCTION("""COMPUTED_VALUE"""),"")</f>
        <v/>
      </c>
      <c r="N260" s="5" t="str">
        <f>IFERROR(__xludf.DUMMYFUNCTION("""COMPUTED_VALUE"""),"")</f>
        <v/>
      </c>
      <c r="O260" s="5" t="str">
        <f>IFERROR(__xludf.DUMMYFUNCTION("""COMPUTED_VALUE"""),"")</f>
        <v/>
      </c>
      <c r="P260" s="5" t="str">
        <f>IFERROR(__xludf.DUMMYFUNCTION("""COMPUTED_VALUE"""),"")</f>
        <v/>
      </c>
      <c r="Q260" s="5" t="str">
        <f>IFERROR(__xludf.DUMMYFUNCTION("""COMPUTED_VALUE"""),"")</f>
        <v/>
      </c>
      <c r="R260" s="5" t="str">
        <f>IFERROR(__xludf.DUMMYFUNCTION("""COMPUTED_VALUE"""),"")</f>
        <v/>
      </c>
      <c r="S260" s="5" t="str">
        <f>IFERROR(__xludf.DUMMYFUNCTION("""COMPUTED_VALUE"""),"")</f>
        <v/>
      </c>
      <c r="T260" s="5" t="str">
        <f>IFERROR(__xludf.DUMMYFUNCTION("""COMPUTED_VALUE"""),"")</f>
        <v/>
      </c>
      <c r="U260" s="5" t="str">
        <f>IFERROR(__xludf.DUMMYFUNCTION("""COMPUTED_VALUE"""),"")</f>
        <v/>
      </c>
      <c r="V260" s="5" t="str">
        <f>IFERROR(__xludf.DUMMYFUNCTION("""COMPUTED_VALUE"""),"")</f>
        <v/>
      </c>
      <c r="W260" s="5" t="str">
        <f>IFERROR(__xludf.DUMMYFUNCTION("""COMPUTED_VALUE"""),"")</f>
        <v/>
      </c>
      <c r="X260" s="5" t="str">
        <f>IFERROR(__xludf.DUMMYFUNCTION("""COMPUTED_VALUE"""),"")</f>
        <v/>
      </c>
      <c r="Y260" s="5"/>
      <c r="Z260" s="5"/>
    </row>
    <row r="261">
      <c r="A261" s="5" t="str">
        <f>IFERROR(__xludf.DUMMYFUNCTION("""COMPUTED_VALUE"""),"Epic Crown 5")</f>
        <v>Epic Crown 5</v>
      </c>
      <c r="B261" s="5" t="str">
        <f>IFERROR(__xludf.DUMMYFUNCTION("""COMPUTED_VALUE"""),"Available")</f>
        <v>Available</v>
      </c>
      <c r="C261" s="5" t="str">
        <f>IFERROR(__xludf.DUMMYFUNCTION("""COMPUTED_VALUE"""),"Development")</f>
        <v>Development</v>
      </c>
      <c r="D261" s="5" t="str">
        <f>IFERROR(__xludf.DUMMYFUNCTION("""COMPUTED_VALUE"""),"Cert Preparation")</f>
        <v>Cert Preparation</v>
      </c>
      <c r="E261" s="5" t="str">
        <f>IFERROR(__xludf.DUMMYFUNCTION("""COMPUTED_VALUE"""),"Available")</f>
        <v>Available</v>
      </c>
      <c r="F261" s="5" t="str">
        <f>IFERROR(__xludf.DUMMYFUNCTION("""COMPUTED_VALUE"""),"Available")</f>
        <v>Available</v>
      </c>
      <c r="G261" s="5" t="str">
        <f>IFERROR(__xludf.DUMMYFUNCTION("""COMPUTED_VALUE"""),"Available")</f>
        <v>Available</v>
      </c>
      <c r="H261" s="5" t="str">
        <f>IFERROR(__xludf.DUMMYFUNCTION("""COMPUTED_VALUE"""),"Available")</f>
        <v>Available</v>
      </c>
      <c r="I261" s="5" t="str">
        <f>IFERROR(__xludf.DUMMYFUNCTION("""COMPUTED_VALUE"""),"Available")</f>
        <v>Available</v>
      </c>
      <c r="J261" s="5" t="str">
        <f>IFERROR(__xludf.DUMMYFUNCTION("""COMPUTED_VALUE"""),"Available")</f>
        <v>Available</v>
      </c>
      <c r="K261" s="5" t="str">
        <f>IFERROR(__xludf.DUMMYFUNCTION("""COMPUTED_VALUE"""),"Development")</f>
        <v>Development</v>
      </c>
      <c r="L261" s="5" t="str">
        <f>IFERROR(__xludf.DUMMYFUNCTION("""COMPUTED_VALUE"""),"Available")</f>
        <v>Available</v>
      </c>
      <c r="M261" s="5" t="str">
        <f>IFERROR(__xludf.DUMMYFUNCTION("""COMPUTED_VALUE"""),"Available")</f>
        <v>Available</v>
      </c>
      <c r="N261" s="5" t="str">
        <f>IFERROR(__xludf.DUMMYFUNCTION("""COMPUTED_VALUE"""),"Development")</f>
        <v>Development</v>
      </c>
      <c r="O261" s="5" t="str">
        <f>IFERROR(__xludf.DUMMYFUNCTION("""COMPUTED_VALUE"""),"")</f>
        <v/>
      </c>
      <c r="P261" s="5" t="str">
        <f>IFERROR(__xludf.DUMMYFUNCTION("""COMPUTED_VALUE"""),"")</f>
        <v/>
      </c>
      <c r="Q261" s="5" t="str">
        <f>IFERROR(__xludf.DUMMYFUNCTION("""COMPUTED_VALUE"""),"Available")</f>
        <v>Available</v>
      </c>
      <c r="R261" s="5" t="str">
        <f>IFERROR(__xludf.DUMMYFUNCTION("""COMPUTED_VALUE"""),"")</f>
        <v/>
      </c>
      <c r="S261" s="5" t="str">
        <f>IFERROR(__xludf.DUMMYFUNCTION("""COMPUTED_VALUE"""),"In Certification")</f>
        <v>In Certification</v>
      </c>
      <c r="T261" s="5" t="str">
        <f>IFERROR(__xludf.DUMMYFUNCTION("""COMPUTED_VALUE"""),"")</f>
        <v/>
      </c>
      <c r="U261" s="5" t="str">
        <f>IFERROR(__xludf.DUMMYFUNCTION("""COMPUTED_VALUE"""),"Certified")</f>
        <v>Certified</v>
      </c>
      <c r="V261" s="5" t="str">
        <f>IFERROR(__xludf.DUMMYFUNCTION("""COMPUTED_VALUE"""),"")</f>
        <v/>
      </c>
      <c r="W261" s="5" t="str">
        <f>IFERROR(__xludf.DUMMYFUNCTION("""COMPUTED_VALUE"""),"")</f>
        <v/>
      </c>
      <c r="X261" s="5" t="str">
        <f>IFERROR(__xludf.DUMMYFUNCTION("""COMPUTED_VALUE"""),"")</f>
        <v/>
      </c>
      <c r="Y261" s="5"/>
      <c r="Z261" s="5"/>
    </row>
    <row r="262">
      <c r="A262" s="5" t="str">
        <f>IFERROR(__xludf.DUMMYFUNCTION("""COMPUTED_VALUE"""),"Simply Sevens")</f>
        <v>Simply Sevens</v>
      </c>
      <c r="B262" s="5" t="str">
        <f>IFERROR(__xludf.DUMMYFUNCTION("""COMPUTED_VALUE"""),"")</f>
        <v/>
      </c>
      <c r="C262" s="5" t="str">
        <f>IFERROR(__xludf.DUMMYFUNCTION("""COMPUTED_VALUE"""),"")</f>
        <v/>
      </c>
      <c r="D262" s="5" t="str">
        <f>IFERROR(__xludf.DUMMYFUNCTION("""COMPUTED_VALUE"""),"")</f>
        <v/>
      </c>
      <c r="E262" s="5" t="str">
        <f>IFERROR(__xludf.DUMMYFUNCTION("""COMPUTED_VALUE"""),"")</f>
        <v/>
      </c>
      <c r="F262" s="5" t="str">
        <f>IFERROR(__xludf.DUMMYFUNCTION("""COMPUTED_VALUE"""),"")</f>
        <v/>
      </c>
      <c r="G262" s="5" t="str">
        <f>IFERROR(__xludf.DUMMYFUNCTION("""COMPUTED_VALUE"""),"")</f>
        <v/>
      </c>
      <c r="H262" s="5" t="str">
        <f>IFERROR(__xludf.DUMMYFUNCTION("""COMPUTED_VALUE"""),"")</f>
        <v/>
      </c>
      <c r="I262" s="5" t="str">
        <f>IFERROR(__xludf.DUMMYFUNCTION("""COMPUTED_VALUE"""),"")</f>
        <v/>
      </c>
      <c r="J262" s="5" t="str">
        <f>IFERROR(__xludf.DUMMYFUNCTION("""COMPUTED_VALUE"""),"")</f>
        <v/>
      </c>
      <c r="K262" s="5" t="str">
        <f>IFERROR(__xludf.DUMMYFUNCTION("""COMPUTED_VALUE"""),"")</f>
        <v/>
      </c>
      <c r="L262" s="5" t="str">
        <f>IFERROR(__xludf.DUMMYFUNCTION("""COMPUTED_VALUE"""),"")</f>
        <v/>
      </c>
      <c r="M262" s="5" t="str">
        <f>IFERROR(__xludf.DUMMYFUNCTION("""COMPUTED_VALUE"""),"")</f>
        <v/>
      </c>
      <c r="N262" s="5" t="str">
        <f>IFERROR(__xludf.DUMMYFUNCTION("""COMPUTED_VALUE"""),"")</f>
        <v/>
      </c>
      <c r="O262" s="5" t="str">
        <f>IFERROR(__xludf.DUMMYFUNCTION("""COMPUTED_VALUE"""),"")</f>
        <v/>
      </c>
      <c r="P262" s="5" t="str">
        <f>IFERROR(__xludf.DUMMYFUNCTION("""COMPUTED_VALUE"""),"")</f>
        <v/>
      </c>
      <c r="Q262" s="5" t="str">
        <f>IFERROR(__xludf.DUMMYFUNCTION("""COMPUTED_VALUE"""),"")</f>
        <v/>
      </c>
      <c r="R262" s="5" t="str">
        <f>IFERROR(__xludf.DUMMYFUNCTION("""COMPUTED_VALUE"""),"")</f>
        <v/>
      </c>
      <c r="S262" s="5" t="str">
        <f>IFERROR(__xludf.DUMMYFUNCTION("""COMPUTED_VALUE"""),"")</f>
        <v/>
      </c>
      <c r="T262" s="5" t="str">
        <f>IFERROR(__xludf.DUMMYFUNCTION("""COMPUTED_VALUE"""),"")</f>
        <v/>
      </c>
      <c r="U262" s="5" t="str">
        <f>IFERROR(__xludf.DUMMYFUNCTION("""COMPUTED_VALUE"""),"")</f>
        <v/>
      </c>
      <c r="V262" s="5" t="str">
        <f>IFERROR(__xludf.DUMMYFUNCTION("""COMPUTED_VALUE"""),"")</f>
        <v/>
      </c>
      <c r="W262" s="5" t="str">
        <f>IFERROR(__xludf.DUMMYFUNCTION("""COMPUTED_VALUE"""),"")</f>
        <v/>
      </c>
      <c r="X262" s="5" t="str">
        <f>IFERROR(__xludf.DUMMYFUNCTION("""COMPUTED_VALUE"""),"")</f>
        <v/>
      </c>
      <c r="Y262" s="5"/>
      <c r="Z262" s="5"/>
    </row>
    <row r="263">
      <c r="A263" s="5" t="str">
        <f>IFERROR(__xludf.DUMMYFUNCTION("""COMPUTED_VALUE"""),"Dead Night")</f>
        <v>Dead Night</v>
      </c>
      <c r="B263" s="5" t="str">
        <f>IFERROR(__xludf.DUMMYFUNCTION("""COMPUTED_VALUE"""),"")</f>
        <v/>
      </c>
      <c r="C263" s="5" t="str">
        <f>IFERROR(__xludf.DUMMYFUNCTION("""COMPUTED_VALUE"""),"")</f>
        <v/>
      </c>
      <c r="D263" s="5" t="str">
        <f>IFERROR(__xludf.DUMMYFUNCTION("""COMPUTED_VALUE"""),"Cert Preparation")</f>
        <v>Cert Preparation</v>
      </c>
      <c r="E263" s="5" t="str">
        <f>IFERROR(__xludf.DUMMYFUNCTION("""COMPUTED_VALUE"""),"")</f>
        <v/>
      </c>
      <c r="F263" s="5" t="str">
        <f>IFERROR(__xludf.DUMMYFUNCTION("""COMPUTED_VALUE"""),"Available")</f>
        <v>Available</v>
      </c>
      <c r="G263" s="5" t="str">
        <f>IFERROR(__xludf.DUMMYFUNCTION("""COMPUTED_VALUE"""),"Available")</f>
        <v>Available</v>
      </c>
      <c r="H263" s="5" t="str">
        <f>IFERROR(__xludf.DUMMYFUNCTION("""COMPUTED_VALUE"""),"Available")</f>
        <v>Available</v>
      </c>
      <c r="I263" s="5" t="str">
        <f>IFERROR(__xludf.DUMMYFUNCTION("""COMPUTED_VALUE"""),"Available")</f>
        <v>Available</v>
      </c>
      <c r="J263" s="5" t="str">
        <f>IFERROR(__xludf.DUMMYFUNCTION("""COMPUTED_VALUE"""),"")</f>
        <v/>
      </c>
      <c r="K263" s="5" t="str">
        <f>IFERROR(__xludf.DUMMYFUNCTION("""COMPUTED_VALUE"""),"")</f>
        <v/>
      </c>
      <c r="L263" s="5" t="str">
        <f>IFERROR(__xludf.DUMMYFUNCTION("""COMPUTED_VALUE"""),"")</f>
        <v/>
      </c>
      <c r="M263" s="5" t="str">
        <f>IFERROR(__xludf.DUMMYFUNCTION("""COMPUTED_VALUE"""),"")</f>
        <v/>
      </c>
      <c r="N263" s="5" t="str">
        <f>IFERROR(__xludf.DUMMYFUNCTION("""COMPUTED_VALUE"""),"")</f>
        <v/>
      </c>
      <c r="O263" s="5" t="str">
        <f>IFERROR(__xludf.DUMMYFUNCTION("""COMPUTED_VALUE"""),"")</f>
        <v/>
      </c>
      <c r="P263" s="5" t="str">
        <f>IFERROR(__xludf.DUMMYFUNCTION("""COMPUTED_VALUE"""),"")</f>
        <v/>
      </c>
      <c r="Q263" s="5" t="str">
        <f>IFERROR(__xludf.DUMMYFUNCTION("""COMPUTED_VALUE"""),"Available")</f>
        <v>Available</v>
      </c>
      <c r="R263" s="5" t="str">
        <f>IFERROR(__xludf.DUMMYFUNCTION("""COMPUTED_VALUE"""),"")</f>
        <v/>
      </c>
      <c r="S263" s="5" t="str">
        <f>IFERROR(__xludf.DUMMYFUNCTION("""COMPUTED_VALUE"""),"")</f>
        <v/>
      </c>
      <c r="T263" s="5" t="str">
        <f>IFERROR(__xludf.DUMMYFUNCTION("""COMPUTED_VALUE"""),"")</f>
        <v/>
      </c>
      <c r="U263" s="5" t="str">
        <f>IFERROR(__xludf.DUMMYFUNCTION("""COMPUTED_VALUE"""),"")</f>
        <v/>
      </c>
      <c r="V263" s="5" t="str">
        <f>IFERROR(__xludf.DUMMYFUNCTION("""COMPUTED_VALUE"""),"")</f>
        <v/>
      </c>
      <c r="W263" s="5" t="str">
        <f>IFERROR(__xludf.DUMMYFUNCTION("""COMPUTED_VALUE"""),"")</f>
        <v/>
      </c>
      <c r="X263" s="5" t="str">
        <f>IFERROR(__xludf.DUMMYFUNCTION("""COMPUTED_VALUE"""),"")</f>
        <v/>
      </c>
      <c r="Y263" s="5"/>
      <c r="Z263" s="5"/>
    </row>
    <row r="264">
      <c r="A264" s="5" t="str">
        <f>IFERROR(__xludf.DUMMYFUNCTION("""COMPUTED_VALUE"""),"Winning Clover 5")</f>
        <v>Winning Clover 5</v>
      </c>
      <c r="B264" s="5" t="str">
        <f>IFERROR(__xludf.DUMMYFUNCTION("""COMPUTED_VALUE"""),"Development")</f>
        <v>Development</v>
      </c>
      <c r="C264" s="5" t="str">
        <f>IFERROR(__xludf.DUMMYFUNCTION("""COMPUTED_VALUE"""),"Development")</f>
        <v>Development</v>
      </c>
      <c r="D264" s="5" t="str">
        <f>IFERROR(__xludf.DUMMYFUNCTION("""COMPUTED_VALUE"""),"Cert Preparation")</f>
        <v>Cert Preparation</v>
      </c>
      <c r="E264" s="5" t="str">
        <f>IFERROR(__xludf.DUMMYFUNCTION("""COMPUTED_VALUE"""),"Development")</f>
        <v>Development</v>
      </c>
      <c r="F264" s="5" t="str">
        <f>IFERROR(__xludf.DUMMYFUNCTION("""COMPUTED_VALUE"""),"Available")</f>
        <v>Available</v>
      </c>
      <c r="G264" s="5" t="str">
        <f>IFERROR(__xludf.DUMMYFUNCTION("""COMPUTED_VALUE"""),"Available")</f>
        <v>Available</v>
      </c>
      <c r="H264" s="5" t="str">
        <f>IFERROR(__xludf.DUMMYFUNCTION("""COMPUTED_VALUE"""),"Available")</f>
        <v>Available</v>
      </c>
      <c r="I264" s="5" t="str">
        <f>IFERROR(__xludf.DUMMYFUNCTION("""COMPUTED_VALUE"""),"Available")</f>
        <v>Available</v>
      </c>
      <c r="J264" s="5" t="str">
        <f>IFERROR(__xludf.DUMMYFUNCTION("""COMPUTED_VALUE"""),"Available")</f>
        <v>Available</v>
      </c>
      <c r="K264" s="5" t="str">
        <f>IFERROR(__xludf.DUMMYFUNCTION("""COMPUTED_VALUE"""),"Development")</f>
        <v>Development</v>
      </c>
      <c r="L264" s="5" t="str">
        <f>IFERROR(__xludf.DUMMYFUNCTION("""COMPUTED_VALUE"""),"")</f>
        <v/>
      </c>
      <c r="M264" s="5" t="str">
        <f>IFERROR(__xludf.DUMMYFUNCTION("""COMPUTED_VALUE"""),"")</f>
        <v/>
      </c>
      <c r="N264" s="5" t="str">
        <f>IFERROR(__xludf.DUMMYFUNCTION("""COMPUTED_VALUE"""),"Development")</f>
        <v>Development</v>
      </c>
      <c r="O264" s="5" t="str">
        <f>IFERROR(__xludf.DUMMYFUNCTION("""COMPUTED_VALUE"""),"")</f>
        <v/>
      </c>
      <c r="P264" s="5" t="str">
        <f>IFERROR(__xludf.DUMMYFUNCTION("""COMPUTED_VALUE"""),"")</f>
        <v/>
      </c>
      <c r="Q264" s="5" t="str">
        <f>IFERROR(__xludf.DUMMYFUNCTION("""COMPUTED_VALUE"""),"Available")</f>
        <v>Available</v>
      </c>
      <c r="R264" s="5" t="str">
        <f>IFERROR(__xludf.DUMMYFUNCTION("""COMPUTED_VALUE"""),"Development")</f>
        <v>Development</v>
      </c>
      <c r="S264" s="5" t="str">
        <f>IFERROR(__xludf.DUMMYFUNCTION("""COMPUTED_VALUE"""),"In Certification")</f>
        <v>In Certification</v>
      </c>
      <c r="T264" s="5" t="str">
        <f>IFERROR(__xludf.DUMMYFUNCTION("""COMPUTED_VALUE"""),"")</f>
        <v/>
      </c>
      <c r="U264" s="5" t="str">
        <f>IFERROR(__xludf.DUMMYFUNCTION("""COMPUTED_VALUE"""),"Certified")</f>
        <v>Certified</v>
      </c>
      <c r="V264" s="5" t="str">
        <f>IFERROR(__xludf.DUMMYFUNCTION("""COMPUTED_VALUE"""),"")</f>
        <v/>
      </c>
      <c r="W264" s="5" t="str">
        <f>IFERROR(__xludf.DUMMYFUNCTION("""COMPUTED_VALUE"""),"")</f>
        <v/>
      </c>
      <c r="X264" s="5" t="str">
        <f>IFERROR(__xludf.DUMMYFUNCTION("""COMPUTED_VALUE"""),"")</f>
        <v/>
      </c>
      <c r="Y264" s="5"/>
      <c r="Z264" s="5"/>
    </row>
    <row r="265">
      <c r="A265" s="5" t="str">
        <f>IFERROR(__xludf.DUMMYFUNCTION("""COMPUTED_VALUE"""),"Turbo Fire")</f>
        <v>Turbo Fire</v>
      </c>
      <c r="B265" s="5" t="str">
        <f>IFERROR(__xludf.DUMMYFUNCTION("""COMPUTED_VALUE"""),"Development")</f>
        <v>Development</v>
      </c>
      <c r="C265" s="5" t="str">
        <f>IFERROR(__xludf.DUMMYFUNCTION("""COMPUTED_VALUE"""),"Development")</f>
        <v>Development</v>
      </c>
      <c r="D265" s="5" t="str">
        <f>IFERROR(__xludf.DUMMYFUNCTION("""COMPUTED_VALUE"""),"Cert Preparation")</f>
        <v>Cert Preparation</v>
      </c>
      <c r="E265" s="5" t="str">
        <f>IFERROR(__xludf.DUMMYFUNCTION("""COMPUTED_VALUE"""),"")</f>
        <v/>
      </c>
      <c r="F265" s="5" t="str">
        <f>IFERROR(__xludf.DUMMYFUNCTION("""COMPUTED_VALUE"""),"Available")</f>
        <v>Available</v>
      </c>
      <c r="G265" s="5" t="str">
        <f>IFERROR(__xludf.DUMMYFUNCTION("""COMPUTED_VALUE"""),"Available")</f>
        <v>Available</v>
      </c>
      <c r="H265" s="5" t="str">
        <f>IFERROR(__xludf.DUMMYFUNCTION("""COMPUTED_VALUE"""),"Available")</f>
        <v>Available</v>
      </c>
      <c r="I265" s="5" t="str">
        <f>IFERROR(__xludf.DUMMYFUNCTION("""COMPUTED_VALUE"""),"Available")</f>
        <v>Available</v>
      </c>
      <c r="J265" s="5" t="str">
        <f>IFERROR(__xludf.DUMMYFUNCTION("""COMPUTED_VALUE"""),"")</f>
        <v/>
      </c>
      <c r="K265" s="5" t="str">
        <f>IFERROR(__xludf.DUMMYFUNCTION("""COMPUTED_VALUE"""),"Development")</f>
        <v>Development</v>
      </c>
      <c r="L265" s="5" t="str">
        <f>IFERROR(__xludf.DUMMYFUNCTION("""COMPUTED_VALUE"""),"")</f>
        <v/>
      </c>
      <c r="M265" s="5" t="str">
        <f>IFERROR(__xludf.DUMMYFUNCTION("""COMPUTED_VALUE"""),"")</f>
        <v/>
      </c>
      <c r="N265" s="5" t="str">
        <f>IFERROR(__xludf.DUMMYFUNCTION("""COMPUTED_VALUE"""),"")</f>
        <v/>
      </c>
      <c r="O265" s="5" t="str">
        <f>IFERROR(__xludf.DUMMYFUNCTION("""COMPUTED_VALUE"""),"")</f>
        <v/>
      </c>
      <c r="P265" s="5" t="str">
        <f>IFERROR(__xludf.DUMMYFUNCTION("""COMPUTED_VALUE"""),"")</f>
        <v/>
      </c>
      <c r="Q265" s="5" t="str">
        <f>IFERROR(__xludf.DUMMYFUNCTION("""COMPUTED_VALUE"""),"Available")</f>
        <v>Available</v>
      </c>
      <c r="R265" s="5" t="str">
        <f>IFERROR(__xludf.DUMMYFUNCTION("""COMPUTED_VALUE"""),"")</f>
        <v/>
      </c>
      <c r="S265" s="5" t="str">
        <f>IFERROR(__xludf.DUMMYFUNCTION("""COMPUTED_VALUE"""),"")</f>
        <v/>
      </c>
      <c r="T265" s="5" t="str">
        <f>IFERROR(__xludf.DUMMYFUNCTION("""COMPUTED_VALUE"""),"")</f>
        <v/>
      </c>
      <c r="U265" s="5" t="str">
        <f>IFERROR(__xludf.DUMMYFUNCTION("""COMPUTED_VALUE"""),"")</f>
        <v/>
      </c>
      <c r="V265" s="5" t="str">
        <f>IFERROR(__xludf.DUMMYFUNCTION("""COMPUTED_VALUE"""),"")</f>
        <v/>
      </c>
      <c r="W265" s="5" t="str">
        <f>IFERROR(__xludf.DUMMYFUNCTION("""COMPUTED_VALUE"""),"")</f>
        <v/>
      </c>
      <c r="X265" s="5" t="str">
        <f>IFERROR(__xludf.DUMMYFUNCTION("""COMPUTED_VALUE"""),"")</f>
        <v/>
      </c>
      <c r="Y265" s="5"/>
      <c r="Z265" s="5"/>
    </row>
    <row r="266">
      <c r="A266" s="5" t="str">
        <f>IFERROR(__xludf.DUMMYFUNCTION("""COMPUTED_VALUE"""),"10 Jingle Fruits")</f>
        <v>10 Jingle Fruits</v>
      </c>
      <c r="B266" s="5" t="str">
        <f>IFERROR(__xludf.DUMMYFUNCTION("""COMPUTED_VALUE"""),"")</f>
        <v/>
      </c>
      <c r="C266" s="5" t="str">
        <f>IFERROR(__xludf.DUMMYFUNCTION("""COMPUTED_VALUE"""),"")</f>
        <v/>
      </c>
      <c r="D266" s="5" t="str">
        <f>IFERROR(__xludf.DUMMYFUNCTION("""COMPUTED_VALUE"""),"")</f>
        <v/>
      </c>
      <c r="E266" s="5" t="str">
        <f>IFERROR(__xludf.DUMMYFUNCTION("""COMPUTED_VALUE"""),"")</f>
        <v/>
      </c>
      <c r="F266" s="5" t="str">
        <f>IFERROR(__xludf.DUMMYFUNCTION("""COMPUTED_VALUE"""),"")</f>
        <v/>
      </c>
      <c r="G266" s="5" t="str">
        <f>IFERROR(__xludf.DUMMYFUNCTION("""COMPUTED_VALUE"""),"")</f>
        <v/>
      </c>
      <c r="H266" s="5" t="str">
        <f>IFERROR(__xludf.DUMMYFUNCTION("""COMPUTED_VALUE"""),"")</f>
        <v/>
      </c>
      <c r="I266" s="5" t="str">
        <f>IFERROR(__xludf.DUMMYFUNCTION("""COMPUTED_VALUE"""),"")</f>
        <v/>
      </c>
      <c r="J266" s="5" t="str">
        <f>IFERROR(__xludf.DUMMYFUNCTION("""COMPUTED_VALUE"""),"")</f>
        <v/>
      </c>
      <c r="K266" s="5" t="str">
        <f>IFERROR(__xludf.DUMMYFUNCTION("""COMPUTED_VALUE"""),"")</f>
        <v/>
      </c>
      <c r="L266" s="5" t="str">
        <f>IFERROR(__xludf.DUMMYFUNCTION("""COMPUTED_VALUE"""),"")</f>
        <v/>
      </c>
      <c r="M266" s="5" t="str">
        <f>IFERROR(__xludf.DUMMYFUNCTION("""COMPUTED_VALUE"""),"")</f>
        <v/>
      </c>
      <c r="N266" s="5" t="str">
        <f>IFERROR(__xludf.DUMMYFUNCTION("""COMPUTED_VALUE"""),"")</f>
        <v/>
      </c>
      <c r="O266" s="5" t="str">
        <f>IFERROR(__xludf.DUMMYFUNCTION("""COMPUTED_VALUE"""),"")</f>
        <v/>
      </c>
      <c r="P266" s="5" t="str">
        <f>IFERROR(__xludf.DUMMYFUNCTION("""COMPUTED_VALUE"""),"")</f>
        <v/>
      </c>
      <c r="Q266" s="5" t="str">
        <f>IFERROR(__xludf.DUMMYFUNCTION("""COMPUTED_VALUE"""),"")</f>
        <v/>
      </c>
      <c r="R266" s="5" t="str">
        <f>IFERROR(__xludf.DUMMYFUNCTION("""COMPUTED_VALUE"""),"")</f>
        <v/>
      </c>
      <c r="S266" s="5" t="str">
        <f>IFERROR(__xludf.DUMMYFUNCTION("""COMPUTED_VALUE"""),"")</f>
        <v/>
      </c>
      <c r="T266" s="5" t="str">
        <f>IFERROR(__xludf.DUMMYFUNCTION("""COMPUTED_VALUE"""),"")</f>
        <v/>
      </c>
      <c r="U266" s="5" t="str">
        <f>IFERROR(__xludf.DUMMYFUNCTION("""COMPUTED_VALUE"""),"")</f>
        <v/>
      </c>
      <c r="V266" s="5" t="str">
        <f>IFERROR(__xludf.DUMMYFUNCTION("""COMPUTED_VALUE"""),"")</f>
        <v/>
      </c>
      <c r="W266" s="5" t="str">
        <f>IFERROR(__xludf.DUMMYFUNCTION("""COMPUTED_VALUE"""),"")</f>
        <v/>
      </c>
      <c r="X266" s="5" t="str">
        <f>IFERROR(__xludf.DUMMYFUNCTION("""COMPUTED_VALUE"""),"")</f>
        <v/>
      </c>
      <c r="Y266" s="5"/>
      <c r="Z266" s="5"/>
    </row>
    <row r="267">
      <c r="A267" s="5" t="str">
        <f>IFERROR(__xludf.DUMMYFUNCTION("""COMPUTED_VALUE"""),"Winning Clover 5 Extreme")</f>
        <v>Winning Clover 5 Extreme</v>
      </c>
      <c r="B267" s="5" t="str">
        <f>IFERROR(__xludf.DUMMYFUNCTION("""COMPUTED_VALUE"""),"Development")</f>
        <v>Development</v>
      </c>
      <c r="C267" s="5" t="str">
        <f>IFERROR(__xludf.DUMMYFUNCTION("""COMPUTED_VALUE"""),"Development")</f>
        <v>Development</v>
      </c>
      <c r="D267" s="5" t="str">
        <f>IFERROR(__xludf.DUMMYFUNCTION("""COMPUTED_VALUE"""),"Cert Preparation")</f>
        <v>Cert Preparation</v>
      </c>
      <c r="E267" s="5" t="str">
        <f>IFERROR(__xludf.DUMMYFUNCTION("""COMPUTED_VALUE"""),"Development")</f>
        <v>Development</v>
      </c>
      <c r="F267" s="5" t="str">
        <f>IFERROR(__xludf.DUMMYFUNCTION("""COMPUTED_VALUE"""),"Available")</f>
        <v>Available</v>
      </c>
      <c r="G267" s="5" t="str">
        <f>IFERROR(__xludf.DUMMYFUNCTION("""COMPUTED_VALUE"""),"Available")</f>
        <v>Available</v>
      </c>
      <c r="H267" s="5" t="str">
        <f>IFERROR(__xludf.DUMMYFUNCTION("""COMPUTED_VALUE"""),"Available")</f>
        <v>Available</v>
      </c>
      <c r="I267" s="5" t="str">
        <f>IFERROR(__xludf.DUMMYFUNCTION("""COMPUTED_VALUE"""),"Available")</f>
        <v>Available</v>
      </c>
      <c r="J267" s="5" t="str">
        <f>IFERROR(__xludf.DUMMYFUNCTION("""COMPUTED_VALUE"""),"")</f>
        <v/>
      </c>
      <c r="K267" s="5" t="str">
        <f>IFERROR(__xludf.DUMMYFUNCTION("""COMPUTED_VALUE"""),"Development")</f>
        <v>Development</v>
      </c>
      <c r="L267" s="5" t="str">
        <f>IFERROR(__xludf.DUMMYFUNCTION("""COMPUTED_VALUE"""),"Development")</f>
        <v>Development</v>
      </c>
      <c r="M267" s="5" t="str">
        <f>IFERROR(__xludf.DUMMYFUNCTION("""COMPUTED_VALUE"""),"")</f>
        <v/>
      </c>
      <c r="N267" s="5" t="str">
        <f>IFERROR(__xludf.DUMMYFUNCTION("""COMPUTED_VALUE"""),"Development")</f>
        <v>Development</v>
      </c>
      <c r="O267" s="5" t="str">
        <f>IFERROR(__xludf.DUMMYFUNCTION("""COMPUTED_VALUE"""),"")</f>
        <v/>
      </c>
      <c r="P267" s="5" t="str">
        <f>IFERROR(__xludf.DUMMYFUNCTION("""COMPUTED_VALUE"""),"")</f>
        <v/>
      </c>
      <c r="Q267" s="5" t="str">
        <f>IFERROR(__xludf.DUMMYFUNCTION("""COMPUTED_VALUE"""),"Available")</f>
        <v>Available</v>
      </c>
      <c r="R267" s="5" t="str">
        <f>IFERROR(__xludf.DUMMYFUNCTION("""COMPUTED_VALUE"""),"")</f>
        <v/>
      </c>
      <c r="S267" s="5" t="str">
        <f>IFERROR(__xludf.DUMMYFUNCTION("""COMPUTED_VALUE"""),"In Certification")</f>
        <v>In Certification</v>
      </c>
      <c r="T267" s="5" t="str">
        <f>IFERROR(__xludf.DUMMYFUNCTION("""COMPUTED_VALUE"""),"")</f>
        <v/>
      </c>
      <c r="U267" s="5" t="str">
        <f>IFERROR(__xludf.DUMMYFUNCTION("""COMPUTED_VALUE"""),"Certified")</f>
        <v>Certified</v>
      </c>
      <c r="V267" s="5" t="str">
        <f>IFERROR(__xludf.DUMMYFUNCTION("""COMPUTED_VALUE"""),"")</f>
        <v/>
      </c>
      <c r="W267" s="5" t="str">
        <f>IFERROR(__xludf.DUMMYFUNCTION("""COMPUTED_VALUE"""),"")</f>
        <v/>
      </c>
      <c r="X267" s="5" t="str">
        <f>IFERROR(__xludf.DUMMYFUNCTION("""COMPUTED_VALUE"""),"")</f>
        <v/>
      </c>
      <c r="Y267" s="5"/>
      <c r="Z267" s="5"/>
    </row>
    <row r="268">
      <c r="A268" s="5" t="str">
        <f>IFERROR(__xludf.DUMMYFUNCTION("""COMPUTED_VALUE"""),"Clover Blast 5")</f>
        <v>Clover Blast 5</v>
      </c>
      <c r="B268" s="5" t="str">
        <f>IFERROR(__xludf.DUMMYFUNCTION("""COMPUTED_VALUE"""),"")</f>
        <v/>
      </c>
      <c r="C268" s="5" t="str">
        <f>IFERROR(__xludf.DUMMYFUNCTION("""COMPUTED_VALUE"""),"")</f>
        <v/>
      </c>
      <c r="D268" s="5" t="str">
        <f>IFERROR(__xludf.DUMMYFUNCTION("""COMPUTED_VALUE"""),"")</f>
        <v/>
      </c>
      <c r="E268" s="5" t="str">
        <f>IFERROR(__xludf.DUMMYFUNCTION("""COMPUTED_VALUE"""),"")</f>
        <v/>
      </c>
      <c r="F268" s="5" t="str">
        <f>IFERROR(__xludf.DUMMYFUNCTION("""COMPUTED_VALUE"""),"")</f>
        <v/>
      </c>
      <c r="G268" s="5" t="str">
        <f>IFERROR(__xludf.DUMMYFUNCTION("""COMPUTED_VALUE"""),"")</f>
        <v/>
      </c>
      <c r="H268" s="5" t="str">
        <f>IFERROR(__xludf.DUMMYFUNCTION("""COMPUTED_VALUE"""),"")</f>
        <v/>
      </c>
      <c r="I268" s="5" t="str">
        <f>IFERROR(__xludf.DUMMYFUNCTION("""COMPUTED_VALUE"""),"")</f>
        <v/>
      </c>
      <c r="J268" s="5" t="str">
        <f>IFERROR(__xludf.DUMMYFUNCTION("""COMPUTED_VALUE"""),"")</f>
        <v/>
      </c>
      <c r="K268" s="5" t="str">
        <f>IFERROR(__xludf.DUMMYFUNCTION("""COMPUTED_VALUE"""),"")</f>
        <v/>
      </c>
      <c r="L268" s="5" t="str">
        <f>IFERROR(__xludf.DUMMYFUNCTION("""COMPUTED_VALUE"""),"")</f>
        <v/>
      </c>
      <c r="M268" s="5" t="str">
        <f>IFERROR(__xludf.DUMMYFUNCTION("""COMPUTED_VALUE"""),"")</f>
        <v/>
      </c>
      <c r="N268" s="5" t="str">
        <f>IFERROR(__xludf.DUMMYFUNCTION("""COMPUTED_VALUE"""),"")</f>
        <v/>
      </c>
      <c r="O268" s="5" t="str">
        <f>IFERROR(__xludf.DUMMYFUNCTION("""COMPUTED_VALUE"""),"")</f>
        <v/>
      </c>
      <c r="P268" s="5" t="str">
        <f>IFERROR(__xludf.DUMMYFUNCTION("""COMPUTED_VALUE"""),"")</f>
        <v/>
      </c>
      <c r="Q268" s="5" t="str">
        <f>IFERROR(__xludf.DUMMYFUNCTION("""COMPUTED_VALUE"""),"")</f>
        <v/>
      </c>
      <c r="R268" s="5" t="str">
        <f>IFERROR(__xludf.DUMMYFUNCTION("""COMPUTED_VALUE"""),"")</f>
        <v/>
      </c>
      <c r="S268" s="5" t="str">
        <f>IFERROR(__xludf.DUMMYFUNCTION("""COMPUTED_VALUE"""),"")</f>
        <v/>
      </c>
      <c r="T268" s="5" t="str">
        <f>IFERROR(__xludf.DUMMYFUNCTION("""COMPUTED_VALUE"""),"")</f>
        <v/>
      </c>
      <c r="U268" s="5" t="str">
        <f>IFERROR(__xludf.DUMMYFUNCTION("""COMPUTED_VALUE"""),"")</f>
        <v/>
      </c>
      <c r="V268" s="5" t="str">
        <f>IFERROR(__xludf.DUMMYFUNCTION("""COMPUTED_VALUE"""),"")</f>
        <v/>
      </c>
      <c r="W268" s="5" t="str">
        <f>IFERROR(__xludf.DUMMYFUNCTION("""COMPUTED_VALUE"""),"")</f>
        <v/>
      </c>
      <c r="X268" s="5" t="str">
        <f>IFERROR(__xludf.DUMMYFUNCTION("""COMPUTED_VALUE"""),"")</f>
        <v/>
      </c>
      <c r="Y268" s="5"/>
      <c r="Z268" s="5"/>
    </row>
    <row r="269">
      <c r="A269" s="5" t="str">
        <f>IFERROR(__xludf.DUMMYFUNCTION("""COMPUTED_VALUE"""),"Wild Hot 40 Dice")</f>
        <v>Wild Hot 40 Dice</v>
      </c>
      <c r="B269" s="5" t="str">
        <f>IFERROR(__xludf.DUMMYFUNCTION("""COMPUTED_VALUE"""),"")</f>
        <v/>
      </c>
      <c r="C269" s="5" t="str">
        <f>IFERROR(__xludf.DUMMYFUNCTION("""COMPUTED_VALUE"""),"")</f>
        <v/>
      </c>
      <c r="D269" s="5" t="str">
        <f>IFERROR(__xludf.DUMMYFUNCTION("""COMPUTED_VALUE"""),"Cert Preparation")</f>
        <v>Cert Preparation</v>
      </c>
      <c r="E269" s="5" t="str">
        <f>IFERROR(__xludf.DUMMYFUNCTION("""COMPUTED_VALUE"""),"")</f>
        <v/>
      </c>
      <c r="F269" s="5" t="str">
        <f>IFERROR(__xludf.DUMMYFUNCTION("""COMPUTED_VALUE"""),"")</f>
        <v/>
      </c>
      <c r="G269" s="5" t="str">
        <f>IFERROR(__xludf.DUMMYFUNCTION("""COMPUTED_VALUE"""),"")</f>
        <v/>
      </c>
      <c r="H269" s="5" t="str">
        <f>IFERROR(__xludf.DUMMYFUNCTION("""COMPUTED_VALUE"""),"")</f>
        <v/>
      </c>
      <c r="I269" s="5" t="str">
        <f>IFERROR(__xludf.DUMMYFUNCTION("""COMPUTED_VALUE"""),"")</f>
        <v/>
      </c>
      <c r="J269" s="5" t="str">
        <f>IFERROR(__xludf.DUMMYFUNCTION("""COMPUTED_VALUE"""),"")</f>
        <v/>
      </c>
      <c r="K269" s="5" t="str">
        <f>IFERROR(__xludf.DUMMYFUNCTION("""COMPUTED_VALUE"""),"")</f>
        <v/>
      </c>
      <c r="L269" s="5" t="str">
        <f>IFERROR(__xludf.DUMMYFUNCTION("""COMPUTED_VALUE"""),"")</f>
        <v/>
      </c>
      <c r="M269" s="5" t="str">
        <f>IFERROR(__xludf.DUMMYFUNCTION("""COMPUTED_VALUE"""),"")</f>
        <v/>
      </c>
      <c r="N269" s="5" t="str">
        <f>IFERROR(__xludf.DUMMYFUNCTION("""COMPUTED_VALUE"""),"")</f>
        <v/>
      </c>
      <c r="O269" s="5" t="str">
        <f>IFERROR(__xludf.DUMMYFUNCTION("""COMPUTED_VALUE"""),"")</f>
        <v/>
      </c>
      <c r="P269" s="5" t="str">
        <f>IFERROR(__xludf.DUMMYFUNCTION("""COMPUTED_VALUE"""),"")</f>
        <v/>
      </c>
      <c r="Q269" s="5" t="str">
        <f>IFERROR(__xludf.DUMMYFUNCTION("""COMPUTED_VALUE"""),"")</f>
        <v/>
      </c>
      <c r="R269" s="5" t="str">
        <f>IFERROR(__xludf.DUMMYFUNCTION("""COMPUTED_VALUE"""),"")</f>
        <v/>
      </c>
      <c r="S269" s="5" t="str">
        <f>IFERROR(__xludf.DUMMYFUNCTION("""COMPUTED_VALUE"""),"")</f>
        <v/>
      </c>
      <c r="T269" s="5" t="str">
        <f>IFERROR(__xludf.DUMMYFUNCTION("""COMPUTED_VALUE"""),"")</f>
        <v/>
      </c>
      <c r="U269" s="5" t="str">
        <f>IFERROR(__xludf.DUMMYFUNCTION("""COMPUTED_VALUE"""),"")</f>
        <v/>
      </c>
      <c r="V269" s="5" t="str">
        <f>IFERROR(__xludf.DUMMYFUNCTION("""COMPUTED_VALUE"""),"")</f>
        <v/>
      </c>
      <c r="W269" s="5" t="str">
        <f>IFERROR(__xludf.DUMMYFUNCTION("""COMPUTED_VALUE"""),"")</f>
        <v/>
      </c>
      <c r="X269" s="5" t="str">
        <f>IFERROR(__xludf.DUMMYFUNCTION("""COMPUTED_VALUE"""),"")</f>
        <v/>
      </c>
      <c r="Y269" s="5"/>
      <c r="Z269" s="5"/>
    </row>
    <row r="270">
      <c r="A270" s="5" t="str">
        <f>IFERROR(__xludf.DUMMYFUNCTION("""COMPUTED_VALUE"""),"Gold Line")</f>
        <v>Gold Line</v>
      </c>
      <c r="B270" s="5" t="str">
        <f>IFERROR(__xludf.DUMMYFUNCTION("""COMPUTED_VALUE"""),"")</f>
        <v/>
      </c>
      <c r="C270" s="5" t="str">
        <f>IFERROR(__xludf.DUMMYFUNCTION("""COMPUTED_VALUE"""),"")</f>
        <v/>
      </c>
      <c r="D270" s="5" t="str">
        <f>IFERROR(__xludf.DUMMYFUNCTION("""COMPUTED_VALUE"""),"")</f>
        <v/>
      </c>
      <c r="E270" s="5" t="str">
        <f>IFERROR(__xludf.DUMMYFUNCTION("""COMPUTED_VALUE"""),"")</f>
        <v/>
      </c>
      <c r="F270" s="5" t="str">
        <f>IFERROR(__xludf.DUMMYFUNCTION("""COMPUTED_VALUE"""),"")</f>
        <v/>
      </c>
      <c r="G270" s="5" t="str">
        <f>IFERROR(__xludf.DUMMYFUNCTION("""COMPUTED_VALUE"""),"")</f>
        <v/>
      </c>
      <c r="H270" s="5" t="str">
        <f>IFERROR(__xludf.DUMMYFUNCTION("""COMPUTED_VALUE"""),"")</f>
        <v/>
      </c>
      <c r="I270" s="5" t="str">
        <f>IFERROR(__xludf.DUMMYFUNCTION("""COMPUTED_VALUE"""),"")</f>
        <v/>
      </c>
      <c r="J270" s="5" t="str">
        <f>IFERROR(__xludf.DUMMYFUNCTION("""COMPUTED_VALUE"""),"")</f>
        <v/>
      </c>
      <c r="K270" s="5" t="str">
        <f>IFERROR(__xludf.DUMMYFUNCTION("""COMPUTED_VALUE"""),"")</f>
        <v/>
      </c>
      <c r="L270" s="5" t="str">
        <f>IFERROR(__xludf.DUMMYFUNCTION("""COMPUTED_VALUE"""),"")</f>
        <v/>
      </c>
      <c r="M270" s="5" t="str">
        <f>IFERROR(__xludf.DUMMYFUNCTION("""COMPUTED_VALUE"""),"")</f>
        <v/>
      </c>
      <c r="N270" s="5" t="str">
        <f>IFERROR(__xludf.DUMMYFUNCTION("""COMPUTED_VALUE"""),"")</f>
        <v/>
      </c>
      <c r="O270" s="5" t="str">
        <f>IFERROR(__xludf.DUMMYFUNCTION("""COMPUTED_VALUE"""),"")</f>
        <v/>
      </c>
      <c r="P270" s="5" t="str">
        <f>IFERROR(__xludf.DUMMYFUNCTION("""COMPUTED_VALUE"""),"")</f>
        <v/>
      </c>
      <c r="Q270" s="5" t="str">
        <f>IFERROR(__xludf.DUMMYFUNCTION("""COMPUTED_VALUE"""),"")</f>
        <v/>
      </c>
      <c r="R270" s="5" t="str">
        <f>IFERROR(__xludf.DUMMYFUNCTION("""COMPUTED_VALUE"""),"")</f>
        <v/>
      </c>
      <c r="S270" s="5" t="str">
        <f>IFERROR(__xludf.DUMMYFUNCTION("""COMPUTED_VALUE"""),"")</f>
        <v/>
      </c>
      <c r="T270" s="5" t="str">
        <f>IFERROR(__xludf.DUMMYFUNCTION("""COMPUTED_VALUE"""),"")</f>
        <v/>
      </c>
      <c r="U270" s="5" t="str">
        <f>IFERROR(__xludf.DUMMYFUNCTION("""COMPUTED_VALUE"""),"")</f>
        <v/>
      </c>
      <c r="V270" s="5" t="str">
        <f>IFERROR(__xludf.DUMMYFUNCTION("""COMPUTED_VALUE"""),"")</f>
        <v/>
      </c>
      <c r="W270" s="5" t="str">
        <f>IFERROR(__xludf.DUMMYFUNCTION("""COMPUTED_VALUE"""),"")</f>
        <v/>
      </c>
      <c r="X270" s="5" t="str">
        <f>IFERROR(__xludf.DUMMYFUNCTION("""COMPUTED_VALUE"""),"")</f>
        <v/>
      </c>
      <c r="Y270" s="5"/>
      <c r="Z270" s="5"/>
    </row>
    <row r="271">
      <c r="A271" s="5" t="str">
        <f>IFERROR(__xludf.DUMMYFUNCTION("""COMPUTED_VALUE"""),"Hot Line 1X")</f>
        <v>Hot Line 1X</v>
      </c>
      <c r="B271" s="5" t="str">
        <f>IFERROR(__xludf.DUMMYFUNCTION("""COMPUTED_VALUE"""),"")</f>
        <v/>
      </c>
      <c r="C271" s="5" t="str">
        <f>IFERROR(__xludf.DUMMYFUNCTION("""COMPUTED_VALUE"""),"")</f>
        <v/>
      </c>
      <c r="D271" s="5" t="str">
        <f>IFERROR(__xludf.DUMMYFUNCTION("""COMPUTED_VALUE"""),"")</f>
        <v/>
      </c>
      <c r="E271" s="5" t="str">
        <f>IFERROR(__xludf.DUMMYFUNCTION("""COMPUTED_VALUE"""),"")</f>
        <v/>
      </c>
      <c r="F271" s="5" t="str">
        <f>IFERROR(__xludf.DUMMYFUNCTION("""COMPUTED_VALUE"""),"")</f>
        <v/>
      </c>
      <c r="G271" s="5" t="str">
        <f>IFERROR(__xludf.DUMMYFUNCTION("""COMPUTED_VALUE"""),"")</f>
        <v/>
      </c>
      <c r="H271" s="5" t="str">
        <f>IFERROR(__xludf.DUMMYFUNCTION("""COMPUTED_VALUE"""),"")</f>
        <v/>
      </c>
      <c r="I271" s="5" t="str">
        <f>IFERROR(__xludf.DUMMYFUNCTION("""COMPUTED_VALUE"""),"")</f>
        <v/>
      </c>
      <c r="J271" s="5" t="str">
        <f>IFERROR(__xludf.DUMMYFUNCTION("""COMPUTED_VALUE"""),"")</f>
        <v/>
      </c>
      <c r="K271" s="5" t="str">
        <f>IFERROR(__xludf.DUMMYFUNCTION("""COMPUTED_VALUE"""),"")</f>
        <v/>
      </c>
      <c r="L271" s="5" t="str">
        <f>IFERROR(__xludf.DUMMYFUNCTION("""COMPUTED_VALUE"""),"")</f>
        <v/>
      </c>
      <c r="M271" s="5" t="str">
        <f>IFERROR(__xludf.DUMMYFUNCTION("""COMPUTED_VALUE"""),"")</f>
        <v/>
      </c>
      <c r="N271" s="5" t="str">
        <f>IFERROR(__xludf.DUMMYFUNCTION("""COMPUTED_VALUE"""),"")</f>
        <v/>
      </c>
      <c r="O271" s="5" t="str">
        <f>IFERROR(__xludf.DUMMYFUNCTION("""COMPUTED_VALUE"""),"")</f>
        <v/>
      </c>
      <c r="P271" s="5" t="str">
        <f>IFERROR(__xludf.DUMMYFUNCTION("""COMPUTED_VALUE"""),"")</f>
        <v/>
      </c>
      <c r="Q271" s="5" t="str">
        <f>IFERROR(__xludf.DUMMYFUNCTION("""COMPUTED_VALUE"""),"")</f>
        <v/>
      </c>
      <c r="R271" s="5" t="str">
        <f>IFERROR(__xludf.DUMMYFUNCTION("""COMPUTED_VALUE"""),"")</f>
        <v/>
      </c>
      <c r="S271" s="5" t="str">
        <f>IFERROR(__xludf.DUMMYFUNCTION("""COMPUTED_VALUE"""),"")</f>
        <v/>
      </c>
      <c r="T271" s="5" t="str">
        <f>IFERROR(__xludf.DUMMYFUNCTION("""COMPUTED_VALUE"""),"")</f>
        <v/>
      </c>
      <c r="U271" s="5" t="str">
        <f>IFERROR(__xludf.DUMMYFUNCTION("""COMPUTED_VALUE"""),"")</f>
        <v/>
      </c>
      <c r="V271" s="5" t="str">
        <f>IFERROR(__xludf.DUMMYFUNCTION("""COMPUTED_VALUE"""),"")</f>
        <v/>
      </c>
      <c r="W271" s="5" t="str">
        <f>IFERROR(__xludf.DUMMYFUNCTION("""COMPUTED_VALUE"""),"")</f>
        <v/>
      </c>
      <c r="X271" s="5" t="str">
        <f>IFERROR(__xludf.DUMMYFUNCTION("""COMPUTED_VALUE"""),"")</f>
        <v/>
      </c>
      <c r="Y271" s="5"/>
      <c r="Z271" s="5"/>
    </row>
    <row r="272">
      <c r="A272" s="5" t="str">
        <f>IFERROR(__xludf.DUMMYFUNCTION("""COMPUTED_VALUE"""),"Wild Hot 40 Blow Dice")</f>
        <v>Wild Hot 40 Blow Dice</v>
      </c>
      <c r="B272" s="5" t="str">
        <f>IFERROR(__xludf.DUMMYFUNCTION("""COMPUTED_VALUE"""),"Available")</f>
        <v>Available</v>
      </c>
      <c r="C272" s="5" t="str">
        <f>IFERROR(__xludf.DUMMYFUNCTION("""COMPUTED_VALUE"""),"")</f>
        <v/>
      </c>
      <c r="D272" s="5" t="str">
        <f>IFERROR(__xludf.DUMMYFUNCTION("""COMPUTED_VALUE"""),"Cert Preparation")</f>
        <v>Cert Preparation</v>
      </c>
      <c r="E272" s="5" t="str">
        <f>IFERROR(__xludf.DUMMYFUNCTION("""COMPUTED_VALUE"""),"")</f>
        <v/>
      </c>
      <c r="F272" s="5" t="str">
        <f>IFERROR(__xludf.DUMMYFUNCTION("""COMPUTED_VALUE"""),"Available")</f>
        <v>Available</v>
      </c>
      <c r="G272" s="5" t="str">
        <f>IFERROR(__xludf.DUMMYFUNCTION("""COMPUTED_VALUE"""),"Available")</f>
        <v>Available</v>
      </c>
      <c r="H272" s="5" t="str">
        <f>IFERROR(__xludf.DUMMYFUNCTION("""COMPUTED_VALUE"""),"")</f>
        <v/>
      </c>
      <c r="I272" s="5" t="str">
        <f>IFERROR(__xludf.DUMMYFUNCTION("""COMPUTED_VALUE"""),"")</f>
        <v/>
      </c>
      <c r="J272" s="5" t="str">
        <f>IFERROR(__xludf.DUMMYFUNCTION("""COMPUTED_VALUE"""),"")</f>
        <v/>
      </c>
      <c r="K272" s="5" t="str">
        <f>IFERROR(__xludf.DUMMYFUNCTION("""COMPUTED_VALUE"""),"")</f>
        <v/>
      </c>
      <c r="L272" s="5" t="str">
        <f>IFERROR(__xludf.DUMMYFUNCTION("""COMPUTED_VALUE"""),"")</f>
        <v/>
      </c>
      <c r="M272" s="5" t="str">
        <f>IFERROR(__xludf.DUMMYFUNCTION("""COMPUTED_VALUE"""),"")</f>
        <v/>
      </c>
      <c r="N272" s="5" t="str">
        <f>IFERROR(__xludf.DUMMYFUNCTION("""COMPUTED_VALUE"""),"")</f>
        <v/>
      </c>
      <c r="O272" s="5" t="str">
        <f>IFERROR(__xludf.DUMMYFUNCTION("""COMPUTED_VALUE"""),"")</f>
        <v/>
      </c>
      <c r="P272" s="5" t="str">
        <f>IFERROR(__xludf.DUMMYFUNCTION("""COMPUTED_VALUE"""),"")</f>
        <v/>
      </c>
      <c r="Q272" s="5" t="str">
        <f>IFERROR(__xludf.DUMMYFUNCTION("""COMPUTED_VALUE"""),"")</f>
        <v/>
      </c>
      <c r="R272" s="5" t="str">
        <f>IFERROR(__xludf.DUMMYFUNCTION("""COMPUTED_VALUE"""),"")</f>
        <v/>
      </c>
      <c r="S272" s="5" t="str">
        <f>IFERROR(__xludf.DUMMYFUNCTION("""COMPUTED_VALUE"""),"")</f>
        <v/>
      </c>
      <c r="T272" s="5" t="str">
        <f>IFERROR(__xludf.DUMMYFUNCTION("""COMPUTED_VALUE"""),"")</f>
        <v/>
      </c>
      <c r="U272" s="5" t="str">
        <f>IFERROR(__xludf.DUMMYFUNCTION("""COMPUTED_VALUE"""),"")</f>
        <v/>
      </c>
      <c r="V272" s="5" t="str">
        <f>IFERROR(__xludf.DUMMYFUNCTION("""COMPUTED_VALUE"""),"")</f>
        <v/>
      </c>
      <c r="W272" s="5" t="str">
        <f>IFERROR(__xludf.DUMMYFUNCTION("""COMPUTED_VALUE"""),"")</f>
        <v/>
      </c>
      <c r="X272" s="5" t="str">
        <f>IFERROR(__xludf.DUMMYFUNCTION("""COMPUTED_VALUE"""),"")</f>
        <v/>
      </c>
      <c r="Y272" s="5"/>
      <c r="Z272" s="5"/>
    </row>
    <row r="273">
      <c r="A273" s="5" t="str">
        <f>IFERROR(__xludf.DUMMYFUNCTION("""COMPUTED_VALUE"""),"Fashion Night")</f>
        <v>Fashion Night</v>
      </c>
      <c r="B273" s="5" t="str">
        <f>IFERROR(__xludf.DUMMYFUNCTION("""COMPUTED_VALUE"""),"")</f>
        <v/>
      </c>
      <c r="C273" s="5" t="str">
        <f>IFERROR(__xludf.DUMMYFUNCTION("""COMPUTED_VALUE"""),"")</f>
        <v/>
      </c>
      <c r="D273" s="5" t="str">
        <f>IFERROR(__xludf.DUMMYFUNCTION("""COMPUTED_VALUE"""),"")</f>
        <v/>
      </c>
      <c r="E273" s="5" t="str">
        <f>IFERROR(__xludf.DUMMYFUNCTION("""COMPUTED_VALUE"""),"")</f>
        <v/>
      </c>
      <c r="F273" s="5" t="str">
        <f>IFERROR(__xludf.DUMMYFUNCTION("""COMPUTED_VALUE"""),"")</f>
        <v/>
      </c>
      <c r="G273" s="5" t="str">
        <f>IFERROR(__xludf.DUMMYFUNCTION("""COMPUTED_VALUE"""),"")</f>
        <v/>
      </c>
      <c r="H273" s="5" t="str">
        <f>IFERROR(__xludf.DUMMYFUNCTION("""COMPUTED_VALUE"""),"")</f>
        <v/>
      </c>
      <c r="I273" s="5" t="str">
        <f>IFERROR(__xludf.DUMMYFUNCTION("""COMPUTED_VALUE"""),"")</f>
        <v/>
      </c>
      <c r="J273" s="5" t="str">
        <f>IFERROR(__xludf.DUMMYFUNCTION("""COMPUTED_VALUE"""),"")</f>
        <v/>
      </c>
      <c r="K273" s="5" t="str">
        <f>IFERROR(__xludf.DUMMYFUNCTION("""COMPUTED_VALUE"""),"")</f>
        <v/>
      </c>
      <c r="L273" s="5" t="str">
        <f>IFERROR(__xludf.DUMMYFUNCTION("""COMPUTED_VALUE"""),"")</f>
        <v/>
      </c>
      <c r="M273" s="5" t="str">
        <f>IFERROR(__xludf.DUMMYFUNCTION("""COMPUTED_VALUE"""),"")</f>
        <v/>
      </c>
      <c r="N273" s="5" t="str">
        <f>IFERROR(__xludf.DUMMYFUNCTION("""COMPUTED_VALUE"""),"")</f>
        <v/>
      </c>
      <c r="O273" s="5" t="str">
        <f>IFERROR(__xludf.DUMMYFUNCTION("""COMPUTED_VALUE"""),"")</f>
        <v/>
      </c>
      <c r="P273" s="5" t="str">
        <f>IFERROR(__xludf.DUMMYFUNCTION("""COMPUTED_VALUE"""),"")</f>
        <v/>
      </c>
      <c r="Q273" s="5" t="str">
        <f>IFERROR(__xludf.DUMMYFUNCTION("""COMPUTED_VALUE"""),"")</f>
        <v/>
      </c>
      <c r="R273" s="5" t="str">
        <f>IFERROR(__xludf.DUMMYFUNCTION("""COMPUTED_VALUE"""),"")</f>
        <v/>
      </c>
      <c r="S273" s="5" t="str">
        <f>IFERROR(__xludf.DUMMYFUNCTION("""COMPUTED_VALUE"""),"")</f>
        <v/>
      </c>
      <c r="T273" s="5" t="str">
        <f>IFERROR(__xludf.DUMMYFUNCTION("""COMPUTED_VALUE"""),"")</f>
        <v/>
      </c>
      <c r="U273" s="5" t="str">
        <f>IFERROR(__xludf.DUMMYFUNCTION("""COMPUTED_VALUE"""),"")</f>
        <v/>
      </c>
      <c r="V273" s="5" t="str">
        <f>IFERROR(__xludf.DUMMYFUNCTION("""COMPUTED_VALUE"""),"")</f>
        <v/>
      </c>
      <c r="W273" s="5" t="str">
        <f>IFERROR(__xludf.DUMMYFUNCTION("""COMPUTED_VALUE"""),"")</f>
        <v/>
      </c>
      <c r="X273" s="5" t="str">
        <f>IFERROR(__xludf.DUMMYFUNCTION("""COMPUTED_VALUE"""),"")</f>
        <v/>
      </c>
      <c r="Y273" s="5"/>
      <c r="Z273" s="5"/>
    </row>
    <row r="274">
      <c r="A274" s="5" t="str">
        <f>IFERROR(__xludf.DUMMYFUNCTION("""COMPUTED_VALUE"""),"Mayan's Battle")</f>
        <v>Mayan's Battle</v>
      </c>
      <c r="B274" s="5" t="str">
        <f>IFERROR(__xludf.DUMMYFUNCTION("""COMPUTED_VALUE"""),"Available")</f>
        <v>Available</v>
      </c>
      <c r="C274" s="5" t="str">
        <f>IFERROR(__xludf.DUMMYFUNCTION("""COMPUTED_VALUE"""),"Available")</f>
        <v>Available</v>
      </c>
      <c r="D274" s="5" t="str">
        <f>IFERROR(__xludf.DUMMYFUNCTION("""COMPUTED_VALUE"""),"Cert Preparation")</f>
        <v>Cert Preparation</v>
      </c>
      <c r="E274" s="5" t="str">
        <f>IFERROR(__xludf.DUMMYFUNCTION("""COMPUTED_VALUE"""),"Available")</f>
        <v>Available</v>
      </c>
      <c r="F274" s="5" t="str">
        <f>IFERROR(__xludf.DUMMYFUNCTION("""COMPUTED_VALUE"""),"Available")</f>
        <v>Available</v>
      </c>
      <c r="G274" s="5" t="str">
        <f>IFERROR(__xludf.DUMMYFUNCTION("""COMPUTED_VALUE"""),"Available")</f>
        <v>Available</v>
      </c>
      <c r="H274" s="5" t="str">
        <f>IFERROR(__xludf.DUMMYFUNCTION("""COMPUTED_VALUE"""),"Available")</f>
        <v>Available</v>
      </c>
      <c r="I274" s="5" t="str">
        <f>IFERROR(__xludf.DUMMYFUNCTION("""COMPUTED_VALUE"""),"")</f>
        <v/>
      </c>
      <c r="J274" s="5" t="str">
        <f>IFERROR(__xludf.DUMMYFUNCTION("""COMPUTED_VALUE"""),"Available")</f>
        <v>Available</v>
      </c>
      <c r="K274" s="5" t="str">
        <f>IFERROR(__xludf.DUMMYFUNCTION("""COMPUTED_VALUE"""),"")</f>
        <v/>
      </c>
      <c r="L274" s="5" t="str">
        <f>IFERROR(__xludf.DUMMYFUNCTION("""COMPUTED_VALUE"""),"Development")</f>
        <v>Development</v>
      </c>
      <c r="M274" s="5" t="str">
        <f>IFERROR(__xludf.DUMMYFUNCTION("""COMPUTED_VALUE"""),"Available")</f>
        <v>Available</v>
      </c>
      <c r="N274" s="5" t="str">
        <f>IFERROR(__xludf.DUMMYFUNCTION("""COMPUTED_VALUE"""),"")</f>
        <v/>
      </c>
      <c r="O274" s="5" t="str">
        <f>IFERROR(__xludf.DUMMYFUNCTION("""COMPUTED_VALUE"""),"")</f>
        <v/>
      </c>
      <c r="P274" s="5" t="str">
        <f>IFERROR(__xludf.DUMMYFUNCTION("""COMPUTED_VALUE"""),"")</f>
        <v/>
      </c>
      <c r="Q274" s="5" t="str">
        <f>IFERROR(__xludf.DUMMYFUNCTION("""COMPUTED_VALUE"""),"Available")</f>
        <v>Available</v>
      </c>
      <c r="R274" s="5" t="str">
        <f>IFERROR(__xludf.DUMMYFUNCTION("""COMPUTED_VALUE"""),"")</f>
        <v/>
      </c>
      <c r="S274" s="5" t="str">
        <f>IFERROR(__xludf.DUMMYFUNCTION("""COMPUTED_VALUE"""),"")</f>
        <v/>
      </c>
      <c r="T274" s="5" t="str">
        <f>IFERROR(__xludf.DUMMYFUNCTION("""COMPUTED_VALUE"""),"")</f>
        <v/>
      </c>
      <c r="U274" s="5" t="str">
        <f>IFERROR(__xludf.DUMMYFUNCTION("""COMPUTED_VALUE"""),"")</f>
        <v/>
      </c>
      <c r="V274" s="5" t="str">
        <f>IFERROR(__xludf.DUMMYFUNCTION("""COMPUTED_VALUE"""),"")</f>
        <v/>
      </c>
      <c r="W274" s="5" t="str">
        <f>IFERROR(__xludf.DUMMYFUNCTION("""COMPUTED_VALUE"""),"")</f>
        <v/>
      </c>
      <c r="X274" s="5" t="str">
        <f>IFERROR(__xludf.DUMMYFUNCTION("""COMPUTED_VALUE"""),"")</f>
        <v/>
      </c>
      <c r="Y274" s="5"/>
      <c r="Z274" s="5"/>
    </row>
    <row r="275">
      <c r="A275" s="5" t="str">
        <f>IFERROR(__xludf.DUMMYFUNCTION("""COMPUTED_VALUE"""),"Froot Machine")</f>
        <v>Froot Machine</v>
      </c>
      <c r="B275" s="5" t="str">
        <f>IFERROR(__xludf.DUMMYFUNCTION("""COMPUTED_VALUE"""),"")</f>
        <v/>
      </c>
      <c r="C275" s="5" t="str">
        <f>IFERROR(__xludf.DUMMYFUNCTION("""COMPUTED_VALUE"""),"")</f>
        <v/>
      </c>
      <c r="D275" s="5" t="str">
        <f>IFERROR(__xludf.DUMMYFUNCTION("""COMPUTED_VALUE"""),"")</f>
        <v/>
      </c>
      <c r="E275" s="5" t="str">
        <f>IFERROR(__xludf.DUMMYFUNCTION("""COMPUTED_VALUE"""),"")</f>
        <v/>
      </c>
      <c r="F275" s="5" t="str">
        <f>IFERROR(__xludf.DUMMYFUNCTION("""COMPUTED_VALUE"""),"")</f>
        <v/>
      </c>
      <c r="G275" s="5" t="str">
        <f>IFERROR(__xludf.DUMMYFUNCTION("""COMPUTED_VALUE"""),"")</f>
        <v/>
      </c>
      <c r="H275" s="5" t="str">
        <f>IFERROR(__xludf.DUMMYFUNCTION("""COMPUTED_VALUE"""),"")</f>
        <v/>
      </c>
      <c r="I275" s="5" t="str">
        <f>IFERROR(__xludf.DUMMYFUNCTION("""COMPUTED_VALUE"""),"")</f>
        <v/>
      </c>
      <c r="J275" s="5" t="str">
        <f>IFERROR(__xludf.DUMMYFUNCTION("""COMPUTED_VALUE"""),"")</f>
        <v/>
      </c>
      <c r="K275" s="5" t="str">
        <f>IFERROR(__xludf.DUMMYFUNCTION("""COMPUTED_VALUE"""),"")</f>
        <v/>
      </c>
      <c r="L275" s="5" t="str">
        <f>IFERROR(__xludf.DUMMYFUNCTION("""COMPUTED_VALUE"""),"")</f>
        <v/>
      </c>
      <c r="M275" s="5" t="str">
        <f>IFERROR(__xludf.DUMMYFUNCTION("""COMPUTED_VALUE"""),"")</f>
        <v/>
      </c>
      <c r="N275" s="5" t="str">
        <f>IFERROR(__xludf.DUMMYFUNCTION("""COMPUTED_VALUE"""),"")</f>
        <v/>
      </c>
      <c r="O275" s="5" t="str">
        <f>IFERROR(__xludf.DUMMYFUNCTION("""COMPUTED_VALUE"""),"")</f>
        <v/>
      </c>
      <c r="P275" s="5" t="str">
        <f>IFERROR(__xludf.DUMMYFUNCTION("""COMPUTED_VALUE"""),"")</f>
        <v/>
      </c>
      <c r="Q275" s="5" t="str">
        <f>IFERROR(__xludf.DUMMYFUNCTION("""COMPUTED_VALUE"""),"")</f>
        <v/>
      </c>
      <c r="R275" s="5" t="str">
        <f>IFERROR(__xludf.DUMMYFUNCTION("""COMPUTED_VALUE"""),"")</f>
        <v/>
      </c>
      <c r="S275" s="5" t="str">
        <f>IFERROR(__xludf.DUMMYFUNCTION("""COMPUTED_VALUE"""),"")</f>
        <v/>
      </c>
      <c r="T275" s="5" t="str">
        <f>IFERROR(__xludf.DUMMYFUNCTION("""COMPUTED_VALUE"""),"")</f>
        <v/>
      </c>
      <c r="U275" s="5" t="str">
        <f>IFERROR(__xludf.DUMMYFUNCTION("""COMPUTED_VALUE"""),"")</f>
        <v/>
      </c>
      <c r="V275" s="5" t="str">
        <f>IFERROR(__xludf.DUMMYFUNCTION("""COMPUTED_VALUE"""),"")</f>
        <v/>
      </c>
      <c r="W275" s="5" t="str">
        <f>IFERROR(__xludf.DUMMYFUNCTION("""COMPUTED_VALUE"""),"")</f>
        <v/>
      </c>
      <c r="X275" s="5" t="str">
        <f>IFERROR(__xludf.DUMMYFUNCTION("""COMPUTED_VALUE"""),"")</f>
        <v/>
      </c>
      <c r="Y275" s="5"/>
      <c r="Z275" s="5"/>
    </row>
    <row r="276">
      <c r="A276" s="5" t="str">
        <f>IFERROR(__xludf.DUMMYFUNCTION("""COMPUTED_VALUE"""),"Simply Sevens Dice")</f>
        <v>Simply Sevens Dice</v>
      </c>
      <c r="B276" s="5" t="str">
        <f>IFERROR(__xludf.DUMMYFUNCTION("""COMPUTED_VALUE"""),"")</f>
        <v/>
      </c>
      <c r="C276" s="5" t="str">
        <f>IFERROR(__xludf.DUMMYFUNCTION("""COMPUTED_VALUE"""),"")</f>
        <v/>
      </c>
      <c r="D276" s="5" t="str">
        <f>IFERROR(__xludf.DUMMYFUNCTION("""COMPUTED_VALUE"""),"")</f>
        <v/>
      </c>
      <c r="E276" s="5" t="str">
        <f>IFERROR(__xludf.DUMMYFUNCTION("""COMPUTED_VALUE"""),"")</f>
        <v/>
      </c>
      <c r="F276" s="5" t="str">
        <f>IFERROR(__xludf.DUMMYFUNCTION("""COMPUTED_VALUE"""),"")</f>
        <v/>
      </c>
      <c r="G276" s="5" t="str">
        <f>IFERROR(__xludf.DUMMYFUNCTION("""COMPUTED_VALUE"""),"")</f>
        <v/>
      </c>
      <c r="H276" s="5" t="str">
        <f>IFERROR(__xludf.DUMMYFUNCTION("""COMPUTED_VALUE"""),"")</f>
        <v/>
      </c>
      <c r="I276" s="5" t="str">
        <f>IFERROR(__xludf.DUMMYFUNCTION("""COMPUTED_VALUE"""),"")</f>
        <v/>
      </c>
      <c r="J276" s="5" t="str">
        <f>IFERROR(__xludf.DUMMYFUNCTION("""COMPUTED_VALUE"""),"")</f>
        <v/>
      </c>
      <c r="K276" s="5" t="str">
        <f>IFERROR(__xludf.DUMMYFUNCTION("""COMPUTED_VALUE"""),"")</f>
        <v/>
      </c>
      <c r="L276" s="5" t="str">
        <f>IFERROR(__xludf.DUMMYFUNCTION("""COMPUTED_VALUE"""),"")</f>
        <v/>
      </c>
      <c r="M276" s="5" t="str">
        <f>IFERROR(__xludf.DUMMYFUNCTION("""COMPUTED_VALUE"""),"")</f>
        <v/>
      </c>
      <c r="N276" s="5" t="str">
        <f>IFERROR(__xludf.DUMMYFUNCTION("""COMPUTED_VALUE"""),"")</f>
        <v/>
      </c>
      <c r="O276" s="5" t="str">
        <f>IFERROR(__xludf.DUMMYFUNCTION("""COMPUTED_VALUE"""),"")</f>
        <v/>
      </c>
      <c r="P276" s="5" t="str">
        <f>IFERROR(__xludf.DUMMYFUNCTION("""COMPUTED_VALUE"""),"")</f>
        <v/>
      </c>
      <c r="Q276" s="5" t="str">
        <f>IFERROR(__xludf.DUMMYFUNCTION("""COMPUTED_VALUE"""),"")</f>
        <v/>
      </c>
      <c r="R276" s="5" t="str">
        <f>IFERROR(__xludf.DUMMYFUNCTION("""COMPUTED_VALUE"""),"")</f>
        <v/>
      </c>
      <c r="S276" s="5" t="str">
        <f>IFERROR(__xludf.DUMMYFUNCTION("""COMPUTED_VALUE"""),"")</f>
        <v/>
      </c>
      <c r="T276" s="5" t="str">
        <f>IFERROR(__xludf.DUMMYFUNCTION("""COMPUTED_VALUE"""),"")</f>
        <v/>
      </c>
      <c r="U276" s="5" t="str">
        <f>IFERROR(__xludf.DUMMYFUNCTION("""COMPUTED_VALUE"""),"")</f>
        <v/>
      </c>
      <c r="V276" s="5" t="str">
        <f>IFERROR(__xludf.DUMMYFUNCTION("""COMPUTED_VALUE"""),"")</f>
        <v/>
      </c>
      <c r="W276" s="5" t="str">
        <f>IFERROR(__xludf.DUMMYFUNCTION("""COMPUTED_VALUE"""),"")</f>
        <v/>
      </c>
      <c r="X276" s="5" t="str">
        <f>IFERROR(__xludf.DUMMYFUNCTION("""COMPUTED_VALUE"""),"")</f>
        <v/>
      </c>
      <c r="Y276" s="5"/>
      <c r="Z276" s="5"/>
    </row>
    <row r="277">
      <c r="A277" s="5" t="str">
        <f>IFERROR(__xludf.DUMMYFUNCTION("""COMPUTED_VALUE"""),"Wild Craps")</f>
        <v>Wild Craps</v>
      </c>
      <c r="B277" s="5" t="str">
        <f>IFERROR(__xludf.DUMMYFUNCTION("""COMPUTED_VALUE"""),"")</f>
        <v/>
      </c>
      <c r="C277" s="5" t="str">
        <f>IFERROR(__xludf.DUMMYFUNCTION("""COMPUTED_VALUE"""),"")</f>
        <v/>
      </c>
      <c r="D277" s="5" t="str">
        <f>IFERROR(__xludf.DUMMYFUNCTION("""COMPUTED_VALUE"""),"Cert Preparation")</f>
        <v>Cert Preparation</v>
      </c>
      <c r="E277" s="5" t="str">
        <f>IFERROR(__xludf.DUMMYFUNCTION("""COMPUTED_VALUE"""),"Available")</f>
        <v>Available</v>
      </c>
      <c r="F277" s="5" t="str">
        <f>IFERROR(__xludf.DUMMYFUNCTION("""COMPUTED_VALUE"""),"Available")</f>
        <v>Available</v>
      </c>
      <c r="G277" s="5" t="str">
        <f>IFERROR(__xludf.DUMMYFUNCTION("""COMPUTED_VALUE"""),"Available")</f>
        <v>Available</v>
      </c>
      <c r="H277" s="5" t="str">
        <f>IFERROR(__xludf.DUMMYFUNCTION("""COMPUTED_VALUE"""),"Available")</f>
        <v>Available</v>
      </c>
      <c r="I277" s="5" t="str">
        <f>IFERROR(__xludf.DUMMYFUNCTION("""COMPUTED_VALUE"""),"Available")</f>
        <v>Available</v>
      </c>
      <c r="J277" s="5" t="str">
        <f>IFERROR(__xludf.DUMMYFUNCTION("""COMPUTED_VALUE"""),"")</f>
        <v/>
      </c>
      <c r="K277" s="5" t="str">
        <f>IFERROR(__xludf.DUMMYFUNCTION("""COMPUTED_VALUE"""),"Development")</f>
        <v>Development</v>
      </c>
      <c r="L277" s="5" t="str">
        <f>IFERROR(__xludf.DUMMYFUNCTION("""COMPUTED_VALUE"""),"")</f>
        <v/>
      </c>
      <c r="M277" s="5" t="str">
        <f>IFERROR(__xludf.DUMMYFUNCTION("""COMPUTED_VALUE"""),"Available")</f>
        <v>Available</v>
      </c>
      <c r="N277" s="5" t="str">
        <f>IFERROR(__xludf.DUMMYFUNCTION("""COMPUTED_VALUE"""),"")</f>
        <v/>
      </c>
      <c r="O277" s="5" t="str">
        <f>IFERROR(__xludf.DUMMYFUNCTION("""COMPUTED_VALUE"""),"")</f>
        <v/>
      </c>
      <c r="P277" s="5" t="str">
        <f>IFERROR(__xludf.DUMMYFUNCTION("""COMPUTED_VALUE"""),"")</f>
        <v/>
      </c>
      <c r="Q277" s="5" t="str">
        <f>IFERROR(__xludf.DUMMYFUNCTION("""COMPUTED_VALUE"""),"Available")</f>
        <v>Available</v>
      </c>
      <c r="R277" s="5" t="str">
        <f>IFERROR(__xludf.DUMMYFUNCTION("""COMPUTED_VALUE"""),"")</f>
        <v/>
      </c>
      <c r="S277" s="5" t="str">
        <f>IFERROR(__xludf.DUMMYFUNCTION("""COMPUTED_VALUE"""),"In Certification")</f>
        <v>In Certification</v>
      </c>
      <c r="T277" s="5" t="str">
        <f>IFERROR(__xludf.DUMMYFUNCTION("""COMPUTED_VALUE"""),"")</f>
        <v/>
      </c>
      <c r="U277" s="5" t="str">
        <f>IFERROR(__xludf.DUMMYFUNCTION("""COMPUTED_VALUE"""),"")</f>
        <v/>
      </c>
      <c r="V277" s="5" t="str">
        <f>IFERROR(__xludf.DUMMYFUNCTION("""COMPUTED_VALUE"""),"")</f>
        <v/>
      </c>
      <c r="W277" s="5" t="str">
        <f>IFERROR(__xludf.DUMMYFUNCTION("""COMPUTED_VALUE"""),"")</f>
        <v/>
      </c>
      <c r="X277" s="5" t="str">
        <f>IFERROR(__xludf.DUMMYFUNCTION("""COMPUTED_VALUE"""),"")</f>
        <v/>
      </c>
      <c r="Y277" s="5"/>
      <c r="Z277" s="5"/>
    </row>
    <row r="278">
      <c r="A278" s="5" t="str">
        <f>IFERROR(__xludf.DUMMYFUNCTION("""COMPUTED_VALUE"""),"Fear Of Dark")</f>
        <v>Fear Of Dark</v>
      </c>
      <c r="B278" s="5" t="str">
        <f>IFERROR(__xludf.DUMMYFUNCTION("""COMPUTED_VALUE"""),"")</f>
        <v/>
      </c>
      <c r="C278" s="5" t="str">
        <f>IFERROR(__xludf.DUMMYFUNCTION("""COMPUTED_VALUE"""),"")</f>
        <v/>
      </c>
      <c r="D278" s="5" t="str">
        <f>IFERROR(__xludf.DUMMYFUNCTION("""COMPUTED_VALUE"""),"")</f>
        <v/>
      </c>
      <c r="E278" s="5" t="str">
        <f>IFERROR(__xludf.DUMMYFUNCTION("""COMPUTED_VALUE"""),"")</f>
        <v/>
      </c>
      <c r="F278" s="5" t="str">
        <f>IFERROR(__xludf.DUMMYFUNCTION("""COMPUTED_VALUE"""),"")</f>
        <v/>
      </c>
      <c r="G278" s="5" t="str">
        <f>IFERROR(__xludf.DUMMYFUNCTION("""COMPUTED_VALUE"""),"")</f>
        <v/>
      </c>
      <c r="H278" s="5" t="str">
        <f>IFERROR(__xludf.DUMMYFUNCTION("""COMPUTED_VALUE"""),"")</f>
        <v/>
      </c>
      <c r="I278" s="5" t="str">
        <f>IFERROR(__xludf.DUMMYFUNCTION("""COMPUTED_VALUE"""),"")</f>
        <v/>
      </c>
      <c r="J278" s="5" t="str">
        <f>IFERROR(__xludf.DUMMYFUNCTION("""COMPUTED_VALUE"""),"")</f>
        <v/>
      </c>
      <c r="K278" s="5" t="str">
        <f>IFERROR(__xludf.DUMMYFUNCTION("""COMPUTED_VALUE"""),"")</f>
        <v/>
      </c>
      <c r="L278" s="5" t="str">
        <f>IFERROR(__xludf.DUMMYFUNCTION("""COMPUTED_VALUE"""),"")</f>
        <v/>
      </c>
      <c r="M278" s="5" t="str">
        <f>IFERROR(__xludf.DUMMYFUNCTION("""COMPUTED_VALUE"""),"")</f>
        <v/>
      </c>
      <c r="N278" s="5" t="str">
        <f>IFERROR(__xludf.DUMMYFUNCTION("""COMPUTED_VALUE"""),"")</f>
        <v/>
      </c>
      <c r="O278" s="5" t="str">
        <f>IFERROR(__xludf.DUMMYFUNCTION("""COMPUTED_VALUE"""),"")</f>
        <v/>
      </c>
      <c r="P278" s="5" t="str">
        <f>IFERROR(__xludf.DUMMYFUNCTION("""COMPUTED_VALUE"""),"")</f>
        <v/>
      </c>
      <c r="Q278" s="5" t="str">
        <f>IFERROR(__xludf.DUMMYFUNCTION("""COMPUTED_VALUE"""),"")</f>
        <v/>
      </c>
      <c r="R278" s="5" t="str">
        <f>IFERROR(__xludf.DUMMYFUNCTION("""COMPUTED_VALUE"""),"")</f>
        <v/>
      </c>
      <c r="S278" s="5" t="str">
        <f>IFERROR(__xludf.DUMMYFUNCTION("""COMPUTED_VALUE"""),"")</f>
        <v/>
      </c>
      <c r="T278" s="5" t="str">
        <f>IFERROR(__xludf.DUMMYFUNCTION("""COMPUTED_VALUE"""),"")</f>
        <v/>
      </c>
      <c r="U278" s="5" t="str">
        <f>IFERROR(__xludf.DUMMYFUNCTION("""COMPUTED_VALUE"""),"")</f>
        <v/>
      </c>
      <c r="V278" s="5" t="str">
        <f>IFERROR(__xludf.DUMMYFUNCTION("""COMPUTED_VALUE"""),"")</f>
        <v/>
      </c>
      <c r="W278" s="5" t="str">
        <f>IFERROR(__xludf.DUMMYFUNCTION("""COMPUTED_VALUE"""),"")</f>
        <v/>
      </c>
      <c r="X278" s="5" t="str">
        <f>IFERROR(__xludf.DUMMYFUNCTION("""COMPUTED_VALUE"""),"")</f>
        <v/>
      </c>
      <c r="Y278" s="5"/>
      <c r="Z278" s="5"/>
    </row>
    <row r="279">
      <c r="A279" s="5" t="str">
        <f>IFERROR(__xludf.DUMMYFUNCTION("""COMPUTED_VALUE"""),"Mr First Cryptonium")</f>
        <v>Mr First Cryptonium</v>
      </c>
      <c r="B279" s="5" t="str">
        <f>IFERROR(__xludf.DUMMYFUNCTION("""COMPUTED_VALUE"""),"")</f>
        <v/>
      </c>
      <c r="C279" s="5" t="str">
        <f>IFERROR(__xludf.DUMMYFUNCTION("""COMPUTED_VALUE"""),"")</f>
        <v/>
      </c>
      <c r="D279" s="5" t="str">
        <f>IFERROR(__xludf.DUMMYFUNCTION("""COMPUTED_VALUE"""),"")</f>
        <v/>
      </c>
      <c r="E279" s="5" t="str">
        <f>IFERROR(__xludf.DUMMYFUNCTION("""COMPUTED_VALUE"""),"")</f>
        <v/>
      </c>
      <c r="F279" s="5" t="str">
        <f>IFERROR(__xludf.DUMMYFUNCTION("""COMPUTED_VALUE"""),"")</f>
        <v/>
      </c>
      <c r="G279" s="5" t="str">
        <f>IFERROR(__xludf.DUMMYFUNCTION("""COMPUTED_VALUE"""),"")</f>
        <v/>
      </c>
      <c r="H279" s="5" t="str">
        <f>IFERROR(__xludf.DUMMYFUNCTION("""COMPUTED_VALUE"""),"")</f>
        <v/>
      </c>
      <c r="I279" s="5" t="str">
        <f>IFERROR(__xludf.DUMMYFUNCTION("""COMPUTED_VALUE"""),"")</f>
        <v/>
      </c>
      <c r="J279" s="5" t="str">
        <f>IFERROR(__xludf.DUMMYFUNCTION("""COMPUTED_VALUE"""),"")</f>
        <v/>
      </c>
      <c r="K279" s="5" t="str">
        <f>IFERROR(__xludf.DUMMYFUNCTION("""COMPUTED_VALUE"""),"")</f>
        <v/>
      </c>
      <c r="L279" s="5" t="str">
        <f>IFERROR(__xludf.DUMMYFUNCTION("""COMPUTED_VALUE"""),"")</f>
        <v/>
      </c>
      <c r="M279" s="5" t="str">
        <f>IFERROR(__xludf.DUMMYFUNCTION("""COMPUTED_VALUE"""),"")</f>
        <v/>
      </c>
      <c r="N279" s="5" t="str">
        <f>IFERROR(__xludf.DUMMYFUNCTION("""COMPUTED_VALUE"""),"")</f>
        <v/>
      </c>
      <c r="O279" s="5" t="str">
        <f>IFERROR(__xludf.DUMMYFUNCTION("""COMPUTED_VALUE"""),"")</f>
        <v/>
      </c>
      <c r="P279" s="5" t="str">
        <f>IFERROR(__xludf.DUMMYFUNCTION("""COMPUTED_VALUE"""),"")</f>
        <v/>
      </c>
      <c r="Q279" s="5" t="str">
        <f>IFERROR(__xludf.DUMMYFUNCTION("""COMPUTED_VALUE"""),"")</f>
        <v/>
      </c>
      <c r="R279" s="5" t="str">
        <f>IFERROR(__xludf.DUMMYFUNCTION("""COMPUTED_VALUE"""),"")</f>
        <v/>
      </c>
      <c r="S279" s="5" t="str">
        <f>IFERROR(__xludf.DUMMYFUNCTION("""COMPUTED_VALUE"""),"")</f>
        <v/>
      </c>
      <c r="T279" s="5" t="str">
        <f>IFERROR(__xludf.DUMMYFUNCTION("""COMPUTED_VALUE"""),"")</f>
        <v/>
      </c>
      <c r="U279" s="5" t="str">
        <f>IFERROR(__xludf.DUMMYFUNCTION("""COMPUTED_VALUE"""),"")</f>
        <v/>
      </c>
      <c r="V279" s="5" t="str">
        <f>IFERROR(__xludf.DUMMYFUNCTION("""COMPUTED_VALUE"""),"")</f>
        <v/>
      </c>
      <c r="W279" s="5" t="str">
        <f>IFERROR(__xludf.DUMMYFUNCTION("""COMPUTED_VALUE"""),"")</f>
        <v/>
      </c>
      <c r="X279" s="5" t="str">
        <f>IFERROR(__xludf.DUMMYFUNCTION("""COMPUTED_VALUE"""),"")</f>
        <v/>
      </c>
      <c r="Y279" s="5"/>
      <c r="Z279" s="5"/>
    </row>
    <row r="280">
      <c r="A280" s="5" t="str">
        <f>IFERROR(__xludf.DUMMYFUNCTION("""COMPUTED_VALUE"""),"Fruit Island Christmas")</f>
        <v>Fruit Island Christmas</v>
      </c>
      <c r="B280" s="5" t="str">
        <f>IFERROR(__xludf.DUMMYFUNCTION("""COMPUTED_VALUE"""),"")</f>
        <v/>
      </c>
      <c r="C280" s="5" t="str">
        <f>IFERROR(__xludf.DUMMYFUNCTION("""COMPUTED_VALUE"""),"")</f>
        <v/>
      </c>
      <c r="D280" s="5" t="str">
        <f>IFERROR(__xludf.DUMMYFUNCTION("""COMPUTED_VALUE"""),"")</f>
        <v/>
      </c>
      <c r="E280" s="5" t="str">
        <f>IFERROR(__xludf.DUMMYFUNCTION("""COMPUTED_VALUE"""),"")</f>
        <v/>
      </c>
      <c r="F280" s="5" t="str">
        <f>IFERROR(__xludf.DUMMYFUNCTION("""COMPUTED_VALUE"""),"")</f>
        <v/>
      </c>
      <c r="G280" s="5" t="str">
        <f>IFERROR(__xludf.DUMMYFUNCTION("""COMPUTED_VALUE"""),"")</f>
        <v/>
      </c>
      <c r="H280" s="5" t="str">
        <f>IFERROR(__xludf.DUMMYFUNCTION("""COMPUTED_VALUE"""),"")</f>
        <v/>
      </c>
      <c r="I280" s="5" t="str">
        <f>IFERROR(__xludf.DUMMYFUNCTION("""COMPUTED_VALUE"""),"")</f>
        <v/>
      </c>
      <c r="J280" s="5" t="str">
        <f>IFERROR(__xludf.DUMMYFUNCTION("""COMPUTED_VALUE"""),"")</f>
        <v/>
      </c>
      <c r="K280" s="5" t="str">
        <f>IFERROR(__xludf.DUMMYFUNCTION("""COMPUTED_VALUE"""),"")</f>
        <v/>
      </c>
      <c r="L280" s="5" t="str">
        <f>IFERROR(__xludf.DUMMYFUNCTION("""COMPUTED_VALUE"""),"")</f>
        <v/>
      </c>
      <c r="M280" s="5" t="str">
        <f>IFERROR(__xludf.DUMMYFUNCTION("""COMPUTED_VALUE"""),"")</f>
        <v/>
      </c>
      <c r="N280" s="5" t="str">
        <f>IFERROR(__xludf.DUMMYFUNCTION("""COMPUTED_VALUE"""),"")</f>
        <v/>
      </c>
      <c r="O280" s="5" t="str">
        <f>IFERROR(__xludf.DUMMYFUNCTION("""COMPUTED_VALUE"""),"")</f>
        <v/>
      </c>
      <c r="P280" s="5" t="str">
        <f>IFERROR(__xludf.DUMMYFUNCTION("""COMPUTED_VALUE"""),"")</f>
        <v/>
      </c>
      <c r="Q280" s="5" t="str">
        <f>IFERROR(__xludf.DUMMYFUNCTION("""COMPUTED_VALUE"""),"")</f>
        <v/>
      </c>
      <c r="R280" s="5" t="str">
        <f>IFERROR(__xludf.DUMMYFUNCTION("""COMPUTED_VALUE"""),"")</f>
        <v/>
      </c>
      <c r="S280" s="5" t="str">
        <f>IFERROR(__xludf.DUMMYFUNCTION("""COMPUTED_VALUE"""),"")</f>
        <v/>
      </c>
      <c r="T280" s="5" t="str">
        <f>IFERROR(__xludf.DUMMYFUNCTION("""COMPUTED_VALUE"""),"")</f>
        <v/>
      </c>
      <c r="U280" s="5" t="str">
        <f>IFERROR(__xludf.DUMMYFUNCTION("""COMPUTED_VALUE"""),"")</f>
        <v/>
      </c>
      <c r="V280" s="5" t="str">
        <f>IFERROR(__xludf.DUMMYFUNCTION("""COMPUTED_VALUE"""),"")</f>
        <v/>
      </c>
      <c r="W280" s="5" t="str">
        <f>IFERROR(__xludf.DUMMYFUNCTION("""COMPUTED_VALUE"""),"")</f>
        <v/>
      </c>
      <c r="X280" s="5" t="str">
        <f>IFERROR(__xludf.DUMMYFUNCTION("""COMPUTED_VALUE"""),"")</f>
        <v/>
      </c>
      <c r="Y280" s="5"/>
      <c r="Z280" s="5"/>
    </row>
    <row r="281">
      <c r="A281" s="5" t="str">
        <f>IFERROR(__xludf.DUMMYFUNCTION("""COMPUTED_VALUE"""),"Unicorn Star Dice Christmas")</f>
        <v>Unicorn Star Dice Christmas</v>
      </c>
      <c r="B281" s="5" t="str">
        <f>IFERROR(__xludf.DUMMYFUNCTION("""COMPUTED_VALUE"""),"")</f>
        <v/>
      </c>
      <c r="C281" s="5" t="str">
        <f>IFERROR(__xludf.DUMMYFUNCTION("""COMPUTED_VALUE"""),"")</f>
        <v/>
      </c>
      <c r="D281" s="5" t="str">
        <f>IFERROR(__xludf.DUMMYFUNCTION("""COMPUTED_VALUE"""),"")</f>
        <v/>
      </c>
      <c r="E281" s="5" t="str">
        <f>IFERROR(__xludf.DUMMYFUNCTION("""COMPUTED_VALUE"""),"")</f>
        <v/>
      </c>
      <c r="F281" s="5" t="str">
        <f>IFERROR(__xludf.DUMMYFUNCTION("""COMPUTED_VALUE"""),"")</f>
        <v/>
      </c>
      <c r="G281" s="5" t="str">
        <f>IFERROR(__xludf.DUMMYFUNCTION("""COMPUTED_VALUE"""),"")</f>
        <v/>
      </c>
      <c r="H281" s="5" t="str">
        <f>IFERROR(__xludf.DUMMYFUNCTION("""COMPUTED_VALUE"""),"")</f>
        <v/>
      </c>
      <c r="I281" s="5" t="str">
        <f>IFERROR(__xludf.DUMMYFUNCTION("""COMPUTED_VALUE"""),"")</f>
        <v/>
      </c>
      <c r="J281" s="5" t="str">
        <f>IFERROR(__xludf.DUMMYFUNCTION("""COMPUTED_VALUE"""),"")</f>
        <v/>
      </c>
      <c r="K281" s="5" t="str">
        <f>IFERROR(__xludf.DUMMYFUNCTION("""COMPUTED_VALUE"""),"")</f>
        <v/>
      </c>
      <c r="L281" s="5" t="str">
        <f>IFERROR(__xludf.DUMMYFUNCTION("""COMPUTED_VALUE"""),"")</f>
        <v/>
      </c>
      <c r="M281" s="5" t="str">
        <f>IFERROR(__xludf.DUMMYFUNCTION("""COMPUTED_VALUE"""),"")</f>
        <v/>
      </c>
      <c r="N281" s="5" t="str">
        <f>IFERROR(__xludf.DUMMYFUNCTION("""COMPUTED_VALUE"""),"")</f>
        <v/>
      </c>
      <c r="O281" s="5" t="str">
        <f>IFERROR(__xludf.DUMMYFUNCTION("""COMPUTED_VALUE"""),"")</f>
        <v/>
      </c>
      <c r="P281" s="5" t="str">
        <f>IFERROR(__xludf.DUMMYFUNCTION("""COMPUTED_VALUE"""),"")</f>
        <v/>
      </c>
      <c r="Q281" s="5" t="str">
        <f>IFERROR(__xludf.DUMMYFUNCTION("""COMPUTED_VALUE"""),"")</f>
        <v/>
      </c>
      <c r="R281" s="5" t="str">
        <f>IFERROR(__xludf.DUMMYFUNCTION("""COMPUTED_VALUE"""),"")</f>
        <v/>
      </c>
      <c r="S281" s="5" t="str">
        <f>IFERROR(__xludf.DUMMYFUNCTION("""COMPUTED_VALUE"""),"")</f>
        <v/>
      </c>
      <c r="T281" s="5" t="str">
        <f>IFERROR(__xludf.DUMMYFUNCTION("""COMPUTED_VALUE"""),"")</f>
        <v/>
      </c>
      <c r="U281" s="5" t="str">
        <f>IFERROR(__xludf.DUMMYFUNCTION("""COMPUTED_VALUE"""),"")</f>
        <v/>
      </c>
      <c r="V281" s="5" t="str">
        <f>IFERROR(__xludf.DUMMYFUNCTION("""COMPUTED_VALUE"""),"")</f>
        <v/>
      </c>
      <c r="W281" s="5" t="str">
        <f>IFERROR(__xludf.DUMMYFUNCTION("""COMPUTED_VALUE"""),"")</f>
        <v/>
      </c>
      <c r="X281" s="5" t="str">
        <f>IFERROR(__xludf.DUMMYFUNCTION("""COMPUTED_VALUE"""),"")</f>
        <v/>
      </c>
      <c r="Y281" s="5"/>
      <c r="Z281" s="5"/>
    </row>
    <row r="282">
      <c r="A282" s="5" t="str">
        <f>IFERROR(__xludf.DUMMYFUNCTION("""COMPUTED_VALUE"""),"Christmas Presents")</f>
        <v>Christmas Presents</v>
      </c>
      <c r="B282" s="5" t="str">
        <f>IFERROR(__xludf.DUMMYFUNCTION("""COMPUTED_VALUE"""),"")</f>
        <v/>
      </c>
      <c r="C282" s="5" t="str">
        <f>IFERROR(__xludf.DUMMYFUNCTION("""COMPUTED_VALUE"""),"")</f>
        <v/>
      </c>
      <c r="D282" s="5" t="str">
        <f>IFERROR(__xludf.DUMMYFUNCTION("""COMPUTED_VALUE"""),"")</f>
        <v/>
      </c>
      <c r="E282" s="5" t="str">
        <f>IFERROR(__xludf.DUMMYFUNCTION("""COMPUTED_VALUE"""),"")</f>
        <v/>
      </c>
      <c r="F282" s="5" t="str">
        <f>IFERROR(__xludf.DUMMYFUNCTION("""COMPUTED_VALUE"""),"")</f>
        <v/>
      </c>
      <c r="G282" s="5" t="str">
        <f>IFERROR(__xludf.DUMMYFUNCTION("""COMPUTED_VALUE"""),"")</f>
        <v/>
      </c>
      <c r="H282" s="5" t="str">
        <f>IFERROR(__xludf.DUMMYFUNCTION("""COMPUTED_VALUE"""),"")</f>
        <v/>
      </c>
      <c r="I282" s="5" t="str">
        <f>IFERROR(__xludf.DUMMYFUNCTION("""COMPUTED_VALUE"""),"")</f>
        <v/>
      </c>
      <c r="J282" s="5" t="str">
        <f>IFERROR(__xludf.DUMMYFUNCTION("""COMPUTED_VALUE"""),"")</f>
        <v/>
      </c>
      <c r="K282" s="5" t="str">
        <f>IFERROR(__xludf.DUMMYFUNCTION("""COMPUTED_VALUE"""),"")</f>
        <v/>
      </c>
      <c r="L282" s="5" t="str">
        <f>IFERROR(__xludf.DUMMYFUNCTION("""COMPUTED_VALUE"""),"")</f>
        <v/>
      </c>
      <c r="M282" s="5" t="str">
        <f>IFERROR(__xludf.DUMMYFUNCTION("""COMPUTED_VALUE"""),"")</f>
        <v/>
      </c>
      <c r="N282" s="5" t="str">
        <f>IFERROR(__xludf.DUMMYFUNCTION("""COMPUTED_VALUE"""),"")</f>
        <v/>
      </c>
      <c r="O282" s="5" t="str">
        <f>IFERROR(__xludf.DUMMYFUNCTION("""COMPUTED_VALUE"""),"")</f>
        <v/>
      </c>
      <c r="P282" s="5" t="str">
        <f>IFERROR(__xludf.DUMMYFUNCTION("""COMPUTED_VALUE"""),"")</f>
        <v/>
      </c>
      <c r="Q282" s="5" t="str">
        <f>IFERROR(__xludf.DUMMYFUNCTION("""COMPUTED_VALUE"""),"")</f>
        <v/>
      </c>
      <c r="R282" s="5" t="str">
        <f>IFERROR(__xludf.DUMMYFUNCTION("""COMPUTED_VALUE"""),"")</f>
        <v/>
      </c>
      <c r="S282" s="5" t="str">
        <f>IFERROR(__xludf.DUMMYFUNCTION("""COMPUTED_VALUE"""),"")</f>
        <v/>
      </c>
      <c r="T282" s="5" t="str">
        <f>IFERROR(__xludf.DUMMYFUNCTION("""COMPUTED_VALUE"""),"")</f>
        <v/>
      </c>
      <c r="U282" s="5" t="str">
        <f>IFERROR(__xludf.DUMMYFUNCTION("""COMPUTED_VALUE"""),"")</f>
        <v/>
      </c>
      <c r="V282" s="5" t="str">
        <f>IFERROR(__xludf.DUMMYFUNCTION("""COMPUTED_VALUE"""),"")</f>
        <v/>
      </c>
      <c r="W282" s="5" t="str">
        <f>IFERROR(__xludf.DUMMYFUNCTION("""COMPUTED_VALUE"""),"")</f>
        <v/>
      </c>
      <c r="X282" s="5" t="str">
        <f>IFERROR(__xludf.DUMMYFUNCTION("""COMPUTED_VALUE"""),"")</f>
        <v/>
      </c>
      <c r="Y282" s="5"/>
      <c r="Z282" s="5"/>
    </row>
    <row r="283">
      <c r="A283" s="5" t="str">
        <f>IFERROR(__xludf.DUMMYFUNCTION("""COMPUTED_VALUE"""),"Santa's Presents")</f>
        <v>Santa's Presents</v>
      </c>
      <c r="B283" s="5" t="str">
        <f>IFERROR(__xludf.DUMMYFUNCTION("""COMPUTED_VALUE"""),"")</f>
        <v/>
      </c>
      <c r="C283" s="5" t="str">
        <f>IFERROR(__xludf.DUMMYFUNCTION("""COMPUTED_VALUE"""),"")</f>
        <v/>
      </c>
      <c r="D283" s="5" t="str">
        <f>IFERROR(__xludf.DUMMYFUNCTION("""COMPUTED_VALUE"""),"Cert Preparation")</f>
        <v>Cert Preparation</v>
      </c>
      <c r="E283" s="5" t="str">
        <f>IFERROR(__xludf.DUMMYFUNCTION("""COMPUTED_VALUE"""),"")</f>
        <v/>
      </c>
      <c r="F283" s="5" t="str">
        <f>IFERROR(__xludf.DUMMYFUNCTION("""COMPUTED_VALUE"""),"Available")</f>
        <v>Available</v>
      </c>
      <c r="G283" s="5" t="str">
        <f>IFERROR(__xludf.DUMMYFUNCTION("""COMPUTED_VALUE"""),"Available")</f>
        <v>Available</v>
      </c>
      <c r="H283" s="5" t="str">
        <f>IFERROR(__xludf.DUMMYFUNCTION("""COMPUTED_VALUE"""),"Available")</f>
        <v>Available</v>
      </c>
      <c r="I283" s="5" t="str">
        <f>IFERROR(__xludf.DUMMYFUNCTION("""COMPUTED_VALUE"""),"")</f>
        <v/>
      </c>
      <c r="J283" s="5" t="str">
        <f>IFERROR(__xludf.DUMMYFUNCTION("""COMPUTED_VALUE"""),"")</f>
        <v/>
      </c>
      <c r="K283" s="5" t="str">
        <f>IFERROR(__xludf.DUMMYFUNCTION("""COMPUTED_VALUE"""),"Development")</f>
        <v>Development</v>
      </c>
      <c r="L283" s="5" t="str">
        <f>IFERROR(__xludf.DUMMYFUNCTION("""COMPUTED_VALUE"""),"Development")</f>
        <v>Development</v>
      </c>
      <c r="M283" s="5" t="str">
        <f>IFERROR(__xludf.DUMMYFUNCTION("""COMPUTED_VALUE"""),"")</f>
        <v/>
      </c>
      <c r="N283" s="5" t="str">
        <f>IFERROR(__xludf.DUMMYFUNCTION("""COMPUTED_VALUE"""),"")</f>
        <v/>
      </c>
      <c r="O283" s="5" t="str">
        <f>IFERROR(__xludf.DUMMYFUNCTION("""COMPUTED_VALUE"""),"")</f>
        <v/>
      </c>
      <c r="P283" s="5" t="str">
        <f>IFERROR(__xludf.DUMMYFUNCTION("""COMPUTED_VALUE"""),"")</f>
        <v/>
      </c>
      <c r="Q283" s="5" t="str">
        <f>IFERROR(__xludf.DUMMYFUNCTION("""COMPUTED_VALUE"""),"Available")</f>
        <v>Available</v>
      </c>
      <c r="R283" s="5" t="str">
        <f>IFERROR(__xludf.DUMMYFUNCTION("""COMPUTED_VALUE"""),"")</f>
        <v/>
      </c>
      <c r="S283" s="5" t="str">
        <f>IFERROR(__xludf.DUMMYFUNCTION("""COMPUTED_VALUE"""),"")</f>
        <v/>
      </c>
      <c r="T283" s="5" t="str">
        <f>IFERROR(__xludf.DUMMYFUNCTION("""COMPUTED_VALUE"""),"")</f>
        <v/>
      </c>
      <c r="U283" s="5" t="str">
        <f>IFERROR(__xludf.DUMMYFUNCTION("""COMPUTED_VALUE"""),"")</f>
        <v/>
      </c>
      <c r="V283" s="5" t="str">
        <f>IFERROR(__xludf.DUMMYFUNCTION("""COMPUTED_VALUE"""),"")</f>
        <v/>
      </c>
      <c r="W283" s="5" t="str">
        <f>IFERROR(__xludf.DUMMYFUNCTION("""COMPUTED_VALUE"""),"")</f>
        <v/>
      </c>
      <c r="X283" s="5" t="str">
        <f>IFERROR(__xludf.DUMMYFUNCTION("""COMPUTED_VALUE"""),"")</f>
        <v/>
      </c>
      <c r="Y283" s="5"/>
      <c r="Z283" s="5"/>
    </row>
    <row r="284">
      <c r="A284" s="5" t="str">
        <f>IFERROR(__xludf.DUMMYFUNCTION("""COMPUTED_VALUE"""),"Golden Vegas")</f>
        <v>Golden Vegas</v>
      </c>
      <c r="B284" s="5" t="str">
        <f>IFERROR(__xludf.DUMMYFUNCTION("""COMPUTED_VALUE"""),"")</f>
        <v/>
      </c>
      <c r="C284" s="5" t="str">
        <f>IFERROR(__xludf.DUMMYFUNCTION("""COMPUTED_VALUE"""),"")</f>
        <v/>
      </c>
      <c r="D284" s="5" t="str">
        <f>IFERROR(__xludf.DUMMYFUNCTION("""COMPUTED_VALUE"""),"")</f>
        <v/>
      </c>
      <c r="E284" s="5" t="str">
        <f>IFERROR(__xludf.DUMMYFUNCTION("""COMPUTED_VALUE"""),"")</f>
        <v/>
      </c>
      <c r="F284" s="5" t="str">
        <f>IFERROR(__xludf.DUMMYFUNCTION("""COMPUTED_VALUE"""),"")</f>
        <v/>
      </c>
      <c r="G284" s="5" t="str">
        <f>IFERROR(__xludf.DUMMYFUNCTION("""COMPUTED_VALUE"""),"")</f>
        <v/>
      </c>
      <c r="H284" s="5" t="str">
        <f>IFERROR(__xludf.DUMMYFUNCTION("""COMPUTED_VALUE"""),"")</f>
        <v/>
      </c>
      <c r="I284" s="5" t="str">
        <f>IFERROR(__xludf.DUMMYFUNCTION("""COMPUTED_VALUE"""),"")</f>
        <v/>
      </c>
      <c r="J284" s="5" t="str">
        <f>IFERROR(__xludf.DUMMYFUNCTION("""COMPUTED_VALUE"""),"")</f>
        <v/>
      </c>
      <c r="K284" s="5" t="str">
        <f>IFERROR(__xludf.DUMMYFUNCTION("""COMPUTED_VALUE"""),"")</f>
        <v/>
      </c>
      <c r="L284" s="5" t="str">
        <f>IFERROR(__xludf.DUMMYFUNCTION("""COMPUTED_VALUE"""),"")</f>
        <v/>
      </c>
      <c r="M284" s="5" t="str">
        <f>IFERROR(__xludf.DUMMYFUNCTION("""COMPUTED_VALUE"""),"")</f>
        <v/>
      </c>
      <c r="N284" s="5" t="str">
        <f>IFERROR(__xludf.DUMMYFUNCTION("""COMPUTED_VALUE"""),"")</f>
        <v/>
      </c>
      <c r="O284" s="5" t="str">
        <f>IFERROR(__xludf.DUMMYFUNCTION("""COMPUTED_VALUE"""),"")</f>
        <v/>
      </c>
      <c r="P284" s="5" t="str">
        <f>IFERROR(__xludf.DUMMYFUNCTION("""COMPUTED_VALUE"""),"")</f>
        <v/>
      </c>
      <c r="Q284" s="5" t="str">
        <f>IFERROR(__xludf.DUMMYFUNCTION("""COMPUTED_VALUE"""),"")</f>
        <v/>
      </c>
      <c r="R284" s="5" t="str">
        <f>IFERROR(__xludf.DUMMYFUNCTION("""COMPUTED_VALUE"""),"")</f>
        <v/>
      </c>
      <c r="S284" s="5" t="str">
        <f>IFERROR(__xludf.DUMMYFUNCTION("""COMPUTED_VALUE"""),"")</f>
        <v/>
      </c>
      <c r="T284" s="5" t="str">
        <f>IFERROR(__xludf.DUMMYFUNCTION("""COMPUTED_VALUE"""),"")</f>
        <v/>
      </c>
      <c r="U284" s="5" t="str">
        <f>IFERROR(__xludf.DUMMYFUNCTION("""COMPUTED_VALUE"""),"")</f>
        <v/>
      </c>
      <c r="V284" s="5" t="str">
        <f>IFERROR(__xludf.DUMMYFUNCTION("""COMPUTED_VALUE"""),"")</f>
        <v/>
      </c>
      <c r="W284" s="5" t="str">
        <f>IFERROR(__xludf.DUMMYFUNCTION("""COMPUTED_VALUE"""),"")</f>
        <v/>
      </c>
      <c r="X284" s="5" t="str">
        <f>IFERROR(__xludf.DUMMYFUNCTION("""COMPUTED_VALUE"""),"")</f>
        <v/>
      </c>
      <c r="Y284" s="5"/>
      <c r="Z284" s="5"/>
    </row>
    <row r="285">
      <c r="A285" s="5" t="str">
        <f>IFERROR(__xludf.DUMMYFUNCTION("""COMPUTED_VALUE"""),"Chilli Respin")</f>
        <v>Chilli Respin</v>
      </c>
      <c r="B285" s="5" t="str">
        <f>IFERROR(__xludf.DUMMYFUNCTION("""COMPUTED_VALUE"""),"Development")</f>
        <v>Development</v>
      </c>
      <c r="C285" s="5" t="str">
        <f>IFERROR(__xludf.DUMMYFUNCTION("""COMPUTED_VALUE"""),"Development")</f>
        <v>Development</v>
      </c>
      <c r="D285" s="5" t="str">
        <f>IFERROR(__xludf.DUMMYFUNCTION("""COMPUTED_VALUE"""),"Cert Preparation")</f>
        <v>Cert Preparation</v>
      </c>
      <c r="E285" s="5" t="str">
        <f>IFERROR(__xludf.DUMMYFUNCTION("""COMPUTED_VALUE"""),"")</f>
        <v/>
      </c>
      <c r="F285" s="5" t="str">
        <f>IFERROR(__xludf.DUMMYFUNCTION("""COMPUTED_VALUE"""),"Available")</f>
        <v>Available</v>
      </c>
      <c r="G285" s="5" t="str">
        <f>IFERROR(__xludf.DUMMYFUNCTION("""COMPUTED_VALUE"""),"Available")</f>
        <v>Available</v>
      </c>
      <c r="H285" s="5" t="str">
        <f>IFERROR(__xludf.DUMMYFUNCTION("""COMPUTED_VALUE"""),"Available")</f>
        <v>Available</v>
      </c>
      <c r="I285" s="5" t="str">
        <f>IFERROR(__xludf.DUMMYFUNCTION("""COMPUTED_VALUE"""),"Development")</f>
        <v>Development</v>
      </c>
      <c r="J285" s="5" t="str">
        <f>IFERROR(__xludf.DUMMYFUNCTION("""COMPUTED_VALUE"""),"")</f>
        <v/>
      </c>
      <c r="K285" s="5" t="str">
        <f>IFERROR(__xludf.DUMMYFUNCTION("""COMPUTED_VALUE"""),"")</f>
        <v/>
      </c>
      <c r="L285" s="5" t="str">
        <f>IFERROR(__xludf.DUMMYFUNCTION("""COMPUTED_VALUE"""),"")</f>
        <v/>
      </c>
      <c r="M285" s="5" t="str">
        <f>IFERROR(__xludf.DUMMYFUNCTION("""COMPUTED_VALUE"""),"")</f>
        <v/>
      </c>
      <c r="N285" s="5" t="str">
        <f>IFERROR(__xludf.DUMMYFUNCTION("""COMPUTED_VALUE"""),"")</f>
        <v/>
      </c>
      <c r="O285" s="5" t="str">
        <f>IFERROR(__xludf.DUMMYFUNCTION("""COMPUTED_VALUE"""),"")</f>
        <v/>
      </c>
      <c r="P285" s="5" t="str">
        <f>IFERROR(__xludf.DUMMYFUNCTION("""COMPUTED_VALUE"""),"")</f>
        <v/>
      </c>
      <c r="Q285" s="5" t="str">
        <f>IFERROR(__xludf.DUMMYFUNCTION("""COMPUTED_VALUE"""),"Available")</f>
        <v>Available</v>
      </c>
      <c r="R285" s="5" t="str">
        <f>IFERROR(__xludf.DUMMYFUNCTION("""COMPUTED_VALUE"""),"")</f>
        <v/>
      </c>
      <c r="S285" s="5" t="str">
        <f>IFERROR(__xludf.DUMMYFUNCTION("""COMPUTED_VALUE"""),"")</f>
        <v/>
      </c>
      <c r="T285" s="5" t="str">
        <f>IFERROR(__xludf.DUMMYFUNCTION("""COMPUTED_VALUE"""),"")</f>
        <v/>
      </c>
      <c r="U285" s="5" t="str">
        <f>IFERROR(__xludf.DUMMYFUNCTION("""COMPUTED_VALUE"""),"")</f>
        <v/>
      </c>
      <c r="V285" s="5" t="str">
        <f>IFERROR(__xludf.DUMMYFUNCTION("""COMPUTED_VALUE"""),"")</f>
        <v/>
      </c>
      <c r="W285" s="5" t="str">
        <f>IFERROR(__xludf.DUMMYFUNCTION("""COMPUTED_VALUE"""),"")</f>
        <v/>
      </c>
      <c r="X285" s="5" t="str">
        <f>IFERROR(__xludf.DUMMYFUNCTION("""COMPUTED_VALUE"""),"")</f>
        <v/>
      </c>
      <c r="Y285" s="5"/>
      <c r="Z285" s="5"/>
    </row>
    <row r="286">
      <c r="A286" s="5" t="str">
        <f>IFERROR(__xludf.DUMMYFUNCTION("""COMPUTED_VALUE"""),"Chilli Hot 5")</f>
        <v>Chilli Hot 5</v>
      </c>
      <c r="B286" s="5" t="str">
        <f>IFERROR(__xludf.DUMMYFUNCTION("""COMPUTED_VALUE"""),"")</f>
        <v/>
      </c>
      <c r="C286" s="5" t="str">
        <f>IFERROR(__xludf.DUMMYFUNCTION("""COMPUTED_VALUE"""),"")</f>
        <v/>
      </c>
      <c r="D286" s="5" t="str">
        <f>IFERROR(__xludf.DUMMYFUNCTION("""COMPUTED_VALUE"""),"")</f>
        <v/>
      </c>
      <c r="E286" s="5" t="str">
        <f>IFERROR(__xludf.DUMMYFUNCTION("""COMPUTED_VALUE"""),"")</f>
        <v/>
      </c>
      <c r="F286" s="5" t="str">
        <f>IFERROR(__xludf.DUMMYFUNCTION("""COMPUTED_VALUE"""),"")</f>
        <v/>
      </c>
      <c r="G286" s="5" t="str">
        <f>IFERROR(__xludf.DUMMYFUNCTION("""COMPUTED_VALUE"""),"")</f>
        <v/>
      </c>
      <c r="H286" s="5" t="str">
        <f>IFERROR(__xludf.DUMMYFUNCTION("""COMPUTED_VALUE"""),"")</f>
        <v/>
      </c>
      <c r="I286" s="5" t="str">
        <f>IFERROR(__xludf.DUMMYFUNCTION("""COMPUTED_VALUE"""),"")</f>
        <v/>
      </c>
      <c r="J286" s="5" t="str">
        <f>IFERROR(__xludf.DUMMYFUNCTION("""COMPUTED_VALUE"""),"")</f>
        <v/>
      </c>
      <c r="K286" s="5" t="str">
        <f>IFERROR(__xludf.DUMMYFUNCTION("""COMPUTED_VALUE"""),"")</f>
        <v/>
      </c>
      <c r="L286" s="5" t="str">
        <f>IFERROR(__xludf.DUMMYFUNCTION("""COMPUTED_VALUE"""),"")</f>
        <v/>
      </c>
      <c r="M286" s="5" t="str">
        <f>IFERROR(__xludf.DUMMYFUNCTION("""COMPUTED_VALUE"""),"")</f>
        <v/>
      </c>
      <c r="N286" s="5" t="str">
        <f>IFERROR(__xludf.DUMMYFUNCTION("""COMPUTED_VALUE"""),"")</f>
        <v/>
      </c>
      <c r="O286" s="5" t="str">
        <f>IFERROR(__xludf.DUMMYFUNCTION("""COMPUTED_VALUE"""),"")</f>
        <v/>
      </c>
      <c r="P286" s="5" t="str">
        <f>IFERROR(__xludf.DUMMYFUNCTION("""COMPUTED_VALUE"""),"")</f>
        <v/>
      </c>
      <c r="Q286" s="5" t="str">
        <f>IFERROR(__xludf.DUMMYFUNCTION("""COMPUTED_VALUE"""),"")</f>
        <v/>
      </c>
      <c r="R286" s="5" t="str">
        <f>IFERROR(__xludf.DUMMYFUNCTION("""COMPUTED_VALUE"""),"")</f>
        <v/>
      </c>
      <c r="S286" s="5" t="str">
        <f>IFERROR(__xludf.DUMMYFUNCTION("""COMPUTED_VALUE"""),"")</f>
        <v/>
      </c>
      <c r="T286" s="5" t="str">
        <f>IFERROR(__xludf.DUMMYFUNCTION("""COMPUTED_VALUE"""),"")</f>
        <v/>
      </c>
      <c r="U286" s="5" t="str">
        <f>IFERROR(__xludf.DUMMYFUNCTION("""COMPUTED_VALUE"""),"")</f>
        <v/>
      </c>
      <c r="V286" s="5" t="str">
        <f>IFERROR(__xludf.DUMMYFUNCTION("""COMPUTED_VALUE"""),"")</f>
        <v/>
      </c>
      <c r="W286" s="5" t="str">
        <f>IFERROR(__xludf.DUMMYFUNCTION("""COMPUTED_VALUE"""),"")</f>
        <v/>
      </c>
      <c r="X286" s="5" t="str">
        <f>IFERROR(__xludf.DUMMYFUNCTION("""COMPUTED_VALUE"""),"")</f>
        <v/>
      </c>
      <c r="Y286" s="5"/>
      <c r="Z286" s="5"/>
    </row>
    <row r="287">
      <c r="A287" s="5" t="str">
        <f>IFERROR(__xludf.DUMMYFUNCTION("""COMPUTED_VALUE"""),"40 Hot Joker")</f>
        <v>40 Hot Joker</v>
      </c>
      <c r="B287" s="5" t="str">
        <f>IFERROR(__xludf.DUMMYFUNCTION("""COMPUTED_VALUE"""),"")</f>
        <v/>
      </c>
      <c r="C287" s="5" t="str">
        <f>IFERROR(__xludf.DUMMYFUNCTION("""COMPUTED_VALUE"""),"")</f>
        <v/>
      </c>
      <c r="D287" s="5" t="str">
        <f>IFERROR(__xludf.DUMMYFUNCTION("""COMPUTED_VALUE"""),"")</f>
        <v/>
      </c>
      <c r="E287" s="5" t="str">
        <f>IFERROR(__xludf.DUMMYFUNCTION("""COMPUTED_VALUE"""),"")</f>
        <v/>
      </c>
      <c r="F287" s="5" t="str">
        <f>IFERROR(__xludf.DUMMYFUNCTION("""COMPUTED_VALUE"""),"")</f>
        <v/>
      </c>
      <c r="G287" s="5" t="str">
        <f>IFERROR(__xludf.DUMMYFUNCTION("""COMPUTED_VALUE"""),"")</f>
        <v/>
      </c>
      <c r="H287" s="5" t="str">
        <f>IFERROR(__xludf.DUMMYFUNCTION("""COMPUTED_VALUE"""),"")</f>
        <v/>
      </c>
      <c r="I287" s="5" t="str">
        <f>IFERROR(__xludf.DUMMYFUNCTION("""COMPUTED_VALUE"""),"")</f>
        <v/>
      </c>
      <c r="J287" s="5" t="str">
        <f>IFERROR(__xludf.DUMMYFUNCTION("""COMPUTED_VALUE"""),"")</f>
        <v/>
      </c>
      <c r="K287" s="5" t="str">
        <f>IFERROR(__xludf.DUMMYFUNCTION("""COMPUTED_VALUE"""),"")</f>
        <v/>
      </c>
      <c r="L287" s="5" t="str">
        <f>IFERROR(__xludf.DUMMYFUNCTION("""COMPUTED_VALUE"""),"")</f>
        <v/>
      </c>
      <c r="M287" s="5" t="str">
        <f>IFERROR(__xludf.DUMMYFUNCTION("""COMPUTED_VALUE"""),"")</f>
        <v/>
      </c>
      <c r="N287" s="5" t="str">
        <f>IFERROR(__xludf.DUMMYFUNCTION("""COMPUTED_VALUE"""),"")</f>
        <v/>
      </c>
      <c r="O287" s="5" t="str">
        <f>IFERROR(__xludf.DUMMYFUNCTION("""COMPUTED_VALUE"""),"")</f>
        <v/>
      </c>
      <c r="P287" s="5" t="str">
        <f>IFERROR(__xludf.DUMMYFUNCTION("""COMPUTED_VALUE"""),"")</f>
        <v/>
      </c>
      <c r="Q287" s="5" t="str">
        <f>IFERROR(__xludf.DUMMYFUNCTION("""COMPUTED_VALUE"""),"")</f>
        <v/>
      </c>
      <c r="R287" s="5" t="str">
        <f>IFERROR(__xludf.DUMMYFUNCTION("""COMPUTED_VALUE"""),"")</f>
        <v/>
      </c>
      <c r="S287" s="5" t="str">
        <f>IFERROR(__xludf.DUMMYFUNCTION("""COMPUTED_VALUE"""),"")</f>
        <v/>
      </c>
      <c r="T287" s="5" t="str">
        <f>IFERROR(__xludf.DUMMYFUNCTION("""COMPUTED_VALUE"""),"")</f>
        <v/>
      </c>
      <c r="U287" s="5" t="str">
        <f>IFERROR(__xludf.DUMMYFUNCTION("""COMPUTED_VALUE"""),"")</f>
        <v/>
      </c>
      <c r="V287" s="5" t="str">
        <f>IFERROR(__xludf.DUMMYFUNCTION("""COMPUTED_VALUE"""),"")</f>
        <v/>
      </c>
      <c r="W287" s="5" t="str">
        <f>IFERROR(__xludf.DUMMYFUNCTION("""COMPUTED_VALUE"""),"")</f>
        <v/>
      </c>
      <c r="X287" s="5" t="str">
        <f>IFERROR(__xludf.DUMMYFUNCTION("""COMPUTED_VALUE"""),"")</f>
        <v/>
      </c>
      <c r="Y287" s="5"/>
      <c r="Z287" s="5"/>
    </row>
    <row r="288">
      <c r="A288" s="5" t="str">
        <f>IFERROR(__xludf.DUMMYFUNCTION("""COMPUTED_VALUE"""),"Jolly Presents")</f>
        <v>Jolly Presents</v>
      </c>
      <c r="B288" s="5" t="str">
        <f>IFERROR(__xludf.DUMMYFUNCTION("""COMPUTED_VALUE"""),"")</f>
        <v/>
      </c>
      <c r="C288" s="5" t="str">
        <f>IFERROR(__xludf.DUMMYFUNCTION("""COMPUTED_VALUE"""),"")</f>
        <v/>
      </c>
      <c r="D288" s="5" t="str">
        <f>IFERROR(__xludf.DUMMYFUNCTION("""COMPUTED_VALUE"""),"")</f>
        <v/>
      </c>
      <c r="E288" s="5" t="str">
        <f>IFERROR(__xludf.DUMMYFUNCTION("""COMPUTED_VALUE"""),"")</f>
        <v/>
      </c>
      <c r="F288" s="5" t="str">
        <f>IFERROR(__xludf.DUMMYFUNCTION("""COMPUTED_VALUE"""),"")</f>
        <v/>
      </c>
      <c r="G288" s="5" t="str">
        <f>IFERROR(__xludf.DUMMYFUNCTION("""COMPUTED_VALUE"""),"")</f>
        <v/>
      </c>
      <c r="H288" s="5" t="str">
        <f>IFERROR(__xludf.DUMMYFUNCTION("""COMPUTED_VALUE"""),"")</f>
        <v/>
      </c>
      <c r="I288" s="5" t="str">
        <f>IFERROR(__xludf.DUMMYFUNCTION("""COMPUTED_VALUE"""),"")</f>
        <v/>
      </c>
      <c r="J288" s="5" t="str">
        <f>IFERROR(__xludf.DUMMYFUNCTION("""COMPUTED_VALUE"""),"")</f>
        <v/>
      </c>
      <c r="K288" s="5" t="str">
        <f>IFERROR(__xludf.DUMMYFUNCTION("""COMPUTED_VALUE"""),"")</f>
        <v/>
      </c>
      <c r="L288" s="5" t="str">
        <f>IFERROR(__xludf.DUMMYFUNCTION("""COMPUTED_VALUE"""),"")</f>
        <v/>
      </c>
      <c r="M288" s="5" t="str">
        <f>IFERROR(__xludf.DUMMYFUNCTION("""COMPUTED_VALUE"""),"")</f>
        <v/>
      </c>
      <c r="N288" s="5" t="str">
        <f>IFERROR(__xludf.DUMMYFUNCTION("""COMPUTED_VALUE"""),"")</f>
        <v/>
      </c>
      <c r="O288" s="5" t="str">
        <f>IFERROR(__xludf.DUMMYFUNCTION("""COMPUTED_VALUE"""),"")</f>
        <v/>
      </c>
      <c r="P288" s="5" t="str">
        <f>IFERROR(__xludf.DUMMYFUNCTION("""COMPUTED_VALUE"""),"")</f>
        <v/>
      </c>
      <c r="Q288" s="5" t="str">
        <f>IFERROR(__xludf.DUMMYFUNCTION("""COMPUTED_VALUE"""),"")</f>
        <v/>
      </c>
      <c r="R288" s="5" t="str">
        <f>IFERROR(__xludf.DUMMYFUNCTION("""COMPUTED_VALUE"""),"")</f>
        <v/>
      </c>
      <c r="S288" s="5" t="str">
        <f>IFERROR(__xludf.DUMMYFUNCTION("""COMPUTED_VALUE"""),"")</f>
        <v/>
      </c>
      <c r="T288" s="5" t="str">
        <f>IFERROR(__xludf.DUMMYFUNCTION("""COMPUTED_VALUE"""),"")</f>
        <v/>
      </c>
      <c r="U288" s="5" t="str">
        <f>IFERROR(__xludf.DUMMYFUNCTION("""COMPUTED_VALUE"""),"")</f>
        <v/>
      </c>
      <c r="V288" s="5" t="str">
        <f>IFERROR(__xludf.DUMMYFUNCTION("""COMPUTED_VALUE"""),"")</f>
        <v/>
      </c>
      <c r="W288" s="5" t="str">
        <f>IFERROR(__xludf.DUMMYFUNCTION("""COMPUTED_VALUE"""),"")</f>
        <v/>
      </c>
      <c r="X288" s="5" t="str">
        <f>IFERROR(__xludf.DUMMYFUNCTION("""COMPUTED_VALUE"""),"")</f>
        <v/>
      </c>
      <c r="Y288" s="5"/>
      <c r="Z288" s="5"/>
    </row>
    <row r="289">
      <c r="A289" s="5" t="str">
        <f>IFERROR(__xludf.DUMMYFUNCTION("""COMPUTED_VALUE"""),"20 Fruit Frenzy")</f>
        <v>20 Fruit Frenzy</v>
      </c>
      <c r="B289" s="5" t="str">
        <f>IFERROR(__xludf.DUMMYFUNCTION("""COMPUTED_VALUE"""),"")</f>
        <v/>
      </c>
      <c r="C289" s="5" t="str">
        <f>IFERROR(__xludf.DUMMYFUNCTION("""COMPUTED_VALUE"""),"")</f>
        <v/>
      </c>
      <c r="D289" s="5" t="str">
        <f>IFERROR(__xludf.DUMMYFUNCTION("""COMPUTED_VALUE"""),"")</f>
        <v/>
      </c>
      <c r="E289" s="5" t="str">
        <f>IFERROR(__xludf.DUMMYFUNCTION("""COMPUTED_VALUE"""),"")</f>
        <v/>
      </c>
      <c r="F289" s="5" t="str">
        <f>IFERROR(__xludf.DUMMYFUNCTION("""COMPUTED_VALUE"""),"")</f>
        <v/>
      </c>
      <c r="G289" s="5" t="str">
        <f>IFERROR(__xludf.DUMMYFUNCTION("""COMPUTED_VALUE"""),"")</f>
        <v/>
      </c>
      <c r="H289" s="5" t="str">
        <f>IFERROR(__xludf.DUMMYFUNCTION("""COMPUTED_VALUE"""),"")</f>
        <v/>
      </c>
      <c r="I289" s="5" t="str">
        <f>IFERROR(__xludf.DUMMYFUNCTION("""COMPUTED_VALUE"""),"")</f>
        <v/>
      </c>
      <c r="J289" s="5" t="str">
        <f>IFERROR(__xludf.DUMMYFUNCTION("""COMPUTED_VALUE"""),"")</f>
        <v/>
      </c>
      <c r="K289" s="5" t="str">
        <f>IFERROR(__xludf.DUMMYFUNCTION("""COMPUTED_VALUE"""),"")</f>
        <v/>
      </c>
      <c r="L289" s="5" t="str">
        <f>IFERROR(__xludf.DUMMYFUNCTION("""COMPUTED_VALUE"""),"")</f>
        <v/>
      </c>
      <c r="M289" s="5" t="str">
        <f>IFERROR(__xludf.DUMMYFUNCTION("""COMPUTED_VALUE"""),"")</f>
        <v/>
      </c>
      <c r="N289" s="5" t="str">
        <f>IFERROR(__xludf.DUMMYFUNCTION("""COMPUTED_VALUE"""),"")</f>
        <v/>
      </c>
      <c r="O289" s="5" t="str">
        <f>IFERROR(__xludf.DUMMYFUNCTION("""COMPUTED_VALUE"""),"")</f>
        <v/>
      </c>
      <c r="P289" s="5" t="str">
        <f>IFERROR(__xludf.DUMMYFUNCTION("""COMPUTED_VALUE"""),"")</f>
        <v/>
      </c>
      <c r="Q289" s="5" t="str">
        <f>IFERROR(__xludf.DUMMYFUNCTION("""COMPUTED_VALUE"""),"")</f>
        <v/>
      </c>
      <c r="R289" s="5" t="str">
        <f>IFERROR(__xludf.DUMMYFUNCTION("""COMPUTED_VALUE"""),"")</f>
        <v/>
      </c>
      <c r="S289" s="5" t="str">
        <f>IFERROR(__xludf.DUMMYFUNCTION("""COMPUTED_VALUE"""),"")</f>
        <v/>
      </c>
      <c r="T289" s="5" t="str">
        <f>IFERROR(__xludf.DUMMYFUNCTION("""COMPUTED_VALUE"""),"")</f>
        <v/>
      </c>
      <c r="U289" s="5" t="str">
        <f>IFERROR(__xludf.DUMMYFUNCTION("""COMPUTED_VALUE"""),"")</f>
        <v/>
      </c>
      <c r="V289" s="5" t="str">
        <f>IFERROR(__xludf.DUMMYFUNCTION("""COMPUTED_VALUE"""),"")</f>
        <v/>
      </c>
      <c r="W289" s="5" t="str">
        <f>IFERROR(__xludf.DUMMYFUNCTION("""COMPUTED_VALUE"""),"")</f>
        <v/>
      </c>
      <c r="X289" s="5" t="str">
        <f>IFERROR(__xludf.DUMMYFUNCTION("""COMPUTED_VALUE"""),"")</f>
        <v/>
      </c>
      <c r="Y289" s="5"/>
      <c r="Z289" s="5"/>
    </row>
    <row r="290">
      <c r="A290" s="5" t="str">
        <f>IFERROR(__xludf.DUMMYFUNCTION("""COMPUTED_VALUE"""),"40 Fruit Frenzy")</f>
        <v>40 Fruit Frenzy</v>
      </c>
      <c r="B290" s="5" t="str">
        <f>IFERROR(__xludf.DUMMYFUNCTION("""COMPUTED_VALUE"""),"")</f>
        <v/>
      </c>
      <c r="C290" s="5" t="str">
        <f>IFERROR(__xludf.DUMMYFUNCTION("""COMPUTED_VALUE"""),"")</f>
        <v/>
      </c>
      <c r="D290" s="5" t="str">
        <f>IFERROR(__xludf.DUMMYFUNCTION("""COMPUTED_VALUE"""),"")</f>
        <v/>
      </c>
      <c r="E290" s="5" t="str">
        <f>IFERROR(__xludf.DUMMYFUNCTION("""COMPUTED_VALUE"""),"")</f>
        <v/>
      </c>
      <c r="F290" s="5" t="str">
        <f>IFERROR(__xludf.DUMMYFUNCTION("""COMPUTED_VALUE"""),"")</f>
        <v/>
      </c>
      <c r="G290" s="5" t="str">
        <f>IFERROR(__xludf.DUMMYFUNCTION("""COMPUTED_VALUE"""),"")</f>
        <v/>
      </c>
      <c r="H290" s="5" t="str">
        <f>IFERROR(__xludf.DUMMYFUNCTION("""COMPUTED_VALUE"""),"")</f>
        <v/>
      </c>
      <c r="I290" s="5" t="str">
        <f>IFERROR(__xludf.DUMMYFUNCTION("""COMPUTED_VALUE"""),"")</f>
        <v/>
      </c>
      <c r="J290" s="5" t="str">
        <f>IFERROR(__xludf.DUMMYFUNCTION("""COMPUTED_VALUE"""),"")</f>
        <v/>
      </c>
      <c r="K290" s="5" t="str">
        <f>IFERROR(__xludf.DUMMYFUNCTION("""COMPUTED_VALUE"""),"")</f>
        <v/>
      </c>
      <c r="L290" s="5" t="str">
        <f>IFERROR(__xludf.DUMMYFUNCTION("""COMPUTED_VALUE"""),"")</f>
        <v/>
      </c>
      <c r="M290" s="5" t="str">
        <f>IFERROR(__xludf.DUMMYFUNCTION("""COMPUTED_VALUE"""),"")</f>
        <v/>
      </c>
      <c r="N290" s="5" t="str">
        <f>IFERROR(__xludf.DUMMYFUNCTION("""COMPUTED_VALUE"""),"")</f>
        <v/>
      </c>
      <c r="O290" s="5" t="str">
        <f>IFERROR(__xludf.DUMMYFUNCTION("""COMPUTED_VALUE"""),"")</f>
        <v/>
      </c>
      <c r="P290" s="5" t="str">
        <f>IFERROR(__xludf.DUMMYFUNCTION("""COMPUTED_VALUE"""),"")</f>
        <v/>
      </c>
      <c r="Q290" s="5" t="str">
        <f>IFERROR(__xludf.DUMMYFUNCTION("""COMPUTED_VALUE"""),"")</f>
        <v/>
      </c>
      <c r="R290" s="5" t="str">
        <f>IFERROR(__xludf.DUMMYFUNCTION("""COMPUTED_VALUE"""),"")</f>
        <v/>
      </c>
      <c r="S290" s="5" t="str">
        <f>IFERROR(__xludf.DUMMYFUNCTION("""COMPUTED_VALUE"""),"")</f>
        <v/>
      </c>
      <c r="T290" s="5" t="str">
        <f>IFERROR(__xludf.DUMMYFUNCTION("""COMPUTED_VALUE"""),"")</f>
        <v/>
      </c>
      <c r="U290" s="5" t="str">
        <f>IFERROR(__xludf.DUMMYFUNCTION("""COMPUTED_VALUE"""),"")</f>
        <v/>
      </c>
      <c r="V290" s="5" t="str">
        <f>IFERROR(__xludf.DUMMYFUNCTION("""COMPUTED_VALUE"""),"")</f>
        <v/>
      </c>
      <c r="W290" s="5" t="str">
        <f>IFERROR(__xludf.DUMMYFUNCTION("""COMPUTED_VALUE"""),"")</f>
        <v/>
      </c>
      <c r="X290" s="5" t="str">
        <f>IFERROR(__xludf.DUMMYFUNCTION("""COMPUTED_VALUE"""),"")</f>
        <v/>
      </c>
      <c r="Y290" s="5"/>
      <c r="Z290" s="5"/>
    </row>
    <row r="291">
      <c r="A291" s="5" t="str">
        <f>IFERROR(__xludf.DUMMYFUNCTION("""COMPUTED_VALUE"""),"Wild Heart Beat")</f>
        <v>Wild Heart Beat</v>
      </c>
      <c r="B291" s="5" t="str">
        <f>IFERROR(__xludf.DUMMYFUNCTION("""COMPUTED_VALUE"""),"")</f>
        <v/>
      </c>
      <c r="C291" s="5" t="str">
        <f>IFERROR(__xludf.DUMMYFUNCTION("""COMPUTED_VALUE"""),"")</f>
        <v/>
      </c>
      <c r="D291" s="5" t="str">
        <f>IFERROR(__xludf.DUMMYFUNCTION("""COMPUTED_VALUE"""),"")</f>
        <v/>
      </c>
      <c r="E291" s="5" t="str">
        <f>IFERROR(__xludf.DUMMYFUNCTION("""COMPUTED_VALUE"""),"")</f>
        <v/>
      </c>
      <c r="F291" s="5" t="str">
        <f>IFERROR(__xludf.DUMMYFUNCTION("""COMPUTED_VALUE"""),"")</f>
        <v/>
      </c>
      <c r="G291" s="5" t="str">
        <f>IFERROR(__xludf.DUMMYFUNCTION("""COMPUTED_VALUE"""),"")</f>
        <v/>
      </c>
      <c r="H291" s="5" t="str">
        <f>IFERROR(__xludf.DUMMYFUNCTION("""COMPUTED_VALUE"""),"")</f>
        <v/>
      </c>
      <c r="I291" s="5" t="str">
        <f>IFERROR(__xludf.DUMMYFUNCTION("""COMPUTED_VALUE"""),"")</f>
        <v/>
      </c>
      <c r="J291" s="5" t="str">
        <f>IFERROR(__xludf.DUMMYFUNCTION("""COMPUTED_VALUE"""),"")</f>
        <v/>
      </c>
      <c r="K291" s="5" t="str">
        <f>IFERROR(__xludf.DUMMYFUNCTION("""COMPUTED_VALUE"""),"")</f>
        <v/>
      </c>
      <c r="L291" s="5" t="str">
        <f>IFERROR(__xludf.DUMMYFUNCTION("""COMPUTED_VALUE"""),"")</f>
        <v/>
      </c>
      <c r="M291" s="5" t="str">
        <f>IFERROR(__xludf.DUMMYFUNCTION("""COMPUTED_VALUE"""),"")</f>
        <v/>
      </c>
      <c r="N291" s="5" t="str">
        <f>IFERROR(__xludf.DUMMYFUNCTION("""COMPUTED_VALUE"""),"")</f>
        <v/>
      </c>
      <c r="O291" s="5" t="str">
        <f>IFERROR(__xludf.DUMMYFUNCTION("""COMPUTED_VALUE"""),"")</f>
        <v/>
      </c>
      <c r="P291" s="5" t="str">
        <f>IFERROR(__xludf.DUMMYFUNCTION("""COMPUTED_VALUE"""),"")</f>
        <v/>
      </c>
      <c r="Q291" s="5" t="str">
        <f>IFERROR(__xludf.DUMMYFUNCTION("""COMPUTED_VALUE"""),"")</f>
        <v/>
      </c>
      <c r="R291" s="5" t="str">
        <f>IFERROR(__xludf.DUMMYFUNCTION("""COMPUTED_VALUE"""),"")</f>
        <v/>
      </c>
      <c r="S291" s="5" t="str">
        <f>IFERROR(__xludf.DUMMYFUNCTION("""COMPUTED_VALUE"""),"")</f>
        <v/>
      </c>
      <c r="T291" s="5" t="str">
        <f>IFERROR(__xludf.DUMMYFUNCTION("""COMPUTED_VALUE"""),"")</f>
        <v/>
      </c>
      <c r="U291" s="5" t="str">
        <f>IFERROR(__xludf.DUMMYFUNCTION("""COMPUTED_VALUE"""),"")</f>
        <v/>
      </c>
      <c r="V291" s="5" t="str">
        <f>IFERROR(__xludf.DUMMYFUNCTION("""COMPUTED_VALUE"""),"")</f>
        <v/>
      </c>
      <c r="W291" s="5" t="str">
        <f>IFERROR(__xludf.DUMMYFUNCTION("""COMPUTED_VALUE"""),"")</f>
        <v/>
      </c>
      <c r="X291" s="5" t="str">
        <f>IFERROR(__xludf.DUMMYFUNCTION("""COMPUTED_VALUE"""),"")</f>
        <v/>
      </c>
      <c r="Y291" s="5"/>
      <c r="Z291" s="5"/>
    </row>
    <row r="292">
      <c r="A292" s="5" t="str">
        <f>IFERROR(__xludf.DUMMYFUNCTION("""COMPUTED_VALUE"""),"Wild Trail")</f>
        <v>Wild Trail</v>
      </c>
      <c r="B292" s="5" t="str">
        <f>IFERROR(__xludf.DUMMYFUNCTION("""COMPUTED_VALUE"""),"")</f>
        <v/>
      </c>
      <c r="C292" s="5" t="str">
        <f>IFERROR(__xludf.DUMMYFUNCTION("""COMPUTED_VALUE"""),"")</f>
        <v/>
      </c>
      <c r="D292" s="5" t="str">
        <f>IFERROR(__xludf.DUMMYFUNCTION("""COMPUTED_VALUE"""),"")</f>
        <v/>
      </c>
      <c r="E292" s="5" t="str">
        <f>IFERROR(__xludf.DUMMYFUNCTION("""COMPUTED_VALUE"""),"")</f>
        <v/>
      </c>
      <c r="F292" s="5" t="str">
        <f>IFERROR(__xludf.DUMMYFUNCTION("""COMPUTED_VALUE"""),"")</f>
        <v/>
      </c>
      <c r="G292" s="5" t="str">
        <f>IFERROR(__xludf.DUMMYFUNCTION("""COMPUTED_VALUE"""),"")</f>
        <v/>
      </c>
      <c r="H292" s="5" t="str">
        <f>IFERROR(__xludf.DUMMYFUNCTION("""COMPUTED_VALUE"""),"")</f>
        <v/>
      </c>
      <c r="I292" s="5" t="str">
        <f>IFERROR(__xludf.DUMMYFUNCTION("""COMPUTED_VALUE"""),"")</f>
        <v/>
      </c>
      <c r="J292" s="5" t="str">
        <f>IFERROR(__xludf.DUMMYFUNCTION("""COMPUTED_VALUE"""),"")</f>
        <v/>
      </c>
      <c r="K292" s="5" t="str">
        <f>IFERROR(__xludf.DUMMYFUNCTION("""COMPUTED_VALUE"""),"")</f>
        <v/>
      </c>
      <c r="L292" s="5" t="str">
        <f>IFERROR(__xludf.DUMMYFUNCTION("""COMPUTED_VALUE"""),"")</f>
        <v/>
      </c>
      <c r="M292" s="5" t="str">
        <f>IFERROR(__xludf.DUMMYFUNCTION("""COMPUTED_VALUE"""),"")</f>
        <v/>
      </c>
      <c r="N292" s="5" t="str">
        <f>IFERROR(__xludf.DUMMYFUNCTION("""COMPUTED_VALUE"""),"")</f>
        <v/>
      </c>
      <c r="O292" s="5" t="str">
        <f>IFERROR(__xludf.DUMMYFUNCTION("""COMPUTED_VALUE"""),"")</f>
        <v/>
      </c>
      <c r="P292" s="5" t="str">
        <f>IFERROR(__xludf.DUMMYFUNCTION("""COMPUTED_VALUE"""),"")</f>
        <v/>
      </c>
      <c r="Q292" s="5" t="str">
        <f>IFERROR(__xludf.DUMMYFUNCTION("""COMPUTED_VALUE"""),"")</f>
        <v/>
      </c>
      <c r="R292" s="5" t="str">
        <f>IFERROR(__xludf.DUMMYFUNCTION("""COMPUTED_VALUE"""),"")</f>
        <v/>
      </c>
      <c r="S292" s="5" t="str">
        <f>IFERROR(__xludf.DUMMYFUNCTION("""COMPUTED_VALUE"""),"")</f>
        <v/>
      </c>
      <c r="T292" s="5" t="str">
        <f>IFERROR(__xludf.DUMMYFUNCTION("""COMPUTED_VALUE"""),"")</f>
        <v/>
      </c>
      <c r="U292" s="5" t="str">
        <f>IFERROR(__xludf.DUMMYFUNCTION("""COMPUTED_VALUE"""),"")</f>
        <v/>
      </c>
      <c r="V292" s="5" t="str">
        <f>IFERROR(__xludf.DUMMYFUNCTION("""COMPUTED_VALUE"""),"")</f>
        <v/>
      </c>
      <c r="W292" s="5" t="str">
        <f>IFERROR(__xludf.DUMMYFUNCTION("""COMPUTED_VALUE"""),"")</f>
        <v/>
      </c>
      <c r="X292" s="5" t="str">
        <f>IFERROR(__xludf.DUMMYFUNCTION("""COMPUTED_VALUE"""),"")</f>
        <v/>
      </c>
      <c r="Y292" s="5"/>
      <c r="Z292" s="5"/>
    </row>
    <row r="293">
      <c r="A293" s="5" t="str">
        <f>IFERROR(__xludf.DUMMYFUNCTION("""COMPUTED_VALUE"""),"40 Jokers Free Games")</f>
        <v>40 Jokers Free Games</v>
      </c>
      <c r="B293" s="5" t="str">
        <f>IFERROR(__xludf.DUMMYFUNCTION("""COMPUTED_VALUE"""),"")</f>
        <v/>
      </c>
      <c r="C293" s="5" t="str">
        <f>IFERROR(__xludf.DUMMYFUNCTION("""COMPUTED_VALUE"""),"")</f>
        <v/>
      </c>
      <c r="D293" s="5" t="str">
        <f>IFERROR(__xludf.DUMMYFUNCTION("""COMPUTED_VALUE"""),"")</f>
        <v/>
      </c>
      <c r="E293" s="5" t="str">
        <f>IFERROR(__xludf.DUMMYFUNCTION("""COMPUTED_VALUE"""),"")</f>
        <v/>
      </c>
      <c r="F293" s="5" t="str">
        <f>IFERROR(__xludf.DUMMYFUNCTION("""COMPUTED_VALUE"""),"")</f>
        <v/>
      </c>
      <c r="G293" s="5" t="str">
        <f>IFERROR(__xludf.DUMMYFUNCTION("""COMPUTED_VALUE"""),"")</f>
        <v/>
      </c>
      <c r="H293" s="5" t="str">
        <f>IFERROR(__xludf.DUMMYFUNCTION("""COMPUTED_VALUE"""),"")</f>
        <v/>
      </c>
      <c r="I293" s="5" t="str">
        <f>IFERROR(__xludf.DUMMYFUNCTION("""COMPUTED_VALUE"""),"")</f>
        <v/>
      </c>
      <c r="J293" s="5" t="str">
        <f>IFERROR(__xludf.DUMMYFUNCTION("""COMPUTED_VALUE"""),"")</f>
        <v/>
      </c>
      <c r="K293" s="5" t="str">
        <f>IFERROR(__xludf.DUMMYFUNCTION("""COMPUTED_VALUE"""),"")</f>
        <v/>
      </c>
      <c r="L293" s="5" t="str">
        <f>IFERROR(__xludf.DUMMYFUNCTION("""COMPUTED_VALUE"""),"")</f>
        <v/>
      </c>
      <c r="M293" s="5" t="str">
        <f>IFERROR(__xludf.DUMMYFUNCTION("""COMPUTED_VALUE"""),"")</f>
        <v/>
      </c>
      <c r="N293" s="5" t="str">
        <f>IFERROR(__xludf.DUMMYFUNCTION("""COMPUTED_VALUE"""),"")</f>
        <v/>
      </c>
      <c r="O293" s="5" t="str">
        <f>IFERROR(__xludf.DUMMYFUNCTION("""COMPUTED_VALUE"""),"")</f>
        <v/>
      </c>
      <c r="P293" s="5" t="str">
        <f>IFERROR(__xludf.DUMMYFUNCTION("""COMPUTED_VALUE"""),"")</f>
        <v/>
      </c>
      <c r="Q293" s="5" t="str">
        <f>IFERROR(__xludf.DUMMYFUNCTION("""COMPUTED_VALUE"""),"")</f>
        <v/>
      </c>
      <c r="R293" s="5" t="str">
        <f>IFERROR(__xludf.DUMMYFUNCTION("""COMPUTED_VALUE"""),"")</f>
        <v/>
      </c>
      <c r="S293" s="5" t="str">
        <f>IFERROR(__xludf.DUMMYFUNCTION("""COMPUTED_VALUE"""),"")</f>
        <v/>
      </c>
      <c r="T293" s="5" t="str">
        <f>IFERROR(__xludf.DUMMYFUNCTION("""COMPUTED_VALUE"""),"")</f>
        <v/>
      </c>
      <c r="U293" s="5" t="str">
        <f>IFERROR(__xludf.DUMMYFUNCTION("""COMPUTED_VALUE"""),"")</f>
        <v/>
      </c>
      <c r="V293" s="5" t="str">
        <f>IFERROR(__xludf.DUMMYFUNCTION("""COMPUTED_VALUE"""),"")</f>
        <v/>
      </c>
      <c r="W293" s="5" t="str">
        <f>IFERROR(__xludf.DUMMYFUNCTION("""COMPUTED_VALUE"""),"")</f>
        <v/>
      </c>
      <c r="X293" s="5" t="str">
        <f>IFERROR(__xludf.DUMMYFUNCTION("""COMPUTED_VALUE"""),"")</f>
        <v/>
      </c>
      <c r="Y293" s="5"/>
      <c r="Z293" s="5"/>
    </row>
    <row r="294">
      <c r="A294" s="5" t="str">
        <f>IFERROR(__xludf.DUMMYFUNCTION("""COMPUTED_VALUE"""),"Moon Dog")</f>
        <v>Moon Dog</v>
      </c>
      <c r="B294" s="5" t="str">
        <f>IFERROR(__xludf.DUMMYFUNCTION("""COMPUTED_VALUE"""),"")</f>
        <v/>
      </c>
      <c r="C294" s="5" t="str">
        <f>IFERROR(__xludf.DUMMYFUNCTION("""COMPUTED_VALUE"""),"")</f>
        <v/>
      </c>
      <c r="D294" s="5" t="str">
        <f>IFERROR(__xludf.DUMMYFUNCTION("""COMPUTED_VALUE"""),"")</f>
        <v/>
      </c>
      <c r="E294" s="5" t="str">
        <f>IFERROR(__xludf.DUMMYFUNCTION("""COMPUTED_VALUE"""),"")</f>
        <v/>
      </c>
      <c r="F294" s="5" t="str">
        <f>IFERROR(__xludf.DUMMYFUNCTION("""COMPUTED_VALUE"""),"")</f>
        <v/>
      </c>
      <c r="G294" s="5" t="str">
        <f>IFERROR(__xludf.DUMMYFUNCTION("""COMPUTED_VALUE"""),"")</f>
        <v/>
      </c>
      <c r="H294" s="5" t="str">
        <f>IFERROR(__xludf.DUMMYFUNCTION("""COMPUTED_VALUE"""),"")</f>
        <v/>
      </c>
      <c r="I294" s="5" t="str">
        <f>IFERROR(__xludf.DUMMYFUNCTION("""COMPUTED_VALUE"""),"")</f>
        <v/>
      </c>
      <c r="J294" s="5" t="str">
        <f>IFERROR(__xludf.DUMMYFUNCTION("""COMPUTED_VALUE"""),"")</f>
        <v/>
      </c>
      <c r="K294" s="5" t="str">
        <f>IFERROR(__xludf.DUMMYFUNCTION("""COMPUTED_VALUE"""),"")</f>
        <v/>
      </c>
      <c r="L294" s="5" t="str">
        <f>IFERROR(__xludf.DUMMYFUNCTION("""COMPUTED_VALUE"""),"")</f>
        <v/>
      </c>
      <c r="M294" s="5" t="str">
        <f>IFERROR(__xludf.DUMMYFUNCTION("""COMPUTED_VALUE"""),"")</f>
        <v/>
      </c>
      <c r="N294" s="5" t="str">
        <f>IFERROR(__xludf.DUMMYFUNCTION("""COMPUTED_VALUE"""),"")</f>
        <v/>
      </c>
      <c r="O294" s="5" t="str">
        <f>IFERROR(__xludf.DUMMYFUNCTION("""COMPUTED_VALUE"""),"")</f>
        <v/>
      </c>
      <c r="P294" s="5" t="str">
        <f>IFERROR(__xludf.DUMMYFUNCTION("""COMPUTED_VALUE"""),"")</f>
        <v/>
      </c>
      <c r="Q294" s="5" t="str">
        <f>IFERROR(__xludf.DUMMYFUNCTION("""COMPUTED_VALUE"""),"")</f>
        <v/>
      </c>
      <c r="R294" s="5" t="str">
        <f>IFERROR(__xludf.DUMMYFUNCTION("""COMPUTED_VALUE"""),"")</f>
        <v/>
      </c>
      <c r="S294" s="5" t="str">
        <f>IFERROR(__xludf.DUMMYFUNCTION("""COMPUTED_VALUE"""),"")</f>
        <v/>
      </c>
      <c r="T294" s="5" t="str">
        <f>IFERROR(__xludf.DUMMYFUNCTION("""COMPUTED_VALUE"""),"")</f>
        <v/>
      </c>
      <c r="U294" s="5" t="str">
        <f>IFERROR(__xludf.DUMMYFUNCTION("""COMPUTED_VALUE"""),"")</f>
        <v/>
      </c>
      <c r="V294" s="5" t="str">
        <f>IFERROR(__xludf.DUMMYFUNCTION("""COMPUTED_VALUE"""),"")</f>
        <v/>
      </c>
      <c r="W294" s="5" t="str">
        <f>IFERROR(__xludf.DUMMYFUNCTION("""COMPUTED_VALUE"""),"")</f>
        <v/>
      </c>
      <c r="X294" s="5" t="str">
        <f>IFERROR(__xludf.DUMMYFUNCTION("""COMPUTED_VALUE"""),"")</f>
        <v/>
      </c>
      <c r="Y294" s="5"/>
      <c r="Z294" s="5"/>
    </row>
    <row r="295">
      <c r="A295" s="5" t="str">
        <f>IFERROR(__xludf.DUMMYFUNCTION("""COMPUTED_VALUE"""),"Bonus Epic Crown")</f>
        <v>Bonus Epic Crown</v>
      </c>
      <c r="B295" s="5" t="str">
        <f>IFERROR(__xludf.DUMMYFUNCTION("""COMPUTED_VALUE"""),"Available")</f>
        <v>Available</v>
      </c>
      <c r="C295" s="5" t="str">
        <f>IFERROR(__xludf.DUMMYFUNCTION("""COMPUTED_VALUE"""),"Development")</f>
        <v>Development</v>
      </c>
      <c r="D295" s="5" t="str">
        <f>IFERROR(__xludf.DUMMYFUNCTION("""COMPUTED_VALUE"""),"Certified")</f>
        <v>Certified</v>
      </c>
      <c r="E295" s="5" t="str">
        <f>IFERROR(__xludf.DUMMYFUNCTION("""COMPUTED_VALUE"""),"Available")</f>
        <v>Available</v>
      </c>
      <c r="F295" s="5" t="str">
        <f>IFERROR(__xludf.DUMMYFUNCTION("""COMPUTED_VALUE"""),"Available")</f>
        <v>Available</v>
      </c>
      <c r="G295" s="5" t="str">
        <f>IFERROR(__xludf.DUMMYFUNCTION("""COMPUTED_VALUE"""),"Available")</f>
        <v>Available</v>
      </c>
      <c r="H295" s="5" t="str">
        <f>IFERROR(__xludf.DUMMYFUNCTION("""COMPUTED_VALUE"""),"Available")</f>
        <v>Available</v>
      </c>
      <c r="I295" s="5" t="str">
        <f>IFERROR(__xludf.DUMMYFUNCTION("""COMPUTED_VALUE"""),"Development")</f>
        <v>Development</v>
      </c>
      <c r="J295" s="5" t="str">
        <f>IFERROR(__xludf.DUMMYFUNCTION("""COMPUTED_VALUE"""),"")</f>
        <v/>
      </c>
      <c r="K295" s="5" t="str">
        <f>IFERROR(__xludf.DUMMYFUNCTION("""COMPUTED_VALUE"""),"Development")</f>
        <v>Development</v>
      </c>
      <c r="L295" s="5" t="str">
        <f>IFERROR(__xludf.DUMMYFUNCTION("""COMPUTED_VALUE"""),"")</f>
        <v/>
      </c>
      <c r="M295" s="5" t="str">
        <f>IFERROR(__xludf.DUMMYFUNCTION("""COMPUTED_VALUE"""),"Development")</f>
        <v>Development</v>
      </c>
      <c r="N295" s="5" t="str">
        <f>IFERROR(__xludf.DUMMYFUNCTION("""COMPUTED_VALUE"""),"Development")</f>
        <v>Development</v>
      </c>
      <c r="O295" s="5" t="str">
        <f>IFERROR(__xludf.DUMMYFUNCTION("""COMPUTED_VALUE"""),"")</f>
        <v/>
      </c>
      <c r="P295" s="5" t="str">
        <f>IFERROR(__xludf.DUMMYFUNCTION("""COMPUTED_VALUE"""),"")</f>
        <v/>
      </c>
      <c r="Q295" s="5" t="str">
        <f>IFERROR(__xludf.DUMMYFUNCTION("""COMPUTED_VALUE"""),"Available")</f>
        <v>Available</v>
      </c>
      <c r="R295" s="5" t="str">
        <f>IFERROR(__xludf.DUMMYFUNCTION("""COMPUTED_VALUE"""),"")</f>
        <v/>
      </c>
      <c r="S295" s="5" t="str">
        <f>IFERROR(__xludf.DUMMYFUNCTION("""COMPUTED_VALUE"""),"In Certification")</f>
        <v>In Certification</v>
      </c>
      <c r="T295" s="5" t="str">
        <f>IFERROR(__xludf.DUMMYFUNCTION("""COMPUTED_VALUE"""),"")</f>
        <v/>
      </c>
      <c r="U295" s="5" t="str">
        <f>IFERROR(__xludf.DUMMYFUNCTION("""COMPUTED_VALUE"""),"")</f>
        <v/>
      </c>
      <c r="V295" s="5" t="str">
        <f>IFERROR(__xludf.DUMMYFUNCTION("""COMPUTED_VALUE"""),"")</f>
        <v/>
      </c>
      <c r="W295" s="5" t="str">
        <f>IFERROR(__xludf.DUMMYFUNCTION("""COMPUTED_VALUE"""),"")</f>
        <v/>
      </c>
      <c r="X295" s="5" t="str">
        <f>IFERROR(__xludf.DUMMYFUNCTION("""COMPUTED_VALUE"""),"")</f>
        <v/>
      </c>
      <c r="Y295" s="5"/>
      <c r="Z295" s="5"/>
    </row>
    <row r="296">
      <c r="A296" s="5" t="str">
        <f>IFERROR(__xludf.DUMMYFUNCTION("""COMPUTED_VALUE"""),"20 Wild Crown")</f>
        <v>20 Wild Crown</v>
      </c>
      <c r="B296" s="5" t="str">
        <f>IFERROR(__xludf.DUMMYFUNCTION("""COMPUTED_VALUE"""),"")</f>
        <v/>
      </c>
      <c r="C296" s="5" t="str">
        <f>IFERROR(__xludf.DUMMYFUNCTION("""COMPUTED_VALUE"""),"")</f>
        <v/>
      </c>
      <c r="D296" s="5" t="str">
        <f>IFERROR(__xludf.DUMMYFUNCTION("""COMPUTED_VALUE"""),"")</f>
        <v/>
      </c>
      <c r="E296" s="5" t="str">
        <f>IFERROR(__xludf.DUMMYFUNCTION("""COMPUTED_VALUE"""),"")</f>
        <v/>
      </c>
      <c r="F296" s="5" t="str">
        <f>IFERROR(__xludf.DUMMYFUNCTION("""COMPUTED_VALUE"""),"")</f>
        <v/>
      </c>
      <c r="G296" s="5" t="str">
        <f>IFERROR(__xludf.DUMMYFUNCTION("""COMPUTED_VALUE"""),"")</f>
        <v/>
      </c>
      <c r="H296" s="5" t="str">
        <f>IFERROR(__xludf.DUMMYFUNCTION("""COMPUTED_VALUE"""),"")</f>
        <v/>
      </c>
      <c r="I296" s="5" t="str">
        <f>IFERROR(__xludf.DUMMYFUNCTION("""COMPUTED_VALUE"""),"")</f>
        <v/>
      </c>
      <c r="J296" s="5" t="str">
        <f>IFERROR(__xludf.DUMMYFUNCTION("""COMPUTED_VALUE"""),"")</f>
        <v/>
      </c>
      <c r="K296" s="5" t="str">
        <f>IFERROR(__xludf.DUMMYFUNCTION("""COMPUTED_VALUE"""),"")</f>
        <v/>
      </c>
      <c r="L296" s="5" t="str">
        <f>IFERROR(__xludf.DUMMYFUNCTION("""COMPUTED_VALUE"""),"")</f>
        <v/>
      </c>
      <c r="M296" s="5" t="str">
        <f>IFERROR(__xludf.DUMMYFUNCTION("""COMPUTED_VALUE"""),"")</f>
        <v/>
      </c>
      <c r="N296" s="5" t="str">
        <f>IFERROR(__xludf.DUMMYFUNCTION("""COMPUTED_VALUE"""),"")</f>
        <v/>
      </c>
      <c r="O296" s="5" t="str">
        <f>IFERROR(__xludf.DUMMYFUNCTION("""COMPUTED_VALUE"""),"")</f>
        <v/>
      </c>
      <c r="P296" s="5" t="str">
        <f>IFERROR(__xludf.DUMMYFUNCTION("""COMPUTED_VALUE"""),"")</f>
        <v/>
      </c>
      <c r="Q296" s="5" t="str">
        <f>IFERROR(__xludf.DUMMYFUNCTION("""COMPUTED_VALUE"""),"")</f>
        <v/>
      </c>
      <c r="R296" s="5" t="str">
        <f>IFERROR(__xludf.DUMMYFUNCTION("""COMPUTED_VALUE"""),"")</f>
        <v/>
      </c>
      <c r="S296" s="5" t="str">
        <f>IFERROR(__xludf.DUMMYFUNCTION("""COMPUTED_VALUE"""),"")</f>
        <v/>
      </c>
      <c r="T296" s="5" t="str">
        <f>IFERROR(__xludf.DUMMYFUNCTION("""COMPUTED_VALUE"""),"")</f>
        <v/>
      </c>
      <c r="U296" s="5" t="str">
        <f>IFERROR(__xludf.DUMMYFUNCTION("""COMPUTED_VALUE"""),"")</f>
        <v/>
      </c>
      <c r="V296" s="5" t="str">
        <f>IFERROR(__xludf.DUMMYFUNCTION("""COMPUTED_VALUE"""),"")</f>
        <v/>
      </c>
      <c r="W296" s="5" t="str">
        <f>IFERROR(__xludf.DUMMYFUNCTION("""COMPUTED_VALUE"""),"")</f>
        <v/>
      </c>
      <c r="X296" s="5" t="str">
        <f>IFERROR(__xludf.DUMMYFUNCTION("""COMPUTED_VALUE"""),"")</f>
        <v/>
      </c>
      <c r="Y296" s="5"/>
      <c r="Z296" s="5"/>
    </row>
    <row r="297">
      <c r="A297" s="5" t="str">
        <f>IFERROR(__xludf.DUMMYFUNCTION("""COMPUTED_VALUE"""),"Epic Clover 100")</f>
        <v>Epic Clover 100</v>
      </c>
      <c r="B297" s="5" t="str">
        <f>IFERROR(__xludf.DUMMYFUNCTION("""COMPUTED_VALUE"""),"Available")</f>
        <v>Available</v>
      </c>
      <c r="C297" s="5" t="str">
        <f>IFERROR(__xludf.DUMMYFUNCTION("""COMPUTED_VALUE"""),"Development")</f>
        <v>Development</v>
      </c>
      <c r="D297" s="5" t="str">
        <f>IFERROR(__xludf.DUMMYFUNCTION("""COMPUTED_VALUE"""),"Certified")</f>
        <v>Certified</v>
      </c>
      <c r="E297" s="5" t="str">
        <f>IFERROR(__xludf.DUMMYFUNCTION("""COMPUTED_VALUE"""),"Development")</f>
        <v>Development</v>
      </c>
      <c r="F297" s="5" t="str">
        <f>IFERROR(__xludf.DUMMYFUNCTION("""COMPUTED_VALUE"""),"Available")</f>
        <v>Available</v>
      </c>
      <c r="G297" s="5" t="str">
        <f>IFERROR(__xludf.DUMMYFUNCTION("""COMPUTED_VALUE"""),"Available")</f>
        <v>Available</v>
      </c>
      <c r="H297" s="5" t="str">
        <f>IFERROR(__xludf.DUMMYFUNCTION("""COMPUTED_VALUE"""),"Available")</f>
        <v>Available</v>
      </c>
      <c r="I297" s="5" t="str">
        <f>IFERROR(__xludf.DUMMYFUNCTION("""COMPUTED_VALUE"""),"Development")</f>
        <v>Development</v>
      </c>
      <c r="J297" s="5" t="str">
        <f>IFERROR(__xludf.DUMMYFUNCTION("""COMPUTED_VALUE"""),"Available")</f>
        <v>Available</v>
      </c>
      <c r="K297" s="5" t="str">
        <f>IFERROR(__xludf.DUMMYFUNCTION("""COMPUTED_VALUE"""),"Development")</f>
        <v>Development</v>
      </c>
      <c r="L297" s="5" t="str">
        <f>IFERROR(__xludf.DUMMYFUNCTION("""COMPUTED_VALUE"""),"Available")</f>
        <v>Available</v>
      </c>
      <c r="M297" s="5" t="str">
        <f>IFERROR(__xludf.DUMMYFUNCTION("""COMPUTED_VALUE"""),"Available")</f>
        <v>Available</v>
      </c>
      <c r="N297" s="5" t="str">
        <f>IFERROR(__xludf.DUMMYFUNCTION("""COMPUTED_VALUE"""),"Development")</f>
        <v>Development</v>
      </c>
      <c r="O297" s="5" t="str">
        <f>IFERROR(__xludf.DUMMYFUNCTION("""COMPUTED_VALUE"""),"")</f>
        <v/>
      </c>
      <c r="P297" s="5" t="str">
        <f>IFERROR(__xludf.DUMMYFUNCTION("""COMPUTED_VALUE"""),"")</f>
        <v/>
      </c>
      <c r="Q297" s="5" t="str">
        <f>IFERROR(__xludf.DUMMYFUNCTION("""COMPUTED_VALUE"""),"Available")</f>
        <v>Available</v>
      </c>
      <c r="R297" s="5" t="str">
        <f>IFERROR(__xludf.DUMMYFUNCTION("""COMPUTED_VALUE"""),"Development")</f>
        <v>Development</v>
      </c>
      <c r="S297" s="5" t="str">
        <f>IFERROR(__xludf.DUMMYFUNCTION("""COMPUTED_VALUE"""),"")</f>
        <v/>
      </c>
      <c r="T297" s="5" t="str">
        <f>IFERROR(__xludf.DUMMYFUNCTION("""COMPUTED_VALUE"""),"")</f>
        <v/>
      </c>
      <c r="U297" s="5" t="str">
        <f>IFERROR(__xludf.DUMMYFUNCTION("""COMPUTED_VALUE"""),"")</f>
        <v/>
      </c>
      <c r="V297" s="5" t="str">
        <f>IFERROR(__xludf.DUMMYFUNCTION("""COMPUTED_VALUE"""),"Available")</f>
        <v>Available</v>
      </c>
      <c r="W297" s="5" t="str">
        <f>IFERROR(__xludf.DUMMYFUNCTION("""COMPUTED_VALUE"""),"Planned")</f>
        <v>Planned</v>
      </c>
      <c r="X297" s="5" t="str">
        <f>IFERROR(__xludf.DUMMYFUNCTION("""COMPUTED_VALUE"""),"")</f>
        <v/>
      </c>
      <c r="Y297" s="5"/>
      <c r="Z297" s="5"/>
    </row>
    <row r="298">
      <c r="A298" s="5" t="str">
        <f>IFERROR(__xludf.DUMMYFUNCTION("""COMPUTED_VALUE"""),"Amazing Joker")</f>
        <v>Amazing Joker</v>
      </c>
      <c r="B298" s="5" t="str">
        <f>IFERROR(__xludf.DUMMYFUNCTION("""COMPUTED_VALUE"""),"Available")</f>
        <v>Available</v>
      </c>
      <c r="C298" s="5" t="str">
        <f>IFERROR(__xludf.DUMMYFUNCTION("""COMPUTED_VALUE"""),"Available")</f>
        <v>Available</v>
      </c>
      <c r="D298" s="5" t="str">
        <f>IFERROR(__xludf.DUMMYFUNCTION("""COMPUTED_VALUE"""),"Available")</f>
        <v>Available</v>
      </c>
      <c r="E298" s="5" t="str">
        <f>IFERROR(__xludf.DUMMYFUNCTION("""COMPUTED_VALUE"""),"Available")</f>
        <v>Available</v>
      </c>
      <c r="F298" s="5" t="str">
        <f>IFERROR(__xludf.DUMMYFUNCTION("""COMPUTED_VALUE"""),"Available")</f>
        <v>Available</v>
      </c>
      <c r="G298" s="5" t="str">
        <f>IFERROR(__xludf.DUMMYFUNCTION("""COMPUTED_VALUE"""),"Available")</f>
        <v>Available</v>
      </c>
      <c r="H298" s="5" t="str">
        <f>IFERROR(__xludf.DUMMYFUNCTION("""COMPUTED_VALUE"""),"Available")</f>
        <v>Available</v>
      </c>
      <c r="I298" s="5" t="str">
        <f>IFERROR(__xludf.DUMMYFUNCTION("""COMPUTED_VALUE"""),"Development")</f>
        <v>Development</v>
      </c>
      <c r="J298" s="5" t="str">
        <f>IFERROR(__xludf.DUMMYFUNCTION("""COMPUTED_VALUE"""),"Available")</f>
        <v>Available</v>
      </c>
      <c r="K298" s="5" t="str">
        <f>IFERROR(__xludf.DUMMYFUNCTION("""COMPUTED_VALUE"""),"Development")</f>
        <v>Development</v>
      </c>
      <c r="L298" s="5" t="str">
        <f>IFERROR(__xludf.DUMMYFUNCTION("""COMPUTED_VALUE"""),"Development")</f>
        <v>Development</v>
      </c>
      <c r="M298" s="5" t="str">
        <f>IFERROR(__xludf.DUMMYFUNCTION("""COMPUTED_VALUE"""),"Available")</f>
        <v>Available</v>
      </c>
      <c r="N298" s="5" t="str">
        <f>IFERROR(__xludf.DUMMYFUNCTION("""COMPUTED_VALUE"""),"")</f>
        <v/>
      </c>
      <c r="O298" s="5" t="str">
        <f>IFERROR(__xludf.DUMMYFUNCTION("""COMPUTED_VALUE"""),"")</f>
        <v/>
      </c>
      <c r="P298" s="5" t="str">
        <f>IFERROR(__xludf.DUMMYFUNCTION("""COMPUTED_VALUE"""),"")</f>
        <v/>
      </c>
      <c r="Q298" s="5" t="str">
        <f>IFERROR(__xludf.DUMMYFUNCTION("""COMPUTED_VALUE"""),"Available")</f>
        <v>Available</v>
      </c>
      <c r="R298" s="5" t="str">
        <f>IFERROR(__xludf.DUMMYFUNCTION("""COMPUTED_VALUE"""),"")</f>
        <v/>
      </c>
      <c r="S298" s="5" t="str">
        <f>IFERROR(__xludf.DUMMYFUNCTION("""COMPUTED_VALUE"""),"")</f>
        <v/>
      </c>
      <c r="T298" s="5" t="str">
        <f>IFERROR(__xludf.DUMMYFUNCTION("""COMPUTED_VALUE"""),"")</f>
        <v/>
      </c>
      <c r="U298" s="5" t="str">
        <f>IFERROR(__xludf.DUMMYFUNCTION("""COMPUTED_VALUE"""),"")</f>
        <v/>
      </c>
      <c r="V298" s="5" t="str">
        <f>IFERROR(__xludf.DUMMYFUNCTION("""COMPUTED_VALUE"""),"Available")</f>
        <v>Available</v>
      </c>
      <c r="W298" s="5" t="str">
        <f>IFERROR(__xludf.DUMMYFUNCTION("""COMPUTED_VALUE"""),"")</f>
        <v/>
      </c>
      <c r="X298" s="5" t="str">
        <f>IFERROR(__xludf.DUMMYFUNCTION("""COMPUTED_VALUE"""),"")</f>
        <v/>
      </c>
      <c r="Y298" s="5"/>
      <c r="Z298" s="5"/>
    </row>
    <row r="299">
      <c r="A299" s="5" t="str">
        <f>IFERROR(__xludf.DUMMYFUNCTION("""COMPUTED_VALUE"""),"Grandpashabet Crown")</f>
        <v>Grandpashabet Crown</v>
      </c>
      <c r="B299" s="5" t="str">
        <f>IFERROR(__xludf.DUMMYFUNCTION("""COMPUTED_VALUE"""),"")</f>
        <v/>
      </c>
      <c r="C299" s="5" t="str">
        <f>IFERROR(__xludf.DUMMYFUNCTION("""COMPUTED_VALUE"""),"")</f>
        <v/>
      </c>
      <c r="D299" s="5" t="str">
        <f>IFERROR(__xludf.DUMMYFUNCTION("""COMPUTED_VALUE"""),"")</f>
        <v/>
      </c>
      <c r="E299" s="5" t="str">
        <f>IFERROR(__xludf.DUMMYFUNCTION("""COMPUTED_VALUE"""),"")</f>
        <v/>
      </c>
      <c r="F299" s="5" t="str">
        <f>IFERROR(__xludf.DUMMYFUNCTION("""COMPUTED_VALUE"""),"")</f>
        <v/>
      </c>
      <c r="G299" s="5" t="str">
        <f>IFERROR(__xludf.DUMMYFUNCTION("""COMPUTED_VALUE"""),"")</f>
        <v/>
      </c>
      <c r="H299" s="5" t="str">
        <f>IFERROR(__xludf.DUMMYFUNCTION("""COMPUTED_VALUE"""),"")</f>
        <v/>
      </c>
      <c r="I299" s="5" t="str">
        <f>IFERROR(__xludf.DUMMYFUNCTION("""COMPUTED_VALUE"""),"")</f>
        <v/>
      </c>
      <c r="J299" s="5" t="str">
        <f>IFERROR(__xludf.DUMMYFUNCTION("""COMPUTED_VALUE"""),"")</f>
        <v/>
      </c>
      <c r="K299" s="5" t="str">
        <f>IFERROR(__xludf.DUMMYFUNCTION("""COMPUTED_VALUE"""),"")</f>
        <v/>
      </c>
      <c r="L299" s="5" t="str">
        <f>IFERROR(__xludf.DUMMYFUNCTION("""COMPUTED_VALUE"""),"")</f>
        <v/>
      </c>
      <c r="M299" s="5" t="str">
        <f>IFERROR(__xludf.DUMMYFUNCTION("""COMPUTED_VALUE"""),"")</f>
        <v/>
      </c>
      <c r="N299" s="5" t="str">
        <f>IFERROR(__xludf.DUMMYFUNCTION("""COMPUTED_VALUE"""),"")</f>
        <v/>
      </c>
      <c r="O299" s="5" t="str">
        <f>IFERROR(__xludf.DUMMYFUNCTION("""COMPUTED_VALUE"""),"")</f>
        <v/>
      </c>
      <c r="P299" s="5" t="str">
        <f>IFERROR(__xludf.DUMMYFUNCTION("""COMPUTED_VALUE"""),"")</f>
        <v/>
      </c>
      <c r="Q299" s="5" t="str">
        <f>IFERROR(__xludf.DUMMYFUNCTION("""COMPUTED_VALUE"""),"")</f>
        <v/>
      </c>
      <c r="R299" s="5" t="str">
        <f>IFERROR(__xludf.DUMMYFUNCTION("""COMPUTED_VALUE"""),"")</f>
        <v/>
      </c>
      <c r="S299" s="5" t="str">
        <f>IFERROR(__xludf.DUMMYFUNCTION("""COMPUTED_VALUE"""),"")</f>
        <v/>
      </c>
      <c r="T299" s="5" t="str">
        <f>IFERROR(__xludf.DUMMYFUNCTION("""COMPUTED_VALUE"""),"")</f>
        <v/>
      </c>
      <c r="U299" s="5" t="str">
        <f>IFERROR(__xludf.DUMMYFUNCTION("""COMPUTED_VALUE"""),"")</f>
        <v/>
      </c>
      <c r="V299" s="5" t="str">
        <f>IFERROR(__xludf.DUMMYFUNCTION("""COMPUTED_VALUE"""),"")</f>
        <v/>
      </c>
      <c r="W299" s="5" t="str">
        <f>IFERROR(__xludf.DUMMYFUNCTION("""COMPUTED_VALUE"""),"")</f>
        <v/>
      </c>
      <c r="X299" s="5" t="str">
        <f>IFERROR(__xludf.DUMMYFUNCTION("""COMPUTED_VALUE"""),"")</f>
        <v/>
      </c>
      <c r="Y299" s="5"/>
      <c r="Z299" s="5"/>
    </row>
    <row r="300">
      <c r="A300" s="5" t="str">
        <f>IFERROR(__xludf.DUMMYFUNCTION("""COMPUTED_VALUE"""),"Triple Fields of Luck")</f>
        <v>Triple Fields of Luck</v>
      </c>
      <c r="B300" s="5" t="str">
        <f>IFERROR(__xludf.DUMMYFUNCTION("""COMPUTED_VALUE"""),"Available")</f>
        <v>Available</v>
      </c>
      <c r="C300" s="5" t="str">
        <f>IFERROR(__xludf.DUMMYFUNCTION("""COMPUTED_VALUE"""),"Available")</f>
        <v>Available</v>
      </c>
      <c r="D300" s="5" t="str">
        <f>IFERROR(__xludf.DUMMYFUNCTION("""COMPUTED_VALUE"""),"Cert Preparation")</f>
        <v>Cert Preparation</v>
      </c>
      <c r="E300" s="5" t="str">
        <f>IFERROR(__xludf.DUMMYFUNCTION("""COMPUTED_VALUE"""),"")</f>
        <v/>
      </c>
      <c r="F300" s="5" t="str">
        <f>IFERROR(__xludf.DUMMYFUNCTION("""COMPUTED_VALUE"""),"Available")</f>
        <v>Available</v>
      </c>
      <c r="G300" s="5" t="str">
        <f>IFERROR(__xludf.DUMMYFUNCTION("""COMPUTED_VALUE"""),"Available")</f>
        <v>Available</v>
      </c>
      <c r="H300" s="5" t="str">
        <f>IFERROR(__xludf.DUMMYFUNCTION("""COMPUTED_VALUE"""),"Available")</f>
        <v>Available</v>
      </c>
      <c r="I300" s="5" t="str">
        <f>IFERROR(__xludf.DUMMYFUNCTION("""COMPUTED_VALUE"""),"")</f>
        <v/>
      </c>
      <c r="J300" s="5" t="str">
        <f>IFERROR(__xludf.DUMMYFUNCTION("""COMPUTED_VALUE"""),"")</f>
        <v/>
      </c>
      <c r="K300" s="5" t="str">
        <f>IFERROR(__xludf.DUMMYFUNCTION("""COMPUTED_VALUE"""),"")</f>
        <v/>
      </c>
      <c r="L300" s="5" t="str">
        <f>IFERROR(__xludf.DUMMYFUNCTION("""COMPUTED_VALUE"""),"Development")</f>
        <v>Development</v>
      </c>
      <c r="M300" s="5" t="str">
        <f>IFERROR(__xludf.DUMMYFUNCTION("""COMPUTED_VALUE"""),"")</f>
        <v/>
      </c>
      <c r="N300" s="5" t="str">
        <f>IFERROR(__xludf.DUMMYFUNCTION("""COMPUTED_VALUE"""),"")</f>
        <v/>
      </c>
      <c r="O300" s="5" t="str">
        <f>IFERROR(__xludf.DUMMYFUNCTION("""COMPUTED_VALUE"""),"")</f>
        <v/>
      </c>
      <c r="P300" s="5" t="str">
        <f>IFERROR(__xludf.DUMMYFUNCTION("""COMPUTED_VALUE"""),"")</f>
        <v/>
      </c>
      <c r="Q300" s="5" t="str">
        <f>IFERROR(__xludf.DUMMYFUNCTION("""COMPUTED_VALUE"""),"")</f>
        <v/>
      </c>
      <c r="R300" s="5" t="str">
        <f>IFERROR(__xludf.DUMMYFUNCTION("""COMPUTED_VALUE"""),"")</f>
        <v/>
      </c>
      <c r="S300" s="5" t="str">
        <f>IFERROR(__xludf.DUMMYFUNCTION("""COMPUTED_VALUE"""),"")</f>
        <v/>
      </c>
      <c r="T300" s="5" t="str">
        <f>IFERROR(__xludf.DUMMYFUNCTION("""COMPUTED_VALUE"""),"")</f>
        <v/>
      </c>
      <c r="U300" s="5" t="str">
        <f>IFERROR(__xludf.DUMMYFUNCTION("""COMPUTED_VALUE"""),"")</f>
        <v/>
      </c>
      <c r="V300" s="5" t="str">
        <f>IFERROR(__xludf.DUMMYFUNCTION("""COMPUTED_VALUE"""),"")</f>
        <v/>
      </c>
      <c r="W300" s="5" t="str">
        <f>IFERROR(__xludf.DUMMYFUNCTION("""COMPUTED_VALUE"""),"")</f>
        <v/>
      </c>
      <c r="X300" s="5" t="str">
        <f>IFERROR(__xludf.DUMMYFUNCTION("""COMPUTED_VALUE"""),"")</f>
        <v/>
      </c>
      <c r="Y300" s="5"/>
      <c r="Z300" s="5"/>
    </row>
    <row r="301">
      <c r="A301" s="5" t="str">
        <f>IFERROR(__xludf.DUMMYFUNCTION("""COMPUTED_VALUE"""),"Chilli Double")</f>
        <v>Chilli Double</v>
      </c>
      <c r="B301" s="5" t="str">
        <f>IFERROR(__xludf.DUMMYFUNCTION("""COMPUTED_VALUE"""),"")</f>
        <v/>
      </c>
      <c r="C301" s="5" t="str">
        <f>IFERROR(__xludf.DUMMYFUNCTION("""COMPUTED_VALUE"""),"")</f>
        <v/>
      </c>
      <c r="D301" s="5" t="str">
        <f>IFERROR(__xludf.DUMMYFUNCTION("""COMPUTED_VALUE"""),"")</f>
        <v/>
      </c>
      <c r="E301" s="5" t="str">
        <f>IFERROR(__xludf.DUMMYFUNCTION("""COMPUTED_VALUE"""),"")</f>
        <v/>
      </c>
      <c r="F301" s="5" t="str">
        <f>IFERROR(__xludf.DUMMYFUNCTION("""COMPUTED_VALUE"""),"")</f>
        <v/>
      </c>
      <c r="G301" s="5" t="str">
        <f>IFERROR(__xludf.DUMMYFUNCTION("""COMPUTED_VALUE"""),"")</f>
        <v/>
      </c>
      <c r="H301" s="5" t="str">
        <f>IFERROR(__xludf.DUMMYFUNCTION("""COMPUTED_VALUE"""),"")</f>
        <v/>
      </c>
      <c r="I301" s="5" t="str">
        <f>IFERROR(__xludf.DUMMYFUNCTION("""COMPUTED_VALUE"""),"")</f>
        <v/>
      </c>
      <c r="J301" s="5" t="str">
        <f>IFERROR(__xludf.DUMMYFUNCTION("""COMPUTED_VALUE"""),"")</f>
        <v/>
      </c>
      <c r="K301" s="5" t="str">
        <f>IFERROR(__xludf.DUMMYFUNCTION("""COMPUTED_VALUE"""),"")</f>
        <v/>
      </c>
      <c r="L301" s="5" t="str">
        <f>IFERROR(__xludf.DUMMYFUNCTION("""COMPUTED_VALUE"""),"")</f>
        <v/>
      </c>
      <c r="M301" s="5" t="str">
        <f>IFERROR(__xludf.DUMMYFUNCTION("""COMPUTED_VALUE"""),"")</f>
        <v/>
      </c>
      <c r="N301" s="5" t="str">
        <f>IFERROR(__xludf.DUMMYFUNCTION("""COMPUTED_VALUE"""),"")</f>
        <v/>
      </c>
      <c r="O301" s="5" t="str">
        <f>IFERROR(__xludf.DUMMYFUNCTION("""COMPUTED_VALUE"""),"")</f>
        <v/>
      </c>
      <c r="P301" s="5" t="str">
        <f>IFERROR(__xludf.DUMMYFUNCTION("""COMPUTED_VALUE"""),"")</f>
        <v/>
      </c>
      <c r="Q301" s="5" t="str">
        <f>IFERROR(__xludf.DUMMYFUNCTION("""COMPUTED_VALUE"""),"")</f>
        <v/>
      </c>
      <c r="R301" s="5" t="str">
        <f>IFERROR(__xludf.DUMMYFUNCTION("""COMPUTED_VALUE"""),"")</f>
        <v/>
      </c>
      <c r="S301" s="5" t="str">
        <f>IFERROR(__xludf.DUMMYFUNCTION("""COMPUTED_VALUE"""),"")</f>
        <v/>
      </c>
      <c r="T301" s="5" t="str">
        <f>IFERROR(__xludf.DUMMYFUNCTION("""COMPUTED_VALUE"""),"")</f>
        <v/>
      </c>
      <c r="U301" s="5" t="str">
        <f>IFERROR(__xludf.DUMMYFUNCTION("""COMPUTED_VALUE"""),"")</f>
        <v/>
      </c>
      <c r="V301" s="5" t="str">
        <f>IFERROR(__xludf.DUMMYFUNCTION("""COMPUTED_VALUE"""),"")</f>
        <v/>
      </c>
      <c r="W301" s="5" t="str">
        <f>IFERROR(__xludf.DUMMYFUNCTION("""COMPUTED_VALUE"""),"")</f>
        <v/>
      </c>
      <c r="X301" s="5" t="str">
        <f>IFERROR(__xludf.DUMMYFUNCTION("""COMPUTED_VALUE"""),"")</f>
        <v/>
      </c>
      <c r="Y301" s="5"/>
      <c r="Z301" s="5"/>
    </row>
    <row r="302">
      <c r="A302" s="5" t="str">
        <f>IFERROR(__xludf.DUMMYFUNCTION("""COMPUTED_VALUE"""),"Hot Rush Crown Burst")</f>
        <v>Hot Rush Crown Burst</v>
      </c>
      <c r="B302" s="5" t="str">
        <f>IFERROR(__xludf.DUMMYFUNCTION("""COMPUTED_VALUE"""),"")</f>
        <v/>
      </c>
      <c r="C302" s="5" t="str">
        <f>IFERROR(__xludf.DUMMYFUNCTION("""COMPUTED_VALUE"""),"")</f>
        <v/>
      </c>
      <c r="D302" s="5" t="str">
        <f>IFERROR(__xludf.DUMMYFUNCTION("""COMPUTED_VALUE"""),"")</f>
        <v/>
      </c>
      <c r="E302" s="5" t="str">
        <f>IFERROR(__xludf.DUMMYFUNCTION("""COMPUTED_VALUE"""),"")</f>
        <v/>
      </c>
      <c r="F302" s="5" t="str">
        <f>IFERROR(__xludf.DUMMYFUNCTION("""COMPUTED_VALUE"""),"")</f>
        <v/>
      </c>
      <c r="G302" s="5" t="str">
        <f>IFERROR(__xludf.DUMMYFUNCTION("""COMPUTED_VALUE"""),"")</f>
        <v/>
      </c>
      <c r="H302" s="5" t="str">
        <f>IFERROR(__xludf.DUMMYFUNCTION("""COMPUTED_VALUE"""),"")</f>
        <v/>
      </c>
      <c r="I302" s="5" t="str">
        <f>IFERROR(__xludf.DUMMYFUNCTION("""COMPUTED_VALUE"""),"")</f>
        <v/>
      </c>
      <c r="J302" s="5" t="str">
        <f>IFERROR(__xludf.DUMMYFUNCTION("""COMPUTED_VALUE"""),"")</f>
        <v/>
      </c>
      <c r="K302" s="5" t="str">
        <f>IFERROR(__xludf.DUMMYFUNCTION("""COMPUTED_VALUE"""),"")</f>
        <v/>
      </c>
      <c r="L302" s="5" t="str">
        <f>IFERROR(__xludf.DUMMYFUNCTION("""COMPUTED_VALUE"""),"")</f>
        <v/>
      </c>
      <c r="M302" s="5" t="str">
        <f>IFERROR(__xludf.DUMMYFUNCTION("""COMPUTED_VALUE"""),"")</f>
        <v/>
      </c>
      <c r="N302" s="5" t="str">
        <f>IFERROR(__xludf.DUMMYFUNCTION("""COMPUTED_VALUE"""),"")</f>
        <v/>
      </c>
      <c r="O302" s="5" t="str">
        <f>IFERROR(__xludf.DUMMYFUNCTION("""COMPUTED_VALUE"""),"")</f>
        <v/>
      </c>
      <c r="P302" s="5" t="str">
        <f>IFERROR(__xludf.DUMMYFUNCTION("""COMPUTED_VALUE"""),"")</f>
        <v/>
      </c>
      <c r="Q302" s="5" t="str">
        <f>IFERROR(__xludf.DUMMYFUNCTION("""COMPUTED_VALUE"""),"")</f>
        <v/>
      </c>
      <c r="R302" s="5" t="str">
        <f>IFERROR(__xludf.DUMMYFUNCTION("""COMPUTED_VALUE"""),"")</f>
        <v/>
      </c>
      <c r="S302" s="5" t="str">
        <f>IFERROR(__xludf.DUMMYFUNCTION("""COMPUTED_VALUE"""),"")</f>
        <v/>
      </c>
      <c r="T302" s="5" t="str">
        <f>IFERROR(__xludf.DUMMYFUNCTION("""COMPUTED_VALUE"""),"")</f>
        <v/>
      </c>
      <c r="U302" s="5" t="str">
        <f>IFERROR(__xludf.DUMMYFUNCTION("""COMPUTED_VALUE"""),"")</f>
        <v/>
      </c>
      <c r="V302" s="5" t="str">
        <f>IFERROR(__xludf.DUMMYFUNCTION("""COMPUTED_VALUE"""),"")</f>
        <v/>
      </c>
      <c r="W302" s="5" t="str">
        <f>IFERROR(__xludf.DUMMYFUNCTION("""COMPUTED_VALUE"""),"")</f>
        <v/>
      </c>
      <c r="X302" s="5" t="str">
        <f>IFERROR(__xludf.DUMMYFUNCTION("""COMPUTED_VALUE"""),"")</f>
        <v/>
      </c>
      <c r="Y302" s="5"/>
      <c r="Z302" s="5"/>
    </row>
    <row r="303">
      <c r="A303" s="5" t="str">
        <f>IFERROR(__xludf.DUMMYFUNCTION("""COMPUTED_VALUE"""),"Mozzart Hot 5")</f>
        <v>Mozzart Hot 5</v>
      </c>
      <c r="B303" s="5" t="str">
        <f>IFERROR(__xludf.DUMMYFUNCTION("""COMPUTED_VALUE"""),"")</f>
        <v/>
      </c>
      <c r="C303" s="5" t="str">
        <f>IFERROR(__xludf.DUMMYFUNCTION("""COMPUTED_VALUE"""),"")</f>
        <v/>
      </c>
      <c r="D303" s="5" t="str">
        <f>IFERROR(__xludf.DUMMYFUNCTION("""COMPUTED_VALUE"""),"")</f>
        <v/>
      </c>
      <c r="E303" s="5" t="str">
        <f>IFERROR(__xludf.DUMMYFUNCTION("""COMPUTED_VALUE"""),"")</f>
        <v/>
      </c>
      <c r="F303" s="5" t="str">
        <f>IFERROR(__xludf.DUMMYFUNCTION("""COMPUTED_VALUE"""),"")</f>
        <v/>
      </c>
      <c r="G303" s="5" t="str">
        <f>IFERROR(__xludf.DUMMYFUNCTION("""COMPUTED_VALUE"""),"")</f>
        <v/>
      </c>
      <c r="H303" s="5" t="str">
        <f>IFERROR(__xludf.DUMMYFUNCTION("""COMPUTED_VALUE"""),"")</f>
        <v/>
      </c>
      <c r="I303" s="5" t="str">
        <f>IFERROR(__xludf.DUMMYFUNCTION("""COMPUTED_VALUE"""),"")</f>
        <v/>
      </c>
      <c r="J303" s="5" t="str">
        <f>IFERROR(__xludf.DUMMYFUNCTION("""COMPUTED_VALUE"""),"")</f>
        <v/>
      </c>
      <c r="K303" s="5" t="str">
        <f>IFERROR(__xludf.DUMMYFUNCTION("""COMPUTED_VALUE"""),"")</f>
        <v/>
      </c>
      <c r="L303" s="5" t="str">
        <f>IFERROR(__xludf.DUMMYFUNCTION("""COMPUTED_VALUE"""),"")</f>
        <v/>
      </c>
      <c r="M303" s="5" t="str">
        <f>IFERROR(__xludf.DUMMYFUNCTION("""COMPUTED_VALUE"""),"")</f>
        <v/>
      </c>
      <c r="N303" s="5" t="str">
        <f>IFERROR(__xludf.DUMMYFUNCTION("""COMPUTED_VALUE"""),"")</f>
        <v/>
      </c>
      <c r="O303" s="5" t="str">
        <f>IFERROR(__xludf.DUMMYFUNCTION("""COMPUTED_VALUE"""),"")</f>
        <v/>
      </c>
      <c r="P303" s="5" t="str">
        <f>IFERROR(__xludf.DUMMYFUNCTION("""COMPUTED_VALUE"""),"")</f>
        <v/>
      </c>
      <c r="Q303" s="5" t="str">
        <f>IFERROR(__xludf.DUMMYFUNCTION("""COMPUTED_VALUE"""),"")</f>
        <v/>
      </c>
      <c r="R303" s="5" t="str">
        <f>IFERROR(__xludf.DUMMYFUNCTION("""COMPUTED_VALUE"""),"")</f>
        <v/>
      </c>
      <c r="S303" s="5" t="str">
        <f>IFERROR(__xludf.DUMMYFUNCTION("""COMPUTED_VALUE"""),"")</f>
        <v/>
      </c>
      <c r="T303" s="5" t="str">
        <f>IFERROR(__xludf.DUMMYFUNCTION("""COMPUTED_VALUE"""),"")</f>
        <v/>
      </c>
      <c r="U303" s="5" t="str">
        <f>IFERROR(__xludf.DUMMYFUNCTION("""COMPUTED_VALUE"""),"")</f>
        <v/>
      </c>
      <c r="V303" s="5" t="str">
        <f>IFERROR(__xludf.DUMMYFUNCTION("""COMPUTED_VALUE"""),"")</f>
        <v/>
      </c>
      <c r="W303" s="5" t="str">
        <f>IFERROR(__xludf.DUMMYFUNCTION("""COMPUTED_VALUE"""),"")</f>
        <v/>
      </c>
      <c r="X303" s="5" t="str">
        <f>IFERROR(__xludf.DUMMYFUNCTION("""COMPUTED_VALUE"""),"")</f>
        <v/>
      </c>
      <c r="Y303" s="5"/>
      <c r="Z303" s="5"/>
    </row>
    <row r="304">
      <c r="A304" s="5" t="str">
        <f>IFERROR(__xludf.DUMMYFUNCTION("""COMPUTED_VALUE"""),"Mozzart Hot 40")</f>
        <v>Mozzart Hot 40</v>
      </c>
      <c r="B304" s="5" t="str">
        <f>IFERROR(__xludf.DUMMYFUNCTION("""COMPUTED_VALUE"""),"")</f>
        <v/>
      </c>
      <c r="C304" s="5" t="str">
        <f>IFERROR(__xludf.DUMMYFUNCTION("""COMPUTED_VALUE"""),"")</f>
        <v/>
      </c>
      <c r="D304" s="5" t="str">
        <f>IFERROR(__xludf.DUMMYFUNCTION("""COMPUTED_VALUE"""),"")</f>
        <v/>
      </c>
      <c r="E304" s="5" t="str">
        <f>IFERROR(__xludf.DUMMYFUNCTION("""COMPUTED_VALUE"""),"")</f>
        <v/>
      </c>
      <c r="F304" s="5" t="str">
        <f>IFERROR(__xludf.DUMMYFUNCTION("""COMPUTED_VALUE"""),"")</f>
        <v/>
      </c>
      <c r="G304" s="5" t="str">
        <f>IFERROR(__xludf.DUMMYFUNCTION("""COMPUTED_VALUE"""),"")</f>
        <v/>
      </c>
      <c r="H304" s="5" t="str">
        <f>IFERROR(__xludf.DUMMYFUNCTION("""COMPUTED_VALUE"""),"")</f>
        <v/>
      </c>
      <c r="I304" s="5" t="str">
        <f>IFERROR(__xludf.DUMMYFUNCTION("""COMPUTED_VALUE"""),"")</f>
        <v/>
      </c>
      <c r="J304" s="5" t="str">
        <f>IFERROR(__xludf.DUMMYFUNCTION("""COMPUTED_VALUE"""),"")</f>
        <v/>
      </c>
      <c r="K304" s="5" t="str">
        <f>IFERROR(__xludf.DUMMYFUNCTION("""COMPUTED_VALUE"""),"")</f>
        <v/>
      </c>
      <c r="L304" s="5" t="str">
        <f>IFERROR(__xludf.DUMMYFUNCTION("""COMPUTED_VALUE"""),"")</f>
        <v/>
      </c>
      <c r="M304" s="5" t="str">
        <f>IFERROR(__xludf.DUMMYFUNCTION("""COMPUTED_VALUE"""),"")</f>
        <v/>
      </c>
      <c r="N304" s="5" t="str">
        <f>IFERROR(__xludf.DUMMYFUNCTION("""COMPUTED_VALUE"""),"")</f>
        <v/>
      </c>
      <c r="O304" s="5" t="str">
        <f>IFERROR(__xludf.DUMMYFUNCTION("""COMPUTED_VALUE"""),"")</f>
        <v/>
      </c>
      <c r="P304" s="5" t="str">
        <f>IFERROR(__xludf.DUMMYFUNCTION("""COMPUTED_VALUE"""),"")</f>
        <v/>
      </c>
      <c r="Q304" s="5" t="str">
        <f>IFERROR(__xludf.DUMMYFUNCTION("""COMPUTED_VALUE"""),"Available")</f>
        <v>Available</v>
      </c>
      <c r="R304" s="5" t="str">
        <f>IFERROR(__xludf.DUMMYFUNCTION("""COMPUTED_VALUE"""),"")</f>
        <v/>
      </c>
      <c r="S304" s="5" t="str">
        <f>IFERROR(__xludf.DUMMYFUNCTION("""COMPUTED_VALUE"""),"")</f>
        <v/>
      </c>
      <c r="T304" s="5" t="str">
        <f>IFERROR(__xludf.DUMMYFUNCTION("""COMPUTED_VALUE"""),"")</f>
        <v/>
      </c>
      <c r="U304" s="5" t="str">
        <f>IFERROR(__xludf.DUMMYFUNCTION("""COMPUTED_VALUE"""),"")</f>
        <v/>
      </c>
      <c r="V304" s="5" t="str">
        <f>IFERROR(__xludf.DUMMYFUNCTION("""COMPUTED_VALUE"""),"")</f>
        <v/>
      </c>
      <c r="W304" s="5" t="str">
        <f>IFERROR(__xludf.DUMMYFUNCTION("""COMPUTED_VALUE"""),"")</f>
        <v/>
      </c>
      <c r="X304" s="5" t="str">
        <f>IFERROR(__xludf.DUMMYFUNCTION("""COMPUTED_VALUE"""),"")</f>
        <v/>
      </c>
      <c r="Y304" s="5"/>
      <c r="Z304" s="5"/>
    </row>
    <row r="305">
      <c r="A305" s="5" t="str">
        <f>IFERROR(__xludf.DUMMYFUNCTION("""COMPUTED_VALUE"""),"Crown Of Mozzart")</f>
        <v>Crown Of Mozzart</v>
      </c>
      <c r="B305" s="5" t="str">
        <f>IFERROR(__xludf.DUMMYFUNCTION("""COMPUTED_VALUE"""),"")</f>
        <v/>
      </c>
      <c r="C305" s="5" t="str">
        <f>IFERROR(__xludf.DUMMYFUNCTION("""COMPUTED_VALUE"""),"")</f>
        <v/>
      </c>
      <c r="D305" s="5" t="str">
        <f>IFERROR(__xludf.DUMMYFUNCTION("""COMPUTED_VALUE"""),"")</f>
        <v/>
      </c>
      <c r="E305" s="5" t="str">
        <f>IFERROR(__xludf.DUMMYFUNCTION("""COMPUTED_VALUE"""),"")</f>
        <v/>
      </c>
      <c r="F305" s="5" t="str">
        <f>IFERROR(__xludf.DUMMYFUNCTION("""COMPUTED_VALUE"""),"")</f>
        <v/>
      </c>
      <c r="G305" s="5" t="str">
        <f>IFERROR(__xludf.DUMMYFUNCTION("""COMPUTED_VALUE"""),"")</f>
        <v/>
      </c>
      <c r="H305" s="5" t="str">
        <f>IFERROR(__xludf.DUMMYFUNCTION("""COMPUTED_VALUE"""),"")</f>
        <v/>
      </c>
      <c r="I305" s="5" t="str">
        <f>IFERROR(__xludf.DUMMYFUNCTION("""COMPUTED_VALUE"""),"")</f>
        <v/>
      </c>
      <c r="J305" s="5" t="str">
        <f>IFERROR(__xludf.DUMMYFUNCTION("""COMPUTED_VALUE"""),"")</f>
        <v/>
      </c>
      <c r="K305" s="5" t="str">
        <f>IFERROR(__xludf.DUMMYFUNCTION("""COMPUTED_VALUE"""),"")</f>
        <v/>
      </c>
      <c r="L305" s="5" t="str">
        <f>IFERROR(__xludf.DUMMYFUNCTION("""COMPUTED_VALUE"""),"")</f>
        <v/>
      </c>
      <c r="M305" s="5" t="str">
        <f>IFERROR(__xludf.DUMMYFUNCTION("""COMPUTED_VALUE"""),"")</f>
        <v/>
      </c>
      <c r="N305" s="5" t="str">
        <f>IFERROR(__xludf.DUMMYFUNCTION("""COMPUTED_VALUE"""),"")</f>
        <v/>
      </c>
      <c r="O305" s="5" t="str">
        <f>IFERROR(__xludf.DUMMYFUNCTION("""COMPUTED_VALUE"""),"")</f>
        <v/>
      </c>
      <c r="P305" s="5" t="str">
        <f>IFERROR(__xludf.DUMMYFUNCTION("""COMPUTED_VALUE"""),"")</f>
        <v/>
      </c>
      <c r="Q305" s="5" t="str">
        <f>IFERROR(__xludf.DUMMYFUNCTION("""COMPUTED_VALUE"""),"")</f>
        <v/>
      </c>
      <c r="R305" s="5" t="str">
        <f>IFERROR(__xludf.DUMMYFUNCTION("""COMPUTED_VALUE"""),"")</f>
        <v/>
      </c>
      <c r="S305" s="5" t="str">
        <f>IFERROR(__xludf.DUMMYFUNCTION("""COMPUTED_VALUE"""),"")</f>
        <v/>
      </c>
      <c r="T305" s="5" t="str">
        <f>IFERROR(__xludf.DUMMYFUNCTION("""COMPUTED_VALUE"""),"")</f>
        <v/>
      </c>
      <c r="U305" s="5" t="str">
        <f>IFERROR(__xludf.DUMMYFUNCTION("""COMPUTED_VALUE"""),"")</f>
        <v/>
      </c>
      <c r="V305" s="5" t="str">
        <f>IFERROR(__xludf.DUMMYFUNCTION("""COMPUTED_VALUE"""),"")</f>
        <v/>
      </c>
      <c r="W305" s="5" t="str">
        <f>IFERROR(__xludf.DUMMYFUNCTION("""COMPUTED_VALUE"""),"")</f>
        <v/>
      </c>
      <c r="X305" s="5" t="str">
        <f>IFERROR(__xludf.DUMMYFUNCTION("""COMPUTED_VALUE"""),"")</f>
        <v/>
      </c>
      <c r="Y305" s="5"/>
      <c r="Z305" s="5"/>
    </row>
    <row r="306">
      <c r="A306" s="5" t="str">
        <f>IFERROR(__xludf.DUMMYFUNCTION("""COMPUTED_VALUE"""),"Mozzarts World")</f>
        <v>Mozzarts World</v>
      </c>
      <c r="B306" s="5" t="str">
        <f>IFERROR(__xludf.DUMMYFUNCTION("""COMPUTED_VALUE"""),"")</f>
        <v/>
      </c>
      <c r="C306" s="5" t="str">
        <f>IFERROR(__xludf.DUMMYFUNCTION("""COMPUTED_VALUE"""),"")</f>
        <v/>
      </c>
      <c r="D306" s="5" t="str">
        <f>IFERROR(__xludf.DUMMYFUNCTION("""COMPUTED_VALUE"""),"")</f>
        <v/>
      </c>
      <c r="E306" s="5" t="str">
        <f>IFERROR(__xludf.DUMMYFUNCTION("""COMPUTED_VALUE"""),"")</f>
        <v/>
      </c>
      <c r="F306" s="5" t="str">
        <f>IFERROR(__xludf.DUMMYFUNCTION("""COMPUTED_VALUE"""),"")</f>
        <v/>
      </c>
      <c r="G306" s="5" t="str">
        <f>IFERROR(__xludf.DUMMYFUNCTION("""COMPUTED_VALUE"""),"")</f>
        <v/>
      </c>
      <c r="H306" s="5" t="str">
        <f>IFERROR(__xludf.DUMMYFUNCTION("""COMPUTED_VALUE"""),"")</f>
        <v/>
      </c>
      <c r="I306" s="5" t="str">
        <f>IFERROR(__xludf.DUMMYFUNCTION("""COMPUTED_VALUE"""),"")</f>
        <v/>
      </c>
      <c r="J306" s="5" t="str">
        <f>IFERROR(__xludf.DUMMYFUNCTION("""COMPUTED_VALUE"""),"")</f>
        <v/>
      </c>
      <c r="K306" s="5" t="str">
        <f>IFERROR(__xludf.DUMMYFUNCTION("""COMPUTED_VALUE"""),"")</f>
        <v/>
      </c>
      <c r="L306" s="5" t="str">
        <f>IFERROR(__xludf.DUMMYFUNCTION("""COMPUTED_VALUE"""),"")</f>
        <v/>
      </c>
      <c r="M306" s="5" t="str">
        <f>IFERROR(__xludf.DUMMYFUNCTION("""COMPUTED_VALUE"""),"")</f>
        <v/>
      </c>
      <c r="N306" s="5" t="str">
        <f>IFERROR(__xludf.DUMMYFUNCTION("""COMPUTED_VALUE"""),"")</f>
        <v/>
      </c>
      <c r="O306" s="5" t="str">
        <f>IFERROR(__xludf.DUMMYFUNCTION("""COMPUTED_VALUE"""),"")</f>
        <v/>
      </c>
      <c r="P306" s="5" t="str">
        <f>IFERROR(__xludf.DUMMYFUNCTION("""COMPUTED_VALUE"""),"")</f>
        <v/>
      </c>
      <c r="Q306" s="5" t="str">
        <f>IFERROR(__xludf.DUMMYFUNCTION("""COMPUTED_VALUE"""),"")</f>
        <v/>
      </c>
      <c r="R306" s="5" t="str">
        <f>IFERROR(__xludf.DUMMYFUNCTION("""COMPUTED_VALUE"""),"")</f>
        <v/>
      </c>
      <c r="S306" s="5" t="str">
        <f>IFERROR(__xludf.DUMMYFUNCTION("""COMPUTED_VALUE"""),"")</f>
        <v/>
      </c>
      <c r="T306" s="5" t="str">
        <f>IFERROR(__xludf.DUMMYFUNCTION("""COMPUTED_VALUE"""),"")</f>
        <v/>
      </c>
      <c r="U306" s="5" t="str">
        <f>IFERROR(__xludf.DUMMYFUNCTION("""COMPUTED_VALUE"""),"")</f>
        <v/>
      </c>
      <c r="V306" s="5" t="str">
        <f>IFERROR(__xludf.DUMMYFUNCTION("""COMPUTED_VALUE"""),"")</f>
        <v/>
      </c>
      <c r="W306" s="5" t="str">
        <f>IFERROR(__xludf.DUMMYFUNCTION("""COMPUTED_VALUE"""),"")</f>
        <v/>
      </c>
      <c r="X306" s="5" t="str">
        <f>IFERROR(__xludf.DUMMYFUNCTION("""COMPUTED_VALUE"""),"")</f>
        <v/>
      </c>
      <c r="Y306" s="5"/>
      <c r="Z306" s="5"/>
    </row>
    <row r="307">
      <c r="A307" s="5" t="str">
        <f>IFERROR(__xludf.DUMMYFUNCTION("""COMPUTED_VALUE"""),"Book Of Mozzart")</f>
        <v>Book Of Mozzart</v>
      </c>
      <c r="B307" s="5" t="str">
        <f>IFERROR(__xludf.DUMMYFUNCTION("""COMPUTED_VALUE"""),"")</f>
        <v/>
      </c>
      <c r="C307" s="5" t="str">
        <f>IFERROR(__xludf.DUMMYFUNCTION("""COMPUTED_VALUE"""),"")</f>
        <v/>
      </c>
      <c r="D307" s="5" t="str">
        <f>IFERROR(__xludf.DUMMYFUNCTION("""COMPUTED_VALUE"""),"")</f>
        <v/>
      </c>
      <c r="E307" s="5" t="str">
        <f>IFERROR(__xludf.DUMMYFUNCTION("""COMPUTED_VALUE"""),"")</f>
        <v/>
      </c>
      <c r="F307" s="5" t="str">
        <f>IFERROR(__xludf.DUMMYFUNCTION("""COMPUTED_VALUE"""),"")</f>
        <v/>
      </c>
      <c r="G307" s="5" t="str">
        <f>IFERROR(__xludf.DUMMYFUNCTION("""COMPUTED_VALUE"""),"")</f>
        <v/>
      </c>
      <c r="H307" s="5" t="str">
        <f>IFERROR(__xludf.DUMMYFUNCTION("""COMPUTED_VALUE"""),"")</f>
        <v/>
      </c>
      <c r="I307" s="5" t="str">
        <f>IFERROR(__xludf.DUMMYFUNCTION("""COMPUTED_VALUE"""),"")</f>
        <v/>
      </c>
      <c r="J307" s="5" t="str">
        <f>IFERROR(__xludf.DUMMYFUNCTION("""COMPUTED_VALUE"""),"")</f>
        <v/>
      </c>
      <c r="K307" s="5" t="str">
        <f>IFERROR(__xludf.DUMMYFUNCTION("""COMPUTED_VALUE"""),"")</f>
        <v/>
      </c>
      <c r="L307" s="5" t="str">
        <f>IFERROR(__xludf.DUMMYFUNCTION("""COMPUTED_VALUE"""),"")</f>
        <v/>
      </c>
      <c r="M307" s="5" t="str">
        <f>IFERROR(__xludf.DUMMYFUNCTION("""COMPUTED_VALUE"""),"")</f>
        <v/>
      </c>
      <c r="N307" s="5" t="str">
        <f>IFERROR(__xludf.DUMMYFUNCTION("""COMPUTED_VALUE"""),"")</f>
        <v/>
      </c>
      <c r="O307" s="5" t="str">
        <f>IFERROR(__xludf.DUMMYFUNCTION("""COMPUTED_VALUE"""),"")</f>
        <v/>
      </c>
      <c r="P307" s="5" t="str">
        <f>IFERROR(__xludf.DUMMYFUNCTION("""COMPUTED_VALUE"""),"")</f>
        <v/>
      </c>
      <c r="Q307" s="5" t="str">
        <f>IFERROR(__xludf.DUMMYFUNCTION("""COMPUTED_VALUE"""),"")</f>
        <v/>
      </c>
      <c r="R307" s="5" t="str">
        <f>IFERROR(__xludf.DUMMYFUNCTION("""COMPUTED_VALUE"""),"")</f>
        <v/>
      </c>
      <c r="S307" s="5" t="str">
        <f>IFERROR(__xludf.DUMMYFUNCTION("""COMPUTED_VALUE"""),"")</f>
        <v/>
      </c>
      <c r="T307" s="5" t="str">
        <f>IFERROR(__xludf.DUMMYFUNCTION("""COMPUTED_VALUE"""),"")</f>
        <v/>
      </c>
      <c r="U307" s="5" t="str">
        <f>IFERROR(__xludf.DUMMYFUNCTION("""COMPUTED_VALUE"""),"")</f>
        <v/>
      </c>
      <c r="V307" s="5" t="str">
        <f>IFERROR(__xludf.DUMMYFUNCTION("""COMPUTED_VALUE"""),"")</f>
        <v/>
      </c>
      <c r="W307" s="5" t="str">
        <f>IFERROR(__xludf.DUMMYFUNCTION("""COMPUTED_VALUE"""),"")</f>
        <v/>
      </c>
      <c r="X307" s="5" t="str">
        <f>IFERROR(__xludf.DUMMYFUNCTION("""COMPUTED_VALUE"""),"")</f>
        <v/>
      </c>
      <c r="Y307" s="5"/>
      <c r="Z307" s="5"/>
    </row>
    <row r="308">
      <c r="A308" s="5" t="str">
        <f>IFERROR(__xludf.DUMMYFUNCTION("""COMPUTED_VALUE"""),"Lucky Mozzart")</f>
        <v>Lucky Mozzart</v>
      </c>
      <c r="B308" s="5" t="str">
        <f>IFERROR(__xludf.DUMMYFUNCTION("""COMPUTED_VALUE"""),"")</f>
        <v/>
      </c>
      <c r="C308" s="5" t="str">
        <f>IFERROR(__xludf.DUMMYFUNCTION("""COMPUTED_VALUE"""),"")</f>
        <v/>
      </c>
      <c r="D308" s="5" t="str">
        <f>IFERROR(__xludf.DUMMYFUNCTION("""COMPUTED_VALUE"""),"")</f>
        <v/>
      </c>
      <c r="E308" s="5" t="str">
        <f>IFERROR(__xludf.DUMMYFUNCTION("""COMPUTED_VALUE"""),"")</f>
        <v/>
      </c>
      <c r="F308" s="5" t="str">
        <f>IFERROR(__xludf.DUMMYFUNCTION("""COMPUTED_VALUE"""),"")</f>
        <v/>
      </c>
      <c r="G308" s="5" t="str">
        <f>IFERROR(__xludf.DUMMYFUNCTION("""COMPUTED_VALUE"""),"")</f>
        <v/>
      </c>
      <c r="H308" s="5" t="str">
        <f>IFERROR(__xludf.DUMMYFUNCTION("""COMPUTED_VALUE"""),"")</f>
        <v/>
      </c>
      <c r="I308" s="5" t="str">
        <f>IFERROR(__xludf.DUMMYFUNCTION("""COMPUTED_VALUE"""),"")</f>
        <v/>
      </c>
      <c r="J308" s="5" t="str">
        <f>IFERROR(__xludf.DUMMYFUNCTION("""COMPUTED_VALUE"""),"")</f>
        <v/>
      </c>
      <c r="K308" s="5" t="str">
        <f>IFERROR(__xludf.DUMMYFUNCTION("""COMPUTED_VALUE"""),"")</f>
        <v/>
      </c>
      <c r="L308" s="5" t="str">
        <f>IFERROR(__xludf.DUMMYFUNCTION("""COMPUTED_VALUE"""),"")</f>
        <v/>
      </c>
      <c r="M308" s="5" t="str">
        <f>IFERROR(__xludf.DUMMYFUNCTION("""COMPUTED_VALUE"""),"")</f>
        <v/>
      </c>
      <c r="N308" s="5" t="str">
        <f>IFERROR(__xludf.DUMMYFUNCTION("""COMPUTED_VALUE"""),"")</f>
        <v/>
      </c>
      <c r="O308" s="5" t="str">
        <f>IFERROR(__xludf.DUMMYFUNCTION("""COMPUTED_VALUE"""),"")</f>
        <v/>
      </c>
      <c r="P308" s="5" t="str">
        <f>IFERROR(__xludf.DUMMYFUNCTION("""COMPUTED_VALUE"""),"")</f>
        <v/>
      </c>
      <c r="Q308" s="5" t="str">
        <f>IFERROR(__xludf.DUMMYFUNCTION("""COMPUTED_VALUE"""),"")</f>
        <v/>
      </c>
      <c r="R308" s="5" t="str">
        <f>IFERROR(__xludf.DUMMYFUNCTION("""COMPUTED_VALUE"""),"")</f>
        <v/>
      </c>
      <c r="S308" s="5" t="str">
        <f>IFERROR(__xludf.DUMMYFUNCTION("""COMPUTED_VALUE"""),"")</f>
        <v/>
      </c>
      <c r="T308" s="5" t="str">
        <f>IFERROR(__xludf.DUMMYFUNCTION("""COMPUTED_VALUE"""),"")</f>
        <v/>
      </c>
      <c r="U308" s="5" t="str">
        <f>IFERROR(__xludf.DUMMYFUNCTION("""COMPUTED_VALUE"""),"")</f>
        <v/>
      </c>
      <c r="V308" s="5" t="str">
        <f>IFERROR(__xludf.DUMMYFUNCTION("""COMPUTED_VALUE"""),"")</f>
        <v/>
      </c>
      <c r="W308" s="5" t="str">
        <f>IFERROR(__xludf.DUMMYFUNCTION("""COMPUTED_VALUE"""),"")</f>
        <v/>
      </c>
      <c r="X308" s="5" t="str">
        <f>IFERROR(__xludf.DUMMYFUNCTION("""COMPUTED_VALUE"""),"")</f>
        <v/>
      </c>
      <c r="Y308" s="5"/>
      <c r="Z308" s="5"/>
    </row>
    <row r="309">
      <c r="A309" s="5" t="str">
        <f>IFERROR(__xludf.DUMMYFUNCTION("""COMPUTED_VALUE"""),"Lady Triple Fortune")</f>
        <v>Lady Triple Fortune</v>
      </c>
      <c r="B309" s="5" t="str">
        <f>IFERROR(__xludf.DUMMYFUNCTION("""COMPUTED_VALUE"""),"")</f>
        <v/>
      </c>
      <c r="C309" s="5" t="str">
        <f>IFERROR(__xludf.DUMMYFUNCTION("""COMPUTED_VALUE"""),"")</f>
        <v/>
      </c>
      <c r="D309" s="5" t="str">
        <f>IFERROR(__xludf.DUMMYFUNCTION("""COMPUTED_VALUE"""),"")</f>
        <v/>
      </c>
      <c r="E309" s="5" t="str">
        <f>IFERROR(__xludf.DUMMYFUNCTION("""COMPUTED_VALUE"""),"")</f>
        <v/>
      </c>
      <c r="F309" s="5" t="str">
        <f>IFERROR(__xludf.DUMMYFUNCTION("""COMPUTED_VALUE"""),"")</f>
        <v/>
      </c>
      <c r="G309" s="5" t="str">
        <f>IFERROR(__xludf.DUMMYFUNCTION("""COMPUTED_VALUE"""),"")</f>
        <v/>
      </c>
      <c r="H309" s="5" t="str">
        <f>IFERROR(__xludf.DUMMYFUNCTION("""COMPUTED_VALUE"""),"")</f>
        <v/>
      </c>
      <c r="I309" s="5" t="str">
        <f>IFERROR(__xludf.DUMMYFUNCTION("""COMPUTED_VALUE"""),"")</f>
        <v/>
      </c>
      <c r="J309" s="5" t="str">
        <f>IFERROR(__xludf.DUMMYFUNCTION("""COMPUTED_VALUE"""),"")</f>
        <v/>
      </c>
      <c r="K309" s="5" t="str">
        <f>IFERROR(__xludf.DUMMYFUNCTION("""COMPUTED_VALUE"""),"")</f>
        <v/>
      </c>
      <c r="L309" s="5" t="str">
        <f>IFERROR(__xludf.DUMMYFUNCTION("""COMPUTED_VALUE"""),"")</f>
        <v/>
      </c>
      <c r="M309" s="5" t="str">
        <f>IFERROR(__xludf.DUMMYFUNCTION("""COMPUTED_VALUE"""),"")</f>
        <v/>
      </c>
      <c r="N309" s="5" t="str">
        <f>IFERROR(__xludf.DUMMYFUNCTION("""COMPUTED_VALUE"""),"")</f>
        <v/>
      </c>
      <c r="O309" s="5" t="str">
        <f>IFERROR(__xludf.DUMMYFUNCTION("""COMPUTED_VALUE"""),"")</f>
        <v/>
      </c>
      <c r="P309" s="5" t="str">
        <f>IFERROR(__xludf.DUMMYFUNCTION("""COMPUTED_VALUE"""),"")</f>
        <v/>
      </c>
      <c r="Q309" s="5" t="str">
        <f>IFERROR(__xludf.DUMMYFUNCTION("""COMPUTED_VALUE"""),"")</f>
        <v/>
      </c>
      <c r="R309" s="5" t="str">
        <f>IFERROR(__xludf.DUMMYFUNCTION("""COMPUTED_VALUE"""),"")</f>
        <v/>
      </c>
      <c r="S309" s="5" t="str">
        <f>IFERROR(__xludf.DUMMYFUNCTION("""COMPUTED_VALUE"""),"")</f>
        <v/>
      </c>
      <c r="T309" s="5" t="str">
        <f>IFERROR(__xludf.DUMMYFUNCTION("""COMPUTED_VALUE"""),"")</f>
        <v/>
      </c>
      <c r="U309" s="5" t="str">
        <f>IFERROR(__xludf.DUMMYFUNCTION("""COMPUTED_VALUE"""),"")</f>
        <v/>
      </c>
      <c r="V309" s="5" t="str">
        <f>IFERROR(__xludf.DUMMYFUNCTION("""COMPUTED_VALUE"""),"")</f>
        <v/>
      </c>
      <c r="W309" s="5" t="str">
        <f>IFERROR(__xludf.DUMMYFUNCTION("""COMPUTED_VALUE"""),"")</f>
        <v/>
      </c>
      <c r="X309" s="5" t="str">
        <f>IFERROR(__xludf.DUMMYFUNCTION("""COMPUTED_VALUE"""),"")</f>
        <v/>
      </c>
      <c r="Y309" s="5"/>
      <c r="Z309" s="5"/>
    </row>
    <row r="310">
      <c r="A310" s="5" t="str">
        <f>IFERROR(__xludf.DUMMYFUNCTION("""COMPUTED_VALUE"""),"Hot Rush Stars Deluxe")</f>
        <v>Hot Rush Stars Deluxe</v>
      </c>
      <c r="B310" s="5" t="str">
        <f>IFERROR(__xludf.DUMMYFUNCTION("""COMPUTED_VALUE"""),"")</f>
        <v/>
      </c>
      <c r="C310" s="5" t="str">
        <f>IFERROR(__xludf.DUMMYFUNCTION("""COMPUTED_VALUE"""),"")</f>
        <v/>
      </c>
      <c r="D310" s="5" t="str">
        <f>IFERROR(__xludf.DUMMYFUNCTION("""COMPUTED_VALUE"""),"")</f>
        <v/>
      </c>
      <c r="E310" s="5" t="str">
        <f>IFERROR(__xludf.DUMMYFUNCTION("""COMPUTED_VALUE"""),"")</f>
        <v/>
      </c>
      <c r="F310" s="5" t="str">
        <f>IFERROR(__xludf.DUMMYFUNCTION("""COMPUTED_VALUE"""),"")</f>
        <v/>
      </c>
      <c r="G310" s="5" t="str">
        <f>IFERROR(__xludf.DUMMYFUNCTION("""COMPUTED_VALUE"""),"")</f>
        <v/>
      </c>
      <c r="H310" s="5" t="str">
        <f>IFERROR(__xludf.DUMMYFUNCTION("""COMPUTED_VALUE"""),"")</f>
        <v/>
      </c>
      <c r="I310" s="5" t="str">
        <f>IFERROR(__xludf.DUMMYFUNCTION("""COMPUTED_VALUE"""),"")</f>
        <v/>
      </c>
      <c r="J310" s="5" t="str">
        <f>IFERROR(__xludf.DUMMYFUNCTION("""COMPUTED_VALUE"""),"")</f>
        <v/>
      </c>
      <c r="K310" s="5" t="str">
        <f>IFERROR(__xludf.DUMMYFUNCTION("""COMPUTED_VALUE"""),"")</f>
        <v/>
      </c>
      <c r="L310" s="5" t="str">
        <f>IFERROR(__xludf.DUMMYFUNCTION("""COMPUTED_VALUE"""),"")</f>
        <v/>
      </c>
      <c r="M310" s="5" t="str">
        <f>IFERROR(__xludf.DUMMYFUNCTION("""COMPUTED_VALUE"""),"")</f>
        <v/>
      </c>
      <c r="N310" s="5" t="str">
        <f>IFERROR(__xludf.DUMMYFUNCTION("""COMPUTED_VALUE"""),"")</f>
        <v/>
      </c>
      <c r="O310" s="5" t="str">
        <f>IFERROR(__xludf.DUMMYFUNCTION("""COMPUTED_VALUE"""),"")</f>
        <v/>
      </c>
      <c r="P310" s="5" t="str">
        <f>IFERROR(__xludf.DUMMYFUNCTION("""COMPUTED_VALUE"""),"")</f>
        <v/>
      </c>
      <c r="Q310" s="5" t="str">
        <f>IFERROR(__xludf.DUMMYFUNCTION("""COMPUTED_VALUE"""),"")</f>
        <v/>
      </c>
      <c r="R310" s="5" t="str">
        <f>IFERROR(__xludf.DUMMYFUNCTION("""COMPUTED_VALUE"""),"")</f>
        <v/>
      </c>
      <c r="S310" s="5" t="str">
        <f>IFERROR(__xludf.DUMMYFUNCTION("""COMPUTED_VALUE"""),"")</f>
        <v/>
      </c>
      <c r="T310" s="5" t="str">
        <f>IFERROR(__xludf.DUMMYFUNCTION("""COMPUTED_VALUE"""),"")</f>
        <v/>
      </c>
      <c r="U310" s="5" t="str">
        <f>IFERROR(__xludf.DUMMYFUNCTION("""COMPUTED_VALUE"""),"")</f>
        <v/>
      </c>
      <c r="V310" s="5" t="str">
        <f>IFERROR(__xludf.DUMMYFUNCTION("""COMPUTED_VALUE"""),"")</f>
        <v/>
      </c>
      <c r="W310" s="5" t="str">
        <f>IFERROR(__xludf.DUMMYFUNCTION("""COMPUTED_VALUE"""),"")</f>
        <v/>
      </c>
      <c r="X310" s="5" t="str">
        <f>IFERROR(__xludf.DUMMYFUNCTION("""COMPUTED_VALUE"""),"")</f>
        <v/>
      </c>
      <c r="Y310" s="5"/>
      <c r="Z310" s="5"/>
    </row>
    <row r="311">
      <c r="A311" s="5" t="str">
        <f>IFERROR(__xludf.DUMMYFUNCTION("""COMPUTED_VALUE"""),"Wild 81")</f>
        <v>Wild 81</v>
      </c>
      <c r="B311" s="5" t="str">
        <f>IFERROR(__xludf.DUMMYFUNCTION("""COMPUTED_VALUE"""),"Development")</f>
        <v>Development</v>
      </c>
      <c r="C311" s="5" t="str">
        <f>IFERROR(__xludf.DUMMYFUNCTION("""COMPUTED_VALUE"""),"Development")</f>
        <v>Development</v>
      </c>
      <c r="D311" s="5" t="str">
        <f>IFERROR(__xludf.DUMMYFUNCTION("""COMPUTED_VALUE"""),"Cert Preparation")</f>
        <v>Cert Preparation</v>
      </c>
      <c r="E311" s="5" t="str">
        <f>IFERROR(__xludf.DUMMYFUNCTION("""COMPUTED_VALUE"""),"")</f>
        <v/>
      </c>
      <c r="F311" s="5" t="str">
        <f>IFERROR(__xludf.DUMMYFUNCTION("""COMPUTED_VALUE"""),"Available")</f>
        <v>Available</v>
      </c>
      <c r="G311" s="5" t="str">
        <f>IFERROR(__xludf.DUMMYFUNCTION("""COMPUTED_VALUE"""),"Available")</f>
        <v>Available</v>
      </c>
      <c r="H311" s="5" t="str">
        <f>IFERROR(__xludf.DUMMYFUNCTION("""COMPUTED_VALUE"""),"Available")</f>
        <v>Available</v>
      </c>
      <c r="I311" s="5" t="str">
        <f>IFERROR(__xludf.DUMMYFUNCTION("""COMPUTED_VALUE"""),"Development")</f>
        <v>Development</v>
      </c>
      <c r="J311" s="5" t="str">
        <f>IFERROR(__xludf.DUMMYFUNCTION("""COMPUTED_VALUE"""),"")</f>
        <v/>
      </c>
      <c r="K311" s="5" t="str">
        <f>IFERROR(__xludf.DUMMYFUNCTION("""COMPUTED_VALUE"""),"Development")</f>
        <v>Development</v>
      </c>
      <c r="L311" s="5" t="str">
        <f>IFERROR(__xludf.DUMMYFUNCTION("""COMPUTED_VALUE"""),"Development")</f>
        <v>Development</v>
      </c>
      <c r="M311" s="5" t="str">
        <f>IFERROR(__xludf.DUMMYFUNCTION("""COMPUTED_VALUE"""),"")</f>
        <v/>
      </c>
      <c r="N311" s="5" t="str">
        <f>IFERROR(__xludf.DUMMYFUNCTION("""COMPUTED_VALUE"""),"")</f>
        <v/>
      </c>
      <c r="O311" s="5" t="str">
        <f>IFERROR(__xludf.DUMMYFUNCTION("""COMPUTED_VALUE"""),"")</f>
        <v/>
      </c>
      <c r="P311" s="5" t="str">
        <f>IFERROR(__xludf.DUMMYFUNCTION("""COMPUTED_VALUE"""),"")</f>
        <v/>
      </c>
      <c r="Q311" s="5" t="str">
        <f>IFERROR(__xludf.DUMMYFUNCTION("""COMPUTED_VALUE"""),"Available")</f>
        <v>Available</v>
      </c>
      <c r="R311" s="5" t="str">
        <f>IFERROR(__xludf.DUMMYFUNCTION("""COMPUTED_VALUE"""),"")</f>
        <v/>
      </c>
      <c r="S311" s="5" t="str">
        <f>IFERROR(__xludf.DUMMYFUNCTION("""COMPUTED_VALUE"""),"")</f>
        <v/>
      </c>
      <c r="T311" s="5" t="str">
        <f>IFERROR(__xludf.DUMMYFUNCTION("""COMPUTED_VALUE"""),"")</f>
        <v/>
      </c>
      <c r="U311" s="5" t="str">
        <f>IFERROR(__xludf.DUMMYFUNCTION("""COMPUTED_VALUE"""),"")</f>
        <v/>
      </c>
      <c r="V311" s="5" t="str">
        <f>IFERROR(__xludf.DUMMYFUNCTION("""COMPUTED_VALUE"""),"")</f>
        <v/>
      </c>
      <c r="W311" s="5" t="str">
        <f>IFERROR(__xludf.DUMMYFUNCTION("""COMPUTED_VALUE"""),"")</f>
        <v/>
      </c>
      <c r="X311" s="5" t="str">
        <f>IFERROR(__xludf.DUMMYFUNCTION("""COMPUTED_VALUE"""),"")</f>
        <v/>
      </c>
      <c r="Y311" s="5"/>
      <c r="Z311" s="5"/>
    </row>
    <row r="312">
      <c r="A312" s="5" t="str">
        <f>IFERROR(__xludf.DUMMYFUNCTION("""COMPUTED_VALUE"""),"Mystic Jungle")</f>
        <v>Mystic Jungle</v>
      </c>
      <c r="B312" s="5" t="str">
        <f>IFERROR(__xludf.DUMMYFUNCTION("""COMPUTED_VALUE"""),"Development")</f>
        <v>Development</v>
      </c>
      <c r="C312" s="5" t="str">
        <f>IFERROR(__xludf.DUMMYFUNCTION("""COMPUTED_VALUE"""),"")</f>
        <v/>
      </c>
      <c r="D312" s="5" t="str">
        <f>IFERROR(__xludf.DUMMYFUNCTION("""COMPUTED_VALUE"""),"Cert Preparation")</f>
        <v>Cert Preparation</v>
      </c>
      <c r="E312" s="5" t="str">
        <f>IFERROR(__xludf.DUMMYFUNCTION("""COMPUTED_VALUE"""),"")</f>
        <v/>
      </c>
      <c r="F312" s="5" t="str">
        <f>IFERROR(__xludf.DUMMYFUNCTION("""COMPUTED_VALUE"""),"")</f>
        <v/>
      </c>
      <c r="G312" s="5" t="str">
        <f>IFERROR(__xludf.DUMMYFUNCTION("""COMPUTED_VALUE"""),"")</f>
        <v/>
      </c>
      <c r="H312" s="5" t="str">
        <f>IFERROR(__xludf.DUMMYFUNCTION("""COMPUTED_VALUE"""),"Available")</f>
        <v>Available</v>
      </c>
      <c r="I312" s="5" t="str">
        <f>IFERROR(__xludf.DUMMYFUNCTION("""COMPUTED_VALUE"""),"")</f>
        <v/>
      </c>
      <c r="J312" s="5" t="str">
        <f>IFERROR(__xludf.DUMMYFUNCTION("""COMPUTED_VALUE"""),"")</f>
        <v/>
      </c>
      <c r="K312" s="5" t="str">
        <f>IFERROR(__xludf.DUMMYFUNCTION("""COMPUTED_VALUE"""),"")</f>
        <v/>
      </c>
      <c r="L312" s="5" t="str">
        <f>IFERROR(__xludf.DUMMYFUNCTION("""COMPUTED_VALUE"""),"")</f>
        <v/>
      </c>
      <c r="M312" s="5" t="str">
        <f>IFERROR(__xludf.DUMMYFUNCTION("""COMPUTED_VALUE"""),"")</f>
        <v/>
      </c>
      <c r="N312" s="5" t="str">
        <f>IFERROR(__xludf.DUMMYFUNCTION("""COMPUTED_VALUE"""),"")</f>
        <v/>
      </c>
      <c r="O312" s="5" t="str">
        <f>IFERROR(__xludf.DUMMYFUNCTION("""COMPUTED_VALUE"""),"")</f>
        <v/>
      </c>
      <c r="P312" s="5" t="str">
        <f>IFERROR(__xludf.DUMMYFUNCTION("""COMPUTED_VALUE"""),"")</f>
        <v/>
      </c>
      <c r="Q312" s="5" t="str">
        <f>IFERROR(__xludf.DUMMYFUNCTION("""COMPUTED_VALUE"""),"Available")</f>
        <v>Available</v>
      </c>
      <c r="R312" s="5" t="str">
        <f>IFERROR(__xludf.DUMMYFUNCTION("""COMPUTED_VALUE"""),"")</f>
        <v/>
      </c>
      <c r="S312" s="5" t="str">
        <f>IFERROR(__xludf.DUMMYFUNCTION("""COMPUTED_VALUE"""),"")</f>
        <v/>
      </c>
      <c r="T312" s="5" t="str">
        <f>IFERROR(__xludf.DUMMYFUNCTION("""COMPUTED_VALUE"""),"")</f>
        <v/>
      </c>
      <c r="U312" s="5" t="str">
        <f>IFERROR(__xludf.DUMMYFUNCTION("""COMPUTED_VALUE"""),"")</f>
        <v/>
      </c>
      <c r="V312" s="5" t="str">
        <f>IFERROR(__xludf.DUMMYFUNCTION("""COMPUTED_VALUE"""),"")</f>
        <v/>
      </c>
      <c r="W312" s="5" t="str">
        <f>IFERROR(__xludf.DUMMYFUNCTION("""COMPUTED_VALUE"""),"")</f>
        <v/>
      </c>
      <c r="X312" s="5" t="str">
        <f>IFERROR(__xludf.DUMMYFUNCTION("""COMPUTED_VALUE"""),"")</f>
        <v/>
      </c>
      <c r="Y312" s="5"/>
      <c r="Z312" s="5"/>
    </row>
    <row r="313">
      <c r="A313" s="5" t="str">
        <f>IFERROR(__xludf.DUMMYFUNCTION("""COMPUTED_VALUE"""),"Slot Royale")</f>
        <v>Slot Royale</v>
      </c>
      <c r="B313" s="5" t="str">
        <f>IFERROR(__xludf.DUMMYFUNCTION("""COMPUTED_VALUE"""),"")</f>
        <v/>
      </c>
      <c r="C313" s="5" t="str">
        <f>IFERROR(__xludf.DUMMYFUNCTION("""COMPUTED_VALUE"""),"")</f>
        <v/>
      </c>
      <c r="D313" s="5" t="str">
        <f>IFERROR(__xludf.DUMMYFUNCTION("""COMPUTED_VALUE"""),"")</f>
        <v/>
      </c>
      <c r="E313" s="5" t="str">
        <f>IFERROR(__xludf.DUMMYFUNCTION("""COMPUTED_VALUE"""),"")</f>
        <v/>
      </c>
      <c r="F313" s="5" t="str">
        <f>IFERROR(__xludf.DUMMYFUNCTION("""COMPUTED_VALUE"""),"")</f>
        <v/>
      </c>
      <c r="G313" s="5" t="str">
        <f>IFERROR(__xludf.DUMMYFUNCTION("""COMPUTED_VALUE"""),"")</f>
        <v/>
      </c>
      <c r="H313" s="5" t="str">
        <f>IFERROR(__xludf.DUMMYFUNCTION("""COMPUTED_VALUE"""),"")</f>
        <v/>
      </c>
      <c r="I313" s="5" t="str">
        <f>IFERROR(__xludf.DUMMYFUNCTION("""COMPUTED_VALUE"""),"")</f>
        <v/>
      </c>
      <c r="J313" s="5" t="str">
        <f>IFERROR(__xludf.DUMMYFUNCTION("""COMPUTED_VALUE"""),"")</f>
        <v/>
      </c>
      <c r="K313" s="5" t="str">
        <f>IFERROR(__xludf.DUMMYFUNCTION("""COMPUTED_VALUE"""),"")</f>
        <v/>
      </c>
      <c r="L313" s="5" t="str">
        <f>IFERROR(__xludf.DUMMYFUNCTION("""COMPUTED_VALUE"""),"")</f>
        <v/>
      </c>
      <c r="M313" s="5" t="str">
        <f>IFERROR(__xludf.DUMMYFUNCTION("""COMPUTED_VALUE"""),"")</f>
        <v/>
      </c>
      <c r="N313" s="5" t="str">
        <f>IFERROR(__xludf.DUMMYFUNCTION("""COMPUTED_VALUE"""),"")</f>
        <v/>
      </c>
      <c r="O313" s="5" t="str">
        <f>IFERROR(__xludf.DUMMYFUNCTION("""COMPUTED_VALUE"""),"")</f>
        <v/>
      </c>
      <c r="P313" s="5" t="str">
        <f>IFERROR(__xludf.DUMMYFUNCTION("""COMPUTED_VALUE"""),"")</f>
        <v/>
      </c>
      <c r="Q313" s="5" t="str">
        <f>IFERROR(__xludf.DUMMYFUNCTION("""COMPUTED_VALUE"""),"")</f>
        <v/>
      </c>
      <c r="R313" s="5" t="str">
        <f>IFERROR(__xludf.DUMMYFUNCTION("""COMPUTED_VALUE"""),"")</f>
        <v/>
      </c>
      <c r="S313" s="5" t="str">
        <f>IFERROR(__xludf.DUMMYFUNCTION("""COMPUTED_VALUE"""),"")</f>
        <v/>
      </c>
      <c r="T313" s="5" t="str">
        <f>IFERROR(__xludf.DUMMYFUNCTION("""COMPUTED_VALUE"""),"")</f>
        <v/>
      </c>
      <c r="U313" s="5" t="str">
        <f>IFERROR(__xludf.DUMMYFUNCTION("""COMPUTED_VALUE"""),"")</f>
        <v/>
      </c>
      <c r="V313" s="5" t="str">
        <f>IFERROR(__xludf.DUMMYFUNCTION("""COMPUTED_VALUE"""),"")</f>
        <v/>
      </c>
      <c r="W313" s="5" t="str">
        <f>IFERROR(__xludf.DUMMYFUNCTION("""COMPUTED_VALUE"""),"")</f>
        <v/>
      </c>
      <c r="X313" s="5" t="str">
        <f>IFERROR(__xludf.DUMMYFUNCTION("""COMPUTED_VALUE"""),"")</f>
        <v/>
      </c>
      <c r="Y313" s="5"/>
      <c r="Z313" s="5"/>
    </row>
    <row r="314">
      <c r="A314" s="5" t="str">
        <f>IFERROR(__xludf.DUMMYFUNCTION("""COMPUTED_VALUE"""),"5 Clover Fire - Lock &amp; Cash")</f>
        <v>5 Clover Fire - Lock &amp; Cash</v>
      </c>
      <c r="B314" s="5" t="str">
        <f>IFERROR(__xludf.DUMMYFUNCTION("""COMPUTED_VALUE"""),"")</f>
        <v/>
      </c>
      <c r="C314" s="5" t="str">
        <f>IFERROR(__xludf.DUMMYFUNCTION("""COMPUTED_VALUE"""),"")</f>
        <v/>
      </c>
      <c r="D314" s="5" t="str">
        <f>IFERROR(__xludf.DUMMYFUNCTION("""COMPUTED_VALUE"""),"")</f>
        <v/>
      </c>
      <c r="E314" s="5" t="str">
        <f>IFERROR(__xludf.DUMMYFUNCTION("""COMPUTED_VALUE"""),"")</f>
        <v/>
      </c>
      <c r="F314" s="5" t="str">
        <f>IFERROR(__xludf.DUMMYFUNCTION("""COMPUTED_VALUE"""),"")</f>
        <v/>
      </c>
      <c r="G314" s="5" t="str">
        <f>IFERROR(__xludf.DUMMYFUNCTION("""COMPUTED_VALUE"""),"")</f>
        <v/>
      </c>
      <c r="H314" s="5" t="str">
        <f>IFERROR(__xludf.DUMMYFUNCTION("""COMPUTED_VALUE"""),"")</f>
        <v/>
      </c>
      <c r="I314" s="5" t="str">
        <f>IFERROR(__xludf.DUMMYFUNCTION("""COMPUTED_VALUE"""),"")</f>
        <v/>
      </c>
      <c r="J314" s="5" t="str">
        <f>IFERROR(__xludf.DUMMYFUNCTION("""COMPUTED_VALUE"""),"")</f>
        <v/>
      </c>
      <c r="K314" s="5" t="str">
        <f>IFERROR(__xludf.DUMMYFUNCTION("""COMPUTED_VALUE"""),"")</f>
        <v/>
      </c>
      <c r="L314" s="5" t="str">
        <f>IFERROR(__xludf.DUMMYFUNCTION("""COMPUTED_VALUE"""),"")</f>
        <v/>
      </c>
      <c r="M314" s="5" t="str">
        <f>IFERROR(__xludf.DUMMYFUNCTION("""COMPUTED_VALUE"""),"")</f>
        <v/>
      </c>
      <c r="N314" s="5" t="str">
        <f>IFERROR(__xludf.DUMMYFUNCTION("""COMPUTED_VALUE"""),"")</f>
        <v/>
      </c>
      <c r="O314" s="5" t="str">
        <f>IFERROR(__xludf.DUMMYFUNCTION("""COMPUTED_VALUE"""),"")</f>
        <v/>
      </c>
      <c r="P314" s="5" t="str">
        <f>IFERROR(__xludf.DUMMYFUNCTION("""COMPUTED_VALUE"""),"")</f>
        <v/>
      </c>
      <c r="Q314" s="5" t="str">
        <f>IFERROR(__xludf.DUMMYFUNCTION("""COMPUTED_VALUE"""),"")</f>
        <v/>
      </c>
      <c r="R314" s="5" t="str">
        <f>IFERROR(__xludf.DUMMYFUNCTION("""COMPUTED_VALUE"""),"")</f>
        <v/>
      </c>
      <c r="S314" s="5" t="str">
        <f>IFERROR(__xludf.DUMMYFUNCTION("""COMPUTED_VALUE"""),"")</f>
        <v/>
      </c>
      <c r="T314" s="5" t="str">
        <f>IFERROR(__xludf.DUMMYFUNCTION("""COMPUTED_VALUE"""),"")</f>
        <v/>
      </c>
      <c r="U314" s="5" t="str">
        <f>IFERROR(__xludf.DUMMYFUNCTION("""COMPUTED_VALUE"""),"")</f>
        <v/>
      </c>
      <c r="V314" s="5" t="str">
        <f>IFERROR(__xludf.DUMMYFUNCTION("""COMPUTED_VALUE"""),"")</f>
        <v/>
      </c>
      <c r="W314" s="5" t="str">
        <f>IFERROR(__xludf.DUMMYFUNCTION("""COMPUTED_VALUE"""),"")</f>
        <v/>
      </c>
      <c r="X314" s="5" t="str">
        <f>IFERROR(__xludf.DUMMYFUNCTION("""COMPUTED_VALUE"""),"")</f>
        <v/>
      </c>
      <c r="Y314" s="5"/>
      <c r="Z314" s="5"/>
    </row>
    <row r="315">
      <c r="A315" s="5" t="str">
        <f>IFERROR(__xludf.DUMMYFUNCTION("""COMPUTED_VALUE"""),"Wild Lucky Dice")</f>
        <v>Wild Lucky Dice</v>
      </c>
      <c r="B315" s="5" t="str">
        <f>IFERROR(__xludf.DUMMYFUNCTION("""COMPUTED_VALUE"""),"Available")</f>
        <v>Available</v>
      </c>
      <c r="C315" s="5" t="str">
        <f>IFERROR(__xludf.DUMMYFUNCTION("""COMPUTED_VALUE"""),"")</f>
        <v/>
      </c>
      <c r="D315" s="5" t="str">
        <f>IFERROR(__xludf.DUMMYFUNCTION("""COMPUTED_VALUE"""),"")</f>
        <v/>
      </c>
      <c r="E315" s="5" t="str">
        <f>IFERROR(__xludf.DUMMYFUNCTION("""COMPUTED_VALUE"""),"Available")</f>
        <v>Available</v>
      </c>
      <c r="F315" s="5" t="str">
        <f>IFERROR(__xludf.DUMMYFUNCTION("""COMPUTED_VALUE"""),"")</f>
        <v/>
      </c>
      <c r="G315" s="5" t="str">
        <f>IFERROR(__xludf.DUMMYFUNCTION("""COMPUTED_VALUE"""),"")</f>
        <v/>
      </c>
      <c r="H315" s="5" t="str">
        <f>IFERROR(__xludf.DUMMYFUNCTION("""COMPUTED_VALUE"""),"Available")</f>
        <v>Available</v>
      </c>
      <c r="I315" s="5" t="str">
        <f>IFERROR(__xludf.DUMMYFUNCTION("""COMPUTED_VALUE"""),"")</f>
        <v/>
      </c>
      <c r="J315" s="5" t="str">
        <f>IFERROR(__xludf.DUMMYFUNCTION("""COMPUTED_VALUE"""),"")</f>
        <v/>
      </c>
      <c r="K315" s="5" t="str">
        <f>IFERROR(__xludf.DUMMYFUNCTION("""COMPUTED_VALUE"""),"")</f>
        <v/>
      </c>
      <c r="L315" s="5" t="str">
        <f>IFERROR(__xludf.DUMMYFUNCTION("""COMPUTED_VALUE"""),"")</f>
        <v/>
      </c>
      <c r="M315" s="5" t="str">
        <f>IFERROR(__xludf.DUMMYFUNCTION("""COMPUTED_VALUE"""),"")</f>
        <v/>
      </c>
      <c r="N315" s="5" t="str">
        <f>IFERROR(__xludf.DUMMYFUNCTION("""COMPUTED_VALUE"""),"")</f>
        <v/>
      </c>
      <c r="O315" s="5" t="str">
        <f>IFERROR(__xludf.DUMMYFUNCTION("""COMPUTED_VALUE"""),"")</f>
        <v/>
      </c>
      <c r="P315" s="5" t="str">
        <f>IFERROR(__xludf.DUMMYFUNCTION("""COMPUTED_VALUE"""),"")</f>
        <v/>
      </c>
      <c r="Q315" s="5" t="str">
        <f>IFERROR(__xludf.DUMMYFUNCTION("""COMPUTED_VALUE"""),"")</f>
        <v/>
      </c>
      <c r="R315" s="5" t="str">
        <f>IFERROR(__xludf.DUMMYFUNCTION("""COMPUTED_VALUE"""),"")</f>
        <v/>
      </c>
      <c r="S315" s="5" t="str">
        <f>IFERROR(__xludf.DUMMYFUNCTION("""COMPUTED_VALUE"""),"")</f>
        <v/>
      </c>
      <c r="T315" s="5" t="str">
        <f>IFERROR(__xludf.DUMMYFUNCTION("""COMPUTED_VALUE"""),"")</f>
        <v/>
      </c>
      <c r="U315" s="5" t="str">
        <f>IFERROR(__xludf.DUMMYFUNCTION("""COMPUTED_VALUE"""),"")</f>
        <v/>
      </c>
      <c r="V315" s="5" t="str">
        <f>IFERROR(__xludf.DUMMYFUNCTION("""COMPUTED_VALUE"""),"")</f>
        <v/>
      </c>
      <c r="W315" s="5" t="str">
        <f>IFERROR(__xludf.DUMMYFUNCTION("""COMPUTED_VALUE"""),"")</f>
        <v/>
      </c>
      <c r="X315" s="5" t="str">
        <f>IFERROR(__xludf.DUMMYFUNCTION("""COMPUTED_VALUE"""),"")</f>
        <v/>
      </c>
      <c r="Y315" s="5"/>
      <c r="Z315" s="5"/>
    </row>
    <row r="316">
      <c r="A316" s="5" t="str">
        <f>IFERROR(__xludf.DUMMYFUNCTION("""COMPUTED_VALUE"""),"Eggspanding Rush")</f>
        <v>Eggspanding Rush</v>
      </c>
      <c r="B316" s="5" t="str">
        <f>IFERROR(__xludf.DUMMYFUNCTION("""COMPUTED_VALUE"""),"Available")</f>
        <v>Available</v>
      </c>
      <c r="C316" s="5" t="str">
        <f>IFERROR(__xludf.DUMMYFUNCTION("""COMPUTED_VALUE"""),"Available")</f>
        <v>Available</v>
      </c>
      <c r="D316" s="5" t="str">
        <f>IFERROR(__xludf.DUMMYFUNCTION("""COMPUTED_VALUE"""),"Certified")</f>
        <v>Certified</v>
      </c>
      <c r="E316" s="5" t="str">
        <f>IFERROR(__xludf.DUMMYFUNCTION("""COMPUTED_VALUE"""),"")</f>
        <v/>
      </c>
      <c r="F316" s="5" t="str">
        <f>IFERROR(__xludf.DUMMYFUNCTION("""COMPUTED_VALUE"""),"Available")</f>
        <v>Available</v>
      </c>
      <c r="G316" s="5" t="str">
        <f>IFERROR(__xludf.DUMMYFUNCTION("""COMPUTED_VALUE"""),"Available")</f>
        <v>Available</v>
      </c>
      <c r="H316" s="5" t="str">
        <f>IFERROR(__xludf.DUMMYFUNCTION("""COMPUTED_VALUE"""),"Available")</f>
        <v>Available</v>
      </c>
      <c r="I316" s="5" t="str">
        <f>IFERROR(__xludf.DUMMYFUNCTION("""COMPUTED_VALUE"""),"")</f>
        <v/>
      </c>
      <c r="J316" s="5" t="str">
        <f>IFERROR(__xludf.DUMMYFUNCTION("""COMPUTED_VALUE"""),"")</f>
        <v/>
      </c>
      <c r="K316" s="5" t="str">
        <f>IFERROR(__xludf.DUMMYFUNCTION("""COMPUTED_VALUE"""),"Development")</f>
        <v>Development</v>
      </c>
      <c r="L316" s="5" t="str">
        <f>IFERROR(__xludf.DUMMYFUNCTION("""COMPUTED_VALUE"""),"Available")</f>
        <v>Available</v>
      </c>
      <c r="M316" s="5" t="str">
        <f>IFERROR(__xludf.DUMMYFUNCTION("""COMPUTED_VALUE"""),"Development")</f>
        <v>Development</v>
      </c>
      <c r="N316" s="5" t="str">
        <f>IFERROR(__xludf.DUMMYFUNCTION("""COMPUTED_VALUE"""),"")</f>
        <v/>
      </c>
      <c r="O316" s="5" t="str">
        <f>IFERROR(__xludf.DUMMYFUNCTION("""COMPUTED_VALUE"""),"")</f>
        <v/>
      </c>
      <c r="P316" s="5" t="str">
        <f>IFERROR(__xludf.DUMMYFUNCTION("""COMPUTED_VALUE"""),"")</f>
        <v/>
      </c>
      <c r="Q316" s="5" t="str">
        <f>IFERROR(__xludf.DUMMYFUNCTION("""COMPUTED_VALUE"""),"")</f>
        <v/>
      </c>
      <c r="R316" s="5" t="str">
        <f>IFERROR(__xludf.DUMMYFUNCTION("""COMPUTED_VALUE"""),"")</f>
        <v/>
      </c>
      <c r="S316" s="5" t="str">
        <f>IFERROR(__xludf.DUMMYFUNCTION("""COMPUTED_VALUE"""),"")</f>
        <v/>
      </c>
      <c r="T316" s="5" t="str">
        <f>IFERROR(__xludf.DUMMYFUNCTION("""COMPUTED_VALUE"""),"")</f>
        <v/>
      </c>
      <c r="U316" s="5" t="str">
        <f>IFERROR(__xludf.DUMMYFUNCTION("""COMPUTED_VALUE"""),"")</f>
        <v/>
      </c>
      <c r="V316" s="5" t="str">
        <f>IFERROR(__xludf.DUMMYFUNCTION("""COMPUTED_VALUE"""),"")</f>
        <v/>
      </c>
      <c r="W316" s="5" t="str">
        <f>IFERROR(__xludf.DUMMYFUNCTION("""COMPUTED_VALUE"""),"")</f>
        <v/>
      </c>
      <c r="X316" s="5" t="str">
        <f>IFERROR(__xludf.DUMMYFUNCTION("""COMPUTED_VALUE"""),"")</f>
        <v/>
      </c>
      <c r="Y316" s="5"/>
      <c r="Z316" s="5"/>
    </row>
    <row r="317">
      <c r="A317" s="5" t="str">
        <f>IFERROR(__xludf.DUMMYFUNCTION("""COMPUTED_VALUE"""),"Mozzart Wild 40")</f>
        <v>Mozzart Wild 40</v>
      </c>
      <c r="B317" s="5" t="str">
        <f>IFERROR(__xludf.DUMMYFUNCTION("""COMPUTED_VALUE"""),"")</f>
        <v/>
      </c>
      <c r="C317" s="5" t="str">
        <f>IFERROR(__xludf.DUMMYFUNCTION("""COMPUTED_VALUE"""),"")</f>
        <v/>
      </c>
      <c r="D317" s="5" t="str">
        <f>IFERROR(__xludf.DUMMYFUNCTION("""COMPUTED_VALUE"""),"")</f>
        <v/>
      </c>
      <c r="E317" s="5" t="str">
        <f>IFERROR(__xludf.DUMMYFUNCTION("""COMPUTED_VALUE"""),"")</f>
        <v/>
      </c>
      <c r="F317" s="5" t="str">
        <f>IFERROR(__xludf.DUMMYFUNCTION("""COMPUTED_VALUE"""),"")</f>
        <v/>
      </c>
      <c r="G317" s="5" t="str">
        <f>IFERROR(__xludf.DUMMYFUNCTION("""COMPUTED_VALUE"""),"")</f>
        <v/>
      </c>
      <c r="H317" s="5" t="str">
        <f>IFERROR(__xludf.DUMMYFUNCTION("""COMPUTED_VALUE"""),"")</f>
        <v/>
      </c>
      <c r="I317" s="5" t="str">
        <f>IFERROR(__xludf.DUMMYFUNCTION("""COMPUTED_VALUE"""),"")</f>
        <v/>
      </c>
      <c r="J317" s="5" t="str">
        <f>IFERROR(__xludf.DUMMYFUNCTION("""COMPUTED_VALUE"""),"")</f>
        <v/>
      </c>
      <c r="K317" s="5" t="str">
        <f>IFERROR(__xludf.DUMMYFUNCTION("""COMPUTED_VALUE"""),"")</f>
        <v/>
      </c>
      <c r="L317" s="5" t="str">
        <f>IFERROR(__xludf.DUMMYFUNCTION("""COMPUTED_VALUE"""),"")</f>
        <v/>
      </c>
      <c r="M317" s="5" t="str">
        <f>IFERROR(__xludf.DUMMYFUNCTION("""COMPUTED_VALUE"""),"")</f>
        <v/>
      </c>
      <c r="N317" s="5" t="str">
        <f>IFERROR(__xludf.DUMMYFUNCTION("""COMPUTED_VALUE"""),"")</f>
        <v/>
      </c>
      <c r="O317" s="5" t="str">
        <f>IFERROR(__xludf.DUMMYFUNCTION("""COMPUTED_VALUE"""),"")</f>
        <v/>
      </c>
      <c r="P317" s="5" t="str">
        <f>IFERROR(__xludf.DUMMYFUNCTION("""COMPUTED_VALUE"""),"")</f>
        <v/>
      </c>
      <c r="Q317" s="5" t="str">
        <f>IFERROR(__xludf.DUMMYFUNCTION("""COMPUTED_VALUE"""),"")</f>
        <v/>
      </c>
      <c r="R317" s="5" t="str">
        <f>IFERROR(__xludf.DUMMYFUNCTION("""COMPUTED_VALUE"""),"")</f>
        <v/>
      </c>
      <c r="S317" s="5" t="str">
        <f>IFERROR(__xludf.DUMMYFUNCTION("""COMPUTED_VALUE"""),"")</f>
        <v/>
      </c>
      <c r="T317" s="5" t="str">
        <f>IFERROR(__xludf.DUMMYFUNCTION("""COMPUTED_VALUE"""),"")</f>
        <v/>
      </c>
      <c r="U317" s="5" t="str">
        <f>IFERROR(__xludf.DUMMYFUNCTION("""COMPUTED_VALUE"""),"")</f>
        <v/>
      </c>
      <c r="V317" s="5" t="str">
        <f>IFERROR(__xludf.DUMMYFUNCTION("""COMPUTED_VALUE"""),"")</f>
        <v/>
      </c>
      <c r="W317" s="5" t="str">
        <f>IFERROR(__xludf.DUMMYFUNCTION("""COMPUTED_VALUE"""),"")</f>
        <v/>
      </c>
      <c r="X317" s="5" t="str">
        <f>IFERROR(__xludf.DUMMYFUNCTION("""COMPUTED_VALUE"""),"")</f>
        <v/>
      </c>
      <c r="Y317" s="5"/>
      <c r="Z317" s="5"/>
    </row>
    <row r="318">
      <c r="A318" s="5" t="str">
        <f>IFERROR(__xludf.DUMMYFUNCTION("""COMPUTED_VALUE"""),"Mozzart Fruits")</f>
        <v>Mozzart Fruits</v>
      </c>
      <c r="B318" s="5" t="str">
        <f>IFERROR(__xludf.DUMMYFUNCTION("""COMPUTED_VALUE"""),"")</f>
        <v/>
      </c>
      <c r="C318" s="5" t="str">
        <f>IFERROR(__xludf.DUMMYFUNCTION("""COMPUTED_VALUE"""),"")</f>
        <v/>
      </c>
      <c r="D318" s="5" t="str">
        <f>IFERROR(__xludf.DUMMYFUNCTION("""COMPUTED_VALUE"""),"")</f>
        <v/>
      </c>
      <c r="E318" s="5" t="str">
        <f>IFERROR(__xludf.DUMMYFUNCTION("""COMPUTED_VALUE"""),"")</f>
        <v/>
      </c>
      <c r="F318" s="5" t="str">
        <f>IFERROR(__xludf.DUMMYFUNCTION("""COMPUTED_VALUE"""),"")</f>
        <v/>
      </c>
      <c r="G318" s="5" t="str">
        <f>IFERROR(__xludf.DUMMYFUNCTION("""COMPUTED_VALUE"""),"")</f>
        <v/>
      </c>
      <c r="H318" s="5" t="str">
        <f>IFERROR(__xludf.DUMMYFUNCTION("""COMPUTED_VALUE"""),"")</f>
        <v/>
      </c>
      <c r="I318" s="5" t="str">
        <f>IFERROR(__xludf.DUMMYFUNCTION("""COMPUTED_VALUE"""),"")</f>
        <v/>
      </c>
      <c r="J318" s="5" t="str">
        <f>IFERROR(__xludf.DUMMYFUNCTION("""COMPUTED_VALUE"""),"")</f>
        <v/>
      </c>
      <c r="K318" s="5" t="str">
        <f>IFERROR(__xludf.DUMMYFUNCTION("""COMPUTED_VALUE"""),"")</f>
        <v/>
      </c>
      <c r="L318" s="5" t="str">
        <f>IFERROR(__xludf.DUMMYFUNCTION("""COMPUTED_VALUE"""),"")</f>
        <v/>
      </c>
      <c r="M318" s="5" t="str">
        <f>IFERROR(__xludf.DUMMYFUNCTION("""COMPUTED_VALUE"""),"")</f>
        <v/>
      </c>
      <c r="N318" s="5" t="str">
        <f>IFERROR(__xludf.DUMMYFUNCTION("""COMPUTED_VALUE"""),"")</f>
        <v/>
      </c>
      <c r="O318" s="5" t="str">
        <f>IFERROR(__xludf.DUMMYFUNCTION("""COMPUTED_VALUE"""),"")</f>
        <v/>
      </c>
      <c r="P318" s="5" t="str">
        <f>IFERROR(__xludf.DUMMYFUNCTION("""COMPUTED_VALUE"""),"")</f>
        <v/>
      </c>
      <c r="Q318" s="5" t="str">
        <f>IFERROR(__xludf.DUMMYFUNCTION("""COMPUTED_VALUE"""),"")</f>
        <v/>
      </c>
      <c r="R318" s="5" t="str">
        <f>IFERROR(__xludf.DUMMYFUNCTION("""COMPUTED_VALUE"""),"")</f>
        <v/>
      </c>
      <c r="S318" s="5" t="str">
        <f>IFERROR(__xludf.DUMMYFUNCTION("""COMPUTED_VALUE"""),"")</f>
        <v/>
      </c>
      <c r="T318" s="5" t="str">
        <f>IFERROR(__xludf.DUMMYFUNCTION("""COMPUTED_VALUE"""),"")</f>
        <v/>
      </c>
      <c r="U318" s="5" t="str">
        <f>IFERROR(__xludf.DUMMYFUNCTION("""COMPUTED_VALUE"""),"")</f>
        <v/>
      </c>
      <c r="V318" s="5" t="str">
        <f>IFERROR(__xludf.DUMMYFUNCTION("""COMPUTED_VALUE"""),"")</f>
        <v/>
      </c>
      <c r="W318" s="5" t="str">
        <f>IFERROR(__xludf.DUMMYFUNCTION("""COMPUTED_VALUE"""),"")</f>
        <v/>
      </c>
      <c r="X318" s="5" t="str">
        <f>IFERROR(__xludf.DUMMYFUNCTION("""COMPUTED_VALUE"""),"")</f>
        <v/>
      </c>
      <c r="Y318" s="5"/>
      <c r="Z318" s="5"/>
    </row>
    <row r="319">
      <c r="A319" s="5" t="str">
        <f>IFERROR(__xludf.DUMMYFUNCTION("""COMPUTED_VALUE"""),"Mozzart Heat")</f>
        <v>Mozzart Heat</v>
      </c>
      <c r="B319" s="5" t="str">
        <f>IFERROR(__xludf.DUMMYFUNCTION("""COMPUTED_VALUE"""),"")</f>
        <v/>
      </c>
      <c r="C319" s="5" t="str">
        <f>IFERROR(__xludf.DUMMYFUNCTION("""COMPUTED_VALUE"""),"")</f>
        <v/>
      </c>
      <c r="D319" s="5" t="str">
        <f>IFERROR(__xludf.DUMMYFUNCTION("""COMPUTED_VALUE"""),"")</f>
        <v/>
      </c>
      <c r="E319" s="5" t="str">
        <f>IFERROR(__xludf.DUMMYFUNCTION("""COMPUTED_VALUE"""),"")</f>
        <v/>
      </c>
      <c r="F319" s="5" t="str">
        <f>IFERROR(__xludf.DUMMYFUNCTION("""COMPUTED_VALUE"""),"")</f>
        <v/>
      </c>
      <c r="G319" s="5" t="str">
        <f>IFERROR(__xludf.DUMMYFUNCTION("""COMPUTED_VALUE"""),"")</f>
        <v/>
      </c>
      <c r="H319" s="5" t="str">
        <f>IFERROR(__xludf.DUMMYFUNCTION("""COMPUTED_VALUE"""),"")</f>
        <v/>
      </c>
      <c r="I319" s="5" t="str">
        <f>IFERROR(__xludf.DUMMYFUNCTION("""COMPUTED_VALUE"""),"")</f>
        <v/>
      </c>
      <c r="J319" s="5" t="str">
        <f>IFERROR(__xludf.DUMMYFUNCTION("""COMPUTED_VALUE"""),"")</f>
        <v/>
      </c>
      <c r="K319" s="5" t="str">
        <f>IFERROR(__xludf.DUMMYFUNCTION("""COMPUTED_VALUE"""),"")</f>
        <v/>
      </c>
      <c r="L319" s="5" t="str">
        <f>IFERROR(__xludf.DUMMYFUNCTION("""COMPUTED_VALUE"""),"")</f>
        <v/>
      </c>
      <c r="M319" s="5" t="str">
        <f>IFERROR(__xludf.DUMMYFUNCTION("""COMPUTED_VALUE"""),"")</f>
        <v/>
      </c>
      <c r="N319" s="5" t="str">
        <f>IFERROR(__xludf.DUMMYFUNCTION("""COMPUTED_VALUE"""),"")</f>
        <v/>
      </c>
      <c r="O319" s="5" t="str">
        <f>IFERROR(__xludf.DUMMYFUNCTION("""COMPUTED_VALUE"""),"")</f>
        <v/>
      </c>
      <c r="P319" s="5" t="str">
        <f>IFERROR(__xludf.DUMMYFUNCTION("""COMPUTED_VALUE"""),"")</f>
        <v/>
      </c>
      <c r="Q319" s="5" t="str">
        <f>IFERROR(__xludf.DUMMYFUNCTION("""COMPUTED_VALUE"""),"")</f>
        <v/>
      </c>
      <c r="R319" s="5" t="str">
        <f>IFERROR(__xludf.DUMMYFUNCTION("""COMPUTED_VALUE"""),"")</f>
        <v/>
      </c>
      <c r="S319" s="5" t="str">
        <f>IFERROR(__xludf.DUMMYFUNCTION("""COMPUTED_VALUE"""),"")</f>
        <v/>
      </c>
      <c r="T319" s="5" t="str">
        <f>IFERROR(__xludf.DUMMYFUNCTION("""COMPUTED_VALUE"""),"")</f>
        <v/>
      </c>
      <c r="U319" s="5" t="str">
        <f>IFERROR(__xludf.DUMMYFUNCTION("""COMPUTED_VALUE"""),"")</f>
        <v/>
      </c>
      <c r="V319" s="5" t="str">
        <f>IFERROR(__xludf.DUMMYFUNCTION("""COMPUTED_VALUE"""),"")</f>
        <v/>
      </c>
      <c r="W319" s="5" t="str">
        <f>IFERROR(__xludf.DUMMYFUNCTION("""COMPUTED_VALUE"""),"")</f>
        <v/>
      </c>
      <c r="X319" s="5" t="str">
        <f>IFERROR(__xludf.DUMMYFUNCTION("""COMPUTED_VALUE"""),"")</f>
        <v/>
      </c>
      <c r="Y319" s="5"/>
      <c r="Z319" s="5"/>
    </row>
    <row r="320">
      <c r="A320" s="5" t="str">
        <f>IFERROR(__xludf.DUMMYFUNCTION("""COMPUTED_VALUE"""),"Crystals Of Mozzart")</f>
        <v>Crystals Of Mozzart</v>
      </c>
      <c r="B320" s="5" t="str">
        <f>IFERROR(__xludf.DUMMYFUNCTION("""COMPUTED_VALUE"""),"")</f>
        <v/>
      </c>
      <c r="C320" s="5" t="str">
        <f>IFERROR(__xludf.DUMMYFUNCTION("""COMPUTED_VALUE"""),"")</f>
        <v/>
      </c>
      <c r="D320" s="5" t="str">
        <f>IFERROR(__xludf.DUMMYFUNCTION("""COMPUTED_VALUE"""),"")</f>
        <v/>
      </c>
      <c r="E320" s="5" t="str">
        <f>IFERROR(__xludf.DUMMYFUNCTION("""COMPUTED_VALUE"""),"")</f>
        <v/>
      </c>
      <c r="F320" s="5" t="str">
        <f>IFERROR(__xludf.DUMMYFUNCTION("""COMPUTED_VALUE"""),"")</f>
        <v/>
      </c>
      <c r="G320" s="5" t="str">
        <f>IFERROR(__xludf.DUMMYFUNCTION("""COMPUTED_VALUE"""),"")</f>
        <v/>
      </c>
      <c r="H320" s="5" t="str">
        <f>IFERROR(__xludf.DUMMYFUNCTION("""COMPUTED_VALUE"""),"")</f>
        <v/>
      </c>
      <c r="I320" s="5" t="str">
        <f>IFERROR(__xludf.DUMMYFUNCTION("""COMPUTED_VALUE"""),"")</f>
        <v/>
      </c>
      <c r="J320" s="5" t="str">
        <f>IFERROR(__xludf.DUMMYFUNCTION("""COMPUTED_VALUE"""),"")</f>
        <v/>
      </c>
      <c r="K320" s="5" t="str">
        <f>IFERROR(__xludf.DUMMYFUNCTION("""COMPUTED_VALUE"""),"")</f>
        <v/>
      </c>
      <c r="L320" s="5" t="str">
        <f>IFERROR(__xludf.DUMMYFUNCTION("""COMPUTED_VALUE"""),"")</f>
        <v/>
      </c>
      <c r="M320" s="5" t="str">
        <f>IFERROR(__xludf.DUMMYFUNCTION("""COMPUTED_VALUE"""),"")</f>
        <v/>
      </c>
      <c r="N320" s="5" t="str">
        <f>IFERROR(__xludf.DUMMYFUNCTION("""COMPUTED_VALUE"""),"")</f>
        <v/>
      </c>
      <c r="O320" s="5" t="str">
        <f>IFERROR(__xludf.DUMMYFUNCTION("""COMPUTED_VALUE"""),"")</f>
        <v/>
      </c>
      <c r="P320" s="5" t="str">
        <f>IFERROR(__xludf.DUMMYFUNCTION("""COMPUTED_VALUE"""),"")</f>
        <v/>
      </c>
      <c r="Q320" s="5" t="str">
        <f>IFERROR(__xludf.DUMMYFUNCTION("""COMPUTED_VALUE"""),"")</f>
        <v/>
      </c>
      <c r="R320" s="5" t="str">
        <f>IFERROR(__xludf.DUMMYFUNCTION("""COMPUTED_VALUE"""),"")</f>
        <v/>
      </c>
      <c r="S320" s="5" t="str">
        <f>IFERROR(__xludf.DUMMYFUNCTION("""COMPUTED_VALUE"""),"")</f>
        <v/>
      </c>
      <c r="T320" s="5" t="str">
        <f>IFERROR(__xludf.DUMMYFUNCTION("""COMPUTED_VALUE"""),"")</f>
        <v/>
      </c>
      <c r="U320" s="5" t="str">
        <f>IFERROR(__xludf.DUMMYFUNCTION("""COMPUTED_VALUE"""),"")</f>
        <v/>
      </c>
      <c r="V320" s="5" t="str">
        <f>IFERROR(__xludf.DUMMYFUNCTION("""COMPUTED_VALUE"""),"")</f>
        <v/>
      </c>
      <c r="W320" s="5" t="str">
        <f>IFERROR(__xludf.DUMMYFUNCTION("""COMPUTED_VALUE"""),"")</f>
        <v/>
      </c>
      <c r="X320" s="5" t="str">
        <f>IFERROR(__xludf.DUMMYFUNCTION("""COMPUTED_VALUE"""),"")</f>
        <v/>
      </c>
      <c r="Y320" s="5"/>
      <c r="Z320" s="5"/>
    </row>
    <row r="321">
      <c r="A321" s="5" t="str">
        <f>IFERROR(__xludf.DUMMYFUNCTION("""COMPUTED_VALUE"""),"Vintage Fruits 40")</f>
        <v>Vintage Fruits 40</v>
      </c>
      <c r="B321" s="5" t="str">
        <f>IFERROR(__xludf.DUMMYFUNCTION("""COMPUTED_VALUE"""),"")</f>
        <v/>
      </c>
      <c r="C321" s="5" t="str">
        <f>IFERROR(__xludf.DUMMYFUNCTION("""COMPUTED_VALUE"""),"")</f>
        <v/>
      </c>
      <c r="D321" s="5" t="str">
        <f>IFERROR(__xludf.DUMMYFUNCTION("""COMPUTED_VALUE"""),"Cert Preparation")</f>
        <v>Cert Preparation</v>
      </c>
      <c r="E321" s="5" t="str">
        <f>IFERROR(__xludf.DUMMYFUNCTION("""COMPUTED_VALUE"""),"")</f>
        <v/>
      </c>
      <c r="F321" s="5" t="str">
        <f>IFERROR(__xludf.DUMMYFUNCTION("""COMPUTED_VALUE"""),"")</f>
        <v/>
      </c>
      <c r="G321" s="5" t="str">
        <f>IFERROR(__xludf.DUMMYFUNCTION("""COMPUTED_VALUE"""),"")</f>
        <v/>
      </c>
      <c r="H321" s="5" t="str">
        <f>IFERROR(__xludf.DUMMYFUNCTION("""COMPUTED_VALUE"""),"Available")</f>
        <v>Available</v>
      </c>
      <c r="I321" s="5" t="str">
        <f>IFERROR(__xludf.DUMMYFUNCTION("""COMPUTED_VALUE"""),"")</f>
        <v/>
      </c>
      <c r="J321" s="5" t="str">
        <f>IFERROR(__xludf.DUMMYFUNCTION("""COMPUTED_VALUE"""),"")</f>
        <v/>
      </c>
      <c r="K321" s="5" t="str">
        <f>IFERROR(__xludf.DUMMYFUNCTION("""COMPUTED_VALUE"""),"")</f>
        <v/>
      </c>
      <c r="L321" s="5" t="str">
        <f>IFERROR(__xludf.DUMMYFUNCTION("""COMPUTED_VALUE"""),"Development")</f>
        <v>Development</v>
      </c>
      <c r="M321" s="5" t="str">
        <f>IFERROR(__xludf.DUMMYFUNCTION("""COMPUTED_VALUE"""),"")</f>
        <v/>
      </c>
      <c r="N321" s="5" t="str">
        <f>IFERROR(__xludf.DUMMYFUNCTION("""COMPUTED_VALUE"""),"")</f>
        <v/>
      </c>
      <c r="O321" s="5" t="str">
        <f>IFERROR(__xludf.DUMMYFUNCTION("""COMPUTED_VALUE"""),"")</f>
        <v/>
      </c>
      <c r="P321" s="5" t="str">
        <f>IFERROR(__xludf.DUMMYFUNCTION("""COMPUTED_VALUE"""),"")</f>
        <v/>
      </c>
      <c r="Q321" s="5" t="str">
        <f>IFERROR(__xludf.DUMMYFUNCTION("""COMPUTED_VALUE"""),"Available")</f>
        <v>Available</v>
      </c>
      <c r="R321" s="5" t="str">
        <f>IFERROR(__xludf.DUMMYFUNCTION("""COMPUTED_VALUE"""),"")</f>
        <v/>
      </c>
      <c r="S321" s="5" t="str">
        <f>IFERROR(__xludf.DUMMYFUNCTION("""COMPUTED_VALUE"""),"")</f>
        <v/>
      </c>
      <c r="T321" s="5" t="str">
        <f>IFERROR(__xludf.DUMMYFUNCTION("""COMPUTED_VALUE"""),"")</f>
        <v/>
      </c>
      <c r="U321" s="5" t="str">
        <f>IFERROR(__xludf.DUMMYFUNCTION("""COMPUTED_VALUE"""),"")</f>
        <v/>
      </c>
      <c r="V321" s="5" t="str">
        <f>IFERROR(__xludf.DUMMYFUNCTION("""COMPUTED_VALUE"""),"")</f>
        <v/>
      </c>
      <c r="W321" s="5" t="str">
        <f>IFERROR(__xludf.DUMMYFUNCTION("""COMPUTED_VALUE"""),"")</f>
        <v/>
      </c>
      <c r="X321" s="5" t="str">
        <f>IFERROR(__xludf.DUMMYFUNCTION("""COMPUTED_VALUE"""),"")</f>
        <v/>
      </c>
      <c r="Y321" s="5"/>
      <c r="Z321" s="5"/>
    </row>
    <row r="322">
      <c r="A322" s="5" t="str">
        <f>IFERROR(__xludf.DUMMYFUNCTION("""COMPUTED_VALUE"""),"Summer Rush")</f>
        <v>Summer Rush</v>
      </c>
      <c r="B322" s="5" t="str">
        <f>IFERROR(__xludf.DUMMYFUNCTION("""COMPUTED_VALUE"""),"")</f>
        <v/>
      </c>
      <c r="C322" s="5" t="str">
        <f>IFERROR(__xludf.DUMMYFUNCTION("""COMPUTED_VALUE"""),"")</f>
        <v/>
      </c>
      <c r="D322" s="5" t="str">
        <f>IFERROR(__xludf.DUMMYFUNCTION("""COMPUTED_VALUE"""),"")</f>
        <v/>
      </c>
      <c r="E322" s="5" t="str">
        <f>IFERROR(__xludf.DUMMYFUNCTION("""COMPUTED_VALUE"""),"")</f>
        <v/>
      </c>
      <c r="F322" s="5" t="str">
        <f>IFERROR(__xludf.DUMMYFUNCTION("""COMPUTED_VALUE"""),"")</f>
        <v/>
      </c>
      <c r="G322" s="5" t="str">
        <f>IFERROR(__xludf.DUMMYFUNCTION("""COMPUTED_VALUE"""),"")</f>
        <v/>
      </c>
      <c r="H322" s="5" t="str">
        <f>IFERROR(__xludf.DUMMYFUNCTION("""COMPUTED_VALUE"""),"")</f>
        <v/>
      </c>
      <c r="I322" s="5" t="str">
        <f>IFERROR(__xludf.DUMMYFUNCTION("""COMPUTED_VALUE"""),"")</f>
        <v/>
      </c>
      <c r="J322" s="5" t="str">
        <f>IFERROR(__xludf.DUMMYFUNCTION("""COMPUTED_VALUE"""),"")</f>
        <v/>
      </c>
      <c r="K322" s="5" t="str">
        <f>IFERROR(__xludf.DUMMYFUNCTION("""COMPUTED_VALUE"""),"")</f>
        <v/>
      </c>
      <c r="L322" s="5" t="str">
        <f>IFERROR(__xludf.DUMMYFUNCTION("""COMPUTED_VALUE"""),"")</f>
        <v/>
      </c>
      <c r="M322" s="5" t="str">
        <f>IFERROR(__xludf.DUMMYFUNCTION("""COMPUTED_VALUE"""),"")</f>
        <v/>
      </c>
      <c r="N322" s="5" t="str">
        <f>IFERROR(__xludf.DUMMYFUNCTION("""COMPUTED_VALUE"""),"")</f>
        <v/>
      </c>
      <c r="O322" s="5" t="str">
        <f>IFERROR(__xludf.DUMMYFUNCTION("""COMPUTED_VALUE"""),"")</f>
        <v/>
      </c>
      <c r="P322" s="5" t="str">
        <f>IFERROR(__xludf.DUMMYFUNCTION("""COMPUTED_VALUE"""),"")</f>
        <v/>
      </c>
      <c r="Q322" s="5" t="str">
        <f>IFERROR(__xludf.DUMMYFUNCTION("""COMPUTED_VALUE"""),"")</f>
        <v/>
      </c>
      <c r="R322" s="5" t="str">
        <f>IFERROR(__xludf.DUMMYFUNCTION("""COMPUTED_VALUE"""),"")</f>
        <v/>
      </c>
      <c r="S322" s="5" t="str">
        <f>IFERROR(__xludf.DUMMYFUNCTION("""COMPUTED_VALUE"""),"")</f>
        <v/>
      </c>
      <c r="T322" s="5" t="str">
        <f>IFERROR(__xludf.DUMMYFUNCTION("""COMPUTED_VALUE"""),"")</f>
        <v/>
      </c>
      <c r="U322" s="5" t="str">
        <f>IFERROR(__xludf.DUMMYFUNCTION("""COMPUTED_VALUE"""),"")</f>
        <v/>
      </c>
      <c r="V322" s="5" t="str">
        <f>IFERROR(__xludf.DUMMYFUNCTION("""COMPUTED_VALUE"""),"")</f>
        <v/>
      </c>
      <c r="W322" s="5" t="str">
        <f>IFERROR(__xludf.DUMMYFUNCTION("""COMPUTED_VALUE"""),"")</f>
        <v/>
      </c>
      <c r="X322" s="5" t="str">
        <f>IFERROR(__xludf.DUMMYFUNCTION("""COMPUTED_VALUE"""),"")</f>
        <v/>
      </c>
      <c r="Y322" s="5"/>
      <c r="Z322" s="5"/>
    </row>
    <row r="323">
      <c r="A323" s="5" t="str">
        <f>IFERROR(__xludf.DUMMYFUNCTION("""COMPUTED_VALUE"""),"Football Victory")</f>
        <v>Football Victory</v>
      </c>
      <c r="B323" s="5" t="str">
        <f>IFERROR(__xludf.DUMMYFUNCTION("""COMPUTED_VALUE"""),"Available")</f>
        <v>Available</v>
      </c>
      <c r="C323" s="5" t="str">
        <f>IFERROR(__xludf.DUMMYFUNCTION("""COMPUTED_VALUE"""),"Available")</f>
        <v>Available</v>
      </c>
      <c r="D323" s="5" t="str">
        <f>IFERROR(__xludf.DUMMYFUNCTION("""COMPUTED_VALUE"""),"")</f>
        <v/>
      </c>
      <c r="E323" s="5" t="str">
        <f>IFERROR(__xludf.DUMMYFUNCTION("""COMPUTED_VALUE"""),"")</f>
        <v/>
      </c>
      <c r="F323" s="5" t="str">
        <f>IFERROR(__xludf.DUMMYFUNCTION("""COMPUTED_VALUE"""),"Available")</f>
        <v>Available</v>
      </c>
      <c r="G323" s="5" t="str">
        <f>IFERROR(__xludf.DUMMYFUNCTION("""COMPUTED_VALUE"""),"Available")</f>
        <v>Available</v>
      </c>
      <c r="H323" s="5" t="str">
        <f>IFERROR(__xludf.DUMMYFUNCTION("""COMPUTED_VALUE"""),"Development")</f>
        <v>Development</v>
      </c>
      <c r="I323" s="5" t="str">
        <f>IFERROR(__xludf.DUMMYFUNCTION("""COMPUTED_VALUE"""),"")</f>
        <v/>
      </c>
      <c r="J323" s="5" t="str">
        <f>IFERROR(__xludf.DUMMYFUNCTION("""COMPUTED_VALUE"""),"Available")</f>
        <v>Available</v>
      </c>
      <c r="K323" s="5" t="str">
        <f>IFERROR(__xludf.DUMMYFUNCTION("""COMPUTED_VALUE"""),"Development")</f>
        <v>Development</v>
      </c>
      <c r="L323" s="5" t="str">
        <f>IFERROR(__xludf.DUMMYFUNCTION("""COMPUTED_VALUE"""),"")</f>
        <v/>
      </c>
      <c r="M323" s="5" t="str">
        <f>IFERROR(__xludf.DUMMYFUNCTION("""COMPUTED_VALUE"""),"")</f>
        <v/>
      </c>
      <c r="N323" s="5" t="str">
        <f>IFERROR(__xludf.DUMMYFUNCTION("""COMPUTED_VALUE"""),"")</f>
        <v/>
      </c>
      <c r="O323" s="5" t="str">
        <f>IFERROR(__xludf.DUMMYFUNCTION("""COMPUTED_VALUE"""),"")</f>
        <v/>
      </c>
      <c r="P323" s="5" t="str">
        <f>IFERROR(__xludf.DUMMYFUNCTION("""COMPUTED_VALUE"""),"")</f>
        <v/>
      </c>
      <c r="Q323" s="5" t="str">
        <f>IFERROR(__xludf.DUMMYFUNCTION("""COMPUTED_VALUE"""),"")</f>
        <v/>
      </c>
      <c r="R323" s="5" t="str">
        <f>IFERROR(__xludf.DUMMYFUNCTION("""COMPUTED_VALUE"""),"")</f>
        <v/>
      </c>
      <c r="S323" s="5" t="str">
        <f>IFERROR(__xludf.DUMMYFUNCTION("""COMPUTED_VALUE"""),"")</f>
        <v/>
      </c>
      <c r="T323" s="5" t="str">
        <f>IFERROR(__xludf.DUMMYFUNCTION("""COMPUTED_VALUE"""),"")</f>
        <v/>
      </c>
      <c r="U323" s="5" t="str">
        <f>IFERROR(__xludf.DUMMYFUNCTION("""COMPUTED_VALUE"""),"")</f>
        <v/>
      </c>
      <c r="V323" s="5" t="str">
        <f>IFERROR(__xludf.DUMMYFUNCTION("""COMPUTED_VALUE"""),"")</f>
        <v/>
      </c>
      <c r="W323" s="5" t="str">
        <f>IFERROR(__xludf.DUMMYFUNCTION("""COMPUTED_VALUE"""),"")</f>
        <v/>
      </c>
      <c r="X323" s="5" t="str">
        <f>IFERROR(__xludf.DUMMYFUNCTION("""COMPUTED_VALUE"""),"")</f>
        <v/>
      </c>
      <c r="Y323" s="5"/>
      <c r="Z323" s="5"/>
    </row>
    <row r="324">
      <c r="A324" s="5" t="str">
        <f>IFERROR(__xludf.DUMMYFUNCTION("""COMPUTED_VALUE"""),"Caps and Crowns")</f>
        <v>Caps and Crowns</v>
      </c>
      <c r="B324" s="5" t="str">
        <f>IFERROR(__xludf.DUMMYFUNCTION("""COMPUTED_VALUE"""),"")</f>
        <v/>
      </c>
      <c r="C324" s="5" t="str">
        <f>IFERROR(__xludf.DUMMYFUNCTION("""COMPUTED_VALUE"""),"")</f>
        <v/>
      </c>
      <c r="D324" s="5" t="str">
        <f>IFERROR(__xludf.DUMMYFUNCTION("""COMPUTED_VALUE"""),"")</f>
        <v/>
      </c>
      <c r="E324" s="5" t="str">
        <f>IFERROR(__xludf.DUMMYFUNCTION("""COMPUTED_VALUE"""),"")</f>
        <v/>
      </c>
      <c r="F324" s="5" t="str">
        <f>IFERROR(__xludf.DUMMYFUNCTION("""COMPUTED_VALUE"""),"")</f>
        <v/>
      </c>
      <c r="G324" s="5" t="str">
        <f>IFERROR(__xludf.DUMMYFUNCTION("""COMPUTED_VALUE"""),"")</f>
        <v/>
      </c>
      <c r="H324" s="5" t="str">
        <f>IFERROR(__xludf.DUMMYFUNCTION("""COMPUTED_VALUE"""),"")</f>
        <v/>
      </c>
      <c r="I324" s="5" t="str">
        <f>IFERROR(__xludf.DUMMYFUNCTION("""COMPUTED_VALUE"""),"")</f>
        <v/>
      </c>
      <c r="J324" s="5" t="str">
        <f>IFERROR(__xludf.DUMMYFUNCTION("""COMPUTED_VALUE"""),"")</f>
        <v/>
      </c>
      <c r="K324" s="5" t="str">
        <f>IFERROR(__xludf.DUMMYFUNCTION("""COMPUTED_VALUE"""),"")</f>
        <v/>
      </c>
      <c r="L324" s="5" t="str">
        <f>IFERROR(__xludf.DUMMYFUNCTION("""COMPUTED_VALUE"""),"")</f>
        <v/>
      </c>
      <c r="M324" s="5" t="str">
        <f>IFERROR(__xludf.DUMMYFUNCTION("""COMPUTED_VALUE"""),"")</f>
        <v/>
      </c>
      <c r="N324" s="5" t="str">
        <f>IFERROR(__xludf.DUMMYFUNCTION("""COMPUTED_VALUE"""),"")</f>
        <v/>
      </c>
      <c r="O324" s="5" t="str">
        <f>IFERROR(__xludf.DUMMYFUNCTION("""COMPUTED_VALUE"""),"")</f>
        <v/>
      </c>
      <c r="P324" s="5" t="str">
        <f>IFERROR(__xludf.DUMMYFUNCTION("""COMPUTED_VALUE"""),"")</f>
        <v/>
      </c>
      <c r="Q324" s="5" t="str">
        <f>IFERROR(__xludf.DUMMYFUNCTION("""COMPUTED_VALUE"""),"")</f>
        <v/>
      </c>
      <c r="R324" s="5" t="str">
        <f>IFERROR(__xludf.DUMMYFUNCTION("""COMPUTED_VALUE"""),"")</f>
        <v/>
      </c>
      <c r="S324" s="5" t="str">
        <f>IFERROR(__xludf.DUMMYFUNCTION("""COMPUTED_VALUE"""),"")</f>
        <v/>
      </c>
      <c r="T324" s="5" t="str">
        <f>IFERROR(__xludf.DUMMYFUNCTION("""COMPUTED_VALUE"""),"")</f>
        <v/>
      </c>
      <c r="U324" s="5" t="str">
        <f>IFERROR(__xludf.DUMMYFUNCTION("""COMPUTED_VALUE"""),"")</f>
        <v/>
      </c>
      <c r="V324" s="5" t="str">
        <f>IFERROR(__xludf.DUMMYFUNCTION("""COMPUTED_VALUE"""),"")</f>
        <v/>
      </c>
      <c r="W324" s="5" t="str">
        <f>IFERROR(__xludf.DUMMYFUNCTION("""COMPUTED_VALUE"""),"")</f>
        <v/>
      </c>
      <c r="X324" s="5" t="str">
        <f>IFERROR(__xludf.DUMMYFUNCTION("""COMPUTED_VALUE"""),"")</f>
        <v/>
      </c>
      <c r="Y324" s="5"/>
      <c r="Z324" s="5"/>
    </row>
    <row r="325">
      <c r="A325" s="5" t="str">
        <f>IFERROR(__xludf.DUMMYFUNCTION("""COMPUTED_VALUE"""),"Lava Diamonds")</f>
        <v>Lava Diamonds</v>
      </c>
      <c r="B325" s="5" t="str">
        <f>IFERROR(__xludf.DUMMYFUNCTION("""COMPUTED_VALUE"""),"")</f>
        <v/>
      </c>
      <c r="C325" s="5" t="str">
        <f>IFERROR(__xludf.DUMMYFUNCTION("""COMPUTED_VALUE"""),"")</f>
        <v/>
      </c>
      <c r="D325" s="5" t="str">
        <f>IFERROR(__xludf.DUMMYFUNCTION("""COMPUTED_VALUE"""),"")</f>
        <v/>
      </c>
      <c r="E325" s="5" t="str">
        <f>IFERROR(__xludf.DUMMYFUNCTION("""COMPUTED_VALUE"""),"")</f>
        <v/>
      </c>
      <c r="F325" s="5" t="str">
        <f>IFERROR(__xludf.DUMMYFUNCTION("""COMPUTED_VALUE"""),"")</f>
        <v/>
      </c>
      <c r="G325" s="5" t="str">
        <f>IFERROR(__xludf.DUMMYFUNCTION("""COMPUTED_VALUE"""),"")</f>
        <v/>
      </c>
      <c r="H325" s="5" t="str">
        <f>IFERROR(__xludf.DUMMYFUNCTION("""COMPUTED_VALUE"""),"")</f>
        <v/>
      </c>
      <c r="I325" s="5" t="str">
        <f>IFERROR(__xludf.DUMMYFUNCTION("""COMPUTED_VALUE"""),"")</f>
        <v/>
      </c>
      <c r="J325" s="5" t="str">
        <f>IFERROR(__xludf.DUMMYFUNCTION("""COMPUTED_VALUE"""),"")</f>
        <v/>
      </c>
      <c r="K325" s="5" t="str">
        <f>IFERROR(__xludf.DUMMYFUNCTION("""COMPUTED_VALUE"""),"")</f>
        <v/>
      </c>
      <c r="L325" s="5" t="str">
        <f>IFERROR(__xludf.DUMMYFUNCTION("""COMPUTED_VALUE"""),"")</f>
        <v/>
      </c>
      <c r="M325" s="5" t="str">
        <f>IFERROR(__xludf.DUMMYFUNCTION("""COMPUTED_VALUE"""),"")</f>
        <v/>
      </c>
      <c r="N325" s="5" t="str">
        <f>IFERROR(__xludf.DUMMYFUNCTION("""COMPUTED_VALUE"""),"")</f>
        <v/>
      </c>
      <c r="O325" s="5" t="str">
        <f>IFERROR(__xludf.DUMMYFUNCTION("""COMPUTED_VALUE"""),"")</f>
        <v/>
      </c>
      <c r="P325" s="5" t="str">
        <f>IFERROR(__xludf.DUMMYFUNCTION("""COMPUTED_VALUE"""),"")</f>
        <v/>
      </c>
      <c r="Q325" s="5" t="str">
        <f>IFERROR(__xludf.DUMMYFUNCTION("""COMPUTED_VALUE"""),"")</f>
        <v/>
      </c>
      <c r="R325" s="5" t="str">
        <f>IFERROR(__xludf.DUMMYFUNCTION("""COMPUTED_VALUE"""),"")</f>
        <v/>
      </c>
      <c r="S325" s="5" t="str">
        <f>IFERROR(__xludf.DUMMYFUNCTION("""COMPUTED_VALUE"""),"")</f>
        <v/>
      </c>
      <c r="T325" s="5" t="str">
        <f>IFERROR(__xludf.DUMMYFUNCTION("""COMPUTED_VALUE"""),"")</f>
        <v/>
      </c>
      <c r="U325" s="5" t="str">
        <f>IFERROR(__xludf.DUMMYFUNCTION("""COMPUTED_VALUE"""),"")</f>
        <v/>
      </c>
      <c r="V325" s="5" t="str">
        <f>IFERROR(__xludf.DUMMYFUNCTION("""COMPUTED_VALUE"""),"")</f>
        <v/>
      </c>
      <c r="W325" s="5" t="str">
        <f>IFERROR(__xludf.DUMMYFUNCTION("""COMPUTED_VALUE"""),"")</f>
        <v/>
      </c>
      <c r="X325" s="5" t="str">
        <f>IFERROR(__xludf.DUMMYFUNCTION("""COMPUTED_VALUE"""),"")</f>
        <v/>
      </c>
      <c r="Y325" s="5"/>
      <c r="Z325" s="5"/>
    </row>
    <row r="326">
      <c r="A326" s="5" t="str">
        <f>IFERROR(__xludf.DUMMYFUNCTION("""COMPUTED_VALUE"""),"5 Hot Strike Dice")</f>
        <v>5 Hot Strike Dice</v>
      </c>
      <c r="B326" s="5" t="str">
        <f>IFERROR(__xludf.DUMMYFUNCTION("""COMPUTED_VALUE"""),"")</f>
        <v/>
      </c>
      <c r="C326" s="5" t="str">
        <f>IFERROR(__xludf.DUMMYFUNCTION("""COMPUTED_VALUE"""),"")</f>
        <v/>
      </c>
      <c r="D326" s="5" t="str">
        <f>IFERROR(__xludf.DUMMYFUNCTION("""COMPUTED_VALUE"""),"")</f>
        <v/>
      </c>
      <c r="E326" s="5" t="str">
        <f>IFERROR(__xludf.DUMMYFUNCTION("""COMPUTED_VALUE"""),"")</f>
        <v/>
      </c>
      <c r="F326" s="5" t="str">
        <f>IFERROR(__xludf.DUMMYFUNCTION("""COMPUTED_VALUE"""),"")</f>
        <v/>
      </c>
      <c r="G326" s="5" t="str">
        <f>IFERROR(__xludf.DUMMYFUNCTION("""COMPUTED_VALUE"""),"")</f>
        <v/>
      </c>
      <c r="H326" s="5" t="str">
        <f>IFERROR(__xludf.DUMMYFUNCTION("""COMPUTED_VALUE"""),"")</f>
        <v/>
      </c>
      <c r="I326" s="5" t="str">
        <f>IFERROR(__xludf.DUMMYFUNCTION("""COMPUTED_VALUE"""),"")</f>
        <v/>
      </c>
      <c r="J326" s="5" t="str">
        <f>IFERROR(__xludf.DUMMYFUNCTION("""COMPUTED_VALUE"""),"")</f>
        <v/>
      </c>
      <c r="K326" s="5" t="str">
        <f>IFERROR(__xludf.DUMMYFUNCTION("""COMPUTED_VALUE"""),"")</f>
        <v/>
      </c>
      <c r="L326" s="5" t="str">
        <f>IFERROR(__xludf.DUMMYFUNCTION("""COMPUTED_VALUE"""),"")</f>
        <v/>
      </c>
      <c r="M326" s="5" t="str">
        <f>IFERROR(__xludf.DUMMYFUNCTION("""COMPUTED_VALUE"""),"")</f>
        <v/>
      </c>
      <c r="N326" s="5" t="str">
        <f>IFERROR(__xludf.DUMMYFUNCTION("""COMPUTED_VALUE"""),"")</f>
        <v/>
      </c>
      <c r="O326" s="5" t="str">
        <f>IFERROR(__xludf.DUMMYFUNCTION("""COMPUTED_VALUE"""),"")</f>
        <v/>
      </c>
      <c r="P326" s="5" t="str">
        <f>IFERROR(__xludf.DUMMYFUNCTION("""COMPUTED_VALUE"""),"")</f>
        <v/>
      </c>
      <c r="Q326" s="5" t="str">
        <f>IFERROR(__xludf.DUMMYFUNCTION("""COMPUTED_VALUE"""),"")</f>
        <v/>
      </c>
      <c r="R326" s="5" t="str">
        <f>IFERROR(__xludf.DUMMYFUNCTION("""COMPUTED_VALUE"""),"")</f>
        <v/>
      </c>
      <c r="S326" s="5" t="str">
        <f>IFERROR(__xludf.DUMMYFUNCTION("""COMPUTED_VALUE"""),"")</f>
        <v/>
      </c>
      <c r="T326" s="5" t="str">
        <f>IFERROR(__xludf.DUMMYFUNCTION("""COMPUTED_VALUE"""),"")</f>
        <v/>
      </c>
      <c r="U326" s="5" t="str">
        <f>IFERROR(__xludf.DUMMYFUNCTION("""COMPUTED_VALUE"""),"")</f>
        <v/>
      </c>
      <c r="V326" s="5" t="str">
        <f>IFERROR(__xludf.DUMMYFUNCTION("""COMPUTED_VALUE"""),"")</f>
        <v/>
      </c>
      <c r="W326" s="5" t="str">
        <f>IFERROR(__xludf.DUMMYFUNCTION("""COMPUTED_VALUE"""),"")</f>
        <v/>
      </c>
      <c r="X326" s="5" t="str">
        <f>IFERROR(__xludf.DUMMYFUNCTION("""COMPUTED_VALUE"""),"")</f>
        <v/>
      </c>
      <c r="Y326" s="5"/>
      <c r="Z326" s="5"/>
    </row>
    <row r="327">
      <c r="A327" s="5" t="str">
        <f>IFERROR(__xludf.DUMMYFUNCTION("""COMPUTED_VALUE"""),"Hot Rush Both Ways")</f>
        <v>Hot Rush Both Ways</v>
      </c>
      <c r="B327" s="5" t="str">
        <f>IFERROR(__xludf.DUMMYFUNCTION("""COMPUTED_VALUE"""),"")</f>
        <v/>
      </c>
      <c r="C327" s="5" t="str">
        <f>IFERROR(__xludf.DUMMYFUNCTION("""COMPUTED_VALUE"""),"")</f>
        <v/>
      </c>
      <c r="D327" s="5" t="str">
        <f>IFERROR(__xludf.DUMMYFUNCTION("""COMPUTED_VALUE"""),"")</f>
        <v/>
      </c>
      <c r="E327" s="5" t="str">
        <f>IFERROR(__xludf.DUMMYFUNCTION("""COMPUTED_VALUE"""),"")</f>
        <v/>
      </c>
      <c r="F327" s="5" t="str">
        <f>IFERROR(__xludf.DUMMYFUNCTION("""COMPUTED_VALUE"""),"")</f>
        <v/>
      </c>
      <c r="G327" s="5" t="str">
        <f>IFERROR(__xludf.DUMMYFUNCTION("""COMPUTED_VALUE"""),"")</f>
        <v/>
      </c>
      <c r="H327" s="5" t="str">
        <f>IFERROR(__xludf.DUMMYFUNCTION("""COMPUTED_VALUE"""),"")</f>
        <v/>
      </c>
      <c r="I327" s="5" t="str">
        <f>IFERROR(__xludf.DUMMYFUNCTION("""COMPUTED_VALUE"""),"")</f>
        <v/>
      </c>
      <c r="J327" s="5" t="str">
        <f>IFERROR(__xludf.DUMMYFUNCTION("""COMPUTED_VALUE"""),"")</f>
        <v/>
      </c>
      <c r="K327" s="5" t="str">
        <f>IFERROR(__xludf.DUMMYFUNCTION("""COMPUTED_VALUE"""),"")</f>
        <v/>
      </c>
      <c r="L327" s="5" t="str">
        <f>IFERROR(__xludf.DUMMYFUNCTION("""COMPUTED_VALUE"""),"")</f>
        <v/>
      </c>
      <c r="M327" s="5" t="str">
        <f>IFERROR(__xludf.DUMMYFUNCTION("""COMPUTED_VALUE"""),"")</f>
        <v/>
      </c>
      <c r="N327" s="5" t="str">
        <f>IFERROR(__xludf.DUMMYFUNCTION("""COMPUTED_VALUE"""),"")</f>
        <v/>
      </c>
      <c r="O327" s="5" t="str">
        <f>IFERROR(__xludf.DUMMYFUNCTION("""COMPUTED_VALUE"""),"")</f>
        <v/>
      </c>
      <c r="P327" s="5" t="str">
        <f>IFERROR(__xludf.DUMMYFUNCTION("""COMPUTED_VALUE"""),"")</f>
        <v/>
      </c>
      <c r="Q327" s="5" t="str">
        <f>IFERROR(__xludf.DUMMYFUNCTION("""COMPUTED_VALUE"""),"")</f>
        <v/>
      </c>
      <c r="R327" s="5" t="str">
        <f>IFERROR(__xludf.DUMMYFUNCTION("""COMPUTED_VALUE"""),"")</f>
        <v/>
      </c>
      <c r="S327" s="5" t="str">
        <f>IFERROR(__xludf.DUMMYFUNCTION("""COMPUTED_VALUE"""),"")</f>
        <v/>
      </c>
      <c r="T327" s="5" t="str">
        <f>IFERROR(__xludf.DUMMYFUNCTION("""COMPUTED_VALUE"""),"")</f>
        <v/>
      </c>
      <c r="U327" s="5" t="str">
        <f>IFERROR(__xludf.DUMMYFUNCTION("""COMPUTED_VALUE"""),"")</f>
        <v/>
      </c>
      <c r="V327" s="5" t="str">
        <f>IFERROR(__xludf.DUMMYFUNCTION("""COMPUTED_VALUE"""),"")</f>
        <v/>
      </c>
      <c r="W327" s="5" t="str">
        <f>IFERROR(__xludf.DUMMYFUNCTION("""COMPUTED_VALUE"""),"")</f>
        <v/>
      </c>
      <c r="X327" s="5" t="str">
        <f>IFERROR(__xludf.DUMMYFUNCTION("""COMPUTED_VALUE"""),"")</f>
        <v/>
      </c>
      <c r="Y327" s="5"/>
      <c r="Z327" s="5"/>
    </row>
    <row r="328">
      <c r="A328" s="5" t="str">
        <f>IFERROR(__xludf.DUMMYFUNCTION("""COMPUTED_VALUE"""),"Book Of Scorpio")</f>
        <v>Book Of Scorpio</v>
      </c>
      <c r="B328" s="5" t="str">
        <f>IFERROR(__xludf.DUMMYFUNCTION("""COMPUTED_VALUE"""),"")</f>
        <v/>
      </c>
      <c r="C328" s="5" t="str">
        <f>IFERROR(__xludf.DUMMYFUNCTION("""COMPUTED_VALUE"""),"")</f>
        <v/>
      </c>
      <c r="D328" s="5" t="str">
        <f>IFERROR(__xludf.DUMMYFUNCTION("""COMPUTED_VALUE"""),"")</f>
        <v/>
      </c>
      <c r="E328" s="5" t="str">
        <f>IFERROR(__xludf.DUMMYFUNCTION("""COMPUTED_VALUE"""),"")</f>
        <v/>
      </c>
      <c r="F328" s="5" t="str">
        <f>IFERROR(__xludf.DUMMYFUNCTION("""COMPUTED_VALUE"""),"")</f>
        <v/>
      </c>
      <c r="G328" s="5" t="str">
        <f>IFERROR(__xludf.DUMMYFUNCTION("""COMPUTED_VALUE"""),"")</f>
        <v/>
      </c>
      <c r="H328" s="5" t="str">
        <f>IFERROR(__xludf.DUMMYFUNCTION("""COMPUTED_VALUE"""),"")</f>
        <v/>
      </c>
      <c r="I328" s="5" t="str">
        <f>IFERROR(__xludf.DUMMYFUNCTION("""COMPUTED_VALUE"""),"")</f>
        <v/>
      </c>
      <c r="J328" s="5" t="str">
        <f>IFERROR(__xludf.DUMMYFUNCTION("""COMPUTED_VALUE"""),"")</f>
        <v/>
      </c>
      <c r="K328" s="5" t="str">
        <f>IFERROR(__xludf.DUMMYFUNCTION("""COMPUTED_VALUE"""),"")</f>
        <v/>
      </c>
      <c r="L328" s="5" t="str">
        <f>IFERROR(__xludf.DUMMYFUNCTION("""COMPUTED_VALUE"""),"")</f>
        <v/>
      </c>
      <c r="M328" s="5" t="str">
        <f>IFERROR(__xludf.DUMMYFUNCTION("""COMPUTED_VALUE"""),"")</f>
        <v/>
      </c>
      <c r="N328" s="5" t="str">
        <f>IFERROR(__xludf.DUMMYFUNCTION("""COMPUTED_VALUE"""),"")</f>
        <v/>
      </c>
      <c r="O328" s="5" t="str">
        <f>IFERROR(__xludf.DUMMYFUNCTION("""COMPUTED_VALUE"""),"")</f>
        <v/>
      </c>
      <c r="P328" s="5" t="str">
        <f>IFERROR(__xludf.DUMMYFUNCTION("""COMPUTED_VALUE"""),"")</f>
        <v/>
      </c>
      <c r="Q328" s="5" t="str">
        <f>IFERROR(__xludf.DUMMYFUNCTION("""COMPUTED_VALUE"""),"")</f>
        <v/>
      </c>
      <c r="R328" s="5" t="str">
        <f>IFERROR(__xludf.DUMMYFUNCTION("""COMPUTED_VALUE"""),"")</f>
        <v/>
      </c>
      <c r="S328" s="5" t="str">
        <f>IFERROR(__xludf.DUMMYFUNCTION("""COMPUTED_VALUE"""),"")</f>
        <v/>
      </c>
      <c r="T328" s="5" t="str">
        <f>IFERROR(__xludf.DUMMYFUNCTION("""COMPUTED_VALUE"""),"")</f>
        <v/>
      </c>
      <c r="U328" s="5" t="str">
        <f>IFERROR(__xludf.DUMMYFUNCTION("""COMPUTED_VALUE"""),"")</f>
        <v/>
      </c>
      <c r="V328" s="5" t="str">
        <f>IFERROR(__xludf.DUMMYFUNCTION("""COMPUTED_VALUE"""),"")</f>
        <v/>
      </c>
      <c r="W328" s="5" t="str">
        <f>IFERROR(__xludf.DUMMYFUNCTION("""COMPUTED_VALUE"""),"")</f>
        <v/>
      </c>
      <c r="X328" s="5" t="str">
        <f>IFERROR(__xludf.DUMMYFUNCTION("""COMPUTED_VALUE"""),"")</f>
        <v/>
      </c>
      <c r="Y328" s="5"/>
      <c r="Z328" s="5"/>
    </row>
    <row r="329">
      <c r="A329" s="5" t="str">
        <f>IFERROR(__xludf.DUMMYFUNCTION("""COMPUTED_VALUE"""),"Buffalo Sevens")</f>
        <v>Buffalo Sevens</v>
      </c>
      <c r="B329" s="5" t="str">
        <f>IFERROR(__xludf.DUMMYFUNCTION("""COMPUTED_VALUE"""),"")</f>
        <v/>
      </c>
      <c r="C329" s="5" t="str">
        <f>IFERROR(__xludf.DUMMYFUNCTION("""COMPUTED_VALUE"""),"")</f>
        <v/>
      </c>
      <c r="D329" s="5" t="str">
        <f>IFERROR(__xludf.DUMMYFUNCTION("""COMPUTED_VALUE"""),"")</f>
        <v/>
      </c>
      <c r="E329" s="5" t="str">
        <f>IFERROR(__xludf.DUMMYFUNCTION("""COMPUTED_VALUE"""),"")</f>
        <v/>
      </c>
      <c r="F329" s="5" t="str">
        <f>IFERROR(__xludf.DUMMYFUNCTION("""COMPUTED_VALUE"""),"")</f>
        <v/>
      </c>
      <c r="G329" s="5" t="str">
        <f>IFERROR(__xludf.DUMMYFUNCTION("""COMPUTED_VALUE"""),"")</f>
        <v/>
      </c>
      <c r="H329" s="5" t="str">
        <f>IFERROR(__xludf.DUMMYFUNCTION("""COMPUTED_VALUE"""),"")</f>
        <v/>
      </c>
      <c r="I329" s="5" t="str">
        <f>IFERROR(__xludf.DUMMYFUNCTION("""COMPUTED_VALUE"""),"")</f>
        <v/>
      </c>
      <c r="J329" s="5" t="str">
        <f>IFERROR(__xludf.DUMMYFUNCTION("""COMPUTED_VALUE"""),"")</f>
        <v/>
      </c>
      <c r="K329" s="5" t="str">
        <f>IFERROR(__xludf.DUMMYFUNCTION("""COMPUTED_VALUE"""),"")</f>
        <v/>
      </c>
      <c r="L329" s="5" t="str">
        <f>IFERROR(__xludf.DUMMYFUNCTION("""COMPUTED_VALUE"""),"")</f>
        <v/>
      </c>
      <c r="M329" s="5" t="str">
        <f>IFERROR(__xludf.DUMMYFUNCTION("""COMPUTED_VALUE"""),"")</f>
        <v/>
      </c>
      <c r="N329" s="5" t="str">
        <f>IFERROR(__xludf.DUMMYFUNCTION("""COMPUTED_VALUE"""),"")</f>
        <v/>
      </c>
      <c r="O329" s="5" t="str">
        <f>IFERROR(__xludf.DUMMYFUNCTION("""COMPUTED_VALUE"""),"")</f>
        <v/>
      </c>
      <c r="P329" s="5" t="str">
        <f>IFERROR(__xludf.DUMMYFUNCTION("""COMPUTED_VALUE"""),"")</f>
        <v/>
      </c>
      <c r="Q329" s="5" t="str">
        <f>IFERROR(__xludf.DUMMYFUNCTION("""COMPUTED_VALUE"""),"")</f>
        <v/>
      </c>
      <c r="R329" s="5" t="str">
        <f>IFERROR(__xludf.DUMMYFUNCTION("""COMPUTED_VALUE"""),"")</f>
        <v/>
      </c>
      <c r="S329" s="5" t="str">
        <f>IFERROR(__xludf.DUMMYFUNCTION("""COMPUTED_VALUE"""),"")</f>
        <v/>
      </c>
      <c r="T329" s="5" t="str">
        <f>IFERROR(__xludf.DUMMYFUNCTION("""COMPUTED_VALUE"""),"")</f>
        <v/>
      </c>
      <c r="U329" s="5" t="str">
        <f>IFERROR(__xludf.DUMMYFUNCTION("""COMPUTED_VALUE"""),"")</f>
        <v/>
      </c>
      <c r="V329" s="5" t="str">
        <f>IFERROR(__xludf.DUMMYFUNCTION("""COMPUTED_VALUE"""),"")</f>
        <v/>
      </c>
      <c r="W329" s="5" t="str">
        <f>IFERROR(__xludf.DUMMYFUNCTION("""COMPUTED_VALUE"""),"")</f>
        <v/>
      </c>
      <c r="X329" s="5" t="str">
        <f>IFERROR(__xludf.DUMMYFUNCTION("""COMPUTED_VALUE"""),"")</f>
        <v/>
      </c>
      <c r="Y329" s="5"/>
      <c r="Z329" s="5"/>
    </row>
    <row r="330">
      <c r="A330" s="5" t="str">
        <f>IFERROR(__xludf.DUMMYFUNCTION("""COMPUTED_VALUE"""),"Mister Luck")</f>
        <v>Mister Luck</v>
      </c>
      <c r="B330" s="5" t="str">
        <f>IFERROR(__xludf.DUMMYFUNCTION("""COMPUTED_VALUE"""),"")</f>
        <v/>
      </c>
      <c r="C330" s="5" t="str">
        <f>IFERROR(__xludf.DUMMYFUNCTION("""COMPUTED_VALUE"""),"")</f>
        <v/>
      </c>
      <c r="D330" s="5" t="str">
        <f>IFERROR(__xludf.DUMMYFUNCTION("""COMPUTED_VALUE"""),"")</f>
        <v/>
      </c>
      <c r="E330" s="5" t="str">
        <f>IFERROR(__xludf.DUMMYFUNCTION("""COMPUTED_VALUE"""),"")</f>
        <v/>
      </c>
      <c r="F330" s="5" t="str">
        <f>IFERROR(__xludf.DUMMYFUNCTION("""COMPUTED_VALUE"""),"")</f>
        <v/>
      </c>
      <c r="G330" s="5" t="str">
        <f>IFERROR(__xludf.DUMMYFUNCTION("""COMPUTED_VALUE"""),"")</f>
        <v/>
      </c>
      <c r="H330" s="5" t="str">
        <f>IFERROR(__xludf.DUMMYFUNCTION("""COMPUTED_VALUE"""),"")</f>
        <v/>
      </c>
      <c r="I330" s="5" t="str">
        <f>IFERROR(__xludf.DUMMYFUNCTION("""COMPUTED_VALUE"""),"")</f>
        <v/>
      </c>
      <c r="J330" s="5" t="str">
        <f>IFERROR(__xludf.DUMMYFUNCTION("""COMPUTED_VALUE"""),"")</f>
        <v/>
      </c>
      <c r="K330" s="5" t="str">
        <f>IFERROR(__xludf.DUMMYFUNCTION("""COMPUTED_VALUE"""),"")</f>
        <v/>
      </c>
      <c r="L330" s="5" t="str">
        <f>IFERROR(__xludf.DUMMYFUNCTION("""COMPUTED_VALUE"""),"")</f>
        <v/>
      </c>
      <c r="M330" s="5" t="str">
        <f>IFERROR(__xludf.DUMMYFUNCTION("""COMPUTED_VALUE"""),"")</f>
        <v/>
      </c>
      <c r="N330" s="5" t="str">
        <f>IFERROR(__xludf.DUMMYFUNCTION("""COMPUTED_VALUE"""),"")</f>
        <v/>
      </c>
      <c r="O330" s="5" t="str">
        <f>IFERROR(__xludf.DUMMYFUNCTION("""COMPUTED_VALUE"""),"")</f>
        <v/>
      </c>
      <c r="P330" s="5" t="str">
        <f>IFERROR(__xludf.DUMMYFUNCTION("""COMPUTED_VALUE"""),"")</f>
        <v/>
      </c>
      <c r="Q330" s="5" t="str">
        <f>IFERROR(__xludf.DUMMYFUNCTION("""COMPUTED_VALUE"""),"")</f>
        <v/>
      </c>
      <c r="R330" s="5" t="str">
        <f>IFERROR(__xludf.DUMMYFUNCTION("""COMPUTED_VALUE"""),"")</f>
        <v/>
      </c>
      <c r="S330" s="5" t="str">
        <f>IFERROR(__xludf.DUMMYFUNCTION("""COMPUTED_VALUE"""),"")</f>
        <v/>
      </c>
      <c r="T330" s="5" t="str">
        <f>IFERROR(__xludf.DUMMYFUNCTION("""COMPUTED_VALUE"""),"")</f>
        <v/>
      </c>
      <c r="U330" s="5" t="str">
        <f>IFERROR(__xludf.DUMMYFUNCTION("""COMPUTED_VALUE"""),"")</f>
        <v/>
      </c>
      <c r="V330" s="5" t="str">
        <f>IFERROR(__xludf.DUMMYFUNCTION("""COMPUTED_VALUE"""),"")</f>
        <v/>
      </c>
      <c r="W330" s="5" t="str">
        <f>IFERROR(__xludf.DUMMYFUNCTION("""COMPUTED_VALUE"""),"")</f>
        <v/>
      </c>
      <c r="X330" s="5" t="str">
        <f>IFERROR(__xludf.DUMMYFUNCTION("""COMPUTED_VALUE"""),"")</f>
        <v/>
      </c>
      <c r="Y330" s="5"/>
      <c r="Z330" s="5"/>
    </row>
    <row r="331">
      <c r="A331" s="5" t="str">
        <f>IFERROR(__xludf.DUMMYFUNCTION("""COMPUTED_VALUE"""),"Wild Sunburst")</f>
        <v>Wild Sunburst</v>
      </c>
      <c r="B331" s="5" t="str">
        <f>IFERROR(__xludf.DUMMYFUNCTION("""COMPUTED_VALUE"""),"")</f>
        <v/>
      </c>
      <c r="C331" s="5" t="str">
        <f>IFERROR(__xludf.DUMMYFUNCTION("""COMPUTED_VALUE"""),"")</f>
        <v/>
      </c>
      <c r="D331" s="5" t="str">
        <f>IFERROR(__xludf.DUMMYFUNCTION("""COMPUTED_VALUE"""),"")</f>
        <v/>
      </c>
      <c r="E331" s="5" t="str">
        <f>IFERROR(__xludf.DUMMYFUNCTION("""COMPUTED_VALUE"""),"")</f>
        <v/>
      </c>
      <c r="F331" s="5" t="str">
        <f>IFERROR(__xludf.DUMMYFUNCTION("""COMPUTED_VALUE"""),"Available")</f>
        <v>Available</v>
      </c>
      <c r="G331" s="5" t="str">
        <f>IFERROR(__xludf.DUMMYFUNCTION("""COMPUTED_VALUE"""),"Available")</f>
        <v>Available</v>
      </c>
      <c r="H331" s="5" t="str">
        <f>IFERROR(__xludf.DUMMYFUNCTION("""COMPUTED_VALUE"""),"Available")</f>
        <v>Available</v>
      </c>
      <c r="I331" s="5" t="str">
        <f>IFERROR(__xludf.DUMMYFUNCTION("""COMPUTED_VALUE"""),"")</f>
        <v/>
      </c>
      <c r="J331" s="5" t="str">
        <f>IFERROR(__xludf.DUMMYFUNCTION("""COMPUTED_VALUE"""),"")</f>
        <v/>
      </c>
      <c r="K331" s="5" t="str">
        <f>IFERROR(__xludf.DUMMYFUNCTION("""COMPUTED_VALUE"""),"Development")</f>
        <v>Development</v>
      </c>
      <c r="L331" s="5" t="str">
        <f>IFERROR(__xludf.DUMMYFUNCTION("""COMPUTED_VALUE"""),"")</f>
        <v/>
      </c>
      <c r="M331" s="5" t="str">
        <f>IFERROR(__xludf.DUMMYFUNCTION("""COMPUTED_VALUE"""),"")</f>
        <v/>
      </c>
      <c r="N331" s="5" t="str">
        <f>IFERROR(__xludf.DUMMYFUNCTION("""COMPUTED_VALUE"""),"")</f>
        <v/>
      </c>
      <c r="O331" s="5" t="str">
        <f>IFERROR(__xludf.DUMMYFUNCTION("""COMPUTED_VALUE"""),"")</f>
        <v/>
      </c>
      <c r="P331" s="5" t="str">
        <f>IFERROR(__xludf.DUMMYFUNCTION("""COMPUTED_VALUE"""),"")</f>
        <v/>
      </c>
      <c r="Q331" s="5" t="str">
        <f>IFERROR(__xludf.DUMMYFUNCTION("""COMPUTED_VALUE"""),"Available")</f>
        <v>Available</v>
      </c>
      <c r="R331" s="5" t="str">
        <f>IFERROR(__xludf.DUMMYFUNCTION("""COMPUTED_VALUE"""),"")</f>
        <v/>
      </c>
      <c r="S331" s="5" t="str">
        <f>IFERROR(__xludf.DUMMYFUNCTION("""COMPUTED_VALUE"""),"")</f>
        <v/>
      </c>
      <c r="T331" s="5" t="str">
        <f>IFERROR(__xludf.DUMMYFUNCTION("""COMPUTED_VALUE"""),"")</f>
        <v/>
      </c>
      <c r="U331" s="5" t="str">
        <f>IFERROR(__xludf.DUMMYFUNCTION("""COMPUTED_VALUE"""),"")</f>
        <v/>
      </c>
      <c r="V331" s="5" t="str">
        <f>IFERROR(__xludf.DUMMYFUNCTION("""COMPUTED_VALUE"""),"")</f>
        <v/>
      </c>
      <c r="W331" s="5" t="str">
        <f>IFERROR(__xludf.DUMMYFUNCTION("""COMPUTED_VALUE"""),"")</f>
        <v/>
      </c>
      <c r="X331" s="5" t="str">
        <f>IFERROR(__xludf.DUMMYFUNCTION("""COMPUTED_VALUE"""),"")</f>
        <v/>
      </c>
      <c r="Y331" s="5"/>
      <c r="Z331" s="5"/>
    </row>
    <row r="332">
      <c r="A332" s="5" t="str">
        <f>IFERROR(__xludf.DUMMYFUNCTION("""COMPUTED_VALUE"""),"Toxic Haze")</f>
        <v>Toxic Haze</v>
      </c>
      <c r="B332" s="5" t="str">
        <f>IFERROR(__xludf.DUMMYFUNCTION("""COMPUTED_VALUE"""),"")</f>
        <v/>
      </c>
      <c r="C332" s="5" t="str">
        <f>IFERROR(__xludf.DUMMYFUNCTION("""COMPUTED_VALUE"""),"")</f>
        <v/>
      </c>
      <c r="D332" s="5" t="str">
        <f>IFERROR(__xludf.DUMMYFUNCTION("""COMPUTED_VALUE"""),"Cert Preparation")</f>
        <v>Cert Preparation</v>
      </c>
      <c r="E332" s="5" t="str">
        <f>IFERROR(__xludf.DUMMYFUNCTION("""COMPUTED_VALUE"""),"")</f>
        <v/>
      </c>
      <c r="F332" s="5" t="str">
        <f>IFERROR(__xludf.DUMMYFUNCTION("""COMPUTED_VALUE"""),"")</f>
        <v/>
      </c>
      <c r="G332" s="5" t="str">
        <f>IFERROR(__xludf.DUMMYFUNCTION("""COMPUTED_VALUE"""),"")</f>
        <v/>
      </c>
      <c r="H332" s="5" t="str">
        <f>IFERROR(__xludf.DUMMYFUNCTION("""COMPUTED_VALUE"""),"Available")</f>
        <v>Available</v>
      </c>
      <c r="I332" s="5" t="str">
        <f>IFERROR(__xludf.DUMMYFUNCTION("""COMPUTED_VALUE"""),"")</f>
        <v/>
      </c>
      <c r="J332" s="5" t="str">
        <f>IFERROR(__xludf.DUMMYFUNCTION("""COMPUTED_VALUE"""),"")</f>
        <v/>
      </c>
      <c r="K332" s="5" t="str">
        <f>IFERROR(__xludf.DUMMYFUNCTION("""COMPUTED_VALUE"""),"")</f>
        <v/>
      </c>
      <c r="L332" s="5" t="str">
        <f>IFERROR(__xludf.DUMMYFUNCTION("""COMPUTED_VALUE"""),"Development")</f>
        <v>Development</v>
      </c>
      <c r="M332" s="5" t="str">
        <f>IFERROR(__xludf.DUMMYFUNCTION("""COMPUTED_VALUE"""),"")</f>
        <v/>
      </c>
      <c r="N332" s="5" t="str">
        <f>IFERROR(__xludf.DUMMYFUNCTION("""COMPUTED_VALUE"""),"")</f>
        <v/>
      </c>
      <c r="O332" s="5" t="str">
        <f>IFERROR(__xludf.DUMMYFUNCTION("""COMPUTED_VALUE"""),"")</f>
        <v/>
      </c>
      <c r="P332" s="5" t="str">
        <f>IFERROR(__xludf.DUMMYFUNCTION("""COMPUTED_VALUE"""),"")</f>
        <v/>
      </c>
      <c r="Q332" s="5" t="str">
        <f>IFERROR(__xludf.DUMMYFUNCTION("""COMPUTED_VALUE"""),"Available")</f>
        <v>Available</v>
      </c>
      <c r="R332" s="5" t="str">
        <f>IFERROR(__xludf.DUMMYFUNCTION("""COMPUTED_VALUE"""),"")</f>
        <v/>
      </c>
      <c r="S332" s="5" t="str">
        <f>IFERROR(__xludf.DUMMYFUNCTION("""COMPUTED_VALUE"""),"")</f>
        <v/>
      </c>
      <c r="T332" s="5" t="str">
        <f>IFERROR(__xludf.DUMMYFUNCTION("""COMPUTED_VALUE"""),"")</f>
        <v/>
      </c>
      <c r="U332" s="5" t="str">
        <f>IFERROR(__xludf.DUMMYFUNCTION("""COMPUTED_VALUE"""),"")</f>
        <v/>
      </c>
      <c r="V332" s="5" t="str">
        <f>IFERROR(__xludf.DUMMYFUNCTION("""COMPUTED_VALUE"""),"")</f>
        <v/>
      </c>
      <c r="W332" s="5" t="str">
        <f>IFERROR(__xludf.DUMMYFUNCTION("""COMPUTED_VALUE"""),"")</f>
        <v/>
      </c>
      <c r="X332" s="5" t="str">
        <f>IFERROR(__xludf.DUMMYFUNCTION("""COMPUTED_VALUE"""),"")</f>
        <v/>
      </c>
      <c r="Y332" s="5"/>
      <c r="Z332" s="5"/>
    </row>
    <row r="333">
      <c r="A333" s="5" t="str">
        <f>IFERROR(__xludf.DUMMYFUNCTION("""COMPUTED_VALUE"""),"Froot Classic")</f>
        <v>Froot Classic</v>
      </c>
      <c r="B333" s="5" t="str">
        <f>IFERROR(__xludf.DUMMYFUNCTION("""COMPUTED_VALUE"""),"")</f>
        <v/>
      </c>
      <c r="C333" s="5" t="str">
        <f>IFERROR(__xludf.DUMMYFUNCTION("""COMPUTED_VALUE"""),"")</f>
        <v/>
      </c>
      <c r="D333" s="5" t="str">
        <f>IFERROR(__xludf.DUMMYFUNCTION("""COMPUTED_VALUE"""),"")</f>
        <v/>
      </c>
      <c r="E333" s="5" t="str">
        <f>IFERROR(__xludf.DUMMYFUNCTION("""COMPUTED_VALUE"""),"")</f>
        <v/>
      </c>
      <c r="F333" s="5" t="str">
        <f>IFERROR(__xludf.DUMMYFUNCTION("""COMPUTED_VALUE"""),"")</f>
        <v/>
      </c>
      <c r="G333" s="5" t="str">
        <f>IFERROR(__xludf.DUMMYFUNCTION("""COMPUTED_VALUE"""),"")</f>
        <v/>
      </c>
      <c r="H333" s="5" t="str">
        <f>IFERROR(__xludf.DUMMYFUNCTION("""COMPUTED_VALUE"""),"")</f>
        <v/>
      </c>
      <c r="I333" s="5" t="str">
        <f>IFERROR(__xludf.DUMMYFUNCTION("""COMPUTED_VALUE"""),"")</f>
        <v/>
      </c>
      <c r="J333" s="5" t="str">
        <f>IFERROR(__xludf.DUMMYFUNCTION("""COMPUTED_VALUE"""),"")</f>
        <v/>
      </c>
      <c r="K333" s="5" t="str">
        <f>IFERROR(__xludf.DUMMYFUNCTION("""COMPUTED_VALUE"""),"")</f>
        <v/>
      </c>
      <c r="L333" s="5" t="str">
        <f>IFERROR(__xludf.DUMMYFUNCTION("""COMPUTED_VALUE"""),"")</f>
        <v/>
      </c>
      <c r="M333" s="5" t="str">
        <f>IFERROR(__xludf.DUMMYFUNCTION("""COMPUTED_VALUE"""),"")</f>
        <v/>
      </c>
      <c r="N333" s="5" t="str">
        <f>IFERROR(__xludf.DUMMYFUNCTION("""COMPUTED_VALUE"""),"")</f>
        <v/>
      </c>
      <c r="O333" s="5" t="str">
        <f>IFERROR(__xludf.DUMMYFUNCTION("""COMPUTED_VALUE"""),"")</f>
        <v/>
      </c>
      <c r="P333" s="5" t="str">
        <f>IFERROR(__xludf.DUMMYFUNCTION("""COMPUTED_VALUE"""),"")</f>
        <v/>
      </c>
      <c r="Q333" s="5" t="str">
        <f>IFERROR(__xludf.DUMMYFUNCTION("""COMPUTED_VALUE"""),"")</f>
        <v/>
      </c>
      <c r="R333" s="5" t="str">
        <f>IFERROR(__xludf.DUMMYFUNCTION("""COMPUTED_VALUE"""),"")</f>
        <v/>
      </c>
      <c r="S333" s="5" t="str">
        <f>IFERROR(__xludf.DUMMYFUNCTION("""COMPUTED_VALUE"""),"")</f>
        <v/>
      </c>
      <c r="T333" s="5" t="str">
        <f>IFERROR(__xludf.DUMMYFUNCTION("""COMPUTED_VALUE"""),"")</f>
        <v/>
      </c>
      <c r="U333" s="5" t="str">
        <f>IFERROR(__xludf.DUMMYFUNCTION("""COMPUTED_VALUE"""),"")</f>
        <v/>
      </c>
      <c r="V333" s="5" t="str">
        <f>IFERROR(__xludf.DUMMYFUNCTION("""COMPUTED_VALUE"""),"")</f>
        <v/>
      </c>
      <c r="W333" s="5" t="str">
        <f>IFERROR(__xludf.DUMMYFUNCTION("""COMPUTED_VALUE"""),"")</f>
        <v/>
      </c>
      <c r="X333" s="5" t="str">
        <f>IFERROR(__xludf.DUMMYFUNCTION("""COMPUTED_VALUE"""),"")</f>
        <v/>
      </c>
      <c r="Y333" s="5"/>
      <c r="Z333" s="5"/>
    </row>
    <row r="334">
      <c r="A334" s="5" t="str">
        <f>IFERROR(__xludf.DUMMYFUNCTION("""COMPUTED_VALUE"""),"Dice Wild Lines")</f>
        <v>Dice Wild Lines</v>
      </c>
      <c r="B334" s="5" t="str">
        <f>IFERROR(__xludf.DUMMYFUNCTION("""COMPUTED_VALUE"""),"")</f>
        <v/>
      </c>
      <c r="C334" s="5" t="str">
        <f>IFERROR(__xludf.DUMMYFUNCTION("""COMPUTED_VALUE"""),"")</f>
        <v/>
      </c>
      <c r="D334" s="5" t="str">
        <f>IFERROR(__xludf.DUMMYFUNCTION("""COMPUTED_VALUE"""),"")</f>
        <v/>
      </c>
      <c r="E334" s="5" t="str">
        <f>IFERROR(__xludf.DUMMYFUNCTION("""COMPUTED_VALUE"""),"")</f>
        <v/>
      </c>
      <c r="F334" s="5" t="str">
        <f>IFERROR(__xludf.DUMMYFUNCTION("""COMPUTED_VALUE"""),"")</f>
        <v/>
      </c>
      <c r="G334" s="5" t="str">
        <f>IFERROR(__xludf.DUMMYFUNCTION("""COMPUTED_VALUE"""),"")</f>
        <v/>
      </c>
      <c r="H334" s="5" t="str">
        <f>IFERROR(__xludf.DUMMYFUNCTION("""COMPUTED_VALUE"""),"")</f>
        <v/>
      </c>
      <c r="I334" s="5" t="str">
        <f>IFERROR(__xludf.DUMMYFUNCTION("""COMPUTED_VALUE"""),"")</f>
        <v/>
      </c>
      <c r="J334" s="5" t="str">
        <f>IFERROR(__xludf.DUMMYFUNCTION("""COMPUTED_VALUE"""),"")</f>
        <v/>
      </c>
      <c r="K334" s="5" t="str">
        <f>IFERROR(__xludf.DUMMYFUNCTION("""COMPUTED_VALUE"""),"")</f>
        <v/>
      </c>
      <c r="L334" s="5" t="str">
        <f>IFERROR(__xludf.DUMMYFUNCTION("""COMPUTED_VALUE"""),"")</f>
        <v/>
      </c>
      <c r="M334" s="5" t="str">
        <f>IFERROR(__xludf.DUMMYFUNCTION("""COMPUTED_VALUE"""),"")</f>
        <v/>
      </c>
      <c r="N334" s="5" t="str">
        <f>IFERROR(__xludf.DUMMYFUNCTION("""COMPUTED_VALUE"""),"")</f>
        <v/>
      </c>
      <c r="O334" s="5" t="str">
        <f>IFERROR(__xludf.DUMMYFUNCTION("""COMPUTED_VALUE"""),"")</f>
        <v/>
      </c>
      <c r="P334" s="5" t="str">
        <f>IFERROR(__xludf.DUMMYFUNCTION("""COMPUTED_VALUE"""),"")</f>
        <v/>
      </c>
      <c r="Q334" s="5" t="str">
        <f>IFERROR(__xludf.DUMMYFUNCTION("""COMPUTED_VALUE"""),"")</f>
        <v/>
      </c>
      <c r="R334" s="5" t="str">
        <f>IFERROR(__xludf.DUMMYFUNCTION("""COMPUTED_VALUE"""),"")</f>
        <v/>
      </c>
      <c r="S334" s="5" t="str">
        <f>IFERROR(__xludf.DUMMYFUNCTION("""COMPUTED_VALUE"""),"")</f>
        <v/>
      </c>
      <c r="T334" s="5" t="str">
        <f>IFERROR(__xludf.DUMMYFUNCTION("""COMPUTED_VALUE"""),"")</f>
        <v/>
      </c>
      <c r="U334" s="5" t="str">
        <f>IFERROR(__xludf.DUMMYFUNCTION("""COMPUTED_VALUE"""),"")</f>
        <v/>
      </c>
      <c r="V334" s="5" t="str">
        <f>IFERROR(__xludf.DUMMYFUNCTION("""COMPUTED_VALUE"""),"")</f>
        <v/>
      </c>
      <c r="W334" s="5" t="str">
        <f>IFERROR(__xludf.DUMMYFUNCTION("""COMPUTED_VALUE"""),"")</f>
        <v/>
      </c>
      <c r="X334" s="5" t="str">
        <f>IFERROR(__xludf.DUMMYFUNCTION("""COMPUTED_VALUE"""),"")</f>
        <v/>
      </c>
      <c r="Y334" s="5"/>
      <c r="Z334" s="5"/>
    </row>
    <row r="335">
      <c r="A335" s="5" t="str">
        <f>IFERROR(__xludf.DUMMYFUNCTION("""COMPUTED_VALUE"""),"SpinUp")</f>
        <v>SpinUp</v>
      </c>
      <c r="B335" s="5" t="str">
        <f>IFERROR(__xludf.DUMMYFUNCTION("""COMPUTED_VALUE"""),"")</f>
        <v/>
      </c>
      <c r="C335" s="5" t="str">
        <f>IFERROR(__xludf.DUMMYFUNCTION("""COMPUTED_VALUE"""),"")</f>
        <v/>
      </c>
      <c r="D335" s="5" t="str">
        <f>IFERROR(__xludf.DUMMYFUNCTION("""COMPUTED_VALUE"""),"")</f>
        <v/>
      </c>
      <c r="E335" s="5" t="str">
        <f>IFERROR(__xludf.DUMMYFUNCTION("""COMPUTED_VALUE"""),"")</f>
        <v/>
      </c>
      <c r="F335" s="5" t="str">
        <f>IFERROR(__xludf.DUMMYFUNCTION("""COMPUTED_VALUE"""),"")</f>
        <v/>
      </c>
      <c r="G335" s="5" t="str">
        <f>IFERROR(__xludf.DUMMYFUNCTION("""COMPUTED_VALUE"""),"")</f>
        <v/>
      </c>
      <c r="H335" s="5" t="str">
        <f>IFERROR(__xludf.DUMMYFUNCTION("""COMPUTED_VALUE"""),"")</f>
        <v/>
      </c>
      <c r="I335" s="5" t="str">
        <f>IFERROR(__xludf.DUMMYFUNCTION("""COMPUTED_VALUE"""),"")</f>
        <v/>
      </c>
      <c r="J335" s="5" t="str">
        <f>IFERROR(__xludf.DUMMYFUNCTION("""COMPUTED_VALUE"""),"")</f>
        <v/>
      </c>
      <c r="K335" s="5" t="str">
        <f>IFERROR(__xludf.DUMMYFUNCTION("""COMPUTED_VALUE"""),"")</f>
        <v/>
      </c>
      <c r="L335" s="5" t="str">
        <f>IFERROR(__xludf.DUMMYFUNCTION("""COMPUTED_VALUE"""),"")</f>
        <v/>
      </c>
      <c r="M335" s="5" t="str">
        <f>IFERROR(__xludf.DUMMYFUNCTION("""COMPUTED_VALUE"""),"")</f>
        <v/>
      </c>
      <c r="N335" s="5" t="str">
        <f>IFERROR(__xludf.DUMMYFUNCTION("""COMPUTED_VALUE"""),"")</f>
        <v/>
      </c>
      <c r="O335" s="5" t="str">
        <f>IFERROR(__xludf.DUMMYFUNCTION("""COMPUTED_VALUE"""),"")</f>
        <v/>
      </c>
      <c r="P335" s="5" t="str">
        <f>IFERROR(__xludf.DUMMYFUNCTION("""COMPUTED_VALUE"""),"")</f>
        <v/>
      </c>
      <c r="Q335" s="5" t="str">
        <f>IFERROR(__xludf.DUMMYFUNCTION("""COMPUTED_VALUE"""),"")</f>
        <v/>
      </c>
      <c r="R335" s="5" t="str">
        <f>IFERROR(__xludf.DUMMYFUNCTION("""COMPUTED_VALUE"""),"")</f>
        <v/>
      </c>
      <c r="S335" s="5" t="str">
        <f>IFERROR(__xludf.DUMMYFUNCTION("""COMPUTED_VALUE"""),"")</f>
        <v/>
      </c>
      <c r="T335" s="5" t="str">
        <f>IFERROR(__xludf.DUMMYFUNCTION("""COMPUTED_VALUE"""),"")</f>
        <v/>
      </c>
      <c r="U335" s="5" t="str">
        <f>IFERROR(__xludf.DUMMYFUNCTION("""COMPUTED_VALUE"""),"")</f>
        <v/>
      </c>
      <c r="V335" s="5" t="str">
        <f>IFERROR(__xludf.DUMMYFUNCTION("""COMPUTED_VALUE"""),"")</f>
        <v/>
      </c>
      <c r="W335" s="5" t="str">
        <f>IFERROR(__xludf.DUMMYFUNCTION("""COMPUTED_VALUE"""),"")</f>
        <v/>
      </c>
      <c r="X335" s="5" t="str">
        <f>IFERROR(__xludf.DUMMYFUNCTION("""COMPUTED_VALUE"""),"")</f>
        <v/>
      </c>
      <c r="Y335" s="5"/>
      <c r="Z335" s="5"/>
    </row>
    <row r="336">
      <c r="A336" s="5" t="str">
        <f>IFERROR(__xludf.DUMMYFUNCTION("""COMPUTED_VALUE"""),"Sticky Hot")</f>
        <v>Sticky Hot</v>
      </c>
      <c r="B336" s="5" t="str">
        <f>IFERROR(__xludf.DUMMYFUNCTION("""COMPUTED_VALUE"""),"")</f>
        <v/>
      </c>
      <c r="C336" s="5" t="str">
        <f>IFERROR(__xludf.DUMMYFUNCTION("""COMPUTED_VALUE"""),"")</f>
        <v/>
      </c>
      <c r="D336" s="5" t="str">
        <f>IFERROR(__xludf.DUMMYFUNCTION("""COMPUTED_VALUE"""),"")</f>
        <v/>
      </c>
      <c r="E336" s="5" t="str">
        <f>IFERROR(__xludf.DUMMYFUNCTION("""COMPUTED_VALUE"""),"")</f>
        <v/>
      </c>
      <c r="F336" s="5" t="str">
        <f>IFERROR(__xludf.DUMMYFUNCTION("""COMPUTED_VALUE"""),"")</f>
        <v/>
      </c>
      <c r="G336" s="5" t="str">
        <f>IFERROR(__xludf.DUMMYFUNCTION("""COMPUTED_VALUE"""),"")</f>
        <v/>
      </c>
      <c r="H336" s="5" t="str">
        <f>IFERROR(__xludf.DUMMYFUNCTION("""COMPUTED_VALUE"""),"")</f>
        <v/>
      </c>
      <c r="I336" s="5" t="str">
        <f>IFERROR(__xludf.DUMMYFUNCTION("""COMPUTED_VALUE"""),"")</f>
        <v/>
      </c>
      <c r="J336" s="5" t="str">
        <f>IFERROR(__xludf.DUMMYFUNCTION("""COMPUTED_VALUE"""),"")</f>
        <v/>
      </c>
      <c r="K336" s="5" t="str">
        <f>IFERROR(__xludf.DUMMYFUNCTION("""COMPUTED_VALUE"""),"")</f>
        <v/>
      </c>
      <c r="L336" s="5" t="str">
        <f>IFERROR(__xludf.DUMMYFUNCTION("""COMPUTED_VALUE"""),"")</f>
        <v/>
      </c>
      <c r="M336" s="5" t="str">
        <f>IFERROR(__xludf.DUMMYFUNCTION("""COMPUTED_VALUE"""),"")</f>
        <v/>
      </c>
      <c r="N336" s="5" t="str">
        <f>IFERROR(__xludf.DUMMYFUNCTION("""COMPUTED_VALUE"""),"")</f>
        <v/>
      </c>
      <c r="O336" s="5" t="str">
        <f>IFERROR(__xludf.DUMMYFUNCTION("""COMPUTED_VALUE"""),"")</f>
        <v/>
      </c>
      <c r="P336" s="5" t="str">
        <f>IFERROR(__xludf.DUMMYFUNCTION("""COMPUTED_VALUE"""),"")</f>
        <v/>
      </c>
      <c r="Q336" s="5" t="str">
        <f>IFERROR(__xludf.DUMMYFUNCTION("""COMPUTED_VALUE"""),"")</f>
        <v/>
      </c>
      <c r="R336" s="5" t="str">
        <f>IFERROR(__xludf.DUMMYFUNCTION("""COMPUTED_VALUE"""),"")</f>
        <v/>
      </c>
      <c r="S336" s="5" t="str">
        <f>IFERROR(__xludf.DUMMYFUNCTION("""COMPUTED_VALUE"""),"")</f>
        <v/>
      </c>
      <c r="T336" s="5" t="str">
        <f>IFERROR(__xludf.DUMMYFUNCTION("""COMPUTED_VALUE"""),"")</f>
        <v/>
      </c>
      <c r="U336" s="5" t="str">
        <f>IFERROR(__xludf.DUMMYFUNCTION("""COMPUTED_VALUE"""),"")</f>
        <v/>
      </c>
      <c r="V336" s="5" t="str">
        <f>IFERROR(__xludf.DUMMYFUNCTION("""COMPUTED_VALUE"""),"")</f>
        <v/>
      </c>
      <c r="W336" s="5" t="str">
        <f>IFERROR(__xludf.DUMMYFUNCTION("""COMPUTED_VALUE"""),"")</f>
        <v/>
      </c>
      <c r="X336" s="5" t="str">
        <f>IFERROR(__xludf.DUMMYFUNCTION("""COMPUTED_VALUE"""),"")</f>
        <v/>
      </c>
      <c r="Y336" s="5"/>
      <c r="Z336" s="5"/>
    </row>
    <row r="337">
      <c r="A337" s="5" t="str">
        <f>IFERROR(__xludf.DUMMYFUNCTION("""COMPUTED_VALUE"""),"Mega Hot 10")</f>
        <v>Mega Hot 10</v>
      </c>
      <c r="B337" s="5" t="str">
        <f>IFERROR(__xludf.DUMMYFUNCTION("""COMPUTED_VALUE"""),"")</f>
        <v/>
      </c>
      <c r="C337" s="5" t="str">
        <f>IFERROR(__xludf.DUMMYFUNCTION("""COMPUTED_VALUE"""),"")</f>
        <v/>
      </c>
      <c r="D337" s="5" t="str">
        <f>IFERROR(__xludf.DUMMYFUNCTION("""COMPUTED_VALUE"""),"Cert Preparation")</f>
        <v>Cert Preparation</v>
      </c>
      <c r="E337" s="5" t="str">
        <f>IFERROR(__xludf.DUMMYFUNCTION("""COMPUTED_VALUE"""),"")</f>
        <v/>
      </c>
      <c r="F337" s="5" t="str">
        <f>IFERROR(__xludf.DUMMYFUNCTION("""COMPUTED_VALUE"""),"Available")</f>
        <v>Available</v>
      </c>
      <c r="G337" s="5" t="str">
        <f>IFERROR(__xludf.DUMMYFUNCTION("""COMPUTED_VALUE"""),"Available")</f>
        <v>Available</v>
      </c>
      <c r="H337" s="5" t="str">
        <f>IFERROR(__xludf.DUMMYFUNCTION("""COMPUTED_VALUE"""),"Available")</f>
        <v>Available</v>
      </c>
      <c r="I337" s="5" t="str">
        <f>IFERROR(__xludf.DUMMYFUNCTION("""COMPUTED_VALUE"""),"Development")</f>
        <v>Development</v>
      </c>
      <c r="J337" s="5" t="str">
        <f>IFERROR(__xludf.DUMMYFUNCTION("""COMPUTED_VALUE"""),"")</f>
        <v/>
      </c>
      <c r="K337" s="5" t="str">
        <f>IFERROR(__xludf.DUMMYFUNCTION("""COMPUTED_VALUE"""),"")</f>
        <v/>
      </c>
      <c r="L337" s="5" t="str">
        <f>IFERROR(__xludf.DUMMYFUNCTION("""COMPUTED_VALUE"""),"")</f>
        <v/>
      </c>
      <c r="M337" s="5" t="str">
        <f>IFERROR(__xludf.DUMMYFUNCTION("""COMPUTED_VALUE"""),"")</f>
        <v/>
      </c>
      <c r="N337" s="5" t="str">
        <f>IFERROR(__xludf.DUMMYFUNCTION("""COMPUTED_VALUE"""),"")</f>
        <v/>
      </c>
      <c r="O337" s="5" t="str">
        <f>IFERROR(__xludf.DUMMYFUNCTION("""COMPUTED_VALUE"""),"")</f>
        <v/>
      </c>
      <c r="P337" s="5" t="str">
        <f>IFERROR(__xludf.DUMMYFUNCTION("""COMPUTED_VALUE"""),"")</f>
        <v/>
      </c>
      <c r="Q337" s="5" t="str">
        <f>IFERROR(__xludf.DUMMYFUNCTION("""COMPUTED_VALUE"""),"Available")</f>
        <v>Available</v>
      </c>
      <c r="R337" s="5" t="str">
        <f>IFERROR(__xludf.DUMMYFUNCTION("""COMPUTED_VALUE"""),"")</f>
        <v/>
      </c>
      <c r="S337" s="5" t="str">
        <f>IFERROR(__xludf.DUMMYFUNCTION("""COMPUTED_VALUE"""),"")</f>
        <v/>
      </c>
      <c r="T337" s="5" t="str">
        <f>IFERROR(__xludf.DUMMYFUNCTION("""COMPUTED_VALUE"""),"")</f>
        <v/>
      </c>
      <c r="U337" s="5" t="str">
        <f>IFERROR(__xludf.DUMMYFUNCTION("""COMPUTED_VALUE"""),"")</f>
        <v/>
      </c>
      <c r="V337" s="5" t="str">
        <f>IFERROR(__xludf.DUMMYFUNCTION("""COMPUTED_VALUE"""),"")</f>
        <v/>
      </c>
      <c r="W337" s="5" t="str">
        <f>IFERROR(__xludf.DUMMYFUNCTION("""COMPUTED_VALUE"""),"")</f>
        <v/>
      </c>
      <c r="X337" s="5" t="str">
        <f>IFERROR(__xludf.DUMMYFUNCTION("""COMPUTED_VALUE"""),"")</f>
        <v/>
      </c>
      <c r="Y337" s="5"/>
      <c r="Z337" s="5"/>
    </row>
    <row r="338">
      <c r="A338" s="5" t="str">
        <f>IFERROR(__xludf.DUMMYFUNCTION("""COMPUTED_VALUE"""),"Wild Heat 40")</f>
        <v>Wild Heat 40</v>
      </c>
      <c r="B338" s="5" t="str">
        <f>IFERROR(__xludf.DUMMYFUNCTION("""COMPUTED_VALUE"""),"Available")</f>
        <v>Available</v>
      </c>
      <c r="C338" s="5" t="str">
        <f>IFERROR(__xludf.DUMMYFUNCTION("""COMPUTED_VALUE"""),"Development")</f>
        <v>Development</v>
      </c>
      <c r="D338" s="5" t="str">
        <f>IFERROR(__xludf.DUMMYFUNCTION("""COMPUTED_VALUE"""),"Cert Preparation")</f>
        <v>Cert Preparation</v>
      </c>
      <c r="E338" s="5" t="str">
        <f>IFERROR(__xludf.DUMMYFUNCTION("""COMPUTED_VALUE"""),"Development")</f>
        <v>Development</v>
      </c>
      <c r="F338" s="5" t="str">
        <f>IFERROR(__xludf.DUMMYFUNCTION("""COMPUTED_VALUE"""),"Available")</f>
        <v>Available</v>
      </c>
      <c r="G338" s="5" t="str">
        <f>IFERROR(__xludf.DUMMYFUNCTION("""COMPUTED_VALUE"""),"Available")</f>
        <v>Available</v>
      </c>
      <c r="H338" s="5" t="str">
        <f>IFERROR(__xludf.DUMMYFUNCTION("""COMPUTED_VALUE"""),"Available")</f>
        <v>Available</v>
      </c>
      <c r="I338" s="5" t="str">
        <f>IFERROR(__xludf.DUMMYFUNCTION("""COMPUTED_VALUE"""),"Development")</f>
        <v>Development</v>
      </c>
      <c r="J338" s="5" t="str">
        <f>IFERROR(__xludf.DUMMYFUNCTION("""COMPUTED_VALUE"""),"")</f>
        <v/>
      </c>
      <c r="K338" s="5" t="str">
        <f>IFERROR(__xludf.DUMMYFUNCTION("""COMPUTED_VALUE"""),"Development")</f>
        <v>Development</v>
      </c>
      <c r="L338" s="5" t="str">
        <f>IFERROR(__xludf.DUMMYFUNCTION("""COMPUTED_VALUE"""),"Development")</f>
        <v>Development</v>
      </c>
      <c r="M338" s="5" t="str">
        <f>IFERROR(__xludf.DUMMYFUNCTION("""COMPUTED_VALUE"""),"")</f>
        <v/>
      </c>
      <c r="N338" s="5" t="str">
        <f>IFERROR(__xludf.DUMMYFUNCTION("""COMPUTED_VALUE"""),"Development")</f>
        <v>Development</v>
      </c>
      <c r="O338" s="5" t="str">
        <f>IFERROR(__xludf.DUMMYFUNCTION("""COMPUTED_VALUE"""),"")</f>
        <v/>
      </c>
      <c r="P338" s="5" t="str">
        <f>IFERROR(__xludf.DUMMYFUNCTION("""COMPUTED_VALUE"""),"")</f>
        <v/>
      </c>
      <c r="Q338" s="5" t="str">
        <f>IFERROR(__xludf.DUMMYFUNCTION("""COMPUTED_VALUE"""),"Available")</f>
        <v>Available</v>
      </c>
      <c r="R338" s="5" t="str">
        <f>IFERROR(__xludf.DUMMYFUNCTION("""COMPUTED_VALUE"""),"")</f>
        <v/>
      </c>
      <c r="S338" s="5" t="str">
        <f>IFERROR(__xludf.DUMMYFUNCTION("""COMPUTED_VALUE"""),"")</f>
        <v/>
      </c>
      <c r="T338" s="5" t="str">
        <f>IFERROR(__xludf.DUMMYFUNCTION("""COMPUTED_VALUE"""),"")</f>
        <v/>
      </c>
      <c r="U338" s="5" t="str">
        <f>IFERROR(__xludf.DUMMYFUNCTION("""COMPUTED_VALUE"""),"")</f>
        <v/>
      </c>
      <c r="V338" s="5" t="str">
        <f>IFERROR(__xludf.DUMMYFUNCTION("""COMPUTED_VALUE"""),"")</f>
        <v/>
      </c>
      <c r="W338" s="5" t="str">
        <f>IFERROR(__xludf.DUMMYFUNCTION("""COMPUTED_VALUE"""),"")</f>
        <v/>
      </c>
      <c r="X338" s="5" t="str">
        <f>IFERROR(__xludf.DUMMYFUNCTION("""COMPUTED_VALUE"""),"")</f>
        <v/>
      </c>
      <c r="Y338" s="5"/>
      <c r="Z338" s="5"/>
    </row>
    <row r="339">
      <c r="A339" s="5" t="str">
        <f>IFERROR(__xludf.DUMMYFUNCTION("""COMPUTED_VALUE"""),"Blow Fruits 40")</f>
        <v>Blow Fruits 40</v>
      </c>
      <c r="B339" s="5" t="str">
        <f>IFERROR(__xludf.DUMMYFUNCTION("""COMPUTED_VALUE"""),"")</f>
        <v/>
      </c>
      <c r="C339" s="5" t="str">
        <f>IFERROR(__xludf.DUMMYFUNCTION("""COMPUTED_VALUE"""),"")</f>
        <v/>
      </c>
      <c r="D339" s="5" t="str">
        <f>IFERROR(__xludf.DUMMYFUNCTION("""COMPUTED_VALUE"""),"Cert Preparation")</f>
        <v>Cert Preparation</v>
      </c>
      <c r="E339" s="5" t="str">
        <f>IFERROR(__xludf.DUMMYFUNCTION("""COMPUTED_VALUE"""),"")</f>
        <v/>
      </c>
      <c r="F339" s="5" t="str">
        <f>IFERROR(__xludf.DUMMYFUNCTION("""COMPUTED_VALUE"""),"Available")</f>
        <v>Available</v>
      </c>
      <c r="G339" s="5" t="str">
        <f>IFERROR(__xludf.DUMMYFUNCTION("""COMPUTED_VALUE"""),"Available")</f>
        <v>Available</v>
      </c>
      <c r="H339" s="5" t="str">
        <f>IFERROR(__xludf.DUMMYFUNCTION("""COMPUTED_VALUE"""),"Available")</f>
        <v>Available</v>
      </c>
      <c r="I339" s="5" t="str">
        <f>IFERROR(__xludf.DUMMYFUNCTION("""COMPUTED_VALUE"""),"")</f>
        <v/>
      </c>
      <c r="J339" s="5" t="str">
        <f>IFERROR(__xludf.DUMMYFUNCTION("""COMPUTED_VALUE"""),"")</f>
        <v/>
      </c>
      <c r="K339" s="5" t="str">
        <f>IFERROR(__xludf.DUMMYFUNCTION("""COMPUTED_VALUE"""),"")</f>
        <v/>
      </c>
      <c r="L339" s="5" t="str">
        <f>IFERROR(__xludf.DUMMYFUNCTION("""COMPUTED_VALUE"""),"Development")</f>
        <v>Development</v>
      </c>
      <c r="M339" s="5" t="str">
        <f>IFERROR(__xludf.DUMMYFUNCTION("""COMPUTED_VALUE"""),"")</f>
        <v/>
      </c>
      <c r="N339" s="5" t="str">
        <f>IFERROR(__xludf.DUMMYFUNCTION("""COMPUTED_VALUE"""),"")</f>
        <v/>
      </c>
      <c r="O339" s="5" t="str">
        <f>IFERROR(__xludf.DUMMYFUNCTION("""COMPUTED_VALUE"""),"")</f>
        <v/>
      </c>
      <c r="P339" s="5" t="str">
        <f>IFERROR(__xludf.DUMMYFUNCTION("""COMPUTED_VALUE"""),"")</f>
        <v/>
      </c>
      <c r="Q339" s="5" t="str">
        <f>IFERROR(__xludf.DUMMYFUNCTION("""COMPUTED_VALUE"""),"Available")</f>
        <v>Available</v>
      </c>
      <c r="R339" s="5" t="str">
        <f>IFERROR(__xludf.DUMMYFUNCTION("""COMPUTED_VALUE"""),"")</f>
        <v/>
      </c>
      <c r="S339" s="5" t="str">
        <f>IFERROR(__xludf.DUMMYFUNCTION("""COMPUTED_VALUE"""),"")</f>
        <v/>
      </c>
      <c r="T339" s="5" t="str">
        <f>IFERROR(__xludf.DUMMYFUNCTION("""COMPUTED_VALUE"""),"")</f>
        <v/>
      </c>
      <c r="U339" s="5" t="str">
        <f>IFERROR(__xludf.DUMMYFUNCTION("""COMPUTED_VALUE"""),"")</f>
        <v/>
      </c>
      <c r="V339" s="5" t="str">
        <f>IFERROR(__xludf.DUMMYFUNCTION("""COMPUTED_VALUE"""),"")</f>
        <v/>
      </c>
      <c r="W339" s="5" t="str">
        <f>IFERROR(__xludf.DUMMYFUNCTION("""COMPUTED_VALUE"""),"")</f>
        <v/>
      </c>
      <c r="X339" s="5" t="str">
        <f>IFERROR(__xludf.DUMMYFUNCTION("""COMPUTED_VALUE"""),"")</f>
        <v/>
      </c>
      <c r="Y339" s="5"/>
      <c r="Z339" s="5"/>
    </row>
    <row r="340">
      <c r="A340" s="5" t="str">
        <f>IFERROR(__xludf.DUMMYFUNCTION("""COMPUTED_VALUE"""),"Age of Rome")</f>
        <v>Age of Rome</v>
      </c>
      <c r="B340" s="5" t="str">
        <f>IFERROR(__xludf.DUMMYFUNCTION("""COMPUTED_VALUE"""),"")</f>
        <v/>
      </c>
      <c r="C340" s="5" t="str">
        <f>IFERROR(__xludf.DUMMYFUNCTION("""COMPUTED_VALUE"""),"Development")</f>
        <v>Development</v>
      </c>
      <c r="D340" s="5" t="str">
        <f>IFERROR(__xludf.DUMMYFUNCTION("""COMPUTED_VALUE"""),"Cert Preparation")</f>
        <v>Cert Preparation</v>
      </c>
      <c r="E340" s="5" t="str">
        <f>IFERROR(__xludf.DUMMYFUNCTION("""COMPUTED_VALUE"""),"Development")</f>
        <v>Development</v>
      </c>
      <c r="F340" s="5" t="str">
        <f>IFERROR(__xludf.DUMMYFUNCTION("""COMPUTED_VALUE"""),"Development")</f>
        <v>Development</v>
      </c>
      <c r="G340" s="5" t="str">
        <f>IFERROR(__xludf.DUMMYFUNCTION("""COMPUTED_VALUE"""),"")</f>
        <v/>
      </c>
      <c r="H340" s="5" t="str">
        <f>IFERROR(__xludf.DUMMYFUNCTION("""COMPUTED_VALUE"""),"")</f>
        <v/>
      </c>
      <c r="I340" s="5" t="str">
        <f>IFERROR(__xludf.DUMMYFUNCTION("""COMPUTED_VALUE"""),"Development")</f>
        <v>Development</v>
      </c>
      <c r="J340" s="5" t="str">
        <f>IFERROR(__xludf.DUMMYFUNCTION("""COMPUTED_VALUE"""),"")</f>
        <v/>
      </c>
      <c r="K340" s="5" t="str">
        <f>IFERROR(__xludf.DUMMYFUNCTION("""COMPUTED_VALUE"""),"")</f>
        <v/>
      </c>
      <c r="L340" s="5" t="str">
        <f>IFERROR(__xludf.DUMMYFUNCTION("""COMPUTED_VALUE"""),"")</f>
        <v/>
      </c>
      <c r="M340" s="5" t="str">
        <f>IFERROR(__xludf.DUMMYFUNCTION("""COMPUTED_VALUE"""),"")</f>
        <v/>
      </c>
      <c r="N340" s="5" t="str">
        <f>IFERROR(__xludf.DUMMYFUNCTION("""COMPUTED_VALUE"""),"")</f>
        <v/>
      </c>
      <c r="O340" s="5" t="str">
        <f>IFERROR(__xludf.DUMMYFUNCTION("""COMPUTED_VALUE"""),"")</f>
        <v/>
      </c>
      <c r="P340" s="5" t="str">
        <f>IFERROR(__xludf.DUMMYFUNCTION("""COMPUTED_VALUE"""),"")</f>
        <v/>
      </c>
      <c r="Q340" s="5" t="str">
        <f>IFERROR(__xludf.DUMMYFUNCTION("""COMPUTED_VALUE"""),"")</f>
        <v/>
      </c>
      <c r="R340" s="5" t="str">
        <f>IFERROR(__xludf.DUMMYFUNCTION("""COMPUTED_VALUE"""),"")</f>
        <v/>
      </c>
      <c r="S340" s="5" t="str">
        <f>IFERROR(__xludf.DUMMYFUNCTION("""COMPUTED_VALUE"""),"")</f>
        <v/>
      </c>
      <c r="T340" s="5" t="str">
        <f>IFERROR(__xludf.DUMMYFUNCTION("""COMPUTED_VALUE"""),"")</f>
        <v/>
      </c>
      <c r="U340" s="5" t="str">
        <f>IFERROR(__xludf.DUMMYFUNCTION("""COMPUTED_VALUE"""),"")</f>
        <v/>
      </c>
      <c r="V340" s="5" t="str">
        <f>IFERROR(__xludf.DUMMYFUNCTION("""COMPUTED_VALUE"""),"")</f>
        <v/>
      </c>
      <c r="W340" s="5" t="str">
        <f>IFERROR(__xludf.DUMMYFUNCTION("""COMPUTED_VALUE"""),"")</f>
        <v/>
      </c>
      <c r="X340" s="5" t="str">
        <f>IFERROR(__xludf.DUMMYFUNCTION("""COMPUTED_VALUE"""),"")</f>
        <v/>
      </c>
      <c r="Y340" s="5"/>
      <c r="Z340" s="5"/>
    </row>
    <row r="341">
      <c r="A341" s="5" t="str">
        <f>IFERROR(__xludf.DUMMYFUNCTION("""COMPUTED_VALUE"""),"Fruity Force 40")</f>
        <v>Fruity Force 40</v>
      </c>
      <c r="B341" s="5" t="str">
        <f>IFERROR(__xludf.DUMMYFUNCTION("""COMPUTED_VALUE"""),"")</f>
        <v/>
      </c>
      <c r="C341" s="5" t="str">
        <f>IFERROR(__xludf.DUMMYFUNCTION("""COMPUTED_VALUE"""),"")</f>
        <v/>
      </c>
      <c r="D341" s="5" t="str">
        <f>IFERROR(__xludf.DUMMYFUNCTION("""COMPUTED_VALUE"""),"Cert Preparation")</f>
        <v>Cert Preparation</v>
      </c>
      <c r="E341" s="5" t="str">
        <f>IFERROR(__xludf.DUMMYFUNCTION("""COMPUTED_VALUE"""),"Development")</f>
        <v>Development</v>
      </c>
      <c r="F341" s="5" t="str">
        <f>IFERROR(__xludf.DUMMYFUNCTION("""COMPUTED_VALUE"""),"Development")</f>
        <v>Development</v>
      </c>
      <c r="G341" s="5" t="str">
        <f>IFERROR(__xludf.DUMMYFUNCTION("""COMPUTED_VALUE"""),"")</f>
        <v/>
      </c>
      <c r="H341" s="5" t="str">
        <f>IFERROR(__xludf.DUMMYFUNCTION("""COMPUTED_VALUE"""),"")</f>
        <v/>
      </c>
      <c r="I341" s="5" t="str">
        <f>IFERROR(__xludf.DUMMYFUNCTION("""COMPUTED_VALUE"""),"")</f>
        <v/>
      </c>
      <c r="J341" s="5" t="str">
        <f>IFERROR(__xludf.DUMMYFUNCTION("""COMPUTED_VALUE"""),"")</f>
        <v/>
      </c>
      <c r="K341" s="5" t="str">
        <f>IFERROR(__xludf.DUMMYFUNCTION("""COMPUTED_VALUE"""),"Development")</f>
        <v>Development</v>
      </c>
      <c r="L341" s="5" t="str">
        <f>IFERROR(__xludf.DUMMYFUNCTION("""COMPUTED_VALUE"""),"")</f>
        <v/>
      </c>
      <c r="M341" s="5" t="str">
        <f>IFERROR(__xludf.DUMMYFUNCTION("""COMPUTED_VALUE"""),"")</f>
        <v/>
      </c>
      <c r="N341" s="5" t="str">
        <f>IFERROR(__xludf.DUMMYFUNCTION("""COMPUTED_VALUE"""),"")</f>
        <v/>
      </c>
      <c r="O341" s="5" t="str">
        <f>IFERROR(__xludf.DUMMYFUNCTION("""COMPUTED_VALUE"""),"")</f>
        <v/>
      </c>
      <c r="P341" s="5" t="str">
        <f>IFERROR(__xludf.DUMMYFUNCTION("""COMPUTED_VALUE"""),"")</f>
        <v/>
      </c>
      <c r="Q341" s="5" t="str">
        <f>IFERROR(__xludf.DUMMYFUNCTION("""COMPUTED_VALUE"""),"")</f>
        <v/>
      </c>
      <c r="R341" s="5" t="str">
        <f>IFERROR(__xludf.DUMMYFUNCTION("""COMPUTED_VALUE"""),"")</f>
        <v/>
      </c>
      <c r="S341" s="5" t="str">
        <f>IFERROR(__xludf.DUMMYFUNCTION("""COMPUTED_VALUE"""),"")</f>
        <v/>
      </c>
      <c r="T341" s="5" t="str">
        <f>IFERROR(__xludf.DUMMYFUNCTION("""COMPUTED_VALUE"""),"")</f>
        <v/>
      </c>
      <c r="U341" s="5" t="str">
        <f>IFERROR(__xludf.DUMMYFUNCTION("""COMPUTED_VALUE"""),"")</f>
        <v/>
      </c>
      <c r="V341" s="5" t="str">
        <f>IFERROR(__xludf.DUMMYFUNCTION("""COMPUTED_VALUE"""),"")</f>
        <v/>
      </c>
      <c r="W341" s="5" t="str">
        <f>IFERROR(__xludf.DUMMYFUNCTION("""COMPUTED_VALUE"""),"")</f>
        <v/>
      </c>
      <c r="X341" s="5" t="str">
        <f>IFERROR(__xludf.DUMMYFUNCTION("""COMPUTED_VALUE"""),"")</f>
        <v/>
      </c>
      <c r="Y341" s="5"/>
      <c r="Z341" s="5"/>
    </row>
    <row r="342">
      <c r="A342" s="5" t="str">
        <f>IFERROR(__xludf.DUMMYFUNCTION("""COMPUTED_VALUE"""),"Bonus Crown")</f>
        <v>Bonus Crown</v>
      </c>
      <c r="B342" s="5" t="str">
        <f>IFERROR(__xludf.DUMMYFUNCTION("""COMPUTED_VALUE"""),"")</f>
        <v/>
      </c>
      <c r="C342" s="5" t="str">
        <f>IFERROR(__xludf.DUMMYFUNCTION("""COMPUTED_VALUE"""),"Development")</f>
        <v>Development</v>
      </c>
      <c r="D342" s="5" t="str">
        <f>IFERROR(__xludf.DUMMYFUNCTION("""COMPUTED_VALUE"""),"Cert Preparation")</f>
        <v>Cert Preparation</v>
      </c>
      <c r="E342" s="5" t="str">
        <f>IFERROR(__xludf.DUMMYFUNCTION("""COMPUTED_VALUE"""),"Development")</f>
        <v>Development</v>
      </c>
      <c r="F342" s="5" t="str">
        <f>IFERROR(__xludf.DUMMYFUNCTION("""COMPUTED_VALUE"""),"Available")</f>
        <v>Available</v>
      </c>
      <c r="G342" s="5" t="str">
        <f>IFERROR(__xludf.DUMMYFUNCTION("""COMPUTED_VALUE"""),"Available")</f>
        <v>Available</v>
      </c>
      <c r="H342" s="5" t="str">
        <f>IFERROR(__xludf.DUMMYFUNCTION("""COMPUTED_VALUE"""),"Available")</f>
        <v>Available</v>
      </c>
      <c r="I342" s="5" t="str">
        <f>IFERROR(__xludf.DUMMYFUNCTION("""COMPUTED_VALUE"""),"Development")</f>
        <v>Development</v>
      </c>
      <c r="J342" s="5" t="str">
        <f>IFERROR(__xludf.DUMMYFUNCTION("""COMPUTED_VALUE"""),"")</f>
        <v/>
      </c>
      <c r="K342" s="5" t="str">
        <f>IFERROR(__xludf.DUMMYFUNCTION("""COMPUTED_VALUE"""),"Development")</f>
        <v>Development</v>
      </c>
      <c r="L342" s="5" t="str">
        <f>IFERROR(__xludf.DUMMYFUNCTION("""COMPUTED_VALUE"""),"")</f>
        <v/>
      </c>
      <c r="M342" s="5" t="str">
        <f>IFERROR(__xludf.DUMMYFUNCTION("""COMPUTED_VALUE"""),"")</f>
        <v/>
      </c>
      <c r="N342" s="5" t="str">
        <f>IFERROR(__xludf.DUMMYFUNCTION("""COMPUTED_VALUE"""),"")</f>
        <v/>
      </c>
      <c r="O342" s="5" t="str">
        <f>IFERROR(__xludf.DUMMYFUNCTION("""COMPUTED_VALUE"""),"")</f>
        <v/>
      </c>
      <c r="P342" s="5" t="str">
        <f>IFERROR(__xludf.DUMMYFUNCTION("""COMPUTED_VALUE"""),"")</f>
        <v/>
      </c>
      <c r="Q342" s="5" t="str">
        <f>IFERROR(__xludf.DUMMYFUNCTION("""COMPUTED_VALUE"""),"Available")</f>
        <v>Available</v>
      </c>
      <c r="R342" s="5" t="str">
        <f>IFERROR(__xludf.DUMMYFUNCTION("""COMPUTED_VALUE"""),"")</f>
        <v/>
      </c>
      <c r="S342" s="5" t="str">
        <f>IFERROR(__xludf.DUMMYFUNCTION("""COMPUTED_VALUE"""),"")</f>
        <v/>
      </c>
      <c r="T342" s="5" t="str">
        <f>IFERROR(__xludf.DUMMYFUNCTION("""COMPUTED_VALUE"""),"")</f>
        <v/>
      </c>
      <c r="U342" s="5" t="str">
        <f>IFERROR(__xludf.DUMMYFUNCTION("""COMPUTED_VALUE"""),"")</f>
        <v/>
      </c>
      <c r="V342" s="5" t="str">
        <f>IFERROR(__xludf.DUMMYFUNCTION("""COMPUTED_VALUE"""),"")</f>
        <v/>
      </c>
      <c r="W342" s="5" t="str">
        <f>IFERROR(__xludf.DUMMYFUNCTION("""COMPUTED_VALUE"""),"")</f>
        <v/>
      </c>
      <c r="X342" s="5" t="str">
        <f>IFERROR(__xludf.DUMMYFUNCTION("""COMPUTED_VALUE"""),"")</f>
        <v/>
      </c>
      <c r="Y342" s="5"/>
      <c r="Z342" s="5"/>
    </row>
    <row r="343">
      <c r="A343" s="5" t="str">
        <f>IFERROR(__xludf.DUMMYFUNCTION("""COMPUTED_VALUE"""),"Aqua Flame")</f>
        <v>Aqua Flame</v>
      </c>
      <c r="B343" s="5" t="str">
        <f>IFERROR(__xludf.DUMMYFUNCTION("""COMPUTED_VALUE"""),"Development")</f>
        <v>Development</v>
      </c>
      <c r="C343" s="5" t="str">
        <f>IFERROR(__xludf.DUMMYFUNCTION("""COMPUTED_VALUE"""),"Development")</f>
        <v>Development</v>
      </c>
      <c r="D343" s="5" t="str">
        <f>IFERROR(__xludf.DUMMYFUNCTION("""COMPUTED_VALUE"""),"Cert Preparation")</f>
        <v>Cert Preparation</v>
      </c>
      <c r="E343" s="5" t="str">
        <f>IFERROR(__xludf.DUMMYFUNCTION("""COMPUTED_VALUE"""),"Development")</f>
        <v>Development</v>
      </c>
      <c r="F343" s="5" t="str">
        <f>IFERROR(__xludf.DUMMYFUNCTION("""COMPUTED_VALUE"""),"Available")</f>
        <v>Available</v>
      </c>
      <c r="G343" s="5" t="str">
        <f>IFERROR(__xludf.DUMMYFUNCTION("""COMPUTED_VALUE"""),"Available")</f>
        <v>Available</v>
      </c>
      <c r="H343" s="5" t="str">
        <f>IFERROR(__xludf.DUMMYFUNCTION("""COMPUTED_VALUE"""),"Available")</f>
        <v>Available</v>
      </c>
      <c r="I343" s="5" t="str">
        <f>IFERROR(__xludf.DUMMYFUNCTION("""COMPUTED_VALUE"""),"Development")</f>
        <v>Development</v>
      </c>
      <c r="J343" s="5" t="str">
        <f>IFERROR(__xludf.DUMMYFUNCTION("""COMPUTED_VALUE"""),"")</f>
        <v/>
      </c>
      <c r="K343" s="5" t="str">
        <f>IFERROR(__xludf.DUMMYFUNCTION("""COMPUTED_VALUE"""),"Development")</f>
        <v>Development</v>
      </c>
      <c r="L343" s="5" t="str">
        <f>IFERROR(__xludf.DUMMYFUNCTION("""COMPUTED_VALUE"""),"")</f>
        <v/>
      </c>
      <c r="M343" s="5" t="str">
        <f>IFERROR(__xludf.DUMMYFUNCTION("""COMPUTED_VALUE"""),"")</f>
        <v/>
      </c>
      <c r="N343" s="5" t="str">
        <f>IFERROR(__xludf.DUMMYFUNCTION("""COMPUTED_VALUE"""),"")</f>
        <v/>
      </c>
      <c r="O343" s="5" t="str">
        <f>IFERROR(__xludf.DUMMYFUNCTION("""COMPUTED_VALUE"""),"")</f>
        <v/>
      </c>
      <c r="P343" s="5" t="str">
        <f>IFERROR(__xludf.DUMMYFUNCTION("""COMPUTED_VALUE"""),"")</f>
        <v/>
      </c>
      <c r="Q343" s="5" t="str">
        <f>IFERROR(__xludf.DUMMYFUNCTION("""COMPUTED_VALUE"""),"Available")</f>
        <v>Available</v>
      </c>
      <c r="R343" s="5" t="str">
        <f>IFERROR(__xludf.DUMMYFUNCTION("""COMPUTED_VALUE"""),"")</f>
        <v/>
      </c>
      <c r="S343" s="5" t="str">
        <f>IFERROR(__xludf.DUMMYFUNCTION("""COMPUTED_VALUE"""),"")</f>
        <v/>
      </c>
      <c r="T343" s="5" t="str">
        <f>IFERROR(__xludf.DUMMYFUNCTION("""COMPUTED_VALUE"""),"")</f>
        <v/>
      </c>
      <c r="U343" s="5" t="str">
        <f>IFERROR(__xludf.DUMMYFUNCTION("""COMPUTED_VALUE"""),"")</f>
        <v/>
      </c>
      <c r="V343" s="5" t="str">
        <f>IFERROR(__xludf.DUMMYFUNCTION("""COMPUTED_VALUE"""),"")</f>
        <v/>
      </c>
      <c r="W343" s="5" t="str">
        <f>IFERROR(__xludf.DUMMYFUNCTION("""COMPUTED_VALUE"""),"")</f>
        <v/>
      </c>
      <c r="X343" s="5" t="str">
        <f>IFERROR(__xludf.DUMMYFUNCTION("""COMPUTED_VALUE"""),"")</f>
        <v/>
      </c>
      <c r="Y343" s="5"/>
      <c r="Z343" s="5"/>
    </row>
    <row r="344">
      <c r="A344" s="5" t="str">
        <f>IFERROR(__xludf.DUMMYFUNCTION("""COMPUTED_VALUE"""),"Crown of Secret")</f>
        <v>Crown of Secret</v>
      </c>
      <c r="B344" s="5" t="str">
        <f>IFERROR(__xludf.DUMMYFUNCTION("""COMPUTED_VALUE"""),"")</f>
        <v/>
      </c>
      <c r="C344" s="5" t="str">
        <f>IFERROR(__xludf.DUMMYFUNCTION("""COMPUTED_VALUE"""),"Development")</f>
        <v>Development</v>
      </c>
      <c r="D344" s="5" t="str">
        <f>IFERROR(__xludf.DUMMYFUNCTION("""COMPUTED_VALUE"""),"Cert Preparation")</f>
        <v>Cert Preparation</v>
      </c>
      <c r="E344" s="5" t="str">
        <f>IFERROR(__xludf.DUMMYFUNCTION("""COMPUTED_VALUE"""),"Development")</f>
        <v>Development</v>
      </c>
      <c r="F344" s="5" t="str">
        <f>IFERROR(__xludf.DUMMYFUNCTION("""COMPUTED_VALUE"""),"")</f>
        <v/>
      </c>
      <c r="G344" s="5" t="str">
        <f>IFERROR(__xludf.DUMMYFUNCTION("""COMPUTED_VALUE"""),"")</f>
        <v/>
      </c>
      <c r="H344" s="5" t="str">
        <f>IFERROR(__xludf.DUMMYFUNCTION("""COMPUTED_VALUE"""),"Development")</f>
        <v>Development</v>
      </c>
      <c r="I344" s="5" t="str">
        <f>IFERROR(__xludf.DUMMYFUNCTION("""COMPUTED_VALUE"""),"Development")</f>
        <v>Development</v>
      </c>
      <c r="J344" s="5" t="str">
        <f>IFERROR(__xludf.DUMMYFUNCTION("""COMPUTED_VALUE"""),"")</f>
        <v/>
      </c>
      <c r="K344" s="5" t="str">
        <f>IFERROR(__xludf.DUMMYFUNCTION("""COMPUTED_VALUE"""),"")</f>
        <v/>
      </c>
      <c r="L344" s="5" t="str">
        <f>IFERROR(__xludf.DUMMYFUNCTION("""COMPUTED_VALUE"""),"")</f>
        <v/>
      </c>
      <c r="M344" s="5" t="str">
        <f>IFERROR(__xludf.DUMMYFUNCTION("""COMPUTED_VALUE"""),"Development")</f>
        <v>Development</v>
      </c>
      <c r="N344" s="5" t="str">
        <f>IFERROR(__xludf.DUMMYFUNCTION("""COMPUTED_VALUE"""),"Development")</f>
        <v>Development</v>
      </c>
      <c r="O344" s="5" t="str">
        <f>IFERROR(__xludf.DUMMYFUNCTION("""COMPUTED_VALUE"""),"")</f>
        <v/>
      </c>
      <c r="P344" s="5" t="str">
        <f>IFERROR(__xludf.DUMMYFUNCTION("""COMPUTED_VALUE"""),"")</f>
        <v/>
      </c>
      <c r="Q344" s="5" t="str">
        <f>IFERROR(__xludf.DUMMYFUNCTION("""COMPUTED_VALUE"""),"")</f>
        <v/>
      </c>
      <c r="R344" s="5" t="str">
        <f>IFERROR(__xludf.DUMMYFUNCTION("""COMPUTED_VALUE"""),"")</f>
        <v/>
      </c>
      <c r="S344" s="5" t="str">
        <f>IFERROR(__xludf.DUMMYFUNCTION("""COMPUTED_VALUE"""),"")</f>
        <v/>
      </c>
      <c r="T344" s="5" t="str">
        <f>IFERROR(__xludf.DUMMYFUNCTION("""COMPUTED_VALUE"""),"")</f>
        <v/>
      </c>
      <c r="U344" s="5" t="str">
        <f>IFERROR(__xludf.DUMMYFUNCTION("""COMPUTED_VALUE"""),"")</f>
        <v/>
      </c>
      <c r="V344" s="5" t="str">
        <f>IFERROR(__xludf.DUMMYFUNCTION("""COMPUTED_VALUE"""),"")</f>
        <v/>
      </c>
      <c r="W344" s="5" t="str">
        <f>IFERROR(__xludf.DUMMYFUNCTION("""COMPUTED_VALUE"""),"")</f>
        <v/>
      </c>
      <c r="X344" s="5" t="str">
        <f>IFERROR(__xludf.DUMMYFUNCTION("""COMPUTED_VALUE"""),"")</f>
        <v/>
      </c>
      <c r="Y344" s="5"/>
      <c r="Z344" s="5"/>
    </row>
    <row r="345">
      <c r="A345" s="5" t="str">
        <f>IFERROR(__xludf.DUMMYFUNCTION("""COMPUTED_VALUE"""),"Very Hot 40 Extreme")</f>
        <v>Very Hot 40 Extreme</v>
      </c>
      <c r="B345" s="5" t="str">
        <f>IFERROR(__xludf.DUMMYFUNCTION("""COMPUTED_VALUE"""),"Development")</f>
        <v>Development</v>
      </c>
      <c r="C345" s="5" t="str">
        <f>IFERROR(__xludf.DUMMYFUNCTION("""COMPUTED_VALUE"""),"Development")</f>
        <v>Development</v>
      </c>
      <c r="D345" s="5" t="str">
        <f>IFERROR(__xludf.DUMMYFUNCTION("""COMPUTED_VALUE"""),"Cert Preparation")</f>
        <v>Cert Preparation</v>
      </c>
      <c r="E345" s="5" t="str">
        <f>IFERROR(__xludf.DUMMYFUNCTION("""COMPUTED_VALUE"""),"Development")</f>
        <v>Development</v>
      </c>
      <c r="F345" s="5" t="str">
        <f>IFERROR(__xludf.DUMMYFUNCTION("""COMPUTED_VALUE"""),"Available")</f>
        <v>Available</v>
      </c>
      <c r="G345" s="5" t="str">
        <f>IFERROR(__xludf.DUMMYFUNCTION("""COMPUTED_VALUE"""),"Available")</f>
        <v>Available</v>
      </c>
      <c r="H345" s="5" t="str">
        <f>IFERROR(__xludf.DUMMYFUNCTION("""COMPUTED_VALUE"""),"Available")</f>
        <v>Available</v>
      </c>
      <c r="I345" s="5" t="str">
        <f>IFERROR(__xludf.DUMMYFUNCTION("""COMPUTED_VALUE"""),"Development")</f>
        <v>Development</v>
      </c>
      <c r="J345" s="5" t="str">
        <f>IFERROR(__xludf.DUMMYFUNCTION("""COMPUTED_VALUE"""),"")</f>
        <v/>
      </c>
      <c r="K345" s="5" t="str">
        <f>IFERROR(__xludf.DUMMYFUNCTION("""COMPUTED_VALUE"""),"Development")</f>
        <v>Development</v>
      </c>
      <c r="L345" s="5" t="str">
        <f>IFERROR(__xludf.DUMMYFUNCTION("""COMPUTED_VALUE"""),"Development")</f>
        <v>Development</v>
      </c>
      <c r="M345" s="5" t="str">
        <f>IFERROR(__xludf.DUMMYFUNCTION("""COMPUTED_VALUE"""),"")</f>
        <v/>
      </c>
      <c r="N345" s="5" t="str">
        <f>IFERROR(__xludf.DUMMYFUNCTION("""COMPUTED_VALUE"""),"Development")</f>
        <v>Development</v>
      </c>
      <c r="O345" s="5" t="str">
        <f>IFERROR(__xludf.DUMMYFUNCTION("""COMPUTED_VALUE"""),"")</f>
        <v/>
      </c>
      <c r="P345" s="5" t="str">
        <f>IFERROR(__xludf.DUMMYFUNCTION("""COMPUTED_VALUE"""),"")</f>
        <v/>
      </c>
      <c r="Q345" s="5" t="str">
        <f>IFERROR(__xludf.DUMMYFUNCTION("""COMPUTED_VALUE"""),"Available")</f>
        <v>Available</v>
      </c>
      <c r="R345" s="5" t="str">
        <f>IFERROR(__xludf.DUMMYFUNCTION("""COMPUTED_VALUE"""),"")</f>
        <v/>
      </c>
      <c r="S345" s="5" t="str">
        <f>IFERROR(__xludf.DUMMYFUNCTION("""COMPUTED_VALUE"""),"")</f>
        <v/>
      </c>
      <c r="T345" s="5" t="str">
        <f>IFERROR(__xludf.DUMMYFUNCTION("""COMPUTED_VALUE"""),"")</f>
        <v/>
      </c>
      <c r="U345" s="5" t="str">
        <f>IFERROR(__xludf.DUMMYFUNCTION("""COMPUTED_VALUE"""),"")</f>
        <v/>
      </c>
      <c r="V345" s="5" t="str">
        <f>IFERROR(__xludf.DUMMYFUNCTION("""COMPUTED_VALUE"""),"")</f>
        <v/>
      </c>
      <c r="W345" s="5" t="str">
        <f>IFERROR(__xludf.DUMMYFUNCTION("""COMPUTED_VALUE"""),"")</f>
        <v/>
      </c>
      <c r="X345" s="5" t="str">
        <f>IFERROR(__xludf.DUMMYFUNCTION("""COMPUTED_VALUE"""),"")</f>
        <v/>
      </c>
      <c r="Y345" s="5"/>
      <c r="Z345" s="5"/>
    </row>
    <row r="346">
      <c r="A346" s="5" t="str">
        <f>IFERROR(__xludf.DUMMYFUNCTION("""COMPUTED_VALUE"""),"Special Fruits")</f>
        <v>Special Fruits</v>
      </c>
      <c r="B346" s="5" t="str">
        <f>IFERROR(__xludf.DUMMYFUNCTION("""COMPUTED_VALUE"""),"Development")</f>
        <v>Development</v>
      </c>
      <c r="C346" s="5" t="str">
        <f>IFERROR(__xludf.DUMMYFUNCTION("""COMPUTED_VALUE"""),"Development")</f>
        <v>Development</v>
      </c>
      <c r="D346" s="5" t="str">
        <f>IFERROR(__xludf.DUMMYFUNCTION("""COMPUTED_VALUE"""),"Cert Preparation")</f>
        <v>Cert Preparation</v>
      </c>
      <c r="E346" s="5" t="str">
        <f>IFERROR(__xludf.DUMMYFUNCTION("""COMPUTED_VALUE"""),"")</f>
        <v/>
      </c>
      <c r="F346" s="5" t="str">
        <f>IFERROR(__xludf.DUMMYFUNCTION("""COMPUTED_VALUE"""),"Available")</f>
        <v>Available</v>
      </c>
      <c r="G346" s="5" t="str">
        <f>IFERROR(__xludf.DUMMYFUNCTION("""COMPUTED_VALUE"""),"Available")</f>
        <v>Available</v>
      </c>
      <c r="H346" s="5" t="str">
        <f>IFERROR(__xludf.DUMMYFUNCTION("""COMPUTED_VALUE"""),"Available")</f>
        <v>Available</v>
      </c>
      <c r="I346" s="5" t="str">
        <f>IFERROR(__xludf.DUMMYFUNCTION("""COMPUTED_VALUE"""),"Development")</f>
        <v>Development</v>
      </c>
      <c r="J346" s="5" t="str">
        <f>IFERROR(__xludf.DUMMYFUNCTION("""COMPUTED_VALUE"""),"")</f>
        <v/>
      </c>
      <c r="K346" s="5" t="str">
        <f>IFERROR(__xludf.DUMMYFUNCTION("""COMPUTED_VALUE"""),"Development")</f>
        <v>Development</v>
      </c>
      <c r="L346" s="5" t="str">
        <f>IFERROR(__xludf.DUMMYFUNCTION("""COMPUTED_VALUE"""),"")</f>
        <v/>
      </c>
      <c r="M346" s="5" t="str">
        <f>IFERROR(__xludf.DUMMYFUNCTION("""COMPUTED_VALUE"""),"")</f>
        <v/>
      </c>
      <c r="N346" s="5" t="str">
        <f>IFERROR(__xludf.DUMMYFUNCTION("""COMPUTED_VALUE"""),"")</f>
        <v/>
      </c>
      <c r="O346" s="5" t="str">
        <f>IFERROR(__xludf.DUMMYFUNCTION("""COMPUTED_VALUE"""),"")</f>
        <v/>
      </c>
      <c r="P346" s="5" t="str">
        <f>IFERROR(__xludf.DUMMYFUNCTION("""COMPUTED_VALUE"""),"")</f>
        <v/>
      </c>
      <c r="Q346" s="5" t="str">
        <f>IFERROR(__xludf.DUMMYFUNCTION("""COMPUTED_VALUE"""),"Available")</f>
        <v>Available</v>
      </c>
      <c r="R346" s="5" t="str">
        <f>IFERROR(__xludf.DUMMYFUNCTION("""COMPUTED_VALUE"""),"")</f>
        <v/>
      </c>
      <c r="S346" s="5" t="str">
        <f>IFERROR(__xludf.DUMMYFUNCTION("""COMPUTED_VALUE"""),"")</f>
        <v/>
      </c>
      <c r="T346" s="5" t="str">
        <f>IFERROR(__xludf.DUMMYFUNCTION("""COMPUTED_VALUE"""),"")</f>
        <v/>
      </c>
      <c r="U346" s="5" t="str">
        <f>IFERROR(__xludf.DUMMYFUNCTION("""COMPUTED_VALUE"""),"")</f>
        <v/>
      </c>
      <c r="V346" s="5" t="str">
        <f>IFERROR(__xludf.DUMMYFUNCTION("""COMPUTED_VALUE"""),"")</f>
        <v/>
      </c>
      <c r="W346" s="5" t="str">
        <f>IFERROR(__xludf.DUMMYFUNCTION("""COMPUTED_VALUE"""),"")</f>
        <v/>
      </c>
      <c r="X346" s="5" t="str">
        <f>IFERROR(__xludf.DUMMYFUNCTION("""COMPUTED_VALUE"""),"")</f>
        <v/>
      </c>
      <c r="Y346" s="5"/>
      <c r="Z346" s="5"/>
    </row>
    <row r="347">
      <c r="A347" s="5" t="str">
        <f>IFERROR(__xludf.DUMMYFUNCTION("""COMPUTED_VALUE"""),"Turbo Stars 10")</f>
        <v>Turbo Stars 10</v>
      </c>
      <c r="B347" s="5" t="str">
        <f>IFERROR(__xludf.DUMMYFUNCTION("""COMPUTED_VALUE"""),"Available")</f>
        <v>Available</v>
      </c>
      <c r="C347" s="5" t="str">
        <f>IFERROR(__xludf.DUMMYFUNCTION("""COMPUTED_VALUE"""),"Available")</f>
        <v>Available</v>
      </c>
      <c r="D347" s="5" t="str">
        <f>IFERROR(__xludf.DUMMYFUNCTION("""COMPUTED_VALUE"""),"Certified")</f>
        <v>Certified</v>
      </c>
      <c r="E347" s="5" t="str">
        <f>IFERROR(__xludf.DUMMYFUNCTION("""COMPUTED_VALUE"""),"Available")</f>
        <v>Available</v>
      </c>
      <c r="F347" s="5" t="str">
        <f>IFERROR(__xludf.DUMMYFUNCTION("""COMPUTED_VALUE"""),"Available")</f>
        <v>Available</v>
      </c>
      <c r="G347" s="5" t="str">
        <f>IFERROR(__xludf.DUMMYFUNCTION("""COMPUTED_VALUE"""),"Available")</f>
        <v>Available</v>
      </c>
      <c r="H347" s="5" t="str">
        <f>IFERROR(__xludf.DUMMYFUNCTION("""COMPUTED_VALUE"""),"Available")</f>
        <v>Available</v>
      </c>
      <c r="I347" s="5" t="str">
        <f>IFERROR(__xludf.DUMMYFUNCTION("""COMPUTED_VALUE"""),"")</f>
        <v/>
      </c>
      <c r="J347" s="5" t="str">
        <f>IFERROR(__xludf.DUMMYFUNCTION("""COMPUTED_VALUE"""),"Available")</f>
        <v>Available</v>
      </c>
      <c r="K347" s="5" t="str">
        <f>IFERROR(__xludf.DUMMYFUNCTION("""COMPUTED_VALUE"""),"Development")</f>
        <v>Development</v>
      </c>
      <c r="L347" s="5" t="str">
        <f>IFERROR(__xludf.DUMMYFUNCTION("""COMPUTED_VALUE"""),"Available")</f>
        <v>Available</v>
      </c>
      <c r="M347" s="5" t="str">
        <f>IFERROR(__xludf.DUMMYFUNCTION("""COMPUTED_VALUE"""),"")</f>
        <v/>
      </c>
      <c r="N347" s="5" t="str">
        <f>IFERROR(__xludf.DUMMYFUNCTION("""COMPUTED_VALUE"""),"")</f>
        <v/>
      </c>
      <c r="O347" s="5" t="str">
        <f>IFERROR(__xludf.DUMMYFUNCTION("""COMPUTED_VALUE"""),"")</f>
        <v/>
      </c>
      <c r="P347" s="5" t="str">
        <f>IFERROR(__xludf.DUMMYFUNCTION("""COMPUTED_VALUE"""),"")</f>
        <v/>
      </c>
      <c r="Q347" s="5" t="str">
        <f>IFERROR(__xludf.DUMMYFUNCTION("""COMPUTED_VALUE"""),"Available")</f>
        <v>Available</v>
      </c>
      <c r="R347" s="5" t="str">
        <f>IFERROR(__xludf.DUMMYFUNCTION("""COMPUTED_VALUE"""),"")</f>
        <v/>
      </c>
      <c r="S347" s="5" t="str">
        <f>IFERROR(__xludf.DUMMYFUNCTION("""COMPUTED_VALUE"""),"")</f>
        <v/>
      </c>
      <c r="T347" s="5" t="str">
        <f>IFERROR(__xludf.DUMMYFUNCTION("""COMPUTED_VALUE"""),"")</f>
        <v/>
      </c>
      <c r="U347" s="5" t="str">
        <f>IFERROR(__xludf.DUMMYFUNCTION("""COMPUTED_VALUE"""),"")</f>
        <v/>
      </c>
      <c r="V347" s="5" t="str">
        <f>IFERROR(__xludf.DUMMYFUNCTION("""COMPUTED_VALUE"""),"Available")</f>
        <v>Available</v>
      </c>
      <c r="W347" s="5" t="str">
        <f>IFERROR(__xludf.DUMMYFUNCTION("""COMPUTED_VALUE"""),"")</f>
        <v/>
      </c>
      <c r="X347" s="5" t="str">
        <f>IFERROR(__xludf.DUMMYFUNCTION("""COMPUTED_VALUE"""),"")</f>
        <v/>
      </c>
      <c r="Y347" s="5"/>
      <c r="Z347" s="5"/>
    </row>
    <row r="348">
      <c r="A348" s="5" t="str">
        <f>IFERROR(__xludf.DUMMYFUNCTION("""COMPUTED_VALUE"""),"Turbo Stars 40")</f>
        <v>Turbo Stars 40</v>
      </c>
      <c r="B348" s="5" t="str">
        <f>IFERROR(__xludf.DUMMYFUNCTION("""COMPUTED_VALUE"""),"Available")</f>
        <v>Available</v>
      </c>
      <c r="C348" s="5" t="str">
        <f>IFERROR(__xludf.DUMMYFUNCTION("""COMPUTED_VALUE"""),"Development")</f>
        <v>Development</v>
      </c>
      <c r="D348" s="5" t="str">
        <f>IFERROR(__xludf.DUMMYFUNCTION("""COMPUTED_VALUE"""),"Cert Preparation")</f>
        <v>Cert Preparation</v>
      </c>
      <c r="E348" s="5" t="str">
        <f>IFERROR(__xludf.DUMMYFUNCTION("""COMPUTED_VALUE"""),"Available")</f>
        <v>Available</v>
      </c>
      <c r="F348" s="5" t="str">
        <f>IFERROR(__xludf.DUMMYFUNCTION("""COMPUTED_VALUE"""),"Available")</f>
        <v>Available</v>
      </c>
      <c r="G348" s="5" t="str">
        <f>IFERROR(__xludf.DUMMYFUNCTION("""COMPUTED_VALUE"""),"Available")</f>
        <v>Available</v>
      </c>
      <c r="H348" s="5" t="str">
        <f>IFERROR(__xludf.DUMMYFUNCTION("""COMPUTED_VALUE"""),"Available")</f>
        <v>Available</v>
      </c>
      <c r="I348" s="5" t="str">
        <f>IFERROR(__xludf.DUMMYFUNCTION("""COMPUTED_VALUE"""),"Development")</f>
        <v>Development</v>
      </c>
      <c r="J348" s="5" t="str">
        <f>IFERROR(__xludf.DUMMYFUNCTION("""COMPUTED_VALUE"""),"")</f>
        <v/>
      </c>
      <c r="K348" s="5" t="str">
        <f>IFERROR(__xludf.DUMMYFUNCTION("""COMPUTED_VALUE"""),"Development")</f>
        <v>Development</v>
      </c>
      <c r="L348" s="5" t="str">
        <f>IFERROR(__xludf.DUMMYFUNCTION("""COMPUTED_VALUE"""),"")</f>
        <v/>
      </c>
      <c r="M348" s="5" t="str">
        <f>IFERROR(__xludf.DUMMYFUNCTION("""COMPUTED_VALUE"""),"Development")</f>
        <v>Development</v>
      </c>
      <c r="N348" s="5" t="str">
        <f>IFERROR(__xludf.DUMMYFUNCTION("""COMPUTED_VALUE"""),"Development")</f>
        <v>Development</v>
      </c>
      <c r="O348" s="5" t="str">
        <f>IFERROR(__xludf.DUMMYFUNCTION("""COMPUTED_VALUE"""),"")</f>
        <v/>
      </c>
      <c r="P348" s="5" t="str">
        <f>IFERROR(__xludf.DUMMYFUNCTION("""COMPUTED_VALUE"""),"")</f>
        <v/>
      </c>
      <c r="Q348" s="5" t="str">
        <f>IFERROR(__xludf.DUMMYFUNCTION("""COMPUTED_VALUE"""),"Available")</f>
        <v>Available</v>
      </c>
      <c r="R348" s="5" t="str">
        <f>IFERROR(__xludf.DUMMYFUNCTION("""COMPUTED_VALUE"""),"")</f>
        <v/>
      </c>
      <c r="S348" s="5" t="str">
        <f>IFERROR(__xludf.DUMMYFUNCTION("""COMPUTED_VALUE"""),"")</f>
        <v/>
      </c>
      <c r="T348" s="5" t="str">
        <f>IFERROR(__xludf.DUMMYFUNCTION("""COMPUTED_VALUE"""),"")</f>
        <v/>
      </c>
      <c r="U348" s="5" t="str">
        <f>IFERROR(__xludf.DUMMYFUNCTION("""COMPUTED_VALUE"""),"")</f>
        <v/>
      </c>
      <c r="V348" s="5" t="str">
        <f>IFERROR(__xludf.DUMMYFUNCTION("""COMPUTED_VALUE"""),"Available")</f>
        <v>Available</v>
      </c>
      <c r="W348" s="5" t="str">
        <f>IFERROR(__xludf.DUMMYFUNCTION("""COMPUTED_VALUE"""),"")</f>
        <v/>
      </c>
      <c r="X348" s="5" t="str">
        <f>IFERROR(__xludf.DUMMYFUNCTION("""COMPUTED_VALUE"""),"")</f>
        <v/>
      </c>
      <c r="Y348" s="5"/>
      <c r="Z348" s="5"/>
    </row>
    <row r="349">
      <c r="A349" s="5" t="str">
        <f>IFERROR(__xludf.DUMMYFUNCTION("""COMPUTED_VALUE"""),"Turbo Stars 20")</f>
        <v>Turbo Stars 20</v>
      </c>
      <c r="B349" s="5" t="str">
        <f>IFERROR(__xludf.DUMMYFUNCTION("""COMPUTED_VALUE"""),"")</f>
        <v/>
      </c>
      <c r="C349" s="5" t="str">
        <f>IFERROR(__xludf.DUMMYFUNCTION("""COMPUTED_VALUE"""),"")</f>
        <v/>
      </c>
      <c r="D349" s="5" t="str">
        <f>IFERROR(__xludf.DUMMYFUNCTION("""COMPUTED_VALUE"""),"Cert Preparation")</f>
        <v>Cert Preparation</v>
      </c>
      <c r="E349" s="5" t="str">
        <f>IFERROR(__xludf.DUMMYFUNCTION("""COMPUTED_VALUE"""),"")</f>
        <v/>
      </c>
      <c r="F349" s="5" t="str">
        <f>IFERROR(__xludf.DUMMYFUNCTION("""COMPUTED_VALUE"""),"Available")</f>
        <v>Available</v>
      </c>
      <c r="G349" s="5" t="str">
        <f>IFERROR(__xludf.DUMMYFUNCTION("""COMPUTED_VALUE"""),"Available")</f>
        <v>Available</v>
      </c>
      <c r="H349" s="5" t="str">
        <f>IFERROR(__xludf.DUMMYFUNCTION("""COMPUTED_VALUE"""),"")</f>
        <v/>
      </c>
      <c r="I349" s="5" t="str">
        <f>IFERROR(__xludf.DUMMYFUNCTION("""COMPUTED_VALUE"""),"")</f>
        <v/>
      </c>
      <c r="J349" s="5" t="str">
        <f>IFERROR(__xludf.DUMMYFUNCTION("""COMPUTED_VALUE"""),"")</f>
        <v/>
      </c>
      <c r="K349" s="5" t="str">
        <f>IFERROR(__xludf.DUMMYFUNCTION("""COMPUTED_VALUE"""),"")</f>
        <v/>
      </c>
      <c r="L349" s="5" t="str">
        <f>IFERROR(__xludf.DUMMYFUNCTION("""COMPUTED_VALUE"""),"Development")</f>
        <v>Development</v>
      </c>
      <c r="M349" s="5" t="str">
        <f>IFERROR(__xludf.DUMMYFUNCTION("""COMPUTED_VALUE"""),"")</f>
        <v/>
      </c>
      <c r="N349" s="5" t="str">
        <f>IFERROR(__xludf.DUMMYFUNCTION("""COMPUTED_VALUE"""),"Development")</f>
        <v>Development</v>
      </c>
      <c r="O349" s="5" t="str">
        <f>IFERROR(__xludf.DUMMYFUNCTION("""COMPUTED_VALUE"""),"")</f>
        <v/>
      </c>
      <c r="P349" s="5" t="str">
        <f>IFERROR(__xludf.DUMMYFUNCTION("""COMPUTED_VALUE"""),"")</f>
        <v/>
      </c>
      <c r="Q349" s="5" t="str">
        <f>IFERROR(__xludf.DUMMYFUNCTION("""COMPUTED_VALUE"""),"")</f>
        <v/>
      </c>
      <c r="R349" s="5" t="str">
        <f>IFERROR(__xludf.DUMMYFUNCTION("""COMPUTED_VALUE"""),"")</f>
        <v/>
      </c>
      <c r="S349" s="5" t="str">
        <f>IFERROR(__xludf.DUMMYFUNCTION("""COMPUTED_VALUE"""),"")</f>
        <v/>
      </c>
      <c r="T349" s="5" t="str">
        <f>IFERROR(__xludf.DUMMYFUNCTION("""COMPUTED_VALUE"""),"")</f>
        <v/>
      </c>
      <c r="U349" s="5" t="str">
        <f>IFERROR(__xludf.DUMMYFUNCTION("""COMPUTED_VALUE"""),"")</f>
        <v/>
      </c>
      <c r="V349" s="5" t="str">
        <f>IFERROR(__xludf.DUMMYFUNCTION("""COMPUTED_VALUE"""),"")</f>
        <v/>
      </c>
      <c r="W349" s="5" t="str">
        <f>IFERROR(__xludf.DUMMYFUNCTION("""COMPUTED_VALUE"""),"")</f>
        <v/>
      </c>
      <c r="X349" s="5" t="str">
        <f>IFERROR(__xludf.DUMMYFUNCTION("""COMPUTED_VALUE"""),"")</f>
        <v/>
      </c>
      <c r="Y349" s="5"/>
      <c r="Z349" s="5"/>
    </row>
    <row r="350">
      <c r="A350" s="5" t="str">
        <f>IFERROR(__xludf.DUMMYFUNCTION("""COMPUTED_VALUE"""),"Rizk Hot 40")</f>
        <v>Rizk Hot 40</v>
      </c>
      <c r="B350" s="5" t="str">
        <f>IFERROR(__xludf.DUMMYFUNCTION("""COMPUTED_VALUE"""),"")</f>
        <v/>
      </c>
      <c r="C350" s="5" t="str">
        <f>IFERROR(__xludf.DUMMYFUNCTION("""COMPUTED_VALUE"""),"")</f>
        <v/>
      </c>
      <c r="D350" s="5" t="str">
        <f>IFERROR(__xludf.DUMMYFUNCTION("""COMPUTED_VALUE"""),"")</f>
        <v/>
      </c>
      <c r="E350" s="5" t="str">
        <f>IFERROR(__xludf.DUMMYFUNCTION("""COMPUTED_VALUE"""),"")</f>
        <v/>
      </c>
      <c r="F350" s="5" t="str">
        <f>IFERROR(__xludf.DUMMYFUNCTION("""COMPUTED_VALUE"""),"")</f>
        <v/>
      </c>
      <c r="G350" s="5" t="str">
        <f>IFERROR(__xludf.DUMMYFUNCTION("""COMPUTED_VALUE"""),"")</f>
        <v/>
      </c>
      <c r="H350" s="5" t="str">
        <f>IFERROR(__xludf.DUMMYFUNCTION("""COMPUTED_VALUE"""),"Available")</f>
        <v>Available</v>
      </c>
      <c r="I350" s="5" t="str">
        <f>IFERROR(__xludf.DUMMYFUNCTION("""COMPUTED_VALUE"""),"")</f>
        <v/>
      </c>
      <c r="J350" s="5" t="str">
        <f>IFERROR(__xludf.DUMMYFUNCTION("""COMPUTED_VALUE"""),"")</f>
        <v/>
      </c>
      <c r="K350" s="5" t="str">
        <f>IFERROR(__xludf.DUMMYFUNCTION("""COMPUTED_VALUE"""),"")</f>
        <v/>
      </c>
      <c r="L350" s="5" t="str">
        <f>IFERROR(__xludf.DUMMYFUNCTION("""COMPUTED_VALUE"""),"")</f>
        <v/>
      </c>
      <c r="M350" s="5" t="str">
        <f>IFERROR(__xludf.DUMMYFUNCTION("""COMPUTED_VALUE"""),"")</f>
        <v/>
      </c>
      <c r="N350" s="5" t="str">
        <f>IFERROR(__xludf.DUMMYFUNCTION("""COMPUTED_VALUE"""),"")</f>
        <v/>
      </c>
      <c r="O350" s="5" t="str">
        <f>IFERROR(__xludf.DUMMYFUNCTION("""COMPUTED_VALUE"""),"")</f>
        <v/>
      </c>
      <c r="P350" s="5" t="str">
        <f>IFERROR(__xludf.DUMMYFUNCTION("""COMPUTED_VALUE"""),"")</f>
        <v/>
      </c>
      <c r="Q350" s="5" t="str">
        <f>IFERROR(__xludf.DUMMYFUNCTION("""COMPUTED_VALUE"""),"")</f>
        <v/>
      </c>
      <c r="R350" s="5" t="str">
        <f>IFERROR(__xludf.DUMMYFUNCTION("""COMPUTED_VALUE"""),"")</f>
        <v/>
      </c>
      <c r="S350" s="5" t="str">
        <f>IFERROR(__xludf.DUMMYFUNCTION("""COMPUTED_VALUE"""),"")</f>
        <v/>
      </c>
      <c r="T350" s="5" t="str">
        <f>IFERROR(__xludf.DUMMYFUNCTION("""COMPUTED_VALUE"""),"")</f>
        <v/>
      </c>
      <c r="U350" s="5" t="str">
        <f>IFERROR(__xludf.DUMMYFUNCTION("""COMPUTED_VALUE"""),"")</f>
        <v/>
      </c>
      <c r="V350" s="5" t="str">
        <f>IFERROR(__xludf.DUMMYFUNCTION("""COMPUTED_VALUE"""),"")</f>
        <v/>
      </c>
      <c r="W350" s="5" t="str">
        <f>IFERROR(__xludf.DUMMYFUNCTION("""COMPUTED_VALUE"""),"")</f>
        <v/>
      </c>
      <c r="X350" s="5" t="str">
        <f>IFERROR(__xludf.DUMMYFUNCTION("""COMPUTED_VALUE"""),"")</f>
        <v/>
      </c>
      <c r="Y350" s="5"/>
      <c r="Z350" s="5"/>
    </row>
    <row r="351">
      <c r="A351" s="5" t="str">
        <f>IFERROR(__xludf.DUMMYFUNCTION("""COMPUTED_VALUE"""),"Bet Ole Hot 40")</f>
        <v>Bet Ole Hot 40</v>
      </c>
      <c r="B351" s="5" t="str">
        <f>IFERROR(__xludf.DUMMYFUNCTION("""COMPUTED_VALUE"""),"")</f>
        <v/>
      </c>
      <c r="C351" s="5" t="str">
        <f>IFERROR(__xludf.DUMMYFUNCTION("""COMPUTED_VALUE"""),"")</f>
        <v/>
      </c>
      <c r="D351" s="5" t="str">
        <f>IFERROR(__xludf.DUMMYFUNCTION("""COMPUTED_VALUE"""),"")</f>
        <v/>
      </c>
      <c r="E351" s="5" t="str">
        <f>IFERROR(__xludf.DUMMYFUNCTION("""COMPUTED_VALUE"""),"")</f>
        <v/>
      </c>
      <c r="F351" s="5" t="str">
        <f>IFERROR(__xludf.DUMMYFUNCTION("""COMPUTED_VALUE"""),"")</f>
        <v/>
      </c>
      <c r="G351" s="5" t="str">
        <f>IFERROR(__xludf.DUMMYFUNCTION("""COMPUTED_VALUE"""),"")</f>
        <v/>
      </c>
      <c r="H351" s="5" t="str">
        <f>IFERROR(__xludf.DUMMYFUNCTION("""COMPUTED_VALUE"""),"")</f>
        <v/>
      </c>
      <c r="I351" s="5" t="str">
        <f>IFERROR(__xludf.DUMMYFUNCTION("""COMPUTED_VALUE"""),"")</f>
        <v/>
      </c>
      <c r="J351" s="5" t="str">
        <f>IFERROR(__xludf.DUMMYFUNCTION("""COMPUTED_VALUE"""),"")</f>
        <v/>
      </c>
      <c r="K351" s="5" t="str">
        <f>IFERROR(__xludf.DUMMYFUNCTION("""COMPUTED_VALUE"""),"")</f>
        <v/>
      </c>
      <c r="L351" s="5" t="str">
        <f>IFERROR(__xludf.DUMMYFUNCTION("""COMPUTED_VALUE"""),"")</f>
        <v/>
      </c>
      <c r="M351" s="5" t="str">
        <f>IFERROR(__xludf.DUMMYFUNCTION("""COMPUTED_VALUE"""),"")</f>
        <v/>
      </c>
      <c r="N351" s="5" t="str">
        <f>IFERROR(__xludf.DUMMYFUNCTION("""COMPUTED_VALUE"""),"")</f>
        <v/>
      </c>
      <c r="O351" s="5" t="str">
        <f>IFERROR(__xludf.DUMMYFUNCTION("""COMPUTED_VALUE"""),"")</f>
        <v/>
      </c>
      <c r="P351" s="5" t="str">
        <f>IFERROR(__xludf.DUMMYFUNCTION("""COMPUTED_VALUE"""),"")</f>
        <v/>
      </c>
      <c r="Q351" s="5" t="str">
        <f>IFERROR(__xludf.DUMMYFUNCTION("""COMPUTED_VALUE"""),"")</f>
        <v/>
      </c>
      <c r="R351" s="5" t="str">
        <f>IFERROR(__xludf.DUMMYFUNCTION("""COMPUTED_VALUE"""),"")</f>
        <v/>
      </c>
      <c r="S351" s="5" t="str">
        <f>IFERROR(__xludf.DUMMYFUNCTION("""COMPUTED_VALUE"""),"")</f>
        <v/>
      </c>
      <c r="T351" s="5" t="str">
        <f>IFERROR(__xludf.DUMMYFUNCTION("""COMPUTED_VALUE"""),"")</f>
        <v/>
      </c>
      <c r="U351" s="5" t="str">
        <f>IFERROR(__xludf.DUMMYFUNCTION("""COMPUTED_VALUE"""),"")</f>
        <v/>
      </c>
      <c r="V351" s="5" t="str">
        <f>IFERROR(__xludf.DUMMYFUNCTION("""COMPUTED_VALUE"""),"")</f>
        <v/>
      </c>
      <c r="W351" s="5" t="str">
        <f>IFERROR(__xludf.DUMMYFUNCTION("""COMPUTED_VALUE"""),"")</f>
        <v/>
      </c>
      <c r="X351" s="5" t="str">
        <f>IFERROR(__xludf.DUMMYFUNCTION("""COMPUTED_VALUE"""),"")</f>
        <v/>
      </c>
      <c r="Y351" s="5"/>
      <c r="Z351" s="5"/>
    </row>
    <row r="352">
      <c r="A352" s="5" t="str">
        <f>IFERROR(__xludf.DUMMYFUNCTION("""COMPUTED_VALUE"""),"Wild Lucky Betebet")</f>
        <v>Wild Lucky Betebet</v>
      </c>
      <c r="B352" s="5" t="str">
        <f>IFERROR(__xludf.DUMMYFUNCTION("""COMPUTED_VALUE"""),"")</f>
        <v/>
      </c>
      <c r="C352" s="5" t="str">
        <f>IFERROR(__xludf.DUMMYFUNCTION("""COMPUTED_VALUE"""),"")</f>
        <v/>
      </c>
      <c r="D352" s="5" t="str">
        <f>IFERROR(__xludf.DUMMYFUNCTION("""COMPUTED_VALUE"""),"")</f>
        <v/>
      </c>
      <c r="E352" s="5" t="str">
        <f>IFERROR(__xludf.DUMMYFUNCTION("""COMPUTED_VALUE"""),"")</f>
        <v/>
      </c>
      <c r="F352" s="5" t="str">
        <f>IFERROR(__xludf.DUMMYFUNCTION("""COMPUTED_VALUE"""),"")</f>
        <v/>
      </c>
      <c r="G352" s="5" t="str">
        <f>IFERROR(__xludf.DUMMYFUNCTION("""COMPUTED_VALUE"""),"")</f>
        <v/>
      </c>
      <c r="H352" s="5" t="str">
        <f>IFERROR(__xludf.DUMMYFUNCTION("""COMPUTED_VALUE"""),"")</f>
        <v/>
      </c>
      <c r="I352" s="5" t="str">
        <f>IFERROR(__xludf.DUMMYFUNCTION("""COMPUTED_VALUE"""),"")</f>
        <v/>
      </c>
      <c r="J352" s="5" t="str">
        <f>IFERROR(__xludf.DUMMYFUNCTION("""COMPUTED_VALUE"""),"")</f>
        <v/>
      </c>
      <c r="K352" s="5" t="str">
        <f>IFERROR(__xludf.DUMMYFUNCTION("""COMPUTED_VALUE"""),"")</f>
        <v/>
      </c>
      <c r="L352" s="5" t="str">
        <f>IFERROR(__xludf.DUMMYFUNCTION("""COMPUTED_VALUE"""),"")</f>
        <v/>
      </c>
      <c r="M352" s="5" t="str">
        <f>IFERROR(__xludf.DUMMYFUNCTION("""COMPUTED_VALUE"""),"")</f>
        <v/>
      </c>
      <c r="N352" s="5" t="str">
        <f>IFERROR(__xludf.DUMMYFUNCTION("""COMPUTED_VALUE"""),"")</f>
        <v/>
      </c>
      <c r="O352" s="5" t="str">
        <f>IFERROR(__xludf.DUMMYFUNCTION("""COMPUTED_VALUE"""),"")</f>
        <v/>
      </c>
      <c r="P352" s="5" t="str">
        <f>IFERROR(__xludf.DUMMYFUNCTION("""COMPUTED_VALUE"""),"")</f>
        <v/>
      </c>
      <c r="Q352" s="5" t="str">
        <f>IFERROR(__xludf.DUMMYFUNCTION("""COMPUTED_VALUE"""),"")</f>
        <v/>
      </c>
      <c r="R352" s="5" t="str">
        <f>IFERROR(__xludf.DUMMYFUNCTION("""COMPUTED_VALUE"""),"")</f>
        <v/>
      </c>
      <c r="S352" s="5" t="str">
        <f>IFERROR(__xludf.DUMMYFUNCTION("""COMPUTED_VALUE"""),"")</f>
        <v/>
      </c>
      <c r="T352" s="5" t="str">
        <f>IFERROR(__xludf.DUMMYFUNCTION("""COMPUTED_VALUE"""),"")</f>
        <v/>
      </c>
      <c r="U352" s="5" t="str">
        <f>IFERROR(__xludf.DUMMYFUNCTION("""COMPUTED_VALUE"""),"")</f>
        <v/>
      </c>
      <c r="V352" s="5" t="str">
        <f>IFERROR(__xludf.DUMMYFUNCTION("""COMPUTED_VALUE"""),"")</f>
        <v/>
      </c>
      <c r="W352" s="5" t="str">
        <f>IFERROR(__xludf.DUMMYFUNCTION("""COMPUTED_VALUE"""),"")</f>
        <v/>
      </c>
      <c r="X352" s="5" t="str">
        <f>IFERROR(__xludf.DUMMYFUNCTION("""COMPUTED_VALUE"""),"")</f>
        <v/>
      </c>
      <c r="Y352" s="5"/>
      <c r="Z352" s="5"/>
    </row>
    <row r="353">
      <c r="A353" s="5" t="str">
        <f>IFERROR(__xludf.DUMMYFUNCTION("""COMPUTED_VALUE"""),"Quick Win Crown 10")</f>
        <v>Quick Win Crown 10</v>
      </c>
      <c r="B353" s="5" t="str">
        <f>IFERROR(__xludf.DUMMYFUNCTION("""COMPUTED_VALUE"""),"")</f>
        <v/>
      </c>
      <c r="C353" s="5" t="str">
        <f>IFERROR(__xludf.DUMMYFUNCTION("""COMPUTED_VALUE"""),"")</f>
        <v/>
      </c>
      <c r="D353" s="5" t="str">
        <f>IFERROR(__xludf.DUMMYFUNCTION("""COMPUTED_VALUE"""),"")</f>
        <v/>
      </c>
      <c r="E353" s="5" t="str">
        <f>IFERROR(__xludf.DUMMYFUNCTION("""COMPUTED_VALUE"""),"")</f>
        <v/>
      </c>
      <c r="F353" s="5" t="str">
        <f>IFERROR(__xludf.DUMMYFUNCTION("""COMPUTED_VALUE"""),"")</f>
        <v/>
      </c>
      <c r="G353" s="5" t="str">
        <f>IFERROR(__xludf.DUMMYFUNCTION("""COMPUTED_VALUE"""),"")</f>
        <v/>
      </c>
      <c r="H353" s="5" t="str">
        <f>IFERROR(__xludf.DUMMYFUNCTION("""COMPUTED_VALUE"""),"")</f>
        <v/>
      </c>
      <c r="I353" s="5" t="str">
        <f>IFERROR(__xludf.DUMMYFUNCTION("""COMPUTED_VALUE"""),"")</f>
        <v/>
      </c>
      <c r="J353" s="5" t="str">
        <f>IFERROR(__xludf.DUMMYFUNCTION("""COMPUTED_VALUE"""),"")</f>
        <v/>
      </c>
      <c r="K353" s="5" t="str">
        <f>IFERROR(__xludf.DUMMYFUNCTION("""COMPUTED_VALUE"""),"")</f>
        <v/>
      </c>
      <c r="L353" s="5" t="str">
        <f>IFERROR(__xludf.DUMMYFUNCTION("""COMPUTED_VALUE"""),"")</f>
        <v/>
      </c>
      <c r="M353" s="5" t="str">
        <f>IFERROR(__xludf.DUMMYFUNCTION("""COMPUTED_VALUE"""),"")</f>
        <v/>
      </c>
      <c r="N353" s="5" t="str">
        <f>IFERROR(__xludf.DUMMYFUNCTION("""COMPUTED_VALUE"""),"")</f>
        <v/>
      </c>
      <c r="O353" s="5" t="str">
        <f>IFERROR(__xludf.DUMMYFUNCTION("""COMPUTED_VALUE"""),"")</f>
        <v/>
      </c>
      <c r="P353" s="5" t="str">
        <f>IFERROR(__xludf.DUMMYFUNCTION("""COMPUTED_VALUE"""),"")</f>
        <v/>
      </c>
      <c r="Q353" s="5" t="str">
        <f>IFERROR(__xludf.DUMMYFUNCTION("""COMPUTED_VALUE"""),"")</f>
        <v/>
      </c>
      <c r="R353" s="5" t="str">
        <f>IFERROR(__xludf.DUMMYFUNCTION("""COMPUTED_VALUE"""),"")</f>
        <v/>
      </c>
      <c r="S353" s="5" t="str">
        <f>IFERROR(__xludf.DUMMYFUNCTION("""COMPUTED_VALUE"""),"")</f>
        <v/>
      </c>
      <c r="T353" s="5" t="str">
        <f>IFERROR(__xludf.DUMMYFUNCTION("""COMPUTED_VALUE"""),"")</f>
        <v/>
      </c>
      <c r="U353" s="5" t="str">
        <f>IFERROR(__xludf.DUMMYFUNCTION("""COMPUTED_VALUE"""),"")</f>
        <v/>
      </c>
      <c r="V353" s="5" t="str">
        <f>IFERROR(__xludf.DUMMYFUNCTION("""COMPUTED_VALUE"""),"")</f>
        <v/>
      </c>
      <c r="W353" s="5" t="str">
        <f>IFERROR(__xludf.DUMMYFUNCTION("""COMPUTED_VALUE"""),"")</f>
        <v/>
      </c>
      <c r="X353" s="5" t="str">
        <f>IFERROR(__xludf.DUMMYFUNCTION("""COMPUTED_VALUE"""),"")</f>
        <v/>
      </c>
      <c r="Y353" s="5"/>
      <c r="Z353" s="5"/>
    </row>
    <row r="354">
      <c r="A354" s="5" t="str">
        <f>IFERROR(__xludf.DUMMYFUNCTION("""COMPUTED_VALUE"""),"Lolla's Soccer World")</f>
        <v>Lolla's Soccer World</v>
      </c>
      <c r="B354" s="5" t="str">
        <f>IFERROR(__xludf.DUMMYFUNCTION("""COMPUTED_VALUE"""),"")</f>
        <v/>
      </c>
      <c r="C354" s="5" t="str">
        <f>IFERROR(__xludf.DUMMYFUNCTION("""COMPUTED_VALUE"""),"")</f>
        <v/>
      </c>
      <c r="D354" s="5" t="str">
        <f>IFERROR(__xludf.DUMMYFUNCTION("""COMPUTED_VALUE"""),"")</f>
        <v/>
      </c>
      <c r="E354" s="5" t="str">
        <f>IFERROR(__xludf.DUMMYFUNCTION("""COMPUTED_VALUE"""),"")</f>
        <v/>
      </c>
      <c r="F354" s="5" t="str">
        <f>IFERROR(__xludf.DUMMYFUNCTION("""COMPUTED_VALUE"""),"")</f>
        <v/>
      </c>
      <c r="G354" s="5" t="str">
        <f>IFERROR(__xludf.DUMMYFUNCTION("""COMPUTED_VALUE"""),"")</f>
        <v/>
      </c>
      <c r="H354" s="5" t="str">
        <f>IFERROR(__xludf.DUMMYFUNCTION("""COMPUTED_VALUE"""),"")</f>
        <v/>
      </c>
      <c r="I354" s="5" t="str">
        <f>IFERROR(__xludf.DUMMYFUNCTION("""COMPUTED_VALUE"""),"")</f>
        <v/>
      </c>
      <c r="J354" s="5" t="str">
        <f>IFERROR(__xludf.DUMMYFUNCTION("""COMPUTED_VALUE"""),"")</f>
        <v/>
      </c>
      <c r="K354" s="5" t="str">
        <f>IFERROR(__xludf.DUMMYFUNCTION("""COMPUTED_VALUE"""),"")</f>
        <v/>
      </c>
      <c r="L354" s="5" t="str">
        <f>IFERROR(__xludf.DUMMYFUNCTION("""COMPUTED_VALUE"""),"")</f>
        <v/>
      </c>
      <c r="M354" s="5" t="str">
        <f>IFERROR(__xludf.DUMMYFUNCTION("""COMPUTED_VALUE"""),"")</f>
        <v/>
      </c>
      <c r="N354" s="5" t="str">
        <f>IFERROR(__xludf.DUMMYFUNCTION("""COMPUTED_VALUE"""),"")</f>
        <v/>
      </c>
      <c r="O354" s="5" t="str">
        <f>IFERROR(__xludf.DUMMYFUNCTION("""COMPUTED_VALUE"""),"")</f>
        <v/>
      </c>
      <c r="P354" s="5" t="str">
        <f>IFERROR(__xludf.DUMMYFUNCTION("""COMPUTED_VALUE"""),"")</f>
        <v/>
      </c>
      <c r="Q354" s="5" t="str">
        <f>IFERROR(__xludf.DUMMYFUNCTION("""COMPUTED_VALUE"""),"")</f>
        <v/>
      </c>
      <c r="R354" s="5" t="str">
        <f>IFERROR(__xludf.DUMMYFUNCTION("""COMPUTED_VALUE"""),"")</f>
        <v/>
      </c>
      <c r="S354" s="5" t="str">
        <f>IFERROR(__xludf.DUMMYFUNCTION("""COMPUTED_VALUE"""),"")</f>
        <v/>
      </c>
      <c r="T354" s="5" t="str">
        <f>IFERROR(__xludf.DUMMYFUNCTION("""COMPUTED_VALUE"""),"")</f>
        <v/>
      </c>
      <c r="U354" s="5" t="str">
        <f>IFERROR(__xludf.DUMMYFUNCTION("""COMPUTED_VALUE"""),"")</f>
        <v/>
      </c>
      <c r="V354" s="5" t="str">
        <f>IFERROR(__xludf.DUMMYFUNCTION("""COMPUTED_VALUE"""),"")</f>
        <v/>
      </c>
      <c r="W354" s="5" t="str">
        <f>IFERROR(__xludf.DUMMYFUNCTION("""COMPUTED_VALUE"""),"")</f>
        <v/>
      </c>
      <c r="X354" s="5" t="str">
        <f>IFERROR(__xludf.DUMMYFUNCTION("""COMPUTED_VALUE"""),"")</f>
        <v/>
      </c>
      <c r="Y354" s="5"/>
      <c r="Z354" s="5"/>
    </row>
    <row r="355">
      <c r="A355" s="5" t="str">
        <f>IFERROR(__xludf.DUMMYFUNCTION("""COMPUTED_VALUE"""),"Soccers Clover")</f>
        <v>Soccers Clover</v>
      </c>
      <c r="B355" s="5" t="str">
        <f>IFERROR(__xludf.DUMMYFUNCTION("""COMPUTED_VALUE"""),"")</f>
        <v/>
      </c>
      <c r="C355" s="5" t="str">
        <f>IFERROR(__xludf.DUMMYFUNCTION("""COMPUTED_VALUE"""),"")</f>
        <v/>
      </c>
      <c r="D355" s="5" t="str">
        <f>IFERROR(__xludf.DUMMYFUNCTION("""COMPUTED_VALUE"""),"")</f>
        <v/>
      </c>
      <c r="E355" s="5" t="str">
        <f>IFERROR(__xludf.DUMMYFUNCTION("""COMPUTED_VALUE"""),"")</f>
        <v/>
      </c>
      <c r="F355" s="5" t="str">
        <f>IFERROR(__xludf.DUMMYFUNCTION("""COMPUTED_VALUE"""),"")</f>
        <v/>
      </c>
      <c r="G355" s="5" t="str">
        <f>IFERROR(__xludf.DUMMYFUNCTION("""COMPUTED_VALUE"""),"")</f>
        <v/>
      </c>
      <c r="H355" s="5" t="str">
        <f>IFERROR(__xludf.DUMMYFUNCTION("""COMPUTED_VALUE"""),"")</f>
        <v/>
      </c>
      <c r="I355" s="5" t="str">
        <f>IFERROR(__xludf.DUMMYFUNCTION("""COMPUTED_VALUE"""),"")</f>
        <v/>
      </c>
      <c r="J355" s="5" t="str">
        <f>IFERROR(__xludf.DUMMYFUNCTION("""COMPUTED_VALUE"""),"")</f>
        <v/>
      </c>
      <c r="K355" s="5" t="str">
        <f>IFERROR(__xludf.DUMMYFUNCTION("""COMPUTED_VALUE"""),"")</f>
        <v/>
      </c>
      <c r="L355" s="5" t="str">
        <f>IFERROR(__xludf.DUMMYFUNCTION("""COMPUTED_VALUE"""),"")</f>
        <v/>
      </c>
      <c r="M355" s="5" t="str">
        <f>IFERROR(__xludf.DUMMYFUNCTION("""COMPUTED_VALUE"""),"")</f>
        <v/>
      </c>
      <c r="N355" s="5" t="str">
        <f>IFERROR(__xludf.DUMMYFUNCTION("""COMPUTED_VALUE"""),"")</f>
        <v/>
      </c>
      <c r="O355" s="5" t="str">
        <f>IFERROR(__xludf.DUMMYFUNCTION("""COMPUTED_VALUE"""),"")</f>
        <v/>
      </c>
      <c r="P355" s="5" t="str">
        <f>IFERROR(__xludf.DUMMYFUNCTION("""COMPUTED_VALUE"""),"")</f>
        <v/>
      </c>
      <c r="Q355" s="5" t="str">
        <f>IFERROR(__xludf.DUMMYFUNCTION("""COMPUTED_VALUE"""),"")</f>
        <v/>
      </c>
      <c r="R355" s="5" t="str">
        <f>IFERROR(__xludf.DUMMYFUNCTION("""COMPUTED_VALUE"""),"")</f>
        <v/>
      </c>
      <c r="S355" s="5" t="str">
        <f>IFERROR(__xludf.DUMMYFUNCTION("""COMPUTED_VALUE"""),"")</f>
        <v/>
      </c>
      <c r="T355" s="5" t="str">
        <f>IFERROR(__xludf.DUMMYFUNCTION("""COMPUTED_VALUE"""),"")</f>
        <v/>
      </c>
      <c r="U355" s="5" t="str">
        <f>IFERROR(__xludf.DUMMYFUNCTION("""COMPUTED_VALUE"""),"")</f>
        <v/>
      </c>
      <c r="V355" s="5" t="str">
        <f>IFERROR(__xludf.DUMMYFUNCTION("""COMPUTED_VALUE"""),"")</f>
        <v/>
      </c>
      <c r="W355" s="5" t="str">
        <f>IFERROR(__xludf.DUMMYFUNCTION("""COMPUTED_VALUE"""),"")</f>
        <v/>
      </c>
      <c r="X355" s="5" t="str">
        <f>IFERROR(__xludf.DUMMYFUNCTION("""COMPUTED_VALUE"""),"")</f>
        <v/>
      </c>
      <c r="Y355" s="5"/>
      <c r="Z355" s="5"/>
    </row>
    <row r="356">
      <c r="A356" s="5" t="str">
        <f>IFERROR(__xludf.DUMMYFUNCTION("""COMPUTED_VALUE"""),"Soccer Hot 40 FreeSpins")</f>
        <v>Soccer Hot 40 FreeSpins</v>
      </c>
      <c r="B356" s="5" t="str">
        <f>IFERROR(__xludf.DUMMYFUNCTION("""COMPUTED_VALUE"""),"")</f>
        <v/>
      </c>
      <c r="C356" s="5" t="str">
        <f>IFERROR(__xludf.DUMMYFUNCTION("""COMPUTED_VALUE"""),"")</f>
        <v/>
      </c>
      <c r="D356" s="5" t="str">
        <f>IFERROR(__xludf.DUMMYFUNCTION("""COMPUTED_VALUE"""),"")</f>
        <v/>
      </c>
      <c r="E356" s="5" t="str">
        <f>IFERROR(__xludf.DUMMYFUNCTION("""COMPUTED_VALUE"""),"")</f>
        <v/>
      </c>
      <c r="F356" s="5" t="str">
        <f>IFERROR(__xludf.DUMMYFUNCTION("""COMPUTED_VALUE"""),"")</f>
        <v/>
      </c>
      <c r="G356" s="5" t="str">
        <f>IFERROR(__xludf.DUMMYFUNCTION("""COMPUTED_VALUE"""),"")</f>
        <v/>
      </c>
      <c r="H356" s="5" t="str">
        <f>IFERROR(__xludf.DUMMYFUNCTION("""COMPUTED_VALUE"""),"")</f>
        <v/>
      </c>
      <c r="I356" s="5" t="str">
        <f>IFERROR(__xludf.DUMMYFUNCTION("""COMPUTED_VALUE"""),"")</f>
        <v/>
      </c>
      <c r="J356" s="5" t="str">
        <f>IFERROR(__xludf.DUMMYFUNCTION("""COMPUTED_VALUE"""),"")</f>
        <v/>
      </c>
      <c r="K356" s="5" t="str">
        <f>IFERROR(__xludf.DUMMYFUNCTION("""COMPUTED_VALUE"""),"")</f>
        <v/>
      </c>
      <c r="L356" s="5" t="str">
        <f>IFERROR(__xludf.DUMMYFUNCTION("""COMPUTED_VALUE"""),"")</f>
        <v/>
      </c>
      <c r="M356" s="5" t="str">
        <f>IFERROR(__xludf.DUMMYFUNCTION("""COMPUTED_VALUE"""),"")</f>
        <v/>
      </c>
      <c r="N356" s="5" t="str">
        <f>IFERROR(__xludf.DUMMYFUNCTION("""COMPUTED_VALUE"""),"")</f>
        <v/>
      </c>
      <c r="O356" s="5" t="str">
        <f>IFERROR(__xludf.DUMMYFUNCTION("""COMPUTED_VALUE"""),"")</f>
        <v/>
      </c>
      <c r="P356" s="5" t="str">
        <f>IFERROR(__xludf.DUMMYFUNCTION("""COMPUTED_VALUE"""),"")</f>
        <v/>
      </c>
      <c r="Q356" s="5" t="str">
        <f>IFERROR(__xludf.DUMMYFUNCTION("""COMPUTED_VALUE"""),"")</f>
        <v/>
      </c>
      <c r="R356" s="5" t="str">
        <f>IFERROR(__xludf.DUMMYFUNCTION("""COMPUTED_VALUE"""),"")</f>
        <v/>
      </c>
      <c r="S356" s="5" t="str">
        <f>IFERROR(__xludf.DUMMYFUNCTION("""COMPUTED_VALUE"""),"")</f>
        <v/>
      </c>
      <c r="T356" s="5" t="str">
        <f>IFERROR(__xludf.DUMMYFUNCTION("""COMPUTED_VALUE"""),"")</f>
        <v/>
      </c>
      <c r="U356" s="5" t="str">
        <f>IFERROR(__xludf.DUMMYFUNCTION("""COMPUTED_VALUE"""),"")</f>
        <v/>
      </c>
      <c r="V356" s="5" t="str">
        <f>IFERROR(__xludf.DUMMYFUNCTION("""COMPUTED_VALUE"""),"")</f>
        <v/>
      </c>
      <c r="W356" s="5" t="str">
        <f>IFERROR(__xludf.DUMMYFUNCTION("""COMPUTED_VALUE"""),"")</f>
        <v/>
      </c>
      <c r="X356" s="5" t="str">
        <f>IFERROR(__xludf.DUMMYFUNCTION("""COMPUTED_VALUE"""),"")</f>
        <v/>
      </c>
      <c r="Y356" s="5"/>
      <c r="Z356" s="5"/>
    </row>
    <row r="357">
      <c r="A357" s="5" t="str">
        <f>IFERROR(__xludf.DUMMYFUNCTION("""COMPUTED_VALUE"""),"Epic Dice 100")</f>
        <v>Epic Dice 100</v>
      </c>
      <c r="B357" s="5" t="str">
        <f>IFERROR(__xludf.DUMMYFUNCTION("""COMPUTED_VALUE"""),"")</f>
        <v/>
      </c>
      <c r="C357" s="5" t="str">
        <f>IFERROR(__xludf.DUMMYFUNCTION("""COMPUTED_VALUE"""),"")</f>
        <v/>
      </c>
      <c r="D357" s="5" t="str">
        <f>IFERROR(__xludf.DUMMYFUNCTION("""COMPUTED_VALUE"""),"Cert Preparation")</f>
        <v>Cert Preparation</v>
      </c>
      <c r="E357" s="5" t="str">
        <f>IFERROR(__xludf.DUMMYFUNCTION("""COMPUTED_VALUE"""),"")</f>
        <v/>
      </c>
      <c r="F357" s="5" t="str">
        <f>IFERROR(__xludf.DUMMYFUNCTION("""COMPUTED_VALUE"""),"")</f>
        <v/>
      </c>
      <c r="G357" s="5" t="str">
        <f>IFERROR(__xludf.DUMMYFUNCTION("""COMPUTED_VALUE"""),"")</f>
        <v/>
      </c>
      <c r="H357" s="5" t="str">
        <f>IFERROR(__xludf.DUMMYFUNCTION("""COMPUTED_VALUE"""),"")</f>
        <v/>
      </c>
      <c r="I357" s="5" t="str">
        <f>IFERROR(__xludf.DUMMYFUNCTION("""COMPUTED_VALUE"""),"")</f>
        <v/>
      </c>
      <c r="J357" s="5" t="str">
        <f>IFERROR(__xludf.DUMMYFUNCTION("""COMPUTED_VALUE"""),"")</f>
        <v/>
      </c>
      <c r="K357" s="5" t="str">
        <f>IFERROR(__xludf.DUMMYFUNCTION("""COMPUTED_VALUE"""),"")</f>
        <v/>
      </c>
      <c r="L357" s="5" t="str">
        <f>IFERROR(__xludf.DUMMYFUNCTION("""COMPUTED_VALUE"""),"")</f>
        <v/>
      </c>
      <c r="M357" s="5" t="str">
        <f>IFERROR(__xludf.DUMMYFUNCTION("""COMPUTED_VALUE"""),"")</f>
        <v/>
      </c>
      <c r="N357" s="5" t="str">
        <f>IFERROR(__xludf.DUMMYFUNCTION("""COMPUTED_VALUE"""),"")</f>
        <v/>
      </c>
      <c r="O357" s="5" t="str">
        <f>IFERROR(__xludf.DUMMYFUNCTION("""COMPUTED_VALUE"""),"")</f>
        <v/>
      </c>
      <c r="P357" s="5" t="str">
        <f>IFERROR(__xludf.DUMMYFUNCTION("""COMPUTED_VALUE"""),"")</f>
        <v/>
      </c>
      <c r="Q357" s="5" t="str">
        <f>IFERROR(__xludf.DUMMYFUNCTION("""COMPUTED_VALUE"""),"")</f>
        <v/>
      </c>
      <c r="R357" s="5" t="str">
        <f>IFERROR(__xludf.DUMMYFUNCTION("""COMPUTED_VALUE"""),"")</f>
        <v/>
      </c>
      <c r="S357" s="5" t="str">
        <f>IFERROR(__xludf.DUMMYFUNCTION("""COMPUTED_VALUE"""),"")</f>
        <v/>
      </c>
      <c r="T357" s="5" t="str">
        <f>IFERROR(__xludf.DUMMYFUNCTION("""COMPUTED_VALUE"""),"")</f>
        <v/>
      </c>
      <c r="U357" s="5" t="str">
        <f>IFERROR(__xludf.DUMMYFUNCTION("""COMPUTED_VALUE"""),"")</f>
        <v/>
      </c>
      <c r="V357" s="5" t="str">
        <f>IFERROR(__xludf.DUMMYFUNCTION("""COMPUTED_VALUE"""),"")</f>
        <v/>
      </c>
      <c r="W357" s="5" t="str">
        <f>IFERROR(__xludf.DUMMYFUNCTION("""COMPUTED_VALUE"""),"")</f>
        <v/>
      </c>
      <c r="X357" s="5" t="str">
        <f>IFERROR(__xludf.DUMMYFUNCTION("""COMPUTED_VALUE"""),"")</f>
        <v/>
      </c>
      <c r="Y357" s="5"/>
      <c r="Z357" s="5"/>
    </row>
    <row r="358">
      <c r="A358" s="5" t="str">
        <f>IFERROR(__xludf.DUMMYFUNCTION("""COMPUTED_VALUE"""),"Mega Hot 20")</f>
        <v>Mega Hot 20</v>
      </c>
      <c r="B358" s="5" t="str">
        <f>IFERROR(__xludf.DUMMYFUNCTION("""COMPUTED_VALUE"""),"")</f>
        <v/>
      </c>
      <c r="C358" s="5" t="str">
        <f>IFERROR(__xludf.DUMMYFUNCTION("""COMPUTED_VALUE"""),"")</f>
        <v/>
      </c>
      <c r="D358" s="5" t="str">
        <f>IFERROR(__xludf.DUMMYFUNCTION("""COMPUTED_VALUE"""),"Certified")</f>
        <v>Certified</v>
      </c>
      <c r="E358" s="5" t="str">
        <f>IFERROR(__xludf.DUMMYFUNCTION("""COMPUTED_VALUE"""),"Available")</f>
        <v>Available</v>
      </c>
      <c r="F358" s="5" t="str">
        <f>IFERROR(__xludf.DUMMYFUNCTION("""COMPUTED_VALUE"""),"")</f>
        <v/>
      </c>
      <c r="G358" s="5" t="str">
        <f>IFERROR(__xludf.DUMMYFUNCTION("""COMPUTED_VALUE"""),"")</f>
        <v/>
      </c>
      <c r="H358" s="5" t="str">
        <f>IFERROR(__xludf.DUMMYFUNCTION("""COMPUTED_VALUE"""),"")</f>
        <v/>
      </c>
      <c r="I358" s="5" t="str">
        <f>IFERROR(__xludf.DUMMYFUNCTION("""COMPUTED_VALUE"""),"")</f>
        <v/>
      </c>
      <c r="J358" s="5" t="str">
        <f>IFERROR(__xludf.DUMMYFUNCTION("""COMPUTED_VALUE"""),"Available")</f>
        <v>Available</v>
      </c>
      <c r="K358" s="5" t="str">
        <f>IFERROR(__xludf.DUMMYFUNCTION("""COMPUTED_VALUE"""),"")</f>
        <v/>
      </c>
      <c r="L358" s="5" t="str">
        <f>IFERROR(__xludf.DUMMYFUNCTION("""COMPUTED_VALUE"""),"")</f>
        <v/>
      </c>
      <c r="M358" s="5" t="str">
        <f>IFERROR(__xludf.DUMMYFUNCTION("""COMPUTED_VALUE"""),"")</f>
        <v/>
      </c>
      <c r="N358" s="5" t="str">
        <f>IFERROR(__xludf.DUMMYFUNCTION("""COMPUTED_VALUE"""),"")</f>
        <v/>
      </c>
      <c r="O358" s="5" t="str">
        <f>IFERROR(__xludf.DUMMYFUNCTION("""COMPUTED_VALUE"""),"")</f>
        <v/>
      </c>
      <c r="P358" s="5" t="str">
        <f>IFERROR(__xludf.DUMMYFUNCTION("""COMPUTED_VALUE"""),"")</f>
        <v/>
      </c>
      <c r="Q358" s="5" t="str">
        <f>IFERROR(__xludf.DUMMYFUNCTION("""COMPUTED_VALUE"""),"Available")</f>
        <v>Available</v>
      </c>
      <c r="R358" s="5" t="str">
        <f>IFERROR(__xludf.DUMMYFUNCTION("""COMPUTED_VALUE"""),"")</f>
        <v/>
      </c>
      <c r="S358" s="5" t="str">
        <f>IFERROR(__xludf.DUMMYFUNCTION("""COMPUTED_VALUE"""),"")</f>
        <v/>
      </c>
      <c r="T358" s="5" t="str">
        <f>IFERROR(__xludf.DUMMYFUNCTION("""COMPUTED_VALUE"""),"")</f>
        <v/>
      </c>
      <c r="U358" s="5" t="str">
        <f>IFERROR(__xludf.DUMMYFUNCTION("""COMPUTED_VALUE"""),"")</f>
        <v/>
      </c>
      <c r="V358" s="5" t="str">
        <f>IFERROR(__xludf.DUMMYFUNCTION("""COMPUTED_VALUE"""),"Available")</f>
        <v>Available</v>
      </c>
      <c r="W358" s="5" t="str">
        <f>IFERROR(__xludf.DUMMYFUNCTION("""COMPUTED_VALUE"""),"")</f>
        <v/>
      </c>
      <c r="X358" s="5" t="str">
        <f>IFERROR(__xludf.DUMMYFUNCTION("""COMPUTED_VALUE"""),"")</f>
        <v/>
      </c>
      <c r="Y358" s="5"/>
      <c r="Z358" s="5"/>
    </row>
    <row r="359">
      <c r="A359" s="5" t="str">
        <f>IFERROR(__xludf.DUMMYFUNCTION("""COMPUTED_VALUE"""),"Clovers And Stars")</f>
        <v>Clovers And Stars</v>
      </c>
      <c r="B359" s="5" t="str">
        <f>IFERROR(__xludf.DUMMYFUNCTION("""COMPUTED_VALUE"""),"Available")</f>
        <v>Available</v>
      </c>
      <c r="C359" s="5" t="str">
        <f>IFERROR(__xludf.DUMMYFUNCTION("""COMPUTED_VALUE"""),"Development")</f>
        <v>Development</v>
      </c>
      <c r="D359" s="5" t="str">
        <f>IFERROR(__xludf.DUMMYFUNCTION("""COMPUTED_VALUE"""),"Cert Preparation")</f>
        <v>Cert Preparation</v>
      </c>
      <c r="E359" s="5" t="str">
        <f>IFERROR(__xludf.DUMMYFUNCTION("""COMPUTED_VALUE"""),"Available")</f>
        <v>Available</v>
      </c>
      <c r="F359" s="5" t="str">
        <f>IFERROR(__xludf.DUMMYFUNCTION("""COMPUTED_VALUE"""),"Available")</f>
        <v>Available</v>
      </c>
      <c r="G359" s="5" t="str">
        <f>IFERROR(__xludf.DUMMYFUNCTION("""COMPUTED_VALUE"""),"Available")</f>
        <v>Available</v>
      </c>
      <c r="H359" s="5" t="str">
        <f>IFERROR(__xludf.DUMMYFUNCTION("""COMPUTED_VALUE"""),"Available")</f>
        <v>Available</v>
      </c>
      <c r="I359" s="5" t="str">
        <f>IFERROR(__xludf.DUMMYFUNCTION("""COMPUTED_VALUE"""),"Development")</f>
        <v>Development</v>
      </c>
      <c r="J359" s="5" t="str">
        <f>IFERROR(__xludf.DUMMYFUNCTION("""COMPUTED_VALUE"""),"")</f>
        <v/>
      </c>
      <c r="K359" s="5" t="str">
        <f>IFERROR(__xludf.DUMMYFUNCTION("""COMPUTED_VALUE"""),"Development")</f>
        <v>Development</v>
      </c>
      <c r="L359" s="5" t="str">
        <f>IFERROR(__xludf.DUMMYFUNCTION("""COMPUTED_VALUE"""),"")</f>
        <v/>
      </c>
      <c r="M359" s="5" t="str">
        <f>IFERROR(__xludf.DUMMYFUNCTION("""COMPUTED_VALUE"""),"Development")</f>
        <v>Development</v>
      </c>
      <c r="N359" s="5" t="str">
        <f>IFERROR(__xludf.DUMMYFUNCTION("""COMPUTED_VALUE"""),"Development")</f>
        <v>Development</v>
      </c>
      <c r="O359" s="5" t="str">
        <f>IFERROR(__xludf.DUMMYFUNCTION("""COMPUTED_VALUE"""),"")</f>
        <v/>
      </c>
      <c r="P359" s="5" t="str">
        <f>IFERROR(__xludf.DUMMYFUNCTION("""COMPUTED_VALUE"""),"")</f>
        <v/>
      </c>
      <c r="Q359" s="5" t="str">
        <f>IFERROR(__xludf.DUMMYFUNCTION("""COMPUTED_VALUE"""),"Available")</f>
        <v>Available</v>
      </c>
      <c r="R359" s="5" t="str">
        <f>IFERROR(__xludf.DUMMYFUNCTION("""COMPUTED_VALUE"""),"")</f>
        <v/>
      </c>
      <c r="S359" s="5" t="str">
        <f>IFERROR(__xludf.DUMMYFUNCTION("""COMPUTED_VALUE"""),"")</f>
        <v/>
      </c>
      <c r="T359" s="5" t="str">
        <f>IFERROR(__xludf.DUMMYFUNCTION("""COMPUTED_VALUE"""),"")</f>
        <v/>
      </c>
      <c r="U359" s="5" t="str">
        <f>IFERROR(__xludf.DUMMYFUNCTION("""COMPUTED_VALUE"""),"")</f>
        <v/>
      </c>
      <c r="V359" s="5" t="str">
        <f>IFERROR(__xludf.DUMMYFUNCTION("""COMPUTED_VALUE"""),"Available")</f>
        <v>Available</v>
      </c>
      <c r="W359" s="5" t="str">
        <f>IFERROR(__xludf.DUMMYFUNCTION("""COMPUTED_VALUE"""),"")</f>
        <v/>
      </c>
      <c r="X359" s="5" t="str">
        <f>IFERROR(__xludf.DUMMYFUNCTION("""COMPUTED_VALUE"""),"")</f>
        <v/>
      </c>
      <c r="Y359" s="5"/>
      <c r="Z359" s="5"/>
    </row>
    <row r="360">
      <c r="A360" s="5" t="str">
        <f>IFERROR(__xludf.DUMMYFUNCTION("""COMPUTED_VALUE"""),"Fortune Parrot")</f>
        <v>Fortune Parrot</v>
      </c>
      <c r="B360" s="5" t="str">
        <f>IFERROR(__xludf.DUMMYFUNCTION("""COMPUTED_VALUE"""),"Available")</f>
        <v>Available</v>
      </c>
      <c r="C360" s="5" t="str">
        <f>IFERROR(__xludf.DUMMYFUNCTION("""COMPUTED_VALUE"""),"Development")</f>
        <v>Development</v>
      </c>
      <c r="D360" s="5" t="str">
        <f>IFERROR(__xludf.DUMMYFUNCTION("""COMPUTED_VALUE"""),"Cert Preparation")</f>
        <v>Cert Preparation</v>
      </c>
      <c r="E360" s="5" t="str">
        <f>IFERROR(__xludf.DUMMYFUNCTION("""COMPUTED_VALUE"""),"Available")</f>
        <v>Available</v>
      </c>
      <c r="F360" s="5" t="str">
        <f>IFERROR(__xludf.DUMMYFUNCTION("""COMPUTED_VALUE"""),"Available")</f>
        <v>Available</v>
      </c>
      <c r="G360" s="5" t="str">
        <f>IFERROR(__xludf.DUMMYFUNCTION("""COMPUTED_VALUE"""),"Available")</f>
        <v>Available</v>
      </c>
      <c r="H360" s="5" t="str">
        <f>IFERROR(__xludf.DUMMYFUNCTION("""COMPUTED_VALUE"""),"Available")</f>
        <v>Available</v>
      </c>
      <c r="I360" s="5" t="str">
        <f>IFERROR(__xludf.DUMMYFUNCTION("""COMPUTED_VALUE"""),"")</f>
        <v/>
      </c>
      <c r="J360" s="5" t="str">
        <f>IFERROR(__xludf.DUMMYFUNCTION("""COMPUTED_VALUE"""),"")</f>
        <v/>
      </c>
      <c r="K360" s="5" t="str">
        <f>IFERROR(__xludf.DUMMYFUNCTION("""COMPUTED_VALUE"""),"")</f>
        <v/>
      </c>
      <c r="L360" s="5" t="str">
        <f>IFERROR(__xludf.DUMMYFUNCTION("""COMPUTED_VALUE"""),"Development")</f>
        <v>Development</v>
      </c>
      <c r="M360" s="5" t="str">
        <f>IFERROR(__xludf.DUMMYFUNCTION("""COMPUTED_VALUE"""),"")</f>
        <v/>
      </c>
      <c r="N360" s="5" t="str">
        <f>IFERROR(__xludf.DUMMYFUNCTION("""COMPUTED_VALUE"""),"")</f>
        <v/>
      </c>
      <c r="O360" s="5" t="str">
        <f>IFERROR(__xludf.DUMMYFUNCTION("""COMPUTED_VALUE"""),"")</f>
        <v/>
      </c>
      <c r="P360" s="5" t="str">
        <f>IFERROR(__xludf.DUMMYFUNCTION("""COMPUTED_VALUE"""),"")</f>
        <v/>
      </c>
      <c r="Q360" s="5" t="str">
        <f>IFERROR(__xludf.DUMMYFUNCTION("""COMPUTED_VALUE"""),"Available")</f>
        <v>Available</v>
      </c>
      <c r="R360" s="5" t="str">
        <f>IFERROR(__xludf.DUMMYFUNCTION("""COMPUTED_VALUE"""),"")</f>
        <v/>
      </c>
      <c r="S360" s="5" t="str">
        <f>IFERROR(__xludf.DUMMYFUNCTION("""COMPUTED_VALUE"""),"")</f>
        <v/>
      </c>
      <c r="T360" s="5" t="str">
        <f>IFERROR(__xludf.DUMMYFUNCTION("""COMPUTED_VALUE"""),"")</f>
        <v/>
      </c>
      <c r="U360" s="5" t="str">
        <f>IFERROR(__xludf.DUMMYFUNCTION("""COMPUTED_VALUE"""),"")</f>
        <v/>
      </c>
      <c r="V360" s="5" t="str">
        <f>IFERROR(__xludf.DUMMYFUNCTION("""COMPUTED_VALUE"""),"Available")</f>
        <v>Available</v>
      </c>
      <c r="W360" s="5" t="str">
        <f>IFERROR(__xludf.DUMMYFUNCTION("""COMPUTED_VALUE"""),"")</f>
        <v/>
      </c>
      <c r="X360" s="5" t="str">
        <f>IFERROR(__xludf.DUMMYFUNCTION("""COMPUTED_VALUE"""),"")</f>
        <v/>
      </c>
      <c r="Y360" s="5"/>
      <c r="Z360" s="5"/>
    </row>
    <row r="361">
      <c r="A361" s="5" t="str">
        <f>IFERROR(__xludf.DUMMYFUNCTION("""COMPUTED_VALUE"""),"Golden Crown Max")</f>
        <v>Golden Crown Max</v>
      </c>
      <c r="B361" s="5" t="str">
        <f>IFERROR(__xludf.DUMMYFUNCTION("""COMPUTED_VALUE"""),"Available")</f>
        <v>Available</v>
      </c>
      <c r="C361" s="5" t="str">
        <f>IFERROR(__xludf.DUMMYFUNCTION("""COMPUTED_VALUE"""),"Development")</f>
        <v>Development</v>
      </c>
      <c r="D361" s="5" t="str">
        <f>IFERROR(__xludf.DUMMYFUNCTION("""COMPUTED_VALUE"""),"Cert Preparation")</f>
        <v>Cert Preparation</v>
      </c>
      <c r="E361" s="5" t="str">
        <f>IFERROR(__xludf.DUMMYFUNCTION("""COMPUTED_VALUE"""),"Development")</f>
        <v>Development</v>
      </c>
      <c r="F361" s="5" t="str">
        <f>IFERROR(__xludf.DUMMYFUNCTION("""COMPUTED_VALUE"""),"Available")</f>
        <v>Available</v>
      </c>
      <c r="G361" s="5" t="str">
        <f>IFERROR(__xludf.DUMMYFUNCTION("""COMPUTED_VALUE"""),"Available")</f>
        <v>Available</v>
      </c>
      <c r="H361" s="5" t="str">
        <f>IFERROR(__xludf.DUMMYFUNCTION("""COMPUTED_VALUE"""),"Development")</f>
        <v>Development</v>
      </c>
      <c r="I361" s="5" t="str">
        <f>IFERROR(__xludf.DUMMYFUNCTION("""COMPUTED_VALUE"""),"Development")</f>
        <v>Development</v>
      </c>
      <c r="J361" s="5" t="str">
        <f>IFERROR(__xludf.DUMMYFUNCTION("""COMPUTED_VALUE"""),"")</f>
        <v/>
      </c>
      <c r="K361" s="5" t="str">
        <f>IFERROR(__xludf.DUMMYFUNCTION("""COMPUTED_VALUE"""),"Development")</f>
        <v>Development</v>
      </c>
      <c r="L361" s="5" t="str">
        <f>IFERROR(__xludf.DUMMYFUNCTION("""COMPUTED_VALUE"""),"")</f>
        <v/>
      </c>
      <c r="M361" s="5" t="str">
        <f>IFERROR(__xludf.DUMMYFUNCTION("""COMPUTED_VALUE"""),"Development")</f>
        <v>Development</v>
      </c>
      <c r="N361" s="5" t="str">
        <f>IFERROR(__xludf.DUMMYFUNCTION("""COMPUTED_VALUE"""),"Development")</f>
        <v>Development</v>
      </c>
      <c r="O361" s="5" t="str">
        <f>IFERROR(__xludf.DUMMYFUNCTION("""COMPUTED_VALUE"""),"")</f>
        <v/>
      </c>
      <c r="P361" s="5" t="str">
        <f>IFERROR(__xludf.DUMMYFUNCTION("""COMPUTED_VALUE"""),"")</f>
        <v/>
      </c>
      <c r="Q361" s="5" t="str">
        <f>IFERROR(__xludf.DUMMYFUNCTION("""COMPUTED_VALUE"""),"")</f>
        <v/>
      </c>
      <c r="R361" s="5" t="str">
        <f>IFERROR(__xludf.DUMMYFUNCTION("""COMPUTED_VALUE"""),"")</f>
        <v/>
      </c>
      <c r="S361" s="5" t="str">
        <f>IFERROR(__xludf.DUMMYFUNCTION("""COMPUTED_VALUE"""),"")</f>
        <v/>
      </c>
      <c r="T361" s="5" t="str">
        <f>IFERROR(__xludf.DUMMYFUNCTION("""COMPUTED_VALUE"""),"")</f>
        <v/>
      </c>
      <c r="U361" s="5" t="str">
        <f>IFERROR(__xludf.DUMMYFUNCTION("""COMPUTED_VALUE"""),"")</f>
        <v/>
      </c>
      <c r="V361" s="5" t="str">
        <f>IFERROR(__xludf.DUMMYFUNCTION("""COMPUTED_VALUE"""),"")</f>
        <v/>
      </c>
      <c r="W361" s="5" t="str">
        <f>IFERROR(__xludf.DUMMYFUNCTION("""COMPUTED_VALUE"""),"")</f>
        <v/>
      </c>
      <c r="X361" s="5" t="str">
        <f>IFERROR(__xludf.DUMMYFUNCTION("""COMPUTED_VALUE"""),"")</f>
        <v/>
      </c>
      <c r="Y361" s="5"/>
      <c r="Z361" s="5"/>
    </row>
    <row r="362">
      <c r="A362" s="5" t="str">
        <f>IFERROR(__xludf.DUMMYFUNCTION("""COMPUTED_VALUE"""),"Buffalo Dice")</f>
        <v>Buffalo Dice</v>
      </c>
      <c r="B362" s="5" t="str">
        <f>IFERROR(__xludf.DUMMYFUNCTION("""COMPUTED_VALUE"""),"")</f>
        <v/>
      </c>
      <c r="C362" s="5" t="str">
        <f>IFERROR(__xludf.DUMMYFUNCTION("""COMPUTED_VALUE"""),"")</f>
        <v/>
      </c>
      <c r="D362" s="5" t="str">
        <f>IFERROR(__xludf.DUMMYFUNCTION("""COMPUTED_VALUE"""),"")</f>
        <v/>
      </c>
      <c r="E362" s="5" t="str">
        <f>IFERROR(__xludf.DUMMYFUNCTION("""COMPUTED_VALUE"""),"")</f>
        <v/>
      </c>
      <c r="F362" s="5" t="str">
        <f>IFERROR(__xludf.DUMMYFUNCTION("""COMPUTED_VALUE"""),"")</f>
        <v/>
      </c>
      <c r="G362" s="5" t="str">
        <f>IFERROR(__xludf.DUMMYFUNCTION("""COMPUTED_VALUE"""),"")</f>
        <v/>
      </c>
      <c r="H362" s="5" t="str">
        <f>IFERROR(__xludf.DUMMYFUNCTION("""COMPUTED_VALUE"""),"")</f>
        <v/>
      </c>
      <c r="I362" s="5" t="str">
        <f>IFERROR(__xludf.DUMMYFUNCTION("""COMPUTED_VALUE"""),"")</f>
        <v/>
      </c>
      <c r="J362" s="5" t="str">
        <f>IFERROR(__xludf.DUMMYFUNCTION("""COMPUTED_VALUE"""),"")</f>
        <v/>
      </c>
      <c r="K362" s="5" t="str">
        <f>IFERROR(__xludf.DUMMYFUNCTION("""COMPUTED_VALUE"""),"")</f>
        <v/>
      </c>
      <c r="L362" s="5" t="str">
        <f>IFERROR(__xludf.DUMMYFUNCTION("""COMPUTED_VALUE"""),"")</f>
        <v/>
      </c>
      <c r="M362" s="5" t="str">
        <f>IFERROR(__xludf.DUMMYFUNCTION("""COMPUTED_VALUE"""),"")</f>
        <v/>
      </c>
      <c r="N362" s="5" t="str">
        <f>IFERROR(__xludf.DUMMYFUNCTION("""COMPUTED_VALUE"""),"")</f>
        <v/>
      </c>
      <c r="O362" s="5" t="str">
        <f>IFERROR(__xludf.DUMMYFUNCTION("""COMPUTED_VALUE"""),"")</f>
        <v/>
      </c>
      <c r="P362" s="5" t="str">
        <f>IFERROR(__xludf.DUMMYFUNCTION("""COMPUTED_VALUE"""),"")</f>
        <v/>
      </c>
      <c r="Q362" s="5" t="str">
        <f>IFERROR(__xludf.DUMMYFUNCTION("""COMPUTED_VALUE"""),"")</f>
        <v/>
      </c>
      <c r="R362" s="5" t="str">
        <f>IFERROR(__xludf.DUMMYFUNCTION("""COMPUTED_VALUE"""),"")</f>
        <v/>
      </c>
      <c r="S362" s="5" t="str">
        <f>IFERROR(__xludf.DUMMYFUNCTION("""COMPUTED_VALUE"""),"")</f>
        <v/>
      </c>
      <c r="T362" s="5" t="str">
        <f>IFERROR(__xludf.DUMMYFUNCTION("""COMPUTED_VALUE"""),"")</f>
        <v/>
      </c>
      <c r="U362" s="5" t="str">
        <f>IFERROR(__xludf.DUMMYFUNCTION("""COMPUTED_VALUE"""),"")</f>
        <v/>
      </c>
      <c r="V362" s="5" t="str">
        <f>IFERROR(__xludf.DUMMYFUNCTION("""COMPUTED_VALUE"""),"")</f>
        <v/>
      </c>
      <c r="W362" s="5" t="str">
        <f>IFERROR(__xludf.DUMMYFUNCTION("""COMPUTED_VALUE"""),"")</f>
        <v/>
      </c>
      <c r="X362" s="5" t="str">
        <f>IFERROR(__xludf.DUMMYFUNCTION("""COMPUTED_VALUE"""),"")</f>
        <v/>
      </c>
      <c r="Y362" s="5"/>
      <c r="Z362" s="5"/>
    </row>
    <row r="363">
      <c r="A363" s="5" t="str">
        <f>IFERROR(__xludf.DUMMYFUNCTION("""COMPUTED_VALUE"""),"81 Vegas Crown")</f>
        <v>81 Vegas Crown</v>
      </c>
      <c r="B363" s="5" t="str">
        <f>IFERROR(__xludf.DUMMYFUNCTION("""COMPUTED_VALUE"""),"")</f>
        <v/>
      </c>
      <c r="C363" s="5" t="str">
        <f>IFERROR(__xludf.DUMMYFUNCTION("""COMPUTED_VALUE"""),"")</f>
        <v/>
      </c>
      <c r="D363" s="5" t="str">
        <f>IFERROR(__xludf.DUMMYFUNCTION("""COMPUTED_VALUE"""),"")</f>
        <v/>
      </c>
      <c r="E363" s="5" t="str">
        <f>IFERROR(__xludf.DUMMYFUNCTION("""COMPUTED_VALUE"""),"")</f>
        <v/>
      </c>
      <c r="F363" s="5" t="str">
        <f>IFERROR(__xludf.DUMMYFUNCTION("""COMPUTED_VALUE"""),"")</f>
        <v/>
      </c>
      <c r="G363" s="5" t="str">
        <f>IFERROR(__xludf.DUMMYFUNCTION("""COMPUTED_VALUE"""),"")</f>
        <v/>
      </c>
      <c r="H363" s="5" t="str">
        <f>IFERROR(__xludf.DUMMYFUNCTION("""COMPUTED_VALUE"""),"")</f>
        <v/>
      </c>
      <c r="I363" s="5" t="str">
        <f>IFERROR(__xludf.DUMMYFUNCTION("""COMPUTED_VALUE"""),"")</f>
        <v/>
      </c>
      <c r="J363" s="5" t="str">
        <f>IFERROR(__xludf.DUMMYFUNCTION("""COMPUTED_VALUE"""),"")</f>
        <v/>
      </c>
      <c r="K363" s="5" t="str">
        <f>IFERROR(__xludf.DUMMYFUNCTION("""COMPUTED_VALUE"""),"")</f>
        <v/>
      </c>
      <c r="L363" s="5" t="str">
        <f>IFERROR(__xludf.DUMMYFUNCTION("""COMPUTED_VALUE"""),"")</f>
        <v/>
      </c>
      <c r="M363" s="5" t="str">
        <f>IFERROR(__xludf.DUMMYFUNCTION("""COMPUTED_VALUE"""),"")</f>
        <v/>
      </c>
      <c r="N363" s="5" t="str">
        <f>IFERROR(__xludf.DUMMYFUNCTION("""COMPUTED_VALUE"""),"")</f>
        <v/>
      </c>
      <c r="O363" s="5" t="str">
        <f>IFERROR(__xludf.DUMMYFUNCTION("""COMPUTED_VALUE"""),"")</f>
        <v/>
      </c>
      <c r="P363" s="5" t="str">
        <f>IFERROR(__xludf.DUMMYFUNCTION("""COMPUTED_VALUE"""),"")</f>
        <v/>
      </c>
      <c r="Q363" s="5" t="str">
        <f>IFERROR(__xludf.DUMMYFUNCTION("""COMPUTED_VALUE"""),"")</f>
        <v/>
      </c>
      <c r="R363" s="5" t="str">
        <f>IFERROR(__xludf.DUMMYFUNCTION("""COMPUTED_VALUE"""),"")</f>
        <v/>
      </c>
      <c r="S363" s="5" t="str">
        <f>IFERROR(__xludf.DUMMYFUNCTION("""COMPUTED_VALUE"""),"")</f>
        <v/>
      </c>
      <c r="T363" s="5" t="str">
        <f>IFERROR(__xludf.DUMMYFUNCTION("""COMPUTED_VALUE"""),"")</f>
        <v/>
      </c>
      <c r="U363" s="5" t="str">
        <f>IFERROR(__xludf.DUMMYFUNCTION("""COMPUTED_VALUE"""),"")</f>
        <v/>
      </c>
      <c r="V363" s="5" t="str">
        <f>IFERROR(__xludf.DUMMYFUNCTION("""COMPUTED_VALUE"""),"")</f>
        <v/>
      </c>
      <c r="W363" s="5" t="str">
        <f>IFERROR(__xludf.DUMMYFUNCTION("""COMPUTED_VALUE"""),"")</f>
        <v/>
      </c>
      <c r="X363" s="5" t="str">
        <f>IFERROR(__xludf.DUMMYFUNCTION("""COMPUTED_VALUE"""),"")</f>
        <v/>
      </c>
      <c r="Y363" s="5"/>
      <c r="Z363" s="5"/>
    </row>
    <row r="364">
      <c r="A364" s="5" t="str">
        <f>IFERROR(__xludf.DUMMYFUNCTION("""COMPUTED_VALUE"""),"Lava Dice")</f>
        <v>Lava Dice</v>
      </c>
      <c r="B364" s="5" t="str">
        <f>IFERROR(__xludf.DUMMYFUNCTION("""COMPUTED_VALUE"""),"")</f>
        <v/>
      </c>
      <c r="C364" s="5" t="str">
        <f>IFERROR(__xludf.DUMMYFUNCTION("""COMPUTED_VALUE"""),"")</f>
        <v/>
      </c>
      <c r="D364" s="5" t="str">
        <f>IFERROR(__xludf.DUMMYFUNCTION("""COMPUTED_VALUE"""),"")</f>
        <v/>
      </c>
      <c r="E364" s="5" t="str">
        <f>IFERROR(__xludf.DUMMYFUNCTION("""COMPUTED_VALUE"""),"")</f>
        <v/>
      </c>
      <c r="F364" s="5" t="str">
        <f>IFERROR(__xludf.DUMMYFUNCTION("""COMPUTED_VALUE"""),"")</f>
        <v/>
      </c>
      <c r="G364" s="5" t="str">
        <f>IFERROR(__xludf.DUMMYFUNCTION("""COMPUTED_VALUE"""),"")</f>
        <v/>
      </c>
      <c r="H364" s="5" t="str">
        <f>IFERROR(__xludf.DUMMYFUNCTION("""COMPUTED_VALUE"""),"Available")</f>
        <v>Available</v>
      </c>
      <c r="I364" s="5" t="str">
        <f>IFERROR(__xludf.DUMMYFUNCTION("""COMPUTED_VALUE"""),"")</f>
        <v/>
      </c>
      <c r="J364" s="5" t="str">
        <f>IFERROR(__xludf.DUMMYFUNCTION("""COMPUTED_VALUE"""),"")</f>
        <v/>
      </c>
      <c r="K364" s="5" t="str">
        <f>IFERROR(__xludf.DUMMYFUNCTION("""COMPUTED_VALUE"""),"")</f>
        <v/>
      </c>
      <c r="L364" s="5" t="str">
        <f>IFERROR(__xludf.DUMMYFUNCTION("""COMPUTED_VALUE"""),"")</f>
        <v/>
      </c>
      <c r="M364" s="5" t="str">
        <f>IFERROR(__xludf.DUMMYFUNCTION("""COMPUTED_VALUE"""),"")</f>
        <v/>
      </c>
      <c r="N364" s="5" t="str">
        <f>IFERROR(__xludf.DUMMYFUNCTION("""COMPUTED_VALUE"""),"")</f>
        <v/>
      </c>
      <c r="O364" s="5" t="str">
        <f>IFERROR(__xludf.DUMMYFUNCTION("""COMPUTED_VALUE"""),"")</f>
        <v/>
      </c>
      <c r="P364" s="5" t="str">
        <f>IFERROR(__xludf.DUMMYFUNCTION("""COMPUTED_VALUE"""),"")</f>
        <v/>
      </c>
      <c r="Q364" s="5" t="str">
        <f>IFERROR(__xludf.DUMMYFUNCTION("""COMPUTED_VALUE"""),"")</f>
        <v/>
      </c>
      <c r="R364" s="5" t="str">
        <f>IFERROR(__xludf.DUMMYFUNCTION("""COMPUTED_VALUE"""),"")</f>
        <v/>
      </c>
      <c r="S364" s="5" t="str">
        <f>IFERROR(__xludf.DUMMYFUNCTION("""COMPUTED_VALUE"""),"")</f>
        <v/>
      </c>
      <c r="T364" s="5" t="str">
        <f>IFERROR(__xludf.DUMMYFUNCTION("""COMPUTED_VALUE"""),"")</f>
        <v/>
      </c>
      <c r="U364" s="5" t="str">
        <f>IFERROR(__xludf.DUMMYFUNCTION("""COMPUTED_VALUE"""),"")</f>
        <v/>
      </c>
      <c r="V364" s="5" t="str">
        <f>IFERROR(__xludf.DUMMYFUNCTION("""COMPUTED_VALUE"""),"")</f>
        <v/>
      </c>
      <c r="W364" s="5" t="str">
        <f>IFERROR(__xludf.DUMMYFUNCTION("""COMPUTED_VALUE"""),"")</f>
        <v/>
      </c>
      <c r="X364" s="5" t="str">
        <f>IFERROR(__xludf.DUMMYFUNCTION("""COMPUTED_VALUE"""),"")</f>
        <v/>
      </c>
      <c r="Y364" s="5"/>
      <c r="Z364" s="5"/>
    </row>
    <row r="365">
      <c r="A365" s="5" t="str">
        <f>IFERROR(__xludf.DUMMYFUNCTION("""COMPUTED_VALUE"""),"Apollo 27 Classic")</f>
        <v>Apollo 27 Classic</v>
      </c>
      <c r="B365" s="5" t="str">
        <f>IFERROR(__xludf.DUMMYFUNCTION("""COMPUTED_VALUE"""),"")</f>
        <v/>
      </c>
      <c r="C365" s="5" t="str">
        <f>IFERROR(__xludf.DUMMYFUNCTION("""COMPUTED_VALUE"""),"")</f>
        <v/>
      </c>
      <c r="D365" s="5" t="str">
        <f>IFERROR(__xludf.DUMMYFUNCTION("""COMPUTED_VALUE"""),"")</f>
        <v/>
      </c>
      <c r="E365" s="5" t="str">
        <f>IFERROR(__xludf.DUMMYFUNCTION("""COMPUTED_VALUE"""),"")</f>
        <v/>
      </c>
      <c r="F365" s="5" t="str">
        <f>IFERROR(__xludf.DUMMYFUNCTION("""COMPUTED_VALUE"""),"")</f>
        <v/>
      </c>
      <c r="G365" s="5" t="str">
        <f>IFERROR(__xludf.DUMMYFUNCTION("""COMPUTED_VALUE"""),"")</f>
        <v/>
      </c>
      <c r="H365" s="5" t="str">
        <f>IFERROR(__xludf.DUMMYFUNCTION("""COMPUTED_VALUE"""),"")</f>
        <v/>
      </c>
      <c r="I365" s="5" t="str">
        <f>IFERROR(__xludf.DUMMYFUNCTION("""COMPUTED_VALUE"""),"")</f>
        <v/>
      </c>
      <c r="J365" s="5" t="str">
        <f>IFERROR(__xludf.DUMMYFUNCTION("""COMPUTED_VALUE"""),"")</f>
        <v/>
      </c>
      <c r="K365" s="5" t="str">
        <f>IFERROR(__xludf.DUMMYFUNCTION("""COMPUTED_VALUE"""),"")</f>
        <v/>
      </c>
      <c r="L365" s="5" t="str">
        <f>IFERROR(__xludf.DUMMYFUNCTION("""COMPUTED_VALUE"""),"")</f>
        <v/>
      </c>
      <c r="M365" s="5" t="str">
        <f>IFERROR(__xludf.DUMMYFUNCTION("""COMPUTED_VALUE"""),"")</f>
        <v/>
      </c>
      <c r="N365" s="5" t="str">
        <f>IFERROR(__xludf.DUMMYFUNCTION("""COMPUTED_VALUE"""),"")</f>
        <v/>
      </c>
      <c r="O365" s="5" t="str">
        <f>IFERROR(__xludf.DUMMYFUNCTION("""COMPUTED_VALUE"""),"")</f>
        <v/>
      </c>
      <c r="P365" s="5" t="str">
        <f>IFERROR(__xludf.DUMMYFUNCTION("""COMPUTED_VALUE"""),"")</f>
        <v/>
      </c>
      <c r="Q365" s="5" t="str">
        <f>IFERROR(__xludf.DUMMYFUNCTION("""COMPUTED_VALUE"""),"")</f>
        <v/>
      </c>
      <c r="R365" s="5" t="str">
        <f>IFERROR(__xludf.DUMMYFUNCTION("""COMPUTED_VALUE"""),"")</f>
        <v/>
      </c>
      <c r="S365" s="5" t="str">
        <f>IFERROR(__xludf.DUMMYFUNCTION("""COMPUTED_VALUE"""),"")</f>
        <v/>
      </c>
      <c r="T365" s="5" t="str">
        <f>IFERROR(__xludf.DUMMYFUNCTION("""COMPUTED_VALUE"""),"")</f>
        <v/>
      </c>
      <c r="U365" s="5" t="str">
        <f>IFERROR(__xludf.DUMMYFUNCTION("""COMPUTED_VALUE"""),"")</f>
        <v/>
      </c>
      <c r="V365" s="5" t="str">
        <f>IFERROR(__xludf.DUMMYFUNCTION("""COMPUTED_VALUE"""),"")</f>
        <v/>
      </c>
      <c r="W365" s="5" t="str">
        <f>IFERROR(__xludf.DUMMYFUNCTION("""COMPUTED_VALUE"""),"")</f>
        <v/>
      </c>
      <c r="X365" s="5" t="str">
        <f>IFERROR(__xludf.DUMMYFUNCTION("""COMPUTED_VALUE"""),"")</f>
        <v/>
      </c>
      <c r="Y365" s="5"/>
      <c r="Z365" s="5"/>
    </row>
    <row r="366">
      <c r="A366" s="5" t="str">
        <f>IFERROR(__xludf.DUMMYFUNCTION("""COMPUTED_VALUE"""),"Fortune Clover 5")</f>
        <v>Fortune Clover 5</v>
      </c>
      <c r="B366" s="5" t="str">
        <f>IFERROR(__xludf.DUMMYFUNCTION("""COMPUTED_VALUE"""),"")</f>
        <v/>
      </c>
      <c r="C366" s="5" t="str">
        <f>IFERROR(__xludf.DUMMYFUNCTION("""COMPUTED_VALUE"""),"")</f>
        <v/>
      </c>
      <c r="D366" s="5" t="str">
        <f>IFERROR(__xludf.DUMMYFUNCTION("""COMPUTED_VALUE"""),"")</f>
        <v/>
      </c>
      <c r="E366" s="5" t="str">
        <f>IFERROR(__xludf.DUMMYFUNCTION("""COMPUTED_VALUE"""),"")</f>
        <v/>
      </c>
      <c r="F366" s="5" t="str">
        <f>IFERROR(__xludf.DUMMYFUNCTION("""COMPUTED_VALUE"""),"")</f>
        <v/>
      </c>
      <c r="G366" s="5" t="str">
        <f>IFERROR(__xludf.DUMMYFUNCTION("""COMPUTED_VALUE"""),"")</f>
        <v/>
      </c>
      <c r="H366" s="5" t="str">
        <f>IFERROR(__xludf.DUMMYFUNCTION("""COMPUTED_VALUE"""),"")</f>
        <v/>
      </c>
      <c r="I366" s="5" t="str">
        <f>IFERROR(__xludf.DUMMYFUNCTION("""COMPUTED_VALUE"""),"")</f>
        <v/>
      </c>
      <c r="J366" s="5" t="str">
        <f>IFERROR(__xludf.DUMMYFUNCTION("""COMPUTED_VALUE"""),"")</f>
        <v/>
      </c>
      <c r="K366" s="5" t="str">
        <f>IFERROR(__xludf.DUMMYFUNCTION("""COMPUTED_VALUE"""),"")</f>
        <v/>
      </c>
      <c r="L366" s="5" t="str">
        <f>IFERROR(__xludf.DUMMYFUNCTION("""COMPUTED_VALUE"""),"")</f>
        <v/>
      </c>
      <c r="M366" s="5" t="str">
        <f>IFERROR(__xludf.DUMMYFUNCTION("""COMPUTED_VALUE"""),"")</f>
        <v/>
      </c>
      <c r="N366" s="5" t="str">
        <f>IFERROR(__xludf.DUMMYFUNCTION("""COMPUTED_VALUE"""),"")</f>
        <v/>
      </c>
      <c r="O366" s="5" t="str">
        <f>IFERROR(__xludf.DUMMYFUNCTION("""COMPUTED_VALUE"""),"")</f>
        <v/>
      </c>
      <c r="P366" s="5" t="str">
        <f>IFERROR(__xludf.DUMMYFUNCTION("""COMPUTED_VALUE"""),"")</f>
        <v/>
      </c>
      <c r="Q366" s="5" t="str">
        <f>IFERROR(__xludf.DUMMYFUNCTION("""COMPUTED_VALUE"""),"")</f>
        <v/>
      </c>
      <c r="R366" s="5" t="str">
        <f>IFERROR(__xludf.DUMMYFUNCTION("""COMPUTED_VALUE"""),"")</f>
        <v/>
      </c>
      <c r="S366" s="5" t="str">
        <f>IFERROR(__xludf.DUMMYFUNCTION("""COMPUTED_VALUE"""),"")</f>
        <v/>
      </c>
      <c r="T366" s="5" t="str">
        <f>IFERROR(__xludf.DUMMYFUNCTION("""COMPUTED_VALUE"""),"")</f>
        <v/>
      </c>
      <c r="U366" s="5" t="str">
        <f>IFERROR(__xludf.DUMMYFUNCTION("""COMPUTED_VALUE"""),"")</f>
        <v/>
      </c>
      <c r="V366" s="5" t="str">
        <f>IFERROR(__xludf.DUMMYFUNCTION("""COMPUTED_VALUE"""),"")</f>
        <v/>
      </c>
      <c r="W366" s="5" t="str">
        <f>IFERROR(__xludf.DUMMYFUNCTION("""COMPUTED_VALUE"""),"")</f>
        <v/>
      </c>
      <c r="X366" s="5" t="str">
        <f>IFERROR(__xludf.DUMMYFUNCTION("""COMPUTED_VALUE"""),"")</f>
        <v/>
      </c>
      <c r="Y366" s="5"/>
      <c r="Z366" s="5"/>
    </row>
    <row r="367">
      <c r="A367" s="5" t="str">
        <f>IFERROR(__xludf.DUMMYFUNCTION("""COMPUTED_VALUE"""),"Majestic Crown 10")</f>
        <v>Majestic Crown 10</v>
      </c>
      <c r="B367" s="5" t="str">
        <f>IFERROR(__xludf.DUMMYFUNCTION("""COMPUTED_VALUE"""),"")</f>
        <v/>
      </c>
      <c r="C367" s="5" t="str">
        <f>IFERROR(__xludf.DUMMYFUNCTION("""COMPUTED_VALUE"""),"")</f>
        <v/>
      </c>
      <c r="D367" s="5" t="str">
        <f>IFERROR(__xludf.DUMMYFUNCTION("""COMPUTED_VALUE"""),"")</f>
        <v/>
      </c>
      <c r="E367" s="5" t="str">
        <f>IFERROR(__xludf.DUMMYFUNCTION("""COMPUTED_VALUE"""),"")</f>
        <v/>
      </c>
      <c r="F367" s="5" t="str">
        <f>IFERROR(__xludf.DUMMYFUNCTION("""COMPUTED_VALUE"""),"")</f>
        <v/>
      </c>
      <c r="G367" s="5" t="str">
        <f>IFERROR(__xludf.DUMMYFUNCTION("""COMPUTED_VALUE"""),"")</f>
        <v/>
      </c>
      <c r="H367" s="5" t="str">
        <f>IFERROR(__xludf.DUMMYFUNCTION("""COMPUTED_VALUE"""),"")</f>
        <v/>
      </c>
      <c r="I367" s="5" t="str">
        <f>IFERROR(__xludf.DUMMYFUNCTION("""COMPUTED_VALUE"""),"")</f>
        <v/>
      </c>
      <c r="J367" s="5" t="str">
        <f>IFERROR(__xludf.DUMMYFUNCTION("""COMPUTED_VALUE"""),"")</f>
        <v/>
      </c>
      <c r="K367" s="5" t="str">
        <f>IFERROR(__xludf.DUMMYFUNCTION("""COMPUTED_VALUE"""),"")</f>
        <v/>
      </c>
      <c r="L367" s="5" t="str">
        <f>IFERROR(__xludf.DUMMYFUNCTION("""COMPUTED_VALUE"""),"")</f>
        <v/>
      </c>
      <c r="M367" s="5" t="str">
        <f>IFERROR(__xludf.DUMMYFUNCTION("""COMPUTED_VALUE"""),"")</f>
        <v/>
      </c>
      <c r="N367" s="5" t="str">
        <f>IFERROR(__xludf.DUMMYFUNCTION("""COMPUTED_VALUE"""),"")</f>
        <v/>
      </c>
      <c r="O367" s="5" t="str">
        <f>IFERROR(__xludf.DUMMYFUNCTION("""COMPUTED_VALUE"""),"")</f>
        <v/>
      </c>
      <c r="P367" s="5" t="str">
        <f>IFERROR(__xludf.DUMMYFUNCTION("""COMPUTED_VALUE"""),"")</f>
        <v/>
      </c>
      <c r="Q367" s="5" t="str">
        <f>IFERROR(__xludf.DUMMYFUNCTION("""COMPUTED_VALUE"""),"")</f>
        <v/>
      </c>
      <c r="R367" s="5" t="str">
        <f>IFERROR(__xludf.DUMMYFUNCTION("""COMPUTED_VALUE"""),"")</f>
        <v/>
      </c>
      <c r="S367" s="5" t="str">
        <f>IFERROR(__xludf.DUMMYFUNCTION("""COMPUTED_VALUE"""),"")</f>
        <v/>
      </c>
      <c r="T367" s="5" t="str">
        <f>IFERROR(__xludf.DUMMYFUNCTION("""COMPUTED_VALUE"""),"")</f>
        <v/>
      </c>
      <c r="U367" s="5" t="str">
        <f>IFERROR(__xludf.DUMMYFUNCTION("""COMPUTED_VALUE"""),"")</f>
        <v/>
      </c>
      <c r="V367" s="5" t="str">
        <f>IFERROR(__xludf.DUMMYFUNCTION("""COMPUTED_VALUE"""),"")</f>
        <v/>
      </c>
      <c r="W367" s="5" t="str">
        <f>IFERROR(__xludf.DUMMYFUNCTION("""COMPUTED_VALUE"""),"")</f>
        <v/>
      </c>
      <c r="X367" s="5" t="str">
        <f>IFERROR(__xludf.DUMMYFUNCTION("""COMPUTED_VALUE"""),"")</f>
        <v/>
      </c>
      <c r="Y367" s="5"/>
      <c r="Z367" s="5"/>
    </row>
    <row r="368">
      <c r="A368" s="5" t="str">
        <f>IFERROR(__xludf.DUMMYFUNCTION("""COMPUTED_VALUE"""),"Double Clover Fire")</f>
        <v>Double Clover Fire</v>
      </c>
      <c r="B368" s="5" t="str">
        <f>IFERROR(__xludf.DUMMYFUNCTION("""COMPUTED_VALUE"""),"")</f>
        <v/>
      </c>
      <c r="C368" s="5" t="str">
        <f>IFERROR(__xludf.DUMMYFUNCTION("""COMPUTED_VALUE"""),"")</f>
        <v/>
      </c>
      <c r="D368" s="5" t="str">
        <f>IFERROR(__xludf.DUMMYFUNCTION("""COMPUTED_VALUE"""),"")</f>
        <v/>
      </c>
      <c r="E368" s="5" t="str">
        <f>IFERROR(__xludf.DUMMYFUNCTION("""COMPUTED_VALUE"""),"")</f>
        <v/>
      </c>
      <c r="F368" s="5" t="str">
        <f>IFERROR(__xludf.DUMMYFUNCTION("""COMPUTED_VALUE"""),"")</f>
        <v/>
      </c>
      <c r="G368" s="5" t="str">
        <f>IFERROR(__xludf.DUMMYFUNCTION("""COMPUTED_VALUE"""),"")</f>
        <v/>
      </c>
      <c r="H368" s="5" t="str">
        <f>IFERROR(__xludf.DUMMYFUNCTION("""COMPUTED_VALUE"""),"")</f>
        <v/>
      </c>
      <c r="I368" s="5" t="str">
        <f>IFERROR(__xludf.DUMMYFUNCTION("""COMPUTED_VALUE"""),"")</f>
        <v/>
      </c>
      <c r="J368" s="5" t="str">
        <f>IFERROR(__xludf.DUMMYFUNCTION("""COMPUTED_VALUE"""),"")</f>
        <v/>
      </c>
      <c r="K368" s="5" t="str">
        <f>IFERROR(__xludf.DUMMYFUNCTION("""COMPUTED_VALUE"""),"")</f>
        <v/>
      </c>
      <c r="L368" s="5" t="str">
        <f>IFERROR(__xludf.DUMMYFUNCTION("""COMPUTED_VALUE"""),"")</f>
        <v/>
      </c>
      <c r="M368" s="5" t="str">
        <f>IFERROR(__xludf.DUMMYFUNCTION("""COMPUTED_VALUE"""),"")</f>
        <v/>
      </c>
      <c r="N368" s="5" t="str">
        <f>IFERROR(__xludf.DUMMYFUNCTION("""COMPUTED_VALUE"""),"")</f>
        <v/>
      </c>
      <c r="O368" s="5" t="str">
        <f>IFERROR(__xludf.DUMMYFUNCTION("""COMPUTED_VALUE"""),"")</f>
        <v/>
      </c>
      <c r="P368" s="5" t="str">
        <f>IFERROR(__xludf.DUMMYFUNCTION("""COMPUTED_VALUE"""),"")</f>
        <v/>
      </c>
      <c r="Q368" s="5" t="str">
        <f>IFERROR(__xludf.DUMMYFUNCTION("""COMPUTED_VALUE"""),"")</f>
        <v/>
      </c>
      <c r="R368" s="5" t="str">
        <f>IFERROR(__xludf.DUMMYFUNCTION("""COMPUTED_VALUE"""),"")</f>
        <v/>
      </c>
      <c r="S368" s="5" t="str">
        <f>IFERROR(__xludf.DUMMYFUNCTION("""COMPUTED_VALUE"""),"")</f>
        <v/>
      </c>
      <c r="T368" s="5" t="str">
        <f>IFERROR(__xludf.DUMMYFUNCTION("""COMPUTED_VALUE"""),"")</f>
        <v/>
      </c>
      <c r="U368" s="5" t="str">
        <f>IFERROR(__xludf.DUMMYFUNCTION("""COMPUTED_VALUE"""),"")</f>
        <v/>
      </c>
      <c r="V368" s="5" t="str">
        <f>IFERROR(__xludf.DUMMYFUNCTION("""COMPUTED_VALUE"""),"")</f>
        <v/>
      </c>
      <c r="W368" s="5" t="str">
        <f>IFERROR(__xludf.DUMMYFUNCTION("""COMPUTED_VALUE"""),"")</f>
        <v/>
      </c>
      <c r="X368" s="5" t="str">
        <f>IFERROR(__xludf.DUMMYFUNCTION("""COMPUTED_VALUE"""),"")</f>
        <v/>
      </c>
      <c r="Y368" s="5"/>
      <c r="Z368" s="5"/>
    </row>
    <row r="369">
      <c r="A369" s="5" t="str">
        <f>IFERROR(__xludf.DUMMYFUNCTION("""COMPUTED_VALUE"""),"Fortune Clover 40")</f>
        <v>Fortune Clover 40</v>
      </c>
      <c r="B369" s="5" t="str">
        <f>IFERROR(__xludf.DUMMYFUNCTION("""COMPUTED_VALUE"""),"")</f>
        <v/>
      </c>
      <c r="C369" s="5" t="str">
        <f>IFERROR(__xludf.DUMMYFUNCTION("""COMPUTED_VALUE"""),"")</f>
        <v/>
      </c>
      <c r="D369" s="5" t="str">
        <f>IFERROR(__xludf.DUMMYFUNCTION("""COMPUTED_VALUE"""),"")</f>
        <v/>
      </c>
      <c r="E369" s="5" t="str">
        <f>IFERROR(__xludf.DUMMYFUNCTION("""COMPUTED_VALUE"""),"")</f>
        <v/>
      </c>
      <c r="F369" s="5" t="str">
        <f>IFERROR(__xludf.DUMMYFUNCTION("""COMPUTED_VALUE"""),"")</f>
        <v/>
      </c>
      <c r="G369" s="5" t="str">
        <f>IFERROR(__xludf.DUMMYFUNCTION("""COMPUTED_VALUE"""),"")</f>
        <v/>
      </c>
      <c r="H369" s="5" t="str">
        <f>IFERROR(__xludf.DUMMYFUNCTION("""COMPUTED_VALUE"""),"")</f>
        <v/>
      </c>
      <c r="I369" s="5" t="str">
        <f>IFERROR(__xludf.DUMMYFUNCTION("""COMPUTED_VALUE"""),"")</f>
        <v/>
      </c>
      <c r="J369" s="5" t="str">
        <f>IFERROR(__xludf.DUMMYFUNCTION("""COMPUTED_VALUE"""),"")</f>
        <v/>
      </c>
      <c r="K369" s="5" t="str">
        <f>IFERROR(__xludf.DUMMYFUNCTION("""COMPUTED_VALUE"""),"")</f>
        <v/>
      </c>
      <c r="L369" s="5" t="str">
        <f>IFERROR(__xludf.DUMMYFUNCTION("""COMPUTED_VALUE"""),"")</f>
        <v/>
      </c>
      <c r="M369" s="5" t="str">
        <f>IFERROR(__xludf.DUMMYFUNCTION("""COMPUTED_VALUE"""),"")</f>
        <v/>
      </c>
      <c r="N369" s="5" t="str">
        <f>IFERROR(__xludf.DUMMYFUNCTION("""COMPUTED_VALUE"""),"")</f>
        <v/>
      </c>
      <c r="O369" s="5" t="str">
        <f>IFERROR(__xludf.DUMMYFUNCTION("""COMPUTED_VALUE"""),"")</f>
        <v/>
      </c>
      <c r="P369" s="5" t="str">
        <f>IFERROR(__xludf.DUMMYFUNCTION("""COMPUTED_VALUE"""),"")</f>
        <v/>
      </c>
      <c r="Q369" s="5" t="str">
        <f>IFERROR(__xludf.DUMMYFUNCTION("""COMPUTED_VALUE"""),"")</f>
        <v/>
      </c>
      <c r="R369" s="5" t="str">
        <f>IFERROR(__xludf.DUMMYFUNCTION("""COMPUTED_VALUE"""),"")</f>
        <v/>
      </c>
      <c r="S369" s="5" t="str">
        <f>IFERROR(__xludf.DUMMYFUNCTION("""COMPUTED_VALUE"""),"")</f>
        <v/>
      </c>
      <c r="T369" s="5" t="str">
        <f>IFERROR(__xludf.DUMMYFUNCTION("""COMPUTED_VALUE"""),"")</f>
        <v/>
      </c>
      <c r="U369" s="5" t="str">
        <f>IFERROR(__xludf.DUMMYFUNCTION("""COMPUTED_VALUE"""),"")</f>
        <v/>
      </c>
      <c r="V369" s="5" t="str">
        <f>IFERROR(__xludf.DUMMYFUNCTION("""COMPUTED_VALUE"""),"")</f>
        <v/>
      </c>
      <c r="W369" s="5" t="str">
        <f>IFERROR(__xludf.DUMMYFUNCTION("""COMPUTED_VALUE"""),"")</f>
        <v/>
      </c>
      <c r="X369" s="5" t="str">
        <f>IFERROR(__xludf.DUMMYFUNCTION("""COMPUTED_VALUE"""),"")</f>
        <v/>
      </c>
      <c r="Y369" s="5"/>
      <c r="Z369" s="5"/>
    </row>
    <row r="370">
      <c r="A370" s="5" t="str">
        <f>IFERROR(__xludf.DUMMYFUNCTION("""COMPUTED_VALUE"""),"Diamond Heart 5")</f>
        <v>Diamond Heart 5</v>
      </c>
      <c r="B370" s="5" t="str">
        <f>IFERROR(__xludf.DUMMYFUNCTION("""COMPUTED_VALUE"""),"")</f>
        <v/>
      </c>
      <c r="C370" s="5" t="str">
        <f>IFERROR(__xludf.DUMMYFUNCTION("""COMPUTED_VALUE"""),"")</f>
        <v/>
      </c>
      <c r="D370" s="5" t="str">
        <f>IFERROR(__xludf.DUMMYFUNCTION("""COMPUTED_VALUE"""),"")</f>
        <v/>
      </c>
      <c r="E370" s="5" t="str">
        <f>IFERROR(__xludf.DUMMYFUNCTION("""COMPUTED_VALUE"""),"")</f>
        <v/>
      </c>
      <c r="F370" s="5" t="str">
        <f>IFERROR(__xludf.DUMMYFUNCTION("""COMPUTED_VALUE"""),"")</f>
        <v/>
      </c>
      <c r="G370" s="5" t="str">
        <f>IFERROR(__xludf.DUMMYFUNCTION("""COMPUTED_VALUE"""),"")</f>
        <v/>
      </c>
      <c r="H370" s="5" t="str">
        <f>IFERROR(__xludf.DUMMYFUNCTION("""COMPUTED_VALUE"""),"")</f>
        <v/>
      </c>
      <c r="I370" s="5" t="str">
        <f>IFERROR(__xludf.DUMMYFUNCTION("""COMPUTED_VALUE"""),"")</f>
        <v/>
      </c>
      <c r="J370" s="5" t="str">
        <f>IFERROR(__xludf.DUMMYFUNCTION("""COMPUTED_VALUE"""),"")</f>
        <v/>
      </c>
      <c r="K370" s="5" t="str">
        <f>IFERROR(__xludf.DUMMYFUNCTION("""COMPUTED_VALUE"""),"")</f>
        <v/>
      </c>
      <c r="L370" s="5" t="str">
        <f>IFERROR(__xludf.DUMMYFUNCTION("""COMPUTED_VALUE"""),"")</f>
        <v/>
      </c>
      <c r="M370" s="5" t="str">
        <f>IFERROR(__xludf.DUMMYFUNCTION("""COMPUTED_VALUE"""),"")</f>
        <v/>
      </c>
      <c r="N370" s="5" t="str">
        <f>IFERROR(__xludf.DUMMYFUNCTION("""COMPUTED_VALUE"""),"")</f>
        <v/>
      </c>
      <c r="O370" s="5" t="str">
        <f>IFERROR(__xludf.DUMMYFUNCTION("""COMPUTED_VALUE"""),"")</f>
        <v/>
      </c>
      <c r="P370" s="5" t="str">
        <f>IFERROR(__xludf.DUMMYFUNCTION("""COMPUTED_VALUE"""),"")</f>
        <v/>
      </c>
      <c r="Q370" s="5" t="str">
        <f>IFERROR(__xludf.DUMMYFUNCTION("""COMPUTED_VALUE"""),"")</f>
        <v/>
      </c>
      <c r="R370" s="5" t="str">
        <f>IFERROR(__xludf.DUMMYFUNCTION("""COMPUTED_VALUE"""),"")</f>
        <v/>
      </c>
      <c r="S370" s="5" t="str">
        <f>IFERROR(__xludf.DUMMYFUNCTION("""COMPUTED_VALUE"""),"")</f>
        <v/>
      </c>
      <c r="T370" s="5" t="str">
        <f>IFERROR(__xludf.DUMMYFUNCTION("""COMPUTED_VALUE"""),"")</f>
        <v/>
      </c>
      <c r="U370" s="5" t="str">
        <f>IFERROR(__xludf.DUMMYFUNCTION("""COMPUTED_VALUE"""),"")</f>
        <v/>
      </c>
      <c r="V370" s="5" t="str">
        <f>IFERROR(__xludf.DUMMYFUNCTION("""COMPUTED_VALUE"""),"")</f>
        <v/>
      </c>
      <c r="W370" s="5" t="str">
        <f>IFERROR(__xludf.DUMMYFUNCTION("""COMPUTED_VALUE"""),"")</f>
        <v/>
      </c>
      <c r="X370" s="5" t="str">
        <f>IFERROR(__xludf.DUMMYFUNCTION("""COMPUTED_VALUE"""),"")</f>
        <v/>
      </c>
      <c r="Y370" s="5"/>
      <c r="Z370" s="5"/>
    </row>
    <row r="371">
      <c r="A371" s="5" t="str">
        <f>IFERROR(__xludf.DUMMYFUNCTION("""COMPUTED_VALUE"""),"100 Clover Fire")</f>
        <v>100 Clover Fire</v>
      </c>
      <c r="B371" s="5" t="str">
        <f>IFERROR(__xludf.DUMMYFUNCTION("""COMPUTED_VALUE"""),"")</f>
        <v/>
      </c>
      <c r="C371" s="5" t="str">
        <f>IFERROR(__xludf.DUMMYFUNCTION("""COMPUTED_VALUE"""),"")</f>
        <v/>
      </c>
      <c r="D371" s="5" t="str">
        <f>IFERROR(__xludf.DUMMYFUNCTION("""COMPUTED_VALUE"""),"")</f>
        <v/>
      </c>
      <c r="E371" s="5" t="str">
        <f>IFERROR(__xludf.DUMMYFUNCTION("""COMPUTED_VALUE"""),"")</f>
        <v/>
      </c>
      <c r="F371" s="5" t="str">
        <f>IFERROR(__xludf.DUMMYFUNCTION("""COMPUTED_VALUE"""),"")</f>
        <v/>
      </c>
      <c r="G371" s="5" t="str">
        <f>IFERROR(__xludf.DUMMYFUNCTION("""COMPUTED_VALUE"""),"")</f>
        <v/>
      </c>
      <c r="H371" s="5" t="str">
        <f>IFERROR(__xludf.DUMMYFUNCTION("""COMPUTED_VALUE"""),"")</f>
        <v/>
      </c>
      <c r="I371" s="5" t="str">
        <f>IFERROR(__xludf.DUMMYFUNCTION("""COMPUTED_VALUE"""),"")</f>
        <v/>
      </c>
      <c r="J371" s="5" t="str">
        <f>IFERROR(__xludf.DUMMYFUNCTION("""COMPUTED_VALUE"""),"")</f>
        <v/>
      </c>
      <c r="K371" s="5" t="str">
        <f>IFERROR(__xludf.DUMMYFUNCTION("""COMPUTED_VALUE"""),"")</f>
        <v/>
      </c>
      <c r="L371" s="5" t="str">
        <f>IFERROR(__xludf.DUMMYFUNCTION("""COMPUTED_VALUE"""),"")</f>
        <v/>
      </c>
      <c r="M371" s="5" t="str">
        <f>IFERROR(__xludf.DUMMYFUNCTION("""COMPUTED_VALUE"""),"")</f>
        <v/>
      </c>
      <c r="N371" s="5" t="str">
        <f>IFERROR(__xludf.DUMMYFUNCTION("""COMPUTED_VALUE"""),"")</f>
        <v/>
      </c>
      <c r="O371" s="5" t="str">
        <f>IFERROR(__xludf.DUMMYFUNCTION("""COMPUTED_VALUE"""),"")</f>
        <v/>
      </c>
      <c r="P371" s="5" t="str">
        <f>IFERROR(__xludf.DUMMYFUNCTION("""COMPUTED_VALUE"""),"")</f>
        <v/>
      </c>
      <c r="Q371" s="5" t="str">
        <f>IFERROR(__xludf.DUMMYFUNCTION("""COMPUTED_VALUE"""),"")</f>
        <v/>
      </c>
      <c r="R371" s="5" t="str">
        <f>IFERROR(__xludf.DUMMYFUNCTION("""COMPUTED_VALUE"""),"")</f>
        <v/>
      </c>
      <c r="S371" s="5" t="str">
        <f>IFERROR(__xludf.DUMMYFUNCTION("""COMPUTED_VALUE"""),"")</f>
        <v/>
      </c>
      <c r="T371" s="5" t="str">
        <f>IFERROR(__xludf.DUMMYFUNCTION("""COMPUTED_VALUE"""),"")</f>
        <v/>
      </c>
      <c r="U371" s="5" t="str">
        <f>IFERROR(__xludf.DUMMYFUNCTION("""COMPUTED_VALUE"""),"")</f>
        <v/>
      </c>
      <c r="V371" s="5" t="str">
        <f>IFERROR(__xludf.DUMMYFUNCTION("""COMPUTED_VALUE"""),"")</f>
        <v/>
      </c>
      <c r="W371" s="5" t="str">
        <f>IFERROR(__xludf.DUMMYFUNCTION("""COMPUTED_VALUE"""),"")</f>
        <v/>
      </c>
      <c r="X371" s="5" t="str">
        <f>IFERROR(__xludf.DUMMYFUNCTION("""COMPUTED_VALUE"""),"")</f>
        <v/>
      </c>
      <c r="Y371" s="5"/>
      <c r="Z371" s="5"/>
    </row>
    <row r="372">
      <c r="A372" s="5" t="str">
        <f>IFERROR(__xludf.DUMMYFUNCTION("""COMPUTED_VALUE"""),"Volcano Crown")</f>
        <v>Volcano Crown</v>
      </c>
      <c r="B372" s="5" t="str">
        <f>IFERROR(__xludf.DUMMYFUNCTION("""COMPUTED_VALUE"""),"")</f>
        <v/>
      </c>
      <c r="C372" s="5" t="str">
        <f>IFERROR(__xludf.DUMMYFUNCTION("""COMPUTED_VALUE"""),"")</f>
        <v/>
      </c>
      <c r="D372" s="5" t="str">
        <f>IFERROR(__xludf.DUMMYFUNCTION("""COMPUTED_VALUE"""),"")</f>
        <v/>
      </c>
      <c r="E372" s="5" t="str">
        <f>IFERROR(__xludf.DUMMYFUNCTION("""COMPUTED_VALUE"""),"")</f>
        <v/>
      </c>
      <c r="F372" s="5" t="str">
        <f>IFERROR(__xludf.DUMMYFUNCTION("""COMPUTED_VALUE"""),"")</f>
        <v/>
      </c>
      <c r="G372" s="5" t="str">
        <f>IFERROR(__xludf.DUMMYFUNCTION("""COMPUTED_VALUE"""),"")</f>
        <v/>
      </c>
      <c r="H372" s="5" t="str">
        <f>IFERROR(__xludf.DUMMYFUNCTION("""COMPUTED_VALUE"""),"")</f>
        <v/>
      </c>
      <c r="I372" s="5" t="str">
        <f>IFERROR(__xludf.DUMMYFUNCTION("""COMPUTED_VALUE"""),"")</f>
        <v/>
      </c>
      <c r="J372" s="5" t="str">
        <f>IFERROR(__xludf.DUMMYFUNCTION("""COMPUTED_VALUE"""),"")</f>
        <v/>
      </c>
      <c r="K372" s="5" t="str">
        <f>IFERROR(__xludf.DUMMYFUNCTION("""COMPUTED_VALUE"""),"")</f>
        <v/>
      </c>
      <c r="L372" s="5" t="str">
        <f>IFERROR(__xludf.DUMMYFUNCTION("""COMPUTED_VALUE"""),"")</f>
        <v/>
      </c>
      <c r="M372" s="5" t="str">
        <f>IFERROR(__xludf.DUMMYFUNCTION("""COMPUTED_VALUE"""),"")</f>
        <v/>
      </c>
      <c r="N372" s="5" t="str">
        <f>IFERROR(__xludf.DUMMYFUNCTION("""COMPUTED_VALUE"""),"")</f>
        <v/>
      </c>
      <c r="O372" s="5" t="str">
        <f>IFERROR(__xludf.DUMMYFUNCTION("""COMPUTED_VALUE"""),"")</f>
        <v/>
      </c>
      <c r="P372" s="5" t="str">
        <f>IFERROR(__xludf.DUMMYFUNCTION("""COMPUTED_VALUE"""),"")</f>
        <v/>
      </c>
      <c r="Q372" s="5" t="str">
        <f>IFERROR(__xludf.DUMMYFUNCTION("""COMPUTED_VALUE"""),"")</f>
        <v/>
      </c>
      <c r="R372" s="5" t="str">
        <f>IFERROR(__xludf.DUMMYFUNCTION("""COMPUTED_VALUE"""),"")</f>
        <v/>
      </c>
      <c r="S372" s="5" t="str">
        <f>IFERROR(__xludf.DUMMYFUNCTION("""COMPUTED_VALUE"""),"")</f>
        <v/>
      </c>
      <c r="T372" s="5" t="str">
        <f>IFERROR(__xludf.DUMMYFUNCTION("""COMPUTED_VALUE"""),"")</f>
        <v/>
      </c>
      <c r="U372" s="5" t="str">
        <f>IFERROR(__xludf.DUMMYFUNCTION("""COMPUTED_VALUE"""),"")</f>
        <v/>
      </c>
      <c r="V372" s="5" t="str">
        <f>IFERROR(__xludf.DUMMYFUNCTION("""COMPUTED_VALUE"""),"")</f>
        <v/>
      </c>
      <c r="W372" s="5" t="str">
        <f>IFERROR(__xludf.DUMMYFUNCTION("""COMPUTED_VALUE"""),"")</f>
        <v/>
      </c>
      <c r="X372" s="5" t="str">
        <f>IFERROR(__xludf.DUMMYFUNCTION("""COMPUTED_VALUE"""),"")</f>
        <v/>
      </c>
      <c r="Y372" s="5"/>
      <c r="Z372" s="5"/>
    </row>
    <row r="373">
      <c r="A373" s="5" t="str">
        <f>IFERROR(__xludf.DUMMYFUNCTION("""COMPUTED_VALUE"""),"Gold Line Dice")</f>
        <v>Gold Line Dice</v>
      </c>
      <c r="B373" s="5" t="str">
        <f>IFERROR(__xludf.DUMMYFUNCTION("""COMPUTED_VALUE"""),"")</f>
        <v/>
      </c>
      <c r="C373" s="5" t="str">
        <f>IFERROR(__xludf.DUMMYFUNCTION("""COMPUTED_VALUE"""),"")</f>
        <v/>
      </c>
      <c r="D373" s="5" t="str">
        <f>IFERROR(__xludf.DUMMYFUNCTION("""COMPUTED_VALUE"""),"")</f>
        <v/>
      </c>
      <c r="E373" s="5" t="str">
        <f>IFERROR(__xludf.DUMMYFUNCTION("""COMPUTED_VALUE"""),"")</f>
        <v/>
      </c>
      <c r="F373" s="5" t="str">
        <f>IFERROR(__xludf.DUMMYFUNCTION("""COMPUTED_VALUE"""),"")</f>
        <v/>
      </c>
      <c r="G373" s="5" t="str">
        <f>IFERROR(__xludf.DUMMYFUNCTION("""COMPUTED_VALUE"""),"")</f>
        <v/>
      </c>
      <c r="H373" s="5" t="str">
        <f>IFERROR(__xludf.DUMMYFUNCTION("""COMPUTED_VALUE"""),"")</f>
        <v/>
      </c>
      <c r="I373" s="5" t="str">
        <f>IFERROR(__xludf.DUMMYFUNCTION("""COMPUTED_VALUE"""),"")</f>
        <v/>
      </c>
      <c r="J373" s="5" t="str">
        <f>IFERROR(__xludf.DUMMYFUNCTION("""COMPUTED_VALUE"""),"")</f>
        <v/>
      </c>
      <c r="K373" s="5" t="str">
        <f>IFERROR(__xludf.DUMMYFUNCTION("""COMPUTED_VALUE"""),"")</f>
        <v/>
      </c>
      <c r="L373" s="5" t="str">
        <f>IFERROR(__xludf.DUMMYFUNCTION("""COMPUTED_VALUE"""),"")</f>
        <v/>
      </c>
      <c r="M373" s="5" t="str">
        <f>IFERROR(__xludf.DUMMYFUNCTION("""COMPUTED_VALUE"""),"")</f>
        <v/>
      </c>
      <c r="N373" s="5" t="str">
        <f>IFERROR(__xludf.DUMMYFUNCTION("""COMPUTED_VALUE"""),"")</f>
        <v/>
      </c>
      <c r="O373" s="5" t="str">
        <f>IFERROR(__xludf.DUMMYFUNCTION("""COMPUTED_VALUE"""),"")</f>
        <v/>
      </c>
      <c r="P373" s="5" t="str">
        <f>IFERROR(__xludf.DUMMYFUNCTION("""COMPUTED_VALUE"""),"")</f>
        <v/>
      </c>
      <c r="Q373" s="5" t="str">
        <f>IFERROR(__xludf.DUMMYFUNCTION("""COMPUTED_VALUE"""),"")</f>
        <v/>
      </c>
      <c r="R373" s="5" t="str">
        <f>IFERROR(__xludf.DUMMYFUNCTION("""COMPUTED_VALUE"""),"")</f>
        <v/>
      </c>
      <c r="S373" s="5" t="str">
        <f>IFERROR(__xludf.DUMMYFUNCTION("""COMPUTED_VALUE"""),"")</f>
        <v/>
      </c>
      <c r="T373" s="5" t="str">
        <f>IFERROR(__xludf.DUMMYFUNCTION("""COMPUTED_VALUE"""),"")</f>
        <v/>
      </c>
      <c r="U373" s="5" t="str">
        <f>IFERROR(__xludf.DUMMYFUNCTION("""COMPUTED_VALUE"""),"")</f>
        <v/>
      </c>
      <c r="V373" s="5" t="str">
        <f>IFERROR(__xludf.DUMMYFUNCTION("""COMPUTED_VALUE"""),"")</f>
        <v/>
      </c>
      <c r="W373" s="5" t="str">
        <f>IFERROR(__xludf.DUMMYFUNCTION("""COMPUTED_VALUE"""),"")</f>
        <v/>
      </c>
      <c r="X373" s="5" t="str">
        <f>IFERROR(__xludf.DUMMYFUNCTION("""COMPUTED_VALUE"""),"")</f>
        <v/>
      </c>
      <c r="Y373" s="5"/>
      <c r="Z373" s="5"/>
    </row>
    <row r="374">
      <c r="A374" s="5" t="str">
        <f>IFERROR(__xludf.DUMMYFUNCTION("""COMPUTED_VALUE"""),"Lava Diamonds Christmas")</f>
        <v>Lava Diamonds Christmas</v>
      </c>
      <c r="B374" s="5" t="str">
        <f>IFERROR(__xludf.DUMMYFUNCTION("""COMPUTED_VALUE"""),"")</f>
        <v/>
      </c>
      <c r="C374" s="5" t="str">
        <f>IFERROR(__xludf.DUMMYFUNCTION("""COMPUTED_VALUE"""),"")</f>
        <v/>
      </c>
      <c r="D374" s="5" t="str">
        <f>IFERROR(__xludf.DUMMYFUNCTION("""COMPUTED_VALUE"""),"")</f>
        <v/>
      </c>
      <c r="E374" s="5" t="str">
        <f>IFERROR(__xludf.DUMMYFUNCTION("""COMPUTED_VALUE"""),"")</f>
        <v/>
      </c>
      <c r="F374" s="5" t="str">
        <f>IFERROR(__xludf.DUMMYFUNCTION("""COMPUTED_VALUE"""),"")</f>
        <v/>
      </c>
      <c r="G374" s="5" t="str">
        <f>IFERROR(__xludf.DUMMYFUNCTION("""COMPUTED_VALUE"""),"")</f>
        <v/>
      </c>
      <c r="H374" s="5" t="str">
        <f>IFERROR(__xludf.DUMMYFUNCTION("""COMPUTED_VALUE"""),"")</f>
        <v/>
      </c>
      <c r="I374" s="5" t="str">
        <f>IFERROR(__xludf.DUMMYFUNCTION("""COMPUTED_VALUE"""),"")</f>
        <v/>
      </c>
      <c r="J374" s="5" t="str">
        <f>IFERROR(__xludf.DUMMYFUNCTION("""COMPUTED_VALUE"""),"")</f>
        <v/>
      </c>
      <c r="K374" s="5" t="str">
        <f>IFERROR(__xludf.DUMMYFUNCTION("""COMPUTED_VALUE"""),"")</f>
        <v/>
      </c>
      <c r="L374" s="5" t="str">
        <f>IFERROR(__xludf.DUMMYFUNCTION("""COMPUTED_VALUE"""),"")</f>
        <v/>
      </c>
      <c r="M374" s="5" t="str">
        <f>IFERROR(__xludf.DUMMYFUNCTION("""COMPUTED_VALUE"""),"")</f>
        <v/>
      </c>
      <c r="N374" s="5" t="str">
        <f>IFERROR(__xludf.DUMMYFUNCTION("""COMPUTED_VALUE"""),"")</f>
        <v/>
      </c>
      <c r="O374" s="5" t="str">
        <f>IFERROR(__xludf.DUMMYFUNCTION("""COMPUTED_VALUE"""),"")</f>
        <v/>
      </c>
      <c r="P374" s="5" t="str">
        <f>IFERROR(__xludf.DUMMYFUNCTION("""COMPUTED_VALUE"""),"")</f>
        <v/>
      </c>
      <c r="Q374" s="5" t="str">
        <f>IFERROR(__xludf.DUMMYFUNCTION("""COMPUTED_VALUE"""),"")</f>
        <v/>
      </c>
      <c r="R374" s="5" t="str">
        <f>IFERROR(__xludf.DUMMYFUNCTION("""COMPUTED_VALUE"""),"")</f>
        <v/>
      </c>
      <c r="S374" s="5" t="str">
        <f>IFERROR(__xludf.DUMMYFUNCTION("""COMPUTED_VALUE"""),"")</f>
        <v/>
      </c>
      <c r="T374" s="5" t="str">
        <f>IFERROR(__xludf.DUMMYFUNCTION("""COMPUTED_VALUE"""),"")</f>
        <v/>
      </c>
      <c r="U374" s="5" t="str">
        <f>IFERROR(__xludf.DUMMYFUNCTION("""COMPUTED_VALUE"""),"")</f>
        <v/>
      </c>
      <c r="V374" s="5" t="str">
        <f>IFERROR(__xludf.DUMMYFUNCTION("""COMPUTED_VALUE"""),"")</f>
        <v/>
      </c>
      <c r="W374" s="5" t="str">
        <f>IFERROR(__xludf.DUMMYFUNCTION("""COMPUTED_VALUE"""),"")</f>
        <v/>
      </c>
      <c r="X374" s="5" t="str">
        <f>IFERROR(__xludf.DUMMYFUNCTION("""COMPUTED_VALUE"""),"")</f>
        <v/>
      </c>
      <c r="Y374" s="5"/>
      <c r="Z374" s="5"/>
    </row>
    <row r="375">
      <c r="A375" s="5" t="str">
        <f>IFERROR(__xludf.DUMMYFUNCTION("""COMPUTED_VALUE"""),"Pumpkin Horror")</f>
        <v>Pumpkin Horror</v>
      </c>
      <c r="B375" s="5" t="str">
        <f>IFERROR(__xludf.DUMMYFUNCTION("""COMPUTED_VALUE"""),"")</f>
        <v/>
      </c>
      <c r="C375" s="5" t="str">
        <f>IFERROR(__xludf.DUMMYFUNCTION("""COMPUTED_VALUE"""),"")</f>
        <v/>
      </c>
      <c r="D375" s="5" t="str">
        <f>IFERROR(__xludf.DUMMYFUNCTION("""COMPUTED_VALUE"""),"")</f>
        <v/>
      </c>
      <c r="E375" s="5" t="str">
        <f>IFERROR(__xludf.DUMMYFUNCTION("""COMPUTED_VALUE"""),"")</f>
        <v/>
      </c>
      <c r="F375" s="5" t="str">
        <f>IFERROR(__xludf.DUMMYFUNCTION("""COMPUTED_VALUE"""),"")</f>
        <v/>
      </c>
      <c r="G375" s="5" t="str">
        <f>IFERROR(__xludf.DUMMYFUNCTION("""COMPUTED_VALUE"""),"")</f>
        <v/>
      </c>
      <c r="H375" s="5" t="str">
        <f>IFERROR(__xludf.DUMMYFUNCTION("""COMPUTED_VALUE"""),"")</f>
        <v/>
      </c>
      <c r="I375" s="5" t="str">
        <f>IFERROR(__xludf.DUMMYFUNCTION("""COMPUTED_VALUE"""),"")</f>
        <v/>
      </c>
      <c r="J375" s="5" t="str">
        <f>IFERROR(__xludf.DUMMYFUNCTION("""COMPUTED_VALUE"""),"")</f>
        <v/>
      </c>
      <c r="K375" s="5" t="str">
        <f>IFERROR(__xludf.DUMMYFUNCTION("""COMPUTED_VALUE"""),"")</f>
        <v/>
      </c>
      <c r="L375" s="5" t="str">
        <f>IFERROR(__xludf.DUMMYFUNCTION("""COMPUTED_VALUE"""),"")</f>
        <v/>
      </c>
      <c r="M375" s="5" t="str">
        <f>IFERROR(__xludf.DUMMYFUNCTION("""COMPUTED_VALUE"""),"")</f>
        <v/>
      </c>
      <c r="N375" s="5" t="str">
        <f>IFERROR(__xludf.DUMMYFUNCTION("""COMPUTED_VALUE"""),"")</f>
        <v/>
      </c>
      <c r="O375" s="5" t="str">
        <f>IFERROR(__xludf.DUMMYFUNCTION("""COMPUTED_VALUE"""),"")</f>
        <v/>
      </c>
      <c r="P375" s="5" t="str">
        <f>IFERROR(__xludf.DUMMYFUNCTION("""COMPUTED_VALUE"""),"")</f>
        <v/>
      </c>
      <c r="Q375" s="5" t="str">
        <f>IFERROR(__xludf.DUMMYFUNCTION("""COMPUTED_VALUE"""),"")</f>
        <v/>
      </c>
      <c r="R375" s="5" t="str">
        <f>IFERROR(__xludf.DUMMYFUNCTION("""COMPUTED_VALUE"""),"")</f>
        <v/>
      </c>
      <c r="S375" s="5" t="str">
        <f>IFERROR(__xludf.DUMMYFUNCTION("""COMPUTED_VALUE"""),"")</f>
        <v/>
      </c>
      <c r="T375" s="5" t="str">
        <f>IFERROR(__xludf.DUMMYFUNCTION("""COMPUTED_VALUE"""),"")</f>
        <v/>
      </c>
      <c r="U375" s="5" t="str">
        <f>IFERROR(__xludf.DUMMYFUNCTION("""COMPUTED_VALUE"""),"")</f>
        <v/>
      </c>
      <c r="V375" s="5" t="str">
        <f>IFERROR(__xludf.DUMMYFUNCTION("""COMPUTED_VALUE"""),"")</f>
        <v/>
      </c>
      <c r="W375" s="5" t="str">
        <f>IFERROR(__xludf.DUMMYFUNCTION("""COMPUTED_VALUE"""),"")</f>
        <v/>
      </c>
      <c r="X375" s="5" t="str">
        <f>IFERROR(__xludf.DUMMYFUNCTION("""COMPUTED_VALUE"""),"")</f>
        <v/>
      </c>
      <c r="Y375" s="5"/>
      <c r="Z375" s="5"/>
    </row>
    <row r="376">
      <c r="A376" s="5" t="str">
        <f>IFERROR(__xludf.DUMMYFUNCTION("""COMPUTED_VALUE"""),"Majestic Crown 20")</f>
        <v>Majestic Crown 20</v>
      </c>
      <c r="B376" s="5" t="str">
        <f>IFERROR(__xludf.DUMMYFUNCTION("""COMPUTED_VALUE"""),"")</f>
        <v/>
      </c>
      <c r="C376" s="5" t="str">
        <f>IFERROR(__xludf.DUMMYFUNCTION("""COMPUTED_VALUE"""),"")</f>
        <v/>
      </c>
      <c r="D376" s="5" t="str">
        <f>IFERROR(__xludf.DUMMYFUNCTION("""COMPUTED_VALUE"""),"")</f>
        <v/>
      </c>
      <c r="E376" s="5" t="str">
        <f>IFERROR(__xludf.DUMMYFUNCTION("""COMPUTED_VALUE"""),"")</f>
        <v/>
      </c>
      <c r="F376" s="5" t="str">
        <f>IFERROR(__xludf.DUMMYFUNCTION("""COMPUTED_VALUE"""),"")</f>
        <v/>
      </c>
      <c r="G376" s="5" t="str">
        <f>IFERROR(__xludf.DUMMYFUNCTION("""COMPUTED_VALUE"""),"")</f>
        <v/>
      </c>
      <c r="H376" s="5" t="str">
        <f>IFERROR(__xludf.DUMMYFUNCTION("""COMPUTED_VALUE"""),"")</f>
        <v/>
      </c>
      <c r="I376" s="5" t="str">
        <f>IFERROR(__xludf.DUMMYFUNCTION("""COMPUTED_VALUE"""),"")</f>
        <v/>
      </c>
      <c r="J376" s="5" t="str">
        <f>IFERROR(__xludf.DUMMYFUNCTION("""COMPUTED_VALUE"""),"")</f>
        <v/>
      </c>
      <c r="K376" s="5" t="str">
        <f>IFERROR(__xludf.DUMMYFUNCTION("""COMPUTED_VALUE"""),"")</f>
        <v/>
      </c>
      <c r="L376" s="5" t="str">
        <f>IFERROR(__xludf.DUMMYFUNCTION("""COMPUTED_VALUE"""),"")</f>
        <v/>
      </c>
      <c r="M376" s="5" t="str">
        <f>IFERROR(__xludf.DUMMYFUNCTION("""COMPUTED_VALUE"""),"")</f>
        <v/>
      </c>
      <c r="N376" s="5" t="str">
        <f>IFERROR(__xludf.DUMMYFUNCTION("""COMPUTED_VALUE"""),"")</f>
        <v/>
      </c>
      <c r="O376" s="5" t="str">
        <f>IFERROR(__xludf.DUMMYFUNCTION("""COMPUTED_VALUE"""),"")</f>
        <v/>
      </c>
      <c r="P376" s="5" t="str">
        <f>IFERROR(__xludf.DUMMYFUNCTION("""COMPUTED_VALUE"""),"")</f>
        <v/>
      </c>
      <c r="Q376" s="5" t="str">
        <f>IFERROR(__xludf.DUMMYFUNCTION("""COMPUTED_VALUE"""),"")</f>
        <v/>
      </c>
      <c r="R376" s="5" t="str">
        <f>IFERROR(__xludf.DUMMYFUNCTION("""COMPUTED_VALUE"""),"")</f>
        <v/>
      </c>
      <c r="S376" s="5" t="str">
        <f>IFERROR(__xludf.DUMMYFUNCTION("""COMPUTED_VALUE"""),"")</f>
        <v/>
      </c>
      <c r="T376" s="5" t="str">
        <f>IFERROR(__xludf.DUMMYFUNCTION("""COMPUTED_VALUE"""),"")</f>
        <v/>
      </c>
      <c r="U376" s="5" t="str">
        <f>IFERROR(__xludf.DUMMYFUNCTION("""COMPUTED_VALUE"""),"")</f>
        <v/>
      </c>
      <c r="V376" s="5" t="str">
        <f>IFERROR(__xludf.DUMMYFUNCTION("""COMPUTED_VALUE"""),"")</f>
        <v/>
      </c>
      <c r="W376" s="5" t="str">
        <f>IFERROR(__xludf.DUMMYFUNCTION("""COMPUTED_VALUE"""),"")</f>
        <v/>
      </c>
      <c r="X376" s="5" t="str">
        <f>IFERROR(__xludf.DUMMYFUNCTION("""COMPUTED_VALUE"""),"")</f>
        <v/>
      </c>
      <c r="Y376" s="5"/>
      <c r="Z376" s="5"/>
    </row>
    <row r="377">
      <c r="A377" s="5" t="str">
        <f>IFERROR(__xludf.DUMMYFUNCTION("""COMPUTED_VALUE"""),"Diamond Heart 40")</f>
        <v>Diamond Heart 40</v>
      </c>
      <c r="B377" s="5" t="str">
        <f>IFERROR(__xludf.DUMMYFUNCTION("""COMPUTED_VALUE"""),"")</f>
        <v/>
      </c>
      <c r="C377" s="5" t="str">
        <f>IFERROR(__xludf.DUMMYFUNCTION("""COMPUTED_VALUE"""),"")</f>
        <v/>
      </c>
      <c r="D377" s="5" t="str">
        <f>IFERROR(__xludf.DUMMYFUNCTION("""COMPUTED_VALUE"""),"")</f>
        <v/>
      </c>
      <c r="E377" s="5" t="str">
        <f>IFERROR(__xludf.DUMMYFUNCTION("""COMPUTED_VALUE"""),"")</f>
        <v/>
      </c>
      <c r="F377" s="5" t="str">
        <f>IFERROR(__xludf.DUMMYFUNCTION("""COMPUTED_VALUE"""),"")</f>
        <v/>
      </c>
      <c r="G377" s="5" t="str">
        <f>IFERROR(__xludf.DUMMYFUNCTION("""COMPUTED_VALUE"""),"")</f>
        <v/>
      </c>
      <c r="H377" s="5" t="str">
        <f>IFERROR(__xludf.DUMMYFUNCTION("""COMPUTED_VALUE"""),"")</f>
        <v/>
      </c>
      <c r="I377" s="5" t="str">
        <f>IFERROR(__xludf.DUMMYFUNCTION("""COMPUTED_VALUE"""),"")</f>
        <v/>
      </c>
      <c r="J377" s="5" t="str">
        <f>IFERROR(__xludf.DUMMYFUNCTION("""COMPUTED_VALUE"""),"")</f>
        <v/>
      </c>
      <c r="K377" s="5" t="str">
        <f>IFERROR(__xludf.DUMMYFUNCTION("""COMPUTED_VALUE"""),"")</f>
        <v/>
      </c>
      <c r="L377" s="5" t="str">
        <f>IFERROR(__xludf.DUMMYFUNCTION("""COMPUTED_VALUE"""),"")</f>
        <v/>
      </c>
      <c r="M377" s="5" t="str">
        <f>IFERROR(__xludf.DUMMYFUNCTION("""COMPUTED_VALUE"""),"")</f>
        <v/>
      </c>
      <c r="N377" s="5" t="str">
        <f>IFERROR(__xludf.DUMMYFUNCTION("""COMPUTED_VALUE"""),"")</f>
        <v/>
      </c>
      <c r="O377" s="5" t="str">
        <f>IFERROR(__xludf.DUMMYFUNCTION("""COMPUTED_VALUE"""),"")</f>
        <v/>
      </c>
      <c r="P377" s="5" t="str">
        <f>IFERROR(__xludf.DUMMYFUNCTION("""COMPUTED_VALUE"""),"")</f>
        <v/>
      </c>
      <c r="Q377" s="5" t="str">
        <f>IFERROR(__xludf.DUMMYFUNCTION("""COMPUTED_VALUE"""),"")</f>
        <v/>
      </c>
      <c r="R377" s="5" t="str">
        <f>IFERROR(__xludf.DUMMYFUNCTION("""COMPUTED_VALUE"""),"")</f>
        <v/>
      </c>
      <c r="S377" s="5" t="str">
        <f>IFERROR(__xludf.DUMMYFUNCTION("""COMPUTED_VALUE"""),"")</f>
        <v/>
      </c>
      <c r="T377" s="5" t="str">
        <f>IFERROR(__xludf.DUMMYFUNCTION("""COMPUTED_VALUE"""),"")</f>
        <v/>
      </c>
      <c r="U377" s="5" t="str">
        <f>IFERROR(__xludf.DUMMYFUNCTION("""COMPUTED_VALUE"""),"")</f>
        <v/>
      </c>
      <c r="V377" s="5" t="str">
        <f>IFERROR(__xludf.DUMMYFUNCTION("""COMPUTED_VALUE"""),"")</f>
        <v/>
      </c>
      <c r="W377" s="5" t="str">
        <f>IFERROR(__xludf.DUMMYFUNCTION("""COMPUTED_VALUE"""),"")</f>
        <v/>
      </c>
      <c r="X377" s="5" t="str">
        <f>IFERROR(__xludf.DUMMYFUNCTION("""COMPUTED_VALUE"""),"")</f>
        <v/>
      </c>
      <c r="Y377" s="5"/>
      <c r="Z377" s="5"/>
    </row>
    <row r="378">
      <c r="A378" s="5" t="str">
        <f>IFERROR(__xludf.DUMMYFUNCTION("""COMPUTED_VALUE"""),"Hit Line")</f>
        <v>Hit Line</v>
      </c>
      <c r="B378" s="5" t="str">
        <f>IFERROR(__xludf.DUMMYFUNCTION("""COMPUTED_VALUE"""),"")</f>
        <v/>
      </c>
      <c r="C378" s="5" t="str">
        <f>IFERROR(__xludf.DUMMYFUNCTION("""COMPUTED_VALUE"""),"")</f>
        <v/>
      </c>
      <c r="D378" s="5" t="str">
        <f>IFERROR(__xludf.DUMMYFUNCTION("""COMPUTED_VALUE"""),"")</f>
        <v/>
      </c>
      <c r="E378" s="5" t="str">
        <f>IFERROR(__xludf.DUMMYFUNCTION("""COMPUTED_VALUE"""),"")</f>
        <v/>
      </c>
      <c r="F378" s="5" t="str">
        <f>IFERROR(__xludf.DUMMYFUNCTION("""COMPUTED_VALUE"""),"")</f>
        <v/>
      </c>
      <c r="G378" s="5" t="str">
        <f>IFERROR(__xludf.DUMMYFUNCTION("""COMPUTED_VALUE"""),"")</f>
        <v/>
      </c>
      <c r="H378" s="5" t="str">
        <f>IFERROR(__xludf.DUMMYFUNCTION("""COMPUTED_VALUE"""),"")</f>
        <v/>
      </c>
      <c r="I378" s="5" t="str">
        <f>IFERROR(__xludf.DUMMYFUNCTION("""COMPUTED_VALUE"""),"")</f>
        <v/>
      </c>
      <c r="J378" s="5" t="str">
        <f>IFERROR(__xludf.DUMMYFUNCTION("""COMPUTED_VALUE"""),"")</f>
        <v/>
      </c>
      <c r="K378" s="5" t="str">
        <f>IFERROR(__xludf.DUMMYFUNCTION("""COMPUTED_VALUE"""),"")</f>
        <v/>
      </c>
      <c r="L378" s="5" t="str">
        <f>IFERROR(__xludf.DUMMYFUNCTION("""COMPUTED_VALUE"""),"")</f>
        <v/>
      </c>
      <c r="M378" s="5" t="str">
        <f>IFERROR(__xludf.DUMMYFUNCTION("""COMPUTED_VALUE"""),"")</f>
        <v/>
      </c>
      <c r="N378" s="5" t="str">
        <f>IFERROR(__xludf.DUMMYFUNCTION("""COMPUTED_VALUE"""),"")</f>
        <v/>
      </c>
      <c r="O378" s="5" t="str">
        <f>IFERROR(__xludf.DUMMYFUNCTION("""COMPUTED_VALUE"""),"")</f>
        <v/>
      </c>
      <c r="P378" s="5" t="str">
        <f>IFERROR(__xludf.DUMMYFUNCTION("""COMPUTED_VALUE"""),"")</f>
        <v/>
      </c>
      <c r="Q378" s="5" t="str">
        <f>IFERROR(__xludf.DUMMYFUNCTION("""COMPUTED_VALUE"""),"")</f>
        <v/>
      </c>
      <c r="R378" s="5" t="str">
        <f>IFERROR(__xludf.DUMMYFUNCTION("""COMPUTED_VALUE"""),"")</f>
        <v/>
      </c>
      <c r="S378" s="5" t="str">
        <f>IFERROR(__xludf.DUMMYFUNCTION("""COMPUTED_VALUE"""),"")</f>
        <v/>
      </c>
      <c r="T378" s="5" t="str">
        <f>IFERROR(__xludf.DUMMYFUNCTION("""COMPUTED_VALUE"""),"")</f>
        <v/>
      </c>
      <c r="U378" s="5" t="str">
        <f>IFERROR(__xludf.DUMMYFUNCTION("""COMPUTED_VALUE"""),"")</f>
        <v/>
      </c>
      <c r="V378" s="5" t="str">
        <f>IFERROR(__xludf.DUMMYFUNCTION("""COMPUTED_VALUE"""),"")</f>
        <v/>
      </c>
      <c r="W378" s="5" t="str">
        <f>IFERROR(__xludf.DUMMYFUNCTION("""COMPUTED_VALUE"""),"")</f>
        <v/>
      </c>
      <c r="X378" s="5" t="str">
        <f>IFERROR(__xludf.DUMMYFUNCTION("""COMPUTED_VALUE"""),"")</f>
        <v/>
      </c>
      <c r="Y378" s="5"/>
      <c r="Z378" s="5"/>
    </row>
    <row r="379">
      <c r="A379" s="5" t="str">
        <f>IFERROR(__xludf.DUMMYFUNCTION("""COMPUTED_VALUE"""),"Spooky Spins")</f>
        <v>Spooky Spins</v>
      </c>
      <c r="B379" s="5" t="str">
        <f>IFERROR(__xludf.DUMMYFUNCTION("""COMPUTED_VALUE"""),"")</f>
        <v/>
      </c>
      <c r="C379" s="5" t="str">
        <f>IFERROR(__xludf.DUMMYFUNCTION("""COMPUTED_VALUE"""),"")</f>
        <v/>
      </c>
      <c r="D379" s="5" t="str">
        <f>IFERROR(__xludf.DUMMYFUNCTION("""COMPUTED_VALUE"""),"")</f>
        <v/>
      </c>
      <c r="E379" s="5" t="str">
        <f>IFERROR(__xludf.DUMMYFUNCTION("""COMPUTED_VALUE"""),"")</f>
        <v/>
      </c>
      <c r="F379" s="5" t="str">
        <f>IFERROR(__xludf.DUMMYFUNCTION("""COMPUTED_VALUE"""),"")</f>
        <v/>
      </c>
      <c r="G379" s="5" t="str">
        <f>IFERROR(__xludf.DUMMYFUNCTION("""COMPUTED_VALUE"""),"")</f>
        <v/>
      </c>
      <c r="H379" s="5" t="str">
        <f>IFERROR(__xludf.DUMMYFUNCTION("""COMPUTED_VALUE"""),"")</f>
        <v/>
      </c>
      <c r="I379" s="5" t="str">
        <f>IFERROR(__xludf.DUMMYFUNCTION("""COMPUTED_VALUE"""),"")</f>
        <v/>
      </c>
      <c r="J379" s="5" t="str">
        <f>IFERROR(__xludf.DUMMYFUNCTION("""COMPUTED_VALUE"""),"")</f>
        <v/>
      </c>
      <c r="K379" s="5" t="str">
        <f>IFERROR(__xludf.DUMMYFUNCTION("""COMPUTED_VALUE"""),"")</f>
        <v/>
      </c>
      <c r="L379" s="5" t="str">
        <f>IFERROR(__xludf.DUMMYFUNCTION("""COMPUTED_VALUE"""),"")</f>
        <v/>
      </c>
      <c r="M379" s="5" t="str">
        <f>IFERROR(__xludf.DUMMYFUNCTION("""COMPUTED_VALUE"""),"")</f>
        <v/>
      </c>
      <c r="N379" s="5" t="str">
        <f>IFERROR(__xludf.DUMMYFUNCTION("""COMPUTED_VALUE"""),"")</f>
        <v/>
      </c>
      <c r="O379" s="5" t="str">
        <f>IFERROR(__xludf.DUMMYFUNCTION("""COMPUTED_VALUE"""),"")</f>
        <v/>
      </c>
      <c r="P379" s="5" t="str">
        <f>IFERROR(__xludf.DUMMYFUNCTION("""COMPUTED_VALUE"""),"")</f>
        <v/>
      </c>
      <c r="Q379" s="5" t="str">
        <f>IFERROR(__xludf.DUMMYFUNCTION("""COMPUTED_VALUE"""),"")</f>
        <v/>
      </c>
      <c r="R379" s="5" t="str">
        <f>IFERROR(__xludf.DUMMYFUNCTION("""COMPUTED_VALUE"""),"")</f>
        <v/>
      </c>
      <c r="S379" s="5" t="str">
        <f>IFERROR(__xludf.DUMMYFUNCTION("""COMPUTED_VALUE"""),"")</f>
        <v/>
      </c>
      <c r="T379" s="5" t="str">
        <f>IFERROR(__xludf.DUMMYFUNCTION("""COMPUTED_VALUE"""),"")</f>
        <v/>
      </c>
      <c r="U379" s="5" t="str">
        <f>IFERROR(__xludf.DUMMYFUNCTION("""COMPUTED_VALUE"""),"")</f>
        <v/>
      </c>
      <c r="V379" s="5" t="str">
        <f>IFERROR(__xludf.DUMMYFUNCTION("""COMPUTED_VALUE"""),"")</f>
        <v/>
      </c>
      <c r="W379" s="5" t="str">
        <f>IFERROR(__xludf.DUMMYFUNCTION("""COMPUTED_VALUE"""),"")</f>
        <v/>
      </c>
      <c r="X379" s="5" t="str">
        <f>IFERROR(__xludf.DUMMYFUNCTION("""COMPUTED_VALUE"""),"")</f>
        <v/>
      </c>
      <c r="Y379" s="5"/>
      <c r="Z379" s="5"/>
    </row>
    <row r="380">
      <c r="A380" s="5" t="str">
        <f>IFERROR(__xludf.DUMMYFUNCTION("""COMPUTED_VALUE"""),"20 Super Flames")</f>
        <v>20 Super Flames</v>
      </c>
      <c r="B380" s="5" t="str">
        <f>IFERROR(__xludf.DUMMYFUNCTION("""COMPUTED_VALUE"""),"")</f>
        <v/>
      </c>
      <c r="C380" s="5" t="str">
        <f>IFERROR(__xludf.DUMMYFUNCTION("""COMPUTED_VALUE"""),"")</f>
        <v/>
      </c>
      <c r="D380" s="5" t="str">
        <f>IFERROR(__xludf.DUMMYFUNCTION("""COMPUTED_VALUE"""),"")</f>
        <v/>
      </c>
      <c r="E380" s="5" t="str">
        <f>IFERROR(__xludf.DUMMYFUNCTION("""COMPUTED_VALUE"""),"")</f>
        <v/>
      </c>
      <c r="F380" s="5" t="str">
        <f>IFERROR(__xludf.DUMMYFUNCTION("""COMPUTED_VALUE"""),"")</f>
        <v/>
      </c>
      <c r="G380" s="5" t="str">
        <f>IFERROR(__xludf.DUMMYFUNCTION("""COMPUTED_VALUE"""),"")</f>
        <v/>
      </c>
      <c r="H380" s="5" t="str">
        <f>IFERROR(__xludf.DUMMYFUNCTION("""COMPUTED_VALUE"""),"")</f>
        <v/>
      </c>
      <c r="I380" s="5" t="str">
        <f>IFERROR(__xludf.DUMMYFUNCTION("""COMPUTED_VALUE"""),"")</f>
        <v/>
      </c>
      <c r="J380" s="5" t="str">
        <f>IFERROR(__xludf.DUMMYFUNCTION("""COMPUTED_VALUE"""),"")</f>
        <v/>
      </c>
      <c r="K380" s="5" t="str">
        <f>IFERROR(__xludf.DUMMYFUNCTION("""COMPUTED_VALUE"""),"")</f>
        <v/>
      </c>
      <c r="L380" s="5" t="str">
        <f>IFERROR(__xludf.DUMMYFUNCTION("""COMPUTED_VALUE"""),"")</f>
        <v/>
      </c>
      <c r="M380" s="5" t="str">
        <f>IFERROR(__xludf.DUMMYFUNCTION("""COMPUTED_VALUE"""),"")</f>
        <v/>
      </c>
      <c r="N380" s="5" t="str">
        <f>IFERROR(__xludf.DUMMYFUNCTION("""COMPUTED_VALUE"""),"")</f>
        <v/>
      </c>
      <c r="O380" s="5" t="str">
        <f>IFERROR(__xludf.DUMMYFUNCTION("""COMPUTED_VALUE"""),"")</f>
        <v/>
      </c>
      <c r="P380" s="5" t="str">
        <f>IFERROR(__xludf.DUMMYFUNCTION("""COMPUTED_VALUE"""),"")</f>
        <v/>
      </c>
      <c r="Q380" s="5" t="str">
        <f>IFERROR(__xludf.DUMMYFUNCTION("""COMPUTED_VALUE"""),"")</f>
        <v/>
      </c>
      <c r="R380" s="5" t="str">
        <f>IFERROR(__xludf.DUMMYFUNCTION("""COMPUTED_VALUE"""),"")</f>
        <v/>
      </c>
      <c r="S380" s="5" t="str">
        <f>IFERROR(__xludf.DUMMYFUNCTION("""COMPUTED_VALUE"""),"")</f>
        <v/>
      </c>
      <c r="T380" s="5" t="str">
        <f>IFERROR(__xludf.DUMMYFUNCTION("""COMPUTED_VALUE"""),"")</f>
        <v/>
      </c>
      <c r="U380" s="5" t="str">
        <f>IFERROR(__xludf.DUMMYFUNCTION("""COMPUTED_VALUE"""),"")</f>
        <v/>
      </c>
      <c r="V380" s="5" t="str">
        <f>IFERROR(__xludf.DUMMYFUNCTION("""COMPUTED_VALUE"""),"")</f>
        <v/>
      </c>
      <c r="W380" s="5" t="str">
        <f>IFERROR(__xludf.DUMMYFUNCTION("""COMPUTED_VALUE"""),"")</f>
        <v/>
      </c>
      <c r="X380" s="5" t="str">
        <f>IFERROR(__xludf.DUMMYFUNCTION("""COMPUTED_VALUE"""),"")</f>
        <v/>
      </c>
      <c r="Y380" s="5"/>
      <c r="Z380" s="5"/>
    </row>
    <row r="381">
      <c r="A381" s="5" t="str">
        <f>IFERROR(__xludf.DUMMYFUNCTION("""COMPUTED_VALUE"""),"27 Wild Stacks")</f>
        <v>27 Wild Stacks</v>
      </c>
      <c r="B381" s="5" t="str">
        <f>IFERROR(__xludf.DUMMYFUNCTION("""COMPUTED_VALUE"""),"")</f>
        <v/>
      </c>
      <c r="C381" s="5" t="str">
        <f>IFERROR(__xludf.DUMMYFUNCTION("""COMPUTED_VALUE"""),"")</f>
        <v/>
      </c>
      <c r="D381" s="5" t="str">
        <f>IFERROR(__xludf.DUMMYFUNCTION("""COMPUTED_VALUE"""),"")</f>
        <v/>
      </c>
      <c r="E381" s="5" t="str">
        <f>IFERROR(__xludf.DUMMYFUNCTION("""COMPUTED_VALUE"""),"")</f>
        <v/>
      </c>
      <c r="F381" s="5" t="str">
        <f>IFERROR(__xludf.DUMMYFUNCTION("""COMPUTED_VALUE"""),"")</f>
        <v/>
      </c>
      <c r="G381" s="5" t="str">
        <f>IFERROR(__xludf.DUMMYFUNCTION("""COMPUTED_VALUE"""),"")</f>
        <v/>
      </c>
      <c r="H381" s="5" t="str">
        <f>IFERROR(__xludf.DUMMYFUNCTION("""COMPUTED_VALUE"""),"")</f>
        <v/>
      </c>
      <c r="I381" s="5" t="str">
        <f>IFERROR(__xludf.DUMMYFUNCTION("""COMPUTED_VALUE"""),"")</f>
        <v/>
      </c>
      <c r="J381" s="5" t="str">
        <f>IFERROR(__xludf.DUMMYFUNCTION("""COMPUTED_VALUE"""),"")</f>
        <v/>
      </c>
      <c r="K381" s="5" t="str">
        <f>IFERROR(__xludf.DUMMYFUNCTION("""COMPUTED_VALUE"""),"")</f>
        <v/>
      </c>
      <c r="L381" s="5" t="str">
        <f>IFERROR(__xludf.DUMMYFUNCTION("""COMPUTED_VALUE"""),"")</f>
        <v/>
      </c>
      <c r="M381" s="5" t="str">
        <f>IFERROR(__xludf.DUMMYFUNCTION("""COMPUTED_VALUE"""),"")</f>
        <v/>
      </c>
      <c r="N381" s="5" t="str">
        <f>IFERROR(__xludf.DUMMYFUNCTION("""COMPUTED_VALUE"""),"")</f>
        <v/>
      </c>
      <c r="O381" s="5" t="str">
        <f>IFERROR(__xludf.DUMMYFUNCTION("""COMPUTED_VALUE"""),"")</f>
        <v/>
      </c>
      <c r="P381" s="5" t="str">
        <f>IFERROR(__xludf.DUMMYFUNCTION("""COMPUTED_VALUE"""),"")</f>
        <v/>
      </c>
      <c r="Q381" s="5" t="str">
        <f>IFERROR(__xludf.DUMMYFUNCTION("""COMPUTED_VALUE"""),"")</f>
        <v/>
      </c>
      <c r="R381" s="5" t="str">
        <f>IFERROR(__xludf.DUMMYFUNCTION("""COMPUTED_VALUE"""),"")</f>
        <v/>
      </c>
      <c r="S381" s="5" t="str">
        <f>IFERROR(__xludf.DUMMYFUNCTION("""COMPUTED_VALUE"""),"")</f>
        <v/>
      </c>
      <c r="T381" s="5" t="str">
        <f>IFERROR(__xludf.DUMMYFUNCTION("""COMPUTED_VALUE"""),"")</f>
        <v/>
      </c>
      <c r="U381" s="5" t="str">
        <f>IFERROR(__xludf.DUMMYFUNCTION("""COMPUTED_VALUE"""),"")</f>
        <v/>
      </c>
      <c r="V381" s="5" t="str">
        <f>IFERROR(__xludf.DUMMYFUNCTION("""COMPUTED_VALUE"""),"")</f>
        <v/>
      </c>
      <c r="W381" s="5" t="str">
        <f>IFERROR(__xludf.DUMMYFUNCTION("""COMPUTED_VALUE"""),"")</f>
        <v/>
      </c>
      <c r="X381" s="5" t="str">
        <f>IFERROR(__xludf.DUMMYFUNCTION("""COMPUTED_VALUE"""),"")</f>
        <v/>
      </c>
      <c r="Y381" s="5"/>
      <c r="Z381" s="5"/>
    </row>
    <row r="382">
      <c r="A382" s="5" t="str">
        <f>IFERROR(__xludf.DUMMYFUNCTION("""COMPUTED_VALUE"""),"Dashing Hot 5")</f>
        <v>Dashing Hot 5</v>
      </c>
      <c r="B382" s="5" t="str">
        <f>IFERROR(__xludf.DUMMYFUNCTION("""COMPUTED_VALUE"""),"")</f>
        <v/>
      </c>
      <c r="C382" s="5" t="str">
        <f>IFERROR(__xludf.DUMMYFUNCTION("""COMPUTED_VALUE"""),"")</f>
        <v/>
      </c>
      <c r="D382" s="5" t="str">
        <f>IFERROR(__xludf.DUMMYFUNCTION("""COMPUTED_VALUE"""),"")</f>
        <v/>
      </c>
      <c r="E382" s="5" t="str">
        <f>IFERROR(__xludf.DUMMYFUNCTION("""COMPUTED_VALUE"""),"")</f>
        <v/>
      </c>
      <c r="F382" s="5" t="str">
        <f>IFERROR(__xludf.DUMMYFUNCTION("""COMPUTED_VALUE"""),"")</f>
        <v/>
      </c>
      <c r="G382" s="5" t="str">
        <f>IFERROR(__xludf.DUMMYFUNCTION("""COMPUTED_VALUE"""),"")</f>
        <v/>
      </c>
      <c r="H382" s="5" t="str">
        <f>IFERROR(__xludf.DUMMYFUNCTION("""COMPUTED_VALUE"""),"")</f>
        <v/>
      </c>
      <c r="I382" s="5" t="str">
        <f>IFERROR(__xludf.DUMMYFUNCTION("""COMPUTED_VALUE"""),"")</f>
        <v/>
      </c>
      <c r="J382" s="5" t="str">
        <f>IFERROR(__xludf.DUMMYFUNCTION("""COMPUTED_VALUE"""),"")</f>
        <v/>
      </c>
      <c r="K382" s="5" t="str">
        <f>IFERROR(__xludf.DUMMYFUNCTION("""COMPUTED_VALUE"""),"")</f>
        <v/>
      </c>
      <c r="L382" s="5" t="str">
        <f>IFERROR(__xludf.DUMMYFUNCTION("""COMPUTED_VALUE"""),"")</f>
        <v/>
      </c>
      <c r="M382" s="5" t="str">
        <f>IFERROR(__xludf.DUMMYFUNCTION("""COMPUTED_VALUE"""),"")</f>
        <v/>
      </c>
      <c r="N382" s="5" t="str">
        <f>IFERROR(__xludf.DUMMYFUNCTION("""COMPUTED_VALUE"""),"")</f>
        <v/>
      </c>
      <c r="O382" s="5" t="str">
        <f>IFERROR(__xludf.DUMMYFUNCTION("""COMPUTED_VALUE"""),"")</f>
        <v/>
      </c>
      <c r="P382" s="5" t="str">
        <f>IFERROR(__xludf.DUMMYFUNCTION("""COMPUTED_VALUE"""),"")</f>
        <v/>
      </c>
      <c r="Q382" s="5" t="str">
        <f>IFERROR(__xludf.DUMMYFUNCTION("""COMPUTED_VALUE"""),"")</f>
        <v/>
      </c>
      <c r="R382" s="5" t="str">
        <f>IFERROR(__xludf.DUMMYFUNCTION("""COMPUTED_VALUE"""),"")</f>
        <v/>
      </c>
      <c r="S382" s="5" t="str">
        <f>IFERROR(__xludf.DUMMYFUNCTION("""COMPUTED_VALUE"""),"")</f>
        <v/>
      </c>
      <c r="T382" s="5" t="str">
        <f>IFERROR(__xludf.DUMMYFUNCTION("""COMPUTED_VALUE"""),"")</f>
        <v/>
      </c>
      <c r="U382" s="5" t="str">
        <f>IFERROR(__xludf.DUMMYFUNCTION("""COMPUTED_VALUE"""),"")</f>
        <v/>
      </c>
      <c r="V382" s="5" t="str">
        <f>IFERROR(__xludf.DUMMYFUNCTION("""COMPUTED_VALUE"""),"")</f>
        <v/>
      </c>
      <c r="W382" s="5" t="str">
        <f>IFERROR(__xludf.DUMMYFUNCTION("""COMPUTED_VALUE"""),"")</f>
        <v/>
      </c>
      <c r="X382" s="5" t="str">
        <f>IFERROR(__xludf.DUMMYFUNCTION("""COMPUTED_VALUE"""),"")</f>
        <v/>
      </c>
      <c r="Y382" s="5"/>
      <c r="Z382" s="5"/>
    </row>
    <row r="383">
      <c r="A383" s="5" t="str">
        <f>IFERROR(__xludf.DUMMYFUNCTION("""COMPUTED_VALUE"""),"20 Hot Strike Jackpot")</f>
        <v>20 Hot Strike Jackpot</v>
      </c>
      <c r="B383" s="5" t="str">
        <f>IFERROR(__xludf.DUMMYFUNCTION("""COMPUTED_VALUE"""),"")</f>
        <v/>
      </c>
      <c r="C383" s="5" t="str">
        <f>IFERROR(__xludf.DUMMYFUNCTION("""COMPUTED_VALUE"""),"")</f>
        <v/>
      </c>
      <c r="D383" s="5" t="str">
        <f>IFERROR(__xludf.DUMMYFUNCTION("""COMPUTED_VALUE"""),"")</f>
        <v/>
      </c>
      <c r="E383" s="5" t="str">
        <f>IFERROR(__xludf.DUMMYFUNCTION("""COMPUTED_VALUE"""),"")</f>
        <v/>
      </c>
      <c r="F383" s="5" t="str">
        <f>IFERROR(__xludf.DUMMYFUNCTION("""COMPUTED_VALUE"""),"")</f>
        <v/>
      </c>
      <c r="G383" s="5" t="str">
        <f>IFERROR(__xludf.DUMMYFUNCTION("""COMPUTED_VALUE"""),"")</f>
        <v/>
      </c>
      <c r="H383" s="5" t="str">
        <f>IFERROR(__xludf.DUMMYFUNCTION("""COMPUTED_VALUE"""),"")</f>
        <v/>
      </c>
      <c r="I383" s="5" t="str">
        <f>IFERROR(__xludf.DUMMYFUNCTION("""COMPUTED_VALUE"""),"")</f>
        <v/>
      </c>
      <c r="J383" s="5" t="str">
        <f>IFERROR(__xludf.DUMMYFUNCTION("""COMPUTED_VALUE"""),"")</f>
        <v/>
      </c>
      <c r="K383" s="5" t="str">
        <f>IFERROR(__xludf.DUMMYFUNCTION("""COMPUTED_VALUE"""),"")</f>
        <v/>
      </c>
      <c r="L383" s="5" t="str">
        <f>IFERROR(__xludf.DUMMYFUNCTION("""COMPUTED_VALUE"""),"")</f>
        <v/>
      </c>
      <c r="M383" s="5" t="str">
        <f>IFERROR(__xludf.DUMMYFUNCTION("""COMPUTED_VALUE"""),"")</f>
        <v/>
      </c>
      <c r="N383" s="5" t="str">
        <f>IFERROR(__xludf.DUMMYFUNCTION("""COMPUTED_VALUE"""),"")</f>
        <v/>
      </c>
      <c r="O383" s="5" t="str">
        <f>IFERROR(__xludf.DUMMYFUNCTION("""COMPUTED_VALUE"""),"")</f>
        <v/>
      </c>
      <c r="P383" s="5" t="str">
        <f>IFERROR(__xludf.DUMMYFUNCTION("""COMPUTED_VALUE"""),"")</f>
        <v/>
      </c>
      <c r="Q383" s="5" t="str">
        <f>IFERROR(__xludf.DUMMYFUNCTION("""COMPUTED_VALUE"""),"")</f>
        <v/>
      </c>
      <c r="R383" s="5" t="str">
        <f>IFERROR(__xludf.DUMMYFUNCTION("""COMPUTED_VALUE"""),"")</f>
        <v/>
      </c>
      <c r="S383" s="5" t="str">
        <f>IFERROR(__xludf.DUMMYFUNCTION("""COMPUTED_VALUE"""),"")</f>
        <v/>
      </c>
      <c r="T383" s="5" t="str">
        <f>IFERROR(__xludf.DUMMYFUNCTION("""COMPUTED_VALUE"""),"")</f>
        <v/>
      </c>
      <c r="U383" s="5" t="str">
        <f>IFERROR(__xludf.DUMMYFUNCTION("""COMPUTED_VALUE"""),"")</f>
        <v/>
      </c>
      <c r="V383" s="5" t="str">
        <f>IFERROR(__xludf.DUMMYFUNCTION("""COMPUTED_VALUE"""),"")</f>
        <v/>
      </c>
      <c r="W383" s="5" t="str">
        <f>IFERROR(__xludf.DUMMYFUNCTION("""COMPUTED_VALUE"""),"")</f>
        <v/>
      </c>
      <c r="X383" s="5" t="str">
        <f>IFERROR(__xludf.DUMMYFUNCTION("""COMPUTED_VALUE"""),"")</f>
        <v/>
      </c>
      <c r="Y383" s="5"/>
      <c r="Z383" s="5"/>
    </row>
    <row r="384">
      <c r="A384" s="5" t="str">
        <f>IFERROR(__xludf.DUMMYFUNCTION("""COMPUTED_VALUE"""),"5 Wild Fire")</f>
        <v>5 Wild Fire</v>
      </c>
      <c r="B384" s="5" t="str">
        <f>IFERROR(__xludf.DUMMYFUNCTION("""COMPUTED_VALUE"""),"")</f>
        <v/>
      </c>
      <c r="C384" s="5" t="str">
        <f>IFERROR(__xludf.DUMMYFUNCTION("""COMPUTED_VALUE"""),"")</f>
        <v/>
      </c>
      <c r="D384" s="5" t="str">
        <f>IFERROR(__xludf.DUMMYFUNCTION("""COMPUTED_VALUE"""),"")</f>
        <v/>
      </c>
      <c r="E384" s="5" t="str">
        <f>IFERROR(__xludf.DUMMYFUNCTION("""COMPUTED_VALUE"""),"")</f>
        <v/>
      </c>
      <c r="F384" s="5" t="str">
        <f>IFERROR(__xludf.DUMMYFUNCTION("""COMPUTED_VALUE"""),"")</f>
        <v/>
      </c>
      <c r="G384" s="5" t="str">
        <f>IFERROR(__xludf.DUMMYFUNCTION("""COMPUTED_VALUE"""),"")</f>
        <v/>
      </c>
      <c r="H384" s="5" t="str">
        <f>IFERROR(__xludf.DUMMYFUNCTION("""COMPUTED_VALUE"""),"")</f>
        <v/>
      </c>
      <c r="I384" s="5" t="str">
        <f>IFERROR(__xludf.DUMMYFUNCTION("""COMPUTED_VALUE"""),"")</f>
        <v/>
      </c>
      <c r="J384" s="5" t="str">
        <f>IFERROR(__xludf.DUMMYFUNCTION("""COMPUTED_VALUE"""),"")</f>
        <v/>
      </c>
      <c r="K384" s="5" t="str">
        <f>IFERROR(__xludf.DUMMYFUNCTION("""COMPUTED_VALUE"""),"")</f>
        <v/>
      </c>
      <c r="L384" s="5" t="str">
        <f>IFERROR(__xludf.DUMMYFUNCTION("""COMPUTED_VALUE"""),"")</f>
        <v/>
      </c>
      <c r="M384" s="5" t="str">
        <f>IFERROR(__xludf.DUMMYFUNCTION("""COMPUTED_VALUE"""),"")</f>
        <v/>
      </c>
      <c r="N384" s="5" t="str">
        <f>IFERROR(__xludf.DUMMYFUNCTION("""COMPUTED_VALUE"""),"")</f>
        <v/>
      </c>
      <c r="O384" s="5" t="str">
        <f>IFERROR(__xludf.DUMMYFUNCTION("""COMPUTED_VALUE"""),"")</f>
        <v/>
      </c>
      <c r="P384" s="5" t="str">
        <f>IFERROR(__xludf.DUMMYFUNCTION("""COMPUTED_VALUE"""),"")</f>
        <v/>
      </c>
      <c r="Q384" s="5" t="str">
        <f>IFERROR(__xludf.DUMMYFUNCTION("""COMPUTED_VALUE"""),"")</f>
        <v/>
      </c>
      <c r="R384" s="5" t="str">
        <f>IFERROR(__xludf.DUMMYFUNCTION("""COMPUTED_VALUE"""),"")</f>
        <v/>
      </c>
      <c r="S384" s="5" t="str">
        <f>IFERROR(__xludf.DUMMYFUNCTION("""COMPUTED_VALUE"""),"")</f>
        <v/>
      </c>
      <c r="T384" s="5" t="str">
        <f>IFERROR(__xludf.DUMMYFUNCTION("""COMPUTED_VALUE"""),"")</f>
        <v/>
      </c>
      <c r="U384" s="5" t="str">
        <f>IFERROR(__xludf.DUMMYFUNCTION("""COMPUTED_VALUE"""),"")</f>
        <v/>
      </c>
      <c r="V384" s="5" t="str">
        <f>IFERROR(__xludf.DUMMYFUNCTION("""COMPUTED_VALUE"""),"")</f>
        <v/>
      </c>
      <c r="W384" s="5" t="str">
        <f>IFERROR(__xludf.DUMMYFUNCTION("""COMPUTED_VALUE"""),"")</f>
        <v/>
      </c>
      <c r="X384" s="5" t="str">
        <f>IFERROR(__xludf.DUMMYFUNCTION("""COMPUTED_VALUE"""),"")</f>
        <v/>
      </c>
      <c r="Y384" s="5"/>
      <c r="Z384" s="5"/>
    </row>
    <row r="385">
      <c r="A385" s="5" t="str">
        <f>IFERROR(__xludf.DUMMYFUNCTION("""COMPUTED_VALUE"""),"Wild Forties")</f>
        <v>Wild Forties</v>
      </c>
      <c r="B385" s="5" t="str">
        <f>IFERROR(__xludf.DUMMYFUNCTION("""COMPUTED_VALUE"""),"")</f>
        <v/>
      </c>
      <c r="C385" s="5" t="str">
        <f>IFERROR(__xludf.DUMMYFUNCTION("""COMPUTED_VALUE"""),"")</f>
        <v/>
      </c>
      <c r="D385" s="5" t="str">
        <f>IFERROR(__xludf.DUMMYFUNCTION("""COMPUTED_VALUE"""),"")</f>
        <v/>
      </c>
      <c r="E385" s="5" t="str">
        <f>IFERROR(__xludf.DUMMYFUNCTION("""COMPUTED_VALUE"""),"")</f>
        <v/>
      </c>
      <c r="F385" s="5" t="str">
        <f>IFERROR(__xludf.DUMMYFUNCTION("""COMPUTED_VALUE"""),"")</f>
        <v/>
      </c>
      <c r="G385" s="5" t="str">
        <f>IFERROR(__xludf.DUMMYFUNCTION("""COMPUTED_VALUE"""),"")</f>
        <v/>
      </c>
      <c r="H385" s="5" t="str">
        <f>IFERROR(__xludf.DUMMYFUNCTION("""COMPUTED_VALUE"""),"")</f>
        <v/>
      </c>
      <c r="I385" s="5" t="str">
        <f>IFERROR(__xludf.DUMMYFUNCTION("""COMPUTED_VALUE"""),"")</f>
        <v/>
      </c>
      <c r="J385" s="5" t="str">
        <f>IFERROR(__xludf.DUMMYFUNCTION("""COMPUTED_VALUE"""),"")</f>
        <v/>
      </c>
      <c r="K385" s="5" t="str">
        <f>IFERROR(__xludf.DUMMYFUNCTION("""COMPUTED_VALUE"""),"")</f>
        <v/>
      </c>
      <c r="L385" s="5" t="str">
        <f>IFERROR(__xludf.DUMMYFUNCTION("""COMPUTED_VALUE"""),"")</f>
        <v/>
      </c>
      <c r="M385" s="5" t="str">
        <f>IFERROR(__xludf.DUMMYFUNCTION("""COMPUTED_VALUE"""),"")</f>
        <v/>
      </c>
      <c r="N385" s="5" t="str">
        <f>IFERROR(__xludf.DUMMYFUNCTION("""COMPUTED_VALUE"""),"")</f>
        <v/>
      </c>
      <c r="O385" s="5" t="str">
        <f>IFERROR(__xludf.DUMMYFUNCTION("""COMPUTED_VALUE"""),"")</f>
        <v/>
      </c>
      <c r="P385" s="5" t="str">
        <f>IFERROR(__xludf.DUMMYFUNCTION("""COMPUTED_VALUE"""),"")</f>
        <v/>
      </c>
      <c r="Q385" s="5" t="str">
        <f>IFERROR(__xludf.DUMMYFUNCTION("""COMPUTED_VALUE"""),"")</f>
        <v/>
      </c>
      <c r="R385" s="5" t="str">
        <f>IFERROR(__xludf.DUMMYFUNCTION("""COMPUTED_VALUE"""),"")</f>
        <v/>
      </c>
      <c r="S385" s="5" t="str">
        <f>IFERROR(__xludf.DUMMYFUNCTION("""COMPUTED_VALUE"""),"")</f>
        <v/>
      </c>
      <c r="T385" s="5" t="str">
        <f>IFERROR(__xludf.DUMMYFUNCTION("""COMPUTED_VALUE"""),"")</f>
        <v/>
      </c>
      <c r="U385" s="5" t="str">
        <f>IFERROR(__xludf.DUMMYFUNCTION("""COMPUTED_VALUE"""),"")</f>
        <v/>
      </c>
      <c r="V385" s="5" t="str">
        <f>IFERROR(__xludf.DUMMYFUNCTION("""COMPUTED_VALUE"""),"")</f>
        <v/>
      </c>
      <c r="W385" s="5" t="str">
        <f>IFERROR(__xludf.DUMMYFUNCTION("""COMPUTED_VALUE"""),"")</f>
        <v/>
      </c>
      <c r="X385" s="5" t="str">
        <f>IFERROR(__xludf.DUMMYFUNCTION("""COMPUTED_VALUE"""),"")</f>
        <v/>
      </c>
      <c r="Y385" s="5"/>
      <c r="Z385" s="5"/>
    </row>
    <row r="386">
      <c r="A386" s="5" t="str">
        <f>IFERROR(__xludf.DUMMYFUNCTION("""COMPUTED_VALUE"""),"Hit Line Dice")</f>
        <v>Hit Line Dice</v>
      </c>
      <c r="B386" s="5" t="str">
        <f>IFERROR(__xludf.DUMMYFUNCTION("""COMPUTED_VALUE"""),"")</f>
        <v/>
      </c>
      <c r="C386" s="5" t="str">
        <f>IFERROR(__xludf.DUMMYFUNCTION("""COMPUTED_VALUE"""),"")</f>
        <v/>
      </c>
      <c r="D386" s="5" t="str">
        <f>IFERROR(__xludf.DUMMYFUNCTION("""COMPUTED_VALUE"""),"")</f>
        <v/>
      </c>
      <c r="E386" s="5" t="str">
        <f>IFERROR(__xludf.DUMMYFUNCTION("""COMPUTED_VALUE"""),"")</f>
        <v/>
      </c>
      <c r="F386" s="5" t="str">
        <f>IFERROR(__xludf.DUMMYFUNCTION("""COMPUTED_VALUE"""),"")</f>
        <v/>
      </c>
      <c r="G386" s="5" t="str">
        <f>IFERROR(__xludf.DUMMYFUNCTION("""COMPUTED_VALUE"""),"")</f>
        <v/>
      </c>
      <c r="H386" s="5" t="str">
        <f>IFERROR(__xludf.DUMMYFUNCTION("""COMPUTED_VALUE"""),"")</f>
        <v/>
      </c>
      <c r="I386" s="5" t="str">
        <f>IFERROR(__xludf.DUMMYFUNCTION("""COMPUTED_VALUE"""),"")</f>
        <v/>
      </c>
      <c r="J386" s="5" t="str">
        <f>IFERROR(__xludf.DUMMYFUNCTION("""COMPUTED_VALUE"""),"")</f>
        <v/>
      </c>
      <c r="K386" s="5" t="str">
        <f>IFERROR(__xludf.DUMMYFUNCTION("""COMPUTED_VALUE"""),"")</f>
        <v/>
      </c>
      <c r="L386" s="5" t="str">
        <f>IFERROR(__xludf.DUMMYFUNCTION("""COMPUTED_VALUE"""),"")</f>
        <v/>
      </c>
      <c r="M386" s="5" t="str">
        <f>IFERROR(__xludf.DUMMYFUNCTION("""COMPUTED_VALUE"""),"")</f>
        <v/>
      </c>
      <c r="N386" s="5" t="str">
        <f>IFERROR(__xludf.DUMMYFUNCTION("""COMPUTED_VALUE"""),"")</f>
        <v/>
      </c>
      <c r="O386" s="5" t="str">
        <f>IFERROR(__xludf.DUMMYFUNCTION("""COMPUTED_VALUE"""),"")</f>
        <v/>
      </c>
      <c r="P386" s="5" t="str">
        <f>IFERROR(__xludf.DUMMYFUNCTION("""COMPUTED_VALUE"""),"")</f>
        <v/>
      </c>
      <c r="Q386" s="5" t="str">
        <f>IFERROR(__xludf.DUMMYFUNCTION("""COMPUTED_VALUE"""),"")</f>
        <v/>
      </c>
      <c r="R386" s="5" t="str">
        <f>IFERROR(__xludf.DUMMYFUNCTION("""COMPUTED_VALUE"""),"")</f>
        <v/>
      </c>
      <c r="S386" s="5" t="str">
        <f>IFERROR(__xludf.DUMMYFUNCTION("""COMPUTED_VALUE"""),"")</f>
        <v/>
      </c>
      <c r="T386" s="5" t="str">
        <f>IFERROR(__xludf.DUMMYFUNCTION("""COMPUTED_VALUE"""),"")</f>
        <v/>
      </c>
      <c r="U386" s="5" t="str">
        <f>IFERROR(__xludf.DUMMYFUNCTION("""COMPUTED_VALUE"""),"")</f>
        <v/>
      </c>
      <c r="V386" s="5" t="str">
        <f>IFERROR(__xludf.DUMMYFUNCTION("""COMPUTED_VALUE"""),"")</f>
        <v/>
      </c>
      <c r="W386" s="5" t="str">
        <f>IFERROR(__xludf.DUMMYFUNCTION("""COMPUTED_VALUE"""),"")</f>
        <v/>
      </c>
      <c r="X386" s="5" t="str">
        <f>IFERROR(__xludf.DUMMYFUNCTION("""COMPUTED_VALUE"""),"")</f>
        <v/>
      </c>
      <c r="Y386" s="5"/>
      <c r="Z386" s="5"/>
    </row>
    <row r="387">
      <c r="A387" s="5" t="str">
        <f>IFERROR(__xludf.DUMMYFUNCTION("""COMPUTED_VALUE"""),"Book Of Amun")</f>
        <v>Book Of Amun</v>
      </c>
      <c r="B387" s="5" t="str">
        <f>IFERROR(__xludf.DUMMYFUNCTION("""COMPUTED_VALUE"""),"")</f>
        <v/>
      </c>
      <c r="C387" s="5" t="str">
        <f>IFERROR(__xludf.DUMMYFUNCTION("""COMPUTED_VALUE"""),"")</f>
        <v/>
      </c>
      <c r="D387" s="5" t="str">
        <f>IFERROR(__xludf.DUMMYFUNCTION("""COMPUTED_VALUE"""),"")</f>
        <v/>
      </c>
      <c r="E387" s="5" t="str">
        <f>IFERROR(__xludf.DUMMYFUNCTION("""COMPUTED_VALUE"""),"")</f>
        <v/>
      </c>
      <c r="F387" s="5" t="str">
        <f>IFERROR(__xludf.DUMMYFUNCTION("""COMPUTED_VALUE"""),"")</f>
        <v/>
      </c>
      <c r="G387" s="5" t="str">
        <f>IFERROR(__xludf.DUMMYFUNCTION("""COMPUTED_VALUE"""),"")</f>
        <v/>
      </c>
      <c r="H387" s="5" t="str">
        <f>IFERROR(__xludf.DUMMYFUNCTION("""COMPUTED_VALUE"""),"")</f>
        <v/>
      </c>
      <c r="I387" s="5" t="str">
        <f>IFERROR(__xludf.DUMMYFUNCTION("""COMPUTED_VALUE"""),"")</f>
        <v/>
      </c>
      <c r="J387" s="5" t="str">
        <f>IFERROR(__xludf.DUMMYFUNCTION("""COMPUTED_VALUE"""),"")</f>
        <v/>
      </c>
      <c r="K387" s="5" t="str">
        <f>IFERROR(__xludf.DUMMYFUNCTION("""COMPUTED_VALUE"""),"")</f>
        <v/>
      </c>
      <c r="L387" s="5" t="str">
        <f>IFERROR(__xludf.DUMMYFUNCTION("""COMPUTED_VALUE"""),"")</f>
        <v/>
      </c>
      <c r="M387" s="5" t="str">
        <f>IFERROR(__xludf.DUMMYFUNCTION("""COMPUTED_VALUE"""),"")</f>
        <v/>
      </c>
      <c r="N387" s="5" t="str">
        <f>IFERROR(__xludf.DUMMYFUNCTION("""COMPUTED_VALUE"""),"")</f>
        <v/>
      </c>
      <c r="O387" s="5" t="str">
        <f>IFERROR(__xludf.DUMMYFUNCTION("""COMPUTED_VALUE"""),"")</f>
        <v/>
      </c>
      <c r="P387" s="5" t="str">
        <f>IFERROR(__xludf.DUMMYFUNCTION("""COMPUTED_VALUE"""),"")</f>
        <v/>
      </c>
      <c r="Q387" s="5" t="str">
        <f>IFERROR(__xludf.DUMMYFUNCTION("""COMPUTED_VALUE"""),"")</f>
        <v/>
      </c>
      <c r="R387" s="5" t="str">
        <f>IFERROR(__xludf.DUMMYFUNCTION("""COMPUTED_VALUE"""),"")</f>
        <v/>
      </c>
      <c r="S387" s="5" t="str">
        <f>IFERROR(__xludf.DUMMYFUNCTION("""COMPUTED_VALUE"""),"")</f>
        <v/>
      </c>
      <c r="T387" s="5" t="str">
        <f>IFERROR(__xludf.DUMMYFUNCTION("""COMPUTED_VALUE"""),"")</f>
        <v/>
      </c>
      <c r="U387" s="5" t="str">
        <f>IFERROR(__xludf.DUMMYFUNCTION("""COMPUTED_VALUE"""),"")</f>
        <v/>
      </c>
      <c r="V387" s="5" t="str">
        <f>IFERROR(__xludf.DUMMYFUNCTION("""COMPUTED_VALUE"""),"")</f>
        <v/>
      </c>
      <c r="W387" s="5" t="str">
        <f>IFERROR(__xludf.DUMMYFUNCTION("""COMPUTED_VALUE"""),"")</f>
        <v/>
      </c>
      <c r="X387" s="5" t="str">
        <f>IFERROR(__xludf.DUMMYFUNCTION("""COMPUTED_VALUE"""),"")</f>
        <v/>
      </c>
      <c r="Y387" s="5"/>
      <c r="Z387" s="5"/>
    </row>
    <row r="388">
      <c r="A388" s="5" t="str">
        <f>IFERROR(__xludf.DUMMYFUNCTION("""COMPUTED_VALUE"""),"81 Double Magic")</f>
        <v>81 Double Magic</v>
      </c>
      <c r="B388" s="5" t="str">
        <f>IFERROR(__xludf.DUMMYFUNCTION("""COMPUTED_VALUE"""),"")</f>
        <v/>
      </c>
      <c r="C388" s="5" t="str">
        <f>IFERROR(__xludf.DUMMYFUNCTION("""COMPUTED_VALUE"""),"")</f>
        <v/>
      </c>
      <c r="D388" s="5" t="str">
        <f>IFERROR(__xludf.DUMMYFUNCTION("""COMPUTED_VALUE"""),"")</f>
        <v/>
      </c>
      <c r="E388" s="5" t="str">
        <f>IFERROR(__xludf.DUMMYFUNCTION("""COMPUTED_VALUE"""),"")</f>
        <v/>
      </c>
      <c r="F388" s="5" t="str">
        <f>IFERROR(__xludf.DUMMYFUNCTION("""COMPUTED_VALUE"""),"")</f>
        <v/>
      </c>
      <c r="G388" s="5" t="str">
        <f>IFERROR(__xludf.DUMMYFUNCTION("""COMPUTED_VALUE"""),"")</f>
        <v/>
      </c>
      <c r="H388" s="5" t="str">
        <f>IFERROR(__xludf.DUMMYFUNCTION("""COMPUTED_VALUE"""),"")</f>
        <v/>
      </c>
      <c r="I388" s="5" t="str">
        <f>IFERROR(__xludf.DUMMYFUNCTION("""COMPUTED_VALUE"""),"")</f>
        <v/>
      </c>
      <c r="J388" s="5" t="str">
        <f>IFERROR(__xludf.DUMMYFUNCTION("""COMPUTED_VALUE"""),"")</f>
        <v/>
      </c>
      <c r="K388" s="5" t="str">
        <f>IFERROR(__xludf.DUMMYFUNCTION("""COMPUTED_VALUE"""),"")</f>
        <v/>
      </c>
      <c r="L388" s="5" t="str">
        <f>IFERROR(__xludf.DUMMYFUNCTION("""COMPUTED_VALUE"""),"")</f>
        <v/>
      </c>
      <c r="M388" s="5" t="str">
        <f>IFERROR(__xludf.DUMMYFUNCTION("""COMPUTED_VALUE"""),"")</f>
        <v/>
      </c>
      <c r="N388" s="5" t="str">
        <f>IFERROR(__xludf.DUMMYFUNCTION("""COMPUTED_VALUE"""),"")</f>
        <v/>
      </c>
      <c r="O388" s="5" t="str">
        <f>IFERROR(__xludf.DUMMYFUNCTION("""COMPUTED_VALUE"""),"")</f>
        <v/>
      </c>
      <c r="P388" s="5" t="str">
        <f>IFERROR(__xludf.DUMMYFUNCTION("""COMPUTED_VALUE"""),"")</f>
        <v/>
      </c>
      <c r="Q388" s="5" t="str">
        <f>IFERROR(__xludf.DUMMYFUNCTION("""COMPUTED_VALUE"""),"")</f>
        <v/>
      </c>
      <c r="R388" s="5" t="str">
        <f>IFERROR(__xludf.DUMMYFUNCTION("""COMPUTED_VALUE"""),"")</f>
        <v/>
      </c>
      <c r="S388" s="5" t="str">
        <f>IFERROR(__xludf.DUMMYFUNCTION("""COMPUTED_VALUE"""),"")</f>
        <v/>
      </c>
      <c r="T388" s="5" t="str">
        <f>IFERROR(__xludf.DUMMYFUNCTION("""COMPUTED_VALUE"""),"")</f>
        <v/>
      </c>
      <c r="U388" s="5" t="str">
        <f>IFERROR(__xludf.DUMMYFUNCTION("""COMPUTED_VALUE"""),"")</f>
        <v/>
      </c>
      <c r="V388" s="5" t="str">
        <f>IFERROR(__xludf.DUMMYFUNCTION("""COMPUTED_VALUE"""),"")</f>
        <v/>
      </c>
      <c r="W388" s="5" t="str">
        <f>IFERROR(__xludf.DUMMYFUNCTION("""COMPUTED_VALUE"""),"")</f>
        <v/>
      </c>
      <c r="X388" s="5" t="str">
        <f>IFERROR(__xludf.DUMMYFUNCTION("""COMPUTED_VALUE"""),"")</f>
        <v/>
      </c>
      <c r="Y388" s="5"/>
      <c r="Z388" s="5"/>
    </row>
    <row r="389">
      <c r="A389" s="5" t="str">
        <f>IFERROR(__xludf.DUMMYFUNCTION("""COMPUTED_VALUE"""),"Dynamite Run")</f>
        <v>Dynamite Run</v>
      </c>
      <c r="B389" s="5" t="str">
        <f>IFERROR(__xludf.DUMMYFUNCTION("""COMPUTED_VALUE"""),"")</f>
        <v/>
      </c>
      <c r="C389" s="5" t="str">
        <f>IFERROR(__xludf.DUMMYFUNCTION("""COMPUTED_VALUE"""),"")</f>
        <v/>
      </c>
      <c r="D389" s="5" t="str">
        <f>IFERROR(__xludf.DUMMYFUNCTION("""COMPUTED_VALUE"""),"")</f>
        <v/>
      </c>
      <c r="E389" s="5" t="str">
        <f>IFERROR(__xludf.DUMMYFUNCTION("""COMPUTED_VALUE"""),"")</f>
        <v/>
      </c>
      <c r="F389" s="5" t="str">
        <f>IFERROR(__xludf.DUMMYFUNCTION("""COMPUTED_VALUE"""),"")</f>
        <v/>
      </c>
      <c r="G389" s="5" t="str">
        <f>IFERROR(__xludf.DUMMYFUNCTION("""COMPUTED_VALUE"""),"")</f>
        <v/>
      </c>
      <c r="H389" s="5" t="str">
        <f>IFERROR(__xludf.DUMMYFUNCTION("""COMPUTED_VALUE"""),"")</f>
        <v/>
      </c>
      <c r="I389" s="5" t="str">
        <f>IFERROR(__xludf.DUMMYFUNCTION("""COMPUTED_VALUE"""),"")</f>
        <v/>
      </c>
      <c r="J389" s="5" t="str">
        <f>IFERROR(__xludf.DUMMYFUNCTION("""COMPUTED_VALUE"""),"")</f>
        <v/>
      </c>
      <c r="K389" s="5" t="str">
        <f>IFERROR(__xludf.DUMMYFUNCTION("""COMPUTED_VALUE"""),"")</f>
        <v/>
      </c>
      <c r="L389" s="5" t="str">
        <f>IFERROR(__xludf.DUMMYFUNCTION("""COMPUTED_VALUE"""),"")</f>
        <v/>
      </c>
      <c r="M389" s="5" t="str">
        <f>IFERROR(__xludf.DUMMYFUNCTION("""COMPUTED_VALUE"""),"")</f>
        <v/>
      </c>
      <c r="N389" s="5" t="str">
        <f>IFERROR(__xludf.DUMMYFUNCTION("""COMPUTED_VALUE"""),"")</f>
        <v/>
      </c>
      <c r="O389" s="5" t="str">
        <f>IFERROR(__xludf.DUMMYFUNCTION("""COMPUTED_VALUE"""),"")</f>
        <v/>
      </c>
      <c r="P389" s="5" t="str">
        <f>IFERROR(__xludf.DUMMYFUNCTION("""COMPUTED_VALUE"""),"")</f>
        <v/>
      </c>
      <c r="Q389" s="5" t="str">
        <f>IFERROR(__xludf.DUMMYFUNCTION("""COMPUTED_VALUE"""),"")</f>
        <v/>
      </c>
      <c r="R389" s="5" t="str">
        <f>IFERROR(__xludf.DUMMYFUNCTION("""COMPUTED_VALUE"""),"")</f>
        <v/>
      </c>
      <c r="S389" s="5" t="str">
        <f>IFERROR(__xludf.DUMMYFUNCTION("""COMPUTED_VALUE"""),"")</f>
        <v/>
      </c>
      <c r="T389" s="5" t="str">
        <f>IFERROR(__xludf.DUMMYFUNCTION("""COMPUTED_VALUE"""),"")</f>
        <v/>
      </c>
      <c r="U389" s="5" t="str">
        <f>IFERROR(__xludf.DUMMYFUNCTION("""COMPUTED_VALUE"""),"")</f>
        <v/>
      </c>
      <c r="V389" s="5" t="str">
        <f>IFERROR(__xludf.DUMMYFUNCTION("""COMPUTED_VALUE"""),"")</f>
        <v/>
      </c>
      <c r="W389" s="5" t="str">
        <f>IFERROR(__xludf.DUMMYFUNCTION("""COMPUTED_VALUE"""),"")</f>
        <v/>
      </c>
      <c r="X389" s="5" t="str">
        <f>IFERROR(__xludf.DUMMYFUNCTION("""COMPUTED_VALUE"""),"")</f>
        <v/>
      </c>
      <c r="Y389" s="5"/>
      <c r="Z389" s="5"/>
    </row>
    <row r="390">
      <c r="A390" s="5" t="str">
        <f>IFERROR(__xludf.DUMMYFUNCTION("""COMPUTED_VALUE"""),"Only Anime")</f>
        <v>Only Anime</v>
      </c>
      <c r="B390" s="5" t="str">
        <f>IFERROR(__xludf.DUMMYFUNCTION("""COMPUTED_VALUE"""),"")</f>
        <v/>
      </c>
      <c r="C390" s="5" t="str">
        <f>IFERROR(__xludf.DUMMYFUNCTION("""COMPUTED_VALUE"""),"")</f>
        <v/>
      </c>
      <c r="D390" s="5" t="str">
        <f>IFERROR(__xludf.DUMMYFUNCTION("""COMPUTED_VALUE"""),"")</f>
        <v/>
      </c>
      <c r="E390" s="5" t="str">
        <f>IFERROR(__xludf.DUMMYFUNCTION("""COMPUTED_VALUE"""),"")</f>
        <v/>
      </c>
      <c r="F390" s="5" t="str">
        <f>IFERROR(__xludf.DUMMYFUNCTION("""COMPUTED_VALUE"""),"")</f>
        <v/>
      </c>
      <c r="G390" s="5" t="str">
        <f>IFERROR(__xludf.DUMMYFUNCTION("""COMPUTED_VALUE"""),"")</f>
        <v/>
      </c>
      <c r="H390" s="5" t="str">
        <f>IFERROR(__xludf.DUMMYFUNCTION("""COMPUTED_VALUE"""),"")</f>
        <v/>
      </c>
      <c r="I390" s="5" t="str">
        <f>IFERROR(__xludf.DUMMYFUNCTION("""COMPUTED_VALUE"""),"")</f>
        <v/>
      </c>
      <c r="J390" s="5" t="str">
        <f>IFERROR(__xludf.DUMMYFUNCTION("""COMPUTED_VALUE"""),"")</f>
        <v/>
      </c>
      <c r="K390" s="5" t="str">
        <f>IFERROR(__xludf.DUMMYFUNCTION("""COMPUTED_VALUE"""),"")</f>
        <v/>
      </c>
      <c r="L390" s="5" t="str">
        <f>IFERROR(__xludf.DUMMYFUNCTION("""COMPUTED_VALUE"""),"")</f>
        <v/>
      </c>
      <c r="M390" s="5" t="str">
        <f>IFERROR(__xludf.DUMMYFUNCTION("""COMPUTED_VALUE"""),"")</f>
        <v/>
      </c>
      <c r="N390" s="5" t="str">
        <f>IFERROR(__xludf.DUMMYFUNCTION("""COMPUTED_VALUE"""),"")</f>
        <v/>
      </c>
      <c r="O390" s="5" t="str">
        <f>IFERROR(__xludf.DUMMYFUNCTION("""COMPUTED_VALUE"""),"")</f>
        <v/>
      </c>
      <c r="P390" s="5" t="str">
        <f>IFERROR(__xludf.DUMMYFUNCTION("""COMPUTED_VALUE"""),"")</f>
        <v/>
      </c>
      <c r="Q390" s="5" t="str">
        <f>IFERROR(__xludf.DUMMYFUNCTION("""COMPUTED_VALUE"""),"")</f>
        <v/>
      </c>
      <c r="R390" s="5" t="str">
        <f>IFERROR(__xludf.DUMMYFUNCTION("""COMPUTED_VALUE"""),"")</f>
        <v/>
      </c>
      <c r="S390" s="5" t="str">
        <f>IFERROR(__xludf.DUMMYFUNCTION("""COMPUTED_VALUE"""),"")</f>
        <v/>
      </c>
      <c r="T390" s="5" t="str">
        <f>IFERROR(__xludf.DUMMYFUNCTION("""COMPUTED_VALUE"""),"")</f>
        <v/>
      </c>
      <c r="U390" s="5" t="str">
        <f>IFERROR(__xludf.DUMMYFUNCTION("""COMPUTED_VALUE"""),"")</f>
        <v/>
      </c>
      <c r="V390" s="5" t="str">
        <f>IFERROR(__xludf.DUMMYFUNCTION("""COMPUTED_VALUE"""),"")</f>
        <v/>
      </c>
      <c r="W390" s="5" t="str">
        <f>IFERROR(__xludf.DUMMYFUNCTION("""COMPUTED_VALUE"""),"")</f>
        <v/>
      </c>
      <c r="X390" s="5" t="str">
        <f>IFERROR(__xludf.DUMMYFUNCTION("""COMPUTED_VALUE"""),"")</f>
        <v/>
      </c>
      <c r="Y390" s="5"/>
      <c r="Z390" s="5"/>
    </row>
    <row r="391">
      <c r="A391" s="5" t="str">
        <f>IFERROR(__xludf.DUMMYFUNCTION("""COMPUTED_VALUE"""),"27 Double Fruits")</f>
        <v>27 Double Fruits</v>
      </c>
      <c r="B391" s="5" t="str">
        <f>IFERROR(__xludf.DUMMYFUNCTION("""COMPUTED_VALUE"""),"")</f>
        <v/>
      </c>
      <c r="C391" s="5" t="str">
        <f>IFERROR(__xludf.DUMMYFUNCTION("""COMPUTED_VALUE"""),"")</f>
        <v/>
      </c>
      <c r="D391" s="5" t="str">
        <f>IFERROR(__xludf.DUMMYFUNCTION("""COMPUTED_VALUE"""),"")</f>
        <v/>
      </c>
      <c r="E391" s="5" t="str">
        <f>IFERROR(__xludf.DUMMYFUNCTION("""COMPUTED_VALUE"""),"")</f>
        <v/>
      </c>
      <c r="F391" s="5" t="str">
        <f>IFERROR(__xludf.DUMMYFUNCTION("""COMPUTED_VALUE"""),"")</f>
        <v/>
      </c>
      <c r="G391" s="5" t="str">
        <f>IFERROR(__xludf.DUMMYFUNCTION("""COMPUTED_VALUE"""),"")</f>
        <v/>
      </c>
      <c r="H391" s="5" t="str">
        <f>IFERROR(__xludf.DUMMYFUNCTION("""COMPUTED_VALUE"""),"")</f>
        <v/>
      </c>
      <c r="I391" s="5" t="str">
        <f>IFERROR(__xludf.DUMMYFUNCTION("""COMPUTED_VALUE"""),"")</f>
        <v/>
      </c>
      <c r="J391" s="5" t="str">
        <f>IFERROR(__xludf.DUMMYFUNCTION("""COMPUTED_VALUE"""),"")</f>
        <v/>
      </c>
      <c r="K391" s="5" t="str">
        <f>IFERROR(__xludf.DUMMYFUNCTION("""COMPUTED_VALUE"""),"")</f>
        <v/>
      </c>
      <c r="L391" s="5" t="str">
        <f>IFERROR(__xludf.DUMMYFUNCTION("""COMPUTED_VALUE"""),"")</f>
        <v/>
      </c>
      <c r="M391" s="5" t="str">
        <f>IFERROR(__xludf.DUMMYFUNCTION("""COMPUTED_VALUE"""),"")</f>
        <v/>
      </c>
      <c r="N391" s="5" t="str">
        <f>IFERROR(__xludf.DUMMYFUNCTION("""COMPUTED_VALUE"""),"")</f>
        <v/>
      </c>
      <c r="O391" s="5" t="str">
        <f>IFERROR(__xludf.DUMMYFUNCTION("""COMPUTED_VALUE"""),"")</f>
        <v/>
      </c>
      <c r="P391" s="5" t="str">
        <f>IFERROR(__xludf.DUMMYFUNCTION("""COMPUTED_VALUE"""),"")</f>
        <v/>
      </c>
      <c r="Q391" s="5" t="str">
        <f>IFERROR(__xludf.DUMMYFUNCTION("""COMPUTED_VALUE"""),"")</f>
        <v/>
      </c>
      <c r="R391" s="5" t="str">
        <f>IFERROR(__xludf.DUMMYFUNCTION("""COMPUTED_VALUE"""),"")</f>
        <v/>
      </c>
      <c r="S391" s="5" t="str">
        <f>IFERROR(__xludf.DUMMYFUNCTION("""COMPUTED_VALUE"""),"")</f>
        <v/>
      </c>
      <c r="T391" s="5" t="str">
        <f>IFERROR(__xludf.DUMMYFUNCTION("""COMPUTED_VALUE"""),"")</f>
        <v/>
      </c>
      <c r="U391" s="5" t="str">
        <f>IFERROR(__xludf.DUMMYFUNCTION("""COMPUTED_VALUE"""),"")</f>
        <v/>
      </c>
      <c r="V391" s="5" t="str">
        <f>IFERROR(__xludf.DUMMYFUNCTION("""COMPUTED_VALUE"""),"")</f>
        <v/>
      </c>
      <c r="W391" s="5" t="str">
        <f>IFERROR(__xludf.DUMMYFUNCTION("""COMPUTED_VALUE"""),"")</f>
        <v/>
      </c>
      <c r="X391" s="5" t="str">
        <f>IFERROR(__xludf.DUMMYFUNCTION("""COMPUTED_VALUE"""),"")</f>
        <v/>
      </c>
      <c r="Y391" s="5"/>
      <c r="Z391" s="5"/>
    </row>
    <row r="392">
      <c r="A392" s="5" t="str">
        <f>IFERROR(__xludf.DUMMYFUNCTION("""COMPUTED_VALUE"""),"27 Wild Stacks Xmas")</f>
        <v>27 Wild Stacks Xmas</v>
      </c>
      <c r="B392" s="5" t="str">
        <f>IFERROR(__xludf.DUMMYFUNCTION("""COMPUTED_VALUE"""),"")</f>
        <v/>
      </c>
      <c r="C392" s="5" t="str">
        <f>IFERROR(__xludf.DUMMYFUNCTION("""COMPUTED_VALUE"""),"")</f>
        <v/>
      </c>
      <c r="D392" s="5" t="str">
        <f>IFERROR(__xludf.DUMMYFUNCTION("""COMPUTED_VALUE"""),"")</f>
        <v/>
      </c>
      <c r="E392" s="5" t="str">
        <f>IFERROR(__xludf.DUMMYFUNCTION("""COMPUTED_VALUE"""),"")</f>
        <v/>
      </c>
      <c r="F392" s="5" t="str">
        <f>IFERROR(__xludf.DUMMYFUNCTION("""COMPUTED_VALUE"""),"")</f>
        <v/>
      </c>
      <c r="G392" s="5" t="str">
        <f>IFERROR(__xludf.DUMMYFUNCTION("""COMPUTED_VALUE"""),"")</f>
        <v/>
      </c>
      <c r="H392" s="5" t="str">
        <f>IFERROR(__xludf.DUMMYFUNCTION("""COMPUTED_VALUE"""),"")</f>
        <v/>
      </c>
      <c r="I392" s="5" t="str">
        <f>IFERROR(__xludf.DUMMYFUNCTION("""COMPUTED_VALUE"""),"")</f>
        <v/>
      </c>
      <c r="J392" s="5" t="str">
        <f>IFERROR(__xludf.DUMMYFUNCTION("""COMPUTED_VALUE"""),"")</f>
        <v/>
      </c>
      <c r="K392" s="5" t="str">
        <f>IFERROR(__xludf.DUMMYFUNCTION("""COMPUTED_VALUE"""),"")</f>
        <v/>
      </c>
      <c r="L392" s="5" t="str">
        <f>IFERROR(__xludf.DUMMYFUNCTION("""COMPUTED_VALUE"""),"")</f>
        <v/>
      </c>
      <c r="M392" s="5" t="str">
        <f>IFERROR(__xludf.DUMMYFUNCTION("""COMPUTED_VALUE"""),"")</f>
        <v/>
      </c>
      <c r="N392" s="5" t="str">
        <f>IFERROR(__xludf.DUMMYFUNCTION("""COMPUTED_VALUE"""),"")</f>
        <v/>
      </c>
      <c r="O392" s="5" t="str">
        <f>IFERROR(__xludf.DUMMYFUNCTION("""COMPUTED_VALUE"""),"")</f>
        <v/>
      </c>
      <c r="P392" s="5" t="str">
        <f>IFERROR(__xludf.DUMMYFUNCTION("""COMPUTED_VALUE"""),"")</f>
        <v/>
      </c>
      <c r="Q392" s="5" t="str">
        <f>IFERROR(__xludf.DUMMYFUNCTION("""COMPUTED_VALUE"""),"")</f>
        <v/>
      </c>
      <c r="R392" s="5" t="str">
        <f>IFERROR(__xludf.DUMMYFUNCTION("""COMPUTED_VALUE"""),"")</f>
        <v/>
      </c>
      <c r="S392" s="5" t="str">
        <f>IFERROR(__xludf.DUMMYFUNCTION("""COMPUTED_VALUE"""),"")</f>
        <v/>
      </c>
      <c r="T392" s="5" t="str">
        <f>IFERROR(__xludf.DUMMYFUNCTION("""COMPUTED_VALUE"""),"")</f>
        <v/>
      </c>
      <c r="U392" s="5" t="str">
        <f>IFERROR(__xludf.DUMMYFUNCTION("""COMPUTED_VALUE"""),"")</f>
        <v/>
      </c>
      <c r="V392" s="5" t="str">
        <f>IFERROR(__xludf.DUMMYFUNCTION("""COMPUTED_VALUE"""),"")</f>
        <v/>
      </c>
      <c r="W392" s="5" t="str">
        <f>IFERROR(__xludf.DUMMYFUNCTION("""COMPUTED_VALUE"""),"")</f>
        <v/>
      </c>
      <c r="X392" s="5" t="str">
        <f>IFERROR(__xludf.DUMMYFUNCTION("""COMPUTED_VALUE"""),"")</f>
        <v/>
      </c>
      <c r="Y392" s="5"/>
      <c r="Z392" s="5"/>
    </row>
    <row r="393">
      <c r="A393" s="5" t="str">
        <f>IFERROR(__xludf.DUMMYFUNCTION("""COMPUTED_VALUE"""),"Majestic Crown 20 Xmas")</f>
        <v>Majestic Crown 20 Xmas</v>
      </c>
      <c r="B393" s="5" t="str">
        <f>IFERROR(__xludf.DUMMYFUNCTION("""COMPUTED_VALUE"""),"")</f>
        <v/>
      </c>
      <c r="C393" s="5" t="str">
        <f>IFERROR(__xludf.DUMMYFUNCTION("""COMPUTED_VALUE"""),"")</f>
        <v/>
      </c>
      <c r="D393" s="5" t="str">
        <f>IFERROR(__xludf.DUMMYFUNCTION("""COMPUTED_VALUE"""),"")</f>
        <v/>
      </c>
      <c r="E393" s="5" t="str">
        <f>IFERROR(__xludf.DUMMYFUNCTION("""COMPUTED_VALUE"""),"")</f>
        <v/>
      </c>
      <c r="F393" s="5" t="str">
        <f>IFERROR(__xludf.DUMMYFUNCTION("""COMPUTED_VALUE"""),"")</f>
        <v/>
      </c>
      <c r="G393" s="5" t="str">
        <f>IFERROR(__xludf.DUMMYFUNCTION("""COMPUTED_VALUE"""),"")</f>
        <v/>
      </c>
      <c r="H393" s="5" t="str">
        <f>IFERROR(__xludf.DUMMYFUNCTION("""COMPUTED_VALUE"""),"")</f>
        <v/>
      </c>
      <c r="I393" s="5" t="str">
        <f>IFERROR(__xludf.DUMMYFUNCTION("""COMPUTED_VALUE"""),"")</f>
        <v/>
      </c>
      <c r="J393" s="5" t="str">
        <f>IFERROR(__xludf.DUMMYFUNCTION("""COMPUTED_VALUE"""),"")</f>
        <v/>
      </c>
      <c r="K393" s="5" t="str">
        <f>IFERROR(__xludf.DUMMYFUNCTION("""COMPUTED_VALUE"""),"")</f>
        <v/>
      </c>
      <c r="L393" s="5" t="str">
        <f>IFERROR(__xludf.DUMMYFUNCTION("""COMPUTED_VALUE"""),"")</f>
        <v/>
      </c>
      <c r="M393" s="5" t="str">
        <f>IFERROR(__xludf.DUMMYFUNCTION("""COMPUTED_VALUE"""),"")</f>
        <v/>
      </c>
      <c r="N393" s="5" t="str">
        <f>IFERROR(__xludf.DUMMYFUNCTION("""COMPUTED_VALUE"""),"")</f>
        <v/>
      </c>
      <c r="O393" s="5" t="str">
        <f>IFERROR(__xludf.DUMMYFUNCTION("""COMPUTED_VALUE"""),"")</f>
        <v/>
      </c>
      <c r="P393" s="5" t="str">
        <f>IFERROR(__xludf.DUMMYFUNCTION("""COMPUTED_VALUE"""),"")</f>
        <v/>
      </c>
      <c r="Q393" s="5" t="str">
        <f>IFERROR(__xludf.DUMMYFUNCTION("""COMPUTED_VALUE"""),"")</f>
        <v/>
      </c>
      <c r="R393" s="5" t="str">
        <f>IFERROR(__xludf.DUMMYFUNCTION("""COMPUTED_VALUE"""),"")</f>
        <v/>
      </c>
      <c r="S393" s="5" t="str">
        <f>IFERROR(__xludf.DUMMYFUNCTION("""COMPUTED_VALUE"""),"")</f>
        <v/>
      </c>
      <c r="T393" s="5" t="str">
        <f>IFERROR(__xludf.DUMMYFUNCTION("""COMPUTED_VALUE"""),"")</f>
        <v/>
      </c>
      <c r="U393" s="5" t="str">
        <f>IFERROR(__xludf.DUMMYFUNCTION("""COMPUTED_VALUE"""),"")</f>
        <v/>
      </c>
      <c r="V393" s="5" t="str">
        <f>IFERROR(__xludf.DUMMYFUNCTION("""COMPUTED_VALUE"""),"")</f>
        <v/>
      </c>
      <c r="W393" s="5" t="str">
        <f>IFERROR(__xludf.DUMMYFUNCTION("""COMPUTED_VALUE"""),"")</f>
        <v/>
      </c>
      <c r="X393" s="5" t="str">
        <f>IFERROR(__xludf.DUMMYFUNCTION("""COMPUTED_VALUE"""),"")</f>
        <v/>
      </c>
      <c r="Y393" s="5"/>
      <c r="Z393" s="5"/>
    </row>
    <row r="394">
      <c r="A394" s="5" t="str">
        <f>IFERROR(__xludf.DUMMYFUNCTION("""COMPUTED_VALUE"""),"Wild Forties Xmas")</f>
        <v>Wild Forties Xmas</v>
      </c>
      <c r="B394" s="5" t="str">
        <f>IFERROR(__xludf.DUMMYFUNCTION("""COMPUTED_VALUE"""),"")</f>
        <v/>
      </c>
      <c r="C394" s="5" t="str">
        <f>IFERROR(__xludf.DUMMYFUNCTION("""COMPUTED_VALUE"""),"")</f>
        <v/>
      </c>
      <c r="D394" s="5" t="str">
        <f>IFERROR(__xludf.DUMMYFUNCTION("""COMPUTED_VALUE"""),"")</f>
        <v/>
      </c>
      <c r="E394" s="5" t="str">
        <f>IFERROR(__xludf.DUMMYFUNCTION("""COMPUTED_VALUE"""),"")</f>
        <v/>
      </c>
      <c r="F394" s="5" t="str">
        <f>IFERROR(__xludf.DUMMYFUNCTION("""COMPUTED_VALUE"""),"")</f>
        <v/>
      </c>
      <c r="G394" s="5" t="str">
        <f>IFERROR(__xludf.DUMMYFUNCTION("""COMPUTED_VALUE"""),"")</f>
        <v/>
      </c>
      <c r="H394" s="5" t="str">
        <f>IFERROR(__xludf.DUMMYFUNCTION("""COMPUTED_VALUE"""),"")</f>
        <v/>
      </c>
      <c r="I394" s="5" t="str">
        <f>IFERROR(__xludf.DUMMYFUNCTION("""COMPUTED_VALUE"""),"")</f>
        <v/>
      </c>
      <c r="J394" s="5" t="str">
        <f>IFERROR(__xludf.DUMMYFUNCTION("""COMPUTED_VALUE"""),"")</f>
        <v/>
      </c>
      <c r="K394" s="5" t="str">
        <f>IFERROR(__xludf.DUMMYFUNCTION("""COMPUTED_VALUE"""),"")</f>
        <v/>
      </c>
      <c r="L394" s="5" t="str">
        <f>IFERROR(__xludf.DUMMYFUNCTION("""COMPUTED_VALUE"""),"")</f>
        <v/>
      </c>
      <c r="M394" s="5" t="str">
        <f>IFERROR(__xludf.DUMMYFUNCTION("""COMPUTED_VALUE"""),"")</f>
        <v/>
      </c>
      <c r="N394" s="5" t="str">
        <f>IFERROR(__xludf.DUMMYFUNCTION("""COMPUTED_VALUE"""),"")</f>
        <v/>
      </c>
      <c r="O394" s="5" t="str">
        <f>IFERROR(__xludf.DUMMYFUNCTION("""COMPUTED_VALUE"""),"")</f>
        <v/>
      </c>
      <c r="P394" s="5" t="str">
        <f>IFERROR(__xludf.DUMMYFUNCTION("""COMPUTED_VALUE"""),"")</f>
        <v/>
      </c>
      <c r="Q394" s="5" t="str">
        <f>IFERROR(__xludf.DUMMYFUNCTION("""COMPUTED_VALUE"""),"")</f>
        <v/>
      </c>
      <c r="R394" s="5" t="str">
        <f>IFERROR(__xludf.DUMMYFUNCTION("""COMPUTED_VALUE"""),"")</f>
        <v/>
      </c>
      <c r="S394" s="5" t="str">
        <f>IFERROR(__xludf.DUMMYFUNCTION("""COMPUTED_VALUE"""),"")</f>
        <v/>
      </c>
      <c r="T394" s="5" t="str">
        <f>IFERROR(__xludf.DUMMYFUNCTION("""COMPUTED_VALUE"""),"")</f>
        <v/>
      </c>
      <c r="U394" s="5" t="str">
        <f>IFERROR(__xludf.DUMMYFUNCTION("""COMPUTED_VALUE"""),"")</f>
        <v/>
      </c>
      <c r="V394" s="5" t="str">
        <f>IFERROR(__xludf.DUMMYFUNCTION("""COMPUTED_VALUE"""),"")</f>
        <v/>
      </c>
      <c r="W394" s="5" t="str">
        <f>IFERROR(__xludf.DUMMYFUNCTION("""COMPUTED_VALUE"""),"")</f>
        <v/>
      </c>
      <c r="X394" s="5" t="str">
        <f>IFERROR(__xludf.DUMMYFUNCTION("""COMPUTED_VALUE"""),"")</f>
        <v/>
      </c>
      <c r="Y394" s="5"/>
      <c r="Z394" s="5"/>
    </row>
    <row r="395">
      <c r="A395" s="5" t="str">
        <f>IFERROR(__xludf.DUMMYFUNCTION("""COMPUTED_VALUE"""),"Juicy Heat 20")</f>
        <v>Juicy Heat 20</v>
      </c>
      <c r="B395" s="5" t="str">
        <f>IFERROR(__xludf.DUMMYFUNCTION("""COMPUTED_VALUE"""),"")</f>
        <v/>
      </c>
      <c r="C395" s="5" t="str">
        <f>IFERROR(__xludf.DUMMYFUNCTION("""COMPUTED_VALUE"""),"")</f>
        <v/>
      </c>
      <c r="D395" s="5" t="str">
        <f>IFERROR(__xludf.DUMMYFUNCTION("""COMPUTED_VALUE"""),"")</f>
        <v/>
      </c>
      <c r="E395" s="5" t="str">
        <f>IFERROR(__xludf.DUMMYFUNCTION("""COMPUTED_VALUE"""),"")</f>
        <v/>
      </c>
      <c r="F395" s="5" t="str">
        <f>IFERROR(__xludf.DUMMYFUNCTION("""COMPUTED_VALUE"""),"")</f>
        <v/>
      </c>
      <c r="G395" s="5" t="str">
        <f>IFERROR(__xludf.DUMMYFUNCTION("""COMPUTED_VALUE"""),"")</f>
        <v/>
      </c>
      <c r="H395" s="5" t="str">
        <f>IFERROR(__xludf.DUMMYFUNCTION("""COMPUTED_VALUE"""),"")</f>
        <v/>
      </c>
      <c r="I395" s="5" t="str">
        <f>IFERROR(__xludf.DUMMYFUNCTION("""COMPUTED_VALUE"""),"")</f>
        <v/>
      </c>
      <c r="J395" s="5" t="str">
        <f>IFERROR(__xludf.DUMMYFUNCTION("""COMPUTED_VALUE"""),"")</f>
        <v/>
      </c>
      <c r="K395" s="5" t="str">
        <f>IFERROR(__xludf.DUMMYFUNCTION("""COMPUTED_VALUE"""),"")</f>
        <v/>
      </c>
      <c r="L395" s="5" t="str">
        <f>IFERROR(__xludf.DUMMYFUNCTION("""COMPUTED_VALUE"""),"")</f>
        <v/>
      </c>
      <c r="M395" s="5" t="str">
        <f>IFERROR(__xludf.DUMMYFUNCTION("""COMPUTED_VALUE"""),"")</f>
        <v/>
      </c>
      <c r="N395" s="5" t="str">
        <f>IFERROR(__xludf.DUMMYFUNCTION("""COMPUTED_VALUE"""),"")</f>
        <v/>
      </c>
      <c r="O395" s="5" t="str">
        <f>IFERROR(__xludf.DUMMYFUNCTION("""COMPUTED_VALUE"""),"")</f>
        <v/>
      </c>
      <c r="P395" s="5" t="str">
        <f>IFERROR(__xludf.DUMMYFUNCTION("""COMPUTED_VALUE"""),"")</f>
        <v/>
      </c>
      <c r="Q395" s="5" t="str">
        <f>IFERROR(__xludf.DUMMYFUNCTION("""COMPUTED_VALUE"""),"")</f>
        <v/>
      </c>
      <c r="R395" s="5" t="str">
        <f>IFERROR(__xludf.DUMMYFUNCTION("""COMPUTED_VALUE"""),"")</f>
        <v/>
      </c>
      <c r="S395" s="5" t="str">
        <f>IFERROR(__xludf.DUMMYFUNCTION("""COMPUTED_VALUE"""),"")</f>
        <v/>
      </c>
      <c r="T395" s="5" t="str">
        <f>IFERROR(__xludf.DUMMYFUNCTION("""COMPUTED_VALUE"""),"")</f>
        <v/>
      </c>
      <c r="U395" s="5" t="str">
        <f>IFERROR(__xludf.DUMMYFUNCTION("""COMPUTED_VALUE"""),"")</f>
        <v/>
      </c>
      <c r="V395" s="5" t="str">
        <f>IFERROR(__xludf.DUMMYFUNCTION("""COMPUTED_VALUE"""),"")</f>
        <v/>
      </c>
      <c r="W395" s="5" t="str">
        <f>IFERROR(__xludf.DUMMYFUNCTION("""COMPUTED_VALUE"""),"")</f>
        <v/>
      </c>
      <c r="X395" s="5" t="str">
        <f>IFERROR(__xludf.DUMMYFUNCTION("""COMPUTED_VALUE"""),"")</f>
        <v/>
      </c>
      <c r="Y395" s="5"/>
      <c r="Z395" s="5"/>
    </row>
    <row r="396">
      <c r="A396" s="5" t="str">
        <f>IFERROR(__xludf.DUMMYFUNCTION("""COMPUTED_VALUE"""),"Christmas Delight")</f>
        <v>Christmas Delight</v>
      </c>
      <c r="B396" s="5" t="str">
        <f>IFERROR(__xludf.DUMMYFUNCTION("""COMPUTED_VALUE"""),"")</f>
        <v/>
      </c>
      <c r="C396" s="5" t="str">
        <f>IFERROR(__xludf.DUMMYFUNCTION("""COMPUTED_VALUE"""),"")</f>
        <v/>
      </c>
      <c r="D396" s="5" t="str">
        <f>IFERROR(__xludf.DUMMYFUNCTION("""COMPUTED_VALUE"""),"")</f>
        <v/>
      </c>
      <c r="E396" s="5" t="str">
        <f>IFERROR(__xludf.DUMMYFUNCTION("""COMPUTED_VALUE"""),"")</f>
        <v/>
      </c>
      <c r="F396" s="5" t="str">
        <f>IFERROR(__xludf.DUMMYFUNCTION("""COMPUTED_VALUE"""),"")</f>
        <v/>
      </c>
      <c r="G396" s="5" t="str">
        <f>IFERROR(__xludf.DUMMYFUNCTION("""COMPUTED_VALUE"""),"")</f>
        <v/>
      </c>
      <c r="H396" s="5" t="str">
        <f>IFERROR(__xludf.DUMMYFUNCTION("""COMPUTED_VALUE"""),"")</f>
        <v/>
      </c>
      <c r="I396" s="5" t="str">
        <f>IFERROR(__xludf.DUMMYFUNCTION("""COMPUTED_VALUE"""),"")</f>
        <v/>
      </c>
      <c r="J396" s="5" t="str">
        <f>IFERROR(__xludf.DUMMYFUNCTION("""COMPUTED_VALUE"""),"")</f>
        <v/>
      </c>
      <c r="K396" s="5" t="str">
        <f>IFERROR(__xludf.DUMMYFUNCTION("""COMPUTED_VALUE"""),"")</f>
        <v/>
      </c>
      <c r="L396" s="5" t="str">
        <f>IFERROR(__xludf.DUMMYFUNCTION("""COMPUTED_VALUE"""),"")</f>
        <v/>
      </c>
      <c r="M396" s="5" t="str">
        <f>IFERROR(__xludf.DUMMYFUNCTION("""COMPUTED_VALUE"""),"")</f>
        <v/>
      </c>
      <c r="N396" s="5" t="str">
        <f>IFERROR(__xludf.DUMMYFUNCTION("""COMPUTED_VALUE"""),"")</f>
        <v/>
      </c>
      <c r="O396" s="5" t="str">
        <f>IFERROR(__xludf.DUMMYFUNCTION("""COMPUTED_VALUE"""),"")</f>
        <v/>
      </c>
      <c r="P396" s="5" t="str">
        <f>IFERROR(__xludf.DUMMYFUNCTION("""COMPUTED_VALUE"""),"")</f>
        <v/>
      </c>
      <c r="Q396" s="5" t="str">
        <f>IFERROR(__xludf.DUMMYFUNCTION("""COMPUTED_VALUE"""),"")</f>
        <v/>
      </c>
      <c r="R396" s="5" t="str">
        <f>IFERROR(__xludf.DUMMYFUNCTION("""COMPUTED_VALUE"""),"")</f>
        <v/>
      </c>
      <c r="S396" s="5" t="str">
        <f>IFERROR(__xludf.DUMMYFUNCTION("""COMPUTED_VALUE"""),"")</f>
        <v/>
      </c>
      <c r="T396" s="5" t="str">
        <f>IFERROR(__xludf.DUMMYFUNCTION("""COMPUTED_VALUE"""),"")</f>
        <v/>
      </c>
      <c r="U396" s="5" t="str">
        <f>IFERROR(__xludf.DUMMYFUNCTION("""COMPUTED_VALUE"""),"")</f>
        <v/>
      </c>
      <c r="V396" s="5" t="str">
        <f>IFERROR(__xludf.DUMMYFUNCTION("""COMPUTED_VALUE"""),"")</f>
        <v/>
      </c>
      <c r="W396" s="5" t="str">
        <f>IFERROR(__xludf.DUMMYFUNCTION("""COMPUTED_VALUE"""),"")</f>
        <v/>
      </c>
      <c r="X396" s="5" t="str">
        <f>IFERROR(__xludf.DUMMYFUNCTION("""COMPUTED_VALUE"""),"")</f>
        <v/>
      </c>
      <c r="Y396" s="5"/>
      <c r="Z396" s="5"/>
    </row>
    <row r="397">
      <c r="A397" s="5" t="str">
        <f>IFERROR(__xludf.DUMMYFUNCTION("""COMPUTED_VALUE"""),"Funky Fruits")</f>
        <v>Funky Fruits</v>
      </c>
      <c r="B397" s="5" t="str">
        <f>IFERROR(__xludf.DUMMYFUNCTION("""COMPUTED_VALUE"""),"")</f>
        <v/>
      </c>
      <c r="C397" s="5" t="str">
        <f>IFERROR(__xludf.DUMMYFUNCTION("""COMPUTED_VALUE"""),"")</f>
        <v/>
      </c>
      <c r="D397" s="5" t="str">
        <f>IFERROR(__xludf.DUMMYFUNCTION("""COMPUTED_VALUE"""),"")</f>
        <v/>
      </c>
      <c r="E397" s="5" t="str">
        <f>IFERROR(__xludf.DUMMYFUNCTION("""COMPUTED_VALUE"""),"")</f>
        <v/>
      </c>
      <c r="F397" s="5" t="str">
        <f>IFERROR(__xludf.DUMMYFUNCTION("""COMPUTED_VALUE"""),"")</f>
        <v/>
      </c>
      <c r="G397" s="5" t="str">
        <f>IFERROR(__xludf.DUMMYFUNCTION("""COMPUTED_VALUE"""),"")</f>
        <v/>
      </c>
      <c r="H397" s="5" t="str">
        <f>IFERROR(__xludf.DUMMYFUNCTION("""COMPUTED_VALUE"""),"")</f>
        <v/>
      </c>
      <c r="I397" s="5" t="str">
        <f>IFERROR(__xludf.DUMMYFUNCTION("""COMPUTED_VALUE"""),"")</f>
        <v/>
      </c>
      <c r="J397" s="5" t="str">
        <f>IFERROR(__xludf.DUMMYFUNCTION("""COMPUTED_VALUE"""),"")</f>
        <v/>
      </c>
      <c r="K397" s="5" t="str">
        <f>IFERROR(__xludf.DUMMYFUNCTION("""COMPUTED_VALUE"""),"")</f>
        <v/>
      </c>
      <c r="L397" s="5" t="str">
        <f>IFERROR(__xludf.DUMMYFUNCTION("""COMPUTED_VALUE"""),"")</f>
        <v/>
      </c>
      <c r="M397" s="5" t="str">
        <f>IFERROR(__xludf.DUMMYFUNCTION("""COMPUTED_VALUE"""),"")</f>
        <v/>
      </c>
      <c r="N397" s="5" t="str">
        <f>IFERROR(__xludf.DUMMYFUNCTION("""COMPUTED_VALUE"""),"")</f>
        <v/>
      </c>
      <c r="O397" s="5" t="str">
        <f>IFERROR(__xludf.DUMMYFUNCTION("""COMPUTED_VALUE"""),"")</f>
        <v/>
      </c>
      <c r="P397" s="5" t="str">
        <f>IFERROR(__xludf.DUMMYFUNCTION("""COMPUTED_VALUE"""),"")</f>
        <v/>
      </c>
      <c r="Q397" s="5" t="str">
        <f>IFERROR(__xludf.DUMMYFUNCTION("""COMPUTED_VALUE"""),"")</f>
        <v/>
      </c>
      <c r="R397" s="5" t="str">
        <f>IFERROR(__xludf.DUMMYFUNCTION("""COMPUTED_VALUE"""),"")</f>
        <v/>
      </c>
      <c r="S397" s="5" t="str">
        <f>IFERROR(__xludf.DUMMYFUNCTION("""COMPUTED_VALUE"""),"")</f>
        <v/>
      </c>
      <c r="T397" s="5" t="str">
        <f>IFERROR(__xludf.DUMMYFUNCTION("""COMPUTED_VALUE"""),"")</f>
        <v/>
      </c>
      <c r="U397" s="5" t="str">
        <f>IFERROR(__xludf.DUMMYFUNCTION("""COMPUTED_VALUE"""),"")</f>
        <v/>
      </c>
      <c r="V397" s="5" t="str">
        <f>IFERROR(__xludf.DUMMYFUNCTION("""COMPUTED_VALUE"""),"")</f>
        <v/>
      </c>
      <c r="W397" s="5" t="str">
        <f>IFERROR(__xludf.DUMMYFUNCTION("""COMPUTED_VALUE"""),"")</f>
        <v/>
      </c>
      <c r="X397" s="5" t="str">
        <f>IFERROR(__xludf.DUMMYFUNCTION("""COMPUTED_VALUE"""),"")</f>
        <v/>
      </c>
      <c r="Y397" s="5"/>
      <c r="Z397" s="5"/>
    </row>
    <row r="398">
      <c r="A398" s="5" t="str">
        <f>IFERROR(__xludf.DUMMYFUNCTION("""COMPUTED_VALUE"""),"Dice Double")</f>
        <v>Dice Double</v>
      </c>
      <c r="B398" s="5" t="str">
        <f>IFERROR(__xludf.DUMMYFUNCTION("""COMPUTED_VALUE"""),"")</f>
        <v/>
      </c>
      <c r="C398" s="5" t="str">
        <f>IFERROR(__xludf.DUMMYFUNCTION("""COMPUTED_VALUE"""),"")</f>
        <v/>
      </c>
      <c r="D398" s="5" t="str">
        <f>IFERROR(__xludf.DUMMYFUNCTION("""COMPUTED_VALUE"""),"")</f>
        <v/>
      </c>
      <c r="E398" s="5" t="str">
        <f>IFERROR(__xludf.DUMMYFUNCTION("""COMPUTED_VALUE"""),"")</f>
        <v/>
      </c>
      <c r="F398" s="5" t="str">
        <f>IFERROR(__xludf.DUMMYFUNCTION("""COMPUTED_VALUE"""),"")</f>
        <v/>
      </c>
      <c r="G398" s="5" t="str">
        <f>IFERROR(__xludf.DUMMYFUNCTION("""COMPUTED_VALUE"""),"")</f>
        <v/>
      </c>
      <c r="H398" s="5" t="str">
        <f>IFERROR(__xludf.DUMMYFUNCTION("""COMPUTED_VALUE"""),"")</f>
        <v/>
      </c>
      <c r="I398" s="5" t="str">
        <f>IFERROR(__xludf.DUMMYFUNCTION("""COMPUTED_VALUE"""),"")</f>
        <v/>
      </c>
      <c r="J398" s="5" t="str">
        <f>IFERROR(__xludf.DUMMYFUNCTION("""COMPUTED_VALUE"""),"")</f>
        <v/>
      </c>
      <c r="K398" s="5" t="str">
        <f>IFERROR(__xludf.DUMMYFUNCTION("""COMPUTED_VALUE"""),"")</f>
        <v/>
      </c>
      <c r="L398" s="5" t="str">
        <f>IFERROR(__xludf.DUMMYFUNCTION("""COMPUTED_VALUE"""),"")</f>
        <v/>
      </c>
      <c r="M398" s="5" t="str">
        <f>IFERROR(__xludf.DUMMYFUNCTION("""COMPUTED_VALUE"""),"")</f>
        <v/>
      </c>
      <c r="N398" s="5" t="str">
        <f>IFERROR(__xludf.DUMMYFUNCTION("""COMPUTED_VALUE"""),"")</f>
        <v/>
      </c>
      <c r="O398" s="5" t="str">
        <f>IFERROR(__xludf.DUMMYFUNCTION("""COMPUTED_VALUE"""),"")</f>
        <v/>
      </c>
      <c r="P398" s="5" t="str">
        <f>IFERROR(__xludf.DUMMYFUNCTION("""COMPUTED_VALUE"""),"")</f>
        <v/>
      </c>
      <c r="Q398" s="5" t="str">
        <f>IFERROR(__xludf.DUMMYFUNCTION("""COMPUTED_VALUE"""),"")</f>
        <v/>
      </c>
      <c r="R398" s="5" t="str">
        <f>IFERROR(__xludf.DUMMYFUNCTION("""COMPUTED_VALUE"""),"")</f>
        <v/>
      </c>
      <c r="S398" s="5" t="str">
        <f>IFERROR(__xludf.DUMMYFUNCTION("""COMPUTED_VALUE"""),"")</f>
        <v/>
      </c>
      <c r="T398" s="5" t="str">
        <f>IFERROR(__xludf.DUMMYFUNCTION("""COMPUTED_VALUE"""),"")</f>
        <v/>
      </c>
      <c r="U398" s="5" t="str">
        <f>IFERROR(__xludf.DUMMYFUNCTION("""COMPUTED_VALUE"""),"")</f>
        <v/>
      </c>
      <c r="V398" s="5" t="str">
        <f>IFERROR(__xludf.DUMMYFUNCTION("""COMPUTED_VALUE"""),"")</f>
        <v/>
      </c>
      <c r="W398" s="5" t="str">
        <f>IFERROR(__xludf.DUMMYFUNCTION("""COMPUTED_VALUE"""),"")</f>
        <v/>
      </c>
      <c r="X398" s="5" t="str">
        <f>IFERROR(__xludf.DUMMYFUNCTION("""COMPUTED_VALUE"""),"")</f>
        <v/>
      </c>
      <c r="Y398" s="5"/>
      <c r="Z398" s="5"/>
    </row>
    <row r="399">
      <c r="A399" s="5" t="str">
        <f>IFERROR(__xludf.DUMMYFUNCTION("""COMPUTED_VALUE"""),"Volcano Hot")</f>
        <v>Volcano Hot</v>
      </c>
      <c r="B399" s="5" t="str">
        <f>IFERROR(__xludf.DUMMYFUNCTION("""COMPUTED_VALUE"""),"")</f>
        <v/>
      </c>
      <c r="C399" s="5" t="str">
        <f>IFERROR(__xludf.DUMMYFUNCTION("""COMPUTED_VALUE"""),"")</f>
        <v/>
      </c>
      <c r="D399" s="5" t="str">
        <f>IFERROR(__xludf.DUMMYFUNCTION("""COMPUTED_VALUE"""),"")</f>
        <v/>
      </c>
      <c r="E399" s="5" t="str">
        <f>IFERROR(__xludf.DUMMYFUNCTION("""COMPUTED_VALUE"""),"")</f>
        <v/>
      </c>
      <c r="F399" s="5" t="str">
        <f>IFERROR(__xludf.DUMMYFUNCTION("""COMPUTED_VALUE"""),"")</f>
        <v/>
      </c>
      <c r="G399" s="5" t="str">
        <f>IFERROR(__xludf.DUMMYFUNCTION("""COMPUTED_VALUE"""),"")</f>
        <v/>
      </c>
      <c r="H399" s="5" t="str">
        <f>IFERROR(__xludf.DUMMYFUNCTION("""COMPUTED_VALUE"""),"")</f>
        <v/>
      </c>
      <c r="I399" s="5" t="str">
        <f>IFERROR(__xludf.DUMMYFUNCTION("""COMPUTED_VALUE"""),"")</f>
        <v/>
      </c>
      <c r="J399" s="5" t="str">
        <f>IFERROR(__xludf.DUMMYFUNCTION("""COMPUTED_VALUE"""),"")</f>
        <v/>
      </c>
      <c r="K399" s="5" t="str">
        <f>IFERROR(__xludf.DUMMYFUNCTION("""COMPUTED_VALUE"""),"")</f>
        <v/>
      </c>
      <c r="L399" s="5" t="str">
        <f>IFERROR(__xludf.DUMMYFUNCTION("""COMPUTED_VALUE"""),"")</f>
        <v/>
      </c>
      <c r="M399" s="5" t="str">
        <f>IFERROR(__xludf.DUMMYFUNCTION("""COMPUTED_VALUE"""),"")</f>
        <v/>
      </c>
      <c r="N399" s="5" t="str">
        <f>IFERROR(__xludf.DUMMYFUNCTION("""COMPUTED_VALUE"""),"")</f>
        <v/>
      </c>
      <c r="O399" s="5" t="str">
        <f>IFERROR(__xludf.DUMMYFUNCTION("""COMPUTED_VALUE"""),"")</f>
        <v/>
      </c>
      <c r="P399" s="5" t="str">
        <f>IFERROR(__xludf.DUMMYFUNCTION("""COMPUTED_VALUE"""),"")</f>
        <v/>
      </c>
      <c r="Q399" s="5" t="str">
        <f>IFERROR(__xludf.DUMMYFUNCTION("""COMPUTED_VALUE"""),"")</f>
        <v/>
      </c>
      <c r="R399" s="5" t="str">
        <f>IFERROR(__xludf.DUMMYFUNCTION("""COMPUTED_VALUE"""),"")</f>
        <v/>
      </c>
      <c r="S399" s="5" t="str">
        <f>IFERROR(__xludf.DUMMYFUNCTION("""COMPUTED_VALUE"""),"")</f>
        <v/>
      </c>
      <c r="T399" s="5" t="str">
        <f>IFERROR(__xludf.DUMMYFUNCTION("""COMPUTED_VALUE"""),"")</f>
        <v/>
      </c>
      <c r="U399" s="5" t="str">
        <f>IFERROR(__xludf.DUMMYFUNCTION("""COMPUTED_VALUE"""),"")</f>
        <v/>
      </c>
      <c r="V399" s="5" t="str">
        <f>IFERROR(__xludf.DUMMYFUNCTION("""COMPUTED_VALUE"""),"")</f>
        <v/>
      </c>
      <c r="W399" s="5" t="str">
        <f>IFERROR(__xludf.DUMMYFUNCTION("""COMPUTED_VALUE"""),"")</f>
        <v/>
      </c>
      <c r="X399" s="5" t="str">
        <f>IFERROR(__xludf.DUMMYFUNCTION("""COMPUTED_VALUE"""),"")</f>
        <v/>
      </c>
      <c r="Y399" s="5"/>
      <c r="Z399" s="5"/>
    </row>
    <row r="400">
      <c r="A400" s="5" t="str">
        <f>IFERROR(__xludf.DUMMYFUNCTION("""COMPUTED_VALUE"""),"10 Clover Fire")</f>
        <v>10 Clover Fire</v>
      </c>
      <c r="B400" s="5" t="str">
        <f>IFERROR(__xludf.DUMMYFUNCTION("""COMPUTED_VALUE"""),"")</f>
        <v/>
      </c>
      <c r="C400" s="5" t="str">
        <f>IFERROR(__xludf.DUMMYFUNCTION("""COMPUTED_VALUE"""),"")</f>
        <v/>
      </c>
      <c r="D400" s="5" t="str">
        <f>IFERROR(__xludf.DUMMYFUNCTION("""COMPUTED_VALUE"""),"")</f>
        <v/>
      </c>
      <c r="E400" s="5" t="str">
        <f>IFERROR(__xludf.DUMMYFUNCTION("""COMPUTED_VALUE"""),"")</f>
        <v/>
      </c>
      <c r="F400" s="5" t="str">
        <f>IFERROR(__xludf.DUMMYFUNCTION("""COMPUTED_VALUE"""),"")</f>
        <v/>
      </c>
      <c r="G400" s="5" t="str">
        <f>IFERROR(__xludf.DUMMYFUNCTION("""COMPUTED_VALUE"""),"")</f>
        <v/>
      </c>
      <c r="H400" s="5" t="str">
        <f>IFERROR(__xludf.DUMMYFUNCTION("""COMPUTED_VALUE"""),"")</f>
        <v/>
      </c>
      <c r="I400" s="5" t="str">
        <f>IFERROR(__xludf.DUMMYFUNCTION("""COMPUTED_VALUE"""),"")</f>
        <v/>
      </c>
      <c r="J400" s="5" t="str">
        <f>IFERROR(__xludf.DUMMYFUNCTION("""COMPUTED_VALUE"""),"")</f>
        <v/>
      </c>
      <c r="K400" s="5" t="str">
        <f>IFERROR(__xludf.DUMMYFUNCTION("""COMPUTED_VALUE"""),"")</f>
        <v/>
      </c>
      <c r="L400" s="5" t="str">
        <f>IFERROR(__xludf.DUMMYFUNCTION("""COMPUTED_VALUE"""),"")</f>
        <v/>
      </c>
      <c r="M400" s="5" t="str">
        <f>IFERROR(__xludf.DUMMYFUNCTION("""COMPUTED_VALUE"""),"")</f>
        <v/>
      </c>
      <c r="N400" s="5" t="str">
        <f>IFERROR(__xludf.DUMMYFUNCTION("""COMPUTED_VALUE"""),"")</f>
        <v/>
      </c>
      <c r="O400" s="5" t="str">
        <f>IFERROR(__xludf.DUMMYFUNCTION("""COMPUTED_VALUE"""),"")</f>
        <v/>
      </c>
      <c r="P400" s="5" t="str">
        <f>IFERROR(__xludf.DUMMYFUNCTION("""COMPUTED_VALUE"""),"")</f>
        <v/>
      </c>
      <c r="Q400" s="5" t="str">
        <f>IFERROR(__xludf.DUMMYFUNCTION("""COMPUTED_VALUE"""),"")</f>
        <v/>
      </c>
      <c r="R400" s="5" t="str">
        <f>IFERROR(__xludf.DUMMYFUNCTION("""COMPUTED_VALUE"""),"")</f>
        <v/>
      </c>
      <c r="S400" s="5" t="str">
        <f>IFERROR(__xludf.DUMMYFUNCTION("""COMPUTED_VALUE"""),"")</f>
        <v/>
      </c>
      <c r="T400" s="5" t="str">
        <f>IFERROR(__xludf.DUMMYFUNCTION("""COMPUTED_VALUE"""),"")</f>
        <v/>
      </c>
      <c r="U400" s="5" t="str">
        <f>IFERROR(__xludf.DUMMYFUNCTION("""COMPUTED_VALUE"""),"")</f>
        <v/>
      </c>
      <c r="V400" s="5" t="str">
        <f>IFERROR(__xludf.DUMMYFUNCTION("""COMPUTED_VALUE"""),"")</f>
        <v/>
      </c>
      <c r="W400" s="5" t="str">
        <f>IFERROR(__xludf.DUMMYFUNCTION("""COMPUTED_VALUE"""),"")</f>
        <v/>
      </c>
      <c r="X400" s="5" t="str">
        <f>IFERROR(__xludf.DUMMYFUNCTION("""COMPUTED_VALUE"""),"")</f>
        <v/>
      </c>
      <c r="Y400" s="5"/>
      <c r="Z400" s="5"/>
    </row>
    <row r="401">
      <c r="A401" s="5" t="str">
        <f>IFERROR(__xludf.DUMMYFUNCTION("""COMPUTED_VALUE"""),"God Of Thunderstorm")</f>
        <v>God Of Thunderstorm</v>
      </c>
      <c r="B401" s="5" t="str">
        <f>IFERROR(__xludf.DUMMYFUNCTION("""COMPUTED_VALUE"""),"")</f>
        <v/>
      </c>
      <c r="C401" s="5" t="str">
        <f>IFERROR(__xludf.DUMMYFUNCTION("""COMPUTED_VALUE"""),"")</f>
        <v/>
      </c>
      <c r="D401" s="5" t="str">
        <f>IFERROR(__xludf.DUMMYFUNCTION("""COMPUTED_VALUE"""),"")</f>
        <v/>
      </c>
      <c r="E401" s="5" t="str">
        <f>IFERROR(__xludf.DUMMYFUNCTION("""COMPUTED_VALUE"""),"")</f>
        <v/>
      </c>
      <c r="F401" s="5" t="str">
        <f>IFERROR(__xludf.DUMMYFUNCTION("""COMPUTED_VALUE"""),"")</f>
        <v/>
      </c>
      <c r="G401" s="5" t="str">
        <f>IFERROR(__xludf.DUMMYFUNCTION("""COMPUTED_VALUE"""),"")</f>
        <v/>
      </c>
      <c r="H401" s="5" t="str">
        <f>IFERROR(__xludf.DUMMYFUNCTION("""COMPUTED_VALUE"""),"")</f>
        <v/>
      </c>
      <c r="I401" s="5" t="str">
        <f>IFERROR(__xludf.DUMMYFUNCTION("""COMPUTED_VALUE"""),"")</f>
        <v/>
      </c>
      <c r="J401" s="5" t="str">
        <f>IFERROR(__xludf.DUMMYFUNCTION("""COMPUTED_VALUE"""),"")</f>
        <v/>
      </c>
      <c r="K401" s="5" t="str">
        <f>IFERROR(__xludf.DUMMYFUNCTION("""COMPUTED_VALUE"""),"")</f>
        <v/>
      </c>
      <c r="L401" s="5" t="str">
        <f>IFERROR(__xludf.DUMMYFUNCTION("""COMPUTED_VALUE"""),"")</f>
        <v/>
      </c>
      <c r="M401" s="5" t="str">
        <f>IFERROR(__xludf.DUMMYFUNCTION("""COMPUTED_VALUE"""),"")</f>
        <v/>
      </c>
      <c r="N401" s="5" t="str">
        <f>IFERROR(__xludf.DUMMYFUNCTION("""COMPUTED_VALUE"""),"")</f>
        <v/>
      </c>
      <c r="O401" s="5" t="str">
        <f>IFERROR(__xludf.DUMMYFUNCTION("""COMPUTED_VALUE"""),"")</f>
        <v/>
      </c>
      <c r="P401" s="5" t="str">
        <f>IFERROR(__xludf.DUMMYFUNCTION("""COMPUTED_VALUE"""),"")</f>
        <v/>
      </c>
      <c r="Q401" s="5" t="str">
        <f>IFERROR(__xludf.DUMMYFUNCTION("""COMPUTED_VALUE"""),"")</f>
        <v/>
      </c>
      <c r="R401" s="5" t="str">
        <f>IFERROR(__xludf.DUMMYFUNCTION("""COMPUTED_VALUE"""),"")</f>
        <v/>
      </c>
      <c r="S401" s="5" t="str">
        <f>IFERROR(__xludf.DUMMYFUNCTION("""COMPUTED_VALUE"""),"")</f>
        <v/>
      </c>
      <c r="T401" s="5" t="str">
        <f>IFERROR(__xludf.DUMMYFUNCTION("""COMPUTED_VALUE"""),"")</f>
        <v/>
      </c>
      <c r="U401" s="5" t="str">
        <f>IFERROR(__xludf.DUMMYFUNCTION("""COMPUTED_VALUE"""),"")</f>
        <v/>
      </c>
      <c r="V401" s="5" t="str">
        <f>IFERROR(__xludf.DUMMYFUNCTION("""COMPUTED_VALUE"""),"")</f>
        <v/>
      </c>
      <c r="W401" s="5" t="str">
        <f>IFERROR(__xludf.DUMMYFUNCTION("""COMPUTED_VALUE"""),"")</f>
        <v/>
      </c>
      <c r="X401" s="5" t="str">
        <f>IFERROR(__xludf.DUMMYFUNCTION("""COMPUTED_VALUE"""),"")</f>
        <v/>
      </c>
      <c r="Y401" s="5"/>
      <c r="Z401" s="5"/>
    </row>
    <row r="402">
      <c r="A402" s="5" t="str">
        <f>IFERROR(__xludf.DUMMYFUNCTION("""COMPUTED_VALUE"""),"Crowns and Stars")</f>
        <v>Crowns and Stars</v>
      </c>
      <c r="B402" s="5" t="str">
        <f>IFERROR(__xludf.DUMMYFUNCTION("""COMPUTED_VALUE"""),"Available")</f>
        <v>Available</v>
      </c>
      <c r="C402" s="5" t="str">
        <f>IFERROR(__xludf.DUMMYFUNCTION("""COMPUTED_VALUE"""),"Development")</f>
        <v>Development</v>
      </c>
      <c r="D402" s="5" t="str">
        <f>IFERROR(__xludf.DUMMYFUNCTION("""COMPUTED_VALUE"""),"Cert Preparation")</f>
        <v>Cert Preparation</v>
      </c>
      <c r="E402" s="5" t="str">
        <f>IFERROR(__xludf.DUMMYFUNCTION("""COMPUTED_VALUE"""),"Available")</f>
        <v>Available</v>
      </c>
      <c r="F402" s="5" t="str">
        <f>IFERROR(__xludf.DUMMYFUNCTION("""COMPUTED_VALUE"""),"Available")</f>
        <v>Available</v>
      </c>
      <c r="G402" s="5" t="str">
        <f>IFERROR(__xludf.DUMMYFUNCTION("""COMPUTED_VALUE"""),"Available")</f>
        <v>Available</v>
      </c>
      <c r="H402" s="5" t="str">
        <f>IFERROR(__xludf.DUMMYFUNCTION("""COMPUTED_VALUE"""),"Development")</f>
        <v>Development</v>
      </c>
      <c r="I402" s="5" t="str">
        <f>IFERROR(__xludf.DUMMYFUNCTION("""COMPUTED_VALUE"""),"Development")</f>
        <v>Development</v>
      </c>
      <c r="J402" s="5" t="str">
        <f>IFERROR(__xludf.DUMMYFUNCTION("""COMPUTED_VALUE"""),"")</f>
        <v/>
      </c>
      <c r="K402" s="5" t="str">
        <f>IFERROR(__xludf.DUMMYFUNCTION("""COMPUTED_VALUE"""),"Development")</f>
        <v>Development</v>
      </c>
      <c r="L402" s="5" t="str">
        <f>IFERROR(__xludf.DUMMYFUNCTION("""COMPUTED_VALUE"""),"")</f>
        <v/>
      </c>
      <c r="M402" s="5" t="str">
        <f>IFERROR(__xludf.DUMMYFUNCTION("""COMPUTED_VALUE"""),"Development")</f>
        <v>Development</v>
      </c>
      <c r="N402" s="5" t="str">
        <f>IFERROR(__xludf.DUMMYFUNCTION("""COMPUTED_VALUE"""),"Development")</f>
        <v>Development</v>
      </c>
      <c r="O402" s="5" t="str">
        <f>IFERROR(__xludf.DUMMYFUNCTION("""COMPUTED_VALUE"""),"")</f>
        <v/>
      </c>
      <c r="P402" s="5" t="str">
        <f>IFERROR(__xludf.DUMMYFUNCTION("""COMPUTED_VALUE"""),"")</f>
        <v/>
      </c>
      <c r="Q402" s="5" t="str">
        <f>IFERROR(__xludf.DUMMYFUNCTION("""COMPUTED_VALUE"""),"")</f>
        <v/>
      </c>
      <c r="R402" s="5" t="str">
        <f>IFERROR(__xludf.DUMMYFUNCTION("""COMPUTED_VALUE"""),"")</f>
        <v/>
      </c>
      <c r="S402" s="5" t="str">
        <f>IFERROR(__xludf.DUMMYFUNCTION("""COMPUTED_VALUE"""),"")</f>
        <v/>
      </c>
      <c r="T402" s="5" t="str">
        <f>IFERROR(__xludf.DUMMYFUNCTION("""COMPUTED_VALUE"""),"")</f>
        <v/>
      </c>
      <c r="U402" s="5" t="str">
        <f>IFERROR(__xludf.DUMMYFUNCTION("""COMPUTED_VALUE"""),"")</f>
        <v/>
      </c>
      <c r="V402" s="5" t="str">
        <f>IFERROR(__xludf.DUMMYFUNCTION("""COMPUTED_VALUE"""),"")</f>
        <v/>
      </c>
      <c r="W402" s="5" t="str">
        <f>IFERROR(__xludf.DUMMYFUNCTION("""COMPUTED_VALUE"""),"")</f>
        <v/>
      </c>
      <c r="X402" s="5" t="str">
        <f>IFERROR(__xludf.DUMMYFUNCTION("""COMPUTED_VALUE"""),"")</f>
        <v/>
      </c>
      <c r="Y402" s="5"/>
      <c r="Z402" s="5"/>
    </row>
    <row r="403">
      <c r="A403" s="5" t="str">
        <f>IFERROR(__xludf.DUMMYFUNCTION("""COMPUTED_VALUE"""),"Fortune Clover x2")</f>
        <v>Fortune Clover x2</v>
      </c>
      <c r="B403" s="5" t="str">
        <f>IFERROR(__xludf.DUMMYFUNCTION("""COMPUTED_VALUE"""),"")</f>
        <v/>
      </c>
      <c r="C403" s="5" t="str">
        <f>IFERROR(__xludf.DUMMYFUNCTION("""COMPUTED_VALUE"""),"")</f>
        <v/>
      </c>
      <c r="D403" s="5" t="str">
        <f>IFERROR(__xludf.DUMMYFUNCTION("""COMPUTED_VALUE"""),"")</f>
        <v/>
      </c>
      <c r="E403" s="5" t="str">
        <f>IFERROR(__xludf.DUMMYFUNCTION("""COMPUTED_VALUE"""),"")</f>
        <v/>
      </c>
      <c r="F403" s="5" t="str">
        <f>IFERROR(__xludf.DUMMYFUNCTION("""COMPUTED_VALUE"""),"")</f>
        <v/>
      </c>
      <c r="G403" s="5" t="str">
        <f>IFERROR(__xludf.DUMMYFUNCTION("""COMPUTED_VALUE"""),"")</f>
        <v/>
      </c>
      <c r="H403" s="5" t="str">
        <f>IFERROR(__xludf.DUMMYFUNCTION("""COMPUTED_VALUE"""),"")</f>
        <v/>
      </c>
      <c r="I403" s="5" t="str">
        <f>IFERROR(__xludf.DUMMYFUNCTION("""COMPUTED_VALUE"""),"")</f>
        <v/>
      </c>
      <c r="J403" s="5" t="str">
        <f>IFERROR(__xludf.DUMMYFUNCTION("""COMPUTED_VALUE"""),"")</f>
        <v/>
      </c>
      <c r="K403" s="5" t="str">
        <f>IFERROR(__xludf.DUMMYFUNCTION("""COMPUTED_VALUE"""),"")</f>
        <v/>
      </c>
      <c r="L403" s="5" t="str">
        <f>IFERROR(__xludf.DUMMYFUNCTION("""COMPUTED_VALUE"""),"")</f>
        <v/>
      </c>
      <c r="M403" s="5" t="str">
        <f>IFERROR(__xludf.DUMMYFUNCTION("""COMPUTED_VALUE"""),"")</f>
        <v/>
      </c>
      <c r="N403" s="5" t="str">
        <f>IFERROR(__xludf.DUMMYFUNCTION("""COMPUTED_VALUE"""),"")</f>
        <v/>
      </c>
      <c r="O403" s="5" t="str">
        <f>IFERROR(__xludf.DUMMYFUNCTION("""COMPUTED_VALUE"""),"")</f>
        <v/>
      </c>
      <c r="P403" s="5" t="str">
        <f>IFERROR(__xludf.DUMMYFUNCTION("""COMPUTED_VALUE"""),"")</f>
        <v/>
      </c>
      <c r="Q403" s="5" t="str">
        <f>IFERROR(__xludf.DUMMYFUNCTION("""COMPUTED_VALUE"""),"")</f>
        <v/>
      </c>
      <c r="R403" s="5" t="str">
        <f>IFERROR(__xludf.DUMMYFUNCTION("""COMPUTED_VALUE"""),"")</f>
        <v/>
      </c>
      <c r="S403" s="5" t="str">
        <f>IFERROR(__xludf.DUMMYFUNCTION("""COMPUTED_VALUE"""),"")</f>
        <v/>
      </c>
      <c r="T403" s="5" t="str">
        <f>IFERROR(__xludf.DUMMYFUNCTION("""COMPUTED_VALUE"""),"")</f>
        <v/>
      </c>
      <c r="U403" s="5" t="str">
        <f>IFERROR(__xludf.DUMMYFUNCTION("""COMPUTED_VALUE"""),"")</f>
        <v/>
      </c>
      <c r="V403" s="5" t="str">
        <f>IFERROR(__xludf.DUMMYFUNCTION("""COMPUTED_VALUE"""),"")</f>
        <v/>
      </c>
      <c r="W403" s="5" t="str">
        <f>IFERROR(__xludf.DUMMYFUNCTION("""COMPUTED_VALUE"""),"")</f>
        <v/>
      </c>
      <c r="X403" s="5" t="str">
        <f>IFERROR(__xludf.DUMMYFUNCTION("""COMPUTED_VALUE"""),"")</f>
        <v/>
      </c>
      <c r="Y403" s="5"/>
      <c r="Z403" s="5"/>
    </row>
    <row r="404">
      <c r="A404" s="5" t="str">
        <f>IFERROR(__xludf.DUMMYFUNCTION("""COMPUTED_VALUE"""),"Diamond Heart X2")</f>
        <v>Diamond Heart X2</v>
      </c>
      <c r="B404" s="5" t="str">
        <f>IFERROR(__xludf.DUMMYFUNCTION("""COMPUTED_VALUE"""),"")</f>
        <v/>
      </c>
      <c r="C404" s="5" t="str">
        <f>IFERROR(__xludf.DUMMYFUNCTION("""COMPUTED_VALUE"""),"")</f>
        <v/>
      </c>
      <c r="D404" s="5" t="str">
        <f>IFERROR(__xludf.DUMMYFUNCTION("""COMPUTED_VALUE"""),"")</f>
        <v/>
      </c>
      <c r="E404" s="5" t="str">
        <f>IFERROR(__xludf.DUMMYFUNCTION("""COMPUTED_VALUE"""),"")</f>
        <v/>
      </c>
      <c r="F404" s="5" t="str">
        <f>IFERROR(__xludf.DUMMYFUNCTION("""COMPUTED_VALUE"""),"")</f>
        <v/>
      </c>
      <c r="G404" s="5" t="str">
        <f>IFERROR(__xludf.DUMMYFUNCTION("""COMPUTED_VALUE"""),"")</f>
        <v/>
      </c>
      <c r="H404" s="5" t="str">
        <f>IFERROR(__xludf.DUMMYFUNCTION("""COMPUTED_VALUE"""),"")</f>
        <v/>
      </c>
      <c r="I404" s="5" t="str">
        <f>IFERROR(__xludf.DUMMYFUNCTION("""COMPUTED_VALUE"""),"")</f>
        <v/>
      </c>
      <c r="J404" s="5" t="str">
        <f>IFERROR(__xludf.DUMMYFUNCTION("""COMPUTED_VALUE"""),"")</f>
        <v/>
      </c>
      <c r="K404" s="5" t="str">
        <f>IFERROR(__xludf.DUMMYFUNCTION("""COMPUTED_VALUE"""),"")</f>
        <v/>
      </c>
      <c r="L404" s="5" t="str">
        <f>IFERROR(__xludf.DUMMYFUNCTION("""COMPUTED_VALUE"""),"")</f>
        <v/>
      </c>
      <c r="M404" s="5" t="str">
        <f>IFERROR(__xludf.DUMMYFUNCTION("""COMPUTED_VALUE"""),"")</f>
        <v/>
      </c>
      <c r="N404" s="5" t="str">
        <f>IFERROR(__xludf.DUMMYFUNCTION("""COMPUTED_VALUE"""),"")</f>
        <v/>
      </c>
      <c r="O404" s="5" t="str">
        <f>IFERROR(__xludf.DUMMYFUNCTION("""COMPUTED_VALUE"""),"")</f>
        <v/>
      </c>
      <c r="P404" s="5" t="str">
        <f>IFERROR(__xludf.DUMMYFUNCTION("""COMPUTED_VALUE"""),"")</f>
        <v/>
      </c>
      <c r="Q404" s="5" t="str">
        <f>IFERROR(__xludf.DUMMYFUNCTION("""COMPUTED_VALUE"""),"")</f>
        <v/>
      </c>
      <c r="R404" s="5" t="str">
        <f>IFERROR(__xludf.DUMMYFUNCTION("""COMPUTED_VALUE"""),"")</f>
        <v/>
      </c>
      <c r="S404" s="5" t="str">
        <f>IFERROR(__xludf.DUMMYFUNCTION("""COMPUTED_VALUE"""),"")</f>
        <v/>
      </c>
      <c r="T404" s="5" t="str">
        <f>IFERROR(__xludf.DUMMYFUNCTION("""COMPUTED_VALUE"""),"")</f>
        <v/>
      </c>
      <c r="U404" s="5" t="str">
        <f>IFERROR(__xludf.DUMMYFUNCTION("""COMPUTED_VALUE"""),"")</f>
        <v/>
      </c>
      <c r="V404" s="5" t="str">
        <f>IFERROR(__xludf.DUMMYFUNCTION("""COMPUTED_VALUE"""),"")</f>
        <v/>
      </c>
      <c r="W404" s="5" t="str">
        <f>IFERROR(__xludf.DUMMYFUNCTION("""COMPUTED_VALUE"""),"")</f>
        <v/>
      </c>
      <c r="X404" s="5" t="str">
        <f>IFERROR(__xludf.DUMMYFUNCTION("""COMPUTED_VALUE"""),"")</f>
        <v/>
      </c>
      <c r="Y404" s="5"/>
      <c r="Z404" s="5"/>
    </row>
    <row r="405">
      <c r="A405" s="5" t="str">
        <f>IFERROR(__xludf.DUMMYFUNCTION("""COMPUTED_VALUE"""),"Fortune Clover 100")</f>
        <v>Fortune Clover 100</v>
      </c>
      <c r="B405" s="5" t="str">
        <f>IFERROR(__xludf.DUMMYFUNCTION("""COMPUTED_VALUE"""),"")</f>
        <v/>
      </c>
      <c r="C405" s="5" t="str">
        <f>IFERROR(__xludf.DUMMYFUNCTION("""COMPUTED_VALUE"""),"")</f>
        <v/>
      </c>
      <c r="D405" s="5" t="str">
        <f>IFERROR(__xludf.DUMMYFUNCTION("""COMPUTED_VALUE"""),"")</f>
        <v/>
      </c>
      <c r="E405" s="5" t="str">
        <f>IFERROR(__xludf.DUMMYFUNCTION("""COMPUTED_VALUE"""),"")</f>
        <v/>
      </c>
      <c r="F405" s="5" t="str">
        <f>IFERROR(__xludf.DUMMYFUNCTION("""COMPUTED_VALUE"""),"")</f>
        <v/>
      </c>
      <c r="G405" s="5" t="str">
        <f>IFERROR(__xludf.DUMMYFUNCTION("""COMPUTED_VALUE"""),"")</f>
        <v/>
      </c>
      <c r="H405" s="5" t="str">
        <f>IFERROR(__xludf.DUMMYFUNCTION("""COMPUTED_VALUE"""),"")</f>
        <v/>
      </c>
      <c r="I405" s="5" t="str">
        <f>IFERROR(__xludf.DUMMYFUNCTION("""COMPUTED_VALUE"""),"")</f>
        <v/>
      </c>
      <c r="J405" s="5" t="str">
        <f>IFERROR(__xludf.DUMMYFUNCTION("""COMPUTED_VALUE"""),"")</f>
        <v/>
      </c>
      <c r="K405" s="5" t="str">
        <f>IFERROR(__xludf.DUMMYFUNCTION("""COMPUTED_VALUE"""),"")</f>
        <v/>
      </c>
      <c r="L405" s="5" t="str">
        <f>IFERROR(__xludf.DUMMYFUNCTION("""COMPUTED_VALUE"""),"")</f>
        <v/>
      </c>
      <c r="M405" s="5" t="str">
        <f>IFERROR(__xludf.DUMMYFUNCTION("""COMPUTED_VALUE"""),"")</f>
        <v/>
      </c>
      <c r="N405" s="5" t="str">
        <f>IFERROR(__xludf.DUMMYFUNCTION("""COMPUTED_VALUE"""),"")</f>
        <v/>
      </c>
      <c r="O405" s="5" t="str">
        <f>IFERROR(__xludf.DUMMYFUNCTION("""COMPUTED_VALUE"""),"")</f>
        <v/>
      </c>
      <c r="P405" s="5" t="str">
        <f>IFERROR(__xludf.DUMMYFUNCTION("""COMPUTED_VALUE"""),"")</f>
        <v/>
      </c>
      <c r="Q405" s="5" t="str">
        <f>IFERROR(__xludf.DUMMYFUNCTION("""COMPUTED_VALUE"""),"")</f>
        <v/>
      </c>
      <c r="R405" s="5" t="str">
        <f>IFERROR(__xludf.DUMMYFUNCTION("""COMPUTED_VALUE"""),"")</f>
        <v/>
      </c>
      <c r="S405" s="5" t="str">
        <f>IFERROR(__xludf.DUMMYFUNCTION("""COMPUTED_VALUE"""),"")</f>
        <v/>
      </c>
      <c r="T405" s="5" t="str">
        <f>IFERROR(__xludf.DUMMYFUNCTION("""COMPUTED_VALUE"""),"")</f>
        <v/>
      </c>
      <c r="U405" s="5" t="str">
        <f>IFERROR(__xludf.DUMMYFUNCTION("""COMPUTED_VALUE"""),"")</f>
        <v/>
      </c>
      <c r="V405" s="5" t="str">
        <f>IFERROR(__xludf.DUMMYFUNCTION("""COMPUTED_VALUE"""),"")</f>
        <v/>
      </c>
      <c r="W405" s="5" t="str">
        <f>IFERROR(__xludf.DUMMYFUNCTION("""COMPUTED_VALUE"""),"")</f>
        <v/>
      </c>
      <c r="X405" s="5" t="str">
        <f>IFERROR(__xludf.DUMMYFUNCTION("""COMPUTED_VALUE"""),"")</f>
        <v/>
      </c>
      <c r="Y405" s="5"/>
      <c r="Z405" s="5"/>
    </row>
    <row r="406">
      <c r="A406" s="5" t="str">
        <f>IFERROR(__xludf.DUMMYFUNCTION("""COMPUTED_VALUE"""),"Cosmic Sevens")</f>
        <v>Cosmic Sevens</v>
      </c>
      <c r="B406" s="5" t="str">
        <f>IFERROR(__xludf.DUMMYFUNCTION("""COMPUTED_VALUE"""),"")</f>
        <v/>
      </c>
      <c r="C406" s="5" t="str">
        <f>IFERROR(__xludf.DUMMYFUNCTION("""COMPUTED_VALUE"""),"")</f>
        <v/>
      </c>
      <c r="D406" s="5" t="str">
        <f>IFERROR(__xludf.DUMMYFUNCTION("""COMPUTED_VALUE"""),"")</f>
        <v/>
      </c>
      <c r="E406" s="5" t="str">
        <f>IFERROR(__xludf.DUMMYFUNCTION("""COMPUTED_VALUE"""),"")</f>
        <v/>
      </c>
      <c r="F406" s="5" t="str">
        <f>IFERROR(__xludf.DUMMYFUNCTION("""COMPUTED_VALUE"""),"")</f>
        <v/>
      </c>
      <c r="G406" s="5" t="str">
        <f>IFERROR(__xludf.DUMMYFUNCTION("""COMPUTED_VALUE"""),"")</f>
        <v/>
      </c>
      <c r="H406" s="5" t="str">
        <f>IFERROR(__xludf.DUMMYFUNCTION("""COMPUTED_VALUE"""),"")</f>
        <v/>
      </c>
      <c r="I406" s="5" t="str">
        <f>IFERROR(__xludf.DUMMYFUNCTION("""COMPUTED_VALUE"""),"")</f>
        <v/>
      </c>
      <c r="J406" s="5" t="str">
        <f>IFERROR(__xludf.DUMMYFUNCTION("""COMPUTED_VALUE"""),"")</f>
        <v/>
      </c>
      <c r="K406" s="5" t="str">
        <f>IFERROR(__xludf.DUMMYFUNCTION("""COMPUTED_VALUE"""),"")</f>
        <v/>
      </c>
      <c r="L406" s="5" t="str">
        <f>IFERROR(__xludf.DUMMYFUNCTION("""COMPUTED_VALUE"""),"")</f>
        <v/>
      </c>
      <c r="M406" s="5" t="str">
        <f>IFERROR(__xludf.DUMMYFUNCTION("""COMPUTED_VALUE"""),"")</f>
        <v/>
      </c>
      <c r="N406" s="5" t="str">
        <f>IFERROR(__xludf.DUMMYFUNCTION("""COMPUTED_VALUE"""),"")</f>
        <v/>
      </c>
      <c r="O406" s="5" t="str">
        <f>IFERROR(__xludf.DUMMYFUNCTION("""COMPUTED_VALUE"""),"")</f>
        <v/>
      </c>
      <c r="P406" s="5" t="str">
        <f>IFERROR(__xludf.DUMMYFUNCTION("""COMPUTED_VALUE"""),"")</f>
        <v/>
      </c>
      <c r="Q406" s="5" t="str">
        <f>IFERROR(__xludf.DUMMYFUNCTION("""COMPUTED_VALUE"""),"")</f>
        <v/>
      </c>
      <c r="R406" s="5" t="str">
        <f>IFERROR(__xludf.DUMMYFUNCTION("""COMPUTED_VALUE"""),"")</f>
        <v/>
      </c>
      <c r="S406" s="5" t="str">
        <f>IFERROR(__xludf.DUMMYFUNCTION("""COMPUTED_VALUE"""),"")</f>
        <v/>
      </c>
      <c r="T406" s="5" t="str">
        <f>IFERROR(__xludf.DUMMYFUNCTION("""COMPUTED_VALUE"""),"")</f>
        <v/>
      </c>
      <c r="U406" s="5" t="str">
        <f>IFERROR(__xludf.DUMMYFUNCTION("""COMPUTED_VALUE"""),"")</f>
        <v/>
      </c>
      <c r="V406" s="5" t="str">
        <f>IFERROR(__xludf.DUMMYFUNCTION("""COMPUTED_VALUE"""),"")</f>
        <v/>
      </c>
      <c r="W406" s="5" t="str">
        <f>IFERROR(__xludf.DUMMYFUNCTION("""COMPUTED_VALUE"""),"")</f>
        <v/>
      </c>
      <c r="X406" s="5" t="str">
        <f>IFERROR(__xludf.DUMMYFUNCTION("""COMPUTED_VALUE"""),"")</f>
        <v/>
      </c>
      <c r="Y406" s="5"/>
      <c r="Z406" s="5"/>
    </row>
    <row r="407">
      <c r="A407" s="5" t="str">
        <f>IFERROR(__xludf.DUMMYFUNCTION("""COMPUTED_VALUE"""),"20 Hot Strike Dice Jackpot")</f>
        <v>20 Hot Strike Dice Jackpot</v>
      </c>
      <c r="B407" s="5" t="str">
        <f>IFERROR(__xludf.DUMMYFUNCTION("""COMPUTED_VALUE"""),"")</f>
        <v/>
      </c>
      <c r="C407" s="5" t="str">
        <f>IFERROR(__xludf.DUMMYFUNCTION("""COMPUTED_VALUE"""),"")</f>
        <v/>
      </c>
      <c r="D407" s="5" t="str">
        <f>IFERROR(__xludf.DUMMYFUNCTION("""COMPUTED_VALUE"""),"")</f>
        <v/>
      </c>
      <c r="E407" s="5" t="str">
        <f>IFERROR(__xludf.DUMMYFUNCTION("""COMPUTED_VALUE"""),"")</f>
        <v/>
      </c>
      <c r="F407" s="5" t="str">
        <f>IFERROR(__xludf.DUMMYFUNCTION("""COMPUTED_VALUE"""),"")</f>
        <v/>
      </c>
      <c r="G407" s="5" t="str">
        <f>IFERROR(__xludf.DUMMYFUNCTION("""COMPUTED_VALUE"""),"")</f>
        <v/>
      </c>
      <c r="H407" s="5" t="str">
        <f>IFERROR(__xludf.DUMMYFUNCTION("""COMPUTED_VALUE"""),"")</f>
        <v/>
      </c>
      <c r="I407" s="5" t="str">
        <f>IFERROR(__xludf.DUMMYFUNCTION("""COMPUTED_VALUE"""),"")</f>
        <v/>
      </c>
      <c r="J407" s="5" t="str">
        <f>IFERROR(__xludf.DUMMYFUNCTION("""COMPUTED_VALUE"""),"")</f>
        <v/>
      </c>
      <c r="K407" s="5" t="str">
        <f>IFERROR(__xludf.DUMMYFUNCTION("""COMPUTED_VALUE"""),"")</f>
        <v/>
      </c>
      <c r="L407" s="5" t="str">
        <f>IFERROR(__xludf.DUMMYFUNCTION("""COMPUTED_VALUE"""),"")</f>
        <v/>
      </c>
      <c r="M407" s="5" t="str">
        <f>IFERROR(__xludf.DUMMYFUNCTION("""COMPUTED_VALUE"""),"")</f>
        <v/>
      </c>
      <c r="N407" s="5" t="str">
        <f>IFERROR(__xludf.DUMMYFUNCTION("""COMPUTED_VALUE"""),"")</f>
        <v/>
      </c>
      <c r="O407" s="5" t="str">
        <f>IFERROR(__xludf.DUMMYFUNCTION("""COMPUTED_VALUE"""),"")</f>
        <v/>
      </c>
      <c r="P407" s="5" t="str">
        <f>IFERROR(__xludf.DUMMYFUNCTION("""COMPUTED_VALUE"""),"")</f>
        <v/>
      </c>
      <c r="Q407" s="5" t="str">
        <f>IFERROR(__xludf.DUMMYFUNCTION("""COMPUTED_VALUE"""),"")</f>
        <v/>
      </c>
      <c r="R407" s="5" t="str">
        <f>IFERROR(__xludf.DUMMYFUNCTION("""COMPUTED_VALUE"""),"")</f>
        <v/>
      </c>
      <c r="S407" s="5" t="str">
        <f>IFERROR(__xludf.DUMMYFUNCTION("""COMPUTED_VALUE"""),"")</f>
        <v/>
      </c>
      <c r="T407" s="5" t="str">
        <f>IFERROR(__xludf.DUMMYFUNCTION("""COMPUTED_VALUE"""),"")</f>
        <v/>
      </c>
      <c r="U407" s="5" t="str">
        <f>IFERROR(__xludf.DUMMYFUNCTION("""COMPUTED_VALUE"""),"")</f>
        <v/>
      </c>
      <c r="V407" s="5" t="str">
        <f>IFERROR(__xludf.DUMMYFUNCTION("""COMPUTED_VALUE"""),"")</f>
        <v/>
      </c>
      <c r="W407" s="5" t="str">
        <f>IFERROR(__xludf.DUMMYFUNCTION("""COMPUTED_VALUE"""),"")</f>
        <v/>
      </c>
      <c r="X407" s="5" t="str">
        <f>IFERROR(__xludf.DUMMYFUNCTION("""COMPUTED_VALUE"""),"")</f>
        <v/>
      </c>
      <c r="Y407" s="5"/>
      <c r="Z407" s="5"/>
    </row>
    <row r="408">
      <c r="A408" s="5" t="str">
        <f>IFERROR(__xludf.DUMMYFUNCTION("""COMPUTED_VALUE"""),"Dice Machine")</f>
        <v>Dice Machine</v>
      </c>
      <c r="B408" s="5" t="str">
        <f>IFERROR(__xludf.DUMMYFUNCTION("""COMPUTED_VALUE"""),"")</f>
        <v/>
      </c>
      <c r="C408" s="5" t="str">
        <f>IFERROR(__xludf.DUMMYFUNCTION("""COMPUTED_VALUE"""),"")</f>
        <v/>
      </c>
      <c r="D408" s="5" t="str">
        <f>IFERROR(__xludf.DUMMYFUNCTION("""COMPUTED_VALUE"""),"")</f>
        <v/>
      </c>
      <c r="E408" s="5" t="str">
        <f>IFERROR(__xludf.DUMMYFUNCTION("""COMPUTED_VALUE"""),"")</f>
        <v/>
      </c>
      <c r="F408" s="5" t="str">
        <f>IFERROR(__xludf.DUMMYFUNCTION("""COMPUTED_VALUE"""),"")</f>
        <v/>
      </c>
      <c r="G408" s="5" t="str">
        <f>IFERROR(__xludf.DUMMYFUNCTION("""COMPUTED_VALUE"""),"")</f>
        <v/>
      </c>
      <c r="H408" s="5" t="str">
        <f>IFERROR(__xludf.DUMMYFUNCTION("""COMPUTED_VALUE"""),"")</f>
        <v/>
      </c>
      <c r="I408" s="5" t="str">
        <f>IFERROR(__xludf.DUMMYFUNCTION("""COMPUTED_VALUE"""),"")</f>
        <v/>
      </c>
      <c r="J408" s="5" t="str">
        <f>IFERROR(__xludf.DUMMYFUNCTION("""COMPUTED_VALUE"""),"")</f>
        <v/>
      </c>
      <c r="K408" s="5" t="str">
        <f>IFERROR(__xludf.DUMMYFUNCTION("""COMPUTED_VALUE"""),"")</f>
        <v/>
      </c>
      <c r="L408" s="5" t="str">
        <f>IFERROR(__xludf.DUMMYFUNCTION("""COMPUTED_VALUE"""),"")</f>
        <v/>
      </c>
      <c r="M408" s="5" t="str">
        <f>IFERROR(__xludf.DUMMYFUNCTION("""COMPUTED_VALUE"""),"")</f>
        <v/>
      </c>
      <c r="N408" s="5" t="str">
        <f>IFERROR(__xludf.DUMMYFUNCTION("""COMPUTED_VALUE"""),"")</f>
        <v/>
      </c>
      <c r="O408" s="5" t="str">
        <f>IFERROR(__xludf.DUMMYFUNCTION("""COMPUTED_VALUE"""),"")</f>
        <v/>
      </c>
      <c r="P408" s="5" t="str">
        <f>IFERROR(__xludf.DUMMYFUNCTION("""COMPUTED_VALUE"""),"")</f>
        <v/>
      </c>
      <c r="Q408" s="5" t="str">
        <f>IFERROR(__xludf.DUMMYFUNCTION("""COMPUTED_VALUE"""),"")</f>
        <v/>
      </c>
      <c r="R408" s="5" t="str">
        <f>IFERROR(__xludf.DUMMYFUNCTION("""COMPUTED_VALUE"""),"")</f>
        <v/>
      </c>
      <c r="S408" s="5" t="str">
        <f>IFERROR(__xludf.DUMMYFUNCTION("""COMPUTED_VALUE"""),"")</f>
        <v/>
      </c>
      <c r="T408" s="5" t="str">
        <f>IFERROR(__xludf.DUMMYFUNCTION("""COMPUTED_VALUE"""),"")</f>
        <v/>
      </c>
      <c r="U408" s="5" t="str">
        <f>IFERROR(__xludf.DUMMYFUNCTION("""COMPUTED_VALUE"""),"")</f>
        <v/>
      </c>
      <c r="V408" s="5" t="str">
        <f>IFERROR(__xludf.DUMMYFUNCTION("""COMPUTED_VALUE"""),"")</f>
        <v/>
      </c>
      <c r="W408" s="5" t="str">
        <f>IFERROR(__xludf.DUMMYFUNCTION("""COMPUTED_VALUE"""),"")</f>
        <v/>
      </c>
      <c r="X408" s="5" t="str">
        <f>IFERROR(__xludf.DUMMYFUNCTION("""COMPUTED_VALUE"""),"")</f>
        <v/>
      </c>
      <c r="Y408" s="5"/>
      <c r="Z408" s="5"/>
    </row>
    <row r="409">
      <c r="A409" s="5" t="str">
        <f>IFERROR(__xludf.DUMMYFUNCTION("""COMPUTED_VALUE"""),"Clover Royale")</f>
        <v>Clover Royale</v>
      </c>
      <c r="B409" s="5" t="str">
        <f>IFERROR(__xludf.DUMMYFUNCTION("""COMPUTED_VALUE"""),"")</f>
        <v/>
      </c>
      <c r="C409" s="5" t="str">
        <f>IFERROR(__xludf.DUMMYFUNCTION("""COMPUTED_VALUE"""),"")</f>
        <v/>
      </c>
      <c r="D409" s="5" t="str">
        <f>IFERROR(__xludf.DUMMYFUNCTION("""COMPUTED_VALUE"""),"")</f>
        <v/>
      </c>
      <c r="E409" s="5" t="str">
        <f>IFERROR(__xludf.DUMMYFUNCTION("""COMPUTED_VALUE"""),"")</f>
        <v/>
      </c>
      <c r="F409" s="5" t="str">
        <f>IFERROR(__xludf.DUMMYFUNCTION("""COMPUTED_VALUE"""),"")</f>
        <v/>
      </c>
      <c r="G409" s="5" t="str">
        <f>IFERROR(__xludf.DUMMYFUNCTION("""COMPUTED_VALUE"""),"")</f>
        <v/>
      </c>
      <c r="H409" s="5" t="str">
        <f>IFERROR(__xludf.DUMMYFUNCTION("""COMPUTED_VALUE"""),"")</f>
        <v/>
      </c>
      <c r="I409" s="5" t="str">
        <f>IFERROR(__xludf.DUMMYFUNCTION("""COMPUTED_VALUE"""),"")</f>
        <v/>
      </c>
      <c r="J409" s="5" t="str">
        <f>IFERROR(__xludf.DUMMYFUNCTION("""COMPUTED_VALUE"""),"")</f>
        <v/>
      </c>
      <c r="K409" s="5" t="str">
        <f>IFERROR(__xludf.DUMMYFUNCTION("""COMPUTED_VALUE"""),"")</f>
        <v/>
      </c>
      <c r="L409" s="5" t="str">
        <f>IFERROR(__xludf.DUMMYFUNCTION("""COMPUTED_VALUE"""),"")</f>
        <v/>
      </c>
      <c r="M409" s="5" t="str">
        <f>IFERROR(__xludf.DUMMYFUNCTION("""COMPUTED_VALUE"""),"")</f>
        <v/>
      </c>
      <c r="N409" s="5" t="str">
        <f>IFERROR(__xludf.DUMMYFUNCTION("""COMPUTED_VALUE"""),"")</f>
        <v/>
      </c>
      <c r="O409" s="5" t="str">
        <f>IFERROR(__xludf.DUMMYFUNCTION("""COMPUTED_VALUE"""),"")</f>
        <v/>
      </c>
      <c r="P409" s="5" t="str">
        <f>IFERROR(__xludf.DUMMYFUNCTION("""COMPUTED_VALUE"""),"")</f>
        <v/>
      </c>
      <c r="Q409" s="5" t="str">
        <f>IFERROR(__xludf.DUMMYFUNCTION("""COMPUTED_VALUE"""),"")</f>
        <v/>
      </c>
      <c r="R409" s="5" t="str">
        <f>IFERROR(__xludf.DUMMYFUNCTION("""COMPUTED_VALUE"""),"")</f>
        <v/>
      </c>
      <c r="S409" s="5" t="str">
        <f>IFERROR(__xludf.DUMMYFUNCTION("""COMPUTED_VALUE"""),"")</f>
        <v/>
      </c>
      <c r="T409" s="5" t="str">
        <f>IFERROR(__xludf.DUMMYFUNCTION("""COMPUTED_VALUE"""),"")</f>
        <v/>
      </c>
      <c r="U409" s="5" t="str">
        <f>IFERROR(__xludf.DUMMYFUNCTION("""COMPUTED_VALUE"""),"")</f>
        <v/>
      </c>
      <c r="V409" s="5" t="str">
        <f>IFERROR(__xludf.DUMMYFUNCTION("""COMPUTED_VALUE"""),"")</f>
        <v/>
      </c>
      <c r="W409" s="5" t="str">
        <f>IFERROR(__xludf.DUMMYFUNCTION("""COMPUTED_VALUE"""),"")</f>
        <v/>
      </c>
      <c r="X409" s="5" t="str">
        <f>IFERROR(__xludf.DUMMYFUNCTION("""COMPUTED_VALUE"""),"")</f>
        <v/>
      </c>
      <c r="Y409" s="5"/>
      <c r="Z409" s="5"/>
    </row>
    <row r="410">
      <c r="A410" s="5" t="str">
        <f>IFERROR(__xludf.DUMMYFUNCTION("""COMPUTED_VALUE"""),"Thunder Fruits")</f>
        <v>Thunder Fruits</v>
      </c>
      <c r="B410" s="5" t="str">
        <f>IFERROR(__xludf.DUMMYFUNCTION("""COMPUTED_VALUE"""),"")</f>
        <v/>
      </c>
      <c r="C410" s="5" t="str">
        <f>IFERROR(__xludf.DUMMYFUNCTION("""COMPUTED_VALUE"""),"")</f>
        <v/>
      </c>
      <c r="D410" s="5" t="str">
        <f>IFERROR(__xludf.DUMMYFUNCTION("""COMPUTED_VALUE"""),"")</f>
        <v/>
      </c>
      <c r="E410" s="5" t="str">
        <f>IFERROR(__xludf.DUMMYFUNCTION("""COMPUTED_VALUE"""),"")</f>
        <v/>
      </c>
      <c r="F410" s="5" t="str">
        <f>IFERROR(__xludf.DUMMYFUNCTION("""COMPUTED_VALUE"""),"")</f>
        <v/>
      </c>
      <c r="G410" s="5" t="str">
        <f>IFERROR(__xludf.DUMMYFUNCTION("""COMPUTED_VALUE"""),"")</f>
        <v/>
      </c>
      <c r="H410" s="5" t="str">
        <f>IFERROR(__xludf.DUMMYFUNCTION("""COMPUTED_VALUE"""),"")</f>
        <v/>
      </c>
      <c r="I410" s="5" t="str">
        <f>IFERROR(__xludf.DUMMYFUNCTION("""COMPUTED_VALUE"""),"")</f>
        <v/>
      </c>
      <c r="J410" s="5" t="str">
        <f>IFERROR(__xludf.DUMMYFUNCTION("""COMPUTED_VALUE"""),"")</f>
        <v/>
      </c>
      <c r="K410" s="5" t="str">
        <f>IFERROR(__xludf.DUMMYFUNCTION("""COMPUTED_VALUE"""),"")</f>
        <v/>
      </c>
      <c r="L410" s="5" t="str">
        <f>IFERROR(__xludf.DUMMYFUNCTION("""COMPUTED_VALUE"""),"")</f>
        <v/>
      </c>
      <c r="M410" s="5" t="str">
        <f>IFERROR(__xludf.DUMMYFUNCTION("""COMPUTED_VALUE"""),"")</f>
        <v/>
      </c>
      <c r="N410" s="5" t="str">
        <f>IFERROR(__xludf.DUMMYFUNCTION("""COMPUTED_VALUE"""),"")</f>
        <v/>
      </c>
      <c r="O410" s="5" t="str">
        <f>IFERROR(__xludf.DUMMYFUNCTION("""COMPUTED_VALUE"""),"")</f>
        <v/>
      </c>
      <c r="P410" s="5" t="str">
        <f>IFERROR(__xludf.DUMMYFUNCTION("""COMPUTED_VALUE"""),"")</f>
        <v/>
      </c>
      <c r="Q410" s="5" t="str">
        <f>IFERROR(__xludf.DUMMYFUNCTION("""COMPUTED_VALUE"""),"")</f>
        <v/>
      </c>
      <c r="R410" s="5" t="str">
        <f>IFERROR(__xludf.DUMMYFUNCTION("""COMPUTED_VALUE"""),"")</f>
        <v/>
      </c>
      <c r="S410" s="5" t="str">
        <f>IFERROR(__xludf.DUMMYFUNCTION("""COMPUTED_VALUE"""),"")</f>
        <v/>
      </c>
      <c r="T410" s="5" t="str">
        <f>IFERROR(__xludf.DUMMYFUNCTION("""COMPUTED_VALUE"""),"")</f>
        <v/>
      </c>
      <c r="U410" s="5" t="str">
        <f>IFERROR(__xludf.DUMMYFUNCTION("""COMPUTED_VALUE"""),"")</f>
        <v/>
      </c>
      <c r="V410" s="5" t="str">
        <f>IFERROR(__xludf.DUMMYFUNCTION("""COMPUTED_VALUE"""),"")</f>
        <v/>
      </c>
      <c r="W410" s="5" t="str">
        <f>IFERROR(__xludf.DUMMYFUNCTION("""COMPUTED_VALUE"""),"")</f>
        <v/>
      </c>
      <c r="X410" s="5" t="str">
        <f>IFERROR(__xludf.DUMMYFUNCTION("""COMPUTED_VALUE"""),"")</f>
        <v/>
      </c>
      <c r="Y410" s="5"/>
      <c r="Z410" s="5"/>
    </row>
    <row r="411">
      <c r="A411" s="5" t="str">
        <f>IFERROR(__xludf.DUMMYFUNCTION("""COMPUTED_VALUE"""),"Epic Mega Cash")</f>
        <v>Epic Mega Cash</v>
      </c>
      <c r="B411" s="5" t="str">
        <f>IFERROR(__xludf.DUMMYFUNCTION("""COMPUTED_VALUE"""),"")</f>
        <v/>
      </c>
      <c r="C411" s="5" t="str">
        <f>IFERROR(__xludf.DUMMYFUNCTION("""COMPUTED_VALUE"""),"")</f>
        <v/>
      </c>
      <c r="D411" s="5" t="str">
        <f>IFERROR(__xludf.DUMMYFUNCTION("""COMPUTED_VALUE"""),"")</f>
        <v/>
      </c>
      <c r="E411" s="5" t="str">
        <f>IFERROR(__xludf.DUMMYFUNCTION("""COMPUTED_VALUE"""),"")</f>
        <v/>
      </c>
      <c r="F411" s="5" t="str">
        <f>IFERROR(__xludf.DUMMYFUNCTION("""COMPUTED_VALUE"""),"")</f>
        <v/>
      </c>
      <c r="G411" s="5" t="str">
        <f>IFERROR(__xludf.DUMMYFUNCTION("""COMPUTED_VALUE"""),"")</f>
        <v/>
      </c>
      <c r="H411" s="5" t="str">
        <f>IFERROR(__xludf.DUMMYFUNCTION("""COMPUTED_VALUE"""),"")</f>
        <v/>
      </c>
      <c r="I411" s="5" t="str">
        <f>IFERROR(__xludf.DUMMYFUNCTION("""COMPUTED_VALUE"""),"")</f>
        <v/>
      </c>
      <c r="J411" s="5" t="str">
        <f>IFERROR(__xludf.DUMMYFUNCTION("""COMPUTED_VALUE"""),"")</f>
        <v/>
      </c>
      <c r="K411" s="5" t="str">
        <f>IFERROR(__xludf.DUMMYFUNCTION("""COMPUTED_VALUE"""),"")</f>
        <v/>
      </c>
      <c r="L411" s="5" t="str">
        <f>IFERROR(__xludf.DUMMYFUNCTION("""COMPUTED_VALUE"""),"")</f>
        <v/>
      </c>
      <c r="M411" s="5" t="str">
        <f>IFERROR(__xludf.DUMMYFUNCTION("""COMPUTED_VALUE"""),"")</f>
        <v/>
      </c>
      <c r="N411" s="5" t="str">
        <f>IFERROR(__xludf.DUMMYFUNCTION("""COMPUTED_VALUE"""),"")</f>
        <v/>
      </c>
      <c r="O411" s="5" t="str">
        <f>IFERROR(__xludf.DUMMYFUNCTION("""COMPUTED_VALUE"""),"")</f>
        <v/>
      </c>
      <c r="P411" s="5" t="str">
        <f>IFERROR(__xludf.DUMMYFUNCTION("""COMPUTED_VALUE"""),"")</f>
        <v/>
      </c>
      <c r="Q411" s="5" t="str">
        <f>IFERROR(__xludf.DUMMYFUNCTION("""COMPUTED_VALUE"""),"")</f>
        <v/>
      </c>
      <c r="R411" s="5" t="str">
        <f>IFERROR(__xludf.DUMMYFUNCTION("""COMPUTED_VALUE"""),"")</f>
        <v/>
      </c>
      <c r="S411" s="5" t="str">
        <f>IFERROR(__xludf.DUMMYFUNCTION("""COMPUTED_VALUE"""),"")</f>
        <v/>
      </c>
      <c r="T411" s="5" t="str">
        <f>IFERROR(__xludf.DUMMYFUNCTION("""COMPUTED_VALUE"""),"")</f>
        <v/>
      </c>
      <c r="U411" s="5" t="str">
        <f>IFERROR(__xludf.DUMMYFUNCTION("""COMPUTED_VALUE"""),"")</f>
        <v/>
      </c>
      <c r="V411" s="5" t="str">
        <f>IFERROR(__xludf.DUMMYFUNCTION("""COMPUTED_VALUE"""),"")</f>
        <v/>
      </c>
      <c r="W411" s="5" t="str">
        <f>IFERROR(__xludf.DUMMYFUNCTION("""COMPUTED_VALUE"""),"")</f>
        <v/>
      </c>
      <c r="X411" s="5" t="str">
        <f>IFERROR(__xludf.DUMMYFUNCTION("""COMPUTED_VALUE"""),"")</f>
        <v/>
      </c>
      <c r="Y411" s="5"/>
      <c r="Z411" s="5"/>
    </row>
    <row r="412">
      <c r="A412" s="5" t="str">
        <f>IFERROR(__xludf.DUMMYFUNCTION("""COMPUTED_VALUE"""),"Eternal Hearts 10")</f>
        <v>Eternal Hearts 10</v>
      </c>
      <c r="B412" s="5" t="str">
        <f>IFERROR(__xludf.DUMMYFUNCTION("""COMPUTED_VALUE"""),"")</f>
        <v/>
      </c>
      <c r="C412" s="5" t="str">
        <f>IFERROR(__xludf.DUMMYFUNCTION("""COMPUTED_VALUE"""),"")</f>
        <v/>
      </c>
      <c r="D412" s="5" t="str">
        <f>IFERROR(__xludf.DUMMYFUNCTION("""COMPUTED_VALUE"""),"")</f>
        <v/>
      </c>
      <c r="E412" s="5" t="str">
        <f>IFERROR(__xludf.DUMMYFUNCTION("""COMPUTED_VALUE"""),"")</f>
        <v/>
      </c>
      <c r="F412" s="5" t="str">
        <f>IFERROR(__xludf.DUMMYFUNCTION("""COMPUTED_VALUE"""),"")</f>
        <v/>
      </c>
      <c r="G412" s="5" t="str">
        <f>IFERROR(__xludf.DUMMYFUNCTION("""COMPUTED_VALUE"""),"")</f>
        <v/>
      </c>
      <c r="H412" s="5" t="str">
        <f>IFERROR(__xludf.DUMMYFUNCTION("""COMPUTED_VALUE"""),"")</f>
        <v/>
      </c>
      <c r="I412" s="5" t="str">
        <f>IFERROR(__xludf.DUMMYFUNCTION("""COMPUTED_VALUE"""),"")</f>
        <v/>
      </c>
      <c r="J412" s="5" t="str">
        <f>IFERROR(__xludf.DUMMYFUNCTION("""COMPUTED_VALUE"""),"")</f>
        <v/>
      </c>
      <c r="K412" s="5" t="str">
        <f>IFERROR(__xludf.DUMMYFUNCTION("""COMPUTED_VALUE"""),"")</f>
        <v/>
      </c>
      <c r="L412" s="5" t="str">
        <f>IFERROR(__xludf.DUMMYFUNCTION("""COMPUTED_VALUE"""),"")</f>
        <v/>
      </c>
      <c r="M412" s="5" t="str">
        <f>IFERROR(__xludf.DUMMYFUNCTION("""COMPUTED_VALUE"""),"")</f>
        <v/>
      </c>
      <c r="N412" s="5" t="str">
        <f>IFERROR(__xludf.DUMMYFUNCTION("""COMPUTED_VALUE"""),"")</f>
        <v/>
      </c>
      <c r="O412" s="5" t="str">
        <f>IFERROR(__xludf.DUMMYFUNCTION("""COMPUTED_VALUE"""),"")</f>
        <v/>
      </c>
      <c r="P412" s="5" t="str">
        <f>IFERROR(__xludf.DUMMYFUNCTION("""COMPUTED_VALUE"""),"")</f>
        <v/>
      </c>
      <c r="Q412" s="5" t="str">
        <f>IFERROR(__xludf.DUMMYFUNCTION("""COMPUTED_VALUE"""),"")</f>
        <v/>
      </c>
      <c r="R412" s="5" t="str">
        <f>IFERROR(__xludf.DUMMYFUNCTION("""COMPUTED_VALUE"""),"")</f>
        <v/>
      </c>
      <c r="S412" s="5" t="str">
        <f>IFERROR(__xludf.DUMMYFUNCTION("""COMPUTED_VALUE"""),"")</f>
        <v/>
      </c>
      <c r="T412" s="5" t="str">
        <f>IFERROR(__xludf.DUMMYFUNCTION("""COMPUTED_VALUE"""),"")</f>
        <v/>
      </c>
      <c r="U412" s="5" t="str">
        <f>IFERROR(__xludf.DUMMYFUNCTION("""COMPUTED_VALUE"""),"")</f>
        <v/>
      </c>
      <c r="V412" s="5" t="str">
        <f>IFERROR(__xludf.DUMMYFUNCTION("""COMPUTED_VALUE"""),"")</f>
        <v/>
      </c>
      <c r="W412" s="5" t="str">
        <f>IFERROR(__xludf.DUMMYFUNCTION("""COMPUTED_VALUE"""),"")</f>
        <v/>
      </c>
      <c r="X412" s="5" t="str">
        <f>IFERROR(__xludf.DUMMYFUNCTION("""COMPUTED_VALUE"""),"")</f>
        <v/>
      </c>
      <c r="Y412" s="5"/>
      <c r="Z412" s="5"/>
    </row>
    <row r="413">
      <c r="A413" s="5" t="str">
        <f>IFERROR(__xludf.DUMMYFUNCTION("""COMPUTED_VALUE"""),"Star Chaser")</f>
        <v>Star Chaser</v>
      </c>
      <c r="B413" s="5" t="str">
        <f>IFERROR(__xludf.DUMMYFUNCTION("""COMPUTED_VALUE"""),"")</f>
        <v/>
      </c>
      <c r="C413" s="5" t="str">
        <f>IFERROR(__xludf.DUMMYFUNCTION("""COMPUTED_VALUE"""),"")</f>
        <v/>
      </c>
      <c r="D413" s="5" t="str">
        <f>IFERROR(__xludf.DUMMYFUNCTION("""COMPUTED_VALUE"""),"")</f>
        <v/>
      </c>
      <c r="E413" s="5" t="str">
        <f>IFERROR(__xludf.DUMMYFUNCTION("""COMPUTED_VALUE"""),"")</f>
        <v/>
      </c>
      <c r="F413" s="5" t="str">
        <f>IFERROR(__xludf.DUMMYFUNCTION("""COMPUTED_VALUE"""),"")</f>
        <v/>
      </c>
      <c r="G413" s="5" t="str">
        <f>IFERROR(__xludf.DUMMYFUNCTION("""COMPUTED_VALUE"""),"")</f>
        <v/>
      </c>
      <c r="H413" s="5" t="str">
        <f>IFERROR(__xludf.DUMMYFUNCTION("""COMPUTED_VALUE"""),"")</f>
        <v/>
      </c>
      <c r="I413" s="5" t="str">
        <f>IFERROR(__xludf.DUMMYFUNCTION("""COMPUTED_VALUE"""),"")</f>
        <v/>
      </c>
      <c r="J413" s="5" t="str">
        <f>IFERROR(__xludf.DUMMYFUNCTION("""COMPUTED_VALUE"""),"")</f>
        <v/>
      </c>
      <c r="K413" s="5" t="str">
        <f>IFERROR(__xludf.DUMMYFUNCTION("""COMPUTED_VALUE"""),"")</f>
        <v/>
      </c>
      <c r="L413" s="5" t="str">
        <f>IFERROR(__xludf.DUMMYFUNCTION("""COMPUTED_VALUE"""),"")</f>
        <v/>
      </c>
      <c r="M413" s="5" t="str">
        <f>IFERROR(__xludf.DUMMYFUNCTION("""COMPUTED_VALUE"""),"")</f>
        <v/>
      </c>
      <c r="N413" s="5" t="str">
        <f>IFERROR(__xludf.DUMMYFUNCTION("""COMPUTED_VALUE"""),"")</f>
        <v/>
      </c>
      <c r="O413" s="5" t="str">
        <f>IFERROR(__xludf.DUMMYFUNCTION("""COMPUTED_VALUE"""),"")</f>
        <v/>
      </c>
      <c r="P413" s="5" t="str">
        <f>IFERROR(__xludf.DUMMYFUNCTION("""COMPUTED_VALUE"""),"")</f>
        <v/>
      </c>
      <c r="Q413" s="5" t="str">
        <f>IFERROR(__xludf.DUMMYFUNCTION("""COMPUTED_VALUE"""),"")</f>
        <v/>
      </c>
      <c r="R413" s="5" t="str">
        <f>IFERROR(__xludf.DUMMYFUNCTION("""COMPUTED_VALUE"""),"")</f>
        <v/>
      </c>
      <c r="S413" s="5" t="str">
        <f>IFERROR(__xludf.DUMMYFUNCTION("""COMPUTED_VALUE"""),"")</f>
        <v/>
      </c>
      <c r="T413" s="5" t="str">
        <f>IFERROR(__xludf.DUMMYFUNCTION("""COMPUTED_VALUE"""),"")</f>
        <v/>
      </c>
      <c r="U413" s="5" t="str">
        <f>IFERROR(__xludf.DUMMYFUNCTION("""COMPUTED_VALUE"""),"")</f>
        <v/>
      </c>
      <c r="V413" s="5" t="str">
        <f>IFERROR(__xludf.DUMMYFUNCTION("""COMPUTED_VALUE"""),"")</f>
        <v/>
      </c>
      <c r="W413" s="5" t="str">
        <f>IFERROR(__xludf.DUMMYFUNCTION("""COMPUTED_VALUE"""),"")</f>
        <v/>
      </c>
      <c r="X413" s="5" t="str">
        <f>IFERROR(__xludf.DUMMYFUNCTION("""COMPUTED_VALUE"""),"")</f>
        <v/>
      </c>
      <c r="Y413" s="5"/>
      <c r="Z413" s="5"/>
    </row>
    <row r="414">
      <c r="A414" s="5" t="str">
        <f>IFERROR(__xludf.DUMMYFUNCTION("""COMPUTED_VALUE"""),"Wild Hoppers")</f>
        <v>Wild Hoppers</v>
      </c>
      <c r="B414" s="5" t="str">
        <f>IFERROR(__xludf.DUMMYFUNCTION("""COMPUTED_VALUE"""),"")</f>
        <v/>
      </c>
      <c r="C414" s="5" t="str">
        <f>IFERROR(__xludf.DUMMYFUNCTION("""COMPUTED_VALUE"""),"")</f>
        <v/>
      </c>
      <c r="D414" s="5" t="str">
        <f>IFERROR(__xludf.DUMMYFUNCTION("""COMPUTED_VALUE"""),"")</f>
        <v/>
      </c>
      <c r="E414" s="5" t="str">
        <f>IFERROR(__xludf.DUMMYFUNCTION("""COMPUTED_VALUE"""),"")</f>
        <v/>
      </c>
      <c r="F414" s="5" t="str">
        <f>IFERROR(__xludf.DUMMYFUNCTION("""COMPUTED_VALUE"""),"")</f>
        <v/>
      </c>
      <c r="G414" s="5" t="str">
        <f>IFERROR(__xludf.DUMMYFUNCTION("""COMPUTED_VALUE"""),"")</f>
        <v/>
      </c>
      <c r="H414" s="5" t="str">
        <f>IFERROR(__xludf.DUMMYFUNCTION("""COMPUTED_VALUE"""),"")</f>
        <v/>
      </c>
      <c r="I414" s="5" t="str">
        <f>IFERROR(__xludf.DUMMYFUNCTION("""COMPUTED_VALUE"""),"")</f>
        <v/>
      </c>
      <c r="J414" s="5" t="str">
        <f>IFERROR(__xludf.DUMMYFUNCTION("""COMPUTED_VALUE"""),"")</f>
        <v/>
      </c>
      <c r="K414" s="5" t="str">
        <f>IFERROR(__xludf.DUMMYFUNCTION("""COMPUTED_VALUE"""),"")</f>
        <v/>
      </c>
      <c r="L414" s="5" t="str">
        <f>IFERROR(__xludf.DUMMYFUNCTION("""COMPUTED_VALUE"""),"")</f>
        <v/>
      </c>
      <c r="M414" s="5" t="str">
        <f>IFERROR(__xludf.DUMMYFUNCTION("""COMPUTED_VALUE"""),"")</f>
        <v/>
      </c>
      <c r="N414" s="5" t="str">
        <f>IFERROR(__xludf.DUMMYFUNCTION("""COMPUTED_VALUE"""),"")</f>
        <v/>
      </c>
      <c r="O414" s="5" t="str">
        <f>IFERROR(__xludf.DUMMYFUNCTION("""COMPUTED_VALUE"""),"")</f>
        <v/>
      </c>
      <c r="P414" s="5" t="str">
        <f>IFERROR(__xludf.DUMMYFUNCTION("""COMPUTED_VALUE"""),"")</f>
        <v/>
      </c>
      <c r="Q414" s="5" t="str">
        <f>IFERROR(__xludf.DUMMYFUNCTION("""COMPUTED_VALUE"""),"")</f>
        <v/>
      </c>
      <c r="R414" s="5" t="str">
        <f>IFERROR(__xludf.DUMMYFUNCTION("""COMPUTED_VALUE"""),"")</f>
        <v/>
      </c>
      <c r="S414" s="5" t="str">
        <f>IFERROR(__xludf.DUMMYFUNCTION("""COMPUTED_VALUE"""),"")</f>
        <v/>
      </c>
      <c r="T414" s="5" t="str">
        <f>IFERROR(__xludf.DUMMYFUNCTION("""COMPUTED_VALUE"""),"")</f>
        <v/>
      </c>
      <c r="U414" s="5" t="str">
        <f>IFERROR(__xludf.DUMMYFUNCTION("""COMPUTED_VALUE"""),"")</f>
        <v/>
      </c>
      <c r="V414" s="5" t="str">
        <f>IFERROR(__xludf.DUMMYFUNCTION("""COMPUTED_VALUE"""),"")</f>
        <v/>
      </c>
      <c r="W414" s="5" t="str">
        <f>IFERROR(__xludf.DUMMYFUNCTION("""COMPUTED_VALUE"""),"")</f>
        <v/>
      </c>
      <c r="X414" s="5" t="str">
        <f>IFERROR(__xludf.DUMMYFUNCTION("""COMPUTED_VALUE"""),"")</f>
        <v/>
      </c>
      <c r="Y414" s="5"/>
      <c r="Z414" s="5"/>
    </row>
    <row r="415">
      <c r="A415" s="5" t="str">
        <f>IFERROR(__xludf.DUMMYFUNCTION("""COMPUTED_VALUE"""),"Simply Sevens Dice Easter")</f>
        <v>Simply Sevens Dice Easter</v>
      </c>
      <c r="B415" s="5" t="str">
        <f>IFERROR(__xludf.DUMMYFUNCTION("""COMPUTED_VALUE"""),"")</f>
        <v/>
      </c>
      <c r="C415" s="5" t="str">
        <f>IFERROR(__xludf.DUMMYFUNCTION("""COMPUTED_VALUE"""),"")</f>
        <v/>
      </c>
      <c r="D415" s="5" t="str">
        <f>IFERROR(__xludf.DUMMYFUNCTION("""COMPUTED_VALUE"""),"")</f>
        <v/>
      </c>
      <c r="E415" s="5" t="str">
        <f>IFERROR(__xludf.DUMMYFUNCTION("""COMPUTED_VALUE"""),"")</f>
        <v/>
      </c>
      <c r="F415" s="5" t="str">
        <f>IFERROR(__xludf.DUMMYFUNCTION("""COMPUTED_VALUE"""),"")</f>
        <v/>
      </c>
      <c r="G415" s="5" t="str">
        <f>IFERROR(__xludf.DUMMYFUNCTION("""COMPUTED_VALUE"""),"")</f>
        <v/>
      </c>
      <c r="H415" s="5" t="str">
        <f>IFERROR(__xludf.DUMMYFUNCTION("""COMPUTED_VALUE"""),"")</f>
        <v/>
      </c>
      <c r="I415" s="5" t="str">
        <f>IFERROR(__xludf.DUMMYFUNCTION("""COMPUTED_VALUE"""),"")</f>
        <v/>
      </c>
      <c r="J415" s="5" t="str">
        <f>IFERROR(__xludf.DUMMYFUNCTION("""COMPUTED_VALUE"""),"")</f>
        <v/>
      </c>
      <c r="K415" s="5" t="str">
        <f>IFERROR(__xludf.DUMMYFUNCTION("""COMPUTED_VALUE"""),"")</f>
        <v/>
      </c>
      <c r="L415" s="5" t="str">
        <f>IFERROR(__xludf.DUMMYFUNCTION("""COMPUTED_VALUE"""),"")</f>
        <v/>
      </c>
      <c r="M415" s="5" t="str">
        <f>IFERROR(__xludf.DUMMYFUNCTION("""COMPUTED_VALUE"""),"")</f>
        <v/>
      </c>
      <c r="N415" s="5" t="str">
        <f>IFERROR(__xludf.DUMMYFUNCTION("""COMPUTED_VALUE"""),"")</f>
        <v/>
      </c>
      <c r="O415" s="5" t="str">
        <f>IFERROR(__xludf.DUMMYFUNCTION("""COMPUTED_VALUE"""),"")</f>
        <v/>
      </c>
      <c r="P415" s="5" t="str">
        <f>IFERROR(__xludf.DUMMYFUNCTION("""COMPUTED_VALUE"""),"")</f>
        <v/>
      </c>
      <c r="Q415" s="5" t="str">
        <f>IFERROR(__xludf.DUMMYFUNCTION("""COMPUTED_VALUE"""),"")</f>
        <v/>
      </c>
      <c r="R415" s="5" t="str">
        <f>IFERROR(__xludf.DUMMYFUNCTION("""COMPUTED_VALUE"""),"")</f>
        <v/>
      </c>
      <c r="S415" s="5" t="str">
        <f>IFERROR(__xludf.DUMMYFUNCTION("""COMPUTED_VALUE"""),"")</f>
        <v/>
      </c>
      <c r="T415" s="5" t="str">
        <f>IFERROR(__xludf.DUMMYFUNCTION("""COMPUTED_VALUE"""),"")</f>
        <v/>
      </c>
      <c r="U415" s="5" t="str">
        <f>IFERROR(__xludf.DUMMYFUNCTION("""COMPUTED_VALUE"""),"")</f>
        <v/>
      </c>
      <c r="V415" s="5" t="str">
        <f>IFERROR(__xludf.DUMMYFUNCTION("""COMPUTED_VALUE"""),"")</f>
        <v/>
      </c>
      <c r="W415" s="5" t="str">
        <f>IFERROR(__xludf.DUMMYFUNCTION("""COMPUTED_VALUE"""),"")</f>
        <v/>
      </c>
      <c r="X415" s="5" t="str">
        <f>IFERROR(__xludf.DUMMYFUNCTION("""COMPUTED_VALUE"""),"")</f>
        <v/>
      </c>
      <c r="Y415" s="5"/>
      <c r="Z415" s="5"/>
    </row>
    <row r="416">
      <c r="A416" s="5" t="str">
        <f>IFERROR(__xludf.DUMMYFUNCTION("""COMPUTED_VALUE"""),"Multi Clover 10")</f>
        <v>Multi Clover 10</v>
      </c>
      <c r="B416" s="5" t="str">
        <f>IFERROR(__xludf.DUMMYFUNCTION("""COMPUTED_VALUE"""),"")</f>
        <v/>
      </c>
      <c r="C416" s="5" t="str">
        <f>IFERROR(__xludf.DUMMYFUNCTION("""COMPUTED_VALUE"""),"")</f>
        <v/>
      </c>
      <c r="D416" s="5" t="str">
        <f>IFERROR(__xludf.DUMMYFUNCTION("""COMPUTED_VALUE"""),"")</f>
        <v/>
      </c>
      <c r="E416" s="5" t="str">
        <f>IFERROR(__xludf.DUMMYFUNCTION("""COMPUTED_VALUE"""),"")</f>
        <v/>
      </c>
      <c r="F416" s="5" t="str">
        <f>IFERROR(__xludf.DUMMYFUNCTION("""COMPUTED_VALUE"""),"")</f>
        <v/>
      </c>
      <c r="G416" s="5" t="str">
        <f>IFERROR(__xludf.DUMMYFUNCTION("""COMPUTED_VALUE"""),"")</f>
        <v/>
      </c>
      <c r="H416" s="5" t="str">
        <f>IFERROR(__xludf.DUMMYFUNCTION("""COMPUTED_VALUE"""),"")</f>
        <v/>
      </c>
      <c r="I416" s="5" t="str">
        <f>IFERROR(__xludf.DUMMYFUNCTION("""COMPUTED_VALUE"""),"")</f>
        <v/>
      </c>
      <c r="J416" s="5" t="str">
        <f>IFERROR(__xludf.DUMMYFUNCTION("""COMPUTED_VALUE"""),"")</f>
        <v/>
      </c>
      <c r="K416" s="5" t="str">
        <f>IFERROR(__xludf.DUMMYFUNCTION("""COMPUTED_VALUE"""),"")</f>
        <v/>
      </c>
      <c r="L416" s="5" t="str">
        <f>IFERROR(__xludf.DUMMYFUNCTION("""COMPUTED_VALUE"""),"")</f>
        <v/>
      </c>
      <c r="M416" s="5" t="str">
        <f>IFERROR(__xludf.DUMMYFUNCTION("""COMPUTED_VALUE"""),"")</f>
        <v/>
      </c>
      <c r="N416" s="5" t="str">
        <f>IFERROR(__xludf.DUMMYFUNCTION("""COMPUTED_VALUE"""),"")</f>
        <v/>
      </c>
      <c r="O416" s="5" t="str">
        <f>IFERROR(__xludf.DUMMYFUNCTION("""COMPUTED_VALUE"""),"")</f>
        <v/>
      </c>
      <c r="P416" s="5" t="str">
        <f>IFERROR(__xludf.DUMMYFUNCTION("""COMPUTED_VALUE"""),"")</f>
        <v/>
      </c>
      <c r="Q416" s="5" t="str">
        <f>IFERROR(__xludf.DUMMYFUNCTION("""COMPUTED_VALUE"""),"")</f>
        <v/>
      </c>
      <c r="R416" s="5" t="str">
        <f>IFERROR(__xludf.DUMMYFUNCTION("""COMPUTED_VALUE"""),"")</f>
        <v/>
      </c>
      <c r="S416" s="5" t="str">
        <f>IFERROR(__xludf.DUMMYFUNCTION("""COMPUTED_VALUE"""),"")</f>
        <v/>
      </c>
      <c r="T416" s="5" t="str">
        <f>IFERROR(__xludf.DUMMYFUNCTION("""COMPUTED_VALUE"""),"")</f>
        <v/>
      </c>
      <c r="U416" s="5" t="str">
        <f>IFERROR(__xludf.DUMMYFUNCTION("""COMPUTED_VALUE"""),"")</f>
        <v/>
      </c>
      <c r="V416" s="5" t="str">
        <f>IFERROR(__xludf.DUMMYFUNCTION("""COMPUTED_VALUE"""),"")</f>
        <v/>
      </c>
      <c r="W416" s="5" t="str">
        <f>IFERROR(__xludf.DUMMYFUNCTION("""COMPUTED_VALUE"""),"")</f>
        <v/>
      </c>
      <c r="X416" s="5" t="str">
        <f>IFERROR(__xludf.DUMMYFUNCTION("""COMPUTED_VALUE"""),"")</f>
        <v/>
      </c>
      <c r="Y416" s="5"/>
      <c r="Z416" s="5"/>
    </row>
    <row r="417">
      <c r="A417" s="5" t="str">
        <f>IFERROR(__xludf.DUMMYFUNCTION("""COMPUTED_VALUE"""),"REEL X5")</f>
        <v>REEL X5</v>
      </c>
      <c r="B417" s="5" t="str">
        <f>IFERROR(__xludf.DUMMYFUNCTION("""COMPUTED_VALUE"""),"")</f>
        <v/>
      </c>
      <c r="C417" s="5" t="str">
        <f>IFERROR(__xludf.DUMMYFUNCTION("""COMPUTED_VALUE"""),"")</f>
        <v/>
      </c>
      <c r="D417" s="5" t="str">
        <f>IFERROR(__xludf.DUMMYFUNCTION("""COMPUTED_VALUE"""),"")</f>
        <v/>
      </c>
      <c r="E417" s="5" t="str">
        <f>IFERROR(__xludf.DUMMYFUNCTION("""COMPUTED_VALUE"""),"")</f>
        <v/>
      </c>
      <c r="F417" s="5" t="str">
        <f>IFERROR(__xludf.DUMMYFUNCTION("""COMPUTED_VALUE"""),"")</f>
        <v/>
      </c>
      <c r="G417" s="5" t="str">
        <f>IFERROR(__xludf.DUMMYFUNCTION("""COMPUTED_VALUE"""),"")</f>
        <v/>
      </c>
      <c r="H417" s="5" t="str">
        <f>IFERROR(__xludf.DUMMYFUNCTION("""COMPUTED_VALUE"""),"")</f>
        <v/>
      </c>
      <c r="I417" s="5" t="str">
        <f>IFERROR(__xludf.DUMMYFUNCTION("""COMPUTED_VALUE"""),"")</f>
        <v/>
      </c>
      <c r="J417" s="5" t="str">
        <f>IFERROR(__xludf.DUMMYFUNCTION("""COMPUTED_VALUE"""),"")</f>
        <v/>
      </c>
      <c r="K417" s="5" t="str">
        <f>IFERROR(__xludf.DUMMYFUNCTION("""COMPUTED_VALUE"""),"")</f>
        <v/>
      </c>
      <c r="L417" s="5" t="str">
        <f>IFERROR(__xludf.DUMMYFUNCTION("""COMPUTED_VALUE"""),"")</f>
        <v/>
      </c>
      <c r="M417" s="5" t="str">
        <f>IFERROR(__xludf.DUMMYFUNCTION("""COMPUTED_VALUE"""),"")</f>
        <v/>
      </c>
      <c r="N417" s="5" t="str">
        <f>IFERROR(__xludf.DUMMYFUNCTION("""COMPUTED_VALUE"""),"")</f>
        <v/>
      </c>
      <c r="O417" s="5" t="str">
        <f>IFERROR(__xludf.DUMMYFUNCTION("""COMPUTED_VALUE"""),"")</f>
        <v/>
      </c>
      <c r="P417" s="5" t="str">
        <f>IFERROR(__xludf.DUMMYFUNCTION("""COMPUTED_VALUE"""),"")</f>
        <v/>
      </c>
      <c r="Q417" s="5" t="str">
        <f>IFERROR(__xludf.DUMMYFUNCTION("""COMPUTED_VALUE"""),"")</f>
        <v/>
      </c>
      <c r="R417" s="5" t="str">
        <f>IFERROR(__xludf.DUMMYFUNCTION("""COMPUTED_VALUE"""),"")</f>
        <v/>
      </c>
      <c r="S417" s="5" t="str">
        <f>IFERROR(__xludf.DUMMYFUNCTION("""COMPUTED_VALUE"""),"")</f>
        <v/>
      </c>
      <c r="T417" s="5" t="str">
        <f>IFERROR(__xludf.DUMMYFUNCTION("""COMPUTED_VALUE"""),"")</f>
        <v/>
      </c>
      <c r="U417" s="5" t="str">
        <f>IFERROR(__xludf.DUMMYFUNCTION("""COMPUTED_VALUE"""),"")</f>
        <v/>
      </c>
      <c r="V417" s="5" t="str">
        <f>IFERROR(__xludf.DUMMYFUNCTION("""COMPUTED_VALUE"""),"")</f>
        <v/>
      </c>
      <c r="W417" s="5" t="str">
        <f>IFERROR(__xludf.DUMMYFUNCTION("""COMPUTED_VALUE"""),"")</f>
        <v/>
      </c>
      <c r="X417" s="5" t="str">
        <f>IFERROR(__xludf.DUMMYFUNCTION("""COMPUTED_VALUE"""),"")</f>
        <v/>
      </c>
      <c r="Y417" s="5"/>
      <c r="Z417" s="5"/>
    </row>
    <row r="418">
      <c r="A418" s="5" t="str">
        <f>IFERROR(__xludf.DUMMYFUNCTION("""COMPUTED_VALUE"""),"Fruit Island Gems")</f>
        <v>Fruit Island Gems</v>
      </c>
      <c r="B418" s="5" t="str">
        <f>IFERROR(__xludf.DUMMYFUNCTION("""COMPUTED_VALUE"""),"")</f>
        <v/>
      </c>
      <c r="C418" s="5" t="str">
        <f>IFERROR(__xludf.DUMMYFUNCTION("""COMPUTED_VALUE"""),"")</f>
        <v/>
      </c>
      <c r="D418" s="5" t="str">
        <f>IFERROR(__xludf.DUMMYFUNCTION("""COMPUTED_VALUE"""),"")</f>
        <v/>
      </c>
      <c r="E418" s="5" t="str">
        <f>IFERROR(__xludf.DUMMYFUNCTION("""COMPUTED_VALUE"""),"")</f>
        <v/>
      </c>
      <c r="F418" s="5" t="str">
        <f>IFERROR(__xludf.DUMMYFUNCTION("""COMPUTED_VALUE"""),"")</f>
        <v/>
      </c>
      <c r="G418" s="5" t="str">
        <f>IFERROR(__xludf.DUMMYFUNCTION("""COMPUTED_VALUE"""),"")</f>
        <v/>
      </c>
      <c r="H418" s="5" t="str">
        <f>IFERROR(__xludf.DUMMYFUNCTION("""COMPUTED_VALUE"""),"")</f>
        <v/>
      </c>
      <c r="I418" s="5" t="str">
        <f>IFERROR(__xludf.DUMMYFUNCTION("""COMPUTED_VALUE"""),"")</f>
        <v/>
      </c>
      <c r="J418" s="5" t="str">
        <f>IFERROR(__xludf.DUMMYFUNCTION("""COMPUTED_VALUE"""),"")</f>
        <v/>
      </c>
      <c r="K418" s="5" t="str">
        <f>IFERROR(__xludf.DUMMYFUNCTION("""COMPUTED_VALUE"""),"")</f>
        <v/>
      </c>
      <c r="L418" s="5" t="str">
        <f>IFERROR(__xludf.DUMMYFUNCTION("""COMPUTED_VALUE"""),"")</f>
        <v/>
      </c>
      <c r="M418" s="5" t="str">
        <f>IFERROR(__xludf.DUMMYFUNCTION("""COMPUTED_VALUE"""),"")</f>
        <v/>
      </c>
      <c r="N418" s="5" t="str">
        <f>IFERROR(__xludf.DUMMYFUNCTION("""COMPUTED_VALUE"""),"")</f>
        <v/>
      </c>
      <c r="O418" s="5" t="str">
        <f>IFERROR(__xludf.DUMMYFUNCTION("""COMPUTED_VALUE"""),"")</f>
        <v/>
      </c>
      <c r="P418" s="5" t="str">
        <f>IFERROR(__xludf.DUMMYFUNCTION("""COMPUTED_VALUE"""),"")</f>
        <v/>
      </c>
      <c r="Q418" s="5" t="str">
        <f>IFERROR(__xludf.DUMMYFUNCTION("""COMPUTED_VALUE"""),"")</f>
        <v/>
      </c>
      <c r="R418" s="5" t="str">
        <f>IFERROR(__xludf.DUMMYFUNCTION("""COMPUTED_VALUE"""),"")</f>
        <v/>
      </c>
      <c r="S418" s="5" t="str">
        <f>IFERROR(__xludf.DUMMYFUNCTION("""COMPUTED_VALUE"""),"")</f>
        <v/>
      </c>
      <c r="T418" s="5" t="str">
        <f>IFERROR(__xludf.DUMMYFUNCTION("""COMPUTED_VALUE"""),"")</f>
        <v/>
      </c>
      <c r="U418" s="5" t="str">
        <f>IFERROR(__xludf.DUMMYFUNCTION("""COMPUTED_VALUE"""),"")</f>
        <v/>
      </c>
      <c r="V418" s="5" t="str">
        <f>IFERROR(__xludf.DUMMYFUNCTION("""COMPUTED_VALUE"""),"")</f>
        <v/>
      </c>
      <c r="W418" s="5" t="str">
        <f>IFERROR(__xludf.DUMMYFUNCTION("""COMPUTED_VALUE"""),"")</f>
        <v/>
      </c>
      <c r="X418" s="5" t="str">
        <f>IFERROR(__xludf.DUMMYFUNCTION("""COMPUTED_VALUE"""),"")</f>
        <v/>
      </c>
      <c r="Y418" s="5"/>
      <c r="Z418" s="5"/>
    </row>
    <row r="419">
      <c r="A419" s="5" t="str">
        <f>IFERROR(__xludf.DUMMYFUNCTION("""COMPUTED_VALUE"""),"Bunny Dice")</f>
        <v>Bunny Dice</v>
      </c>
      <c r="B419" s="5" t="str">
        <f>IFERROR(__xludf.DUMMYFUNCTION("""COMPUTED_VALUE"""),"")</f>
        <v/>
      </c>
      <c r="C419" s="5" t="str">
        <f>IFERROR(__xludf.DUMMYFUNCTION("""COMPUTED_VALUE"""),"")</f>
        <v/>
      </c>
      <c r="D419" s="5" t="str">
        <f>IFERROR(__xludf.DUMMYFUNCTION("""COMPUTED_VALUE"""),"")</f>
        <v/>
      </c>
      <c r="E419" s="5" t="str">
        <f>IFERROR(__xludf.DUMMYFUNCTION("""COMPUTED_VALUE"""),"")</f>
        <v/>
      </c>
      <c r="F419" s="5" t="str">
        <f>IFERROR(__xludf.DUMMYFUNCTION("""COMPUTED_VALUE"""),"")</f>
        <v/>
      </c>
      <c r="G419" s="5" t="str">
        <f>IFERROR(__xludf.DUMMYFUNCTION("""COMPUTED_VALUE"""),"")</f>
        <v/>
      </c>
      <c r="H419" s="5" t="str">
        <f>IFERROR(__xludf.DUMMYFUNCTION("""COMPUTED_VALUE"""),"")</f>
        <v/>
      </c>
      <c r="I419" s="5" t="str">
        <f>IFERROR(__xludf.DUMMYFUNCTION("""COMPUTED_VALUE"""),"")</f>
        <v/>
      </c>
      <c r="J419" s="5" t="str">
        <f>IFERROR(__xludf.DUMMYFUNCTION("""COMPUTED_VALUE"""),"")</f>
        <v/>
      </c>
      <c r="K419" s="5" t="str">
        <f>IFERROR(__xludf.DUMMYFUNCTION("""COMPUTED_VALUE"""),"")</f>
        <v/>
      </c>
      <c r="L419" s="5" t="str">
        <f>IFERROR(__xludf.DUMMYFUNCTION("""COMPUTED_VALUE"""),"")</f>
        <v/>
      </c>
      <c r="M419" s="5" t="str">
        <f>IFERROR(__xludf.DUMMYFUNCTION("""COMPUTED_VALUE"""),"")</f>
        <v/>
      </c>
      <c r="N419" s="5" t="str">
        <f>IFERROR(__xludf.DUMMYFUNCTION("""COMPUTED_VALUE"""),"")</f>
        <v/>
      </c>
      <c r="O419" s="5" t="str">
        <f>IFERROR(__xludf.DUMMYFUNCTION("""COMPUTED_VALUE"""),"")</f>
        <v/>
      </c>
      <c r="P419" s="5" t="str">
        <f>IFERROR(__xludf.DUMMYFUNCTION("""COMPUTED_VALUE"""),"")</f>
        <v/>
      </c>
      <c r="Q419" s="5" t="str">
        <f>IFERROR(__xludf.DUMMYFUNCTION("""COMPUTED_VALUE"""),"")</f>
        <v/>
      </c>
      <c r="R419" s="5" t="str">
        <f>IFERROR(__xludf.DUMMYFUNCTION("""COMPUTED_VALUE"""),"")</f>
        <v/>
      </c>
      <c r="S419" s="5" t="str">
        <f>IFERROR(__xludf.DUMMYFUNCTION("""COMPUTED_VALUE"""),"")</f>
        <v/>
      </c>
      <c r="T419" s="5" t="str">
        <f>IFERROR(__xludf.DUMMYFUNCTION("""COMPUTED_VALUE"""),"")</f>
        <v/>
      </c>
      <c r="U419" s="5" t="str">
        <f>IFERROR(__xludf.DUMMYFUNCTION("""COMPUTED_VALUE"""),"")</f>
        <v/>
      </c>
      <c r="V419" s="5" t="str">
        <f>IFERROR(__xludf.DUMMYFUNCTION("""COMPUTED_VALUE"""),"")</f>
        <v/>
      </c>
      <c r="W419" s="5" t="str">
        <f>IFERROR(__xludf.DUMMYFUNCTION("""COMPUTED_VALUE"""),"")</f>
        <v/>
      </c>
      <c r="X419" s="5" t="str">
        <f>IFERROR(__xludf.DUMMYFUNCTION("""COMPUTED_VALUE"""),"")</f>
        <v/>
      </c>
      <c r="Y419" s="5"/>
      <c r="Z419" s="5"/>
    </row>
    <row r="420">
      <c r="A420" s="5" t="str">
        <f>IFERROR(__xludf.DUMMYFUNCTION("""COMPUTED_VALUE"""),"Farm Fiesta")</f>
        <v>Farm Fiesta</v>
      </c>
      <c r="B420" s="5" t="str">
        <f>IFERROR(__xludf.DUMMYFUNCTION("""COMPUTED_VALUE"""),"")</f>
        <v/>
      </c>
      <c r="C420" s="5" t="str">
        <f>IFERROR(__xludf.DUMMYFUNCTION("""COMPUTED_VALUE"""),"")</f>
        <v/>
      </c>
      <c r="D420" s="5" t="str">
        <f>IFERROR(__xludf.DUMMYFUNCTION("""COMPUTED_VALUE"""),"")</f>
        <v/>
      </c>
      <c r="E420" s="5" t="str">
        <f>IFERROR(__xludf.DUMMYFUNCTION("""COMPUTED_VALUE"""),"")</f>
        <v/>
      </c>
      <c r="F420" s="5" t="str">
        <f>IFERROR(__xludf.DUMMYFUNCTION("""COMPUTED_VALUE"""),"")</f>
        <v/>
      </c>
      <c r="G420" s="5" t="str">
        <f>IFERROR(__xludf.DUMMYFUNCTION("""COMPUTED_VALUE"""),"")</f>
        <v/>
      </c>
      <c r="H420" s="5" t="str">
        <f>IFERROR(__xludf.DUMMYFUNCTION("""COMPUTED_VALUE"""),"")</f>
        <v/>
      </c>
      <c r="I420" s="5" t="str">
        <f>IFERROR(__xludf.DUMMYFUNCTION("""COMPUTED_VALUE"""),"")</f>
        <v/>
      </c>
      <c r="J420" s="5" t="str">
        <f>IFERROR(__xludf.DUMMYFUNCTION("""COMPUTED_VALUE"""),"")</f>
        <v/>
      </c>
      <c r="K420" s="5" t="str">
        <f>IFERROR(__xludf.DUMMYFUNCTION("""COMPUTED_VALUE"""),"")</f>
        <v/>
      </c>
      <c r="L420" s="5" t="str">
        <f>IFERROR(__xludf.DUMMYFUNCTION("""COMPUTED_VALUE"""),"")</f>
        <v/>
      </c>
      <c r="M420" s="5" t="str">
        <f>IFERROR(__xludf.DUMMYFUNCTION("""COMPUTED_VALUE"""),"")</f>
        <v/>
      </c>
      <c r="N420" s="5" t="str">
        <f>IFERROR(__xludf.DUMMYFUNCTION("""COMPUTED_VALUE"""),"")</f>
        <v/>
      </c>
      <c r="O420" s="5" t="str">
        <f>IFERROR(__xludf.DUMMYFUNCTION("""COMPUTED_VALUE"""),"")</f>
        <v/>
      </c>
      <c r="P420" s="5" t="str">
        <f>IFERROR(__xludf.DUMMYFUNCTION("""COMPUTED_VALUE"""),"")</f>
        <v/>
      </c>
      <c r="Q420" s="5" t="str">
        <f>IFERROR(__xludf.DUMMYFUNCTION("""COMPUTED_VALUE"""),"")</f>
        <v/>
      </c>
      <c r="R420" s="5" t="str">
        <f>IFERROR(__xludf.DUMMYFUNCTION("""COMPUTED_VALUE"""),"")</f>
        <v/>
      </c>
      <c r="S420" s="5" t="str">
        <f>IFERROR(__xludf.DUMMYFUNCTION("""COMPUTED_VALUE"""),"")</f>
        <v/>
      </c>
      <c r="T420" s="5" t="str">
        <f>IFERROR(__xludf.DUMMYFUNCTION("""COMPUTED_VALUE"""),"")</f>
        <v/>
      </c>
      <c r="U420" s="5" t="str">
        <f>IFERROR(__xludf.DUMMYFUNCTION("""COMPUTED_VALUE"""),"")</f>
        <v/>
      </c>
      <c r="V420" s="5" t="str">
        <f>IFERROR(__xludf.DUMMYFUNCTION("""COMPUTED_VALUE"""),"")</f>
        <v/>
      </c>
      <c r="W420" s="5" t="str">
        <f>IFERROR(__xludf.DUMMYFUNCTION("""COMPUTED_VALUE"""),"")</f>
        <v/>
      </c>
      <c r="X420" s="5" t="str">
        <f>IFERROR(__xludf.DUMMYFUNCTION("""COMPUTED_VALUE"""),"")</f>
        <v/>
      </c>
      <c r="Y420" s="5"/>
      <c r="Z420" s="5"/>
    </row>
    <row r="421">
      <c r="A421" s="5" t="str">
        <f>IFERROR(__xludf.DUMMYFUNCTION("""COMPUTED_VALUE"""),"Sweet Respins")</f>
        <v>Sweet Respins</v>
      </c>
      <c r="B421" s="5" t="str">
        <f>IFERROR(__xludf.DUMMYFUNCTION("""COMPUTED_VALUE"""),"")</f>
        <v/>
      </c>
      <c r="C421" s="5" t="str">
        <f>IFERROR(__xludf.DUMMYFUNCTION("""COMPUTED_VALUE"""),"")</f>
        <v/>
      </c>
      <c r="D421" s="5" t="str">
        <f>IFERROR(__xludf.DUMMYFUNCTION("""COMPUTED_VALUE"""),"")</f>
        <v/>
      </c>
      <c r="E421" s="5" t="str">
        <f>IFERROR(__xludf.DUMMYFUNCTION("""COMPUTED_VALUE"""),"")</f>
        <v/>
      </c>
      <c r="F421" s="5" t="str">
        <f>IFERROR(__xludf.DUMMYFUNCTION("""COMPUTED_VALUE"""),"")</f>
        <v/>
      </c>
      <c r="G421" s="5" t="str">
        <f>IFERROR(__xludf.DUMMYFUNCTION("""COMPUTED_VALUE"""),"")</f>
        <v/>
      </c>
      <c r="H421" s="5" t="str">
        <f>IFERROR(__xludf.DUMMYFUNCTION("""COMPUTED_VALUE"""),"")</f>
        <v/>
      </c>
      <c r="I421" s="5" t="str">
        <f>IFERROR(__xludf.DUMMYFUNCTION("""COMPUTED_VALUE"""),"")</f>
        <v/>
      </c>
      <c r="J421" s="5" t="str">
        <f>IFERROR(__xludf.DUMMYFUNCTION("""COMPUTED_VALUE"""),"")</f>
        <v/>
      </c>
      <c r="K421" s="5" t="str">
        <f>IFERROR(__xludf.DUMMYFUNCTION("""COMPUTED_VALUE"""),"")</f>
        <v/>
      </c>
      <c r="L421" s="5" t="str">
        <f>IFERROR(__xludf.DUMMYFUNCTION("""COMPUTED_VALUE"""),"")</f>
        <v/>
      </c>
      <c r="M421" s="5" t="str">
        <f>IFERROR(__xludf.DUMMYFUNCTION("""COMPUTED_VALUE"""),"")</f>
        <v/>
      </c>
      <c r="N421" s="5" t="str">
        <f>IFERROR(__xludf.DUMMYFUNCTION("""COMPUTED_VALUE"""),"")</f>
        <v/>
      </c>
      <c r="O421" s="5" t="str">
        <f>IFERROR(__xludf.DUMMYFUNCTION("""COMPUTED_VALUE"""),"")</f>
        <v/>
      </c>
      <c r="P421" s="5" t="str">
        <f>IFERROR(__xludf.DUMMYFUNCTION("""COMPUTED_VALUE"""),"")</f>
        <v/>
      </c>
      <c r="Q421" s="5" t="str">
        <f>IFERROR(__xludf.DUMMYFUNCTION("""COMPUTED_VALUE"""),"")</f>
        <v/>
      </c>
      <c r="R421" s="5" t="str">
        <f>IFERROR(__xludf.DUMMYFUNCTION("""COMPUTED_VALUE"""),"")</f>
        <v/>
      </c>
      <c r="S421" s="5" t="str">
        <f>IFERROR(__xludf.DUMMYFUNCTION("""COMPUTED_VALUE"""),"")</f>
        <v/>
      </c>
      <c r="T421" s="5" t="str">
        <f>IFERROR(__xludf.DUMMYFUNCTION("""COMPUTED_VALUE"""),"")</f>
        <v/>
      </c>
      <c r="U421" s="5" t="str">
        <f>IFERROR(__xludf.DUMMYFUNCTION("""COMPUTED_VALUE"""),"")</f>
        <v/>
      </c>
      <c r="V421" s="5" t="str">
        <f>IFERROR(__xludf.DUMMYFUNCTION("""COMPUTED_VALUE"""),"")</f>
        <v/>
      </c>
      <c r="W421" s="5" t="str">
        <f>IFERROR(__xludf.DUMMYFUNCTION("""COMPUTED_VALUE"""),"")</f>
        <v/>
      </c>
      <c r="X421" s="5" t="str">
        <f>IFERROR(__xludf.DUMMYFUNCTION("""COMPUTED_VALUE"""),"")</f>
        <v/>
      </c>
      <c r="Y421" s="5"/>
      <c r="Z421" s="5"/>
    </row>
    <row r="422">
      <c r="A422" s="5" t="str">
        <f>IFERROR(__xludf.DUMMYFUNCTION("""COMPUTED_VALUE"""),"Top Prize Wilds")</f>
        <v>Top Prize Wilds</v>
      </c>
      <c r="B422" s="5" t="str">
        <f>IFERROR(__xludf.DUMMYFUNCTION("""COMPUTED_VALUE"""),"")</f>
        <v/>
      </c>
      <c r="C422" s="5" t="str">
        <f>IFERROR(__xludf.DUMMYFUNCTION("""COMPUTED_VALUE"""),"")</f>
        <v/>
      </c>
      <c r="D422" s="5" t="str">
        <f>IFERROR(__xludf.DUMMYFUNCTION("""COMPUTED_VALUE"""),"")</f>
        <v/>
      </c>
      <c r="E422" s="5" t="str">
        <f>IFERROR(__xludf.DUMMYFUNCTION("""COMPUTED_VALUE"""),"")</f>
        <v/>
      </c>
      <c r="F422" s="5" t="str">
        <f>IFERROR(__xludf.DUMMYFUNCTION("""COMPUTED_VALUE"""),"")</f>
        <v/>
      </c>
      <c r="G422" s="5" t="str">
        <f>IFERROR(__xludf.DUMMYFUNCTION("""COMPUTED_VALUE"""),"")</f>
        <v/>
      </c>
      <c r="H422" s="5" t="str">
        <f>IFERROR(__xludf.DUMMYFUNCTION("""COMPUTED_VALUE"""),"")</f>
        <v/>
      </c>
      <c r="I422" s="5" t="str">
        <f>IFERROR(__xludf.DUMMYFUNCTION("""COMPUTED_VALUE"""),"")</f>
        <v/>
      </c>
      <c r="J422" s="5" t="str">
        <f>IFERROR(__xludf.DUMMYFUNCTION("""COMPUTED_VALUE"""),"")</f>
        <v/>
      </c>
      <c r="K422" s="5" t="str">
        <f>IFERROR(__xludf.DUMMYFUNCTION("""COMPUTED_VALUE"""),"")</f>
        <v/>
      </c>
      <c r="L422" s="5" t="str">
        <f>IFERROR(__xludf.DUMMYFUNCTION("""COMPUTED_VALUE"""),"")</f>
        <v/>
      </c>
      <c r="M422" s="5" t="str">
        <f>IFERROR(__xludf.DUMMYFUNCTION("""COMPUTED_VALUE"""),"")</f>
        <v/>
      </c>
      <c r="N422" s="5" t="str">
        <f>IFERROR(__xludf.DUMMYFUNCTION("""COMPUTED_VALUE"""),"")</f>
        <v/>
      </c>
      <c r="O422" s="5" t="str">
        <f>IFERROR(__xludf.DUMMYFUNCTION("""COMPUTED_VALUE"""),"")</f>
        <v/>
      </c>
      <c r="P422" s="5" t="str">
        <f>IFERROR(__xludf.DUMMYFUNCTION("""COMPUTED_VALUE"""),"")</f>
        <v/>
      </c>
      <c r="Q422" s="5" t="str">
        <f>IFERROR(__xludf.DUMMYFUNCTION("""COMPUTED_VALUE"""),"")</f>
        <v/>
      </c>
      <c r="R422" s="5" t="str">
        <f>IFERROR(__xludf.DUMMYFUNCTION("""COMPUTED_VALUE"""),"")</f>
        <v/>
      </c>
      <c r="S422" s="5" t="str">
        <f>IFERROR(__xludf.DUMMYFUNCTION("""COMPUTED_VALUE"""),"")</f>
        <v/>
      </c>
      <c r="T422" s="5" t="str">
        <f>IFERROR(__xludf.DUMMYFUNCTION("""COMPUTED_VALUE"""),"")</f>
        <v/>
      </c>
      <c r="U422" s="5" t="str">
        <f>IFERROR(__xludf.DUMMYFUNCTION("""COMPUTED_VALUE"""),"")</f>
        <v/>
      </c>
      <c r="V422" s="5" t="str">
        <f>IFERROR(__xludf.DUMMYFUNCTION("""COMPUTED_VALUE"""),"")</f>
        <v/>
      </c>
      <c r="W422" s="5" t="str">
        <f>IFERROR(__xludf.DUMMYFUNCTION("""COMPUTED_VALUE"""),"")</f>
        <v/>
      </c>
      <c r="X422" s="5" t="str">
        <f>IFERROR(__xludf.DUMMYFUNCTION("""COMPUTED_VALUE"""),"")</f>
        <v/>
      </c>
      <c r="Y422" s="5"/>
      <c r="Z422" s="5"/>
    </row>
    <row r="423">
      <c r="A423" s="5" t="str">
        <f>IFERROR(__xludf.DUMMYFUNCTION("""COMPUTED_VALUE"""),"Savana Fruits")</f>
        <v>Savana Fruits</v>
      </c>
      <c r="B423" s="5" t="str">
        <f>IFERROR(__xludf.DUMMYFUNCTION("""COMPUTED_VALUE"""),"")</f>
        <v/>
      </c>
      <c r="C423" s="5" t="str">
        <f>IFERROR(__xludf.DUMMYFUNCTION("""COMPUTED_VALUE"""),"")</f>
        <v/>
      </c>
      <c r="D423" s="5" t="str">
        <f>IFERROR(__xludf.DUMMYFUNCTION("""COMPUTED_VALUE"""),"")</f>
        <v/>
      </c>
      <c r="E423" s="5" t="str">
        <f>IFERROR(__xludf.DUMMYFUNCTION("""COMPUTED_VALUE"""),"")</f>
        <v/>
      </c>
      <c r="F423" s="5" t="str">
        <f>IFERROR(__xludf.DUMMYFUNCTION("""COMPUTED_VALUE"""),"")</f>
        <v/>
      </c>
      <c r="G423" s="5" t="str">
        <f>IFERROR(__xludf.DUMMYFUNCTION("""COMPUTED_VALUE"""),"")</f>
        <v/>
      </c>
      <c r="H423" s="5" t="str">
        <f>IFERROR(__xludf.DUMMYFUNCTION("""COMPUTED_VALUE"""),"")</f>
        <v/>
      </c>
      <c r="I423" s="5" t="str">
        <f>IFERROR(__xludf.DUMMYFUNCTION("""COMPUTED_VALUE"""),"")</f>
        <v/>
      </c>
      <c r="J423" s="5" t="str">
        <f>IFERROR(__xludf.DUMMYFUNCTION("""COMPUTED_VALUE"""),"")</f>
        <v/>
      </c>
      <c r="K423" s="5" t="str">
        <f>IFERROR(__xludf.DUMMYFUNCTION("""COMPUTED_VALUE"""),"")</f>
        <v/>
      </c>
      <c r="L423" s="5" t="str">
        <f>IFERROR(__xludf.DUMMYFUNCTION("""COMPUTED_VALUE"""),"")</f>
        <v/>
      </c>
      <c r="M423" s="5" t="str">
        <f>IFERROR(__xludf.DUMMYFUNCTION("""COMPUTED_VALUE"""),"")</f>
        <v/>
      </c>
      <c r="N423" s="5" t="str">
        <f>IFERROR(__xludf.DUMMYFUNCTION("""COMPUTED_VALUE"""),"")</f>
        <v/>
      </c>
      <c r="O423" s="5" t="str">
        <f>IFERROR(__xludf.DUMMYFUNCTION("""COMPUTED_VALUE"""),"")</f>
        <v/>
      </c>
      <c r="P423" s="5" t="str">
        <f>IFERROR(__xludf.DUMMYFUNCTION("""COMPUTED_VALUE"""),"")</f>
        <v/>
      </c>
      <c r="Q423" s="5" t="str">
        <f>IFERROR(__xludf.DUMMYFUNCTION("""COMPUTED_VALUE"""),"")</f>
        <v/>
      </c>
      <c r="R423" s="5" t="str">
        <f>IFERROR(__xludf.DUMMYFUNCTION("""COMPUTED_VALUE"""),"")</f>
        <v/>
      </c>
      <c r="S423" s="5" t="str">
        <f>IFERROR(__xludf.DUMMYFUNCTION("""COMPUTED_VALUE"""),"")</f>
        <v/>
      </c>
      <c r="T423" s="5" t="str">
        <f>IFERROR(__xludf.DUMMYFUNCTION("""COMPUTED_VALUE"""),"")</f>
        <v/>
      </c>
      <c r="U423" s="5" t="str">
        <f>IFERROR(__xludf.DUMMYFUNCTION("""COMPUTED_VALUE"""),"")</f>
        <v/>
      </c>
      <c r="V423" s="5" t="str">
        <f>IFERROR(__xludf.DUMMYFUNCTION("""COMPUTED_VALUE"""),"")</f>
        <v/>
      </c>
      <c r="W423" s="5" t="str">
        <f>IFERROR(__xludf.DUMMYFUNCTION("""COMPUTED_VALUE"""),"")</f>
        <v/>
      </c>
      <c r="X423" s="5" t="str">
        <f>IFERROR(__xludf.DUMMYFUNCTION("""COMPUTED_VALUE"""),"")</f>
        <v/>
      </c>
      <c r="Y423" s="5"/>
      <c r="Z423" s="5"/>
    </row>
    <row r="424">
      <c r="A424" s="5" t="str">
        <f>IFERROR(__xludf.DUMMYFUNCTION("""COMPUTED_VALUE"""),"Sticky Tiki")</f>
        <v>Sticky Tiki</v>
      </c>
      <c r="B424" s="5" t="str">
        <f>IFERROR(__xludf.DUMMYFUNCTION("""COMPUTED_VALUE"""),"")</f>
        <v/>
      </c>
      <c r="C424" s="5" t="str">
        <f>IFERROR(__xludf.DUMMYFUNCTION("""COMPUTED_VALUE"""),"")</f>
        <v/>
      </c>
      <c r="D424" s="5" t="str">
        <f>IFERROR(__xludf.DUMMYFUNCTION("""COMPUTED_VALUE"""),"")</f>
        <v/>
      </c>
      <c r="E424" s="5" t="str">
        <f>IFERROR(__xludf.DUMMYFUNCTION("""COMPUTED_VALUE"""),"")</f>
        <v/>
      </c>
      <c r="F424" s="5" t="str">
        <f>IFERROR(__xludf.DUMMYFUNCTION("""COMPUTED_VALUE"""),"")</f>
        <v/>
      </c>
      <c r="G424" s="5" t="str">
        <f>IFERROR(__xludf.DUMMYFUNCTION("""COMPUTED_VALUE"""),"")</f>
        <v/>
      </c>
      <c r="H424" s="5" t="str">
        <f>IFERROR(__xludf.DUMMYFUNCTION("""COMPUTED_VALUE"""),"")</f>
        <v/>
      </c>
      <c r="I424" s="5" t="str">
        <f>IFERROR(__xludf.DUMMYFUNCTION("""COMPUTED_VALUE"""),"")</f>
        <v/>
      </c>
      <c r="J424" s="5" t="str">
        <f>IFERROR(__xludf.DUMMYFUNCTION("""COMPUTED_VALUE"""),"")</f>
        <v/>
      </c>
      <c r="K424" s="5" t="str">
        <f>IFERROR(__xludf.DUMMYFUNCTION("""COMPUTED_VALUE"""),"")</f>
        <v/>
      </c>
      <c r="L424" s="5" t="str">
        <f>IFERROR(__xludf.DUMMYFUNCTION("""COMPUTED_VALUE"""),"")</f>
        <v/>
      </c>
      <c r="M424" s="5" t="str">
        <f>IFERROR(__xludf.DUMMYFUNCTION("""COMPUTED_VALUE"""),"")</f>
        <v/>
      </c>
      <c r="N424" s="5" t="str">
        <f>IFERROR(__xludf.DUMMYFUNCTION("""COMPUTED_VALUE"""),"")</f>
        <v/>
      </c>
      <c r="O424" s="5" t="str">
        <f>IFERROR(__xludf.DUMMYFUNCTION("""COMPUTED_VALUE"""),"")</f>
        <v/>
      </c>
      <c r="P424" s="5" t="str">
        <f>IFERROR(__xludf.DUMMYFUNCTION("""COMPUTED_VALUE"""),"")</f>
        <v/>
      </c>
      <c r="Q424" s="5" t="str">
        <f>IFERROR(__xludf.DUMMYFUNCTION("""COMPUTED_VALUE"""),"")</f>
        <v/>
      </c>
      <c r="R424" s="5" t="str">
        <f>IFERROR(__xludf.DUMMYFUNCTION("""COMPUTED_VALUE"""),"")</f>
        <v/>
      </c>
      <c r="S424" s="5" t="str">
        <f>IFERROR(__xludf.DUMMYFUNCTION("""COMPUTED_VALUE"""),"")</f>
        <v/>
      </c>
      <c r="T424" s="5" t="str">
        <f>IFERROR(__xludf.DUMMYFUNCTION("""COMPUTED_VALUE"""),"")</f>
        <v/>
      </c>
      <c r="U424" s="5" t="str">
        <f>IFERROR(__xludf.DUMMYFUNCTION("""COMPUTED_VALUE"""),"")</f>
        <v/>
      </c>
      <c r="V424" s="5" t="str">
        <f>IFERROR(__xludf.DUMMYFUNCTION("""COMPUTED_VALUE"""),"")</f>
        <v/>
      </c>
      <c r="W424" s="5" t="str">
        <f>IFERROR(__xludf.DUMMYFUNCTION("""COMPUTED_VALUE"""),"")</f>
        <v/>
      </c>
      <c r="X424" s="5" t="str">
        <f>IFERROR(__xludf.DUMMYFUNCTION("""COMPUTED_VALUE"""),"")</f>
        <v/>
      </c>
      <c r="Y424" s="5"/>
      <c r="Z424" s="5"/>
    </row>
    <row r="425">
      <c r="A425" s="5" t="str">
        <f>IFERROR(__xludf.DUMMYFUNCTION("""COMPUTED_VALUE"""),"Hot Rush Triple Star")</f>
        <v>Hot Rush Triple Star</v>
      </c>
      <c r="B425" s="5" t="str">
        <f>IFERROR(__xludf.DUMMYFUNCTION("""COMPUTED_VALUE"""),"")</f>
        <v/>
      </c>
      <c r="C425" s="5" t="str">
        <f>IFERROR(__xludf.DUMMYFUNCTION("""COMPUTED_VALUE"""),"")</f>
        <v/>
      </c>
      <c r="D425" s="5" t="str">
        <f>IFERROR(__xludf.DUMMYFUNCTION("""COMPUTED_VALUE"""),"")</f>
        <v/>
      </c>
      <c r="E425" s="5" t="str">
        <f>IFERROR(__xludf.DUMMYFUNCTION("""COMPUTED_VALUE"""),"")</f>
        <v/>
      </c>
      <c r="F425" s="5" t="str">
        <f>IFERROR(__xludf.DUMMYFUNCTION("""COMPUTED_VALUE"""),"")</f>
        <v/>
      </c>
      <c r="G425" s="5" t="str">
        <f>IFERROR(__xludf.DUMMYFUNCTION("""COMPUTED_VALUE"""),"")</f>
        <v/>
      </c>
      <c r="H425" s="5" t="str">
        <f>IFERROR(__xludf.DUMMYFUNCTION("""COMPUTED_VALUE"""),"")</f>
        <v/>
      </c>
      <c r="I425" s="5" t="str">
        <f>IFERROR(__xludf.DUMMYFUNCTION("""COMPUTED_VALUE"""),"")</f>
        <v/>
      </c>
      <c r="J425" s="5" t="str">
        <f>IFERROR(__xludf.DUMMYFUNCTION("""COMPUTED_VALUE"""),"")</f>
        <v/>
      </c>
      <c r="K425" s="5" t="str">
        <f>IFERROR(__xludf.DUMMYFUNCTION("""COMPUTED_VALUE"""),"")</f>
        <v/>
      </c>
      <c r="L425" s="5" t="str">
        <f>IFERROR(__xludf.DUMMYFUNCTION("""COMPUTED_VALUE"""),"")</f>
        <v/>
      </c>
      <c r="M425" s="5" t="str">
        <f>IFERROR(__xludf.DUMMYFUNCTION("""COMPUTED_VALUE"""),"")</f>
        <v/>
      </c>
      <c r="N425" s="5" t="str">
        <f>IFERROR(__xludf.DUMMYFUNCTION("""COMPUTED_VALUE"""),"")</f>
        <v/>
      </c>
      <c r="O425" s="5" t="str">
        <f>IFERROR(__xludf.DUMMYFUNCTION("""COMPUTED_VALUE"""),"")</f>
        <v/>
      </c>
      <c r="P425" s="5" t="str">
        <f>IFERROR(__xludf.DUMMYFUNCTION("""COMPUTED_VALUE"""),"")</f>
        <v/>
      </c>
      <c r="Q425" s="5" t="str">
        <f>IFERROR(__xludf.DUMMYFUNCTION("""COMPUTED_VALUE"""),"")</f>
        <v/>
      </c>
      <c r="R425" s="5" t="str">
        <f>IFERROR(__xludf.DUMMYFUNCTION("""COMPUTED_VALUE"""),"")</f>
        <v/>
      </c>
      <c r="S425" s="5" t="str">
        <f>IFERROR(__xludf.DUMMYFUNCTION("""COMPUTED_VALUE"""),"")</f>
        <v/>
      </c>
      <c r="T425" s="5" t="str">
        <f>IFERROR(__xludf.DUMMYFUNCTION("""COMPUTED_VALUE"""),"")</f>
        <v/>
      </c>
      <c r="U425" s="5" t="str">
        <f>IFERROR(__xludf.DUMMYFUNCTION("""COMPUTED_VALUE"""),"")</f>
        <v/>
      </c>
      <c r="V425" s="5" t="str">
        <f>IFERROR(__xludf.DUMMYFUNCTION("""COMPUTED_VALUE"""),"")</f>
        <v/>
      </c>
      <c r="W425" s="5" t="str">
        <f>IFERROR(__xludf.DUMMYFUNCTION("""COMPUTED_VALUE"""),"")</f>
        <v/>
      </c>
      <c r="X425" s="5" t="str">
        <f>IFERROR(__xludf.DUMMYFUNCTION("""COMPUTED_VALUE"""),"")</f>
        <v/>
      </c>
      <c r="Y425" s="5"/>
      <c r="Z425" s="5"/>
    </row>
    <row r="426">
      <c r="A426" s="5" t="str">
        <f>IFERROR(__xludf.DUMMYFUNCTION("""COMPUTED_VALUE"""),"Hearts and Stars")</f>
        <v>Hearts and Stars</v>
      </c>
      <c r="B426" s="5" t="str">
        <f>IFERROR(__xludf.DUMMYFUNCTION("""COMPUTED_VALUE"""),"Available")</f>
        <v>Available</v>
      </c>
      <c r="C426" s="5" t="str">
        <f>IFERROR(__xludf.DUMMYFUNCTION("""COMPUTED_VALUE"""),"Development")</f>
        <v>Development</v>
      </c>
      <c r="D426" s="5" t="str">
        <f>IFERROR(__xludf.DUMMYFUNCTION("""COMPUTED_VALUE"""),"Cert Preparation")</f>
        <v>Cert Preparation</v>
      </c>
      <c r="E426" s="5" t="str">
        <f>IFERROR(__xludf.DUMMYFUNCTION("""COMPUTED_VALUE"""),"Development")</f>
        <v>Development</v>
      </c>
      <c r="F426" s="5" t="str">
        <f>IFERROR(__xludf.DUMMYFUNCTION("""COMPUTED_VALUE"""),"Available")</f>
        <v>Available</v>
      </c>
      <c r="G426" s="5" t="str">
        <f>IFERROR(__xludf.DUMMYFUNCTION("""COMPUTED_VALUE"""),"Available")</f>
        <v>Available</v>
      </c>
      <c r="H426" s="5" t="str">
        <f>IFERROR(__xludf.DUMMYFUNCTION("""COMPUTED_VALUE"""),"")</f>
        <v/>
      </c>
      <c r="I426" s="5" t="str">
        <f>IFERROR(__xludf.DUMMYFUNCTION("""COMPUTED_VALUE"""),"Development")</f>
        <v>Development</v>
      </c>
      <c r="J426" s="5" t="str">
        <f>IFERROR(__xludf.DUMMYFUNCTION("""COMPUTED_VALUE"""),"")</f>
        <v/>
      </c>
      <c r="K426" s="5" t="str">
        <f>IFERROR(__xludf.DUMMYFUNCTION("""COMPUTED_VALUE"""),"Development")</f>
        <v>Development</v>
      </c>
      <c r="L426" s="5" t="str">
        <f>IFERROR(__xludf.DUMMYFUNCTION("""COMPUTED_VALUE"""),"")</f>
        <v/>
      </c>
      <c r="M426" s="5" t="str">
        <f>IFERROR(__xludf.DUMMYFUNCTION("""COMPUTED_VALUE"""),"Development")</f>
        <v>Development</v>
      </c>
      <c r="N426" s="5" t="str">
        <f>IFERROR(__xludf.DUMMYFUNCTION("""COMPUTED_VALUE"""),"Development")</f>
        <v>Development</v>
      </c>
      <c r="O426" s="5" t="str">
        <f>IFERROR(__xludf.DUMMYFUNCTION("""COMPUTED_VALUE"""),"")</f>
        <v/>
      </c>
      <c r="P426" s="5" t="str">
        <f>IFERROR(__xludf.DUMMYFUNCTION("""COMPUTED_VALUE"""),"")</f>
        <v/>
      </c>
      <c r="Q426" s="5" t="str">
        <f>IFERROR(__xludf.DUMMYFUNCTION("""COMPUTED_VALUE"""),"")</f>
        <v/>
      </c>
      <c r="R426" s="5" t="str">
        <f>IFERROR(__xludf.DUMMYFUNCTION("""COMPUTED_VALUE"""),"")</f>
        <v/>
      </c>
      <c r="S426" s="5" t="str">
        <f>IFERROR(__xludf.DUMMYFUNCTION("""COMPUTED_VALUE"""),"")</f>
        <v/>
      </c>
      <c r="T426" s="5" t="str">
        <f>IFERROR(__xludf.DUMMYFUNCTION("""COMPUTED_VALUE"""),"")</f>
        <v/>
      </c>
      <c r="U426" s="5" t="str">
        <f>IFERROR(__xludf.DUMMYFUNCTION("""COMPUTED_VALUE"""),"")</f>
        <v/>
      </c>
      <c r="V426" s="5" t="str">
        <f>IFERROR(__xludf.DUMMYFUNCTION("""COMPUTED_VALUE"""),"")</f>
        <v/>
      </c>
      <c r="W426" s="5" t="str">
        <f>IFERROR(__xludf.DUMMYFUNCTION("""COMPUTED_VALUE"""),"")</f>
        <v/>
      </c>
      <c r="X426" s="5" t="str">
        <f>IFERROR(__xludf.DUMMYFUNCTION("""COMPUTED_VALUE"""),"")</f>
        <v/>
      </c>
      <c r="Y426" s="5"/>
      <c r="Z426" s="5"/>
    </row>
    <row r="427">
      <c r="A427" s="5" t="str">
        <f>IFERROR(__xludf.DUMMYFUNCTION("""COMPUTED_VALUE"""),"Top Hot 5")</f>
        <v>Top Hot 5</v>
      </c>
      <c r="B427" s="5" t="str">
        <f>IFERROR(__xludf.DUMMYFUNCTION("""COMPUTED_VALUE"""),"Development")</f>
        <v>Development</v>
      </c>
      <c r="C427" s="5" t="str">
        <f>IFERROR(__xludf.DUMMYFUNCTION("""COMPUTED_VALUE"""),"Development")</f>
        <v>Development</v>
      </c>
      <c r="D427" s="5" t="str">
        <f>IFERROR(__xludf.DUMMYFUNCTION("""COMPUTED_VALUE"""),"Cert Preparation")</f>
        <v>Cert Preparation</v>
      </c>
      <c r="E427" s="5" t="str">
        <f>IFERROR(__xludf.DUMMYFUNCTION("""COMPUTED_VALUE"""),"Development")</f>
        <v>Development</v>
      </c>
      <c r="F427" s="5" t="str">
        <f>IFERROR(__xludf.DUMMYFUNCTION("""COMPUTED_VALUE"""),"")</f>
        <v/>
      </c>
      <c r="G427" s="5" t="str">
        <f>IFERROR(__xludf.DUMMYFUNCTION("""COMPUTED_VALUE"""),"")</f>
        <v/>
      </c>
      <c r="H427" s="5" t="str">
        <f>IFERROR(__xludf.DUMMYFUNCTION("""COMPUTED_VALUE"""),"")</f>
        <v/>
      </c>
      <c r="I427" s="5" t="str">
        <f>IFERROR(__xludf.DUMMYFUNCTION("""COMPUTED_VALUE"""),"Development")</f>
        <v>Development</v>
      </c>
      <c r="J427" s="5" t="str">
        <f>IFERROR(__xludf.DUMMYFUNCTION("""COMPUTED_VALUE"""),"")</f>
        <v/>
      </c>
      <c r="K427" s="5" t="str">
        <f>IFERROR(__xludf.DUMMYFUNCTION("""COMPUTED_VALUE"""),"")</f>
        <v/>
      </c>
      <c r="L427" s="5" t="str">
        <f>IFERROR(__xludf.DUMMYFUNCTION("""COMPUTED_VALUE"""),"")</f>
        <v/>
      </c>
      <c r="M427" s="5" t="str">
        <f>IFERROR(__xludf.DUMMYFUNCTION("""COMPUTED_VALUE"""),"Development")</f>
        <v>Development</v>
      </c>
      <c r="N427" s="5" t="str">
        <f>IFERROR(__xludf.DUMMYFUNCTION("""COMPUTED_VALUE"""),"")</f>
        <v/>
      </c>
      <c r="O427" s="5" t="str">
        <f>IFERROR(__xludf.DUMMYFUNCTION("""COMPUTED_VALUE"""),"")</f>
        <v/>
      </c>
      <c r="P427" s="5" t="str">
        <f>IFERROR(__xludf.DUMMYFUNCTION("""COMPUTED_VALUE"""),"")</f>
        <v/>
      </c>
      <c r="Q427" s="5" t="str">
        <f>IFERROR(__xludf.DUMMYFUNCTION("""COMPUTED_VALUE"""),"")</f>
        <v/>
      </c>
      <c r="R427" s="5" t="str">
        <f>IFERROR(__xludf.DUMMYFUNCTION("""COMPUTED_VALUE"""),"")</f>
        <v/>
      </c>
      <c r="S427" s="5" t="str">
        <f>IFERROR(__xludf.DUMMYFUNCTION("""COMPUTED_VALUE"""),"")</f>
        <v/>
      </c>
      <c r="T427" s="5" t="str">
        <f>IFERROR(__xludf.DUMMYFUNCTION("""COMPUTED_VALUE"""),"")</f>
        <v/>
      </c>
      <c r="U427" s="5" t="str">
        <f>IFERROR(__xludf.DUMMYFUNCTION("""COMPUTED_VALUE"""),"")</f>
        <v/>
      </c>
      <c r="V427" s="5" t="str">
        <f>IFERROR(__xludf.DUMMYFUNCTION("""COMPUTED_VALUE"""),"")</f>
        <v/>
      </c>
      <c r="W427" s="5" t="str">
        <f>IFERROR(__xludf.DUMMYFUNCTION("""COMPUTED_VALUE"""),"")</f>
        <v/>
      </c>
      <c r="X427" s="5" t="str">
        <f>IFERROR(__xludf.DUMMYFUNCTION("""COMPUTED_VALUE"""),"")</f>
        <v/>
      </c>
      <c r="Y427" s="5"/>
      <c r="Z427" s="5"/>
    </row>
    <row r="428">
      <c r="A428" s="5" t="str">
        <f>IFERROR(__xludf.DUMMYFUNCTION("""COMPUTED_VALUE"""),"Big Spin Sevens")</f>
        <v>Big Spin Sevens</v>
      </c>
      <c r="B428" s="5" t="str">
        <f>IFERROR(__xludf.DUMMYFUNCTION("""COMPUTED_VALUE"""),"")</f>
        <v/>
      </c>
      <c r="C428" s="5" t="str">
        <f>IFERROR(__xludf.DUMMYFUNCTION("""COMPUTED_VALUE"""),"")</f>
        <v/>
      </c>
      <c r="D428" s="5" t="str">
        <f>IFERROR(__xludf.DUMMYFUNCTION("""COMPUTED_VALUE"""),"")</f>
        <v/>
      </c>
      <c r="E428" s="5" t="str">
        <f>IFERROR(__xludf.DUMMYFUNCTION("""COMPUTED_VALUE"""),"")</f>
        <v/>
      </c>
      <c r="F428" s="5" t="str">
        <f>IFERROR(__xludf.DUMMYFUNCTION("""COMPUTED_VALUE"""),"")</f>
        <v/>
      </c>
      <c r="G428" s="5" t="str">
        <f>IFERROR(__xludf.DUMMYFUNCTION("""COMPUTED_VALUE"""),"")</f>
        <v/>
      </c>
      <c r="H428" s="5" t="str">
        <f>IFERROR(__xludf.DUMMYFUNCTION("""COMPUTED_VALUE"""),"")</f>
        <v/>
      </c>
      <c r="I428" s="5" t="str">
        <f>IFERROR(__xludf.DUMMYFUNCTION("""COMPUTED_VALUE"""),"")</f>
        <v/>
      </c>
      <c r="J428" s="5" t="str">
        <f>IFERROR(__xludf.DUMMYFUNCTION("""COMPUTED_VALUE"""),"")</f>
        <v/>
      </c>
      <c r="K428" s="5" t="str">
        <f>IFERROR(__xludf.DUMMYFUNCTION("""COMPUTED_VALUE"""),"")</f>
        <v/>
      </c>
      <c r="L428" s="5" t="str">
        <f>IFERROR(__xludf.DUMMYFUNCTION("""COMPUTED_VALUE"""),"")</f>
        <v/>
      </c>
      <c r="M428" s="5" t="str">
        <f>IFERROR(__xludf.DUMMYFUNCTION("""COMPUTED_VALUE"""),"")</f>
        <v/>
      </c>
      <c r="N428" s="5" t="str">
        <f>IFERROR(__xludf.DUMMYFUNCTION("""COMPUTED_VALUE"""),"")</f>
        <v/>
      </c>
      <c r="O428" s="5" t="str">
        <f>IFERROR(__xludf.DUMMYFUNCTION("""COMPUTED_VALUE"""),"")</f>
        <v/>
      </c>
      <c r="P428" s="5" t="str">
        <f>IFERROR(__xludf.DUMMYFUNCTION("""COMPUTED_VALUE"""),"")</f>
        <v/>
      </c>
      <c r="Q428" s="5" t="str">
        <f>IFERROR(__xludf.DUMMYFUNCTION("""COMPUTED_VALUE"""),"")</f>
        <v/>
      </c>
      <c r="R428" s="5" t="str">
        <f>IFERROR(__xludf.DUMMYFUNCTION("""COMPUTED_VALUE"""),"")</f>
        <v/>
      </c>
      <c r="S428" s="5" t="str">
        <f>IFERROR(__xludf.DUMMYFUNCTION("""COMPUTED_VALUE"""),"")</f>
        <v/>
      </c>
      <c r="T428" s="5" t="str">
        <f>IFERROR(__xludf.DUMMYFUNCTION("""COMPUTED_VALUE"""),"")</f>
        <v/>
      </c>
      <c r="U428" s="5" t="str">
        <f>IFERROR(__xludf.DUMMYFUNCTION("""COMPUTED_VALUE"""),"")</f>
        <v/>
      </c>
      <c r="V428" s="5" t="str">
        <f>IFERROR(__xludf.DUMMYFUNCTION("""COMPUTED_VALUE"""),"")</f>
        <v/>
      </c>
      <c r="W428" s="5" t="str">
        <f>IFERROR(__xludf.DUMMYFUNCTION("""COMPUTED_VALUE"""),"")</f>
        <v/>
      </c>
      <c r="X428" s="5" t="str">
        <f>IFERROR(__xludf.DUMMYFUNCTION("""COMPUTED_VALUE"""),"")</f>
        <v/>
      </c>
      <c r="Y428" s="5"/>
      <c r="Z428" s="5"/>
    </row>
    <row r="429">
      <c r="A429" s="5" t="str">
        <f>IFERROR(__xludf.DUMMYFUNCTION("""COMPUTED_VALUE"""),"Hot Rush Fruit Lines")</f>
        <v>Hot Rush Fruit Lines</v>
      </c>
      <c r="B429" s="5" t="str">
        <f>IFERROR(__xludf.DUMMYFUNCTION("""COMPUTED_VALUE"""),"")</f>
        <v/>
      </c>
      <c r="C429" s="5" t="str">
        <f>IFERROR(__xludf.DUMMYFUNCTION("""COMPUTED_VALUE"""),"")</f>
        <v/>
      </c>
      <c r="D429" s="5" t="str">
        <f>IFERROR(__xludf.DUMMYFUNCTION("""COMPUTED_VALUE"""),"")</f>
        <v/>
      </c>
      <c r="E429" s="5" t="str">
        <f>IFERROR(__xludf.DUMMYFUNCTION("""COMPUTED_VALUE"""),"")</f>
        <v/>
      </c>
      <c r="F429" s="5" t="str">
        <f>IFERROR(__xludf.DUMMYFUNCTION("""COMPUTED_VALUE"""),"")</f>
        <v/>
      </c>
      <c r="G429" s="5" t="str">
        <f>IFERROR(__xludf.DUMMYFUNCTION("""COMPUTED_VALUE"""),"")</f>
        <v/>
      </c>
      <c r="H429" s="5" t="str">
        <f>IFERROR(__xludf.DUMMYFUNCTION("""COMPUTED_VALUE"""),"")</f>
        <v/>
      </c>
      <c r="I429" s="5" t="str">
        <f>IFERROR(__xludf.DUMMYFUNCTION("""COMPUTED_VALUE"""),"")</f>
        <v/>
      </c>
      <c r="J429" s="5" t="str">
        <f>IFERROR(__xludf.DUMMYFUNCTION("""COMPUTED_VALUE"""),"")</f>
        <v/>
      </c>
      <c r="K429" s="5" t="str">
        <f>IFERROR(__xludf.DUMMYFUNCTION("""COMPUTED_VALUE"""),"")</f>
        <v/>
      </c>
      <c r="L429" s="5" t="str">
        <f>IFERROR(__xludf.DUMMYFUNCTION("""COMPUTED_VALUE"""),"")</f>
        <v/>
      </c>
      <c r="M429" s="5" t="str">
        <f>IFERROR(__xludf.DUMMYFUNCTION("""COMPUTED_VALUE"""),"")</f>
        <v/>
      </c>
      <c r="N429" s="5" t="str">
        <f>IFERROR(__xludf.DUMMYFUNCTION("""COMPUTED_VALUE"""),"")</f>
        <v/>
      </c>
      <c r="O429" s="5" t="str">
        <f>IFERROR(__xludf.DUMMYFUNCTION("""COMPUTED_VALUE"""),"")</f>
        <v/>
      </c>
      <c r="P429" s="5" t="str">
        <f>IFERROR(__xludf.DUMMYFUNCTION("""COMPUTED_VALUE"""),"")</f>
        <v/>
      </c>
      <c r="Q429" s="5" t="str">
        <f>IFERROR(__xludf.DUMMYFUNCTION("""COMPUTED_VALUE"""),"")</f>
        <v/>
      </c>
      <c r="R429" s="5" t="str">
        <f>IFERROR(__xludf.DUMMYFUNCTION("""COMPUTED_VALUE"""),"")</f>
        <v/>
      </c>
      <c r="S429" s="5" t="str">
        <f>IFERROR(__xludf.DUMMYFUNCTION("""COMPUTED_VALUE"""),"")</f>
        <v/>
      </c>
      <c r="T429" s="5" t="str">
        <f>IFERROR(__xludf.DUMMYFUNCTION("""COMPUTED_VALUE"""),"")</f>
        <v/>
      </c>
      <c r="U429" s="5" t="str">
        <f>IFERROR(__xludf.DUMMYFUNCTION("""COMPUTED_VALUE"""),"")</f>
        <v/>
      </c>
      <c r="V429" s="5" t="str">
        <f>IFERROR(__xludf.DUMMYFUNCTION("""COMPUTED_VALUE"""),"")</f>
        <v/>
      </c>
      <c r="W429" s="5" t="str">
        <f>IFERROR(__xludf.DUMMYFUNCTION("""COMPUTED_VALUE"""),"")</f>
        <v/>
      </c>
      <c r="X429" s="5" t="str">
        <f>IFERROR(__xludf.DUMMYFUNCTION("""COMPUTED_VALUE"""),"")</f>
        <v/>
      </c>
      <c r="Y429" s="5"/>
      <c r="Z429" s="5"/>
    </row>
    <row r="430">
      <c r="A430" s="5" t="str">
        <f>IFERROR(__xludf.DUMMYFUNCTION("""COMPUTED_VALUE"""),"Plinko Hinamis Forest of Magic")</f>
        <v>Plinko Hinamis Forest of Magic</v>
      </c>
      <c r="B430" s="5" t="str">
        <f>IFERROR(__xludf.DUMMYFUNCTION("""COMPUTED_VALUE"""),"")</f>
        <v/>
      </c>
      <c r="C430" s="5" t="str">
        <f>IFERROR(__xludf.DUMMYFUNCTION("""COMPUTED_VALUE"""),"")</f>
        <v/>
      </c>
      <c r="D430" s="5" t="str">
        <f>IFERROR(__xludf.DUMMYFUNCTION("""COMPUTED_VALUE"""),"")</f>
        <v/>
      </c>
      <c r="E430" s="5" t="str">
        <f>IFERROR(__xludf.DUMMYFUNCTION("""COMPUTED_VALUE"""),"")</f>
        <v/>
      </c>
      <c r="F430" s="5" t="str">
        <f>IFERROR(__xludf.DUMMYFUNCTION("""COMPUTED_VALUE"""),"")</f>
        <v/>
      </c>
      <c r="G430" s="5" t="str">
        <f>IFERROR(__xludf.DUMMYFUNCTION("""COMPUTED_VALUE"""),"")</f>
        <v/>
      </c>
      <c r="H430" s="5" t="str">
        <f>IFERROR(__xludf.DUMMYFUNCTION("""COMPUTED_VALUE"""),"")</f>
        <v/>
      </c>
      <c r="I430" s="5" t="str">
        <f>IFERROR(__xludf.DUMMYFUNCTION("""COMPUTED_VALUE"""),"")</f>
        <v/>
      </c>
      <c r="J430" s="5" t="str">
        <f>IFERROR(__xludf.DUMMYFUNCTION("""COMPUTED_VALUE"""),"")</f>
        <v/>
      </c>
      <c r="K430" s="5" t="str">
        <f>IFERROR(__xludf.DUMMYFUNCTION("""COMPUTED_VALUE"""),"")</f>
        <v/>
      </c>
      <c r="L430" s="5" t="str">
        <f>IFERROR(__xludf.DUMMYFUNCTION("""COMPUTED_VALUE"""),"")</f>
        <v/>
      </c>
      <c r="M430" s="5" t="str">
        <f>IFERROR(__xludf.DUMMYFUNCTION("""COMPUTED_VALUE"""),"")</f>
        <v/>
      </c>
      <c r="N430" s="5" t="str">
        <f>IFERROR(__xludf.DUMMYFUNCTION("""COMPUTED_VALUE"""),"")</f>
        <v/>
      </c>
      <c r="O430" s="5" t="str">
        <f>IFERROR(__xludf.DUMMYFUNCTION("""COMPUTED_VALUE"""),"")</f>
        <v/>
      </c>
      <c r="P430" s="5" t="str">
        <f>IFERROR(__xludf.DUMMYFUNCTION("""COMPUTED_VALUE"""),"")</f>
        <v/>
      </c>
      <c r="Q430" s="5" t="str">
        <f>IFERROR(__xludf.DUMMYFUNCTION("""COMPUTED_VALUE"""),"")</f>
        <v/>
      </c>
      <c r="R430" s="5" t="str">
        <f>IFERROR(__xludf.DUMMYFUNCTION("""COMPUTED_VALUE"""),"")</f>
        <v/>
      </c>
      <c r="S430" s="5" t="str">
        <f>IFERROR(__xludf.DUMMYFUNCTION("""COMPUTED_VALUE"""),"")</f>
        <v/>
      </c>
      <c r="T430" s="5" t="str">
        <f>IFERROR(__xludf.DUMMYFUNCTION("""COMPUTED_VALUE"""),"")</f>
        <v/>
      </c>
      <c r="U430" s="5" t="str">
        <f>IFERROR(__xludf.DUMMYFUNCTION("""COMPUTED_VALUE"""),"")</f>
        <v/>
      </c>
      <c r="V430" s="5" t="str">
        <f>IFERROR(__xludf.DUMMYFUNCTION("""COMPUTED_VALUE"""),"")</f>
        <v/>
      </c>
      <c r="W430" s="5" t="str">
        <f>IFERROR(__xludf.DUMMYFUNCTION("""COMPUTED_VALUE"""),"")</f>
        <v/>
      </c>
      <c r="X430" s="5" t="str">
        <f>IFERROR(__xludf.DUMMYFUNCTION("""COMPUTED_VALUE"""),"")</f>
        <v/>
      </c>
      <c r="Y430" s="5"/>
      <c r="Z430" s="5"/>
    </row>
    <row r="431">
      <c r="A431" s="5" t="str">
        <f>IFERROR(__xludf.DUMMYFUNCTION("""COMPUTED_VALUE"""),"Plinko Running Mice")</f>
        <v>Plinko Running Mice</v>
      </c>
      <c r="B431" s="5" t="str">
        <f>IFERROR(__xludf.DUMMYFUNCTION("""COMPUTED_VALUE"""),"")</f>
        <v/>
      </c>
      <c r="C431" s="5" t="str">
        <f>IFERROR(__xludf.DUMMYFUNCTION("""COMPUTED_VALUE"""),"")</f>
        <v/>
      </c>
      <c r="D431" s="5" t="str">
        <f>IFERROR(__xludf.DUMMYFUNCTION("""COMPUTED_VALUE"""),"")</f>
        <v/>
      </c>
      <c r="E431" s="5" t="str">
        <f>IFERROR(__xludf.DUMMYFUNCTION("""COMPUTED_VALUE"""),"")</f>
        <v/>
      </c>
      <c r="F431" s="5" t="str">
        <f>IFERROR(__xludf.DUMMYFUNCTION("""COMPUTED_VALUE"""),"")</f>
        <v/>
      </c>
      <c r="G431" s="5" t="str">
        <f>IFERROR(__xludf.DUMMYFUNCTION("""COMPUTED_VALUE"""),"")</f>
        <v/>
      </c>
      <c r="H431" s="5" t="str">
        <f>IFERROR(__xludf.DUMMYFUNCTION("""COMPUTED_VALUE"""),"")</f>
        <v/>
      </c>
      <c r="I431" s="5" t="str">
        <f>IFERROR(__xludf.DUMMYFUNCTION("""COMPUTED_VALUE"""),"")</f>
        <v/>
      </c>
      <c r="J431" s="5" t="str">
        <f>IFERROR(__xludf.DUMMYFUNCTION("""COMPUTED_VALUE"""),"")</f>
        <v/>
      </c>
      <c r="K431" s="5" t="str">
        <f>IFERROR(__xludf.DUMMYFUNCTION("""COMPUTED_VALUE"""),"")</f>
        <v/>
      </c>
      <c r="L431" s="5" t="str">
        <f>IFERROR(__xludf.DUMMYFUNCTION("""COMPUTED_VALUE"""),"")</f>
        <v/>
      </c>
      <c r="M431" s="5" t="str">
        <f>IFERROR(__xludf.DUMMYFUNCTION("""COMPUTED_VALUE"""),"")</f>
        <v/>
      </c>
      <c r="N431" s="5" t="str">
        <f>IFERROR(__xludf.DUMMYFUNCTION("""COMPUTED_VALUE"""),"")</f>
        <v/>
      </c>
      <c r="O431" s="5" t="str">
        <f>IFERROR(__xludf.DUMMYFUNCTION("""COMPUTED_VALUE"""),"")</f>
        <v/>
      </c>
      <c r="P431" s="5" t="str">
        <f>IFERROR(__xludf.DUMMYFUNCTION("""COMPUTED_VALUE"""),"")</f>
        <v/>
      </c>
      <c r="Q431" s="5" t="str">
        <f>IFERROR(__xludf.DUMMYFUNCTION("""COMPUTED_VALUE"""),"")</f>
        <v/>
      </c>
      <c r="R431" s="5" t="str">
        <f>IFERROR(__xludf.DUMMYFUNCTION("""COMPUTED_VALUE"""),"")</f>
        <v/>
      </c>
      <c r="S431" s="5" t="str">
        <f>IFERROR(__xludf.DUMMYFUNCTION("""COMPUTED_VALUE"""),"")</f>
        <v/>
      </c>
      <c r="T431" s="5" t="str">
        <f>IFERROR(__xludf.DUMMYFUNCTION("""COMPUTED_VALUE"""),"")</f>
        <v/>
      </c>
      <c r="U431" s="5" t="str">
        <f>IFERROR(__xludf.DUMMYFUNCTION("""COMPUTED_VALUE"""),"")</f>
        <v/>
      </c>
      <c r="V431" s="5" t="str">
        <f>IFERROR(__xludf.DUMMYFUNCTION("""COMPUTED_VALUE"""),"")</f>
        <v/>
      </c>
      <c r="W431" s="5" t="str">
        <f>IFERROR(__xludf.DUMMYFUNCTION("""COMPUTED_VALUE"""),"")</f>
        <v/>
      </c>
      <c r="X431" s="5" t="str">
        <f>IFERROR(__xludf.DUMMYFUNCTION("""COMPUTED_VALUE"""),"")</f>
        <v/>
      </c>
      <c r="Y431" s="5"/>
      <c r="Z431" s="5"/>
    </row>
    <row r="432">
      <c r="A432" s="5" t="str">
        <f>IFERROR(__xludf.DUMMYFUNCTION("""COMPUTED_VALUE"""),"Wild 5")</f>
        <v>Wild 5</v>
      </c>
      <c r="B432" s="5" t="str">
        <f>IFERROR(__xludf.DUMMYFUNCTION("""COMPUTED_VALUE"""),"Development")</f>
        <v>Development</v>
      </c>
      <c r="C432" s="5" t="str">
        <f>IFERROR(__xludf.DUMMYFUNCTION("""COMPUTED_VALUE"""),"Development")</f>
        <v>Development</v>
      </c>
      <c r="D432" s="5" t="str">
        <f>IFERROR(__xludf.DUMMYFUNCTION("""COMPUTED_VALUE"""),"Cert Preparation")</f>
        <v>Cert Preparation</v>
      </c>
      <c r="E432" s="5" t="str">
        <f>IFERROR(__xludf.DUMMYFUNCTION("""COMPUTED_VALUE"""),"Development")</f>
        <v>Development</v>
      </c>
      <c r="F432" s="5" t="str">
        <f>IFERROR(__xludf.DUMMYFUNCTION("""COMPUTED_VALUE"""),"")</f>
        <v/>
      </c>
      <c r="G432" s="5" t="str">
        <f>IFERROR(__xludf.DUMMYFUNCTION("""COMPUTED_VALUE"""),"")</f>
        <v/>
      </c>
      <c r="H432" s="5" t="str">
        <f>IFERROR(__xludf.DUMMYFUNCTION("""COMPUTED_VALUE"""),"")</f>
        <v/>
      </c>
      <c r="I432" s="5" t="str">
        <f>IFERROR(__xludf.DUMMYFUNCTION("""COMPUTED_VALUE"""),"Development")</f>
        <v>Development</v>
      </c>
      <c r="J432" s="5" t="str">
        <f>IFERROR(__xludf.DUMMYFUNCTION("""COMPUTED_VALUE"""),"")</f>
        <v/>
      </c>
      <c r="K432" s="5" t="str">
        <f>IFERROR(__xludf.DUMMYFUNCTION("""COMPUTED_VALUE"""),"")</f>
        <v/>
      </c>
      <c r="L432" s="5" t="str">
        <f>IFERROR(__xludf.DUMMYFUNCTION("""COMPUTED_VALUE"""),"Development")</f>
        <v>Development</v>
      </c>
      <c r="M432" s="5" t="str">
        <f>IFERROR(__xludf.DUMMYFUNCTION("""COMPUTED_VALUE"""),"")</f>
        <v/>
      </c>
      <c r="N432" s="5" t="str">
        <f>IFERROR(__xludf.DUMMYFUNCTION("""COMPUTED_VALUE"""),"Development")</f>
        <v>Development</v>
      </c>
      <c r="O432" s="5" t="str">
        <f>IFERROR(__xludf.DUMMYFUNCTION("""COMPUTED_VALUE"""),"")</f>
        <v/>
      </c>
      <c r="P432" s="5" t="str">
        <f>IFERROR(__xludf.DUMMYFUNCTION("""COMPUTED_VALUE"""),"")</f>
        <v/>
      </c>
      <c r="Q432" s="5" t="str">
        <f>IFERROR(__xludf.DUMMYFUNCTION("""COMPUTED_VALUE"""),"")</f>
        <v/>
      </c>
      <c r="R432" s="5" t="str">
        <f>IFERROR(__xludf.DUMMYFUNCTION("""COMPUTED_VALUE"""),"")</f>
        <v/>
      </c>
      <c r="S432" s="5" t="str">
        <f>IFERROR(__xludf.DUMMYFUNCTION("""COMPUTED_VALUE"""),"")</f>
        <v/>
      </c>
      <c r="T432" s="5" t="str">
        <f>IFERROR(__xludf.DUMMYFUNCTION("""COMPUTED_VALUE"""),"")</f>
        <v/>
      </c>
      <c r="U432" s="5" t="str">
        <f>IFERROR(__xludf.DUMMYFUNCTION("""COMPUTED_VALUE"""),"")</f>
        <v/>
      </c>
      <c r="V432" s="5" t="str">
        <f>IFERROR(__xludf.DUMMYFUNCTION("""COMPUTED_VALUE"""),"")</f>
        <v/>
      </c>
      <c r="W432" s="5" t="str">
        <f>IFERROR(__xludf.DUMMYFUNCTION("""COMPUTED_VALUE"""),"")</f>
        <v/>
      </c>
      <c r="X432" s="5" t="str">
        <f>IFERROR(__xludf.DUMMYFUNCTION("""COMPUTED_VALUE"""),"")</f>
        <v/>
      </c>
      <c r="Y432" s="5"/>
      <c r="Z432" s="5"/>
    </row>
    <row r="433">
      <c r="A433" s="5" t="str">
        <f>IFERROR(__xludf.DUMMYFUNCTION("""COMPUTED_VALUE"""),"Brilliant Heart")</f>
        <v>Brilliant Heart</v>
      </c>
      <c r="B433" s="5" t="str">
        <f>IFERROR(__xludf.DUMMYFUNCTION("""COMPUTED_VALUE"""),"")</f>
        <v/>
      </c>
      <c r="C433" s="5" t="str">
        <f>IFERROR(__xludf.DUMMYFUNCTION("""COMPUTED_VALUE"""),"Development")</f>
        <v>Development</v>
      </c>
      <c r="D433" s="5" t="str">
        <f>IFERROR(__xludf.DUMMYFUNCTION("""COMPUTED_VALUE"""),"Cert Preparation")</f>
        <v>Cert Preparation</v>
      </c>
      <c r="E433" s="5" t="str">
        <f>IFERROR(__xludf.DUMMYFUNCTION("""COMPUTED_VALUE"""),"Development")</f>
        <v>Development</v>
      </c>
      <c r="F433" s="5" t="str">
        <f>IFERROR(__xludf.DUMMYFUNCTION("""COMPUTED_VALUE"""),"Development")</f>
        <v>Development</v>
      </c>
      <c r="G433" s="5" t="str">
        <f>IFERROR(__xludf.DUMMYFUNCTION("""COMPUTED_VALUE"""),"")</f>
        <v/>
      </c>
      <c r="H433" s="5" t="str">
        <f>IFERROR(__xludf.DUMMYFUNCTION("""COMPUTED_VALUE"""),"")</f>
        <v/>
      </c>
      <c r="I433" s="5" t="str">
        <f>IFERROR(__xludf.DUMMYFUNCTION("""COMPUTED_VALUE"""),"Development")</f>
        <v>Development</v>
      </c>
      <c r="J433" s="5" t="str">
        <f>IFERROR(__xludf.DUMMYFUNCTION("""COMPUTED_VALUE"""),"")</f>
        <v/>
      </c>
      <c r="K433" s="5" t="str">
        <f>IFERROR(__xludf.DUMMYFUNCTION("""COMPUTED_VALUE"""),"Development")</f>
        <v>Development</v>
      </c>
      <c r="L433" s="5" t="str">
        <f>IFERROR(__xludf.DUMMYFUNCTION("""COMPUTED_VALUE"""),"Development")</f>
        <v>Development</v>
      </c>
      <c r="M433" s="5" t="str">
        <f>IFERROR(__xludf.DUMMYFUNCTION("""COMPUTED_VALUE"""),"Development")</f>
        <v>Development</v>
      </c>
      <c r="N433" s="5" t="str">
        <f>IFERROR(__xludf.DUMMYFUNCTION("""COMPUTED_VALUE"""),"Development")</f>
        <v>Development</v>
      </c>
      <c r="O433" s="5" t="str">
        <f>IFERROR(__xludf.DUMMYFUNCTION("""COMPUTED_VALUE"""),"")</f>
        <v/>
      </c>
      <c r="P433" s="5" t="str">
        <f>IFERROR(__xludf.DUMMYFUNCTION("""COMPUTED_VALUE"""),"")</f>
        <v/>
      </c>
      <c r="Q433" s="5" t="str">
        <f>IFERROR(__xludf.DUMMYFUNCTION("""COMPUTED_VALUE"""),"")</f>
        <v/>
      </c>
      <c r="R433" s="5" t="str">
        <f>IFERROR(__xludf.DUMMYFUNCTION("""COMPUTED_VALUE"""),"Development")</f>
        <v>Development</v>
      </c>
      <c r="S433" s="5" t="str">
        <f>IFERROR(__xludf.DUMMYFUNCTION("""COMPUTED_VALUE"""),"")</f>
        <v/>
      </c>
      <c r="T433" s="5" t="str">
        <f>IFERROR(__xludf.DUMMYFUNCTION("""COMPUTED_VALUE"""),"")</f>
        <v/>
      </c>
      <c r="U433" s="5" t="str">
        <f>IFERROR(__xludf.DUMMYFUNCTION("""COMPUTED_VALUE"""),"")</f>
        <v/>
      </c>
      <c r="V433" s="5" t="str">
        <f>IFERROR(__xludf.DUMMYFUNCTION("""COMPUTED_VALUE"""),"")</f>
        <v/>
      </c>
      <c r="W433" s="5" t="str">
        <f>IFERROR(__xludf.DUMMYFUNCTION("""COMPUTED_VALUE"""),"")</f>
        <v/>
      </c>
      <c r="X433" s="5" t="str">
        <f>IFERROR(__xludf.DUMMYFUNCTION("""COMPUTED_VALUE"""),"")</f>
        <v/>
      </c>
      <c r="Y433" s="5"/>
      <c r="Z433" s="5"/>
    </row>
    <row r="434">
      <c r="A434" s="5" t="str">
        <f>IFERROR(__xludf.DUMMYFUNCTION("""COMPUTED_VALUE"""),"Crown Stacks 40")</f>
        <v>Crown Stacks 40</v>
      </c>
      <c r="B434" s="5" t="str">
        <f>IFERROR(__xludf.DUMMYFUNCTION("""COMPUTED_VALUE"""),"")</f>
        <v/>
      </c>
      <c r="C434" s="5" t="str">
        <f>IFERROR(__xludf.DUMMYFUNCTION("""COMPUTED_VALUE"""),"")</f>
        <v/>
      </c>
      <c r="D434" s="5" t="str">
        <f>IFERROR(__xludf.DUMMYFUNCTION("""COMPUTED_VALUE"""),"")</f>
        <v/>
      </c>
      <c r="E434" s="5" t="str">
        <f>IFERROR(__xludf.DUMMYFUNCTION("""COMPUTED_VALUE"""),"")</f>
        <v/>
      </c>
      <c r="F434" s="5" t="str">
        <f>IFERROR(__xludf.DUMMYFUNCTION("""COMPUTED_VALUE"""),"")</f>
        <v/>
      </c>
      <c r="G434" s="5" t="str">
        <f>IFERROR(__xludf.DUMMYFUNCTION("""COMPUTED_VALUE"""),"")</f>
        <v/>
      </c>
      <c r="H434" s="5" t="str">
        <f>IFERROR(__xludf.DUMMYFUNCTION("""COMPUTED_VALUE"""),"")</f>
        <v/>
      </c>
      <c r="I434" s="5" t="str">
        <f>IFERROR(__xludf.DUMMYFUNCTION("""COMPUTED_VALUE"""),"")</f>
        <v/>
      </c>
      <c r="J434" s="5" t="str">
        <f>IFERROR(__xludf.DUMMYFUNCTION("""COMPUTED_VALUE"""),"")</f>
        <v/>
      </c>
      <c r="K434" s="5" t="str">
        <f>IFERROR(__xludf.DUMMYFUNCTION("""COMPUTED_VALUE"""),"")</f>
        <v/>
      </c>
      <c r="L434" s="5" t="str">
        <f>IFERROR(__xludf.DUMMYFUNCTION("""COMPUTED_VALUE"""),"")</f>
        <v/>
      </c>
      <c r="M434" s="5" t="str">
        <f>IFERROR(__xludf.DUMMYFUNCTION("""COMPUTED_VALUE"""),"")</f>
        <v/>
      </c>
      <c r="N434" s="5" t="str">
        <f>IFERROR(__xludf.DUMMYFUNCTION("""COMPUTED_VALUE"""),"")</f>
        <v/>
      </c>
      <c r="O434" s="5" t="str">
        <f>IFERROR(__xludf.DUMMYFUNCTION("""COMPUTED_VALUE"""),"")</f>
        <v/>
      </c>
      <c r="P434" s="5" t="str">
        <f>IFERROR(__xludf.DUMMYFUNCTION("""COMPUTED_VALUE"""),"")</f>
        <v/>
      </c>
      <c r="Q434" s="5" t="str">
        <f>IFERROR(__xludf.DUMMYFUNCTION("""COMPUTED_VALUE"""),"")</f>
        <v/>
      </c>
      <c r="R434" s="5" t="str">
        <f>IFERROR(__xludf.DUMMYFUNCTION("""COMPUTED_VALUE"""),"")</f>
        <v/>
      </c>
      <c r="S434" s="5" t="str">
        <f>IFERROR(__xludf.DUMMYFUNCTION("""COMPUTED_VALUE"""),"")</f>
        <v/>
      </c>
      <c r="T434" s="5" t="str">
        <f>IFERROR(__xludf.DUMMYFUNCTION("""COMPUTED_VALUE"""),"")</f>
        <v/>
      </c>
      <c r="U434" s="5" t="str">
        <f>IFERROR(__xludf.DUMMYFUNCTION("""COMPUTED_VALUE"""),"")</f>
        <v/>
      </c>
      <c r="V434" s="5" t="str">
        <f>IFERROR(__xludf.DUMMYFUNCTION("""COMPUTED_VALUE"""),"")</f>
        <v/>
      </c>
      <c r="W434" s="5" t="str">
        <f>IFERROR(__xludf.DUMMYFUNCTION("""COMPUTED_VALUE"""),"")</f>
        <v/>
      </c>
      <c r="X434" s="5" t="str">
        <f>IFERROR(__xludf.DUMMYFUNCTION("""COMPUTED_VALUE"""),"")</f>
        <v/>
      </c>
      <c r="Y434" s="5"/>
      <c r="Z434" s="5"/>
    </row>
    <row r="435">
      <c r="A435" s="5" t="str">
        <f>IFERROR(__xludf.DUMMYFUNCTION("""COMPUTED_VALUE"""),"Wild Spread 40")</f>
        <v>Wild Spread 40</v>
      </c>
      <c r="B435" s="5" t="str">
        <f>IFERROR(__xludf.DUMMYFUNCTION("""COMPUTED_VALUE"""),"")</f>
        <v/>
      </c>
      <c r="C435" s="5" t="str">
        <f>IFERROR(__xludf.DUMMYFUNCTION("""COMPUTED_VALUE"""),"")</f>
        <v/>
      </c>
      <c r="D435" s="5" t="str">
        <f>IFERROR(__xludf.DUMMYFUNCTION("""COMPUTED_VALUE"""),"")</f>
        <v/>
      </c>
      <c r="E435" s="5" t="str">
        <f>IFERROR(__xludf.DUMMYFUNCTION("""COMPUTED_VALUE"""),"")</f>
        <v/>
      </c>
      <c r="F435" s="5" t="str">
        <f>IFERROR(__xludf.DUMMYFUNCTION("""COMPUTED_VALUE"""),"")</f>
        <v/>
      </c>
      <c r="G435" s="5" t="str">
        <f>IFERROR(__xludf.DUMMYFUNCTION("""COMPUTED_VALUE"""),"")</f>
        <v/>
      </c>
      <c r="H435" s="5" t="str">
        <f>IFERROR(__xludf.DUMMYFUNCTION("""COMPUTED_VALUE"""),"")</f>
        <v/>
      </c>
      <c r="I435" s="5" t="str">
        <f>IFERROR(__xludf.DUMMYFUNCTION("""COMPUTED_VALUE"""),"")</f>
        <v/>
      </c>
      <c r="J435" s="5" t="str">
        <f>IFERROR(__xludf.DUMMYFUNCTION("""COMPUTED_VALUE"""),"")</f>
        <v/>
      </c>
      <c r="K435" s="5" t="str">
        <f>IFERROR(__xludf.DUMMYFUNCTION("""COMPUTED_VALUE"""),"")</f>
        <v/>
      </c>
      <c r="L435" s="5" t="str">
        <f>IFERROR(__xludf.DUMMYFUNCTION("""COMPUTED_VALUE"""),"")</f>
        <v/>
      </c>
      <c r="M435" s="5" t="str">
        <f>IFERROR(__xludf.DUMMYFUNCTION("""COMPUTED_VALUE"""),"")</f>
        <v/>
      </c>
      <c r="N435" s="5" t="str">
        <f>IFERROR(__xludf.DUMMYFUNCTION("""COMPUTED_VALUE"""),"")</f>
        <v/>
      </c>
      <c r="O435" s="5" t="str">
        <f>IFERROR(__xludf.DUMMYFUNCTION("""COMPUTED_VALUE"""),"")</f>
        <v/>
      </c>
      <c r="P435" s="5" t="str">
        <f>IFERROR(__xludf.DUMMYFUNCTION("""COMPUTED_VALUE"""),"")</f>
        <v/>
      </c>
      <c r="Q435" s="5" t="str">
        <f>IFERROR(__xludf.DUMMYFUNCTION("""COMPUTED_VALUE"""),"")</f>
        <v/>
      </c>
      <c r="R435" s="5" t="str">
        <f>IFERROR(__xludf.DUMMYFUNCTION("""COMPUTED_VALUE"""),"")</f>
        <v/>
      </c>
      <c r="S435" s="5" t="str">
        <f>IFERROR(__xludf.DUMMYFUNCTION("""COMPUTED_VALUE"""),"")</f>
        <v/>
      </c>
      <c r="T435" s="5" t="str">
        <f>IFERROR(__xludf.DUMMYFUNCTION("""COMPUTED_VALUE"""),"")</f>
        <v/>
      </c>
      <c r="U435" s="5" t="str">
        <f>IFERROR(__xludf.DUMMYFUNCTION("""COMPUTED_VALUE"""),"")</f>
        <v/>
      </c>
      <c r="V435" s="5" t="str">
        <f>IFERROR(__xludf.DUMMYFUNCTION("""COMPUTED_VALUE"""),"")</f>
        <v/>
      </c>
      <c r="W435" s="5" t="str">
        <f>IFERROR(__xludf.DUMMYFUNCTION("""COMPUTED_VALUE"""),"")</f>
        <v/>
      </c>
      <c r="X435" s="5" t="str">
        <f>IFERROR(__xludf.DUMMYFUNCTION("""COMPUTED_VALUE"""),"")</f>
        <v/>
      </c>
      <c r="Y435" s="5"/>
      <c r="Z435" s="5"/>
    </row>
    <row r="436">
      <c r="A436" s="5" t="str">
        <f>IFERROR(__xludf.DUMMYFUNCTION("""COMPUTED_VALUE"""),"Crown Spread 40")</f>
        <v>Crown Spread 40</v>
      </c>
      <c r="B436" s="5" t="str">
        <f>IFERROR(__xludf.DUMMYFUNCTION("""COMPUTED_VALUE"""),"")</f>
        <v/>
      </c>
      <c r="C436" s="5" t="str">
        <f>IFERROR(__xludf.DUMMYFUNCTION("""COMPUTED_VALUE"""),"")</f>
        <v/>
      </c>
      <c r="D436" s="5" t="str">
        <f>IFERROR(__xludf.DUMMYFUNCTION("""COMPUTED_VALUE"""),"")</f>
        <v/>
      </c>
      <c r="E436" s="5" t="str">
        <f>IFERROR(__xludf.DUMMYFUNCTION("""COMPUTED_VALUE"""),"")</f>
        <v/>
      </c>
      <c r="F436" s="5" t="str">
        <f>IFERROR(__xludf.DUMMYFUNCTION("""COMPUTED_VALUE"""),"")</f>
        <v/>
      </c>
      <c r="G436" s="5" t="str">
        <f>IFERROR(__xludf.DUMMYFUNCTION("""COMPUTED_VALUE"""),"")</f>
        <v/>
      </c>
      <c r="H436" s="5" t="str">
        <f>IFERROR(__xludf.DUMMYFUNCTION("""COMPUTED_VALUE"""),"")</f>
        <v/>
      </c>
      <c r="I436" s="5" t="str">
        <f>IFERROR(__xludf.DUMMYFUNCTION("""COMPUTED_VALUE"""),"")</f>
        <v/>
      </c>
      <c r="J436" s="5" t="str">
        <f>IFERROR(__xludf.DUMMYFUNCTION("""COMPUTED_VALUE"""),"")</f>
        <v/>
      </c>
      <c r="K436" s="5" t="str">
        <f>IFERROR(__xludf.DUMMYFUNCTION("""COMPUTED_VALUE"""),"")</f>
        <v/>
      </c>
      <c r="L436" s="5" t="str">
        <f>IFERROR(__xludf.DUMMYFUNCTION("""COMPUTED_VALUE"""),"")</f>
        <v/>
      </c>
      <c r="M436" s="5" t="str">
        <f>IFERROR(__xludf.DUMMYFUNCTION("""COMPUTED_VALUE"""),"")</f>
        <v/>
      </c>
      <c r="N436" s="5" t="str">
        <f>IFERROR(__xludf.DUMMYFUNCTION("""COMPUTED_VALUE"""),"")</f>
        <v/>
      </c>
      <c r="O436" s="5" t="str">
        <f>IFERROR(__xludf.DUMMYFUNCTION("""COMPUTED_VALUE"""),"")</f>
        <v/>
      </c>
      <c r="P436" s="5" t="str">
        <f>IFERROR(__xludf.DUMMYFUNCTION("""COMPUTED_VALUE"""),"")</f>
        <v/>
      </c>
      <c r="Q436" s="5" t="str">
        <f>IFERROR(__xludf.DUMMYFUNCTION("""COMPUTED_VALUE"""),"")</f>
        <v/>
      </c>
      <c r="R436" s="5" t="str">
        <f>IFERROR(__xludf.DUMMYFUNCTION("""COMPUTED_VALUE"""),"")</f>
        <v/>
      </c>
      <c r="S436" s="5" t="str">
        <f>IFERROR(__xludf.DUMMYFUNCTION("""COMPUTED_VALUE"""),"")</f>
        <v/>
      </c>
      <c r="T436" s="5" t="str">
        <f>IFERROR(__xludf.DUMMYFUNCTION("""COMPUTED_VALUE"""),"")</f>
        <v/>
      </c>
      <c r="U436" s="5" t="str">
        <f>IFERROR(__xludf.DUMMYFUNCTION("""COMPUTED_VALUE"""),"")</f>
        <v/>
      </c>
      <c r="V436" s="5" t="str">
        <f>IFERROR(__xludf.DUMMYFUNCTION("""COMPUTED_VALUE"""),"")</f>
        <v/>
      </c>
      <c r="W436" s="5" t="str">
        <f>IFERROR(__xludf.DUMMYFUNCTION("""COMPUTED_VALUE"""),"")</f>
        <v/>
      </c>
      <c r="X436" s="5" t="str">
        <f>IFERROR(__xludf.DUMMYFUNCTION("""COMPUTED_VALUE"""),"")</f>
        <v/>
      </c>
      <c r="Y436" s="5"/>
      <c r="Z436" s="5"/>
    </row>
    <row r="437">
      <c r="A437" s="5" t="str">
        <f>IFERROR(__xludf.DUMMYFUNCTION("""COMPUTED_VALUE"""),"Dynamite Run Platinum")</f>
        <v>Dynamite Run Platinum</v>
      </c>
      <c r="B437" s="5" t="str">
        <f>IFERROR(__xludf.DUMMYFUNCTION("""COMPUTED_VALUE"""),"")</f>
        <v/>
      </c>
      <c r="C437" s="5" t="str">
        <f>IFERROR(__xludf.DUMMYFUNCTION("""COMPUTED_VALUE"""),"")</f>
        <v/>
      </c>
      <c r="D437" s="5" t="str">
        <f>IFERROR(__xludf.DUMMYFUNCTION("""COMPUTED_VALUE"""),"")</f>
        <v/>
      </c>
      <c r="E437" s="5" t="str">
        <f>IFERROR(__xludf.DUMMYFUNCTION("""COMPUTED_VALUE"""),"")</f>
        <v/>
      </c>
      <c r="F437" s="5" t="str">
        <f>IFERROR(__xludf.DUMMYFUNCTION("""COMPUTED_VALUE"""),"")</f>
        <v/>
      </c>
      <c r="G437" s="5" t="str">
        <f>IFERROR(__xludf.DUMMYFUNCTION("""COMPUTED_VALUE"""),"")</f>
        <v/>
      </c>
      <c r="H437" s="5" t="str">
        <f>IFERROR(__xludf.DUMMYFUNCTION("""COMPUTED_VALUE"""),"")</f>
        <v/>
      </c>
      <c r="I437" s="5" t="str">
        <f>IFERROR(__xludf.DUMMYFUNCTION("""COMPUTED_VALUE"""),"")</f>
        <v/>
      </c>
      <c r="J437" s="5" t="str">
        <f>IFERROR(__xludf.DUMMYFUNCTION("""COMPUTED_VALUE"""),"")</f>
        <v/>
      </c>
      <c r="K437" s="5" t="str">
        <f>IFERROR(__xludf.DUMMYFUNCTION("""COMPUTED_VALUE"""),"")</f>
        <v/>
      </c>
      <c r="L437" s="5" t="str">
        <f>IFERROR(__xludf.DUMMYFUNCTION("""COMPUTED_VALUE"""),"")</f>
        <v/>
      </c>
      <c r="M437" s="5" t="str">
        <f>IFERROR(__xludf.DUMMYFUNCTION("""COMPUTED_VALUE"""),"")</f>
        <v/>
      </c>
      <c r="N437" s="5" t="str">
        <f>IFERROR(__xludf.DUMMYFUNCTION("""COMPUTED_VALUE"""),"")</f>
        <v/>
      </c>
      <c r="O437" s="5" t="str">
        <f>IFERROR(__xludf.DUMMYFUNCTION("""COMPUTED_VALUE"""),"")</f>
        <v/>
      </c>
      <c r="P437" s="5" t="str">
        <f>IFERROR(__xludf.DUMMYFUNCTION("""COMPUTED_VALUE"""),"")</f>
        <v/>
      </c>
      <c r="Q437" s="5" t="str">
        <f>IFERROR(__xludf.DUMMYFUNCTION("""COMPUTED_VALUE"""),"")</f>
        <v/>
      </c>
      <c r="R437" s="5" t="str">
        <f>IFERROR(__xludf.DUMMYFUNCTION("""COMPUTED_VALUE"""),"")</f>
        <v/>
      </c>
      <c r="S437" s="5" t="str">
        <f>IFERROR(__xludf.DUMMYFUNCTION("""COMPUTED_VALUE"""),"")</f>
        <v/>
      </c>
      <c r="T437" s="5" t="str">
        <f>IFERROR(__xludf.DUMMYFUNCTION("""COMPUTED_VALUE"""),"")</f>
        <v/>
      </c>
      <c r="U437" s="5" t="str">
        <f>IFERROR(__xludf.DUMMYFUNCTION("""COMPUTED_VALUE"""),"")</f>
        <v/>
      </c>
      <c r="V437" s="5" t="str">
        <f>IFERROR(__xludf.DUMMYFUNCTION("""COMPUTED_VALUE"""),"")</f>
        <v/>
      </c>
      <c r="W437" s="5" t="str">
        <f>IFERROR(__xludf.DUMMYFUNCTION("""COMPUTED_VALUE"""),"")</f>
        <v/>
      </c>
      <c r="X437" s="5" t="str">
        <f>IFERROR(__xludf.DUMMYFUNCTION("""COMPUTED_VALUE"""),"")</f>
        <v/>
      </c>
      <c r="Y437" s="5"/>
      <c r="Z437" s="5"/>
    </row>
    <row r="438">
      <c r="A438" s="5" t="str">
        <f>IFERROR(__xludf.DUMMYFUNCTION("""COMPUTED_VALUE"""),"Big Hit Sevens")</f>
        <v>Big Hit Sevens</v>
      </c>
      <c r="B438" s="5" t="str">
        <f>IFERROR(__xludf.DUMMYFUNCTION("""COMPUTED_VALUE"""),"")</f>
        <v/>
      </c>
      <c r="C438" s="5" t="str">
        <f>IFERROR(__xludf.DUMMYFUNCTION("""COMPUTED_VALUE"""),"")</f>
        <v/>
      </c>
      <c r="D438" s="5" t="str">
        <f>IFERROR(__xludf.DUMMYFUNCTION("""COMPUTED_VALUE"""),"")</f>
        <v/>
      </c>
      <c r="E438" s="5" t="str">
        <f>IFERROR(__xludf.DUMMYFUNCTION("""COMPUTED_VALUE"""),"")</f>
        <v/>
      </c>
      <c r="F438" s="5" t="str">
        <f>IFERROR(__xludf.DUMMYFUNCTION("""COMPUTED_VALUE"""),"")</f>
        <v/>
      </c>
      <c r="G438" s="5" t="str">
        <f>IFERROR(__xludf.DUMMYFUNCTION("""COMPUTED_VALUE"""),"")</f>
        <v/>
      </c>
      <c r="H438" s="5" t="str">
        <f>IFERROR(__xludf.DUMMYFUNCTION("""COMPUTED_VALUE"""),"")</f>
        <v/>
      </c>
      <c r="I438" s="5" t="str">
        <f>IFERROR(__xludf.DUMMYFUNCTION("""COMPUTED_VALUE"""),"")</f>
        <v/>
      </c>
      <c r="J438" s="5" t="str">
        <f>IFERROR(__xludf.DUMMYFUNCTION("""COMPUTED_VALUE"""),"")</f>
        <v/>
      </c>
      <c r="K438" s="5" t="str">
        <f>IFERROR(__xludf.DUMMYFUNCTION("""COMPUTED_VALUE"""),"")</f>
        <v/>
      </c>
      <c r="L438" s="5" t="str">
        <f>IFERROR(__xludf.DUMMYFUNCTION("""COMPUTED_VALUE"""),"")</f>
        <v/>
      </c>
      <c r="M438" s="5" t="str">
        <f>IFERROR(__xludf.DUMMYFUNCTION("""COMPUTED_VALUE"""),"")</f>
        <v/>
      </c>
      <c r="N438" s="5" t="str">
        <f>IFERROR(__xludf.DUMMYFUNCTION("""COMPUTED_VALUE"""),"")</f>
        <v/>
      </c>
      <c r="O438" s="5" t="str">
        <f>IFERROR(__xludf.DUMMYFUNCTION("""COMPUTED_VALUE"""),"")</f>
        <v/>
      </c>
      <c r="P438" s="5" t="str">
        <f>IFERROR(__xludf.DUMMYFUNCTION("""COMPUTED_VALUE"""),"")</f>
        <v/>
      </c>
      <c r="Q438" s="5" t="str">
        <f>IFERROR(__xludf.DUMMYFUNCTION("""COMPUTED_VALUE"""),"")</f>
        <v/>
      </c>
      <c r="R438" s="5" t="str">
        <f>IFERROR(__xludf.DUMMYFUNCTION("""COMPUTED_VALUE"""),"")</f>
        <v/>
      </c>
      <c r="S438" s="5" t="str">
        <f>IFERROR(__xludf.DUMMYFUNCTION("""COMPUTED_VALUE"""),"")</f>
        <v/>
      </c>
      <c r="T438" s="5" t="str">
        <f>IFERROR(__xludf.DUMMYFUNCTION("""COMPUTED_VALUE"""),"")</f>
        <v/>
      </c>
      <c r="U438" s="5" t="str">
        <f>IFERROR(__xludf.DUMMYFUNCTION("""COMPUTED_VALUE"""),"")</f>
        <v/>
      </c>
      <c r="V438" s="5" t="str">
        <f>IFERROR(__xludf.DUMMYFUNCTION("""COMPUTED_VALUE"""),"")</f>
        <v/>
      </c>
      <c r="W438" s="5" t="str">
        <f>IFERROR(__xludf.DUMMYFUNCTION("""COMPUTED_VALUE"""),"")</f>
        <v/>
      </c>
      <c r="X438" s="5" t="str">
        <f>IFERROR(__xludf.DUMMYFUNCTION("""COMPUTED_VALUE"""),"")</f>
        <v/>
      </c>
      <c r="Y438" s="5"/>
      <c r="Z438" s="5"/>
    </row>
    <row r="439">
      <c r="A439" s="5" t="str">
        <f>IFERROR(__xludf.DUMMYFUNCTION("""COMPUTED_VALUE"""),"Placeholder 1")</f>
        <v>Placeholder 1</v>
      </c>
      <c r="B439" s="5" t="str">
        <f>IFERROR(__xludf.DUMMYFUNCTION("""COMPUTED_VALUE"""),"")</f>
        <v/>
      </c>
      <c r="C439" s="5" t="str">
        <f>IFERROR(__xludf.DUMMYFUNCTION("""COMPUTED_VALUE"""),"")</f>
        <v/>
      </c>
      <c r="D439" s="5" t="str">
        <f>IFERROR(__xludf.DUMMYFUNCTION("""COMPUTED_VALUE"""),"")</f>
        <v/>
      </c>
      <c r="E439" s="5" t="str">
        <f>IFERROR(__xludf.DUMMYFUNCTION("""COMPUTED_VALUE"""),"")</f>
        <v/>
      </c>
      <c r="F439" s="5" t="str">
        <f>IFERROR(__xludf.DUMMYFUNCTION("""COMPUTED_VALUE"""),"")</f>
        <v/>
      </c>
      <c r="G439" s="5" t="str">
        <f>IFERROR(__xludf.DUMMYFUNCTION("""COMPUTED_VALUE"""),"")</f>
        <v/>
      </c>
      <c r="H439" s="5" t="str">
        <f>IFERROR(__xludf.DUMMYFUNCTION("""COMPUTED_VALUE"""),"")</f>
        <v/>
      </c>
      <c r="I439" s="5" t="str">
        <f>IFERROR(__xludf.DUMMYFUNCTION("""COMPUTED_VALUE"""),"")</f>
        <v/>
      </c>
      <c r="J439" s="5" t="str">
        <f>IFERROR(__xludf.DUMMYFUNCTION("""COMPUTED_VALUE"""),"")</f>
        <v/>
      </c>
      <c r="K439" s="5" t="str">
        <f>IFERROR(__xludf.DUMMYFUNCTION("""COMPUTED_VALUE"""),"")</f>
        <v/>
      </c>
      <c r="L439" s="5" t="str">
        <f>IFERROR(__xludf.DUMMYFUNCTION("""COMPUTED_VALUE"""),"")</f>
        <v/>
      </c>
      <c r="M439" s="5" t="str">
        <f>IFERROR(__xludf.DUMMYFUNCTION("""COMPUTED_VALUE"""),"")</f>
        <v/>
      </c>
      <c r="N439" s="5" t="str">
        <f>IFERROR(__xludf.DUMMYFUNCTION("""COMPUTED_VALUE"""),"")</f>
        <v/>
      </c>
      <c r="O439" s="5" t="str">
        <f>IFERROR(__xludf.DUMMYFUNCTION("""COMPUTED_VALUE"""),"")</f>
        <v/>
      </c>
      <c r="P439" s="5" t="str">
        <f>IFERROR(__xludf.DUMMYFUNCTION("""COMPUTED_VALUE"""),"")</f>
        <v/>
      </c>
      <c r="Q439" s="5" t="str">
        <f>IFERROR(__xludf.DUMMYFUNCTION("""COMPUTED_VALUE"""),"")</f>
        <v/>
      </c>
      <c r="R439" s="5" t="str">
        <f>IFERROR(__xludf.DUMMYFUNCTION("""COMPUTED_VALUE"""),"")</f>
        <v/>
      </c>
      <c r="S439" s="5" t="str">
        <f>IFERROR(__xludf.DUMMYFUNCTION("""COMPUTED_VALUE"""),"")</f>
        <v/>
      </c>
      <c r="T439" s="5" t="str">
        <f>IFERROR(__xludf.DUMMYFUNCTION("""COMPUTED_VALUE"""),"")</f>
        <v/>
      </c>
      <c r="U439" s="5" t="str">
        <f>IFERROR(__xludf.DUMMYFUNCTION("""COMPUTED_VALUE"""),"")</f>
        <v/>
      </c>
      <c r="V439" s="5" t="str">
        <f>IFERROR(__xludf.DUMMYFUNCTION("""COMPUTED_VALUE"""),"")</f>
        <v/>
      </c>
      <c r="W439" s="5" t="str">
        <f>IFERROR(__xludf.DUMMYFUNCTION("""COMPUTED_VALUE"""),"")</f>
        <v/>
      </c>
      <c r="X439" s="5" t="str">
        <f>IFERROR(__xludf.DUMMYFUNCTION("""COMPUTED_VALUE"""),"")</f>
        <v/>
      </c>
      <c r="Y439" s="5"/>
      <c r="Z439" s="5"/>
    </row>
    <row r="440">
      <c r="A440" s="5" t="str">
        <f>IFERROR(__xludf.DUMMYFUNCTION("""COMPUTED_VALUE"""),"Placeholder 2")</f>
        <v>Placeholder 2</v>
      </c>
      <c r="B440" s="5" t="str">
        <f>IFERROR(__xludf.DUMMYFUNCTION("""COMPUTED_VALUE"""),"")</f>
        <v/>
      </c>
      <c r="C440" s="5" t="str">
        <f>IFERROR(__xludf.DUMMYFUNCTION("""COMPUTED_VALUE"""),"")</f>
        <v/>
      </c>
      <c r="D440" s="5" t="str">
        <f>IFERROR(__xludf.DUMMYFUNCTION("""COMPUTED_VALUE"""),"")</f>
        <v/>
      </c>
      <c r="E440" s="5" t="str">
        <f>IFERROR(__xludf.DUMMYFUNCTION("""COMPUTED_VALUE"""),"")</f>
        <v/>
      </c>
      <c r="F440" s="5" t="str">
        <f>IFERROR(__xludf.DUMMYFUNCTION("""COMPUTED_VALUE"""),"")</f>
        <v/>
      </c>
      <c r="G440" s="5" t="str">
        <f>IFERROR(__xludf.DUMMYFUNCTION("""COMPUTED_VALUE"""),"")</f>
        <v/>
      </c>
      <c r="H440" s="5" t="str">
        <f>IFERROR(__xludf.DUMMYFUNCTION("""COMPUTED_VALUE"""),"")</f>
        <v/>
      </c>
      <c r="I440" s="5" t="str">
        <f>IFERROR(__xludf.DUMMYFUNCTION("""COMPUTED_VALUE"""),"")</f>
        <v/>
      </c>
      <c r="J440" s="5" t="str">
        <f>IFERROR(__xludf.DUMMYFUNCTION("""COMPUTED_VALUE"""),"")</f>
        <v/>
      </c>
      <c r="K440" s="5" t="str">
        <f>IFERROR(__xludf.DUMMYFUNCTION("""COMPUTED_VALUE"""),"")</f>
        <v/>
      </c>
      <c r="L440" s="5" t="str">
        <f>IFERROR(__xludf.DUMMYFUNCTION("""COMPUTED_VALUE"""),"")</f>
        <v/>
      </c>
      <c r="M440" s="5" t="str">
        <f>IFERROR(__xludf.DUMMYFUNCTION("""COMPUTED_VALUE"""),"")</f>
        <v/>
      </c>
      <c r="N440" s="5" t="str">
        <f>IFERROR(__xludf.DUMMYFUNCTION("""COMPUTED_VALUE"""),"")</f>
        <v/>
      </c>
      <c r="O440" s="5" t="str">
        <f>IFERROR(__xludf.DUMMYFUNCTION("""COMPUTED_VALUE"""),"")</f>
        <v/>
      </c>
      <c r="P440" s="5" t="str">
        <f>IFERROR(__xludf.DUMMYFUNCTION("""COMPUTED_VALUE"""),"")</f>
        <v/>
      </c>
      <c r="Q440" s="5" t="str">
        <f>IFERROR(__xludf.DUMMYFUNCTION("""COMPUTED_VALUE"""),"")</f>
        <v/>
      </c>
      <c r="R440" s="5" t="str">
        <f>IFERROR(__xludf.DUMMYFUNCTION("""COMPUTED_VALUE"""),"")</f>
        <v/>
      </c>
      <c r="S440" s="5" t="str">
        <f>IFERROR(__xludf.DUMMYFUNCTION("""COMPUTED_VALUE"""),"")</f>
        <v/>
      </c>
      <c r="T440" s="5" t="str">
        <f>IFERROR(__xludf.DUMMYFUNCTION("""COMPUTED_VALUE"""),"")</f>
        <v/>
      </c>
      <c r="U440" s="5" t="str">
        <f>IFERROR(__xludf.DUMMYFUNCTION("""COMPUTED_VALUE"""),"")</f>
        <v/>
      </c>
      <c r="V440" s="5" t="str">
        <f>IFERROR(__xludf.DUMMYFUNCTION("""COMPUTED_VALUE"""),"")</f>
        <v/>
      </c>
      <c r="W440" s="5" t="str">
        <f>IFERROR(__xludf.DUMMYFUNCTION("""COMPUTED_VALUE"""),"")</f>
        <v/>
      </c>
      <c r="X440" s="5" t="str">
        <f>IFERROR(__xludf.DUMMYFUNCTION("""COMPUTED_VALUE"""),"")</f>
        <v/>
      </c>
      <c r="Y440" s="5"/>
      <c r="Z440" s="5"/>
    </row>
    <row r="441">
      <c r="A441" s="5" t="str">
        <f>IFERROR(__xludf.DUMMYFUNCTION("""COMPUTED_VALUE"""),"Placeholder 3")</f>
        <v>Placeholder 3</v>
      </c>
      <c r="B441" s="5" t="str">
        <f>IFERROR(__xludf.DUMMYFUNCTION("""COMPUTED_VALUE"""),"")</f>
        <v/>
      </c>
      <c r="C441" s="5" t="str">
        <f>IFERROR(__xludf.DUMMYFUNCTION("""COMPUTED_VALUE"""),"")</f>
        <v/>
      </c>
      <c r="D441" s="5" t="str">
        <f>IFERROR(__xludf.DUMMYFUNCTION("""COMPUTED_VALUE"""),"")</f>
        <v/>
      </c>
      <c r="E441" s="5" t="str">
        <f>IFERROR(__xludf.DUMMYFUNCTION("""COMPUTED_VALUE"""),"")</f>
        <v/>
      </c>
      <c r="F441" s="5" t="str">
        <f>IFERROR(__xludf.DUMMYFUNCTION("""COMPUTED_VALUE"""),"")</f>
        <v/>
      </c>
      <c r="G441" s="5" t="str">
        <f>IFERROR(__xludf.DUMMYFUNCTION("""COMPUTED_VALUE"""),"")</f>
        <v/>
      </c>
      <c r="H441" s="5" t="str">
        <f>IFERROR(__xludf.DUMMYFUNCTION("""COMPUTED_VALUE"""),"")</f>
        <v/>
      </c>
      <c r="I441" s="5" t="str">
        <f>IFERROR(__xludf.DUMMYFUNCTION("""COMPUTED_VALUE"""),"")</f>
        <v/>
      </c>
      <c r="J441" s="5" t="str">
        <f>IFERROR(__xludf.DUMMYFUNCTION("""COMPUTED_VALUE"""),"")</f>
        <v/>
      </c>
      <c r="K441" s="5" t="str">
        <f>IFERROR(__xludf.DUMMYFUNCTION("""COMPUTED_VALUE"""),"")</f>
        <v/>
      </c>
      <c r="L441" s="5" t="str">
        <f>IFERROR(__xludf.DUMMYFUNCTION("""COMPUTED_VALUE"""),"")</f>
        <v/>
      </c>
      <c r="M441" s="5" t="str">
        <f>IFERROR(__xludf.DUMMYFUNCTION("""COMPUTED_VALUE"""),"")</f>
        <v/>
      </c>
      <c r="N441" s="5" t="str">
        <f>IFERROR(__xludf.DUMMYFUNCTION("""COMPUTED_VALUE"""),"")</f>
        <v/>
      </c>
      <c r="O441" s="5" t="str">
        <f>IFERROR(__xludf.DUMMYFUNCTION("""COMPUTED_VALUE"""),"")</f>
        <v/>
      </c>
      <c r="P441" s="5" t="str">
        <f>IFERROR(__xludf.DUMMYFUNCTION("""COMPUTED_VALUE"""),"")</f>
        <v/>
      </c>
      <c r="Q441" s="5" t="str">
        <f>IFERROR(__xludf.DUMMYFUNCTION("""COMPUTED_VALUE"""),"")</f>
        <v/>
      </c>
      <c r="R441" s="5" t="str">
        <f>IFERROR(__xludf.DUMMYFUNCTION("""COMPUTED_VALUE"""),"")</f>
        <v/>
      </c>
      <c r="S441" s="5" t="str">
        <f>IFERROR(__xludf.DUMMYFUNCTION("""COMPUTED_VALUE"""),"")</f>
        <v/>
      </c>
      <c r="T441" s="5" t="str">
        <f>IFERROR(__xludf.DUMMYFUNCTION("""COMPUTED_VALUE"""),"")</f>
        <v/>
      </c>
      <c r="U441" s="5" t="str">
        <f>IFERROR(__xludf.DUMMYFUNCTION("""COMPUTED_VALUE"""),"")</f>
        <v/>
      </c>
      <c r="V441" s="5" t="str">
        <f>IFERROR(__xludf.DUMMYFUNCTION("""COMPUTED_VALUE"""),"")</f>
        <v/>
      </c>
      <c r="W441" s="5" t="str">
        <f>IFERROR(__xludf.DUMMYFUNCTION("""COMPUTED_VALUE"""),"")</f>
        <v/>
      </c>
      <c r="X441" s="5" t="str">
        <f>IFERROR(__xludf.DUMMYFUNCTION("""COMPUTED_VALUE"""),"")</f>
        <v/>
      </c>
      <c r="Y441" s="5"/>
      <c r="Z441" s="5"/>
    </row>
    <row r="442">
      <c r="A442" s="5" t="str">
        <f>IFERROR(__xludf.DUMMYFUNCTION("""COMPUTED_VALUE"""),"Placeholder 4")</f>
        <v>Placeholder 4</v>
      </c>
      <c r="B442" s="5" t="str">
        <f>IFERROR(__xludf.DUMMYFUNCTION("""COMPUTED_VALUE"""),"")</f>
        <v/>
      </c>
      <c r="C442" s="5" t="str">
        <f>IFERROR(__xludf.DUMMYFUNCTION("""COMPUTED_VALUE"""),"")</f>
        <v/>
      </c>
      <c r="D442" s="5" t="str">
        <f>IFERROR(__xludf.DUMMYFUNCTION("""COMPUTED_VALUE"""),"")</f>
        <v/>
      </c>
      <c r="E442" s="5" t="str">
        <f>IFERROR(__xludf.DUMMYFUNCTION("""COMPUTED_VALUE"""),"")</f>
        <v/>
      </c>
      <c r="F442" s="5" t="str">
        <f>IFERROR(__xludf.DUMMYFUNCTION("""COMPUTED_VALUE"""),"")</f>
        <v/>
      </c>
      <c r="G442" s="5" t="str">
        <f>IFERROR(__xludf.DUMMYFUNCTION("""COMPUTED_VALUE"""),"")</f>
        <v/>
      </c>
      <c r="H442" s="5" t="str">
        <f>IFERROR(__xludf.DUMMYFUNCTION("""COMPUTED_VALUE"""),"")</f>
        <v/>
      </c>
      <c r="I442" s="5" t="str">
        <f>IFERROR(__xludf.DUMMYFUNCTION("""COMPUTED_VALUE"""),"")</f>
        <v/>
      </c>
      <c r="J442" s="5" t="str">
        <f>IFERROR(__xludf.DUMMYFUNCTION("""COMPUTED_VALUE"""),"")</f>
        <v/>
      </c>
      <c r="K442" s="5" t="str">
        <f>IFERROR(__xludf.DUMMYFUNCTION("""COMPUTED_VALUE"""),"")</f>
        <v/>
      </c>
      <c r="L442" s="5" t="str">
        <f>IFERROR(__xludf.DUMMYFUNCTION("""COMPUTED_VALUE"""),"")</f>
        <v/>
      </c>
      <c r="M442" s="5" t="str">
        <f>IFERROR(__xludf.DUMMYFUNCTION("""COMPUTED_VALUE"""),"")</f>
        <v/>
      </c>
      <c r="N442" s="5" t="str">
        <f>IFERROR(__xludf.DUMMYFUNCTION("""COMPUTED_VALUE"""),"")</f>
        <v/>
      </c>
      <c r="O442" s="5" t="str">
        <f>IFERROR(__xludf.DUMMYFUNCTION("""COMPUTED_VALUE"""),"")</f>
        <v/>
      </c>
      <c r="P442" s="5" t="str">
        <f>IFERROR(__xludf.DUMMYFUNCTION("""COMPUTED_VALUE"""),"")</f>
        <v/>
      </c>
      <c r="Q442" s="5" t="str">
        <f>IFERROR(__xludf.DUMMYFUNCTION("""COMPUTED_VALUE"""),"")</f>
        <v/>
      </c>
      <c r="R442" s="5" t="str">
        <f>IFERROR(__xludf.DUMMYFUNCTION("""COMPUTED_VALUE"""),"")</f>
        <v/>
      </c>
      <c r="S442" s="5" t="str">
        <f>IFERROR(__xludf.DUMMYFUNCTION("""COMPUTED_VALUE"""),"")</f>
        <v/>
      </c>
      <c r="T442" s="5" t="str">
        <f>IFERROR(__xludf.DUMMYFUNCTION("""COMPUTED_VALUE"""),"")</f>
        <v/>
      </c>
      <c r="U442" s="5" t="str">
        <f>IFERROR(__xludf.DUMMYFUNCTION("""COMPUTED_VALUE"""),"")</f>
        <v/>
      </c>
      <c r="V442" s="5" t="str">
        <f>IFERROR(__xludf.DUMMYFUNCTION("""COMPUTED_VALUE"""),"")</f>
        <v/>
      </c>
      <c r="W442" s="5" t="str">
        <f>IFERROR(__xludf.DUMMYFUNCTION("""COMPUTED_VALUE"""),"")</f>
        <v/>
      </c>
      <c r="X442" s="5" t="str">
        <f>IFERROR(__xludf.DUMMYFUNCTION("""COMPUTED_VALUE"""),"")</f>
        <v/>
      </c>
      <c r="Y442" s="5"/>
      <c r="Z442" s="5"/>
    </row>
    <row r="443">
      <c r="A443" s="5" t="str">
        <f>IFERROR(__xludf.DUMMYFUNCTION("""COMPUTED_VALUE"""),"Supreme Sevens")</f>
        <v>Supreme Sevens</v>
      </c>
      <c r="B443" s="5" t="str">
        <f>IFERROR(__xludf.DUMMYFUNCTION("""COMPUTED_VALUE"""),"")</f>
        <v/>
      </c>
      <c r="C443" s="5" t="str">
        <f>IFERROR(__xludf.DUMMYFUNCTION("""COMPUTED_VALUE"""),"")</f>
        <v/>
      </c>
      <c r="D443" s="5" t="str">
        <f>IFERROR(__xludf.DUMMYFUNCTION("""COMPUTED_VALUE"""),"")</f>
        <v/>
      </c>
      <c r="E443" s="5" t="str">
        <f>IFERROR(__xludf.DUMMYFUNCTION("""COMPUTED_VALUE"""),"")</f>
        <v/>
      </c>
      <c r="F443" s="5" t="str">
        <f>IFERROR(__xludf.DUMMYFUNCTION("""COMPUTED_VALUE"""),"")</f>
        <v/>
      </c>
      <c r="G443" s="5" t="str">
        <f>IFERROR(__xludf.DUMMYFUNCTION("""COMPUTED_VALUE"""),"")</f>
        <v/>
      </c>
      <c r="H443" s="5" t="str">
        <f>IFERROR(__xludf.DUMMYFUNCTION("""COMPUTED_VALUE"""),"")</f>
        <v/>
      </c>
      <c r="I443" s="5" t="str">
        <f>IFERROR(__xludf.DUMMYFUNCTION("""COMPUTED_VALUE"""),"")</f>
        <v/>
      </c>
      <c r="J443" s="5" t="str">
        <f>IFERROR(__xludf.DUMMYFUNCTION("""COMPUTED_VALUE"""),"")</f>
        <v/>
      </c>
      <c r="K443" s="5" t="str">
        <f>IFERROR(__xludf.DUMMYFUNCTION("""COMPUTED_VALUE"""),"")</f>
        <v/>
      </c>
      <c r="L443" s="5" t="str">
        <f>IFERROR(__xludf.DUMMYFUNCTION("""COMPUTED_VALUE"""),"")</f>
        <v/>
      </c>
      <c r="M443" s="5" t="str">
        <f>IFERROR(__xludf.DUMMYFUNCTION("""COMPUTED_VALUE"""),"")</f>
        <v/>
      </c>
      <c r="N443" s="5" t="str">
        <f>IFERROR(__xludf.DUMMYFUNCTION("""COMPUTED_VALUE"""),"")</f>
        <v/>
      </c>
      <c r="O443" s="5" t="str">
        <f>IFERROR(__xludf.DUMMYFUNCTION("""COMPUTED_VALUE"""),"")</f>
        <v/>
      </c>
      <c r="P443" s="5" t="str">
        <f>IFERROR(__xludf.DUMMYFUNCTION("""COMPUTED_VALUE"""),"")</f>
        <v/>
      </c>
      <c r="Q443" s="5" t="str">
        <f>IFERROR(__xludf.DUMMYFUNCTION("""COMPUTED_VALUE"""),"")</f>
        <v/>
      </c>
      <c r="R443" s="5" t="str">
        <f>IFERROR(__xludf.DUMMYFUNCTION("""COMPUTED_VALUE"""),"")</f>
        <v/>
      </c>
      <c r="S443" s="5" t="str">
        <f>IFERROR(__xludf.DUMMYFUNCTION("""COMPUTED_VALUE"""),"")</f>
        <v/>
      </c>
      <c r="T443" s="5" t="str">
        <f>IFERROR(__xludf.DUMMYFUNCTION("""COMPUTED_VALUE"""),"")</f>
        <v/>
      </c>
      <c r="U443" s="5" t="str">
        <f>IFERROR(__xludf.DUMMYFUNCTION("""COMPUTED_VALUE"""),"")</f>
        <v/>
      </c>
      <c r="V443" s="5" t="str">
        <f>IFERROR(__xludf.DUMMYFUNCTION("""COMPUTED_VALUE"""),"")</f>
        <v/>
      </c>
      <c r="W443" s="5" t="str">
        <f>IFERROR(__xludf.DUMMYFUNCTION("""COMPUTED_VALUE"""),"")</f>
        <v/>
      </c>
      <c r="X443" s="5" t="str">
        <f>IFERROR(__xludf.DUMMYFUNCTION("""COMPUTED_VALUE"""),"")</f>
        <v/>
      </c>
      <c r="Y443" s="5"/>
      <c r="Z443" s="5"/>
    </row>
    <row r="444">
      <c r="A444" s="5" t="str">
        <f>IFERROR(__xludf.DUMMYFUNCTION("""COMPUTED_VALUE"""),"Triple Stacked Diamonds")</f>
        <v>Triple Stacked Diamonds</v>
      </c>
      <c r="B444" s="5" t="str">
        <f>IFERROR(__xludf.DUMMYFUNCTION("""COMPUTED_VALUE"""),"")</f>
        <v/>
      </c>
      <c r="C444" s="5" t="str">
        <f>IFERROR(__xludf.DUMMYFUNCTION("""COMPUTED_VALUE"""),"")</f>
        <v/>
      </c>
      <c r="D444" s="5" t="str">
        <f>IFERROR(__xludf.DUMMYFUNCTION("""COMPUTED_VALUE"""),"")</f>
        <v/>
      </c>
      <c r="E444" s="5" t="str">
        <f>IFERROR(__xludf.DUMMYFUNCTION("""COMPUTED_VALUE"""),"")</f>
        <v/>
      </c>
      <c r="F444" s="5" t="str">
        <f>IFERROR(__xludf.DUMMYFUNCTION("""COMPUTED_VALUE"""),"")</f>
        <v/>
      </c>
      <c r="G444" s="5" t="str">
        <f>IFERROR(__xludf.DUMMYFUNCTION("""COMPUTED_VALUE"""),"")</f>
        <v/>
      </c>
      <c r="H444" s="5" t="str">
        <f>IFERROR(__xludf.DUMMYFUNCTION("""COMPUTED_VALUE"""),"")</f>
        <v/>
      </c>
      <c r="I444" s="5" t="str">
        <f>IFERROR(__xludf.DUMMYFUNCTION("""COMPUTED_VALUE"""),"")</f>
        <v/>
      </c>
      <c r="J444" s="5" t="str">
        <f>IFERROR(__xludf.DUMMYFUNCTION("""COMPUTED_VALUE"""),"")</f>
        <v/>
      </c>
      <c r="K444" s="5" t="str">
        <f>IFERROR(__xludf.DUMMYFUNCTION("""COMPUTED_VALUE"""),"")</f>
        <v/>
      </c>
      <c r="L444" s="5" t="str">
        <f>IFERROR(__xludf.DUMMYFUNCTION("""COMPUTED_VALUE"""),"")</f>
        <v/>
      </c>
      <c r="M444" s="5" t="str">
        <f>IFERROR(__xludf.DUMMYFUNCTION("""COMPUTED_VALUE"""),"")</f>
        <v/>
      </c>
      <c r="N444" s="5" t="str">
        <f>IFERROR(__xludf.DUMMYFUNCTION("""COMPUTED_VALUE"""),"")</f>
        <v/>
      </c>
      <c r="O444" s="5" t="str">
        <f>IFERROR(__xludf.DUMMYFUNCTION("""COMPUTED_VALUE"""),"")</f>
        <v/>
      </c>
      <c r="P444" s="5" t="str">
        <f>IFERROR(__xludf.DUMMYFUNCTION("""COMPUTED_VALUE"""),"")</f>
        <v/>
      </c>
      <c r="Q444" s="5" t="str">
        <f>IFERROR(__xludf.DUMMYFUNCTION("""COMPUTED_VALUE"""),"")</f>
        <v/>
      </c>
      <c r="R444" s="5" t="str">
        <f>IFERROR(__xludf.DUMMYFUNCTION("""COMPUTED_VALUE"""),"")</f>
        <v/>
      </c>
      <c r="S444" s="5" t="str">
        <f>IFERROR(__xludf.DUMMYFUNCTION("""COMPUTED_VALUE"""),"")</f>
        <v/>
      </c>
      <c r="T444" s="5" t="str">
        <f>IFERROR(__xludf.DUMMYFUNCTION("""COMPUTED_VALUE"""),"")</f>
        <v/>
      </c>
      <c r="U444" s="5" t="str">
        <f>IFERROR(__xludf.DUMMYFUNCTION("""COMPUTED_VALUE"""),"")</f>
        <v/>
      </c>
      <c r="V444" s="5" t="str">
        <f>IFERROR(__xludf.DUMMYFUNCTION("""COMPUTED_VALUE"""),"")</f>
        <v/>
      </c>
      <c r="W444" s="5" t="str">
        <f>IFERROR(__xludf.DUMMYFUNCTION("""COMPUTED_VALUE"""),"")</f>
        <v/>
      </c>
      <c r="X444" s="5" t="str">
        <f>IFERROR(__xludf.DUMMYFUNCTION("""COMPUTED_VALUE"""),"")</f>
        <v/>
      </c>
      <c r="Y444" s="5"/>
      <c r="Z444" s="5"/>
    </row>
    <row r="445">
      <c r="A445" s="5" t="str">
        <f>IFERROR(__xludf.DUMMYFUNCTION("""COMPUTED_VALUE"""),"Dynamite Boom")</f>
        <v>Dynamite Boom</v>
      </c>
      <c r="B445" s="5" t="str">
        <f>IFERROR(__xludf.DUMMYFUNCTION("""COMPUTED_VALUE"""),"")</f>
        <v/>
      </c>
      <c r="C445" s="5" t="str">
        <f>IFERROR(__xludf.DUMMYFUNCTION("""COMPUTED_VALUE"""),"")</f>
        <v/>
      </c>
      <c r="D445" s="5" t="str">
        <f>IFERROR(__xludf.DUMMYFUNCTION("""COMPUTED_VALUE"""),"")</f>
        <v/>
      </c>
      <c r="E445" s="5" t="str">
        <f>IFERROR(__xludf.DUMMYFUNCTION("""COMPUTED_VALUE"""),"")</f>
        <v/>
      </c>
      <c r="F445" s="5" t="str">
        <f>IFERROR(__xludf.DUMMYFUNCTION("""COMPUTED_VALUE"""),"")</f>
        <v/>
      </c>
      <c r="G445" s="5" t="str">
        <f>IFERROR(__xludf.DUMMYFUNCTION("""COMPUTED_VALUE"""),"")</f>
        <v/>
      </c>
      <c r="H445" s="5" t="str">
        <f>IFERROR(__xludf.DUMMYFUNCTION("""COMPUTED_VALUE"""),"")</f>
        <v/>
      </c>
      <c r="I445" s="5" t="str">
        <f>IFERROR(__xludf.DUMMYFUNCTION("""COMPUTED_VALUE"""),"")</f>
        <v/>
      </c>
      <c r="J445" s="5" t="str">
        <f>IFERROR(__xludf.DUMMYFUNCTION("""COMPUTED_VALUE"""),"")</f>
        <v/>
      </c>
      <c r="K445" s="5" t="str">
        <f>IFERROR(__xludf.DUMMYFUNCTION("""COMPUTED_VALUE"""),"")</f>
        <v/>
      </c>
      <c r="L445" s="5" t="str">
        <f>IFERROR(__xludf.DUMMYFUNCTION("""COMPUTED_VALUE"""),"")</f>
        <v/>
      </c>
      <c r="M445" s="5" t="str">
        <f>IFERROR(__xludf.DUMMYFUNCTION("""COMPUTED_VALUE"""),"")</f>
        <v/>
      </c>
      <c r="N445" s="5" t="str">
        <f>IFERROR(__xludf.DUMMYFUNCTION("""COMPUTED_VALUE"""),"")</f>
        <v/>
      </c>
      <c r="O445" s="5" t="str">
        <f>IFERROR(__xludf.DUMMYFUNCTION("""COMPUTED_VALUE"""),"")</f>
        <v/>
      </c>
      <c r="P445" s="5" t="str">
        <f>IFERROR(__xludf.DUMMYFUNCTION("""COMPUTED_VALUE"""),"")</f>
        <v/>
      </c>
      <c r="Q445" s="5" t="str">
        <f>IFERROR(__xludf.DUMMYFUNCTION("""COMPUTED_VALUE"""),"")</f>
        <v/>
      </c>
      <c r="R445" s="5" t="str">
        <f>IFERROR(__xludf.DUMMYFUNCTION("""COMPUTED_VALUE"""),"")</f>
        <v/>
      </c>
      <c r="S445" s="5" t="str">
        <f>IFERROR(__xludf.DUMMYFUNCTION("""COMPUTED_VALUE"""),"")</f>
        <v/>
      </c>
      <c r="T445" s="5" t="str">
        <f>IFERROR(__xludf.DUMMYFUNCTION("""COMPUTED_VALUE"""),"")</f>
        <v/>
      </c>
      <c r="U445" s="5" t="str">
        <f>IFERROR(__xludf.DUMMYFUNCTION("""COMPUTED_VALUE"""),"")</f>
        <v/>
      </c>
      <c r="V445" s="5" t="str">
        <f>IFERROR(__xludf.DUMMYFUNCTION("""COMPUTED_VALUE"""),"")</f>
        <v/>
      </c>
      <c r="W445" s="5" t="str">
        <f>IFERROR(__xludf.DUMMYFUNCTION("""COMPUTED_VALUE"""),"")</f>
        <v/>
      </c>
      <c r="X445" s="5" t="str">
        <f>IFERROR(__xludf.DUMMYFUNCTION("""COMPUTED_VALUE"""),"")</f>
        <v/>
      </c>
      <c r="Y445" s="5"/>
      <c r="Z445" s="5"/>
    </row>
    <row r="446">
      <c r="A446" s="5" t="str">
        <f>IFERROR(__xludf.DUMMYFUNCTION("""COMPUTED_VALUE"""),"Fast Pay")</f>
        <v>Fast Pay</v>
      </c>
      <c r="B446" s="5" t="str">
        <f>IFERROR(__xludf.DUMMYFUNCTION("""COMPUTED_VALUE"""),"")</f>
        <v/>
      </c>
      <c r="C446" s="5" t="str">
        <f>IFERROR(__xludf.DUMMYFUNCTION("""COMPUTED_VALUE"""),"")</f>
        <v/>
      </c>
      <c r="D446" s="5" t="str">
        <f>IFERROR(__xludf.DUMMYFUNCTION("""COMPUTED_VALUE"""),"")</f>
        <v/>
      </c>
      <c r="E446" s="5" t="str">
        <f>IFERROR(__xludf.DUMMYFUNCTION("""COMPUTED_VALUE"""),"")</f>
        <v/>
      </c>
      <c r="F446" s="5" t="str">
        <f>IFERROR(__xludf.DUMMYFUNCTION("""COMPUTED_VALUE"""),"")</f>
        <v/>
      </c>
      <c r="G446" s="5" t="str">
        <f>IFERROR(__xludf.DUMMYFUNCTION("""COMPUTED_VALUE"""),"")</f>
        <v/>
      </c>
      <c r="H446" s="5" t="str">
        <f>IFERROR(__xludf.DUMMYFUNCTION("""COMPUTED_VALUE"""),"")</f>
        <v/>
      </c>
      <c r="I446" s="5" t="str">
        <f>IFERROR(__xludf.DUMMYFUNCTION("""COMPUTED_VALUE"""),"")</f>
        <v/>
      </c>
      <c r="J446" s="5" t="str">
        <f>IFERROR(__xludf.DUMMYFUNCTION("""COMPUTED_VALUE"""),"")</f>
        <v/>
      </c>
      <c r="K446" s="5" t="str">
        <f>IFERROR(__xludf.DUMMYFUNCTION("""COMPUTED_VALUE"""),"")</f>
        <v/>
      </c>
      <c r="L446" s="5" t="str">
        <f>IFERROR(__xludf.DUMMYFUNCTION("""COMPUTED_VALUE"""),"")</f>
        <v/>
      </c>
      <c r="M446" s="5" t="str">
        <f>IFERROR(__xludf.DUMMYFUNCTION("""COMPUTED_VALUE"""),"")</f>
        <v/>
      </c>
      <c r="N446" s="5" t="str">
        <f>IFERROR(__xludf.DUMMYFUNCTION("""COMPUTED_VALUE"""),"")</f>
        <v/>
      </c>
      <c r="O446" s="5" t="str">
        <f>IFERROR(__xludf.DUMMYFUNCTION("""COMPUTED_VALUE"""),"")</f>
        <v/>
      </c>
      <c r="P446" s="5" t="str">
        <f>IFERROR(__xludf.DUMMYFUNCTION("""COMPUTED_VALUE"""),"")</f>
        <v/>
      </c>
      <c r="Q446" s="5" t="str">
        <f>IFERROR(__xludf.DUMMYFUNCTION("""COMPUTED_VALUE"""),"")</f>
        <v/>
      </c>
      <c r="R446" s="5" t="str">
        <f>IFERROR(__xludf.DUMMYFUNCTION("""COMPUTED_VALUE"""),"")</f>
        <v/>
      </c>
      <c r="S446" s="5" t="str">
        <f>IFERROR(__xludf.DUMMYFUNCTION("""COMPUTED_VALUE"""),"")</f>
        <v/>
      </c>
      <c r="T446" s="5" t="str">
        <f>IFERROR(__xludf.DUMMYFUNCTION("""COMPUTED_VALUE"""),"")</f>
        <v/>
      </c>
      <c r="U446" s="5" t="str">
        <f>IFERROR(__xludf.DUMMYFUNCTION("""COMPUTED_VALUE"""),"")</f>
        <v/>
      </c>
      <c r="V446" s="5" t="str">
        <f>IFERROR(__xludf.DUMMYFUNCTION("""COMPUTED_VALUE"""),"")</f>
        <v/>
      </c>
      <c r="W446" s="5" t="str">
        <f>IFERROR(__xludf.DUMMYFUNCTION("""COMPUTED_VALUE"""),"")</f>
        <v/>
      </c>
      <c r="X446" s="5" t="str">
        <f>IFERROR(__xludf.DUMMYFUNCTION("""COMPUTED_VALUE"""),"")</f>
        <v/>
      </c>
      <c r="Y446" s="5"/>
      <c r="Z446" s="5"/>
    </row>
    <row r="447">
      <c r="A447" s="5" t="str">
        <f>IFERROR(__xludf.DUMMYFUNCTION("""COMPUTED_VALUE"""),"Super Fire Jackpot")</f>
        <v>Super Fire Jackpot</v>
      </c>
      <c r="B447" s="5" t="str">
        <f>IFERROR(__xludf.DUMMYFUNCTION("""COMPUTED_VALUE"""),"")</f>
        <v/>
      </c>
      <c r="C447" s="5" t="str">
        <f>IFERROR(__xludf.DUMMYFUNCTION("""COMPUTED_VALUE"""),"")</f>
        <v/>
      </c>
      <c r="D447" s="5" t="str">
        <f>IFERROR(__xludf.DUMMYFUNCTION("""COMPUTED_VALUE"""),"")</f>
        <v/>
      </c>
      <c r="E447" s="5" t="str">
        <f>IFERROR(__xludf.DUMMYFUNCTION("""COMPUTED_VALUE"""),"")</f>
        <v/>
      </c>
      <c r="F447" s="5" t="str">
        <f>IFERROR(__xludf.DUMMYFUNCTION("""COMPUTED_VALUE"""),"")</f>
        <v/>
      </c>
      <c r="G447" s="5" t="str">
        <f>IFERROR(__xludf.DUMMYFUNCTION("""COMPUTED_VALUE"""),"")</f>
        <v/>
      </c>
      <c r="H447" s="5" t="str">
        <f>IFERROR(__xludf.DUMMYFUNCTION("""COMPUTED_VALUE"""),"")</f>
        <v/>
      </c>
      <c r="I447" s="5" t="str">
        <f>IFERROR(__xludf.DUMMYFUNCTION("""COMPUTED_VALUE"""),"")</f>
        <v/>
      </c>
      <c r="J447" s="5" t="str">
        <f>IFERROR(__xludf.DUMMYFUNCTION("""COMPUTED_VALUE"""),"")</f>
        <v/>
      </c>
      <c r="K447" s="5" t="str">
        <f>IFERROR(__xludf.DUMMYFUNCTION("""COMPUTED_VALUE"""),"")</f>
        <v/>
      </c>
      <c r="L447" s="5" t="str">
        <f>IFERROR(__xludf.DUMMYFUNCTION("""COMPUTED_VALUE"""),"")</f>
        <v/>
      </c>
      <c r="M447" s="5" t="str">
        <f>IFERROR(__xludf.DUMMYFUNCTION("""COMPUTED_VALUE"""),"")</f>
        <v/>
      </c>
      <c r="N447" s="5" t="str">
        <f>IFERROR(__xludf.DUMMYFUNCTION("""COMPUTED_VALUE"""),"")</f>
        <v/>
      </c>
      <c r="O447" s="5" t="str">
        <f>IFERROR(__xludf.DUMMYFUNCTION("""COMPUTED_VALUE"""),"")</f>
        <v/>
      </c>
      <c r="P447" s="5" t="str">
        <f>IFERROR(__xludf.DUMMYFUNCTION("""COMPUTED_VALUE"""),"")</f>
        <v/>
      </c>
      <c r="Q447" s="5" t="str">
        <f>IFERROR(__xludf.DUMMYFUNCTION("""COMPUTED_VALUE"""),"")</f>
        <v/>
      </c>
      <c r="R447" s="5" t="str">
        <f>IFERROR(__xludf.DUMMYFUNCTION("""COMPUTED_VALUE"""),"")</f>
        <v/>
      </c>
      <c r="S447" s="5" t="str">
        <f>IFERROR(__xludf.DUMMYFUNCTION("""COMPUTED_VALUE"""),"")</f>
        <v/>
      </c>
      <c r="T447" s="5" t="str">
        <f>IFERROR(__xludf.DUMMYFUNCTION("""COMPUTED_VALUE"""),"")</f>
        <v/>
      </c>
      <c r="U447" s="5" t="str">
        <f>IFERROR(__xludf.DUMMYFUNCTION("""COMPUTED_VALUE"""),"")</f>
        <v/>
      </c>
      <c r="V447" s="5" t="str">
        <f>IFERROR(__xludf.DUMMYFUNCTION("""COMPUTED_VALUE"""),"")</f>
        <v/>
      </c>
      <c r="W447" s="5" t="str">
        <f>IFERROR(__xludf.DUMMYFUNCTION("""COMPUTED_VALUE"""),"")</f>
        <v/>
      </c>
      <c r="X447" s="5" t="str">
        <f>IFERROR(__xludf.DUMMYFUNCTION("""COMPUTED_VALUE"""),"")</f>
        <v/>
      </c>
      <c r="Y447" s="5"/>
      <c r="Z447" s="5"/>
    </row>
    <row r="448">
      <c r="A448" s="5" t="str">
        <f>IFERROR(__xludf.DUMMYFUNCTION("""COMPUTED_VALUE"""),"Coyote Gems")</f>
        <v>Coyote Gems</v>
      </c>
      <c r="B448" s="5" t="str">
        <f>IFERROR(__xludf.DUMMYFUNCTION("""COMPUTED_VALUE"""),"")</f>
        <v/>
      </c>
      <c r="C448" s="5" t="str">
        <f>IFERROR(__xludf.DUMMYFUNCTION("""COMPUTED_VALUE"""),"")</f>
        <v/>
      </c>
      <c r="D448" s="5" t="str">
        <f>IFERROR(__xludf.DUMMYFUNCTION("""COMPUTED_VALUE"""),"")</f>
        <v/>
      </c>
      <c r="E448" s="5" t="str">
        <f>IFERROR(__xludf.DUMMYFUNCTION("""COMPUTED_VALUE"""),"")</f>
        <v/>
      </c>
      <c r="F448" s="5" t="str">
        <f>IFERROR(__xludf.DUMMYFUNCTION("""COMPUTED_VALUE"""),"")</f>
        <v/>
      </c>
      <c r="G448" s="5" t="str">
        <f>IFERROR(__xludf.DUMMYFUNCTION("""COMPUTED_VALUE"""),"")</f>
        <v/>
      </c>
      <c r="H448" s="5" t="str">
        <f>IFERROR(__xludf.DUMMYFUNCTION("""COMPUTED_VALUE"""),"")</f>
        <v/>
      </c>
      <c r="I448" s="5" t="str">
        <f>IFERROR(__xludf.DUMMYFUNCTION("""COMPUTED_VALUE"""),"")</f>
        <v/>
      </c>
      <c r="J448" s="5" t="str">
        <f>IFERROR(__xludf.DUMMYFUNCTION("""COMPUTED_VALUE"""),"")</f>
        <v/>
      </c>
      <c r="K448" s="5" t="str">
        <f>IFERROR(__xludf.DUMMYFUNCTION("""COMPUTED_VALUE"""),"")</f>
        <v/>
      </c>
      <c r="L448" s="5" t="str">
        <f>IFERROR(__xludf.DUMMYFUNCTION("""COMPUTED_VALUE"""),"")</f>
        <v/>
      </c>
      <c r="M448" s="5" t="str">
        <f>IFERROR(__xludf.DUMMYFUNCTION("""COMPUTED_VALUE"""),"")</f>
        <v/>
      </c>
      <c r="N448" s="5" t="str">
        <f>IFERROR(__xludf.DUMMYFUNCTION("""COMPUTED_VALUE"""),"")</f>
        <v/>
      </c>
      <c r="O448" s="5" t="str">
        <f>IFERROR(__xludf.DUMMYFUNCTION("""COMPUTED_VALUE"""),"")</f>
        <v/>
      </c>
      <c r="P448" s="5" t="str">
        <f>IFERROR(__xludf.DUMMYFUNCTION("""COMPUTED_VALUE"""),"")</f>
        <v/>
      </c>
      <c r="Q448" s="5" t="str">
        <f>IFERROR(__xludf.DUMMYFUNCTION("""COMPUTED_VALUE"""),"")</f>
        <v/>
      </c>
      <c r="R448" s="5" t="str">
        <f>IFERROR(__xludf.DUMMYFUNCTION("""COMPUTED_VALUE"""),"")</f>
        <v/>
      </c>
      <c r="S448" s="5" t="str">
        <f>IFERROR(__xludf.DUMMYFUNCTION("""COMPUTED_VALUE"""),"")</f>
        <v/>
      </c>
      <c r="T448" s="5" t="str">
        <f>IFERROR(__xludf.DUMMYFUNCTION("""COMPUTED_VALUE"""),"")</f>
        <v/>
      </c>
      <c r="U448" s="5" t="str">
        <f>IFERROR(__xludf.DUMMYFUNCTION("""COMPUTED_VALUE"""),"")</f>
        <v/>
      </c>
      <c r="V448" s="5" t="str">
        <f>IFERROR(__xludf.DUMMYFUNCTION("""COMPUTED_VALUE"""),"")</f>
        <v/>
      </c>
      <c r="W448" s="5" t="str">
        <f>IFERROR(__xludf.DUMMYFUNCTION("""COMPUTED_VALUE"""),"")</f>
        <v/>
      </c>
      <c r="X448" s="5" t="str">
        <f>IFERROR(__xludf.DUMMYFUNCTION("""COMPUTED_VALUE"""),"")</f>
        <v/>
      </c>
      <c r="Y448" s="5"/>
      <c r="Z448" s="5"/>
    </row>
    <row r="449">
      <c r="A449" s="5" t="str">
        <f>IFERROR(__xludf.DUMMYFUNCTION("""COMPUTED_VALUE"""),"Dynamite Run Dice")</f>
        <v>Dynamite Run Dice</v>
      </c>
      <c r="B449" s="5" t="str">
        <f>IFERROR(__xludf.DUMMYFUNCTION("""COMPUTED_VALUE"""),"")</f>
        <v/>
      </c>
      <c r="C449" s="5" t="str">
        <f>IFERROR(__xludf.DUMMYFUNCTION("""COMPUTED_VALUE"""),"")</f>
        <v/>
      </c>
      <c r="D449" s="5" t="str">
        <f>IFERROR(__xludf.DUMMYFUNCTION("""COMPUTED_VALUE"""),"")</f>
        <v/>
      </c>
      <c r="E449" s="5" t="str">
        <f>IFERROR(__xludf.DUMMYFUNCTION("""COMPUTED_VALUE"""),"")</f>
        <v/>
      </c>
      <c r="F449" s="5" t="str">
        <f>IFERROR(__xludf.DUMMYFUNCTION("""COMPUTED_VALUE"""),"")</f>
        <v/>
      </c>
      <c r="G449" s="5" t="str">
        <f>IFERROR(__xludf.DUMMYFUNCTION("""COMPUTED_VALUE"""),"")</f>
        <v/>
      </c>
      <c r="H449" s="5" t="str">
        <f>IFERROR(__xludf.DUMMYFUNCTION("""COMPUTED_VALUE"""),"")</f>
        <v/>
      </c>
      <c r="I449" s="5" t="str">
        <f>IFERROR(__xludf.DUMMYFUNCTION("""COMPUTED_VALUE"""),"")</f>
        <v/>
      </c>
      <c r="J449" s="5" t="str">
        <f>IFERROR(__xludf.DUMMYFUNCTION("""COMPUTED_VALUE"""),"")</f>
        <v/>
      </c>
      <c r="K449" s="5" t="str">
        <f>IFERROR(__xludf.DUMMYFUNCTION("""COMPUTED_VALUE"""),"")</f>
        <v/>
      </c>
      <c r="L449" s="5" t="str">
        <f>IFERROR(__xludf.DUMMYFUNCTION("""COMPUTED_VALUE"""),"")</f>
        <v/>
      </c>
      <c r="M449" s="5" t="str">
        <f>IFERROR(__xludf.DUMMYFUNCTION("""COMPUTED_VALUE"""),"")</f>
        <v/>
      </c>
      <c r="N449" s="5" t="str">
        <f>IFERROR(__xludf.DUMMYFUNCTION("""COMPUTED_VALUE"""),"")</f>
        <v/>
      </c>
      <c r="O449" s="5" t="str">
        <f>IFERROR(__xludf.DUMMYFUNCTION("""COMPUTED_VALUE"""),"")</f>
        <v/>
      </c>
      <c r="P449" s="5" t="str">
        <f>IFERROR(__xludf.DUMMYFUNCTION("""COMPUTED_VALUE"""),"")</f>
        <v/>
      </c>
      <c r="Q449" s="5" t="str">
        <f>IFERROR(__xludf.DUMMYFUNCTION("""COMPUTED_VALUE"""),"")</f>
        <v/>
      </c>
      <c r="R449" s="5" t="str">
        <f>IFERROR(__xludf.DUMMYFUNCTION("""COMPUTED_VALUE"""),"")</f>
        <v/>
      </c>
      <c r="S449" s="5" t="str">
        <f>IFERROR(__xludf.DUMMYFUNCTION("""COMPUTED_VALUE"""),"")</f>
        <v/>
      </c>
      <c r="T449" s="5" t="str">
        <f>IFERROR(__xludf.DUMMYFUNCTION("""COMPUTED_VALUE"""),"")</f>
        <v/>
      </c>
      <c r="U449" s="5" t="str">
        <f>IFERROR(__xludf.DUMMYFUNCTION("""COMPUTED_VALUE"""),"")</f>
        <v/>
      </c>
      <c r="V449" s="5" t="str">
        <f>IFERROR(__xludf.DUMMYFUNCTION("""COMPUTED_VALUE"""),"")</f>
        <v/>
      </c>
      <c r="W449" s="5" t="str">
        <f>IFERROR(__xludf.DUMMYFUNCTION("""COMPUTED_VALUE"""),"")</f>
        <v/>
      </c>
      <c r="X449" s="5" t="str">
        <f>IFERROR(__xludf.DUMMYFUNCTION("""COMPUTED_VALUE"""),"")</f>
        <v/>
      </c>
      <c r="Y449" s="5"/>
      <c r="Z449" s="5"/>
    </row>
    <row r="450">
      <c r="A450" s="5" t="str">
        <f>IFERROR(__xludf.DUMMYFUNCTION("""COMPUTED_VALUE"""),"Big Spin Dragons")</f>
        <v>Big Spin Dragons</v>
      </c>
      <c r="B450" s="5" t="str">
        <f>IFERROR(__xludf.DUMMYFUNCTION("""COMPUTED_VALUE"""),"")</f>
        <v/>
      </c>
      <c r="C450" s="5" t="str">
        <f>IFERROR(__xludf.DUMMYFUNCTION("""COMPUTED_VALUE"""),"")</f>
        <v/>
      </c>
      <c r="D450" s="5" t="str">
        <f>IFERROR(__xludf.DUMMYFUNCTION("""COMPUTED_VALUE"""),"")</f>
        <v/>
      </c>
      <c r="E450" s="5" t="str">
        <f>IFERROR(__xludf.DUMMYFUNCTION("""COMPUTED_VALUE"""),"")</f>
        <v/>
      </c>
      <c r="F450" s="5" t="str">
        <f>IFERROR(__xludf.DUMMYFUNCTION("""COMPUTED_VALUE"""),"")</f>
        <v/>
      </c>
      <c r="G450" s="5" t="str">
        <f>IFERROR(__xludf.DUMMYFUNCTION("""COMPUTED_VALUE"""),"")</f>
        <v/>
      </c>
      <c r="H450" s="5" t="str">
        <f>IFERROR(__xludf.DUMMYFUNCTION("""COMPUTED_VALUE"""),"")</f>
        <v/>
      </c>
      <c r="I450" s="5" t="str">
        <f>IFERROR(__xludf.DUMMYFUNCTION("""COMPUTED_VALUE"""),"")</f>
        <v/>
      </c>
      <c r="J450" s="5" t="str">
        <f>IFERROR(__xludf.DUMMYFUNCTION("""COMPUTED_VALUE"""),"")</f>
        <v/>
      </c>
      <c r="K450" s="5" t="str">
        <f>IFERROR(__xludf.DUMMYFUNCTION("""COMPUTED_VALUE"""),"")</f>
        <v/>
      </c>
      <c r="L450" s="5" t="str">
        <f>IFERROR(__xludf.DUMMYFUNCTION("""COMPUTED_VALUE"""),"")</f>
        <v/>
      </c>
      <c r="M450" s="5" t="str">
        <f>IFERROR(__xludf.DUMMYFUNCTION("""COMPUTED_VALUE"""),"")</f>
        <v/>
      </c>
      <c r="N450" s="5" t="str">
        <f>IFERROR(__xludf.DUMMYFUNCTION("""COMPUTED_VALUE"""),"")</f>
        <v/>
      </c>
      <c r="O450" s="5" t="str">
        <f>IFERROR(__xludf.DUMMYFUNCTION("""COMPUTED_VALUE"""),"")</f>
        <v/>
      </c>
      <c r="P450" s="5" t="str">
        <f>IFERROR(__xludf.DUMMYFUNCTION("""COMPUTED_VALUE"""),"")</f>
        <v/>
      </c>
      <c r="Q450" s="5" t="str">
        <f>IFERROR(__xludf.DUMMYFUNCTION("""COMPUTED_VALUE"""),"")</f>
        <v/>
      </c>
      <c r="R450" s="5" t="str">
        <f>IFERROR(__xludf.DUMMYFUNCTION("""COMPUTED_VALUE"""),"")</f>
        <v/>
      </c>
      <c r="S450" s="5" t="str">
        <f>IFERROR(__xludf.DUMMYFUNCTION("""COMPUTED_VALUE"""),"")</f>
        <v/>
      </c>
      <c r="T450" s="5" t="str">
        <f>IFERROR(__xludf.DUMMYFUNCTION("""COMPUTED_VALUE"""),"")</f>
        <v/>
      </c>
      <c r="U450" s="5" t="str">
        <f>IFERROR(__xludf.DUMMYFUNCTION("""COMPUTED_VALUE"""),"")</f>
        <v/>
      </c>
      <c r="V450" s="5" t="str">
        <f>IFERROR(__xludf.DUMMYFUNCTION("""COMPUTED_VALUE"""),"")</f>
        <v/>
      </c>
      <c r="W450" s="5" t="str">
        <f>IFERROR(__xludf.DUMMYFUNCTION("""COMPUTED_VALUE"""),"")</f>
        <v/>
      </c>
      <c r="X450" s="5" t="str">
        <f>IFERROR(__xludf.DUMMYFUNCTION("""COMPUTED_VALUE"""),"")</f>
        <v/>
      </c>
      <c r="Y450" s="5"/>
      <c r="Z450" s="5"/>
    </row>
    <row r="451">
      <c r="A451" s="5" t="str">
        <f>IFERROR(__xludf.DUMMYFUNCTION("""COMPUTED_VALUE"""),"Simply Sevens Gems")</f>
        <v>Simply Sevens Gems</v>
      </c>
      <c r="B451" s="5" t="str">
        <f>IFERROR(__xludf.DUMMYFUNCTION("""COMPUTED_VALUE"""),"")</f>
        <v/>
      </c>
      <c r="C451" s="5" t="str">
        <f>IFERROR(__xludf.DUMMYFUNCTION("""COMPUTED_VALUE"""),"")</f>
        <v/>
      </c>
      <c r="D451" s="5" t="str">
        <f>IFERROR(__xludf.DUMMYFUNCTION("""COMPUTED_VALUE"""),"")</f>
        <v/>
      </c>
      <c r="E451" s="5" t="str">
        <f>IFERROR(__xludf.DUMMYFUNCTION("""COMPUTED_VALUE"""),"")</f>
        <v/>
      </c>
      <c r="F451" s="5" t="str">
        <f>IFERROR(__xludf.DUMMYFUNCTION("""COMPUTED_VALUE"""),"")</f>
        <v/>
      </c>
      <c r="G451" s="5" t="str">
        <f>IFERROR(__xludf.DUMMYFUNCTION("""COMPUTED_VALUE"""),"")</f>
        <v/>
      </c>
      <c r="H451" s="5" t="str">
        <f>IFERROR(__xludf.DUMMYFUNCTION("""COMPUTED_VALUE"""),"")</f>
        <v/>
      </c>
      <c r="I451" s="5" t="str">
        <f>IFERROR(__xludf.DUMMYFUNCTION("""COMPUTED_VALUE"""),"")</f>
        <v/>
      </c>
      <c r="J451" s="5" t="str">
        <f>IFERROR(__xludf.DUMMYFUNCTION("""COMPUTED_VALUE"""),"")</f>
        <v/>
      </c>
      <c r="K451" s="5" t="str">
        <f>IFERROR(__xludf.DUMMYFUNCTION("""COMPUTED_VALUE"""),"")</f>
        <v/>
      </c>
      <c r="L451" s="5" t="str">
        <f>IFERROR(__xludf.DUMMYFUNCTION("""COMPUTED_VALUE"""),"")</f>
        <v/>
      </c>
      <c r="M451" s="5" t="str">
        <f>IFERROR(__xludf.DUMMYFUNCTION("""COMPUTED_VALUE"""),"")</f>
        <v/>
      </c>
      <c r="N451" s="5" t="str">
        <f>IFERROR(__xludf.DUMMYFUNCTION("""COMPUTED_VALUE"""),"")</f>
        <v/>
      </c>
      <c r="O451" s="5" t="str">
        <f>IFERROR(__xludf.DUMMYFUNCTION("""COMPUTED_VALUE"""),"")</f>
        <v/>
      </c>
      <c r="P451" s="5" t="str">
        <f>IFERROR(__xludf.DUMMYFUNCTION("""COMPUTED_VALUE"""),"")</f>
        <v/>
      </c>
      <c r="Q451" s="5" t="str">
        <f>IFERROR(__xludf.DUMMYFUNCTION("""COMPUTED_VALUE"""),"")</f>
        <v/>
      </c>
      <c r="R451" s="5" t="str">
        <f>IFERROR(__xludf.DUMMYFUNCTION("""COMPUTED_VALUE"""),"")</f>
        <v/>
      </c>
      <c r="S451" s="5" t="str">
        <f>IFERROR(__xludf.DUMMYFUNCTION("""COMPUTED_VALUE"""),"")</f>
        <v/>
      </c>
      <c r="T451" s="5" t="str">
        <f>IFERROR(__xludf.DUMMYFUNCTION("""COMPUTED_VALUE"""),"")</f>
        <v/>
      </c>
      <c r="U451" s="5" t="str">
        <f>IFERROR(__xludf.DUMMYFUNCTION("""COMPUTED_VALUE"""),"")</f>
        <v/>
      </c>
      <c r="V451" s="5" t="str">
        <f>IFERROR(__xludf.DUMMYFUNCTION("""COMPUTED_VALUE"""),"")</f>
        <v/>
      </c>
      <c r="W451" s="5" t="str">
        <f>IFERROR(__xludf.DUMMYFUNCTION("""COMPUTED_VALUE"""),"")</f>
        <v/>
      </c>
      <c r="X451" s="5" t="str">
        <f>IFERROR(__xludf.DUMMYFUNCTION("""COMPUTED_VALUE"""),"")</f>
        <v/>
      </c>
      <c r="Y451" s="5"/>
      <c r="Z451" s="5"/>
    </row>
    <row r="452">
      <c r="A452" s="5" t="str">
        <f>IFERROR(__xludf.DUMMYFUNCTION("""COMPUTED_VALUE"""),"Super Fire Dice Jackpot")</f>
        <v>Super Fire Dice Jackpot</v>
      </c>
      <c r="B452" s="5" t="str">
        <f>IFERROR(__xludf.DUMMYFUNCTION("""COMPUTED_VALUE"""),"")</f>
        <v/>
      </c>
      <c r="C452" s="5" t="str">
        <f>IFERROR(__xludf.DUMMYFUNCTION("""COMPUTED_VALUE"""),"")</f>
        <v/>
      </c>
      <c r="D452" s="5" t="str">
        <f>IFERROR(__xludf.DUMMYFUNCTION("""COMPUTED_VALUE"""),"")</f>
        <v/>
      </c>
      <c r="E452" s="5" t="str">
        <f>IFERROR(__xludf.DUMMYFUNCTION("""COMPUTED_VALUE"""),"")</f>
        <v/>
      </c>
      <c r="F452" s="5" t="str">
        <f>IFERROR(__xludf.DUMMYFUNCTION("""COMPUTED_VALUE"""),"")</f>
        <v/>
      </c>
      <c r="G452" s="5" t="str">
        <f>IFERROR(__xludf.DUMMYFUNCTION("""COMPUTED_VALUE"""),"")</f>
        <v/>
      </c>
      <c r="H452" s="5" t="str">
        <f>IFERROR(__xludf.DUMMYFUNCTION("""COMPUTED_VALUE"""),"")</f>
        <v/>
      </c>
      <c r="I452" s="5" t="str">
        <f>IFERROR(__xludf.DUMMYFUNCTION("""COMPUTED_VALUE"""),"")</f>
        <v/>
      </c>
      <c r="J452" s="5" t="str">
        <f>IFERROR(__xludf.DUMMYFUNCTION("""COMPUTED_VALUE"""),"")</f>
        <v/>
      </c>
      <c r="K452" s="5" t="str">
        <f>IFERROR(__xludf.DUMMYFUNCTION("""COMPUTED_VALUE"""),"")</f>
        <v/>
      </c>
      <c r="L452" s="5" t="str">
        <f>IFERROR(__xludf.DUMMYFUNCTION("""COMPUTED_VALUE"""),"")</f>
        <v/>
      </c>
      <c r="M452" s="5" t="str">
        <f>IFERROR(__xludf.DUMMYFUNCTION("""COMPUTED_VALUE"""),"")</f>
        <v/>
      </c>
      <c r="N452" s="5" t="str">
        <f>IFERROR(__xludf.DUMMYFUNCTION("""COMPUTED_VALUE"""),"")</f>
        <v/>
      </c>
      <c r="O452" s="5" t="str">
        <f>IFERROR(__xludf.DUMMYFUNCTION("""COMPUTED_VALUE"""),"")</f>
        <v/>
      </c>
      <c r="P452" s="5" t="str">
        <f>IFERROR(__xludf.DUMMYFUNCTION("""COMPUTED_VALUE"""),"")</f>
        <v/>
      </c>
      <c r="Q452" s="5" t="str">
        <f>IFERROR(__xludf.DUMMYFUNCTION("""COMPUTED_VALUE"""),"")</f>
        <v/>
      </c>
      <c r="R452" s="5" t="str">
        <f>IFERROR(__xludf.DUMMYFUNCTION("""COMPUTED_VALUE"""),"")</f>
        <v/>
      </c>
      <c r="S452" s="5" t="str">
        <f>IFERROR(__xludf.DUMMYFUNCTION("""COMPUTED_VALUE"""),"")</f>
        <v/>
      </c>
      <c r="T452" s="5" t="str">
        <f>IFERROR(__xludf.DUMMYFUNCTION("""COMPUTED_VALUE"""),"")</f>
        <v/>
      </c>
      <c r="U452" s="5" t="str">
        <f>IFERROR(__xludf.DUMMYFUNCTION("""COMPUTED_VALUE"""),"")</f>
        <v/>
      </c>
      <c r="V452" s="5" t="str">
        <f>IFERROR(__xludf.DUMMYFUNCTION("""COMPUTED_VALUE"""),"")</f>
        <v/>
      </c>
      <c r="W452" s="5" t="str">
        <f>IFERROR(__xludf.DUMMYFUNCTION("""COMPUTED_VALUE"""),"")</f>
        <v/>
      </c>
      <c r="X452" s="5" t="str">
        <f>IFERROR(__xludf.DUMMYFUNCTION("""COMPUTED_VALUE"""),"")</f>
        <v/>
      </c>
      <c r="Y452" s="5"/>
      <c r="Z452" s="5"/>
    </row>
    <row r="453">
      <c r="A453" s="5" t="str">
        <f>IFERROR(__xludf.DUMMYFUNCTION("""COMPUTED_VALUE"""),"Mister Dice")</f>
        <v>Mister Dice</v>
      </c>
      <c r="B453" s="5" t="str">
        <f>IFERROR(__xludf.DUMMYFUNCTION("""COMPUTED_VALUE"""),"")</f>
        <v/>
      </c>
      <c r="C453" s="5" t="str">
        <f>IFERROR(__xludf.DUMMYFUNCTION("""COMPUTED_VALUE"""),"")</f>
        <v/>
      </c>
      <c r="D453" s="5" t="str">
        <f>IFERROR(__xludf.DUMMYFUNCTION("""COMPUTED_VALUE"""),"")</f>
        <v/>
      </c>
      <c r="E453" s="5" t="str">
        <f>IFERROR(__xludf.DUMMYFUNCTION("""COMPUTED_VALUE"""),"")</f>
        <v/>
      </c>
      <c r="F453" s="5" t="str">
        <f>IFERROR(__xludf.DUMMYFUNCTION("""COMPUTED_VALUE"""),"")</f>
        <v/>
      </c>
      <c r="G453" s="5" t="str">
        <f>IFERROR(__xludf.DUMMYFUNCTION("""COMPUTED_VALUE"""),"")</f>
        <v/>
      </c>
      <c r="H453" s="5" t="str">
        <f>IFERROR(__xludf.DUMMYFUNCTION("""COMPUTED_VALUE"""),"")</f>
        <v/>
      </c>
      <c r="I453" s="5" t="str">
        <f>IFERROR(__xludf.DUMMYFUNCTION("""COMPUTED_VALUE"""),"")</f>
        <v/>
      </c>
      <c r="J453" s="5" t="str">
        <f>IFERROR(__xludf.DUMMYFUNCTION("""COMPUTED_VALUE"""),"")</f>
        <v/>
      </c>
      <c r="K453" s="5" t="str">
        <f>IFERROR(__xludf.DUMMYFUNCTION("""COMPUTED_VALUE"""),"")</f>
        <v/>
      </c>
      <c r="L453" s="5" t="str">
        <f>IFERROR(__xludf.DUMMYFUNCTION("""COMPUTED_VALUE"""),"")</f>
        <v/>
      </c>
      <c r="M453" s="5" t="str">
        <f>IFERROR(__xludf.DUMMYFUNCTION("""COMPUTED_VALUE"""),"")</f>
        <v/>
      </c>
      <c r="N453" s="5" t="str">
        <f>IFERROR(__xludf.DUMMYFUNCTION("""COMPUTED_VALUE"""),"")</f>
        <v/>
      </c>
      <c r="O453" s="5" t="str">
        <f>IFERROR(__xludf.DUMMYFUNCTION("""COMPUTED_VALUE"""),"")</f>
        <v/>
      </c>
      <c r="P453" s="5" t="str">
        <f>IFERROR(__xludf.DUMMYFUNCTION("""COMPUTED_VALUE"""),"")</f>
        <v/>
      </c>
      <c r="Q453" s="5" t="str">
        <f>IFERROR(__xludf.DUMMYFUNCTION("""COMPUTED_VALUE"""),"")</f>
        <v/>
      </c>
      <c r="R453" s="5" t="str">
        <f>IFERROR(__xludf.DUMMYFUNCTION("""COMPUTED_VALUE"""),"")</f>
        <v/>
      </c>
      <c r="S453" s="5" t="str">
        <f>IFERROR(__xludf.DUMMYFUNCTION("""COMPUTED_VALUE"""),"")</f>
        <v/>
      </c>
      <c r="T453" s="5" t="str">
        <f>IFERROR(__xludf.DUMMYFUNCTION("""COMPUTED_VALUE"""),"")</f>
        <v/>
      </c>
      <c r="U453" s="5" t="str">
        <f>IFERROR(__xludf.DUMMYFUNCTION("""COMPUTED_VALUE"""),"")</f>
        <v/>
      </c>
      <c r="V453" s="5" t="str">
        <f>IFERROR(__xludf.DUMMYFUNCTION("""COMPUTED_VALUE"""),"")</f>
        <v/>
      </c>
      <c r="W453" s="5" t="str">
        <f>IFERROR(__xludf.DUMMYFUNCTION("""COMPUTED_VALUE"""),"")</f>
        <v/>
      </c>
      <c r="X453" s="5" t="str">
        <f>IFERROR(__xludf.DUMMYFUNCTION("""COMPUTED_VALUE"""),"")</f>
        <v/>
      </c>
      <c r="Y453" s="5"/>
      <c r="Z453" s="5"/>
    </row>
    <row r="454">
      <c r="A454" s="5" t="str">
        <f>IFERROR(__xludf.DUMMYFUNCTION("""COMPUTED_VALUE"""),"Three Reel Sevens")</f>
        <v>Three Reel Sevens</v>
      </c>
      <c r="B454" s="5" t="str">
        <f>IFERROR(__xludf.DUMMYFUNCTION("""COMPUTED_VALUE"""),"")</f>
        <v/>
      </c>
      <c r="C454" s="5" t="str">
        <f>IFERROR(__xludf.DUMMYFUNCTION("""COMPUTED_VALUE"""),"")</f>
        <v/>
      </c>
      <c r="D454" s="5" t="str">
        <f>IFERROR(__xludf.DUMMYFUNCTION("""COMPUTED_VALUE"""),"")</f>
        <v/>
      </c>
      <c r="E454" s="5" t="str">
        <f>IFERROR(__xludf.DUMMYFUNCTION("""COMPUTED_VALUE"""),"")</f>
        <v/>
      </c>
      <c r="F454" s="5" t="str">
        <f>IFERROR(__xludf.DUMMYFUNCTION("""COMPUTED_VALUE"""),"")</f>
        <v/>
      </c>
      <c r="G454" s="5" t="str">
        <f>IFERROR(__xludf.DUMMYFUNCTION("""COMPUTED_VALUE"""),"")</f>
        <v/>
      </c>
      <c r="H454" s="5" t="str">
        <f>IFERROR(__xludf.DUMMYFUNCTION("""COMPUTED_VALUE"""),"")</f>
        <v/>
      </c>
      <c r="I454" s="5" t="str">
        <f>IFERROR(__xludf.DUMMYFUNCTION("""COMPUTED_VALUE"""),"")</f>
        <v/>
      </c>
      <c r="J454" s="5" t="str">
        <f>IFERROR(__xludf.DUMMYFUNCTION("""COMPUTED_VALUE"""),"")</f>
        <v/>
      </c>
      <c r="K454" s="5" t="str">
        <f>IFERROR(__xludf.DUMMYFUNCTION("""COMPUTED_VALUE"""),"")</f>
        <v/>
      </c>
      <c r="L454" s="5" t="str">
        <f>IFERROR(__xludf.DUMMYFUNCTION("""COMPUTED_VALUE"""),"")</f>
        <v/>
      </c>
      <c r="M454" s="5" t="str">
        <f>IFERROR(__xludf.DUMMYFUNCTION("""COMPUTED_VALUE"""),"")</f>
        <v/>
      </c>
      <c r="N454" s="5" t="str">
        <f>IFERROR(__xludf.DUMMYFUNCTION("""COMPUTED_VALUE"""),"")</f>
        <v/>
      </c>
      <c r="O454" s="5" t="str">
        <f>IFERROR(__xludf.DUMMYFUNCTION("""COMPUTED_VALUE"""),"")</f>
        <v/>
      </c>
      <c r="P454" s="5" t="str">
        <f>IFERROR(__xludf.DUMMYFUNCTION("""COMPUTED_VALUE"""),"")</f>
        <v/>
      </c>
      <c r="Q454" s="5" t="str">
        <f>IFERROR(__xludf.DUMMYFUNCTION("""COMPUTED_VALUE"""),"")</f>
        <v/>
      </c>
      <c r="R454" s="5" t="str">
        <f>IFERROR(__xludf.DUMMYFUNCTION("""COMPUTED_VALUE"""),"")</f>
        <v/>
      </c>
      <c r="S454" s="5" t="str">
        <f>IFERROR(__xludf.DUMMYFUNCTION("""COMPUTED_VALUE"""),"")</f>
        <v/>
      </c>
      <c r="T454" s="5" t="str">
        <f>IFERROR(__xludf.DUMMYFUNCTION("""COMPUTED_VALUE"""),"")</f>
        <v/>
      </c>
      <c r="U454" s="5" t="str">
        <f>IFERROR(__xludf.DUMMYFUNCTION("""COMPUTED_VALUE"""),"")</f>
        <v/>
      </c>
      <c r="V454" s="5" t="str">
        <f>IFERROR(__xludf.DUMMYFUNCTION("""COMPUTED_VALUE"""),"")</f>
        <v/>
      </c>
      <c r="W454" s="5" t="str">
        <f>IFERROR(__xludf.DUMMYFUNCTION("""COMPUTED_VALUE"""),"")</f>
        <v/>
      </c>
      <c r="X454" s="5" t="str">
        <f>IFERROR(__xludf.DUMMYFUNCTION("""COMPUTED_VALUE"""),"")</f>
        <v/>
      </c>
      <c r="Y454" s="5"/>
      <c r="Z454" s="5"/>
    </row>
    <row r="455">
      <c r="A455" s="5" t="str">
        <f>IFERROR(__xludf.DUMMYFUNCTION("""COMPUTED_VALUE"""),"Lucky Sheriff")</f>
        <v>Lucky Sheriff</v>
      </c>
      <c r="B455" s="5" t="str">
        <f>IFERROR(__xludf.DUMMYFUNCTION("""COMPUTED_VALUE"""),"Development")</f>
        <v>Development</v>
      </c>
      <c r="C455" s="5" t="str">
        <f>IFERROR(__xludf.DUMMYFUNCTION("""COMPUTED_VALUE"""),"Development")</f>
        <v>Development</v>
      </c>
      <c r="D455" s="5" t="str">
        <f>IFERROR(__xludf.DUMMYFUNCTION("""COMPUTED_VALUE"""),"Cert Preparation")</f>
        <v>Cert Preparation</v>
      </c>
      <c r="E455" s="5" t="str">
        <f>IFERROR(__xludf.DUMMYFUNCTION("""COMPUTED_VALUE"""),"")</f>
        <v/>
      </c>
      <c r="F455" s="5" t="str">
        <f>IFERROR(__xludf.DUMMYFUNCTION("""COMPUTED_VALUE"""),"Development")</f>
        <v>Development</v>
      </c>
      <c r="G455" s="5" t="str">
        <f>IFERROR(__xludf.DUMMYFUNCTION("""COMPUTED_VALUE"""),"")</f>
        <v/>
      </c>
      <c r="H455" s="5" t="str">
        <f>IFERROR(__xludf.DUMMYFUNCTION("""COMPUTED_VALUE"""),"")</f>
        <v/>
      </c>
      <c r="I455" s="5" t="str">
        <f>IFERROR(__xludf.DUMMYFUNCTION("""COMPUTED_VALUE"""),"")</f>
        <v/>
      </c>
      <c r="J455" s="5" t="str">
        <f>IFERROR(__xludf.DUMMYFUNCTION("""COMPUTED_VALUE"""),"")</f>
        <v/>
      </c>
      <c r="K455" s="5" t="str">
        <f>IFERROR(__xludf.DUMMYFUNCTION("""COMPUTED_VALUE"""),"")</f>
        <v/>
      </c>
      <c r="L455" s="5" t="str">
        <f>IFERROR(__xludf.DUMMYFUNCTION("""COMPUTED_VALUE"""),"")</f>
        <v/>
      </c>
      <c r="M455" s="5" t="str">
        <f>IFERROR(__xludf.DUMMYFUNCTION("""COMPUTED_VALUE"""),"")</f>
        <v/>
      </c>
      <c r="N455" s="5" t="str">
        <f>IFERROR(__xludf.DUMMYFUNCTION("""COMPUTED_VALUE"""),"Development")</f>
        <v>Development</v>
      </c>
      <c r="O455" s="5" t="str">
        <f>IFERROR(__xludf.DUMMYFUNCTION("""COMPUTED_VALUE"""),"")</f>
        <v/>
      </c>
      <c r="P455" s="5" t="str">
        <f>IFERROR(__xludf.DUMMYFUNCTION("""COMPUTED_VALUE"""),"")</f>
        <v/>
      </c>
      <c r="Q455" s="5" t="str">
        <f>IFERROR(__xludf.DUMMYFUNCTION("""COMPUTED_VALUE"""),"")</f>
        <v/>
      </c>
      <c r="R455" s="5" t="str">
        <f>IFERROR(__xludf.DUMMYFUNCTION("""COMPUTED_VALUE"""),"")</f>
        <v/>
      </c>
      <c r="S455" s="5" t="str">
        <f>IFERROR(__xludf.DUMMYFUNCTION("""COMPUTED_VALUE"""),"")</f>
        <v/>
      </c>
      <c r="T455" s="5" t="str">
        <f>IFERROR(__xludf.DUMMYFUNCTION("""COMPUTED_VALUE"""),"")</f>
        <v/>
      </c>
      <c r="U455" s="5" t="str">
        <f>IFERROR(__xludf.DUMMYFUNCTION("""COMPUTED_VALUE"""),"")</f>
        <v/>
      </c>
      <c r="V455" s="5" t="str">
        <f>IFERROR(__xludf.DUMMYFUNCTION("""COMPUTED_VALUE"""),"")</f>
        <v/>
      </c>
      <c r="W455" s="5" t="str">
        <f>IFERROR(__xludf.DUMMYFUNCTION("""COMPUTED_VALUE"""),"")</f>
        <v/>
      </c>
      <c r="X455" s="5" t="str">
        <f>IFERROR(__xludf.DUMMYFUNCTION("""COMPUTED_VALUE"""),"")</f>
        <v/>
      </c>
      <c r="Y455" s="5"/>
      <c r="Z455" s="5"/>
    </row>
    <row r="456">
      <c r="A456" s="5" t="str">
        <f>IFERROR(__xludf.DUMMYFUNCTION("""COMPUTED_VALUE"""),"Coin Splash")</f>
        <v>Coin Splash</v>
      </c>
      <c r="B456" s="5" t="str">
        <f>IFERROR(__xludf.DUMMYFUNCTION("""COMPUTED_VALUE"""),"Development")</f>
        <v>Development</v>
      </c>
      <c r="C456" s="5" t="str">
        <f>IFERROR(__xludf.DUMMYFUNCTION("""COMPUTED_VALUE"""),"Development")</f>
        <v>Development</v>
      </c>
      <c r="D456" s="5" t="str">
        <f>IFERROR(__xludf.DUMMYFUNCTION("""COMPUTED_VALUE"""),"Cert Preparation")</f>
        <v>Cert Preparation</v>
      </c>
      <c r="E456" s="5" t="str">
        <f>IFERROR(__xludf.DUMMYFUNCTION("""COMPUTED_VALUE"""),"")</f>
        <v/>
      </c>
      <c r="F456" s="5" t="str">
        <f>IFERROR(__xludf.DUMMYFUNCTION("""COMPUTED_VALUE"""),"Development")</f>
        <v>Development</v>
      </c>
      <c r="G456" s="5" t="str">
        <f>IFERROR(__xludf.DUMMYFUNCTION("""COMPUTED_VALUE"""),"")</f>
        <v/>
      </c>
      <c r="H456" s="5" t="str">
        <f>IFERROR(__xludf.DUMMYFUNCTION("""COMPUTED_VALUE"""),"Development")</f>
        <v>Development</v>
      </c>
      <c r="I456" s="5" t="str">
        <f>IFERROR(__xludf.DUMMYFUNCTION("""COMPUTED_VALUE"""),"Development")</f>
        <v>Development</v>
      </c>
      <c r="J456" s="5" t="str">
        <f>IFERROR(__xludf.DUMMYFUNCTION("""COMPUTED_VALUE"""),"")</f>
        <v/>
      </c>
      <c r="K456" s="5" t="str">
        <f>IFERROR(__xludf.DUMMYFUNCTION("""COMPUTED_VALUE"""),"Development")</f>
        <v>Development</v>
      </c>
      <c r="L456" s="5" t="str">
        <f>IFERROR(__xludf.DUMMYFUNCTION("""COMPUTED_VALUE"""),"Development")</f>
        <v>Development</v>
      </c>
      <c r="M456" s="5" t="str">
        <f>IFERROR(__xludf.DUMMYFUNCTION("""COMPUTED_VALUE"""),"")</f>
        <v/>
      </c>
      <c r="N456" s="5" t="str">
        <f>IFERROR(__xludf.DUMMYFUNCTION("""COMPUTED_VALUE"""),"Development")</f>
        <v>Development</v>
      </c>
      <c r="O456" s="5" t="str">
        <f>IFERROR(__xludf.DUMMYFUNCTION("""COMPUTED_VALUE"""),"")</f>
        <v/>
      </c>
      <c r="P456" s="5" t="str">
        <f>IFERROR(__xludf.DUMMYFUNCTION("""COMPUTED_VALUE"""),"")</f>
        <v/>
      </c>
      <c r="Q456" s="5" t="str">
        <f>IFERROR(__xludf.DUMMYFUNCTION("""COMPUTED_VALUE"""),"")</f>
        <v/>
      </c>
      <c r="R456" s="5" t="str">
        <f>IFERROR(__xludf.DUMMYFUNCTION("""COMPUTED_VALUE"""),"")</f>
        <v/>
      </c>
      <c r="S456" s="5" t="str">
        <f>IFERROR(__xludf.DUMMYFUNCTION("""COMPUTED_VALUE"""),"")</f>
        <v/>
      </c>
      <c r="T456" s="5" t="str">
        <f>IFERROR(__xludf.DUMMYFUNCTION("""COMPUTED_VALUE"""),"")</f>
        <v/>
      </c>
      <c r="U456" s="5" t="str">
        <f>IFERROR(__xludf.DUMMYFUNCTION("""COMPUTED_VALUE"""),"")</f>
        <v/>
      </c>
      <c r="V456" s="5" t="str">
        <f>IFERROR(__xludf.DUMMYFUNCTION("""COMPUTED_VALUE"""),"")</f>
        <v/>
      </c>
      <c r="W456" s="5" t="str">
        <f>IFERROR(__xludf.DUMMYFUNCTION("""COMPUTED_VALUE"""),"")</f>
        <v/>
      </c>
      <c r="X456" s="5" t="str">
        <f>IFERROR(__xludf.DUMMYFUNCTION("""COMPUTED_VALUE"""),"")</f>
        <v/>
      </c>
      <c r="Y456" s="5"/>
      <c r="Z456" s="5"/>
    </row>
    <row r="457">
      <c r="A457" s="5" t="str">
        <f>IFERROR(__xludf.DUMMYFUNCTION("""COMPUTED_VALUE"""),"10 Wild Heart")</f>
        <v>10 Wild Heart</v>
      </c>
      <c r="B457" s="5" t="str">
        <f>IFERROR(__xludf.DUMMYFUNCTION("""COMPUTED_VALUE"""),"")</f>
        <v/>
      </c>
      <c r="C457" s="5" t="str">
        <f>IFERROR(__xludf.DUMMYFUNCTION("""COMPUTED_VALUE"""),"")</f>
        <v/>
      </c>
      <c r="D457" s="5" t="str">
        <f>IFERROR(__xludf.DUMMYFUNCTION("""COMPUTED_VALUE"""),"")</f>
        <v/>
      </c>
      <c r="E457" s="5" t="str">
        <f>IFERROR(__xludf.DUMMYFUNCTION("""COMPUTED_VALUE"""),"")</f>
        <v/>
      </c>
      <c r="F457" s="5" t="str">
        <f>IFERROR(__xludf.DUMMYFUNCTION("""COMPUTED_VALUE"""),"")</f>
        <v/>
      </c>
      <c r="G457" s="5" t="str">
        <f>IFERROR(__xludf.DUMMYFUNCTION("""COMPUTED_VALUE"""),"")</f>
        <v/>
      </c>
      <c r="H457" s="5" t="str">
        <f>IFERROR(__xludf.DUMMYFUNCTION("""COMPUTED_VALUE"""),"")</f>
        <v/>
      </c>
      <c r="I457" s="5" t="str">
        <f>IFERROR(__xludf.DUMMYFUNCTION("""COMPUTED_VALUE"""),"")</f>
        <v/>
      </c>
      <c r="J457" s="5" t="str">
        <f>IFERROR(__xludf.DUMMYFUNCTION("""COMPUTED_VALUE"""),"")</f>
        <v/>
      </c>
      <c r="K457" s="5" t="str">
        <f>IFERROR(__xludf.DUMMYFUNCTION("""COMPUTED_VALUE"""),"")</f>
        <v/>
      </c>
      <c r="L457" s="5" t="str">
        <f>IFERROR(__xludf.DUMMYFUNCTION("""COMPUTED_VALUE"""),"")</f>
        <v/>
      </c>
      <c r="M457" s="5" t="str">
        <f>IFERROR(__xludf.DUMMYFUNCTION("""COMPUTED_VALUE"""),"")</f>
        <v/>
      </c>
      <c r="N457" s="5" t="str">
        <f>IFERROR(__xludf.DUMMYFUNCTION("""COMPUTED_VALUE"""),"")</f>
        <v/>
      </c>
      <c r="O457" s="5" t="str">
        <f>IFERROR(__xludf.DUMMYFUNCTION("""COMPUTED_VALUE"""),"")</f>
        <v/>
      </c>
      <c r="P457" s="5" t="str">
        <f>IFERROR(__xludf.DUMMYFUNCTION("""COMPUTED_VALUE"""),"")</f>
        <v/>
      </c>
      <c r="Q457" s="5" t="str">
        <f>IFERROR(__xludf.DUMMYFUNCTION("""COMPUTED_VALUE"""),"")</f>
        <v/>
      </c>
      <c r="R457" s="5" t="str">
        <f>IFERROR(__xludf.DUMMYFUNCTION("""COMPUTED_VALUE"""),"")</f>
        <v/>
      </c>
      <c r="S457" s="5" t="str">
        <f>IFERROR(__xludf.DUMMYFUNCTION("""COMPUTED_VALUE"""),"")</f>
        <v/>
      </c>
      <c r="T457" s="5" t="str">
        <f>IFERROR(__xludf.DUMMYFUNCTION("""COMPUTED_VALUE"""),"")</f>
        <v/>
      </c>
      <c r="U457" s="5" t="str">
        <f>IFERROR(__xludf.DUMMYFUNCTION("""COMPUTED_VALUE"""),"")</f>
        <v/>
      </c>
      <c r="V457" s="5" t="str">
        <f>IFERROR(__xludf.DUMMYFUNCTION("""COMPUTED_VALUE"""),"")</f>
        <v/>
      </c>
      <c r="W457" s="5" t="str">
        <f>IFERROR(__xludf.DUMMYFUNCTION("""COMPUTED_VALUE"""),"")</f>
        <v/>
      </c>
      <c r="X457" s="5" t="str">
        <f>IFERROR(__xludf.DUMMYFUNCTION("""COMPUTED_VALUE"""),"")</f>
        <v/>
      </c>
      <c r="Y457" s="5"/>
      <c r="Z457" s="5"/>
    </row>
    <row r="458">
      <c r="A458" s="5" t="str">
        <f>IFERROR(__xludf.DUMMYFUNCTION("""COMPUTED_VALUE"""),"40 Joker Fire")</f>
        <v>40 Joker Fire</v>
      </c>
      <c r="B458" s="5" t="str">
        <f>IFERROR(__xludf.DUMMYFUNCTION("""COMPUTED_VALUE"""),"")</f>
        <v/>
      </c>
      <c r="C458" s="5" t="str">
        <f>IFERROR(__xludf.DUMMYFUNCTION("""COMPUTED_VALUE"""),"")</f>
        <v/>
      </c>
      <c r="D458" s="5" t="str">
        <f>IFERROR(__xludf.DUMMYFUNCTION("""COMPUTED_VALUE"""),"")</f>
        <v/>
      </c>
      <c r="E458" s="5" t="str">
        <f>IFERROR(__xludf.DUMMYFUNCTION("""COMPUTED_VALUE"""),"")</f>
        <v/>
      </c>
      <c r="F458" s="5" t="str">
        <f>IFERROR(__xludf.DUMMYFUNCTION("""COMPUTED_VALUE"""),"")</f>
        <v/>
      </c>
      <c r="G458" s="5" t="str">
        <f>IFERROR(__xludf.DUMMYFUNCTION("""COMPUTED_VALUE"""),"")</f>
        <v/>
      </c>
      <c r="H458" s="5" t="str">
        <f>IFERROR(__xludf.DUMMYFUNCTION("""COMPUTED_VALUE"""),"")</f>
        <v/>
      </c>
      <c r="I458" s="5" t="str">
        <f>IFERROR(__xludf.DUMMYFUNCTION("""COMPUTED_VALUE"""),"")</f>
        <v/>
      </c>
      <c r="J458" s="5" t="str">
        <f>IFERROR(__xludf.DUMMYFUNCTION("""COMPUTED_VALUE"""),"")</f>
        <v/>
      </c>
      <c r="K458" s="5" t="str">
        <f>IFERROR(__xludf.DUMMYFUNCTION("""COMPUTED_VALUE"""),"")</f>
        <v/>
      </c>
      <c r="L458" s="5" t="str">
        <f>IFERROR(__xludf.DUMMYFUNCTION("""COMPUTED_VALUE"""),"")</f>
        <v/>
      </c>
      <c r="M458" s="5" t="str">
        <f>IFERROR(__xludf.DUMMYFUNCTION("""COMPUTED_VALUE"""),"")</f>
        <v/>
      </c>
      <c r="N458" s="5" t="str">
        <f>IFERROR(__xludf.DUMMYFUNCTION("""COMPUTED_VALUE"""),"")</f>
        <v/>
      </c>
      <c r="O458" s="5" t="str">
        <f>IFERROR(__xludf.DUMMYFUNCTION("""COMPUTED_VALUE"""),"")</f>
        <v/>
      </c>
      <c r="P458" s="5" t="str">
        <f>IFERROR(__xludf.DUMMYFUNCTION("""COMPUTED_VALUE"""),"")</f>
        <v/>
      </c>
      <c r="Q458" s="5" t="str">
        <f>IFERROR(__xludf.DUMMYFUNCTION("""COMPUTED_VALUE"""),"")</f>
        <v/>
      </c>
      <c r="R458" s="5" t="str">
        <f>IFERROR(__xludf.DUMMYFUNCTION("""COMPUTED_VALUE"""),"")</f>
        <v/>
      </c>
      <c r="S458" s="5" t="str">
        <f>IFERROR(__xludf.DUMMYFUNCTION("""COMPUTED_VALUE"""),"")</f>
        <v/>
      </c>
      <c r="T458" s="5" t="str">
        <f>IFERROR(__xludf.DUMMYFUNCTION("""COMPUTED_VALUE"""),"")</f>
        <v/>
      </c>
      <c r="U458" s="5" t="str">
        <f>IFERROR(__xludf.DUMMYFUNCTION("""COMPUTED_VALUE"""),"")</f>
        <v/>
      </c>
      <c r="V458" s="5" t="str">
        <f>IFERROR(__xludf.DUMMYFUNCTION("""COMPUTED_VALUE"""),"")</f>
        <v/>
      </c>
      <c r="W458" s="5" t="str">
        <f>IFERROR(__xludf.DUMMYFUNCTION("""COMPUTED_VALUE"""),"")</f>
        <v/>
      </c>
      <c r="X458" s="5" t="str">
        <f>IFERROR(__xludf.DUMMYFUNCTION("""COMPUTED_VALUE"""),"")</f>
        <v/>
      </c>
      <c r="Y458" s="5"/>
      <c r="Z458" s="5"/>
    </row>
    <row r="459">
      <c r="A459" s="5" t="str">
        <f>IFERROR(__xludf.DUMMYFUNCTION("""COMPUTED_VALUE"""),"Bonus Stars")</f>
        <v>Bonus Stars</v>
      </c>
      <c r="B459" s="5" t="str">
        <f>IFERROR(__xludf.DUMMYFUNCTION("""COMPUTED_VALUE"""),"")</f>
        <v/>
      </c>
      <c r="C459" s="5" t="str">
        <f>IFERROR(__xludf.DUMMYFUNCTION("""COMPUTED_VALUE"""),"")</f>
        <v/>
      </c>
      <c r="D459" s="5" t="str">
        <f>IFERROR(__xludf.DUMMYFUNCTION("""COMPUTED_VALUE"""),"")</f>
        <v/>
      </c>
      <c r="E459" s="5" t="str">
        <f>IFERROR(__xludf.DUMMYFUNCTION("""COMPUTED_VALUE"""),"")</f>
        <v/>
      </c>
      <c r="F459" s="5" t="str">
        <f>IFERROR(__xludf.DUMMYFUNCTION("""COMPUTED_VALUE"""),"")</f>
        <v/>
      </c>
      <c r="G459" s="5" t="str">
        <f>IFERROR(__xludf.DUMMYFUNCTION("""COMPUTED_VALUE"""),"")</f>
        <v/>
      </c>
      <c r="H459" s="5" t="str">
        <f>IFERROR(__xludf.DUMMYFUNCTION("""COMPUTED_VALUE"""),"")</f>
        <v/>
      </c>
      <c r="I459" s="5" t="str">
        <f>IFERROR(__xludf.DUMMYFUNCTION("""COMPUTED_VALUE"""),"")</f>
        <v/>
      </c>
      <c r="J459" s="5" t="str">
        <f>IFERROR(__xludf.DUMMYFUNCTION("""COMPUTED_VALUE"""),"")</f>
        <v/>
      </c>
      <c r="K459" s="5" t="str">
        <f>IFERROR(__xludf.DUMMYFUNCTION("""COMPUTED_VALUE"""),"")</f>
        <v/>
      </c>
      <c r="L459" s="5" t="str">
        <f>IFERROR(__xludf.DUMMYFUNCTION("""COMPUTED_VALUE"""),"")</f>
        <v/>
      </c>
      <c r="M459" s="5" t="str">
        <f>IFERROR(__xludf.DUMMYFUNCTION("""COMPUTED_VALUE"""),"")</f>
        <v/>
      </c>
      <c r="N459" s="5" t="str">
        <f>IFERROR(__xludf.DUMMYFUNCTION("""COMPUTED_VALUE"""),"")</f>
        <v/>
      </c>
      <c r="O459" s="5" t="str">
        <f>IFERROR(__xludf.DUMMYFUNCTION("""COMPUTED_VALUE"""),"")</f>
        <v/>
      </c>
      <c r="P459" s="5" t="str">
        <f>IFERROR(__xludf.DUMMYFUNCTION("""COMPUTED_VALUE"""),"")</f>
        <v/>
      </c>
      <c r="Q459" s="5" t="str">
        <f>IFERROR(__xludf.DUMMYFUNCTION("""COMPUTED_VALUE"""),"")</f>
        <v/>
      </c>
      <c r="R459" s="5" t="str">
        <f>IFERROR(__xludf.DUMMYFUNCTION("""COMPUTED_VALUE"""),"")</f>
        <v/>
      </c>
      <c r="S459" s="5" t="str">
        <f>IFERROR(__xludf.DUMMYFUNCTION("""COMPUTED_VALUE"""),"")</f>
        <v/>
      </c>
      <c r="T459" s="5" t="str">
        <f>IFERROR(__xludf.DUMMYFUNCTION("""COMPUTED_VALUE"""),"")</f>
        <v/>
      </c>
      <c r="U459" s="5" t="str">
        <f>IFERROR(__xludf.DUMMYFUNCTION("""COMPUTED_VALUE"""),"")</f>
        <v/>
      </c>
      <c r="V459" s="5" t="str">
        <f>IFERROR(__xludf.DUMMYFUNCTION("""COMPUTED_VALUE"""),"")</f>
        <v/>
      </c>
      <c r="W459" s="5" t="str">
        <f>IFERROR(__xludf.DUMMYFUNCTION("""COMPUTED_VALUE"""),"")</f>
        <v/>
      </c>
      <c r="X459" s="5" t="str">
        <f>IFERROR(__xludf.DUMMYFUNCTION("""COMPUTED_VALUE"""),"")</f>
        <v/>
      </c>
      <c r="Y459" s="5"/>
      <c r="Z459" s="5"/>
    </row>
    <row r="460">
      <c r="A460" s="5" t="str">
        <f>IFERROR(__xludf.DUMMYFUNCTION("""COMPUTED_VALUE"""),"5 Star Fire")</f>
        <v>5 Star Fire</v>
      </c>
      <c r="B460" s="5" t="str">
        <f>IFERROR(__xludf.DUMMYFUNCTION("""COMPUTED_VALUE"""),"")</f>
        <v/>
      </c>
      <c r="C460" s="5" t="str">
        <f>IFERROR(__xludf.DUMMYFUNCTION("""COMPUTED_VALUE"""),"")</f>
        <v/>
      </c>
      <c r="D460" s="5" t="str">
        <f>IFERROR(__xludf.DUMMYFUNCTION("""COMPUTED_VALUE"""),"")</f>
        <v/>
      </c>
      <c r="E460" s="5" t="str">
        <f>IFERROR(__xludf.DUMMYFUNCTION("""COMPUTED_VALUE"""),"")</f>
        <v/>
      </c>
      <c r="F460" s="5" t="str">
        <f>IFERROR(__xludf.DUMMYFUNCTION("""COMPUTED_VALUE"""),"")</f>
        <v/>
      </c>
      <c r="G460" s="5" t="str">
        <f>IFERROR(__xludf.DUMMYFUNCTION("""COMPUTED_VALUE"""),"")</f>
        <v/>
      </c>
      <c r="H460" s="5" t="str">
        <f>IFERROR(__xludf.DUMMYFUNCTION("""COMPUTED_VALUE"""),"")</f>
        <v/>
      </c>
      <c r="I460" s="5" t="str">
        <f>IFERROR(__xludf.DUMMYFUNCTION("""COMPUTED_VALUE"""),"")</f>
        <v/>
      </c>
      <c r="J460" s="5" t="str">
        <f>IFERROR(__xludf.DUMMYFUNCTION("""COMPUTED_VALUE"""),"")</f>
        <v/>
      </c>
      <c r="K460" s="5" t="str">
        <f>IFERROR(__xludf.DUMMYFUNCTION("""COMPUTED_VALUE"""),"")</f>
        <v/>
      </c>
      <c r="L460" s="5" t="str">
        <f>IFERROR(__xludf.DUMMYFUNCTION("""COMPUTED_VALUE"""),"")</f>
        <v/>
      </c>
      <c r="M460" s="5" t="str">
        <f>IFERROR(__xludf.DUMMYFUNCTION("""COMPUTED_VALUE"""),"")</f>
        <v/>
      </c>
      <c r="N460" s="5" t="str">
        <f>IFERROR(__xludf.DUMMYFUNCTION("""COMPUTED_VALUE"""),"")</f>
        <v/>
      </c>
      <c r="O460" s="5" t="str">
        <f>IFERROR(__xludf.DUMMYFUNCTION("""COMPUTED_VALUE"""),"")</f>
        <v/>
      </c>
      <c r="P460" s="5" t="str">
        <f>IFERROR(__xludf.DUMMYFUNCTION("""COMPUTED_VALUE"""),"")</f>
        <v/>
      </c>
      <c r="Q460" s="5" t="str">
        <f>IFERROR(__xludf.DUMMYFUNCTION("""COMPUTED_VALUE"""),"")</f>
        <v/>
      </c>
      <c r="R460" s="5" t="str">
        <f>IFERROR(__xludf.DUMMYFUNCTION("""COMPUTED_VALUE"""),"")</f>
        <v/>
      </c>
      <c r="S460" s="5" t="str">
        <f>IFERROR(__xludf.DUMMYFUNCTION("""COMPUTED_VALUE"""),"")</f>
        <v/>
      </c>
      <c r="T460" s="5" t="str">
        <f>IFERROR(__xludf.DUMMYFUNCTION("""COMPUTED_VALUE"""),"")</f>
        <v/>
      </c>
      <c r="U460" s="5" t="str">
        <f>IFERROR(__xludf.DUMMYFUNCTION("""COMPUTED_VALUE"""),"")</f>
        <v/>
      </c>
      <c r="V460" s="5" t="str">
        <f>IFERROR(__xludf.DUMMYFUNCTION("""COMPUTED_VALUE"""),"")</f>
        <v/>
      </c>
      <c r="W460" s="5" t="str">
        <f>IFERROR(__xludf.DUMMYFUNCTION("""COMPUTED_VALUE"""),"")</f>
        <v/>
      </c>
      <c r="X460" s="5" t="str">
        <f>IFERROR(__xludf.DUMMYFUNCTION("""COMPUTED_VALUE"""),"")</f>
        <v/>
      </c>
      <c r="Y460" s="5"/>
      <c r="Z460" s="5"/>
    </row>
    <row r="461">
      <c r="A461" s="5" t="str">
        <f>IFERROR(__xludf.DUMMYFUNCTION("""COMPUTED_VALUE"""),"Crush Bonanza")</f>
        <v>Crush Bonanza</v>
      </c>
      <c r="B461" s="5" t="str">
        <f>IFERROR(__xludf.DUMMYFUNCTION("""COMPUTED_VALUE"""),"")</f>
        <v/>
      </c>
      <c r="C461" s="5" t="str">
        <f>IFERROR(__xludf.DUMMYFUNCTION("""COMPUTED_VALUE"""),"")</f>
        <v/>
      </c>
      <c r="D461" s="5" t="str">
        <f>IFERROR(__xludf.DUMMYFUNCTION("""COMPUTED_VALUE"""),"")</f>
        <v/>
      </c>
      <c r="E461" s="5" t="str">
        <f>IFERROR(__xludf.DUMMYFUNCTION("""COMPUTED_VALUE"""),"")</f>
        <v/>
      </c>
      <c r="F461" s="5" t="str">
        <f>IFERROR(__xludf.DUMMYFUNCTION("""COMPUTED_VALUE"""),"")</f>
        <v/>
      </c>
      <c r="G461" s="5" t="str">
        <f>IFERROR(__xludf.DUMMYFUNCTION("""COMPUTED_VALUE"""),"")</f>
        <v/>
      </c>
      <c r="H461" s="5" t="str">
        <f>IFERROR(__xludf.DUMMYFUNCTION("""COMPUTED_VALUE"""),"")</f>
        <v/>
      </c>
      <c r="I461" s="5" t="str">
        <f>IFERROR(__xludf.DUMMYFUNCTION("""COMPUTED_VALUE"""),"")</f>
        <v/>
      </c>
      <c r="J461" s="5" t="str">
        <f>IFERROR(__xludf.DUMMYFUNCTION("""COMPUTED_VALUE"""),"")</f>
        <v/>
      </c>
      <c r="K461" s="5" t="str">
        <f>IFERROR(__xludf.DUMMYFUNCTION("""COMPUTED_VALUE"""),"")</f>
        <v/>
      </c>
      <c r="L461" s="5" t="str">
        <f>IFERROR(__xludf.DUMMYFUNCTION("""COMPUTED_VALUE"""),"")</f>
        <v/>
      </c>
      <c r="M461" s="5" t="str">
        <f>IFERROR(__xludf.DUMMYFUNCTION("""COMPUTED_VALUE"""),"")</f>
        <v/>
      </c>
      <c r="N461" s="5" t="str">
        <f>IFERROR(__xludf.DUMMYFUNCTION("""COMPUTED_VALUE"""),"")</f>
        <v/>
      </c>
      <c r="O461" s="5" t="str">
        <f>IFERROR(__xludf.DUMMYFUNCTION("""COMPUTED_VALUE"""),"")</f>
        <v/>
      </c>
      <c r="P461" s="5" t="str">
        <f>IFERROR(__xludf.DUMMYFUNCTION("""COMPUTED_VALUE"""),"")</f>
        <v/>
      </c>
      <c r="Q461" s="5" t="str">
        <f>IFERROR(__xludf.DUMMYFUNCTION("""COMPUTED_VALUE"""),"")</f>
        <v/>
      </c>
      <c r="R461" s="5" t="str">
        <f>IFERROR(__xludf.DUMMYFUNCTION("""COMPUTED_VALUE"""),"")</f>
        <v/>
      </c>
      <c r="S461" s="5" t="str">
        <f>IFERROR(__xludf.DUMMYFUNCTION("""COMPUTED_VALUE"""),"")</f>
        <v/>
      </c>
      <c r="T461" s="5" t="str">
        <f>IFERROR(__xludf.DUMMYFUNCTION("""COMPUTED_VALUE"""),"")</f>
        <v/>
      </c>
      <c r="U461" s="5" t="str">
        <f>IFERROR(__xludf.DUMMYFUNCTION("""COMPUTED_VALUE"""),"")</f>
        <v/>
      </c>
      <c r="V461" s="5" t="str">
        <f>IFERROR(__xludf.DUMMYFUNCTION("""COMPUTED_VALUE"""),"")</f>
        <v/>
      </c>
      <c r="W461" s="5" t="str">
        <f>IFERROR(__xludf.DUMMYFUNCTION("""COMPUTED_VALUE"""),"")</f>
        <v/>
      </c>
      <c r="X461" s="5" t="str">
        <f>IFERROR(__xludf.DUMMYFUNCTION("""COMPUTED_VALUE"""),"")</f>
        <v/>
      </c>
      <c r="Y461" s="5"/>
      <c r="Z461" s="5"/>
    </row>
    <row r="462">
      <c r="A462" s="5" t="str">
        <f>IFERROR(__xludf.DUMMYFUNCTION("""COMPUTED_VALUE"""),"Sticky Brilliants")</f>
        <v>Sticky Brilliants</v>
      </c>
      <c r="B462" s="5" t="str">
        <f>IFERROR(__xludf.DUMMYFUNCTION("""COMPUTED_VALUE"""),"")</f>
        <v/>
      </c>
      <c r="C462" s="5" t="str">
        <f>IFERROR(__xludf.DUMMYFUNCTION("""COMPUTED_VALUE"""),"")</f>
        <v/>
      </c>
      <c r="D462" s="5" t="str">
        <f>IFERROR(__xludf.DUMMYFUNCTION("""COMPUTED_VALUE"""),"")</f>
        <v/>
      </c>
      <c r="E462" s="5" t="str">
        <f>IFERROR(__xludf.DUMMYFUNCTION("""COMPUTED_VALUE"""),"")</f>
        <v/>
      </c>
      <c r="F462" s="5" t="str">
        <f>IFERROR(__xludf.DUMMYFUNCTION("""COMPUTED_VALUE"""),"")</f>
        <v/>
      </c>
      <c r="G462" s="5" t="str">
        <f>IFERROR(__xludf.DUMMYFUNCTION("""COMPUTED_VALUE"""),"")</f>
        <v/>
      </c>
      <c r="H462" s="5" t="str">
        <f>IFERROR(__xludf.DUMMYFUNCTION("""COMPUTED_VALUE"""),"")</f>
        <v/>
      </c>
      <c r="I462" s="5" t="str">
        <f>IFERROR(__xludf.DUMMYFUNCTION("""COMPUTED_VALUE"""),"")</f>
        <v/>
      </c>
      <c r="J462" s="5" t="str">
        <f>IFERROR(__xludf.DUMMYFUNCTION("""COMPUTED_VALUE"""),"")</f>
        <v/>
      </c>
      <c r="K462" s="5" t="str">
        <f>IFERROR(__xludf.DUMMYFUNCTION("""COMPUTED_VALUE"""),"")</f>
        <v/>
      </c>
      <c r="L462" s="5" t="str">
        <f>IFERROR(__xludf.DUMMYFUNCTION("""COMPUTED_VALUE"""),"")</f>
        <v/>
      </c>
      <c r="M462" s="5" t="str">
        <f>IFERROR(__xludf.DUMMYFUNCTION("""COMPUTED_VALUE"""),"")</f>
        <v/>
      </c>
      <c r="N462" s="5" t="str">
        <f>IFERROR(__xludf.DUMMYFUNCTION("""COMPUTED_VALUE"""),"")</f>
        <v/>
      </c>
      <c r="O462" s="5" t="str">
        <f>IFERROR(__xludf.DUMMYFUNCTION("""COMPUTED_VALUE"""),"")</f>
        <v/>
      </c>
      <c r="P462" s="5" t="str">
        <f>IFERROR(__xludf.DUMMYFUNCTION("""COMPUTED_VALUE"""),"")</f>
        <v/>
      </c>
      <c r="Q462" s="5" t="str">
        <f>IFERROR(__xludf.DUMMYFUNCTION("""COMPUTED_VALUE"""),"")</f>
        <v/>
      </c>
      <c r="R462" s="5" t="str">
        <f>IFERROR(__xludf.DUMMYFUNCTION("""COMPUTED_VALUE"""),"")</f>
        <v/>
      </c>
      <c r="S462" s="5" t="str">
        <f>IFERROR(__xludf.DUMMYFUNCTION("""COMPUTED_VALUE"""),"")</f>
        <v/>
      </c>
      <c r="T462" s="5" t="str">
        <f>IFERROR(__xludf.DUMMYFUNCTION("""COMPUTED_VALUE"""),"")</f>
        <v/>
      </c>
      <c r="U462" s="5" t="str">
        <f>IFERROR(__xludf.DUMMYFUNCTION("""COMPUTED_VALUE"""),"")</f>
        <v/>
      </c>
      <c r="V462" s="5" t="str">
        <f>IFERROR(__xludf.DUMMYFUNCTION("""COMPUTED_VALUE"""),"")</f>
        <v/>
      </c>
      <c r="W462" s="5" t="str">
        <f>IFERROR(__xludf.DUMMYFUNCTION("""COMPUTED_VALUE"""),"")</f>
        <v/>
      </c>
      <c r="X462" s="5" t="str">
        <f>IFERROR(__xludf.DUMMYFUNCTION("""COMPUTED_VALUE"""),"")</f>
        <v/>
      </c>
      <c r="Y462" s="5"/>
      <c r="Z462" s="5"/>
    </row>
    <row r="463">
      <c r="A463" s="5" t="str">
        <f>IFERROR(__xludf.DUMMYFUNCTION("""COMPUTED_VALUE"""),"Book of Mystic")</f>
        <v>Book of Mystic</v>
      </c>
      <c r="B463" s="5" t="str">
        <f>IFERROR(__xludf.DUMMYFUNCTION("""COMPUTED_VALUE"""),"")</f>
        <v/>
      </c>
      <c r="C463" s="5" t="str">
        <f>IFERROR(__xludf.DUMMYFUNCTION("""COMPUTED_VALUE"""),"")</f>
        <v/>
      </c>
      <c r="D463" s="5" t="str">
        <f>IFERROR(__xludf.DUMMYFUNCTION("""COMPUTED_VALUE"""),"")</f>
        <v/>
      </c>
      <c r="E463" s="5" t="str">
        <f>IFERROR(__xludf.DUMMYFUNCTION("""COMPUTED_VALUE"""),"")</f>
        <v/>
      </c>
      <c r="F463" s="5" t="str">
        <f>IFERROR(__xludf.DUMMYFUNCTION("""COMPUTED_VALUE"""),"")</f>
        <v/>
      </c>
      <c r="G463" s="5" t="str">
        <f>IFERROR(__xludf.DUMMYFUNCTION("""COMPUTED_VALUE"""),"")</f>
        <v/>
      </c>
      <c r="H463" s="5" t="str">
        <f>IFERROR(__xludf.DUMMYFUNCTION("""COMPUTED_VALUE"""),"")</f>
        <v/>
      </c>
      <c r="I463" s="5" t="str">
        <f>IFERROR(__xludf.DUMMYFUNCTION("""COMPUTED_VALUE"""),"")</f>
        <v/>
      </c>
      <c r="J463" s="5" t="str">
        <f>IFERROR(__xludf.DUMMYFUNCTION("""COMPUTED_VALUE"""),"")</f>
        <v/>
      </c>
      <c r="K463" s="5" t="str">
        <f>IFERROR(__xludf.DUMMYFUNCTION("""COMPUTED_VALUE"""),"")</f>
        <v/>
      </c>
      <c r="L463" s="5" t="str">
        <f>IFERROR(__xludf.DUMMYFUNCTION("""COMPUTED_VALUE"""),"")</f>
        <v/>
      </c>
      <c r="M463" s="5" t="str">
        <f>IFERROR(__xludf.DUMMYFUNCTION("""COMPUTED_VALUE"""),"")</f>
        <v/>
      </c>
      <c r="N463" s="5" t="str">
        <f>IFERROR(__xludf.DUMMYFUNCTION("""COMPUTED_VALUE"""),"")</f>
        <v/>
      </c>
      <c r="O463" s="5" t="str">
        <f>IFERROR(__xludf.DUMMYFUNCTION("""COMPUTED_VALUE"""),"")</f>
        <v/>
      </c>
      <c r="P463" s="5" t="str">
        <f>IFERROR(__xludf.DUMMYFUNCTION("""COMPUTED_VALUE"""),"")</f>
        <v/>
      </c>
      <c r="Q463" s="5" t="str">
        <f>IFERROR(__xludf.DUMMYFUNCTION("""COMPUTED_VALUE"""),"")</f>
        <v/>
      </c>
      <c r="R463" s="5" t="str">
        <f>IFERROR(__xludf.DUMMYFUNCTION("""COMPUTED_VALUE"""),"")</f>
        <v/>
      </c>
      <c r="S463" s="5" t="str">
        <f>IFERROR(__xludf.DUMMYFUNCTION("""COMPUTED_VALUE"""),"")</f>
        <v/>
      </c>
      <c r="T463" s="5" t="str">
        <f>IFERROR(__xludf.DUMMYFUNCTION("""COMPUTED_VALUE"""),"")</f>
        <v/>
      </c>
      <c r="U463" s="5" t="str">
        <f>IFERROR(__xludf.DUMMYFUNCTION("""COMPUTED_VALUE"""),"")</f>
        <v/>
      </c>
      <c r="V463" s="5" t="str">
        <f>IFERROR(__xludf.DUMMYFUNCTION("""COMPUTED_VALUE"""),"")</f>
        <v/>
      </c>
      <c r="W463" s="5" t="str">
        <f>IFERROR(__xludf.DUMMYFUNCTION("""COMPUTED_VALUE"""),"")</f>
        <v/>
      </c>
      <c r="X463" s="5" t="str">
        <f>IFERROR(__xludf.DUMMYFUNCTION("""COMPUTED_VALUE"""),"")</f>
        <v/>
      </c>
      <c r="Y463" s="5"/>
      <c r="Z463" s="5"/>
    </row>
    <row r="464">
      <c r="A464" s="5" t="str">
        <f>IFERROR(__xludf.DUMMYFUNCTION("""COMPUTED_VALUE"""),"Clover Drop")</f>
        <v>Clover Drop</v>
      </c>
      <c r="B464" s="5" t="str">
        <f>IFERROR(__xludf.DUMMYFUNCTION("""COMPUTED_VALUE"""),"")</f>
        <v/>
      </c>
      <c r="C464" s="5" t="str">
        <f>IFERROR(__xludf.DUMMYFUNCTION("""COMPUTED_VALUE"""),"")</f>
        <v/>
      </c>
      <c r="D464" s="5" t="str">
        <f>IFERROR(__xludf.DUMMYFUNCTION("""COMPUTED_VALUE"""),"")</f>
        <v/>
      </c>
      <c r="E464" s="5" t="str">
        <f>IFERROR(__xludf.DUMMYFUNCTION("""COMPUTED_VALUE"""),"")</f>
        <v/>
      </c>
      <c r="F464" s="5" t="str">
        <f>IFERROR(__xludf.DUMMYFUNCTION("""COMPUTED_VALUE"""),"")</f>
        <v/>
      </c>
      <c r="G464" s="5" t="str">
        <f>IFERROR(__xludf.DUMMYFUNCTION("""COMPUTED_VALUE"""),"")</f>
        <v/>
      </c>
      <c r="H464" s="5" t="str">
        <f>IFERROR(__xludf.DUMMYFUNCTION("""COMPUTED_VALUE"""),"")</f>
        <v/>
      </c>
      <c r="I464" s="5" t="str">
        <f>IFERROR(__xludf.DUMMYFUNCTION("""COMPUTED_VALUE"""),"")</f>
        <v/>
      </c>
      <c r="J464" s="5" t="str">
        <f>IFERROR(__xludf.DUMMYFUNCTION("""COMPUTED_VALUE"""),"")</f>
        <v/>
      </c>
      <c r="K464" s="5" t="str">
        <f>IFERROR(__xludf.DUMMYFUNCTION("""COMPUTED_VALUE"""),"")</f>
        <v/>
      </c>
      <c r="L464" s="5" t="str">
        <f>IFERROR(__xludf.DUMMYFUNCTION("""COMPUTED_VALUE"""),"")</f>
        <v/>
      </c>
      <c r="M464" s="5" t="str">
        <f>IFERROR(__xludf.DUMMYFUNCTION("""COMPUTED_VALUE"""),"")</f>
        <v/>
      </c>
      <c r="N464" s="5" t="str">
        <f>IFERROR(__xludf.DUMMYFUNCTION("""COMPUTED_VALUE"""),"")</f>
        <v/>
      </c>
      <c r="O464" s="5" t="str">
        <f>IFERROR(__xludf.DUMMYFUNCTION("""COMPUTED_VALUE"""),"")</f>
        <v/>
      </c>
      <c r="P464" s="5" t="str">
        <f>IFERROR(__xludf.DUMMYFUNCTION("""COMPUTED_VALUE"""),"")</f>
        <v/>
      </c>
      <c r="Q464" s="5" t="str">
        <f>IFERROR(__xludf.DUMMYFUNCTION("""COMPUTED_VALUE"""),"")</f>
        <v/>
      </c>
      <c r="R464" s="5" t="str">
        <f>IFERROR(__xludf.DUMMYFUNCTION("""COMPUTED_VALUE"""),"")</f>
        <v/>
      </c>
      <c r="S464" s="5" t="str">
        <f>IFERROR(__xludf.DUMMYFUNCTION("""COMPUTED_VALUE"""),"")</f>
        <v/>
      </c>
      <c r="T464" s="5" t="str">
        <f>IFERROR(__xludf.DUMMYFUNCTION("""COMPUTED_VALUE"""),"")</f>
        <v/>
      </c>
      <c r="U464" s="5" t="str">
        <f>IFERROR(__xludf.DUMMYFUNCTION("""COMPUTED_VALUE"""),"")</f>
        <v/>
      </c>
      <c r="V464" s="5" t="str">
        <f>IFERROR(__xludf.DUMMYFUNCTION("""COMPUTED_VALUE"""),"")</f>
        <v/>
      </c>
      <c r="W464" s="5" t="str">
        <f>IFERROR(__xludf.DUMMYFUNCTION("""COMPUTED_VALUE"""),"")</f>
        <v/>
      </c>
      <c r="X464" s="5" t="str">
        <f>IFERROR(__xludf.DUMMYFUNCTION("""COMPUTED_VALUE"""),"")</f>
        <v/>
      </c>
      <c r="Y464" s="5"/>
      <c r="Z464" s="5"/>
    </row>
    <row r="465">
      <c r="A465" s="5" t="str">
        <f>IFERROR(__xludf.DUMMYFUNCTION("""COMPUTED_VALUE"""),"Clover Spread 40")</f>
        <v>Clover Spread 40</v>
      </c>
      <c r="B465" s="5" t="str">
        <f>IFERROR(__xludf.DUMMYFUNCTION("""COMPUTED_VALUE"""),"")</f>
        <v/>
      </c>
      <c r="C465" s="5" t="str">
        <f>IFERROR(__xludf.DUMMYFUNCTION("""COMPUTED_VALUE"""),"")</f>
        <v/>
      </c>
      <c r="D465" s="5" t="str">
        <f>IFERROR(__xludf.DUMMYFUNCTION("""COMPUTED_VALUE"""),"")</f>
        <v/>
      </c>
      <c r="E465" s="5" t="str">
        <f>IFERROR(__xludf.DUMMYFUNCTION("""COMPUTED_VALUE"""),"")</f>
        <v/>
      </c>
      <c r="F465" s="5" t="str">
        <f>IFERROR(__xludf.DUMMYFUNCTION("""COMPUTED_VALUE"""),"")</f>
        <v/>
      </c>
      <c r="G465" s="5" t="str">
        <f>IFERROR(__xludf.DUMMYFUNCTION("""COMPUTED_VALUE"""),"")</f>
        <v/>
      </c>
      <c r="H465" s="5" t="str">
        <f>IFERROR(__xludf.DUMMYFUNCTION("""COMPUTED_VALUE"""),"")</f>
        <v/>
      </c>
      <c r="I465" s="5" t="str">
        <f>IFERROR(__xludf.DUMMYFUNCTION("""COMPUTED_VALUE"""),"")</f>
        <v/>
      </c>
      <c r="J465" s="5" t="str">
        <f>IFERROR(__xludf.DUMMYFUNCTION("""COMPUTED_VALUE"""),"")</f>
        <v/>
      </c>
      <c r="K465" s="5" t="str">
        <f>IFERROR(__xludf.DUMMYFUNCTION("""COMPUTED_VALUE"""),"")</f>
        <v/>
      </c>
      <c r="L465" s="5" t="str">
        <f>IFERROR(__xludf.DUMMYFUNCTION("""COMPUTED_VALUE"""),"")</f>
        <v/>
      </c>
      <c r="M465" s="5" t="str">
        <f>IFERROR(__xludf.DUMMYFUNCTION("""COMPUTED_VALUE"""),"")</f>
        <v/>
      </c>
      <c r="N465" s="5" t="str">
        <f>IFERROR(__xludf.DUMMYFUNCTION("""COMPUTED_VALUE"""),"")</f>
        <v/>
      </c>
      <c r="O465" s="5" t="str">
        <f>IFERROR(__xludf.DUMMYFUNCTION("""COMPUTED_VALUE"""),"")</f>
        <v/>
      </c>
      <c r="P465" s="5" t="str">
        <f>IFERROR(__xludf.DUMMYFUNCTION("""COMPUTED_VALUE"""),"")</f>
        <v/>
      </c>
      <c r="Q465" s="5" t="str">
        <f>IFERROR(__xludf.DUMMYFUNCTION("""COMPUTED_VALUE"""),"")</f>
        <v/>
      </c>
      <c r="R465" s="5" t="str">
        <f>IFERROR(__xludf.DUMMYFUNCTION("""COMPUTED_VALUE"""),"")</f>
        <v/>
      </c>
      <c r="S465" s="5" t="str">
        <f>IFERROR(__xludf.DUMMYFUNCTION("""COMPUTED_VALUE"""),"")</f>
        <v/>
      </c>
      <c r="T465" s="5" t="str">
        <f>IFERROR(__xludf.DUMMYFUNCTION("""COMPUTED_VALUE"""),"")</f>
        <v/>
      </c>
      <c r="U465" s="5" t="str">
        <f>IFERROR(__xludf.DUMMYFUNCTION("""COMPUTED_VALUE"""),"")</f>
        <v/>
      </c>
      <c r="V465" s="5" t="str">
        <f>IFERROR(__xludf.DUMMYFUNCTION("""COMPUTED_VALUE"""),"")</f>
        <v/>
      </c>
      <c r="W465" s="5" t="str">
        <f>IFERROR(__xludf.DUMMYFUNCTION("""COMPUTED_VALUE"""),"")</f>
        <v/>
      </c>
      <c r="X465" s="5" t="str">
        <f>IFERROR(__xludf.DUMMYFUNCTION("""COMPUTED_VALUE"""),"")</f>
        <v/>
      </c>
      <c r="Y465" s="5"/>
      <c r="Z465" s="5"/>
    </row>
    <row r="466">
      <c r="A466" s="5" t="str">
        <f>IFERROR(__xludf.DUMMYFUNCTION("""COMPUTED_VALUE"""),"Majestic Crown x2")</f>
        <v>Majestic Crown x2</v>
      </c>
      <c r="B466" s="5" t="str">
        <f>IFERROR(__xludf.DUMMYFUNCTION("""COMPUTED_VALUE"""),"")</f>
        <v/>
      </c>
      <c r="C466" s="5" t="str">
        <f>IFERROR(__xludf.DUMMYFUNCTION("""COMPUTED_VALUE"""),"")</f>
        <v/>
      </c>
      <c r="D466" s="5" t="str">
        <f>IFERROR(__xludf.DUMMYFUNCTION("""COMPUTED_VALUE"""),"")</f>
        <v/>
      </c>
      <c r="E466" s="5" t="str">
        <f>IFERROR(__xludf.DUMMYFUNCTION("""COMPUTED_VALUE"""),"")</f>
        <v/>
      </c>
      <c r="F466" s="5" t="str">
        <f>IFERROR(__xludf.DUMMYFUNCTION("""COMPUTED_VALUE"""),"")</f>
        <v/>
      </c>
      <c r="G466" s="5" t="str">
        <f>IFERROR(__xludf.DUMMYFUNCTION("""COMPUTED_VALUE"""),"")</f>
        <v/>
      </c>
      <c r="H466" s="5" t="str">
        <f>IFERROR(__xludf.DUMMYFUNCTION("""COMPUTED_VALUE"""),"")</f>
        <v/>
      </c>
      <c r="I466" s="5" t="str">
        <f>IFERROR(__xludf.DUMMYFUNCTION("""COMPUTED_VALUE"""),"")</f>
        <v/>
      </c>
      <c r="J466" s="5" t="str">
        <f>IFERROR(__xludf.DUMMYFUNCTION("""COMPUTED_VALUE"""),"")</f>
        <v/>
      </c>
      <c r="K466" s="5" t="str">
        <f>IFERROR(__xludf.DUMMYFUNCTION("""COMPUTED_VALUE"""),"")</f>
        <v/>
      </c>
      <c r="L466" s="5" t="str">
        <f>IFERROR(__xludf.DUMMYFUNCTION("""COMPUTED_VALUE"""),"")</f>
        <v/>
      </c>
      <c r="M466" s="5" t="str">
        <f>IFERROR(__xludf.DUMMYFUNCTION("""COMPUTED_VALUE"""),"")</f>
        <v/>
      </c>
      <c r="N466" s="5" t="str">
        <f>IFERROR(__xludf.DUMMYFUNCTION("""COMPUTED_VALUE"""),"")</f>
        <v/>
      </c>
      <c r="O466" s="5" t="str">
        <f>IFERROR(__xludf.DUMMYFUNCTION("""COMPUTED_VALUE"""),"")</f>
        <v/>
      </c>
      <c r="P466" s="5" t="str">
        <f>IFERROR(__xludf.DUMMYFUNCTION("""COMPUTED_VALUE"""),"")</f>
        <v/>
      </c>
      <c r="Q466" s="5" t="str">
        <f>IFERROR(__xludf.DUMMYFUNCTION("""COMPUTED_VALUE"""),"")</f>
        <v/>
      </c>
      <c r="R466" s="5" t="str">
        <f>IFERROR(__xludf.DUMMYFUNCTION("""COMPUTED_VALUE"""),"")</f>
        <v/>
      </c>
      <c r="S466" s="5" t="str">
        <f>IFERROR(__xludf.DUMMYFUNCTION("""COMPUTED_VALUE"""),"")</f>
        <v/>
      </c>
      <c r="T466" s="5" t="str">
        <f>IFERROR(__xludf.DUMMYFUNCTION("""COMPUTED_VALUE"""),"")</f>
        <v/>
      </c>
      <c r="U466" s="5" t="str">
        <f>IFERROR(__xludf.DUMMYFUNCTION("""COMPUTED_VALUE"""),"")</f>
        <v/>
      </c>
      <c r="V466" s="5" t="str">
        <f>IFERROR(__xludf.DUMMYFUNCTION("""COMPUTED_VALUE"""),"")</f>
        <v/>
      </c>
      <c r="W466" s="5" t="str">
        <f>IFERROR(__xludf.DUMMYFUNCTION("""COMPUTED_VALUE"""),"")</f>
        <v/>
      </c>
      <c r="X466" s="5" t="str">
        <f>IFERROR(__xludf.DUMMYFUNCTION("""COMPUTED_VALUE"""),"")</f>
        <v/>
      </c>
      <c r="Y466" s="5"/>
      <c r="Z466" s="5"/>
    </row>
    <row r="467">
      <c r="A467" s="5" t="str">
        <f>IFERROR(__xludf.DUMMYFUNCTION("""COMPUTED_VALUE"""),"Bit Slot")</f>
        <v>Bit Slot</v>
      </c>
      <c r="B467" s="5" t="str">
        <f>IFERROR(__xludf.DUMMYFUNCTION("""COMPUTED_VALUE"""),"")</f>
        <v/>
      </c>
      <c r="C467" s="5" t="str">
        <f>IFERROR(__xludf.DUMMYFUNCTION("""COMPUTED_VALUE"""),"")</f>
        <v/>
      </c>
      <c r="D467" s="5" t="str">
        <f>IFERROR(__xludf.DUMMYFUNCTION("""COMPUTED_VALUE"""),"")</f>
        <v/>
      </c>
      <c r="E467" s="5" t="str">
        <f>IFERROR(__xludf.DUMMYFUNCTION("""COMPUTED_VALUE"""),"")</f>
        <v/>
      </c>
      <c r="F467" s="5" t="str">
        <f>IFERROR(__xludf.DUMMYFUNCTION("""COMPUTED_VALUE"""),"")</f>
        <v/>
      </c>
      <c r="G467" s="5" t="str">
        <f>IFERROR(__xludf.DUMMYFUNCTION("""COMPUTED_VALUE"""),"")</f>
        <v/>
      </c>
      <c r="H467" s="5" t="str">
        <f>IFERROR(__xludf.DUMMYFUNCTION("""COMPUTED_VALUE"""),"")</f>
        <v/>
      </c>
      <c r="I467" s="5" t="str">
        <f>IFERROR(__xludf.DUMMYFUNCTION("""COMPUTED_VALUE"""),"")</f>
        <v/>
      </c>
      <c r="J467" s="5" t="str">
        <f>IFERROR(__xludf.DUMMYFUNCTION("""COMPUTED_VALUE"""),"")</f>
        <v/>
      </c>
      <c r="K467" s="5" t="str">
        <f>IFERROR(__xludf.DUMMYFUNCTION("""COMPUTED_VALUE"""),"")</f>
        <v/>
      </c>
      <c r="L467" s="5" t="str">
        <f>IFERROR(__xludf.DUMMYFUNCTION("""COMPUTED_VALUE"""),"")</f>
        <v/>
      </c>
      <c r="M467" s="5" t="str">
        <f>IFERROR(__xludf.DUMMYFUNCTION("""COMPUTED_VALUE"""),"")</f>
        <v/>
      </c>
      <c r="N467" s="5" t="str">
        <f>IFERROR(__xludf.DUMMYFUNCTION("""COMPUTED_VALUE"""),"")</f>
        <v/>
      </c>
      <c r="O467" s="5" t="str">
        <f>IFERROR(__xludf.DUMMYFUNCTION("""COMPUTED_VALUE"""),"")</f>
        <v/>
      </c>
      <c r="P467" s="5" t="str">
        <f>IFERROR(__xludf.DUMMYFUNCTION("""COMPUTED_VALUE"""),"")</f>
        <v/>
      </c>
      <c r="Q467" s="5" t="str">
        <f>IFERROR(__xludf.DUMMYFUNCTION("""COMPUTED_VALUE"""),"")</f>
        <v/>
      </c>
      <c r="R467" s="5" t="str">
        <f>IFERROR(__xludf.DUMMYFUNCTION("""COMPUTED_VALUE"""),"")</f>
        <v/>
      </c>
      <c r="S467" s="5" t="str">
        <f>IFERROR(__xludf.DUMMYFUNCTION("""COMPUTED_VALUE"""),"")</f>
        <v/>
      </c>
      <c r="T467" s="5" t="str">
        <f>IFERROR(__xludf.DUMMYFUNCTION("""COMPUTED_VALUE"""),"")</f>
        <v/>
      </c>
      <c r="U467" s="5" t="str">
        <f>IFERROR(__xludf.DUMMYFUNCTION("""COMPUTED_VALUE"""),"")</f>
        <v/>
      </c>
      <c r="V467" s="5" t="str">
        <f>IFERROR(__xludf.DUMMYFUNCTION("""COMPUTED_VALUE"""),"")</f>
        <v/>
      </c>
      <c r="W467" s="5" t="str">
        <f>IFERROR(__xludf.DUMMYFUNCTION("""COMPUTED_VALUE"""),"")</f>
        <v/>
      </c>
      <c r="X467" s="5" t="str">
        <f>IFERROR(__xludf.DUMMYFUNCTION("""COMPUTED_VALUE"""),"")</f>
        <v/>
      </c>
      <c r="Y467" s="5"/>
      <c r="Z467" s="5"/>
    </row>
    <row r="468">
      <c r="A468" s="5" t="str">
        <f>IFERROR(__xludf.DUMMYFUNCTION("""COMPUTED_VALUE"""),"Fortune Clover 10")</f>
        <v>Fortune Clover 10</v>
      </c>
      <c r="B468" s="5" t="str">
        <f>IFERROR(__xludf.DUMMYFUNCTION("""COMPUTED_VALUE"""),"")</f>
        <v/>
      </c>
      <c r="C468" s="5" t="str">
        <f>IFERROR(__xludf.DUMMYFUNCTION("""COMPUTED_VALUE"""),"")</f>
        <v/>
      </c>
      <c r="D468" s="5" t="str">
        <f>IFERROR(__xludf.DUMMYFUNCTION("""COMPUTED_VALUE"""),"")</f>
        <v/>
      </c>
      <c r="E468" s="5" t="str">
        <f>IFERROR(__xludf.DUMMYFUNCTION("""COMPUTED_VALUE"""),"")</f>
        <v/>
      </c>
      <c r="F468" s="5" t="str">
        <f>IFERROR(__xludf.DUMMYFUNCTION("""COMPUTED_VALUE"""),"")</f>
        <v/>
      </c>
      <c r="G468" s="5" t="str">
        <f>IFERROR(__xludf.DUMMYFUNCTION("""COMPUTED_VALUE"""),"")</f>
        <v/>
      </c>
      <c r="H468" s="5" t="str">
        <f>IFERROR(__xludf.DUMMYFUNCTION("""COMPUTED_VALUE"""),"")</f>
        <v/>
      </c>
      <c r="I468" s="5" t="str">
        <f>IFERROR(__xludf.DUMMYFUNCTION("""COMPUTED_VALUE"""),"")</f>
        <v/>
      </c>
      <c r="J468" s="5" t="str">
        <f>IFERROR(__xludf.DUMMYFUNCTION("""COMPUTED_VALUE"""),"")</f>
        <v/>
      </c>
      <c r="K468" s="5" t="str">
        <f>IFERROR(__xludf.DUMMYFUNCTION("""COMPUTED_VALUE"""),"")</f>
        <v/>
      </c>
      <c r="L468" s="5" t="str">
        <f>IFERROR(__xludf.DUMMYFUNCTION("""COMPUTED_VALUE"""),"")</f>
        <v/>
      </c>
      <c r="M468" s="5" t="str">
        <f>IFERROR(__xludf.DUMMYFUNCTION("""COMPUTED_VALUE"""),"")</f>
        <v/>
      </c>
      <c r="N468" s="5" t="str">
        <f>IFERROR(__xludf.DUMMYFUNCTION("""COMPUTED_VALUE"""),"")</f>
        <v/>
      </c>
      <c r="O468" s="5" t="str">
        <f>IFERROR(__xludf.DUMMYFUNCTION("""COMPUTED_VALUE"""),"")</f>
        <v/>
      </c>
      <c r="P468" s="5" t="str">
        <f>IFERROR(__xludf.DUMMYFUNCTION("""COMPUTED_VALUE"""),"")</f>
        <v/>
      </c>
      <c r="Q468" s="5" t="str">
        <f>IFERROR(__xludf.DUMMYFUNCTION("""COMPUTED_VALUE"""),"")</f>
        <v/>
      </c>
      <c r="R468" s="5" t="str">
        <f>IFERROR(__xludf.DUMMYFUNCTION("""COMPUTED_VALUE"""),"")</f>
        <v/>
      </c>
      <c r="S468" s="5" t="str">
        <f>IFERROR(__xludf.DUMMYFUNCTION("""COMPUTED_VALUE"""),"")</f>
        <v/>
      </c>
      <c r="T468" s="5" t="str">
        <f>IFERROR(__xludf.DUMMYFUNCTION("""COMPUTED_VALUE"""),"")</f>
        <v/>
      </c>
      <c r="U468" s="5" t="str">
        <f>IFERROR(__xludf.DUMMYFUNCTION("""COMPUTED_VALUE"""),"")</f>
        <v/>
      </c>
      <c r="V468" s="5" t="str">
        <f>IFERROR(__xludf.DUMMYFUNCTION("""COMPUTED_VALUE"""),"")</f>
        <v/>
      </c>
      <c r="W468" s="5" t="str">
        <f>IFERROR(__xludf.DUMMYFUNCTION("""COMPUTED_VALUE"""),"")</f>
        <v/>
      </c>
      <c r="X468" s="5" t="str">
        <f>IFERROR(__xludf.DUMMYFUNCTION("""COMPUTED_VALUE"""),"")</f>
        <v/>
      </c>
      <c r="Y468" s="5"/>
      <c r="Z468" s="5"/>
    </row>
    <row r="469">
      <c r="A469" s="5" t="str">
        <f>IFERROR(__xludf.DUMMYFUNCTION("""COMPUTED_VALUE"""),"Majestic Crown 100")</f>
        <v>Majestic Crown 100</v>
      </c>
      <c r="B469" s="5" t="str">
        <f>IFERROR(__xludf.DUMMYFUNCTION("""COMPUTED_VALUE"""),"")</f>
        <v/>
      </c>
      <c r="C469" s="5" t="str">
        <f>IFERROR(__xludf.DUMMYFUNCTION("""COMPUTED_VALUE"""),"")</f>
        <v/>
      </c>
      <c r="D469" s="5" t="str">
        <f>IFERROR(__xludf.DUMMYFUNCTION("""COMPUTED_VALUE"""),"")</f>
        <v/>
      </c>
      <c r="E469" s="5" t="str">
        <f>IFERROR(__xludf.DUMMYFUNCTION("""COMPUTED_VALUE"""),"")</f>
        <v/>
      </c>
      <c r="F469" s="5" t="str">
        <f>IFERROR(__xludf.DUMMYFUNCTION("""COMPUTED_VALUE"""),"")</f>
        <v/>
      </c>
      <c r="G469" s="5" t="str">
        <f>IFERROR(__xludf.DUMMYFUNCTION("""COMPUTED_VALUE"""),"")</f>
        <v/>
      </c>
      <c r="H469" s="5" t="str">
        <f>IFERROR(__xludf.DUMMYFUNCTION("""COMPUTED_VALUE"""),"")</f>
        <v/>
      </c>
      <c r="I469" s="5" t="str">
        <f>IFERROR(__xludf.DUMMYFUNCTION("""COMPUTED_VALUE"""),"")</f>
        <v/>
      </c>
      <c r="J469" s="5" t="str">
        <f>IFERROR(__xludf.DUMMYFUNCTION("""COMPUTED_VALUE"""),"")</f>
        <v/>
      </c>
      <c r="K469" s="5" t="str">
        <f>IFERROR(__xludf.DUMMYFUNCTION("""COMPUTED_VALUE"""),"")</f>
        <v/>
      </c>
      <c r="L469" s="5" t="str">
        <f>IFERROR(__xludf.DUMMYFUNCTION("""COMPUTED_VALUE"""),"")</f>
        <v/>
      </c>
      <c r="M469" s="5" t="str">
        <f>IFERROR(__xludf.DUMMYFUNCTION("""COMPUTED_VALUE"""),"")</f>
        <v/>
      </c>
      <c r="N469" s="5" t="str">
        <f>IFERROR(__xludf.DUMMYFUNCTION("""COMPUTED_VALUE"""),"")</f>
        <v/>
      </c>
      <c r="O469" s="5" t="str">
        <f>IFERROR(__xludf.DUMMYFUNCTION("""COMPUTED_VALUE"""),"")</f>
        <v/>
      </c>
      <c r="P469" s="5" t="str">
        <f>IFERROR(__xludf.DUMMYFUNCTION("""COMPUTED_VALUE"""),"")</f>
        <v/>
      </c>
      <c r="Q469" s="5" t="str">
        <f>IFERROR(__xludf.DUMMYFUNCTION("""COMPUTED_VALUE"""),"")</f>
        <v/>
      </c>
      <c r="R469" s="5" t="str">
        <f>IFERROR(__xludf.DUMMYFUNCTION("""COMPUTED_VALUE"""),"")</f>
        <v/>
      </c>
      <c r="S469" s="5" t="str">
        <f>IFERROR(__xludf.DUMMYFUNCTION("""COMPUTED_VALUE"""),"")</f>
        <v/>
      </c>
      <c r="T469" s="5" t="str">
        <f>IFERROR(__xludf.DUMMYFUNCTION("""COMPUTED_VALUE"""),"")</f>
        <v/>
      </c>
      <c r="U469" s="5" t="str">
        <f>IFERROR(__xludf.DUMMYFUNCTION("""COMPUTED_VALUE"""),"")</f>
        <v/>
      </c>
      <c r="V469" s="5" t="str">
        <f>IFERROR(__xludf.DUMMYFUNCTION("""COMPUTED_VALUE"""),"")</f>
        <v/>
      </c>
      <c r="W469" s="5" t="str">
        <f>IFERROR(__xludf.DUMMYFUNCTION("""COMPUTED_VALUE"""),"")</f>
        <v/>
      </c>
      <c r="X469" s="5" t="str">
        <f>IFERROR(__xludf.DUMMYFUNCTION("""COMPUTED_VALUE"""),"")</f>
        <v/>
      </c>
      <c r="Y469" s="5"/>
      <c r="Z469" s="5"/>
    </row>
    <row r="470">
      <c r="A470" s="5" t="str">
        <f>IFERROR(__xludf.DUMMYFUNCTION("""COMPUTED_VALUE"""),"Fortune Clover 20")</f>
        <v>Fortune Clover 20</v>
      </c>
      <c r="B470" s="5" t="str">
        <f>IFERROR(__xludf.DUMMYFUNCTION("""COMPUTED_VALUE"""),"")</f>
        <v/>
      </c>
      <c r="C470" s="5" t="str">
        <f>IFERROR(__xludf.DUMMYFUNCTION("""COMPUTED_VALUE"""),"")</f>
        <v/>
      </c>
      <c r="D470" s="5" t="str">
        <f>IFERROR(__xludf.DUMMYFUNCTION("""COMPUTED_VALUE"""),"")</f>
        <v/>
      </c>
      <c r="E470" s="5" t="str">
        <f>IFERROR(__xludf.DUMMYFUNCTION("""COMPUTED_VALUE"""),"")</f>
        <v/>
      </c>
      <c r="F470" s="5" t="str">
        <f>IFERROR(__xludf.DUMMYFUNCTION("""COMPUTED_VALUE"""),"")</f>
        <v/>
      </c>
      <c r="G470" s="5" t="str">
        <f>IFERROR(__xludf.DUMMYFUNCTION("""COMPUTED_VALUE"""),"")</f>
        <v/>
      </c>
      <c r="H470" s="5" t="str">
        <f>IFERROR(__xludf.DUMMYFUNCTION("""COMPUTED_VALUE"""),"")</f>
        <v/>
      </c>
      <c r="I470" s="5" t="str">
        <f>IFERROR(__xludf.DUMMYFUNCTION("""COMPUTED_VALUE"""),"")</f>
        <v/>
      </c>
      <c r="J470" s="5" t="str">
        <f>IFERROR(__xludf.DUMMYFUNCTION("""COMPUTED_VALUE"""),"")</f>
        <v/>
      </c>
      <c r="K470" s="5" t="str">
        <f>IFERROR(__xludf.DUMMYFUNCTION("""COMPUTED_VALUE"""),"")</f>
        <v/>
      </c>
      <c r="L470" s="5" t="str">
        <f>IFERROR(__xludf.DUMMYFUNCTION("""COMPUTED_VALUE"""),"")</f>
        <v/>
      </c>
      <c r="M470" s="5" t="str">
        <f>IFERROR(__xludf.DUMMYFUNCTION("""COMPUTED_VALUE"""),"")</f>
        <v/>
      </c>
      <c r="N470" s="5" t="str">
        <f>IFERROR(__xludf.DUMMYFUNCTION("""COMPUTED_VALUE"""),"")</f>
        <v/>
      </c>
      <c r="O470" s="5" t="str">
        <f>IFERROR(__xludf.DUMMYFUNCTION("""COMPUTED_VALUE"""),"")</f>
        <v/>
      </c>
      <c r="P470" s="5" t="str">
        <f>IFERROR(__xludf.DUMMYFUNCTION("""COMPUTED_VALUE"""),"")</f>
        <v/>
      </c>
      <c r="Q470" s="5" t="str">
        <f>IFERROR(__xludf.DUMMYFUNCTION("""COMPUTED_VALUE"""),"")</f>
        <v/>
      </c>
      <c r="R470" s="5" t="str">
        <f>IFERROR(__xludf.DUMMYFUNCTION("""COMPUTED_VALUE"""),"")</f>
        <v/>
      </c>
      <c r="S470" s="5" t="str">
        <f>IFERROR(__xludf.DUMMYFUNCTION("""COMPUTED_VALUE"""),"")</f>
        <v/>
      </c>
      <c r="T470" s="5" t="str">
        <f>IFERROR(__xludf.DUMMYFUNCTION("""COMPUTED_VALUE"""),"")</f>
        <v/>
      </c>
      <c r="U470" s="5" t="str">
        <f>IFERROR(__xludf.DUMMYFUNCTION("""COMPUTED_VALUE"""),"")</f>
        <v/>
      </c>
      <c r="V470" s="5" t="str">
        <f>IFERROR(__xludf.DUMMYFUNCTION("""COMPUTED_VALUE"""),"")</f>
        <v/>
      </c>
      <c r="W470" s="5" t="str">
        <f>IFERROR(__xludf.DUMMYFUNCTION("""COMPUTED_VALUE"""),"")</f>
        <v/>
      </c>
      <c r="X470" s="5" t="str">
        <f>IFERROR(__xludf.DUMMYFUNCTION("""COMPUTED_VALUE"""),"")</f>
        <v/>
      </c>
      <c r="Y470" s="5"/>
      <c r="Z470" s="5"/>
    </row>
    <row r="471">
      <c r="A471" s="5" t="str">
        <f>IFERROR(__xludf.DUMMYFUNCTION("""COMPUTED_VALUE"""),"Rock@roll")</f>
        <v>Rock@roll</v>
      </c>
      <c r="B471" s="5" t="str">
        <f>IFERROR(__xludf.DUMMYFUNCTION("""COMPUTED_VALUE"""),"")</f>
        <v/>
      </c>
      <c r="C471" s="5" t="str">
        <f>IFERROR(__xludf.DUMMYFUNCTION("""COMPUTED_VALUE"""),"")</f>
        <v/>
      </c>
      <c r="D471" s="5" t="str">
        <f>IFERROR(__xludf.DUMMYFUNCTION("""COMPUTED_VALUE"""),"")</f>
        <v/>
      </c>
      <c r="E471" s="5" t="str">
        <f>IFERROR(__xludf.DUMMYFUNCTION("""COMPUTED_VALUE"""),"")</f>
        <v/>
      </c>
      <c r="F471" s="5" t="str">
        <f>IFERROR(__xludf.DUMMYFUNCTION("""COMPUTED_VALUE"""),"")</f>
        <v/>
      </c>
      <c r="G471" s="5" t="str">
        <f>IFERROR(__xludf.DUMMYFUNCTION("""COMPUTED_VALUE"""),"")</f>
        <v/>
      </c>
      <c r="H471" s="5" t="str">
        <f>IFERROR(__xludf.DUMMYFUNCTION("""COMPUTED_VALUE"""),"")</f>
        <v/>
      </c>
      <c r="I471" s="5" t="str">
        <f>IFERROR(__xludf.DUMMYFUNCTION("""COMPUTED_VALUE"""),"")</f>
        <v/>
      </c>
      <c r="J471" s="5" t="str">
        <f>IFERROR(__xludf.DUMMYFUNCTION("""COMPUTED_VALUE"""),"")</f>
        <v/>
      </c>
      <c r="K471" s="5" t="str">
        <f>IFERROR(__xludf.DUMMYFUNCTION("""COMPUTED_VALUE"""),"")</f>
        <v/>
      </c>
      <c r="L471" s="5" t="str">
        <f>IFERROR(__xludf.DUMMYFUNCTION("""COMPUTED_VALUE"""),"")</f>
        <v/>
      </c>
      <c r="M471" s="5" t="str">
        <f>IFERROR(__xludf.DUMMYFUNCTION("""COMPUTED_VALUE"""),"")</f>
        <v/>
      </c>
      <c r="N471" s="5" t="str">
        <f>IFERROR(__xludf.DUMMYFUNCTION("""COMPUTED_VALUE"""),"")</f>
        <v/>
      </c>
      <c r="O471" s="5" t="str">
        <f>IFERROR(__xludf.DUMMYFUNCTION("""COMPUTED_VALUE"""),"")</f>
        <v/>
      </c>
      <c r="P471" s="5" t="str">
        <f>IFERROR(__xludf.DUMMYFUNCTION("""COMPUTED_VALUE"""),"")</f>
        <v/>
      </c>
      <c r="Q471" s="5" t="str">
        <f>IFERROR(__xludf.DUMMYFUNCTION("""COMPUTED_VALUE"""),"")</f>
        <v/>
      </c>
      <c r="R471" s="5" t="str">
        <f>IFERROR(__xludf.DUMMYFUNCTION("""COMPUTED_VALUE"""),"")</f>
        <v/>
      </c>
      <c r="S471" s="5" t="str">
        <f>IFERROR(__xludf.DUMMYFUNCTION("""COMPUTED_VALUE"""),"")</f>
        <v/>
      </c>
      <c r="T471" s="5" t="str">
        <f>IFERROR(__xludf.DUMMYFUNCTION("""COMPUTED_VALUE"""),"")</f>
        <v/>
      </c>
      <c r="U471" s="5" t="str">
        <f>IFERROR(__xludf.DUMMYFUNCTION("""COMPUTED_VALUE"""),"")</f>
        <v/>
      </c>
      <c r="V471" s="5" t="str">
        <f>IFERROR(__xludf.DUMMYFUNCTION("""COMPUTED_VALUE"""),"")</f>
        <v/>
      </c>
      <c r="W471" s="5" t="str">
        <f>IFERROR(__xludf.DUMMYFUNCTION("""COMPUTED_VALUE"""),"")</f>
        <v/>
      </c>
      <c r="X471" s="5" t="str">
        <f>IFERROR(__xludf.DUMMYFUNCTION("""COMPUTED_VALUE"""),"")</f>
        <v/>
      </c>
      <c r="Y471" s="5"/>
      <c r="Z471" s="5"/>
    </row>
    <row r="472">
      <c r="A472" s="5" t="str">
        <f>IFERROR(__xludf.DUMMYFUNCTION("""COMPUTED_VALUE"""),"Cosmic Comet Chase")</f>
        <v>Cosmic Comet Chase</v>
      </c>
      <c r="B472" s="5" t="str">
        <f>IFERROR(__xludf.DUMMYFUNCTION("""COMPUTED_VALUE"""),"")</f>
        <v/>
      </c>
      <c r="C472" s="5" t="str">
        <f>IFERROR(__xludf.DUMMYFUNCTION("""COMPUTED_VALUE"""),"")</f>
        <v/>
      </c>
      <c r="D472" s="5" t="str">
        <f>IFERROR(__xludf.DUMMYFUNCTION("""COMPUTED_VALUE"""),"")</f>
        <v/>
      </c>
      <c r="E472" s="5" t="str">
        <f>IFERROR(__xludf.DUMMYFUNCTION("""COMPUTED_VALUE"""),"")</f>
        <v/>
      </c>
      <c r="F472" s="5" t="str">
        <f>IFERROR(__xludf.DUMMYFUNCTION("""COMPUTED_VALUE"""),"")</f>
        <v/>
      </c>
      <c r="G472" s="5" t="str">
        <f>IFERROR(__xludf.DUMMYFUNCTION("""COMPUTED_VALUE"""),"")</f>
        <v/>
      </c>
      <c r="H472" s="5" t="str">
        <f>IFERROR(__xludf.DUMMYFUNCTION("""COMPUTED_VALUE"""),"")</f>
        <v/>
      </c>
      <c r="I472" s="5" t="str">
        <f>IFERROR(__xludf.DUMMYFUNCTION("""COMPUTED_VALUE"""),"")</f>
        <v/>
      </c>
      <c r="J472" s="5" t="str">
        <f>IFERROR(__xludf.DUMMYFUNCTION("""COMPUTED_VALUE"""),"")</f>
        <v/>
      </c>
      <c r="K472" s="5" t="str">
        <f>IFERROR(__xludf.DUMMYFUNCTION("""COMPUTED_VALUE"""),"")</f>
        <v/>
      </c>
      <c r="L472" s="5" t="str">
        <f>IFERROR(__xludf.DUMMYFUNCTION("""COMPUTED_VALUE"""),"")</f>
        <v/>
      </c>
      <c r="M472" s="5" t="str">
        <f>IFERROR(__xludf.DUMMYFUNCTION("""COMPUTED_VALUE"""),"")</f>
        <v/>
      </c>
      <c r="N472" s="5" t="str">
        <f>IFERROR(__xludf.DUMMYFUNCTION("""COMPUTED_VALUE"""),"")</f>
        <v/>
      </c>
      <c r="O472" s="5" t="str">
        <f>IFERROR(__xludf.DUMMYFUNCTION("""COMPUTED_VALUE"""),"")</f>
        <v/>
      </c>
      <c r="P472" s="5" t="str">
        <f>IFERROR(__xludf.DUMMYFUNCTION("""COMPUTED_VALUE"""),"")</f>
        <v/>
      </c>
      <c r="Q472" s="5" t="str">
        <f>IFERROR(__xludf.DUMMYFUNCTION("""COMPUTED_VALUE"""),"")</f>
        <v/>
      </c>
      <c r="R472" s="5" t="str">
        <f>IFERROR(__xludf.DUMMYFUNCTION("""COMPUTED_VALUE"""),"")</f>
        <v/>
      </c>
      <c r="S472" s="5" t="str">
        <f>IFERROR(__xludf.DUMMYFUNCTION("""COMPUTED_VALUE"""),"")</f>
        <v/>
      </c>
      <c r="T472" s="5" t="str">
        <f>IFERROR(__xludf.DUMMYFUNCTION("""COMPUTED_VALUE"""),"")</f>
        <v/>
      </c>
      <c r="U472" s="5" t="str">
        <f>IFERROR(__xludf.DUMMYFUNCTION("""COMPUTED_VALUE"""),"")</f>
        <v/>
      </c>
      <c r="V472" s="5" t="str">
        <f>IFERROR(__xludf.DUMMYFUNCTION("""COMPUTED_VALUE"""),"")</f>
        <v/>
      </c>
      <c r="W472" s="5" t="str">
        <f>IFERROR(__xludf.DUMMYFUNCTION("""COMPUTED_VALUE"""),"")</f>
        <v/>
      </c>
      <c r="X472" s="5" t="str">
        <f>IFERROR(__xludf.DUMMYFUNCTION("""COMPUTED_VALUE"""),"")</f>
        <v/>
      </c>
      <c r="Y472" s="5"/>
      <c r="Z472" s="5"/>
    </row>
    <row r="473">
      <c r="A473" s="5" t="str">
        <f>IFERROR(__xludf.DUMMYFUNCTION("""COMPUTED_VALUE"""),"Neon Fruits")</f>
        <v>Neon Fruits</v>
      </c>
      <c r="B473" s="5" t="str">
        <f>IFERROR(__xludf.DUMMYFUNCTION("""COMPUTED_VALUE"""),"")</f>
        <v/>
      </c>
      <c r="C473" s="5" t="str">
        <f>IFERROR(__xludf.DUMMYFUNCTION("""COMPUTED_VALUE"""),"")</f>
        <v/>
      </c>
      <c r="D473" s="5" t="str">
        <f>IFERROR(__xludf.DUMMYFUNCTION("""COMPUTED_VALUE"""),"")</f>
        <v/>
      </c>
      <c r="E473" s="5" t="str">
        <f>IFERROR(__xludf.DUMMYFUNCTION("""COMPUTED_VALUE"""),"")</f>
        <v/>
      </c>
      <c r="F473" s="5" t="str">
        <f>IFERROR(__xludf.DUMMYFUNCTION("""COMPUTED_VALUE"""),"")</f>
        <v/>
      </c>
      <c r="G473" s="5" t="str">
        <f>IFERROR(__xludf.DUMMYFUNCTION("""COMPUTED_VALUE"""),"")</f>
        <v/>
      </c>
      <c r="H473" s="5" t="str">
        <f>IFERROR(__xludf.DUMMYFUNCTION("""COMPUTED_VALUE"""),"")</f>
        <v/>
      </c>
      <c r="I473" s="5" t="str">
        <f>IFERROR(__xludf.DUMMYFUNCTION("""COMPUTED_VALUE"""),"")</f>
        <v/>
      </c>
      <c r="J473" s="5" t="str">
        <f>IFERROR(__xludf.DUMMYFUNCTION("""COMPUTED_VALUE"""),"")</f>
        <v/>
      </c>
      <c r="K473" s="5" t="str">
        <f>IFERROR(__xludf.DUMMYFUNCTION("""COMPUTED_VALUE"""),"")</f>
        <v/>
      </c>
      <c r="L473" s="5" t="str">
        <f>IFERROR(__xludf.DUMMYFUNCTION("""COMPUTED_VALUE"""),"")</f>
        <v/>
      </c>
      <c r="M473" s="5" t="str">
        <f>IFERROR(__xludf.DUMMYFUNCTION("""COMPUTED_VALUE"""),"")</f>
        <v/>
      </c>
      <c r="N473" s="5" t="str">
        <f>IFERROR(__xludf.DUMMYFUNCTION("""COMPUTED_VALUE"""),"")</f>
        <v/>
      </c>
      <c r="O473" s="5" t="str">
        <f>IFERROR(__xludf.DUMMYFUNCTION("""COMPUTED_VALUE"""),"")</f>
        <v/>
      </c>
      <c r="P473" s="5" t="str">
        <f>IFERROR(__xludf.DUMMYFUNCTION("""COMPUTED_VALUE"""),"")</f>
        <v/>
      </c>
      <c r="Q473" s="5" t="str">
        <f>IFERROR(__xludf.DUMMYFUNCTION("""COMPUTED_VALUE"""),"")</f>
        <v/>
      </c>
      <c r="R473" s="5" t="str">
        <f>IFERROR(__xludf.DUMMYFUNCTION("""COMPUTED_VALUE"""),"")</f>
        <v/>
      </c>
      <c r="S473" s="5" t="str">
        <f>IFERROR(__xludf.DUMMYFUNCTION("""COMPUTED_VALUE"""),"")</f>
        <v/>
      </c>
      <c r="T473" s="5" t="str">
        <f>IFERROR(__xludf.DUMMYFUNCTION("""COMPUTED_VALUE"""),"")</f>
        <v/>
      </c>
      <c r="U473" s="5" t="str">
        <f>IFERROR(__xludf.DUMMYFUNCTION("""COMPUTED_VALUE"""),"")</f>
        <v/>
      </c>
      <c r="V473" s="5" t="str">
        <f>IFERROR(__xludf.DUMMYFUNCTION("""COMPUTED_VALUE"""),"")</f>
        <v/>
      </c>
      <c r="W473" s="5" t="str">
        <f>IFERROR(__xludf.DUMMYFUNCTION("""COMPUTED_VALUE"""),"")</f>
        <v/>
      </c>
      <c r="X473" s="5" t="str">
        <f>IFERROR(__xludf.DUMMYFUNCTION("""COMPUTED_VALUE"""),"")</f>
        <v/>
      </c>
      <c r="Y473" s="5"/>
      <c r="Z473" s="5"/>
    </row>
    <row r="474">
      <c r="A474" s="5" t="str">
        <f>IFERROR(__xludf.DUMMYFUNCTION("""COMPUTED_VALUE"""),"Golden Crown Booster")</f>
        <v>Golden Crown Booster</v>
      </c>
      <c r="B474" s="5" t="str">
        <f>IFERROR(__xludf.DUMMYFUNCTION("""COMPUTED_VALUE"""),"")</f>
        <v/>
      </c>
      <c r="C474" s="5" t="str">
        <f>IFERROR(__xludf.DUMMYFUNCTION("""COMPUTED_VALUE"""),"")</f>
        <v/>
      </c>
      <c r="D474" s="5" t="str">
        <f>IFERROR(__xludf.DUMMYFUNCTION("""COMPUTED_VALUE"""),"")</f>
        <v/>
      </c>
      <c r="E474" s="5" t="str">
        <f>IFERROR(__xludf.DUMMYFUNCTION("""COMPUTED_VALUE"""),"")</f>
        <v/>
      </c>
      <c r="F474" s="5" t="str">
        <f>IFERROR(__xludf.DUMMYFUNCTION("""COMPUTED_VALUE"""),"")</f>
        <v/>
      </c>
      <c r="G474" s="5" t="str">
        <f>IFERROR(__xludf.DUMMYFUNCTION("""COMPUTED_VALUE"""),"")</f>
        <v/>
      </c>
      <c r="H474" s="5" t="str">
        <f>IFERROR(__xludf.DUMMYFUNCTION("""COMPUTED_VALUE"""),"")</f>
        <v/>
      </c>
      <c r="I474" s="5" t="str">
        <f>IFERROR(__xludf.DUMMYFUNCTION("""COMPUTED_VALUE"""),"")</f>
        <v/>
      </c>
      <c r="J474" s="5" t="str">
        <f>IFERROR(__xludf.DUMMYFUNCTION("""COMPUTED_VALUE"""),"")</f>
        <v/>
      </c>
      <c r="K474" s="5" t="str">
        <f>IFERROR(__xludf.DUMMYFUNCTION("""COMPUTED_VALUE"""),"")</f>
        <v/>
      </c>
      <c r="L474" s="5" t="str">
        <f>IFERROR(__xludf.DUMMYFUNCTION("""COMPUTED_VALUE"""),"")</f>
        <v/>
      </c>
      <c r="M474" s="5" t="str">
        <f>IFERROR(__xludf.DUMMYFUNCTION("""COMPUTED_VALUE"""),"")</f>
        <v/>
      </c>
      <c r="N474" s="5" t="str">
        <f>IFERROR(__xludf.DUMMYFUNCTION("""COMPUTED_VALUE"""),"")</f>
        <v/>
      </c>
      <c r="O474" s="5" t="str">
        <f>IFERROR(__xludf.DUMMYFUNCTION("""COMPUTED_VALUE"""),"")</f>
        <v/>
      </c>
      <c r="P474" s="5" t="str">
        <f>IFERROR(__xludf.DUMMYFUNCTION("""COMPUTED_VALUE"""),"")</f>
        <v/>
      </c>
      <c r="Q474" s="5" t="str">
        <f>IFERROR(__xludf.DUMMYFUNCTION("""COMPUTED_VALUE"""),"")</f>
        <v/>
      </c>
      <c r="R474" s="5" t="str">
        <f>IFERROR(__xludf.DUMMYFUNCTION("""COMPUTED_VALUE"""),"Retired")</f>
        <v>Retired</v>
      </c>
      <c r="S474" s="5" t="str">
        <f>IFERROR(__xludf.DUMMYFUNCTION("""COMPUTED_VALUE"""),"")</f>
        <v/>
      </c>
      <c r="T474" s="5" t="str">
        <f>IFERROR(__xludf.DUMMYFUNCTION("""COMPUTED_VALUE"""),"")</f>
        <v/>
      </c>
      <c r="U474" s="5" t="str">
        <f>IFERROR(__xludf.DUMMYFUNCTION("""COMPUTED_VALUE"""),"")</f>
        <v/>
      </c>
      <c r="V474" s="5" t="str">
        <f>IFERROR(__xludf.DUMMYFUNCTION("""COMPUTED_VALUE"""),"")</f>
        <v/>
      </c>
      <c r="W474" s="5" t="str">
        <f>IFERROR(__xludf.DUMMYFUNCTION("""COMPUTED_VALUE"""),"")</f>
        <v/>
      </c>
      <c r="X474" s="5" t="str">
        <f>IFERROR(__xludf.DUMMYFUNCTION("""COMPUTED_VALUE"""),"")</f>
        <v/>
      </c>
      <c r="Y474" s="5"/>
      <c r="Z474" s="5"/>
    </row>
    <row r="475">
      <c r="A475" s="5" t="str">
        <f>IFERROR(__xludf.DUMMYFUNCTION("""COMPUTED_VALUE"""),"Very Hot 5 Booster")</f>
        <v>Very Hot 5 Booster</v>
      </c>
      <c r="B475" s="5" t="str">
        <f>IFERROR(__xludf.DUMMYFUNCTION("""COMPUTED_VALUE"""),"")</f>
        <v/>
      </c>
      <c r="C475" s="5" t="str">
        <f>IFERROR(__xludf.DUMMYFUNCTION("""COMPUTED_VALUE"""),"")</f>
        <v/>
      </c>
      <c r="D475" s="5" t="str">
        <f>IFERROR(__xludf.DUMMYFUNCTION("""COMPUTED_VALUE"""),"")</f>
        <v/>
      </c>
      <c r="E475" s="5" t="str">
        <f>IFERROR(__xludf.DUMMYFUNCTION("""COMPUTED_VALUE"""),"")</f>
        <v/>
      </c>
      <c r="F475" s="5" t="str">
        <f>IFERROR(__xludf.DUMMYFUNCTION("""COMPUTED_VALUE"""),"")</f>
        <v/>
      </c>
      <c r="G475" s="5" t="str">
        <f>IFERROR(__xludf.DUMMYFUNCTION("""COMPUTED_VALUE"""),"")</f>
        <v/>
      </c>
      <c r="H475" s="5" t="str">
        <f>IFERROR(__xludf.DUMMYFUNCTION("""COMPUTED_VALUE"""),"")</f>
        <v/>
      </c>
      <c r="I475" s="5" t="str">
        <f>IFERROR(__xludf.DUMMYFUNCTION("""COMPUTED_VALUE"""),"")</f>
        <v/>
      </c>
      <c r="J475" s="5" t="str">
        <f>IFERROR(__xludf.DUMMYFUNCTION("""COMPUTED_VALUE"""),"")</f>
        <v/>
      </c>
      <c r="K475" s="5" t="str">
        <f>IFERROR(__xludf.DUMMYFUNCTION("""COMPUTED_VALUE"""),"")</f>
        <v/>
      </c>
      <c r="L475" s="5" t="str">
        <f>IFERROR(__xludf.DUMMYFUNCTION("""COMPUTED_VALUE"""),"")</f>
        <v/>
      </c>
      <c r="M475" s="5" t="str">
        <f>IFERROR(__xludf.DUMMYFUNCTION("""COMPUTED_VALUE"""),"")</f>
        <v/>
      </c>
      <c r="N475" s="5" t="str">
        <f>IFERROR(__xludf.DUMMYFUNCTION("""COMPUTED_VALUE"""),"")</f>
        <v/>
      </c>
      <c r="O475" s="5" t="str">
        <f>IFERROR(__xludf.DUMMYFUNCTION("""COMPUTED_VALUE"""),"")</f>
        <v/>
      </c>
      <c r="P475" s="5" t="str">
        <f>IFERROR(__xludf.DUMMYFUNCTION("""COMPUTED_VALUE"""),"")</f>
        <v/>
      </c>
      <c r="Q475" s="5" t="str">
        <f>IFERROR(__xludf.DUMMYFUNCTION("""COMPUTED_VALUE"""),"")</f>
        <v/>
      </c>
      <c r="R475" s="5" t="str">
        <f>IFERROR(__xludf.DUMMYFUNCTION("""COMPUTED_VALUE"""),"Development")</f>
        <v>Development</v>
      </c>
      <c r="S475" s="5" t="str">
        <f>IFERROR(__xludf.DUMMYFUNCTION("""COMPUTED_VALUE"""),"")</f>
        <v/>
      </c>
      <c r="T475" s="5" t="str">
        <f>IFERROR(__xludf.DUMMYFUNCTION("""COMPUTED_VALUE"""),"")</f>
        <v/>
      </c>
      <c r="U475" s="5" t="str">
        <f>IFERROR(__xludf.DUMMYFUNCTION("""COMPUTED_VALUE"""),"")</f>
        <v/>
      </c>
      <c r="V475" s="5" t="str">
        <f>IFERROR(__xludf.DUMMYFUNCTION("""COMPUTED_VALUE"""),"")</f>
        <v/>
      </c>
      <c r="W475" s="5" t="str">
        <f>IFERROR(__xludf.DUMMYFUNCTION("""COMPUTED_VALUE"""),"")</f>
        <v/>
      </c>
      <c r="X475" s="5" t="str">
        <f>IFERROR(__xludf.DUMMYFUNCTION("""COMPUTED_VALUE"""),"")</f>
        <v/>
      </c>
      <c r="Y475" s="5"/>
      <c r="Z475" s="5"/>
    </row>
    <row r="476">
      <c r="A476" s="5" t="str">
        <f>IFERROR(__xludf.DUMMYFUNCTION("""COMPUTED_VALUE"""),"Epic Clover 40 Booster")</f>
        <v>Epic Clover 40 Booster</v>
      </c>
      <c r="B476" s="5" t="str">
        <f>IFERROR(__xludf.DUMMYFUNCTION("""COMPUTED_VALUE"""),"")</f>
        <v/>
      </c>
      <c r="C476" s="5" t="str">
        <f>IFERROR(__xludf.DUMMYFUNCTION("""COMPUTED_VALUE"""),"")</f>
        <v/>
      </c>
      <c r="D476" s="5" t="str">
        <f>IFERROR(__xludf.DUMMYFUNCTION("""COMPUTED_VALUE"""),"")</f>
        <v/>
      </c>
      <c r="E476" s="5" t="str">
        <f>IFERROR(__xludf.DUMMYFUNCTION("""COMPUTED_VALUE"""),"")</f>
        <v/>
      </c>
      <c r="F476" s="5" t="str">
        <f>IFERROR(__xludf.DUMMYFUNCTION("""COMPUTED_VALUE"""),"")</f>
        <v/>
      </c>
      <c r="G476" s="5" t="str">
        <f>IFERROR(__xludf.DUMMYFUNCTION("""COMPUTED_VALUE"""),"")</f>
        <v/>
      </c>
      <c r="H476" s="5" t="str">
        <f>IFERROR(__xludf.DUMMYFUNCTION("""COMPUTED_VALUE"""),"")</f>
        <v/>
      </c>
      <c r="I476" s="5" t="str">
        <f>IFERROR(__xludf.DUMMYFUNCTION("""COMPUTED_VALUE"""),"")</f>
        <v/>
      </c>
      <c r="J476" s="5" t="str">
        <f>IFERROR(__xludf.DUMMYFUNCTION("""COMPUTED_VALUE"""),"")</f>
        <v/>
      </c>
      <c r="K476" s="5" t="str">
        <f>IFERROR(__xludf.DUMMYFUNCTION("""COMPUTED_VALUE"""),"")</f>
        <v/>
      </c>
      <c r="L476" s="5" t="str">
        <f>IFERROR(__xludf.DUMMYFUNCTION("""COMPUTED_VALUE"""),"")</f>
        <v/>
      </c>
      <c r="M476" s="5" t="str">
        <f>IFERROR(__xludf.DUMMYFUNCTION("""COMPUTED_VALUE"""),"")</f>
        <v/>
      </c>
      <c r="N476" s="5" t="str">
        <f>IFERROR(__xludf.DUMMYFUNCTION("""COMPUTED_VALUE"""),"")</f>
        <v/>
      </c>
      <c r="O476" s="5" t="str">
        <f>IFERROR(__xludf.DUMMYFUNCTION("""COMPUTED_VALUE"""),"")</f>
        <v/>
      </c>
      <c r="P476" s="5" t="str">
        <f>IFERROR(__xludf.DUMMYFUNCTION("""COMPUTED_VALUE"""),"")</f>
        <v/>
      </c>
      <c r="Q476" s="5" t="str">
        <f>IFERROR(__xludf.DUMMYFUNCTION("""COMPUTED_VALUE"""),"")</f>
        <v/>
      </c>
      <c r="R476" s="5" t="str">
        <f>IFERROR(__xludf.DUMMYFUNCTION("""COMPUTED_VALUE"""),"")</f>
        <v/>
      </c>
      <c r="S476" s="5" t="str">
        <f>IFERROR(__xludf.DUMMYFUNCTION("""COMPUTED_VALUE"""),"")</f>
        <v/>
      </c>
      <c r="T476" s="5" t="str">
        <f>IFERROR(__xludf.DUMMYFUNCTION("""COMPUTED_VALUE"""),"")</f>
        <v/>
      </c>
      <c r="U476" s="5" t="str">
        <f>IFERROR(__xludf.DUMMYFUNCTION("""COMPUTED_VALUE"""),"")</f>
        <v/>
      </c>
      <c r="V476" s="5" t="str">
        <f>IFERROR(__xludf.DUMMYFUNCTION("""COMPUTED_VALUE"""),"")</f>
        <v/>
      </c>
      <c r="W476" s="5" t="str">
        <f>IFERROR(__xludf.DUMMYFUNCTION("""COMPUTED_VALUE"""),"")</f>
        <v/>
      </c>
      <c r="X476" s="5" t="str">
        <f>IFERROR(__xludf.DUMMYFUNCTION("""COMPUTED_VALUE"""),"")</f>
        <v/>
      </c>
      <c r="Y476" s="5"/>
      <c r="Z476" s="5"/>
    </row>
    <row r="477">
      <c r="A477" s="5" t="str">
        <f>IFERROR(__xludf.DUMMYFUNCTION("""COMPUTED_VALUE"""),"Multi Crown 10")</f>
        <v>Multi Crown 10</v>
      </c>
      <c r="B477" s="5" t="str">
        <f>IFERROR(__xludf.DUMMYFUNCTION("""COMPUTED_VALUE"""),"")</f>
        <v/>
      </c>
      <c r="C477" s="5" t="str">
        <f>IFERROR(__xludf.DUMMYFUNCTION("""COMPUTED_VALUE"""),"")</f>
        <v/>
      </c>
      <c r="D477" s="5" t="str">
        <f>IFERROR(__xludf.DUMMYFUNCTION("""COMPUTED_VALUE"""),"")</f>
        <v/>
      </c>
      <c r="E477" s="5" t="str">
        <f>IFERROR(__xludf.DUMMYFUNCTION("""COMPUTED_VALUE"""),"")</f>
        <v/>
      </c>
      <c r="F477" s="5" t="str">
        <f>IFERROR(__xludf.DUMMYFUNCTION("""COMPUTED_VALUE"""),"")</f>
        <v/>
      </c>
      <c r="G477" s="5" t="str">
        <f>IFERROR(__xludf.DUMMYFUNCTION("""COMPUTED_VALUE"""),"")</f>
        <v/>
      </c>
      <c r="H477" s="5" t="str">
        <f>IFERROR(__xludf.DUMMYFUNCTION("""COMPUTED_VALUE"""),"")</f>
        <v/>
      </c>
      <c r="I477" s="5" t="str">
        <f>IFERROR(__xludf.DUMMYFUNCTION("""COMPUTED_VALUE"""),"")</f>
        <v/>
      </c>
      <c r="J477" s="5" t="str">
        <f>IFERROR(__xludf.DUMMYFUNCTION("""COMPUTED_VALUE"""),"")</f>
        <v/>
      </c>
      <c r="K477" s="5" t="str">
        <f>IFERROR(__xludf.DUMMYFUNCTION("""COMPUTED_VALUE"""),"")</f>
        <v/>
      </c>
      <c r="L477" s="5" t="str">
        <f>IFERROR(__xludf.DUMMYFUNCTION("""COMPUTED_VALUE"""),"")</f>
        <v/>
      </c>
      <c r="M477" s="5" t="str">
        <f>IFERROR(__xludf.DUMMYFUNCTION("""COMPUTED_VALUE"""),"")</f>
        <v/>
      </c>
      <c r="N477" s="5" t="str">
        <f>IFERROR(__xludf.DUMMYFUNCTION("""COMPUTED_VALUE"""),"")</f>
        <v/>
      </c>
      <c r="O477" s="5" t="str">
        <f>IFERROR(__xludf.DUMMYFUNCTION("""COMPUTED_VALUE"""),"")</f>
        <v/>
      </c>
      <c r="P477" s="5" t="str">
        <f>IFERROR(__xludf.DUMMYFUNCTION("""COMPUTED_VALUE"""),"")</f>
        <v/>
      </c>
      <c r="Q477" s="5" t="str">
        <f>IFERROR(__xludf.DUMMYFUNCTION("""COMPUTED_VALUE"""),"")</f>
        <v/>
      </c>
      <c r="R477" s="5" t="str">
        <f>IFERROR(__xludf.DUMMYFUNCTION("""COMPUTED_VALUE"""),"")</f>
        <v/>
      </c>
      <c r="S477" s="5" t="str">
        <f>IFERROR(__xludf.DUMMYFUNCTION("""COMPUTED_VALUE"""),"")</f>
        <v/>
      </c>
      <c r="T477" s="5" t="str">
        <f>IFERROR(__xludf.DUMMYFUNCTION("""COMPUTED_VALUE"""),"")</f>
        <v/>
      </c>
      <c r="U477" s="5" t="str">
        <f>IFERROR(__xludf.DUMMYFUNCTION("""COMPUTED_VALUE"""),"")</f>
        <v/>
      </c>
      <c r="V477" s="5" t="str">
        <f>IFERROR(__xludf.DUMMYFUNCTION("""COMPUTED_VALUE"""),"")</f>
        <v/>
      </c>
      <c r="W477" s="5" t="str">
        <f>IFERROR(__xludf.DUMMYFUNCTION("""COMPUTED_VALUE"""),"")</f>
        <v/>
      </c>
      <c r="X477" s="5" t="str">
        <f>IFERROR(__xludf.DUMMYFUNCTION("""COMPUTED_VALUE"""),"")</f>
        <v/>
      </c>
      <c r="Y477" s="5"/>
      <c r="Z477" s="5"/>
    </row>
    <row r="478">
      <c r="A478" s="5" t="str">
        <f>IFERROR(__xludf.DUMMYFUNCTION("""COMPUTED_VALUE"""),"Betwoon Hot 5")</f>
        <v>Betwoon Hot 5</v>
      </c>
      <c r="B478" s="5" t="str">
        <f>IFERROR(__xludf.DUMMYFUNCTION("""COMPUTED_VALUE"""),"")</f>
        <v/>
      </c>
      <c r="C478" s="5" t="str">
        <f>IFERROR(__xludf.DUMMYFUNCTION("""COMPUTED_VALUE"""),"")</f>
        <v/>
      </c>
      <c r="D478" s="5" t="str">
        <f>IFERROR(__xludf.DUMMYFUNCTION("""COMPUTED_VALUE"""),"")</f>
        <v/>
      </c>
      <c r="E478" s="5" t="str">
        <f>IFERROR(__xludf.DUMMYFUNCTION("""COMPUTED_VALUE"""),"")</f>
        <v/>
      </c>
      <c r="F478" s="5" t="str">
        <f>IFERROR(__xludf.DUMMYFUNCTION("""COMPUTED_VALUE"""),"")</f>
        <v/>
      </c>
      <c r="G478" s="5" t="str">
        <f>IFERROR(__xludf.DUMMYFUNCTION("""COMPUTED_VALUE"""),"")</f>
        <v/>
      </c>
      <c r="H478" s="5" t="str">
        <f>IFERROR(__xludf.DUMMYFUNCTION("""COMPUTED_VALUE"""),"")</f>
        <v/>
      </c>
      <c r="I478" s="5" t="str">
        <f>IFERROR(__xludf.DUMMYFUNCTION("""COMPUTED_VALUE"""),"")</f>
        <v/>
      </c>
      <c r="J478" s="5" t="str">
        <f>IFERROR(__xludf.DUMMYFUNCTION("""COMPUTED_VALUE"""),"")</f>
        <v/>
      </c>
      <c r="K478" s="5" t="str">
        <f>IFERROR(__xludf.DUMMYFUNCTION("""COMPUTED_VALUE"""),"")</f>
        <v/>
      </c>
      <c r="L478" s="5" t="str">
        <f>IFERROR(__xludf.DUMMYFUNCTION("""COMPUTED_VALUE"""),"")</f>
        <v/>
      </c>
      <c r="M478" s="5" t="str">
        <f>IFERROR(__xludf.DUMMYFUNCTION("""COMPUTED_VALUE"""),"")</f>
        <v/>
      </c>
      <c r="N478" s="5" t="str">
        <f>IFERROR(__xludf.DUMMYFUNCTION("""COMPUTED_VALUE"""),"")</f>
        <v/>
      </c>
      <c r="O478" s="5" t="str">
        <f>IFERROR(__xludf.DUMMYFUNCTION("""COMPUTED_VALUE"""),"")</f>
        <v/>
      </c>
      <c r="P478" s="5" t="str">
        <f>IFERROR(__xludf.DUMMYFUNCTION("""COMPUTED_VALUE"""),"")</f>
        <v/>
      </c>
      <c r="Q478" s="5" t="str">
        <f>IFERROR(__xludf.DUMMYFUNCTION("""COMPUTED_VALUE"""),"")</f>
        <v/>
      </c>
      <c r="R478" s="5" t="str">
        <f>IFERROR(__xludf.DUMMYFUNCTION("""COMPUTED_VALUE"""),"")</f>
        <v/>
      </c>
      <c r="S478" s="5" t="str">
        <f>IFERROR(__xludf.DUMMYFUNCTION("""COMPUTED_VALUE"""),"")</f>
        <v/>
      </c>
      <c r="T478" s="5" t="str">
        <f>IFERROR(__xludf.DUMMYFUNCTION("""COMPUTED_VALUE"""),"")</f>
        <v/>
      </c>
      <c r="U478" s="5" t="str">
        <f>IFERROR(__xludf.DUMMYFUNCTION("""COMPUTED_VALUE"""),"")</f>
        <v/>
      </c>
      <c r="V478" s="5" t="str">
        <f>IFERROR(__xludf.DUMMYFUNCTION("""COMPUTED_VALUE"""),"")</f>
        <v/>
      </c>
      <c r="W478" s="5" t="str">
        <f>IFERROR(__xludf.DUMMYFUNCTION("""COMPUTED_VALUE"""),"")</f>
        <v/>
      </c>
      <c r="X478" s="5" t="str">
        <f>IFERROR(__xludf.DUMMYFUNCTION("""COMPUTED_VALUE"""),"")</f>
        <v/>
      </c>
      <c r="Y478" s="5"/>
      <c r="Z478" s="5"/>
    </row>
    <row r="479">
      <c r="A479" s="5" t="str">
        <f>IFERROR(__xludf.DUMMYFUNCTION("""COMPUTED_VALUE"""),"Golden Crown Extreme")</f>
        <v>Golden Crown Extreme</v>
      </c>
      <c r="B479" s="5" t="str">
        <f>IFERROR(__xludf.DUMMYFUNCTION("""COMPUTED_VALUE"""),"Development")</f>
        <v>Development</v>
      </c>
      <c r="C479" s="5" t="str">
        <f>IFERROR(__xludf.DUMMYFUNCTION("""COMPUTED_VALUE"""),"Development")</f>
        <v>Development</v>
      </c>
      <c r="D479" s="5" t="str">
        <f>IFERROR(__xludf.DUMMYFUNCTION("""COMPUTED_VALUE"""),"Cert Preparation")</f>
        <v>Cert Preparation</v>
      </c>
      <c r="E479" s="5" t="str">
        <f>IFERROR(__xludf.DUMMYFUNCTION("""COMPUTED_VALUE"""),"")</f>
        <v/>
      </c>
      <c r="F479" s="5" t="str">
        <f>IFERROR(__xludf.DUMMYFUNCTION("""COMPUTED_VALUE"""),"Development")</f>
        <v>Development</v>
      </c>
      <c r="G479" s="5" t="str">
        <f>IFERROR(__xludf.DUMMYFUNCTION("""COMPUTED_VALUE"""),"")</f>
        <v/>
      </c>
      <c r="H479" s="5" t="str">
        <f>IFERROR(__xludf.DUMMYFUNCTION("""COMPUTED_VALUE"""),"Development")</f>
        <v>Development</v>
      </c>
      <c r="I479" s="5" t="str">
        <f>IFERROR(__xludf.DUMMYFUNCTION("""COMPUTED_VALUE"""),"Development")</f>
        <v>Development</v>
      </c>
      <c r="J479" s="5" t="str">
        <f>IFERROR(__xludf.DUMMYFUNCTION("""COMPUTED_VALUE"""),"")</f>
        <v/>
      </c>
      <c r="K479" s="5" t="str">
        <f>IFERROR(__xludf.DUMMYFUNCTION("""COMPUTED_VALUE"""),"Development")</f>
        <v>Development</v>
      </c>
      <c r="L479" s="5" t="str">
        <f>IFERROR(__xludf.DUMMYFUNCTION("""COMPUTED_VALUE"""),"Development")</f>
        <v>Development</v>
      </c>
      <c r="M479" s="5" t="str">
        <f>IFERROR(__xludf.DUMMYFUNCTION("""COMPUTED_VALUE"""),"")</f>
        <v/>
      </c>
      <c r="N479" s="5" t="str">
        <f>IFERROR(__xludf.DUMMYFUNCTION("""COMPUTED_VALUE"""),"Development")</f>
        <v>Development</v>
      </c>
      <c r="O479" s="5" t="str">
        <f>IFERROR(__xludf.DUMMYFUNCTION("""COMPUTED_VALUE"""),"")</f>
        <v/>
      </c>
      <c r="P479" s="5" t="str">
        <f>IFERROR(__xludf.DUMMYFUNCTION("""COMPUTED_VALUE"""),"")</f>
        <v/>
      </c>
      <c r="Q479" s="5" t="str">
        <f>IFERROR(__xludf.DUMMYFUNCTION("""COMPUTED_VALUE"""),"")</f>
        <v/>
      </c>
      <c r="R479" s="5" t="str">
        <f>IFERROR(__xludf.DUMMYFUNCTION("""COMPUTED_VALUE"""),"")</f>
        <v/>
      </c>
      <c r="S479" s="5" t="str">
        <f>IFERROR(__xludf.DUMMYFUNCTION("""COMPUTED_VALUE"""),"")</f>
        <v/>
      </c>
      <c r="T479" s="5" t="str">
        <f>IFERROR(__xludf.DUMMYFUNCTION("""COMPUTED_VALUE"""),"")</f>
        <v/>
      </c>
      <c r="U479" s="5" t="str">
        <f>IFERROR(__xludf.DUMMYFUNCTION("""COMPUTED_VALUE"""),"")</f>
        <v/>
      </c>
      <c r="V479" s="5" t="str">
        <f>IFERROR(__xludf.DUMMYFUNCTION("""COMPUTED_VALUE"""),"")</f>
        <v/>
      </c>
      <c r="W479" s="5" t="str">
        <f>IFERROR(__xludf.DUMMYFUNCTION("""COMPUTED_VALUE"""),"")</f>
        <v/>
      </c>
      <c r="X479" s="5" t="str">
        <f>IFERROR(__xludf.DUMMYFUNCTION("""COMPUTED_VALUE"""),"")</f>
        <v/>
      </c>
      <c r="Y479" s="5"/>
      <c r="Z479" s="5"/>
    </row>
    <row r="480">
      <c r="A480" s="5" t="str">
        <f>IFERROR(__xludf.DUMMYFUNCTION("""COMPUTED_VALUE"""),"Majestic Crown 5")</f>
        <v>Majestic Crown 5</v>
      </c>
      <c r="B480" s="5" t="str">
        <f>IFERROR(__xludf.DUMMYFUNCTION("""COMPUTED_VALUE"""),"")</f>
        <v/>
      </c>
      <c r="C480" s="5" t="str">
        <f>IFERROR(__xludf.DUMMYFUNCTION("""COMPUTED_VALUE"""),"")</f>
        <v/>
      </c>
      <c r="D480" s="5" t="str">
        <f>IFERROR(__xludf.DUMMYFUNCTION("""COMPUTED_VALUE"""),"")</f>
        <v/>
      </c>
      <c r="E480" s="5" t="str">
        <f>IFERROR(__xludf.DUMMYFUNCTION("""COMPUTED_VALUE"""),"")</f>
        <v/>
      </c>
      <c r="F480" s="5" t="str">
        <f>IFERROR(__xludf.DUMMYFUNCTION("""COMPUTED_VALUE"""),"")</f>
        <v/>
      </c>
      <c r="G480" s="5" t="str">
        <f>IFERROR(__xludf.DUMMYFUNCTION("""COMPUTED_VALUE"""),"")</f>
        <v/>
      </c>
      <c r="H480" s="5" t="str">
        <f>IFERROR(__xludf.DUMMYFUNCTION("""COMPUTED_VALUE"""),"")</f>
        <v/>
      </c>
      <c r="I480" s="5" t="str">
        <f>IFERROR(__xludf.DUMMYFUNCTION("""COMPUTED_VALUE"""),"")</f>
        <v/>
      </c>
      <c r="J480" s="5" t="str">
        <f>IFERROR(__xludf.DUMMYFUNCTION("""COMPUTED_VALUE"""),"")</f>
        <v/>
      </c>
      <c r="K480" s="5" t="str">
        <f>IFERROR(__xludf.DUMMYFUNCTION("""COMPUTED_VALUE"""),"")</f>
        <v/>
      </c>
      <c r="L480" s="5" t="str">
        <f>IFERROR(__xludf.DUMMYFUNCTION("""COMPUTED_VALUE"""),"")</f>
        <v/>
      </c>
      <c r="M480" s="5" t="str">
        <f>IFERROR(__xludf.DUMMYFUNCTION("""COMPUTED_VALUE"""),"")</f>
        <v/>
      </c>
      <c r="N480" s="5" t="str">
        <f>IFERROR(__xludf.DUMMYFUNCTION("""COMPUTED_VALUE"""),"")</f>
        <v/>
      </c>
      <c r="O480" s="5" t="str">
        <f>IFERROR(__xludf.DUMMYFUNCTION("""COMPUTED_VALUE"""),"")</f>
        <v/>
      </c>
      <c r="P480" s="5" t="str">
        <f>IFERROR(__xludf.DUMMYFUNCTION("""COMPUTED_VALUE"""),"")</f>
        <v/>
      </c>
      <c r="Q480" s="5" t="str">
        <f>IFERROR(__xludf.DUMMYFUNCTION("""COMPUTED_VALUE"""),"")</f>
        <v/>
      </c>
      <c r="R480" s="5" t="str">
        <f>IFERROR(__xludf.DUMMYFUNCTION("""COMPUTED_VALUE"""),"")</f>
        <v/>
      </c>
      <c r="S480" s="5" t="str">
        <f>IFERROR(__xludf.DUMMYFUNCTION("""COMPUTED_VALUE"""),"")</f>
        <v/>
      </c>
      <c r="T480" s="5" t="str">
        <f>IFERROR(__xludf.DUMMYFUNCTION("""COMPUTED_VALUE"""),"")</f>
        <v/>
      </c>
      <c r="U480" s="5" t="str">
        <f>IFERROR(__xludf.DUMMYFUNCTION("""COMPUTED_VALUE"""),"")</f>
        <v/>
      </c>
      <c r="V480" s="5" t="str">
        <f>IFERROR(__xludf.DUMMYFUNCTION("""COMPUTED_VALUE"""),"")</f>
        <v/>
      </c>
      <c r="W480" s="5" t="str">
        <f>IFERROR(__xludf.DUMMYFUNCTION("""COMPUTED_VALUE"""),"")</f>
        <v/>
      </c>
      <c r="X480" s="5" t="str">
        <f>IFERROR(__xludf.DUMMYFUNCTION("""COMPUTED_VALUE"""),"")</f>
        <v/>
      </c>
      <c r="Y480" s="5"/>
      <c r="Z480" s="5"/>
    </row>
    <row r="481">
      <c r="A481" s="5" t="str">
        <f>IFERROR(__xludf.DUMMYFUNCTION("""COMPUTED_VALUE"""),"Royal Flame")</f>
        <v>Royal Flame</v>
      </c>
      <c r="B481" s="5" t="str">
        <f>IFERROR(__xludf.DUMMYFUNCTION("""COMPUTED_VALUE"""),"")</f>
        <v/>
      </c>
      <c r="C481" s="5" t="str">
        <f>IFERROR(__xludf.DUMMYFUNCTION("""COMPUTED_VALUE"""),"")</f>
        <v/>
      </c>
      <c r="D481" s="5" t="str">
        <f>IFERROR(__xludf.DUMMYFUNCTION("""COMPUTED_VALUE"""),"")</f>
        <v/>
      </c>
      <c r="E481" s="5" t="str">
        <f>IFERROR(__xludf.DUMMYFUNCTION("""COMPUTED_VALUE"""),"")</f>
        <v/>
      </c>
      <c r="F481" s="5" t="str">
        <f>IFERROR(__xludf.DUMMYFUNCTION("""COMPUTED_VALUE"""),"")</f>
        <v/>
      </c>
      <c r="G481" s="5" t="str">
        <f>IFERROR(__xludf.DUMMYFUNCTION("""COMPUTED_VALUE"""),"")</f>
        <v/>
      </c>
      <c r="H481" s="5" t="str">
        <f>IFERROR(__xludf.DUMMYFUNCTION("""COMPUTED_VALUE"""),"")</f>
        <v/>
      </c>
      <c r="I481" s="5" t="str">
        <f>IFERROR(__xludf.DUMMYFUNCTION("""COMPUTED_VALUE"""),"")</f>
        <v/>
      </c>
      <c r="J481" s="5" t="str">
        <f>IFERROR(__xludf.DUMMYFUNCTION("""COMPUTED_VALUE"""),"")</f>
        <v/>
      </c>
      <c r="K481" s="5" t="str">
        <f>IFERROR(__xludf.DUMMYFUNCTION("""COMPUTED_VALUE"""),"")</f>
        <v/>
      </c>
      <c r="L481" s="5" t="str">
        <f>IFERROR(__xludf.DUMMYFUNCTION("""COMPUTED_VALUE"""),"")</f>
        <v/>
      </c>
      <c r="M481" s="5" t="str">
        <f>IFERROR(__xludf.DUMMYFUNCTION("""COMPUTED_VALUE"""),"")</f>
        <v/>
      </c>
      <c r="N481" s="5" t="str">
        <f>IFERROR(__xludf.DUMMYFUNCTION("""COMPUTED_VALUE"""),"")</f>
        <v/>
      </c>
      <c r="O481" s="5" t="str">
        <f>IFERROR(__xludf.DUMMYFUNCTION("""COMPUTED_VALUE"""),"")</f>
        <v/>
      </c>
      <c r="P481" s="5" t="str">
        <f>IFERROR(__xludf.DUMMYFUNCTION("""COMPUTED_VALUE"""),"")</f>
        <v/>
      </c>
      <c r="Q481" s="5" t="str">
        <f>IFERROR(__xludf.DUMMYFUNCTION("""COMPUTED_VALUE"""),"")</f>
        <v/>
      </c>
      <c r="R481" s="5" t="str">
        <f>IFERROR(__xludf.DUMMYFUNCTION("""COMPUTED_VALUE"""),"")</f>
        <v/>
      </c>
      <c r="S481" s="5" t="str">
        <f>IFERROR(__xludf.DUMMYFUNCTION("""COMPUTED_VALUE"""),"")</f>
        <v/>
      </c>
      <c r="T481" s="5" t="str">
        <f>IFERROR(__xludf.DUMMYFUNCTION("""COMPUTED_VALUE"""),"")</f>
        <v/>
      </c>
      <c r="U481" s="5" t="str">
        <f>IFERROR(__xludf.DUMMYFUNCTION("""COMPUTED_VALUE"""),"")</f>
        <v/>
      </c>
      <c r="V481" s="5" t="str">
        <f>IFERROR(__xludf.DUMMYFUNCTION("""COMPUTED_VALUE"""),"")</f>
        <v/>
      </c>
      <c r="W481" s="5" t="str">
        <f>IFERROR(__xludf.DUMMYFUNCTION("""COMPUTED_VALUE"""),"")</f>
        <v/>
      </c>
      <c r="X481" s="5" t="str">
        <f>IFERROR(__xludf.DUMMYFUNCTION("""COMPUTED_VALUE"""),"")</f>
        <v/>
      </c>
      <c r="Y481" s="5"/>
      <c r="Z481" s="5"/>
    </row>
    <row r="482">
      <c r="A482" s="5" t="str">
        <f>IFERROR(__xludf.DUMMYFUNCTION("""COMPUTED_VALUE"""),"Diamond Heart 100")</f>
        <v>Diamond Heart 100</v>
      </c>
      <c r="B482" s="5" t="str">
        <f>IFERROR(__xludf.DUMMYFUNCTION("""COMPUTED_VALUE"""),"")</f>
        <v/>
      </c>
      <c r="C482" s="5" t="str">
        <f>IFERROR(__xludf.DUMMYFUNCTION("""COMPUTED_VALUE"""),"")</f>
        <v/>
      </c>
      <c r="D482" s="5" t="str">
        <f>IFERROR(__xludf.DUMMYFUNCTION("""COMPUTED_VALUE"""),"")</f>
        <v/>
      </c>
      <c r="E482" s="5" t="str">
        <f>IFERROR(__xludf.DUMMYFUNCTION("""COMPUTED_VALUE"""),"")</f>
        <v/>
      </c>
      <c r="F482" s="5" t="str">
        <f>IFERROR(__xludf.DUMMYFUNCTION("""COMPUTED_VALUE"""),"")</f>
        <v/>
      </c>
      <c r="G482" s="5" t="str">
        <f>IFERROR(__xludf.DUMMYFUNCTION("""COMPUTED_VALUE"""),"")</f>
        <v/>
      </c>
      <c r="H482" s="5" t="str">
        <f>IFERROR(__xludf.DUMMYFUNCTION("""COMPUTED_VALUE"""),"")</f>
        <v/>
      </c>
      <c r="I482" s="5" t="str">
        <f>IFERROR(__xludf.DUMMYFUNCTION("""COMPUTED_VALUE"""),"")</f>
        <v/>
      </c>
      <c r="J482" s="5" t="str">
        <f>IFERROR(__xludf.DUMMYFUNCTION("""COMPUTED_VALUE"""),"")</f>
        <v/>
      </c>
      <c r="K482" s="5" t="str">
        <f>IFERROR(__xludf.DUMMYFUNCTION("""COMPUTED_VALUE"""),"")</f>
        <v/>
      </c>
      <c r="L482" s="5" t="str">
        <f>IFERROR(__xludf.DUMMYFUNCTION("""COMPUTED_VALUE"""),"")</f>
        <v/>
      </c>
      <c r="M482" s="5" t="str">
        <f>IFERROR(__xludf.DUMMYFUNCTION("""COMPUTED_VALUE"""),"")</f>
        <v/>
      </c>
      <c r="N482" s="5" t="str">
        <f>IFERROR(__xludf.DUMMYFUNCTION("""COMPUTED_VALUE"""),"")</f>
        <v/>
      </c>
      <c r="O482" s="5" t="str">
        <f>IFERROR(__xludf.DUMMYFUNCTION("""COMPUTED_VALUE"""),"")</f>
        <v/>
      </c>
      <c r="P482" s="5" t="str">
        <f>IFERROR(__xludf.DUMMYFUNCTION("""COMPUTED_VALUE"""),"")</f>
        <v/>
      </c>
      <c r="Q482" s="5" t="str">
        <f>IFERROR(__xludf.DUMMYFUNCTION("""COMPUTED_VALUE"""),"")</f>
        <v/>
      </c>
      <c r="R482" s="5" t="str">
        <f>IFERROR(__xludf.DUMMYFUNCTION("""COMPUTED_VALUE"""),"")</f>
        <v/>
      </c>
      <c r="S482" s="5" t="str">
        <f>IFERROR(__xludf.DUMMYFUNCTION("""COMPUTED_VALUE"""),"")</f>
        <v/>
      </c>
      <c r="T482" s="5" t="str">
        <f>IFERROR(__xludf.DUMMYFUNCTION("""COMPUTED_VALUE"""),"")</f>
        <v/>
      </c>
      <c r="U482" s="5" t="str">
        <f>IFERROR(__xludf.DUMMYFUNCTION("""COMPUTED_VALUE"""),"")</f>
        <v/>
      </c>
      <c r="V482" s="5" t="str">
        <f>IFERROR(__xludf.DUMMYFUNCTION("""COMPUTED_VALUE"""),"")</f>
        <v/>
      </c>
      <c r="W482" s="5" t="str">
        <f>IFERROR(__xludf.DUMMYFUNCTION("""COMPUTED_VALUE"""),"")</f>
        <v/>
      </c>
      <c r="X482" s="5" t="str">
        <f>IFERROR(__xludf.DUMMYFUNCTION("""COMPUTED_VALUE"""),"")</f>
        <v/>
      </c>
      <c r="Y482" s="5"/>
      <c r="Z482" s="5"/>
    </row>
    <row r="483">
      <c r="A483" s="5" t="str">
        <f>IFERROR(__xludf.DUMMYFUNCTION("""COMPUTED_VALUE"""),"Golden Getsby")</f>
        <v>Golden Getsby</v>
      </c>
      <c r="B483" s="5" t="str">
        <f>IFERROR(__xludf.DUMMYFUNCTION("""COMPUTED_VALUE"""),"")</f>
        <v/>
      </c>
      <c r="C483" s="5" t="str">
        <f>IFERROR(__xludf.DUMMYFUNCTION("""COMPUTED_VALUE"""),"")</f>
        <v/>
      </c>
      <c r="D483" s="5" t="str">
        <f>IFERROR(__xludf.DUMMYFUNCTION("""COMPUTED_VALUE"""),"")</f>
        <v/>
      </c>
      <c r="E483" s="5" t="str">
        <f>IFERROR(__xludf.DUMMYFUNCTION("""COMPUTED_VALUE"""),"")</f>
        <v/>
      </c>
      <c r="F483" s="5" t="str">
        <f>IFERROR(__xludf.DUMMYFUNCTION("""COMPUTED_VALUE"""),"")</f>
        <v/>
      </c>
      <c r="G483" s="5" t="str">
        <f>IFERROR(__xludf.DUMMYFUNCTION("""COMPUTED_VALUE"""),"")</f>
        <v/>
      </c>
      <c r="H483" s="5" t="str">
        <f>IFERROR(__xludf.DUMMYFUNCTION("""COMPUTED_VALUE"""),"")</f>
        <v/>
      </c>
      <c r="I483" s="5" t="str">
        <f>IFERROR(__xludf.DUMMYFUNCTION("""COMPUTED_VALUE"""),"")</f>
        <v/>
      </c>
      <c r="J483" s="5" t="str">
        <f>IFERROR(__xludf.DUMMYFUNCTION("""COMPUTED_VALUE"""),"")</f>
        <v/>
      </c>
      <c r="K483" s="5" t="str">
        <f>IFERROR(__xludf.DUMMYFUNCTION("""COMPUTED_VALUE"""),"")</f>
        <v/>
      </c>
      <c r="L483" s="5" t="str">
        <f>IFERROR(__xludf.DUMMYFUNCTION("""COMPUTED_VALUE"""),"")</f>
        <v/>
      </c>
      <c r="M483" s="5" t="str">
        <f>IFERROR(__xludf.DUMMYFUNCTION("""COMPUTED_VALUE"""),"")</f>
        <v/>
      </c>
      <c r="N483" s="5" t="str">
        <f>IFERROR(__xludf.DUMMYFUNCTION("""COMPUTED_VALUE"""),"")</f>
        <v/>
      </c>
      <c r="O483" s="5" t="str">
        <f>IFERROR(__xludf.DUMMYFUNCTION("""COMPUTED_VALUE"""),"")</f>
        <v/>
      </c>
      <c r="P483" s="5" t="str">
        <f>IFERROR(__xludf.DUMMYFUNCTION("""COMPUTED_VALUE"""),"")</f>
        <v/>
      </c>
      <c r="Q483" s="5" t="str">
        <f>IFERROR(__xludf.DUMMYFUNCTION("""COMPUTED_VALUE"""),"")</f>
        <v/>
      </c>
      <c r="R483" s="5" t="str">
        <f>IFERROR(__xludf.DUMMYFUNCTION("""COMPUTED_VALUE"""),"")</f>
        <v/>
      </c>
      <c r="S483" s="5" t="str">
        <f>IFERROR(__xludf.DUMMYFUNCTION("""COMPUTED_VALUE"""),"")</f>
        <v/>
      </c>
      <c r="T483" s="5" t="str">
        <f>IFERROR(__xludf.DUMMYFUNCTION("""COMPUTED_VALUE"""),"")</f>
        <v/>
      </c>
      <c r="U483" s="5" t="str">
        <f>IFERROR(__xludf.DUMMYFUNCTION("""COMPUTED_VALUE"""),"")</f>
        <v/>
      </c>
      <c r="V483" s="5" t="str">
        <f>IFERROR(__xludf.DUMMYFUNCTION("""COMPUTED_VALUE"""),"")</f>
        <v/>
      </c>
      <c r="W483" s="5" t="str">
        <f>IFERROR(__xludf.DUMMYFUNCTION("""COMPUTED_VALUE"""),"")</f>
        <v/>
      </c>
      <c r="X483" s="5" t="str">
        <f>IFERROR(__xludf.DUMMYFUNCTION("""COMPUTED_VALUE"""),"")</f>
        <v/>
      </c>
      <c r="Y483" s="5"/>
      <c r="Z483" s="5"/>
    </row>
    <row r="484">
      <c r="A484" s="5" t="str">
        <f>IFERROR(__xludf.DUMMYFUNCTION("""COMPUTED_VALUE"""),"Dashing Hot 20")</f>
        <v>Dashing Hot 20</v>
      </c>
      <c r="B484" s="5" t="str">
        <f>IFERROR(__xludf.DUMMYFUNCTION("""COMPUTED_VALUE"""),"")</f>
        <v/>
      </c>
      <c r="C484" s="5" t="str">
        <f>IFERROR(__xludf.DUMMYFUNCTION("""COMPUTED_VALUE"""),"")</f>
        <v/>
      </c>
      <c r="D484" s="5" t="str">
        <f>IFERROR(__xludf.DUMMYFUNCTION("""COMPUTED_VALUE"""),"")</f>
        <v/>
      </c>
      <c r="E484" s="5" t="str">
        <f>IFERROR(__xludf.DUMMYFUNCTION("""COMPUTED_VALUE"""),"")</f>
        <v/>
      </c>
      <c r="F484" s="5" t="str">
        <f>IFERROR(__xludf.DUMMYFUNCTION("""COMPUTED_VALUE"""),"")</f>
        <v/>
      </c>
      <c r="G484" s="5" t="str">
        <f>IFERROR(__xludf.DUMMYFUNCTION("""COMPUTED_VALUE"""),"")</f>
        <v/>
      </c>
      <c r="H484" s="5" t="str">
        <f>IFERROR(__xludf.DUMMYFUNCTION("""COMPUTED_VALUE"""),"")</f>
        <v/>
      </c>
      <c r="I484" s="5" t="str">
        <f>IFERROR(__xludf.DUMMYFUNCTION("""COMPUTED_VALUE"""),"")</f>
        <v/>
      </c>
      <c r="J484" s="5" t="str">
        <f>IFERROR(__xludf.DUMMYFUNCTION("""COMPUTED_VALUE"""),"")</f>
        <v/>
      </c>
      <c r="K484" s="5" t="str">
        <f>IFERROR(__xludf.DUMMYFUNCTION("""COMPUTED_VALUE"""),"")</f>
        <v/>
      </c>
      <c r="L484" s="5" t="str">
        <f>IFERROR(__xludf.DUMMYFUNCTION("""COMPUTED_VALUE"""),"")</f>
        <v/>
      </c>
      <c r="M484" s="5" t="str">
        <f>IFERROR(__xludf.DUMMYFUNCTION("""COMPUTED_VALUE"""),"")</f>
        <v/>
      </c>
      <c r="N484" s="5" t="str">
        <f>IFERROR(__xludf.DUMMYFUNCTION("""COMPUTED_VALUE"""),"")</f>
        <v/>
      </c>
      <c r="O484" s="5" t="str">
        <f>IFERROR(__xludf.DUMMYFUNCTION("""COMPUTED_VALUE"""),"")</f>
        <v/>
      </c>
      <c r="P484" s="5" t="str">
        <f>IFERROR(__xludf.DUMMYFUNCTION("""COMPUTED_VALUE"""),"")</f>
        <v/>
      </c>
      <c r="Q484" s="5" t="str">
        <f>IFERROR(__xludf.DUMMYFUNCTION("""COMPUTED_VALUE"""),"")</f>
        <v/>
      </c>
      <c r="R484" s="5" t="str">
        <f>IFERROR(__xludf.DUMMYFUNCTION("""COMPUTED_VALUE"""),"")</f>
        <v/>
      </c>
      <c r="S484" s="5" t="str">
        <f>IFERROR(__xludf.DUMMYFUNCTION("""COMPUTED_VALUE"""),"")</f>
        <v/>
      </c>
      <c r="T484" s="5" t="str">
        <f>IFERROR(__xludf.DUMMYFUNCTION("""COMPUTED_VALUE"""),"")</f>
        <v/>
      </c>
      <c r="U484" s="5" t="str">
        <f>IFERROR(__xludf.DUMMYFUNCTION("""COMPUTED_VALUE"""),"")</f>
        <v/>
      </c>
      <c r="V484" s="5" t="str">
        <f>IFERROR(__xludf.DUMMYFUNCTION("""COMPUTED_VALUE"""),"")</f>
        <v/>
      </c>
      <c r="W484" s="5" t="str">
        <f>IFERROR(__xludf.DUMMYFUNCTION("""COMPUTED_VALUE"""),"")</f>
        <v/>
      </c>
      <c r="X484" s="5" t="str">
        <f>IFERROR(__xludf.DUMMYFUNCTION("""COMPUTED_VALUE"""),"")</f>
        <v/>
      </c>
      <c r="Y484" s="5"/>
      <c r="Z484" s="5"/>
    </row>
    <row r="485">
      <c r="A485" s="5" t="str">
        <f>IFERROR(__xludf.DUMMYFUNCTION("""COMPUTED_VALUE"""),"Dark Temptress")</f>
        <v>Dark Temptress</v>
      </c>
      <c r="B485" s="5" t="str">
        <f>IFERROR(__xludf.DUMMYFUNCTION("""COMPUTED_VALUE"""),"")</f>
        <v/>
      </c>
      <c r="C485" s="5" t="str">
        <f>IFERROR(__xludf.DUMMYFUNCTION("""COMPUTED_VALUE"""),"")</f>
        <v/>
      </c>
      <c r="D485" s="5" t="str">
        <f>IFERROR(__xludf.DUMMYFUNCTION("""COMPUTED_VALUE"""),"")</f>
        <v/>
      </c>
      <c r="E485" s="5" t="str">
        <f>IFERROR(__xludf.DUMMYFUNCTION("""COMPUTED_VALUE"""),"")</f>
        <v/>
      </c>
      <c r="F485" s="5" t="str">
        <f>IFERROR(__xludf.DUMMYFUNCTION("""COMPUTED_VALUE"""),"")</f>
        <v/>
      </c>
      <c r="G485" s="5" t="str">
        <f>IFERROR(__xludf.DUMMYFUNCTION("""COMPUTED_VALUE"""),"")</f>
        <v/>
      </c>
      <c r="H485" s="5" t="str">
        <f>IFERROR(__xludf.DUMMYFUNCTION("""COMPUTED_VALUE"""),"")</f>
        <v/>
      </c>
      <c r="I485" s="5" t="str">
        <f>IFERROR(__xludf.DUMMYFUNCTION("""COMPUTED_VALUE"""),"")</f>
        <v/>
      </c>
      <c r="J485" s="5" t="str">
        <f>IFERROR(__xludf.DUMMYFUNCTION("""COMPUTED_VALUE"""),"")</f>
        <v/>
      </c>
      <c r="K485" s="5" t="str">
        <f>IFERROR(__xludf.DUMMYFUNCTION("""COMPUTED_VALUE"""),"")</f>
        <v/>
      </c>
      <c r="L485" s="5" t="str">
        <f>IFERROR(__xludf.DUMMYFUNCTION("""COMPUTED_VALUE"""),"")</f>
        <v/>
      </c>
      <c r="M485" s="5" t="str">
        <f>IFERROR(__xludf.DUMMYFUNCTION("""COMPUTED_VALUE"""),"")</f>
        <v/>
      </c>
      <c r="N485" s="5" t="str">
        <f>IFERROR(__xludf.DUMMYFUNCTION("""COMPUTED_VALUE"""),"")</f>
        <v/>
      </c>
      <c r="O485" s="5" t="str">
        <f>IFERROR(__xludf.DUMMYFUNCTION("""COMPUTED_VALUE"""),"")</f>
        <v/>
      </c>
      <c r="P485" s="5" t="str">
        <f>IFERROR(__xludf.DUMMYFUNCTION("""COMPUTED_VALUE"""),"")</f>
        <v/>
      </c>
      <c r="Q485" s="5" t="str">
        <f>IFERROR(__xludf.DUMMYFUNCTION("""COMPUTED_VALUE"""),"")</f>
        <v/>
      </c>
      <c r="R485" s="5" t="str">
        <f>IFERROR(__xludf.DUMMYFUNCTION("""COMPUTED_VALUE"""),"")</f>
        <v/>
      </c>
      <c r="S485" s="5" t="str">
        <f>IFERROR(__xludf.DUMMYFUNCTION("""COMPUTED_VALUE"""),"")</f>
        <v/>
      </c>
      <c r="T485" s="5" t="str">
        <f>IFERROR(__xludf.DUMMYFUNCTION("""COMPUTED_VALUE"""),"")</f>
        <v/>
      </c>
      <c r="U485" s="5" t="str">
        <f>IFERROR(__xludf.DUMMYFUNCTION("""COMPUTED_VALUE"""),"")</f>
        <v/>
      </c>
      <c r="V485" s="5" t="str">
        <f>IFERROR(__xludf.DUMMYFUNCTION("""COMPUTED_VALUE"""),"")</f>
        <v/>
      </c>
      <c r="W485" s="5" t="str">
        <f>IFERROR(__xludf.DUMMYFUNCTION("""COMPUTED_VALUE"""),"")</f>
        <v/>
      </c>
      <c r="X485" s="5" t="str">
        <f>IFERROR(__xludf.DUMMYFUNCTION("""COMPUTED_VALUE"""),"")</f>
        <v/>
      </c>
      <c r="Y485" s="5"/>
      <c r="Z485" s="5"/>
    </row>
    <row r="486">
      <c r="A486" s="5" t="str">
        <f>IFERROR(__xludf.DUMMYFUNCTION("""COMPUTED_VALUE"""),"Wild Sticky Clover")</f>
        <v>Wild Sticky Clover</v>
      </c>
      <c r="B486" s="5" t="str">
        <f>IFERROR(__xludf.DUMMYFUNCTION("""COMPUTED_VALUE"""),"")</f>
        <v/>
      </c>
      <c r="C486" s="5" t="str">
        <f>IFERROR(__xludf.DUMMYFUNCTION("""COMPUTED_VALUE"""),"Development")</f>
        <v>Development</v>
      </c>
      <c r="D486" s="5" t="str">
        <f>IFERROR(__xludf.DUMMYFUNCTION("""COMPUTED_VALUE"""),"Cert Preparation")</f>
        <v>Cert Preparation</v>
      </c>
      <c r="E486" s="5" t="str">
        <f>IFERROR(__xludf.DUMMYFUNCTION("""COMPUTED_VALUE"""),"")</f>
        <v/>
      </c>
      <c r="F486" s="5" t="str">
        <f>IFERROR(__xludf.DUMMYFUNCTION("""COMPUTED_VALUE"""),"")</f>
        <v/>
      </c>
      <c r="G486" s="5" t="str">
        <f>IFERROR(__xludf.DUMMYFUNCTION("""COMPUTED_VALUE"""),"")</f>
        <v/>
      </c>
      <c r="H486" s="5" t="str">
        <f>IFERROR(__xludf.DUMMYFUNCTION("""COMPUTED_VALUE"""),"Development")</f>
        <v>Development</v>
      </c>
      <c r="I486" s="5" t="str">
        <f>IFERROR(__xludf.DUMMYFUNCTION("""COMPUTED_VALUE"""),"")</f>
        <v/>
      </c>
      <c r="J486" s="5" t="str">
        <f>IFERROR(__xludf.DUMMYFUNCTION("""COMPUTED_VALUE"""),"")</f>
        <v/>
      </c>
      <c r="K486" s="5" t="str">
        <f>IFERROR(__xludf.DUMMYFUNCTION("""COMPUTED_VALUE"""),"")</f>
        <v/>
      </c>
      <c r="L486" s="5" t="str">
        <f>IFERROR(__xludf.DUMMYFUNCTION("""COMPUTED_VALUE"""),"")</f>
        <v/>
      </c>
      <c r="M486" s="5" t="str">
        <f>IFERROR(__xludf.DUMMYFUNCTION("""COMPUTED_VALUE"""),"")</f>
        <v/>
      </c>
      <c r="N486" s="5" t="str">
        <f>IFERROR(__xludf.DUMMYFUNCTION("""COMPUTED_VALUE"""),"Development")</f>
        <v>Development</v>
      </c>
      <c r="O486" s="5" t="str">
        <f>IFERROR(__xludf.DUMMYFUNCTION("""COMPUTED_VALUE"""),"")</f>
        <v/>
      </c>
      <c r="P486" s="5" t="str">
        <f>IFERROR(__xludf.DUMMYFUNCTION("""COMPUTED_VALUE"""),"")</f>
        <v/>
      </c>
      <c r="Q486" s="5" t="str">
        <f>IFERROR(__xludf.DUMMYFUNCTION("""COMPUTED_VALUE"""),"")</f>
        <v/>
      </c>
      <c r="R486" s="5" t="str">
        <f>IFERROR(__xludf.DUMMYFUNCTION("""COMPUTED_VALUE"""),"")</f>
        <v/>
      </c>
      <c r="S486" s="5" t="str">
        <f>IFERROR(__xludf.DUMMYFUNCTION("""COMPUTED_VALUE"""),"")</f>
        <v/>
      </c>
      <c r="T486" s="5" t="str">
        <f>IFERROR(__xludf.DUMMYFUNCTION("""COMPUTED_VALUE"""),"")</f>
        <v/>
      </c>
      <c r="U486" s="5" t="str">
        <f>IFERROR(__xludf.DUMMYFUNCTION("""COMPUTED_VALUE"""),"")</f>
        <v/>
      </c>
      <c r="V486" s="5" t="str">
        <f>IFERROR(__xludf.DUMMYFUNCTION("""COMPUTED_VALUE"""),"")</f>
        <v/>
      </c>
      <c r="W486" s="5" t="str">
        <f>IFERROR(__xludf.DUMMYFUNCTION("""COMPUTED_VALUE"""),"")</f>
        <v/>
      </c>
      <c r="X486" s="5" t="str">
        <f>IFERROR(__xludf.DUMMYFUNCTION("""COMPUTED_VALUE"""),"")</f>
        <v/>
      </c>
      <c r="Y486" s="5"/>
      <c r="Z486" s="5"/>
    </row>
    <row r="487">
      <c r="A487" s="5" t="str">
        <f>IFERROR(__xludf.DUMMYFUNCTION("""COMPUTED_VALUE"""),"XSpins")</f>
        <v>XSpins</v>
      </c>
      <c r="B487" s="5" t="str">
        <f>IFERROR(__xludf.DUMMYFUNCTION("""COMPUTED_VALUE"""),"")</f>
        <v/>
      </c>
      <c r="C487" s="5" t="str">
        <f>IFERROR(__xludf.DUMMYFUNCTION("""COMPUTED_VALUE"""),"")</f>
        <v/>
      </c>
      <c r="D487" s="5" t="str">
        <f>IFERROR(__xludf.DUMMYFUNCTION("""COMPUTED_VALUE"""),"")</f>
        <v/>
      </c>
      <c r="E487" s="5" t="str">
        <f>IFERROR(__xludf.DUMMYFUNCTION("""COMPUTED_VALUE"""),"")</f>
        <v/>
      </c>
      <c r="F487" s="5" t="str">
        <f>IFERROR(__xludf.DUMMYFUNCTION("""COMPUTED_VALUE"""),"")</f>
        <v/>
      </c>
      <c r="G487" s="5" t="str">
        <f>IFERROR(__xludf.DUMMYFUNCTION("""COMPUTED_VALUE"""),"")</f>
        <v/>
      </c>
      <c r="H487" s="5" t="str">
        <f>IFERROR(__xludf.DUMMYFUNCTION("""COMPUTED_VALUE"""),"")</f>
        <v/>
      </c>
      <c r="I487" s="5" t="str">
        <f>IFERROR(__xludf.DUMMYFUNCTION("""COMPUTED_VALUE"""),"")</f>
        <v/>
      </c>
      <c r="J487" s="5" t="str">
        <f>IFERROR(__xludf.DUMMYFUNCTION("""COMPUTED_VALUE"""),"")</f>
        <v/>
      </c>
      <c r="K487" s="5" t="str">
        <f>IFERROR(__xludf.DUMMYFUNCTION("""COMPUTED_VALUE"""),"")</f>
        <v/>
      </c>
      <c r="L487" s="5" t="str">
        <f>IFERROR(__xludf.DUMMYFUNCTION("""COMPUTED_VALUE"""),"")</f>
        <v/>
      </c>
      <c r="M487" s="5" t="str">
        <f>IFERROR(__xludf.DUMMYFUNCTION("""COMPUTED_VALUE"""),"")</f>
        <v/>
      </c>
      <c r="N487" s="5" t="str">
        <f>IFERROR(__xludf.DUMMYFUNCTION("""COMPUTED_VALUE"""),"")</f>
        <v/>
      </c>
      <c r="O487" s="5" t="str">
        <f>IFERROR(__xludf.DUMMYFUNCTION("""COMPUTED_VALUE"""),"")</f>
        <v/>
      </c>
      <c r="P487" s="5" t="str">
        <f>IFERROR(__xludf.DUMMYFUNCTION("""COMPUTED_VALUE"""),"")</f>
        <v/>
      </c>
      <c r="Q487" s="5" t="str">
        <f>IFERROR(__xludf.DUMMYFUNCTION("""COMPUTED_VALUE"""),"")</f>
        <v/>
      </c>
      <c r="R487" s="5" t="str">
        <f>IFERROR(__xludf.DUMMYFUNCTION("""COMPUTED_VALUE"""),"")</f>
        <v/>
      </c>
      <c r="S487" s="5" t="str">
        <f>IFERROR(__xludf.DUMMYFUNCTION("""COMPUTED_VALUE"""),"")</f>
        <v/>
      </c>
      <c r="T487" s="5" t="str">
        <f>IFERROR(__xludf.DUMMYFUNCTION("""COMPUTED_VALUE"""),"")</f>
        <v/>
      </c>
      <c r="U487" s="5" t="str">
        <f>IFERROR(__xludf.DUMMYFUNCTION("""COMPUTED_VALUE"""),"")</f>
        <v/>
      </c>
      <c r="V487" s="5" t="str">
        <f>IFERROR(__xludf.DUMMYFUNCTION("""COMPUTED_VALUE"""),"")</f>
        <v/>
      </c>
      <c r="W487" s="5" t="str">
        <f>IFERROR(__xludf.DUMMYFUNCTION("""COMPUTED_VALUE"""),"")</f>
        <v/>
      </c>
      <c r="X487" s="5" t="str">
        <f>IFERROR(__xludf.DUMMYFUNCTION("""COMPUTED_VALUE"""),"")</f>
        <v/>
      </c>
      <c r="Y487" s="5"/>
      <c r="Z487" s="5"/>
    </row>
    <row r="488">
      <c r="A488" s="5" t="str">
        <f>IFERROR(__xludf.DUMMYFUNCTION("""COMPUTED_VALUE"""),"Epic Crown 5 Booster")</f>
        <v>Epic Crown 5 Booster</v>
      </c>
      <c r="B488" s="5" t="str">
        <f>IFERROR(__xludf.DUMMYFUNCTION("""COMPUTED_VALUE"""),"")</f>
        <v/>
      </c>
      <c r="C488" s="5" t="str">
        <f>IFERROR(__xludf.DUMMYFUNCTION("""COMPUTED_VALUE"""),"")</f>
        <v/>
      </c>
      <c r="D488" s="5" t="str">
        <f>IFERROR(__xludf.DUMMYFUNCTION("""COMPUTED_VALUE"""),"")</f>
        <v/>
      </c>
      <c r="E488" s="5" t="str">
        <f>IFERROR(__xludf.DUMMYFUNCTION("""COMPUTED_VALUE"""),"")</f>
        <v/>
      </c>
      <c r="F488" s="5" t="str">
        <f>IFERROR(__xludf.DUMMYFUNCTION("""COMPUTED_VALUE"""),"")</f>
        <v/>
      </c>
      <c r="G488" s="5" t="str">
        <f>IFERROR(__xludf.DUMMYFUNCTION("""COMPUTED_VALUE"""),"")</f>
        <v/>
      </c>
      <c r="H488" s="5" t="str">
        <f>IFERROR(__xludf.DUMMYFUNCTION("""COMPUTED_VALUE"""),"")</f>
        <v/>
      </c>
      <c r="I488" s="5" t="str">
        <f>IFERROR(__xludf.DUMMYFUNCTION("""COMPUTED_VALUE"""),"")</f>
        <v/>
      </c>
      <c r="J488" s="5" t="str">
        <f>IFERROR(__xludf.DUMMYFUNCTION("""COMPUTED_VALUE"""),"")</f>
        <v/>
      </c>
      <c r="K488" s="5" t="str">
        <f>IFERROR(__xludf.DUMMYFUNCTION("""COMPUTED_VALUE"""),"")</f>
        <v/>
      </c>
      <c r="L488" s="5" t="str">
        <f>IFERROR(__xludf.DUMMYFUNCTION("""COMPUTED_VALUE"""),"")</f>
        <v/>
      </c>
      <c r="M488" s="5" t="str">
        <f>IFERROR(__xludf.DUMMYFUNCTION("""COMPUTED_VALUE"""),"")</f>
        <v/>
      </c>
      <c r="N488" s="5" t="str">
        <f>IFERROR(__xludf.DUMMYFUNCTION("""COMPUTED_VALUE"""),"")</f>
        <v/>
      </c>
      <c r="O488" s="5" t="str">
        <f>IFERROR(__xludf.DUMMYFUNCTION("""COMPUTED_VALUE"""),"")</f>
        <v/>
      </c>
      <c r="P488" s="5" t="str">
        <f>IFERROR(__xludf.DUMMYFUNCTION("""COMPUTED_VALUE"""),"")</f>
        <v/>
      </c>
      <c r="Q488" s="5" t="str">
        <f>IFERROR(__xludf.DUMMYFUNCTION("""COMPUTED_VALUE"""),"")</f>
        <v/>
      </c>
      <c r="R488" s="5" t="str">
        <f>IFERROR(__xludf.DUMMYFUNCTION("""COMPUTED_VALUE"""),"")</f>
        <v/>
      </c>
      <c r="S488" s="5" t="str">
        <f>IFERROR(__xludf.DUMMYFUNCTION("""COMPUTED_VALUE"""),"")</f>
        <v/>
      </c>
      <c r="T488" s="5" t="str">
        <f>IFERROR(__xludf.DUMMYFUNCTION("""COMPUTED_VALUE"""),"")</f>
        <v/>
      </c>
      <c r="U488" s="5" t="str">
        <f>IFERROR(__xludf.DUMMYFUNCTION("""COMPUTED_VALUE"""),"")</f>
        <v/>
      </c>
      <c r="V488" s="5" t="str">
        <f>IFERROR(__xludf.DUMMYFUNCTION("""COMPUTED_VALUE"""),"")</f>
        <v/>
      </c>
      <c r="W488" s="5" t="str">
        <f>IFERROR(__xludf.DUMMYFUNCTION("""COMPUTED_VALUE"""),"")</f>
        <v/>
      </c>
      <c r="X488" s="5" t="str">
        <f>IFERROR(__xludf.DUMMYFUNCTION("""COMPUTED_VALUE"""),"")</f>
        <v/>
      </c>
      <c r="Y488" s="5"/>
      <c r="Z488" s="5"/>
    </row>
    <row r="489">
      <c r="A489" s="5" t="str">
        <f>IFERROR(__xludf.DUMMYFUNCTION("""COMPUTED_VALUE"""),"Epic Crown 10 Booster")</f>
        <v>Epic Crown 10 Booster</v>
      </c>
      <c r="B489" s="5" t="str">
        <f>IFERROR(__xludf.DUMMYFUNCTION("""COMPUTED_VALUE"""),"")</f>
        <v/>
      </c>
      <c r="C489" s="5" t="str">
        <f>IFERROR(__xludf.DUMMYFUNCTION("""COMPUTED_VALUE"""),"")</f>
        <v/>
      </c>
      <c r="D489" s="5" t="str">
        <f>IFERROR(__xludf.DUMMYFUNCTION("""COMPUTED_VALUE"""),"")</f>
        <v/>
      </c>
      <c r="E489" s="5" t="str">
        <f>IFERROR(__xludf.DUMMYFUNCTION("""COMPUTED_VALUE"""),"")</f>
        <v/>
      </c>
      <c r="F489" s="5" t="str">
        <f>IFERROR(__xludf.DUMMYFUNCTION("""COMPUTED_VALUE"""),"")</f>
        <v/>
      </c>
      <c r="G489" s="5" t="str">
        <f>IFERROR(__xludf.DUMMYFUNCTION("""COMPUTED_VALUE"""),"")</f>
        <v/>
      </c>
      <c r="H489" s="5" t="str">
        <f>IFERROR(__xludf.DUMMYFUNCTION("""COMPUTED_VALUE"""),"")</f>
        <v/>
      </c>
      <c r="I489" s="5" t="str">
        <f>IFERROR(__xludf.DUMMYFUNCTION("""COMPUTED_VALUE"""),"")</f>
        <v/>
      </c>
      <c r="J489" s="5" t="str">
        <f>IFERROR(__xludf.DUMMYFUNCTION("""COMPUTED_VALUE"""),"")</f>
        <v/>
      </c>
      <c r="K489" s="5" t="str">
        <f>IFERROR(__xludf.DUMMYFUNCTION("""COMPUTED_VALUE"""),"")</f>
        <v/>
      </c>
      <c r="L489" s="5" t="str">
        <f>IFERROR(__xludf.DUMMYFUNCTION("""COMPUTED_VALUE"""),"")</f>
        <v/>
      </c>
      <c r="M489" s="5" t="str">
        <f>IFERROR(__xludf.DUMMYFUNCTION("""COMPUTED_VALUE"""),"")</f>
        <v/>
      </c>
      <c r="N489" s="5" t="str">
        <f>IFERROR(__xludf.DUMMYFUNCTION("""COMPUTED_VALUE"""),"")</f>
        <v/>
      </c>
      <c r="O489" s="5" t="str">
        <f>IFERROR(__xludf.DUMMYFUNCTION("""COMPUTED_VALUE"""),"")</f>
        <v/>
      </c>
      <c r="P489" s="5" t="str">
        <f>IFERROR(__xludf.DUMMYFUNCTION("""COMPUTED_VALUE"""),"")</f>
        <v/>
      </c>
      <c r="Q489" s="5" t="str">
        <f>IFERROR(__xludf.DUMMYFUNCTION("""COMPUTED_VALUE"""),"")</f>
        <v/>
      </c>
      <c r="R489" s="5" t="str">
        <f>IFERROR(__xludf.DUMMYFUNCTION("""COMPUTED_VALUE"""),"")</f>
        <v/>
      </c>
      <c r="S489" s="5" t="str">
        <f>IFERROR(__xludf.DUMMYFUNCTION("""COMPUTED_VALUE"""),"")</f>
        <v/>
      </c>
      <c r="T489" s="5" t="str">
        <f>IFERROR(__xludf.DUMMYFUNCTION("""COMPUTED_VALUE"""),"")</f>
        <v/>
      </c>
      <c r="U489" s="5" t="str">
        <f>IFERROR(__xludf.DUMMYFUNCTION("""COMPUTED_VALUE"""),"")</f>
        <v/>
      </c>
      <c r="V489" s="5" t="str">
        <f>IFERROR(__xludf.DUMMYFUNCTION("""COMPUTED_VALUE"""),"")</f>
        <v/>
      </c>
      <c r="W489" s="5" t="str">
        <f>IFERROR(__xludf.DUMMYFUNCTION("""COMPUTED_VALUE"""),"")</f>
        <v/>
      </c>
      <c r="X489" s="5" t="str">
        <f>IFERROR(__xludf.DUMMYFUNCTION("""COMPUTED_VALUE"""),"")</f>
        <v/>
      </c>
      <c r="Y489" s="5"/>
      <c r="Z489" s="5"/>
    </row>
    <row r="490">
      <c r="A490" s="5" t="str">
        <f>IFERROR(__xludf.DUMMYFUNCTION("""COMPUTED_VALUE"""),"777: Expand")</f>
        <v>777: Expand</v>
      </c>
      <c r="B490" s="5" t="str">
        <f>IFERROR(__xludf.DUMMYFUNCTION("""COMPUTED_VALUE"""),"")</f>
        <v/>
      </c>
      <c r="C490" s="5" t="str">
        <f>IFERROR(__xludf.DUMMYFUNCTION("""COMPUTED_VALUE"""),"")</f>
        <v/>
      </c>
      <c r="D490" s="5" t="str">
        <f>IFERROR(__xludf.DUMMYFUNCTION("""COMPUTED_VALUE"""),"")</f>
        <v/>
      </c>
      <c r="E490" s="5" t="str">
        <f>IFERROR(__xludf.DUMMYFUNCTION("""COMPUTED_VALUE"""),"")</f>
        <v/>
      </c>
      <c r="F490" s="5" t="str">
        <f>IFERROR(__xludf.DUMMYFUNCTION("""COMPUTED_VALUE"""),"")</f>
        <v/>
      </c>
      <c r="G490" s="5" t="str">
        <f>IFERROR(__xludf.DUMMYFUNCTION("""COMPUTED_VALUE"""),"")</f>
        <v/>
      </c>
      <c r="H490" s="5" t="str">
        <f>IFERROR(__xludf.DUMMYFUNCTION("""COMPUTED_VALUE"""),"")</f>
        <v/>
      </c>
      <c r="I490" s="5" t="str">
        <f>IFERROR(__xludf.DUMMYFUNCTION("""COMPUTED_VALUE"""),"")</f>
        <v/>
      </c>
      <c r="J490" s="5" t="str">
        <f>IFERROR(__xludf.DUMMYFUNCTION("""COMPUTED_VALUE"""),"")</f>
        <v/>
      </c>
      <c r="K490" s="5" t="str">
        <f>IFERROR(__xludf.DUMMYFUNCTION("""COMPUTED_VALUE"""),"")</f>
        <v/>
      </c>
      <c r="L490" s="5" t="str">
        <f>IFERROR(__xludf.DUMMYFUNCTION("""COMPUTED_VALUE"""),"")</f>
        <v/>
      </c>
      <c r="M490" s="5" t="str">
        <f>IFERROR(__xludf.DUMMYFUNCTION("""COMPUTED_VALUE"""),"")</f>
        <v/>
      </c>
      <c r="N490" s="5" t="str">
        <f>IFERROR(__xludf.DUMMYFUNCTION("""COMPUTED_VALUE"""),"")</f>
        <v/>
      </c>
      <c r="O490" s="5" t="str">
        <f>IFERROR(__xludf.DUMMYFUNCTION("""COMPUTED_VALUE"""),"")</f>
        <v/>
      </c>
      <c r="P490" s="5" t="str">
        <f>IFERROR(__xludf.DUMMYFUNCTION("""COMPUTED_VALUE"""),"")</f>
        <v/>
      </c>
      <c r="Q490" s="5" t="str">
        <f>IFERROR(__xludf.DUMMYFUNCTION("""COMPUTED_VALUE"""),"")</f>
        <v/>
      </c>
      <c r="R490" s="5" t="str">
        <f>IFERROR(__xludf.DUMMYFUNCTION("""COMPUTED_VALUE"""),"")</f>
        <v/>
      </c>
      <c r="S490" s="5" t="str">
        <f>IFERROR(__xludf.DUMMYFUNCTION("""COMPUTED_VALUE"""),"")</f>
        <v/>
      </c>
      <c r="T490" s="5" t="str">
        <f>IFERROR(__xludf.DUMMYFUNCTION("""COMPUTED_VALUE"""),"")</f>
        <v/>
      </c>
      <c r="U490" s="5" t="str">
        <f>IFERROR(__xludf.DUMMYFUNCTION("""COMPUTED_VALUE"""),"")</f>
        <v/>
      </c>
      <c r="V490" s="5" t="str">
        <f>IFERROR(__xludf.DUMMYFUNCTION("""COMPUTED_VALUE"""),"")</f>
        <v/>
      </c>
      <c r="W490" s="5" t="str">
        <f>IFERROR(__xludf.DUMMYFUNCTION("""COMPUTED_VALUE"""),"")</f>
        <v/>
      </c>
      <c r="X490" s="5" t="str">
        <f>IFERROR(__xludf.DUMMYFUNCTION("""COMPUTED_VALUE"""),"")</f>
        <v/>
      </c>
      <c r="Y490" s="5"/>
      <c r="Z490" s="5"/>
    </row>
    <row r="491">
      <c r="A491" s="5" t="str">
        <f>IFERROR(__xludf.DUMMYFUNCTION("""COMPUTED_VALUE"""),"Double Wild Crown")</f>
        <v>Double Wild Crown</v>
      </c>
      <c r="B491" s="5" t="str">
        <f>IFERROR(__xludf.DUMMYFUNCTION("""COMPUTED_VALUE"""),"")</f>
        <v/>
      </c>
      <c r="C491" s="5" t="str">
        <f>IFERROR(__xludf.DUMMYFUNCTION("""COMPUTED_VALUE"""),"")</f>
        <v/>
      </c>
      <c r="D491" s="5" t="str">
        <f>IFERROR(__xludf.DUMMYFUNCTION("""COMPUTED_VALUE"""),"")</f>
        <v/>
      </c>
      <c r="E491" s="5" t="str">
        <f>IFERROR(__xludf.DUMMYFUNCTION("""COMPUTED_VALUE"""),"")</f>
        <v/>
      </c>
      <c r="F491" s="5" t="str">
        <f>IFERROR(__xludf.DUMMYFUNCTION("""COMPUTED_VALUE"""),"")</f>
        <v/>
      </c>
      <c r="G491" s="5" t="str">
        <f>IFERROR(__xludf.DUMMYFUNCTION("""COMPUTED_VALUE"""),"")</f>
        <v/>
      </c>
      <c r="H491" s="5" t="str">
        <f>IFERROR(__xludf.DUMMYFUNCTION("""COMPUTED_VALUE"""),"")</f>
        <v/>
      </c>
      <c r="I491" s="5" t="str">
        <f>IFERROR(__xludf.DUMMYFUNCTION("""COMPUTED_VALUE"""),"")</f>
        <v/>
      </c>
      <c r="J491" s="5" t="str">
        <f>IFERROR(__xludf.DUMMYFUNCTION("""COMPUTED_VALUE"""),"")</f>
        <v/>
      </c>
      <c r="K491" s="5" t="str">
        <f>IFERROR(__xludf.DUMMYFUNCTION("""COMPUTED_VALUE"""),"")</f>
        <v/>
      </c>
      <c r="L491" s="5" t="str">
        <f>IFERROR(__xludf.DUMMYFUNCTION("""COMPUTED_VALUE"""),"")</f>
        <v/>
      </c>
      <c r="M491" s="5" t="str">
        <f>IFERROR(__xludf.DUMMYFUNCTION("""COMPUTED_VALUE"""),"")</f>
        <v/>
      </c>
      <c r="N491" s="5" t="str">
        <f>IFERROR(__xludf.DUMMYFUNCTION("""COMPUTED_VALUE"""),"")</f>
        <v/>
      </c>
      <c r="O491" s="5" t="str">
        <f>IFERROR(__xludf.DUMMYFUNCTION("""COMPUTED_VALUE"""),"")</f>
        <v/>
      </c>
      <c r="P491" s="5" t="str">
        <f>IFERROR(__xludf.DUMMYFUNCTION("""COMPUTED_VALUE"""),"")</f>
        <v/>
      </c>
      <c r="Q491" s="5" t="str">
        <f>IFERROR(__xludf.DUMMYFUNCTION("""COMPUTED_VALUE"""),"")</f>
        <v/>
      </c>
      <c r="R491" s="5" t="str">
        <f>IFERROR(__xludf.DUMMYFUNCTION("""COMPUTED_VALUE"""),"")</f>
        <v/>
      </c>
      <c r="S491" s="5" t="str">
        <f>IFERROR(__xludf.DUMMYFUNCTION("""COMPUTED_VALUE"""),"")</f>
        <v/>
      </c>
      <c r="T491" s="5" t="str">
        <f>IFERROR(__xludf.DUMMYFUNCTION("""COMPUTED_VALUE"""),"")</f>
        <v/>
      </c>
      <c r="U491" s="5" t="str">
        <f>IFERROR(__xludf.DUMMYFUNCTION("""COMPUTED_VALUE"""),"")</f>
        <v/>
      </c>
      <c r="V491" s="5" t="str">
        <f>IFERROR(__xludf.DUMMYFUNCTION("""COMPUTED_VALUE"""),"")</f>
        <v/>
      </c>
      <c r="W491" s="5" t="str">
        <f>IFERROR(__xludf.DUMMYFUNCTION("""COMPUTED_VALUE"""),"")</f>
        <v/>
      </c>
      <c r="X491" s="5" t="str">
        <f>IFERROR(__xludf.DUMMYFUNCTION("""COMPUTED_VALUE"""),"")</f>
        <v/>
      </c>
      <c r="Y491" s="5"/>
      <c r="Z491" s="5"/>
    </row>
    <row r="492">
      <c r="A492" s="5" t="str">
        <f>IFERROR(__xludf.DUMMYFUNCTION("""COMPUTED_VALUE"""),"Double Wild Heart")</f>
        <v>Double Wild Heart</v>
      </c>
      <c r="B492" s="5" t="str">
        <f>IFERROR(__xludf.DUMMYFUNCTION("""COMPUTED_VALUE"""),"")</f>
        <v/>
      </c>
      <c r="C492" s="5" t="str">
        <f>IFERROR(__xludf.DUMMYFUNCTION("""COMPUTED_VALUE"""),"")</f>
        <v/>
      </c>
      <c r="D492" s="5" t="str">
        <f>IFERROR(__xludf.DUMMYFUNCTION("""COMPUTED_VALUE"""),"")</f>
        <v/>
      </c>
      <c r="E492" s="5" t="str">
        <f>IFERROR(__xludf.DUMMYFUNCTION("""COMPUTED_VALUE"""),"")</f>
        <v/>
      </c>
      <c r="F492" s="5" t="str">
        <f>IFERROR(__xludf.DUMMYFUNCTION("""COMPUTED_VALUE"""),"")</f>
        <v/>
      </c>
      <c r="G492" s="5" t="str">
        <f>IFERROR(__xludf.DUMMYFUNCTION("""COMPUTED_VALUE"""),"")</f>
        <v/>
      </c>
      <c r="H492" s="5" t="str">
        <f>IFERROR(__xludf.DUMMYFUNCTION("""COMPUTED_VALUE"""),"")</f>
        <v/>
      </c>
      <c r="I492" s="5" t="str">
        <f>IFERROR(__xludf.DUMMYFUNCTION("""COMPUTED_VALUE"""),"")</f>
        <v/>
      </c>
      <c r="J492" s="5" t="str">
        <f>IFERROR(__xludf.DUMMYFUNCTION("""COMPUTED_VALUE"""),"")</f>
        <v/>
      </c>
      <c r="K492" s="5" t="str">
        <f>IFERROR(__xludf.DUMMYFUNCTION("""COMPUTED_VALUE"""),"")</f>
        <v/>
      </c>
      <c r="L492" s="5" t="str">
        <f>IFERROR(__xludf.DUMMYFUNCTION("""COMPUTED_VALUE"""),"")</f>
        <v/>
      </c>
      <c r="M492" s="5" t="str">
        <f>IFERROR(__xludf.DUMMYFUNCTION("""COMPUTED_VALUE"""),"")</f>
        <v/>
      </c>
      <c r="N492" s="5" t="str">
        <f>IFERROR(__xludf.DUMMYFUNCTION("""COMPUTED_VALUE"""),"")</f>
        <v/>
      </c>
      <c r="O492" s="5" t="str">
        <f>IFERROR(__xludf.DUMMYFUNCTION("""COMPUTED_VALUE"""),"")</f>
        <v/>
      </c>
      <c r="P492" s="5" t="str">
        <f>IFERROR(__xludf.DUMMYFUNCTION("""COMPUTED_VALUE"""),"")</f>
        <v/>
      </c>
      <c r="Q492" s="5" t="str">
        <f>IFERROR(__xludf.DUMMYFUNCTION("""COMPUTED_VALUE"""),"")</f>
        <v/>
      </c>
      <c r="R492" s="5" t="str">
        <f>IFERROR(__xludf.DUMMYFUNCTION("""COMPUTED_VALUE"""),"")</f>
        <v/>
      </c>
      <c r="S492" s="5" t="str">
        <f>IFERROR(__xludf.DUMMYFUNCTION("""COMPUTED_VALUE"""),"")</f>
        <v/>
      </c>
      <c r="T492" s="5" t="str">
        <f>IFERROR(__xludf.DUMMYFUNCTION("""COMPUTED_VALUE"""),"")</f>
        <v/>
      </c>
      <c r="U492" s="5" t="str">
        <f>IFERROR(__xludf.DUMMYFUNCTION("""COMPUTED_VALUE"""),"")</f>
        <v/>
      </c>
      <c r="V492" s="5" t="str">
        <f>IFERROR(__xludf.DUMMYFUNCTION("""COMPUTED_VALUE"""),"")</f>
        <v/>
      </c>
      <c r="W492" s="5" t="str">
        <f>IFERROR(__xludf.DUMMYFUNCTION("""COMPUTED_VALUE"""),"")</f>
        <v/>
      </c>
      <c r="X492" s="5" t="str">
        <f>IFERROR(__xludf.DUMMYFUNCTION("""COMPUTED_VALUE"""),"")</f>
        <v/>
      </c>
      <c r="Y492" s="5"/>
      <c r="Z492" s="5"/>
    </row>
    <row r="493">
      <c r="A493" s="5" t="str">
        <f>IFERROR(__xludf.DUMMYFUNCTION("""COMPUTED_VALUE"""),"NOVAPIXEL - Wheel of Joker")</f>
        <v>NOVAPIXEL - Wheel of Joker</v>
      </c>
      <c r="B493" s="5" t="str">
        <f>IFERROR(__xludf.DUMMYFUNCTION("""COMPUTED_VALUE"""),"")</f>
        <v/>
      </c>
      <c r="C493" s="5" t="str">
        <f>IFERROR(__xludf.DUMMYFUNCTION("""COMPUTED_VALUE"""),"")</f>
        <v/>
      </c>
      <c r="D493" s="5" t="str">
        <f>IFERROR(__xludf.DUMMYFUNCTION("""COMPUTED_VALUE"""),"")</f>
        <v/>
      </c>
      <c r="E493" s="5" t="str">
        <f>IFERROR(__xludf.DUMMYFUNCTION("""COMPUTED_VALUE"""),"")</f>
        <v/>
      </c>
      <c r="F493" s="5" t="str">
        <f>IFERROR(__xludf.DUMMYFUNCTION("""COMPUTED_VALUE"""),"")</f>
        <v/>
      </c>
      <c r="G493" s="5" t="str">
        <f>IFERROR(__xludf.DUMMYFUNCTION("""COMPUTED_VALUE"""),"")</f>
        <v/>
      </c>
      <c r="H493" s="5" t="str">
        <f>IFERROR(__xludf.DUMMYFUNCTION("""COMPUTED_VALUE"""),"")</f>
        <v/>
      </c>
      <c r="I493" s="5" t="str">
        <f>IFERROR(__xludf.DUMMYFUNCTION("""COMPUTED_VALUE"""),"")</f>
        <v/>
      </c>
      <c r="J493" s="5" t="str">
        <f>IFERROR(__xludf.DUMMYFUNCTION("""COMPUTED_VALUE"""),"")</f>
        <v/>
      </c>
      <c r="K493" s="5" t="str">
        <f>IFERROR(__xludf.DUMMYFUNCTION("""COMPUTED_VALUE"""),"")</f>
        <v/>
      </c>
      <c r="L493" s="5" t="str">
        <f>IFERROR(__xludf.DUMMYFUNCTION("""COMPUTED_VALUE"""),"")</f>
        <v/>
      </c>
      <c r="M493" s="5" t="str">
        <f>IFERROR(__xludf.DUMMYFUNCTION("""COMPUTED_VALUE"""),"")</f>
        <v/>
      </c>
      <c r="N493" s="5" t="str">
        <f>IFERROR(__xludf.DUMMYFUNCTION("""COMPUTED_VALUE"""),"")</f>
        <v/>
      </c>
      <c r="O493" s="5" t="str">
        <f>IFERROR(__xludf.DUMMYFUNCTION("""COMPUTED_VALUE"""),"")</f>
        <v/>
      </c>
      <c r="P493" s="5" t="str">
        <f>IFERROR(__xludf.DUMMYFUNCTION("""COMPUTED_VALUE"""),"")</f>
        <v/>
      </c>
      <c r="Q493" s="5" t="str">
        <f>IFERROR(__xludf.DUMMYFUNCTION("""COMPUTED_VALUE"""),"")</f>
        <v/>
      </c>
      <c r="R493" s="5" t="str">
        <f>IFERROR(__xludf.DUMMYFUNCTION("""COMPUTED_VALUE"""),"")</f>
        <v/>
      </c>
      <c r="S493" s="5" t="str">
        <f>IFERROR(__xludf.DUMMYFUNCTION("""COMPUTED_VALUE"""),"")</f>
        <v/>
      </c>
      <c r="T493" s="5" t="str">
        <f>IFERROR(__xludf.DUMMYFUNCTION("""COMPUTED_VALUE"""),"")</f>
        <v/>
      </c>
      <c r="U493" s="5" t="str">
        <f>IFERROR(__xludf.DUMMYFUNCTION("""COMPUTED_VALUE"""),"")</f>
        <v/>
      </c>
      <c r="V493" s="5" t="str">
        <f>IFERROR(__xludf.DUMMYFUNCTION("""COMPUTED_VALUE"""),"")</f>
        <v/>
      </c>
      <c r="W493" s="5" t="str">
        <f>IFERROR(__xludf.DUMMYFUNCTION("""COMPUTED_VALUE"""),"")</f>
        <v/>
      </c>
      <c r="X493" s="5" t="str">
        <f>IFERROR(__xludf.DUMMYFUNCTION("""COMPUTED_VALUE"""),"")</f>
        <v/>
      </c>
      <c r="Y493" s="5"/>
      <c r="Z493" s="5"/>
    </row>
    <row r="494">
      <c r="A494" s="5" t="str">
        <f>IFERROR(__xludf.DUMMYFUNCTION("""COMPUTED_VALUE"""),"Fazi Game")</f>
        <v>Fazi Game</v>
      </c>
      <c r="B494" s="5" t="str">
        <f>IFERROR(__xludf.DUMMYFUNCTION("""COMPUTED_VALUE"""),"")</f>
        <v/>
      </c>
      <c r="C494" s="5" t="str">
        <f>IFERROR(__xludf.DUMMYFUNCTION("""COMPUTED_VALUE"""),"")</f>
        <v/>
      </c>
      <c r="D494" s="5" t="str">
        <f>IFERROR(__xludf.DUMMYFUNCTION("""COMPUTED_VALUE"""),"")</f>
        <v/>
      </c>
      <c r="E494" s="5" t="str">
        <f>IFERROR(__xludf.DUMMYFUNCTION("""COMPUTED_VALUE"""),"")</f>
        <v/>
      </c>
      <c r="F494" s="5" t="str">
        <f>IFERROR(__xludf.DUMMYFUNCTION("""COMPUTED_VALUE"""),"")</f>
        <v/>
      </c>
      <c r="G494" s="5" t="str">
        <f>IFERROR(__xludf.DUMMYFUNCTION("""COMPUTED_VALUE"""),"")</f>
        <v/>
      </c>
      <c r="H494" s="5" t="str">
        <f>IFERROR(__xludf.DUMMYFUNCTION("""COMPUTED_VALUE"""),"")</f>
        <v/>
      </c>
      <c r="I494" s="5" t="str">
        <f>IFERROR(__xludf.DUMMYFUNCTION("""COMPUTED_VALUE"""),"")</f>
        <v/>
      </c>
      <c r="J494" s="5" t="str">
        <f>IFERROR(__xludf.DUMMYFUNCTION("""COMPUTED_VALUE"""),"")</f>
        <v/>
      </c>
      <c r="K494" s="5" t="str">
        <f>IFERROR(__xludf.DUMMYFUNCTION("""COMPUTED_VALUE"""),"")</f>
        <v/>
      </c>
      <c r="L494" s="5" t="str">
        <f>IFERROR(__xludf.DUMMYFUNCTION("""COMPUTED_VALUE"""),"")</f>
        <v/>
      </c>
      <c r="M494" s="5" t="str">
        <f>IFERROR(__xludf.DUMMYFUNCTION("""COMPUTED_VALUE"""),"")</f>
        <v/>
      </c>
      <c r="N494" s="5" t="str">
        <f>IFERROR(__xludf.DUMMYFUNCTION("""COMPUTED_VALUE"""),"")</f>
        <v/>
      </c>
      <c r="O494" s="5" t="str">
        <f>IFERROR(__xludf.DUMMYFUNCTION("""COMPUTED_VALUE"""),"")</f>
        <v/>
      </c>
      <c r="P494" s="5" t="str">
        <f>IFERROR(__xludf.DUMMYFUNCTION("""COMPUTED_VALUE"""),"")</f>
        <v/>
      </c>
      <c r="Q494" s="5" t="str">
        <f>IFERROR(__xludf.DUMMYFUNCTION("""COMPUTED_VALUE"""),"")</f>
        <v/>
      </c>
      <c r="R494" s="5" t="str">
        <f>IFERROR(__xludf.DUMMYFUNCTION("""COMPUTED_VALUE"""),"")</f>
        <v/>
      </c>
      <c r="S494" s="5" t="str">
        <f>IFERROR(__xludf.DUMMYFUNCTION("""COMPUTED_VALUE"""),"")</f>
        <v/>
      </c>
      <c r="T494" s="5" t="str">
        <f>IFERROR(__xludf.DUMMYFUNCTION("""COMPUTED_VALUE"""),"")</f>
        <v/>
      </c>
      <c r="U494" s="5" t="str">
        <f>IFERROR(__xludf.DUMMYFUNCTION("""COMPUTED_VALUE"""),"")</f>
        <v/>
      </c>
      <c r="V494" s="5" t="str">
        <f>IFERROR(__xludf.DUMMYFUNCTION("""COMPUTED_VALUE"""),"")</f>
        <v/>
      </c>
      <c r="W494" s="5" t="str">
        <f>IFERROR(__xludf.DUMMYFUNCTION("""COMPUTED_VALUE"""),"")</f>
        <v/>
      </c>
      <c r="X494" s="5" t="str">
        <f>IFERROR(__xludf.DUMMYFUNCTION("""COMPUTED_VALUE"""),"")</f>
        <v/>
      </c>
      <c r="Y494" s="5"/>
      <c r="Z494" s="5"/>
    </row>
    <row r="495">
      <c r="A495" s="5" t="str">
        <f>IFERROR(__xludf.DUMMYFUNCTION("""COMPUTED_VALUE"""),"Fazi Game")</f>
        <v>Fazi Game</v>
      </c>
      <c r="B495" s="5" t="str">
        <f>IFERROR(__xludf.DUMMYFUNCTION("""COMPUTED_VALUE"""),"")</f>
        <v/>
      </c>
      <c r="C495" s="5" t="str">
        <f>IFERROR(__xludf.DUMMYFUNCTION("""COMPUTED_VALUE"""),"")</f>
        <v/>
      </c>
      <c r="D495" s="5" t="str">
        <f>IFERROR(__xludf.DUMMYFUNCTION("""COMPUTED_VALUE"""),"")</f>
        <v/>
      </c>
      <c r="E495" s="5" t="str">
        <f>IFERROR(__xludf.DUMMYFUNCTION("""COMPUTED_VALUE"""),"")</f>
        <v/>
      </c>
      <c r="F495" s="5" t="str">
        <f>IFERROR(__xludf.DUMMYFUNCTION("""COMPUTED_VALUE"""),"")</f>
        <v/>
      </c>
      <c r="G495" s="5" t="str">
        <f>IFERROR(__xludf.DUMMYFUNCTION("""COMPUTED_VALUE"""),"")</f>
        <v/>
      </c>
      <c r="H495" s="5" t="str">
        <f>IFERROR(__xludf.DUMMYFUNCTION("""COMPUTED_VALUE"""),"")</f>
        <v/>
      </c>
      <c r="I495" s="5" t="str">
        <f>IFERROR(__xludf.DUMMYFUNCTION("""COMPUTED_VALUE"""),"")</f>
        <v/>
      </c>
      <c r="J495" s="5" t="str">
        <f>IFERROR(__xludf.DUMMYFUNCTION("""COMPUTED_VALUE"""),"")</f>
        <v/>
      </c>
      <c r="K495" s="5" t="str">
        <f>IFERROR(__xludf.DUMMYFUNCTION("""COMPUTED_VALUE"""),"")</f>
        <v/>
      </c>
      <c r="L495" s="5" t="str">
        <f>IFERROR(__xludf.DUMMYFUNCTION("""COMPUTED_VALUE"""),"")</f>
        <v/>
      </c>
      <c r="M495" s="5" t="str">
        <f>IFERROR(__xludf.DUMMYFUNCTION("""COMPUTED_VALUE"""),"")</f>
        <v/>
      </c>
      <c r="N495" s="5" t="str">
        <f>IFERROR(__xludf.DUMMYFUNCTION("""COMPUTED_VALUE"""),"")</f>
        <v/>
      </c>
      <c r="O495" s="5" t="str">
        <f>IFERROR(__xludf.DUMMYFUNCTION("""COMPUTED_VALUE"""),"")</f>
        <v/>
      </c>
      <c r="P495" s="5" t="str">
        <f>IFERROR(__xludf.DUMMYFUNCTION("""COMPUTED_VALUE"""),"")</f>
        <v/>
      </c>
      <c r="Q495" s="5" t="str">
        <f>IFERROR(__xludf.DUMMYFUNCTION("""COMPUTED_VALUE"""),"")</f>
        <v/>
      </c>
      <c r="R495" s="5" t="str">
        <f>IFERROR(__xludf.DUMMYFUNCTION("""COMPUTED_VALUE"""),"")</f>
        <v/>
      </c>
      <c r="S495" s="5" t="str">
        <f>IFERROR(__xludf.DUMMYFUNCTION("""COMPUTED_VALUE"""),"")</f>
        <v/>
      </c>
      <c r="T495" s="5" t="str">
        <f>IFERROR(__xludf.DUMMYFUNCTION("""COMPUTED_VALUE"""),"")</f>
        <v/>
      </c>
      <c r="U495" s="5" t="str">
        <f>IFERROR(__xludf.DUMMYFUNCTION("""COMPUTED_VALUE"""),"")</f>
        <v/>
      </c>
      <c r="V495" s="5" t="str">
        <f>IFERROR(__xludf.DUMMYFUNCTION("""COMPUTED_VALUE"""),"")</f>
        <v/>
      </c>
      <c r="W495" s="5" t="str">
        <f>IFERROR(__xludf.DUMMYFUNCTION("""COMPUTED_VALUE"""),"")</f>
        <v/>
      </c>
      <c r="X495" s="5" t="str">
        <f>IFERROR(__xludf.DUMMYFUNCTION("""COMPUTED_VALUE"""),"")</f>
        <v/>
      </c>
      <c r="Y495" s="5"/>
      <c r="Z495" s="5"/>
    </row>
    <row r="496">
      <c r="A496" s="5" t="str">
        <f>IFERROR(__xludf.DUMMYFUNCTION("""COMPUTED_VALUE"""),"Fazi Game")</f>
        <v>Fazi Game</v>
      </c>
      <c r="B496" s="5" t="str">
        <f>IFERROR(__xludf.DUMMYFUNCTION("""COMPUTED_VALUE"""),"")</f>
        <v/>
      </c>
      <c r="C496" s="5" t="str">
        <f>IFERROR(__xludf.DUMMYFUNCTION("""COMPUTED_VALUE"""),"")</f>
        <v/>
      </c>
      <c r="D496" s="5" t="str">
        <f>IFERROR(__xludf.DUMMYFUNCTION("""COMPUTED_VALUE"""),"")</f>
        <v/>
      </c>
      <c r="E496" s="5" t="str">
        <f>IFERROR(__xludf.DUMMYFUNCTION("""COMPUTED_VALUE"""),"")</f>
        <v/>
      </c>
      <c r="F496" s="5" t="str">
        <f>IFERROR(__xludf.DUMMYFUNCTION("""COMPUTED_VALUE"""),"")</f>
        <v/>
      </c>
      <c r="G496" s="5" t="str">
        <f>IFERROR(__xludf.DUMMYFUNCTION("""COMPUTED_VALUE"""),"")</f>
        <v/>
      </c>
      <c r="H496" s="5" t="str">
        <f>IFERROR(__xludf.DUMMYFUNCTION("""COMPUTED_VALUE"""),"")</f>
        <v/>
      </c>
      <c r="I496" s="5" t="str">
        <f>IFERROR(__xludf.DUMMYFUNCTION("""COMPUTED_VALUE"""),"")</f>
        <v/>
      </c>
      <c r="J496" s="5" t="str">
        <f>IFERROR(__xludf.DUMMYFUNCTION("""COMPUTED_VALUE"""),"")</f>
        <v/>
      </c>
      <c r="K496" s="5" t="str">
        <f>IFERROR(__xludf.DUMMYFUNCTION("""COMPUTED_VALUE"""),"")</f>
        <v/>
      </c>
      <c r="L496" s="5" t="str">
        <f>IFERROR(__xludf.DUMMYFUNCTION("""COMPUTED_VALUE"""),"")</f>
        <v/>
      </c>
      <c r="M496" s="5" t="str">
        <f>IFERROR(__xludf.DUMMYFUNCTION("""COMPUTED_VALUE"""),"")</f>
        <v/>
      </c>
      <c r="N496" s="5" t="str">
        <f>IFERROR(__xludf.DUMMYFUNCTION("""COMPUTED_VALUE"""),"")</f>
        <v/>
      </c>
      <c r="O496" s="5" t="str">
        <f>IFERROR(__xludf.DUMMYFUNCTION("""COMPUTED_VALUE"""),"")</f>
        <v/>
      </c>
      <c r="P496" s="5" t="str">
        <f>IFERROR(__xludf.DUMMYFUNCTION("""COMPUTED_VALUE"""),"")</f>
        <v/>
      </c>
      <c r="Q496" s="5" t="str">
        <f>IFERROR(__xludf.DUMMYFUNCTION("""COMPUTED_VALUE"""),"")</f>
        <v/>
      </c>
      <c r="R496" s="5" t="str">
        <f>IFERROR(__xludf.DUMMYFUNCTION("""COMPUTED_VALUE"""),"")</f>
        <v/>
      </c>
      <c r="S496" s="5" t="str">
        <f>IFERROR(__xludf.DUMMYFUNCTION("""COMPUTED_VALUE"""),"")</f>
        <v/>
      </c>
      <c r="T496" s="5" t="str">
        <f>IFERROR(__xludf.DUMMYFUNCTION("""COMPUTED_VALUE"""),"")</f>
        <v/>
      </c>
      <c r="U496" s="5" t="str">
        <f>IFERROR(__xludf.DUMMYFUNCTION("""COMPUTED_VALUE"""),"")</f>
        <v/>
      </c>
      <c r="V496" s="5" t="str">
        <f>IFERROR(__xludf.DUMMYFUNCTION("""COMPUTED_VALUE"""),"")</f>
        <v/>
      </c>
      <c r="W496" s="5" t="str">
        <f>IFERROR(__xludf.DUMMYFUNCTION("""COMPUTED_VALUE"""),"")</f>
        <v/>
      </c>
      <c r="X496" s="5" t="str">
        <f>IFERROR(__xludf.DUMMYFUNCTION("""COMPUTED_VALUE"""),"")</f>
        <v/>
      </c>
      <c r="Y496" s="5"/>
      <c r="Z496" s="5"/>
    </row>
    <row r="497">
      <c r="A497" s="5" t="str">
        <f>IFERROR(__xludf.DUMMYFUNCTION("""COMPUTED_VALUE"""),"Fazi Game")</f>
        <v>Fazi Game</v>
      </c>
      <c r="B497" s="5" t="str">
        <f>IFERROR(__xludf.DUMMYFUNCTION("""COMPUTED_VALUE"""),"")</f>
        <v/>
      </c>
      <c r="C497" s="5" t="str">
        <f>IFERROR(__xludf.DUMMYFUNCTION("""COMPUTED_VALUE"""),"")</f>
        <v/>
      </c>
      <c r="D497" s="5" t="str">
        <f>IFERROR(__xludf.DUMMYFUNCTION("""COMPUTED_VALUE"""),"")</f>
        <v/>
      </c>
      <c r="E497" s="5" t="str">
        <f>IFERROR(__xludf.DUMMYFUNCTION("""COMPUTED_VALUE"""),"")</f>
        <v/>
      </c>
      <c r="F497" s="5" t="str">
        <f>IFERROR(__xludf.DUMMYFUNCTION("""COMPUTED_VALUE"""),"")</f>
        <v/>
      </c>
      <c r="G497" s="5" t="str">
        <f>IFERROR(__xludf.DUMMYFUNCTION("""COMPUTED_VALUE"""),"")</f>
        <v/>
      </c>
      <c r="H497" s="5" t="str">
        <f>IFERROR(__xludf.DUMMYFUNCTION("""COMPUTED_VALUE"""),"")</f>
        <v/>
      </c>
      <c r="I497" s="5" t="str">
        <f>IFERROR(__xludf.DUMMYFUNCTION("""COMPUTED_VALUE"""),"")</f>
        <v/>
      </c>
      <c r="J497" s="5" t="str">
        <f>IFERROR(__xludf.DUMMYFUNCTION("""COMPUTED_VALUE"""),"")</f>
        <v/>
      </c>
      <c r="K497" s="5" t="str">
        <f>IFERROR(__xludf.DUMMYFUNCTION("""COMPUTED_VALUE"""),"")</f>
        <v/>
      </c>
      <c r="L497" s="5" t="str">
        <f>IFERROR(__xludf.DUMMYFUNCTION("""COMPUTED_VALUE"""),"")</f>
        <v/>
      </c>
      <c r="M497" s="5" t="str">
        <f>IFERROR(__xludf.DUMMYFUNCTION("""COMPUTED_VALUE"""),"")</f>
        <v/>
      </c>
      <c r="N497" s="5" t="str">
        <f>IFERROR(__xludf.DUMMYFUNCTION("""COMPUTED_VALUE"""),"")</f>
        <v/>
      </c>
      <c r="O497" s="5" t="str">
        <f>IFERROR(__xludf.DUMMYFUNCTION("""COMPUTED_VALUE"""),"")</f>
        <v/>
      </c>
      <c r="P497" s="5" t="str">
        <f>IFERROR(__xludf.DUMMYFUNCTION("""COMPUTED_VALUE"""),"")</f>
        <v/>
      </c>
      <c r="Q497" s="5" t="str">
        <f>IFERROR(__xludf.DUMMYFUNCTION("""COMPUTED_VALUE"""),"")</f>
        <v/>
      </c>
      <c r="R497" s="5" t="str">
        <f>IFERROR(__xludf.DUMMYFUNCTION("""COMPUTED_VALUE"""),"")</f>
        <v/>
      </c>
      <c r="S497" s="5" t="str">
        <f>IFERROR(__xludf.DUMMYFUNCTION("""COMPUTED_VALUE"""),"")</f>
        <v/>
      </c>
      <c r="T497" s="5" t="str">
        <f>IFERROR(__xludf.DUMMYFUNCTION("""COMPUTED_VALUE"""),"")</f>
        <v/>
      </c>
      <c r="U497" s="5" t="str">
        <f>IFERROR(__xludf.DUMMYFUNCTION("""COMPUTED_VALUE"""),"")</f>
        <v/>
      </c>
      <c r="V497" s="5" t="str">
        <f>IFERROR(__xludf.DUMMYFUNCTION("""COMPUTED_VALUE"""),"")</f>
        <v/>
      </c>
      <c r="W497" s="5" t="str">
        <f>IFERROR(__xludf.DUMMYFUNCTION("""COMPUTED_VALUE"""),"")</f>
        <v/>
      </c>
      <c r="X497" s="5" t="str">
        <f>IFERROR(__xludf.DUMMYFUNCTION("""COMPUTED_VALUE"""),"")</f>
        <v/>
      </c>
      <c r="Y497" s="5"/>
      <c r="Z497" s="5"/>
    </row>
    <row r="498">
      <c r="A498" s="5" t="str">
        <f>IFERROR(__xludf.DUMMYFUNCTION("""COMPUTED_VALUE"""),"Fazi Game")</f>
        <v>Fazi Game</v>
      </c>
      <c r="B498" s="5" t="str">
        <f>IFERROR(__xludf.DUMMYFUNCTION("""COMPUTED_VALUE"""),"")</f>
        <v/>
      </c>
      <c r="C498" s="5" t="str">
        <f>IFERROR(__xludf.DUMMYFUNCTION("""COMPUTED_VALUE"""),"")</f>
        <v/>
      </c>
      <c r="D498" s="5" t="str">
        <f>IFERROR(__xludf.DUMMYFUNCTION("""COMPUTED_VALUE"""),"")</f>
        <v/>
      </c>
      <c r="E498" s="5" t="str">
        <f>IFERROR(__xludf.DUMMYFUNCTION("""COMPUTED_VALUE"""),"")</f>
        <v/>
      </c>
      <c r="F498" s="5" t="str">
        <f>IFERROR(__xludf.DUMMYFUNCTION("""COMPUTED_VALUE"""),"")</f>
        <v/>
      </c>
      <c r="G498" s="5" t="str">
        <f>IFERROR(__xludf.DUMMYFUNCTION("""COMPUTED_VALUE"""),"")</f>
        <v/>
      </c>
      <c r="H498" s="5" t="str">
        <f>IFERROR(__xludf.DUMMYFUNCTION("""COMPUTED_VALUE"""),"")</f>
        <v/>
      </c>
      <c r="I498" s="5" t="str">
        <f>IFERROR(__xludf.DUMMYFUNCTION("""COMPUTED_VALUE"""),"")</f>
        <v/>
      </c>
      <c r="J498" s="5" t="str">
        <f>IFERROR(__xludf.DUMMYFUNCTION("""COMPUTED_VALUE"""),"")</f>
        <v/>
      </c>
      <c r="K498" s="5" t="str">
        <f>IFERROR(__xludf.DUMMYFUNCTION("""COMPUTED_VALUE"""),"")</f>
        <v/>
      </c>
      <c r="L498" s="5" t="str">
        <f>IFERROR(__xludf.DUMMYFUNCTION("""COMPUTED_VALUE"""),"")</f>
        <v/>
      </c>
      <c r="M498" s="5" t="str">
        <f>IFERROR(__xludf.DUMMYFUNCTION("""COMPUTED_VALUE"""),"")</f>
        <v/>
      </c>
      <c r="N498" s="5" t="str">
        <f>IFERROR(__xludf.DUMMYFUNCTION("""COMPUTED_VALUE"""),"")</f>
        <v/>
      </c>
      <c r="O498" s="5" t="str">
        <f>IFERROR(__xludf.DUMMYFUNCTION("""COMPUTED_VALUE"""),"")</f>
        <v/>
      </c>
      <c r="P498" s="5" t="str">
        <f>IFERROR(__xludf.DUMMYFUNCTION("""COMPUTED_VALUE"""),"")</f>
        <v/>
      </c>
      <c r="Q498" s="5" t="str">
        <f>IFERROR(__xludf.DUMMYFUNCTION("""COMPUTED_VALUE"""),"")</f>
        <v/>
      </c>
      <c r="R498" s="5" t="str">
        <f>IFERROR(__xludf.DUMMYFUNCTION("""COMPUTED_VALUE"""),"")</f>
        <v/>
      </c>
      <c r="S498" s="5" t="str">
        <f>IFERROR(__xludf.DUMMYFUNCTION("""COMPUTED_VALUE"""),"")</f>
        <v/>
      </c>
      <c r="T498" s="5" t="str">
        <f>IFERROR(__xludf.DUMMYFUNCTION("""COMPUTED_VALUE"""),"")</f>
        <v/>
      </c>
      <c r="U498" s="5" t="str">
        <f>IFERROR(__xludf.DUMMYFUNCTION("""COMPUTED_VALUE"""),"")</f>
        <v/>
      </c>
      <c r="V498" s="5" t="str">
        <f>IFERROR(__xludf.DUMMYFUNCTION("""COMPUTED_VALUE"""),"")</f>
        <v/>
      </c>
      <c r="W498" s="5" t="str">
        <f>IFERROR(__xludf.DUMMYFUNCTION("""COMPUTED_VALUE"""),"")</f>
        <v/>
      </c>
      <c r="X498" s="5" t="str">
        <f>IFERROR(__xludf.DUMMYFUNCTION("""COMPUTED_VALUE"""),"")</f>
        <v/>
      </c>
      <c r="Y498" s="5"/>
      <c r="Z498" s="5"/>
    </row>
    <row r="499">
      <c r="A499" s="5" t="str">
        <f>IFERROR(__xludf.DUMMYFUNCTION("""COMPUTED_VALUE"""),"Fazi Game")</f>
        <v>Fazi Game</v>
      </c>
      <c r="B499" s="5" t="str">
        <f>IFERROR(__xludf.DUMMYFUNCTION("""COMPUTED_VALUE"""),"")</f>
        <v/>
      </c>
      <c r="C499" s="5" t="str">
        <f>IFERROR(__xludf.DUMMYFUNCTION("""COMPUTED_VALUE"""),"")</f>
        <v/>
      </c>
      <c r="D499" s="5" t="str">
        <f>IFERROR(__xludf.DUMMYFUNCTION("""COMPUTED_VALUE"""),"")</f>
        <v/>
      </c>
      <c r="E499" s="5" t="str">
        <f>IFERROR(__xludf.DUMMYFUNCTION("""COMPUTED_VALUE"""),"")</f>
        <v/>
      </c>
      <c r="F499" s="5" t="str">
        <f>IFERROR(__xludf.DUMMYFUNCTION("""COMPUTED_VALUE"""),"")</f>
        <v/>
      </c>
      <c r="G499" s="5" t="str">
        <f>IFERROR(__xludf.DUMMYFUNCTION("""COMPUTED_VALUE"""),"")</f>
        <v/>
      </c>
      <c r="H499" s="5" t="str">
        <f>IFERROR(__xludf.DUMMYFUNCTION("""COMPUTED_VALUE"""),"")</f>
        <v/>
      </c>
      <c r="I499" s="5" t="str">
        <f>IFERROR(__xludf.DUMMYFUNCTION("""COMPUTED_VALUE"""),"")</f>
        <v/>
      </c>
      <c r="J499" s="5" t="str">
        <f>IFERROR(__xludf.DUMMYFUNCTION("""COMPUTED_VALUE"""),"")</f>
        <v/>
      </c>
      <c r="K499" s="5" t="str">
        <f>IFERROR(__xludf.DUMMYFUNCTION("""COMPUTED_VALUE"""),"")</f>
        <v/>
      </c>
      <c r="L499" s="5" t="str">
        <f>IFERROR(__xludf.DUMMYFUNCTION("""COMPUTED_VALUE"""),"")</f>
        <v/>
      </c>
      <c r="M499" s="5" t="str">
        <f>IFERROR(__xludf.DUMMYFUNCTION("""COMPUTED_VALUE"""),"")</f>
        <v/>
      </c>
      <c r="N499" s="5" t="str">
        <f>IFERROR(__xludf.DUMMYFUNCTION("""COMPUTED_VALUE"""),"")</f>
        <v/>
      </c>
      <c r="O499" s="5" t="str">
        <f>IFERROR(__xludf.DUMMYFUNCTION("""COMPUTED_VALUE"""),"")</f>
        <v/>
      </c>
      <c r="P499" s="5" t="str">
        <f>IFERROR(__xludf.DUMMYFUNCTION("""COMPUTED_VALUE"""),"")</f>
        <v/>
      </c>
      <c r="Q499" s="5" t="str">
        <f>IFERROR(__xludf.DUMMYFUNCTION("""COMPUTED_VALUE"""),"")</f>
        <v/>
      </c>
      <c r="R499" s="5" t="str">
        <f>IFERROR(__xludf.DUMMYFUNCTION("""COMPUTED_VALUE"""),"")</f>
        <v/>
      </c>
      <c r="S499" s="5" t="str">
        <f>IFERROR(__xludf.DUMMYFUNCTION("""COMPUTED_VALUE"""),"")</f>
        <v/>
      </c>
      <c r="T499" s="5" t="str">
        <f>IFERROR(__xludf.DUMMYFUNCTION("""COMPUTED_VALUE"""),"")</f>
        <v/>
      </c>
      <c r="U499" s="5" t="str">
        <f>IFERROR(__xludf.DUMMYFUNCTION("""COMPUTED_VALUE"""),"")</f>
        <v/>
      </c>
      <c r="V499" s="5" t="str">
        <f>IFERROR(__xludf.DUMMYFUNCTION("""COMPUTED_VALUE"""),"")</f>
        <v/>
      </c>
      <c r="W499" s="5" t="str">
        <f>IFERROR(__xludf.DUMMYFUNCTION("""COMPUTED_VALUE"""),"")</f>
        <v/>
      </c>
      <c r="X499" s="5" t="str">
        <f>IFERROR(__xludf.DUMMYFUNCTION("""COMPUTED_VALUE"""),"")</f>
        <v/>
      </c>
      <c r="Y499" s="5"/>
      <c r="Z499" s="5"/>
    </row>
    <row r="500">
      <c r="A500" s="5" t="str">
        <f>IFERROR(__xludf.DUMMYFUNCTION("""COMPUTED_VALUE"""),"Fazi Game")</f>
        <v>Fazi Game</v>
      </c>
      <c r="B500" s="5" t="str">
        <f>IFERROR(__xludf.DUMMYFUNCTION("""COMPUTED_VALUE"""),"")</f>
        <v/>
      </c>
      <c r="C500" s="5" t="str">
        <f>IFERROR(__xludf.DUMMYFUNCTION("""COMPUTED_VALUE"""),"")</f>
        <v/>
      </c>
      <c r="D500" s="5" t="str">
        <f>IFERROR(__xludf.DUMMYFUNCTION("""COMPUTED_VALUE"""),"")</f>
        <v/>
      </c>
      <c r="E500" s="5" t="str">
        <f>IFERROR(__xludf.DUMMYFUNCTION("""COMPUTED_VALUE"""),"")</f>
        <v/>
      </c>
      <c r="F500" s="5" t="str">
        <f>IFERROR(__xludf.DUMMYFUNCTION("""COMPUTED_VALUE"""),"")</f>
        <v/>
      </c>
      <c r="G500" s="5" t="str">
        <f>IFERROR(__xludf.DUMMYFUNCTION("""COMPUTED_VALUE"""),"")</f>
        <v/>
      </c>
      <c r="H500" s="5" t="str">
        <f>IFERROR(__xludf.DUMMYFUNCTION("""COMPUTED_VALUE"""),"")</f>
        <v/>
      </c>
      <c r="I500" s="5" t="str">
        <f>IFERROR(__xludf.DUMMYFUNCTION("""COMPUTED_VALUE"""),"")</f>
        <v/>
      </c>
      <c r="J500" s="5" t="str">
        <f>IFERROR(__xludf.DUMMYFUNCTION("""COMPUTED_VALUE"""),"")</f>
        <v/>
      </c>
      <c r="K500" s="5" t="str">
        <f>IFERROR(__xludf.DUMMYFUNCTION("""COMPUTED_VALUE"""),"")</f>
        <v/>
      </c>
      <c r="L500" s="5" t="str">
        <f>IFERROR(__xludf.DUMMYFUNCTION("""COMPUTED_VALUE"""),"")</f>
        <v/>
      </c>
      <c r="M500" s="5" t="str">
        <f>IFERROR(__xludf.DUMMYFUNCTION("""COMPUTED_VALUE"""),"")</f>
        <v/>
      </c>
      <c r="N500" s="5" t="str">
        <f>IFERROR(__xludf.DUMMYFUNCTION("""COMPUTED_VALUE"""),"")</f>
        <v/>
      </c>
      <c r="O500" s="5" t="str">
        <f>IFERROR(__xludf.DUMMYFUNCTION("""COMPUTED_VALUE"""),"")</f>
        <v/>
      </c>
      <c r="P500" s="5" t="str">
        <f>IFERROR(__xludf.DUMMYFUNCTION("""COMPUTED_VALUE"""),"")</f>
        <v/>
      </c>
      <c r="Q500" s="5" t="str">
        <f>IFERROR(__xludf.DUMMYFUNCTION("""COMPUTED_VALUE"""),"")</f>
        <v/>
      </c>
      <c r="R500" s="5" t="str">
        <f>IFERROR(__xludf.DUMMYFUNCTION("""COMPUTED_VALUE"""),"")</f>
        <v/>
      </c>
      <c r="S500" s="5" t="str">
        <f>IFERROR(__xludf.DUMMYFUNCTION("""COMPUTED_VALUE"""),"")</f>
        <v/>
      </c>
      <c r="T500" s="5" t="str">
        <f>IFERROR(__xludf.DUMMYFUNCTION("""COMPUTED_VALUE"""),"")</f>
        <v/>
      </c>
      <c r="U500" s="5" t="str">
        <f>IFERROR(__xludf.DUMMYFUNCTION("""COMPUTED_VALUE"""),"")</f>
        <v/>
      </c>
      <c r="V500" s="5" t="str">
        <f>IFERROR(__xludf.DUMMYFUNCTION("""COMPUTED_VALUE"""),"")</f>
        <v/>
      </c>
      <c r="W500" s="5" t="str">
        <f>IFERROR(__xludf.DUMMYFUNCTION("""COMPUTED_VALUE"""),"")</f>
        <v/>
      </c>
      <c r="X500" s="5" t="str">
        <f>IFERROR(__xludf.DUMMYFUNCTION("""COMPUTED_VALUE"""),"")</f>
        <v/>
      </c>
      <c r="Y500" s="5"/>
      <c r="Z500" s="5"/>
    </row>
    <row r="501">
      <c r="A501" s="5" t="str">
        <f>IFERROR(__xludf.DUMMYFUNCTION("""COMPUTED_VALUE"""),"Fazi Game")</f>
        <v>Fazi Game</v>
      </c>
      <c r="B501" s="5" t="str">
        <f>IFERROR(__xludf.DUMMYFUNCTION("""COMPUTED_VALUE"""),"")</f>
        <v/>
      </c>
      <c r="C501" s="5" t="str">
        <f>IFERROR(__xludf.DUMMYFUNCTION("""COMPUTED_VALUE"""),"")</f>
        <v/>
      </c>
      <c r="D501" s="5" t="str">
        <f>IFERROR(__xludf.DUMMYFUNCTION("""COMPUTED_VALUE"""),"")</f>
        <v/>
      </c>
      <c r="E501" s="5" t="str">
        <f>IFERROR(__xludf.DUMMYFUNCTION("""COMPUTED_VALUE"""),"")</f>
        <v/>
      </c>
      <c r="F501" s="5" t="str">
        <f>IFERROR(__xludf.DUMMYFUNCTION("""COMPUTED_VALUE"""),"")</f>
        <v/>
      </c>
      <c r="G501" s="5" t="str">
        <f>IFERROR(__xludf.DUMMYFUNCTION("""COMPUTED_VALUE"""),"")</f>
        <v/>
      </c>
      <c r="H501" s="5" t="str">
        <f>IFERROR(__xludf.DUMMYFUNCTION("""COMPUTED_VALUE"""),"")</f>
        <v/>
      </c>
      <c r="I501" s="5" t="str">
        <f>IFERROR(__xludf.DUMMYFUNCTION("""COMPUTED_VALUE"""),"")</f>
        <v/>
      </c>
      <c r="J501" s="5" t="str">
        <f>IFERROR(__xludf.DUMMYFUNCTION("""COMPUTED_VALUE"""),"")</f>
        <v/>
      </c>
      <c r="K501" s="5" t="str">
        <f>IFERROR(__xludf.DUMMYFUNCTION("""COMPUTED_VALUE"""),"")</f>
        <v/>
      </c>
      <c r="L501" s="5" t="str">
        <f>IFERROR(__xludf.DUMMYFUNCTION("""COMPUTED_VALUE"""),"")</f>
        <v/>
      </c>
      <c r="M501" s="5" t="str">
        <f>IFERROR(__xludf.DUMMYFUNCTION("""COMPUTED_VALUE"""),"")</f>
        <v/>
      </c>
      <c r="N501" s="5" t="str">
        <f>IFERROR(__xludf.DUMMYFUNCTION("""COMPUTED_VALUE"""),"")</f>
        <v/>
      </c>
      <c r="O501" s="5" t="str">
        <f>IFERROR(__xludf.DUMMYFUNCTION("""COMPUTED_VALUE"""),"")</f>
        <v/>
      </c>
      <c r="P501" s="5" t="str">
        <f>IFERROR(__xludf.DUMMYFUNCTION("""COMPUTED_VALUE"""),"")</f>
        <v/>
      </c>
      <c r="Q501" s="5" t="str">
        <f>IFERROR(__xludf.DUMMYFUNCTION("""COMPUTED_VALUE"""),"")</f>
        <v/>
      </c>
      <c r="R501" s="5" t="str">
        <f>IFERROR(__xludf.DUMMYFUNCTION("""COMPUTED_VALUE"""),"")</f>
        <v/>
      </c>
      <c r="S501" s="5" t="str">
        <f>IFERROR(__xludf.DUMMYFUNCTION("""COMPUTED_VALUE"""),"")</f>
        <v/>
      </c>
      <c r="T501" s="5" t="str">
        <f>IFERROR(__xludf.DUMMYFUNCTION("""COMPUTED_VALUE"""),"")</f>
        <v/>
      </c>
      <c r="U501" s="5" t="str">
        <f>IFERROR(__xludf.DUMMYFUNCTION("""COMPUTED_VALUE"""),"")</f>
        <v/>
      </c>
      <c r="V501" s="5" t="str">
        <f>IFERROR(__xludf.DUMMYFUNCTION("""COMPUTED_VALUE"""),"")</f>
        <v/>
      </c>
      <c r="W501" s="5" t="str">
        <f>IFERROR(__xludf.DUMMYFUNCTION("""COMPUTED_VALUE"""),"")</f>
        <v/>
      </c>
      <c r="X501" s="5" t="str">
        <f>IFERROR(__xludf.DUMMYFUNCTION("""COMPUTED_VALUE"""),"")</f>
        <v/>
      </c>
      <c r="Y501" s="5"/>
      <c r="Z501" s="5"/>
    </row>
    <row r="502">
      <c r="A502" s="5" t="str">
        <f>IFERROR(__xludf.DUMMYFUNCTION("""COMPUTED_VALUE"""),"Fazi Game")</f>
        <v>Fazi Game</v>
      </c>
      <c r="B502" s="5" t="str">
        <f>IFERROR(__xludf.DUMMYFUNCTION("""COMPUTED_VALUE"""),"")</f>
        <v/>
      </c>
      <c r="C502" s="5" t="str">
        <f>IFERROR(__xludf.DUMMYFUNCTION("""COMPUTED_VALUE"""),"")</f>
        <v/>
      </c>
      <c r="D502" s="5" t="str">
        <f>IFERROR(__xludf.DUMMYFUNCTION("""COMPUTED_VALUE"""),"")</f>
        <v/>
      </c>
      <c r="E502" s="5" t="str">
        <f>IFERROR(__xludf.DUMMYFUNCTION("""COMPUTED_VALUE"""),"")</f>
        <v/>
      </c>
      <c r="F502" s="5" t="str">
        <f>IFERROR(__xludf.DUMMYFUNCTION("""COMPUTED_VALUE"""),"")</f>
        <v/>
      </c>
      <c r="G502" s="5" t="str">
        <f>IFERROR(__xludf.DUMMYFUNCTION("""COMPUTED_VALUE"""),"")</f>
        <v/>
      </c>
      <c r="H502" s="5" t="str">
        <f>IFERROR(__xludf.DUMMYFUNCTION("""COMPUTED_VALUE"""),"")</f>
        <v/>
      </c>
      <c r="I502" s="5" t="str">
        <f>IFERROR(__xludf.DUMMYFUNCTION("""COMPUTED_VALUE"""),"")</f>
        <v/>
      </c>
      <c r="J502" s="5" t="str">
        <f>IFERROR(__xludf.DUMMYFUNCTION("""COMPUTED_VALUE"""),"")</f>
        <v/>
      </c>
      <c r="K502" s="5" t="str">
        <f>IFERROR(__xludf.DUMMYFUNCTION("""COMPUTED_VALUE"""),"")</f>
        <v/>
      </c>
      <c r="L502" s="5" t="str">
        <f>IFERROR(__xludf.DUMMYFUNCTION("""COMPUTED_VALUE"""),"")</f>
        <v/>
      </c>
      <c r="M502" s="5" t="str">
        <f>IFERROR(__xludf.DUMMYFUNCTION("""COMPUTED_VALUE"""),"")</f>
        <v/>
      </c>
      <c r="N502" s="5" t="str">
        <f>IFERROR(__xludf.DUMMYFUNCTION("""COMPUTED_VALUE"""),"")</f>
        <v/>
      </c>
      <c r="O502" s="5" t="str">
        <f>IFERROR(__xludf.DUMMYFUNCTION("""COMPUTED_VALUE"""),"")</f>
        <v/>
      </c>
      <c r="P502" s="5" t="str">
        <f>IFERROR(__xludf.DUMMYFUNCTION("""COMPUTED_VALUE"""),"")</f>
        <v/>
      </c>
      <c r="Q502" s="5" t="str">
        <f>IFERROR(__xludf.DUMMYFUNCTION("""COMPUTED_VALUE"""),"")</f>
        <v/>
      </c>
      <c r="R502" s="5" t="str">
        <f>IFERROR(__xludf.DUMMYFUNCTION("""COMPUTED_VALUE"""),"")</f>
        <v/>
      </c>
      <c r="S502" s="5" t="str">
        <f>IFERROR(__xludf.DUMMYFUNCTION("""COMPUTED_VALUE"""),"")</f>
        <v/>
      </c>
      <c r="T502" s="5" t="str">
        <f>IFERROR(__xludf.DUMMYFUNCTION("""COMPUTED_VALUE"""),"")</f>
        <v/>
      </c>
      <c r="U502" s="5" t="str">
        <f>IFERROR(__xludf.DUMMYFUNCTION("""COMPUTED_VALUE"""),"")</f>
        <v/>
      </c>
      <c r="V502" s="5" t="str">
        <f>IFERROR(__xludf.DUMMYFUNCTION("""COMPUTED_VALUE"""),"")</f>
        <v/>
      </c>
      <c r="W502" s="5" t="str">
        <f>IFERROR(__xludf.DUMMYFUNCTION("""COMPUTED_VALUE"""),"")</f>
        <v/>
      </c>
      <c r="X502" s="5" t="str">
        <f>IFERROR(__xludf.DUMMYFUNCTION("""COMPUTED_VALUE"""),"")</f>
        <v/>
      </c>
      <c r="Y502" s="5"/>
      <c r="Z502" s="5"/>
    </row>
    <row r="503">
      <c r="A503" s="5" t="str">
        <f>IFERROR(__xludf.DUMMYFUNCTION("""COMPUTED_VALUE"""),"Fazi Game")</f>
        <v>Fazi Game</v>
      </c>
      <c r="B503" s="5" t="str">
        <f>IFERROR(__xludf.DUMMYFUNCTION("""COMPUTED_VALUE"""),"")</f>
        <v/>
      </c>
      <c r="C503" s="5" t="str">
        <f>IFERROR(__xludf.DUMMYFUNCTION("""COMPUTED_VALUE"""),"")</f>
        <v/>
      </c>
      <c r="D503" s="5" t="str">
        <f>IFERROR(__xludf.DUMMYFUNCTION("""COMPUTED_VALUE"""),"")</f>
        <v/>
      </c>
      <c r="E503" s="5" t="str">
        <f>IFERROR(__xludf.DUMMYFUNCTION("""COMPUTED_VALUE"""),"")</f>
        <v/>
      </c>
      <c r="F503" s="5" t="str">
        <f>IFERROR(__xludf.DUMMYFUNCTION("""COMPUTED_VALUE"""),"")</f>
        <v/>
      </c>
      <c r="G503" s="5" t="str">
        <f>IFERROR(__xludf.DUMMYFUNCTION("""COMPUTED_VALUE"""),"")</f>
        <v/>
      </c>
      <c r="H503" s="5" t="str">
        <f>IFERROR(__xludf.DUMMYFUNCTION("""COMPUTED_VALUE"""),"")</f>
        <v/>
      </c>
      <c r="I503" s="5" t="str">
        <f>IFERROR(__xludf.DUMMYFUNCTION("""COMPUTED_VALUE"""),"")</f>
        <v/>
      </c>
      <c r="J503" s="5" t="str">
        <f>IFERROR(__xludf.DUMMYFUNCTION("""COMPUTED_VALUE"""),"")</f>
        <v/>
      </c>
      <c r="K503" s="5" t="str">
        <f>IFERROR(__xludf.DUMMYFUNCTION("""COMPUTED_VALUE"""),"")</f>
        <v/>
      </c>
      <c r="L503" s="5" t="str">
        <f>IFERROR(__xludf.DUMMYFUNCTION("""COMPUTED_VALUE"""),"")</f>
        <v/>
      </c>
      <c r="M503" s="5" t="str">
        <f>IFERROR(__xludf.DUMMYFUNCTION("""COMPUTED_VALUE"""),"")</f>
        <v/>
      </c>
      <c r="N503" s="5" t="str">
        <f>IFERROR(__xludf.DUMMYFUNCTION("""COMPUTED_VALUE"""),"")</f>
        <v/>
      </c>
      <c r="O503" s="5" t="str">
        <f>IFERROR(__xludf.DUMMYFUNCTION("""COMPUTED_VALUE"""),"")</f>
        <v/>
      </c>
      <c r="P503" s="5" t="str">
        <f>IFERROR(__xludf.DUMMYFUNCTION("""COMPUTED_VALUE"""),"")</f>
        <v/>
      </c>
      <c r="Q503" s="5" t="str">
        <f>IFERROR(__xludf.DUMMYFUNCTION("""COMPUTED_VALUE"""),"")</f>
        <v/>
      </c>
      <c r="R503" s="5" t="str">
        <f>IFERROR(__xludf.DUMMYFUNCTION("""COMPUTED_VALUE"""),"")</f>
        <v/>
      </c>
      <c r="S503" s="5" t="str">
        <f>IFERROR(__xludf.DUMMYFUNCTION("""COMPUTED_VALUE"""),"")</f>
        <v/>
      </c>
      <c r="T503" s="5" t="str">
        <f>IFERROR(__xludf.DUMMYFUNCTION("""COMPUTED_VALUE"""),"")</f>
        <v/>
      </c>
      <c r="U503" s="5" t="str">
        <f>IFERROR(__xludf.DUMMYFUNCTION("""COMPUTED_VALUE"""),"")</f>
        <v/>
      </c>
      <c r="V503" s="5" t="str">
        <f>IFERROR(__xludf.DUMMYFUNCTION("""COMPUTED_VALUE"""),"")</f>
        <v/>
      </c>
      <c r="W503" s="5" t="str">
        <f>IFERROR(__xludf.DUMMYFUNCTION("""COMPUTED_VALUE"""),"")</f>
        <v/>
      </c>
      <c r="X503" s="5" t="str">
        <f>IFERROR(__xludf.DUMMYFUNCTION("""COMPUTED_VALUE"""),"")</f>
        <v/>
      </c>
      <c r="Y503" s="5"/>
      <c r="Z503" s="5"/>
    </row>
    <row r="504">
      <c r="A504" s="5" t="str">
        <f>IFERROR(__xludf.DUMMYFUNCTION("""COMPUTED_VALUE"""),"Fazi Game")</f>
        <v>Fazi Game</v>
      </c>
      <c r="B504" s="5" t="str">
        <f>IFERROR(__xludf.DUMMYFUNCTION("""COMPUTED_VALUE"""),"")</f>
        <v/>
      </c>
      <c r="C504" s="5" t="str">
        <f>IFERROR(__xludf.DUMMYFUNCTION("""COMPUTED_VALUE"""),"")</f>
        <v/>
      </c>
      <c r="D504" s="5" t="str">
        <f>IFERROR(__xludf.DUMMYFUNCTION("""COMPUTED_VALUE"""),"")</f>
        <v/>
      </c>
      <c r="E504" s="5" t="str">
        <f>IFERROR(__xludf.DUMMYFUNCTION("""COMPUTED_VALUE"""),"")</f>
        <v/>
      </c>
      <c r="F504" s="5" t="str">
        <f>IFERROR(__xludf.DUMMYFUNCTION("""COMPUTED_VALUE"""),"")</f>
        <v/>
      </c>
      <c r="G504" s="5" t="str">
        <f>IFERROR(__xludf.DUMMYFUNCTION("""COMPUTED_VALUE"""),"")</f>
        <v/>
      </c>
      <c r="H504" s="5" t="str">
        <f>IFERROR(__xludf.DUMMYFUNCTION("""COMPUTED_VALUE"""),"")</f>
        <v/>
      </c>
      <c r="I504" s="5" t="str">
        <f>IFERROR(__xludf.DUMMYFUNCTION("""COMPUTED_VALUE"""),"")</f>
        <v/>
      </c>
      <c r="J504" s="5" t="str">
        <f>IFERROR(__xludf.DUMMYFUNCTION("""COMPUTED_VALUE"""),"")</f>
        <v/>
      </c>
      <c r="K504" s="5" t="str">
        <f>IFERROR(__xludf.DUMMYFUNCTION("""COMPUTED_VALUE"""),"")</f>
        <v/>
      </c>
      <c r="L504" s="5" t="str">
        <f>IFERROR(__xludf.DUMMYFUNCTION("""COMPUTED_VALUE"""),"")</f>
        <v/>
      </c>
      <c r="M504" s="5" t="str">
        <f>IFERROR(__xludf.DUMMYFUNCTION("""COMPUTED_VALUE"""),"")</f>
        <v/>
      </c>
      <c r="N504" s="5" t="str">
        <f>IFERROR(__xludf.DUMMYFUNCTION("""COMPUTED_VALUE"""),"")</f>
        <v/>
      </c>
      <c r="O504" s="5" t="str">
        <f>IFERROR(__xludf.DUMMYFUNCTION("""COMPUTED_VALUE"""),"")</f>
        <v/>
      </c>
      <c r="P504" s="5" t="str">
        <f>IFERROR(__xludf.DUMMYFUNCTION("""COMPUTED_VALUE"""),"")</f>
        <v/>
      </c>
      <c r="Q504" s="5" t="str">
        <f>IFERROR(__xludf.DUMMYFUNCTION("""COMPUTED_VALUE"""),"")</f>
        <v/>
      </c>
      <c r="R504" s="5" t="str">
        <f>IFERROR(__xludf.DUMMYFUNCTION("""COMPUTED_VALUE"""),"")</f>
        <v/>
      </c>
      <c r="S504" s="5" t="str">
        <f>IFERROR(__xludf.DUMMYFUNCTION("""COMPUTED_VALUE"""),"")</f>
        <v/>
      </c>
      <c r="T504" s="5" t="str">
        <f>IFERROR(__xludf.DUMMYFUNCTION("""COMPUTED_VALUE"""),"")</f>
        <v/>
      </c>
      <c r="U504" s="5" t="str">
        <f>IFERROR(__xludf.DUMMYFUNCTION("""COMPUTED_VALUE"""),"")</f>
        <v/>
      </c>
      <c r="V504" s="5" t="str">
        <f>IFERROR(__xludf.DUMMYFUNCTION("""COMPUTED_VALUE"""),"")</f>
        <v/>
      </c>
      <c r="W504" s="5" t="str">
        <f>IFERROR(__xludf.DUMMYFUNCTION("""COMPUTED_VALUE"""),"")</f>
        <v/>
      </c>
      <c r="X504" s="5" t="str">
        <f>IFERROR(__xludf.DUMMYFUNCTION("""COMPUTED_VALUE"""),"")</f>
        <v/>
      </c>
      <c r="Y504" s="5"/>
      <c r="Z504" s="5"/>
    </row>
    <row r="505">
      <c r="A505" s="5" t="str">
        <f>IFERROR(__xludf.DUMMYFUNCTION("""COMPUTED_VALUE"""),"Fazi Game")</f>
        <v>Fazi Game</v>
      </c>
      <c r="B505" s="5" t="str">
        <f>IFERROR(__xludf.DUMMYFUNCTION("""COMPUTED_VALUE"""),"")</f>
        <v/>
      </c>
      <c r="C505" s="5" t="str">
        <f>IFERROR(__xludf.DUMMYFUNCTION("""COMPUTED_VALUE"""),"")</f>
        <v/>
      </c>
      <c r="D505" s="5" t="str">
        <f>IFERROR(__xludf.DUMMYFUNCTION("""COMPUTED_VALUE"""),"")</f>
        <v/>
      </c>
      <c r="E505" s="5" t="str">
        <f>IFERROR(__xludf.DUMMYFUNCTION("""COMPUTED_VALUE"""),"")</f>
        <v/>
      </c>
      <c r="F505" s="5" t="str">
        <f>IFERROR(__xludf.DUMMYFUNCTION("""COMPUTED_VALUE"""),"")</f>
        <v/>
      </c>
      <c r="G505" s="5" t="str">
        <f>IFERROR(__xludf.DUMMYFUNCTION("""COMPUTED_VALUE"""),"")</f>
        <v/>
      </c>
      <c r="H505" s="5" t="str">
        <f>IFERROR(__xludf.DUMMYFUNCTION("""COMPUTED_VALUE"""),"")</f>
        <v/>
      </c>
      <c r="I505" s="5" t="str">
        <f>IFERROR(__xludf.DUMMYFUNCTION("""COMPUTED_VALUE"""),"")</f>
        <v/>
      </c>
      <c r="J505" s="5" t="str">
        <f>IFERROR(__xludf.DUMMYFUNCTION("""COMPUTED_VALUE"""),"")</f>
        <v/>
      </c>
      <c r="K505" s="5" t="str">
        <f>IFERROR(__xludf.DUMMYFUNCTION("""COMPUTED_VALUE"""),"")</f>
        <v/>
      </c>
      <c r="L505" s="5" t="str">
        <f>IFERROR(__xludf.DUMMYFUNCTION("""COMPUTED_VALUE"""),"")</f>
        <v/>
      </c>
      <c r="M505" s="5" t="str">
        <f>IFERROR(__xludf.DUMMYFUNCTION("""COMPUTED_VALUE"""),"")</f>
        <v/>
      </c>
      <c r="N505" s="5" t="str">
        <f>IFERROR(__xludf.DUMMYFUNCTION("""COMPUTED_VALUE"""),"")</f>
        <v/>
      </c>
      <c r="O505" s="5" t="str">
        <f>IFERROR(__xludf.DUMMYFUNCTION("""COMPUTED_VALUE"""),"")</f>
        <v/>
      </c>
      <c r="P505" s="5" t="str">
        <f>IFERROR(__xludf.DUMMYFUNCTION("""COMPUTED_VALUE"""),"")</f>
        <v/>
      </c>
      <c r="Q505" s="5" t="str">
        <f>IFERROR(__xludf.DUMMYFUNCTION("""COMPUTED_VALUE"""),"")</f>
        <v/>
      </c>
      <c r="R505" s="5" t="str">
        <f>IFERROR(__xludf.DUMMYFUNCTION("""COMPUTED_VALUE"""),"")</f>
        <v/>
      </c>
      <c r="S505" s="5" t="str">
        <f>IFERROR(__xludf.DUMMYFUNCTION("""COMPUTED_VALUE"""),"")</f>
        <v/>
      </c>
      <c r="T505" s="5" t="str">
        <f>IFERROR(__xludf.DUMMYFUNCTION("""COMPUTED_VALUE"""),"")</f>
        <v/>
      </c>
      <c r="U505" s="5" t="str">
        <f>IFERROR(__xludf.DUMMYFUNCTION("""COMPUTED_VALUE"""),"")</f>
        <v/>
      </c>
      <c r="V505" s="5" t="str">
        <f>IFERROR(__xludf.DUMMYFUNCTION("""COMPUTED_VALUE"""),"")</f>
        <v/>
      </c>
      <c r="W505" s="5" t="str">
        <f>IFERROR(__xludf.DUMMYFUNCTION("""COMPUTED_VALUE"""),"")</f>
        <v/>
      </c>
      <c r="X505" s="5" t="str">
        <f>IFERROR(__xludf.DUMMYFUNCTION("""COMPUTED_VALUE"""),"")</f>
        <v/>
      </c>
      <c r="Y505" s="5"/>
      <c r="Z505" s="5"/>
    </row>
    <row r="506">
      <c r="A506" s="5" t="str">
        <f>IFERROR(__xludf.DUMMYFUNCTION("""COMPUTED_VALUE"""),"40 Wild Crown")</f>
        <v>40 Wild Crown</v>
      </c>
      <c r="B506" s="5" t="str">
        <f>IFERROR(__xludf.DUMMYFUNCTION("""COMPUTED_VALUE"""),"")</f>
        <v/>
      </c>
      <c r="C506" s="5" t="str">
        <f>IFERROR(__xludf.DUMMYFUNCTION("""COMPUTED_VALUE"""),"")</f>
        <v/>
      </c>
      <c r="D506" s="5" t="str">
        <f>IFERROR(__xludf.DUMMYFUNCTION("""COMPUTED_VALUE"""),"")</f>
        <v/>
      </c>
      <c r="E506" s="5" t="str">
        <f>IFERROR(__xludf.DUMMYFUNCTION("""COMPUTED_VALUE"""),"")</f>
        <v/>
      </c>
      <c r="F506" s="5" t="str">
        <f>IFERROR(__xludf.DUMMYFUNCTION("""COMPUTED_VALUE"""),"")</f>
        <v/>
      </c>
      <c r="G506" s="5" t="str">
        <f>IFERROR(__xludf.DUMMYFUNCTION("""COMPUTED_VALUE"""),"")</f>
        <v/>
      </c>
      <c r="H506" s="5" t="str">
        <f>IFERROR(__xludf.DUMMYFUNCTION("""COMPUTED_VALUE"""),"")</f>
        <v/>
      </c>
      <c r="I506" s="5" t="str">
        <f>IFERROR(__xludf.DUMMYFUNCTION("""COMPUTED_VALUE"""),"")</f>
        <v/>
      </c>
      <c r="J506" s="5" t="str">
        <f>IFERROR(__xludf.DUMMYFUNCTION("""COMPUTED_VALUE"""),"")</f>
        <v/>
      </c>
      <c r="K506" s="5" t="str">
        <f>IFERROR(__xludf.DUMMYFUNCTION("""COMPUTED_VALUE"""),"")</f>
        <v/>
      </c>
      <c r="L506" s="5" t="str">
        <f>IFERROR(__xludf.DUMMYFUNCTION("""COMPUTED_VALUE"""),"")</f>
        <v/>
      </c>
      <c r="M506" s="5" t="str">
        <f>IFERROR(__xludf.DUMMYFUNCTION("""COMPUTED_VALUE"""),"")</f>
        <v/>
      </c>
      <c r="N506" s="5" t="str">
        <f>IFERROR(__xludf.DUMMYFUNCTION("""COMPUTED_VALUE"""),"")</f>
        <v/>
      </c>
      <c r="O506" s="5" t="str">
        <f>IFERROR(__xludf.DUMMYFUNCTION("""COMPUTED_VALUE"""),"")</f>
        <v/>
      </c>
      <c r="P506" s="5" t="str">
        <f>IFERROR(__xludf.DUMMYFUNCTION("""COMPUTED_VALUE"""),"")</f>
        <v/>
      </c>
      <c r="Q506" s="5" t="str">
        <f>IFERROR(__xludf.DUMMYFUNCTION("""COMPUTED_VALUE"""),"")</f>
        <v/>
      </c>
      <c r="R506" s="5" t="str">
        <f>IFERROR(__xludf.DUMMYFUNCTION("""COMPUTED_VALUE"""),"")</f>
        <v/>
      </c>
      <c r="S506" s="5" t="str">
        <f>IFERROR(__xludf.DUMMYFUNCTION("""COMPUTED_VALUE"""),"")</f>
        <v/>
      </c>
      <c r="T506" s="5" t="str">
        <f>IFERROR(__xludf.DUMMYFUNCTION("""COMPUTED_VALUE"""),"")</f>
        <v/>
      </c>
      <c r="U506" s="5" t="str">
        <f>IFERROR(__xludf.DUMMYFUNCTION("""COMPUTED_VALUE"""),"")</f>
        <v/>
      </c>
      <c r="V506" s="5" t="str">
        <f>IFERROR(__xludf.DUMMYFUNCTION("""COMPUTED_VALUE"""),"")</f>
        <v/>
      </c>
      <c r="W506" s="5" t="str">
        <f>IFERROR(__xludf.DUMMYFUNCTION("""COMPUTED_VALUE"""),"")</f>
        <v/>
      </c>
      <c r="X506" s="5" t="str">
        <f>IFERROR(__xludf.DUMMYFUNCTION("""COMPUTED_VALUE"""),"")</f>
        <v/>
      </c>
      <c r="Y506" s="5"/>
      <c r="Z506" s="5"/>
    </row>
    <row r="507">
      <c r="A507" s="5" t="str">
        <f>IFERROR(__xludf.DUMMYFUNCTION("""COMPUTED_VALUE"""),"Double Crown 5")</f>
        <v>Double Crown 5</v>
      </c>
      <c r="B507" s="5" t="str">
        <f>IFERROR(__xludf.DUMMYFUNCTION("""COMPUTED_VALUE"""),"")</f>
        <v/>
      </c>
      <c r="C507" s="5" t="str">
        <f>IFERROR(__xludf.DUMMYFUNCTION("""COMPUTED_VALUE"""),"")</f>
        <v/>
      </c>
      <c r="D507" s="5" t="str">
        <f>IFERROR(__xludf.DUMMYFUNCTION("""COMPUTED_VALUE"""),"")</f>
        <v/>
      </c>
      <c r="E507" s="5" t="str">
        <f>IFERROR(__xludf.DUMMYFUNCTION("""COMPUTED_VALUE"""),"")</f>
        <v/>
      </c>
      <c r="F507" s="5" t="str">
        <f>IFERROR(__xludf.DUMMYFUNCTION("""COMPUTED_VALUE"""),"")</f>
        <v/>
      </c>
      <c r="G507" s="5" t="str">
        <f>IFERROR(__xludf.DUMMYFUNCTION("""COMPUTED_VALUE"""),"")</f>
        <v/>
      </c>
      <c r="H507" s="5" t="str">
        <f>IFERROR(__xludf.DUMMYFUNCTION("""COMPUTED_VALUE"""),"")</f>
        <v/>
      </c>
      <c r="I507" s="5" t="str">
        <f>IFERROR(__xludf.DUMMYFUNCTION("""COMPUTED_VALUE"""),"")</f>
        <v/>
      </c>
      <c r="J507" s="5" t="str">
        <f>IFERROR(__xludf.DUMMYFUNCTION("""COMPUTED_VALUE"""),"")</f>
        <v/>
      </c>
      <c r="K507" s="5" t="str">
        <f>IFERROR(__xludf.DUMMYFUNCTION("""COMPUTED_VALUE"""),"")</f>
        <v/>
      </c>
      <c r="L507" s="5" t="str">
        <f>IFERROR(__xludf.DUMMYFUNCTION("""COMPUTED_VALUE"""),"")</f>
        <v/>
      </c>
      <c r="M507" s="5" t="str">
        <f>IFERROR(__xludf.DUMMYFUNCTION("""COMPUTED_VALUE"""),"")</f>
        <v/>
      </c>
      <c r="N507" s="5" t="str">
        <f>IFERROR(__xludf.DUMMYFUNCTION("""COMPUTED_VALUE"""),"")</f>
        <v/>
      </c>
      <c r="O507" s="5" t="str">
        <f>IFERROR(__xludf.DUMMYFUNCTION("""COMPUTED_VALUE"""),"")</f>
        <v/>
      </c>
      <c r="P507" s="5" t="str">
        <f>IFERROR(__xludf.DUMMYFUNCTION("""COMPUTED_VALUE"""),"")</f>
        <v/>
      </c>
      <c r="Q507" s="5" t="str">
        <f>IFERROR(__xludf.DUMMYFUNCTION("""COMPUTED_VALUE"""),"")</f>
        <v/>
      </c>
      <c r="R507" s="5" t="str">
        <f>IFERROR(__xludf.DUMMYFUNCTION("""COMPUTED_VALUE"""),"")</f>
        <v/>
      </c>
      <c r="S507" s="5" t="str">
        <f>IFERROR(__xludf.DUMMYFUNCTION("""COMPUTED_VALUE"""),"")</f>
        <v/>
      </c>
      <c r="T507" s="5" t="str">
        <f>IFERROR(__xludf.DUMMYFUNCTION("""COMPUTED_VALUE"""),"")</f>
        <v/>
      </c>
      <c r="U507" s="5" t="str">
        <f>IFERROR(__xludf.DUMMYFUNCTION("""COMPUTED_VALUE"""),"")</f>
        <v/>
      </c>
      <c r="V507" s="5" t="str">
        <f>IFERROR(__xludf.DUMMYFUNCTION("""COMPUTED_VALUE"""),"")</f>
        <v/>
      </c>
      <c r="W507" s="5" t="str">
        <f>IFERROR(__xludf.DUMMYFUNCTION("""COMPUTED_VALUE"""),"")</f>
        <v/>
      </c>
      <c r="X507" s="5" t="str">
        <f>IFERROR(__xludf.DUMMYFUNCTION("""COMPUTED_VALUE"""),"")</f>
        <v/>
      </c>
      <c r="Y507" s="5"/>
      <c r="Z507" s="5"/>
    </row>
    <row r="508">
      <c r="A508" s="5" t="str">
        <f>IFERROR(__xludf.DUMMYFUNCTION("""COMPUTED_VALUE"""),"Heart Royale ")</f>
        <v>Heart Royale </v>
      </c>
      <c r="B508" s="5" t="str">
        <f>IFERROR(__xludf.DUMMYFUNCTION("""COMPUTED_VALUE"""),"")</f>
        <v/>
      </c>
      <c r="C508" s="5" t="str">
        <f>IFERROR(__xludf.DUMMYFUNCTION("""COMPUTED_VALUE"""),"")</f>
        <v/>
      </c>
      <c r="D508" s="5" t="str">
        <f>IFERROR(__xludf.DUMMYFUNCTION("""COMPUTED_VALUE"""),"")</f>
        <v/>
      </c>
      <c r="E508" s="5" t="str">
        <f>IFERROR(__xludf.DUMMYFUNCTION("""COMPUTED_VALUE"""),"")</f>
        <v/>
      </c>
      <c r="F508" s="5" t="str">
        <f>IFERROR(__xludf.DUMMYFUNCTION("""COMPUTED_VALUE"""),"")</f>
        <v/>
      </c>
      <c r="G508" s="5" t="str">
        <f>IFERROR(__xludf.DUMMYFUNCTION("""COMPUTED_VALUE"""),"")</f>
        <v/>
      </c>
      <c r="H508" s="5" t="str">
        <f>IFERROR(__xludf.DUMMYFUNCTION("""COMPUTED_VALUE"""),"")</f>
        <v/>
      </c>
      <c r="I508" s="5" t="str">
        <f>IFERROR(__xludf.DUMMYFUNCTION("""COMPUTED_VALUE"""),"")</f>
        <v/>
      </c>
      <c r="J508" s="5" t="str">
        <f>IFERROR(__xludf.DUMMYFUNCTION("""COMPUTED_VALUE"""),"")</f>
        <v/>
      </c>
      <c r="K508" s="5" t="str">
        <f>IFERROR(__xludf.DUMMYFUNCTION("""COMPUTED_VALUE"""),"")</f>
        <v/>
      </c>
      <c r="L508" s="5" t="str">
        <f>IFERROR(__xludf.DUMMYFUNCTION("""COMPUTED_VALUE"""),"")</f>
        <v/>
      </c>
      <c r="M508" s="5" t="str">
        <f>IFERROR(__xludf.DUMMYFUNCTION("""COMPUTED_VALUE"""),"")</f>
        <v/>
      </c>
      <c r="N508" s="5" t="str">
        <f>IFERROR(__xludf.DUMMYFUNCTION("""COMPUTED_VALUE"""),"")</f>
        <v/>
      </c>
      <c r="O508" s="5" t="str">
        <f>IFERROR(__xludf.DUMMYFUNCTION("""COMPUTED_VALUE"""),"")</f>
        <v/>
      </c>
      <c r="P508" s="5" t="str">
        <f>IFERROR(__xludf.DUMMYFUNCTION("""COMPUTED_VALUE"""),"")</f>
        <v/>
      </c>
      <c r="Q508" s="5" t="str">
        <f>IFERROR(__xludf.DUMMYFUNCTION("""COMPUTED_VALUE"""),"")</f>
        <v/>
      </c>
      <c r="R508" s="5" t="str">
        <f>IFERROR(__xludf.DUMMYFUNCTION("""COMPUTED_VALUE"""),"")</f>
        <v/>
      </c>
      <c r="S508" s="5" t="str">
        <f>IFERROR(__xludf.DUMMYFUNCTION("""COMPUTED_VALUE"""),"")</f>
        <v/>
      </c>
      <c r="T508" s="5" t="str">
        <f>IFERROR(__xludf.DUMMYFUNCTION("""COMPUTED_VALUE"""),"")</f>
        <v/>
      </c>
      <c r="U508" s="5" t="str">
        <f>IFERROR(__xludf.DUMMYFUNCTION("""COMPUTED_VALUE"""),"")</f>
        <v/>
      </c>
      <c r="V508" s="5" t="str">
        <f>IFERROR(__xludf.DUMMYFUNCTION("""COMPUTED_VALUE"""),"")</f>
        <v/>
      </c>
      <c r="W508" s="5" t="str">
        <f>IFERROR(__xludf.DUMMYFUNCTION("""COMPUTED_VALUE"""),"")</f>
        <v/>
      </c>
      <c r="X508" s="5" t="str">
        <f>IFERROR(__xludf.DUMMYFUNCTION("""COMPUTED_VALUE"""),"")</f>
        <v/>
      </c>
      <c r="Y508" s="5"/>
      <c r="Z508" s="5"/>
    </row>
    <row r="509">
      <c r="A509" s="5" t="str">
        <f>IFERROR(__xludf.DUMMYFUNCTION("""COMPUTED_VALUE"""),"Reel X5: 27 Ways")</f>
        <v>Reel X5: 27 Ways</v>
      </c>
      <c r="B509" s="5" t="str">
        <f>IFERROR(__xludf.DUMMYFUNCTION("""COMPUTED_VALUE"""),"")</f>
        <v/>
      </c>
      <c r="C509" s="5" t="str">
        <f>IFERROR(__xludf.DUMMYFUNCTION("""COMPUTED_VALUE"""),"")</f>
        <v/>
      </c>
      <c r="D509" s="5" t="str">
        <f>IFERROR(__xludf.DUMMYFUNCTION("""COMPUTED_VALUE"""),"")</f>
        <v/>
      </c>
      <c r="E509" s="5" t="str">
        <f>IFERROR(__xludf.DUMMYFUNCTION("""COMPUTED_VALUE"""),"")</f>
        <v/>
      </c>
      <c r="F509" s="5" t="str">
        <f>IFERROR(__xludf.DUMMYFUNCTION("""COMPUTED_VALUE"""),"")</f>
        <v/>
      </c>
      <c r="G509" s="5" t="str">
        <f>IFERROR(__xludf.DUMMYFUNCTION("""COMPUTED_VALUE"""),"")</f>
        <v/>
      </c>
      <c r="H509" s="5" t="str">
        <f>IFERROR(__xludf.DUMMYFUNCTION("""COMPUTED_VALUE"""),"")</f>
        <v/>
      </c>
      <c r="I509" s="5" t="str">
        <f>IFERROR(__xludf.DUMMYFUNCTION("""COMPUTED_VALUE"""),"")</f>
        <v/>
      </c>
      <c r="J509" s="5" t="str">
        <f>IFERROR(__xludf.DUMMYFUNCTION("""COMPUTED_VALUE"""),"")</f>
        <v/>
      </c>
      <c r="K509" s="5" t="str">
        <f>IFERROR(__xludf.DUMMYFUNCTION("""COMPUTED_VALUE"""),"")</f>
        <v/>
      </c>
      <c r="L509" s="5" t="str">
        <f>IFERROR(__xludf.DUMMYFUNCTION("""COMPUTED_VALUE"""),"")</f>
        <v/>
      </c>
      <c r="M509" s="5" t="str">
        <f>IFERROR(__xludf.DUMMYFUNCTION("""COMPUTED_VALUE"""),"")</f>
        <v/>
      </c>
      <c r="N509" s="5" t="str">
        <f>IFERROR(__xludf.DUMMYFUNCTION("""COMPUTED_VALUE"""),"")</f>
        <v/>
      </c>
      <c r="O509" s="5" t="str">
        <f>IFERROR(__xludf.DUMMYFUNCTION("""COMPUTED_VALUE"""),"")</f>
        <v/>
      </c>
      <c r="P509" s="5" t="str">
        <f>IFERROR(__xludf.DUMMYFUNCTION("""COMPUTED_VALUE"""),"")</f>
        <v/>
      </c>
      <c r="Q509" s="5" t="str">
        <f>IFERROR(__xludf.DUMMYFUNCTION("""COMPUTED_VALUE"""),"")</f>
        <v/>
      </c>
      <c r="R509" s="5" t="str">
        <f>IFERROR(__xludf.DUMMYFUNCTION("""COMPUTED_VALUE"""),"")</f>
        <v/>
      </c>
      <c r="S509" s="5" t="str">
        <f>IFERROR(__xludf.DUMMYFUNCTION("""COMPUTED_VALUE"""),"")</f>
        <v/>
      </c>
      <c r="T509" s="5" t="str">
        <f>IFERROR(__xludf.DUMMYFUNCTION("""COMPUTED_VALUE"""),"")</f>
        <v/>
      </c>
      <c r="U509" s="5" t="str">
        <f>IFERROR(__xludf.DUMMYFUNCTION("""COMPUTED_VALUE"""),"")</f>
        <v/>
      </c>
      <c r="V509" s="5" t="str">
        <f>IFERROR(__xludf.DUMMYFUNCTION("""COMPUTED_VALUE"""),"")</f>
        <v/>
      </c>
      <c r="W509" s="5" t="str">
        <f>IFERROR(__xludf.DUMMYFUNCTION("""COMPUTED_VALUE"""),"")</f>
        <v/>
      </c>
      <c r="X509" s="5" t="str">
        <f>IFERROR(__xludf.DUMMYFUNCTION("""COMPUTED_VALUE"""),"")</f>
        <v/>
      </c>
      <c r="Y509" s="5"/>
      <c r="Z509" s="5"/>
    </row>
    <row r="510">
      <c r="A510" s="5" t="str">
        <f>IFERROR(__xludf.DUMMYFUNCTION("""COMPUTED_VALUE"""),"Crown Drop")</f>
        <v>Crown Drop</v>
      </c>
      <c r="B510" s="5" t="str">
        <f>IFERROR(__xludf.DUMMYFUNCTION("""COMPUTED_VALUE"""),"")</f>
        <v/>
      </c>
      <c r="C510" s="5" t="str">
        <f>IFERROR(__xludf.DUMMYFUNCTION("""COMPUTED_VALUE"""),"")</f>
        <v/>
      </c>
      <c r="D510" s="5" t="str">
        <f>IFERROR(__xludf.DUMMYFUNCTION("""COMPUTED_VALUE"""),"")</f>
        <v/>
      </c>
      <c r="E510" s="5" t="str">
        <f>IFERROR(__xludf.DUMMYFUNCTION("""COMPUTED_VALUE"""),"")</f>
        <v/>
      </c>
      <c r="F510" s="5" t="str">
        <f>IFERROR(__xludf.DUMMYFUNCTION("""COMPUTED_VALUE"""),"")</f>
        <v/>
      </c>
      <c r="G510" s="5" t="str">
        <f>IFERROR(__xludf.DUMMYFUNCTION("""COMPUTED_VALUE"""),"")</f>
        <v/>
      </c>
      <c r="H510" s="5" t="str">
        <f>IFERROR(__xludf.DUMMYFUNCTION("""COMPUTED_VALUE"""),"")</f>
        <v/>
      </c>
      <c r="I510" s="5" t="str">
        <f>IFERROR(__xludf.DUMMYFUNCTION("""COMPUTED_VALUE"""),"")</f>
        <v/>
      </c>
      <c r="J510" s="5" t="str">
        <f>IFERROR(__xludf.DUMMYFUNCTION("""COMPUTED_VALUE"""),"")</f>
        <v/>
      </c>
      <c r="K510" s="5" t="str">
        <f>IFERROR(__xludf.DUMMYFUNCTION("""COMPUTED_VALUE"""),"")</f>
        <v/>
      </c>
      <c r="L510" s="5" t="str">
        <f>IFERROR(__xludf.DUMMYFUNCTION("""COMPUTED_VALUE"""),"")</f>
        <v/>
      </c>
      <c r="M510" s="5" t="str">
        <f>IFERROR(__xludf.DUMMYFUNCTION("""COMPUTED_VALUE"""),"")</f>
        <v/>
      </c>
      <c r="N510" s="5" t="str">
        <f>IFERROR(__xludf.DUMMYFUNCTION("""COMPUTED_VALUE"""),"")</f>
        <v/>
      </c>
      <c r="O510" s="5" t="str">
        <f>IFERROR(__xludf.DUMMYFUNCTION("""COMPUTED_VALUE"""),"")</f>
        <v/>
      </c>
      <c r="P510" s="5" t="str">
        <f>IFERROR(__xludf.DUMMYFUNCTION("""COMPUTED_VALUE"""),"")</f>
        <v/>
      </c>
      <c r="Q510" s="5" t="str">
        <f>IFERROR(__xludf.DUMMYFUNCTION("""COMPUTED_VALUE"""),"")</f>
        <v/>
      </c>
      <c r="R510" s="5" t="str">
        <f>IFERROR(__xludf.DUMMYFUNCTION("""COMPUTED_VALUE"""),"")</f>
        <v/>
      </c>
      <c r="S510" s="5" t="str">
        <f>IFERROR(__xludf.DUMMYFUNCTION("""COMPUTED_VALUE"""),"")</f>
        <v/>
      </c>
      <c r="T510" s="5" t="str">
        <f>IFERROR(__xludf.DUMMYFUNCTION("""COMPUTED_VALUE"""),"")</f>
        <v/>
      </c>
      <c r="U510" s="5" t="str">
        <f>IFERROR(__xludf.DUMMYFUNCTION("""COMPUTED_VALUE"""),"")</f>
        <v/>
      </c>
      <c r="V510" s="5" t="str">
        <f>IFERROR(__xludf.DUMMYFUNCTION("""COMPUTED_VALUE"""),"")</f>
        <v/>
      </c>
      <c r="W510" s="5" t="str">
        <f>IFERROR(__xludf.DUMMYFUNCTION("""COMPUTED_VALUE"""),"")</f>
        <v/>
      </c>
      <c r="X510" s="5" t="str">
        <f>IFERROR(__xludf.DUMMYFUNCTION("""COMPUTED_VALUE"""),"")</f>
        <v/>
      </c>
      <c r="Y510" s="5"/>
      <c r="Z510" s="5"/>
    </row>
    <row r="511">
      <c r="A511" s="5" t="str">
        <f>IFERROR(__xludf.DUMMYFUNCTION("""COMPUTED_VALUE"""),"5 Clover Fire 6 Reels")</f>
        <v>5 Clover Fire 6 Reels</v>
      </c>
      <c r="B511" s="5" t="str">
        <f>IFERROR(__xludf.DUMMYFUNCTION("""COMPUTED_VALUE"""),"")</f>
        <v/>
      </c>
      <c r="C511" s="5" t="str">
        <f>IFERROR(__xludf.DUMMYFUNCTION("""COMPUTED_VALUE"""),"")</f>
        <v/>
      </c>
      <c r="D511" s="5" t="str">
        <f>IFERROR(__xludf.DUMMYFUNCTION("""COMPUTED_VALUE"""),"")</f>
        <v/>
      </c>
      <c r="E511" s="5" t="str">
        <f>IFERROR(__xludf.DUMMYFUNCTION("""COMPUTED_VALUE"""),"")</f>
        <v/>
      </c>
      <c r="F511" s="5" t="str">
        <f>IFERROR(__xludf.DUMMYFUNCTION("""COMPUTED_VALUE"""),"")</f>
        <v/>
      </c>
      <c r="G511" s="5" t="str">
        <f>IFERROR(__xludf.DUMMYFUNCTION("""COMPUTED_VALUE"""),"")</f>
        <v/>
      </c>
      <c r="H511" s="5" t="str">
        <f>IFERROR(__xludf.DUMMYFUNCTION("""COMPUTED_VALUE"""),"")</f>
        <v/>
      </c>
      <c r="I511" s="5" t="str">
        <f>IFERROR(__xludf.DUMMYFUNCTION("""COMPUTED_VALUE"""),"")</f>
        <v/>
      </c>
      <c r="J511" s="5" t="str">
        <f>IFERROR(__xludf.DUMMYFUNCTION("""COMPUTED_VALUE"""),"")</f>
        <v/>
      </c>
      <c r="K511" s="5" t="str">
        <f>IFERROR(__xludf.DUMMYFUNCTION("""COMPUTED_VALUE"""),"")</f>
        <v/>
      </c>
      <c r="L511" s="5" t="str">
        <f>IFERROR(__xludf.DUMMYFUNCTION("""COMPUTED_VALUE"""),"")</f>
        <v/>
      </c>
      <c r="M511" s="5" t="str">
        <f>IFERROR(__xludf.DUMMYFUNCTION("""COMPUTED_VALUE"""),"")</f>
        <v/>
      </c>
      <c r="N511" s="5" t="str">
        <f>IFERROR(__xludf.DUMMYFUNCTION("""COMPUTED_VALUE"""),"")</f>
        <v/>
      </c>
      <c r="O511" s="5" t="str">
        <f>IFERROR(__xludf.DUMMYFUNCTION("""COMPUTED_VALUE"""),"")</f>
        <v/>
      </c>
      <c r="P511" s="5" t="str">
        <f>IFERROR(__xludf.DUMMYFUNCTION("""COMPUTED_VALUE"""),"")</f>
        <v/>
      </c>
      <c r="Q511" s="5" t="str">
        <f>IFERROR(__xludf.DUMMYFUNCTION("""COMPUTED_VALUE"""),"")</f>
        <v/>
      </c>
      <c r="R511" s="5" t="str">
        <f>IFERROR(__xludf.DUMMYFUNCTION("""COMPUTED_VALUE"""),"")</f>
        <v/>
      </c>
      <c r="S511" s="5" t="str">
        <f>IFERROR(__xludf.DUMMYFUNCTION("""COMPUTED_VALUE"""),"")</f>
        <v/>
      </c>
      <c r="T511" s="5" t="str">
        <f>IFERROR(__xludf.DUMMYFUNCTION("""COMPUTED_VALUE"""),"")</f>
        <v/>
      </c>
      <c r="U511" s="5" t="str">
        <f>IFERROR(__xludf.DUMMYFUNCTION("""COMPUTED_VALUE"""),"")</f>
        <v/>
      </c>
      <c r="V511" s="5" t="str">
        <f>IFERROR(__xludf.DUMMYFUNCTION("""COMPUTED_VALUE"""),"")</f>
        <v/>
      </c>
      <c r="W511" s="5" t="str">
        <f>IFERROR(__xludf.DUMMYFUNCTION("""COMPUTED_VALUE"""),"")</f>
        <v/>
      </c>
      <c r="X511" s="5" t="str">
        <f>IFERROR(__xludf.DUMMYFUNCTION("""COMPUTED_VALUE"""),"")</f>
        <v/>
      </c>
      <c r="Y511" s="5"/>
      <c r="Z511" s="5"/>
    </row>
    <row r="512">
      <c r="A512" s="5" t="str">
        <f>IFERROR(__xludf.DUMMYFUNCTION("""COMPUTED_VALUE"""),"10 Extra Bank")</f>
        <v>10 Extra Bank</v>
      </c>
      <c r="B512" s="5" t="str">
        <f>IFERROR(__xludf.DUMMYFUNCTION("""COMPUTED_VALUE"""),"")</f>
        <v/>
      </c>
      <c r="C512" s="5" t="str">
        <f>IFERROR(__xludf.DUMMYFUNCTION("""COMPUTED_VALUE"""),"")</f>
        <v/>
      </c>
      <c r="D512" s="5" t="str">
        <f>IFERROR(__xludf.DUMMYFUNCTION("""COMPUTED_VALUE"""),"")</f>
        <v/>
      </c>
      <c r="E512" s="5" t="str">
        <f>IFERROR(__xludf.DUMMYFUNCTION("""COMPUTED_VALUE"""),"")</f>
        <v/>
      </c>
      <c r="F512" s="5" t="str">
        <f>IFERROR(__xludf.DUMMYFUNCTION("""COMPUTED_VALUE"""),"")</f>
        <v/>
      </c>
      <c r="G512" s="5" t="str">
        <f>IFERROR(__xludf.DUMMYFUNCTION("""COMPUTED_VALUE"""),"")</f>
        <v/>
      </c>
      <c r="H512" s="5" t="str">
        <f>IFERROR(__xludf.DUMMYFUNCTION("""COMPUTED_VALUE"""),"")</f>
        <v/>
      </c>
      <c r="I512" s="5" t="str">
        <f>IFERROR(__xludf.DUMMYFUNCTION("""COMPUTED_VALUE"""),"")</f>
        <v/>
      </c>
      <c r="J512" s="5" t="str">
        <f>IFERROR(__xludf.DUMMYFUNCTION("""COMPUTED_VALUE"""),"")</f>
        <v/>
      </c>
      <c r="K512" s="5" t="str">
        <f>IFERROR(__xludf.DUMMYFUNCTION("""COMPUTED_VALUE"""),"")</f>
        <v/>
      </c>
      <c r="L512" s="5" t="str">
        <f>IFERROR(__xludf.DUMMYFUNCTION("""COMPUTED_VALUE"""),"")</f>
        <v/>
      </c>
      <c r="M512" s="5" t="str">
        <f>IFERROR(__xludf.DUMMYFUNCTION("""COMPUTED_VALUE"""),"")</f>
        <v/>
      </c>
      <c r="N512" s="5" t="str">
        <f>IFERROR(__xludf.DUMMYFUNCTION("""COMPUTED_VALUE"""),"")</f>
        <v/>
      </c>
      <c r="O512" s="5" t="str">
        <f>IFERROR(__xludf.DUMMYFUNCTION("""COMPUTED_VALUE"""),"")</f>
        <v/>
      </c>
      <c r="P512" s="5" t="str">
        <f>IFERROR(__xludf.DUMMYFUNCTION("""COMPUTED_VALUE"""),"")</f>
        <v/>
      </c>
      <c r="Q512" s="5" t="str">
        <f>IFERROR(__xludf.DUMMYFUNCTION("""COMPUTED_VALUE"""),"")</f>
        <v/>
      </c>
      <c r="R512" s="5" t="str">
        <f>IFERROR(__xludf.DUMMYFUNCTION("""COMPUTED_VALUE"""),"")</f>
        <v/>
      </c>
      <c r="S512" s="5" t="str">
        <f>IFERROR(__xludf.DUMMYFUNCTION("""COMPUTED_VALUE"""),"")</f>
        <v/>
      </c>
      <c r="T512" s="5" t="str">
        <f>IFERROR(__xludf.DUMMYFUNCTION("""COMPUTED_VALUE"""),"")</f>
        <v/>
      </c>
      <c r="U512" s="5" t="str">
        <f>IFERROR(__xludf.DUMMYFUNCTION("""COMPUTED_VALUE"""),"")</f>
        <v/>
      </c>
      <c r="V512" s="5" t="str">
        <f>IFERROR(__xludf.DUMMYFUNCTION("""COMPUTED_VALUE"""),"")</f>
        <v/>
      </c>
      <c r="W512" s="5" t="str">
        <f>IFERROR(__xludf.DUMMYFUNCTION("""COMPUTED_VALUE"""),"")</f>
        <v/>
      </c>
      <c r="X512" s="5" t="str">
        <f>IFERROR(__xludf.DUMMYFUNCTION("""COMPUTED_VALUE"""),"")</f>
        <v/>
      </c>
      <c r="Y512" s="5"/>
      <c r="Z512" s="5"/>
    </row>
    <row r="513">
      <c r="A513" s="5" t="str">
        <f>IFERROR(__xludf.DUMMYFUNCTION("""COMPUTED_VALUE"""),"Sevens Heaven")</f>
        <v>Sevens Heaven</v>
      </c>
      <c r="B513" s="5" t="str">
        <f>IFERROR(__xludf.DUMMYFUNCTION("""COMPUTED_VALUE"""),"")</f>
        <v/>
      </c>
      <c r="C513" s="5" t="str">
        <f>IFERROR(__xludf.DUMMYFUNCTION("""COMPUTED_VALUE"""),"")</f>
        <v/>
      </c>
      <c r="D513" s="5" t="str">
        <f>IFERROR(__xludf.DUMMYFUNCTION("""COMPUTED_VALUE"""),"")</f>
        <v/>
      </c>
      <c r="E513" s="5" t="str">
        <f>IFERROR(__xludf.DUMMYFUNCTION("""COMPUTED_VALUE"""),"")</f>
        <v/>
      </c>
      <c r="F513" s="5" t="str">
        <f>IFERROR(__xludf.DUMMYFUNCTION("""COMPUTED_VALUE"""),"")</f>
        <v/>
      </c>
      <c r="G513" s="5" t="str">
        <f>IFERROR(__xludf.DUMMYFUNCTION("""COMPUTED_VALUE"""),"")</f>
        <v/>
      </c>
      <c r="H513" s="5" t="str">
        <f>IFERROR(__xludf.DUMMYFUNCTION("""COMPUTED_VALUE"""),"")</f>
        <v/>
      </c>
      <c r="I513" s="5" t="str">
        <f>IFERROR(__xludf.DUMMYFUNCTION("""COMPUTED_VALUE"""),"")</f>
        <v/>
      </c>
      <c r="J513" s="5" t="str">
        <f>IFERROR(__xludf.DUMMYFUNCTION("""COMPUTED_VALUE"""),"")</f>
        <v/>
      </c>
      <c r="K513" s="5" t="str">
        <f>IFERROR(__xludf.DUMMYFUNCTION("""COMPUTED_VALUE"""),"")</f>
        <v/>
      </c>
      <c r="L513" s="5" t="str">
        <f>IFERROR(__xludf.DUMMYFUNCTION("""COMPUTED_VALUE"""),"")</f>
        <v/>
      </c>
      <c r="M513" s="5" t="str">
        <f>IFERROR(__xludf.DUMMYFUNCTION("""COMPUTED_VALUE"""),"")</f>
        <v/>
      </c>
      <c r="N513" s="5" t="str">
        <f>IFERROR(__xludf.DUMMYFUNCTION("""COMPUTED_VALUE"""),"")</f>
        <v/>
      </c>
      <c r="O513" s="5" t="str">
        <f>IFERROR(__xludf.DUMMYFUNCTION("""COMPUTED_VALUE"""),"")</f>
        <v/>
      </c>
      <c r="P513" s="5" t="str">
        <f>IFERROR(__xludf.DUMMYFUNCTION("""COMPUTED_VALUE"""),"")</f>
        <v/>
      </c>
      <c r="Q513" s="5" t="str">
        <f>IFERROR(__xludf.DUMMYFUNCTION("""COMPUTED_VALUE"""),"")</f>
        <v/>
      </c>
      <c r="R513" s="5" t="str">
        <f>IFERROR(__xludf.DUMMYFUNCTION("""COMPUTED_VALUE"""),"")</f>
        <v/>
      </c>
      <c r="S513" s="5" t="str">
        <f>IFERROR(__xludf.DUMMYFUNCTION("""COMPUTED_VALUE"""),"")</f>
        <v/>
      </c>
      <c r="T513" s="5" t="str">
        <f>IFERROR(__xludf.DUMMYFUNCTION("""COMPUTED_VALUE"""),"")</f>
        <v/>
      </c>
      <c r="U513" s="5" t="str">
        <f>IFERROR(__xludf.DUMMYFUNCTION("""COMPUTED_VALUE"""),"")</f>
        <v/>
      </c>
      <c r="V513" s="5" t="str">
        <f>IFERROR(__xludf.DUMMYFUNCTION("""COMPUTED_VALUE"""),"")</f>
        <v/>
      </c>
      <c r="W513" s="5" t="str">
        <f>IFERROR(__xludf.DUMMYFUNCTION("""COMPUTED_VALUE"""),"")</f>
        <v/>
      </c>
      <c r="X513" s="5" t="str">
        <f>IFERROR(__xludf.DUMMYFUNCTION("""COMPUTED_VALUE"""),"")</f>
        <v/>
      </c>
      <c r="Y513" s="5"/>
      <c r="Z513" s="5"/>
    </row>
    <row r="514">
      <c r="A514" s="5" t="str">
        <f>IFERROR(__xludf.DUMMYFUNCTION("""COMPUTED_VALUE"""),"777: Extra Chance")</f>
        <v>777: Extra Chance</v>
      </c>
      <c r="B514" s="5" t="str">
        <f>IFERROR(__xludf.DUMMYFUNCTION("""COMPUTED_VALUE"""),"")</f>
        <v/>
      </c>
      <c r="C514" s="5" t="str">
        <f>IFERROR(__xludf.DUMMYFUNCTION("""COMPUTED_VALUE"""),"")</f>
        <v/>
      </c>
      <c r="D514" s="5" t="str">
        <f>IFERROR(__xludf.DUMMYFUNCTION("""COMPUTED_VALUE"""),"")</f>
        <v/>
      </c>
      <c r="E514" s="5" t="str">
        <f>IFERROR(__xludf.DUMMYFUNCTION("""COMPUTED_VALUE"""),"")</f>
        <v/>
      </c>
      <c r="F514" s="5" t="str">
        <f>IFERROR(__xludf.DUMMYFUNCTION("""COMPUTED_VALUE"""),"")</f>
        <v/>
      </c>
      <c r="G514" s="5" t="str">
        <f>IFERROR(__xludf.DUMMYFUNCTION("""COMPUTED_VALUE"""),"")</f>
        <v/>
      </c>
      <c r="H514" s="5" t="str">
        <f>IFERROR(__xludf.DUMMYFUNCTION("""COMPUTED_VALUE"""),"")</f>
        <v/>
      </c>
      <c r="I514" s="5" t="str">
        <f>IFERROR(__xludf.DUMMYFUNCTION("""COMPUTED_VALUE"""),"")</f>
        <v/>
      </c>
      <c r="J514" s="5" t="str">
        <f>IFERROR(__xludf.DUMMYFUNCTION("""COMPUTED_VALUE"""),"")</f>
        <v/>
      </c>
      <c r="K514" s="5" t="str">
        <f>IFERROR(__xludf.DUMMYFUNCTION("""COMPUTED_VALUE"""),"")</f>
        <v/>
      </c>
      <c r="L514" s="5" t="str">
        <f>IFERROR(__xludf.DUMMYFUNCTION("""COMPUTED_VALUE"""),"")</f>
        <v/>
      </c>
      <c r="M514" s="5" t="str">
        <f>IFERROR(__xludf.DUMMYFUNCTION("""COMPUTED_VALUE"""),"")</f>
        <v/>
      </c>
      <c r="N514" s="5" t="str">
        <f>IFERROR(__xludf.DUMMYFUNCTION("""COMPUTED_VALUE"""),"")</f>
        <v/>
      </c>
      <c r="O514" s="5" t="str">
        <f>IFERROR(__xludf.DUMMYFUNCTION("""COMPUTED_VALUE"""),"")</f>
        <v/>
      </c>
      <c r="P514" s="5" t="str">
        <f>IFERROR(__xludf.DUMMYFUNCTION("""COMPUTED_VALUE"""),"")</f>
        <v/>
      </c>
      <c r="Q514" s="5" t="str">
        <f>IFERROR(__xludf.DUMMYFUNCTION("""COMPUTED_VALUE"""),"")</f>
        <v/>
      </c>
      <c r="R514" s="5" t="str">
        <f>IFERROR(__xludf.DUMMYFUNCTION("""COMPUTED_VALUE"""),"")</f>
        <v/>
      </c>
      <c r="S514" s="5" t="str">
        <f>IFERROR(__xludf.DUMMYFUNCTION("""COMPUTED_VALUE"""),"")</f>
        <v/>
      </c>
      <c r="T514" s="5" t="str">
        <f>IFERROR(__xludf.DUMMYFUNCTION("""COMPUTED_VALUE"""),"")</f>
        <v/>
      </c>
      <c r="U514" s="5" t="str">
        <f>IFERROR(__xludf.DUMMYFUNCTION("""COMPUTED_VALUE"""),"")</f>
        <v/>
      </c>
      <c r="V514" s="5" t="str">
        <f>IFERROR(__xludf.DUMMYFUNCTION("""COMPUTED_VALUE"""),"")</f>
        <v/>
      </c>
      <c r="W514" s="5" t="str">
        <f>IFERROR(__xludf.DUMMYFUNCTION("""COMPUTED_VALUE"""),"")</f>
        <v/>
      </c>
      <c r="X514" s="5" t="str">
        <f>IFERROR(__xludf.DUMMYFUNCTION("""COMPUTED_VALUE"""),"")</f>
        <v/>
      </c>
      <c r="Y514" s="5"/>
      <c r="Z514" s="5"/>
    </row>
    <row r="515">
      <c r="A515" s="5" t="str">
        <f>IFERROR(__xludf.DUMMYFUNCTION("""COMPUTED_VALUE"""),"81 Respin Fire")</f>
        <v>81 Respin Fire</v>
      </c>
      <c r="B515" s="5" t="str">
        <f>IFERROR(__xludf.DUMMYFUNCTION("""COMPUTED_VALUE"""),"")</f>
        <v/>
      </c>
      <c r="C515" s="5" t="str">
        <f>IFERROR(__xludf.DUMMYFUNCTION("""COMPUTED_VALUE"""),"")</f>
        <v/>
      </c>
      <c r="D515" s="5" t="str">
        <f>IFERROR(__xludf.DUMMYFUNCTION("""COMPUTED_VALUE"""),"")</f>
        <v/>
      </c>
      <c r="E515" s="5" t="str">
        <f>IFERROR(__xludf.DUMMYFUNCTION("""COMPUTED_VALUE"""),"")</f>
        <v/>
      </c>
      <c r="F515" s="5" t="str">
        <f>IFERROR(__xludf.DUMMYFUNCTION("""COMPUTED_VALUE"""),"")</f>
        <v/>
      </c>
      <c r="G515" s="5" t="str">
        <f>IFERROR(__xludf.DUMMYFUNCTION("""COMPUTED_VALUE"""),"")</f>
        <v/>
      </c>
      <c r="H515" s="5" t="str">
        <f>IFERROR(__xludf.DUMMYFUNCTION("""COMPUTED_VALUE"""),"")</f>
        <v/>
      </c>
      <c r="I515" s="5" t="str">
        <f>IFERROR(__xludf.DUMMYFUNCTION("""COMPUTED_VALUE"""),"")</f>
        <v/>
      </c>
      <c r="J515" s="5" t="str">
        <f>IFERROR(__xludf.DUMMYFUNCTION("""COMPUTED_VALUE"""),"")</f>
        <v/>
      </c>
      <c r="K515" s="5" t="str">
        <f>IFERROR(__xludf.DUMMYFUNCTION("""COMPUTED_VALUE"""),"")</f>
        <v/>
      </c>
      <c r="L515" s="5" t="str">
        <f>IFERROR(__xludf.DUMMYFUNCTION("""COMPUTED_VALUE"""),"")</f>
        <v/>
      </c>
      <c r="M515" s="5" t="str">
        <f>IFERROR(__xludf.DUMMYFUNCTION("""COMPUTED_VALUE"""),"")</f>
        <v/>
      </c>
      <c r="N515" s="5" t="str">
        <f>IFERROR(__xludf.DUMMYFUNCTION("""COMPUTED_VALUE"""),"")</f>
        <v/>
      </c>
      <c r="O515" s="5" t="str">
        <f>IFERROR(__xludf.DUMMYFUNCTION("""COMPUTED_VALUE"""),"")</f>
        <v/>
      </c>
      <c r="P515" s="5" t="str">
        <f>IFERROR(__xludf.DUMMYFUNCTION("""COMPUTED_VALUE"""),"")</f>
        <v/>
      </c>
      <c r="Q515" s="5" t="str">
        <f>IFERROR(__xludf.DUMMYFUNCTION("""COMPUTED_VALUE"""),"")</f>
        <v/>
      </c>
      <c r="R515" s="5" t="str">
        <f>IFERROR(__xludf.DUMMYFUNCTION("""COMPUTED_VALUE"""),"")</f>
        <v/>
      </c>
      <c r="S515" s="5" t="str">
        <f>IFERROR(__xludf.DUMMYFUNCTION("""COMPUTED_VALUE"""),"")</f>
        <v/>
      </c>
      <c r="T515" s="5" t="str">
        <f>IFERROR(__xludf.DUMMYFUNCTION("""COMPUTED_VALUE"""),"")</f>
        <v/>
      </c>
      <c r="U515" s="5" t="str">
        <f>IFERROR(__xludf.DUMMYFUNCTION("""COMPUTED_VALUE"""),"")</f>
        <v/>
      </c>
      <c r="V515" s="5" t="str">
        <f>IFERROR(__xludf.DUMMYFUNCTION("""COMPUTED_VALUE"""),"")</f>
        <v/>
      </c>
      <c r="W515" s="5" t="str">
        <f>IFERROR(__xludf.DUMMYFUNCTION("""COMPUTED_VALUE"""),"")</f>
        <v/>
      </c>
      <c r="X515" s="5" t="str">
        <f>IFERROR(__xludf.DUMMYFUNCTION("""COMPUTED_VALUE"""),"")</f>
        <v/>
      </c>
      <c r="Y515" s="5"/>
      <c r="Z515" s="5"/>
    </row>
    <row r="516">
      <c r="A516" s="5" t="str">
        <f>IFERROR(__xludf.DUMMYFUNCTION("""COMPUTED_VALUE"""),"Hang That Witch")</f>
        <v>Hang That Witch</v>
      </c>
      <c r="B516" s="5" t="str">
        <f>IFERROR(__xludf.DUMMYFUNCTION("""COMPUTED_VALUE"""),"")</f>
        <v/>
      </c>
      <c r="C516" s="5" t="str">
        <f>IFERROR(__xludf.DUMMYFUNCTION("""COMPUTED_VALUE"""),"")</f>
        <v/>
      </c>
      <c r="D516" s="5" t="str">
        <f>IFERROR(__xludf.DUMMYFUNCTION("""COMPUTED_VALUE"""),"")</f>
        <v/>
      </c>
      <c r="E516" s="5" t="str">
        <f>IFERROR(__xludf.DUMMYFUNCTION("""COMPUTED_VALUE"""),"")</f>
        <v/>
      </c>
      <c r="F516" s="5" t="str">
        <f>IFERROR(__xludf.DUMMYFUNCTION("""COMPUTED_VALUE"""),"")</f>
        <v/>
      </c>
      <c r="G516" s="5" t="str">
        <f>IFERROR(__xludf.DUMMYFUNCTION("""COMPUTED_VALUE"""),"")</f>
        <v/>
      </c>
      <c r="H516" s="5" t="str">
        <f>IFERROR(__xludf.DUMMYFUNCTION("""COMPUTED_VALUE"""),"")</f>
        <v/>
      </c>
      <c r="I516" s="5" t="str">
        <f>IFERROR(__xludf.DUMMYFUNCTION("""COMPUTED_VALUE"""),"")</f>
        <v/>
      </c>
      <c r="J516" s="5" t="str">
        <f>IFERROR(__xludf.DUMMYFUNCTION("""COMPUTED_VALUE"""),"")</f>
        <v/>
      </c>
      <c r="K516" s="5" t="str">
        <f>IFERROR(__xludf.DUMMYFUNCTION("""COMPUTED_VALUE"""),"")</f>
        <v/>
      </c>
      <c r="L516" s="5" t="str">
        <f>IFERROR(__xludf.DUMMYFUNCTION("""COMPUTED_VALUE"""),"")</f>
        <v/>
      </c>
      <c r="M516" s="5" t="str">
        <f>IFERROR(__xludf.DUMMYFUNCTION("""COMPUTED_VALUE"""),"")</f>
        <v/>
      </c>
      <c r="N516" s="5" t="str">
        <f>IFERROR(__xludf.DUMMYFUNCTION("""COMPUTED_VALUE"""),"")</f>
        <v/>
      </c>
      <c r="O516" s="5" t="str">
        <f>IFERROR(__xludf.DUMMYFUNCTION("""COMPUTED_VALUE"""),"")</f>
        <v/>
      </c>
      <c r="P516" s="5" t="str">
        <f>IFERROR(__xludf.DUMMYFUNCTION("""COMPUTED_VALUE"""),"")</f>
        <v/>
      </c>
      <c r="Q516" s="5" t="str">
        <f>IFERROR(__xludf.DUMMYFUNCTION("""COMPUTED_VALUE"""),"")</f>
        <v/>
      </c>
      <c r="R516" s="5" t="str">
        <f>IFERROR(__xludf.DUMMYFUNCTION("""COMPUTED_VALUE"""),"")</f>
        <v/>
      </c>
      <c r="S516" s="5" t="str">
        <f>IFERROR(__xludf.DUMMYFUNCTION("""COMPUTED_VALUE"""),"")</f>
        <v/>
      </c>
      <c r="T516" s="5" t="str">
        <f>IFERROR(__xludf.DUMMYFUNCTION("""COMPUTED_VALUE"""),"")</f>
        <v/>
      </c>
      <c r="U516" s="5" t="str">
        <f>IFERROR(__xludf.DUMMYFUNCTION("""COMPUTED_VALUE"""),"")</f>
        <v/>
      </c>
      <c r="V516" s="5" t="str">
        <f>IFERROR(__xludf.DUMMYFUNCTION("""COMPUTED_VALUE"""),"")</f>
        <v/>
      </c>
      <c r="W516" s="5" t="str">
        <f>IFERROR(__xludf.DUMMYFUNCTION("""COMPUTED_VALUE"""),"")</f>
        <v/>
      </c>
      <c r="X516" s="5" t="str">
        <f>IFERROR(__xludf.DUMMYFUNCTION("""COMPUTED_VALUE"""),"")</f>
        <v/>
      </c>
      <c r="Y516" s="5"/>
      <c r="Z516" s="5"/>
    </row>
    <row r="517">
      <c r="A517" s="5" t="str">
        <f>IFERROR(__xludf.DUMMYFUNCTION("""COMPUTED_VALUE"""),"Divine Strike")</f>
        <v>Divine Strike</v>
      </c>
      <c r="B517" s="5" t="str">
        <f>IFERROR(__xludf.DUMMYFUNCTION("""COMPUTED_VALUE"""),"")</f>
        <v/>
      </c>
      <c r="C517" s="5" t="str">
        <f>IFERROR(__xludf.DUMMYFUNCTION("""COMPUTED_VALUE"""),"")</f>
        <v/>
      </c>
      <c r="D517" s="5" t="str">
        <f>IFERROR(__xludf.DUMMYFUNCTION("""COMPUTED_VALUE"""),"")</f>
        <v/>
      </c>
      <c r="E517" s="5" t="str">
        <f>IFERROR(__xludf.DUMMYFUNCTION("""COMPUTED_VALUE"""),"")</f>
        <v/>
      </c>
      <c r="F517" s="5" t="str">
        <f>IFERROR(__xludf.DUMMYFUNCTION("""COMPUTED_VALUE"""),"")</f>
        <v/>
      </c>
      <c r="G517" s="5" t="str">
        <f>IFERROR(__xludf.DUMMYFUNCTION("""COMPUTED_VALUE"""),"")</f>
        <v/>
      </c>
      <c r="H517" s="5" t="str">
        <f>IFERROR(__xludf.DUMMYFUNCTION("""COMPUTED_VALUE"""),"")</f>
        <v/>
      </c>
      <c r="I517" s="5" t="str">
        <f>IFERROR(__xludf.DUMMYFUNCTION("""COMPUTED_VALUE"""),"")</f>
        <v/>
      </c>
      <c r="J517" s="5" t="str">
        <f>IFERROR(__xludf.DUMMYFUNCTION("""COMPUTED_VALUE"""),"")</f>
        <v/>
      </c>
      <c r="K517" s="5" t="str">
        <f>IFERROR(__xludf.DUMMYFUNCTION("""COMPUTED_VALUE"""),"")</f>
        <v/>
      </c>
      <c r="L517" s="5" t="str">
        <f>IFERROR(__xludf.DUMMYFUNCTION("""COMPUTED_VALUE"""),"")</f>
        <v/>
      </c>
      <c r="M517" s="5" t="str">
        <f>IFERROR(__xludf.DUMMYFUNCTION("""COMPUTED_VALUE"""),"")</f>
        <v/>
      </c>
      <c r="N517" s="5" t="str">
        <f>IFERROR(__xludf.DUMMYFUNCTION("""COMPUTED_VALUE"""),"")</f>
        <v/>
      </c>
      <c r="O517" s="5" t="str">
        <f>IFERROR(__xludf.DUMMYFUNCTION("""COMPUTED_VALUE"""),"")</f>
        <v/>
      </c>
      <c r="P517" s="5" t="str">
        <f>IFERROR(__xludf.DUMMYFUNCTION("""COMPUTED_VALUE"""),"")</f>
        <v/>
      </c>
      <c r="Q517" s="5" t="str">
        <f>IFERROR(__xludf.DUMMYFUNCTION("""COMPUTED_VALUE"""),"")</f>
        <v/>
      </c>
      <c r="R517" s="5" t="str">
        <f>IFERROR(__xludf.DUMMYFUNCTION("""COMPUTED_VALUE"""),"")</f>
        <v/>
      </c>
      <c r="S517" s="5" t="str">
        <f>IFERROR(__xludf.DUMMYFUNCTION("""COMPUTED_VALUE"""),"")</f>
        <v/>
      </c>
      <c r="T517" s="5" t="str">
        <f>IFERROR(__xludf.DUMMYFUNCTION("""COMPUTED_VALUE"""),"")</f>
        <v/>
      </c>
      <c r="U517" s="5" t="str">
        <f>IFERROR(__xludf.DUMMYFUNCTION("""COMPUTED_VALUE"""),"")</f>
        <v/>
      </c>
      <c r="V517" s="5" t="str">
        <f>IFERROR(__xludf.DUMMYFUNCTION("""COMPUTED_VALUE"""),"")</f>
        <v/>
      </c>
      <c r="W517" s="5" t="str">
        <f>IFERROR(__xludf.DUMMYFUNCTION("""COMPUTED_VALUE"""),"")</f>
        <v/>
      </c>
      <c r="X517" s="5" t="str">
        <f>IFERROR(__xludf.DUMMYFUNCTION("""COMPUTED_VALUE"""),"")</f>
        <v/>
      </c>
      <c r="Y517" s="5"/>
      <c r="Z517" s="5"/>
    </row>
    <row r="518">
      <c r="A518" s="5" t="str">
        <f>IFERROR(__xludf.DUMMYFUNCTION("""COMPUTED_VALUE"""),"Toto Wild Hot 40")</f>
        <v>Toto Wild Hot 40</v>
      </c>
      <c r="B518" s="5" t="str">
        <f>IFERROR(__xludf.DUMMYFUNCTION("""COMPUTED_VALUE"""),"")</f>
        <v/>
      </c>
      <c r="C518" s="5" t="str">
        <f>IFERROR(__xludf.DUMMYFUNCTION("""COMPUTED_VALUE"""),"")</f>
        <v/>
      </c>
      <c r="D518" s="5" t="str">
        <f>IFERROR(__xludf.DUMMYFUNCTION("""COMPUTED_VALUE"""),"")</f>
        <v/>
      </c>
      <c r="E518" s="5" t="str">
        <f>IFERROR(__xludf.DUMMYFUNCTION("""COMPUTED_VALUE"""),"")</f>
        <v/>
      </c>
      <c r="F518" s="5" t="str">
        <f>IFERROR(__xludf.DUMMYFUNCTION("""COMPUTED_VALUE"""),"")</f>
        <v/>
      </c>
      <c r="G518" s="5" t="str">
        <f>IFERROR(__xludf.DUMMYFUNCTION("""COMPUTED_VALUE"""),"")</f>
        <v/>
      </c>
      <c r="H518" s="5" t="str">
        <f>IFERROR(__xludf.DUMMYFUNCTION("""COMPUTED_VALUE"""),"")</f>
        <v/>
      </c>
      <c r="I518" s="5" t="str">
        <f>IFERROR(__xludf.DUMMYFUNCTION("""COMPUTED_VALUE"""),"")</f>
        <v/>
      </c>
      <c r="J518" s="5" t="str">
        <f>IFERROR(__xludf.DUMMYFUNCTION("""COMPUTED_VALUE"""),"")</f>
        <v/>
      </c>
      <c r="K518" s="5" t="str">
        <f>IFERROR(__xludf.DUMMYFUNCTION("""COMPUTED_VALUE"""),"")</f>
        <v/>
      </c>
      <c r="L518" s="5" t="str">
        <f>IFERROR(__xludf.DUMMYFUNCTION("""COMPUTED_VALUE"""),"")</f>
        <v/>
      </c>
      <c r="M518" s="5" t="str">
        <f>IFERROR(__xludf.DUMMYFUNCTION("""COMPUTED_VALUE"""),"")</f>
        <v/>
      </c>
      <c r="N518" s="5" t="str">
        <f>IFERROR(__xludf.DUMMYFUNCTION("""COMPUTED_VALUE"""),"")</f>
        <v/>
      </c>
      <c r="O518" s="5" t="str">
        <f>IFERROR(__xludf.DUMMYFUNCTION("""COMPUTED_VALUE"""),"")</f>
        <v/>
      </c>
      <c r="P518" s="5" t="str">
        <f>IFERROR(__xludf.DUMMYFUNCTION("""COMPUTED_VALUE"""),"")</f>
        <v/>
      </c>
      <c r="Q518" s="5" t="str">
        <f>IFERROR(__xludf.DUMMYFUNCTION("""COMPUTED_VALUE"""),"")</f>
        <v/>
      </c>
      <c r="R518" s="5" t="str">
        <f>IFERROR(__xludf.DUMMYFUNCTION("""COMPUTED_VALUE"""),"")</f>
        <v/>
      </c>
      <c r="S518" s="5" t="str">
        <f>IFERROR(__xludf.DUMMYFUNCTION("""COMPUTED_VALUE"""),"")</f>
        <v/>
      </c>
      <c r="T518" s="5" t="str">
        <f>IFERROR(__xludf.DUMMYFUNCTION("""COMPUTED_VALUE"""),"")</f>
        <v/>
      </c>
      <c r="U518" s="5" t="str">
        <f>IFERROR(__xludf.DUMMYFUNCTION("""COMPUTED_VALUE"""),"")</f>
        <v/>
      </c>
      <c r="V518" s="5" t="str">
        <f>IFERROR(__xludf.DUMMYFUNCTION("""COMPUTED_VALUE"""),"")</f>
        <v/>
      </c>
      <c r="W518" s="5" t="str">
        <f>IFERROR(__xludf.DUMMYFUNCTION("""COMPUTED_VALUE"""),"")</f>
        <v/>
      </c>
      <c r="X518" s="5" t="str">
        <f>IFERROR(__xludf.DUMMYFUNCTION("""COMPUTED_VALUE"""),"")</f>
        <v/>
      </c>
      <c r="Y518" s="5"/>
      <c r="Z518" s="5"/>
    </row>
    <row r="519">
      <c r="A519" s="5" t="str">
        <f>IFERROR(__xludf.DUMMYFUNCTION("""COMPUTED_VALUE"""),"Toto Fruity Win 40")</f>
        <v>Toto Fruity Win 40</v>
      </c>
      <c r="B519" s="5" t="str">
        <f>IFERROR(__xludf.DUMMYFUNCTION("""COMPUTED_VALUE"""),"")</f>
        <v/>
      </c>
      <c r="C519" s="5" t="str">
        <f>IFERROR(__xludf.DUMMYFUNCTION("""COMPUTED_VALUE"""),"")</f>
        <v/>
      </c>
      <c r="D519" s="5" t="str">
        <f>IFERROR(__xludf.DUMMYFUNCTION("""COMPUTED_VALUE"""),"")</f>
        <v/>
      </c>
      <c r="E519" s="5" t="str">
        <f>IFERROR(__xludf.DUMMYFUNCTION("""COMPUTED_VALUE"""),"")</f>
        <v/>
      </c>
      <c r="F519" s="5" t="str">
        <f>IFERROR(__xludf.DUMMYFUNCTION("""COMPUTED_VALUE"""),"")</f>
        <v/>
      </c>
      <c r="G519" s="5" t="str">
        <f>IFERROR(__xludf.DUMMYFUNCTION("""COMPUTED_VALUE"""),"")</f>
        <v/>
      </c>
      <c r="H519" s="5" t="str">
        <f>IFERROR(__xludf.DUMMYFUNCTION("""COMPUTED_VALUE"""),"")</f>
        <v/>
      </c>
      <c r="I519" s="5" t="str">
        <f>IFERROR(__xludf.DUMMYFUNCTION("""COMPUTED_VALUE"""),"")</f>
        <v/>
      </c>
      <c r="J519" s="5" t="str">
        <f>IFERROR(__xludf.DUMMYFUNCTION("""COMPUTED_VALUE"""),"")</f>
        <v/>
      </c>
      <c r="K519" s="5" t="str">
        <f>IFERROR(__xludf.DUMMYFUNCTION("""COMPUTED_VALUE"""),"")</f>
        <v/>
      </c>
      <c r="L519" s="5" t="str">
        <f>IFERROR(__xludf.DUMMYFUNCTION("""COMPUTED_VALUE"""),"")</f>
        <v/>
      </c>
      <c r="M519" s="5" t="str">
        <f>IFERROR(__xludf.DUMMYFUNCTION("""COMPUTED_VALUE"""),"")</f>
        <v/>
      </c>
      <c r="N519" s="5" t="str">
        <f>IFERROR(__xludf.DUMMYFUNCTION("""COMPUTED_VALUE"""),"")</f>
        <v/>
      </c>
      <c r="O519" s="5" t="str">
        <f>IFERROR(__xludf.DUMMYFUNCTION("""COMPUTED_VALUE"""),"")</f>
        <v/>
      </c>
      <c r="P519" s="5" t="str">
        <f>IFERROR(__xludf.DUMMYFUNCTION("""COMPUTED_VALUE"""),"")</f>
        <v/>
      </c>
      <c r="Q519" s="5" t="str">
        <f>IFERROR(__xludf.DUMMYFUNCTION("""COMPUTED_VALUE"""),"")</f>
        <v/>
      </c>
      <c r="R519" s="5" t="str">
        <f>IFERROR(__xludf.DUMMYFUNCTION("""COMPUTED_VALUE"""),"")</f>
        <v/>
      </c>
      <c r="S519" s="5" t="str">
        <f>IFERROR(__xludf.DUMMYFUNCTION("""COMPUTED_VALUE"""),"")</f>
        <v/>
      </c>
      <c r="T519" s="5" t="str">
        <f>IFERROR(__xludf.DUMMYFUNCTION("""COMPUTED_VALUE"""),"")</f>
        <v/>
      </c>
      <c r="U519" s="5" t="str">
        <f>IFERROR(__xludf.DUMMYFUNCTION("""COMPUTED_VALUE"""),"")</f>
        <v/>
      </c>
      <c r="V519" s="5" t="str">
        <f>IFERROR(__xludf.DUMMYFUNCTION("""COMPUTED_VALUE"""),"")</f>
        <v/>
      </c>
      <c r="W519" s="5" t="str">
        <f>IFERROR(__xludf.DUMMYFUNCTION("""COMPUTED_VALUE"""),"")</f>
        <v/>
      </c>
      <c r="X519" s="5" t="str">
        <f>IFERROR(__xludf.DUMMYFUNCTION("""COMPUTED_VALUE"""),"")</f>
        <v/>
      </c>
      <c r="Y519" s="5"/>
      <c r="Z519" s="5"/>
    </row>
    <row r="520">
      <c r="A520" s="5" t="str">
        <f>IFERROR(__xludf.DUMMYFUNCTION("""COMPUTED_VALUE"""),"Bet Andreas Wild")</f>
        <v>Bet Andreas Wild</v>
      </c>
      <c r="B520" s="5" t="str">
        <f>IFERROR(__xludf.DUMMYFUNCTION("""COMPUTED_VALUE"""),"")</f>
        <v/>
      </c>
      <c r="C520" s="5" t="str">
        <f>IFERROR(__xludf.DUMMYFUNCTION("""COMPUTED_VALUE"""),"")</f>
        <v/>
      </c>
      <c r="D520" s="5" t="str">
        <f>IFERROR(__xludf.DUMMYFUNCTION("""COMPUTED_VALUE"""),"")</f>
        <v/>
      </c>
      <c r="E520" s="5" t="str">
        <f>IFERROR(__xludf.DUMMYFUNCTION("""COMPUTED_VALUE"""),"")</f>
        <v/>
      </c>
      <c r="F520" s="5" t="str">
        <f>IFERROR(__xludf.DUMMYFUNCTION("""COMPUTED_VALUE"""),"")</f>
        <v/>
      </c>
      <c r="G520" s="5" t="str">
        <f>IFERROR(__xludf.DUMMYFUNCTION("""COMPUTED_VALUE"""),"")</f>
        <v/>
      </c>
      <c r="H520" s="5" t="str">
        <f>IFERROR(__xludf.DUMMYFUNCTION("""COMPUTED_VALUE"""),"")</f>
        <v/>
      </c>
      <c r="I520" s="5" t="str">
        <f>IFERROR(__xludf.DUMMYFUNCTION("""COMPUTED_VALUE"""),"")</f>
        <v/>
      </c>
      <c r="J520" s="5" t="str">
        <f>IFERROR(__xludf.DUMMYFUNCTION("""COMPUTED_VALUE"""),"")</f>
        <v/>
      </c>
      <c r="K520" s="5" t="str">
        <f>IFERROR(__xludf.DUMMYFUNCTION("""COMPUTED_VALUE"""),"")</f>
        <v/>
      </c>
      <c r="L520" s="5" t="str">
        <f>IFERROR(__xludf.DUMMYFUNCTION("""COMPUTED_VALUE"""),"")</f>
        <v/>
      </c>
      <c r="M520" s="5" t="str">
        <f>IFERROR(__xludf.DUMMYFUNCTION("""COMPUTED_VALUE"""),"")</f>
        <v/>
      </c>
      <c r="N520" s="5" t="str">
        <f>IFERROR(__xludf.DUMMYFUNCTION("""COMPUTED_VALUE"""),"")</f>
        <v/>
      </c>
      <c r="O520" s="5" t="str">
        <f>IFERROR(__xludf.DUMMYFUNCTION("""COMPUTED_VALUE"""),"")</f>
        <v/>
      </c>
      <c r="P520" s="5" t="str">
        <f>IFERROR(__xludf.DUMMYFUNCTION("""COMPUTED_VALUE"""),"")</f>
        <v/>
      </c>
      <c r="Q520" s="5" t="str">
        <f>IFERROR(__xludf.DUMMYFUNCTION("""COMPUTED_VALUE"""),"")</f>
        <v/>
      </c>
      <c r="R520" s="5" t="str">
        <f>IFERROR(__xludf.DUMMYFUNCTION("""COMPUTED_VALUE"""),"")</f>
        <v/>
      </c>
      <c r="S520" s="5" t="str">
        <f>IFERROR(__xludf.DUMMYFUNCTION("""COMPUTED_VALUE"""),"")</f>
        <v/>
      </c>
      <c r="T520" s="5" t="str">
        <f>IFERROR(__xludf.DUMMYFUNCTION("""COMPUTED_VALUE"""),"")</f>
        <v/>
      </c>
      <c r="U520" s="5" t="str">
        <f>IFERROR(__xludf.DUMMYFUNCTION("""COMPUTED_VALUE"""),"")</f>
        <v/>
      </c>
      <c r="V520" s="5" t="str">
        <f>IFERROR(__xludf.DUMMYFUNCTION("""COMPUTED_VALUE"""),"")</f>
        <v/>
      </c>
      <c r="W520" s="5" t="str">
        <f>IFERROR(__xludf.DUMMYFUNCTION("""COMPUTED_VALUE"""),"")</f>
        <v/>
      </c>
      <c r="X520" s="5" t="str">
        <f>IFERROR(__xludf.DUMMYFUNCTION("""COMPUTED_VALUE"""),"")</f>
        <v/>
      </c>
      <c r="Y520" s="5"/>
      <c r="Z520" s="5"/>
    </row>
    <row r="521">
      <c r="A521" s="5" t="str">
        <f>IFERROR(__xludf.DUMMYFUNCTION("""COMPUTED_VALUE"""),"Max Bet Hot 40 Blow")</f>
        <v>Max Bet Hot 40 Blow</v>
      </c>
      <c r="B521" s="5" t="str">
        <f>IFERROR(__xludf.DUMMYFUNCTION("""COMPUTED_VALUE"""),"")</f>
        <v/>
      </c>
      <c r="C521" s="5" t="str">
        <f>IFERROR(__xludf.DUMMYFUNCTION("""COMPUTED_VALUE"""),"")</f>
        <v/>
      </c>
      <c r="D521" s="5" t="str">
        <f>IFERROR(__xludf.DUMMYFUNCTION("""COMPUTED_VALUE"""),"")</f>
        <v/>
      </c>
      <c r="E521" s="5" t="str">
        <f>IFERROR(__xludf.DUMMYFUNCTION("""COMPUTED_VALUE"""),"")</f>
        <v/>
      </c>
      <c r="F521" s="5" t="str">
        <f>IFERROR(__xludf.DUMMYFUNCTION("""COMPUTED_VALUE"""),"")</f>
        <v/>
      </c>
      <c r="G521" s="5" t="str">
        <f>IFERROR(__xludf.DUMMYFUNCTION("""COMPUTED_VALUE"""),"")</f>
        <v/>
      </c>
      <c r="H521" s="5" t="str">
        <f>IFERROR(__xludf.DUMMYFUNCTION("""COMPUTED_VALUE"""),"")</f>
        <v/>
      </c>
      <c r="I521" s="5" t="str">
        <f>IFERROR(__xludf.DUMMYFUNCTION("""COMPUTED_VALUE"""),"")</f>
        <v/>
      </c>
      <c r="J521" s="5" t="str">
        <f>IFERROR(__xludf.DUMMYFUNCTION("""COMPUTED_VALUE"""),"")</f>
        <v/>
      </c>
      <c r="K521" s="5" t="str">
        <f>IFERROR(__xludf.DUMMYFUNCTION("""COMPUTED_VALUE"""),"")</f>
        <v/>
      </c>
      <c r="L521" s="5" t="str">
        <f>IFERROR(__xludf.DUMMYFUNCTION("""COMPUTED_VALUE"""),"")</f>
        <v/>
      </c>
      <c r="M521" s="5" t="str">
        <f>IFERROR(__xludf.DUMMYFUNCTION("""COMPUTED_VALUE"""),"")</f>
        <v/>
      </c>
      <c r="N521" s="5" t="str">
        <f>IFERROR(__xludf.DUMMYFUNCTION("""COMPUTED_VALUE"""),"")</f>
        <v/>
      </c>
      <c r="O521" s="5" t="str">
        <f>IFERROR(__xludf.DUMMYFUNCTION("""COMPUTED_VALUE"""),"")</f>
        <v/>
      </c>
      <c r="P521" s="5" t="str">
        <f>IFERROR(__xludf.DUMMYFUNCTION("""COMPUTED_VALUE"""),"")</f>
        <v/>
      </c>
      <c r="Q521" s="5" t="str">
        <f>IFERROR(__xludf.DUMMYFUNCTION("""COMPUTED_VALUE"""),"")</f>
        <v/>
      </c>
      <c r="R521" s="5" t="str">
        <f>IFERROR(__xludf.DUMMYFUNCTION("""COMPUTED_VALUE"""),"")</f>
        <v/>
      </c>
      <c r="S521" s="5" t="str">
        <f>IFERROR(__xludf.DUMMYFUNCTION("""COMPUTED_VALUE"""),"")</f>
        <v/>
      </c>
      <c r="T521" s="5" t="str">
        <f>IFERROR(__xludf.DUMMYFUNCTION("""COMPUTED_VALUE"""),"")</f>
        <v/>
      </c>
      <c r="U521" s="5" t="str">
        <f>IFERROR(__xludf.DUMMYFUNCTION("""COMPUTED_VALUE"""),"")</f>
        <v/>
      </c>
      <c r="V521" s="5" t="str">
        <f>IFERROR(__xludf.DUMMYFUNCTION("""COMPUTED_VALUE"""),"")</f>
        <v/>
      </c>
      <c r="W521" s="5" t="str">
        <f>IFERROR(__xludf.DUMMYFUNCTION("""COMPUTED_VALUE"""),"")</f>
        <v/>
      </c>
      <c r="X521" s="5" t="str">
        <f>IFERROR(__xludf.DUMMYFUNCTION("""COMPUTED_VALUE"""),"")</f>
        <v/>
      </c>
      <c r="Y521" s="5"/>
      <c r="Z521" s="5"/>
    </row>
    <row r="522">
      <c r="A522" s="5" t="str">
        <f>IFERROR(__xludf.DUMMYFUNCTION("""COMPUTED_VALUE"""),"Max Bet Clover 2")</f>
        <v>Max Bet Clover 2</v>
      </c>
      <c r="B522" s="5" t="str">
        <f>IFERROR(__xludf.DUMMYFUNCTION("""COMPUTED_VALUE"""),"")</f>
        <v/>
      </c>
      <c r="C522" s="5" t="str">
        <f>IFERROR(__xludf.DUMMYFUNCTION("""COMPUTED_VALUE"""),"")</f>
        <v/>
      </c>
      <c r="D522" s="5" t="str">
        <f>IFERROR(__xludf.DUMMYFUNCTION("""COMPUTED_VALUE"""),"")</f>
        <v/>
      </c>
      <c r="E522" s="5" t="str">
        <f>IFERROR(__xludf.DUMMYFUNCTION("""COMPUTED_VALUE"""),"")</f>
        <v/>
      </c>
      <c r="F522" s="5" t="str">
        <f>IFERROR(__xludf.DUMMYFUNCTION("""COMPUTED_VALUE"""),"")</f>
        <v/>
      </c>
      <c r="G522" s="5" t="str">
        <f>IFERROR(__xludf.DUMMYFUNCTION("""COMPUTED_VALUE"""),"")</f>
        <v/>
      </c>
      <c r="H522" s="5" t="str">
        <f>IFERROR(__xludf.DUMMYFUNCTION("""COMPUTED_VALUE"""),"")</f>
        <v/>
      </c>
      <c r="I522" s="5" t="str">
        <f>IFERROR(__xludf.DUMMYFUNCTION("""COMPUTED_VALUE"""),"")</f>
        <v/>
      </c>
      <c r="J522" s="5" t="str">
        <f>IFERROR(__xludf.DUMMYFUNCTION("""COMPUTED_VALUE"""),"")</f>
        <v/>
      </c>
      <c r="K522" s="5" t="str">
        <f>IFERROR(__xludf.DUMMYFUNCTION("""COMPUTED_VALUE"""),"")</f>
        <v/>
      </c>
      <c r="L522" s="5" t="str">
        <f>IFERROR(__xludf.DUMMYFUNCTION("""COMPUTED_VALUE"""),"")</f>
        <v/>
      </c>
      <c r="M522" s="5" t="str">
        <f>IFERROR(__xludf.DUMMYFUNCTION("""COMPUTED_VALUE"""),"")</f>
        <v/>
      </c>
      <c r="N522" s="5" t="str">
        <f>IFERROR(__xludf.DUMMYFUNCTION("""COMPUTED_VALUE"""),"")</f>
        <v/>
      </c>
      <c r="O522" s="5" t="str">
        <f>IFERROR(__xludf.DUMMYFUNCTION("""COMPUTED_VALUE"""),"")</f>
        <v/>
      </c>
      <c r="P522" s="5" t="str">
        <f>IFERROR(__xludf.DUMMYFUNCTION("""COMPUTED_VALUE"""),"")</f>
        <v/>
      </c>
      <c r="Q522" s="5" t="str">
        <f>IFERROR(__xludf.DUMMYFUNCTION("""COMPUTED_VALUE"""),"")</f>
        <v/>
      </c>
      <c r="R522" s="5" t="str">
        <f>IFERROR(__xludf.DUMMYFUNCTION("""COMPUTED_VALUE"""),"")</f>
        <v/>
      </c>
      <c r="S522" s="5" t="str">
        <f>IFERROR(__xludf.DUMMYFUNCTION("""COMPUTED_VALUE"""),"")</f>
        <v/>
      </c>
      <c r="T522" s="5" t="str">
        <f>IFERROR(__xludf.DUMMYFUNCTION("""COMPUTED_VALUE"""),"")</f>
        <v/>
      </c>
      <c r="U522" s="5" t="str">
        <f>IFERROR(__xludf.DUMMYFUNCTION("""COMPUTED_VALUE"""),"")</f>
        <v/>
      </c>
      <c r="V522" s="5" t="str">
        <f>IFERROR(__xludf.DUMMYFUNCTION("""COMPUTED_VALUE"""),"")</f>
        <v/>
      </c>
      <c r="W522" s="5" t="str">
        <f>IFERROR(__xludf.DUMMYFUNCTION("""COMPUTED_VALUE"""),"")</f>
        <v/>
      </c>
      <c r="X522" s="5" t="str">
        <f>IFERROR(__xludf.DUMMYFUNCTION("""COMPUTED_VALUE"""),"")</f>
        <v/>
      </c>
      <c r="Y522" s="5"/>
      <c r="Z522" s="5"/>
    </row>
    <row r="523">
      <c r="A523" s="5" t="str">
        <f>IFERROR(__xludf.DUMMYFUNCTION("""COMPUTED_VALUE"""),"Max Bet Hot 40")</f>
        <v>Max Bet Hot 40</v>
      </c>
      <c r="B523" s="5" t="str">
        <f>IFERROR(__xludf.DUMMYFUNCTION("""COMPUTED_VALUE"""),"")</f>
        <v/>
      </c>
      <c r="C523" s="5" t="str">
        <f>IFERROR(__xludf.DUMMYFUNCTION("""COMPUTED_VALUE"""),"")</f>
        <v/>
      </c>
      <c r="D523" s="5" t="str">
        <f>IFERROR(__xludf.DUMMYFUNCTION("""COMPUTED_VALUE"""),"")</f>
        <v/>
      </c>
      <c r="E523" s="5" t="str">
        <f>IFERROR(__xludf.DUMMYFUNCTION("""COMPUTED_VALUE"""),"")</f>
        <v/>
      </c>
      <c r="F523" s="5" t="str">
        <f>IFERROR(__xludf.DUMMYFUNCTION("""COMPUTED_VALUE"""),"")</f>
        <v/>
      </c>
      <c r="G523" s="5" t="str">
        <f>IFERROR(__xludf.DUMMYFUNCTION("""COMPUTED_VALUE"""),"")</f>
        <v/>
      </c>
      <c r="H523" s="5" t="str">
        <f>IFERROR(__xludf.DUMMYFUNCTION("""COMPUTED_VALUE"""),"")</f>
        <v/>
      </c>
      <c r="I523" s="5" t="str">
        <f>IFERROR(__xludf.DUMMYFUNCTION("""COMPUTED_VALUE"""),"")</f>
        <v/>
      </c>
      <c r="J523" s="5" t="str">
        <f>IFERROR(__xludf.DUMMYFUNCTION("""COMPUTED_VALUE"""),"")</f>
        <v/>
      </c>
      <c r="K523" s="5" t="str">
        <f>IFERROR(__xludf.DUMMYFUNCTION("""COMPUTED_VALUE"""),"")</f>
        <v/>
      </c>
      <c r="L523" s="5" t="str">
        <f>IFERROR(__xludf.DUMMYFUNCTION("""COMPUTED_VALUE"""),"")</f>
        <v/>
      </c>
      <c r="M523" s="5" t="str">
        <f>IFERROR(__xludf.DUMMYFUNCTION("""COMPUTED_VALUE"""),"")</f>
        <v/>
      </c>
      <c r="N523" s="5" t="str">
        <f>IFERROR(__xludf.DUMMYFUNCTION("""COMPUTED_VALUE"""),"")</f>
        <v/>
      </c>
      <c r="O523" s="5" t="str">
        <f>IFERROR(__xludf.DUMMYFUNCTION("""COMPUTED_VALUE"""),"")</f>
        <v/>
      </c>
      <c r="P523" s="5" t="str">
        <f>IFERROR(__xludf.DUMMYFUNCTION("""COMPUTED_VALUE"""),"")</f>
        <v/>
      </c>
      <c r="Q523" s="5" t="str">
        <f>IFERROR(__xludf.DUMMYFUNCTION("""COMPUTED_VALUE"""),"")</f>
        <v/>
      </c>
      <c r="R523" s="5" t="str">
        <f>IFERROR(__xludf.DUMMYFUNCTION("""COMPUTED_VALUE"""),"")</f>
        <v/>
      </c>
      <c r="S523" s="5" t="str">
        <f>IFERROR(__xludf.DUMMYFUNCTION("""COMPUTED_VALUE"""),"")</f>
        <v/>
      </c>
      <c r="T523" s="5" t="str">
        <f>IFERROR(__xludf.DUMMYFUNCTION("""COMPUTED_VALUE"""),"")</f>
        <v/>
      </c>
      <c r="U523" s="5" t="str">
        <f>IFERROR(__xludf.DUMMYFUNCTION("""COMPUTED_VALUE"""),"")</f>
        <v/>
      </c>
      <c r="V523" s="5" t="str">
        <f>IFERROR(__xludf.DUMMYFUNCTION("""COMPUTED_VALUE"""),"")</f>
        <v/>
      </c>
      <c r="W523" s="5" t="str">
        <f>IFERROR(__xludf.DUMMYFUNCTION("""COMPUTED_VALUE"""),"")</f>
        <v/>
      </c>
      <c r="X523" s="5" t="str">
        <f>IFERROR(__xludf.DUMMYFUNCTION("""COMPUTED_VALUE"""),"")</f>
        <v/>
      </c>
      <c r="Y523" s="5"/>
      <c r="Z523" s="5"/>
    </row>
    <row r="524">
      <c r="A524" s="5" t="str">
        <f>IFERROR(__xludf.DUMMYFUNCTION("""COMPUTED_VALUE"""),"Senator Hot 5")</f>
        <v>Senator Hot 5</v>
      </c>
      <c r="B524" s="5" t="str">
        <f>IFERROR(__xludf.DUMMYFUNCTION("""COMPUTED_VALUE"""),"")</f>
        <v/>
      </c>
      <c r="C524" s="5" t="str">
        <f>IFERROR(__xludf.DUMMYFUNCTION("""COMPUTED_VALUE"""),"")</f>
        <v/>
      </c>
      <c r="D524" s="5" t="str">
        <f>IFERROR(__xludf.DUMMYFUNCTION("""COMPUTED_VALUE"""),"")</f>
        <v/>
      </c>
      <c r="E524" s="5" t="str">
        <f>IFERROR(__xludf.DUMMYFUNCTION("""COMPUTED_VALUE"""),"")</f>
        <v/>
      </c>
      <c r="F524" s="5" t="str">
        <f>IFERROR(__xludf.DUMMYFUNCTION("""COMPUTED_VALUE"""),"")</f>
        <v/>
      </c>
      <c r="G524" s="5" t="str">
        <f>IFERROR(__xludf.DUMMYFUNCTION("""COMPUTED_VALUE"""),"")</f>
        <v/>
      </c>
      <c r="H524" s="5" t="str">
        <f>IFERROR(__xludf.DUMMYFUNCTION("""COMPUTED_VALUE"""),"Cert Preparation")</f>
        <v>Cert Preparation</v>
      </c>
      <c r="I524" s="5" t="str">
        <f>IFERROR(__xludf.DUMMYFUNCTION("""COMPUTED_VALUE"""),"")</f>
        <v/>
      </c>
      <c r="J524" s="5" t="str">
        <f>IFERROR(__xludf.DUMMYFUNCTION("""COMPUTED_VALUE"""),"")</f>
        <v/>
      </c>
      <c r="K524" s="5" t="str">
        <f>IFERROR(__xludf.DUMMYFUNCTION("""COMPUTED_VALUE"""),"")</f>
        <v/>
      </c>
      <c r="L524" s="5" t="str">
        <f>IFERROR(__xludf.DUMMYFUNCTION("""COMPUTED_VALUE"""),"")</f>
        <v/>
      </c>
      <c r="M524" s="5" t="str">
        <f>IFERROR(__xludf.DUMMYFUNCTION("""COMPUTED_VALUE"""),"")</f>
        <v/>
      </c>
      <c r="N524" s="5" t="str">
        <f>IFERROR(__xludf.DUMMYFUNCTION("""COMPUTED_VALUE"""),"")</f>
        <v/>
      </c>
      <c r="O524" s="5" t="str">
        <f>IFERROR(__xludf.DUMMYFUNCTION("""COMPUTED_VALUE"""),"")</f>
        <v/>
      </c>
      <c r="P524" s="5" t="str">
        <f>IFERROR(__xludf.DUMMYFUNCTION("""COMPUTED_VALUE"""),"")</f>
        <v/>
      </c>
      <c r="Q524" s="5" t="str">
        <f>IFERROR(__xludf.DUMMYFUNCTION("""COMPUTED_VALUE"""),"")</f>
        <v/>
      </c>
      <c r="R524" s="5" t="str">
        <f>IFERROR(__xludf.DUMMYFUNCTION("""COMPUTED_VALUE"""),"")</f>
        <v/>
      </c>
      <c r="S524" s="5" t="str">
        <f>IFERROR(__xludf.DUMMYFUNCTION("""COMPUTED_VALUE"""),"")</f>
        <v/>
      </c>
      <c r="T524" s="5" t="str">
        <f>IFERROR(__xludf.DUMMYFUNCTION("""COMPUTED_VALUE"""),"")</f>
        <v/>
      </c>
      <c r="U524" s="5" t="str">
        <f>IFERROR(__xludf.DUMMYFUNCTION("""COMPUTED_VALUE"""),"")</f>
        <v/>
      </c>
      <c r="V524" s="5" t="str">
        <f>IFERROR(__xludf.DUMMYFUNCTION("""COMPUTED_VALUE"""),"")</f>
        <v/>
      </c>
      <c r="W524" s="5" t="str">
        <f>IFERROR(__xludf.DUMMYFUNCTION("""COMPUTED_VALUE"""),"")</f>
        <v/>
      </c>
      <c r="X524" s="5" t="str">
        <f>IFERROR(__xludf.DUMMYFUNCTION("""COMPUTED_VALUE"""),"")</f>
        <v/>
      </c>
      <c r="Y524" s="5"/>
      <c r="Z524" s="5"/>
    </row>
    <row r="525">
      <c r="A525" s="5" t="str">
        <f>IFERROR(__xludf.DUMMYFUNCTION("""COMPUTED_VALUE"""),"Most Bet 27")</f>
        <v>Most Bet 27</v>
      </c>
      <c r="B525" s="5" t="str">
        <f>IFERROR(__xludf.DUMMYFUNCTION("""COMPUTED_VALUE"""),"")</f>
        <v/>
      </c>
      <c r="C525" s="5" t="str">
        <f>IFERROR(__xludf.DUMMYFUNCTION("""COMPUTED_VALUE"""),"")</f>
        <v/>
      </c>
      <c r="D525" s="5" t="str">
        <f>IFERROR(__xludf.DUMMYFUNCTION("""COMPUTED_VALUE"""),"")</f>
        <v/>
      </c>
      <c r="E525" s="5" t="str">
        <f>IFERROR(__xludf.DUMMYFUNCTION("""COMPUTED_VALUE"""),"")</f>
        <v/>
      </c>
      <c r="F525" s="5" t="str">
        <f>IFERROR(__xludf.DUMMYFUNCTION("""COMPUTED_VALUE"""),"")</f>
        <v/>
      </c>
      <c r="G525" s="5" t="str">
        <f>IFERROR(__xludf.DUMMYFUNCTION("""COMPUTED_VALUE"""),"")</f>
        <v/>
      </c>
      <c r="H525" s="5" t="str">
        <f>IFERROR(__xludf.DUMMYFUNCTION("""COMPUTED_VALUE"""),"")</f>
        <v/>
      </c>
      <c r="I525" s="5" t="str">
        <f>IFERROR(__xludf.DUMMYFUNCTION("""COMPUTED_VALUE"""),"")</f>
        <v/>
      </c>
      <c r="J525" s="5" t="str">
        <f>IFERROR(__xludf.DUMMYFUNCTION("""COMPUTED_VALUE"""),"")</f>
        <v/>
      </c>
      <c r="K525" s="5" t="str">
        <f>IFERROR(__xludf.DUMMYFUNCTION("""COMPUTED_VALUE"""),"")</f>
        <v/>
      </c>
      <c r="L525" s="5" t="str">
        <f>IFERROR(__xludf.DUMMYFUNCTION("""COMPUTED_VALUE"""),"")</f>
        <v/>
      </c>
      <c r="M525" s="5" t="str">
        <f>IFERROR(__xludf.DUMMYFUNCTION("""COMPUTED_VALUE"""),"")</f>
        <v/>
      </c>
      <c r="N525" s="5" t="str">
        <f>IFERROR(__xludf.DUMMYFUNCTION("""COMPUTED_VALUE"""),"")</f>
        <v/>
      </c>
      <c r="O525" s="5" t="str">
        <f>IFERROR(__xludf.DUMMYFUNCTION("""COMPUTED_VALUE"""),"")</f>
        <v/>
      </c>
      <c r="P525" s="5" t="str">
        <f>IFERROR(__xludf.DUMMYFUNCTION("""COMPUTED_VALUE"""),"")</f>
        <v/>
      </c>
      <c r="Q525" s="5" t="str">
        <f>IFERROR(__xludf.DUMMYFUNCTION("""COMPUTED_VALUE"""),"")</f>
        <v/>
      </c>
      <c r="R525" s="5" t="str">
        <f>IFERROR(__xludf.DUMMYFUNCTION("""COMPUTED_VALUE"""),"")</f>
        <v/>
      </c>
      <c r="S525" s="5" t="str">
        <f>IFERROR(__xludf.DUMMYFUNCTION("""COMPUTED_VALUE"""),"")</f>
        <v/>
      </c>
      <c r="T525" s="5" t="str">
        <f>IFERROR(__xludf.DUMMYFUNCTION("""COMPUTED_VALUE"""),"")</f>
        <v/>
      </c>
      <c r="U525" s="5" t="str">
        <f>IFERROR(__xludf.DUMMYFUNCTION("""COMPUTED_VALUE"""),"")</f>
        <v/>
      </c>
      <c r="V525" s="5" t="str">
        <f>IFERROR(__xludf.DUMMYFUNCTION("""COMPUTED_VALUE"""),"")</f>
        <v/>
      </c>
      <c r="W525" s="5" t="str">
        <f>IFERROR(__xludf.DUMMYFUNCTION("""COMPUTED_VALUE"""),"")</f>
        <v/>
      </c>
      <c r="X525" s="5" t="str">
        <f>IFERROR(__xludf.DUMMYFUNCTION("""COMPUTED_VALUE"""),"")</f>
        <v/>
      </c>
      <c r="Y525" s="5"/>
      <c r="Z525" s="5"/>
    </row>
    <row r="526">
      <c r="A526" s="5" t="str">
        <f>IFERROR(__xludf.DUMMYFUNCTION("""COMPUTED_VALUE"""),"Enchanted Gems")</f>
        <v>Enchanted Gems</v>
      </c>
      <c r="B526" s="5" t="str">
        <f>IFERROR(__xludf.DUMMYFUNCTION("""COMPUTED_VALUE"""),"")</f>
        <v/>
      </c>
      <c r="C526" s="5" t="str">
        <f>IFERROR(__xludf.DUMMYFUNCTION("""COMPUTED_VALUE"""),"")</f>
        <v/>
      </c>
      <c r="D526" s="5" t="str">
        <f>IFERROR(__xludf.DUMMYFUNCTION("""COMPUTED_VALUE"""),"")</f>
        <v/>
      </c>
      <c r="E526" s="5" t="str">
        <f>IFERROR(__xludf.DUMMYFUNCTION("""COMPUTED_VALUE"""),"")</f>
        <v/>
      </c>
      <c r="F526" s="5" t="str">
        <f>IFERROR(__xludf.DUMMYFUNCTION("""COMPUTED_VALUE"""),"")</f>
        <v/>
      </c>
      <c r="G526" s="5" t="str">
        <f>IFERROR(__xludf.DUMMYFUNCTION("""COMPUTED_VALUE"""),"")</f>
        <v/>
      </c>
      <c r="H526" s="5" t="str">
        <f>IFERROR(__xludf.DUMMYFUNCTION("""COMPUTED_VALUE"""),"")</f>
        <v/>
      </c>
      <c r="I526" s="5" t="str">
        <f>IFERROR(__xludf.DUMMYFUNCTION("""COMPUTED_VALUE"""),"")</f>
        <v/>
      </c>
      <c r="J526" s="5" t="str">
        <f>IFERROR(__xludf.DUMMYFUNCTION("""COMPUTED_VALUE"""),"")</f>
        <v/>
      </c>
      <c r="K526" s="5" t="str">
        <f>IFERROR(__xludf.DUMMYFUNCTION("""COMPUTED_VALUE"""),"")</f>
        <v/>
      </c>
      <c r="L526" s="5" t="str">
        <f>IFERROR(__xludf.DUMMYFUNCTION("""COMPUTED_VALUE"""),"")</f>
        <v/>
      </c>
      <c r="M526" s="5" t="str">
        <f>IFERROR(__xludf.DUMMYFUNCTION("""COMPUTED_VALUE"""),"")</f>
        <v/>
      </c>
      <c r="N526" s="5" t="str">
        <f>IFERROR(__xludf.DUMMYFUNCTION("""COMPUTED_VALUE"""),"")</f>
        <v/>
      </c>
      <c r="O526" s="5" t="str">
        <f>IFERROR(__xludf.DUMMYFUNCTION("""COMPUTED_VALUE"""),"")</f>
        <v/>
      </c>
      <c r="P526" s="5" t="str">
        <f>IFERROR(__xludf.DUMMYFUNCTION("""COMPUTED_VALUE"""),"")</f>
        <v/>
      </c>
      <c r="Q526" s="5" t="str">
        <f>IFERROR(__xludf.DUMMYFUNCTION("""COMPUTED_VALUE"""),"")</f>
        <v/>
      </c>
      <c r="R526" s="5" t="str">
        <f>IFERROR(__xludf.DUMMYFUNCTION("""COMPUTED_VALUE"""),"")</f>
        <v/>
      </c>
      <c r="S526" s="5" t="str">
        <f>IFERROR(__xludf.DUMMYFUNCTION("""COMPUTED_VALUE"""),"")</f>
        <v/>
      </c>
      <c r="T526" s="5" t="str">
        <f>IFERROR(__xludf.DUMMYFUNCTION("""COMPUTED_VALUE"""),"")</f>
        <v/>
      </c>
      <c r="U526" s="5" t="str">
        <f>IFERROR(__xludf.DUMMYFUNCTION("""COMPUTED_VALUE"""),"")</f>
        <v/>
      </c>
      <c r="V526" s="5" t="str">
        <f>IFERROR(__xludf.DUMMYFUNCTION("""COMPUTED_VALUE"""),"")</f>
        <v/>
      </c>
      <c r="W526" s="5" t="str">
        <f>IFERROR(__xludf.DUMMYFUNCTION("""COMPUTED_VALUE"""),"")</f>
        <v/>
      </c>
      <c r="X526" s="5" t="str">
        <f>IFERROR(__xludf.DUMMYFUNCTION("""COMPUTED_VALUE"""),"")</f>
        <v/>
      </c>
      <c r="Y526" s="5"/>
      <c r="Z526" s="5"/>
    </row>
    <row r="527">
      <c r="A527" s="5" t="str">
        <f>IFERROR(__xludf.DUMMYFUNCTION("""COMPUTED_VALUE"""),"Supreme Sevens Dice")</f>
        <v>Supreme Sevens Dice</v>
      </c>
      <c r="B527" s="5" t="str">
        <f>IFERROR(__xludf.DUMMYFUNCTION("""COMPUTED_VALUE"""),"")</f>
        <v/>
      </c>
      <c r="C527" s="5" t="str">
        <f>IFERROR(__xludf.DUMMYFUNCTION("""COMPUTED_VALUE"""),"")</f>
        <v/>
      </c>
      <c r="D527" s="5" t="str">
        <f>IFERROR(__xludf.DUMMYFUNCTION("""COMPUTED_VALUE"""),"")</f>
        <v/>
      </c>
      <c r="E527" s="5" t="str">
        <f>IFERROR(__xludf.DUMMYFUNCTION("""COMPUTED_VALUE"""),"")</f>
        <v/>
      </c>
      <c r="F527" s="5" t="str">
        <f>IFERROR(__xludf.DUMMYFUNCTION("""COMPUTED_VALUE"""),"")</f>
        <v/>
      </c>
      <c r="G527" s="5" t="str">
        <f>IFERROR(__xludf.DUMMYFUNCTION("""COMPUTED_VALUE"""),"")</f>
        <v/>
      </c>
      <c r="H527" s="5" t="str">
        <f>IFERROR(__xludf.DUMMYFUNCTION("""COMPUTED_VALUE"""),"")</f>
        <v/>
      </c>
      <c r="I527" s="5" t="str">
        <f>IFERROR(__xludf.DUMMYFUNCTION("""COMPUTED_VALUE"""),"")</f>
        <v/>
      </c>
      <c r="J527" s="5" t="str">
        <f>IFERROR(__xludf.DUMMYFUNCTION("""COMPUTED_VALUE"""),"")</f>
        <v/>
      </c>
      <c r="K527" s="5" t="str">
        <f>IFERROR(__xludf.DUMMYFUNCTION("""COMPUTED_VALUE"""),"")</f>
        <v/>
      </c>
      <c r="L527" s="5" t="str">
        <f>IFERROR(__xludf.DUMMYFUNCTION("""COMPUTED_VALUE"""),"")</f>
        <v/>
      </c>
      <c r="M527" s="5" t="str">
        <f>IFERROR(__xludf.DUMMYFUNCTION("""COMPUTED_VALUE"""),"")</f>
        <v/>
      </c>
      <c r="N527" s="5" t="str">
        <f>IFERROR(__xludf.DUMMYFUNCTION("""COMPUTED_VALUE"""),"")</f>
        <v/>
      </c>
      <c r="O527" s="5" t="str">
        <f>IFERROR(__xludf.DUMMYFUNCTION("""COMPUTED_VALUE"""),"")</f>
        <v/>
      </c>
      <c r="P527" s="5" t="str">
        <f>IFERROR(__xludf.DUMMYFUNCTION("""COMPUTED_VALUE"""),"")</f>
        <v/>
      </c>
      <c r="Q527" s="5" t="str">
        <f>IFERROR(__xludf.DUMMYFUNCTION("""COMPUTED_VALUE"""),"")</f>
        <v/>
      </c>
      <c r="R527" s="5" t="str">
        <f>IFERROR(__xludf.DUMMYFUNCTION("""COMPUTED_VALUE"""),"")</f>
        <v/>
      </c>
      <c r="S527" s="5" t="str">
        <f>IFERROR(__xludf.DUMMYFUNCTION("""COMPUTED_VALUE"""),"")</f>
        <v/>
      </c>
      <c r="T527" s="5" t="str">
        <f>IFERROR(__xludf.DUMMYFUNCTION("""COMPUTED_VALUE"""),"")</f>
        <v/>
      </c>
      <c r="U527" s="5" t="str">
        <f>IFERROR(__xludf.DUMMYFUNCTION("""COMPUTED_VALUE"""),"")</f>
        <v/>
      </c>
      <c r="V527" s="5" t="str">
        <f>IFERROR(__xludf.DUMMYFUNCTION("""COMPUTED_VALUE"""),"")</f>
        <v/>
      </c>
      <c r="W527" s="5" t="str">
        <f>IFERROR(__xludf.DUMMYFUNCTION("""COMPUTED_VALUE"""),"")</f>
        <v/>
      </c>
      <c r="X527" s="5" t="str">
        <f>IFERROR(__xludf.DUMMYFUNCTION("""COMPUTED_VALUE"""),"")</f>
        <v/>
      </c>
      <c r="Y527" s="5"/>
      <c r="Z527" s="5"/>
    </row>
    <row r="528">
      <c r="A528" s="5" t="str">
        <f>IFERROR(__xludf.DUMMYFUNCTION("""COMPUTED_VALUE"""),"Reely Wild Reels")</f>
        <v>Reely Wild Reels</v>
      </c>
      <c r="B528" s="5" t="str">
        <f>IFERROR(__xludf.DUMMYFUNCTION("""COMPUTED_VALUE"""),"")</f>
        <v/>
      </c>
      <c r="C528" s="5" t="str">
        <f>IFERROR(__xludf.DUMMYFUNCTION("""COMPUTED_VALUE"""),"")</f>
        <v/>
      </c>
      <c r="D528" s="5" t="str">
        <f>IFERROR(__xludf.DUMMYFUNCTION("""COMPUTED_VALUE"""),"")</f>
        <v/>
      </c>
      <c r="E528" s="5" t="str">
        <f>IFERROR(__xludf.DUMMYFUNCTION("""COMPUTED_VALUE"""),"")</f>
        <v/>
      </c>
      <c r="F528" s="5" t="str">
        <f>IFERROR(__xludf.DUMMYFUNCTION("""COMPUTED_VALUE"""),"")</f>
        <v/>
      </c>
      <c r="G528" s="5" t="str">
        <f>IFERROR(__xludf.DUMMYFUNCTION("""COMPUTED_VALUE"""),"")</f>
        <v/>
      </c>
      <c r="H528" s="5" t="str">
        <f>IFERROR(__xludf.DUMMYFUNCTION("""COMPUTED_VALUE"""),"")</f>
        <v/>
      </c>
      <c r="I528" s="5" t="str">
        <f>IFERROR(__xludf.DUMMYFUNCTION("""COMPUTED_VALUE"""),"")</f>
        <v/>
      </c>
      <c r="J528" s="5" t="str">
        <f>IFERROR(__xludf.DUMMYFUNCTION("""COMPUTED_VALUE"""),"")</f>
        <v/>
      </c>
      <c r="K528" s="5" t="str">
        <f>IFERROR(__xludf.DUMMYFUNCTION("""COMPUTED_VALUE"""),"")</f>
        <v/>
      </c>
      <c r="L528" s="5" t="str">
        <f>IFERROR(__xludf.DUMMYFUNCTION("""COMPUTED_VALUE"""),"")</f>
        <v/>
      </c>
      <c r="M528" s="5" t="str">
        <f>IFERROR(__xludf.DUMMYFUNCTION("""COMPUTED_VALUE"""),"")</f>
        <v/>
      </c>
      <c r="N528" s="5" t="str">
        <f>IFERROR(__xludf.DUMMYFUNCTION("""COMPUTED_VALUE"""),"")</f>
        <v/>
      </c>
      <c r="O528" s="5" t="str">
        <f>IFERROR(__xludf.DUMMYFUNCTION("""COMPUTED_VALUE"""),"")</f>
        <v/>
      </c>
      <c r="P528" s="5" t="str">
        <f>IFERROR(__xludf.DUMMYFUNCTION("""COMPUTED_VALUE"""),"")</f>
        <v/>
      </c>
      <c r="Q528" s="5" t="str">
        <f>IFERROR(__xludf.DUMMYFUNCTION("""COMPUTED_VALUE"""),"")</f>
        <v/>
      </c>
      <c r="R528" s="5" t="str">
        <f>IFERROR(__xludf.DUMMYFUNCTION("""COMPUTED_VALUE"""),"")</f>
        <v/>
      </c>
      <c r="S528" s="5" t="str">
        <f>IFERROR(__xludf.DUMMYFUNCTION("""COMPUTED_VALUE"""),"")</f>
        <v/>
      </c>
      <c r="T528" s="5" t="str">
        <f>IFERROR(__xludf.DUMMYFUNCTION("""COMPUTED_VALUE"""),"")</f>
        <v/>
      </c>
      <c r="U528" s="5" t="str">
        <f>IFERROR(__xludf.DUMMYFUNCTION("""COMPUTED_VALUE"""),"")</f>
        <v/>
      </c>
      <c r="V528" s="5" t="str">
        <f>IFERROR(__xludf.DUMMYFUNCTION("""COMPUTED_VALUE"""),"")</f>
        <v/>
      </c>
      <c r="W528" s="5" t="str">
        <f>IFERROR(__xludf.DUMMYFUNCTION("""COMPUTED_VALUE"""),"")</f>
        <v/>
      </c>
      <c r="X528" s="5" t="str">
        <f>IFERROR(__xludf.DUMMYFUNCTION("""COMPUTED_VALUE"""),"")</f>
        <v/>
      </c>
      <c r="Y528" s="5"/>
      <c r="Z528" s="5"/>
    </row>
    <row r="529">
      <c r="A529" s="5" t="str">
        <f>IFERROR(__xludf.DUMMYFUNCTION("""COMPUTED_VALUE"""),"Dynamite Escape")</f>
        <v>Dynamite Escape</v>
      </c>
      <c r="B529" s="5" t="str">
        <f>IFERROR(__xludf.DUMMYFUNCTION("""COMPUTED_VALUE"""),"")</f>
        <v/>
      </c>
      <c r="C529" s="5" t="str">
        <f>IFERROR(__xludf.DUMMYFUNCTION("""COMPUTED_VALUE"""),"")</f>
        <v/>
      </c>
      <c r="D529" s="5" t="str">
        <f>IFERROR(__xludf.DUMMYFUNCTION("""COMPUTED_VALUE"""),"")</f>
        <v/>
      </c>
      <c r="E529" s="5" t="str">
        <f>IFERROR(__xludf.DUMMYFUNCTION("""COMPUTED_VALUE"""),"")</f>
        <v/>
      </c>
      <c r="F529" s="5" t="str">
        <f>IFERROR(__xludf.DUMMYFUNCTION("""COMPUTED_VALUE"""),"")</f>
        <v/>
      </c>
      <c r="G529" s="5" t="str">
        <f>IFERROR(__xludf.DUMMYFUNCTION("""COMPUTED_VALUE"""),"")</f>
        <v/>
      </c>
      <c r="H529" s="5" t="str">
        <f>IFERROR(__xludf.DUMMYFUNCTION("""COMPUTED_VALUE"""),"")</f>
        <v/>
      </c>
      <c r="I529" s="5" t="str">
        <f>IFERROR(__xludf.DUMMYFUNCTION("""COMPUTED_VALUE"""),"")</f>
        <v/>
      </c>
      <c r="J529" s="5" t="str">
        <f>IFERROR(__xludf.DUMMYFUNCTION("""COMPUTED_VALUE"""),"")</f>
        <v/>
      </c>
      <c r="K529" s="5" t="str">
        <f>IFERROR(__xludf.DUMMYFUNCTION("""COMPUTED_VALUE"""),"")</f>
        <v/>
      </c>
      <c r="L529" s="5" t="str">
        <f>IFERROR(__xludf.DUMMYFUNCTION("""COMPUTED_VALUE"""),"")</f>
        <v/>
      </c>
      <c r="M529" s="5" t="str">
        <f>IFERROR(__xludf.DUMMYFUNCTION("""COMPUTED_VALUE"""),"")</f>
        <v/>
      </c>
      <c r="N529" s="5" t="str">
        <f>IFERROR(__xludf.DUMMYFUNCTION("""COMPUTED_VALUE"""),"")</f>
        <v/>
      </c>
      <c r="O529" s="5" t="str">
        <f>IFERROR(__xludf.DUMMYFUNCTION("""COMPUTED_VALUE"""),"")</f>
        <v/>
      </c>
      <c r="P529" s="5" t="str">
        <f>IFERROR(__xludf.DUMMYFUNCTION("""COMPUTED_VALUE"""),"")</f>
        <v/>
      </c>
      <c r="Q529" s="5" t="str">
        <f>IFERROR(__xludf.DUMMYFUNCTION("""COMPUTED_VALUE"""),"")</f>
        <v/>
      </c>
      <c r="R529" s="5" t="str">
        <f>IFERROR(__xludf.DUMMYFUNCTION("""COMPUTED_VALUE"""),"")</f>
        <v/>
      </c>
      <c r="S529" s="5" t="str">
        <f>IFERROR(__xludf.DUMMYFUNCTION("""COMPUTED_VALUE"""),"")</f>
        <v/>
      </c>
      <c r="T529" s="5" t="str">
        <f>IFERROR(__xludf.DUMMYFUNCTION("""COMPUTED_VALUE"""),"")</f>
        <v/>
      </c>
      <c r="U529" s="5" t="str">
        <f>IFERROR(__xludf.DUMMYFUNCTION("""COMPUTED_VALUE"""),"")</f>
        <v/>
      </c>
      <c r="V529" s="5" t="str">
        <f>IFERROR(__xludf.DUMMYFUNCTION("""COMPUTED_VALUE"""),"")</f>
        <v/>
      </c>
      <c r="W529" s="5" t="str">
        <f>IFERROR(__xludf.DUMMYFUNCTION("""COMPUTED_VALUE"""),"")</f>
        <v/>
      </c>
      <c r="X529" s="5" t="str">
        <f>IFERROR(__xludf.DUMMYFUNCTION("""COMPUTED_VALUE"""),"")</f>
        <v/>
      </c>
      <c r="Y529" s="5"/>
      <c r="Z529" s="5"/>
    </row>
    <row r="530">
      <c r="A530" s="5" t="str">
        <f>IFERROR(__xludf.DUMMYFUNCTION("""COMPUTED_VALUE"""),"Buffalo Sevens Jackpot")</f>
        <v>Buffalo Sevens Jackpot</v>
      </c>
      <c r="B530" s="5" t="str">
        <f>IFERROR(__xludf.DUMMYFUNCTION("""COMPUTED_VALUE"""),"")</f>
        <v/>
      </c>
      <c r="C530" s="5" t="str">
        <f>IFERROR(__xludf.DUMMYFUNCTION("""COMPUTED_VALUE"""),"")</f>
        <v/>
      </c>
      <c r="D530" s="5" t="str">
        <f>IFERROR(__xludf.DUMMYFUNCTION("""COMPUTED_VALUE"""),"")</f>
        <v/>
      </c>
      <c r="E530" s="5" t="str">
        <f>IFERROR(__xludf.DUMMYFUNCTION("""COMPUTED_VALUE"""),"")</f>
        <v/>
      </c>
      <c r="F530" s="5" t="str">
        <f>IFERROR(__xludf.DUMMYFUNCTION("""COMPUTED_VALUE"""),"")</f>
        <v/>
      </c>
      <c r="G530" s="5" t="str">
        <f>IFERROR(__xludf.DUMMYFUNCTION("""COMPUTED_VALUE"""),"")</f>
        <v/>
      </c>
      <c r="H530" s="5" t="str">
        <f>IFERROR(__xludf.DUMMYFUNCTION("""COMPUTED_VALUE"""),"")</f>
        <v/>
      </c>
      <c r="I530" s="5" t="str">
        <f>IFERROR(__xludf.DUMMYFUNCTION("""COMPUTED_VALUE"""),"")</f>
        <v/>
      </c>
      <c r="J530" s="5" t="str">
        <f>IFERROR(__xludf.DUMMYFUNCTION("""COMPUTED_VALUE"""),"")</f>
        <v/>
      </c>
      <c r="K530" s="5" t="str">
        <f>IFERROR(__xludf.DUMMYFUNCTION("""COMPUTED_VALUE"""),"")</f>
        <v/>
      </c>
      <c r="L530" s="5" t="str">
        <f>IFERROR(__xludf.DUMMYFUNCTION("""COMPUTED_VALUE"""),"")</f>
        <v/>
      </c>
      <c r="M530" s="5" t="str">
        <f>IFERROR(__xludf.DUMMYFUNCTION("""COMPUTED_VALUE"""),"")</f>
        <v/>
      </c>
      <c r="N530" s="5" t="str">
        <f>IFERROR(__xludf.DUMMYFUNCTION("""COMPUTED_VALUE"""),"")</f>
        <v/>
      </c>
      <c r="O530" s="5" t="str">
        <f>IFERROR(__xludf.DUMMYFUNCTION("""COMPUTED_VALUE"""),"")</f>
        <v/>
      </c>
      <c r="P530" s="5" t="str">
        <f>IFERROR(__xludf.DUMMYFUNCTION("""COMPUTED_VALUE"""),"")</f>
        <v/>
      </c>
      <c r="Q530" s="5" t="str">
        <f>IFERROR(__xludf.DUMMYFUNCTION("""COMPUTED_VALUE"""),"")</f>
        <v/>
      </c>
      <c r="R530" s="5" t="str">
        <f>IFERROR(__xludf.DUMMYFUNCTION("""COMPUTED_VALUE"""),"")</f>
        <v/>
      </c>
      <c r="S530" s="5" t="str">
        <f>IFERROR(__xludf.DUMMYFUNCTION("""COMPUTED_VALUE"""),"")</f>
        <v/>
      </c>
      <c r="T530" s="5" t="str">
        <f>IFERROR(__xludf.DUMMYFUNCTION("""COMPUTED_VALUE"""),"")</f>
        <v/>
      </c>
      <c r="U530" s="5" t="str">
        <f>IFERROR(__xludf.DUMMYFUNCTION("""COMPUTED_VALUE"""),"")</f>
        <v/>
      </c>
      <c r="V530" s="5" t="str">
        <f>IFERROR(__xludf.DUMMYFUNCTION("""COMPUTED_VALUE"""),"")</f>
        <v/>
      </c>
      <c r="W530" s="5" t="str">
        <f>IFERROR(__xludf.DUMMYFUNCTION("""COMPUTED_VALUE"""),"")</f>
        <v/>
      </c>
      <c r="X530" s="5" t="str">
        <f>IFERROR(__xludf.DUMMYFUNCTION("""COMPUTED_VALUE"""),"")</f>
        <v/>
      </c>
      <c r="Y530" s="5"/>
      <c r="Z530" s="5"/>
    </row>
    <row r="531">
      <c r="A531" s="5" t="str">
        <f>IFERROR(__xludf.DUMMYFUNCTION("""COMPUTED_VALUE"""),"Scatter Kaching")</f>
        <v>Scatter Kaching</v>
      </c>
      <c r="B531" s="5" t="str">
        <f>IFERROR(__xludf.DUMMYFUNCTION("""COMPUTED_VALUE"""),"")</f>
        <v/>
      </c>
      <c r="C531" s="5" t="str">
        <f>IFERROR(__xludf.DUMMYFUNCTION("""COMPUTED_VALUE"""),"")</f>
        <v/>
      </c>
      <c r="D531" s="5" t="str">
        <f>IFERROR(__xludf.DUMMYFUNCTION("""COMPUTED_VALUE"""),"")</f>
        <v/>
      </c>
      <c r="E531" s="5" t="str">
        <f>IFERROR(__xludf.DUMMYFUNCTION("""COMPUTED_VALUE"""),"")</f>
        <v/>
      </c>
      <c r="F531" s="5" t="str">
        <f>IFERROR(__xludf.DUMMYFUNCTION("""COMPUTED_VALUE"""),"")</f>
        <v/>
      </c>
      <c r="G531" s="5" t="str">
        <f>IFERROR(__xludf.DUMMYFUNCTION("""COMPUTED_VALUE"""),"")</f>
        <v/>
      </c>
      <c r="H531" s="5" t="str">
        <f>IFERROR(__xludf.DUMMYFUNCTION("""COMPUTED_VALUE"""),"")</f>
        <v/>
      </c>
      <c r="I531" s="5" t="str">
        <f>IFERROR(__xludf.DUMMYFUNCTION("""COMPUTED_VALUE"""),"")</f>
        <v/>
      </c>
      <c r="J531" s="5" t="str">
        <f>IFERROR(__xludf.DUMMYFUNCTION("""COMPUTED_VALUE"""),"")</f>
        <v/>
      </c>
      <c r="K531" s="5" t="str">
        <f>IFERROR(__xludf.DUMMYFUNCTION("""COMPUTED_VALUE"""),"")</f>
        <v/>
      </c>
      <c r="L531" s="5" t="str">
        <f>IFERROR(__xludf.DUMMYFUNCTION("""COMPUTED_VALUE"""),"")</f>
        <v/>
      </c>
      <c r="M531" s="5" t="str">
        <f>IFERROR(__xludf.DUMMYFUNCTION("""COMPUTED_VALUE"""),"")</f>
        <v/>
      </c>
      <c r="N531" s="5" t="str">
        <f>IFERROR(__xludf.DUMMYFUNCTION("""COMPUTED_VALUE"""),"")</f>
        <v/>
      </c>
      <c r="O531" s="5" t="str">
        <f>IFERROR(__xludf.DUMMYFUNCTION("""COMPUTED_VALUE"""),"")</f>
        <v/>
      </c>
      <c r="P531" s="5" t="str">
        <f>IFERROR(__xludf.DUMMYFUNCTION("""COMPUTED_VALUE"""),"")</f>
        <v/>
      </c>
      <c r="Q531" s="5" t="str">
        <f>IFERROR(__xludf.DUMMYFUNCTION("""COMPUTED_VALUE"""),"")</f>
        <v/>
      </c>
      <c r="R531" s="5" t="str">
        <f>IFERROR(__xludf.DUMMYFUNCTION("""COMPUTED_VALUE"""),"")</f>
        <v/>
      </c>
      <c r="S531" s="5" t="str">
        <f>IFERROR(__xludf.DUMMYFUNCTION("""COMPUTED_VALUE"""),"")</f>
        <v/>
      </c>
      <c r="T531" s="5" t="str">
        <f>IFERROR(__xludf.DUMMYFUNCTION("""COMPUTED_VALUE"""),"")</f>
        <v/>
      </c>
      <c r="U531" s="5" t="str">
        <f>IFERROR(__xludf.DUMMYFUNCTION("""COMPUTED_VALUE"""),"")</f>
        <v/>
      </c>
      <c r="V531" s="5" t="str">
        <f>IFERROR(__xludf.DUMMYFUNCTION("""COMPUTED_VALUE"""),"")</f>
        <v/>
      </c>
      <c r="W531" s="5" t="str">
        <f>IFERROR(__xludf.DUMMYFUNCTION("""COMPUTED_VALUE"""),"")</f>
        <v/>
      </c>
      <c r="X531" s="5" t="str">
        <f>IFERROR(__xludf.DUMMYFUNCTION("""COMPUTED_VALUE"""),"")</f>
        <v/>
      </c>
      <c r="Y531" s="5"/>
      <c r="Z531" s="5"/>
    </row>
    <row r="532">
      <c r="A532" s="5" t="str">
        <f>IFERROR(__xludf.DUMMYFUNCTION("""COMPUTED_VALUE"""),"Fruit Play")</f>
        <v>Fruit Play</v>
      </c>
      <c r="B532" s="5" t="str">
        <f>IFERROR(__xludf.DUMMYFUNCTION("""COMPUTED_VALUE"""),"")</f>
        <v/>
      </c>
      <c r="C532" s="5" t="str">
        <f>IFERROR(__xludf.DUMMYFUNCTION("""COMPUTED_VALUE"""),"")</f>
        <v/>
      </c>
      <c r="D532" s="5" t="str">
        <f>IFERROR(__xludf.DUMMYFUNCTION("""COMPUTED_VALUE"""),"")</f>
        <v/>
      </c>
      <c r="E532" s="5" t="str">
        <f>IFERROR(__xludf.DUMMYFUNCTION("""COMPUTED_VALUE"""),"")</f>
        <v/>
      </c>
      <c r="F532" s="5" t="str">
        <f>IFERROR(__xludf.DUMMYFUNCTION("""COMPUTED_VALUE"""),"")</f>
        <v/>
      </c>
      <c r="G532" s="5" t="str">
        <f>IFERROR(__xludf.DUMMYFUNCTION("""COMPUTED_VALUE"""),"")</f>
        <v/>
      </c>
      <c r="H532" s="5" t="str">
        <f>IFERROR(__xludf.DUMMYFUNCTION("""COMPUTED_VALUE"""),"")</f>
        <v/>
      </c>
      <c r="I532" s="5" t="str">
        <f>IFERROR(__xludf.DUMMYFUNCTION("""COMPUTED_VALUE"""),"")</f>
        <v/>
      </c>
      <c r="J532" s="5" t="str">
        <f>IFERROR(__xludf.DUMMYFUNCTION("""COMPUTED_VALUE"""),"")</f>
        <v/>
      </c>
      <c r="K532" s="5" t="str">
        <f>IFERROR(__xludf.DUMMYFUNCTION("""COMPUTED_VALUE"""),"")</f>
        <v/>
      </c>
      <c r="L532" s="5" t="str">
        <f>IFERROR(__xludf.DUMMYFUNCTION("""COMPUTED_VALUE"""),"")</f>
        <v/>
      </c>
      <c r="M532" s="5" t="str">
        <f>IFERROR(__xludf.DUMMYFUNCTION("""COMPUTED_VALUE"""),"")</f>
        <v/>
      </c>
      <c r="N532" s="5" t="str">
        <f>IFERROR(__xludf.DUMMYFUNCTION("""COMPUTED_VALUE"""),"")</f>
        <v/>
      </c>
      <c r="O532" s="5" t="str">
        <f>IFERROR(__xludf.DUMMYFUNCTION("""COMPUTED_VALUE"""),"")</f>
        <v/>
      </c>
      <c r="P532" s="5" t="str">
        <f>IFERROR(__xludf.DUMMYFUNCTION("""COMPUTED_VALUE"""),"")</f>
        <v/>
      </c>
      <c r="Q532" s="5" t="str">
        <f>IFERROR(__xludf.DUMMYFUNCTION("""COMPUTED_VALUE"""),"")</f>
        <v/>
      </c>
      <c r="R532" s="5" t="str">
        <f>IFERROR(__xludf.DUMMYFUNCTION("""COMPUTED_VALUE"""),"")</f>
        <v/>
      </c>
      <c r="S532" s="5" t="str">
        <f>IFERROR(__xludf.DUMMYFUNCTION("""COMPUTED_VALUE"""),"")</f>
        <v/>
      </c>
      <c r="T532" s="5" t="str">
        <f>IFERROR(__xludf.DUMMYFUNCTION("""COMPUTED_VALUE"""),"")</f>
        <v/>
      </c>
      <c r="U532" s="5" t="str">
        <f>IFERROR(__xludf.DUMMYFUNCTION("""COMPUTED_VALUE"""),"")</f>
        <v/>
      </c>
      <c r="V532" s="5" t="str">
        <f>IFERROR(__xludf.DUMMYFUNCTION("""COMPUTED_VALUE"""),"")</f>
        <v/>
      </c>
      <c r="W532" s="5" t="str">
        <f>IFERROR(__xludf.DUMMYFUNCTION("""COMPUTED_VALUE"""),"")</f>
        <v/>
      </c>
      <c r="X532" s="5" t="str">
        <f>IFERROR(__xludf.DUMMYFUNCTION("""COMPUTED_VALUE"""),"")</f>
        <v/>
      </c>
      <c r="Y532" s="5"/>
      <c r="Z532" s="5"/>
    </row>
    <row r="533">
      <c r="A533" s="5" t="str">
        <f>IFERROR(__xludf.DUMMYFUNCTION("""COMPUTED_VALUE"""),"Fruit Island Jackpot")</f>
        <v>Fruit Island Jackpot</v>
      </c>
      <c r="B533" s="5" t="str">
        <f>IFERROR(__xludf.DUMMYFUNCTION("""COMPUTED_VALUE"""),"")</f>
        <v/>
      </c>
      <c r="C533" s="5" t="str">
        <f>IFERROR(__xludf.DUMMYFUNCTION("""COMPUTED_VALUE"""),"")</f>
        <v/>
      </c>
      <c r="D533" s="5" t="str">
        <f>IFERROR(__xludf.DUMMYFUNCTION("""COMPUTED_VALUE"""),"")</f>
        <v/>
      </c>
      <c r="E533" s="5" t="str">
        <f>IFERROR(__xludf.DUMMYFUNCTION("""COMPUTED_VALUE"""),"")</f>
        <v/>
      </c>
      <c r="F533" s="5" t="str">
        <f>IFERROR(__xludf.DUMMYFUNCTION("""COMPUTED_VALUE"""),"")</f>
        <v/>
      </c>
      <c r="G533" s="5" t="str">
        <f>IFERROR(__xludf.DUMMYFUNCTION("""COMPUTED_VALUE"""),"")</f>
        <v/>
      </c>
      <c r="H533" s="5" t="str">
        <f>IFERROR(__xludf.DUMMYFUNCTION("""COMPUTED_VALUE"""),"")</f>
        <v/>
      </c>
      <c r="I533" s="5" t="str">
        <f>IFERROR(__xludf.DUMMYFUNCTION("""COMPUTED_VALUE"""),"")</f>
        <v/>
      </c>
      <c r="J533" s="5" t="str">
        <f>IFERROR(__xludf.DUMMYFUNCTION("""COMPUTED_VALUE"""),"")</f>
        <v/>
      </c>
      <c r="K533" s="5" t="str">
        <f>IFERROR(__xludf.DUMMYFUNCTION("""COMPUTED_VALUE"""),"")</f>
        <v/>
      </c>
      <c r="L533" s="5" t="str">
        <f>IFERROR(__xludf.DUMMYFUNCTION("""COMPUTED_VALUE"""),"")</f>
        <v/>
      </c>
      <c r="M533" s="5" t="str">
        <f>IFERROR(__xludf.DUMMYFUNCTION("""COMPUTED_VALUE"""),"")</f>
        <v/>
      </c>
      <c r="N533" s="5" t="str">
        <f>IFERROR(__xludf.DUMMYFUNCTION("""COMPUTED_VALUE"""),"")</f>
        <v/>
      </c>
      <c r="O533" s="5" t="str">
        <f>IFERROR(__xludf.DUMMYFUNCTION("""COMPUTED_VALUE"""),"")</f>
        <v/>
      </c>
      <c r="P533" s="5" t="str">
        <f>IFERROR(__xludf.DUMMYFUNCTION("""COMPUTED_VALUE"""),"")</f>
        <v/>
      </c>
      <c r="Q533" s="5" t="str">
        <f>IFERROR(__xludf.DUMMYFUNCTION("""COMPUTED_VALUE"""),"")</f>
        <v/>
      </c>
      <c r="R533" s="5" t="str">
        <f>IFERROR(__xludf.DUMMYFUNCTION("""COMPUTED_VALUE"""),"")</f>
        <v/>
      </c>
      <c r="S533" s="5" t="str">
        <f>IFERROR(__xludf.DUMMYFUNCTION("""COMPUTED_VALUE"""),"")</f>
        <v/>
      </c>
      <c r="T533" s="5" t="str">
        <f>IFERROR(__xludf.DUMMYFUNCTION("""COMPUTED_VALUE"""),"")</f>
        <v/>
      </c>
      <c r="U533" s="5" t="str">
        <f>IFERROR(__xludf.DUMMYFUNCTION("""COMPUTED_VALUE"""),"")</f>
        <v/>
      </c>
      <c r="V533" s="5" t="str">
        <f>IFERROR(__xludf.DUMMYFUNCTION("""COMPUTED_VALUE"""),"")</f>
        <v/>
      </c>
      <c r="W533" s="5" t="str">
        <f>IFERROR(__xludf.DUMMYFUNCTION("""COMPUTED_VALUE"""),"")</f>
        <v/>
      </c>
      <c r="X533" s="5" t="str">
        <f>IFERROR(__xludf.DUMMYFUNCTION("""COMPUTED_VALUE"""),"")</f>
        <v/>
      </c>
      <c r="Y533" s="5"/>
      <c r="Z533" s="5"/>
    </row>
    <row r="534">
      <c r="A534" s="5" t="str">
        <f>IFERROR(__xludf.DUMMYFUNCTION("""COMPUTED_VALUE"""),"Collect Call")</f>
        <v>Collect Call</v>
      </c>
      <c r="B534" s="5" t="str">
        <f>IFERROR(__xludf.DUMMYFUNCTION("""COMPUTED_VALUE"""),"")</f>
        <v/>
      </c>
      <c r="C534" s="5" t="str">
        <f>IFERROR(__xludf.DUMMYFUNCTION("""COMPUTED_VALUE"""),"")</f>
        <v/>
      </c>
      <c r="D534" s="5" t="str">
        <f>IFERROR(__xludf.DUMMYFUNCTION("""COMPUTED_VALUE"""),"")</f>
        <v/>
      </c>
      <c r="E534" s="5" t="str">
        <f>IFERROR(__xludf.DUMMYFUNCTION("""COMPUTED_VALUE"""),"")</f>
        <v/>
      </c>
      <c r="F534" s="5" t="str">
        <f>IFERROR(__xludf.DUMMYFUNCTION("""COMPUTED_VALUE"""),"")</f>
        <v/>
      </c>
      <c r="G534" s="5" t="str">
        <f>IFERROR(__xludf.DUMMYFUNCTION("""COMPUTED_VALUE"""),"")</f>
        <v/>
      </c>
      <c r="H534" s="5" t="str">
        <f>IFERROR(__xludf.DUMMYFUNCTION("""COMPUTED_VALUE"""),"")</f>
        <v/>
      </c>
      <c r="I534" s="5" t="str">
        <f>IFERROR(__xludf.DUMMYFUNCTION("""COMPUTED_VALUE"""),"")</f>
        <v/>
      </c>
      <c r="J534" s="5" t="str">
        <f>IFERROR(__xludf.DUMMYFUNCTION("""COMPUTED_VALUE"""),"")</f>
        <v/>
      </c>
      <c r="K534" s="5" t="str">
        <f>IFERROR(__xludf.DUMMYFUNCTION("""COMPUTED_VALUE"""),"")</f>
        <v/>
      </c>
      <c r="L534" s="5" t="str">
        <f>IFERROR(__xludf.DUMMYFUNCTION("""COMPUTED_VALUE"""),"")</f>
        <v/>
      </c>
      <c r="M534" s="5" t="str">
        <f>IFERROR(__xludf.DUMMYFUNCTION("""COMPUTED_VALUE"""),"")</f>
        <v/>
      </c>
      <c r="N534" s="5" t="str">
        <f>IFERROR(__xludf.DUMMYFUNCTION("""COMPUTED_VALUE"""),"")</f>
        <v/>
      </c>
      <c r="O534" s="5" t="str">
        <f>IFERROR(__xludf.DUMMYFUNCTION("""COMPUTED_VALUE"""),"")</f>
        <v/>
      </c>
      <c r="P534" s="5" t="str">
        <f>IFERROR(__xludf.DUMMYFUNCTION("""COMPUTED_VALUE"""),"")</f>
        <v/>
      </c>
      <c r="Q534" s="5" t="str">
        <f>IFERROR(__xludf.DUMMYFUNCTION("""COMPUTED_VALUE"""),"")</f>
        <v/>
      </c>
      <c r="R534" s="5" t="str">
        <f>IFERROR(__xludf.DUMMYFUNCTION("""COMPUTED_VALUE"""),"")</f>
        <v/>
      </c>
      <c r="S534" s="5" t="str">
        <f>IFERROR(__xludf.DUMMYFUNCTION("""COMPUTED_VALUE"""),"")</f>
        <v/>
      </c>
      <c r="T534" s="5" t="str">
        <f>IFERROR(__xludf.DUMMYFUNCTION("""COMPUTED_VALUE"""),"")</f>
        <v/>
      </c>
      <c r="U534" s="5" t="str">
        <f>IFERROR(__xludf.DUMMYFUNCTION("""COMPUTED_VALUE"""),"")</f>
        <v/>
      </c>
      <c r="V534" s="5" t="str">
        <f>IFERROR(__xludf.DUMMYFUNCTION("""COMPUTED_VALUE"""),"")</f>
        <v/>
      </c>
      <c r="W534" s="5" t="str">
        <f>IFERROR(__xludf.DUMMYFUNCTION("""COMPUTED_VALUE"""),"")</f>
        <v/>
      </c>
      <c r="X534" s="5" t="str">
        <f>IFERROR(__xludf.DUMMYFUNCTION("""COMPUTED_VALUE"""),"")</f>
        <v/>
      </c>
      <c r="Y534" s="5"/>
      <c r="Z534" s="5"/>
    </row>
    <row r="535">
      <c r="A535" s="5" t="str">
        <f>IFERROR(__xludf.DUMMYFUNCTION("""COMPUTED_VALUE"""),"Coyote Sevens Halloween")</f>
        <v>Coyote Sevens Halloween</v>
      </c>
      <c r="B535" s="5" t="str">
        <f>IFERROR(__xludf.DUMMYFUNCTION("""COMPUTED_VALUE"""),"")</f>
        <v/>
      </c>
      <c r="C535" s="5" t="str">
        <f>IFERROR(__xludf.DUMMYFUNCTION("""COMPUTED_VALUE"""),"")</f>
        <v/>
      </c>
      <c r="D535" s="5" t="str">
        <f>IFERROR(__xludf.DUMMYFUNCTION("""COMPUTED_VALUE"""),"")</f>
        <v/>
      </c>
      <c r="E535" s="5" t="str">
        <f>IFERROR(__xludf.DUMMYFUNCTION("""COMPUTED_VALUE"""),"")</f>
        <v/>
      </c>
      <c r="F535" s="5" t="str">
        <f>IFERROR(__xludf.DUMMYFUNCTION("""COMPUTED_VALUE"""),"")</f>
        <v/>
      </c>
      <c r="G535" s="5" t="str">
        <f>IFERROR(__xludf.DUMMYFUNCTION("""COMPUTED_VALUE"""),"")</f>
        <v/>
      </c>
      <c r="H535" s="5" t="str">
        <f>IFERROR(__xludf.DUMMYFUNCTION("""COMPUTED_VALUE"""),"")</f>
        <v/>
      </c>
      <c r="I535" s="5" t="str">
        <f>IFERROR(__xludf.DUMMYFUNCTION("""COMPUTED_VALUE"""),"")</f>
        <v/>
      </c>
      <c r="J535" s="5" t="str">
        <f>IFERROR(__xludf.DUMMYFUNCTION("""COMPUTED_VALUE"""),"")</f>
        <v/>
      </c>
      <c r="K535" s="5" t="str">
        <f>IFERROR(__xludf.DUMMYFUNCTION("""COMPUTED_VALUE"""),"")</f>
        <v/>
      </c>
      <c r="L535" s="5" t="str">
        <f>IFERROR(__xludf.DUMMYFUNCTION("""COMPUTED_VALUE"""),"")</f>
        <v/>
      </c>
      <c r="M535" s="5" t="str">
        <f>IFERROR(__xludf.DUMMYFUNCTION("""COMPUTED_VALUE"""),"")</f>
        <v/>
      </c>
      <c r="N535" s="5" t="str">
        <f>IFERROR(__xludf.DUMMYFUNCTION("""COMPUTED_VALUE"""),"")</f>
        <v/>
      </c>
      <c r="O535" s="5" t="str">
        <f>IFERROR(__xludf.DUMMYFUNCTION("""COMPUTED_VALUE"""),"")</f>
        <v/>
      </c>
      <c r="P535" s="5" t="str">
        <f>IFERROR(__xludf.DUMMYFUNCTION("""COMPUTED_VALUE"""),"")</f>
        <v/>
      </c>
      <c r="Q535" s="5" t="str">
        <f>IFERROR(__xludf.DUMMYFUNCTION("""COMPUTED_VALUE"""),"")</f>
        <v/>
      </c>
      <c r="R535" s="5" t="str">
        <f>IFERROR(__xludf.DUMMYFUNCTION("""COMPUTED_VALUE"""),"")</f>
        <v/>
      </c>
      <c r="S535" s="5" t="str">
        <f>IFERROR(__xludf.DUMMYFUNCTION("""COMPUTED_VALUE"""),"")</f>
        <v/>
      </c>
      <c r="T535" s="5" t="str">
        <f>IFERROR(__xludf.DUMMYFUNCTION("""COMPUTED_VALUE"""),"")</f>
        <v/>
      </c>
      <c r="U535" s="5" t="str">
        <f>IFERROR(__xludf.DUMMYFUNCTION("""COMPUTED_VALUE"""),"")</f>
        <v/>
      </c>
      <c r="V535" s="5" t="str">
        <f>IFERROR(__xludf.DUMMYFUNCTION("""COMPUTED_VALUE"""),"")</f>
        <v/>
      </c>
      <c r="W535" s="5" t="str">
        <f>IFERROR(__xludf.DUMMYFUNCTION("""COMPUTED_VALUE"""),"")</f>
        <v/>
      </c>
      <c r="X535" s="5" t="str">
        <f>IFERROR(__xludf.DUMMYFUNCTION("""COMPUTED_VALUE"""),"")</f>
        <v/>
      </c>
      <c r="Y535" s="5"/>
      <c r="Z535" s="5"/>
    </row>
    <row r="536">
      <c r="A536" s="5" t="str">
        <f>IFERROR(__xludf.DUMMYFUNCTION("""COMPUTED_VALUE"""),"Lava Gems")</f>
        <v>Lava Gems</v>
      </c>
      <c r="B536" s="5" t="str">
        <f>IFERROR(__xludf.DUMMYFUNCTION("""COMPUTED_VALUE"""),"")</f>
        <v/>
      </c>
      <c r="C536" s="5" t="str">
        <f>IFERROR(__xludf.DUMMYFUNCTION("""COMPUTED_VALUE"""),"")</f>
        <v/>
      </c>
      <c r="D536" s="5" t="str">
        <f>IFERROR(__xludf.DUMMYFUNCTION("""COMPUTED_VALUE"""),"")</f>
        <v/>
      </c>
      <c r="E536" s="5" t="str">
        <f>IFERROR(__xludf.DUMMYFUNCTION("""COMPUTED_VALUE"""),"")</f>
        <v/>
      </c>
      <c r="F536" s="5" t="str">
        <f>IFERROR(__xludf.DUMMYFUNCTION("""COMPUTED_VALUE"""),"")</f>
        <v/>
      </c>
      <c r="G536" s="5" t="str">
        <f>IFERROR(__xludf.DUMMYFUNCTION("""COMPUTED_VALUE"""),"")</f>
        <v/>
      </c>
      <c r="H536" s="5" t="str">
        <f>IFERROR(__xludf.DUMMYFUNCTION("""COMPUTED_VALUE"""),"")</f>
        <v/>
      </c>
      <c r="I536" s="5" t="str">
        <f>IFERROR(__xludf.DUMMYFUNCTION("""COMPUTED_VALUE"""),"")</f>
        <v/>
      </c>
      <c r="J536" s="5" t="str">
        <f>IFERROR(__xludf.DUMMYFUNCTION("""COMPUTED_VALUE"""),"")</f>
        <v/>
      </c>
      <c r="K536" s="5" t="str">
        <f>IFERROR(__xludf.DUMMYFUNCTION("""COMPUTED_VALUE"""),"")</f>
        <v/>
      </c>
      <c r="L536" s="5" t="str">
        <f>IFERROR(__xludf.DUMMYFUNCTION("""COMPUTED_VALUE"""),"")</f>
        <v/>
      </c>
      <c r="M536" s="5" t="str">
        <f>IFERROR(__xludf.DUMMYFUNCTION("""COMPUTED_VALUE"""),"")</f>
        <v/>
      </c>
      <c r="N536" s="5" t="str">
        <f>IFERROR(__xludf.DUMMYFUNCTION("""COMPUTED_VALUE"""),"")</f>
        <v/>
      </c>
      <c r="O536" s="5" t="str">
        <f>IFERROR(__xludf.DUMMYFUNCTION("""COMPUTED_VALUE"""),"")</f>
        <v/>
      </c>
      <c r="P536" s="5" t="str">
        <f>IFERROR(__xludf.DUMMYFUNCTION("""COMPUTED_VALUE"""),"")</f>
        <v/>
      </c>
      <c r="Q536" s="5" t="str">
        <f>IFERROR(__xludf.DUMMYFUNCTION("""COMPUTED_VALUE"""),"")</f>
        <v/>
      </c>
      <c r="R536" s="5" t="str">
        <f>IFERROR(__xludf.DUMMYFUNCTION("""COMPUTED_VALUE"""),"")</f>
        <v/>
      </c>
      <c r="S536" s="5" t="str">
        <f>IFERROR(__xludf.DUMMYFUNCTION("""COMPUTED_VALUE"""),"")</f>
        <v/>
      </c>
      <c r="T536" s="5" t="str">
        <f>IFERROR(__xludf.DUMMYFUNCTION("""COMPUTED_VALUE"""),"")</f>
        <v/>
      </c>
      <c r="U536" s="5" t="str">
        <f>IFERROR(__xludf.DUMMYFUNCTION("""COMPUTED_VALUE"""),"")</f>
        <v/>
      </c>
      <c r="V536" s="5" t="str">
        <f>IFERROR(__xludf.DUMMYFUNCTION("""COMPUTED_VALUE"""),"")</f>
        <v/>
      </c>
      <c r="W536" s="5" t="str">
        <f>IFERROR(__xludf.DUMMYFUNCTION("""COMPUTED_VALUE"""),"")</f>
        <v/>
      </c>
      <c r="X536" s="5" t="str">
        <f>IFERROR(__xludf.DUMMYFUNCTION("""COMPUTED_VALUE"""),"")</f>
        <v/>
      </c>
      <c r="Y536" s="5"/>
      <c r="Z536" s="5"/>
    </row>
    <row r="537">
      <c r="A537" s="5" t="str">
        <f>IFERROR(__xludf.DUMMYFUNCTION("""COMPUTED_VALUE"""),"The Kings Halloween")</f>
        <v>The Kings Halloween</v>
      </c>
      <c r="B537" s="5" t="str">
        <f>IFERROR(__xludf.DUMMYFUNCTION("""COMPUTED_VALUE"""),"")</f>
        <v/>
      </c>
      <c r="C537" s="5" t="str">
        <f>IFERROR(__xludf.DUMMYFUNCTION("""COMPUTED_VALUE"""),"")</f>
        <v/>
      </c>
      <c r="D537" s="5" t="str">
        <f>IFERROR(__xludf.DUMMYFUNCTION("""COMPUTED_VALUE"""),"")</f>
        <v/>
      </c>
      <c r="E537" s="5" t="str">
        <f>IFERROR(__xludf.DUMMYFUNCTION("""COMPUTED_VALUE"""),"")</f>
        <v/>
      </c>
      <c r="F537" s="5" t="str">
        <f>IFERROR(__xludf.DUMMYFUNCTION("""COMPUTED_VALUE"""),"")</f>
        <v/>
      </c>
      <c r="G537" s="5" t="str">
        <f>IFERROR(__xludf.DUMMYFUNCTION("""COMPUTED_VALUE"""),"")</f>
        <v/>
      </c>
      <c r="H537" s="5" t="str">
        <f>IFERROR(__xludf.DUMMYFUNCTION("""COMPUTED_VALUE"""),"")</f>
        <v/>
      </c>
      <c r="I537" s="5" t="str">
        <f>IFERROR(__xludf.DUMMYFUNCTION("""COMPUTED_VALUE"""),"")</f>
        <v/>
      </c>
      <c r="J537" s="5" t="str">
        <f>IFERROR(__xludf.DUMMYFUNCTION("""COMPUTED_VALUE"""),"")</f>
        <v/>
      </c>
      <c r="K537" s="5" t="str">
        <f>IFERROR(__xludf.DUMMYFUNCTION("""COMPUTED_VALUE"""),"")</f>
        <v/>
      </c>
      <c r="L537" s="5" t="str">
        <f>IFERROR(__xludf.DUMMYFUNCTION("""COMPUTED_VALUE"""),"")</f>
        <v/>
      </c>
      <c r="M537" s="5" t="str">
        <f>IFERROR(__xludf.DUMMYFUNCTION("""COMPUTED_VALUE"""),"")</f>
        <v/>
      </c>
      <c r="N537" s="5" t="str">
        <f>IFERROR(__xludf.DUMMYFUNCTION("""COMPUTED_VALUE"""),"")</f>
        <v/>
      </c>
      <c r="O537" s="5" t="str">
        <f>IFERROR(__xludf.DUMMYFUNCTION("""COMPUTED_VALUE"""),"")</f>
        <v/>
      </c>
      <c r="P537" s="5" t="str">
        <f>IFERROR(__xludf.DUMMYFUNCTION("""COMPUTED_VALUE"""),"")</f>
        <v/>
      </c>
      <c r="Q537" s="5" t="str">
        <f>IFERROR(__xludf.DUMMYFUNCTION("""COMPUTED_VALUE"""),"")</f>
        <v/>
      </c>
      <c r="R537" s="5" t="str">
        <f>IFERROR(__xludf.DUMMYFUNCTION("""COMPUTED_VALUE"""),"")</f>
        <v/>
      </c>
      <c r="S537" s="5" t="str">
        <f>IFERROR(__xludf.DUMMYFUNCTION("""COMPUTED_VALUE"""),"")</f>
        <v/>
      </c>
      <c r="T537" s="5" t="str">
        <f>IFERROR(__xludf.DUMMYFUNCTION("""COMPUTED_VALUE"""),"")</f>
        <v/>
      </c>
      <c r="U537" s="5" t="str">
        <f>IFERROR(__xludf.DUMMYFUNCTION("""COMPUTED_VALUE"""),"")</f>
        <v/>
      </c>
      <c r="V537" s="5" t="str">
        <f>IFERROR(__xludf.DUMMYFUNCTION("""COMPUTED_VALUE"""),"")</f>
        <v/>
      </c>
      <c r="W537" s="5" t="str">
        <f>IFERROR(__xludf.DUMMYFUNCTION("""COMPUTED_VALUE"""),"")</f>
        <v/>
      </c>
      <c r="X537" s="5" t="str">
        <f>IFERROR(__xludf.DUMMYFUNCTION("""COMPUTED_VALUE"""),"")</f>
        <v/>
      </c>
      <c r="Y537" s="5"/>
      <c r="Z537" s="5"/>
    </row>
    <row r="538">
      <c r="A538" s="5" t="str">
        <f>IFERROR(__xludf.DUMMYFUNCTION("""COMPUTED_VALUE"""),"Wild Sunflower")</f>
        <v>Wild Sunflower</v>
      </c>
      <c r="B538" s="5" t="str">
        <f>IFERROR(__xludf.DUMMYFUNCTION("""COMPUTED_VALUE"""),"Development")</f>
        <v>Development</v>
      </c>
      <c r="C538" s="5" t="str">
        <f>IFERROR(__xludf.DUMMYFUNCTION("""COMPUTED_VALUE"""),"Development")</f>
        <v>Development</v>
      </c>
      <c r="D538" s="5" t="str">
        <f>IFERROR(__xludf.DUMMYFUNCTION("""COMPUTED_VALUE"""),"Cert Preparation")</f>
        <v>Cert Preparation</v>
      </c>
      <c r="E538" s="5" t="str">
        <f>IFERROR(__xludf.DUMMYFUNCTION("""COMPUTED_VALUE"""),"")</f>
        <v/>
      </c>
      <c r="F538" s="5" t="str">
        <f>IFERROR(__xludf.DUMMYFUNCTION("""COMPUTED_VALUE"""),"")</f>
        <v/>
      </c>
      <c r="G538" s="5" t="str">
        <f>IFERROR(__xludf.DUMMYFUNCTION("""COMPUTED_VALUE"""),"")</f>
        <v/>
      </c>
      <c r="H538" s="5" t="str">
        <f>IFERROR(__xludf.DUMMYFUNCTION("""COMPUTED_VALUE"""),"")</f>
        <v/>
      </c>
      <c r="I538" s="5" t="str">
        <f>IFERROR(__xludf.DUMMYFUNCTION("""COMPUTED_VALUE"""),"")</f>
        <v/>
      </c>
      <c r="J538" s="5" t="str">
        <f>IFERROR(__xludf.DUMMYFUNCTION("""COMPUTED_VALUE"""),"")</f>
        <v/>
      </c>
      <c r="K538" s="5" t="str">
        <f>IFERROR(__xludf.DUMMYFUNCTION("""COMPUTED_VALUE"""),"Development")</f>
        <v>Development</v>
      </c>
      <c r="L538" s="5" t="str">
        <f>IFERROR(__xludf.DUMMYFUNCTION("""COMPUTED_VALUE"""),"")</f>
        <v/>
      </c>
      <c r="M538" s="5" t="str">
        <f>IFERROR(__xludf.DUMMYFUNCTION("""COMPUTED_VALUE"""),"")</f>
        <v/>
      </c>
      <c r="N538" s="5" t="str">
        <f>IFERROR(__xludf.DUMMYFUNCTION("""COMPUTED_VALUE"""),"")</f>
        <v/>
      </c>
      <c r="O538" s="5" t="str">
        <f>IFERROR(__xludf.DUMMYFUNCTION("""COMPUTED_VALUE"""),"")</f>
        <v/>
      </c>
      <c r="P538" s="5" t="str">
        <f>IFERROR(__xludf.DUMMYFUNCTION("""COMPUTED_VALUE"""),"")</f>
        <v/>
      </c>
      <c r="Q538" s="5" t="str">
        <f>IFERROR(__xludf.DUMMYFUNCTION("""COMPUTED_VALUE"""),"")</f>
        <v/>
      </c>
      <c r="R538" s="5" t="str">
        <f>IFERROR(__xludf.DUMMYFUNCTION("""COMPUTED_VALUE"""),"")</f>
        <v/>
      </c>
      <c r="S538" s="5" t="str">
        <f>IFERROR(__xludf.DUMMYFUNCTION("""COMPUTED_VALUE"""),"")</f>
        <v/>
      </c>
      <c r="T538" s="5" t="str">
        <f>IFERROR(__xludf.DUMMYFUNCTION("""COMPUTED_VALUE"""),"")</f>
        <v/>
      </c>
      <c r="U538" s="5" t="str">
        <f>IFERROR(__xludf.DUMMYFUNCTION("""COMPUTED_VALUE"""),"")</f>
        <v/>
      </c>
      <c r="V538" s="5" t="str">
        <f>IFERROR(__xludf.DUMMYFUNCTION("""COMPUTED_VALUE"""),"")</f>
        <v/>
      </c>
      <c r="W538" s="5" t="str">
        <f>IFERROR(__xludf.DUMMYFUNCTION("""COMPUTED_VALUE"""),"")</f>
        <v/>
      </c>
      <c r="X538" s="5" t="str">
        <f>IFERROR(__xludf.DUMMYFUNCTION("""COMPUTED_VALUE"""),"")</f>
        <v/>
      </c>
      <c r="Y538" s="5"/>
      <c r="Z538" s="5"/>
    </row>
    <row r="539">
      <c r="A539" s="5" t="str">
        <f>IFERROR(__xludf.DUMMYFUNCTION("""COMPUTED_VALUE"""),"Golden Crown Max Booster")</f>
        <v>Golden Crown Max Booster</v>
      </c>
      <c r="B539" s="5" t="str">
        <f>IFERROR(__xludf.DUMMYFUNCTION("""COMPUTED_VALUE"""),"")</f>
        <v/>
      </c>
      <c r="C539" s="5" t="str">
        <f>IFERROR(__xludf.DUMMYFUNCTION("""COMPUTED_VALUE"""),"")</f>
        <v/>
      </c>
      <c r="D539" s="5" t="str">
        <f>IFERROR(__xludf.DUMMYFUNCTION("""COMPUTED_VALUE"""),"")</f>
        <v/>
      </c>
      <c r="E539" s="5" t="str">
        <f>IFERROR(__xludf.DUMMYFUNCTION("""COMPUTED_VALUE"""),"")</f>
        <v/>
      </c>
      <c r="F539" s="5" t="str">
        <f>IFERROR(__xludf.DUMMYFUNCTION("""COMPUTED_VALUE"""),"")</f>
        <v/>
      </c>
      <c r="G539" s="5" t="str">
        <f>IFERROR(__xludf.DUMMYFUNCTION("""COMPUTED_VALUE"""),"")</f>
        <v/>
      </c>
      <c r="H539" s="5" t="str">
        <f>IFERROR(__xludf.DUMMYFUNCTION("""COMPUTED_VALUE"""),"")</f>
        <v/>
      </c>
      <c r="I539" s="5" t="str">
        <f>IFERROR(__xludf.DUMMYFUNCTION("""COMPUTED_VALUE"""),"")</f>
        <v/>
      </c>
      <c r="J539" s="5" t="str">
        <f>IFERROR(__xludf.DUMMYFUNCTION("""COMPUTED_VALUE"""),"")</f>
        <v/>
      </c>
      <c r="K539" s="5" t="str">
        <f>IFERROR(__xludf.DUMMYFUNCTION("""COMPUTED_VALUE"""),"")</f>
        <v/>
      </c>
      <c r="L539" s="5" t="str">
        <f>IFERROR(__xludf.DUMMYFUNCTION("""COMPUTED_VALUE"""),"")</f>
        <v/>
      </c>
      <c r="M539" s="5" t="str">
        <f>IFERROR(__xludf.DUMMYFUNCTION("""COMPUTED_VALUE"""),"")</f>
        <v/>
      </c>
      <c r="N539" s="5" t="str">
        <f>IFERROR(__xludf.DUMMYFUNCTION("""COMPUTED_VALUE"""),"")</f>
        <v/>
      </c>
      <c r="O539" s="5" t="str">
        <f>IFERROR(__xludf.DUMMYFUNCTION("""COMPUTED_VALUE"""),"")</f>
        <v/>
      </c>
      <c r="P539" s="5" t="str">
        <f>IFERROR(__xludf.DUMMYFUNCTION("""COMPUTED_VALUE"""),"")</f>
        <v/>
      </c>
      <c r="Q539" s="5" t="str">
        <f>IFERROR(__xludf.DUMMYFUNCTION("""COMPUTED_VALUE"""),"")</f>
        <v/>
      </c>
      <c r="R539" s="5" t="str">
        <f>IFERROR(__xludf.DUMMYFUNCTION("""COMPUTED_VALUE"""),"")</f>
        <v/>
      </c>
      <c r="S539" s="5" t="str">
        <f>IFERROR(__xludf.DUMMYFUNCTION("""COMPUTED_VALUE"""),"")</f>
        <v/>
      </c>
      <c r="T539" s="5" t="str">
        <f>IFERROR(__xludf.DUMMYFUNCTION("""COMPUTED_VALUE"""),"")</f>
        <v/>
      </c>
      <c r="U539" s="5" t="str">
        <f>IFERROR(__xludf.DUMMYFUNCTION("""COMPUTED_VALUE"""),"")</f>
        <v/>
      </c>
      <c r="V539" s="5" t="str">
        <f>IFERROR(__xludf.DUMMYFUNCTION("""COMPUTED_VALUE"""),"")</f>
        <v/>
      </c>
      <c r="W539" s="5" t="str">
        <f>IFERROR(__xludf.DUMMYFUNCTION("""COMPUTED_VALUE"""),"")</f>
        <v/>
      </c>
      <c r="X539" s="5" t="str">
        <f>IFERROR(__xludf.DUMMYFUNCTION("""COMPUTED_VALUE"""),"")</f>
        <v/>
      </c>
      <c r="Y539" s="5"/>
      <c r="Z539" s="5"/>
    </row>
    <row r="540">
      <c r="A540" s="5" t="str">
        <f>IFERROR(__xludf.DUMMYFUNCTION("""COMPUTED_VALUE"""),"Very Hot 40 Booster")</f>
        <v>Very Hot 40 Booster</v>
      </c>
      <c r="B540" s="5" t="str">
        <f>IFERROR(__xludf.DUMMYFUNCTION("""COMPUTED_VALUE"""),"")</f>
        <v/>
      </c>
      <c r="C540" s="5" t="str">
        <f>IFERROR(__xludf.DUMMYFUNCTION("""COMPUTED_VALUE"""),"")</f>
        <v/>
      </c>
      <c r="D540" s="5" t="str">
        <f>IFERROR(__xludf.DUMMYFUNCTION("""COMPUTED_VALUE"""),"")</f>
        <v/>
      </c>
      <c r="E540" s="5" t="str">
        <f>IFERROR(__xludf.DUMMYFUNCTION("""COMPUTED_VALUE"""),"")</f>
        <v/>
      </c>
      <c r="F540" s="5" t="str">
        <f>IFERROR(__xludf.DUMMYFUNCTION("""COMPUTED_VALUE"""),"")</f>
        <v/>
      </c>
      <c r="G540" s="5" t="str">
        <f>IFERROR(__xludf.DUMMYFUNCTION("""COMPUTED_VALUE"""),"")</f>
        <v/>
      </c>
      <c r="H540" s="5" t="str">
        <f>IFERROR(__xludf.DUMMYFUNCTION("""COMPUTED_VALUE"""),"")</f>
        <v/>
      </c>
      <c r="I540" s="5" t="str">
        <f>IFERROR(__xludf.DUMMYFUNCTION("""COMPUTED_VALUE"""),"")</f>
        <v/>
      </c>
      <c r="J540" s="5" t="str">
        <f>IFERROR(__xludf.DUMMYFUNCTION("""COMPUTED_VALUE"""),"")</f>
        <v/>
      </c>
      <c r="K540" s="5" t="str">
        <f>IFERROR(__xludf.DUMMYFUNCTION("""COMPUTED_VALUE"""),"")</f>
        <v/>
      </c>
      <c r="L540" s="5" t="str">
        <f>IFERROR(__xludf.DUMMYFUNCTION("""COMPUTED_VALUE"""),"")</f>
        <v/>
      </c>
      <c r="M540" s="5" t="str">
        <f>IFERROR(__xludf.DUMMYFUNCTION("""COMPUTED_VALUE"""),"")</f>
        <v/>
      </c>
      <c r="N540" s="5" t="str">
        <f>IFERROR(__xludf.DUMMYFUNCTION("""COMPUTED_VALUE"""),"")</f>
        <v/>
      </c>
      <c r="O540" s="5" t="str">
        <f>IFERROR(__xludf.DUMMYFUNCTION("""COMPUTED_VALUE"""),"")</f>
        <v/>
      </c>
      <c r="P540" s="5" t="str">
        <f>IFERROR(__xludf.DUMMYFUNCTION("""COMPUTED_VALUE"""),"")</f>
        <v/>
      </c>
      <c r="Q540" s="5" t="str">
        <f>IFERROR(__xludf.DUMMYFUNCTION("""COMPUTED_VALUE"""),"")</f>
        <v/>
      </c>
      <c r="R540" s="5" t="str">
        <f>IFERROR(__xludf.DUMMYFUNCTION("""COMPUTED_VALUE"""),"")</f>
        <v/>
      </c>
      <c r="S540" s="5" t="str">
        <f>IFERROR(__xludf.DUMMYFUNCTION("""COMPUTED_VALUE"""),"")</f>
        <v/>
      </c>
      <c r="T540" s="5" t="str">
        <f>IFERROR(__xludf.DUMMYFUNCTION("""COMPUTED_VALUE"""),"")</f>
        <v/>
      </c>
      <c r="U540" s="5" t="str">
        <f>IFERROR(__xludf.DUMMYFUNCTION("""COMPUTED_VALUE"""),"")</f>
        <v/>
      </c>
      <c r="V540" s="5" t="str">
        <f>IFERROR(__xludf.DUMMYFUNCTION("""COMPUTED_VALUE"""),"")</f>
        <v/>
      </c>
      <c r="W540" s="5" t="str">
        <f>IFERROR(__xludf.DUMMYFUNCTION("""COMPUTED_VALUE"""),"")</f>
        <v/>
      </c>
      <c r="X540" s="5" t="str">
        <f>IFERROR(__xludf.DUMMYFUNCTION("""COMPUTED_VALUE"""),"")</f>
        <v/>
      </c>
      <c r="Y540" s="5"/>
      <c r="Z540" s="5"/>
    </row>
    <row r="541">
      <c r="A541" s="5" t="str">
        <f>IFERROR(__xludf.DUMMYFUNCTION("""COMPUTED_VALUE"""),"Golden Crown 40 Booster")</f>
        <v>Golden Crown 40 Booster</v>
      </c>
      <c r="B541" s="5" t="str">
        <f>IFERROR(__xludf.DUMMYFUNCTION("""COMPUTED_VALUE"""),"")</f>
        <v/>
      </c>
      <c r="C541" s="5" t="str">
        <f>IFERROR(__xludf.DUMMYFUNCTION("""COMPUTED_VALUE"""),"")</f>
        <v/>
      </c>
      <c r="D541" s="5" t="str">
        <f>IFERROR(__xludf.DUMMYFUNCTION("""COMPUTED_VALUE"""),"")</f>
        <v/>
      </c>
      <c r="E541" s="5" t="str">
        <f>IFERROR(__xludf.DUMMYFUNCTION("""COMPUTED_VALUE"""),"")</f>
        <v/>
      </c>
      <c r="F541" s="5" t="str">
        <f>IFERROR(__xludf.DUMMYFUNCTION("""COMPUTED_VALUE"""),"")</f>
        <v/>
      </c>
      <c r="G541" s="5" t="str">
        <f>IFERROR(__xludf.DUMMYFUNCTION("""COMPUTED_VALUE"""),"")</f>
        <v/>
      </c>
      <c r="H541" s="5" t="str">
        <f>IFERROR(__xludf.DUMMYFUNCTION("""COMPUTED_VALUE"""),"")</f>
        <v/>
      </c>
      <c r="I541" s="5" t="str">
        <f>IFERROR(__xludf.DUMMYFUNCTION("""COMPUTED_VALUE"""),"")</f>
        <v/>
      </c>
      <c r="J541" s="5" t="str">
        <f>IFERROR(__xludf.DUMMYFUNCTION("""COMPUTED_VALUE"""),"")</f>
        <v/>
      </c>
      <c r="K541" s="5" t="str">
        <f>IFERROR(__xludf.DUMMYFUNCTION("""COMPUTED_VALUE"""),"")</f>
        <v/>
      </c>
      <c r="L541" s="5" t="str">
        <f>IFERROR(__xludf.DUMMYFUNCTION("""COMPUTED_VALUE"""),"")</f>
        <v/>
      </c>
      <c r="M541" s="5" t="str">
        <f>IFERROR(__xludf.DUMMYFUNCTION("""COMPUTED_VALUE"""),"")</f>
        <v/>
      </c>
      <c r="N541" s="5" t="str">
        <f>IFERROR(__xludf.DUMMYFUNCTION("""COMPUTED_VALUE"""),"")</f>
        <v/>
      </c>
      <c r="O541" s="5" t="str">
        <f>IFERROR(__xludf.DUMMYFUNCTION("""COMPUTED_VALUE"""),"")</f>
        <v/>
      </c>
      <c r="P541" s="5" t="str">
        <f>IFERROR(__xludf.DUMMYFUNCTION("""COMPUTED_VALUE"""),"")</f>
        <v/>
      </c>
      <c r="Q541" s="5" t="str">
        <f>IFERROR(__xludf.DUMMYFUNCTION("""COMPUTED_VALUE"""),"")</f>
        <v/>
      </c>
      <c r="R541" s="5" t="str">
        <f>IFERROR(__xludf.DUMMYFUNCTION("""COMPUTED_VALUE"""),"")</f>
        <v/>
      </c>
      <c r="S541" s="5" t="str">
        <f>IFERROR(__xludf.DUMMYFUNCTION("""COMPUTED_VALUE"""),"")</f>
        <v/>
      </c>
      <c r="T541" s="5" t="str">
        <f>IFERROR(__xludf.DUMMYFUNCTION("""COMPUTED_VALUE"""),"")</f>
        <v/>
      </c>
      <c r="U541" s="5" t="str">
        <f>IFERROR(__xludf.DUMMYFUNCTION("""COMPUTED_VALUE"""),"")</f>
        <v/>
      </c>
      <c r="V541" s="5" t="str">
        <f>IFERROR(__xludf.DUMMYFUNCTION("""COMPUTED_VALUE"""),"")</f>
        <v/>
      </c>
      <c r="W541" s="5" t="str">
        <f>IFERROR(__xludf.DUMMYFUNCTION("""COMPUTED_VALUE"""),"")</f>
        <v/>
      </c>
      <c r="X541" s="5" t="str">
        <f>IFERROR(__xludf.DUMMYFUNCTION("""COMPUTED_VALUE"""),"")</f>
        <v/>
      </c>
      <c r="Y541" s="5"/>
      <c r="Z541" s="5"/>
    </row>
    <row r="542">
      <c r="A542" s="5" t="str">
        <f>IFERROR(__xludf.DUMMYFUNCTION("""COMPUTED_VALUE"""),"Brilliant Heart Booster")</f>
        <v>Brilliant Heart Booster</v>
      </c>
      <c r="B542" s="5" t="str">
        <f>IFERROR(__xludf.DUMMYFUNCTION("""COMPUTED_VALUE"""),"")</f>
        <v/>
      </c>
      <c r="C542" s="5" t="str">
        <f>IFERROR(__xludf.DUMMYFUNCTION("""COMPUTED_VALUE"""),"")</f>
        <v/>
      </c>
      <c r="D542" s="5" t="str">
        <f>IFERROR(__xludf.DUMMYFUNCTION("""COMPUTED_VALUE"""),"")</f>
        <v/>
      </c>
      <c r="E542" s="5" t="str">
        <f>IFERROR(__xludf.DUMMYFUNCTION("""COMPUTED_VALUE"""),"")</f>
        <v/>
      </c>
      <c r="F542" s="5" t="str">
        <f>IFERROR(__xludf.DUMMYFUNCTION("""COMPUTED_VALUE"""),"")</f>
        <v/>
      </c>
      <c r="G542" s="5" t="str">
        <f>IFERROR(__xludf.DUMMYFUNCTION("""COMPUTED_VALUE"""),"")</f>
        <v/>
      </c>
      <c r="H542" s="5" t="str">
        <f>IFERROR(__xludf.DUMMYFUNCTION("""COMPUTED_VALUE"""),"")</f>
        <v/>
      </c>
      <c r="I542" s="5" t="str">
        <f>IFERROR(__xludf.DUMMYFUNCTION("""COMPUTED_VALUE"""),"")</f>
        <v/>
      </c>
      <c r="J542" s="5" t="str">
        <f>IFERROR(__xludf.DUMMYFUNCTION("""COMPUTED_VALUE"""),"")</f>
        <v/>
      </c>
      <c r="K542" s="5" t="str">
        <f>IFERROR(__xludf.DUMMYFUNCTION("""COMPUTED_VALUE"""),"")</f>
        <v/>
      </c>
      <c r="L542" s="5" t="str">
        <f>IFERROR(__xludf.DUMMYFUNCTION("""COMPUTED_VALUE"""),"")</f>
        <v/>
      </c>
      <c r="M542" s="5" t="str">
        <f>IFERROR(__xludf.DUMMYFUNCTION("""COMPUTED_VALUE"""),"")</f>
        <v/>
      </c>
      <c r="N542" s="5" t="str">
        <f>IFERROR(__xludf.DUMMYFUNCTION("""COMPUTED_VALUE"""),"")</f>
        <v/>
      </c>
      <c r="O542" s="5" t="str">
        <f>IFERROR(__xludf.DUMMYFUNCTION("""COMPUTED_VALUE"""),"")</f>
        <v/>
      </c>
      <c r="P542" s="5" t="str">
        <f>IFERROR(__xludf.DUMMYFUNCTION("""COMPUTED_VALUE"""),"")</f>
        <v/>
      </c>
      <c r="Q542" s="5" t="str">
        <f>IFERROR(__xludf.DUMMYFUNCTION("""COMPUTED_VALUE"""),"")</f>
        <v/>
      </c>
      <c r="R542" s="5" t="str">
        <f>IFERROR(__xludf.DUMMYFUNCTION("""COMPUTED_VALUE"""),"")</f>
        <v/>
      </c>
      <c r="S542" s="5" t="str">
        <f>IFERROR(__xludf.DUMMYFUNCTION("""COMPUTED_VALUE"""),"")</f>
        <v/>
      </c>
      <c r="T542" s="5" t="str">
        <f>IFERROR(__xludf.DUMMYFUNCTION("""COMPUTED_VALUE"""),"")</f>
        <v/>
      </c>
      <c r="U542" s="5" t="str">
        <f>IFERROR(__xludf.DUMMYFUNCTION("""COMPUTED_VALUE"""),"")</f>
        <v/>
      </c>
      <c r="V542" s="5" t="str">
        <f>IFERROR(__xludf.DUMMYFUNCTION("""COMPUTED_VALUE"""),"")</f>
        <v/>
      </c>
      <c r="W542" s="5" t="str">
        <f>IFERROR(__xludf.DUMMYFUNCTION("""COMPUTED_VALUE"""),"")</f>
        <v/>
      </c>
      <c r="X542" s="5" t="str">
        <f>IFERROR(__xludf.DUMMYFUNCTION("""COMPUTED_VALUE"""),"")</f>
        <v/>
      </c>
      <c r="Y542" s="5"/>
      <c r="Z542" s="5"/>
    </row>
    <row r="543">
      <c r="A543" s="5" t="str">
        <f>IFERROR(__xludf.DUMMYFUNCTION("""COMPUTED_VALUE"""),"Epic Clover 100 Booster")</f>
        <v>Epic Clover 100 Booster</v>
      </c>
      <c r="B543" s="5" t="str">
        <f>IFERROR(__xludf.DUMMYFUNCTION("""COMPUTED_VALUE"""),"")</f>
        <v/>
      </c>
      <c r="C543" s="5" t="str">
        <f>IFERROR(__xludf.DUMMYFUNCTION("""COMPUTED_VALUE"""),"")</f>
        <v/>
      </c>
      <c r="D543" s="5" t="str">
        <f>IFERROR(__xludf.DUMMYFUNCTION("""COMPUTED_VALUE"""),"")</f>
        <v/>
      </c>
      <c r="E543" s="5" t="str">
        <f>IFERROR(__xludf.DUMMYFUNCTION("""COMPUTED_VALUE"""),"")</f>
        <v/>
      </c>
      <c r="F543" s="5" t="str">
        <f>IFERROR(__xludf.DUMMYFUNCTION("""COMPUTED_VALUE"""),"")</f>
        <v/>
      </c>
      <c r="G543" s="5" t="str">
        <f>IFERROR(__xludf.DUMMYFUNCTION("""COMPUTED_VALUE"""),"")</f>
        <v/>
      </c>
      <c r="H543" s="5" t="str">
        <f>IFERROR(__xludf.DUMMYFUNCTION("""COMPUTED_VALUE"""),"")</f>
        <v/>
      </c>
      <c r="I543" s="5" t="str">
        <f>IFERROR(__xludf.DUMMYFUNCTION("""COMPUTED_VALUE"""),"")</f>
        <v/>
      </c>
      <c r="J543" s="5" t="str">
        <f>IFERROR(__xludf.DUMMYFUNCTION("""COMPUTED_VALUE"""),"")</f>
        <v/>
      </c>
      <c r="K543" s="5" t="str">
        <f>IFERROR(__xludf.DUMMYFUNCTION("""COMPUTED_VALUE"""),"")</f>
        <v/>
      </c>
      <c r="L543" s="5" t="str">
        <f>IFERROR(__xludf.DUMMYFUNCTION("""COMPUTED_VALUE"""),"")</f>
        <v/>
      </c>
      <c r="M543" s="5" t="str">
        <f>IFERROR(__xludf.DUMMYFUNCTION("""COMPUTED_VALUE"""),"")</f>
        <v/>
      </c>
      <c r="N543" s="5" t="str">
        <f>IFERROR(__xludf.DUMMYFUNCTION("""COMPUTED_VALUE"""),"")</f>
        <v/>
      </c>
      <c r="O543" s="5" t="str">
        <f>IFERROR(__xludf.DUMMYFUNCTION("""COMPUTED_VALUE"""),"")</f>
        <v/>
      </c>
      <c r="P543" s="5" t="str">
        <f>IFERROR(__xludf.DUMMYFUNCTION("""COMPUTED_VALUE"""),"")</f>
        <v/>
      </c>
      <c r="Q543" s="5" t="str">
        <f>IFERROR(__xludf.DUMMYFUNCTION("""COMPUTED_VALUE"""),"")</f>
        <v/>
      </c>
      <c r="R543" s="5" t="str">
        <f>IFERROR(__xludf.DUMMYFUNCTION("""COMPUTED_VALUE"""),"")</f>
        <v/>
      </c>
      <c r="S543" s="5" t="str">
        <f>IFERROR(__xludf.DUMMYFUNCTION("""COMPUTED_VALUE"""),"")</f>
        <v/>
      </c>
      <c r="T543" s="5" t="str">
        <f>IFERROR(__xludf.DUMMYFUNCTION("""COMPUTED_VALUE"""),"")</f>
        <v/>
      </c>
      <c r="U543" s="5" t="str">
        <f>IFERROR(__xludf.DUMMYFUNCTION("""COMPUTED_VALUE"""),"")</f>
        <v/>
      </c>
      <c r="V543" s="5" t="str">
        <f>IFERROR(__xludf.DUMMYFUNCTION("""COMPUTED_VALUE"""),"")</f>
        <v/>
      </c>
      <c r="W543" s="5" t="str">
        <f>IFERROR(__xludf.DUMMYFUNCTION("""COMPUTED_VALUE"""),"")</f>
        <v/>
      </c>
      <c r="X543" s="5" t="str">
        <f>IFERROR(__xludf.DUMMYFUNCTION("""COMPUTED_VALUE"""),"")</f>
        <v/>
      </c>
      <c r="Y543" s="5"/>
      <c r="Z543" s="5"/>
    </row>
    <row r="544">
      <c r="A544" s="5" t="str">
        <f>IFERROR(__xludf.DUMMYFUNCTION("""COMPUTED_VALUE"""),"AdmiralBet 40 Free Spins")</f>
        <v>AdmiralBet 40 Free Spins</v>
      </c>
      <c r="B544" s="5" t="str">
        <f>IFERROR(__xludf.DUMMYFUNCTION("""COMPUTED_VALUE"""),"")</f>
        <v/>
      </c>
      <c r="C544" s="5" t="str">
        <f>IFERROR(__xludf.DUMMYFUNCTION("""COMPUTED_VALUE"""),"")</f>
        <v/>
      </c>
      <c r="D544" s="5" t="str">
        <f>IFERROR(__xludf.DUMMYFUNCTION("""COMPUTED_VALUE"""),"")</f>
        <v/>
      </c>
      <c r="E544" s="5" t="str">
        <f>IFERROR(__xludf.DUMMYFUNCTION("""COMPUTED_VALUE"""),"")</f>
        <v/>
      </c>
      <c r="F544" s="5" t="str">
        <f>IFERROR(__xludf.DUMMYFUNCTION("""COMPUTED_VALUE"""),"")</f>
        <v/>
      </c>
      <c r="G544" s="5" t="str">
        <f>IFERROR(__xludf.DUMMYFUNCTION("""COMPUTED_VALUE"""),"")</f>
        <v/>
      </c>
      <c r="H544" s="5" t="str">
        <f>IFERROR(__xludf.DUMMYFUNCTION("""COMPUTED_VALUE"""),"")</f>
        <v/>
      </c>
      <c r="I544" s="5" t="str">
        <f>IFERROR(__xludf.DUMMYFUNCTION("""COMPUTED_VALUE"""),"")</f>
        <v/>
      </c>
      <c r="J544" s="5" t="str">
        <f>IFERROR(__xludf.DUMMYFUNCTION("""COMPUTED_VALUE"""),"")</f>
        <v/>
      </c>
      <c r="K544" s="5" t="str">
        <f>IFERROR(__xludf.DUMMYFUNCTION("""COMPUTED_VALUE"""),"")</f>
        <v/>
      </c>
      <c r="L544" s="5" t="str">
        <f>IFERROR(__xludf.DUMMYFUNCTION("""COMPUTED_VALUE"""),"")</f>
        <v/>
      </c>
      <c r="M544" s="5" t="str">
        <f>IFERROR(__xludf.DUMMYFUNCTION("""COMPUTED_VALUE"""),"")</f>
        <v/>
      </c>
      <c r="N544" s="5" t="str">
        <f>IFERROR(__xludf.DUMMYFUNCTION("""COMPUTED_VALUE"""),"")</f>
        <v/>
      </c>
      <c r="O544" s="5" t="str">
        <f>IFERROR(__xludf.DUMMYFUNCTION("""COMPUTED_VALUE"""),"")</f>
        <v/>
      </c>
      <c r="P544" s="5" t="str">
        <f>IFERROR(__xludf.DUMMYFUNCTION("""COMPUTED_VALUE"""),"")</f>
        <v/>
      </c>
      <c r="Q544" s="5" t="str">
        <f>IFERROR(__xludf.DUMMYFUNCTION("""COMPUTED_VALUE"""),"")</f>
        <v/>
      </c>
      <c r="R544" s="5" t="str">
        <f>IFERROR(__xludf.DUMMYFUNCTION("""COMPUTED_VALUE"""),"")</f>
        <v/>
      </c>
      <c r="S544" s="5" t="str">
        <f>IFERROR(__xludf.DUMMYFUNCTION("""COMPUTED_VALUE"""),"")</f>
        <v/>
      </c>
      <c r="T544" s="5" t="str">
        <f>IFERROR(__xludf.DUMMYFUNCTION("""COMPUTED_VALUE"""),"")</f>
        <v/>
      </c>
      <c r="U544" s="5" t="str">
        <f>IFERROR(__xludf.DUMMYFUNCTION("""COMPUTED_VALUE"""),"")</f>
        <v/>
      </c>
      <c r="V544" s="5" t="str">
        <f>IFERROR(__xludf.DUMMYFUNCTION("""COMPUTED_VALUE"""),"")</f>
        <v/>
      </c>
      <c r="W544" s="5" t="str">
        <f>IFERROR(__xludf.DUMMYFUNCTION("""COMPUTED_VALUE"""),"")</f>
        <v/>
      </c>
      <c r="X544" s="5" t="str">
        <f>IFERROR(__xludf.DUMMYFUNCTION("""COMPUTED_VALUE"""),"")</f>
        <v/>
      </c>
      <c r="Y544" s="5"/>
      <c r="Z544" s="5"/>
    </row>
    <row r="545">
      <c r="A545" s="5" t="str">
        <f>IFERROR(__xludf.DUMMYFUNCTION("""COMPUTED_VALUE"""),"Coin Splash Extreme ")</f>
        <v>Coin Splash Extreme </v>
      </c>
      <c r="B545" s="5" t="str">
        <f>IFERROR(__xludf.DUMMYFUNCTION("""COMPUTED_VALUE"""),"Development")</f>
        <v>Development</v>
      </c>
      <c r="C545" s="5" t="str">
        <f>IFERROR(__xludf.DUMMYFUNCTION("""COMPUTED_VALUE"""),"Development")</f>
        <v>Development</v>
      </c>
      <c r="D545" s="5" t="str">
        <f>IFERROR(__xludf.DUMMYFUNCTION("""COMPUTED_VALUE"""),"Cert Preparation")</f>
        <v>Cert Preparation</v>
      </c>
      <c r="E545" s="5" t="str">
        <f>IFERROR(__xludf.DUMMYFUNCTION("""COMPUTED_VALUE"""),"")</f>
        <v/>
      </c>
      <c r="F545" s="5" t="str">
        <f>IFERROR(__xludf.DUMMYFUNCTION("""COMPUTED_VALUE"""),"Development")</f>
        <v>Development</v>
      </c>
      <c r="G545" s="5" t="str">
        <f>IFERROR(__xludf.DUMMYFUNCTION("""COMPUTED_VALUE"""),"")</f>
        <v/>
      </c>
      <c r="H545" s="5" t="str">
        <f>IFERROR(__xludf.DUMMYFUNCTION("""COMPUTED_VALUE"""),"")</f>
        <v/>
      </c>
      <c r="I545" s="5" t="str">
        <f>IFERROR(__xludf.DUMMYFUNCTION("""COMPUTED_VALUE"""),"")</f>
        <v/>
      </c>
      <c r="J545" s="5" t="str">
        <f>IFERROR(__xludf.DUMMYFUNCTION("""COMPUTED_VALUE"""),"")</f>
        <v/>
      </c>
      <c r="K545" s="5" t="str">
        <f>IFERROR(__xludf.DUMMYFUNCTION("""COMPUTED_VALUE"""),"")</f>
        <v/>
      </c>
      <c r="L545" s="5" t="str">
        <f>IFERROR(__xludf.DUMMYFUNCTION("""COMPUTED_VALUE"""),"")</f>
        <v/>
      </c>
      <c r="M545" s="5" t="str">
        <f>IFERROR(__xludf.DUMMYFUNCTION("""COMPUTED_VALUE"""),"")</f>
        <v/>
      </c>
      <c r="N545" s="5" t="str">
        <f>IFERROR(__xludf.DUMMYFUNCTION("""COMPUTED_VALUE"""),"")</f>
        <v/>
      </c>
      <c r="O545" s="5" t="str">
        <f>IFERROR(__xludf.DUMMYFUNCTION("""COMPUTED_VALUE"""),"")</f>
        <v/>
      </c>
      <c r="P545" s="5" t="str">
        <f>IFERROR(__xludf.DUMMYFUNCTION("""COMPUTED_VALUE"""),"")</f>
        <v/>
      </c>
      <c r="Q545" s="5" t="str">
        <f>IFERROR(__xludf.DUMMYFUNCTION("""COMPUTED_VALUE"""),"")</f>
        <v/>
      </c>
      <c r="R545" s="5" t="str">
        <f>IFERROR(__xludf.DUMMYFUNCTION("""COMPUTED_VALUE"""),"")</f>
        <v/>
      </c>
      <c r="S545" s="5" t="str">
        <f>IFERROR(__xludf.DUMMYFUNCTION("""COMPUTED_VALUE"""),"")</f>
        <v/>
      </c>
      <c r="T545" s="5" t="str">
        <f>IFERROR(__xludf.DUMMYFUNCTION("""COMPUTED_VALUE"""),"")</f>
        <v/>
      </c>
      <c r="U545" s="5" t="str">
        <f>IFERROR(__xludf.DUMMYFUNCTION("""COMPUTED_VALUE"""),"")</f>
        <v/>
      </c>
      <c r="V545" s="5" t="str">
        <f>IFERROR(__xludf.DUMMYFUNCTION("""COMPUTED_VALUE"""),"")</f>
        <v/>
      </c>
      <c r="W545" s="5" t="str">
        <f>IFERROR(__xludf.DUMMYFUNCTION("""COMPUTED_VALUE"""),"")</f>
        <v/>
      </c>
      <c r="X545" s="5" t="str">
        <f>IFERROR(__xludf.DUMMYFUNCTION("""COMPUTED_VALUE"""),"")</f>
        <v/>
      </c>
      <c r="Y545" s="5"/>
      <c r="Z545" s="5"/>
    </row>
    <row r="546">
      <c r="A546" s="5" t="str">
        <f>IFERROR(__xludf.DUMMYFUNCTION("""COMPUTED_VALUE"""),"Hot Clock")</f>
        <v>Hot Clock</v>
      </c>
      <c r="B546" s="5" t="str">
        <f>IFERROR(__xludf.DUMMYFUNCTION("""COMPUTED_VALUE"""),"")</f>
        <v/>
      </c>
      <c r="C546" s="5" t="str">
        <f>IFERROR(__xludf.DUMMYFUNCTION("""COMPUTED_VALUE"""),"")</f>
        <v/>
      </c>
      <c r="D546" s="5" t="str">
        <f>IFERROR(__xludf.DUMMYFUNCTION("""COMPUTED_VALUE"""),"")</f>
        <v/>
      </c>
      <c r="E546" s="5" t="str">
        <f>IFERROR(__xludf.DUMMYFUNCTION("""COMPUTED_VALUE"""),"")</f>
        <v/>
      </c>
      <c r="F546" s="5" t="str">
        <f>IFERROR(__xludf.DUMMYFUNCTION("""COMPUTED_VALUE"""),"")</f>
        <v/>
      </c>
      <c r="G546" s="5" t="str">
        <f>IFERROR(__xludf.DUMMYFUNCTION("""COMPUTED_VALUE"""),"")</f>
        <v/>
      </c>
      <c r="H546" s="5" t="str">
        <f>IFERROR(__xludf.DUMMYFUNCTION("""COMPUTED_VALUE"""),"")</f>
        <v/>
      </c>
      <c r="I546" s="5" t="str">
        <f>IFERROR(__xludf.DUMMYFUNCTION("""COMPUTED_VALUE"""),"")</f>
        <v/>
      </c>
      <c r="J546" s="5" t="str">
        <f>IFERROR(__xludf.DUMMYFUNCTION("""COMPUTED_VALUE"""),"")</f>
        <v/>
      </c>
      <c r="K546" s="5" t="str">
        <f>IFERROR(__xludf.DUMMYFUNCTION("""COMPUTED_VALUE"""),"")</f>
        <v/>
      </c>
      <c r="L546" s="5" t="str">
        <f>IFERROR(__xludf.DUMMYFUNCTION("""COMPUTED_VALUE"""),"")</f>
        <v/>
      </c>
      <c r="M546" s="5" t="str">
        <f>IFERROR(__xludf.DUMMYFUNCTION("""COMPUTED_VALUE"""),"")</f>
        <v/>
      </c>
      <c r="N546" s="5" t="str">
        <f>IFERROR(__xludf.DUMMYFUNCTION("""COMPUTED_VALUE"""),"")</f>
        <v/>
      </c>
      <c r="O546" s="5" t="str">
        <f>IFERROR(__xludf.DUMMYFUNCTION("""COMPUTED_VALUE"""),"")</f>
        <v/>
      </c>
      <c r="P546" s="5" t="str">
        <f>IFERROR(__xludf.DUMMYFUNCTION("""COMPUTED_VALUE"""),"")</f>
        <v/>
      </c>
      <c r="Q546" s="5" t="str">
        <f>IFERROR(__xludf.DUMMYFUNCTION("""COMPUTED_VALUE"""),"")</f>
        <v/>
      </c>
      <c r="R546" s="5" t="str">
        <f>IFERROR(__xludf.DUMMYFUNCTION("""COMPUTED_VALUE"""),"")</f>
        <v/>
      </c>
      <c r="S546" s="5" t="str">
        <f>IFERROR(__xludf.DUMMYFUNCTION("""COMPUTED_VALUE"""),"")</f>
        <v/>
      </c>
      <c r="T546" s="5" t="str">
        <f>IFERROR(__xludf.DUMMYFUNCTION("""COMPUTED_VALUE"""),"")</f>
        <v/>
      </c>
      <c r="U546" s="5" t="str">
        <f>IFERROR(__xludf.DUMMYFUNCTION("""COMPUTED_VALUE"""),"")</f>
        <v/>
      </c>
      <c r="V546" s="5" t="str">
        <f>IFERROR(__xludf.DUMMYFUNCTION("""COMPUTED_VALUE"""),"")</f>
        <v/>
      </c>
      <c r="W546" s="5" t="str">
        <f>IFERROR(__xludf.DUMMYFUNCTION("""COMPUTED_VALUE"""),"")</f>
        <v/>
      </c>
      <c r="X546" s="5" t="str">
        <f>IFERROR(__xludf.DUMMYFUNCTION("""COMPUTED_VALUE"""),"")</f>
        <v/>
      </c>
      <c r="Y546" s="5"/>
      <c r="Z546" s="5"/>
    </row>
    <row r="547">
      <c r="A547" s="5" t="str">
        <f>IFERROR(__xludf.DUMMYFUNCTION("""COMPUTED_VALUE"""),"10 Wild Crown Halloween")</f>
        <v>10 Wild Crown Halloween</v>
      </c>
      <c r="B547" s="5" t="str">
        <f>IFERROR(__xludf.DUMMYFUNCTION("""COMPUTED_VALUE"""),"")</f>
        <v/>
      </c>
      <c r="C547" s="5" t="str">
        <f>IFERROR(__xludf.DUMMYFUNCTION("""COMPUTED_VALUE"""),"")</f>
        <v/>
      </c>
      <c r="D547" s="5" t="str">
        <f>IFERROR(__xludf.DUMMYFUNCTION("""COMPUTED_VALUE"""),"")</f>
        <v/>
      </c>
      <c r="E547" s="5" t="str">
        <f>IFERROR(__xludf.DUMMYFUNCTION("""COMPUTED_VALUE"""),"")</f>
        <v/>
      </c>
      <c r="F547" s="5" t="str">
        <f>IFERROR(__xludf.DUMMYFUNCTION("""COMPUTED_VALUE"""),"")</f>
        <v/>
      </c>
      <c r="G547" s="5" t="str">
        <f>IFERROR(__xludf.DUMMYFUNCTION("""COMPUTED_VALUE"""),"")</f>
        <v/>
      </c>
      <c r="H547" s="5" t="str">
        <f>IFERROR(__xludf.DUMMYFUNCTION("""COMPUTED_VALUE"""),"")</f>
        <v/>
      </c>
      <c r="I547" s="5" t="str">
        <f>IFERROR(__xludf.DUMMYFUNCTION("""COMPUTED_VALUE"""),"")</f>
        <v/>
      </c>
      <c r="J547" s="5" t="str">
        <f>IFERROR(__xludf.DUMMYFUNCTION("""COMPUTED_VALUE"""),"")</f>
        <v/>
      </c>
      <c r="K547" s="5" t="str">
        <f>IFERROR(__xludf.DUMMYFUNCTION("""COMPUTED_VALUE"""),"")</f>
        <v/>
      </c>
      <c r="L547" s="5" t="str">
        <f>IFERROR(__xludf.DUMMYFUNCTION("""COMPUTED_VALUE"""),"")</f>
        <v/>
      </c>
      <c r="M547" s="5" t="str">
        <f>IFERROR(__xludf.DUMMYFUNCTION("""COMPUTED_VALUE"""),"")</f>
        <v/>
      </c>
      <c r="N547" s="5" t="str">
        <f>IFERROR(__xludf.DUMMYFUNCTION("""COMPUTED_VALUE"""),"")</f>
        <v/>
      </c>
      <c r="O547" s="5" t="str">
        <f>IFERROR(__xludf.DUMMYFUNCTION("""COMPUTED_VALUE"""),"")</f>
        <v/>
      </c>
      <c r="P547" s="5" t="str">
        <f>IFERROR(__xludf.DUMMYFUNCTION("""COMPUTED_VALUE"""),"")</f>
        <v/>
      </c>
      <c r="Q547" s="5" t="str">
        <f>IFERROR(__xludf.DUMMYFUNCTION("""COMPUTED_VALUE"""),"")</f>
        <v/>
      </c>
      <c r="R547" s="5" t="str">
        <f>IFERROR(__xludf.DUMMYFUNCTION("""COMPUTED_VALUE"""),"")</f>
        <v/>
      </c>
      <c r="S547" s="5" t="str">
        <f>IFERROR(__xludf.DUMMYFUNCTION("""COMPUTED_VALUE"""),"")</f>
        <v/>
      </c>
      <c r="T547" s="5" t="str">
        <f>IFERROR(__xludf.DUMMYFUNCTION("""COMPUTED_VALUE"""),"")</f>
        <v/>
      </c>
      <c r="U547" s="5" t="str">
        <f>IFERROR(__xludf.DUMMYFUNCTION("""COMPUTED_VALUE"""),"")</f>
        <v/>
      </c>
      <c r="V547" s="5" t="str">
        <f>IFERROR(__xludf.DUMMYFUNCTION("""COMPUTED_VALUE"""),"")</f>
        <v/>
      </c>
      <c r="W547" s="5" t="str">
        <f>IFERROR(__xludf.DUMMYFUNCTION("""COMPUTED_VALUE"""),"")</f>
        <v/>
      </c>
      <c r="X547" s="5" t="str">
        <f>IFERROR(__xludf.DUMMYFUNCTION("""COMPUTED_VALUE"""),"")</f>
        <v/>
      </c>
      <c r="Y547" s="5"/>
      <c r="Z547" s="5"/>
    </row>
    <row r="548">
      <c r="A548" s="5" t="str">
        <f>IFERROR(__xludf.DUMMYFUNCTION("""COMPUTED_VALUE"""),"5 Clover Fire Halloween")</f>
        <v>5 Clover Fire Halloween</v>
      </c>
      <c r="B548" s="5" t="str">
        <f>IFERROR(__xludf.DUMMYFUNCTION("""COMPUTED_VALUE"""),"")</f>
        <v/>
      </c>
      <c r="C548" s="5" t="str">
        <f>IFERROR(__xludf.DUMMYFUNCTION("""COMPUTED_VALUE"""),"")</f>
        <v/>
      </c>
      <c r="D548" s="5" t="str">
        <f>IFERROR(__xludf.DUMMYFUNCTION("""COMPUTED_VALUE"""),"")</f>
        <v/>
      </c>
      <c r="E548" s="5" t="str">
        <f>IFERROR(__xludf.DUMMYFUNCTION("""COMPUTED_VALUE"""),"")</f>
        <v/>
      </c>
      <c r="F548" s="5" t="str">
        <f>IFERROR(__xludf.DUMMYFUNCTION("""COMPUTED_VALUE"""),"")</f>
        <v/>
      </c>
      <c r="G548" s="5" t="str">
        <f>IFERROR(__xludf.DUMMYFUNCTION("""COMPUTED_VALUE"""),"")</f>
        <v/>
      </c>
      <c r="H548" s="5" t="str">
        <f>IFERROR(__xludf.DUMMYFUNCTION("""COMPUTED_VALUE"""),"")</f>
        <v/>
      </c>
      <c r="I548" s="5" t="str">
        <f>IFERROR(__xludf.DUMMYFUNCTION("""COMPUTED_VALUE"""),"")</f>
        <v/>
      </c>
      <c r="J548" s="5" t="str">
        <f>IFERROR(__xludf.DUMMYFUNCTION("""COMPUTED_VALUE"""),"")</f>
        <v/>
      </c>
      <c r="K548" s="5" t="str">
        <f>IFERROR(__xludf.DUMMYFUNCTION("""COMPUTED_VALUE"""),"")</f>
        <v/>
      </c>
      <c r="L548" s="5" t="str">
        <f>IFERROR(__xludf.DUMMYFUNCTION("""COMPUTED_VALUE"""),"")</f>
        <v/>
      </c>
      <c r="M548" s="5" t="str">
        <f>IFERROR(__xludf.DUMMYFUNCTION("""COMPUTED_VALUE"""),"")</f>
        <v/>
      </c>
      <c r="N548" s="5" t="str">
        <f>IFERROR(__xludf.DUMMYFUNCTION("""COMPUTED_VALUE"""),"")</f>
        <v/>
      </c>
      <c r="O548" s="5" t="str">
        <f>IFERROR(__xludf.DUMMYFUNCTION("""COMPUTED_VALUE"""),"")</f>
        <v/>
      </c>
      <c r="P548" s="5" t="str">
        <f>IFERROR(__xludf.DUMMYFUNCTION("""COMPUTED_VALUE"""),"")</f>
        <v/>
      </c>
      <c r="Q548" s="5" t="str">
        <f>IFERROR(__xludf.DUMMYFUNCTION("""COMPUTED_VALUE"""),"")</f>
        <v/>
      </c>
      <c r="R548" s="5" t="str">
        <f>IFERROR(__xludf.DUMMYFUNCTION("""COMPUTED_VALUE"""),"")</f>
        <v/>
      </c>
      <c r="S548" s="5" t="str">
        <f>IFERROR(__xludf.DUMMYFUNCTION("""COMPUTED_VALUE"""),"")</f>
        <v/>
      </c>
      <c r="T548" s="5" t="str">
        <f>IFERROR(__xludf.DUMMYFUNCTION("""COMPUTED_VALUE"""),"")</f>
        <v/>
      </c>
      <c r="U548" s="5" t="str">
        <f>IFERROR(__xludf.DUMMYFUNCTION("""COMPUTED_VALUE"""),"")</f>
        <v/>
      </c>
      <c r="V548" s="5" t="str">
        <f>IFERROR(__xludf.DUMMYFUNCTION("""COMPUTED_VALUE"""),"")</f>
        <v/>
      </c>
      <c r="W548" s="5" t="str">
        <f>IFERROR(__xludf.DUMMYFUNCTION("""COMPUTED_VALUE"""),"")</f>
        <v/>
      </c>
      <c r="X548" s="5" t="str">
        <f>IFERROR(__xludf.DUMMYFUNCTION("""COMPUTED_VALUE"""),"")</f>
        <v/>
      </c>
      <c r="Y548" s="5"/>
      <c r="Z548" s="5"/>
    </row>
    <row r="549">
      <c r="A549" s="5" t="str">
        <f>IFERROR(__xludf.DUMMYFUNCTION("""COMPUTED_VALUE"""),"Fruit Lock 7")</f>
        <v>Fruit Lock 7</v>
      </c>
      <c r="B549" s="5" t="str">
        <f>IFERROR(__xludf.DUMMYFUNCTION("""COMPUTED_VALUE"""),"")</f>
        <v/>
      </c>
      <c r="C549" s="5" t="str">
        <f>IFERROR(__xludf.DUMMYFUNCTION("""COMPUTED_VALUE"""),"")</f>
        <v/>
      </c>
      <c r="D549" s="5" t="str">
        <f>IFERROR(__xludf.DUMMYFUNCTION("""COMPUTED_VALUE"""),"")</f>
        <v/>
      </c>
      <c r="E549" s="5" t="str">
        <f>IFERROR(__xludf.DUMMYFUNCTION("""COMPUTED_VALUE"""),"")</f>
        <v/>
      </c>
      <c r="F549" s="5" t="str">
        <f>IFERROR(__xludf.DUMMYFUNCTION("""COMPUTED_VALUE"""),"")</f>
        <v/>
      </c>
      <c r="G549" s="5" t="str">
        <f>IFERROR(__xludf.DUMMYFUNCTION("""COMPUTED_VALUE"""),"")</f>
        <v/>
      </c>
      <c r="H549" s="5" t="str">
        <f>IFERROR(__xludf.DUMMYFUNCTION("""COMPUTED_VALUE"""),"Development")</f>
        <v>Development</v>
      </c>
      <c r="I549" s="5" t="str">
        <f>IFERROR(__xludf.DUMMYFUNCTION("""COMPUTED_VALUE"""),"")</f>
        <v/>
      </c>
      <c r="J549" s="5" t="str">
        <f>IFERROR(__xludf.DUMMYFUNCTION("""COMPUTED_VALUE"""),"")</f>
        <v/>
      </c>
      <c r="K549" s="5" t="str">
        <f>IFERROR(__xludf.DUMMYFUNCTION("""COMPUTED_VALUE"""),"")</f>
        <v/>
      </c>
      <c r="L549" s="5" t="str">
        <f>IFERROR(__xludf.DUMMYFUNCTION("""COMPUTED_VALUE"""),"Development")</f>
        <v>Development</v>
      </c>
      <c r="M549" s="5" t="str">
        <f>IFERROR(__xludf.DUMMYFUNCTION("""COMPUTED_VALUE"""),"")</f>
        <v/>
      </c>
      <c r="N549" s="5" t="str">
        <f>IFERROR(__xludf.DUMMYFUNCTION("""COMPUTED_VALUE"""),"")</f>
        <v/>
      </c>
      <c r="O549" s="5" t="str">
        <f>IFERROR(__xludf.DUMMYFUNCTION("""COMPUTED_VALUE"""),"")</f>
        <v/>
      </c>
      <c r="P549" s="5" t="str">
        <f>IFERROR(__xludf.DUMMYFUNCTION("""COMPUTED_VALUE"""),"")</f>
        <v/>
      </c>
      <c r="Q549" s="5" t="str">
        <f>IFERROR(__xludf.DUMMYFUNCTION("""COMPUTED_VALUE"""),"")</f>
        <v/>
      </c>
      <c r="R549" s="5" t="str">
        <f>IFERROR(__xludf.DUMMYFUNCTION("""COMPUTED_VALUE"""),"")</f>
        <v/>
      </c>
      <c r="S549" s="5" t="str">
        <f>IFERROR(__xludf.DUMMYFUNCTION("""COMPUTED_VALUE"""),"")</f>
        <v/>
      </c>
      <c r="T549" s="5" t="str">
        <f>IFERROR(__xludf.DUMMYFUNCTION("""COMPUTED_VALUE"""),"")</f>
        <v/>
      </c>
      <c r="U549" s="5" t="str">
        <f>IFERROR(__xludf.DUMMYFUNCTION("""COMPUTED_VALUE"""),"")</f>
        <v/>
      </c>
      <c r="V549" s="5" t="str">
        <f>IFERROR(__xludf.DUMMYFUNCTION("""COMPUTED_VALUE"""),"")</f>
        <v/>
      </c>
      <c r="W549" s="5" t="str">
        <f>IFERROR(__xludf.DUMMYFUNCTION("""COMPUTED_VALUE"""),"")</f>
        <v/>
      </c>
      <c r="X549" s="5" t="str">
        <f>IFERROR(__xludf.DUMMYFUNCTION("""COMPUTED_VALUE"""),"")</f>
        <v/>
      </c>
      <c r="Y549" s="5"/>
      <c r="Z549" s="5"/>
    </row>
    <row r="550">
      <c r="A550" s="5" t="str">
        <f>IFERROR(__xludf.DUMMYFUNCTION("""COMPUTED_VALUE"""),"Golden Crown Halloween")</f>
        <v>Golden Crown Halloween</v>
      </c>
      <c r="B550" s="5" t="str">
        <f>IFERROR(__xludf.DUMMYFUNCTION("""COMPUTED_VALUE"""),"")</f>
        <v/>
      </c>
      <c r="C550" s="5" t="str">
        <f>IFERROR(__xludf.DUMMYFUNCTION("""COMPUTED_VALUE"""),"")</f>
        <v/>
      </c>
      <c r="D550" s="5" t="str">
        <f>IFERROR(__xludf.DUMMYFUNCTION("""COMPUTED_VALUE"""),"Cert Preparation")</f>
        <v>Cert Preparation</v>
      </c>
      <c r="E550" s="5" t="str">
        <f>IFERROR(__xludf.DUMMYFUNCTION("""COMPUTED_VALUE"""),"")</f>
        <v/>
      </c>
      <c r="F550" s="5" t="str">
        <f>IFERROR(__xludf.DUMMYFUNCTION("""COMPUTED_VALUE"""),"")</f>
        <v/>
      </c>
      <c r="G550" s="5" t="str">
        <f>IFERROR(__xludf.DUMMYFUNCTION("""COMPUTED_VALUE"""),"")</f>
        <v/>
      </c>
      <c r="H550" s="5" t="str">
        <f>IFERROR(__xludf.DUMMYFUNCTION("""COMPUTED_VALUE"""),"Development")</f>
        <v>Development</v>
      </c>
      <c r="I550" s="5" t="str">
        <f>IFERROR(__xludf.DUMMYFUNCTION("""COMPUTED_VALUE"""),"")</f>
        <v/>
      </c>
      <c r="J550" s="5" t="str">
        <f>IFERROR(__xludf.DUMMYFUNCTION("""COMPUTED_VALUE"""),"")</f>
        <v/>
      </c>
      <c r="K550" s="5" t="str">
        <f>IFERROR(__xludf.DUMMYFUNCTION("""COMPUTED_VALUE"""),"Development")</f>
        <v>Development</v>
      </c>
      <c r="L550" s="5" t="str">
        <f>IFERROR(__xludf.DUMMYFUNCTION("""COMPUTED_VALUE"""),"")</f>
        <v/>
      </c>
      <c r="M550" s="5" t="str">
        <f>IFERROR(__xludf.DUMMYFUNCTION("""COMPUTED_VALUE"""),"")</f>
        <v/>
      </c>
      <c r="N550" s="5" t="str">
        <f>IFERROR(__xludf.DUMMYFUNCTION("""COMPUTED_VALUE"""),"")</f>
        <v/>
      </c>
      <c r="O550" s="5" t="str">
        <f>IFERROR(__xludf.DUMMYFUNCTION("""COMPUTED_VALUE"""),"")</f>
        <v/>
      </c>
      <c r="P550" s="5" t="str">
        <f>IFERROR(__xludf.DUMMYFUNCTION("""COMPUTED_VALUE"""),"")</f>
        <v/>
      </c>
      <c r="Q550" s="5" t="str">
        <f>IFERROR(__xludf.DUMMYFUNCTION("""COMPUTED_VALUE"""),"")</f>
        <v/>
      </c>
      <c r="R550" s="5" t="str">
        <f>IFERROR(__xludf.DUMMYFUNCTION("""COMPUTED_VALUE"""),"")</f>
        <v/>
      </c>
      <c r="S550" s="5" t="str">
        <f>IFERROR(__xludf.DUMMYFUNCTION("""COMPUTED_VALUE"""),"")</f>
        <v/>
      </c>
      <c r="T550" s="5" t="str">
        <f>IFERROR(__xludf.DUMMYFUNCTION("""COMPUTED_VALUE"""),"")</f>
        <v/>
      </c>
      <c r="U550" s="5" t="str">
        <f>IFERROR(__xludf.DUMMYFUNCTION("""COMPUTED_VALUE"""),"")</f>
        <v/>
      </c>
      <c r="V550" s="5" t="str">
        <f>IFERROR(__xludf.DUMMYFUNCTION("""COMPUTED_VALUE"""),"")</f>
        <v/>
      </c>
      <c r="W550" s="5" t="str">
        <f>IFERROR(__xludf.DUMMYFUNCTION("""COMPUTED_VALUE"""),"")</f>
        <v/>
      </c>
      <c r="X550" s="5" t="str">
        <f>IFERROR(__xludf.DUMMYFUNCTION("""COMPUTED_VALUE"""),"")</f>
        <v/>
      </c>
      <c r="Y550" s="5"/>
      <c r="Z550" s="5"/>
    </row>
    <row r="551">
      <c r="A551" s="5" t="str">
        <f>IFERROR(__xludf.DUMMYFUNCTION("""COMPUTED_VALUE""")," Wild 27 Halloween")</f>
        <v> Wild 27 Halloween</v>
      </c>
      <c r="B551" s="5" t="str">
        <f>IFERROR(__xludf.DUMMYFUNCTION("""COMPUTED_VALUE"""),"")</f>
        <v/>
      </c>
      <c r="C551" s="5" t="str">
        <f>IFERROR(__xludf.DUMMYFUNCTION("""COMPUTED_VALUE"""),"Development")</f>
        <v>Development</v>
      </c>
      <c r="D551" s="5" t="str">
        <f>IFERROR(__xludf.DUMMYFUNCTION("""COMPUTED_VALUE"""),"Cert Preparation")</f>
        <v>Cert Preparation</v>
      </c>
      <c r="E551" s="5" t="str">
        <f>IFERROR(__xludf.DUMMYFUNCTION("""COMPUTED_VALUE"""),"")</f>
        <v/>
      </c>
      <c r="F551" s="5" t="str">
        <f>IFERROR(__xludf.DUMMYFUNCTION("""COMPUTED_VALUE"""),"")</f>
        <v/>
      </c>
      <c r="G551" s="5" t="str">
        <f>IFERROR(__xludf.DUMMYFUNCTION("""COMPUTED_VALUE"""),"")</f>
        <v/>
      </c>
      <c r="H551" s="5" t="str">
        <f>IFERROR(__xludf.DUMMYFUNCTION("""COMPUTED_VALUE"""),"")</f>
        <v/>
      </c>
      <c r="I551" s="5" t="str">
        <f>IFERROR(__xludf.DUMMYFUNCTION("""COMPUTED_VALUE"""),"")</f>
        <v/>
      </c>
      <c r="J551" s="5" t="str">
        <f>IFERROR(__xludf.DUMMYFUNCTION("""COMPUTED_VALUE"""),"")</f>
        <v/>
      </c>
      <c r="K551" s="5" t="str">
        <f>IFERROR(__xludf.DUMMYFUNCTION("""COMPUTED_VALUE"""),"Development")</f>
        <v>Development</v>
      </c>
      <c r="L551" s="5" t="str">
        <f>IFERROR(__xludf.DUMMYFUNCTION("""COMPUTED_VALUE"""),"")</f>
        <v/>
      </c>
      <c r="M551" s="5" t="str">
        <f>IFERROR(__xludf.DUMMYFUNCTION("""COMPUTED_VALUE"""),"")</f>
        <v/>
      </c>
      <c r="N551" s="5" t="str">
        <f>IFERROR(__xludf.DUMMYFUNCTION("""COMPUTED_VALUE"""),"")</f>
        <v/>
      </c>
      <c r="O551" s="5" t="str">
        <f>IFERROR(__xludf.DUMMYFUNCTION("""COMPUTED_VALUE"""),"")</f>
        <v/>
      </c>
      <c r="P551" s="5" t="str">
        <f>IFERROR(__xludf.DUMMYFUNCTION("""COMPUTED_VALUE"""),"")</f>
        <v/>
      </c>
      <c r="Q551" s="5" t="str">
        <f>IFERROR(__xludf.DUMMYFUNCTION("""COMPUTED_VALUE"""),"")</f>
        <v/>
      </c>
      <c r="R551" s="5" t="str">
        <f>IFERROR(__xludf.DUMMYFUNCTION("""COMPUTED_VALUE"""),"")</f>
        <v/>
      </c>
      <c r="S551" s="5" t="str">
        <f>IFERROR(__xludf.DUMMYFUNCTION("""COMPUTED_VALUE"""),"")</f>
        <v/>
      </c>
      <c r="T551" s="5" t="str">
        <f>IFERROR(__xludf.DUMMYFUNCTION("""COMPUTED_VALUE"""),"")</f>
        <v/>
      </c>
      <c r="U551" s="5" t="str">
        <f>IFERROR(__xludf.DUMMYFUNCTION("""COMPUTED_VALUE"""),"")</f>
        <v/>
      </c>
      <c r="V551" s="5" t="str">
        <f>IFERROR(__xludf.DUMMYFUNCTION("""COMPUTED_VALUE"""),"")</f>
        <v/>
      </c>
      <c r="W551" s="5" t="str">
        <f>IFERROR(__xludf.DUMMYFUNCTION("""COMPUTED_VALUE"""),"")</f>
        <v/>
      </c>
      <c r="X551" s="5" t="str">
        <f>IFERROR(__xludf.DUMMYFUNCTION("""COMPUTED_VALUE"""),"")</f>
        <v/>
      </c>
      <c r="Y551" s="5"/>
      <c r="Z551" s="5"/>
    </row>
    <row r="552">
      <c r="A552" s="5" t="str">
        <f>IFERROR(__xludf.DUMMYFUNCTION("""COMPUTED_VALUE"""),"Wild Wins 40")</f>
        <v>Wild Wins 40</v>
      </c>
      <c r="B552" s="5" t="str">
        <f>IFERROR(__xludf.DUMMYFUNCTION("""COMPUTED_VALUE"""),"")</f>
        <v/>
      </c>
      <c r="C552" s="5" t="str">
        <f>IFERROR(__xludf.DUMMYFUNCTION("""COMPUTED_VALUE"""),"")</f>
        <v/>
      </c>
      <c r="D552" s="5" t="str">
        <f>IFERROR(__xludf.DUMMYFUNCTION("""COMPUTED_VALUE"""),"")</f>
        <v/>
      </c>
      <c r="E552" s="5" t="str">
        <f>IFERROR(__xludf.DUMMYFUNCTION("""COMPUTED_VALUE"""),"")</f>
        <v/>
      </c>
      <c r="F552" s="5" t="str">
        <f>IFERROR(__xludf.DUMMYFUNCTION("""COMPUTED_VALUE"""),"")</f>
        <v/>
      </c>
      <c r="G552" s="5" t="str">
        <f>IFERROR(__xludf.DUMMYFUNCTION("""COMPUTED_VALUE"""),"")</f>
        <v/>
      </c>
      <c r="H552" s="5" t="str">
        <f>IFERROR(__xludf.DUMMYFUNCTION("""COMPUTED_VALUE"""),"")</f>
        <v/>
      </c>
      <c r="I552" s="5" t="str">
        <f>IFERROR(__xludf.DUMMYFUNCTION("""COMPUTED_VALUE"""),"")</f>
        <v/>
      </c>
      <c r="J552" s="5" t="str">
        <f>IFERROR(__xludf.DUMMYFUNCTION("""COMPUTED_VALUE"""),"")</f>
        <v/>
      </c>
      <c r="K552" s="5" t="str">
        <f>IFERROR(__xludf.DUMMYFUNCTION("""COMPUTED_VALUE"""),"")</f>
        <v/>
      </c>
      <c r="L552" s="5" t="str">
        <f>IFERROR(__xludf.DUMMYFUNCTION("""COMPUTED_VALUE"""),"")</f>
        <v/>
      </c>
      <c r="M552" s="5" t="str">
        <f>IFERROR(__xludf.DUMMYFUNCTION("""COMPUTED_VALUE"""),"")</f>
        <v/>
      </c>
      <c r="N552" s="5" t="str">
        <f>IFERROR(__xludf.DUMMYFUNCTION("""COMPUTED_VALUE"""),"")</f>
        <v/>
      </c>
      <c r="O552" s="5" t="str">
        <f>IFERROR(__xludf.DUMMYFUNCTION("""COMPUTED_VALUE"""),"")</f>
        <v/>
      </c>
      <c r="P552" s="5" t="str">
        <f>IFERROR(__xludf.DUMMYFUNCTION("""COMPUTED_VALUE"""),"")</f>
        <v/>
      </c>
      <c r="Q552" s="5" t="str">
        <f>IFERROR(__xludf.DUMMYFUNCTION("""COMPUTED_VALUE"""),"")</f>
        <v/>
      </c>
      <c r="R552" s="5" t="str">
        <f>IFERROR(__xludf.DUMMYFUNCTION("""COMPUTED_VALUE"""),"")</f>
        <v/>
      </c>
      <c r="S552" s="5" t="str">
        <f>IFERROR(__xludf.DUMMYFUNCTION("""COMPUTED_VALUE"""),"")</f>
        <v/>
      </c>
      <c r="T552" s="5" t="str">
        <f>IFERROR(__xludf.DUMMYFUNCTION("""COMPUTED_VALUE"""),"")</f>
        <v/>
      </c>
      <c r="U552" s="5" t="str">
        <f>IFERROR(__xludf.DUMMYFUNCTION("""COMPUTED_VALUE"""),"")</f>
        <v/>
      </c>
      <c r="V552" s="5" t="str">
        <f>IFERROR(__xludf.DUMMYFUNCTION("""COMPUTED_VALUE"""),"")</f>
        <v/>
      </c>
      <c r="W552" s="5" t="str">
        <f>IFERROR(__xludf.DUMMYFUNCTION("""COMPUTED_VALUE"""),"")</f>
        <v/>
      </c>
      <c r="X552" s="5" t="str">
        <f>IFERROR(__xludf.DUMMYFUNCTION("""COMPUTED_VALUE"""),"")</f>
        <v/>
      </c>
      <c r="Y552" s="5"/>
      <c r="Z552" s="5"/>
    </row>
    <row r="553">
      <c r="A553" s="5" t="str">
        <f>IFERROR(__xludf.DUMMYFUNCTION("""COMPUTED_VALUE"""),"Sugar Luck")</f>
        <v>Sugar Luck</v>
      </c>
      <c r="B553" s="5" t="str">
        <f>IFERROR(__xludf.DUMMYFUNCTION("""COMPUTED_VALUE"""),"")</f>
        <v/>
      </c>
      <c r="C553" s="5" t="str">
        <f>IFERROR(__xludf.DUMMYFUNCTION("""COMPUTED_VALUE"""),"")</f>
        <v/>
      </c>
      <c r="D553" s="5" t="str">
        <f>IFERROR(__xludf.DUMMYFUNCTION("""COMPUTED_VALUE"""),"")</f>
        <v/>
      </c>
      <c r="E553" s="5" t="str">
        <f>IFERROR(__xludf.DUMMYFUNCTION("""COMPUTED_VALUE"""),"")</f>
        <v/>
      </c>
      <c r="F553" s="5" t="str">
        <f>IFERROR(__xludf.DUMMYFUNCTION("""COMPUTED_VALUE"""),"")</f>
        <v/>
      </c>
      <c r="G553" s="5" t="str">
        <f>IFERROR(__xludf.DUMMYFUNCTION("""COMPUTED_VALUE"""),"")</f>
        <v/>
      </c>
      <c r="H553" s="5" t="str">
        <f>IFERROR(__xludf.DUMMYFUNCTION("""COMPUTED_VALUE"""),"")</f>
        <v/>
      </c>
      <c r="I553" s="5" t="str">
        <f>IFERROR(__xludf.DUMMYFUNCTION("""COMPUTED_VALUE"""),"")</f>
        <v/>
      </c>
      <c r="J553" s="5" t="str">
        <f>IFERROR(__xludf.DUMMYFUNCTION("""COMPUTED_VALUE"""),"")</f>
        <v/>
      </c>
      <c r="K553" s="5" t="str">
        <f>IFERROR(__xludf.DUMMYFUNCTION("""COMPUTED_VALUE"""),"")</f>
        <v/>
      </c>
      <c r="L553" s="5" t="str">
        <f>IFERROR(__xludf.DUMMYFUNCTION("""COMPUTED_VALUE"""),"")</f>
        <v/>
      </c>
      <c r="M553" s="5" t="str">
        <f>IFERROR(__xludf.DUMMYFUNCTION("""COMPUTED_VALUE"""),"")</f>
        <v/>
      </c>
      <c r="N553" s="5" t="str">
        <f>IFERROR(__xludf.DUMMYFUNCTION("""COMPUTED_VALUE"""),"")</f>
        <v/>
      </c>
      <c r="O553" s="5" t="str">
        <f>IFERROR(__xludf.DUMMYFUNCTION("""COMPUTED_VALUE"""),"")</f>
        <v/>
      </c>
      <c r="P553" s="5" t="str">
        <f>IFERROR(__xludf.DUMMYFUNCTION("""COMPUTED_VALUE"""),"")</f>
        <v/>
      </c>
      <c r="Q553" s="5" t="str">
        <f>IFERROR(__xludf.DUMMYFUNCTION("""COMPUTED_VALUE"""),"")</f>
        <v/>
      </c>
      <c r="R553" s="5" t="str">
        <f>IFERROR(__xludf.DUMMYFUNCTION("""COMPUTED_VALUE"""),"")</f>
        <v/>
      </c>
      <c r="S553" s="5" t="str">
        <f>IFERROR(__xludf.DUMMYFUNCTION("""COMPUTED_VALUE"""),"")</f>
        <v/>
      </c>
      <c r="T553" s="5" t="str">
        <f>IFERROR(__xludf.DUMMYFUNCTION("""COMPUTED_VALUE"""),"")</f>
        <v/>
      </c>
      <c r="U553" s="5" t="str">
        <f>IFERROR(__xludf.DUMMYFUNCTION("""COMPUTED_VALUE"""),"")</f>
        <v/>
      </c>
      <c r="V553" s="5" t="str">
        <f>IFERROR(__xludf.DUMMYFUNCTION("""COMPUTED_VALUE"""),"")</f>
        <v/>
      </c>
      <c r="W553" s="5" t="str">
        <f>IFERROR(__xludf.DUMMYFUNCTION("""COMPUTED_VALUE"""),"")</f>
        <v/>
      </c>
      <c r="X553" s="5" t="str">
        <f>IFERROR(__xludf.DUMMYFUNCTION("""COMPUTED_VALUE"""),"")</f>
        <v/>
      </c>
      <c r="Y553" s="5"/>
      <c r="Z553" s="5"/>
    </row>
    <row r="554">
      <c r="A554" s="5" t="str">
        <f>IFERROR(__xludf.DUMMYFUNCTION("""COMPUTED_VALUE"""),"Fruity Luck")</f>
        <v>Fruity Luck</v>
      </c>
      <c r="B554" s="5" t="str">
        <f>IFERROR(__xludf.DUMMYFUNCTION("""COMPUTED_VALUE"""),"")</f>
        <v/>
      </c>
      <c r="C554" s="5" t="str">
        <f>IFERROR(__xludf.DUMMYFUNCTION("""COMPUTED_VALUE"""),"")</f>
        <v/>
      </c>
      <c r="D554" s="5" t="str">
        <f>IFERROR(__xludf.DUMMYFUNCTION("""COMPUTED_VALUE"""),"")</f>
        <v/>
      </c>
      <c r="E554" s="5" t="str">
        <f>IFERROR(__xludf.DUMMYFUNCTION("""COMPUTED_VALUE"""),"")</f>
        <v/>
      </c>
      <c r="F554" s="5" t="str">
        <f>IFERROR(__xludf.DUMMYFUNCTION("""COMPUTED_VALUE"""),"")</f>
        <v/>
      </c>
      <c r="G554" s="5" t="str">
        <f>IFERROR(__xludf.DUMMYFUNCTION("""COMPUTED_VALUE"""),"")</f>
        <v/>
      </c>
      <c r="H554" s="5" t="str">
        <f>IFERROR(__xludf.DUMMYFUNCTION("""COMPUTED_VALUE"""),"")</f>
        <v/>
      </c>
      <c r="I554" s="5" t="str">
        <f>IFERROR(__xludf.DUMMYFUNCTION("""COMPUTED_VALUE"""),"")</f>
        <v/>
      </c>
      <c r="J554" s="5" t="str">
        <f>IFERROR(__xludf.DUMMYFUNCTION("""COMPUTED_VALUE"""),"")</f>
        <v/>
      </c>
      <c r="K554" s="5" t="str">
        <f>IFERROR(__xludf.DUMMYFUNCTION("""COMPUTED_VALUE"""),"")</f>
        <v/>
      </c>
      <c r="L554" s="5" t="str">
        <f>IFERROR(__xludf.DUMMYFUNCTION("""COMPUTED_VALUE"""),"")</f>
        <v/>
      </c>
      <c r="M554" s="5" t="str">
        <f>IFERROR(__xludf.DUMMYFUNCTION("""COMPUTED_VALUE"""),"")</f>
        <v/>
      </c>
      <c r="N554" s="5" t="str">
        <f>IFERROR(__xludf.DUMMYFUNCTION("""COMPUTED_VALUE"""),"")</f>
        <v/>
      </c>
      <c r="O554" s="5" t="str">
        <f>IFERROR(__xludf.DUMMYFUNCTION("""COMPUTED_VALUE"""),"")</f>
        <v/>
      </c>
      <c r="P554" s="5" t="str">
        <f>IFERROR(__xludf.DUMMYFUNCTION("""COMPUTED_VALUE"""),"")</f>
        <v/>
      </c>
      <c r="Q554" s="5" t="str">
        <f>IFERROR(__xludf.DUMMYFUNCTION("""COMPUTED_VALUE"""),"")</f>
        <v/>
      </c>
      <c r="R554" s="5" t="str">
        <f>IFERROR(__xludf.DUMMYFUNCTION("""COMPUTED_VALUE"""),"")</f>
        <v/>
      </c>
      <c r="S554" s="5" t="str">
        <f>IFERROR(__xludf.DUMMYFUNCTION("""COMPUTED_VALUE"""),"")</f>
        <v/>
      </c>
      <c r="T554" s="5" t="str">
        <f>IFERROR(__xludf.DUMMYFUNCTION("""COMPUTED_VALUE"""),"")</f>
        <v/>
      </c>
      <c r="U554" s="5" t="str">
        <f>IFERROR(__xludf.DUMMYFUNCTION("""COMPUTED_VALUE"""),"")</f>
        <v/>
      </c>
      <c r="V554" s="5" t="str">
        <f>IFERROR(__xludf.DUMMYFUNCTION("""COMPUTED_VALUE"""),"")</f>
        <v/>
      </c>
      <c r="W554" s="5" t="str">
        <f>IFERROR(__xludf.DUMMYFUNCTION("""COMPUTED_VALUE"""),"")</f>
        <v/>
      </c>
      <c r="X554" s="5" t="str">
        <f>IFERROR(__xludf.DUMMYFUNCTION("""COMPUTED_VALUE"""),"")</f>
        <v/>
      </c>
      <c r="Y554" s="5"/>
      <c r="Z554" s="5"/>
    </row>
    <row r="555">
      <c r="A555" s="5" t="str">
        <f>IFERROR(__xludf.DUMMYFUNCTION("""COMPUTED_VALUE"""),"BongoBongo Hot 40")</f>
        <v>BongoBongo Hot 40</v>
      </c>
      <c r="B555" s="5" t="str">
        <f>IFERROR(__xludf.DUMMYFUNCTION("""COMPUTED_VALUE"""),"")</f>
        <v/>
      </c>
      <c r="C555" s="5" t="str">
        <f>IFERROR(__xludf.DUMMYFUNCTION("""COMPUTED_VALUE"""),"")</f>
        <v/>
      </c>
      <c r="D555" s="5" t="str">
        <f>IFERROR(__xludf.DUMMYFUNCTION("""COMPUTED_VALUE"""),"")</f>
        <v/>
      </c>
      <c r="E555" s="5" t="str">
        <f>IFERROR(__xludf.DUMMYFUNCTION("""COMPUTED_VALUE"""),"")</f>
        <v/>
      </c>
      <c r="F555" s="5" t="str">
        <f>IFERROR(__xludf.DUMMYFUNCTION("""COMPUTED_VALUE"""),"")</f>
        <v/>
      </c>
      <c r="G555" s="5" t="str">
        <f>IFERROR(__xludf.DUMMYFUNCTION("""COMPUTED_VALUE"""),"")</f>
        <v/>
      </c>
      <c r="H555" s="5" t="str">
        <f>IFERROR(__xludf.DUMMYFUNCTION("""COMPUTED_VALUE"""),"")</f>
        <v/>
      </c>
      <c r="I555" s="5" t="str">
        <f>IFERROR(__xludf.DUMMYFUNCTION("""COMPUTED_VALUE"""),"")</f>
        <v/>
      </c>
      <c r="J555" s="5" t="str">
        <f>IFERROR(__xludf.DUMMYFUNCTION("""COMPUTED_VALUE"""),"")</f>
        <v/>
      </c>
      <c r="K555" s="5" t="str">
        <f>IFERROR(__xludf.DUMMYFUNCTION("""COMPUTED_VALUE"""),"")</f>
        <v/>
      </c>
      <c r="L555" s="5" t="str">
        <f>IFERROR(__xludf.DUMMYFUNCTION("""COMPUTED_VALUE"""),"")</f>
        <v/>
      </c>
      <c r="M555" s="5" t="str">
        <f>IFERROR(__xludf.DUMMYFUNCTION("""COMPUTED_VALUE"""),"")</f>
        <v/>
      </c>
      <c r="N555" s="5" t="str">
        <f>IFERROR(__xludf.DUMMYFUNCTION("""COMPUTED_VALUE"""),"")</f>
        <v/>
      </c>
      <c r="O555" s="5" t="str">
        <f>IFERROR(__xludf.DUMMYFUNCTION("""COMPUTED_VALUE"""),"")</f>
        <v/>
      </c>
      <c r="P555" s="5" t="str">
        <f>IFERROR(__xludf.DUMMYFUNCTION("""COMPUTED_VALUE"""),"")</f>
        <v/>
      </c>
      <c r="Q555" s="5" t="str">
        <f>IFERROR(__xludf.DUMMYFUNCTION("""COMPUTED_VALUE"""),"")</f>
        <v/>
      </c>
      <c r="R555" s="5" t="str">
        <f>IFERROR(__xludf.DUMMYFUNCTION("""COMPUTED_VALUE"""),"")</f>
        <v/>
      </c>
      <c r="S555" s="5" t="str">
        <f>IFERROR(__xludf.DUMMYFUNCTION("""COMPUTED_VALUE"""),"")</f>
        <v/>
      </c>
      <c r="T555" s="5" t="str">
        <f>IFERROR(__xludf.DUMMYFUNCTION("""COMPUTED_VALUE"""),"")</f>
        <v/>
      </c>
      <c r="U555" s="5" t="str">
        <f>IFERROR(__xludf.DUMMYFUNCTION("""COMPUTED_VALUE"""),"")</f>
        <v/>
      </c>
      <c r="V555" s="5" t="str">
        <f>IFERROR(__xludf.DUMMYFUNCTION("""COMPUTED_VALUE"""),"")</f>
        <v/>
      </c>
      <c r="W555" s="5" t="str">
        <f>IFERROR(__xludf.DUMMYFUNCTION("""COMPUTED_VALUE"""),"")</f>
        <v/>
      </c>
      <c r="X555" s="5" t="str">
        <f>IFERROR(__xludf.DUMMYFUNCTION("""COMPUTED_VALUE"""),"")</f>
        <v/>
      </c>
      <c r="Y555" s="5"/>
      <c r="Z555" s="5"/>
    </row>
    <row r="556">
      <c r="A556" s="5" t="str">
        <f>IFERROR(__xludf.DUMMYFUNCTION("""COMPUTED_VALUE"""),"Bet Arabia Free Spins")</f>
        <v>Bet Arabia Free Spins</v>
      </c>
      <c r="B556" s="5" t="str">
        <f>IFERROR(__xludf.DUMMYFUNCTION("""COMPUTED_VALUE"""),"")</f>
        <v/>
      </c>
      <c r="C556" s="5" t="str">
        <f>IFERROR(__xludf.DUMMYFUNCTION("""COMPUTED_VALUE"""),"")</f>
        <v/>
      </c>
      <c r="D556" s="5" t="str">
        <f>IFERROR(__xludf.DUMMYFUNCTION("""COMPUTED_VALUE"""),"")</f>
        <v/>
      </c>
      <c r="E556" s="5" t="str">
        <f>IFERROR(__xludf.DUMMYFUNCTION("""COMPUTED_VALUE"""),"")</f>
        <v/>
      </c>
      <c r="F556" s="5" t="str">
        <f>IFERROR(__xludf.DUMMYFUNCTION("""COMPUTED_VALUE"""),"")</f>
        <v/>
      </c>
      <c r="G556" s="5" t="str">
        <f>IFERROR(__xludf.DUMMYFUNCTION("""COMPUTED_VALUE"""),"")</f>
        <v/>
      </c>
      <c r="H556" s="5" t="str">
        <f>IFERROR(__xludf.DUMMYFUNCTION("""COMPUTED_VALUE"""),"")</f>
        <v/>
      </c>
      <c r="I556" s="5" t="str">
        <f>IFERROR(__xludf.DUMMYFUNCTION("""COMPUTED_VALUE"""),"")</f>
        <v/>
      </c>
      <c r="J556" s="5" t="str">
        <f>IFERROR(__xludf.DUMMYFUNCTION("""COMPUTED_VALUE"""),"")</f>
        <v/>
      </c>
      <c r="K556" s="5" t="str">
        <f>IFERROR(__xludf.DUMMYFUNCTION("""COMPUTED_VALUE"""),"")</f>
        <v/>
      </c>
      <c r="L556" s="5" t="str">
        <f>IFERROR(__xludf.DUMMYFUNCTION("""COMPUTED_VALUE"""),"")</f>
        <v/>
      </c>
      <c r="M556" s="5" t="str">
        <f>IFERROR(__xludf.DUMMYFUNCTION("""COMPUTED_VALUE"""),"")</f>
        <v/>
      </c>
      <c r="N556" s="5" t="str">
        <f>IFERROR(__xludf.DUMMYFUNCTION("""COMPUTED_VALUE"""),"")</f>
        <v/>
      </c>
      <c r="O556" s="5" t="str">
        <f>IFERROR(__xludf.DUMMYFUNCTION("""COMPUTED_VALUE"""),"")</f>
        <v/>
      </c>
      <c r="P556" s="5" t="str">
        <f>IFERROR(__xludf.DUMMYFUNCTION("""COMPUTED_VALUE"""),"")</f>
        <v/>
      </c>
      <c r="Q556" s="5" t="str">
        <f>IFERROR(__xludf.DUMMYFUNCTION("""COMPUTED_VALUE"""),"")</f>
        <v/>
      </c>
      <c r="R556" s="5" t="str">
        <f>IFERROR(__xludf.DUMMYFUNCTION("""COMPUTED_VALUE"""),"")</f>
        <v/>
      </c>
      <c r="S556" s="5" t="str">
        <f>IFERROR(__xludf.DUMMYFUNCTION("""COMPUTED_VALUE"""),"")</f>
        <v/>
      </c>
      <c r="T556" s="5" t="str">
        <f>IFERROR(__xludf.DUMMYFUNCTION("""COMPUTED_VALUE"""),"")</f>
        <v/>
      </c>
      <c r="U556" s="5" t="str">
        <f>IFERROR(__xludf.DUMMYFUNCTION("""COMPUTED_VALUE"""),"")</f>
        <v/>
      </c>
      <c r="V556" s="5" t="str">
        <f>IFERROR(__xludf.DUMMYFUNCTION("""COMPUTED_VALUE"""),"")</f>
        <v/>
      </c>
      <c r="W556" s="5" t="str">
        <f>IFERROR(__xludf.DUMMYFUNCTION("""COMPUTED_VALUE"""),"")</f>
        <v/>
      </c>
      <c r="X556" s="5" t="str">
        <f>IFERROR(__xludf.DUMMYFUNCTION("""COMPUTED_VALUE"""),"")</f>
        <v/>
      </c>
      <c r="Y556" s="5"/>
      <c r="Z556" s="5"/>
    </row>
    <row r="557">
      <c r="A557" s="5" t="str">
        <f>IFERROR(__xludf.DUMMYFUNCTION("""COMPUTED_VALUE"""),"Super High Runner")</f>
        <v>Super High Runner</v>
      </c>
      <c r="B557" s="5" t="str">
        <f>IFERROR(__xludf.DUMMYFUNCTION("""COMPUTED_VALUE"""),"")</f>
        <v/>
      </c>
      <c r="C557" s="5" t="str">
        <f>IFERROR(__xludf.DUMMYFUNCTION("""COMPUTED_VALUE"""),"")</f>
        <v/>
      </c>
      <c r="D557" s="5" t="str">
        <f>IFERROR(__xludf.DUMMYFUNCTION("""COMPUTED_VALUE"""),"")</f>
        <v/>
      </c>
      <c r="E557" s="5" t="str">
        <f>IFERROR(__xludf.DUMMYFUNCTION("""COMPUTED_VALUE"""),"")</f>
        <v/>
      </c>
      <c r="F557" s="5" t="str">
        <f>IFERROR(__xludf.DUMMYFUNCTION("""COMPUTED_VALUE"""),"")</f>
        <v/>
      </c>
      <c r="G557" s="5" t="str">
        <f>IFERROR(__xludf.DUMMYFUNCTION("""COMPUTED_VALUE"""),"")</f>
        <v/>
      </c>
      <c r="H557" s="5" t="str">
        <f>IFERROR(__xludf.DUMMYFUNCTION("""COMPUTED_VALUE"""),"")</f>
        <v/>
      </c>
      <c r="I557" s="5" t="str">
        <f>IFERROR(__xludf.DUMMYFUNCTION("""COMPUTED_VALUE"""),"")</f>
        <v/>
      </c>
      <c r="J557" s="5" t="str">
        <f>IFERROR(__xludf.DUMMYFUNCTION("""COMPUTED_VALUE"""),"")</f>
        <v/>
      </c>
      <c r="K557" s="5" t="str">
        <f>IFERROR(__xludf.DUMMYFUNCTION("""COMPUTED_VALUE"""),"")</f>
        <v/>
      </c>
      <c r="L557" s="5" t="str">
        <f>IFERROR(__xludf.DUMMYFUNCTION("""COMPUTED_VALUE"""),"")</f>
        <v/>
      </c>
      <c r="M557" s="5" t="str">
        <f>IFERROR(__xludf.DUMMYFUNCTION("""COMPUTED_VALUE"""),"")</f>
        <v/>
      </c>
      <c r="N557" s="5" t="str">
        <f>IFERROR(__xludf.DUMMYFUNCTION("""COMPUTED_VALUE"""),"")</f>
        <v/>
      </c>
      <c r="O557" s="5" t="str">
        <f>IFERROR(__xludf.DUMMYFUNCTION("""COMPUTED_VALUE"""),"")</f>
        <v/>
      </c>
      <c r="P557" s="5" t="str">
        <f>IFERROR(__xludf.DUMMYFUNCTION("""COMPUTED_VALUE"""),"")</f>
        <v/>
      </c>
      <c r="Q557" s="5" t="str">
        <f>IFERROR(__xludf.DUMMYFUNCTION("""COMPUTED_VALUE"""),"")</f>
        <v/>
      </c>
      <c r="R557" s="5" t="str">
        <f>IFERROR(__xludf.DUMMYFUNCTION("""COMPUTED_VALUE"""),"")</f>
        <v/>
      </c>
      <c r="S557" s="5" t="str">
        <f>IFERROR(__xludf.DUMMYFUNCTION("""COMPUTED_VALUE"""),"")</f>
        <v/>
      </c>
      <c r="T557" s="5" t="str">
        <f>IFERROR(__xludf.DUMMYFUNCTION("""COMPUTED_VALUE"""),"")</f>
        <v/>
      </c>
      <c r="U557" s="5" t="str">
        <f>IFERROR(__xludf.DUMMYFUNCTION("""COMPUTED_VALUE"""),"")</f>
        <v/>
      </c>
      <c r="V557" s="5" t="str">
        <f>IFERROR(__xludf.DUMMYFUNCTION("""COMPUTED_VALUE"""),"")</f>
        <v/>
      </c>
      <c r="W557" s="5" t="str">
        <f>IFERROR(__xludf.DUMMYFUNCTION("""COMPUTED_VALUE"""),"")</f>
        <v/>
      </c>
      <c r="X557" s="5" t="str">
        <f>IFERROR(__xludf.DUMMYFUNCTION("""COMPUTED_VALUE"""),"")</f>
        <v/>
      </c>
      <c r="Y557" s="5"/>
      <c r="Z557" s="5"/>
    </row>
    <row r="558">
      <c r="A558" s="5" t="str">
        <f>IFERROR(__xludf.DUMMYFUNCTION("""COMPUTED_VALUE"""),"Brewmaster's Bank")</f>
        <v>Brewmaster's Bank</v>
      </c>
      <c r="B558" s="5" t="str">
        <f>IFERROR(__xludf.DUMMYFUNCTION("""COMPUTED_VALUE"""),"")</f>
        <v/>
      </c>
      <c r="C558" s="5" t="str">
        <f>IFERROR(__xludf.DUMMYFUNCTION("""COMPUTED_VALUE"""),"")</f>
        <v/>
      </c>
      <c r="D558" s="5" t="str">
        <f>IFERROR(__xludf.DUMMYFUNCTION("""COMPUTED_VALUE"""),"")</f>
        <v/>
      </c>
      <c r="E558" s="5" t="str">
        <f>IFERROR(__xludf.DUMMYFUNCTION("""COMPUTED_VALUE"""),"")</f>
        <v/>
      </c>
      <c r="F558" s="5" t="str">
        <f>IFERROR(__xludf.DUMMYFUNCTION("""COMPUTED_VALUE"""),"")</f>
        <v/>
      </c>
      <c r="G558" s="5" t="str">
        <f>IFERROR(__xludf.DUMMYFUNCTION("""COMPUTED_VALUE"""),"")</f>
        <v/>
      </c>
      <c r="H558" s="5" t="str">
        <f>IFERROR(__xludf.DUMMYFUNCTION("""COMPUTED_VALUE"""),"")</f>
        <v/>
      </c>
      <c r="I558" s="5" t="str">
        <f>IFERROR(__xludf.DUMMYFUNCTION("""COMPUTED_VALUE"""),"")</f>
        <v/>
      </c>
      <c r="J558" s="5" t="str">
        <f>IFERROR(__xludf.DUMMYFUNCTION("""COMPUTED_VALUE"""),"")</f>
        <v/>
      </c>
      <c r="K558" s="5" t="str">
        <f>IFERROR(__xludf.DUMMYFUNCTION("""COMPUTED_VALUE"""),"")</f>
        <v/>
      </c>
      <c r="L558" s="5" t="str">
        <f>IFERROR(__xludf.DUMMYFUNCTION("""COMPUTED_VALUE"""),"")</f>
        <v/>
      </c>
      <c r="M558" s="5" t="str">
        <f>IFERROR(__xludf.DUMMYFUNCTION("""COMPUTED_VALUE"""),"")</f>
        <v/>
      </c>
      <c r="N558" s="5" t="str">
        <f>IFERROR(__xludf.DUMMYFUNCTION("""COMPUTED_VALUE"""),"")</f>
        <v/>
      </c>
      <c r="O558" s="5" t="str">
        <f>IFERROR(__xludf.DUMMYFUNCTION("""COMPUTED_VALUE"""),"")</f>
        <v/>
      </c>
      <c r="P558" s="5" t="str">
        <f>IFERROR(__xludf.DUMMYFUNCTION("""COMPUTED_VALUE"""),"")</f>
        <v/>
      </c>
      <c r="Q558" s="5" t="str">
        <f>IFERROR(__xludf.DUMMYFUNCTION("""COMPUTED_VALUE"""),"")</f>
        <v/>
      </c>
      <c r="R558" s="5" t="str">
        <f>IFERROR(__xludf.DUMMYFUNCTION("""COMPUTED_VALUE"""),"")</f>
        <v/>
      </c>
      <c r="S558" s="5" t="str">
        <f>IFERROR(__xludf.DUMMYFUNCTION("""COMPUTED_VALUE"""),"")</f>
        <v/>
      </c>
      <c r="T558" s="5" t="str">
        <f>IFERROR(__xludf.DUMMYFUNCTION("""COMPUTED_VALUE"""),"")</f>
        <v/>
      </c>
      <c r="U558" s="5" t="str">
        <f>IFERROR(__xludf.DUMMYFUNCTION("""COMPUTED_VALUE"""),"")</f>
        <v/>
      </c>
      <c r="V558" s="5" t="str">
        <f>IFERROR(__xludf.DUMMYFUNCTION("""COMPUTED_VALUE"""),"")</f>
        <v/>
      </c>
      <c r="W558" s="5" t="str">
        <f>IFERROR(__xludf.DUMMYFUNCTION("""COMPUTED_VALUE"""),"")</f>
        <v/>
      </c>
      <c r="X558" s="5" t="str">
        <f>IFERROR(__xludf.DUMMYFUNCTION("""COMPUTED_VALUE"""),"")</f>
        <v/>
      </c>
      <c r="Y558" s="5"/>
      <c r="Z558" s="5"/>
    </row>
    <row r="559">
      <c r="A559" s="5" t="str">
        <f>IFERROR(__xludf.DUMMYFUNCTION("""COMPUTED_VALUE"""),"Big Spin Dice")</f>
        <v>Big Spin Dice</v>
      </c>
      <c r="B559" s="5" t="str">
        <f>IFERROR(__xludf.DUMMYFUNCTION("""COMPUTED_VALUE"""),"")</f>
        <v/>
      </c>
      <c r="C559" s="5" t="str">
        <f>IFERROR(__xludf.DUMMYFUNCTION("""COMPUTED_VALUE"""),"")</f>
        <v/>
      </c>
      <c r="D559" s="5" t="str">
        <f>IFERROR(__xludf.DUMMYFUNCTION("""COMPUTED_VALUE"""),"")</f>
        <v/>
      </c>
      <c r="E559" s="5" t="str">
        <f>IFERROR(__xludf.DUMMYFUNCTION("""COMPUTED_VALUE"""),"")</f>
        <v/>
      </c>
      <c r="F559" s="5" t="str">
        <f>IFERROR(__xludf.DUMMYFUNCTION("""COMPUTED_VALUE"""),"")</f>
        <v/>
      </c>
      <c r="G559" s="5" t="str">
        <f>IFERROR(__xludf.DUMMYFUNCTION("""COMPUTED_VALUE"""),"")</f>
        <v/>
      </c>
      <c r="H559" s="5" t="str">
        <f>IFERROR(__xludf.DUMMYFUNCTION("""COMPUTED_VALUE"""),"")</f>
        <v/>
      </c>
      <c r="I559" s="5" t="str">
        <f>IFERROR(__xludf.DUMMYFUNCTION("""COMPUTED_VALUE"""),"")</f>
        <v/>
      </c>
      <c r="J559" s="5" t="str">
        <f>IFERROR(__xludf.DUMMYFUNCTION("""COMPUTED_VALUE"""),"")</f>
        <v/>
      </c>
      <c r="K559" s="5" t="str">
        <f>IFERROR(__xludf.DUMMYFUNCTION("""COMPUTED_VALUE"""),"")</f>
        <v/>
      </c>
      <c r="L559" s="5" t="str">
        <f>IFERROR(__xludf.DUMMYFUNCTION("""COMPUTED_VALUE"""),"")</f>
        <v/>
      </c>
      <c r="M559" s="5" t="str">
        <f>IFERROR(__xludf.DUMMYFUNCTION("""COMPUTED_VALUE"""),"")</f>
        <v/>
      </c>
      <c r="N559" s="5" t="str">
        <f>IFERROR(__xludf.DUMMYFUNCTION("""COMPUTED_VALUE"""),"")</f>
        <v/>
      </c>
      <c r="O559" s="5" t="str">
        <f>IFERROR(__xludf.DUMMYFUNCTION("""COMPUTED_VALUE"""),"")</f>
        <v/>
      </c>
      <c r="P559" s="5" t="str">
        <f>IFERROR(__xludf.DUMMYFUNCTION("""COMPUTED_VALUE"""),"")</f>
        <v/>
      </c>
      <c r="Q559" s="5" t="str">
        <f>IFERROR(__xludf.DUMMYFUNCTION("""COMPUTED_VALUE"""),"")</f>
        <v/>
      </c>
      <c r="R559" s="5" t="str">
        <f>IFERROR(__xludf.DUMMYFUNCTION("""COMPUTED_VALUE"""),"")</f>
        <v/>
      </c>
      <c r="S559" s="5" t="str">
        <f>IFERROR(__xludf.DUMMYFUNCTION("""COMPUTED_VALUE"""),"")</f>
        <v/>
      </c>
      <c r="T559" s="5" t="str">
        <f>IFERROR(__xludf.DUMMYFUNCTION("""COMPUTED_VALUE"""),"")</f>
        <v/>
      </c>
      <c r="U559" s="5" t="str">
        <f>IFERROR(__xludf.DUMMYFUNCTION("""COMPUTED_VALUE"""),"")</f>
        <v/>
      </c>
      <c r="V559" s="5" t="str">
        <f>IFERROR(__xludf.DUMMYFUNCTION("""COMPUTED_VALUE"""),"")</f>
        <v/>
      </c>
      <c r="W559" s="5" t="str">
        <f>IFERROR(__xludf.DUMMYFUNCTION("""COMPUTED_VALUE"""),"")</f>
        <v/>
      </c>
      <c r="X559" s="5" t="str">
        <f>IFERROR(__xludf.DUMMYFUNCTION("""COMPUTED_VALUE"""),"")</f>
        <v/>
      </c>
      <c r="Y559" s="5"/>
      <c r="Z559" s="5"/>
    </row>
    <row r="560">
      <c r="A560" s="5" t="str">
        <f>IFERROR(__xludf.DUMMYFUNCTION("""COMPUTED_VALUE"""),"Fruit Island Dice")</f>
        <v>Fruit Island Dice</v>
      </c>
      <c r="B560" s="5" t="str">
        <f>IFERROR(__xludf.DUMMYFUNCTION("""COMPUTED_VALUE"""),"")</f>
        <v/>
      </c>
      <c r="C560" s="5" t="str">
        <f>IFERROR(__xludf.DUMMYFUNCTION("""COMPUTED_VALUE"""),"")</f>
        <v/>
      </c>
      <c r="D560" s="5" t="str">
        <f>IFERROR(__xludf.DUMMYFUNCTION("""COMPUTED_VALUE"""),"")</f>
        <v/>
      </c>
      <c r="E560" s="5" t="str">
        <f>IFERROR(__xludf.DUMMYFUNCTION("""COMPUTED_VALUE"""),"")</f>
        <v/>
      </c>
      <c r="F560" s="5" t="str">
        <f>IFERROR(__xludf.DUMMYFUNCTION("""COMPUTED_VALUE"""),"")</f>
        <v/>
      </c>
      <c r="G560" s="5" t="str">
        <f>IFERROR(__xludf.DUMMYFUNCTION("""COMPUTED_VALUE"""),"")</f>
        <v/>
      </c>
      <c r="H560" s="5" t="str">
        <f>IFERROR(__xludf.DUMMYFUNCTION("""COMPUTED_VALUE"""),"")</f>
        <v/>
      </c>
      <c r="I560" s="5" t="str">
        <f>IFERROR(__xludf.DUMMYFUNCTION("""COMPUTED_VALUE"""),"")</f>
        <v/>
      </c>
      <c r="J560" s="5" t="str">
        <f>IFERROR(__xludf.DUMMYFUNCTION("""COMPUTED_VALUE"""),"")</f>
        <v/>
      </c>
      <c r="K560" s="5" t="str">
        <f>IFERROR(__xludf.DUMMYFUNCTION("""COMPUTED_VALUE"""),"")</f>
        <v/>
      </c>
      <c r="L560" s="5" t="str">
        <f>IFERROR(__xludf.DUMMYFUNCTION("""COMPUTED_VALUE"""),"")</f>
        <v/>
      </c>
      <c r="M560" s="5" t="str">
        <f>IFERROR(__xludf.DUMMYFUNCTION("""COMPUTED_VALUE"""),"")</f>
        <v/>
      </c>
      <c r="N560" s="5" t="str">
        <f>IFERROR(__xludf.DUMMYFUNCTION("""COMPUTED_VALUE"""),"")</f>
        <v/>
      </c>
      <c r="O560" s="5" t="str">
        <f>IFERROR(__xludf.DUMMYFUNCTION("""COMPUTED_VALUE"""),"")</f>
        <v/>
      </c>
      <c r="P560" s="5" t="str">
        <f>IFERROR(__xludf.DUMMYFUNCTION("""COMPUTED_VALUE"""),"")</f>
        <v/>
      </c>
      <c r="Q560" s="5" t="str">
        <f>IFERROR(__xludf.DUMMYFUNCTION("""COMPUTED_VALUE"""),"")</f>
        <v/>
      </c>
      <c r="R560" s="5" t="str">
        <f>IFERROR(__xludf.DUMMYFUNCTION("""COMPUTED_VALUE"""),"")</f>
        <v/>
      </c>
      <c r="S560" s="5" t="str">
        <f>IFERROR(__xludf.DUMMYFUNCTION("""COMPUTED_VALUE"""),"")</f>
        <v/>
      </c>
      <c r="T560" s="5" t="str">
        <f>IFERROR(__xludf.DUMMYFUNCTION("""COMPUTED_VALUE"""),"")</f>
        <v/>
      </c>
      <c r="U560" s="5" t="str">
        <f>IFERROR(__xludf.DUMMYFUNCTION("""COMPUTED_VALUE"""),"")</f>
        <v/>
      </c>
      <c r="V560" s="5" t="str">
        <f>IFERROR(__xludf.DUMMYFUNCTION("""COMPUTED_VALUE"""),"")</f>
        <v/>
      </c>
      <c r="W560" s="5" t="str">
        <f>IFERROR(__xludf.DUMMYFUNCTION("""COMPUTED_VALUE"""),"")</f>
        <v/>
      </c>
      <c r="X560" s="5" t="str">
        <f>IFERROR(__xludf.DUMMYFUNCTION("""COMPUTED_VALUE"""),"")</f>
        <v/>
      </c>
      <c r="Y560" s="5"/>
      <c r="Z560" s="5"/>
    </row>
    <row r="561">
      <c r="A561" s="5" t="str">
        <f>IFERROR(__xludf.DUMMYFUNCTION("""COMPUTED_VALUE"""),"Storm Dice")</f>
        <v>Storm Dice</v>
      </c>
      <c r="B561" s="5" t="str">
        <f>IFERROR(__xludf.DUMMYFUNCTION("""COMPUTED_VALUE"""),"")</f>
        <v/>
      </c>
      <c r="C561" s="5" t="str">
        <f>IFERROR(__xludf.DUMMYFUNCTION("""COMPUTED_VALUE"""),"")</f>
        <v/>
      </c>
      <c r="D561" s="5" t="str">
        <f>IFERROR(__xludf.DUMMYFUNCTION("""COMPUTED_VALUE"""),"")</f>
        <v/>
      </c>
      <c r="E561" s="5" t="str">
        <f>IFERROR(__xludf.DUMMYFUNCTION("""COMPUTED_VALUE"""),"")</f>
        <v/>
      </c>
      <c r="F561" s="5" t="str">
        <f>IFERROR(__xludf.DUMMYFUNCTION("""COMPUTED_VALUE"""),"")</f>
        <v/>
      </c>
      <c r="G561" s="5" t="str">
        <f>IFERROR(__xludf.DUMMYFUNCTION("""COMPUTED_VALUE"""),"")</f>
        <v/>
      </c>
      <c r="H561" s="5" t="str">
        <f>IFERROR(__xludf.DUMMYFUNCTION("""COMPUTED_VALUE"""),"")</f>
        <v/>
      </c>
      <c r="I561" s="5" t="str">
        <f>IFERROR(__xludf.DUMMYFUNCTION("""COMPUTED_VALUE"""),"")</f>
        <v/>
      </c>
      <c r="J561" s="5" t="str">
        <f>IFERROR(__xludf.DUMMYFUNCTION("""COMPUTED_VALUE"""),"")</f>
        <v/>
      </c>
      <c r="K561" s="5" t="str">
        <f>IFERROR(__xludf.DUMMYFUNCTION("""COMPUTED_VALUE"""),"")</f>
        <v/>
      </c>
      <c r="L561" s="5" t="str">
        <f>IFERROR(__xludf.DUMMYFUNCTION("""COMPUTED_VALUE"""),"")</f>
        <v/>
      </c>
      <c r="M561" s="5" t="str">
        <f>IFERROR(__xludf.DUMMYFUNCTION("""COMPUTED_VALUE"""),"")</f>
        <v/>
      </c>
      <c r="N561" s="5" t="str">
        <f>IFERROR(__xludf.DUMMYFUNCTION("""COMPUTED_VALUE"""),"")</f>
        <v/>
      </c>
      <c r="O561" s="5" t="str">
        <f>IFERROR(__xludf.DUMMYFUNCTION("""COMPUTED_VALUE"""),"")</f>
        <v/>
      </c>
      <c r="P561" s="5" t="str">
        <f>IFERROR(__xludf.DUMMYFUNCTION("""COMPUTED_VALUE"""),"")</f>
        <v/>
      </c>
      <c r="Q561" s="5" t="str">
        <f>IFERROR(__xludf.DUMMYFUNCTION("""COMPUTED_VALUE"""),"")</f>
        <v/>
      </c>
      <c r="R561" s="5" t="str">
        <f>IFERROR(__xludf.DUMMYFUNCTION("""COMPUTED_VALUE"""),"")</f>
        <v/>
      </c>
      <c r="S561" s="5" t="str">
        <f>IFERROR(__xludf.DUMMYFUNCTION("""COMPUTED_VALUE"""),"")</f>
        <v/>
      </c>
      <c r="T561" s="5" t="str">
        <f>IFERROR(__xludf.DUMMYFUNCTION("""COMPUTED_VALUE"""),"")</f>
        <v/>
      </c>
      <c r="U561" s="5" t="str">
        <f>IFERROR(__xludf.DUMMYFUNCTION("""COMPUTED_VALUE"""),"")</f>
        <v/>
      </c>
      <c r="V561" s="5" t="str">
        <f>IFERROR(__xludf.DUMMYFUNCTION("""COMPUTED_VALUE"""),"")</f>
        <v/>
      </c>
      <c r="W561" s="5" t="str">
        <f>IFERROR(__xludf.DUMMYFUNCTION("""COMPUTED_VALUE"""),"")</f>
        <v/>
      </c>
      <c r="X561" s="5" t="str">
        <f>IFERROR(__xludf.DUMMYFUNCTION("""COMPUTED_VALUE"""),"")</f>
        <v/>
      </c>
      <c r="Y561" s="5"/>
      <c r="Z561" s="5"/>
    </row>
    <row r="562">
      <c r="A562" s="5" t="str">
        <f>IFERROR(__xludf.DUMMYFUNCTION("""COMPUTED_VALUE"""),"Santas Rudolf")</f>
        <v>Santas Rudolf</v>
      </c>
      <c r="B562" s="5" t="str">
        <f>IFERROR(__xludf.DUMMYFUNCTION("""COMPUTED_VALUE"""),"")</f>
        <v/>
      </c>
      <c r="C562" s="5" t="str">
        <f>IFERROR(__xludf.DUMMYFUNCTION("""COMPUTED_VALUE"""),"")</f>
        <v/>
      </c>
      <c r="D562" s="5" t="str">
        <f>IFERROR(__xludf.DUMMYFUNCTION("""COMPUTED_VALUE"""),"")</f>
        <v/>
      </c>
      <c r="E562" s="5" t="str">
        <f>IFERROR(__xludf.DUMMYFUNCTION("""COMPUTED_VALUE"""),"")</f>
        <v/>
      </c>
      <c r="F562" s="5" t="str">
        <f>IFERROR(__xludf.DUMMYFUNCTION("""COMPUTED_VALUE"""),"")</f>
        <v/>
      </c>
      <c r="G562" s="5" t="str">
        <f>IFERROR(__xludf.DUMMYFUNCTION("""COMPUTED_VALUE"""),"")</f>
        <v/>
      </c>
      <c r="H562" s="5" t="str">
        <f>IFERROR(__xludf.DUMMYFUNCTION("""COMPUTED_VALUE"""),"")</f>
        <v/>
      </c>
      <c r="I562" s="5" t="str">
        <f>IFERROR(__xludf.DUMMYFUNCTION("""COMPUTED_VALUE"""),"")</f>
        <v/>
      </c>
      <c r="J562" s="5" t="str">
        <f>IFERROR(__xludf.DUMMYFUNCTION("""COMPUTED_VALUE"""),"")</f>
        <v/>
      </c>
      <c r="K562" s="5" t="str">
        <f>IFERROR(__xludf.DUMMYFUNCTION("""COMPUTED_VALUE"""),"")</f>
        <v/>
      </c>
      <c r="L562" s="5" t="str">
        <f>IFERROR(__xludf.DUMMYFUNCTION("""COMPUTED_VALUE"""),"")</f>
        <v/>
      </c>
      <c r="M562" s="5" t="str">
        <f>IFERROR(__xludf.DUMMYFUNCTION("""COMPUTED_VALUE"""),"")</f>
        <v/>
      </c>
      <c r="N562" s="5" t="str">
        <f>IFERROR(__xludf.DUMMYFUNCTION("""COMPUTED_VALUE"""),"")</f>
        <v/>
      </c>
      <c r="O562" s="5" t="str">
        <f>IFERROR(__xludf.DUMMYFUNCTION("""COMPUTED_VALUE"""),"")</f>
        <v/>
      </c>
      <c r="P562" s="5" t="str">
        <f>IFERROR(__xludf.DUMMYFUNCTION("""COMPUTED_VALUE"""),"")</f>
        <v/>
      </c>
      <c r="Q562" s="5" t="str">
        <f>IFERROR(__xludf.DUMMYFUNCTION("""COMPUTED_VALUE"""),"")</f>
        <v/>
      </c>
      <c r="R562" s="5" t="str">
        <f>IFERROR(__xludf.DUMMYFUNCTION("""COMPUTED_VALUE"""),"")</f>
        <v/>
      </c>
      <c r="S562" s="5" t="str">
        <f>IFERROR(__xludf.DUMMYFUNCTION("""COMPUTED_VALUE"""),"")</f>
        <v/>
      </c>
      <c r="T562" s="5" t="str">
        <f>IFERROR(__xludf.DUMMYFUNCTION("""COMPUTED_VALUE"""),"")</f>
        <v/>
      </c>
      <c r="U562" s="5" t="str">
        <f>IFERROR(__xludf.DUMMYFUNCTION("""COMPUTED_VALUE"""),"")</f>
        <v/>
      </c>
      <c r="V562" s="5" t="str">
        <f>IFERROR(__xludf.DUMMYFUNCTION("""COMPUTED_VALUE"""),"")</f>
        <v/>
      </c>
      <c r="W562" s="5" t="str">
        <f>IFERROR(__xludf.DUMMYFUNCTION("""COMPUTED_VALUE"""),"")</f>
        <v/>
      </c>
      <c r="X562" s="5" t="str">
        <f>IFERROR(__xludf.DUMMYFUNCTION("""COMPUTED_VALUE"""),"")</f>
        <v/>
      </c>
      <c r="Y562" s="5"/>
      <c r="Z562" s="5"/>
    </row>
    <row r="563">
      <c r="A563" s="5" t="str">
        <f>IFERROR(__xludf.DUMMYFUNCTION("""COMPUTED_VALUE"""),"Gold Line Gems")</f>
        <v>Gold Line Gems</v>
      </c>
      <c r="B563" s="5" t="str">
        <f>IFERROR(__xludf.DUMMYFUNCTION("""COMPUTED_VALUE"""),"")</f>
        <v/>
      </c>
      <c r="C563" s="5" t="str">
        <f>IFERROR(__xludf.DUMMYFUNCTION("""COMPUTED_VALUE"""),"")</f>
        <v/>
      </c>
      <c r="D563" s="5" t="str">
        <f>IFERROR(__xludf.DUMMYFUNCTION("""COMPUTED_VALUE"""),"")</f>
        <v/>
      </c>
      <c r="E563" s="5" t="str">
        <f>IFERROR(__xludf.DUMMYFUNCTION("""COMPUTED_VALUE"""),"")</f>
        <v/>
      </c>
      <c r="F563" s="5" t="str">
        <f>IFERROR(__xludf.DUMMYFUNCTION("""COMPUTED_VALUE"""),"")</f>
        <v/>
      </c>
      <c r="G563" s="5" t="str">
        <f>IFERROR(__xludf.DUMMYFUNCTION("""COMPUTED_VALUE"""),"")</f>
        <v/>
      </c>
      <c r="H563" s="5" t="str">
        <f>IFERROR(__xludf.DUMMYFUNCTION("""COMPUTED_VALUE"""),"")</f>
        <v/>
      </c>
      <c r="I563" s="5" t="str">
        <f>IFERROR(__xludf.DUMMYFUNCTION("""COMPUTED_VALUE"""),"")</f>
        <v/>
      </c>
      <c r="J563" s="5" t="str">
        <f>IFERROR(__xludf.DUMMYFUNCTION("""COMPUTED_VALUE"""),"")</f>
        <v/>
      </c>
      <c r="K563" s="5" t="str">
        <f>IFERROR(__xludf.DUMMYFUNCTION("""COMPUTED_VALUE"""),"")</f>
        <v/>
      </c>
      <c r="L563" s="5" t="str">
        <f>IFERROR(__xludf.DUMMYFUNCTION("""COMPUTED_VALUE"""),"")</f>
        <v/>
      </c>
      <c r="M563" s="5" t="str">
        <f>IFERROR(__xludf.DUMMYFUNCTION("""COMPUTED_VALUE"""),"")</f>
        <v/>
      </c>
      <c r="N563" s="5" t="str">
        <f>IFERROR(__xludf.DUMMYFUNCTION("""COMPUTED_VALUE"""),"")</f>
        <v/>
      </c>
      <c r="O563" s="5" t="str">
        <f>IFERROR(__xludf.DUMMYFUNCTION("""COMPUTED_VALUE"""),"")</f>
        <v/>
      </c>
      <c r="P563" s="5" t="str">
        <f>IFERROR(__xludf.DUMMYFUNCTION("""COMPUTED_VALUE"""),"")</f>
        <v/>
      </c>
      <c r="Q563" s="5" t="str">
        <f>IFERROR(__xludf.DUMMYFUNCTION("""COMPUTED_VALUE"""),"")</f>
        <v/>
      </c>
      <c r="R563" s="5" t="str">
        <f>IFERROR(__xludf.DUMMYFUNCTION("""COMPUTED_VALUE"""),"")</f>
        <v/>
      </c>
      <c r="S563" s="5" t="str">
        <f>IFERROR(__xludf.DUMMYFUNCTION("""COMPUTED_VALUE"""),"")</f>
        <v/>
      </c>
      <c r="T563" s="5" t="str">
        <f>IFERROR(__xludf.DUMMYFUNCTION("""COMPUTED_VALUE"""),"")</f>
        <v/>
      </c>
      <c r="U563" s="5" t="str">
        <f>IFERROR(__xludf.DUMMYFUNCTION("""COMPUTED_VALUE"""),"")</f>
        <v/>
      </c>
      <c r="V563" s="5" t="str">
        <f>IFERROR(__xludf.DUMMYFUNCTION("""COMPUTED_VALUE"""),"")</f>
        <v/>
      </c>
      <c r="W563" s="5" t="str">
        <f>IFERROR(__xludf.DUMMYFUNCTION("""COMPUTED_VALUE"""),"")</f>
        <v/>
      </c>
      <c r="X563" s="5" t="str">
        <f>IFERROR(__xludf.DUMMYFUNCTION("""COMPUTED_VALUE"""),"")</f>
        <v/>
      </c>
      <c r="Y563" s="5"/>
      <c r="Z563" s="5"/>
    </row>
    <row r="564">
      <c r="A564" s="5" t="str">
        <f>IFERROR(__xludf.DUMMYFUNCTION("""COMPUTED_VALUE"""),"Christmas Presents 2025")</f>
        <v>Christmas Presents 2025</v>
      </c>
      <c r="B564" s="5" t="str">
        <f>IFERROR(__xludf.DUMMYFUNCTION("""COMPUTED_VALUE"""),"")</f>
        <v/>
      </c>
      <c r="C564" s="5" t="str">
        <f>IFERROR(__xludf.DUMMYFUNCTION("""COMPUTED_VALUE"""),"")</f>
        <v/>
      </c>
      <c r="D564" s="5" t="str">
        <f>IFERROR(__xludf.DUMMYFUNCTION("""COMPUTED_VALUE"""),"")</f>
        <v/>
      </c>
      <c r="E564" s="5" t="str">
        <f>IFERROR(__xludf.DUMMYFUNCTION("""COMPUTED_VALUE"""),"")</f>
        <v/>
      </c>
      <c r="F564" s="5" t="str">
        <f>IFERROR(__xludf.DUMMYFUNCTION("""COMPUTED_VALUE"""),"")</f>
        <v/>
      </c>
      <c r="G564" s="5" t="str">
        <f>IFERROR(__xludf.DUMMYFUNCTION("""COMPUTED_VALUE"""),"")</f>
        <v/>
      </c>
      <c r="H564" s="5" t="str">
        <f>IFERROR(__xludf.DUMMYFUNCTION("""COMPUTED_VALUE"""),"")</f>
        <v/>
      </c>
      <c r="I564" s="5" t="str">
        <f>IFERROR(__xludf.DUMMYFUNCTION("""COMPUTED_VALUE"""),"")</f>
        <v/>
      </c>
      <c r="J564" s="5" t="str">
        <f>IFERROR(__xludf.DUMMYFUNCTION("""COMPUTED_VALUE"""),"")</f>
        <v/>
      </c>
      <c r="K564" s="5" t="str">
        <f>IFERROR(__xludf.DUMMYFUNCTION("""COMPUTED_VALUE"""),"")</f>
        <v/>
      </c>
      <c r="L564" s="5" t="str">
        <f>IFERROR(__xludf.DUMMYFUNCTION("""COMPUTED_VALUE"""),"")</f>
        <v/>
      </c>
      <c r="M564" s="5" t="str">
        <f>IFERROR(__xludf.DUMMYFUNCTION("""COMPUTED_VALUE"""),"")</f>
        <v/>
      </c>
      <c r="N564" s="5" t="str">
        <f>IFERROR(__xludf.DUMMYFUNCTION("""COMPUTED_VALUE"""),"")</f>
        <v/>
      </c>
      <c r="O564" s="5" t="str">
        <f>IFERROR(__xludf.DUMMYFUNCTION("""COMPUTED_VALUE"""),"")</f>
        <v/>
      </c>
      <c r="P564" s="5" t="str">
        <f>IFERROR(__xludf.DUMMYFUNCTION("""COMPUTED_VALUE"""),"")</f>
        <v/>
      </c>
      <c r="Q564" s="5" t="str">
        <f>IFERROR(__xludf.DUMMYFUNCTION("""COMPUTED_VALUE"""),"")</f>
        <v/>
      </c>
      <c r="R564" s="5" t="str">
        <f>IFERROR(__xludf.DUMMYFUNCTION("""COMPUTED_VALUE"""),"")</f>
        <v/>
      </c>
      <c r="S564" s="5" t="str">
        <f>IFERROR(__xludf.DUMMYFUNCTION("""COMPUTED_VALUE"""),"")</f>
        <v/>
      </c>
      <c r="T564" s="5" t="str">
        <f>IFERROR(__xludf.DUMMYFUNCTION("""COMPUTED_VALUE"""),"")</f>
        <v/>
      </c>
      <c r="U564" s="5" t="str">
        <f>IFERROR(__xludf.DUMMYFUNCTION("""COMPUTED_VALUE"""),"")</f>
        <v/>
      </c>
      <c r="V564" s="5" t="str">
        <f>IFERROR(__xludf.DUMMYFUNCTION("""COMPUTED_VALUE"""),"")</f>
        <v/>
      </c>
      <c r="W564" s="5" t="str">
        <f>IFERROR(__xludf.DUMMYFUNCTION("""COMPUTED_VALUE"""),"")</f>
        <v/>
      </c>
      <c r="X564" s="5" t="str">
        <f>IFERROR(__xludf.DUMMYFUNCTION("""COMPUTED_VALUE"""),"")</f>
        <v/>
      </c>
      <c r="Y564" s="5"/>
      <c r="Z564" s="5"/>
    </row>
    <row r="565">
      <c r="A565" s="5" t="str">
        <f>IFERROR(__xludf.DUMMYFUNCTION("""COMPUTED_VALUE"""),"Money Standard Platinum")</f>
        <v>Money Standard Platinum</v>
      </c>
      <c r="B565" s="5" t="str">
        <f>IFERROR(__xludf.DUMMYFUNCTION("""COMPUTED_VALUE"""),"")</f>
        <v/>
      </c>
      <c r="C565" s="5" t="str">
        <f>IFERROR(__xludf.DUMMYFUNCTION("""COMPUTED_VALUE"""),"")</f>
        <v/>
      </c>
      <c r="D565" s="5" t="str">
        <f>IFERROR(__xludf.DUMMYFUNCTION("""COMPUTED_VALUE"""),"")</f>
        <v/>
      </c>
      <c r="E565" s="5" t="str">
        <f>IFERROR(__xludf.DUMMYFUNCTION("""COMPUTED_VALUE"""),"")</f>
        <v/>
      </c>
      <c r="F565" s="5" t="str">
        <f>IFERROR(__xludf.DUMMYFUNCTION("""COMPUTED_VALUE"""),"")</f>
        <v/>
      </c>
      <c r="G565" s="5" t="str">
        <f>IFERROR(__xludf.DUMMYFUNCTION("""COMPUTED_VALUE"""),"")</f>
        <v/>
      </c>
      <c r="H565" s="5" t="str">
        <f>IFERROR(__xludf.DUMMYFUNCTION("""COMPUTED_VALUE"""),"")</f>
        <v/>
      </c>
      <c r="I565" s="5" t="str">
        <f>IFERROR(__xludf.DUMMYFUNCTION("""COMPUTED_VALUE"""),"")</f>
        <v/>
      </c>
      <c r="J565" s="5" t="str">
        <f>IFERROR(__xludf.DUMMYFUNCTION("""COMPUTED_VALUE"""),"")</f>
        <v/>
      </c>
      <c r="K565" s="5" t="str">
        <f>IFERROR(__xludf.DUMMYFUNCTION("""COMPUTED_VALUE"""),"")</f>
        <v/>
      </c>
      <c r="L565" s="5" t="str">
        <f>IFERROR(__xludf.DUMMYFUNCTION("""COMPUTED_VALUE"""),"")</f>
        <v/>
      </c>
      <c r="M565" s="5" t="str">
        <f>IFERROR(__xludf.DUMMYFUNCTION("""COMPUTED_VALUE"""),"")</f>
        <v/>
      </c>
      <c r="N565" s="5" t="str">
        <f>IFERROR(__xludf.DUMMYFUNCTION("""COMPUTED_VALUE"""),"")</f>
        <v/>
      </c>
      <c r="O565" s="5" t="str">
        <f>IFERROR(__xludf.DUMMYFUNCTION("""COMPUTED_VALUE"""),"")</f>
        <v/>
      </c>
      <c r="P565" s="5" t="str">
        <f>IFERROR(__xludf.DUMMYFUNCTION("""COMPUTED_VALUE"""),"")</f>
        <v/>
      </c>
      <c r="Q565" s="5" t="str">
        <f>IFERROR(__xludf.DUMMYFUNCTION("""COMPUTED_VALUE"""),"")</f>
        <v/>
      </c>
      <c r="R565" s="5" t="str">
        <f>IFERROR(__xludf.DUMMYFUNCTION("""COMPUTED_VALUE"""),"")</f>
        <v/>
      </c>
      <c r="S565" s="5" t="str">
        <f>IFERROR(__xludf.DUMMYFUNCTION("""COMPUTED_VALUE"""),"")</f>
        <v/>
      </c>
      <c r="T565" s="5" t="str">
        <f>IFERROR(__xludf.DUMMYFUNCTION("""COMPUTED_VALUE"""),"")</f>
        <v/>
      </c>
      <c r="U565" s="5" t="str">
        <f>IFERROR(__xludf.DUMMYFUNCTION("""COMPUTED_VALUE"""),"")</f>
        <v/>
      </c>
      <c r="V565" s="5" t="str">
        <f>IFERROR(__xludf.DUMMYFUNCTION("""COMPUTED_VALUE"""),"")</f>
        <v/>
      </c>
      <c r="W565" s="5" t="str">
        <f>IFERROR(__xludf.DUMMYFUNCTION("""COMPUTED_VALUE"""),"")</f>
        <v/>
      </c>
      <c r="X565" s="5" t="str">
        <f>IFERROR(__xludf.DUMMYFUNCTION("""COMPUTED_VALUE"""),"")</f>
        <v/>
      </c>
      <c r="Y565" s="5"/>
      <c r="Z565" s="5"/>
    </row>
    <row r="566">
      <c r="A566" s="5" t="str">
        <f>IFERROR(__xludf.DUMMYFUNCTION("""COMPUTED_VALUE"""),"Fruit Multipliers")</f>
        <v>Fruit Multipliers</v>
      </c>
      <c r="B566" s="5" t="str">
        <f>IFERROR(__xludf.DUMMYFUNCTION("""COMPUTED_VALUE"""),"")</f>
        <v/>
      </c>
      <c r="C566" s="5" t="str">
        <f>IFERROR(__xludf.DUMMYFUNCTION("""COMPUTED_VALUE"""),"")</f>
        <v/>
      </c>
      <c r="D566" s="5" t="str">
        <f>IFERROR(__xludf.DUMMYFUNCTION("""COMPUTED_VALUE"""),"")</f>
        <v/>
      </c>
      <c r="E566" s="5" t="str">
        <f>IFERROR(__xludf.DUMMYFUNCTION("""COMPUTED_VALUE"""),"")</f>
        <v/>
      </c>
      <c r="F566" s="5" t="str">
        <f>IFERROR(__xludf.DUMMYFUNCTION("""COMPUTED_VALUE"""),"")</f>
        <v/>
      </c>
      <c r="G566" s="5" t="str">
        <f>IFERROR(__xludf.DUMMYFUNCTION("""COMPUTED_VALUE"""),"")</f>
        <v/>
      </c>
      <c r="H566" s="5" t="str">
        <f>IFERROR(__xludf.DUMMYFUNCTION("""COMPUTED_VALUE"""),"")</f>
        <v/>
      </c>
      <c r="I566" s="5" t="str">
        <f>IFERROR(__xludf.DUMMYFUNCTION("""COMPUTED_VALUE"""),"")</f>
        <v/>
      </c>
      <c r="J566" s="5" t="str">
        <f>IFERROR(__xludf.DUMMYFUNCTION("""COMPUTED_VALUE"""),"")</f>
        <v/>
      </c>
      <c r="K566" s="5" t="str">
        <f>IFERROR(__xludf.DUMMYFUNCTION("""COMPUTED_VALUE"""),"")</f>
        <v/>
      </c>
      <c r="L566" s="5" t="str">
        <f>IFERROR(__xludf.DUMMYFUNCTION("""COMPUTED_VALUE"""),"")</f>
        <v/>
      </c>
      <c r="M566" s="5" t="str">
        <f>IFERROR(__xludf.DUMMYFUNCTION("""COMPUTED_VALUE"""),"")</f>
        <v/>
      </c>
      <c r="N566" s="5" t="str">
        <f>IFERROR(__xludf.DUMMYFUNCTION("""COMPUTED_VALUE"""),"")</f>
        <v/>
      </c>
      <c r="O566" s="5" t="str">
        <f>IFERROR(__xludf.DUMMYFUNCTION("""COMPUTED_VALUE"""),"")</f>
        <v/>
      </c>
      <c r="P566" s="5" t="str">
        <f>IFERROR(__xludf.DUMMYFUNCTION("""COMPUTED_VALUE"""),"")</f>
        <v/>
      </c>
      <c r="Q566" s="5" t="str">
        <f>IFERROR(__xludf.DUMMYFUNCTION("""COMPUTED_VALUE"""),"")</f>
        <v/>
      </c>
      <c r="R566" s="5" t="str">
        <f>IFERROR(__xludf.DUMMYFUNCTION("""COMPUTED_VALUE"""),"")</f>
        <v/>
      </c>
      <c r="S566" s="5" t="str">
        <f>IFERROR(__xludf.DUMMYFUNCTION("""COMPUTED_VALUE"""),"")</f>
        <v/>
      </c>
      <c r="T566" s="5" t="str">
        <f>IFERROR(__xludf.DUMMYFUNCTION("""COMPUTED_VALUE"""),"")</f>
        <v/>
      </c>
      <c r="U566" s="5" t="str">
        <f>IFERROR(__xludf.DUMMYFUNCTION("""COMPUTED_VALUE"""),"")</f>
        <v/>
      </c>
      <c r="V566" s="5" t="str">
        <f>IFERROR(__xludf.DUMMYFUNCTION("""COMPUTED_VALUE"""),"")</f>
        <v/>
      </c>
      <c r="W566" s="5" t="str">
        <f>IFERROR(__xludf.DUMMYFUNCTION("""COMPUTED_VALUE"""),"")</f>
        <v/>
      </c>
      <c r="X566" s="5" t="str">
        <f>IFERROR(__xludf.DUMMYFUNCTION("""COMPUTED_VALUE"""),"")</f>
        <v/>
      </c>
      <c r="Y566" s="5"/>
      <c r="Z566" s="5"/>
    </row>
    <row r="567">
      <c r="A567" s="5" t="str">
        <f>IFERROR(__xludf.DUMMYFUNCTION("""COMPUTED_VALUE"""),"Sevens Pay")</f>
        <v>Sevens Pay</v>
      </c>
      <c r="B567" s="5" t="str">
        <f>IFERROR(__xludf.DUMMYFUNCTION("""COMPUTED_VALUE"""),"")</f>
        <v/>
      </c>
      <c r="C567" s="5" t="str">
        <f>IFERROR(__xludf.DUMMYFUNCTION("""COMPUTED_VALUE"""),"")</f>
        <v/>
      </c>
      <c r="D567" s="5" t="str">
        <f>IFERROR(__xludf.DUMMYFUNCTION("""COMPUTED_VALUE"""),"")</f>
        <v/>
      </c>
      <c r="E567" s="5" t="str">
        <f>IFERROR(__xludf.DUMMYFUNCTION("""COMPUTED_VALUE"""),"")</f>
        <v/>
      </c>
      <c r="F567" s="5" t="str">
        <f>IFERROR(__xludf.DUMMYFUNCTION("""COMPUTED_VALUE"""),"")</f>
        <v/>
      </c>
      <c r="G567" s="5" t="str">
        <f>IFERROR(__xludf.DUMMYFUNCTION("""COMPUTED_VALUE"""),"")</f>
        <v/>
      </c>
      <c r="H567" s="5" t="str">
        <f>IFERROR(__xludf.DUMMYFUNCTION("""COMPUTED_VALUE"""),"")</f>
        <v/>
      </c>
      <c r="I567" s="5" t="str">
        <f>IFERROR(__xludf.DUMMYFUNCTION("""COMPUTED_VALUE"""),"")</f>
        <v/>
      </c>
      <c r="J567" s="5" t="str">
        <f>IFERROR(__xludf.DUMMYFUNCTION("""COMPUTED_VALUE"""),"")</f>
        <v/>
      </c>
      <c r="K567" s="5" t="str">
        <f>IFERROR(__xludf.DUMMYFUNCTION("""COMPUTED_VALUE"""),"")</f>
        <v/>
      </c>
      <c r="L567" s="5" t="str">
        <f>IFERROR(__xludf.DUMMYFUNCTION("""COMPUTED_VALUE"""),"")</f>
        <v/>
      </c>
      <c r="M567" s="5" t="str">
        <f>IFERROR(__xludf.DUMMYFUNCTION("""COMPUTED_VALUE"""),"")</f>
        <v/>
      </c>
      <c r="N567" s="5" t="str">
        <f>IFERROR(__xludf.DUMMYFUNCTION("""COMPUTED_VALUE"""),"")</f>
        <v/>
      </c>
      <c r="O567" s="5" t="str">
        <f>IFERROR(__xludf.DUMMYFUNCTION("""COMPUTED_VALUE"""),"")</f>
        <v/>
      </c>
      <c r="P567" s="5" t="str">
        <f>IFERROR(__xludf.DUMMYFUNCTION("""COMPUTED_VALUE"""),"")</f>
        <v/>
      </c>
      <c r="Q567" s="5" t="str">
        <f>IFERROR(__xludf.DUMMYFUNCTION("""COMPUTED_VALUE"""),"")</f>
        <v/>
      </c>
      <c r="R567" s="5" t="str">
        <f>IFERROR(__xludf.DUMMYFUNCTION("""COMPUTED_VALUE"""),"")</f>
        <v/>
      </c>
      <c r="S567" s="5" t="str">
        <f>IFERROR(__xludf.DUMMYFUNCTION("""COMPUTED_VALUE"""),"")</f>
        <v/>
      </c>
      <c r="T567" s="5" t="str">
        <f>IFERROR(__xludf.DUMMYFUNCTION("""COMPUTED_VALUE"""),"")</f>
        <v/>
      </c>
      <c r="U567" s="5" t="str">
        <f>IFERROR(__xludf.DUMMYFUNCTION("""COMPUTED_VALUE"""),"")</f>
        <v/>
      </c>
      <c r="V567" s="5" t="str">
        <f>IFERROR(__xludf.DUMMYFUNCTION("""COMPUTED_VALUE"""),"")</f>
        <v/>
      </c>
      <c r="W567" s="5" t="str">
        <f>IFERROR(__xludf.DUMMYFUNCTION("""COMPUTED_VALUE"""),"")</f>
        <v/>
      </c>
      <c r="X567" s="5" t="str">
        <f>IFERROR(__xludf.DUMMYFUNCTION("""COMPUTED_VALUE"""),"")</f>
        <v/>
      </c>
      <c r="Y567" s="5"/>
      <c r="Z567" s="5"/>
    </row>
    <row r="568">
      <c r="A568" s="5" t="str">
        <f>IFERROR(__xludf.DUMMYFUNCTION("""COMPUTED_VALUE"""),"Majestic Crown 40")</f>
        <v>Majestic Crown 40</v>
      </c>
      <c r="B568" s="5" t="str">
        <f>IFERROR(__xludf.DUMMYFUNCTION("""COMPUTED_VALUE"""),"")</f>
        <v/>
      </c>
      <c r="C568" s="5" t="str">
        <f>IFERROR(__xludf.DUMMYFUNCTION("""COMPUTED_VALUE"""),"")</f>
        <v/>
      </c>
      <c r="D568" s="5" t="str">
        <f>IFERROR(__xludf.DUMMYFUNCTION("""COMPUTED_VALUE"""),"")</f>
        <v/>
      </c>
      <c r="E568" s="5" t="str">
        <f>IFERROR(__xludf.DUMMYFUNCTION("""COMPUTED_VALUE"""),"")</f>
        <v/>
      </c>
      <c r="F568" s="5" t="str">
        <f>IFERROR(__xludf.DUMMYFUNCTION("""COMPUTED_VALUE"""),"")</f>
        <v/>
      </c>
      <c r="G568" s="5" t="str">
        <f>IFERROR(__xludf.DUMMYFUNCTION("""COMPUTED_VALUE"""),"")</f>
        <v/>
      </c>
      <c r="H568" s="5" t="str">
        <f>IFERROR(__xludf.DUMMYFUNCTION("""COMPUTED_VALUE"""),"")</f>
        <v/>
      </c>
      <c r="I568" s="5" t="str">
        <f>IFERROR(__xludf.DUMMYFUNCTION("""COMPUTED_VALUE"""),"")</f>
        <v/>
      </c>
      <c r="J568" s="5" t="str">
        <f>IFERROR(__xludf.DUMMYFUNCTION("""COMPUTED_VALUE"""),"")</f>
        <v/>
      </c>
      <c r="K568" s="5" t="str">
        <f>IFERROR(__xludf.DUMMYFUNCTION("""COMPUTED_VALUE"""),"")</f>
        <v/>
      </c>
      <c r="L568" s="5" t="str">
        <f>IFERROR(__xludf.DUMMYFUNCTION("""COMPUTED_VALUE"""),"")</f>
        <v/>
      </c>
      <c r="M568" s="5" t="str">
        <f>IFERROR(__xludf.DUMMYFUNCTION("""COMPUTED_VALUE"""),"")</f>
        <v/>
      </c>
      <c r="N568" s="5" t="str">
        <f>IFERROR(__xludf.DUMMYFUNCTION("""COMPUTED_VALUE"""),"")</f>
        <v/>
      </c>
      <c r="O568" s="5" t="str">
        <f>IFERROR(__xludf.DUMMYFUNCTION("""COMPUTED_VALUE"""),"")</f>
        <v/>
      </c>
      <c r="P568" s="5" t="str">
        <f>IFERROR(__xludf.DUMMYFUNCTION("""COMPUTED_VALUE"""),"")</f>
        <v/>
      </c>
      <c r="Q568" s="5" t="str">
        <f>IFERROR(__xludf.DUMMYFUNCTION("""COMPUTED_VALUE"""),"")</f>
        <v/>
      </c>
      <c r="R568" s="5" t="str">
        <f>IFERROR(__xludf.DUMMYFUNCTION("""COMPUTED_VALUE"""),"")</f>
        <v/>
      </c>
      <c r="S568" s="5" t="str">
        <f>IFERROR(__xludf.DUMMYFUNCTION("""COMPUTED_VALUE"""),"")</f>
        <v/>
      </c>
      <c r="T568" s="5" t="str">
        <f>IFERROR(__xludf.DUMMYFUNCTION("""COMPUTED_VALUE"""),"")</f>
        <v/>
      </c>
      <c r="U568" s="5" t="str">
        <f>IFERROR(__xludf.DUMMYFUNCTION("""COMPUTED_VALUE"""),"")</f>
        <v/>
      </c>
      <c r="V568" s="5" t="str">
        <f>IFERROR(__xludf.DUMMYFUNCTION("""COMPUTED_VALUE"""),"")</f>
        <v/>
      </c>
      <c r="W568" s="5" t="str">
        <f>IFERROR(__xludf.DUMMYFUNCTION("""COMPUTED_VALUE"""),"")</f>
        <v/>
      </c>
      <c r="X568" s="5" t="str">
        <f>IFERROR(__xludf.DUMMYFUNCTION("""COMPUTED_VALUE"""),"")</f>
        <v/>
      </c>
      <c r="Y568" s="5"/>
      <c r="Z568" s="5"/>
    </row>
    <row r="569">
      <c r="A569" s="5" t="str">
        <f>IFERROR(__xludf.DUMMYFUNCTION("""COMPUTED_VALUE"""),"Neptune's Jewels")</f>
        <v>Neptune's Jewels</v>
      </c>
      <c r="B569" s="5" t="str">
        <f>IFERROR(__xludf.DUMMYFUNCTION("""COMPUTED_VALUE"""),"")</f>
        <v/>
      </c>
      <c r="C569" s="5" t="str">
        <f>IFERROR(__xludf.DUMMYFUNCTION("""COMPUTED_VALUE"""),"")</f>
        <v/>
      </c>
      <c r="D569" s="5" t="str">
        <f>IFERROR(__xludf.DUMMYFUNCTION("""COMPUTED_VALUE"""),"")</f>
        <v/>
      </c>
      <c r="E569" s="5" t="str">
        <f>IFERROR(__xludf.DUMMYFUNCTION("""COMPUTED_VALUE"""),"")</f>
        <v/>
      </c>
      <c r="F569" s="5" t="str">
        <f>IFERROR(__xludf.DUMMYFUNCTION("""COMPUTED_VALUE"""),"")</f>
        <v/>
      </c>
      <c r="G569" s="5" t="str">
        <f>IFERROR(__xludf.DUMMYFUNCTION("""COMPUTED_VALUE"""),"")</f>
        <v/>
      </c>
      <c r="H569" s="5" t="str">
        <f>IFERROR(__xludf.DUMMYFUNCTION("""COMPUTED_VALUE"""),"")</f>
        <v/>
      </c>
      <c r="I569" s="5" t="str">
        <f>IFERROR(__xludf.DUMMYFUNCTION("""COMPUTED_VALUE"""),"")</f>
        <v/>
      </c>
      <c r="J569" s="5" t="str">
        <f>IFERROR(__xludf.DUMMYFUNCTION("""COMPUTED_VALUE"""),"")</f>
        <v/>
      </c>
      <c r="K569" s="5" t="str">
        <f>IFERROR(__xludf.DUMMYFUNCTION("""COMPUTED_VALUE"""),"")</f>
        <v/>
      </c>
      <c r="L569" s="5" t="str">
        <f>IFERROR(__xludf.DUMMYFUNCTION("""COMPUTED_VALUE"""),"")</f>
        <v/>
      </c>
      <c r="M569" s="5" t="str">
        <f>IFERROR(__xludf.DUMMYFUNCTION("""COMPUTED_VALUE"""),"")</f>
        <v/>
      </c>
      <c r="N569" s="5" t="str">
        <f>IFERROR(__xludf.DUMMYFUNCTION("""COMPUTED_VALUE"""),"")</f>
        <v/>
      </c>
      <c r="O569" s="5" t="str">
        <f>IFERROR(__xludf.DUMMYFUNCTION("""COMPUTED_VALUE"""),"")</f>
        <v/>
      </c>
      <c r="P569" s="5" t="str">
        <f>IFERROR(__xludf.DUMMYFUNCTION("""COMPUTED_VALUE"""),"")</f>
        <v/>
      </c>
      <c r="Q569" s="5" t="str">
        <f>IFERROR(__xludf.DUMMYFUNCTION("""COMPUTED_VALUE"""),"")</f>
        <v/>
      </c>
      <c r="R569" s="5" t="str">
        <f>IFERROR(__xludf.DUMMYFUNCTION("""COMPUTED_VALUE"""),"")</f>
        <v/>
      </c>
      <c r="S569" s="5" t="str">
        <f>IFERROR(__xludf.DUMMYFUNCTION("""COMPUTED_VALUE"""),"")</f>
        <v/>
      </c>
      <c r="T569" s="5" t="str">
        <f>IFERROR(__xludf.DUMMYFUNCTION("""COMPUTED_VALUE"""),"")</f>
        <v/>
      </c>
      <c r="U569" s="5" t="str">
        <f>IFERROR(__xludf.DUMMYFUNCTION("""COMPUTED_VALUE"""),"")</f>
        <v/>
      </c>
      <c r="V569" s="5" t="str">
        <f>IFERROR(__xludf.DUMMYFUNCTION("""COMPUTED_VALUE"""),"")</f>
        <v/>
      </c>
      <c r="W569" s="5" t="str">
        <f>IFERROR(__xludf.DUMMYFUNCTION("""COMPUTED_VALUE"""),"")</f>
        <v/>
      </c>
      <c r="X569" s="5" t="str">
        <f>IFERROR(__xludf.DUMMYFUNCTION("""COMPUTED_VALUE"""),"")</f>
        <v/>
      </c>
      <c r="Y569" s="5"/>
      <c r="Z569" s="5"/>
    </row>
    <row r="570">
      <c r="A570" s="5" t="str">
        <f>IFERROR(__xludf.DUMMYFUNCTION("""COMPUTED_VALUE"""),"81 Magic Stars")</f>
        <v>81 Magic Stars</v>
      </c>
      <c r="B570" s="5" t="str">
        <f>IFERROR(__xludf.DUMMYFUNCTION("""COMPUTED_VALUE"""),"")</f>
        <v/>
      </c>
      <c r="C570" s="5" t="str">
        <f>IFERROR(__xludf.DUMMYFUNCTION("""COMPUTED_VALUE"""),"")</f>
        <v/>
      </c>
      <c r="D570" s="5" t="str">
        <f>IFERROR(__xludf.DUMMYFUNCTION("""COMPUTED_VALUE"""),"")</f>
        <v/>
      </c>
      <c r="E570" s="5" t="str">
        <f>IFERROR(__xludf.DUMMYFUNCTION("""COMPUTED_VALUE"""),"")</f>
        <v/>
      </c>
      <c r="F570" s="5" t="str">
        <f>IFERROR(__xludf.DUMMYFUNCTION("""COMPUTED_VALUE"""),"")</f>
        <v/>
      </c>
      <c r="G570" s="5" t="str">
        <f>IFERROR(__xludf.DUMMYFUNCTION("""COMPUTED_VALUE"""),"")</f>
        <v/>
      </c>
      <c r="H570" s="5" t="str">
        <f>IFERROR(__xludf.DUMMYFUNCTION("""COMPUTED_VALUE"""),"")</f>
        <v/>
      </c>
      <c r="I570" s="5" t="str">
        <f>IFERROR(__xludf.DUMMYFUNCTION("""COMPUTED_VALUE"""),"")</f>
        <v/>
      </c>
      <c r="J570" s="5" t="str">
        <f>IFERROR(__xludf.DUMMYFUNCTION("""COMPUTED_VALUE"""),"")</f>
        <v/>
      </c>
      <c r="K570" s="5" t="str">
        <f>IFERROR(__xludf.DUMMYFUNCTION("""COMPUTED_VALUE"""),"")</f>
        <v/>
      </c>
      <c r="L570" s="5" t="str">
        <f>IFERROR(__xludf.DUMMYFUNCTION("""COMPUTED_VALUE"""),"")</f>
        <v/>
      </c>
      <c r="M570" s="5" t="str">
        <f>IFERROR(__xludf.DUMMYFUNCTION("""COMPUTED_VALUE"""),"")</f>
        <v/>
      </c>
      <c r="N570" s="5" t="str">
        <f>IFERROR(__xludf.DUMMYFUNCTION("""COMPUTED_VALUE"""),"")</f>
        <v/>
      </c>
      <c r="O570" s="5" t="str">
        <f>IFERROR(__xludf.DUMMYFUNCTION("""COMPUTED_VALUE"""),"")</f>
        <v/>
      </c>
      <c r="P570" s="5" t="str">
        <f>IFERROR(__xludf.DUMMYFUNCTION("""COMPUTED_VALUE"""),"")</f>
        <v/>
      </c>
      <c r="Q570" s="5" t="str">
        <f>IFERROR(__xludf.DUMMYFUNCTION("""COMPUTED_VALUE"""),"")</f>
        <v/>
      </c>
      <c r="R570" s="5" t="str">
        <f>IFERROR(__xludf.DUMMYFUNCTION("""COMPUTED_VALUE"""),"")</f>
        <v/>
      </c>
      <c r="S570" s="5" t="str">
        <f>IFERROR(__xludf.DUMMYFUNCTION("""COMPUTED_VALUE"""),"")</f>
        <v/>
      </c>
      <c r="T570" s="5" t="str">
        <f>IFERROR(__xludf.DUMMYFUNCTION("""COMPUTED_VALUE"""),"")</f>
        <v/>
      </c>
      <c r="U570" s="5" t="str">
        <f>IFERROR(__xludf.DUMMYFUNCTION("""COMPUTED_VALUE"""),"")</f>
        <v/>
      </c>
      <c r="V570" s="5" t="str">
        <f>IFERROR(__xludf.DUMMYFUNCTION("""COMPUTED_VALUE"""),"")</f>
        <v/>
      </c>
      <c r="W570" s="5" t="str">
        <f>IFERROR(__xludf.DUMMYFUNCTION("""COMPUTED_VALUE"""),"")</f>
        <v/>
      </c>
      <c r="X570" s="5" t="str">
        <f>IFERROR(__xludf.DUMMYFUNCTION("""COMPUTED_VALUE"""),"")</f>
        <v/>
      </c>
      <c r="Y570" s="5"/>
      <c r="Z570" s="5"/>
    </row>
    <row r="571">
      <c r="A571" s="5" t="str">
        <f>IFERROR(__xludf.DUMMYFUNCTION("""COMPUTED_VALUE"""),"Clover Field 40")</f>
        <v>Clover Field 40</v>
      </c>
      <c r="B571" s="5" t="str">
        <f>IFERROR(__xludf.DUMMYFUNCTION("""COMPUTED_VALUE"""),"")</f>
        <v/>
      </c>
      <c r="C571" s="5" t="str">
        <f>IFERROR(__xludf.DUMMYFUNCTION("""COMPUTED_VALUE"""),"")</f>
        <v/>
      </c>
      <c r="D571" s="5" t="str">
        <f>IFERROR(__xludf.DUMMYFUNCTION("""COMPUTED_VALUE"""),"")</f>
        <v/>
      </c>
      <c r="E571" s="5" t="str">
        <f>IFERROR(__xludf.DUMMYFUNCTION("""COMPUTED_VALUE"""),"")</f>
        <v/>
      </c>
      <c r="F571" s="5" t="str">
        <f>IFERROR(__xludf.DUMMYFUNCTION("""COMPUTED_VALUE"""),"")</f>
        <v/>
      </c>
      <c r="G571" s="5" t="str">
        <f>IFERROR(__xludf.DUMMYFUNCTION("""COMPUTED_VALUE"""),"")</f>
        <v/>
      </c>
      <c r="H571" s="5" t="str">
        <f>IFERROR(__xludf.DUMMYFUNCTION("""COMPUTED_VALUE"""),"")</f>
        <v/>
      </c>
      <c r="I571" s="5" t="str">
        <f>IFERROR(__xludf.DUMMYFUNCTION("""COMPUTED_VALUE"""),"")</f>
        <v/>
      </c>
      <c r="J571" s="5" t="str">
        <f>IFERROR(__xludf.DUMMYFUNCTION("""COMPUTED_VALUE"""),"")</f>
        <v/>
      </c>
      <c r="K571" s="5" t="str">
        <f>IFERROR(__xludf.DUMMYFUNCTION("""COMPUTED_VALUE"""),"")</f>
        <v/>
      </c>
      <c r="L571" s="5" t="str">
        <f>IFERROR(__xludf.DUMMYFUNCTION("""COMPUTED_VALUE"""),"")</f>
        <v/>
      </c>
      <c r="M571" s="5" t="str">
        <f>IFERROR(__xludf.DUMMYFUNCTION("""COMPUTED_VALUE"""),"")</f>
        <v/>
      </c>
      <c r="N571" s="5" t="str">
        <f>IFERROR(__xludf.DUMMYFUNCTION("""COMPUTED_VALUE"""),"")</f>
        <v/>
      </c>
      <c r="O571" s="5" t="str">
        <f>IFERROR(__xludf.DUMMYFUNCTION("""COMPUTED_VALUE"""),"")</f>
        <v/>
      </c>
      <c r="P571" s="5" t="str">
        <f>IFERROR(__xludf.DUMMYFUNCTION("""COMPUTED_VALUE"""),"")</f>
        <v/>
      </c>
      <c r="Q571" s="5" t="str">
        <f>IFERROR(__xludf.DUMMYFUNCTION("""COMPUTED_VALUE"""),"")</f>
        <v/>
      </c>
      <c r="R571" s="5" t="str">
        <f>IFERROR(__xludf.DUMMYFUNCTION("""COMPUTED_VALUE"""),"")</f>
        <v/>
      </c>
      <c r="S571" s="5" t="str">
        <f>IFERROR(__xludf.DUMMYFUNCTION("""COMPUTED_VALUE"""),"")</f>
        <v/>
      </c>
      <c r="T571" s="5" t="str">
        <f>IFERROR(__xludf.DUMMYFUNCTION("""COMPUTED_VALUE"""),"")</f>
        <v/>
      </c>
      <c r="U571" s="5" t="str">
        <f>IFERROR(__xludf.DUMMYFUNCTION("""COMPUTED_VALUE"""),"")</f>
        <v/>
      </c>
      <c r="V571" s="5" t="str">
        <f>IFERROR(__xludf.DUMMYFUNCTION("""COMPUTED_VALUE"""),"")</f>
        <v/>
      </c>
      <c r="W571" s="5" t="str">
        <f>IFERROR(__xludf.DUMMYFUNCTION("""COMPUTED_VALUE"""),"")</f>
        <v/>
      </c>
      <c r="X571" s="5" t="str">
        <f>IFERROR(__xludf.DUMMYFUNCTION("""COMPUTED_VALUE"""),"")</f>
        <v/>
      </c>
      <c r="Y571" s="5"/>
      <c r="Z571" s="5"/>
    </row>
    <row r="572">
      <c r="A572" s="5" t="str">
        <f>IFERROR(__xludf.DUMMYFUNCTION("""COMPUTED_VALUE"""),"Elf &amp; Roll")</f>
        <v>Elf &amp; Roll</v>
      </c>
      <c r="B572" s="5" t="str">
        <f>IFERROR(__xludf.DUMMYFUNCTION("""COMPUTED_VALUE"""),"")</f>
        <v/>
      </c>
      <c r="C572" s="5" t="str">
        <f>IFERROR(__xludf.DUMMYFUNCTION("""COMPUTED_VALUE"""),"")</f>
        <v/>
      </c>
      <c r="D572" s="5" t="str">
        <f>IFERROR(__xludf.DUMMYFUNCTION("""COMPUTED_VALUE"""),"")</f>
        <v/>
      </c>
      <c r="E572" s="5" t="str">
        <f>IFERROR(__xludf.DUMMYFUNCTION("""COMPUTED_VALUE"""),"")</f>
        <v/>
      </c>
      <c r="F572" s="5" t="str">
        <f>IFERROR(__xludf.DUMMYFUNCTION("""COMPUTED_VALUE"""),"")</f>
        <v/>
      </c>
      <c r="G572" s="5" t="str">
        <f>IFERROR(__xludf.DUMMYFUNCTION("""COMPUTED_VALUE"""),"")</f>
        <v/>
      </c>
      <c r="H572" s="5" t="str">
        <f>IFERROR(__xludf.DUMMYFUNCTION("""COMPUTED_VALUE"""),"")</f>
        <v/>
      </c>
      <c r="I572" s="5" t="str">
        <f>IFERROR(__xludf.DUMMYFUNCTION("""COMPUTED_VALUE"""),"")</f>
        <v/>
      </c>
      <c r="J572" s="5" t="str">
        <f>IFERROR(__xludf.DUMMYFUNCTION("""COMPUTED_VALUE"""),"")</f>
        <v/>
      </c>
      <c r="K572" s="5" t="str">
        <f>IFERROR(__xludf.DUMMYFUNCTION("""COMPUTED_VALUE"""),"")</f>
        <v/>
      </c>
      <c r="L572" s="5" t="str">
        <f>IFERROR(__xludf.DUMMYFUNCTION("""COMPUTED_VALUE"""),"")</f>
        <v/>
      </c>
      <c r="M572" s="5" t="str">
        <f>IFERROR(__xludf.DUMMYFUNCTION("""COMPUTED_VALUE"""),"")</f>
        <v/>
      </c>
      <c r="N572" s="5" t="str">
        <f>IFERROR(__xludf.DUMMYFUNCTION("""COMPUTED_VALUE"""),"")</f>
        <v/>
      </c>
      <c r="O572" s="5" t="str">
        <f>IFERROR(__xludf.DUMMYFUNCTION("""COMPUTED_VALUE"""),"")</f>
        <v/>
      </c>
      <c r="P572" s="5" t="str">
        <f>IFERROR(__xludf.DUMMYFUNCTION("""COMPUTED_VALUE"""),"")</f>
        <v/>
      </c>
      <c r="Q572" s="5" t="str">
        <f>IFERROR(__xludf.DUMMYFUNCTION("""COMPUTED_VALUE"""),"")</f>
        <v/>
      </c>
      <c r="R572" s="5" t="str">
        <f>IFERROR(__xludf.DUMMYFUNCTION("""COMPUTED_VALUE"""),"")</f>
        <v/>
      </c>
      <c r="S572" s="5" t="str">
        <f>IFERROR(__xludf.DUMMYFUNCTION("""COMPUTED_VALUE"""),"")</f>
        <v/>
      </c>
      <c r="T572" s="5" t="str">
        <f>IFERROR(__xludf.DUMMYFUNCTION("""COMPUTED_VALUE"""),"")</f>
        <v/>
      </c>
      <c r="U572" s="5" t="str">
        <f>IFERROR(__xludf.DUMMYFUNCTION("""COMPUTED_VALUE"""),"")</f>
        <v/>
      </c>
      <c r="V572" s="5" t="str">
        <f>IFERROR(__xludf.DUMMYFUNCTION("""COMPUTED_VALUE"""),"")</f>
        <v/>
      </c>
      <c r="W572" s="5" t="str">
        <f>IFERROR(__xludf.DUMMYFUNCTION("""COMPUTED_VALUE"""),"")</f>
        <v/>
      </c>
      <c r="X572" s="5" t="str">
        <f>IFERROR(__xludf.DUMMYFUNCTION("""COMPUTED_VALUE"""),"")</f>
        <v/>
      </c>
      <c r="Y572" s="5"/>
      <c r="Z572" s="5"/>
    </row>
    <row r="573">
      <c r="A573" s="5" t="str">
        <f>IFERROR(__xludf.DUMMYFUNCTION("""COMPUTED_VALUE"""),"Multi Heart 5")</f>
        <v>Multi Heart 5</v>
      </c>
      <c r="B573" s="5" t="str">
        <f>IFERROR(__xludf.DUMMYFUNCTION("""COMPUTED_VALUE"""),"")</f>
        <v/>
      </c>
      <c r="C573" s="5" t="str">
        <f>IFERROR(__xludf.DUMMYFUNCTION("""COMPUTED_VALUE"""),"")</f>
        <v/>
      </c>
      <c r="D573" s="5" t="str">
        <f>IFERROR(__xludf.DUMMYFUNCTION("""COMPUTED_VALUE"""),"")</f>
        <v/>
      </c>
      <c r="E573" s="5" t="str">
        <f>IFERROR(__xludf.DUMMYFUNCTION("""COMPUTED_VALUE"""),"")</f>
        <v/>
      </c>
      <c r="F573" s="5" t="str">
        <f>IFERROR(__xludf.DUMMYFUNCTION("""COMPUTED_VALUE"""),"")</f>
        <v/>
      </c>
      <c r="G573" s="5" t="str">
        <f>IFERROR(__xludf.DUMMYFUNCTION("""COMPUTED_VALUE"""),"")</f>
        <v/>
      </c>
      <c r="H573" s="5" t="str">
        <f>IFERROR(__xludf.DUMMYFUNCTION("""COMPUTED_VALUE"""),"")</f>
        <v/>
      </c>
      <c r="I573" s="5" t="str">
        <f>IFERROR(__xludf.DUMMYFUNCTION("""COMPUTED_VALUE"""),"")</f>
        <v/>
      </c>
      <c r="J573" s="5" t="str">
        <f>IFERROR(__xludf.DUMMYFUNCTION("""COMPUTED_VALUE"""),"")</f>
        <v/>
      </c>
      <c r="K573" s="5" t="str">
        <f>IFERROR(__xludf.DUMMYFUNCTION("""COMPUTED_VALUE"""),"")</f>
        <v/>
      </c>
      <c r="L573" s="5" t="str">
        <f>IFERROR(__xludf.DUMMYFUNCTION("""COMPUTED_VALUE"""),"")</f>
        <v/>
      </c>
      <c r="M573" s="5" t="str">
        <f>IFERROR(__xludf.DUMMYFUNCTION("""COMPUTED_VALUE"""),"")</f>
        <v/>
      </c>
      <c r="N573" s="5" t="str">
        <f>IFERROR(__xludf.DUMMYFUNCTION("""COMPUTED_VALUE"""),"")</f>
        <v/>
      </c>
      <c r="O573" s="5" t="str">
        <f>IFERROR(__xludf.DUMMYFUNCTION("""COMPUTED_VALUE"""),"")</f>
        <v/>
      </c>
      <c r="P573" s="5" t="str">
        <f>IFERROR(__xludf.DUMMYFUNCTION("""COMPUTED_VALUE"""),"")</f>
        <v/>
      </c>
      <c r="Q573" s="5" t="str">
        <f>IFERROR(__xludf.DUMMYFUNCTION("""COMPUTED_VALUE"""),"")</f>
        <v/>
      </c>
      <c r="R573" s="5" t="str">
        <f>IFERROR(__xludf.DUMMYFUNCTION("""COMPUTED_VALUE"""),"")</f>
        <v/>
      </c>
      <c r="S573" s="5" t="str">
        <f>IFERROR(__xludf.DUMMYFUNCTION("""COMPUTED_VALUE"""),"")</f>
        <v/>
      </c>
      <c r="T573" s="5" t="str">
        <f>IFERROR(__xludf.DUMMYFUNCTION("""COMPUTED_VALUE"""),"")</f>
        <v/>
      </c>
      <c r="U573" s="5" t="str">
        <f>IFERROR(__xludf.DUMMYFUNCTION("""COMPUTED_VALUE"""),"")</f>
        <v/>
      </c>
      <c r="V573" s="5" t="str">
        <f>IFERROR(__xludf.DUMMYFUNCTION("""COMPUTED_VALUE"""),"")</f>
        <v/>
      </c>
      <c r="W573" s="5" t="str">
        <f>IFERROR(__xludf.DUMMYFUNCTION("""COMPUTED_VALUE"""),"")</f>
        <v/>
      </c>
      <c r="X573" s="5" t="str">
        <f>IFERROR(__xludf.DUMMYFUNCTION("""COMPUTED_VALUE"""),"")</f>
        <v/>
      </c>
      <c r="Y573" s="5"/>
      <c r="Z573" s="5"/>
    </row>
    <row r="574">
      <c r="A574" s="5" t="str">
        <f>IFERROR(__xludf.DUMMYFUNCTION("""COMPUTED_VALUE"""),"20 Wild Heart")</f>
        <v>20 Wild Heart</v>
      </c>
      <c r="B574" s="5" t="str">
        <f>IFERROR(__xludf.DUMMYFUNCTION("""COMPUTED_VALUE"""),"")</f>
        <v/>
      </c>
      <c r="C574" s="5" t="str">
        <f>IFERROR(__xludf.DUMMYFUNCTION("""COMPUTED_VALUE"""),"")</f>
        <v/>
      </c>
      <c r="D574" s="5" t="str">
        <f>IFERROR(__xludf.DUMMYFUNCTION("""COMPUTED_VALUE"""),"")</f>
        <v/>
      </c>
      <c r="E574" s="5" t="str">
        <f>IFERROR(__xludf.DUMMYFUNCTION("""COMPUTED_VALUE"""),"")</f>
        <v/>
      </c>
      <c r="F574" s="5" t="str">
        <f>IFERROR(__xludf.DUMMYFUNCTION("""COMPUTED_VALUE"""),"")</f>
        <v/>
      </c>
      <c r="G574" s="5" t="str">
        <f>IFERROR(__xludf.DUMMYFUNCTION("""COMPUTED_VALUE"""),"")</f>
        <v/>
      </c>
      <c r="H574" s="5" t="str">
        <f>IFERROR(__xludf.DUMMYFUNCTION("""COMPUTED_VALUE"""),"")</f>
        <v/>
      </c>
      <c r="I574" s="5" t="str">
        <f>IFERROR(__xludf.DUMMYFUNCTION("""COMPUTED_VALUE"""),"")</f>
        <v/>
      </c>
      <c r="J574" s="5" t="str">
        <f>IFERROR(__xludf.DUMMYFUNCTION("""COMPUTED_VALUE"""),"")</f>
        <v/>
      </c>
      <c r="K574" s="5" t="str">
        <f>IFERROR(__xludf.DUMMYFUNCTION("""COMPUTED_VALUE"""),"")</f>
        <v/>
      </c>
      <c r="L574" s="5" t="str">
        <f>IFERROR(__xludf.DUMMYFUNCTION("""COMPUTED_VALUE"""),"")</f>
        <v/>
      </c>
      <c r="M574" s="5" t="str">
        <f>IFERROR(__xludf.DUMMYFUNCTION("""COMPUTED_VALUE"""),"")</f>
        <v/>
      </c>
      <c r="N574" s="5" t="str">
        <f>IFERROR(__xludf.DUMMYFUNCTION("""COMPUTED_VALUE"""),"")</f>
        <v/>
      </c>
      <c r="O574" s="5" t="str">
        <f>IFERROR(__xludf.DUMMYFUNCTION("""COMPUTED_VALUE"""),"")</f>
        <v/>
      </c>
      <c r="P574" s="5" t="str">
        <f>IFERROR(__xludf.DUMMYFUNCTION("""COMPUTED_VALUE"""),"")</f>
        <v/>
      </c>
      <c r="Q574" s="5" t="str">
        <f>IFERROR(__xludf.DUMMYFUNCTION("""COMPUTED_VALUE"""),"")</f>
        <v/>
      </c>
      <c r="R574" s="5" t="str">
        <f>IFERROR(__xludf.DUMMYFUNCTION("""COMPUTED_VALUE"""),"")</f>
        <v/>
      </c>
      <c r="S574" s="5" t="str">
        <f>IFERROR(__xludf.DUMMYFUNCTION("""COMPUTED_VALUE"""),"")</f>
        <v/>
      </c>
      <c r="T574" s="5" t="str">
        <f>IFERROR(__xludf.DUMMYFUNCTION("""COMPUTED_VALUE"""),"")</f>
        <v/>
      </c>
      <c r="U574" s="5" t="str">
        <f>IFERROR(__xludf.DUMMYFUNCTION("""COMPUTED_VALUE"""),"")</f>
        <v/>
      </c>
      <c r="V574" s="5" t="str">
        <f>IFERROR(__xludf.DUMMYFUNCTION("""COMPUTED_VALUE"""),"")</f>
        <v/>
      </c>
      <c r="W574" s="5" t="str">
        <f>IFERROR(__xludf.DUMMYFUNCTION("""COMPUTED_VALUE"""),"")</f>
        <v/>
      </c>
      <c r="X574" s="5" t="str">
        <f>IFERROR(__xludf.DUMMYFUNCTION("""COMPUTED_VALUE"""),"")</f>
        <v/>
      </c>
      <c r="Y574" s="5"/>
      <c r="Z574" s="5"/>
    </row>
    <row r="575">
      <c r="A575" s="5" t="str">
        <f>IFERROR(__xludf.DUMMYFUNCTION("""COMPUTED_VALUE"""),"Fortune Clover x2 Xmas")</f>
        <v>Fortune Clover x2 Xmas</v>
      </c>
      <c r="B575" s="5" t="str">
        <f>IFERROR(__xludf.DUMMYFUNCTION("""COMPUTED_VALUE"""),"")</f>
        <v/>
      </c>
      <c r="C575" s="5" t="str">
        <f>IFERROR(__xludf.DUMMYFUNCTION("""COMPUTED_VALUE"""),"")</f>
        <v/>
      </c>
      <c r="D575" s="5" t="str">
        <f>IFERROR(__xludf.DUMMYFUNCTION("""COMPUTED_VALUE"""),"")</f>
        <v/>
      </c>
      <c r="E575" s="5" t="str">
        <f>IFERROR(__xludf.DUMMYFUNCTION("""COMPUTED_VALUE"""),"")</f>
        <v/>
      </c>
      <c r="F575" s="5" t="str">
        <f>IFERROR(__xludf.DUMMYFUNCTION("""COMPUTED_VALUE"""),"")</f>
        <v/>
      </c>
      <c r="G575" s="5" t="str">
        <f>IFERROR(__xludf.DUMMYFUNCTION("""COMPUTED_VALUE"""),"")</f>
        <v/>
      </c>
      <c r="H575" s="5" t="str">
        <f>IFERROR(__xludf.DUMMYFUNCTION("""COMPUTED_VALUE"""),"")</f>
        <v/>
      </c>
      <c r="I575" s="5" t="str">
        <f>IFERROR(__xludf.DUMMYFUNCTION("""COMPUTED_VALUE"""),"")</f>
        <v/>
      </c>
      <c r="J575" s="5" t="str">
        <f>IFERROR(__xludf.DUMMYFUNCTION("""COMPUTED_VALUE"""),"")</f>
        <v/>
      </c>
      <c r="K575" s="5" t="str">
        <f>IFERROR(__xludf.DUMMYFUNCTION("""COMPUTED_VALUE"""),"")</f>
        <v/>
      </c>
      <c r="L575" s="5" t="str">
        <f>IFERROR(__xludf.DUMMYFUNCTION("""COMPUTED_VALUE"""),"")</f>
        <v/>
      </c>
      <c r="M575" s="5" t="str">
        <f>IFERROR(__xludf.DUMMYFUNCTION("""COMPUTED_VALUE"""),"")</f>
        <v/>
      </c>
      <c r="N575" s="5" t="str">
        <f>IFERROR(__xludf.DUMMYFUNCTION("""COMPUTED_VALUE"""),"")</f>
        <v/>
      </c>
      <c r="O575" s="5" t="str">
        <f>IFERROR(__xludf.DUMMYFUNCTION("""COMPUTED_VALUE"""),"")</f>
        <v/>
      </c>
      <c r="P575" s="5" t="str">
        <f>IFERROR(__xludf.DUMMYFUNCTION("""COMPUTED_VALUE"""),"")</f>
        <v/>
      </c>
      <c r="Q575" s="5" t="str">
        <f>IFERROR(__xludf.DUMMYFUNCTION("""COMPUTED_VALUE"""),"")</f>
        <v/>
      </c>
      <c r="R575" s="5" t="str">
        <f>IFERROR(__xludf.DUMMYFUNCTION("""COMPUTED_VALUE"""),"")</f>
        <v/>
      </c>
      <c r="S575" s="5" t="str">
        <f>IFERROR(__xludf.DUMMYFUNCTION("""COMPUTED_VALUE"""),"")</f>
        <v/>
      </c>
      <c r="T575" s="5" t="str">
        <f>IFERROR(__xludf.DUMMYFUNCTION("""COMPUTED_VALUE"""),"")</f>
        <v/>
      </c>
      <c r="U575" s="5" t="str">
        <f>IFERROR(__xludf.DUMMYFUNCTION("""COMPUTED_VALUE"""),"")</f>
        <v/>
      </c>
      <c r="V575" s="5" t="str">
        <f>IFERROR(__xludf.DUMMYFUNCTION("""COMPUTED_VALUE"""),"")</f>
        <v/>
      </c>
      <c r="W575" s="5" t="str">
        <f>IFERROR(__xludf.DUMMYFUNCTION("""COMPUTED_VALUE"""),"")</f>
        <v/>
      </c>
      <c r="X575" s="5" t="str">
        <f>IFERROR(__xludf.DUMMYFUNCTION("""COMPUTED_VALUE"""),"")</f>
        <v/>
      </c>
      <c r="Y575" s="5"/>
      <c r="Z575" s="5"/>
    </row>
    <row r="576">
      <c r="A576" s="5" t="str">
        <f>IFERROR(__xludf.DUMMYFUNCTION("""COMPUTED_VALUE"""),"Chilli Hot 40")</f>
        <v>Chilli Hot 40</v>
      </c>
      <c r="B576" s="5" t="str">
        <f>IFERROR(__xludf.DUMMYFUNCTION("""COMPUTED_VALUE"""),"")</f>
        <v/>
      </c>
      <c r="C576" s="5" t="str">
        <f>IFERROR(__xludf.DUMMYFUNCTION("""COMPUTED_VALUE"""),"")</f>
        <v/>
      </c>
      <c r="D576" s="5" t="str">
        <f>IFERROR(__xludf.DUMMYFUNCTION("""COMPUTED_VALUE"""),"")</f>
        <v/>
      </c>
      <c r="E576" s="5" t="str">
        <f>IFERROR(__xludf.DUMMYFUNCTION("""COMPUTED_VALUE"""),"")</f>
        <v/>
      </c>
      <c r="F576" s="5" t="str">
        <f>IFERROR(__xludf.DUMMYFUNCTION("""COMPUTED_VALUE"""),"")</f>
        <v/>
      </c>
      <c r="G576" s="5" t="str">
        <f>IFERROR(__xludf.DUMMYFUNCTION("""COMPUTED_VALUE"""),"")</f>
        <v/>
      </c>
      <c r="H576" s="5" t="str">
        <f>IFERROR(__xludf.DUMMYFUNCTION("""COMPUTED_VALUE"""),"")</f>
        <v/>
      </c>
      <c r="I576" s="5" t="str">
        <f>IFERROR(__xludf.DUMMYFUNCTION("""COMPUTED_VALUE"""),"")</f>
        <v/>
      </c>
      <c r="J576" s="5" t="str">
        <f>IFERROR(__xludf.DUMMYFUNCTION("""COMPUTED_VALUE"""),"")</f>
        <v/>
      </c>
      <c r="K576" s="5" t="str">
        <f>IFERROR(__xludf.DUMMYFUNCTION("""COMPUTED_VALUE"""),"")</f>
        <v/>
      </c>
      <c r="L576" s="5" t="str">
        <f>IFERROR(__xludf.DUMMYFUNCTION("""COMPUTED_VALUE"""),"")</f>
        <v/>
      </c>
      <c r="M576" s="5" t="str">
        <f>IFERROR(__xludf.DUMMYFUNCTION("""COMPUTED_VALUE"""),"")</f>
        <v/>
      </c>
      <c r="N576" s="5" t="str">
        <f>IFERROR(__xludf.DUMMYFUNCTION("""COMPUTED_VALUE"""),"")</f>
        <v/>
      </c>
      <c r="O576" s="5" t="str">
        <f>IFERROR(__xludf.DUMMYFUNCTION("""COMPUTED_VALUE"""),"")</f>
        <v/>
      </c>
      <c r="P576" s="5" t="str">
        <f>IFERROR(__xludf.DUMMYFUNCTION("""COMPUTED_VALUE"""),"")</f>
        <v/>
      </c>
      <c r="Q576" s="5" t="str">
        <f>IFERROR(__xludf.DUMMYFUNCTION("""COMPUTED_VALUE"""),"")</f>
        <v/>
      </c>
      <c r="R576" s="5" t="str">
        <f>IFERROR(__xludf.DUMMYFUNCTION("""COMPUTED_VALUE"""),"")</f>
        <v/>
      </c>
      <c r="S576" s="5" t="str">
        <f>IFERROR(__xludf.DUMMYFUNCTION("""COMPUTED_VALUE"""),"")</f>
        <v/>
      </c>
      <c r="T576" s="5" t="str">
        <f>IFERROR(__xludf.DUMMYFUNCTION("""COMPUTED_VALUE"""),"")</f>
        <v/>
      </c>
      <c r="U576" s="5" t="str">
        <f>IFERROR(__xludf.DUMMYFUNCTION("""COMPUTED_VALUE"""),"")</f>
        <v/>
      </c>
      <c r="V576" s="5" t="str">
        <f>IFERROR(__xludf.DUMMYFUNCTION("""COMPUTED_VALUE"""),"")</f>
        <v/>
      </c>
      <c r="W576" s="5" t="str">
        <f>IFERROR(__xludf.DUMMYFUNCTION("""COMPUTED_VALUE"""),"")</f>
        <v/>
      </c>
      <c r="X576" s="5" t="str">
        <f>IFERROR(__xludf.DUMMYFUNCTION("""COMPUTED_VALUE"""),"")</f>
        <v/>
      </c>
      <c r="Y576" s="5"/>
      <c r="Z576" s="5"/>
    </row>
    <row r="577">
      <c r="A577" s="5" t="str">
        <f>IFERROR(__xludf.DUMMYFUNCTION("""COMPUTED_VALUE"""),"Gears of Fortune")</f>
        <v>Gears of Fortune</v>
      </c>
      <c r="B577" s="5" t="str">
        <f>IFERROR(__xludf.DUMMYFUNCTION("""COMPUTED_VALUE"""),"")</f>
        <v/>
      </c>
      <c r="C577" s="5" t="str">
        <f>IFERROR(__xludf.DUMMYFUNCTION("""COMPUTED_VALUE"""),"")</f>
        <v/>
      </c>
      <c r="D577" s="5" t="str">
        <f>IFERROR(__xludf.DUMMYFUNCTION("""COMPUTED_VALUE"""),"")</f>
        <v/>
      </c>
      <c r="E577" s="5" t="str">
        <f>IFERROR(__xludf.DUMMYFUNCTION("""COMPUTED_VALUE"""),"")</f>
        <v/>
      </c>
      <c r="F577" s="5" t="str">
        <f>IFERROR(__xludf.DUMMYFUNCTION("""COMPUTED_VALUE"""),"")</f>
        <v/>
      </c>
      <c r="G577" s="5" t="str">
        <f>IFERROR(__xludf.DUMMYFUNCTION("""COMPUTED_VALUE"""),"")</f>
        <v/>
      </c>
      <c r="H577" s="5" t="str">
        <f>IFERROR(__xludf.DUMMYFUNCTION("""COMPUTED_VALUE"""),"")</f>
        <v/>
      </c>
      <c r="I577" s="5" t="str">
        <f>IFERROR(__xludf.DUMMYFUNCTION("""COMPUTED_VALUE"""),"")</f>
        <v/>
      </c>
      <c r="J577" s="5" t="str">
        <f>IFERROR(__xludf.DUMMYFUNCTION("""COMPUTED_VALUE"""),"")</f>
        <v/>
      </c>
      <c r="K577" s="5" t="str">
        <f>IFERROR(__xludf.DUMMYFUNCTION("""COMPUTED_VALUE"""),"")</f>
        <v/>
      </c>
      <c r="L577" s="5" t="str">
        <f>IFERROR(__xludf.DUMMYFUNCTION("""COMPUTED_VALUE"""),"")</f>
        <v/>
      </c>
      <c r="M577" s="5" t="str">
        <f>IFERROR(__xludf.DUMMYFUNCTION("""COMPUTED_VALUE"""),"")</f>
        <v/>
      </c>
      <c r="N577" s="5" t="str">
        <f>IFERROR(__xludf.DUMMYFUNCTION("""COMPUTED_VALUE"""),"")</f>
        <v/>
      </c>
      <c r="O577" s="5" t="str">
        <f>IFERROR(__xludf.DUMMYFUNCTION("""COMPUTED_VALUE"""),"")</f>
        <v/>
      </c>
      <c r="P577" s="5" t="str">
        <f>IFERROR(__xludf.DUMMYFUNCTION("""COMPUTED_VALUE"""),"")</f>
        <v/>
      </c>
      <c r="Q577" s="5" t="str">
        <f>IFERROR(__xludf.DUMMYFUNCTION("""COMPUTED_VALUE"""),"")</f>
        <v/>
      </c>
      <c r="R577" s="5" t="str">
        <f>IFERROR(__xludf.DUMMYFUNCTION("""COMPUTED_VALUE"""),"")</f>
        <v/>
      </c>
      <c r="S577" s="5" t="str">
        <f>IFERROR(__xludf.DUMMYFUNCTION("""COMPUTED_VALUE"""),"")</f>
        <v/>
      </c>
      <c r="T577" s="5" t="str">
        <f>IFERROR(__xludf.DUMMYFUNCTION("""COMPUTED_VALUE"""),"")</f>
        <v/>
      </c>
      <c r="U577" s="5" t="str">
        <f>IFERROR(__xludf.DUMMYFUNCTION("""COMPUTED_VALUE"""),"")</f>
        <v/>
      </c>
      <c r="V577" s="5" t="str">
        <f>IFERROR(__xludf.DUMMYFUNCTION("""COMPUTED_VALUE"""),"")</f>
        <v/>
      </c>
      <c r="W577" s="5" t="str">
        <f>IFERROR(__xludf.DUMMYFUNCTION("""COMPUTED_VALUE"""),"")</f>
        <v/>
      </c>
      <c r="X577" s="5" t="str">
        <f>IFERROR(__xludf.DUMMYFUNCTION("""COMPUTED_VALUE"""),"")</f>
        <v/>
      </c>
      <c r="Y577" s="5"/>
      <c r="Z577" s="5"/>
    </row>
    <row r="578">
      <c r="A578" s="5" t="str">
        <f>IFERROR(__xludf.DUMMYFUNCTION("""COMPUTED_VALUE"""),"Inferno Hot 20")</f>
        <v>Inferno Hot 20</v>
      </c>
      <c r="B578" s="5" t="str">
        <f>IFERROR(__xludf.DUMMYFUNCTION("""COMPUTED_VALUE"""),"")</f>
        <v/>
      </c>
      <c r="C578" s="5" t="str">
        <f>IFERROR(__xludf.DUMMYFUNCTION("""COMPUTED_VALUE"""),"")</f>
        <v/>
      </c>
      <c r="D578" s="5" t="str">
        <f>IFERROR(__xludf.DUMMYFUNCTION("""COMPUTED_VALUE"""),"")</f>
        <v/>
      </c>
      <c r="E578" s="5" t="str">
        <f>IFERROR(__xludf.DUMMYFUNCTION("""COMPUTED_VALUE"""),"")</f>
        <v/>
      </c>
      <c r="F578" s="5" t="str">
        <f>IFERROR(__xludf.DUMMYFUNCTION("""COMPUTED_VALUE"""),"")</f>
        <v/>
      </c>
      <c r="G578" s="5" t="str">
        <f>IFERROR(__xludf.DUMMYFUNCTION("""COMPUTED_VALUE"""),"")</f>
        <v/>
      </c>
      <c r="H578" s="5" t="str">
        <f>IFERROR(__xludf.DUMMYFUNCTION("""COMPUTED_VALUE"""),"")</f>
        <v/>
      </c>
      <c r="I578" s="5" t="str">
        <f>IFERROR(__xludf.DUMMYFUNCTION("""COMPUTED_VALUE"""),"")</f>
        <v/>
      </c>
      <c r="J578" s="5" t="str">
        <f>IFERROR(__xludf.DUMMYFUNCTION("""COMPUTED_VALUE"""),"")</f>
        <v/>
      </c>
      <c r="K578" s="5" t="str">
        <f>IFERROR(__xludf.DUMMYFUNCTION("""COMPUTED_VALUE"""),"")</f>
        <v/>
      </c>
      <c r="L578" s="5" t="str">
        <f>IFERROR(__xludf.DUMMYFUNCTION("""COMPUTED_VALUE"""),"")</f>
        <v/>
      </c>
      <c r="M578" s="5" t="str">
        <f>IFERROR(__xludf.DUMMYFUNCTION("""COMPUTED_VALUE"""),"")</f>
        <v/>
      </c>
      <c r="N578" s="5" t="str">
        <f>IFERROR(__xludf.DUMMYFUNCTION("""COMPUTED_VALUE"""),"")</f>
        <v/>
      </c>
      <c r="O578" s="5" t="str">
        <f>IFERROR(__xludf.DUMMYFUNCTION("""COMPUTED_VALUE"""),"")</f>
        <v/>
      </c>
      <c r="P578" s="5" t="str">
        <f>IFERROR(__xludf.DUMMYFUNCTION("""COMPUTED_VALUE"""),"")</f>
        <v/>
      </c>
      <c r="Q578" s="5" t="str">
        <f>IFERROR(__xludf.DUMMYFUNCTION("""COMPUTED_VALUE"""),"")</f>
        <v/>
      </c>
      <c r="R578" s="5" t="str">
        <f>IFERROR(__xludf.DUMMYFUNCTION("""COMPUTED_VALUE"""),"")</f>
        <v/>
      </c>
      <c r="S578" s="5" t="str">
        <f>IFERROR(__xludf.DUMMYFUNCTION("""COMPUTED_VALUE"""),"")</f>
        <v/>
      </c>
      <c r="T578" s="5" t="str">
        <f>IFERROR(__xludf.DUMMYFUNCTION("""COMPUTED_VALUE"""),"")</f>
        <v/>
      </c>
      <c r="U578" s="5" t="str">
        <f>IFERROR(__xludf.DUMMYFUNCTION("""COMPUTED_VALUE"""),"")</f>
        <v/>
      </c>
      <c r="V578" s="5" t="str">
        <f>IFERROR(__xludf.DUMMYFUNCTION("""COMPUTED_VALUE"""),"")</f>
        <v/>
      </c>
      <c r="W578" s="5" t="str">
        <f>IFERROR(__xludf.DUMMYFUNCTION("""COMPUTED_VALUE"""),"")</f>
        <v/>
      </c>
      <c r="X578" s="5" t="str">
        <f>IFERROR(__xludf.DUMMYFUNCTION("""COMPUTED_VALUE"""),"")</f>
        <v/>
      </c>
      <c r="Y578" s="5"/>
      <c r="Z578" s="5"/>
    </row>
    <row r="579">
      <c r="A579" s="5" t="str">
        <f>IFERROR(__xludf.DUMMYFUNCTION("""COMPUTED_VALUE"""),"Crown Blast 40")</f>
        <v>Crown Blast 40</v>
      </c>
      <c r="B579" s="5" t="str">
        <f>IFERROR(__xludf.DUMMYFUNCTION("""COMPUTED_VALUE"""),"")</f>
        <v/>
      </c>
      <c r="C579" s="5" t="str">
        <f>IFERROR(__xludf.DUMMYFUNCTION("""COMPUTED_VALUE"""),"")</f>
        <v/>
      </c>
      <c r="D579" s="5" t="str">
        <f>IFERROR(__xludf.DUMMYFUNCTION("""COMPUTED_VALUE"""),"")</f>
        <v/>
      </c>
      <c r="E579" s="5" t="str">
        <f>IFERROR(__xludf.DUMMYFUNCTION("""COMPUTED_VALUE"""),"")</f>
        <v/>
      </c>
      <c r="F579" s="5" t="str">
        <f>IFERROR(__xludf.DUMMYFUNCTION("""COMPUTED_VALUE"""),"")</f>
        <v/>
      </c>
      <c r="G579" s="5" t="str">
        <f>IFERROR(__xludf.DUMMYFUNCTION("""COMPUTED_VALUE"""),"")</f>
        <v/>
      </c>
      <c r="H579" s="5" t="str">
        <f>IFERROR(__xludf.DUMMYFUNCTION("""COMPUTED_VALUE"""),"")</f>
        <v/>
      </c>
      <c r="I579" s="5" t="str">
        <f>IFERROR(__xludf.DUMMYFUNCTION("""COMPUTED_VALUE"""),"")</f>
        <v/>
      </c>
      <c r="J579" s="5" t="str">
        <f>IFERROR(__xludf.DUMMYFUNCTION("""COMPUTED_VALUE"""),"")</f>
        <v/>
      </c>
      <c r="K579" s="5" t="str">
        <f>IFERROR(__xludf.DUMMYFUNCTION("""COMPUTED_VALUE"""),"")</f>
        <v/>
      </c>
      <c r="L579" s="5" t="str">
        <f>IFERROR(__xludf.DUMMYFUNCTION("""COMPUTED_VALUE"""),"")</f>
        <v/>
      </c>
      <c r="M579" s="5" t="str">
        <f>IFERROR(__xludf.DUMMYFUNCTION("""COMPUTED_VALUE"""),"")</f>
        <v/>
      </c>
      <c r="N579" s="5" t="str">
        <f>IFERROR(__xludf.DUMMYFUNCTION("""COMPUTED_VALUE"""),"")</f>
        <v/>
      </c>
      <c r="O579" s="5" t="str">
        <f>IFERROR(__xludf.DUMMYFUNCTION("""COMPUTED_VALUE"""),"")</f>
        <v/>
      </c>
      <c r="P579" s="5" t="str">
        <f>IFERROR(__xludf.DUMMYFUNCTION("""COMPUTED_VALUE"""),"")</f>
        <v/>
      </c>
      <c r="Q579" s="5" t="str">
        <f>IFERROR(__xludf.DUMMYFUNCTION("""COMPUTED_VALUE"""),"")</f>
        <v/>
      </c>
      <c r="R579" s="5" t="str">
        <f>IFERROR(__xludf.DUMMYFUNCTION("""COMPUTED_VALUE"""),"")</f>
        <v/>
      </c>
      <c r="S579" s="5" t="str">
        <f>IFERROR(__xludf.DUMMYFUNCTION("""COMPUTED_VALUE"""),"")</f>
        <v/>
      </c>
      <c r="T579" s="5" t="str">
        <f>IFERROR(__xludf.DUMMYFUNCTION("""COMPUTED_VALUE"""),"")</f>
        <v/>
      </c>
      <c r="U579" s="5" t="str">
        <f>IFERROR(__xludf.DUMMYFUNCTION("""COMPUTED_VALUE"""),"")</f>
        <v/>
      </c>
      <c r="V579" s="5" t="str">
        <f>IFERROR(__xludf.DUMMYFUNCTION("""COMPUTED_VALUE"""),"")</f>
        <v/>
      </c>
      <c r="W579" s="5" t="str">
        <f>IFERROR(__xludf.DUMMYFUNCTION("""COMPUTED_VALUE"""),"")</f>
        <v/>
      </c>
      <c r="X579" s="5" t="str">
        <f>IFERROR(__xludf.DUMMYFUNCTION("""COMPUTED_VALUE"""),"")</f>
        <v/>
      </c>
      <c r="Y579" s="5"/>
      <c r="Z579" s="5"/>
    </row>
    <row r="580">
      <c r="A580" s="5" t="str">
        <f>IFERROR(__xludf.DUMMYFUNCTION("""COMPUTED_VALUE"""),"Crown Royale")</f>
        <v>Crown Royale</v>
      </c>
      <c r="B580" s="5" t="str">
        <f>IFERROR(__xludf.DUMMYFUNCTION("""COMPUTED_VALUE"""),"")</f>
        <v/>
      </c>
      <c r="C580" s="5" t="str">
        <f>IFERROR(__xludf.DUMMYFUNCTION("""COMPUTED_VALUE"""),"")</f>
        <v/>
      </c>
      <c r="D580" s="5" t="str">
        <f>IFERROR(__xludf.DUMMYFUNCTION("""COMPUTED_VALUE"""),"")</f>
        <v/>
      </c>
      <c r="E580" s="5" t="str">
        <f>IFERROR(__xludf.DUMMYFUNCTION("""COMPUTED_VALUE"""),"")</f>
        <v/>
      </c>
      <c r="F580" s="5" t="str">
        <f>IFERROR(__xludf.DUMMYFUNCTION("""COMPUTED_VALUE"""),"")</f>
        <v/>
      </c>
      <c r="G580" s="5" t="str">
        <f>IFERROR(__xludf.DUMMYFUNCTION("""COMPUTED_VALUE"""),"")</f>
        <v/>
      </c>
      <c r="H580" s="5" t="str">
        <f>IFERROR(__xludf.DUMMYFUNCTION("""COMPUTED_VALUE"""),"")</f>
        <v/>
      </c>
      <c r="I580" s="5" t="str">
        <f>IFERROR(__xludf.DUMMYFUNCTION("""COMPUTED_VALUE"""),"")</f>
        <v/>
      </c>
      <c r="J580" s="5" t="str">
        <f>IFERROR(__xludf.DUMMYFUNCTION("""COMPUTED_VALUE"""),"")</f>
        <v/>
      </c>
      <c r="K580" s="5" t="str">
        <f>IFERROR(__xludf.DUMMYFUNCTION("""COMPUTED_VALUE"""),"")</f>
        <v/>
      </c>
      <c r="L580" s="5" t="str">
        <f>IFERROR(__xludf.DUMMYFUNCTION("""COMPUTED_VALUE"""),"")</f>
        <v/>
      </c>
      <c r="M580" s="5" t="str">
        <f>IFERROR(__xludf.DUMMYFUNCTION("""COMPUTED_VALUE"""),"")</f>
        <v/>
      </c>
      <c r="N580" s="5" t="str">
        <f>IFERROR(__xludf.DUMMYFUNCTION("""COMPUTED_VALUE"""),"")</f>
        <v/>
      </c>
      <c r="O580" s="5" t="str">
        <f>IFERROR(__xludf.DUMMYFUNCTION("""COMPUTED_VALUE"""),"")</f>
        <v/>
      </c>
      <c r="P580" s="5" t="str">
        <f>IFERROR(__xludf.DUMMYFUNCTION("""COMPUTED_VALUE"""),"")</f>
        <v/>
      </c>
      <c r="Q580" s="5" t="str">
        <f>IFERROR(__xludf.DUMMYFUNCTION("""COMPUTED_VALUE"""),"")</f>
        <v/>
      </c>
      <c r="R580" s="5" t="str">
        <f>IFERROR(__xludf.DUMMYFUNCTION("""COMPUTED_VALUE"""),"")</f>
        <v/>
      </c>
      <c r="S580" s="5" t="str">
        <f>IFERROR(__xludf.DUMMYFUNCTION("""COMPUTED_VALUE"""),"")</f>
        <v/>
      </c>
      <c r="T580" s="5" t="str">
        <f>IFERROR(__xludf.DUMMYFUNCTION("""COMPUTED_VALUE"""),"")</f>
        <v/>
      </c>
      <c r="U580" s="5" t="str">
        <f>IFERROR(__xludf.DUMMYFUNCTION("""COMPUTED_VALUE"""),"")</f>
        <v/>
      </c>
      <c r="V580" s="5" t="str">
        <f>IFERROR(__xludf.DUMMYFUNCTION("""COMPUTED_VALUE"""),"")</f>
        <v/>
      </c>
      <c r="W580" s="5" t="str">
        <f>IFERROR(__xludf.DUMMYFUNCTION("""COMPUTED_VALUE"""),"")</f>
        <v/>
      </c>
      <c r="X580" s="5" t="str">
        <f>IFERROR(__xludf.DUMMYFUNCTION("""COMPUTED_VALUE"""),"")</f>
        <v/>
      </c>
      <c r="Y580" s="5"/>
      <c r="Z580" s="5"/>
    </row>
    <row r="581">
      <c r="A581" s="5" t="str">
        <f>IFERROR(__xludf.DUMMYFUNCTION("""COMPUTED_VALUE"""),"Double Clover Fire Christmas")</f>
        <v>Double Clover Fire Christmas</v>
      </c>
      <c r="B581" s="5" t="str">
        <f>IFERROR(__xludf.DUMMYFUNCTION("""COMPUTED_VALUE"""),"")</f>
        <v/>
      </c>
      <c r="C581" s="5" t="str">
        <f>IFERROR(__xludf.DUMMYFUNCTION("""COMPUTED_VALUE"""),"")</f>
        <v/>
      </c>
      <c r="D581" s="5" t="str">
        <f>IFERROR(__xludf.DUMMYFUNCTION("""COMPUTED_VALUE"""),"")</f>
        <v/>
      </c>
      <c r="E581" s="5" t="str">
        <f>IFERROR(__xludf.DUMMYFUNCTION("""COMPUTED_VALUE"""),"")</f>
        <v/>
      </c>
      <c r="F581" s="5" t="str">
        <f>IFERROR(__xludf.DUMMYFUNCTION("""COMPUTED_VALUE"""),"")</f>
        <v/>
      </c>
      <c r="G581" s="5" t="str">
        <f>IFERROR(__xludf.DUMMYFUNCTION("""COMPUTED_VALUE"""),"")</f>
        <v/>
      </c>
      <c r="H581" s="5" t="str">
        <f>IFERROR(__xludf.DUMMYFUNCTION("""COMPUTED_VALUE"""),"")</f>
        <v/>
      </c>
      <c r="I581" s="5" t="str">
        <f>IFERROR(__xludf.DUMMYFUNCTION("""COMPUTED_VALUE"""),"")</f>
        <v/>
      </c>
      <c r="J581" s="5" t="str">
        <f>IFERROR(__xludf.DUMMYFUNCTION("""COMPUTED_VALUE"""),"")</f>
        <v/>
      </c>
      <c r="K581" s="5" t="str">
        <f>IFERROR(__xludf.DUMMYFUNCTION("""COMPUTED_VALUE"""),"")</f>
        <v/>
      </c>
      <c r="L581" s="5" t="str">
        <f>IFERROR(__xludf.DUMMYFUNCTION("""COMPUTED_VALUE"""),"")</f>
        <v/>
      </c>
      <c r="M581" s="5" t="str">
        <f>IFERROR(__xludf.DUMMYFUNCTION("""COMPUTED_VALUE"""),"")</f>
        <v/>
      </c>
      <c r="N581" s="5" t="str">
        <f>IFERROR(__xludf.DUMMYFUNCTION("""COMPUTED_VALUE"""),"")</f>
        <v/>
      </c>
      <c r="O581" s="5" t="str">
        <f>IFERROR(__xludf.DUMMYFUNCTION("""COMPUTED_VALUE"""),"")</f>
        <v/>
      </c>
      <c r="P581" s="5" t="str">
        <f>IFERROR(__xludf.DUMMYFUNCTION("""COMPUTED_VALUE"""),"")</f>
        <v/>
      </c>
      <c r="Q581" s="5" t="str">
        <f>IFERROR(__xludf.DUMMYFUNCTION("""COMPUTED_VALUE"""),"")</f>
        <v/>
      </c>
      <c r="R581" s="5" t="str">
        <f>IFERROR(__xludf.DUMMYFUNCTION("""COMPUTED_VALUE"""),"")</f>
        <v/>
      </c>
      <c r="S581" s="5" t="str">
        <f>IFERROR(__xludf.DUMMYFUNCTION("""COMPUTED_VALUE"""),"")</f>
        <v/>
      </c>
      <c r="T581" s="5" t="str">
        <f>IFERROR(__xludf.DUMMYFUNCTION("""COMPUTED_VALUE"""),"")</f>
        <v/>
      </c>
      <c r="U581" s="5" t="str">
        <f>IFERROR(__xludf.DUMMYFUNCTION("""COMPUTED_VALUE"""),"")</f>
        <v/>
      </c>
      <c r="V581" s="5" t="str">
        <f>IFERROR(__xludf.DUMMYFUNCTION("""COMPUTED_VALUE"""),"")</f>
        <v/>
      </c>
      <c r="W581" s="5" t="str">
        <f>IFERROR(__xludf.DUMMYFUNCTION("""COMPUTED_VALUE"""),"")</f>
        <v/>
      </c>
      <c r="X581" s="5" t="str">
        <f>IFERROR(__xludf.DUMMYFUNCTION("""COMPUTED_VALUE"""),"")</f>
        <v/>
      </c>
      <c r="Y581" s="5"/>
      <c r="Z581" s="5"/>
    </row>
    <row r="582">
      <c r="A582" s="5" t="str">
        <f>IFERROR(__xludf.DUMMYFUNCTION("""COMPUTED_VALUE"""),"Chilli Double 40")</f>
        <v>Chilli Double 40</v>
      </c>
      <c r="B582" s="5" t="str">
        <f>IFERROR(__xludf.DUMMYFUNCTION("""COMPUTED_VALUE"""),"")</f>
        <v/>
      </c>
      <c r="C582" s="5" t="str">
        <f>IFERROR(__xludf.DUMMYFUNCTION("""COMPUTED_VALUE"""),"")</f>
        <v/>
      </c>
      <c r="D582" s="5" t="str">
        <f>IFERROR(__xludf.DUMMYFUNCTION("""COMPUTED_VALUE"""),"")</f>
        <v/>
      </c>
      <c r="E582" s="5" t="str">
        <f>IFERROR(__xludf.DUMMYFUNCTION("""COMPUTED_VALUE"""),"")</f>
        <v/>
      </c>
      <c r="F582" s="5" t="str">
        <f>IFERROR(__xludf.DUMMYFUNCTION("""COMPUTED_VALUE"""),"")</f>
        <v/>
      </c>
      <c r="G582" s="5" t="str">
        <f>IFERROR(__xludf.DUMMYFUNCTION("""COMPUTED_VALUE"""),"")</f>
        <v/>
      </c>
      <c r="H582" s="5" t="str">
        <f>IFERROR(__xludf.DUMMYFUNCTION("""COMPUTED_VALUE"""),"")</f>
        <v/>
      </c>
      <c r="I582" s="5" t="str">
        <f>IFERROR(__xludf.DUMMYFUNCTION("""COMPUTED_VALUE"""),"")</f>
        <v/>
      </c>
      <c r="J582" s="5" t="str">
        <f>IFERROR(__xludf.DUMMYFUNCTION("""COMPUTED_VALUE"""),"")</f>
        <v/>
      </c>
      <c r="K582" s="5" t="str">
        <f>IFERROR(__xludf.DUMMYFUNCTION("""COMPUTED_VALUE"""),"")</f>
        <v/>
      </c>
      <c r="L582" s="5" t="str">
        <f>IFERROR(__xludf.DUMMYFUNCTION("""COMPUTED_VALUE"""),"")</f>
        <v/>
      </c>
      <c r="M582" s="5" t="str">
        <f>IFERROR(__xludf.DUMMYFUNCTION("""COMPUTED_VALUE"""),"")</f>
        <v/>
      </c>
      <c r="N582" s="5" t="str">
        <f>IFERROR(__xludf.DUMMYFUNCTION("""COMPUTED_VALUE"""),"")</f>
        <v/>
      </c>
      <c r="O582" s="5" t="str">
        <f>IFERROR(__xludf.DUMMYFUNCTION("""COMPUTED_VALUE"""),"")</f>
        <v/>
      </c>
      <c r="P582" s="5" t="str">
        <f>IFERROR(__xludf.DUMMYFUNCTION("""COMPUTED_VALUE"""),"")</f>
        <v/>
      </c>
      <c r="Q582" s="5" t="str">
        <f>IFERROR(__xludf.DUMMYFUNCTION("""COMPUTED_VALUE"""),"")</f>
        <v/>
      </c>
      <c r="R582" s="5" t="str">
        <f>IFERROR(__xludf.DUMMYFUNCTION("""COMPUTED_VALUE"""),"")</f>
        <v/>
      </c>
      <c r="S582" s="5" t="str">
        <f>IFERROR(__xludf.DUMMYFUNCTION("""COMPUTED_VALUE"""),"")</f>
        <v/>
      </c>
      <c r="T582" s="5" t="str">
        <f>IFERROR(__xludf.DUMMYFUNCTION("""COMPUTED_VALUE"""),"")</f>
        <v/>
      </c>
      <c r="U582" s="5" t="str">
        <f>IFERROR(__xludf.DUMMYFUNCTION("""COMPUTED_VALUE"""),"")</f>
        <v/>
      </c>
      <c r="V582" s="5" t="str">
        <f>IFERROR(__xludf.DUMMYFUNCTION("""COMPUTED_VALUE"""),"")</f>
        <v/>
      </c>
      <c r="W582" s="5" t="str">
        <f>IFERROR(__xludf.DUMMYFUNCTION("""COMPUTED_VALUE"""),"")</f>
        <v/>
      </c>
      <c r="X582" s="5" t="str">
        <f>IFERROR(__xludf.DUMMYFUNCTION("""COMPUTED_VALUE"""),"")</f>
        <v/>
      </c>
      <c r="Y582" s="5"/>
      <c r="Z582" s="5"/>
    </row>
    <row r="583">
      <c r="A583" s="5" t="str">
        <f>IFERROR(__xludf.DUMMYFUNCTION("""COMPUTED_VALUE"""),"20 Coin Collector")</f>
        <v>20 Coin Collector</v>
      </c>
      <c r="B583" s="5" t="str">
        <f>IFERROR(__xludf.DUMMYFUNCTION("""COMPUTED_VALUE"""),"")</f>
        <v/>
      </c>
      <c r="C583" s="5" t="str">
        <f>IFERROR(__xludf.DUMMYFUNCTION("""COMPUTED_VALUE"""),"")</f>
        <v/>
      </c>
      <c r="D583" s="5" t="str">
        <f>IFERROR(__xludf.DUMMYFUNCTION("""COMPUTED_VALUE"""),"")</f>
        <v/>
      </c>
      <c r="E583" s="5" t="str">
        <f>IFERROR(__xludf.DUMMYFUNCTION("""COMPUTED_VALUE"""),"")</f>
        <v/>
      </c>
      <c r="F583" s="5" t="str">
        <f>IFERROR(__xludf.DUMMYFUNCTION("""COMPUTED_VALUE"""),"")</f>
        <v/>
      </c>
      <c r="G583" s="5" t="str">
        <f>IFERROR(__xludf.DUMMYFUNCTION("""COMPUTED_VALUE"""),"")</f>
        <v/>
      </c>
      <c r="H583" s="5" t="str">
        <f>IFERROR(__xludf.DUMMYFUNCTION("""COMPUTED_VALUE"""),"")</f>
        <v/>
      </c>
      <c r="I583" s="5" t="str">
        <f>IFERROR(__xludf.DUMMYFUNCTION("""COMPUTED_VALUE"""),"")</f>
        <v/>
      </c>
      <c r="J583" s="5" t="str">
        <f>IFERROR(__xludf.DUMMYFUNCTION("""COMPUTED_VALUE"""),"")</f>
        <v/>
      </c>
      <c r="K583" s="5" t="str">
        <f>IFERROR(__xludf.DUMMYFUNCTION("""COMPUTED_VALUE"""),"")</f>
        <v/>
      </c>
      <c r="L583" s="5" t="str">
        <f>IFERROR(__xludf.DUMMYFUNCTION("""COMPUTED_VALUE"""),"")</f>
        <v/>
      </c>
      <c r="M583" s="5" t="str">
        <f>IFERROR(__xludf.DUMMYFUNCTION("""COMPUTED_VALUE"""),"")</f>
        <v/>
      </c>
      <c r="N583" s="5" t="str">
        <f>IFERROR(__xludf.DUMMYFUNCTION("""COMPUTED_VALUE"""),"")</f>
        <v/>
      </c>
      <c r="O583" s="5" t="str">
        <f>IFERROR(__xludf.DUMMYFUNCTION("""COMPUTED_VALUE"""),"")</f>
        <v/>
      </c>
      <c r="P583" s="5" t="str">
        <f>IFERROR(__xludf.DUMMYFUNCTION("""COMPUTED_VALUE"""),"")</f>
        <v/>
      </c>
      <c r="Q583" s="5" t="str">
        <f>IFERROR(__xludf.DUMMYFUNCTION("""COMPUTED_VALUE"""),"")</f>
        <v/>
      </c>
      <c r="R583" s="5" t="str">
        <f>IFERROR(__xludf.DUMMYFUNCTION("""COMPUTED_VALUE"""),"")</f>
        <v/>
      </c>
      <c r="S583" s="5" t="str">
        <f>IFERROR(__xludf.DUMMYFUNCTION("""COMPUTED_VALUE"""),"")</f>
        <v/>
      </c>
      <c r="T583" s="5" t="str">
        <f>IFERROR(__xludf.DUMMYFUNCTION("""COMPUTED_VALUE"""),"")</f>
        <v/>
      </c>
      <c r="U583" s="5" t="str">
        <f>IFERROR(__xludf.DUMMYFUNCTION("""COMPUTED_VALUE"""),"")</f>
        <v/>
      </c>
      <c r="V583" s="5" t="str">
        <f>IFERROR(__xludf.DUMMYFUNCTION("""COMPUTED_VALUE"""),"")</f>
        <v/>
      </c>
      <c r="W583" s="5" t="str">
        <f>IFERROR(__xludf.DUMMYFUNCTION("""COMPUTED_VALUE"""),"")</f>
        <v/>
      </c>
      <c r="X583" s="5" t="str">
        <f>IFERROR(__xludf.DUMMYFUNCTION("""COMPUTED_VALUE"""),"")</f>
        <v/>
      </c>
      <c r="Y583" s="5"/>
      <c r="Z583" s="5"/>
    </row>
    <row r="584">
      <c r="A584" s="5" t="str">
        <f>IFERROR(__xludf.DUMMYFUNCTION("""COMPUTED_VALUE"""),"5 Bomb Fire")</f>
        <v>5 Bomb Fire</v>
      </c>
      <c r="B584" s="5" t="str">
        <f>IFERROR(__xludf.DUMMYFUNCTION("""COMPUTED_VALUE"""),"")</f>
        <v/>
      </c>
      <c r="C584" s="5" t="str">
        <f>IFERROR(__xludf.DUMMYFUNCTION("""COMPUTED_VALUE"""),"")</f>
        <v/>
      </c>
      <c r="D584" s="5" t="str">
        <f>IFERROR(__xludf.DUMMYFUNCTION("""COMPUTED_VALUE"""),"")</f>
        <v/>
      </c>
      <c r="E584" s="5" t="str">
        <f>IFERROR(__xludf.DUMMYFUNCTION("""COMPUTED_VALUE"""),"")</f>
        <v/>
      </c>
      <c r="F584" s="5" t="str">
        <f>IFERROR(__xludf.DUMMYFUNCTION("""COMPUTED_VALUE"""),"")</f>
        <v/>
      </c>
      <c r="G584" s="5" t="str">
        <f>IFERROR(__xludf.DUMMYFUNCTION("""COMPUTED_VALUE"""),"")</f>
        <v/>
      </c>
      <c r="H584" s="5" t="str">
        <f>IFERROR(__xludf.DUMMYFUNCTION("""COMPUTED_VALUE"""),"")</f>
        <v/>
      </c>
      <c r="I584" s="5" t="str">
        <f>IFERROR(__xludf.DUMMYFUNCTION("""COMPUTED_VALUE"""),"")</f>
        <v/>
      </c>
      <c r="J584" s="5" t="str">
        <f>IFERROR(__xludf.DUMMYFUNCTION("""COMPUTED_VALUE"""),"")</f>
        <v/>
      </c>
      <c r="K584" s="5" t="str">
        <f>IFERROR(__xludf.DUMMYFUNCTION("""COMPUTED_VALUE"""),"")</f>
        <v/>
      </c>
      <c r="L584" s="5" t="str">
        <f>IFERROR(__xludf.DUMMYFUNCTION("""COMPUTED_VALUE"""),"")</f>
        <v/>
      </c>
      <c r="M584" s="5" t="str">
        <f>IFERROR(__xludf.DUMMYFUNCTION("""COMPUTED_VALUE"""),"")</f>
        <v/>
      </c>
      <c r="N584" s="5" t="str">
        <f>IFERROR(__xludf.DUMMYFUNCTION("""COMPUTED_VALUE"""),"")</f>
        <v/>
      </c>
      <c r="O584" s="5" t="str">
        <f>IFERROR(__xludf.DUMMYFUNCTION("""COMPUTED_VALUE"""),"")</f>
        <v/>
      </c>
      <c r="P584" s="5" t="str">
        <f>IFERROR(__xludf.DUMMYFUNCTION("""COMPUTED_VALUE"""),"")</f>
        <v/>
      </c>
      <c r="Q584" s="5" t="str">
        <f>IFERROR(__xludf.DUMMYFUNCTION("""COMPUTED_VALUE"""),"")</f>
        <v/>
      </c>
      <c r="R584" s="5" t="str">
        <f>IFERROR(__xludf.DUMMYFUNCTION("""COMPUTED_VALUE"""),"")</f>
        <v/>
      </c>
      <c r="S584" s="5" t="str">
        <f>IFERROR(__xludf.DUMMYFUNCTION("""COMPUTED_VALUE"""),"")</f>
        <v/>
      </c>
      <c r="T584" s="5" t="str">
        <f>IFERROR(__xludf.DUMMYFUNCTION("""COMPUTED_VALUE"""),"")</f>
        <v/>
      </c>
      <c r="U584" s="5" t="str">
        <f>IFERROR(__xludf.DUMMYFUNCTION("""COMPUTED_VALUE"""),"")</f>
        <v/>
      </c>
      <c r="V584" s="5" t="str">
        <f>IFERROR(__xludf.DUMMYFUNCTION("""COMPUTED_VALUE"""),"")</f>
        <v/>
      </c>
      <c r="W584" s="5" t="str">
        <f>IFERROR(__xludf.DUMMYFUNCTION("""COMPUTED_VALUE"""),"")</f>
        <v/>
      </c>
      <c r="X584" s="5" t="str">
        <f>IFERROR(__xludf.DUMMYFUNCTION("""COMPUTED_VALUE"""),"")</f>
        <v/>
      </c>
      <c r="Y584" s="5"/>
      <c r="Z584" s="5"/>
    </row>
    <row r="585">
      <c r="A585" s="5" t="str">
        <f>IFERROR(__xludf.DUMMYFUNCTION("""COMPUTED_VALUE"""),"Respin Gems")</f>
        <v>Respin Gems</v>
      </c>
      <c r="B585" s="5" t="str">
        <f>IFERROR(__xludf.DUMMYFUNCTION("""COMPUTED_VALUE"""),"")</f>
        <v/>
      </c>
      <c r="C585" s="5" t="str">
        <f>IFERROR(__xludf.DUMMYFUNCTION("""COMPUTED_VALUE"""),"")</f>
        <v/>
      </c>
      <c r="D585" s="5" t="str">
        <f>IFERROR(__xludf.DUMMYFUNCTION("""COMPUTED_VALUE"""),"")</f>
        <v/>
      </c>
      <c r="E585" s="5" t="str">
        <f>IFERROR(__xludf.DUMMYFUNCTION("""COMPUTED_VALUE"""),"")</f>
        <v/>
      </c>
      <c r="F585" s="5" t="str">
        <f>IFERROR(__xludf.DUMMYFUNCTION("""COMPUTED_VALUE"""),"")</f>
        <v/>
      </c>
      <c r="G585" s="5" t="str">
        <f>IFERROR(__xludf.DUMMYFUNCTION("""COMPUTED_VALUE"""),"")</f>
        <v/>
      </c>
      <c r="H585" s="5" t="str">
        <f>IFERROR(__xludf.DUMMYFUNCTION("""COMPUTED_VALUE"""),"")</f>
        <v/>
      </c>
      <c r="I585" s="5" t="str">
        <f>IFERROR(__xludf.DUMMYFUNCTION("""COMPUTED_VALUE"""),"")</f>
        <v/>
      </c>
      <c r="J585" s="5" t="str">
        <f>IFERROR(__xludf.DUMMYFUNCTION("""COMPUTED_VALUE"""),"")</f>
        <v/>
      </c>
      <c r="K585" s="5" t="str">
        <f>IFERROR(__xludf.DUMMYFUNCTION("""COMPUTED_VALUE"""),"")</f>
        <v/>
      </c>
      <c r="L585" s="5" t="str">
        <f>IFERROR(__xludf.DUMMYFUNCTION("""COMPUTED_VALUE"""),"")</f>
        <v/>
      </c>
      <c r="M585" s="5" t="str">
        <f>IFERROR(__xludf.DUMMYFUNCTION("""COMPUTED_VALUE"""),"")</f>
        <v/>
      </c>
      <c r="N585" s="5" t="str">
        <f>IFERROR(__xludf.DUMMYFUNCTION("""COMPUTED_VALUE"""),"")</f>
        <v/>
      </c>
      <c r="O585" s="5" t="str">
        <f>IFERROR(__xludf.DUMMYFUNCTION("""COMPUTED_VALUE"""),"")</f>
        <v/>
      </c>
      <c r="P585" s="5" t="str">
        <f>IFERROR(__xludf.DUMMYFUNCTION("""COMPUTED_VALUE"""),"")</f>
        <v/>
      </c>
      <c r="Q585" s="5" t="str">
        <f>IFERROR(__xludf.DUMMYFUNCTION("""COMPUTED_VALUE"""),"")</f>
        <v/>
      </c>
      <c r="R585" s="5" t="str">
        <f>IFERROR(__xludf.DUMMYFUNCTION("""COMPUTED_VALUE"""),"")</f>
        <v/>
      </c>
      <c r="S585" s="5" t="str">
        <f>IFERROR(__xludf.DUMMYFUNCTION("""COMPUTED_VALUE"""),"")</f>
        <v/>
      </c>
      <c r="T585" s="5" t="str">
        <f>IFERROR(__xludf.DUMMYFUNCTION("""COMPUTED_VALUE"""),"")</f>
        <v/>
      </c>
      <c r="U585" s="5" t="str">
        <f>IFERROR(__xludf.DUMMYFUNCTION("""COMPUTED_VALUE"""),"")</f>
        <v/>
      </c>
      <c r="V585" s="5" t="str">
        <f>IFERROR(__xludf.DUMMYFUNCTION("""COMPUTED_VALUE"""),"")</f>
        <v/>
      </c>
      <c r="W585" s="5" t="str">
        <f>IFERROR(__xludf.DUMMYFUNCTION("""COMPUTED_VALUE"""),"")</f>
        <v/>
      </c>
      <c r="X585" s="5" t="str">
        <f>IFERROR(__xludf.DUMMYFUNCTION("""COMPUTED_VALUE"""),"")</f>
        <v/>
      </c>
      <c r="Y585" s="5"/>
      <c r="Z585" s="5"/>
    </row>
    <row r="586">
      <c r="A586" s="5" t="str">
        <f>IFERROR(__xludf.DUMMYFUNCTION("""COMPUTED_VALUE"""),"9 of a Kind")</f>
        <v>9 of a Kind</v>
      </c>
      <c r="B586" s="5" t="str">
        <f>IFERROR(__xludf.DUMMYFUNCTION("""COMPUTED_VALUE"""),"")</f>
        <v/>
      </c>
      <c r="C586" s="5" t="str">
        <f>IFERROR(__xludf.DUMMYFUNCTION("""COMPUTED_VALUE"""),"")</f>
        <v/>
      </c>
      <c r="D586" s="5" t="str">
        <f>IFERROR(__xludf.DUMMYFUNCTION("""COMPUTED_VALUE"""),"")</f>
        <v/>
      </c>
      <c r="E586" s="5" t="str">
        <f>IFERROR(__xludf.DUMMYFUNCTION("""COMPUTED_VALUE"""),"")</f>
        <v/>
      </c>
      <c r="F586" s="5" t="str">
        <f>IFERROR(__xludf.DUMMYFUNCTION("""COMPUTED_VALUE"""),"")</f>
        <v/>
      </c>
      <c r="G586" s="5" t="str">
        <f>IFERROR(__xludf.DUMMYFUNCTION("""COMPUTED_VALUE"""),"")</f>
        <v/>
      </c>
      <c r="H586" s="5" t="str">
        <f>IFERROR(__xludf.DUMMYFUNCTION("""COMPUTED_VALUE"""),"")</f>
        <v/>
      </c>
      <c r="I586" s="5" t="str">
        <f>IFERROR(__xludf.DUMMYFUNCTION("""COMPUTED_VALUE"""),"")</f>
        <v/>
      </c>
      <c r="J586" s="5" t="str">
        <f>IFERROR(__xludf.DUMMYFUNCTION("""COMPUTED_VALUE"""),"")</f>
        <v/>
      </c>
      <c r="K586" s="5" t="str">
        <f>IFERROR(__xludf.DUMMYFUNCTION("""COMPUTED_VALUE"""),"")</f>
        <v/>
      </c>
      <c r="L586" s="5" t="str">
        <f>IFERROR(__xludf.DUMMYFUNCTION("""COMPUTED_VALUE"""),"")</f>
        <v/>
      </c>
      <c r="M586" s="5" t="str">
        <f>IFERROR(__xludf.DUMMYFUNCTION("""COMPUTED_VALUE"""),"")</f>
        <v/>
      </c>
      <c r="N586" s="5" t="str">
        <f>IFERROR(__xludf.DUMMYFUNCTION("""COMPUTED_VALUE"""),"")</f>
        <v/>
      </c>
      <c r="O586" s="5" t="str">
        <f>IFERROR(__xludf.DUMMYFUNCTION("""COMPUTED_VALUE"""),"")</f>
        <v/>
      </c>
      <c r="P586" s="5" t="str">
        <f>IFERROR(__xludf.DUMMYFUNCTION("""COMPUTED_VALUE"""),"")</f>
        <v/>
      </c>
      <c r="Q586" s="5" t="str">
        <f>IFERROR(__xludf.DUMMYFUNCTION("""COMPUTED_VALUE"""),"")</f>
        <v/>
      </c>
      <c r="R586" s="5" t="str">
        <f>IFERROR(__xludf.DUMMYFUNCTION("""COMPUTED_VALUE"""),"")</f>
        <v/>
      </c>
      <c r="S586" s="5" t="str">
        <f>IFERROR(__xludf.DUMMYFUNCTION("""COMPUTED_VALUE"""),"")</f>
        <v/>
      </c>
      <c r="T586" s="5" t="str">
        <f>IFERROR(__xludf.DUMMYFUNCTION("""COMPUTED_VALUE"""),"")</f>
        <v/>
      </c>
      <c r="U586" s="5" t="str">
        <f>IFERROR(__xludf.DUMMYFUNCTION("""COMPUTED_VALUE"""),"")</f>
        <v/>
      </c>
      <c r="V586" s="5" t="str">
        <f>IFERROR(__xludf.DUMMYFUNCTION("""COMPUTED_VALUE"""),"")</f>
        <v/>
      </c>
      <c r="W586" s="5" t="str">
        <f>IFERROR(__xludf.DUMMYFUNCTION("""COMPUTED_VALUE"""),"")</f>
        <v/>
      </c>
      <c r="X586" s="5" t="str">
        <f>IFERROR(__xludf.DUMMYFUNCTION("""COMPUTED_VALUE"""),"")</f>
        <v/>
      </c>
      <c r="Y586" s="5"/>
      <c r="Z586" s="5"/>
    </row>
    <row r="587">
      <c r="A587" s="5" t="str">
        <f>IFERROR(__xludf.DUMMYFUNCTION("""COMPUTED_VALUE"""),"Wild Joker Hot Booster")</f>
        <v>Wild Joker Hot Booster</v>
      </c>
      <c r="B587" s="5" t="str">
        <f>IFERROR(__xludf.DUMMYFUNCTION("""COMPUTED_VALUE"""),"")</f>
        <v/>
      </c>
      <c r="C587" s="5" t="str">
        <f>IFERROR(__xludf.DUMMYFUNCTION("""COMPUTED_VALUE"""),"")</f>
        <v/>
      </c>
      <c r="D587" s="5" t="str">
        <f>IFERROR(__xludf.DUMMYFUNCTION("""COMPUTED_VALUE"""),"")</f>
        <v/>
      </c>
      <c r="E587" s="5" t="str">
        <f>IFERROR(__xludf.DUMMYFUNCTION("""COMPUTED_VALUE"""),"")</f>
        <v/>
      </c>
      <c r="F587" s="5" t="str">
        <f>IFERROR(__xludf.DUMMYFUNCTION("""COMPUTED_VALUE"""),"")</f>
        <v/>
      </c>
      <c r="G587" s="5" t="str">
        <f>IFERROR(__xludf.DUMMYFUNCTION("""COMPUTED_VALUE"""),"")</f>
        <v/>
      </c>
      <c r="H587" s="5" t="str">
        <f>IFERROR(__xludf.DUMMYFUNCTION("""COMPUTED_VALUE"""),"")</f>
        <v/>
      </c>
      <c r="I587" s="5" t="str">
        <f>IFERROR(__xludf.DUMMYFUNCTION("""COMPUTED_VALUE"""),"")</f>
        <v/>
      </c>
      <c r="J587" s="5" t="str">
        <f>IFERROR(__xludf.DUMMYFUNCTION("""COMPUTED_VALUE"""),"")</f>
        <v/>
      </c>
      <c r="K587" s="5" t="str">
        <f>IFERROR(__xludf.DUMMYFUNCTION("""COMPUTED_VALUE"""),"")</f>
        <v/>
      </c>
      <c r="L587" s="5" t="str">
        <f>IFERROR(__xludf.DUMMYFUNCTION("""COMPUTED_VALUE"""),"")</f>
        <v/>
      </c>
      <c r="M587" s="5" t="str">
        <f>IFERROR(__xludf.DUMMYFUNCTION("""COMPUTED_VALUE"""),"")</f>
        <v/>
      </c>
      <c r="N587" s="5" t="str">
        <f>IFERROR(__xludf.DUMMYFUNCTION("""COMPUTED_VALUE"""),"")</f>
        <v/>
      </c>
      <c r="O587" s="5" t="str">
        <f>IFERROR(__xludf.DUMMYFUNCTION("""COMPUTED_VALUE"""),"")</f>
        <v/>
      </c>
      <c r="P587" s="5" t="str">
        <f>IFERROR(__xludf.DUMMYFUNCTION("""COMPUTED_VALUE"""),"")</f>
        <v/>
      </c>
      <c r="Q587" s="5" t="str">
        <f>IFERROR(__xludf.DUMMYFUNCTION("""COMPUTED_VALUE"""),"")</f>
        <v/>
      </c>
      <c r="R587" s="5" t="str">
        <f>IFERROR(__xludf.DUMMYFUNCTION("""COMPUTED_VALUE"""),"")</f>
        <v/>
      </c>
      <c r="S587" s="5" t="str">
        <f>IFERROR(__xludf.DUMMYFUNCTION("""COMPUTED_VALUE"""),"")</f>
        <v/>
      </c>
      <c r="T587" s="5" t="str">
        <f>IFERROR(__xludf.DUMMYFUNCTION("""COMPUTED_VALUE"""),"")</f>
        <v/>
      </c>
      <c r="U587" s="5" t="str">
        <f>IFERROR(__xludf.DUMMYFUNCTION("""COMPUTED_VALUE"""),"")</f>
        <v/>
      </c>
      <c r="V587" s="5" t="str">
        <f>IFERROR(__xludf.DUMMYFUNCTION("""COMPUTED_VALUE"""),"")</f>
        <v/>
      </c>
      <c r="W587" s="5" t="str">
        <f>IFERROR(__xludf.DUMMYFUNCTION("""COMPUTED_VALUE"""),"")</f>
        <v/>
      </c>
      <c r="X587" s="5" t="str">
        <f>IFERROR(__xludf.DUMMYFUNCTION("""COMPUTED_VALUE"""),"")</f>
        <v/>
      </c>
      <c r="Y587" s="5"/>
      <c r="Z587" s="5"/>
    </row>
    <row r="588">
      <c r="A588" s="5" t="str">
        <f>IFERROR(__xludf.DUMMYFUNCTION("""COMPUTED_VALUE"""),"Money 5 Booster")</f>
        <v>Money 5 Booster</v>
      </c>
      <c r="B588" s="5" t="str">
        <f>IFERROR(__xludf.DUMMYFUNCTION("""COMPUTED_VALUE"""),"")</f>
        <v/>
      </c>
      <c r="C588" s="5" t="str">
        <f>IFERROR(__xludf.DUMMYFUNCTION("""COMPUTED_VALUE"""),"")</f>
        <v/>
      </c>
      <c r="D588" s="5" t="str">
        <f>IFERROR(__xludf.DUMMYFUNCTION("""COMPUTED_VALUE"""),"")</f>
        <v/>
      </c>
      <c r="E588" s="5" t="str">
        <f>IFERROR(__xludf.DUMMYFUNCTION("""COMPUTED_VALUE"""),"")</f>
        <v/>
      </c>
      <c r="F588" s="5" t="str">
        <f>IFERROR(__xludf.DUMMYFUNCTION("""COMPUTED_VALUE"""),"")</f>
        <v/>
      </c>
      <c r="G588" s="5" t="str">
        <f>IFERROR(__xludf.DUMMYFUNCTION("""COMPUTED_VALUE"""),"")</f>
        <v/>
      </c>
      <c r="H588" s="5" t="str">
        <f>IFERROR(__xludf.DUMMYFUNCTION("""COMPUTED_VALUE"""),"")</f>
        <v/>
      </c>
      <c r="I588" s="5" t="str">
        <f>IFERROR(__xludf.DUMMYFUNCTION("""COMPUTED_VALUE"""),"")</f>
        <v/>
      </c>
      <c r="J588" s="5" t="str">
        <f>IFERROR(__xludf.DUMMYFUNCTION("""COMPUTED_VALUE"""),"")</f>
        <v/>
      </c>
      <c r="K588" s="5" t="str">
        <f>IFERROR(__xludf.DUMMYFUNCTION("""COMPUTED_VALUE"""),"")</f>
        <v/>
      </c>
      <c r="L588" s="5" t="str">
        <f>IFERROR(__xludf.DUMMYFUNCTION("""COMPUTED_VALUE"""),"")</f>
        <v/>
      </c>
      <c r="M588" s="5" t="str">
        <f>IFERROR(__xludf.DUMMYFUNCTION("""COMPUTED_VALUE"""),"")</f>
        <v/>
      </c>
      <c r="N588" s="5" t="str">
        <f>IFERROR(__xludf.DUMMYFUNCTION("""COMPUTED_VALUE"""),"")</f>
        <v/>
      </c>
      <c r="O588" s="5" t="str">
        <f>IFERROR(__xludf.DUMMYFUNCTION("""COMPUTED_VALUE"""),"")</f>
        <v/>
      </c>
      <c r="P588" s="5" t="str">
        <f>IFERROR(__xludf.DUMMYFUNCTION("""COMPUTED_VALUE"""),"")</f>
        <v/>
      </c>
      <c r="Q588" s="5" t="str">
        <f>IFERROR(__xludf.DUMMYFUNCTION("""COMPUTED_VALUE"""),"")</f>
        <v/>
      </c>
      <c r="R588" s="5" t="str">
        <f>IFERROR(__xludf.DUMMYFUNCTION("""COMPUTED_VALUE"""),"")</f>
        <v/>
      </c>
      <c r="S588" s="5" t="str">
        <f>IFERROR(__xludf.DUMMYFUNCTION("""COMPUTED_VALUE"""),"")</f>
        <v/>
      </c>
      <c r="T588" s="5" t="str">
        <f>IFERROR(__xludf.DUMMYFUNCTION("""COMPUTED_VALUE"""),"")</f>
        <v/>
      </c>
      <c r="U588" s="5" t="str">
        <f>IFERROR(__xludf.DUMMYFUNCTION("""COMPUTED_VALUE"""),"")</f>
        <v/>
      </c>
      <c r="V588" s="5" t="str">
        <f>IFERROR(__xludf.DUMMYFUNCTION("""COMPUTED_VALUE"""),"")</f>
        <v/>
      </c>
      <c r="W588" s="5" t="str">
        <f>IFERROR(__xludf.DUMMYFUNCTION("""COMPUTED_VALUE"""),"")</f>
        <v/>
      </c>
      <c r="X588" s="5" t="str">
        <f>IFERROR(__xludf.DUMMYFUNCTION("""COMPUTED_VALUE"""),"")</f>
        <v/>
      </c>
      <c r="Y588" s="5"/>
      <c r="Z588" s="5"/>
    </row>
    <row r="589">
      <c r="A589" s="5" t="str">
        <f>IFERROR(__xludf.DUMMYFUNCTION("""COMPUTED_VALUE"""),"Golden Crown Christmas Booster")</f>
        <v>Golden Crown Christmas Booster</v>
      </c>
      <c r="B589" s="5" t="str">
        <f>IFERROR(__xludf.DUMMYFUNCTION("""COMPUTED_VALUE"""),"")</f>
        <v/>
      </c>
      <c r="C589" s="5" t="str">
        <f>IFERROR(__xludf.DUMMYFUNCTION("""COMPUTED_VALUE"""),"")</f>
        <v/>
      </c>
      <c r="D589" s="5" t="str">
        <f>IFERROR(__xludf.DUMMYFUNCTION("""COMPUTED_VALUE"""),"")</f>
        <v/>
      </c>
      <c r="E589" s="5" t="str">
        <f>IFERROR(__xludf.DUMMYFUNCTION("""COMPUTED_VALUE"""),"")</f>
        <v/>
      </c>
      <c r="F589" s="5" t="str">
        <f>IFERROR(__xludf.DUMMYFUNCTION("""COMPUTED_VALUE"""),"")</f>
        <v/>
      </c>
      <c r="G589" s="5" t="str">
        <f>IFERROR(__xludf.DUMMYFUNCTION("""COMPUTED_VALUE"""),"")</f>
        <v/>
      </c>
      <c r="H589" s="5" t="str">
        <f>IFERROR(__xludf.DUMMYFUNCTION("""COMPUTED_VALUE"""),"")</f>
        <v/>
      </c>
      <c r="I589" s="5" t="str">
        <f>IFERROR(__xludf.DUMMYFUNCTION("""COMPUTED_VALUE"""),"")</f>
        <v/>
      </c>
      <c r="J589" s="5" t="str">
        <f>IFERROR(__xludf.DUMMYFUNCTION("""COMPUTED_VALUE"""),"")</f>
        <v/>
      </c>
      <c r="K589" s="5" t="str">
        <f>IFERROR(__xludf.DUMMYFUNCTION("""COMPUTED_VALUE"""),"")</f>
        <v/>
      </c>
      <c r="L589" s="5" t="str">
        <f>IFERROR(__xludf.DUMMYFUNCTION("""COMPUTED_VALUE"""),"")</f>
        <v/>
      </c>
      <c r="M589" s="5" t="str">
        <f>IFERROR(__xludf.DUMMYFUNCTION("""COMPUTED_VALUE"""),"")</f>
        <v/>
      </c>
      <c r="N589" s="5" t="str">
        <f>IFERROR(__xludf.DUMMYFUNCTION("""COMPUTED_VALUE"""),"")</f>
        <v/>
      </c>
      <c r="O589" s="5" t="str">
        <f>IFERROR(__xludf.DUMMYFUNCTION("""COMPUTED_VALUE"""),"")</f>
        <v/>
      </c>
      <c r="P589" s="5" t="str">
        <f>IFERROR(__xludf.DUMMYFUNCTION("""COMPUTED_VALUE"""),"")</f>
        <v/>
      </c>
      <c r="Q589" s="5" t="str">
        <f>IFERROR(__xludf.DUMMYFUNCTION("""COMPUTED_VALUE"""),"")</f>
        <v/>
      </c>
      <c r="R589" s="5" t="str">
        <f>IFERROR(__xludf.DUMMYFUNCTION("""COMPUTED_VALUE"""),"")</f>
        <v/>
      </c>
      <c r="S589" s="5" t="str">
        <f>IFERROR(__xludf.DUMMYFUNCTION("""COMPUTED_VALUE"""),"")</f>
        <v/>
      </c>
      <c r="T589" s="5" t="str">
        <f>IFERROR(__xludf.DUMMYFUNCTION("""COMPUTED_VALUE"""),"")</f>
        <v/>
      </c>
      <c r="U589" s="5" t="str">
        <f>IFERROR(__xludf.DUMMYFUNCTION("""COMPUTED_VALUE"""),"")</f>
        <v/>
      </c>
      <c r="V589" s="5" t="str">
        <f>IFERROR(__xludf.DUMMYFUNCTION("""COMPUTED_VALUE"""),"")</f>
        <v/>
      </c>
      <c r="W589" s="5" t="str">
        <f>IFERROR(__xludf.DUMMYFUNCTION("""COMPUTED_VALUE"""),"")</f>
        <v/>
      </c>
      <c r="X589" s="5" t="str">
        <f>IFERROR(__xludf.DUMMYFUNCTION("""COMPUTED_VALUE"""),"")</f>
        <v/>
      </c>
      <c r="Y589" s="5"/>
      <c r="Z589" s="5"/>
    </row>
    <row r="590">
      <c r="A590" s="5" t="str">
        <f>IFERROR(__xludf.DUMMYFUNCTION("""COMPUTED_VALUE"""),"Bella's World")</f>
        <v>Bella's World</v>
      </c>
      <c r="B590" s="5" t="str">
        <f>IFERROR(__xludf.DUMMYFUNCTION("""COMPUTED_VALUE"""),"Development")</f>
        <v>Development</v>
      </c>
      <c r="C590" s="5" t="str">
        <f>IFERROR(__xludf.DUMMYFUNCTION("""COMPUTED_VALUE"""),"Development")</f>
        <v>Development</v>
      </c>
      <c r="D590" s="5" t="str">
        <f>IFERROR(__xludf.DUMMYFUNCTION("""COMPUTED_VALUE"""),"Cert Preparation")</f>
        <v>Cert Preparation</v>
      </c>
      <c r="E590" s="5" t="str">
        <f>IFERROR(__xludf.DUMMYFUNCTION("""COMPUTED_VALUE"""),"")</f>
        <v/>
      </c>
      <c r="F590" s="5" t="str">
        <f>IFERROR(__xludf.DUMMYFUNCTION("""COMPUTED_VALUE"""),"Development")</f>
        <v>Development</v>
      </c>
      <c r="G590" s="5" t="str">
        <f>IFERROR(__xludf.DUMMYFUNCTION("""COMPUTED_VALUE"""),"")</f>
        <v/>
      </c>
      <c r="H590" s="5" t="str">
        <f>IFERROR(__xludf.DUMMYFUNCTION("""COMPUTED_VALUE"""),"Development")</f>
        <v>Development</v>
      </c>
      <c r="I590" s="5" t="str">
        <f>IFERROR(__xludf.DUMMYFUNCTION("""COMPUTED_VALUE"""),"")</f>
        <v/>
      </c>
      <c r="J590" s="5" t="str">
        <f>IFERROR(__xludf.DUMMYFUNCTION("""COMPUTED_VALUE"""),"")</f>
        <v/>
      </c>
      <c r="K590" s="5" t="str">
        <f>IFERROR(__xludf.DUMMYFUNCTION("""COMPUTED_VALUE"""),"Development")</f>
        <v>Development</v>
      </c>
      <c r="L590" s="5" t="str">
        <f>IFERROR(__xludf.DUMMYFUNCTION("""COMPUTED_VALUE"""),"Development")</f>
        <v>Development</v>
      </c>
      <c r="M590" s="5" t="str">
        <f>IFERROR(__xludf.DUMMYFUNCTION("""COMPUTED_VALUE"""),"")</f>
        <v/>
      </c>
      <c r="N590" s="5" t="str">
        <f>IFERROR(__xludf.DUMMYFUNCTION("""COMPUTED_VALUE"""),"Development")</f>
        <v>Development</v>
      </c>
      <c r="O590" s="5" t="str">
        <f>IFERROR(__xludf.DUMMYFUNCTION("""COMPUTED_VALUE"""),"")</f>
        <v/>
      </c>
      <c r="P590" s="5" t="str">
        <f>IFERROR(__xludf.DUMMYFUNCTION("""COMPUTED_VALUE"""),"")</f>
        <v/>
      </c>
      <c r="Q590" s="5" t="str">
        <f>IFERROR(__xludf.DUMMYFUNCTION("""COMPUTED_VALUE"""),"")</f>
        <v/>
      </c>
      <c r="R590" s="5" t="str">
        <f>IFERROR(__xludf.DUMMYFUNCTION("""COMPUTED_VALUE"""),"")</f>
        <v/>
      </c>
      <c r="S590" s="5" t="str">
        <f>IFERROR(__xludf.DUMMYFUNCTION("""COMPUTED_VALUE"""),"")</f>
        <v/>
      </c>
      <c r="T590" s="5" t="str">
        <f>IFERROR(__xludf.DUMMYFUNCTION("""COMPUTED_VALUE"""),"")</f>
        <v/>
      </c>
      <c r="U590" s="5" t="str">
        <f>IFERROR(__xludf.DUMMYFUNCTION("""COMPUTED_VALUE"""),"")</f>
        <v/>
      </c>
      <c r="V590" s="5" t="str">
        <f>IFERROR(__xludf.DUMMYFUNCTION("""COMPUTED_VALUE"""),"")</f>
        <v/>
      </c>
      <c r="W590" s="5" t="str">
        <f>IFERROR(__xludf.DUMMYFUNCTION("""COMPUTED_VALUE"""),"")</f>
        <v/>
      </c>
      <c r="X590" s="5" t="str">
        <f>IFERROR(__xludf.DUMMYFUNCTION("""COMPUTED_VALUE"""),"")</f>
        <v/>
      </c>
      <c r="Y590" s="5"/>
      <c r="Z590" s="5"/>
    </row>
    <row r="591">
      <c r="A591" s="5" t="str">
        <f>IFERROR(__xludf.DUMMYFUNCTION("""COMPUTED_VALUE"""),"Wild 27 Extreme")</f>
        <v>Wild 27 Extreme</v>
      </c>
      <c r="B591" s="5" t="str">
        <f>IFERROR(__xludf.DUMMYFUNCTION("""COMPUTED_VALUE"""),"Development")</f>
        <v>Development</v>
      </c>
      <c r="C591" s="5" t="str">
        <f>IFERROR(__xludf.DUMMYFUNCTION("""COMPUTED_VALUE"""),"Development")</f>
        <v>Development</v>
      </c>
      <c r="D591" s="5" t="str">
        <f>IFERROR(__xludf.DUMMYFUNCTION("""COMPUTED_VALUE"""),"Cert Preparation")</f>
        <v>Cert Preparation</v>
      </c>
      <c r="E591" s="5" t="str">
        <f>IFERROR(__xludf.DUMMYFUNCTION("""COMPUTED_VALUE"""),"")</f>
        <v/>
      </c>
      <c r="F591" s="5" t="str">
        <f>IFERROR(__xludf.DUMMYFUNCTION("""COMPUTED_VALUE"""),"Development")</f>
        <v>Development</v>
      </c>
      <c r="G591" s="5" t="str">
        <f>IFERROR(__xludf.DUMMYFUNCTION("""COMPUTED_VALUE"""),"")</f>
        <v/>
      </c>
      <c r="H591" s="5" t="str">
        <f>IFERROR(__xludf.DUMMYFUNCTION("""COMPUTED_VALUE"""),"Development")</f>
        <v>Development</v>
      </c>
      <c r="I591" s="5" t="str">
        <f>IFERROR(__xludf.DUMMYFUNCTION("""COMPUTED_VALUE"""),"")</f>
        <v/>
      </c>
      <c r="J591" s="5" t="str">
        <f>IFERROR(__xludf.DUMMYFUNCTION("""COMPUTED_VALUE"""),"")</f>
        <v/>
      </c>
      <c r="K591" s="5" t="str">
        <f>IFERROR(__xludf.DUMMYFUNCTION("""COMPUTED_VALUE"""),"")</f>
        <v/>
      </c>
      <c r="L591" s="5" t="str">
        <f>IFERROR(__xludf.DUMMYFUNCTION("""COMPUTED_VALUE"""),"Development")</f>
        <v>Development</v>
      </c>
      <c r="M591" s="5" t="str">
        <f>IFERROR(__xludf.DUMMYFUNCTION("""COMPUTED_VALUE"""),"")</f>
        <v/>
      </c>
      <c r="N591" s="5" t="str">
        <f>IFERROR(__xludf.DUMMYFUNCTION("""COMPUTED_VALUE"""),"Development")</f>
        <v>Development</v>
      </c>
      <c r="O591" s="5" t="str">
        <f>IFERROR(__xludf.DUMMYFUNCTION("""COMPUTED_VALUE"""),"")</f>
        <v/>
      </c>
      <c r="P591" s="5" t="str">
        <f>IFERROR(__xludf.DUMMYFUNCTION("""COMPUTED_VALUE"""),"")</f>
        <v/>
      </c>
      <c r="Q591" s="5" t="str">
        <f>IFERROR(__xludf.DUMMYFUNCTION("""COMPUTED_VALUE"""),"")</f>
        <v/>
      </c>
      <c r="R591" s="5" t="str">
        <f>IFERROR(__xludf.DUMMYFUNCTION("""COMPUTED_VALUE"""),"")</f>
        <v/>
      </c>
      <c r="S591" s="5" t="str">
        <f>IFERROR(__xludf.DUMMYFUNCTION("""COMPUTED_VALUE"""),"")</f>
        <v/>
      </c>
      <c r="T591" s="5" t="str">
        <f>IFERROR(__xludf.DUMMYFUNCTION("""COMPUTED_VALUE"""),"")</f>
        <v/>
      </c>
      <c r="U591" s="5" t="str">
        <f>IFERROR(__xludf.DUMMYFUNCTION("""COMPUTED_VALUE"""),"")</f>
        <v/>
      </c>
      <c r="V591" s="5" t="str">
        <f>IFERROR(__xludf.DUMMYFUNCTION("""COMPUTED_VALUE"""),"")</f>
        <v/>
      </c>
      <c r="W591" s="5" t="str">
        <f>IFERROR(__xludf.DUMMYFUNCTION("""COMPUTED_VALUE"""),"")</f>
        <v/>
      </c>
      <c r="X591" s="5" t="str">
        <f>IFERROR(__xludf.DUMMYFUNCTION("""COMPUTED_VALUE"""),"")</f>
        <v/>
      </c>
      <c r="Y591" s="5"/>
      <c r="Z591" s="5"/>
    </row>
    <row r="592">
      <c r="A592" s="5" t="str">
        <f>IFERROR(__xludf.DUMMYFUNCTION("""COMPUTED_VALUE"""),"Macaco Da Fortuna")</f>
        <v>Macaco Da Fortuna</v>
      </c>
      <c r="B592" s="5" t="str">
        <f>IFERROR(__xludf.DUMMYFUNCTION("""COMPUTED_VALUE"""),"Available")</f>
        <v>Available</v>
      </c>
      <c r="C592" s="5" t="str">
        <f>IFERROR(__xludf.DUMMYFUNCTION("""COMPUTED_VALUE"""),"Development")</f>
        <v>Development</v>
      </c>
      <c r="D592" s="5" t="str">
        <f>IFERROR(__xludf.DUMMYFUNCTION("""COMPUTED_VALUE"""),"Planned")</f>
        <v>Planned</v>
      </c>
      <c r="E592" s="5" t="str">
        <f>IFERROR(__xludf.DUMMYFUNCTION("""COMPUTED_VALUE"""),"")</f>
        <v/>
      </c>
      <c r="F592" s="5" t="str">
        <f>IFERROR(__xludf.DUMMYFUNCTION("""COMPUTED_VALUE"""),"Development")</f>
        <v>Development</v>
      </c>
      <c r="G592" s="5" t="str">
        <f>IFERROR(__xludf.DUMMYFUNCTION("""COMPUTED_VALUE"""),"")</f>
        <v/>
      </c>
      <c r="H592" s="5" t="str">
        <f>IFERROR(__xludf.DUMMYFUNCTION("""COMPUTED_VALUE"""),"")</f>
        <v/>
      </c>
      <c r="I592" s="5" t="str">
        <f>IFERROR(__xludf.DUMMYFUNCTION("""COMPUTED_VALUE"""),"")</f>
        <v/>
      </c>
      <c r="J592" s="5" t="str">
        <f>IFERROR(__xludf.DUMMYFUNCTION("""COMPUTED_VALUE"""),"")</f>
        <v/>
      </c>
      <c r="K592" s="5" t="str">
        <f>IFERROR(__xludf.DUMMYFUNCTION("""COMPUTED_VALUE"""),"")</f>
        <v/>
      </c>
      <c r="L592" s="5" t="str">
        <f>IFERROR(__xludf.DUMMYFUNCTION("""COMPUTED_VALUE"""),"")</f>
        <v/>
      </c>
      <c r="M592" s="5" t="str">
        <f>IFERROR(__xludf.DUMMYFUNCTION("""COMPUTED_VALUE"""),"")</f>
        <v/>
      </c>
      <c r="N592" s="5" t="str">
        <f>IFERROR(__xludf.DUMMYFUNCTION("""COMPUTED_VALUE"""),"")</f>
        <v/>
      </c>
      <c r="O592" s="5" t="str">
        <f>IFERROR(__xludf.DUMMYFUNCTION("""COMPUTED_VALUE"""),"")</f>
        <v/>
      </c>
      <c r="P592" s="5" t="str">
        <f>IFERROR(__xludf.DUMMYFUNCTION("""COMPUTED_VALUE"""),"")</f>
        <v/>
      </c>
      <c r="Q592" s="5" t="str">
        <f>IFERROR(__xludf.DUMMYFUNCTION("""COMPUTED_VALUE"""),"")</f>
        <v/>
      </c>
      <c r="R592" s="5" t="str">
        <f>IFERROR(__xludf.DUMMYFUNCTION("""COMPUTED_VALUE"""),"")</f>
        <v/>
      </c>
      <c r="S592" s="5" t="str">
        <f>IFERROR(__xludf.DUMMYFUNCTION("""COMPUTED_VALUE"""),"")</f>
        <v/>
      </c>
      <c r="T592" s="5" t="str">
        <f>IFERROR(__xludf.DUMMYFUNCTION("""COMPUTED_VALUE"""),"")</f>
        <v/>
      </c>
      <c r="U592" s="5" t="str">
        <f>IFERROR(__xludf.DUMMYFUNCTION("""COMPUTED_VALUE"""),"")</f>
        <v/>
      </c>
      <c r="V592" s="5" t="str">
        <f>IFERROR(__xludf.DUMMYFUNCTION("""COMPUTED_VALUE"""),"")</f>
        <v/>
      </c>
      <c r="W592" s="5" t="str">
        <f>IFERROR(__xludf.DUMMYFUNCTION("""COMPUTED_VALUE"""),"")</f>
        <v/>
      </c>
      <c r="X592" s="5" t="str">
        <f>IFERROR(__xludf.DUMMYFUNCTION("""COMPUTED_VALUE"""),"")</f>
        <v/>
      </c>
      <c r="Y592" s="5"/>
      <c r="Z592" s="5"/>
    </row>
    <row r="593">
      <c r="A593" s="5" t="str">
        <f>IFERROR(__xludf.DUMMYFUNCTION("""COMPUTED_VALUE"""),"Giga Hot 40 Free Spins")</f>
        <v>Giga Hot 40 Free Spins</v>
      </c>
      <c r="B593" s="5" t="str">
        <f>IFERROR(__xludf.DUMMYFUNCTION("""COMPUTED_VALUE"""),"")</f>
        <v/>
      </c>
      <c r="C593" s="5" t="str">
        <f>IFERROR(__xludf.DUMMYFUNCTION("""COMPUTED_VALUE"""),"Development")</f>
        <v>Development</v>
      </c>
      <c r="D593" s="5" t="str">
        <f>IFERROR(__xludf.DUMMYFUNCTION("""COMPUTED_VALUE"""),"Cert Preparation")</f>
        <v>Cert Preparation</v>
      </c>
      <c r="E593" s="5" t="str">
        <f>IFERROR(__xludf.DUMMYFUNCTION("""COMPUTED_VALUE"""),"")</f>
        <v/>
      </c>
      <c r="F593" s="5" t="str">
        <f>IFERROR(__xludf.DUMMYFUNCTION("""COMPUTED_VALUE"""),"")</f>
        <v/>
      </c>
      <c r="G593" s="5" t="str">
        <f>IFERROR(__xludf.DUMMYFUNCTION("""COMPUTED_VALUE"""),"")</f>
        <v/>
      </c>
      <c r="H593" s="5" t="str">
        <f>IFERROR(__xludf.DUMMYFUNCTION("""COMPUTED_VALUE"""),"Development")</f>
        <v>Development</v>
      </c>
      <c r="I593" s="5" t="str">
        <f>IFERROR(__xludf.DUMMYFUNCTION("""COMPUTED_VALUE"""),"")</f>
        <v/>
      </c>
      <c r="J593" s="5" t="str">
        <f>IFERROR(__xludf.DUMMYFUNCTION("""COMPUTED_VALUE"""),"")</f>
        <v/>
      </c>
      <c r="K593" s="5" t="str">
        <f>IFERROR(__xludf.DUMMYFUNCTION("""COMPUTED_VALUE"""),"Development")</f>
        <v>Development</v>
      </c>
      <c r="L593" s="5" t="str">
        <f>IFERROR(__xludf.DUMMYFUNCTION("""COMPUTED_VALUE"""),"")</f>
        <v/>
      </c>
      <c r="M593" s="5" t="str">
        <f>IFERROR(__xludf.DUMMYFUNCTION("""COMPUTED_VALUE"""),"")</f>
        <v/>
      </c>
      <c r="N593" s="5" t="str">
        <f>IFERROR(__xludf.DUMMYFUNCTION("""COMPUTED_VALUE"""),"Development")</f>
        <v>Development</v>
      </c>
      <c r="O593" s="5" t="str">
        <f>IFERROR(__xludf.DUMMYFUNCTION("""COMPUTED_VALUE"""),"")</f>
        <v/>
      </c>
      <c r="P593" s="5" t="str">
        <f>IFERROR(__xludf.DUMMYFUNCTION("""COMPUTED_VALUE"""),"")</f>
        <v/>
      </c>
      <c r="Q593" s="5" t="str">
        <f>IFERROR(__xludf.DUMMYFUNCTION("""COMPUTED_VALUE"""),"")</f>
        <v/>
      </c>
      <c r="R593" s="5" t="str">
        <f>IFERROR(__xludf.DUMMYFUNCTION("""COMPUTED_VALUE"""),"")</f>
        <v/>
      </c>
      <c r="S593" s="5" t="str">
        <f>IFERROR(__xludf.DUMMYFUNCTION("""COMPUTED_VALUE"""),"")</f>
        <v/>
      </c>
      <c r="T593" s="5" t="str">
        <f>IFERROR(__xludf.DUMMYFUNCTION("""COMPUTED_VALUE"""),"")</f>
        <v/>
      </c>
      <c r="U593" s="5" t="str">
        <f>IFERROR(__xludf.DUMMYFUNCTION("""COMPUTED_VALUE"""),"")</f>
        <v/>
      </c>
      <c r="V593" s="5" t="str">
        <f>IFERROR(__xludf.DUMMYFUNCTION("""COMPUTED_VALUE"""),"")</f>
        <v/>
      </c>
      <c r="W593" s="5" t="str">
        <f>IFERROR(__xludf.DUMMYFUNCTION("""COMPUTED_VALUE"""),"")</f>
        <v/>
      </c>
      <c r="X593" s="5" t="str">
        <f>IFERROR(__xludf.DUMMYFUNCTION("""COMPUTED_VALUE"""),"")</f>
        <v/>
      </c>
      <c r="Y593" s="5"/>
      <c r="Z593" s="5"/>
    </row>
    <row r="594">
      <c r="A594" s="5" t="str">
        <f>IFERROR(__xludf.DUMMYFUNCTION("""COMPUTED_VALUE"""),"Lolla's World reskin")</f>
        <v>Lolla's World reskin</v>
      </c>
      <c r="B594" s="5" t="str">
        <f>IFERROR(__xludf.DUMMYFUNCTION("""COMPUTED_VALUE"""),"")</f>
        <v/>
      </c>
      <c r="C594" s="5" t="str">
        <f>IFERROR(__xludf.DUMMYFUNCTION("""COMPUTED_VALUE"""),"")</f>
        <v/>
      </c>
      <c r="D594" s="5" t="str">
        <f>IFERROR(__xludf.DUMMYFUNCTION("""COMPUTED_VALUE"""),"")</f>
        <v/>
      </c>
      <c r="E594" s="5" t="str">
        <f>IFERROR(__xludf.DUMMYFUNCTION("""COMPUTED_VALUE"""),"")</f>
        <v/>
      </c>
      <c r="F594" s="5" t="str">
        <f>IFERROR(__xludf.DUMMYFUNCTION("""COMPUTED_VALUE"""),"")</f>
        <v/>
      </c>
      <c r="G594" s="5" t="str">
        <f>IFERROR(__xludf.DUMMYFUNCTION("""COMPUTED_VALUE"""),"")</f>
        <v/>
      </c>
      <c r="H594" s="5" t="str">
        <f>IFERROR(__xludf.DUMMYFUNCTION("""COMPUTED_VALUE"""),"")</f>
        <v/>
      </c>
      <c r="I594" s="5" t="str">
        <f>IFERROR(__xludf.DUMMYFUNCTION("""COMPUTED_VALUE"""),"")</f>
        <v/>
      </c>
      <c r="J594" s="5" t="str">
        <f>IFERROR(__xludf.DUMMYFUNCTION("""COMPUTED_VALUE"""),"")</f>
        <v/>
      </c>
      <c r="K594" s="5" t="str">
        <f>IFERROR(__xludf.DUMMYFUNCTION("""COMPUTED_VALUE"""),"")</f>
        <v/>
      </c>
      <c r="L594" s="5" t="str">
        <f>IFERROR(__xludf.DUMMYFUNCTION("""COMPUTED_VALUE"""),"")</f>
        <v/>
      </c>
      <c r="M594" s="5" t="str">
        <f>IFERROR(__xludf.DUMMYFUNCTION("""COMPUTED_VALUE"""),"")</f>
        <v/>
      </c>
      <c r="N594" s="5" t="str">
        <f>IFERROR(__xludf.DUMMYFUNCTION("""COMPUTED_VALUE"""),"")</f>
        <v/>
      </c>
      <c r="O594" s="5" t="str">
        <f>IFERROR(__xludf.DUMMYFUNCTION("""COMPUTED_VALUE"""),"")</f>
        <v/>
      </c>
      <c r="P594" s="5" t="str">
        <f>IFERROR(__xludf.DUMMYFUNCTION("""COMPUTED_VALUE"""),"")</f>
        <v/>
      </c>
      <c r="Q594" s="5" t="str">
        <f>IFERROR(__xludf.DUMMYFUNCTION("""COMPUTED_VALUE"""),"")</f>
        <v/>
      </c>
      <c r="R594" s="5" t="str">
        <f>IFERROR(__xludf.DUMMYFUNCTION("""COMPUTED_VALUE"""),"")</f>
        <v/>
      </c>
      <c r="S594" s="5" t="str">
        <f>IFERROR(__xludf.DUMMYFUNCTION("""COMPUTED_VALUE"""),"")</f>
        <v/>
      </c>
      <c r="T594" s="5" t="str">
        <f>IFERROR(__xludf.DUMMYFUNCTION("""COMPUTED_VALUE"""),"")</f>
        <v/>
      </c>
      <c r="U594" s="5" t="str">
        <f>IFERROR(__xludf.DUMMYFUNCTION("""COMPUTED_VALUE"""),"")</f>
        <v/>
      </c>
      <c r="V594" s="5" t="str">
        <f>IFERROR(__xludf.DUMMYFUNCTION("""COMPUTED_VALUE"""),"")</f>
        <v/>
      </c>
      <c r="W594" s="5" t="str">
        <f>IFERROR(__xludf.DUMMYFUNCTION("""COMPUTED_VALUE"""),"")</f>
        <v/>
      </c>
      <c r="X594" s="5" t="str">
        <f>IFERROR(__xludf.DUMMYFUNCTION("""COMPUTED_VALUE"""),"")</f>
        <v/>
      </c>
      <c r="Y594" s="5"/>
      <c r="Z594" s="5"/>
    </row>
    <row r="595">
      <c r="A595" s="5" t="str">
        <f>IFERROR(__xludf.DUMMYFUNCTION("""COMPUTED_VALUE"""),"Very Hot 5 Christmas Booster")</f>
        <v>Very Hot 5 Christmas Booster</v>
      </c>
      <c r="B595" s="5" t="str">
        <f>IFERROR(__xludf.DUMMYFUNCTION("""COMPUTED_VALUE"""),"")</f>
        <v/>
      </c>
      <c r="C595" s="5" t="str">
        <f>IFERROR(__xludf.DUMMYFUNCTION("""COMPUTED_VALUE"""),"")</f>
        <v/>
      </c>
      <c r="D595" s="5" t="str">
        <f>IFERROR(__xludf.DUMMYFUNCTION("""COMPUTED_VALUE"""),"")</f>
        <v/>
      </c>
      <c r="E595" s="5" t="str">
        <f>IFERROR(__xludf.DUMMYFUNCTION("""COMPUTED_VALUE"""),"")</f>
        <v/>
      </c>
      <c r="F595" s="5" t="str">
        <f>IFERROR(__xludf.DUMMYFUNCTION("""COMPUTED_VALUE"""),"")</f>
        <v/>
      </c>
      <c r="G595" s="5" t="str">
        <f>IFERROR(__xludf.DUMMYFUNCTION("""COMPUTED_VALUE"""),"")</f>
        <v/>
      </c>
      <c r="H595" s="5" t="str">
        <f>IFERROR(__xludf.DUMMYFUNCTION("""COMPUTED_VALUE"""),"")</f>
        <v/>
      </c>
      <c r="I595" s="5" t="str">
        <f>IFERROR(__xludf.DUMMYFUNCTION("""COMPUTED_VALUE"""),"")</f>
        <v/>
      </c>
      <c r="J595" s="5" t="str">
        <f>IFERROR(__xludf.DUMMYFUNCTION("""COMPUTED_VALUE"""),"")</f>
        <v/>
      </c>
      <c r="K595" s="5" t="str">
        <f>IFERROR(__xludf.DUMMYFUNCTION("""COMPUTED_VALUE"""),"")</f>
        <v/>
      </c>
      <c r="L595" s="5" t="str">
        <f>IFERROR(__xludf.DUMMYFUNCTION("""COMPUTED_VALUE"""),"")</f>
        <v/>
      </c>
      <c r="M595" s="5" t="str">
        <f>IFERROR(__xludf.DUMMYFUNCTION("""COMPUTED_VALUE"""),"")</f>
        <v/>
      </c>
      <c r="N595" s="5" t="str">
        <f>IFERROR(__xludf.DUMMYFUNCTION("""COMPUTED_VALUE"""),"")</f>
        <v/>
      </c>
      <c r="O595" s="5" t="str">
        <f>IFERROR(__xludf.DUMMYFUNCTION("""COMPUTED_VALUE"""),"")</f>
        <v/>
      </c>
      <c r="P595" s="5" t="str">
        <f>IFERROR(__xludf.DUMMYFUNCTION("""COMPUTED_VALUE"""),"")</f>
        <v/>
      </c>
      <c r="Q595" s="5" t="str">
        <f>IFERROR(__xludf.DUMMYFUNCTION("""COMPUTED_VALUE"""),"")</f>
        <v/>
      </c>
      <c r="R595" s="5" t="str">
        <f>IFERROR(__xludf.DUMMYFUNCTION("""COMPUTED_VALUE"""),"")</f>
        <v/>
      </c>
      <c r="S595" s="5" t="str">
        <f>IFERROR(__xludf.DUMMYFUNCTION("""COMPUTED_VALUE"""),"")</f>
        <v/>
      </c>
      <c r="T595" s="5" t="str">
        <f>IFERROR(__xludf.DUMMYFUNCTION("""COMPUTED_VALUE"""),"")</f>
        <v/>
      </c>
      <c r="U595" s="5" t="str">
        <f>IFERROR(__xludf.DUMMYFUNCTION("""COMPUTED_VALUE"""),"")</f>
        <v/>
      </c>
      <c r="V595" s="5" t="str">
        <f>IFERROR(__xludf.DUMMYFUNCTION("""COMPUTED_VALUE"""),"")</f>
        <v/>
      </c>
      <c r="W595" s="5" t="str">
        <f>IFERROR(__xludf.DUMMYFUNCTION("""COMPUTED_VALUE"""),"")</f>
        <v/>
      </c>
      <c r="X595" s="5" t="str">
        <f>IFERROR(__xludf.DUMMYFUNCTION("""COMPUTED_VALUE"""),"")</f>
        <v/>
      </c>
      <c r="Y595" s="5"/>
      <c r="Z595" s="5"/>
    </row>
    <row r="596">
      <c r="A596" s="5" t="str">
        <f>IFERROR(__xludf.DUMMYFUNCTION("""COMPUTED_VALUE"""),"Wild Booster (Golden Crown Christmas)")</f>
        <v>Wild Booster (Golden Crown Christmas)</v>
      </c>
      <c r="B596" s="5" t="str">
        <f>IFERROR(__xludf.DUMMYFUNCTION("""COMPUTED_VALUE"""),"")</f>
        <v/>
      </c>
      <c r="C596" s="5" t="str">
        <f>IFERROR(__xludf.DUMMYFUNCTION("""COMPUTED_VALUE"""),"")</f>
        <v/>
      </c>
      <c r="D596" s="5" t="str">
        <f>IFERROR(__xludf.DUMMYFUNCTION("""COMPUTED_VALUE"""),"")</f>
        <v/>
      </c>
      <c r="E596" s="5" t="str">
        <f>IFERROR(__xludf.DUMMYFUNCTION("""COMPUTED_VALUE"""),"")</f>
        <v/>
      </c>
      <c r="F596" s="5" t="str">
        <f>IFERROR(__xludf.DUMMYFUNCTION("""COMPUTED_VALUE"""),"")</f>
        <v/>
      </c>
      <c r="G596" s="5" t="str">
        <f>IFERROR(__xludf.DUMMYFUNCTION("""COMPUTED_VALUE"""),"")</f>
        <v/>
      </c>
      <c r="H596" s="5" t="str">
        <f>IFERROR(__xludf.DUMMYFUNCTION("""COMPUTED_VALUE"""),"")</f>
        <v/>
      </c>
      <c r="I596" s="5" t="str">
        <f>IFERROR(__xludf.DUMMYFUNCTION("""COMPUTED_VALUE"""),"")</f>
        <v/>
      </c>
      <c r="J596" s="5" t="str">
        <f>IFERROR(__xludf.DUMMYFUNCTION("""COMPUTED_VALUE"""),"")</f>
        <v/>
      </c>
      <c r="K596" s="5" t="str">
        <f>IFERROR(__xludf.DUMMYFUNCTION("""COMPUTED_VALUE"""),"")</f>
        <v/>
      </c>
      <c r="L596" s="5" t="str">
        <f>IFERROR(__xludf.DUMMYFUNCTION("""COMPUTED_VALUE"""),"")</f>
        <v/>
      </c>
      <c r="M596" s="5" t="str">
        <f>IFERROR(__xludf.DUMMYFUNCTION("""COMPUTED_VALUE"""),"")</f>
        <v/>
      </c>
      <c r="N596" s="5" t="str">
        <f>IFERROR(__xludf.DUMMYFUNCTION("""COMPUTED_VALUE"""),"")</f>
        <v/>
      </c>
      <c r="O596" s="5" t="str">
        <f>IFERROR(__xludf.DUMMYFUNCTION("""COMPUTED_VALUE"""),"")</f>
        <v/>
      </c>
      <c r="P596" s="5" t="str">
        <f>IFERROR(__xludf.DUMMYFUNCTION("""COMPUTED_VALUE"""),"")</f>
        <v/>
      </c>
      <c r="Q596" s="5" t="str">
        <f>IFERROR(__xludf.DUMMYFUNCTION("""COMPUTED_VALUE"""),"")</f>
        <v/>
      </c>
      <c r="R596" s="5" t="str">
        <f>IFERROR(__xludf.DUMMYFUNCTION("""COMPUTED_VALUE"""),"")</f>
        <v/>
      </c>
      <c r="S596" s="5" t="str">
        <f>IFERROR(__xludf.DUMMYFUNCTION("""COMPUTED_VALUE"""),"")</f>
        <v/>
      </c>
      <c r="T596" s="5" t="str">
        <f>IFERROR(__xludf.DUMMYFUNCTION("""COMPUTED_VALUE"""),"")</f>
        <v/>
      </c>
      <c r="U596" s="5" t="str">
        <f>IFERROR(__xludf.DUMMYFUNCTION("""COMPUTED_VALUE"""),"")</f>
        <v/>
      </c>
      <c r="V596" s="5" t="str">
        <f>IFERROR(__xludf.DUMMYFUNCTION("""COMPUTED_VALUE"""),"")</f>
        <v/>
      </c>
      <c r="W596" s="5" t="str">
        <f>IFERROR(__xludf.DUMMYFUNCTION("""COMPUTED_VALUE"""),"")</f>
        <v/>
      </c>
      <c r="X596" s="5" t="str">
        <f>IFERROR(__xludf.DUMMYFUNCTION("""COMPUTED_VALUE"""),"")</f>
        <v/>
      </c>
      <c r="Y596" s="5"/>
      <c r="Z596" s="5"/>
    </row>
    <row r="597">
      <c r="A597" s="5" t="str">
        <f>IFERROR(__xludf.DUMMYFUNCTION("""COMPUTED_VALUE"""),"Taxi Rush")</f>
        <v>Taxi Rush</v>
      </c>
      <c r="B597" s="5" t="str">
        <f>IFERROR(__xludf.DUMMYFUNCTION("""COMPUTED_VALUE"""),"Development")</f>
        <v>Development</v>
      </c>
      <c r="C597" s="5" t="str">
        <f>IFERROR(__xludf.DUMMYFUNCTION("""COMPUTED_VALUE"""),"Development")</f>
        <v>Development</v>
      </c>
      <c r="D597" s="5" t="str">
        <f>IFERROR(__xludf.DUMMYFUNCTION("""COMPUTED_VALUE"""),"Planned")</f>
        <v>Planned</v>
      </c>
      <c r="E597" s="5" t="str">
        <f>IFERROR(__xludf.DUMMYFUNCTION("""COMPUTED_VALUE"""),"")</f>
        <v/>
      </c>
      <c r="F597" s="5" t="str">
        <f>IFERROR(__xludf.DUMMYFUNCTION("""COMPUTED_VALUE"""),"")</f>
        <v/>
      </c>
      <c r="G597" s="5" t="str">
        <f>IFERROR(__xludf.DUMMYFUNCTION("""COMPUTED_VALUE"""),"")</f>
        <v/>
      </c>
      <c r="H597" s="5" t="str">
        <f>IFERROR(__xludf.DUMMYFUNCTION("""COMPUTED_VALUE"""),"")</f>
        <v/>
      </c>
      <c r="I597" s="5" t="str">
        <f>IFERROR(__xludf.DUMMYFUNCTION("""COMPUTED_VALUE"""),"")</f>
        <v/>
      </c>
      <c r="J597" s="5" t="str">
        <f>IFERROR(__xludf.DUMMYFUNCTION("""COMPUTED_VALUE"""),"")</f>
        <v/>
      </c>
      <c r="K597" s="5" t="str">
        <f>IFERROR(__xludf.DUMMYFUNCTION("""COMPUTED_VALUE"""),"Development")</f>
        <v>Development</v>
      </c>
      <c r="L597" s="5" t="str">
        <f>IFERROR(__xludf.DUMMYFUNCTION("""COMPUTED_VALUE"""),"")</f>
        <v/>
      </c>
      <c r="M597" s="5" t="str">
        <f>IFERROR(__xludf.DUMMYFUNCTION("""COMPUTED_VALUE"""),"")</f>
        <v/>
      </c>
      <c r="N597" s="5" t="str">
        <f>IFERROR(__xludf.DUMMYFUNCTION("""COMPUTED_VALUE"""),"")</f>
        <v/>
      </c>
      <c r="O597" s="5" t="str">
        <f>IFERROR(__xludf.DUMMYFUNCTION("""COMPUTED_VALUE"""),"")</f>
        <v/>
      </c>
      <c r="P597" s="5" t="str">
        <f>IFERROR(__xludf.DUMMYFUNCTION("""COMPUTED_VALUE"""),"")</f>
        <v/>
      </c>
      <c r="Q597" s="5" t="str">
        <f>IFERROR(__xludf.DUMMYFUNCTION("""COMPUTED_VALUE"""),"")</f>
        <v/>
      </c>
      <c r="R597" s="5" t="str">
        <f>IFERROR(__xludf.DUMMYFUNCTION("""COMPUTED_VALUE"""),"")</f>
        <v/>
      </c>
      <c r="S597" s="5" t="str">
        <f>IFERROR(__xludf.DUMMYFUNCTION("""COMPUTED_VALUE"""),"")</f>
        <v/>
      </c>
      <c r="T597" s="5" t="str">
        <f>IFERROR(__xludf.DUMMYFUNCTION("""COMPUTED_VALUE"""),"")</f>
        <v/>
      </c>
      <c r="U597" s="5" t="str">
        <f>IFERROR(__xludf.DUMMYFUNCTION("""COMPUTED_VALUE"""),"")</f>
        <v/>
      </c>
      <c r="V597" s="5" t="str">
        <f>IFERROR(__xludf.DUMMYFUNCTION("""COMPUTED_VALUE"""),"")</f>
        <v/>
      </c>
      <c r="W597" s="5" t="str">
        <f>IFERROR(__xludf.DUMMYFUNCTION("""COMPUTED_VALUE"""),"")</f>
        <v/>
      </c>
      <c r="X597" s="5" t="str">
        <f>IFERROR(__xludf.DUMMYFUNCTION("""COMPUTED_VALUE"""),"")</f>
        <v/>
      </c>
      <c r="Y597" s="5"/>
      <c r="Z597" s="5"/>
    </row>
    <row r="598">
      <c r="A598" s="5" t="str">
        <f>IFERROR(__xludf.DUMMYFUNCTION("""COMPUTED_VALUE"""),"Wild Hot 40 Hold&amp;Win")</f>
        <v>Wild Hot 40 Hold&amp;Win</v>
      </c>
      <c r="B598" s="5" t="str">
        <f>IFERROR(__xludf.DUMMYFUNCTION("""COMPUTED_VALUE"""),"")</f>
        <v/>
      </c>
      <c r="C598" s="5" t="str">
        <f>IFERROR(__xludf.DUMMYFUNCTION("""COMPUTED_VALUE"""),"Development")</f>
        <v>Development</v>
      </c>
      <c r="D598" s="5" t="str">
        <f>IFERROR(__xludf.DUMMYFUNCTION("""COMPUTED_VALUE"""),"Planned")</f>
        <v>Planned</v>
      </c>
      <c r="E598" s="5" t="str">
        <f>IFERROR(__xludf.DUMMYFUNCTION("""COMPUTED_VALUE"""),"")</f>
        <v/>
      </c>
      <c r="F598" s="5" t="str">
        <f>IFERROR(__xludf.DUMMYFUNCTION("""COMPUTED_VALUE"""),"Development")</f>
        <v>Development</v>
      </c>
      <c r="G598" s="5" t="str">
        <f>IFERROR(__xludf.DUMMYFUNCTION("""COMPUTED_VALUE"""),"")</f>
        <v/>
      </c>
      <c r="H598" s="5" t="str">
        <f>IFERROR(__xludf.DUMMYFUNCTION("""COMPUTED_VALUE"""),"")</f>
        <v/>
      </c>
      <c r="I598" s="5" t="str">
        <f>IFERROR(__xludf.DUMMYFUNCTION("""COMPUTED_VALUE"""),"")</f>
        <v/>
      </c>
      <c r="J598" s="5" t="str">
        <f>IFERROR(__xludf.DUMMYFUNCTION("""COMPUTED_VALUE"""),"")</f>
        <v/>
      </c>
      <c r="K598" s="5" t="str">
        <f>IFERROR(__xludf.DUMMYFUNCTION("""COMPUTED_VALUE"""),"")</f>
        <v/>
      </c>
      <c r="L598" s="5" t="str">
        <f>IFERROR(__xludf.DUMMYFUNCTION("""COMPUTED_VALUE"""),"")</f>
        <v/>
      </c>
      <c r="M598" s="5" t="str">
        <f>IFERROR(__xludf.DUMMYFUNCTION("""COMPUTED_VALUE"""),"")</f>
        <v/>
      </c>
      <c r="N598" s="5" t="str">
        <f>IFERROR(__xludf.DUMMYFUNCTION("""COMPUTED_VALUE"""),"Planned")</f>
        <v>Planned</v>
      </c>
      <c r="O598" s="5" t="str">
        <f>IFERROR(__xludf.DUMMYFUNCTION("""COMPUTED_VALUE"""),"")</f>
        <v/>
      </c>
      <c r="P598" s="5" t="str">
        <f>IFERROR(__xludf.DUMMYFUNCTION("""COMPUTED_VALUE"""),"")</f>
        <v/>
      </c>
      <c r="Q598" s="5" t="str">
        <f>IFERROR(__xludf.DUMMYFUNCTION("""COMPUTED_VALUE"""),"")</f>
        <v/>
      </c>
      <c r="R598" s="5" t="str">
        <f>IFERROR(__xludf.DUMMYFUNCTION("""COMPUTED_VALUE"""),"")</f>
        <v/>
      </c>
      <c r="S598" s="5" t="str">
        <f>IFERROR(__xludf.DUMMYFUNCTION("""COMPUTED_VALUE"""),"")</f>
        <v/>
      </c>
      <c r="T598" s="5" t="str">
        <f>IFERROR(__xludf.DUMMYFUNCTION("""COMPUTED_VALUE"""),"")</f>
        <v/>
      </c>
      <c r="U598" s="5" t="str">
        <f>IFERROR(__xludf.DUMMYFUNCTION("""COMPUTED_VALUE"""),"")</f>
        <v/>
      </c>
      <c r="V598" s="5" t="str">
        <f>IFERROR(__xludf.DUMMYFUNCTION("""COMPUTED_VALUE"""),"")</f>
        <v/>
      </c>
      <c r="W598" s="5" t="str">
        <f>IFERROR(__xludf.DUMMYFUNCTION("""COMPUTED_VALUE"""),"")</f>
        <v/>
      </c>
      <c r="X598" s="5" t="str">
        <f>IFERROR(__xludf.DUMMYFUNCTION("""COMPUTED_VALUE"""),"")</f>
        <v/>
      </c>
      <c r="Y598" s="5"/>
      <c r="Z598" s="5"/>
    </row>
    <row r="599">
      <c r="A599" s="5" t="str">
        <f>IFERROR(__xludf.DUMMYFUNCTION("""COMPUTED_VALUE"""),"Wild Booster (Wild Joker Hot)")</f>
        <v>Wild Booster (Wild Joker Hot)</v>
      </c>
      <c r="B599" s="5" t="str">
        <f>IFERROR(__xludf.DUMMYFUNCTION("""COMPUTED_VALUE"""),"")</f>
        <v/>
      </c>
      <c r="C599" s="5" t="str">
        <f>IFERROR(__xludf.DUMMYFUNCTION("""COMPUTED_VALUE"""),"")</f>
        <v/>
      </c>
      <c r="D599" s="5" t="str">
        <f>IFERROR(__xludf.DUMMYFUNCTION("""COMPUTED_VALUE"""),"")</f>
        <v/>
      </c>
      <c r="E599" s="5" t="str">
        <f>IFERROR(__xludf.DUMMYFUNCTION("""COMPUTED_VALUE"""),"")</f>
        <v/>
      </c>
      <c r="F599" s="5" t="str">
        <f>IFERROR(__xludf.DUMMYFUNCTION("""COMPUTED_VALUE"""),"")</f>
        <v/>
      </c>
      <c r="G599" s="5" t="str">
        <f>IFERROR(__xludf.DUMMYFUNCTION("""COMPUTED_VALUE"""),"")</f>
        <v/>
      </c>
      <c r="H599" s="5" t="str">
        <f>IFERROR(__xludf.DUMMYFUNCTION("""COMPUTED_VALUE"""),"")</f>
        <v/>
      </c>
      <c r="I599" s="5" t="str">
        <f>IFERROR(__xludf.DUMMYFUNCTION("""COMPUTED_VALUE"""),"")</f>
        <v/>
      </c>
      <c r="J599" s="5" t="str">
        <f>IFERROR(__xludf.DUMMYFUNCTION("""COMPUTED_VALUE"""),"")</f>
        <v/>
      </c>
      <c r="K599" s="5" t="str">
        <f>IFERROR(__xludf.DUMMYFUNCTION("""COMPUTED_VALUE"""),"")</f>
        <v/>
      </c>
      <c r="L599" s="5" t="str">
        <f>IFERROR(__xludf.DUMMYFUNCTION("""COMPUTED_VALUE"""),"")</f>
        <v/>
      </c>
      <c r="M599" s="5" t="str">
        <f>IFERROR(__xludf.DUMMYFUNCTION("""COMPUTED_VALUE"""),"")</f>
        <v/>
      </c>
      <c r="N599" s="5" t="str">
        <f>IFERROR(__xludf.DUMMYFUNCTION("""COMPUTED_VALUE"""),"")</f>
        <v/>
      </c>
      <c r="O599" s="5" t="str">
        <f>IFERROR(__xludf.DUMMYFUNCTION("""COMPUTED_VALUE"""),"")</f>
        <v/>
      </c>
      <c r="P599" s="5" t="str">
        <f>IFERROR(__xludf.DUMMYFUNCTION("""COMPUTED_VALUE"""),"")</f>
        <v/>
      </c>
      <c r="Q599" s="5" t="str">
        <f>IFERROR(__xludf.DUMMYFUNCTION("""COMPUTED_VALUE"""),"")</f>
        <v/>
      </c>
      <c r="R599" s="5" t="str">
        <f>IFERROR(__xludf.DUMMYFUNCTION("""COMPUTED_VALUE"""),"")</f>
        <v/>
      </c>
      <c r="S599" s="5" t="str">
        <f>IFERROR(__xludf.DUMMYFUNCTION("""COMPUTED_VALUE"""),"")</f>
        <v/>
      </c>
      <c r="T599" s="5" t="str">
        <f>IFERROR(__xludf.DUMMYFUNCTION("""COMPUTED_VALUE"""),"")</f>
        <v/>
      </c>
      <c r="U599" s="5" t="str">
        <f>IFERROR(__xludf.DUMMYFUNCTION("""COMPUTED_VALUE"""),"")</f>
        <v/>
      </c>
      <c r="V599" s="5" t="str">
        <f>IFERROR(__xludf.DUMMYFUNCTION("""COMPUTED_VALUE"""),"")</f>
        <v/>
      </c>
      <c r="W599" s="5" t="str">
        <f>IFERROR(__xludf.DUMMYFUNCTION("""COMPUTED_VALUE"""),"")</f>
        <v/>
      </c>
      <c r="X599" s="5" t="str">
        <f>IFERROR(__xludf.DUMMYFUNCTION("""COMPUTED_VALUE"""),"")</f>
        <v/>
      </c>
      <c r="Y599" s="5"/>
      <c r="Z599" s="5"/>
    </row>
    <row r="600">
      <c r="A600" s="5" t="str">
        <f>IFERROR(__xludf.DUMMYFUNCTION("""COMPUTED_VALUE"""),"Wild Hot 40 Blow Booster")</f>
        <v>Wild Hot 40 Blow Booster</v>
      </c>
      <c r="B600" s="5" t="str">
        <f>IFERROR(__xludf.DUMMYFUNCTION("""COMPUTED_VALUE"""),"")</f>
        <v/>
      </c>
      <c r="C600" s="5" t="str">
        <f>IFERROR(__xludf.DUMMYFUNCTION("""COMPUTED_VALUE"""),"")</f>
        <v/>
      </c>
      <c r="D600" s="5" t="str">
        <f>IFERROR(__xludf.DUMMYFUNCTION("""COMPUTED_VALUE"""),"")</f>
        <v/>
      </c>
      <c r="E600" s="5" t="str">
        <f>IFERROR(__xludf.DUMMYFUNCTION("""COMPUTED_VALUE"""),"")</f>
        <v/>
      </c>
      <c r="F600" s="5" t="str">
        <f>IFERROR(__xludf.DUMMYFUNCTION("""COMPUTED_VALUE"""),"")</f>
        <v/>
      </c>
      <c r="G600" s="5" t="str">
        <f>IFERROR(__xludf.DUMMYFUNCTION("""COMPUTED_VALUE"""),"")</f>
        <v/>
      </c>
      <c r="H600" s="5" t="str">
        <f>IFERROR(__xludf.DUMMYFUNCTION("""COMPUTED_VALUE"""),"")</f>
        <v/>
      </c>
      <c r="I600" s="5" t="str">
        <f>IFERROR(__xludf.DUMMYFUNCTION("""COMPUTED_VALUE"""),"")</f>
        <v/>
      </c>
      <c r="J600" s="5" t="str">
        <f>IFERROR(__xludf.DUMMYFUNCTION("""COMPUTED_VALUE"""),"")</f>
        <v/>
      </c>
      <c r="K600" s="5" t="str">
        <f>IFERROR(__xludf.DUMMYFUNCTION("""COMPUTED_VALUE"""),"")</f>
        <v/>
      </c>
      <c r="L600" s="5" t="str">
        <f>IFERROR(__xludf.DUMMYFUNCTION("""COMPUTED_VALUE"""),"")</f>
        <v/>
      </c>
      <c r="M600" s="5" t="str">
        <f>IFERROR(__xludf.DUMMYFUNCTION("""COMPUTED_VALUE"""),"")</f>
        <v/>
      </c>
      <c r="N600" s="5" t="str">
        <f>IFERROR(__xludf.DUMMYFUNCTION("""COMPUTED_VALUE"""),"")</f>
        <v/>
      </c>
      <c r="O600" s="5" t="str">
        <f>IFERROR(__xludf.DUMMYFUNCTION("""COMPUTED_VALUE"""),"")</f>
        <v/>
      </c>
      <c r="P600" s="5" t="str">
        <f>IFERROR(__xludf.DUMMYFUNCTION("""COMPUTED_VALUE"""),"")</f>
        <v/>
      </c>
      <c r="Q600" s="5" t="str">
        <f>IFERROR(__xludf.DUMMYFUNCTION("""COMPUTED_VALUE"""),"")</f>
        <v/>
      </c>
      <c r="R600" s="5" t="str">
        <f>IFERROR(__xludf.DUMMYFUNCTION("""COMPUTED_VALUE"""),"")</f>
        <v/>
      </c>
      <c r="S600" s="5" t="str">
        <f>IFERROR(__xludf.DUMMYFUNCTION("""COMPUTED_VALUE"""),"")</f>
        <v/>
      </c>
      <c r="T600" s="5" t="str">
        <f>IFERROR(__xludf.DUMMYFUNCTION("""COMPUTED_VALUE"""),"")</f>
        <v/>
      </c>
      <c r="U600" s="5" t="str">
        <f>IFERROR(__xludf.DUMMYFUNCTION("""COMPUTED_VALUE"""),"")</f>
        <v/>
      </c>
      <c r="V600" s="5" t="str">
        <f>IFERROR(__xludf.DUMMYFUNCTION("""COMPUTED_VALUE"""),"")</f>
        <v/>
      </c>
      <c r="W600" s="5" t="str">
        <f>IFERROR(__xludf.DUMMYFUNCTION("""COMPUTED_VALUE"""),"")</f>
        <v/>
      </c>
      <c r="X600" s="5" t="str">
        <f>IFERROR(__xludf.DUMMYFUNCTION("""COMPUTED_VALUE"""),"")</f>
        <v/>
      </c>
      <c r="Y600" s="5"/>
      <c r="Z600" s="5"/>
    </row>
    <row r="601">
      <c r="A601" s="5" t="str">
        <f>IFERROR(__xludf.DUMMYFUNCTION("""COMPUTED_VALUE"""),"Bluff and Bite")</f>
        <v>Bluff and Bite</v>
      </c>
      <c r="B601" s="5" t="str">
        <f>IFERROR(__xludf.DUMMYFUNCTION("""COMPUTED_VALUE"""),"")</f>
        <v/>
      </c>
      <c r="C601" s="5" t="str">
        <f>IFERROR(__xludf.DUMMYFUNCTION("""COMPUTED_VALUE"""),"")</f>
        <v/>
      </c>
      <c r="D601" s="5" t="str">
        <f>IFERROR(__xludf.DUMMYFUNCTION("""COMPUTED_VALUE"""),"")</f>
        <v/>
      </c>
      <c r="E601" s="5" t="str">
        <f>IFERROR(__xludf.DUMMYFUNCTION("""COMPUTED_VALUE"""),"")</f>
        <v/>
      </c>
      <c r="F601" s="5" t="str">
        <f>IFERROR(__xludf.DUMMYFUNCTION("""COMPUTED_VALUE"""),"")</f>
        <v/>
      </c>
      <c r="G601" s="5" t="str">
        <f>IFERROR(__xludf.DUMMYFUNCTION("""COMPUTED_VALUE"""),"")</f>
        <v/>
      </c>
      <c r="H601" s="5" t="str">
        <f>IFERROR(__xludf.DUMMYFUNCTION("""COMPUTED_VALUE"""),"")</f>
        <v/>
      </c>
      <c r="I601" s="5" t="str">
        <f>IFERROR(__xludf.DUMMYFUNCTION("""COMPUTED_VALUE"""),"")</f>
        <v/>
      </c>
      <c r="J601" s="5" t="str">
        <f>IFERROR(__xludf.DUMMYFUNCTION("""COMPUTED_VALUE"""),"")</f>
        <v/>
      </c>
      <c r="K601" s="5" t="str">
        <f>IFERROR(__xludf.DUMMYFUNCTION("""COMPUTED_VALUE"""),"")</f>
        <v/>
      </c>
      <c r="L601" s="5" t="str">
        <f>IFERROR(__xludf.DUMMYFUNCTION("""COMPUTED_VALUE"""),"")</f>
        <v/>
      </c>
      <c r="M601" s="5" t="str">
        <f>IFERROR(__xludf.DUMMYFUNCTION("""COMPUTED_VALUE"""),"")</f>
        <v/>
      </c>
      <c r="N601" s="5" t="str">
        <f>IFERROR(__xludf.DUMMYFUNCTION("""COMPUTED_VALUE"""),"")</f>
        <v/>
      </c>
      <c r="O601" s="5" t="str">
        <f>IFERROR(__xludf.DUMMYFUNCTION("""COMPUTED_VALUE"""),"")</f>
        <v/>
      </c>
      <c r="P601" s="5" t="str">
        <f>IFERROR(__xludf.DUMMYFUNCTION("""COMPUTED_VALUE"""),"")</f>
        <v/>
      </c>
      <c r="Q601" s="5" t="str">
        <f>IFERROR(__xludf.DUMMYFUNCTION("""COMPUTED_VALUE"""),"")</f>
        <v/>
      </c>
      <c r="R601" s="5" t="str">
        <f>IFERROR(__xludf.DUMMYFUNCTION("""COMPUTED_VALUE"""),"")</f>
        <v/>
      </c>
      <c r="S601" s="5" t="str">
        <f>IFERROR(__xludf.DUMMYFUNCTION("""COMPUTED_VALUE"""),"")</f>
        <v/>
      </c>
      <c r="T601" s="5" t="str">
        <f>IFERROR(__xludf.DUMMYFUNCTION("""COMPUTED_VALUE"""),"")</f>
        <v/>
      </c>
      <c r="U601" s="5" t="str">
        <f>IFERROR(__xludf.DUMMYFUNCTION("""COMPUTED_VALUE"""),"")</f>
        <v/>
      </c>
      <c r="V601" s="5" t="str">
        <f>IFERROR(__xludf.DUMMYFUNCTION("""COMPUTED_VALUE"""),"")</f>
        <v/>
      </c>
      <c r="W601" s="5" t="str">
        <f>IFERROR(__xludf.DUMMYFUNCTION("""COMPUTED_VALUE"""),"")</f>
        <v/>
      </c>
      <c r="X601" s="5" t="str">
        <f>IFERROR(__xludf.DUMMYFUNCTION("""COMPUTED_VALUE"""),"")</f>
        <v/>
      </c>
      <c r="Y601" s="5"/>
      <c r="Z601" s="5"/>
    </row>
    <row r="602">
      <c r="A602" s="5" t="str">
        <f>IFERROR(__xludf.DUMMYFUNCTION("""COMPUTED_VALUE"""),"Royal Crown Delight")</f>
        <v>Royal Crown Delight</v>
      </c>
      <c r="B602" s="5" t="str">
        <f>IFERROR(__xludf.DUMMYFUNCTION("""COMPUTED_VALUE"""),"")</f>
        <v/>
      </c>
      <c r="C602" s="5" t="str">
        <f>IFERROR(__xludf.DUMMYFUNCTION("""COMPUTED_VALUE"""),"")</f>
        <v/>
      </c>
      <c r="D602" s="5" t="str">
        <f>IFERROR(__xludf.DUMMYFUNCTION("""COMPUTED_VALUE"""),"")</f>
        <v/>
      </c>
      <c r="E602" s="5" t="str">
        <f>IFERROR(__xludf.DUMMYFUNCTION("""COMPUTED_VALUE"""),"")</f>
        <v/>
      </c>
      <c r="F602" s="5" t="str">
        <f>IFERROR(__xludf.DUMMYFUNCTION("""COMPUTED_VALUE"""),"")</f>
        <v/>
      </c>
      <c r="G602" s="5" t="str">
        <f>IFERROR(__xludf.DUMMYFUNCTION("""COMPUTED_VALUE"""),"")</f>
        <v/>
      </c>
      <c r="H602" s="5" t="str">
        <f>IFERROR(__xludf.DUMMYFUNCTION("""COMPUTED_VALUE"""),"")</f>
        <v/>
      </c>
      <c r="I602" s="5" t="str">
        <f>IFERROR(__xludf.DUMMYFUNCTION("""COMPUTED_VALUE"""),"")</f>
        <v/>
      </c>
      <c r="J602" s="5" t="str">
        <f>IFERROR(__xludf.DUMMYFUNCTION("""COMPUTED_VALUE"""),"")</f>
        <v/>
      </c>
      <c r="K602" s="5" t="str">
        <f>IFERROR(__xludf.DUMMYFUNCTION("""COMPUTED_VALUE"""),"")</f>
        <v/>
      </c>
      <c r="L602" s="5" t="str">
        <f>IFERROR(__xludf.DUMMYFUNCTION("""COMPUTED_VALUE"""),"")</f>
        <v/>
      </c>
      <c r="M602" s="5" t="str">
        <f>IFERROR(__xludf.DUMMYFUNCTION("""COMPUTED_VALUE"""),"")</f>
        <v/>
      </c>
      <c r="N602" s="5" t="str">
        <f>IFERROR(__xludf.DUMMYFUNCTION("""COMPUTED_VALUE"""),"")</f>
        <v/>
      </c>
      <c r="O602" s="5" t="str">
        <f>IFERROR(__xludf.DUMMYFUNCTION("""COMPUTED_VALUE"""),"")</f>
        <v/>
      </c>
      <c r="P602" s="5" t="str">
        <f>IFERROR(__xludf.DUMMYFUNCTION("""COMPUTED_VALUE"""),"")</f>
        <v/>
      </c>
      <c r="Q602" s="5" t="str">
        <f>IFERROR(__xludf.DUMMYFUNCTION("""COMPUTED_VALUE"""),"")</f>
        <v/>
      </c>
      <c r="R602" s="5" t="str">
        <f>IFERROR(__xludf.DUMMYFUNCTION("""COMPUTED_VALUE"""),"")</f>
        <v/>
      </c>
      <c r="S602" s="5" t="str">
        <f>IFERROR(__xludf.DUMMYFUNCTION("""COMPUTED_VALUE"""),"")</f>
        <v/>
      </c>
      <c r="T602" s="5" t="str">
        <f>IFERROR(__xludf.DUMMYFUNCTION("""COMPUTED_VALUE"""),"")</f>
        <v/>
      </c>
      <c r="U602" s="5" t="str">
        <f>IFERROR(__xludf.DUMMYFUNCTION("""COMPUTED_VALUE"""),"")</f>
        <v/>
      </c>
      <c r="V602" s="5" t="str">
        <f>IFERROR(__xludf.DUMMYFUNCTION("""COMPUTED_VALUE"""),"")</f>
        <v/>
      </c>
      <c r="W602" s="5" t="str">
        <f>IFERROR(__xludf.DUMMYFUNCTION("""COMPUTED_VALUE"""),"")</f>
        <v/>
      </c>
      <c r="X602" s="5" t="str">
        <f>IFERROR(__xludf.DUMMYFUNCTION("""COMPUTED_VALUE"""),"")</f>
        <v/>
      </c>
      <c r="Y602" s="5"/>
      <c r="Z602" s="5"/>
    </row>
    <row r="603">
      <c r="A603" s="5" t="str">
        <f>IFERROR(__xludf.DUMMYFUNCTION("""COMPUTED_VALUE"""),"AdmiralBet Bonus Crown")</f>
        <v>AdmiralBet Bonus Crown</v>
      </c>
      <c r="B603" s="5" t="str">
        <f>IFERROR(__xludf.DUMMYFUNCTION("""COMPUTED_VALUE"""),"")</f>
        <v/>
      </c>
      <c r="C603" s="5" t="str">
        <f>IFERROR(__xludf.DUMMYFUNCTION("""COMPUTED_VALUE"""),"")</f>
        <v/>
      </c>
      <c r="D603" s="5" t="str">
        <f>IFERROR(__xludf.DUMMYFUNCTION("""COMPUTED_VALUE"""),"")</f>
        <v/>
      </c>
      <c r="E603" s="5" t="str">
        <f>IFERROR(__xludf.DUMMYFUNCTION("""COMPUTED_VALUE"""),"")</f>
        <v/>
      </c>
      <c r="F603" s="5" t="str">
        <f>IFERROR(__xludf.DUMMYFUNCTION("""COMPUTED_VALUE"""),"")</f>
        <v/>
      </c>
      <c r="G603" s="5" t="str">
        <f>IFERROR(__xludf.DUMMYFUNCTION("""COMPUTED_VALUE"""),"")</f>
        <v/>
      </c>
      <c r="H603" s="5" t="str">
        <f>IFERROR(__xludf.DUMMYFUNCTION("""COMPUTED_VALUE"""),"")</f>
        <v/>
      </c>
      <c r="I603" s="5" t="str">
        <f>IFERROR(__xludf.DUMMYFUNCTION("""COMPUTED_VALUE"""),"")</f>
        <v/>
      </c>
      <c r="J603" s="5" t="str">
        <f>IFERROR(__xludf.DUMMYFUNCTION("""COMPUTED_VALUE"""),"")</f>
        <v/>
      </c>
      <c r="K603" s="5" t="str">
        <f>IFERROR(__xludf.DUMMYFUNCTION("""COMPUTED_VALUE"""),"")</f>
        <v/>
      </c>
      <c r="L603" s="5" t="str">
        <f>IFERROR(__xludf.DUMMYFUNCTION("""COMPUTED_VALUE"""),"")</f>
        <v/>
      </c>
      <c r="M603" s="5" t="str">
        <f>IFERROR(__xludf.DUMMYFUNCTION("""COMPUTED_VALUE"""),"")</f>
        <v/>
      </c>
      <c r="N603" s="5" t="str">
        <f>IFERROR(__xludf.DUMMYFUNCTION("""COMPUTED_VALUE"""),"")</f>
        <v/>
      </c>
      <c r="O603" s="5" t="str">
        <f>IFERROR(__xludf.DUMMYFUNCTION("""COMPUTED_VALUE"""),"")</f>
        <v/>
      </c>
      <c r="P603" s="5" t="str">
        <f>IFERROR(__xludf.DUMMYFUNCTION("""COMPUTED_VALUE"""),"")</f>
        <v/>
      </c>
      <c r="Q603" s="5" t="str">
        <f>IFERROR(__xludf.DUMMYFUNCTION("""COMPUTED_VALUE"""),"")</f>
        <v/>
      </c>
      <c r="R603" s="5" t="str">
        <f>IFERROR(__xludf.DUMMYFUNCTION("""COMPUTED_VALUE"""),"")</f>
        <v/>
      </c>
      <c r="S603" s="5" t="str">
        <f>IFERROR(__xludf.DUMMYFUNCTION("""COMPUTED_VALUE"""),"")</f>
        <v/>
      </c>
      <c r="T603" s="5" t="str">
        <f>IFERROR(__xludf.DUMMYFUNCTION("""COMPUTED_VALUE"""),"")</f>
        <v/>
      </c>
      <c r="U603" s="5" t="str">
        <f>IFERROR(__xludf.DUMMYFUNCTION("""COMPUTED_VALUE"""),"")</f>
        <v/>
      </c>
      <c r="V603" s="5" t="str">
        <f>IFERROR(__xludf.DUMMYFUNCTION("""COMPUTED_VALUE"""),"")</f>
        <v/>
      </c>
      <c r="W603" s="5" t="str">
        <f>IFERROR(__xludf.DUMMYFUNCTION("""COMPUTED_VALUE"""),"")</f>
        <v/>
      </c>
      <c r="X603" s="5" t="str">
        <f>IFERROR(__xludf.DUMMYFUNCTION("""COMPUTED_VALUE"""),"")</f>
        <v/>
      </c>
      <c r="Y603" s="5"/>
      <c r="Z603" s="5"/>
    </row>
    <row r="604">
      <c r="A604" s="5" t="str">
        <f>IFERROR(__xludf.DUMMYFUNCTION("""COMPUTED_VALUE"""),"Cratos Hot 40")</f>
        <v>Cratos Hot 40</v>
      </c>
      <c r="B604" s="5" t="str">
        <f>IFERROR(__xludf.DUMMYFUNCTION("""COMPUTED_VALUE"""),"")</f>
        <v/>
      </c>
      <c r="C604" s="5" t="str">
        <f>IFERROR(__xludf.DUMMYFUNCTION("""COMPUTED_VALUE"""),"")</f>
        <v/>
      </c>
      <c r="D604" s="5" t="str">
        <f>IFERROR(__xludf.DUMMYFUNCTION("""COMPUTED_VALUE"""),"")</f>
        <v/>
      </c>
      <c r="E604" s="5" t="str">
        <f>IFERROR(__xludf.DUMMYFUNCTION("""COMPUTED_VALUE"""),"")</f>
        <v/>
      </c>
      <c r="F604" s="5" t="str">
        <f>IFERROR(__xludf.DUMMYFUNCTION("""COMPUTED_VALUE"""),"")</f>
        <v/>
      </c>
      <c r="G604" s="5" t="str">
        <f>IFERROR(__xludf.DUMMYFUNCTION("""COMPUTED_VALUE"""),"")</f>
        <v/>
      </c>
      <c r="H604" s="5" t="str">
        <f>IFERROR(__xludf.DUMMYFUNCTION("""COMPUTED_VALUE"""),"")</f>
        <v/>
      </c>
      <c r="I604" s="5" t="str">
        <f>IFERROR(__xludf.DUMMYFUNCTION("""COMPUTED_VALUE"""),"")</f>
        <v/>
      </c>
      <c r="J604" s="5" t="str">
        <f>IFERROR(__xludf.DUMMYFUNCTION("""COMPUTED_VALUE"""),"")</f>
        <v/>
      </c>
      <c r="K604" s="5" t="str">
        <f>IFERROR(__xludf.DUMMYFUNCTION("""COMPUTED_VALUE"""),"")</f>
        <v/>
      </c>
      <c r="L604" s="5" t="str">
        <f>IFERROR(__xludf.DUMMYFUNCTION("""COMPUTED_VALUE"""),"")</f>
        <v/>
      </c>
      <c r="M604" s="5" t="str">
        <f>IFERROR(__xludf.DUMMYFUNCTION("""COMPUTED_VALUE"""),"")</f>
        <v/>
      </c>
      <c r="N604" s="5" t="str">
        <f>IFERROR(__xludf.DUMMYFUNCTION("""COMPUTED_VALUE"""),"")</f>
        <v/>
      </c>
      <c r="O604" s="5" t="str">
        <f>IFERROR(__xludf.DUMMYFUNCTION("""COMPUTED_VALUE"""),"")</f>
        <v/>
      </c>
      <c r="P604" s="5" t="str">
        <f>IFERROR(__xludf.DUMMYFUNCTION("""COMPUTED_VALUE"""),"")</f>
        <v/>
      </c>
      <c r="Q604" s="5" t="str">
        <f>IFERROR(__xludf.DUMMYFUNCTION("""COMPUTED_VALUE"""),"")</f>
        <v/>
      </c>
      <c r="R604" s="5" t="str">
        <f>IFERROR(__xludf.DUMMYFUNCTION("""COMPUTED_VALUE"""),"")</f>
        <v/>
      </c>
      <c r="S604" s="5" t="str">
        <f>IFERROR(__xludf.DUMMYFUNCTION("""COMPUTED_VALUE"""),"")</f>
        <v/>
      </c>
      <c r="T604" s="5" t="str">
        <f>IFERROR(__xludf.DUMMYFUNCTION("""COMPUTED_VALUE"""),"")</f>
        <v/>
      </c>
      <c r="U604" s="5" t="str">
        <f>IFERROR(__xludf.DUMMYFUNCTION("""COMPUTED_VALUE"""),"")</f>
        <v/>
      </c>
      <c r="V604" s="5" t="str">
        <f>IFERROR(__xludf.DUMMYFUNCTION("""COMPUTED_VALUE"""),"")</f>
        <v/>
      </c>
      <c r="W604" s="5" t="str">
        <f>IFERROR(__xludf.DUMMYFUNCTION("""COMPUTED_VALUE"""),"")</f>
        <v/>
      </c>
      <c r="X604" s="5" t="str">
        <f>IFERROR(__xludf.DUMMYFUNCTION("""COMPUTED_VALUE"""),"")</f>
        <v/>
      </c>
      <c r="Y604" s="5"/>
      <c r="Z604" s="5"/>
    </row>
    <row r="605">
      <c r="A605" s="5" t="str">
        <f>IFERROR(__xludf.DUMMYFUNCTION("""COMPUTED_VALUE"""),"Planet Dice Escape")</f>
        <v>Planet Dice Escape</v>
      </c>
      <c r="B605" s="5" t="str">
        <f>IFERROR(__xludf.DUMMYFUNCTION("""COMPUTED_VALUE"""),"")</f>
        <v/>
      </c>
      <c r="C605" s="5" t="str">
        <f>IFERROR(__xludf.DUMMYFUNCTION("""COMPUTED_VALUE"""),"")</f>
        <v/>
      </c>
      <c r="D605" s="5" t="str">
        <f>IFERROR(__xludf.DUMMYFUNCTION("""COMPUTED_VALUE"""),"")</f>
        <v/>
      </c>
      <c r="E605" s="5" t="str">
        <f>IFERROR(__xludf.DUMMYFUNCTION("""COMPUTED_VALUE"""),"")</f>
        <v/>
      </c>
      <c r="F605" s="5" t="str">
        <f>IFERROR(__xludf.DUMMYFUNCTION("""COMPUTED_VALUE"""),"")</f>
        <v/>
      </c>
      <c r="G605" s="5" t="str">
        <f>IFERROR(__xludf.DUMMYFUNCTION("""COMPUTED_VALUE"""),"")</f>
        <v/>
      </c>
      <c r="H605" s="5" t="str">
        <f>IFERROR(__xludf.DUMMYFUNCTION("""COMPUTED_VALUE"""),"")</f>
        <v/>
      </c>
      <c r="I605" s="5" t="str">
        <f>IFERROR(__xludf.DUMMYFUNCTION("""COMPUTED_VALUE"""),"")</f>
        <v/>
      </c>
      <c r="J605" s="5" t="str">
        <f>IFERROR(__xludf.DUMMYFUNCTION("""COMPUTED_VALUE"""),"")</f>
        <v/>
      </c>
      <c r="K605" s="5" t="str">
        <f>IFERROR(__xludf.DUMMYFUNCTION("""COMPUTED_VALUE"""),"")</f>
        <v/>
      </c>
      <c r="L605" s="5" t="str">
        <f>IFERROR(__xludf.DUMMYFUNCTION("""COMPUTED_VALUE"""),"")</f>
        <v/>
      </c>
      <c r="M605" s="5" t="str">
        <f>IFERROR(__xludf.DUMMYFUNCTION("""COMPUTED_VALUE"""),"")</f>
        <v/>
      </c>
      <c r="N605" s="5" t="str">
        <f>IFERROR(__xludf.DUMMYFUNCTION("""COMPUTED_VALUE"""),"")</f>
        <v/>
      </c>
      <c r="O605" s="5" t="str">
        <f>IFERROR(__xludf.DUMMYFUNCTION("""COMPUTED_VALUE"""),"")</f>
        <v/>
      </c>
      <c r="P605" s="5" t="str">
        <f>IFERROR(__xludf.DUMMYFUNCTION("""COMPUTED_VALUE"""),"")</f>
        <v/>
      </c>
      <c r="Q605" s="5" t="str">
        <f>IFERROR(__xludf.DUMMYFUNCTION("""COMPUTED_VALUE"""),"")</f>
        <v/>
      </c>
      <c r="R605" s="5" t="str">
        <f>IFERROR(__xludf.DUMMYFUNCTION("""COMPUTED_VALUE"""),"")</f>
        <v/>
      </c>
      <c r="S605" s="5" t="str">
        <f>IFERROR(__xludf.DUMMYFUNCTION("""COMPUTED_VALUE"""),"")</f>
        <v/>
      </c>
      <c r="T605" s="5" t="str">
        <f>IFERROR(__xludf.DUMMYFUNCTION("""COMPUTED_VALUE"""),"")</f>
        <v/>
      </c>
      <c r="U605" s="5" t="str">
        <f>IFERROR(__xludf.DUMMYFUNCTION("""COMPUTED_VALUE"""),"")</f>
        <v/>
      </c>
      <c r="V605" s="5" t="str">
        <f>IFERROR(__xludf.DUMMYFUNCTION("""COMPUTED_VALUE"""),"")</f>
        <v/>
      </c>
      <c r="W605" s="5" t="str">
        <f>IFERROR(__xludf.DUMMYFUNCTION("""COMPUTED_VALUE"""),"")</f>
        <v/>
      </c>
      <c r="X605" s="5" t="str">
        <f>IFERROR(__xludf.DUMMYFUNCTION("""COMPUTED_VALUE"""),"")</f>
        <v/>
      </c>
      <c r="Y605" s="5"/>
      <c r="Z605" s="5"/>
    </row>
    <row r="606">
      <c r="A606" s="5" t="str">
        <f>IFERROR(__xludf.DUMMYFUNCTION("""COMPUTED_VALUE"""),"Wild Tiki Mayhem")</f>
        <v>Wild Tiki Mayhem</v>
      </c>
      <c r="B606" s="5" t="str">
        <f>IFERROR(__xludf.DUMMYFUNCTION("""COMPUTED_VALUE"""),"")</f>
        <v/>
      </c>
      <c r="C606" s="5" t="str">
        <f>IFERROR(__xludf.DUMMYFUNCTION("""COMPUTED_VALUE"""),"")</f>
        <v/>
      </c>
      <c r="D606" s="5" t="str">
        <f>IFERROR(__xludf.DUMMYFUNCTION("""COMPUTED_VALUE"""),"")</f>
        <v/>
      </c>
      <c r="E606" s="5" t="str">
        <f>IFERROR(__xludf.DUMMYFUNCTION("""COMPUTED_VALUE"""),"")</f>
        <v/>
      </c>
      <c r="F606" s="5" t="str">
        <f>IFERROR(__xludf.DUMMYFUNCTION("""COMPUTED_VALUE"""),"")</f>
        <v/>
      </c>
      <c r="G606" s="5" t="str">
        <f>IFERROR(__xludf.DUMMYFUNCTION("""COMPUTED_VALUE"""),"")</f>
        <v/>
      </c>
      <c r="H606" s="5" t="str">
        <f>IFERROR(__xludf.DUMMYFUNCTION("""COMPUTED_VALUE"""),"")</f>
        <v/>
      </c>
      <c r="I606" s="5" t="str">
        <f>IFERROR(__xludf.DUMMYFUNCTION("""COMPUTED_VALUE"""),"")</f>
        <v/>
      </c>
      <c r="J606" s="5" t="str">
        <f>IFERROR(__xludf.DUMMYFUNCTION("""COMPUTED_VALUE"""),"")</f>
        <v/>
      </c>
      <c r="K606" s="5" t="str">
        <f>IFERROR(__xludf.DUMMYFUNCTION("""COMPUTED_VALUE"""),"")</f>
        <v/>
      </c>
      <c r="L606" s="5" t="str">
        <f>IFERROR(__xludf.DUMMYFUNCTION("""COMPUTED_VALUE"""),"")</f>
        <v/>
      </c>
      <c r="M606" s="5" t="str">
        <f>IFERROR(__xludf.DUMMYFUNCTION("""COMPUTED_VALUE"""),"")</f>
        <v/>
      </c>
      <c r="N606" s="5" t="str">
        <f>IFERROR(__xludf.DUMMYFUNCTION("""COMPUTED_VALUE"""),"")</f>
        <v/>
      </c>
      <c r="O606" s="5" t="str">
        <f>IFERROR(__xludf.DUMMYFUNCTION("""COMPUTED_VALUE"""),"")</f>
        <v/>
      </c>
      <c r="P606" s="5" t="str">
        <f>IFERROR(__xludf.DUMMYFUNCTION("""COMPUTED_VALUE"""),"")</f>
        <v/>
      </c>
      <c r="Q606" s="5" t="str">
        <f>IFERROR(__xludf.DUMMYFUNCTION("""COMPUTED_VALUE"""),"")</f>
        <v/>
      </c>
      <c r="R606" s="5" t="str">
        <f>IFERROR(__xludf.DUMMYFUNCTION("""COMPUTED_VALUE"""),"")</f>
        <v/>
      </c>
      <c r="S606" s="5" t="str">
        <f>IFERROR(__xludf.DUMMYFUNCTION("""COMPUTED_VALUE"""),"")</f>
        <v/>
      </c>
      <c r="T606" s="5" t="str">
        <f>IFERROR(__xludf.DUMMYFUNCTION("""COMPUTED_VALUE"""),"")</f>
        <v/>
      </c>
      <c r="U606" s="5" t="str">
        <f>IFERROR(__xludf.DUMMYFUNCTION("""COMPUTED_VALUE"""),"")</f>
        <v/>
      </c>
      <c r="V606" s="5" t="str">
        <f>IFERROR(__xludf.DUMMYFUNCTION("""COMPUTED_VALUE"""),"")</f>
        <v/>
      </c>
      <c r="W606" s="5" t="str">
        <f>IFERROR(__xludf.DUMMYFUNCTION("""COMPUTED_VALUE"""),"")</f>
        <v/>
      </c>
      <c r="X606" s="5" t="str">
        <f>IFERROR(__xludf.DUMMYFUNCTION("""COMPUTED_VALUE"""),"")</f>
        <v/>
      </c>
      <c r="Y606" s="5"/>
      <c r="Z606" s="5"/>
    </row>
    <row r="607">
      <c r="A607" s="5" t="str">
        <f>IFERROR(__xludf.DUMMYFUNCTION("""COMPUTED_VALUE"""),"Wild Hot 223")</f>
        <v>Wild Hot 223</v>
      </c>
      <c r="B607" s="5" t="str">
        <f>IFERROR(__xludf.DUMMYFUNCTION("""COMPUTED_VALUE"""),"")</f>
        <v/>
      </c>
      <c r="C607" s="5" t="str">
        <f>IFERROR(__xludf.DUMMYFUNCTION("""COMPUTED_VALUE"""),"")</f>
        <v/>
      </c>
      <c r="D607" s="5" t="str">
        <f>IFERROR(__xludf.DUMMYFUNCTION("""COMPUTED_VALUE"""),"")</f>
        <v/>
      </c>
      <c r="E607" s="5" t="str">
        <f>IFERROR(__xludf.DUMMYFUNCTION("""COMPUTED_VALUE"""),"")</f>
        <v/>
      </c>
      <c r="F607" s="5" t="str">
        <f>IFERROR(__xludf.DUMMYFUNCTION("""COMPUTED_VALUE"""),"")</f>
        <v/>
      </c>
      <c r="G607" s="5" t="str">
        <f>IFERROR(__xludf.DUMMYFUNCTION("""COMPUTED_VALUE"""),"")</f>
        <v/>
      </c>
      <c r="H607" s="5" t="str">
        <f>IFERROR(__xludf.DUMMYFUNCTION("""COMPUTED_VALUE"""),"")</f>
        <v/>
      </c>
      <c r="I607" s="5" t="str">
        <f>IFERROR(__xludf.DUMMYFUNCTION("""COMPUTED_VALUE"""),"")</f>
        <v/>
      </c>
      <c r="J607" s="5" t="str">
        <f>IFERROR(__xludf.DUMMYFUNCTION("""COMPUTED_VALUE"""),"")</f>
        <v/>
      </c>
      <c r="K607" s="5" t="str">
        <f>IFERROR(__xludf.DUMMYFUNCTION("""COMPUTED_VALUE"""),"")</f>
        <v/>
      </c>
      <c r="L607" s="5" t="str">
        <f>IFERROR(__xludf.DUMMYFUNCTION("""COMPUTED_VALUE"""),"")</f>
        <v/>
      </c>
      <c r="M607" s="5" t="str">
        <f>IFERROR(__xludf.DUMMYFUNCTION("""COMPUTED_VALUE"""),"")</f>
        <v/>
      </c>
      <c r="N607" s="5" t="str">
        <f>IFERROR(__xludf.DUMMYFUNCTION("""COMPUTED_VALUE"""),"")</f>
        <v/>
      </c>
      <c r="O607" s="5" t="str">
        <f>IFERROR(__xludf.DUMMYFUNCTION("""COMPUTED_VALUE"""),"")</f>
        <v/>
      </c>
      <c r="P607" s="5" t="str">
        <f>IFERROR(__xludf.DUMMYFUNCTION("""COMPUTED_VALUE"""),"")</f>
        <v/>
      </c>
      <c r="Q607" s="5" t="str">
        <f>IFERROR(__xludf.DUMMYFUNCTION("""COMPUTED_VALUE"""),"")</f>
        <v/>
      </c>
      <c r="R607" s="5" t="str">
        <f>IFERROR(__xludf.DUMMYFUNCTION("""COMPUTED_VALUE"""),"")</f>
        <v/>
      </c>
      <c r="S607" s="5" t="str">
        <f>IFERROR(__xludf.DUMMYFUNCTION("""COMPUTED_VALUE"""),"")</f>
        <v/>
      </c>
      <c r="T607" s="5" t="str">
        <f>IFERROR(__xludf.DUMMYFUNCTION("""COMPUTED_VALUE"""),"")</f>
        <v/>
      </c>
      <c r="U607" s="5" t="str">
        <f>IFERROR(__xludf.DUMMYFUNCTION("""COMPUTED_VALUE"""),"")</f>
        <v/>
      </c>
      <c r="V607" s="5" t="str">
        <f>IFERROR(__xludf.DUMMYFUNCTION("""COMPUTED_VALUE"""),"")</f>
        <v/>
      </c>
      <c r="W607" s="5" t="str">
        <f>IFERROR(__xludf.DUMMYFUNCTION("""COMPUTED_VALUE"""),"")</f>
        <v/>
      </c>
      <c r="X607" s="5" t="str">
        <f>IFERROR(__xludf.DUMMYFUNCTION("""COMPUTED_VALUE"""),"")</f>
        <v/>
      </c>
      <c r="Y607" s="5"/>
      <c r="Z607" s="5"/>
    </row>
    <row r="608">
      <c r="A608" s="5" t="str">
        <f>IFERROR(__xludf.DUMMYFUNCTION("""COMPUTED_VALUE"""),"5 Wild Diamond")</f>
        <v>5 Wild Diamond</v>
      </c>
      <c r="B608" s="5" t="str">
        <f>IFERROR(__xludf.DUMMYFUNCTION("""COMPUTED_VALUE"""),"")</f>
        <v/>
      </c>
      <c r="C608" s="5" t="str">
        <f>IFERROR(__xludf.DUMMYFUNCTION("""COMPUTED_VALUE"""),"")</f>
        <v/>
      </c>
      <c r="D608" s="5" t="str">
        <f>IFERROR(__xludf.DUMMYFUNCTION("""COMPUTED_VALUE"""),"")</f>
        <v/>
      </c>
      <c r="E608" s="5" t="str">
        <f>IFERROR(__xludf.DUMMYFUNCTION("""COMPUTED_VALUE"""),"")</f>
        <v/>
      </c>
      <c r="F608" s="5" t="str">
        <f>IFERROR(__xludf.DUMMYFUNCTION("""COMPUTED_VALUE"""),"")</f>
        <v/>
      </c>
      <c r="G608" s="5" t="str">
        <f>IFERROR(__xludf.DUMMYFUNCTION("""COMPUTED_VALUE"""),"")</f>
        <v/>
      </c>
      <c r="H608" s="5" t="str">
        <f>IFERROR(__xludf.DUMMYFUNCTION("""COMPUTED_VALUE"""),"")</f>
        <v/>
      </c>
      <c r="I608" s="5" t="str">
        <f>IFERROR(__xludf.DUMMYFUNCTION("""COMPUTED_VALUE"""),"")</f>
        <v/>
      </c>
      <c r="J608" s="5" t="str">
        <f>IFERROR(__xludf.DUMMYFUNCTION("""COMPUTED_VALUE"""),"")</f>
        <v/>
      </c>
      <c r="K608" s="5" t="str">
        <f>IFERROR(__xludf.DUMMYFUNCTION("""COMPUTED_VALUE"""),"")</f>
        <v/>
      </c>
      <c r="L608" s="5" t="str">
        <f>IFERROR(__xludf.DUMMYFUNCTION("""COMPUTED_VALUE"""),"")</f>
        <v/>
      </c>
      <c r="M608" s="5" t="str">
        <f>IFERROR(__xludf.DUMMYFUNCTION("""COMPUTED_VALUE"""),"")</f>
        <v/>
      </c>
      <c r="N608" s="5" t="str">
        <f>IFERROR(__xludf.DUMMYFUNCTION("""COMPUTED_VALUE"""),"")</f>
        <v/>
      </c>
      <c r="O608" s="5" t="str">
        <f>IFERROR(__xludf.DUMMYFUNCTION("""COMPUTED_VALUE"""),"")</f>
        <v/>
      </c>
      <c r="P608" s="5" t="str">
        <f>IFERROR(__xludf.DUMMYFUNCTION("""COMPUTED_VALUE"""),"")</f>
        <v/>
      </c>
      <c r="Q608" s="5" t="str">
        <f>IFERROR(__xludf.DUMMYFUNCTION("""COMPUTED_VALUE"""),"")</f>
        <v/>
      </c>
      <c r="R608" s="5" t="str">
        <f>IFERROR(__xludf.DUMMYFUNCTION("""COMPUTED_VALUE"""),"")</f>
        <v/>
      </c>
      <c r="S608" s="5" t="str">
        <f>IFERROR(__xludf.DUMMYFUNCTION("""COMPUTED_VALUE"""),"")</f>
        <v/>
      </c>
      <c r="T608" s="5" t="str">
        <f>IFERROR(__xludf.DUMMYFUNCTION("""COMPUTED_VALUE"""),"")</f>
        <v/>
      </c>
      <c r="U608" s="5" t="str">
        <f>IFERROR(__xludf.DUMMYFUNCTION("""COMPUTED_VALUE"""),"")</f>
        <v/>
      </c>
      <c r="V608" s="5" t="str">
        <f>IFERROR(__xludf.DUMMYFUNCTION("""COMPUTED_VALUE"""),"")</f>
        <v/>
      </c>
      <c r="W608" s="5" t="str">
        <f>IFERROR(__xludf.DUMMYFUNCTION("""COMPUTED_VALUE"""),"")</f>
        <v/>
      </c>
      <c r="X608" s="5" t="str">
        <f>IFERROR(__xludf.DUMMYFUNCTION("""COMPUTED_VALUE"""),"")</f>
        <v/>
      </c>
      <c r="Y608" s="5"/>
      <c r="Z608" s="5"/>
    </row>
    <row r="609">
      <c r="A609" s="5" t="str">
        <f>IFERROR(__xludf.DUMMYFUNCTION("""COMPUTED_VALUE"""),"Christmas Sugar Luck")</f>
        <v>Christmas Sugar Luck</v>
      </c>
      <c r="B609" s="5" t="str">
        <f>IFERROR(__xludf.DUMMYFUNCTION("""COMPUTED_VALUE"""),"")</f>
        <v/>
      </c>
      <c r="C609" s="5" t="str">
        <f>IFERROR(__xludf.DUMMYFUNCTION("""COMPUTED_VALUE"""),"")</f>
        <v/>
      </c>
      <c r="D609" s="5" t="str">
        <f>IFERROR(__xludf.DUMMYFUNCTION("""COMPUTED_VALUE"""),"")</f>
        <v/>
      </c>
      <c r="E609" s="5" t="str">
        <f>IFERROR(__xludf.DUMMYFUNCTION("""COMPUTED_VALUE"""),"")</f>
        <v/>
      </c>
      <c r="F609" s="5" t="str">
        <f>IFERROR(__xludf.DUMMYFUNCTION("""COMPUTED_VALUE"""),"")</f>
        <v/>
      </c>
      <c r="G609" s="5" t="str">
        <f>IFERROR(__xludf.DUMMYFUNCTION("""COMPUTED_VALUE"""),"")</f>
        <v/>
      </c>
      <c r="H609" s="5" t="str">
        <f>IFERROR(__xludf.DUMMYFUNCTION("""COMPUTED_VALUE"""),"")</f>
        <v/>
      </c>
      <c r="I609" s="5" t="str">
        <f>IFERROR(__xludf.DUMMYFUNCTION("""COMPUTED_VALUE"""),"")</f>
        <v/>
      </c>
      <c r="J609" s="5" t="str">
        <f>IFERROR(__xludf.DUMMYFUNCTION("""COMPUTED_VALUE"""),"")</f>
        <v/>
      </c>
      <c r="K609" s="5" t="str">
        <f>IFERROR(__xludf.DUMMYFUNCTION("""COMPUTED_VALUE"""),"")</f>
        <v/>
      </c>
      <c r="L609" s="5" t="str">
        <f>IFERROR(__xludf.DUMMYFUNCTION("""COMPUTED_VALUE"""),"")</f>
        <v/>
      </c>
      <c r="M609" s="5" t="str">
        <f>IFERROR(__xludf.DUMMYFUNCTION("""COMPUTED_VALUE"""),"")</f>
        <v/>
      </c>
      <c r="N609" s="5" t="str">
        <f>IFERROR(__xludf.DUMMYFUNCTION("""COMPUTED_VALUE"""),"")</f>
        <v/>
      </c>
      <c r="O609" s="5" t="str">
        <f>IFERROR(__xludf.DUMMYFUNCTION("""COMPUTED_VALUE"""),"")</f>
        <v/>
      </c>
      <c r="P609" s="5" t="str">
        <f>IFERROR(__xludf.DUMMYFUNCTION("""COMPUTED_VALUE"""),"")</f>
        <v/>
      </c>
      <c r="Q609" s="5" t="str">
        <f>IFERROR(__xludf.DUMMYFUNCTION("""COMPUTED_VALUE"""),"")</f>
        <v/>
      </c>
      <c r="R609" s="5" t="str">
        <f>IFERROR(__xludf.DUMMYFUNCTION("""COMPUTED_VALUE"""),"")</f>
        <v/>
      </c>
      <c r="S609" s="5" t="str">
        <f>IFERROR(__xludf.DUMMYFUNCTION("""COMPUTED_VALUE"""),"")</f>
        <v/>
      </c>
      <c r="T609" s="5" t="str">
        <f>IFERROR(__xludf.DUMMYFUNCTION("""COMPUTED_VALUE"""),"")</f>
        <v/>
      </c>
      <c r="U609" s="5" t="str">
        <f>IFERROR(__xludf.DUMMYFUNCTION("""COMPUTED_VALUE"""),"")</f>
        <v/>
      </c>
      <c r="V609" s="5" t="str">
        <f>IFERROR(__xludf.DUMMYFUNCTION("""COMPUTED_VALUE"""),"")</f>
        <v/>
      </c>
      <c r="W609" s="5" t="str">
        <f>IFERROR(__xludf.DUMMYFUNCTION("""COMPUTED_VALUE"""),"")</f>
        <v/>
      </c>
      <c r="X609" s="5" t="str">
        <f>IFERROR(__xludf.DUMMYFUNCTION("""COMPUTED_VALUE"""),"")</f>
        <v/>
      </c>
      <c r="Y609" s="5"/>
      <c r="Z609" s="5"/>
    </row>
    <row r="610">
      <c r="A610" s="5" t="str">
        <f>IFERROR(__xludf.DUMMYFUNCTION("""COMPUTED_VALUE"""),"Konfam Ball")</f>
        <v>Konfam Ball</v>
      </c>
      <c r="B610" s="5" t="str">
        <f>IFERROR(__xludf.DUMMYFUNCTION("""COMPUTED_VALUE"""),"")</f>
        <v/>
      </c>
      <c r="C610" s="5" t="str">
        <f>IFERROR(__xludf.DUMMYFUNCTION("""COMPUTED_VALUE"""),"")</f>
        <v/>
      </c>
      <c r="D610" s="5" t="str">
        <f>IFERROR(__xludf.DUMMYFUNCTION("""COMPUTED_VALUE"""),"")</f>
        <v/>
      </c>
      <c r="E610" s="5" t="str">
        <f>IFERROR(__xludf.DUMMYFUNCTION("""COMPUTED_VALUE"""),"")</f>
        <v/>
      </c>
      <c r="F610" s="5" t="str">
        <f>IFERROR(__xludf.DUMMYFUNCTION("""COMPUTED_VALUE"""),"")</f>
        <v/>
      </c>
      <c r="G610" s="5" t="str">
        <f>IFERROR(__xludf.DUMMYFUNCTION("""COMPUTED_VALUE"""),"")</f>
        <v/>
      </c>
      <c r="H610" s="5" t="str">
        <f>IFERROR(__xludf.DUMMYFUNCTION("""COMPUTED_VALUE"""),"")</f>
        <v/>
      </c>
      <c r="I610" s="5" t="str">
        <f>IFERROR(__xludf.DUMMYFUNCTION("""COMPUTED_VALUE"""),"")</f>
        <v/>
      </c>
      <c r="J610" s="5" t="str">
        <f>IFERROR(__xludf.DUMMYFUNCTION("""COMPUTED_VALUE"""),"")</f>
        <v/>
      </c>
      <c r="K610" s="5" t="str">
        <f>IFERROR(__xludf.DUMMYFUNCTION("""COMPUTED_VALUE"""),"")</f>
        <v/>
      </c>
      <c r="L610" s="5" t="str">
        <f>IFERROR(__xludf.DUMMYFUNCTION("""COMPUTED_VALUE"""),"")</f>
        <v/>
      </c>
      <c r="M610" s="5" t="str">
        <f>IFERROR(__xludf.DUMMYFUNCTION("""COMPUTED_VALUE"""),"")</f>
        <v/>
      </c>
      <c r="N610" s="5" t="str">
        <f>IFERROR(__xludf.DUMMYFUNCTION("""COMPUTED_VALUE"""),"")</f>
        <v/>
      </c>
      <c r="O610" s="5" t="str">
        <f>IFERROR(__xludf.DUMMYFUNCTION("""COMPUTED_VALUE"""),"")</f>
        <v/>
      </c>
      <c r="P610" s="5" t="str">
        <f>IFERROR(__xludf.DUMMYFUNCTION("""COMPUTED_VALUE"""),"")</f>
        <v/>
      </c>
      <c r="Q610" s="5" t="str">
        <f>IFERROR(__xludf.DUMMYFUNCTION("""COMPUTED_VALUE"""),"")</f>
        <v/>
      </c>
      <c r="R610" s="5" t="str">
        <f>IFERROR(__xludf.DUMMYFUNCTION("""COMPUTED_VALUE"""),"")</f>
        <v/>
      </c>
      <c r="S610" s="5" t="str">
        <f>IFERROR(__xludf.DUMMYFUNCTION("""COMPUTED_VALUE"""),"")</f>
        <v/>
      </c>
      <c r="T610" s="5" t="str">
        <f>IFERROR(__xludf.DUMMYFUNCTION("""COMPUTED_VALUE"""),"")</f>
        <v/>
      </c>
      <c r="U610" s="5" t="str">
        <f>IFERROR(__xludf.DUMMYFUNCTION("""COMPUTED_VALUE"""),"")</f>
        <v/>
      </c>
      <c r="V610" s="5" t="str">
        <f>IFERROR(__xludf.DUMMYFUNCTION("""COMPUTED_VALUE"""),"")</f>
        <v/>
      </c>
      <c r="W610" s="5" t="str">
        <f>IFERROR(__xludf.DUMMYFUNCTION("""COMPUTED_VALUE"""),"")</f>
        <v/>
      </c>
      <c r="X610" s="5" t="str">
        <f>IFERROR(__xludf.DUMMYFUNCTION("""COMPUTED_VALUE"""),"")</f>
        <v/>
      </c>
      <c r="Y610" s="5"/>
      <c r="Z610" s="5"/>
    </row>
    <row r="611">
      <c r="A611" s="5" t="str">
        <f>IFERROR(__xludf.DUMMYFUNCTION("""COMPUTED_VALUE"""),"Dynamite Boom Dice")</f>
        <v>Dynamite Boom Dice</v>
      </c>
      <c r="B611" s="5" t="str">
        <f>IFERROR(__xludf.DUMMYFUNCTION("""COMPUTED_VALUE"""),"")</f>
        <v/>
      </c>
      <c r="C611" s="5" t="str">
        <f>IFERROR(__xludf.DUMMYFUNCTION("""COMPUTED_VALUE"""),"")</f>
        <v/>
      </c>
      <c r="D611" s="5" t="str">
        <f>IFERROR(__xludf.DUMMYFUNCTION("""COMPUTED_VALUE"""),"")</f>
        <v/>
      </c>
      <c r="E611" s="5" t="str">
        <f>IFERROR(__xludf.DUMMYFUNCTION("""COMPUTED_VALUE"""),"")</f>
        <v/>
      </c>
      <c r="F611" s="5" t="str">
        <f>IFERROR(__xludf.DUMMYFUNCTION("""COMPUTED_VALUE"""),"")</f>
        <v/>
      </c>
      <c r="G611" s="5" t="str">
        <f>IFERROR(__xludf.DUMMYFUNCTION("""COMPUTED_VALUE"""),"")</f>
        <v/>
      </c>
      <c r="H611" s="5" t="str">
        <f>IFERROR(__xludf.DUMMYFUNCTION("""COMPUTED_VALUE"""),"")</f>
        <v/>
      </c>
      <c r="I611" s="5" t="str">
        <f>IFERROR(__xludf.DUMMYFUNCTION("""COMPUTED_VALUE"""),"")</f>
        <v/>
      </c>
      <c r="J611" s="5" t="str">
        <f>IFERROR(__xludf.DUMMYFUNCTION("""COMPUTED_VALUE"""),"")</f>
        <v/>
      </c>
      <c r="K611" s="5" t="str">
        <f>IFERROR(__xludf.DUMMYFUNCTION("""COMPUTED_VALUE"""),"")</f>
        <v/>
      </c>
      <c r="L611" s="5" t="str">
        <f>IFERROR(__xludf.DUMMYFUNCTION("""COMPUTED_VALUE"""),"")</f>
        <v/>
      </c>
      <c r="M611" s="5" t="str">
        <f>IFERROR(__xludf.DUMMYFUNCTION("""COMPUTED_VALUE"""),"")</f>
        <v/>
      </c>
      <c r="N611" s="5" t="str">
        <f>IFERROR(__xludf.DUMMYFUNCTION("""COMPUTED_VALUE"""),"")</f>
        <v/>
      </c>
      <c r="O611" s="5" t="str">
        <f>IFERROR(__xludf.DUMMYFUNCTION("""COMPUTED_VALUE"""),"")</f>
        <v/>
      </c>
      <c r="P611" s="5" t="str">
        <f>IFERROR(__xludf.DUMMYFUNCTION("""COMPUTED_VALUE"""),"")</f>
        <v/>
      </c>
      <c r="Q611" s="5" t="str">
        <f>IFERROR(__xludf.DUMMYFUNCTION("""COMPUTED_VALUE"""),"")</f>
        <v/>
      </c>
      <c r="R611" s="5" t="str">
        <f>IFERROR(__xludf.DUMMYFUNCTION("""COMPUTED_VALUE"""),"")</f>
        <v/>
      </c>
      <c r="S611" s="5" t="str">
        <f>IFERROR(__xludf.DUMMYFUNCTION("""COMPUTED_VALUE"""),"")</f>
        <v/>
      </c>
      <c r="T611" s="5" t="str">
        <f>IFERROR(__xludf.DUMMYFUNCTION("""COMPUTED_VALUE"""),"")</f>
        <v/>
      </c>
      <c r="U611" s="5" t="str">
        <f>IFERROR(__xludf.DUMMYFUNCTION("""COMPUTED_VALUE"""),"")</f>
        <v/>
      </c>
      <c r="V611" s="5" t="str">
        <f>IFERROR(__xludf.DUMMYFUNCTION("""COMPUTED_VALUE"""),"")</f>
        <v/>
      </c>
      <c r="W611" s="5" t="str">
        <f>IFERROR(__xludf.DUMMYFUNCTION("""COMPUTED_VALUE"""),"")</f>
        <v/>
      </c>
      <c r="X611" s="5" t="str">
        <f>IFERROR(__xludf.DUMMYFUNCTION("""COMPUTED_VALUE"""),"")</f>
        <v/>
      </c>
      <c r="Y611" s="5"/>
      <c r="Z611" s="5"/>
    </row>
    <row r="612">
      <c r="A612" s="5" t="str">
        <f>IFERROR(__xludf.DUMMYFUNCTION("""COMPUTED_VALUE"""),"Buffalo Dice Jackpot")</f>
        <v>Buffalo Dice Jackpot</v>
      </c>
      <c r="B612" s="5" t="str">
        <f>IFERROR(__xludf.DUMMYFUNCTION("""COMPUTED_VALUE"""),"")</f>
        <v/>
      </c>
      <c r="C612" s="5" t="str">
        <f>IFERROR(__xludf.DUMMYFUNCTION("""COMPUTED_VALUE"""),"")</f>
        <v/>
      </c>
      <c r="D612" s="5" t="str">
        <f>IFERROR(__xludf.DUMMYFUNCTION("""COMPUTED_VALUE"""),"")</f>
        <v/>
      </c>
      <c r="E612" s="5" t="str">
        <f>IFERROR(__xludf.DUMMYFUNCTION("""COMPUTED_VALUE"""),"")</f>
        <v/>
      </c>
      <c r="F612" s="5" t="str">
        <f>IFERROR(__xludf.DUMMYFUNCTION("""COMPUTED_VALUE"""),"")</f>
        <v/>
      </c>
      <c r="G612" s="5" t="str">
        <f>IFERROR(__xludf.DUMMYFUNCTION("""COMPUTED_VALUE"""),"")</f>
        <v/>
      </c>
      <c r="H612" s="5" t="str">
        <f>IFERROR(__xludf.DUMMYFUNCTION("""COMPUTED_VALUE"""),"")</f>
        <v/>
      </c>
      <c r="I612" s="5" t="str">
        <f>IFERROR(__xludf.DUMMYFUNCTION("""COMPUTED_VALUE"""),"")</f>
        <v/>
      </c>
      <c r="J612" s="5" t="str">
        <f>IFERROR(__xludf.DUMMYFUNCTION("""COMPUTED_VALUE"""),"")</f>
        <v/>
      </c>
      <c r="K612" s="5" t="str">
        <f>IFERROR(__xludf.DUMMYFUNCTION("""COMPUTED_VALUE"""),"")</f>
        <v/>
      </c>
      <c r="L612" s="5" t="str">
        <f>IFERROR(__xludf.DUMMYFUNCTION("""COMPUTED_VALUE"""),"")</f>
        <v/>
      </c>
      <c r="M612" s="5" t="str">
        <f>IFERROR(__xludf.DUMMYFUNCTION("""COMPUTED_VALUE"""),"")</f>
        <v/>
      </c>
      <c r="N612" s="5" t="str">
        <f>IFERROR(__xludf.DUMMYFUNCTION("""COMPUTED_VALUE"""),"")</f>
        <v/>
      </c>
      <c r="O612" s="5" t="str">
        <f>IFERROR(__xludf.DUMMYFUNCTION("""COMPUTED_VALUE"""),"")</f>
        <v/>
      </c>
      <c r="P612" s="5" t="str">
        <f>IFERROR(__xludf.DUMMYFUNCTION("""COMPUTED_VALUE"""),"")</f>
        <v/>
      </c>
      <c r="Q612" s="5" t="str">
        <f>IFERROR(__xludf.DUMMYFUNCTION("""COMPUTED_VALUE"""),"")</f>
        <v/>
      </c>
      <c r="R612" s="5" t="str">
        <f>IFERROR(__xludf.DUMMYFUNCTION("""COMPUTED_VALUE"""),"")</f>
        <v/>
      </c>
      <c r="S612" s="5" t="str">
        <f>IFERROR(__xludf.DUMMYFUNCTION("""COMPUTED_VALUE"""),"")</f>
        <v/>
      </c>
      <c r="T612" s="5" t="str">
        <f>IFERROR(__xludf.DUMMYFUNCTION("""COMPUTED_VALUE"""),"")</f>
        <v/>
      </c>
      <c r="U612" s="5" t="str">
        <f>IFERROR(__xludf.DUMMYFUNCTION("""COMPUTED_VALUE"""),"")</f>
        <v/>
      </c>
      <c r="V612" s="5" t="str">
        <f>IFERROR(__xludf.DUMMYFUNCTION("""COMPUTED_VALUE"""),"")</f>
        <v/>
      </c>
      <c r="W612" s="5" t="str">
        <f>IFERROR(__xludf.DUMMYFUNCTION("""COMPUTED_VALUE"""),"")</f>
        <v/>
      </c>
      <c r="X612" s="5" t="str">
        <f>IFERROR(__xludf.DUMMYFUNCTION("""COMPUTED_VALUE"""),"")</f>
        <v/>
      </c>
      <c r="Y612" s="5"/>
      <c r="Z612" s="5"/>
    </row>
    <row r="613">
      <c r="A613" s="5" t="str">
        <f>IFERROR(__xludf.DUMMYFUNCTION("""COMPUTED_VALUE"""),"Triple Stacked Diamond Jackpot")</f>
        <v>Triple Stacked Diamond Jackpot</v>
      </c>
      <c r="B613" s="5" t="str">
        <f>IFERROR(__xludf.DUMMYFUNCTION("""COMPUTED_VALUE"""),"")</f>
        <v/>
      </c>
      <c r="C613" s="5" t="str">
        <f>IFERROR(__xludf.DUMMYFUNCTION("""COMPUTED_VALUE"""),"")</f>
        <v/>
      </c>
      <c r="D613" s="5" t="str">
        <f>IFERROR(__xludf.DUMMYFUNCTION("""COMPUTED_VALUE"""),"")</f>
        <v/>
      </c>
      <c r="E613" s="5" t="str">
        <f>IFERROR(__xludf.DUMMYFUNCTION("""COMPUTED_VALUE"""),"")</f>
        <v/>
      </c>
      <c r="F613" s="5" t="str">
        <f>IFERROR(__xludf.DUMMYFUNCTION("""COMPUTED_VALUE"""),"")</f>
        <v/>
      </c>
      <c r="G613" s="5" t="str">
        <f>IFERROR(__xludf.DUMMYFUNCTION("""COMPUTED_VALUE"""),"")</f>
        <v/>
      </c>
      <c r="H613" s="5" t="str">
        <f>IFERROR(__xludf.DUMMYFUNCTION("""COMPUTED_VALUE"""),"")</f>
        <v/>
      </c>
      <c r="I613" s="5" t="str">
        <f>IFERROR(__xludf.DUMMYFUNCTION("""COMPUTED_VALUE"""),"")</f>
        <v/>
      </c>
      <c r="J613" s="5" t="str">
        <f>IFERROR(__xludf.DUMMYFUNCTION("""COMPUTED_VALUE"""),"")</f>
        <v/>
      </c>
      <c r="K613" s="5" t="str">
        <f>IFERROR(__xludf.DUMMYFUNCTION("""COMPUTED_VALUE"""),"")</f>
        <v/>
      </c>
      <c r="L613" s="5" t="str">
        <f>IFERROR(__xludf.DUMMYFUNCTION("""COMPUTED_VALUE"""),"")</f>
        <v/>
      </c>
      <c r="M613" s="5" t="str">
        <f>IFERROR(__xludf.DUMMYFUNCTION("""COMPUTED_VALUE"""),"")</f>
        <v/>
      </c>
      <c r="N613" s="5" t="str">
        <f>IFERROR(__xludf.DUMMYFUNCTION("""COMPUTED_VALUE"""),"")</f>
        <v/>
      </c>
      <c r="O613" s="5" t="str">
        <f>IFERROR(__xludf.DUMMYFUNCTION("""COMPUTED_VALUE"""),"")</f>
        <v/>
      </c>
      <c r="P613" s="5" t="str">
        <f>IFERROR(__xludf.DUMMYFUNCTION("""COMPUTED_VALUE"""),"")</f>
        <v/>
      </c>
      <c r="Q613" s="5" t="str">
        <f>IFERROR(__xludf.DUMMYFUNCTION("""COMPUTED_VALUE"""),"")</f>
        <v/>
      </c>
      <c r="R613" s="5" t="str">
        <f>IFERROR(__xludf.DUMMYFUNCTION("""COMPUTED_VALUE"""),"")</f>
        <v/>
      </c>
      <c r="S613" s="5" t="str">
        <f>IFERROR(__xludf.DUMMYFUNCTION("""COMPUTED_VALUE"""),"")</f>
        <v/>
      </c>
      <c r="T613" s="5" t="str">
        <f>IFERROR(__xludf.DUMMYFUNCTION("""COMPUTED_VALUE"""),"")</f>
        <v/>
      </c>
      <c r="U613" s="5" t="str">
        <f>IFERROR(__xludf.DUMMYFUNCTION("""COMPUTED_VALUE"""),"")</f>
        <v/>
      </c>
      <c r="V613" s="5" t="str">
        <f>IFERROR(__xludf.DUMMYFUNCTION("""COMPUTED_VALUE"""),"")</f>
        <v/>
      </c>
      <c r="W613" s="5" t="str">
        <f>IFERROR(__xludf.DUMMYFUNCTION("""COMPUTED_VALUE"""),"")</f>
        <v/>
      </c>
      <c r="X613" s="5" t="str">
        <f>IFERROR(__xludf.DUMMYFUNCTION("""COMPUTED_VALUE"""),"")</f>
        <v/>
      </c>
      <c r="Y613" s="5"/>
      <c r="Z613" s="5"/>
    </row>
    <row r="614">
      <c r="A614" s="5" t="str">
        <f>IFERROR(__xludf.DUMMYFUNCTION("""COMPUTED_VALUE"""),"Super Triple Double")</f>
        <v>Super Triple Double</v>
      </c>
      <c r="B614" s="5" t="str">
        <f>IFERROR(__xludf.DUMMYFUNCTION("""COMPUTED_VALUE"""),"Available")</f>
        <v>Available</v>
      </c>
      <c r="C614" s="5" t="str">
        <f>IFERROR(__xludf.DUMMYFUNCTION("""COMPUTED_VALUE"""),"")</f>
        <v/>
      </c>
      <c r="D614" s="5" t="str">
        <f>IFERROR(__xludf.DUMMYFUNCTION("""COMPUTED_VALUE"""),"")</f>
        <v/>
      </c>
      <c r="E614" s="5" t="str">
        <f>IFERROR(__xludf.DUMMYFUNCTION("""COMPUTED_VALUE"""),"")</f>
        <v/>
      </c>
      <c r="F614" s="5" t="str">
        <f>IFERROR(__xludf.DUMMYFUNCTION("""COMPUTED_VALUE"""),"")</f>
        <v/>
      </c>
      <c r="G614" s="5" t="str">
        <f>IFERROR(__xludf.DUMMYFUNCTION("""COMPUTED_VALUE"""),"")</f>
        <v/>
      </c>
      <c r="H614" s="5" t="str">
        <f>IFERROR(__xludf.DUMMYFUNCTION("""COMPUTED_VALUE"""),"")</f>
        <v/>
      </c>
      <c r="I614" s="5" t="str">
        <f>IFERROR(__xludf.DUMMYFUNCTION("""COMPUTED_VALUE"""),"")</f>
        <v/>
      </c>
      <c r="J614" s="5" t="str">
        <f>IFERROR(__xludf.DUMMYFUNCTION("""COMPUTED_VALUE"""),"")</f>
        <v/>
      </c>
      <c r="K614" s="5" t="str">
        <f>IFERROR(__xludf.DUMMYFUNCTION("""COMPUTED_VALUE"""),"")</f>
        <v/>
      </c>
      <c r="L614" s="5" t="str">
        <f>IFERROR(__xludf.DUMMYFUNCTION("""COMPUTED_VALUE"""),"")</f>
        <v/>
      </c>
      <c r="M614" s="5" t="str">
        <f>IFERROR(__xludf.DUMMYFUNCTION("""COMPUTED_VALUE"""),"")</f>
        <v/>
      </c>
      <c r="N614" s="5" t="str">
        <f>IFERROR(__xludf.DUMMYFUNCTION("""COMPUTED_VALUE"""),"")</f>
        <v/>
      </c>
      <c r="O614" s="5" t="str">
        <f>IFERROR(__xludf.DUMMYFUNCTION("""COMPUTED_VALUE"""),"")</f>
        <v/>
      </c>
      <c r="P614" s="5" t="str">
        <f>IFERROR(__xludf.DUMMYFUNCTION("""COMPUTED_VALUE"""),"")</f>
        <v/>
      </c>
      <c r="Q614" s="5" t="str">
        <f>IFERROR(__xludf.DUMMYFUNCTION("""COMPUTED_VALUE"""),"")</f>
        <v/>
      </c>
      <c r="R614" s="5" t="str">
        <f>IFERROR(__xludf.DUMMYFUNCTION("""COMPUTED_VALUE"""),"")</f>
        <v/>
      </c>
      <c r="S614" s="5" t="str">
        <f>IFERROR(__xludf.DUMMYFUNCTION("""COMPUTED_VALUE"""),"")</f>
        <v/>
      </c>
      <c r="T614" s="5" t="str">
        <f>IFERROR(__xludf.DUMMYFUNCTION("""COMPUTED_VALUE"""),"")</f>
        <v/>
      </c>
      <c r="U614" s="5" t="str">
        <f>IFERROR(__xludf.DUMMYFUNCTION("""COMPUTED_VALUE"""),"")</f>
        <v/>
      </c>
      <c r="V614" s="5" t="str">
        <f>IFERROR(__xludf.DUMMYFUNCTION("""COMPUTED_VALUE"""),"")</f>
        <v/>
      </c>
      <c r="W614" s="5" t="str">
        <f>IFERROR(__xludf.DUMMYFUNCTION("""COMPUTED_VALUE"""),"")</f>
        <v/>
      </c>
      <c r="X614" s="5" t="str">
        <f>IFERROR(__xludf.DUMMYFUNCTION("""COMPUTED_VALUE"""),"")</f>
        <v/>
      </c>
      <c r="Y614" s="5"/>
      <c r="Z614" s="5"/>
    </row>
    <row r="615">
      <c r="A615" s="5" t="str">
        <f>IFERROR(__xludf.DUMMYFUNCTION("""COMPUTED_VALUE"""),"Inferno Hot 40")</f>
        <v>Inferno Hot 40</v>
      </c>
      <c r="B615" s="5" t="str">
        <f>IFERROR(__xludf.DUMMYFUNCTION("""COMPUTED_VALUE"""),"")</f>
        <v/>
      </c>
      <c r="C615" s="5" t="str">
        <f>IFERROR(__xludf.DUMMYFUNCTION("""COMPUTED_VALUE"""),"")</f>
        <v/>
      </c>
      <c r="D615" s="5" t="str">
        <f>IFERROR(__xludf.DUMMYFUNCTION("""COMPUTED_VALUE"""),"")</f>
        <v/>
      </c>
      <c r="E615" s="5" t="str">
        <f>IFERROR(__xludf.DUMMYFUNCTION("""COMPUTED_VALUE"""),"")</f>
        <v/>
      </c>
      <c r="F615" s="5" t="str">
        <f>IFERROR(__xludf.DUMMYFUNCTION("""COMPUTED_VALUE"""),"")</f>
        <v/>
      </c>
      <c r="G615" s="5" t="str">
        <f>IFERROR(__xludf.DUMMYFUNCTION("""COMPUTED_VALUE"""),"")</f>
        <v/>
      </c>
      <c r="H615" s="5" t="str">
        <f>IFERROR(__xludf.DUMMYFUNCTION("""COMPUTED_VALUE"""),"")</f>
        <v/>
      </c>
      <c r="I615" s="5" t="str">
        <f>IFERROR(__xludf.DUMMYFUNCTION("""COMPUTED_VALUE"""),"")</f>
        <v/>
      </c>
      <c r="J615" s="5" t="str">
        <f>IFERROR(__xludf.DUMMYFUNCTION("""COMPUTED_VALUE"""),"")</f>
        <v/>
      </c>
      <c r="K615" s="5" t="str">
        <f>IFERROR(__xludf.DUMMYFUNCTION("""COMPUTED_VALUE"""),"")</f>
        <v/>
      </c>
      <c r="L615" s="5" t="str">
        <f>IFERROR(__xludf.DUMMYFUNCTION("""COMPUTED_VALUE"""),"")</f>
        <v/>
      </c>
      <c r="M615" s="5" t="str">
        <f>IFERROR(__xludf.DUMMYFUNCTION("""COMPUTED_VALUE"""),"")</f>
        <v/>
      </c>
      <c r="N615" s="5" t="str">
        <f>IFERROR(__xludf.DUMMYFUNCTION("""COMPUTED_VALUE"""),"")</f>
        <v/>
      </c>
      <c r="O615" s="5" t="str">
        <f>IFERROR(__xludf.DUMMYFUNCTION("""COMPUTED_VALUE"""),"")</f>
        <v/>
      </c>
      <c r="P615" s="5" t="str">
        <f>IFERROR(__xludf.DUMMYFUNCTION("""COMPUTED_VALUE"""),"")</f>
        <v/>
      </c>
      <c r="Q615" s="5" t="str">
        <f>IFERROR(__xludf.DUMMYFUNCTION("""COMPUTED_VALUE"""),"")</f>
        <v/>
      </c>
      <c r="R615" s="5" t="str">
        <f>IFERROR(__xludf.DUMMYFUNCTION("""COMPUTED_VALUE"""),"")</f>
        <v/>
      </c>
      <c r="S615" s="5" t="str">
        <f>IFERROR(__xludf.DUMMYFUNCTION("""COMPUTED_VALUE"""),"")</f>
        <v/>
      </c>
      <c r="T615" s="5" t="str">
        <f>IFERROR(__xludf.DUMMYFUNCTION("""COMPUTED_VALUE"""),"")</f>
        <v/>
      </c>
      <c r="U615" s="5" t="str">
        <f>IFERROR(__xludf.DUMMYFUNCTION("""COMPUTED_VALUE"""),"")</f>
        <v/>
      </c>
      <c r="V615" s="5" t="str">
        <f>IFERROR(__xludf.DUMMYFUNCTION("""COMPUTED_VALUE"""),"")</f>
        <v/>
      </c>
      <c r="W615" s="5" t="str">
        <f>IFERROR(__xludf.DUMMYFUNCTION("""COMPUTED_VALUE"""),"")</f>
        <v/>
      </c>
      <c r="X615" s="5" t="str">
        <f>IFERROR(__xludf.DUMMYFUNCTION("""COMPUTED_VALUE"""),"")</f>
        <v/>
      </c>
      <c r="Y615" s="5"/>
      <c r="Z615" s="5"/>
    </row>
    <row r="616">
      <c r="A616" s="5" t="str">
        <f>IFERROR(__xludf.DUMMYFUNCTION("""COMPUTED_VALUE"""),"Rolling Hearts 10")</f>
        <v>Rolling Hearts 10</v>
      </c>
      <c r="B616" s="5" t="str">
        <f>IFERROR(__xludf.DUMMYFUNCTION("""COMPUTED_VALUE"""),"")</f>
        <v/>
      </c>
      <c r="C616" s="5" t="str">
        <f>IFERROR(__xludf.DUMMYFUNCTION("""COMPUTED_VALUE"""),"")</f>
        <v/>
      </c>
      <c r="D616" s="5" t="str">
        <f>IFERROR(__xludf.DUMMYFUNCTION("""COMPUTED_VALUE"""),"")</f>
        <v/>
      </c>
      <c r="E616" s="5" t="str">
        <f>IFERROR(__xludf.DUMMYFUNCTION("""COMPUTED_VALUE"""),"")</f>
        <v/>
      </c>
      <c r="F616" s="5" t="str">
        <f>IFERROR(__xludf.DUMMYFUNCTION("""COMPUTED_VALUE"""),"")</f>
        <v/>
      </c>
      <c r="G616" s="5" t="str">
        <f>IFERROR(__xludf.DUMMYFUNCTION("""COMPUTED_VALUE"""),"")</f>
        <v/>
      </c>
      <c r="H616" s="5" t="str">
        <f>IFERROR(__xludf.DUMMYFUNCTION("""COMPUTED_VALUE"""),"")</f>
        <v/>
      </c>
      <c r="I616" s="5" t="str">
        <f>IFERROR(__xludf.DUMMYFUNCTION("""COMPUTED_VALUE"""),"")</f>
        <v/>
      </c>
      <c r="J616" s="5" t="str">
        <f>IFERROR(__xludf.DUMMYFUNCTION("""COMPUTED_VALUE"""),"")</f>
        <v/>
      </c>
      <c r="K616" s="5" t="str">
        <f>IFERROR(__xludf.DUMMYFUNCTION("""COMPUTED_VALUE"""),"")</f>
        <v/>
      </c>
      <c r="L616" s="5" t="str">
        <f>IFERROR(__xludf.DUMMYFUNCTION("""COMPUTED_VALUE"""),"")</f>
        <v/>
      </c>
      <c r="M616" s="5" t="str">
        <f>IFERROR(__xludf.DUMMYFUNCTION("""COMPUTED_VALUE"""),"")</f>
        <v/>
      </c>
      <c r="N616" s="5" t="str">
        <f>IFERROR(__xludf.DUMMYFUNCTION("""COMPUTED_VALUE"""),"")</f>
        <v/>
      </c>
      <c r="O616" s="5" t="str">
        <f>IFERROR(__xludf.DUMMYFUNCTION("""COMPUTED_VALUE"""),"")</f>
        <v/>
      </c>
      <c r="P616" s="5" t="str">
        <f>IFERROR(__xludf.DUMMYFUNCTION("""COMPUTED_VALUE"""),"")</f>
        <v/>
      </c>
      <c r="Q616" s="5" t="str">
        <f>IFERROR(__xludf.DUMMYFUNCTION("""COMPUTED_VALUE"""),"")</f>
        <v/>
      </c>
      <c r="R616" s="5" t="str">
        <f>IFERROR(__xludf.DUMMYFUNCTION("""COMPUTED_VALUE"""),"")</f>
        <v/>
      </c>
      <c r="S616" s="5" t="str">
        <f>IFERROR(__xludf.DUMMYFUNCTION("""COMPUTED_VALUE"""),"")</f>
        <v/>
      </c>
      <c r="T616" s="5" t="str">
        <f>IFERROR(__xludf.DUMMYFUNCTION("""COMPUTED_VALUE"""),"")</f>
        <v/>
      </c>
      <c r="U616" s="5" t="str">
        <f>IFERROR(__xludf.DUMMYFUNCTION("""COMPUTED_VALUE"""),"")</f>
        <v/>
      </c>
      <c r="V616" s="5" t="str">
        <f>IFERROR(__xludf.DUMMYFUNCTION("""COMPUTED_VALUE"""),"")</f>
        <v/>
      </c>
      <c r="W616" s="5" t="str">
        <f>IFERROR(__xludf.DUMMYFUNCTION("""COMPUTED_VALUE"""),"")</f>
        <v/>
      </c>
      <c r="X616" s="5" t="str">
        <f>IFERROR(__xludf.DUMMYFUNCTION("""COMPUTED_VALUE"""),"")</f>
        <v/>
      </c>
      <c r="Y616" s="5"/>
      <c r="Z616" s="5"/>
    </row>
    <row r="617">
      <c r="A617" s="5" t="str">
        <f>IFERROR(__xludf.DUMMYFUNCTION("""COMPUTED_VALUE"""),"Cupid's Wild Hearts")</f>
        <v>Cupid's Wild Hearts</v>
      </c>
      <c r="B617" s="5" t="str">
        <f>IFERROR(__xludf.DUMMYFUNCTION("""COMPUTED_VALUE"""),"")</f>
        <v/>
      </c>
      <c r="C617" s="5" t="str">
        <f>IFERROR(__xludf.DUMMYFUNCTION("""COMPUTED_VALUE"""),"")</f>
        <v/>
      </c>
      <c r="D617" s="5" t="str">
        <f>IFERROR(__xludf.DUMMYFUNCTION("""COMPUTED_VALUE"""),"")</f>
        <v/>
      </c>
      <c r="E617" s="5" t="str">
        <f>IFERROR(__xludf.DUMMYFUNCTION("""COMPUTED_VALUE"""),"")</f>
        <v/>
      </c>
      <c r="F617" s="5" t="str">
        <f>IFERROR(__xludf.DUMMYFUNCTION("""COMPUTED_VALUE"""),"")</f>
        <v/>
      </c>
      <c r="G617" s="5" t="str">
        <f>IFERROR(__xludf.DUMMYFUNCTION("""COMPUTED_VALUE"""),"")</f>
        <v/>
      </c>
      <c r="H617" s="5" t="str">
        <f>IFERROR(__xludf.DUMMYFUNCTION("""COMPUTED_VALUE"""),"")</f>
        <v/>
      </c>
      <c r="I617" s="5" t="str">
        <f>IFERROR(__xludf.DUMMYFUNCTION("""COMPUTED_VALUE"""),"")</f>
        <v/>
      </c>
      <c r="J617" s="5" t="str">
        <f>IFERROR(__xludf.DUMMYFUNCTION("""COMPUTED_VALUE"""),"")</f>
        <v/>
      </c>
      <c r="K617" s="5" t="str">
        <f>IFERROR(__xludf.DUMMYFUNCTION("""COMPUTED_VALUE"""),"")</f>
        <v/>
      </c>
      <c r="L617" s="5" t="str">
        <f>IFERROR(__xludf.DUMMYFUNCTION("""COMPUTED_VALUE"""),"")</f>
        <v/>
      </c>
      <c r="M617" s="5" t="str">
        <f>IFERROR(__xludf.DUMMYFUNCTION("""COMPUTED_VALUE"""),"")</f>
        <v/>
      </c>
      <c r="N617" s="5" t="str">
        <f>IFERROR(__xludf.DUMMYFUNCTION("""COMPUTED_VALUE"""),"")</f>
        <v/>
      </c>
      <c r="O617" s="5" t="str">
        <f>IFERROR(__xludf.DUMMYFUNCTION("""COMPUTED_VALUE"""),"")</f>
        <v/>
      </c>
      <c r="P617" s="5" t="str">
        <f>IFERROR(__xludf.DUMMYFUNCTION("""COMPUTED_VALUE"""),"")</f>
        <v/>
      </c>
      <c r="Q617" s="5" t="str">
        <f>IFERROR(__xludf.DUMMYFUNCTION("""COMPUTED_VALUE"""),"")</f>
        <v/>
      </c>
      <c r="R617" s="5" t="str">
        <f>IFERROR(__xludf.DUMMYFUNCTION("""COMPUTED_VALUE"""),"")</f>
        <v/>
      </c>
      <c r="S617" s="5" t="str">
        <f>IFERROR(__xludf.DUMMYFUNCTION("""COMPUTED_VALUE"""),"")</f>
        <v/>
      </c>
      <c r="T617" s="5" t="str">
        <f>IFERROR(__xludf.DUMMYFUNCTION("""COMPUTED_VALUE"""),"")</f>
        <v/>
      </c>
      <c r="U617" s="5" t="str">
        <f>IFERROR(__xludf.DUMMYFUNCTION("""COMPUTED_VALUE"""),"")</f>
        <v/>
      </c>
      <c r="V617" s="5" t="str">
        <f>IFERROR(__xludf.DUMMYFUNCTION("""COMPUTED_VALUE"""),"")</f>
        <v/>
      </c>
      <c r="W617" s="5" t="str">
        <f>IFERROR(__xludf.DUMMYFUNCTION("""COMPUTED_VALUE"""),"")</f>
        <v/>
      </c>
      <c r="X617" s="5" t="str">
        <f>IFERROR(__xludf.DUMMYFUNCTION("""COMPUTED_VALUE"""),"")</f>
        <v/>
      </c>
      <c r="Y617" s="5"/>
      <c r="Z617" s="5"/>
    </row>
    <row r="618">
      <c r="A618" s="5" t="str">
        <f>IFERROR(__xludf.DUMMYFUNCTION("""COMPUTED_VALUE"""),"Double Wild Diamond")</f>
        <v>Double Wild Diamond</v>
      </c>
      <c r="B618" s="5" t="str">
        <f>IFERROR(__xludf.DUMMYFUNCTION("""COMPUTED_VALUE"""),"")</f>
        <v/>
      </c>
      <c r="C618" s="5" t="str">
        <f>IFERROR(__xludf.DUMMYFUNCTION("""COMPUTED_VALUE"""),"")</f>
        <v/>
      </c>
      <c r="D618" s="5" t="str">
        <f>IFERROR(__xludf.DUMMYFUNCTION("""COMPUTED_VALUE"""),"")</f>
        <v/>
      </c>
      <c r="E618" s="5" t="str">
        <f>IFERROR(__xludf.DUMMYFUNCTION("""COMPUTED_VALUE"""),"")</f>
        <v/>
      </c>
      <c r="F618" s="5" t="str">
        <f>IFERROR(__xludf.DUMMYFUNCTION("""COMPUTED_VALUE"""),"")</f>
        <v/>
      </c>
      <c r="G618" s="5" t="str">
        <f>IFERROR(__xludf.DUMMYFUNCTION("""COMPUTED_VALUE"""),"")</f>
        <v/>
      </c>
      <c r="H618" s="5" t="str">
        <f>IFERROR(__xludf.DUMMYFUNCTION("""COMPUTED_VALUE"""),"")</f>
        <v/>
      </c>
      <c r="I618" s="5" t="str">
        <f>IFERROR(__xludf.DUMMYFUNCTION("""COMPUTED_VALUE"""),"")</f>
        <v/>
      </c>
      <c r="J618" s="5" t="str">
        <f>IFERROR(__xludf.DUMMYFUNCTION("""COMPUTED_VALUE"""),"")</f>
        <v/>
      </c>
      <c r="K618" s="5" t="str">
        <f>IFERROR(__xludf.DUMMYFUNCTION("""COMPUTED_VALUE"""),"")</f>
        <v/>
      </c>
      <c r="L618" s="5" t="str">
        <f>IFERROR(__xludf.DUMMYFUNCTION("""COMPUTED_VALUE"""),"")</f>
        <v/>
      </c>
      <c r="M618" s="5" t="str">
        <f>IFERROR(__xludf.DUMMYFUNCTION("""COMPUTED_VALUE"""),"")</f>
        <v/>
      </c>
      <c r="N618" s="5" t="str">
        <f>IFERROR(__xludf.DUMMYFUNCTION("""COMPUTED_VALUE"""),"")</f>
        <v/>
      </c>
      <c r="O618" s="5" t="str">
        <f>IFERROR(__xludf.DUMMYFUNCTION("""COMPUTED_VALUE"""),"")</f>
        <v/>
      </c>
      <c r="P618" s="5" t="str">
        <f>IFERROR(__xludf.DUMMYFUNCTION("""COMPUTED_VALUE"""),"")</f>
        <v/>
      </c>
      <c r="Q618" s="5" t="str">
        <f>IFERROR(__xludf.DUMMYFUNCTION("""COMPUTED_VALUE"""),"")</f>
        <v/>
      </c>
      <c r="R618" s="5" t="str">
        <f>IFERROR(__xludf.DUMMYFUNCTION("""COMPUTED_VALUE"""),"")</f>
        <v/>
      </c>
      <c r="S618" s="5" t="str">
        <f>IFERROR(__xludf.DUMMYFUNCTION("""COMPUTED_VALUE"""),"")</f>
        <v/>
      </c>
      <c r="T618" s="5" t="str">
        <f>IFERROR(__xludf.DUMMYFUNCTION("""COMPUTED_VALUE"""),"")</f>
        <v/>
      </c>
      <c r="U618" s="5" t="str">
        <f>IFERROR(__xludf.DUMMYFUNCTION("""COMPUTED_VALUE"""),"")</f>
        <v/>
      </c>
      <c r="V618" s="5" t="str">
        <f>IFERROR(__xludf.DUMMYFUNCTION("""COMPUTED_VALUE"""),"")</f>
        <v/>
      </c>
      <c r="W618" s="5" t="str">
        <f>IFERROR(__xludf.DUMMYFUNCTION("""COMPUTED_VALUE"""),"")</f>
        <v/>
      </c>
      <c r="X618" s="5" t="str">
        <f>IFERROR(__xludf.DUMMYFUNCTION("""COMPUTED_VALUE"""),"")</f>
        <v/>
      </c>
      <c r="Y618" s="5"/>
      <c r="Z618" s="5"/>
    </row>
    <row r="619">
      <c r="A619" s="5" t="str">
        <f>IFERROR(__xludf.DUMMYFUNCTION("""COMPUTED_VALUE"""),"Diamond Heart 10")</f>
        <v>Diamond Heart 10</v>
      </c>
      <c r="B619" s="5" t="str">
        <f>IFERROR(__xludf.DUMMYFUNCTION("""COMPUTED_VALUE"""),"")</f>
        <v/>
      </c>
      <c r="C619" s="5" t="str">
        <f>IFERROR(__xludf.DUMMYFUNCTION("""COMPUTED_VALUE"""),"")</f>
        <v/>
      </c>
      <c r="D619" s="5" t="str">
        <f>IFERROR(__xludf.DUMMYFUNCTION("""COMPUTED_VALUE"""),"")</f>
        <v/>
      </c>
      <c r="E619" s="5" t="str">
        <f>IFERROR(__xludf.DUMMYFUNCTION("""COMPUTED_VALUE"""),"")</f>
        <v/>
      </c>
      <c r="F619" s="5" t="str">
        <f>IFERROR(__xludf.DUMMYFUNCTION("""COMPUTED_VALUE"""),"")</f>
        <v/>
      </c>
      <c r="G619" s="5" t="str">
        <f>IFERROR(__xludf.DUMMYFUNCTION("""COMPUTED_VALUE"""),"")</f>
        <v/>
      </c>
      <c r="H619" s="5" t="str">
        <f>IFERROR(__xludf.DUMMYFUNCTION("""COMPUTED_VALUE"""),"")</f>
        <v/>
      </c>
      <c r="I619" s="5" t="str">
        <f>IFERROR(__xludf.DUMMYFUNCTION("""COMPUTED_VALUE"""),"")</f>
        <v/>
      </c>
      <c r="J619" s="5" t="str">
        <f>IFERROR(__xludf.DUMMYFUNCTION("""COMPUTED_VALUE"""),"")</f>
        <v/>
      </c>
      <c r="K619" s="5" t="str">
        <f>IFERROR(__xludf.DUMMYFUNCTION("""COMPUTED_VALUE"""),"")</f>
        <v/>
      </c>
      <c r="L619" s="5" t="str">
        <f>IFERROR(__xludf.DUMMYFUNCTION("""COMPUTED_VALUE"""),"")</f>
        <v/>
      </c>
      <c r="M619" s="5" t="str">
        <f>IFERROR(__xludf.DUMMYFUNCTION("""COMPUTED_VALUE"""),"")</f>
        <v/>
      </c>
      <c r="N619" s="5" t="str">
        <f>IFERROR(__xludf.DUMMYFUNCTION("""COMPUTED_VALUE"""),"")</f>
        <v/>
      </c>
      <c r="O619" s="5" t="str">
        <f>IFERROR(__xludf.DUMMYFUNCTION("""COMPUTED_VALUE"""),"")</f>
        <v/>
      </c>
      <c r="P619" s="5" t="str">
        <f>IFERROR(__xludf.DUMMYFUNCTION("""COMPUTED_VALUE"""),"")</f>
        <v/>
      </c>
      <c r="Q619" s="5" t="str">
        <f>IFERROR(__xludf.DUMMYFUNCTION("""COMPUTED_VALUE"""),"")</f>
        <v/>
      </c>
      <c r="R619" s="5" t="str">
        <f>IFERROR(__xludf.DUMMYFUNCTION("""COMPUTED_VALUE"""),"")</f>
        <v/>
      </c>
      <c r="S619" s="5" t="str">
        <f>IFERROR(__xludf.DUMMYFUNCTION("""COMPUTED_VALUE"""),"")</f>
        <v/>
      </c>
      <c r="T619" s="5" t="str">
        <f>IFERROR(__xludf.DUMMYFUNCTION("""COMPUTED_VALUE"""),"")</f>
        <v/>
      </c>
      <c r="U619" s="5" t="str">
        <f>IFERROR(__xludf.DUMMYFUNCTION("""COMPUTED_VALUE"""),"")</f>
        <v/>
      </c>
      <c r="V619" s="5" t="str">
        <f>IFERROR(__xludf.DUMMYFUNCTION("""COMPUTED_VALUE"""),"")</f>
        <v/>
      </c>
      <c r="W619" s="5" t="str">
        <f>IFERROR(__xludf.DUMMYFUNCTION("""COMPUTED_VALUE"""),"")</f>
        <v/>
      </c>
      <c r="X619" s="5" t="str">
        <f>IFERROR(__xludf.DUMMYFUNCTION("""COMPUTED_VALUE"""),"")</f>
        <v/>
      </c>
      <c r="Y619" s="5"/>
      <c r="Z619" s="5"/>
    </row>
    <row r="620">
      <c r="A620" s="5" t="str">
        <f>IFERROR(__xludf.DUMMYFUNCTION("""COMPUTED_VALUE"""),"Leprechaun's Fortune Clover")</f>
        <v>Leprechaun's Fortune Clover</v>
      </c>
      <c r="B620" s="5" t="str">
        <f>IFERROR(__xludf.DUMMYFUNCTION("""COMPUTED_VALUE"""),"")</f>
        <v/>
      </c>
      <c r="C620" s="5" t="str">
        <f>IFERROR(__xludf.DUMMYFUNCTION("""COMPUTED_VALUE"""),"")</f>
        <v/>
      </c>
      <c r="D620" s="5" t="str">
        <f>IFERROR(__xludf.DUMMYFUNCTION("""COMPUTED_VALUE"""),"")</f>
        <v/>
      </c>
      <c r="E620" s="5" t="str">
        <f>IFERROR(__xludf.DUMMYFUNCTION("""COMPUTED_VALUE"""),"")</f>
        <v/>
      </c>
      <c r="F620" s="5" t="str">
        <f>IFERROR(__xludf.DUMMYFUNCTION("""COMPUTED_VALUE"""),"")</f>
        <v/>
      </c>
      <c r="G620" s="5" t="str">
        <f>IFERROR(__xludf.DUMMYFUNCTION("""COMPUTED_VALUE"""),"")</f>
        <v/>
      </c>
      <c r="H620" s="5" t="str">
        <f>IFERROR(__xludf.DUMMYFUNCTION("""COMPUTED_VALUE"""),"")</f>
        <v/>
      </c>
      <c r="I620" s="5" t="str">
        <f>IFERROR(__xludf.DUMMYFUNCTION("""COMPUTED_VALUE"""),"")</f>
        <v/>
      </c>
      <c r="J620" s="5" t="str">
        <f>IFERROR(__xludf.DUMMYFUNCTION("""COMPUTED_VALUE"""),"")</f>
        <v/>
      </c>
      <c r="K620" s="5" t="str">
        <f>IFERROR(__xludf.DUMMYFUNCTION("""COMPUTED_VALUE"""),"")</f>
        <v/>
      </c>
      <c r="L620" s="5" t="str">
        <f>IFERROR(__xludf.DUMMYFUNCTION("""COMPUTED_VALUE"""),"")</f>
        <v/>
      </c>
      <c r="M620" s="5" t="str">
        <f>IFERROR(__xludf.DUMMYFUNCTION("""COMPUTED_VALUE"""),"")</f>
        <v/>
      </c>
      <c r="N620" s="5" t="str">
        <f>IFERROR(__xludf.DUMMYFUNCTION("""COMPUTED_VALUE"""),"")</f>
        <v/>
      </c>
      <c r="O620" s="5" t="str">
        <f>IFERROR(__xludf.DUMMYFUNCTION("""COMPUTED_VALUE"""),"")</f>
        <v/>
      </c>
      <c r="P620" s="5" t="str">
        <f>IFERROR(__xludf.DUMMYFUNCTION("""COMPUTED_VALUE"""),"")</f>
        <v/>
      </c>
      <c r="Q620" s="5" t="str">
        <f>IFERROR(__xludf.DUMMYFUNCTION("""COMPUTED_VALUE"""),"")</f>
        <v/>
      </c>
      <c r="R620" s="5" t="str">
        <f>IFERROR(__xludf.DUMMYFUNCTION("""COMPUTED_VALUE"""),"")</f>
        <v/>
      </c>
      <c r="S620" s="5" t="str">
        <f>IFERROR(__xludf.DUMMYFUNCTION("""COMPUTED_VALUE"""),"")</f>
        <v/>
      </c>
      <c r="T620" s="5" t="str">
        <f>IFERROR(__xludf.DUMMYFUNCTION("""COMPUTED_VALUE"""),"")</f>
        <v/>
      </c>
      <c r="U620" s="5" t="str">
        <f>IFERROR(__xludf.DUMMYFUNCTION("""COMPUTED_VALUE"""),"")</f>
        <v/>
      </c>
      <c r="V620" s="5" t="str">
        <f>IFERROR(__xludf.DUMMYFUNCTION("""COMPUTED_VALUE"""),"")</f>
        <v/>
      </c>
      <c r="W620" s="5" t="str">
        <f>IFERROR(__xludf.DUMMYFUNCTION("""COMPUTED_VALUE"""),"")</f>
        <v/>
      </c>
      <c r="X620" s="5" t="str">
        <f>IFERROR(__xludf.DUMMYFUNCTION("""COMPUTED_VALUE"""),"")</f>
        <v/>
      </c>
      <c r="Y620" s="5"/>
      <c r="Z620" s="5"/>
    </row>
    <row r="621">
      <c r="A621" s="5" t="str">
        <f>IFERROR(__xludf.DUMMYFUNCTION("""COMPUTED_VALUE"""),"Empress Of Flame")</f>
        <v>Empress Of Flame</v>
      </c>
      <c r="B621" s="5" t="str">
        <f>IFERROR(__xludf.DUMMYFUNCTION("""COMPUTED_VALUE"""),"")</f>
        <v/>
      </c>
      <c r="C621" s="5" t="str">
        <f>IFERROR(__xludf.DUMMYFUNCTION("""COMPUTED_VALUE"""),"")</f>
        <v/>
      </c>
      <c r="D621" s="5" t="str">
        <f>IFERROR(__xludf.DUMMYFUNCTION("""COMPUTED_VALUE"""),"")</f>
        <v/>
      </c>
      <c r="E621" s="5" t="str">
        <f>IFERROR(__xludf.DUMMYFUNCTION("""COMPUTED_VALUE"""),"")</f>
        <v/>
      </c>
      <c r="F621" s="5" t="str">
        <f>IFERROR(__xludf.DUMMYFUNCTION("""COMPUTED_VALUE"""),"")</f>
        <v/>
      </c>
      <c r="G621" s="5" t="str">
        <f>IFERROR(__xludf.DUMMYFUNCTION("""COMPUTED_VALUE"""),"")</f>
        <v/>
      </c>
      <c r="H621" s="5" t="str">
        <f>IFERROR(__xludf.DUMMYFUNCTION("""COMPUTED_VALUE"""),"")</f>
        <v/>
      </c>
      <c r="I621" s="5" t="str">
        <f>IFERROR(__xludf.DUMMYFUNCTION("""COMPUTED_VALUE"""),"")</f>
        <v/>
      </c>
      <c r="J621" s="5" t="str">
        <f>IFERROR(__xludf.DUMMYFUNCTION("""COMPUTED_VALUE"""),"")</f>
        <v/>
      </c>
      <c r="K621" s="5" t="str">
        <f>IFERROR(__xludf.DUMMYFUNCTION("""COMPUTED_VALUE"""),"")</f>
        <v/>
      </c>
      <c r="L621" s="5" t="str">
        <f>IFERROR(__xludf.DUMMYFUNCTION("""COMPUTED_VALUE"""),"")</f>
        <v/>
      </c>
      <c r="M621" s="5" t="str">
        <f>IFERROR(__xludf.DUMMYFUNCTION("""COMPUTED_VALUE"""),"")</f>
        <v/>
      </c>
      <c r="N621" s="5" t="str">
        <f>IFERROR(__xludf.DUMMYFUNCTION("""COMPUTED_VALUE"""),"")</f>
        <v/>
      </c>
      <c r="O621" s="5" t="str">
        <f>IFERROR(__xludf.DUMMYFUNCTION("""COMPUTED_VALUE"""),"")</f>
        <v/>
      </c>
      <c r="P621" s="5" t="str">
        <f>IFERROR(__xludf.DUMMYFUNCTION("""COMPUTED_VALUE"""),"")</f>
        <v/>
      </c>
      <c r="Q621" s="5" t="str">
        <f>IFERROR(__xludf.DUMMYFUNCTION("""COMPUTED_VALUE"""),"")</f>
        <v/>
      </c>
      <c r="R621" s="5" t="str">
        <f>IFERROR(__xludf.DUMMYFUNCTION("""COMPUTED_VALUE"""),"")</f>
        <v/>
      </c>
      <c r="S621" s="5" t="str">
        <f>IFERROR(__xludf.DUMMYFUNCTION("""COMPUTED_VALUE"""),"")</f>
        <v/>
      </c>
      <c r="T621" s="5" t="str">
        <f>IFERROR(__xludf.DUMMYFUNCTION("""COMPUTED_VALUE"""),"")</f>
        <v/>
      </c>
      <c r="U621" s="5" t="str">
        <f>IFERROR(__xludf.DUMMYFUNCTION("""COMPUTED_VALUE"""),"")</f>
        <v/>
      </c>
      <c r="V621" s="5" t="str">
        <f>IFERROR(__xludf.DUMMYFUNCTION("""COMPUTED_VALUE"""),"")</f>
        <v/>
      </c>
      <c r="W621" s="5" t="str">
        <f>IFERROR(__xludf.DUMMYFUNCTION("""COMPUTED_VALUE"""),"")</f>
        <v/>
      </c>
      <c r="X621" s="5" t="str">
        <f>IFERROR(__xludf.DUMMYFUNCTION("""COMPUTED_VALUE"""),"")</f>
        <v/>
      </c>
      <c r="Y621" s="5"/>
      <c r="Z621" s="5"/>
    </row>
    <row r="622">
      <c r="A622" s="5" t="str">
        <f>IFERROR(__xludf.DUMMYFUNCTION("""COMPUTED_VALUE"""),"Three Reel Fruit Boost")</f>
        <v>Three Reel Fruit Boost</v>
      </c>
      <c r="B622" s="5" t="str">
        <f>IFERROR(__xludf.DUMMYFUNCTION("""COMPUTED_VALUE"""),"")</f>
        <v/>
      </c>
      <c r="C622" s="5" t="str">
        <f>IFERROR(__xludf.DUMMYFUNCTION("""COMPUTED_VALUE"""),"")</f>
        <v/>
      </c>
      <c r="D622" s="5" t="str">
        <f>IFERROR(__xludf.DUMMYFUNCTION("""COMPUTED_VALUE"""),"")</f>
        <v/>
      </c>
      <c r="E622" s="5" t="str">
        <f>IFERROR(__xludf.DUMMYFUNCTION("""COMPUTED_VALUE"""),"")</f>
        <v/>
      </c>
      <c r="F622" s="5" t="str">
        <f>IFERROR(__xludf.DUMMYFUNCTION("""COMPUTED_VALUE"""),"")</f>
        <v/>
      </c>
      <c r="G622" s="5" t="str">
        <f>IFERROR(__xludf.DUMMYFUNCTION("""COMPUTED_VALUE"""),"")</f>
        <v/>
      </c>
      <c r="H622" s="5" t="str">
        <f>IFERROR(__xludf.DUMMYFUNCTION("""COMPUTED_VALUE"""),"")</f>
        <v/>
      </c>
      <c r="I622" s="5" t="str">
        <f>IFERROR(__xludf.DUMMYFUNCTION("""COMPUTED_VALUE"""),"")</f>
        <v/>
      </c>
      <c r="J622" s="5" t="str">
        <f>IFERROR(__xludf.DUMMYFUNCTION("""COMPUTED_VALUE"""),"")</f>
        <v/>
      </c>
      <c r="K622" s="5" t="str">
        <f>IFERROR(__xludf.DUMMYFUNCTION("""COMPUTED_VALUE"""),"")</f>
        <v/>
      </c>
      <c r="L622" s="5" t="str">
        <f>IFERROR(__xludf.DUMMYFUNCTION("""COMPUTED_VALUE"""),"")</f>
        <v/>
      </c>
      <c r="M622" s="5" t="str">
        <f>IFERROR(__xludf.DUMMYFUNCTION("""COMPUTED_VALUE"""),"")</f>
        <v/>
      </c>
      <c r="N622" s="5" t="str">
        <f>IFERROR(__xludf.DUMMYFUNCTION("""COMPUTED_VALUE"""),"")</f>
        <v/>
      </c>
      <c r="O622" s="5" t="str">
        <f>IFERROR(__xludf.DUMMYFUNCTION("""COMPUTED_VALUE"""),"")</f>
        <v/>
      </c>
      <c r="P622" s="5" t="str">
        <f>IFERROR(__xludf.DUMMYFUNCTION("""COMPUTED_VALUE"""),"")</f>
        <v/>
      </c>
      <c r="Q622" s="5" t="str">
        <f>IFERROR(__xludf.DUMMYFUNCTION("""COMPUTED_VALUE"""),"")</f>
        <v/>
      </c>
      <c r="R622" s="5" t="str">
        <f>IFERROR(__xludf.DUMMYFUNCTION("""COMPUTED_VALUE"""),"")</f>
        <v/>
      </c>
      <c r="S622" s="5" t="str">
        <f>IFERROR(__xludf.DUMMYFUNCTION("""COMPUTED_VALUE"""),"")</f>
        <v/>
      </c>
      <c r="T622" s="5" t="str">
        <f>IFERROR(__xludf.DUMMYFUNCTION("""COMPUTED_VALUE"""),"")</f>
        <v/>
      </c>
      <c r="U622" s="5" t="str">
        <f>IFERROR(__xludf.DUMMYFUNCTION("""COMPUTED_VALUE"""),"")</f>
        <v/>
      </c>
      <c r="V622" s="5" t="str">
        <f>IFERROR(__xludf.DUMMYFUNCTION("""COMPUTED_VALUE"""),"")</f>
        <v/>
      </c>
      <c r="W622" s="5" t="str">
        <f>IFERROR(__xludf.DUMMYFUNCTION("""COMPUTED_VALUE"""),"")</f>
        <v/>
      </c>
      <c r="X622" s="5" t="str">
        <f>IFERROR(__xludf.DUMMYFUNCTION("""COMPUTED_VALUE"""),"")</f>
        <v/>
      </c>
      <c r="Y622" s="5"/>
      <c r="Z622" s="5"/>
    </row>
    <row r="623">
      <c r="A623" s="5" t="str">
        <f>IFERROR(__xludf.DUMMYFUNCTION("""COMPUTED_VALUE"""),"Star Heat 40")</f>
        <v>Star Heat 40</v>
      </c>
      <c r="B623" s="5" t="str">
        <f>IFERROR(__xludf.DUMMYFUNCTION("""COMPUTED_VALUE"""),"")</f>
        <v/>
      </c>
      <c r="C623" s="5" t="str">
        <f>IFERROR(__xludf.DUMMYFUNCTION("""COMPUTED_VALUE"""),"")</f>
        <v/>
      </c>
      <c r="D623" s="5" t="str">
        <f>IFERROR(__xludf.DUMMYFUNCTION("""COMPUTED_VALUE"""),"")</f>
        <v/>
      </c>
      <c r="E623" s="5" t="str">
        <f>IFERROR(__xludf.DUMMYFUNCTION("""COMPUTED_VALUE"""),"")</f>
        <v/>
      </c>
      <c r="F623" s="5" t="str">
        <f>IFERROR(__xludf.DUMMYFUNCTION("""COMPUTED_VALUE"""),"")</f>
        <v/>
      </c>
      <c r="G623" s="5" t="str">
        <f>IFERROR(__xludf.DUMMYFUNCTION("""COMPUTED_VALUE"""),"")</f>
        <v/>
      </c>
      <c r="H623" s="5" t="str">
        <f>IFERROR(__xludf.DUMMYFUNCTION("""COMPUTED_VALUE"""),"Development")</f>
        <v>Development</v>
      </c>
      <c r="I623" s="5" t="str">
        <f>IFERROR(__xludf.DUMMYFUNCTION("""COMPUTED_VALUE"""),"")</f>
        <v/>
      </c>
      <c r="J623" s="5" t="str">
        <f>IFERROR(__xludf.DUMMYFUNCTION("""COMPUTED_VALUE"""),"")</f>
        <v/>
      </c>
      <c r="K623" s="5" t="str">
        <f>IFERROR(__xludf.DUMMYFUNCTION("""COMPUTED_VALUE"""),"")</f>
        <v/>
      </c>
      <c r="L623" s="5" t="str">
        <f>IFERROR(__xludf.DUMMYFUNCTION("""COMPUTED_VALUE"""),"")</f>
        <v/>
      </c>
      <c r="M623" s="5" t="str">
        <f>IFERROR(__xludf.DUMMYFUNCTION("""COMPUTED_VALUE"""),"")</f>
        <v/>
      </c>
      <c r="N623" s="5" t="str">
        <f>IFERROR(__xludf.DUMMYFUNCTION("""COMPUTED_VALUE"""),"")</f>
        <v/>
      </c>
      <c r="O623" s="5" t="str">
        <f>IFERROR(__xludf.DUMMYFUNCTION("""COMPUTED_VALUE"""),"")</f>
        <v/>
      </c>
      <c r="P623" s="5" t="str">
        <f>IFERROR(__xludf.DUMMYFUNCTION("""COMPUTED_VALUE"""),"")</f>
        <v/>
      </c>
      <c r="Q623" s="5" t="str">
        <f>IFERROR(__xludf.DUMMYFUNCTION("""COMPUTED_VALUE"""),"")</f>
        <v/>
      </c>
      <c r="R623" s="5" t="str">
        <f>IFERROR(__xludf.DUMMYFUNCTION("""COMPUTED_VALUE"""),"")</f>
        <v/>
      </c>
      <c r="S623" s="5" t="str">
        <f>IFERROR(__xludf.DUMMYFUNCTION("""COMPUTED_VALUE"""),"")</f>
        <v/>
      </c>
      <c r="T623" s="5" t="str">
        <f>IFERROR(__xludf.DUMMYFUNCTION("""COMPUTED_VALUE"""),"")</f>
        <v/>
      </c>
      <c r="U623" s="5" t="str">
        <f>IFERROR(__xludf.DUMMYFUNCTION("""COMPUTED_VALUE"""),"")</f>
        <v/>
      </c>
      <c r="V623" s="5" t="str">
        <f>IFERROR(__xludf.DUMMYFUNCTION("""COMPUTED_VALUE"""),"")</f>
        <v/>
      </c>
      <c r="W623" s="5" t="str">
        <f>IFERROR(__xludf.DUMMYFUNCTION("""COMPUTED_VALUE"""),"")</f>
        <v/>
      </c>
      <c r="X623" s="5" t="str">
        <f>IFERROR(__xludf.DUMMYFUNCTION("""COMPUTED_VALUE"""),"")</f>
        <v/>
      </c>
      <c r="Y623" s="5"/>
      <c r="Z623" s="5"/>
    </row>
    <row r="624">
      <c r="A624" s="5" t="str">
        <f>IFERROR(__xludf.DUMMYFUNCTION("""COMPUTED_VALUE"""),"Retro 27")</f>
        <v>Retro 27</v>
      </c>
      <c r="B624" s="5" t="str">
        <f>IFERROR(__xludf.DUMMYFUNCTION("""COMPUTED_VALUE"""),"")</f>
        <v/>
      </c>
      <c r="C624" s="5" t="str">
        <f>IFERROR(__xludf.DUMMYFUNCTION("""COMPUTED_VALUE"""),"")</f>
        <v/>
      </c>
      <c r="D624" s="5" t="str">
        <f>IFERROR(__xludf.DUMMYFUNCTION("""COMPUTED_VALUE"""),"")</f>
        <v/>
      </c>
      <c r="E624" s="5" t="str">
        <f>IFERROR(__xludf.DUMMYFUNCTION("""COMPUTED_VALUE"""),"")</f>
        <v/>
      </c>
      <c r="F624" s="5" t="str">
        <f>IFERROR(__xludf.DUMMYFUNCTION("""COMPUTED_VALUE"""),"")</f>
        <v/>
      </c>
      <c r="G624" s="5" t="str">
        <f>IFERROR(__xludf.DUMMYFUNCTION("""COMPUTED_VALUE"""),"")</f>
        <v/>
      </c>
      <c r="H624" s="5" t="str">
        <f>IFERROR(__xludf.DUMMYFUNCTION("""COMPUTED_VALUE"""),"Development")</f>
        <v>Development</v>
      </c>
      <c r="I624" s="5" t="str">
        <f>IFERROR(__xludf.DUMMYFUNCTION("""COMPUTED_VALUE"""),"")</f>
        <v/>
      </c>
      <c r="J624" s="5" t="str">
        <f>IFERROR(__xludf.DUMMYFUNCTION("""COMPUTED_VALUE"""),"")</f>
        <v/>
      </c>
      <c r="K624" s="5" t="str">
        <f>IFERROR(__xludf.DUMMYFUNCTION("""COMPUTED_VALUE"""),"Development")</f>
        <v>Development</v>
      </c>
      <c r="L624" s="5" t="str">
        <f>IFERROR(__xludf.DUMMYFUNCTION("""COMPUTED_VALUE"""),"Development")</f>
        <v>Development</v>
      </c>
      <c r="M624" s="5" t="str">
        <f>IFERROR(__xludf.DUMMYFUNCTION("""COMPUTED_VALUE"""),"")</f>
        <v/>
      </c>
      <c r="N624" s="5" t="str">
        <f>IFERROR(__xludf.DUMMYFUNCTION("""COMPUTED_VALUE"""),"")</f>
        <v/>
      </c>
      <c r="O624" s="5" t="str">
        <f>IFERROR(__xludf.DUMMYFUNCTION("""COMPUTED_VALUE"""),"")</f>
        <v/>
      </c>
      <c r="P624" s="5" t="str">
        <f>IFERROR(__xludf.DUMMYFUNCTION("""COMPUTED_VALUE"""),"")</f>
        <v/>
      </c>
      <c r="Q624" s="5" t="str">
        <f>IFERROR(__xludf.DUMMYFUNCTION("""COMPUTED_VALUE"""),"")</f>
        <v/>
      </c>
      <c r="R624" s="5" t="str">
        <f>IFERROR(__xludf.DUMMYFUNCTION("""COMPUTED_VALUE"""),"")</f>
        <v/>
      </c>
      <c r="S624" s="5" t="str">
        <f>IFERROR(__xludf.DUMMYFUNCTION("""COMPUTED_VALUE"""),"")</f>
        <v/>
      </c>
      <c r="T624" s="5" t="str">
        <f>IFERROR(__xludf.DUMMYFUNCTION("""COMPUTED_VALUE"""),"")</f>
        <v/>
      </c>
      <c r="U624" s="5" t="str">
        <f>IFERROR(__xludf.DUMMYFUNCTION("""COMPUTED_VALUE"""),"")</f>
        <v/>
      </c>
      <c r="V624" s="5" t="str">
        <f>IFERROR(__xludf.DUMMYFUNCTION("""COMPUTED_VALUE"""),"")</f>
        <v/>
      </c>
      <c r="W624" s="5" t="str">
        <f>IFERROR(__xludf.DUMMYFUNCTION("""COMPUTED_VALUE"""),"")</f>
        <v/>
      </c>
      <c r="X624" s="5" t="str">
        <f>IFERROR(__xludf.DUMMYFUNCTION("""COMPUTED_VALUE"""),"")</f>
        <v/>
      </c>
      <c r="Y624" s="5"/>
      <c r="Z624" s="5"/>
    </row>
    <row r="625">
      <c r="A625" s="5" t="str">
        <f>IFERROR(__xludf.DUMMYFUNCTION("""COMPUTED_VALUE"""),"Wild 27 Dice")</f>
        <v>Wild 27 Dice</v>
      </c>
      <c r="B625" s="5" t="str">
        <f>IFERROR(__xludf.DUMMYFUNCTION("""COMPUTED_VALUE"""),"")</f>
        <v/>
      </c>
      <c r="C625" s="5" t="str">
        <f>IFERROR(__xludf.DUMMYFUNCTION("""COMPUTED_VALUE"""),"")</f>
        <v/>
      </c>
      <c r="D625" s="5" t="str">
        <f>IFERROR(__xludf.DUMMYFUNCTION("""COMPUTED_VALUE"""),"")</f>
        <v/>
      </c>
      <c r="E625" s="5" t="str">
        <f>IFERROR(__xludf.DUMMYFUNCTION("""COMPUTED_VALUE"""),"")</f>
        <v/>
      </c>
      <c r="F625" s="5" t="str">
        <f>IFERROR(__xludf.DUMMYFUNCTION("""COMPUTED_VALUE"""),"")</f>
        <v/>
      </c>
      <c r="G625" s="5" t="str">
        <f>IFERROR(__xludf.DUMMYFUNCTION("""COMPUTED_VALUE"""),"")</f>
        <v/>
      </c>
      <c r="H625" s="5" t="str">
        <f>IFERROR(__xludf.DUMMYFUNCTION("""COMPUTED_VALUE"""),"")</f>
        <v/>
      </c>
      <c r="I625" s="5" t="str">
        <f>IFERROR(__xludf.DUMMYFUNCTION("""COMPUTED_VALUE"""),"")</f>
        <v/>
      </c>
      <c r="J625" s="5" t="str">
        <f>IFERROR(__xludf.DUMMYFUNCTION("""COMPUTED_VALUE"""),"")</f>
        <v/>
      </c>
      <c r="K625" s="5" t="str">
        <f>IFERROR(__xludf.DUMMYFUNCTION("""COMPUTED_VALUE"""),"")</f>
        <v/>
      </c>
      <c r="L625" s="5" t="str">
        <f>IFERROR(__xludf.DUMMYFUNCTION("""COMPUTED_VALUE"""),"")</f>
        <v/>
      </c>
      <c r="M625" s="5" t="str">
        <f>IFERROR(__xludf.DUMMYFUNCTION("""COMPUTED_VALUE"""),"")</f>
        <v/>
      </c>
      <c r="N625" s="5" t="str">
        <f>IFERROR(__xludf.DUMMYFUNCTION("""COMPUTED_VALUE"""),"")</f>
        <v/>
      </c>
      <c r="O625" s="5" t="str">
        <f>IFERROR(__xludf.DUMMYFUNCTION("""COMPUTED_VALUE"""),"")</f>
        <v/>
      </c>
      <c r="P625" s="5" t="str">
        <f>IFERROR(__xludf.DUMMYFUNCTION("""COMPUTED_VALUE"""),"")</f>
        <v/>
      </c>
      <c r="Q625" s="5" t="str">
        <f>IFERROR(__xludf.DUMMYFUNCTION("""COMPUTED_VALUE"""),"")</f>
        <v/>
      </c>
      <c r="R625" s="5" t="str">
        <f>IFERROR(__xludf.DUMMYFUNCTION("""COMPUTED_VALUE"""),"")</f>
        <v/>
      </c>
      <c r="S625" s="5" t="str">
        <f>IFERROR(__xludf.DUMMYFUNCTION("""COMPUTED_VALUE"""),"")</f>
        <v/>
      </c>
      <c r="T625" s="5" t="str">
        <f>IFERROR(__xludf.DUMMYFUNCTION("""COMPUTED_VALUE"""),"")</f>
        <v/>
      </c>
      <c r="U625" s="5" t="str">
        <f>IFERROR(__xludf.DUMMYFUNCTION("""COMPUTED_VALUE"""),"")</f>
        <v/>
      </c>
      <c r="V625" s="5" t="str">
        <f>IFERROR(__xludf.DUMMYFUNCTION("""COMPUTED_VALUE"""),"")</f>
        <v/>
      </c>
      <c r="W625" s="5" t="str">
        <f>IFERROR(__xludf.DUMMYFUNCTION("""COMPUTED_VALUE"""),"")</f>
        <v/>
      </c>
      <c r="X625" s="5" t="str">
        <f>IFERROR(__xludf.DUMMYFUNCTION("""COMPUTED_VALUE"""),"")</f>
        <v/>
      </c>
      <c r="Y625" s="5"/>
      <c r="Z625" s="5"/>
    </row>
    <row r="626">
      <c r="A626" s="5" t="str">
        <f>IFERROR(__xludf.DUMMYFUNCTION("""COMPUTED_VALUE"""),"Coin Splash Dice")</f>
        <v>Coin Splash Dice</v>
      </c>
      <c r="B626" s="5" t="str">
        <f>IFERROR(__xludf.DUMMYFUNCTION("""COMPUTED_VALUE"""),"")</f>
        <v/>
      </c>
      <c r="C626" s="5" t="str">
        <f>IFERROR(__xludf.DUMMYFUNCTION("""COMPUTED_VALUE"""),"")</f>
        <v/>
      </c>
      <c r="D626" s="5" t="str">
        <f>IFERROR(__xludf.DUMMYFUNCTION("""COMPUTED_VALUE"""),"")</f>
        <v/>
      </c>
      <c r="E626" s="5" t="str">
        <f>IFERROR(__xludf.DUMMYFUNCTION("""COMPUTED_VALUE"""),"")</f>
        <v/>
      </c>
      <c r="F626" s="5" t="str">
        <f>IFERROR(__xludf.DUMMYFUNCTION("""COMPUTED_VALUE"""),"")</f>
        <v/>
      </c>
      <c r="G626" s="5" t="str">
        <f>IFERROR(__xludf.DUMMYFUNCTION("""COMPUTED_VALUE"""),"")</f>
        <v/>
      </c>
      <c r="H626" s="5" t="str">
        <f>IFERROR(__xludf.DUMMYFUNCTION("""COMPUTED_VALUE"""),"")</f>
        <v/>
      </c>
      <c r="I626" s="5" t="str">
        <f>IFERROR(__xludf.DUMMYFUNCTION("""COMPUTED_VALUE"""),"")</f>
        <v/>
      </c>
      <c r="J626" s="5" t="str">
        <f>IFERROR(__xludf.DUMMYFUNCTION("""COMPUTED_VALUE"""),"")</f>
        <v/>
      </c>
      <c r="K626" s="5" t="str">
        <f>IFERROR(__xludf.DUMMYFUNCTION("""COMPUTED_VALUE"""),"")</f>
        <v/>
      </c>
      <c r="L626" s="5" t="str">
        <f>IFERROR(__xludf.DUMMYFUNCTION("""COMPUTED_VALUE"""),"")</f>
        <v/>
      </c>
      <c r="M626" s="5" t="str">
        <f>IFERROR(__xludf.DUMMYFUNCTION("""COMPUTED_VALUE"""),"")</f>
        <v/>
      </c>
      <c r="N626" s="5" t="str">
        <f>IFERROR(__xludf.DUMMYFUNCTION("""COMPUTED_VALUE"""),"")</f>
        <v/>
      </c>
      <c r="O626" s="5" t="str">
        <f>IFERROR(__xludf.DUMMYFUNCTION("""COMPUTED_VALUE"""),"")</f>
        <v/>
      </c>
      <c r="P626" s="5" t="str">
        <f>IFERROR(__xludf.DUMMYFUNCTION("""COMPUTED_VALUE"""),"")</f>
        <v/>
      </c>
      <c r="Q626" s="5" t="str">
        <f>IFERROR(__xludf.DUMMYFUNCTION("""COMPUTED_VALUE"""),"")</f>
        <v/>
      </c>
      <c r="R626" s="5" t="str">
        <f>IFERROR(__xludf.DUMMYFUNCTION("""COMPUTED_VALUE"""),"")</f>
        <v/>
      </c>
      <c r="S626" s="5" t="str">
        <f>IFERROR(__xludf.DUMMYFUNCTION("""COMPUTED_VALUE"""),"")</f>
        <v/>
      </c>
      <c r="T626" s="5" t="str">
        <f>IFERROR(__xludf.DUMMYFUNCTION("""COMPUTED_VALUE"""),"")</f>
        <v/>
      </c>
      <c r="U626" s="5" t="str">
        <f>IFERROR(__xludf.DUMMYFUNCTION("""COMPUTED_VALUE"""),"")</f>
        <v/>
      </c>
      <c r="V626" s="5" t="str">
        <f>IFERROR(__xludf.DUMMYFUNCTION("""COMPUTED_VALUE"""),"")</f>
        <v/>
      </c>
      <c r="W626" s="5" t="str">
        <f>IFERROR(__xludf.DUMMYFUNCTION("""COMPUTED_VALUE"""),"")</f>
        <v/>
      </c>
      <c r="X626" s="5" t="str">
        <f>IFERROR(__xludf.DUMMYFUNCTION("""COMPUTED_VALUE"""),"")</f>
        <v/>
      </c>
      <c r="Y626" s="5"/>
      <c r="Z626" s="5"/>
    </row>
    <row r="627">
      <c r="A627" s="5" t="str">
        <f>IFERROR(__xludf.DUMMYFUNCTION("""COMPUTED_VALUE"""),"FruitsAndStars1X")</f>
        <v>FruitsAndStars1X</v>
      </c>
      <c r="B627" s="5" t="str">
        <f>IFERROR(__xludf.DUMMYFUNCTION("""COMPUTED_VALUE"""),"")</f>
        <v/>
      </c>
      <c r="C627" s="5" t="str">
        <f>IFERROR(__xludf.DUMMYFUNCTION("""COMPUTED_VALUE"""),"")</f>
        <v/>
      </c>
      <c r="D627" s="5" t="str">
        <f>IFERROR(__xludf.DUMMYFUNCTION("""COMPUTED_VALUE"""),"")</f>
        <v/>
      </c>
      <c r="E627" s="5" t="str">
        <f>IFERROR(__xludf.DUMMYFUNCTION("""COMPUTED_VALUE"""),"")</f>
        <v/>
      </c>
      <c r="F627" s="5" t="str">
        <f>IFERROR(__xludf.DUMMYFUNCTION("""COMPUTED_VALUE"""),"")</f>
        <v/>
      </c>
      <c r="G627" s="5" t="str">
        <f>IFERROR(__xludf.DUMMYFUNCTION("""COMPUTED_VALUE"""),"")</f>
        <v/>
      </c>
      <c r="H627" s="5" t="str">
        <f>IFERROR(__xludf.DUMMYFUNCTION("""COMPUTED_VALUE"""),"")</f>
        <v/>
      </c>
      <c r="I627" s="5" t="str">
        <f>IFERROR(__xludf.DUMMYFUNCTION("""COMPUTED_VALUE"""),"")</f>
        <v/>
      </c>
      <c r="J627" s="5" t="str">
        <f>IFERROR(__xludf.DUMMYFUNCTION("""COMPUTED_VALUE"""),"")</f>
        <v/>
      </c>
      <c r="K627" s="5" t="str">
        <f>IFERROR(__xludf.DUMMYFUNCTION("""COMPUTED_VALUE"""),"")</f>
        <v/>
      </c>
      <c r="L627" s="5" t="str">
        <f>IFERROR(__xludf.DUMMYFUNCTION("""COMPUTED_VALUE"""),"")</f>
        <v/>
      </c>
      <c r="M627" s="5" t="str">
        <f>IFERROR(__xludf.DUMMYFUNCTION("""COMPUTED_VALUE"""),"")</f>
        <v/>
      </c>
      <c r="N627" s="5" t="str">
        <f>IFERROR(__xludf.DUMMYFUNCTION("""COMPUTED_VALUE"""),"")</f>
        <v/>
      </c>
      <c r="O627" s="5" t="str">
        <f>IFERROR(__xludf.DUMMYFUNCTION("""COMPUTED_VALUE"""),"")</f>
        <v/>
      </c>
      <c r="P627" s="5" t="str">
        <f>IFERROR(__xludf.DUMMYFUNCTION("""COMPUTED_VALUE"""),"")</f>
        <v/>
      </c>
      <c r="Q627" s="5" t="str">
        <f>IFERROR(__xludf.DUMMYFUNCTION("""COMPUTED_VALUE"""),"")</f>
        <v/>
      </c>
      <c r="R627" s="5" t="str">
        <f>IFERROR(__xludf.DUMMYFUNCTION("""COMPUTED_VALUE"""),"")</f>
        <v/>
      </c>
      <c r="S627" s="5" t="str">
        <f>IFERROR(__xludf.DUMMYFUNCTION("""COMPUTED_VALUE"""),"")</f>
        <v/>
      </c>
      <c r="T627" s="5" t="str">
        <f>IFERROR(__xludf.DUMMYFUNCTION("""COMPUTED_VALUE"""),"")</f>
        <v/>
      </c>
      <c r="U627" s="5" t="str">
        <f>IFERROR(__xludf.DUMMYFUNCTION("""COMPUTED_VALUE"""),"")</f>
        <v/>
      </c>
      <c r="V627" s="5" t="str">
        <f>IFERROR(__xludf.DUMMYFUNCTION("""COMPUTED_VALUE"""),"")</f>
        <v/>
      </c>
      <c r="W627" s="5" t="str">
        <f>IFERROR(__xludf.DUMMYFUNCTION("""COMPUTED_VALUE"""),"")</f>
        <v/>
      </c>
      <c r="X627" s="5" t="str">
        <f>IFERROR(__xludf.DUMMYFUNCTION("""COMPUTED_VALUE"""),"")</f>
        <v/>
      </c>
      <c r="Y627" s="5"/>
      <c r="Z627" s="5"/>
    </row>
    <row r="628">
      <c r="A628" s="5" t="str">
        <f>IFERROR(__xludf.DUMMYFUNCTION("""COMPUTED_VALUE"""),"KK Partizan Slot")</f>
        <v>KK Partizan Slot</v>
      </c>
      <c r="B628" s="5" t="str">
        <f>IFERROR(__xludf.DUMMYFUNCTION("""COMPUTED_VALUE"""),"")</f>
        <v/>
      </c>
      <c r="C628" s="5" t="str">
        <f>IFERROR(__xludf.DUMMYFUNCTION("""COMPUTED_VALUE"""),"")</f>
        <v/>
      </c>
      <c r="D628" s="5" t="str">
        <f>IFERROR(__xludf.DUMMYFUNCTION("""COMPUTED_VALUE"""),"")</f>
        <v/>
      </c>
      <c r="E628" s="5" t="str">
        <f>IFERROR(__xludf.DUMMYFUNCTION("""COMPUTED_VALUE"""),"")</f>
        <v/>
      </c>
      <c r="F628" s="5" t="str">
        <f>IFERROR(__xludf.DUMMYFUNCTION("""COMPUTED_VALUE"""),"")</f>
        <v/>
      </c>
      <c r="G628" s="5" t="str">
        <f>IFERROR(__xludf.DUMMYFUNCTION("""COMPUTED_VALUE"""),"")</f>
        <v/>
      </c>
      <c r="H628" s="5" t="str">
        <f>IFERROR(__xludf.DUMMYFUNCTION("""COMPUTED_VALUE"""),"")</f>
        <v/>
      </c>
      <c r="I628" s="5" t="str">
        <f>IFERROR(__xludf.DUMMYFUNCTION("""COMPUTED_VALUE"""),"")</f>
        <v/>
      </c>
      <c r="J628" s="5" t="str">
        <f>IFERROR(__xludf.DUMMYFUNCTION("""COMPUTED_VALUE"""),"")</f>
        <v/>
      </c>
      <c r="K628" s="5" t="str">
        <f>IFERROR(__xludf.DUMMYFUNCTION("""COMPUTED_VALUE"""),"")</f>
        <v/>
      </c>
      <c r="L628" s="5" t="str">
        <f>IFERROR(__xludf.DUMMYFUNCTION("""COMPUTED_VALUE"""),"")</f>
        <v/>
      </c>
      <c r="M628" s="5" t="str">
        <f>IFERROR(__xludf.DUMMYFUNCTION("""COMPUTED_VALUE"""),"")</f>
        <v/>
      </c>
      <c r="N628" s="5" t="str">
        <f>IFERROR(__xludf.DUMMYFUNCTION("""COMPUTED_VALUE"""),"")</f>
        <v/>
      </c>
      <c r="O628" s="5" t="str">
        <f>IFERROR(__xludf.DUMMYFUNCTION("""COMPUTED_VALUE"""),"")</f>
        <v/>
      </c>
      <c r="P628" s="5" t="str">
        <f>IFERROR(__xludf.DUMMYFUNCTION("""COMPUTED_VALUE"""),"")</f>
        <v/>
      </c>
      <c r="Q628" s="5" t="str">
        <f>IFERROR(__xludf.DUMMYFUNCTION("""COMPUTED_VALUE"""),"")</f>
        <v/>
      </c>
      <c r="R628" s="5" t="str">
        <f>IFERROR(__xludf.DUMMYFUNCTION("""COMPUTED_VALUE"""),"")</f>
        <v/>
      </c>
      <c r="S628" s="5" t="str">
        <f>IFERROR(__xludf.DUMMYFUNCTION("""COMPUTED_VALUE"""),"")</f>
        <v/>
      </c>
      <c r="T628" s="5" t="str">
        <f>IFERROR(__xludf.DUMMYFUNCTION("""COMPUTED_VALUE"""),"")</f>
        <v/>
      </c>
      <c r="U628" s="5" t="str">
        <f>IFERROR(__xludf.DUMMYFUNCTION("""COMPUTED_VALUE"""),"")</f>
        <v/>
      </c>
      <c r="V628" s="5" t="str">
        <f>IFERROR(__xludf.DUMMYFUNCTION("""COMPUTED_VALUE"""),"")</f>
        <v/>
      </c>
      <c r="W628" s="5" t="str">
        <f>IFERROR(__xludf.DUMMYFUNCTION("""COMPUTED_VALUE"""),"")</f>
        <v/>
      </c>
      <c r="X628" s="5" t="str">
        <f>IFERROR(__xludf.DUMMYFUNCTION("""COMPUTED_VALUE"""),"")</f>
        <v/>
      </c>
      <c r="Y628" s="5"/>
      <c r="Z628" s="5"/>
    </row>
    <row r="629">
      <c r="A629" s="5" t="str">
        <f>IFERROR(__xludf.DUMMYFUNCTION("""COMPUTED_VALUE"""),"SBbet Hot 5 Extreme")</f>
        <v>SBbet Hot 5 Extreme</v>
      </c>
      <c r="B629" s="5" t="str">
        <f>IFERROR(__xludf.DUMMYFUNCTION("""COMPUTED_VALUE"""),"")</f>
        <v/>
      </c>
      <c r="C629" s="5" t="str">
        <f>IFERROR(__xludf.DUMMYFUNCTION("""COMPUTED_VALUE"""),"")</f>
        <v/>
      </c>
      <c r="D629" s="5" t="str">
        <f>IFERROR(__xludf.DUMMYFUNCTION("""COMPUTED_VALUE"""),"")</f>
        <v/>
      </c>
      <c r="E629" s="5" t="str">
        <f>IFERROR(__xludf.DUMMYFUNCTION("""COMPUTED_VALUE"""),"")</f>
        <v/>
      </c>
      <c r="F629" s="5" t="str">
        <f>IFERROR(__xludf.DUMMYFUNCTION("""COMPUTED_VALUE"""),"")</f>
        <v/>
      </c>
      <c r="G629" s="5" t="str">
        <f>IFERROR(__xludf.DUMMYFUNCTION("""COMPUTED_VALUE"""),"")</f>
        <v/>
      </c>
      <c r="H629" s="5" t="str">
        <f>IFERROR(__xludf.DUMMYFUNCTION("""COMPUTED_VALUE"""),"")</f>
        <v/>
      </c>
      <c r="I629" s="5" t="str">
        <f>IFERROR(__xludf.DUMMYFUNCTION("""COMPUTED_VALUE"""),"")</f>
        <v/>
      </c>
      <c r="J629" s="5" t="str">
        <f>IFERROR(__xludf.DUMMYFUNCTION("""COMPUTED_VALUE"""),"")</f>
        <v/>
      </c>
      <c r="K629" s="5" t="str">
        <f>IFERROR(__xludf.DUMMYFUNCTION("""COMPUTED_VALUE"""),"")</f>
        <v/>
      </c>
      <c r="L629" s="5" t="str">
        <f>IFERROR(__xludf.DUMMYFUNCTION("""COMPUTED_VALUE"""),"")</f>
        <v/>
      </c>
      <c r="M629" s="5" t="str">
        <f>IFERROR(__xludf.DUMMYFUNCTION("""COMPUTED_VALUE"""),"")</f>
        <v/>
      </c>
      <c r="N629" s="5" t="str">
        <f>IFERROR(__xludf.DUMMYFUNCTION("""COMPUTED_VALUE"""),"")</f>
        <v/>
      </c>
      <c r="O629" s="5" t="str">
        <f>IFERROR(__xludf.DUMMYFUNCTION("""COMPUTED_VALUE"""),"")</f>
        <v/>
      </c>
      <c r="P629" s="5" t="str">
        <f>IFERROR(__xludf.DUMMYFUNCTION("""COMPUTED_VALUE"""),"")</f>
        <v/>
      </c>
      <c r="Q629" s="5" t="str">
        <f>IFERROR(__xludf.DUMMYFUNCTION("""COMPUTED_VALUE"""),"")</f>
        <v/>
      </c>
      <c r="R629" s="5" t="str">
        <f>IFERROR(__xludf.DUMMYFUNCTION("""COMPUTED_VALUE"""),"")</f>
        <v/>
      </c>
      <c r="S629" s="5" t="str">
        <f>IFERROR(__xludf.DUMMYFUNCTION("""COMPUTED_VALUE"""),"")</f>
        <v/>
      </c>
      <c r="T629" s="5" t="str">
        <f>IFERROR(__xludf.DUMMYFUNCTION("""COMPUTED_VALUE"""),"")</f>
        <v/>
      </c>
      <c r="U629" s="5" t="str">
        <f>IFERROR(__xludf.DUMMYFUNCTION("""COMPUTED_VALUE"""),"")</f>
        <v/>
      </c>
      <c r="V629" s="5" t="str">
        <f>IFERROR(__xludf.DUMMYFUNCTION("""COMPUTED_VALUE"""),"")</f>
        <v/>
      </c>
      <c r="W629" s="5" t="str">
        <f>IFERROR(__xludf.DUMMYFUNCTION("""COMPUTED_VALUE"""),"")</f>
        <v/>
      </c>
      <c r="X629" s="5" t="str">
        <f>IFERROR(__xludf.DUMMYFUNCTION("""COMPUTED_VALUE"""),"")</f>
        <v/>
      </c>
      <c r="Y629" s="5"/>
      <c r="Z629" s="5"/>
    </row>
    <row r="630">
      <c r="A630" s="5" t="str">
        <f>IFERROR(__xludf.DUMMYFUNCTION("""COMPUTED_VALUE"""),"Wild Hot 40 Deluxe")</f>
        <v>Wild Hot 40 Deluxe</v>
      </c>
      <c r="B630" s="5" t="str">
        <f>IFERROR(__xludf.DUMMYFUNCTION("""COMPUTED_VALUE"""),"")</f>
        <v/>
      </c>
      <c r="C630" s="5" t="str">
        <f>IFERROR(__xludf.DUMMYFUNCTION("""COMPUTED_VALUE"""),"")</f>
        <v/>
      </c>
      <c r="D630" s="5" t="str">
        <f>IFERROR(__xludf.DUMMYFUNCTION("""COMPUTED_VALUE"""),"")</f>
        <v/>
      </c>
      <c r="E630" s="5" t="str">
        <f>IFERROR(__xludf.DUMMYFUNCTION("""COMPUTED_VALUE"""),"")</f>
        <v/>
      </c>
      <c r="F630" s="5" t="str">
        <f>IFERROR(__xludf.DUMMYFUNCTION("""COMPUTED_VALUE"""),"")</f>
        <v/>
      </c>
      <c r="G630" s="5" t="str">
        <f>IFERROR(__xludf.DUMMYFUNCTION("""COMPUTED_VALUE"""),"")</f>
        <v/>
      </c>
      <c r="H630" s="5" t="str">
        <f>IFERROR(__xludf.DUMMYFUNCTION("""COMPUTED_VALUE"""),"")</f>
        <v/>
      </c>
      <c r="I630" s="5" t="str">
        <f>IFERROR(__xludf.DUMMYFUNCTION("""COMPUTED_VALUE"""),"")</f>
        <v/>
      </c>
      <c r="J630" s="5" t="str">
        <f>IFERROR(__xludf.DUMMYFUNCTION("""COMPUTED_VALUE"""),"")</f>
        <v/>
      </c>
      <c r="K630" s="5" t="str">
        <f>IFERROR(__xludf.DUMMYFUNCTION("""COMPUTED_VALUE"""),"")</f>
        <v/>
      </c>
      <c r="L630" s="5" t="str">
        <f>IFERROR(__xludf.DUMMYFUNCTION("""COMPUTED_VALUE"""),"")</f>
        <v/>
      </c>
      <c r="M630" s="5" t="str">
        <f>IFERROR(__xludf.DUMMYFUNCTION("""COMPUTED_VALUE"""),"")</f>
        <v/>
      </c>
      <c r="N630" s="5" t="str">
        <f>IFERROR(__xludf.DUMMYFUNCTION("""COMPUTED_VALUE"""),"")</f>
        <v/>
      </c>
      <c r="O630" s="5" t="str">
        <f>IFERROR(__xludf.DUMMYFUNCTION("""COMPUTED_VALUE"""),"")</f>
        <v/>
      </c>
      <c r="P630" s="5" t="str">
        <f>IFERROR(__xludf.DUMMYFUNCTION("""COMPUTED_VALUE"""),"")</f>
        <v/>
      </c>
      <c r="Q630" s="5" t="str">
        <f>IFERROR(__xludf.DUMMYFUNCTION("""COMPUTED_VALUE"""),"")</f>
        <v/>
      </c>
      <c r="R630" s="5" t="str">
        <f>IFERROR(__xludf.DUMMYFUNCTION("""COMPUTED_VALUE"""),"")</f>
        <v/>
      </c>
      <c r="S630" s="5" t="str">
        <f>IFERROR(__xludf.DUMMYFUNCTION("""COMPUTED_VALUE"""),"")</f>
        <v/>
      </c>
      <c r="T630" s="5" t="str">
        <f>IFERROR(__xludf.DUMMYFUNCTION("""COMPUTED_VALUE"""),"")</f>
        <v/>
      </c>
      <c r="U630" s="5" t="str">
        <f>IFERROR(__xludf.DUMMYFUNCTION("""COMPUTED_VALUE"""),"")</f>
        <v/>
      </c>
      <c r="V630" s="5" t="str">
        <f>IFERROR(__xludf.DUMMYFUNCTION("""COMPUTED_VALUE"""),"")</f>
        <v/>
      </c>
      <c r="W630" s="5" t="str">
        <f>IFERROR(__xludf.DUMMYFUNCTION("""COMPUTED_VALUE"""),"")</f>
        <v/>
      </c>
      <c r="X630" s="5" t="str">
        <f>IFERROR(__xludf.DUMMYFUNCTION("""COMPUTED_VALUE"""),"")</f>
        <v/>
      </c>
      <c r="Y630" s="5"/>
      <c r="Z630" s="5"/>
    </row>
    <row r="631">
      <c r="A631" s="5" t="str">
        <f>IFERROR(__xludf.DUMMYFUNCTION("""COMPUTED_VALUE"""),"Bonus Epic Crown Dice")</f>
        <v>Bonus Epic Crown Dice</v>
      </c>
      <c r="B631" s="5" t="str">
        <f>IFERROR(__xludf.DUMMYFUNCTION("""COMPUTED_VALUE"""),"")</f>
        <v/>
      </c>
      <c r="C631" s="5" t="str">
        <f>IFERROR(__xludf.DUMMYFUNCTION("""COMPUTED_VALUE"""),"")</f>
        <v/>
      </c>
      <c r="D631" s="5" t="str">
        <f>IFERROR(__xludf.DUMMYFUNCTION("""COMPUTED_VALUE"""),"")</f>
        <v/>
      </c>
      <c r="E631" s="5" t="str">
        <f>IFERROR(__xludf.DUMMYFUNCTION("""COMPUTED_VALUE"""),"")</f>
        <v/>
      </c>
      <c r="F631" s="5" t="str">
        <f>IFERROR(__xludf.DUMMYFUNCTION("""COMPUTED_VALUE"""),"")</f>
        <v/>
      </c>
      <c r="G631" s="5" t="str">
        <f>IFERROR(__xludf.DUMMYFUNCTION("""COMPUTED_VALUE"""),"")</f>
        <v/>
      </c>
      <c r="H631" s="5" t="str">
        <f>IFERROR(__xludf.DUMMYFUNCTION("""COMPUTED_VALUE"""),"")</f>
        <v/>
      </c>
      <c r="I631" s="5" t="str">
        <f>IFERROR(__xludf.DUMMYFUNCTION("""COMPUTED_VALUE"""),"")</f>
        <v/>
      </c>
      <c r="J631" s="5" t="str">
        <f>IFERROR(__xludf.DUMMYFUNCTION("""COMPUTED_VALUE"""),"")</f>
        <v/>
      </c>
      <c r="K631" s="5" t="str">
        <f>IFERROR(__xludf.DUMMYFUNCTION("""COMPUTED_VALUE"""),"")</f>
        <v/>
      </c>
      <c r="L631" s="5" t="str">
        <f>IFERROR(__xludf.DUMMYFUNCTION("""COMPUTED_VALUE"""),"")</f>
        <v/>
      </c>
      <c r="M631" s="5" t="str">
        <f>IFERROR(__xludf.DUMMYFUNCTION("""COMPUTED_VALUE"""),"")</f>
        <v/>
      </c>
      <c r="N631" s="5" t="str">
        <f>IFERROR(__xludf.DUMMYFUNCTION("""COMPUTED_VALUE"""),"")</f>
        <v/>
      </c>
      <c r="O631" s="5" t="str">
        <f>IFERROR(__xludf.DUMMYFUNCTION("""COMPUTED_VALUE"""),"")</f>
        <v/>
      </c>
      <c r="P631" s="5" t="str">
        <f>IFERROR(__xludf.DUMMYFUNCTION("""COMPUTED_VALUE"""),"")</f>
        <v/>
      </c>
      <c r="Q631" s="5" t="str">
        <f>IFERROR(__xludf.DUMMYFUNCTION("""COMPUTED_VALUE"""),"")</f>
        <v/>
      </c>
      <c r="R631" s="5" t="str">
        <f>IFERROR(__xludf.DUMMYFUNCTION("""COMPUTED_VALUE"""),"")</f>
        <v/>
      </c>
      <c r="S631" s="5" t="str">
        <f>IFERROR(__xludf.DUMMYFUNCTION("""COMPUTED_VALUE"""),"")</f>
        <v/>
      </c>
      <c r="T631" s="5" t="str">
        <f>IFERROR(__xludf.DUMMYFUNCTION("""COMPUTED_VALUE"""),"")</f>
        <v/>
      </c>
      <c r="U631" s="5" t="str">
        <f>IFERROR(__xludf.DUMMYFUNCTION("""COMPUTED_VALUE"""),"")</f>
        <v/>
      </c>
      <c r="V631" s="5" t="str">
        <f>IFERROR(__xludf.DUMMYFUNCTION("""COMPUTED_VALUE"""),"")</f>
        <v/>
      </c>
      <c r="W631" s="5" t="str">
        <f>IFERROR(__xludf.DUMMYFUNCTION("""COMPUTED_VALUE"""),"")</f>
        <v/>
      </c>
      <c r="X631" s="5" t="str">
        <f>IFERROR(__xludf.DUMMYFUNCTION("""COMPUTED_VALUE"""),"")</f>
        <v/>
      </c>
      <c r="Y631" s="5"/>
      <c r="Z631" s="5"/>
    </row>
    <row r="632">
      <c r="A632" s="5" t="str">
        <f>IFERROR(__xludf.DUMMYFUNCTION("""COMPUTED_VALUE"""),"Golden Crown Hold&amp;Win")</f>
        <v>Golden Crown Hold&amp;Win</v>
      </c>
      <c r="B632" s="5" t="str">
        <f>IFERROR(__xludf.DUMMYFUNCTION("""COMPUTED_VALUE"""),"")</f>
        <v/>
      </c>
      <c r="C632" s="5" t="str">
        <f>IFERROR(__xludf.DUMMYFUNCTION("""COMPUTED_VALUE"""),"")</f>
        <v/>
      </c>
      <c r="D632" s="5" t="str">
        <f>IFERROR(__xludf.DUMMYFUNCTION("""COMPUTED_VALUE"""),"")</f>
        <v/>
      </c>
      <c r="E632" s="5" t="str">
        <f>IFERROR(__xludf.DUMMYFUNCTION("""COMPUTED_VALUE"""),"")</f>
        <v/>
      </c>
      <c r="F632" s="5" t="str">
        <f>IFERROR(__xludf.DUMMYFUNCTION("""COMPUTED_VALUE"""),"")</f>
        <v/>
      </c>
      <c r="G632" s="5" t="str">
        <f>IFERROR(__xludf.DUMMYFUNCTION("""COMPUTED_VALUE"""),"")</f>
        <v/>
      </c>
      <c r="H632" s="5" t="str">
        <f>IFERROR(__xludf.DUMMYFUNCTION("""COMPUTED_VALUE"""),"")</f>
        <v/>
      </c>
      <c r="I632" s="5" t="str">
        <f>IFERROR(__xludf.DUMMYFUNCTION("""COMPUTED_VALUE"""),"")</f>
        <v/>
      </c>
      <c r="J632" s="5" t="str">
        <f>IFERROR(__xludf.DUMMYFUNCTION("""COMPUTED_VALUE"""),"")</f>
        <v/>
      </c>
      <c r="K632" s="5" t="str">
        <f>IFERROR(__xludf.DUMMYFUNCTION("""COMPUTED_VALUE"""),"")</f>
        <v/>
      </c>
      <c r="L632" s="5" t="str">
        <f>IFERROR(__xludf.DUMMYFUNCTION("""COMPUTED_VALUE"""),"")</f>
        <v/>
      </c>
      <c r="M632" s="5" t="str">
        <f>IFERROR(__xludf.DUMMYFUNCTION("""COMPUTED_VALUE"""),"")</f>
        <v/>
      </c>
      <c r="N632" s="5" t="str">
        <f>IFERROR(__xludf.DUMMYFUNCTION("""COMPUTED_VALUE"""),"")</f>
        <v/>
      </c>
      <c r="O632" s="5" t="str">
        <f>IFERROR(__xludf.DUMMYFUNCTION("""COMPUTED_VALUE"""),"")</f>
        <v/>
      </c>
      <c r="P632" s="5" t="str">
        <f>IFERROR(__xludf.DUMMYFUNCTION("""COMPUTED_VALUE"""),"")</f>
        <v/>
      </c>
      <c r="Q632" s="5" t="str">
        <f>IFERROR(__xludf.DUMMYFUNCTION("""COMPUTED_VALUE"""),"")</f>
        <v/>
      </c>
      <c r="R632" s="5" t="str">
        <f>IFERROR(__xludf.DUMMYFUNCTION("""COMPUTED_VALUE"""),"")</f>
        <v/>
      </c>
      <c r="S632" s="5" t="str">
        <f>IFERROR(__xludf.DUMMYFUNCTION("""COMPUTED_VALUE"""),"")</f>
        <v/>
      </c>
      <c r="T632" s="5" t="str">
        <f>IFERROR(__xludf.DUMMYFUNCTION("""COMPUTED_VALUE"""),"")</f>
        <v/>
      </c>
      <c r="U632" s="5" t="str">
        <f>IFERROR(__xludf.DUMMYFUNCTION("""COMPUTED_VALUE"""),"")</f>
        <v/>
      </c>
      <c r="V632" s="5" t="str">
        <f>IFERROR(__xludf.DUMMYFUNCTION("""COMPUTED_VALUE"""),"")</f>
        <v/>
      </c>
      <c r="W632" s="5" t="str">
        <f>IFERROR(__xludf.DUMMYFUNCTION("""COMPUTED_VALUE"""),"")</f>
        <v/>
      </c>
      <c r="X632" s="5" t="str">
        <f>IFERROR(__xludf.DUMMYFUNCTION("""COMPUTED_VALUE"""),"")</f>
        <v/>
      </c>
      <c r="Y632" s="5"/>
      <c r="Z632" s="5"/>
    </row>
    <row r="633">
      <c r="A633" s="5" t="str">
        <f>IFERROR(__xludf.DUMMYFUNCTION("""COMPUTED_VALUE"""),"Respin Fortune")</f>
        <v>Respin Fortune</v>
      </c>
      <c r="B633" s="5" t="str">
        <f>IFERROR(__xludf.DUMMYFUNCTION("""COMPUTED_VALUE"""),"")</f>
        <v/>
      </c>
      <c r="C633" s="5" t="str">
        <f>IFERROR(__xludf.DUMMYFUNCTION("""COMPUTED_VALUE"""),"")</f>
        <v/>
      </c>
      <c r="D633" s="5" t="str">
        <f>IFERROR(__xludf.DUMMYFUNCTION("""COMPUTED_VALUE"""),"")</f>
        <v/>
      </c>
      <c r="E633" s="5" t="str">
        <f>IFERROR(__xludf.DUMMYFUNCTION("""COMPUTED_VALUE"""),"")</f>
        <v/>
      </c>
      <c r="F633" s="5" t="str">
        <f>IFERROR(__xludf.DUMMYFUNCTION("""COMPUTED_VALUE"""),"")</f>
        <v/>
      </c>
      <c r="G633" s="5" t="str">
        <f>IFERROR(__xludf.DUMMYFUNCTION("""COMPUTED_VALUE"""),"")</f>
        <v/>
      </c>
      <c r="H633" s="5" t="str">
        <f>IFERROR(__xludf.DUMMYFUNCTION("""COMPUTED_VALUE"""),"")</f>
        <v/>
      </c>
      <c r="I633" s="5" t="str">
        <f>IFERROR(__xludf.DUMMYFUNCTION("""COMPUTED_VALUE"""),"")</f>
        <v/>
      </c>
      <c r="J633" s="5" t="str">
        <f>IFERROR(__xludf.DUMMYFUNCTION("""COMPUTED_VALUE"""),"")</f>
        <v/>
      </c>
      <c r="K633" s="5" t="str">
        <f>IFERROR(__xludf.DUMMYFUNCTION("""COMPUTED_VALUE"""),"")</f>
        <v/>
      </c>
      <c r="L633" s="5" t="str">
        <f>IFERROR(__xludf.DUMMYFUNCTION("""COMPUTED_VALUE"""),"")</f>
        <v/>
      </c>
      <c r="M633" s="5" t="str">
        <f>IFERROR(__xludf.DUMMYFUNCTION("""COMPUTED_VALUE"""),"")</f>
        <v/>
      </c>
      <c r="N633" s="5" t="str">
        <f>IFERROR(__xludf.DUMMYFUNCTION("""COMPUTED_VALUE"""),"")</f>
        <v/>
      </c>
      <c r="O633" s="5" t="str">
        <f>IFERROR(__xludf.DUMMYFUNCTION("""COMPUTED_VALUE"""),"")</f>
        <v/>
      </c>
      <c r="P633" s="5" t="str">
        <f>IFERROR(__xludf.DUMMYFUNCTION("""COMPUTED_VALUE"""),"")</f>
        <v/>
      </c>
      <c r="Q633" s="5" t="str">
        <f>IFERROR(__xludf.DUMMYFUNCTION("""COMPUTED_VALUE"""),"")</f>
        <v/>
      </c>
      <c r="R633" s="5" t="str">
        <f>IFERROR(__xludf.DUMMYFUNCTION("""COMPUTED_VALUE"""),"")</f>
        <v/>
      </c>
      <c r="S633" s="5" t="str">
        <f>IFERROR(__xludf.DUMMYFUNCTION("""COMPUTED_VALUE"""),"")</f>
        <v/>
      </c>
      <c r="T633" s="5" t="str">
        <f>IFERROR(__xludf.DUMMYFUNCTION("""COMPUTED_VALUE"""),"")</f>
        <v/>
      </c>
      <c r="U633" s="5" t="str">
        <f>IFERROR(__xludf.DUMMYFUNCTION("""COMPUTED_VALUE"""),"")</f>
        <v/>
      </c>
      <c r="V633" s="5" t="str">
        <f>IFERROR(__xludf.DUMMYFUNCTION("""COMPUTED_VALUE"""),"")</f>
        <v/>
      </c>
      <c r="W633" s="5" t="str">
        <f>IFERROR(__xludf.DUMMYFUNCTION("""COMPUTED_VALUE"""),"")</f>
        <v/>
      </c>
      <c r="X633" s="5" t="str">
        <f>IFERROR(__xludf.DUMMYFUNCTION("""COMPUTED_VALUE"""),"")</f>
        <v/>
      </c>
      <c r="Y633" s="5"/>
      <c r="Z633" s="5"/>
    </row>
    <row r="634">
      <c r="A634" s="5" t="str">
        <f>IFERROR(__xludf.DUMMYFUNCTION("""COMPUTED_VALUE"""),"Multi Clover 5")</f>
        <v>Multi Clover 5</v>
      </c>
      <c r="B634" s="5" t="str">
        <f>IFERROR(__xludf.DUMMYFUNCTION("""COMPUTED_VALUE"""),"")</f>
        <v/>
      </c>
      <c r="C634" s="5" t="str">
        <f>IFERROR(__xludf.DUMMYFUNCTION("""COMPUTED_VALUE"""),"")</f>
        <v/>
      </c>
      <c r="D634" s="5" t="str">
        <f>IFERROR(__xludf.DUMMYFUNCTION("""COMPUTED_VALUE"""),"")</f>
        <v/>
      </c>
      <c r="E634" s="5" t="str">
        <f>IFERROR(__xludf.DUMMYFUNCTION("""COMPUTED_VALUE"""),"")</f>
        <v/>
      </c>
      <c r="F634" s="5" t="str">
        <f>IFERROR(__xludf.DUMMYFUNCTION("""COMPUTED_VALUE"""),"")</f>
        <v/>
      </c>
      <c r="G634" s="5" t="str">
        <f>IFERROR(__xludf.DUMMYFUNCTION("""COMPUTED_VALUE"""),"")</f>
        <v/>
      </c>
      <c r="H634" s="5" t="str">
        <f>IFERROR(__xludf.DUMMYFUNCTION("""COMPUTED_VALUE"""),"")</f>
        <v/>
      </c>
      <c r="I634" s="5" t="str">
        <f>IFERROR(__xludf.DUMMYFUNCTION("""COMPUTED_VALUE"""),"")</f>
        <v/>
      </c>
      <c r="J634" s="5" t="str">
        <f>IFERROR(__xludf.DUMMYFUNCTION("""COMPUTED_VALUE"""),"")</f>
        <v/>
      </c>
      <c r="K634" s="5" t="str">
        <f>IFERROR(__xludf.DUMMYFUNCTION("""COMPUTED_VALUE"""),"")</f>
        <v/>
      </c>
      <c r="L634" s="5" t="str">
        <f>IFERROR(__xludf.DUMMYFUNCTION("""COMPUTED_VALUE"""),"")</f>
        <v/>
      </c>
      <c r="M634" s="5" t="str">
        <f>IFERROR(__xludf.DUMMYFUNCTION("""COMPUTED_VALUE"""),"")</f>
        <v/>
      </c>
      <c r="N634" s="5" t="str">
        <f>IFERROR(__xludf.DUMMYFUNCTION("""COMPUTED_VALUE"""),"")</f>
        <v/>
      </c>
      <c r="O634" s="5" t="str">
        <f>IFERROR(__xludf.DUMMYFUNCTION("""COMPUTED_VALUE"""),"")</f>
        <v/>
      </c>
      <c r="P634" s="5" t="str">
        <f>IFERROR(__xludf.DUMMYFUNCTION("""COMPUTED_VALUE"""),"")</f>
        <v/>
      </c>
      <c r="Q634" s="5" t="str">
        <f>IFERROR(__xludf.DUMMYFUNCTION("""COMPUTED_VALUE"""),"")</f>
        <v/>
      </c>
      <c r="R634" s="5" t="str">
        <f>IFERROR(__xludf.DUMMYFUNCTION("""COMPUTED_VALUE"""),"")</f>
        <v/>
      </c>
      <c r="S634" s="5" t="str">
        <f>IFERROR(__xludf.DUMMYFUNCTION("""COMPUTED_VALUE"""),"")</f>
        <v/>
      </c>
      <c r="T634" s="5" t="str">
        <f>IFERROR(__xludf.DUMMYFUNCTION("""COMPUTED_VALUE"""),"")</f>
        <v/>
      </c>
      <c r="U634" s="5" t="str">
        <f>IFERROR(__xludf.DUMMYFUNCTION("""COMPUTED_VALUE"""),"")</f>
        <v/>
      </c>
      <c r="V634" s="5" t="str">
        <f>IFERROR(__xludf.DUMMYFUNCTION("""COMPUTED_VALUE"""),"")</f>
        <v/>
      </c>
      <c r="W634" s="5" t="str">
        <f>IFERROR(__xludf.DUMMYFUNCTION("""COMPUTED_VALUE"""),"")</f>
        <v/>
      </c>
      <c r="X634" s="5" t="str">
        <f>IFERROR(__xludf.DUMMYFUNCTION("""COMPUTED_VALUE"""),"")</f>
        <v/>
      </c>
      <c r="Y634" s="5"/>
      <c r="Z634" s="5"/>
    </row>
    <row r="635">
      <c r="A635" s="5" t="str">
        <f>IFERROR(__xludf.DUMMYFUNCTION("""COMPUTED_VALUE"""),"Joker X5")</f>
        <v>Joker X5</v>
      </c>
      <c r="B635" s="5" t="str">
        <f>IFERROR(__xludf.DUMMYFUNCTION("""COMPUTED_VALUE"""),"")</f>
        <v/>
      </c>
      <c r="C635" s="5" t="str">
        <f>IFERROR(__xludf.DUMMYFUNCTION("""COMPUTED_VALUE"""),"")</f>
        <v/>
      </c>
      <c r="D635" s="5" t="str">
        <f>IFERROR(__xludf.DUMMYFUNCTION("""COMPUTED_VALUE"""),"")</f>
        <v/>
      </c>
      <c r="E635" s="5" t="str">
        <f>IFERROR(__xludf.DUMMYFUNCTION("""COMPUTED_VALUE"""),"")</f>
        <v/>
      </c>
      <c r="F635" s="5" t="str">
        <f>IFERROR(__xludf.DUMMYFUNCTION("""COMPUTED_VALUE"""),"")</f>
        <v/>
      </c>
      <c r="G635" s="5" t="str">
        <f>IFERROR(__xludf.DUMMYFUNCTION("""COMPUTED_VALUE"""),"")</f>
        <v/>
      </c>
      <c r="H635" s="5" t="str">
        <f>IFERROR(__xludf.DUMMYFUNCTION("""COMPUTED_VALUE"""),"")</f>
        <v/>
      </c>
      <c r="I635" s="5" t="str">
        <f>IFERROR(__xludf.DUMMYFUNCTION("""COMPUTED_VALUE"""),"")</f>
        <v/>
      </c>
      <c r="J635" s="5" t="str">
        <f>IFERROR(__xludf.DUMMYFUNCTION("""COMPUTED_VALUE"""),"")</f>
        <v/>
      </c>
      <c r="K635" s="5" t="str">
        <f>IFERROR(__xludf.DUMMYFUNCTION("""COMPUTED_VALUE"""),"")</f>
        <v/>
      </c>
      <c r="L635" s="5" t="str">
        <f>IFERROR(__xludf.DUMMYFUNCTION("""COMPUTED_VALUE"""),"")</f>
        <v/>
      </c>
      <c r="M635" s="5" t="str">
        <f>IFERROR(__xludf.DUMMYFUNCTION("""COMPUTED_VALUE"""),"")</f>
        <v/>
      </c>
      <c r="N635" s="5" t="str">
        <f>IFERROR(__xludf.DUMMYFUNCTION("""COMPUTED_VALUE"""),"")</f>
        <v/>
      </c>
      <c r="O635" s="5" t="str">
        <f>IFERROR(__xludf.DUMMYFUNCTION("""COMPUTED_VALUE"""),"")</f>
        <v/>
      </c>
      <c r="P635" s="5" t="str">
        <f>IFERROR(__xludf.DUMMYFUNCTION("""COMPUTED_VALUE"""),"")</f>
        <v/>
      </c>
      <c r="Q635" s="5" t="str">
        <f>IFERROR(__xludf.DUMMYFUNCTION("""COMPUTED_VALUE"""),"")</f>
        <v/>
      </c>
      <c r="R635" s="5" t="str">
        <f>IFERROR(__xludf.DUMMYFUNCTION("""COMPUTED_VALUE"""),"")</f>
        <v/>
      </c>
      <c r="S635" s="5" t="str">
        <f>IFERROR(__xludf.DUMMYFUNCTION("""COMPUTED_VALUE"""),"")</f>
        <v/>
      </c>
      <c r="T635" s="5" t="str">
        <f>IFERROR(__xludf.DUMMYFUNCTION("""COMPUTED_VALUE"""),"")</f>
        <v/>
      </c>
      <c r="U635" s="5" t="str">
        <f>IFERROR(__xludf.DUMMYFUNCTION("""COMPUTED_VALUE"""),"")</f>
        <v/>
      </c>
      <c r="V635" s="5" t="str">
        <f>IFERROR(__xludf.DUMMYFUNCTION("""COMPUTED_VALUE"""),"")</f>
        <v/>
      </c>
      <c r="W635" s="5" t="str">
        <f>IFERROR(__xludf.DUMMYFUNCTION("""COMPUTED_VALUE"""),"")</f>
        <v/>
      </c>
      <c r="X635" s="5" t="str">
        <f>IFERROR(__xludf.DUMMYFUNCTION("""COMPUTED_VALUE"""),"")</f>
        <v/>
      </c>
      <c r="Y635" s="5"/>
      <c r="Z635" s="5"/>
    </row>
    <row r="636">
      <c r="A636" s="5" t="str">
        <f>IFERROR(__xludf.DUMMYFUNCTION("""COMPUTED_VALUE"""),"Clover Rush 5")</f>
        <v>Clover Rush 5</v>
      </c>
      <c r="B636" s="5" t="str">
        <f>IFERROR(__xludf.DUMMYFUNCTION("""COMPUTED_VALUE"""),"")</f>
        <v/>
      </c>
      <c r="C636" s="5" t="str">
        <f>IFERROR(__xludf.DUMMYFUNCTION("""COMPUTED_VALUE"""),"")</f>
        <v/>
      </c>
      <c r="D636" s="5" t="str">
        <f>IFERROR(__xludf.DUMMYFUNCTION("""COMPUTED_VALUE"""),"")</f>
        <v/>
      </c>
      <c r="E636" s="5" t="str">
        <f>IFERROR(__xludf.DUMMYFUNCTION("""COMPUTED_VALUE"""),"")</f>
        <v/>
      </c>
      <c r="F636" s="5" t="str">
        <f>IFERROR(__xludf.DUMMYFUNCTION("""COMPUTED_VALUE"""),"")</f>
        <v/>
      </c>
      <c r="G636" s="5" t="str">
        <f>IFERROR(__xludf.DUMMYFUNCTION("""COMPUTED_VALUE"""),"")</f>
        <v/>
      </c>
      <c r="H636" s="5" t="str">
        <f>IFERROR(__xludf.DUMMYFUNCTION("""COMPUTED_VALUE"""),"")</f>
        <v/>
      </c>
      <c r="I636" s="5" t="str">
        <f>IFERROR(__xludf.DUMMYFUNCTION("""COMPUTED_VALUE"""),"")</f>
        <v/>
      </c>
      <c r="J636" s="5" t="str">
        <f>IFERROR(__xludf.DUMMYFUNCTION("""COMPUTED_VALUE"""),"")</f>
        <v/>
      </c>
      <c r="K636" s="5" t="str">
        <f>IFERROR(__xludf.DUMMYFUNCTION("""COMPUTED_VALUE"""),"")</f>
        <v/>
      </c>
      <c r="L636" s="5" t="str">
        <f>IFERROR(__xludf.DUMMYFUNCTION("""COMPUTED_VALUE"""),"")</f>
        <v/>
      </c>
      <c r="M636" s="5" t="str">
        <f>IFERROR(__xludf.DUMMYFUNCTION("""COMPUTED_VALUE"""),"")</f>
        <v/>
      </c>
      <c r="N636" s="5" t="str">
        <f>IFERROR(__xludf.DUMMYFUNCTION("""COMPUTED_VALUE"""),"")</f>
        <v/>
      </c>
      <c r="O636" s="5" t="str">
        <f>IFERROR(__xludf.DUMMYFUNCTION("""COMPUTED_VALUE"""),"")</f>
        <v/>
      </c>
      <c r="P636" s="5" t="str">
        <f>IFERROR(__xludf.DUMMYFUNCTION("""COMPUTED_VALUE"""),"")</f>
        <v/>
      </c>
      <c r="Q636" s="5" t="str">
        <f>IFERROR(__xludf.DUMMYFUNCTION("""COMPUTED_VALUE"""),"")</f>
        <v/>
      </c>
      <c r="R636" s="5" t="str">
        <f>IFERROR(__xludf.DUMMYFUNCTION("""COMPUTED_VALUE"""),"")</f>
        <v/>
      </c>
      <c r="S636" s="5" t="str">
        <f>IFERROR(__xludf.DUMMYFUNCTION("""COMPUTED_VALUE"""),"")</f>
        <v/>
      </c>
      <c r="T636" s="5" t="str">
        <f>IFERROR(__xludf.DUMMYFUNCTION("""COMPUTED_VALUE"""),"")</f>
        <v/>
      </c>
      <c r="U636" s="5" t="str">
        <f>IFERROR(__xludf.DUMMYFUNCTION("""COMPUTED_VALUE"""),"")</f>
        <v/>
      </c>
      <c r="V636" s="5" t="str">
        <f>IFERROR(__xludf.DUMMYFUNCTION("""COMPUTED_VALUE"""),"")</f>
        <v/>
      </c>
      <c r="W636" s="5" t="str">
        <f>IFERROR(__xludf.DUMMYFUNCTION("""COMPUTED_VALUE"""),"")</f>
        <v/>
      </c>
      <c r="X636" s="5" t="str">
        <f>IFERROR(__xludf.DUMMYFUNCTION("""COMPUTED_VALUE"""),"")</f>
        <v/>
      </c>
      <c r="Y636" s="5"/>
      <c r="Z636" s="5"/>
    </row>
    <row r="637">
      <c r="A637" s="5" t="str">
        <f>IFERROR(__xludf.DUMMYFUNCTION("""COMPUTED_VALUE"""),"5 Bell Fire")</f>
        <v>5 Bell Fire</v>
      </c>
      <c r="B637" s="5" t="str">
        <f>IFERROR(__xludf.DUMMYFUNCTION("""COMPUTED_VALUE"""),"")</f>
        <v/>
      </c>
      <c r="C637" s="5" t="str">
        <f>IFERROR(__xludf.DUMMYFUNCTION("""COMPUTED_VALUE"""),"")</f>
        <v/>
      </c>
      <c r="D637" s="5" t="str">
        <f>IFERROR(__xludf.DUMMYFUNCTION("""COMPUTED_VALUE"""),"")</f>
        <v/>
      </c>
      <c r="E637" s="5" t="str">
        <f>IFERROR(__xludf.DUMMYFUNCTION("""COMPUTED_VALUE"""),"")</f>
        <v/>
      </c>
      <c r="F637" s="5" t="str">
        <f>IFERROR(__xludf.DUMMYFUNCTION("""COMPUTED_VALUE"""),"")</f>
        <v/>
      </c>
      <c r="G637" s="5" t="str">
        <f>IFERROR(__xludf.DUMMYFUNCTION("""COMPUTED_VALUE"""),"")</f>
        <v/>
      </c>
      <c r="H637" s="5" t="str">
        <f>IFERROR(__xludf.DUMMYFUNCTION("""COMPUTED_VALUE"""),"")</f>
        <v/>
      </c>
      <c r="I637" s="5" t="str">
        <f>IFERROR(__xludf.DUMMYFUNCTION("""COMPUTED_VALUE"""),"")</f>
        <v/>
      </c>
      <c r="J637" s="5" t="str">
        <f>IFERROR(__xludf.DUMMYFUNCTION("""COMPUTED_VALUE"""),"")</f>
        <v/>
      </c>
      <c r="K637" s="5" t="str">
        <f>IFERROR(__xludf.DUMMYFUNCTION("""COMPUTED_VALUE"""),"")</f>
        <v/>
      </c>
      <c r="L637" s="5" t="str">
        <f>IFERROR(__xludf.DUMMYFUNCTION("""COMPUTED_VALUE"""),"")</f>
        <v/>
      </c>
      <c r="M637" s="5" t="str">
        <f>IFERROR(__xludf.DUMMYFUNCTION("""COMPUTED_VALUE"""),"")</f>
        <v/>
      </c>
      <c r="N637" s="5" t="str">
        <f>IFERROR(__xludf.DUMMYFUNCTION("""COMPUTED_VALUE"""),"")</f>
        <v/>
      </c>
      <c r="O637" s="5" t="str">
        <f>IFERROR(__xludf.DUMMYFUNCTION("""COMPUTED_VALUE"""),"")</f>
        <v/>
      </c>
      <c r="P637" s="5" t="str">
        <f>IFERROR(__xludf.DUMMYFUNCTION("""COMPUTED_VALUE"""),"")</f>
        <v/>
      </c>
      <c r="Q637" s="5" t="str">
        <f>IFERROR(__xludf.DUMMYFUNCTION("""COMPUTED_VALUE"""),"")</f>
        <v/>
      </c>
      <c r="R637" s="5" t="str">
        <f>IFERROR(__xludf.DUMMYFUNCTION("""COMPUTED_VALUE"""),"")</f>
        <v/>
      </c>
      <c r="S637" s="5" t="str">
        <f>IFERROR(__xludf.DUMMYFUNCTION("""COMPUTED_VALUE"""),"")</f>
        <v/>
      </c>
      <c r="T637" s="5" t="str">
        <f>IFERROR(__xludf.DUMMYFUNCTION("""COMPUTED_VALUE"""),"")</f>
        <v/>
      </c>
      <c r="U637" s="5" t="str">
        <f>IFERROR(__xludf.DUMMYFUNCTION("""COMPUTED_VALUE"""),"")</f>
        <v/>
      </c>
      <c r="V637" s="5" t="str">
        <f>IFERROR(__xludf.DUMMYFUNCTION("""COMPUTED_VALUE"""),"")</f>
        <v/>
      </c>
      <c r="W637" s="5" t="str">
        <f>IFERROR(__xludf.DUMMYFUNCTION("""COMPUTED_VALUE"""),"")</f>
        <v/>
      </c>
      <c r="X637" s="5" t="str">
        <f>IFERROR(__xludf.DUMMYFUNCTION("""COMPUTED_VALUE"""),"")</f>
        <v/>
      </c>
      <c r="Y637" s="5"/>
      <c r="Z637" s="5"/>
    </row>
    <row r="638">
      <c r="A638" s="5" t="str">
        <f>IFERROR(__xludf.DUMMYFUNCTION("""COMPUTED_VALUE"""),"Dice Drop 10")</f>
        <v>Dice Drop 10</v>
      </c>
      <c r="B638" s="5" t="str">
        <f>IFERROR(__xludf.DUMMYFUNCTION("""COMPUTED_VALUE"""),"")</f>
        <v/>
      </c>
      <c r="C638" s="5" t="str">
        <f>IFERROR(__xludf.DUMMYFUNCTION("""COMPUTED_VALUE"""),"")</f>
        <v/>
      </c>
      <c r="D638" s="5" t="str">
        <f>IFERROR(__xludf.DUMMYFUNCTION("""COMPUTED_VALUE"""),"")</f>
        <v/>
      </c>
      <c r="E638" s="5" t="str">
        <f>IFERROR(__xludf.DUMMYFUNCTION("""COMPUTED_VALUE"""),"")</f>
        <v/>
      </c>
      <c r="F638" s="5" t="str">
        <f>IFERROR(__xludf.DUMMYFUNCTION("""COMPUTED_VALUE"""),"")</f>
        <v/>
      </c>
      <c r="G638" s="5" t="str">
        <f>IFERROR(__xludf.DUMMYFUNCTION("""COMPUTED_VALUE"""),"")</f>
        <v/>
      </c>
      <c r="H638" s="5" t="str">
        <f>IFERROR(__xludf.DUMMYFUNCTION("""COMPUTED_VALUE"""),"")</f>
        <v/>
      </c>
      <c r="I638" s="5" t="str">
        <f>IFERROR(__xludf.DUMMYFUNCTION("""COMPUTED_VALUE"""),"")</f>
        <v/>
      </c>
      <c r="J638" s="5" t="str">
        <f>IFERROR(__xludf.DUMMYFUNCTION("""COMPUTED_VALUE"""),"")</f>
        <v/>
      </c>
      <c r="K638" s="5" t="str">
        <f>IFERROR(__xludf.DUMMYFUNCTION("""COMPUTED_VALUE"""),"")</f>
        <v/>
      </c>
      <c r="L638" s="5" t="str">
        <f>IFERROR(__xludf.DUMMYFUNCTION("""COMPUTED_VALUE"""),"")</f>
        <v/>
      </c>
      <c r="M638" s="5" t="str">
        <f>IFERROR(__xludf.DUMMYFUNCTION("""COMPUTED_VALUE"""),"")</f>
        <v/>
      </c>
      <c r="N638" s="5" t="str">
        <f>IFERROR(__xludf.DUMMYFUNCTION("""COMPUTED_VALUE"""),"")</f>
        <v/>
      </c>
      <c r="O638" s="5" t="str">
        <f>IFERROR(__xludf.DUMMYFUNCTION("""COMPUTED_VALUE"""),"")</f>
        <v/>
      </c>
      <c r="P638" s="5" t="str">
        <f>IFERROR(__xludf.DUMMYFUNCTION("""COMPUTED_VALUE"""),"")</f>
        <v/>
      </c>
      <c r="Q638" s="5" t="str">
        <f>IFERROR(__xludf.DUMMYFUNCTION("""COMPUTED_VALUE"""),"")</f>
        <v/>
      </c>
      <c r="R638" s="5" t="str">
        <f>IFERROR(__xludf.DUMMYFUNCTION("""COMPUTED_VALUE"""),"")</f>
        <v/>
      </c>
      <c r="S638" s="5" t="str">
        <f>IFERROR(__xludf.DUMMYFUNCTION("""COMPUTED_VALUE"""),"")</f>
        <v/>
      </c>
      <c r="T638" s="5" t="str">
        <f>IFERROR(__xludf.DUMMYFUNCTION("""COMPUTED_VALUE"""),"")</f>
        <v/>
      </c>
      <c r="U638" s="5" t="str">
        <f>IFERROR(__xludf.DUMMYFUNCTION("""COMPUTED_VALUE"""),"")</f>
        <v/>
      </c>
      <c r="V638" s="5" t="str">
        <f>IFERROR(__xludf.DUMMYFUNCTION("""COMPUTED_VALUE"""),"")</f>
        <v/>
      </c>
      <c r="W638" s="5" t="str">
        <f>IFERROR(__xludf.DUMMYFUNCTION("""COMPUTED_VALUE"""),"")</f>
        <v/>
      </c>
      <c r="X638" s="5" t="str">
        <f>IFERROR(__xludf.DUMMYFUNCTION("""COMPUTED_VALUE"""),"")</f>
        <v/>
      </c>
      <c r="Y638" s="5"/>
      <c r="Z638" s="5"/>
    </row>
    <row r="639">
      <c r="A639" s="5" t="str">
        <f>IFERROR(__xludf.DUMMYFUNCTION("""COMPUTED_VALUE"""),"Lunar Coins")</f>
        <v>Lunar Coins</v>
      </c>
      <c r="B639" s="5" t="str">
        <f>IFERROR(__xludf.DUMMYFUNCTION("""COMPUTED_VALUE"""),"")</f>
        <v/>
      </c>
      <c r="C639" s="5" t="str">
        <f>IFERROR(__xludf.DUMMYFUNCTION("""COMPUTED_VALUE"""),"")</f>
        <v/>
      </c>
      <c r="D639" s="5" t="str">
        <f>IFERROR(__xludf.DUMMYFUNCTION("""COMPUTED_VALUE"""),"")</f>
        <v/>
      </c>
      <c r="E639" s="5" t="str">
        <f>IFERROR(__xludf.DUMMYFUNCTION("""COMPUTED_VALUE"""),"")</f>
        <v/>
      </c>
      <c r="F639" s="5" t="str">
        <f>IFERROR(__xludf.DUMMYFUNCTION("""COMPUTED_VALUE"""),"")</f>
        <v/>
      </c>
      <c r="G639" s="5" t="str">
        <f>IFERROR(__xludf.DUMMYFUNCTION("""COMPUTED_VALUE"""),"")</f>
        <v/>
      </c>
      <c r="H639" s="5" t="str">
        <f>IFERROR(__xludf.DUMMYFUNCTION("""COMPUTED_VALUE"""),"")</f>
        <v/>
      </c>
      <c r="I639" s="5" t="str">
        <f>IFERROR(__xludf.DUMMYFUNCTION("""COMPUTED_VALUE"""),"")</f>
        <v/>
      </c>
      <c r="J639" s="5" t="str">
        <f>IFERROR(__xludf.DUMMYFUNCTION("""COMPUTED_VALUE"""),"")</f>
        <v/>
      </c>
      <c r="K639" s="5" t="str">
        <f>IFERROR(__xludf.DUMMYFUNCTION("""COMPUTED_VALUE"""),"")</f>
        <v/>
      </c>
      <c r="L639" s="5" t="str">
        <f>IFERROR(__xludf.DUMMYFUNCTION("""COMPUTED_VALUE"""),"")</f>
        <v/>
      </c>
      <c r="M639" s="5" t="str">
        <f>IFERROR(__xludf.DUMMYFUNCTION("""COMPUTED_VALUE"""),"")</f>
        <v/>
      </c>
      <c r="N639" s="5" t="str">
        <f>IFERROR(__xludf.DUMMYFUNCTION("""COMPUTED_VALUE"""),"")</f>
        <v/>
      </c>
      <c r="O639" s="5" t="str">
        <f>IFERROR(__xludf.DUMMYFUNCTION("""COMPUTED_VALUE"""),"")</f>
        <v/>
      </c>
      <c r="P639" s="5" t="str">
        <f>IFERROR(__xludf.DUMMYFUNCTION("""COMPUTED_VALUE"""),"")</f>
        <v/>
      </c>
      <c r="Q639" s="5" t="str">
        <f>IFERROR(__xludf.DUMMYFUNCTION("""COMPUTED_VALUE"""),"")</f>
        <v/>
      </c>
      <c r="R639" s="5" t="str">
        <f>IFERROR(__xludf.DUMMYFUNCTION("""COMPUTED_VALUE"""),"")</f>
        <v/>
      </c>
      <c r="S639" s="5" t="str">
        <f>IFERROR(__xludf.DUMMYFUNCTION("""COMPUTED_VALUE"""),"")</f>
        <v/>
      </c>
      <c r="T639" s="5" t="str">
        <f>IFERROR(__xludf.DUMMYFUNCTION("""COMPUTED_VALUE"""),"")</f>
        <v/>
      </c>
      <c r="U639" s="5" t="str">
        <f>IFERROR(__xludf.DUMMYFUNCTION("""COMPUTED_VALUE"""),"")</f>
        <v/>
      </c>
      <c r="V639" s="5" t="str">
        <f>IFERROR(__xludf.DUMMYFUNCTION("""COMPUTED_VALUE"""),"")</f>
        <v/>
      </c>
      <c r="W639" s="5" t="str">
        <f>IFERROR(__xludf.DUMMYFUNCTION("""COMPUTED_VALUE"""),"")</f>
        <v/>
      </c>
      <c r="X639" s="5" t="str">
        <f>IFERROR(__xludf.DUMMYFUNCTION("""COMPUTED_VALUE"""),"")</f>
        <v/>
      </c>
      <c r="Y639" s="5"/>
      <c r="Z639" s="5"/>
    </row>
    <row r="640">
      <c r="A640" s="5" t="str">
        <f>IFERROR(__xludf.DUMMYFUNCTION("""COMPUTED_VALUE"""),"5 Clover Fire Blast")</f>
        <v>5 Clover Fire Blast</v>
      </c>
      <c r="B640" s="5" t="str">
        <f>IFERROR(__xludf.DUMMYFUNCTION("""COMPUTED_VALUE"""),"")</f>
        <v/>
      </c>
      <c r="C640" s="5" t="str">
        <f>IFERROR(__xludf.DUMMYFUNCTION("""COMPUTED_VALUE"""),"")</f>
        <v/>
      </c>
      <c r="D640" s="5" t="str">
        <f>IFERROR(__xludf.DUMMYFUNCTION("""COMPUTED_VALUE"""),"")</f>
        <v/>
      </c>
      <c r="E640" s="5" t="str">
        <f>IFERROR(__xludf.DUMMYFUNCTION("""COMPUTED_VALUE"""),"")</f>
        <v/>
      </c>
      <c r="F640" s="5" t="str">
        <f>IFERROR(__xludf.DUMMYFUNCTION("""COMPUTED_VALUE"""),"")</f>
        <v/>
      </c>
      <c r="G640" s="5" t="str">
        <f>IFERROR(__xludf.DUMMYFUNCTION("""COMPUTED_VALUE"""),"")</f>
        <v/>
      </c>
      <c r="H640" s="5" t="str">
        <f>IFERROR(__xludf.DUMMYFUNCTION("""COMPUTED_VALUE"""),"")</f>
        <v/>
      </c>
      <c r="I640" s="5" t="str">
        <f>IFERROR(__xludf.DUMMYFUNCTION("""COMPUTED_VALUE"""),"")</f>
        <v/>
      </c>
      <c r="J640" s="5" t="str">
        <f>IFERROR(__xludf.DUMMYFUNCTION("""COMPUTED_VALUE"""),"")</f>
        <v/>
      </c>
      <c r="K640" s="5" t="str">
        <f>IFERROR(__xludf.DUMMYFUNCTION("""COMPUTED_VALUE"""),"")</f>
        <v/>
      </c>
      <c r="L640" s="5" t="str">
        <f>IFERROR(__xludf.DUMMYFUNCTION("""COMPUTED_VALUE"""),"")</f>
        <v/>
      </c>
      <c r="M640" s="5" t="str">
        <f>IFERROR(__xludf.DUMMYFUNCTION("""COMPUTED_VALUE"""),"")</f>
        <v/>
      </c>
      <c r="N640" s="5" t="str">
        <f>IFERROR(__xludf.DUMMYFUNCTION("""COMPUTED_VALUE"""),"")</f>
        <v/>
      </c>
      <c r="O640" s="5" t="str">
        <f>IFERROR(__xludf.DUMMYFUNCTION("""COMPUTED_VALUE"""),"")</f>
        <v/>
      </c>
      <c r="P640" s="5" t="str">
        <f>IFERROR(__xludf.DUMMYFUNCTION("""COMPUTED_VALUE"""),"")</f>
        <v/>
      </c>
      <c r="Q640" s="5" t="str">
        <f>IFERROR(__xludf.DUMMYFUNCTION("""COMPUTED_VALUE"""),"")</f>
        <v/>
      </c>
      <c r="R640" s="5" t="str">
        <f>IFERROR(__xludf.DUMMYFUNCTION("""COMPUTED_VALUE"""),"")</f>
        <v/>
      </c>
      <c r="S640" s="5" t="str">
        <f>IFERROR(__xludf.DUMMYFUNCTION("""COMPUTED_VALUE"""),"")</f>
        <v/>
      </c>
      <c r="T640" s="5" t="str">
        <f>IFERROR(__xludf.DUMMYFUNCTION("""COMPUTED_VALUE"""),"")</f>
        <v/>
      </c>
      <c r="U640" s="5" t="str">
        <f>IFERROR(__xludf.DUMMYFUNCTION("""COMPUTED_VALUE"""),"")</f>
        <v/>
      </c>
      <c r="V640" s="5" t="str">
        <f>IFERROR(__xludf.DUMMYFUNCTION("""COMPUTED_VALUE"""),"")</f>
        <v/>
      </c>
      <c r="W640" s="5" t="str">
        <f>IFERROR(__xludf.DUMMYFUNCTION("""COMPUTED_VALUE"""),"")</f>
        <v/>
      </c>
      <c r="X640" s="5" t="str">
        <f>IFERROR(__xludf.DUMMYFUNCTION("""COMPUTED_VALUE"""),"")</f>
        <v/>
      </c>
      <c r="Y640" s="5"/>
      <c r="Z640" s="5"/>
    </row>
    <row r="641">
      <c r="A641" s="5" t="str">
        <f>IFERROR(__xludf.DUMMYFUNCTION("""COMPUTED_VALUE"""),"Majestic Crown Easter")</f>
        <v>Majestic Crown Easter</v>
      </c>
      <c r="B641" s="5" t="str">
        <f>IFERROR(__xludf.DUMMYFUNCTION("""COMPUTED_VALUE"""),"")</f>
        <v/>
      </c>
      <c r="C641" s="5" t="str">
        <f>IFERROR(__xludf.DUMMYFUNCTION("""COMPUTED_VALUE"""),"")</f>
        <v/>
      </c>
      <c r="D641" s="5" t="str">
        <f>IFERROR(__xludf.DUMMYFUNCTION("""COMPUTED_VALUE"""),"")</f>
        <v/>
      </c>
      <c r="E641" s="5" t="str">
        <f>IFERROR(__xludf.DUMMYFUNCTION("""COMPUTED_VALUE"""),"")</f>
        <v/>
      </c>
      <c r="F641" s="5" t="str">
        <f>IFERROR(__xludf.DUMMYFUNCTION("""COMPUTED_VALUE"""),"")</f>
        <v/>
      </c>
      <c r="G641" s="5" t="str">
        <f>IFERROR(__xludf.DUMMYFUNCTION("""COMPUTED_VALUE"""),"")</f>
        <v/>
      </c>
      <c r="H641" s="5" t="str">
        <f>IFERROR(__xludf.DUMMYFUNCTION("""COMPUTED_VALUE"""),"")</f>
        <v/>
      </c>
      <c r="I641" s="5" t="str">
        <f>IFERROR(__xludf.DUMMYFUNCTION("""COMPUTED_VALUE"""),"")</f>
        <v/>
      </c>
      <c r="J641" s="5" t="str">
        <f>IFERROR(__xludf.DUMMYFUNCTION("""COMPUTED_VALUE"""),"")</f>
        <v/>
      </c>
      <c r="K641" s="5" t="str">
        <f>IFERROR(__xludf.DUMMYFUNCTION("""COMPUTED_VALUE"""),"")</f>
        <v/>
      </c>
      <c r="L641" s="5" t="str">
        <f>IFERROR(__xludf.DUMMYFUNCTION("""COMPUTED_VALUE"""),"")</f>
        <v/>
      </c>
      <c r="M641" s="5" t="str">
        <f>IFERROR(__xludf.DUMMYFUNCTION("""COMPUTED_VALUE"""),"")</f>
        <v/>
      </c>
      <c r="N641" s="5" t="str">
        <f>IFERROR(__xludf.DUMMYFUNCTION("""COMPUTED_VALUE"""),"")</f>
        <v/>
      </c>
      <c r="O641" s="5" t="str">
        <f>IFERROR(__xludf.DUMMYFUNCTION("""COMPUTED_VALUE"""),"")</f>
        <v/>
      </c>
      <c r="P641" s="5" t="str">
        <f>IFERROR(__xludf.DUMMYFUNCTION("""COMPUTED_VALUE"""),"")</f>
        <v/>
      </c>
      <c r="Q641" s="5" t="str">
        <f>IFERROR(__xludf.DUMMYFUNCTION("""COMPUTED_VALUE"""),"")</f>
        <v/>
      </c>
      <c r="R641" s="5" t="str">
        <f>IFERROR(__xludf.DUMMYFUNCTION("""COMPUTED_VALUE"""),"")</f>
        <v/>
      </c>
      <c r="S641" s="5" t="str">
        <f>IFERROR(__xludf.DUMMYFUNCTION("""COMPUTED_VALUE"""),"")</f>
        <v/>
      </c>
      <c r="T641" s="5" t="str">
        <f>IFERROR(__xludf.DUMMYFUNCTION("""COMPUTED_VALUE"""),"")</f>
        <v/>
      </c>
      <c r="U641" s="5" t="str">
        <f>IFERROR(__xludf.DUMMYFUNCTION("""COMPUTED_VALUE"""),"")</f>
        <v/>
      </c>
      <c r="V641" s="5" t="str">
        <f>IFERROR(__xludf.DUMMYFUNCTION("""COMPUTED_VALUE"""),"")</f>
        <v/>
      </c>
      <c r="W641" s="5" t="str">
        <f>IFERROR(__xludf.DUMMYFUNCTION("""COMPUTED_VALUE"""),"")</f>
        <v/>
      </c>
      <c r="X641" s="5" t="str">
        <f>IFERROR(__xludf.DUMMYFUNCTION("""COMPUTED_VALUE"""),"")</f>
        <v/>
      </c>
      <c r="Y641" s="5"/>
      <c r="Z641" s="5"/>
    </row>
    <row r="642">
      <c r="A642" s="5" t="str">
        <f>IFERROR(__xludf.DUMMYFUNCTION("""COMPUTED_VALUE"""),"Tropic Twist")</f>
        <v>Tropic Twist</v>
      </c>
      <c r="B642" s="5" t="str">
        <f>IFERROR(__xludf.DUMMYFUNCTION("""COMPUTED_VALUE"""),"")</f>
        <v/>
      </c>
      <c r="C642" s="5" t="str">
        <f>IFERROR(__xludf.DUMMYFUNCTION("""COMPUTED_VALUE"""),"")</f>
        <v/>
      </c>
      <c r="D642" s="5" t="str">
        <f>IFERROR(__xludf.DUMMYFUNCTION("""COMPUTED_VALUE"""),"")</f>
        <v/>
      </c>
      <c r="E642" s="5" t="str">
        <f>IFERROR(__xludf.DUMMYFUNCTION("""COMPUTED_VALUE"""),"")</f>
        <v/>
      </c>
      <c r="F642" s="5" t="str">
        <f>IFERROR(__xludf.DUMMYFUNCTION("""COMPUTED_VALUE"""),"")</f>
        <v/>
      </c>
      <c r="G642" s="5" t="str">
        <f>IFERROR(__xludf.DUMMYFUNCTION("""COMPUTED_VALUE"""),"")</f>
        <v/>
      </c>
      <c r="H642" s="5" t="str">
        <f>IFERROR(__xludf.DUMMYFUNCTION("""COMPUTED_VALUE"""),"")</f>
        <v/>
      </c>
      <c r="I642" s="5" t="str">
        <f>IFERROR(__xludf.DUMMYFUNCTION("""COMPUTED_VALUE"""),"")</f>
        <v/>
      </c>
      <c r="J642" s="5" t="str">
        <f>IFERROR(__xludf.DUMMYFUNCTION("""COMPUTED_VALUE"""),"")</f>
        <v/>
      </c>
      <c r="K642" s="5" t="str">
        <f>IFERROR(__xludf.DUMMYFUNCTION("""COMPUTED_VALUE"""),"")</f>
        <v/>
      </c>
      <c r="L642" s="5" t="str">
        <f>IFERROR(__xludf.DUMMYFUNCTION("""COMPUTED_VALUE"""),"")</f>
        <v/>
      </c>
      <c r="M642" s="5" t="str">
        <f>IFERROR(__xludf.DUMMYFUNCTION("""COMPUTED_VALUE"""),"")</f>
        <v/>
      </c>
      <c r="N642" s="5" t="str">
        <f>IFERROR(__xludf.DUMMYFUNCTION("""COMPUTED_VALUE"""),"")</f>
        <v/>
      </c>
      <c r="O642" s="5" t="str">
        <f>IFERROR(__xludf.DUMMYFUNCTION("""COMPUTED_VALUE"""),"")</f>
        <v/>
      </c>
      <c r="P642" s="5" t="str">
        <f>IFERROR(__xludf.DUMMYFUNCTION("""COMPUTED_VALUE"""),"")</f>
        <v/>
      </c>
      <c r="Q642" s="5" t="str">
        <f>IFERROR(__xludf.DUMMYFUNCTION("""COMPUTED_VALUE"""),"")</f>
        <v/>
      </c>
      <c r="R642" s="5" t="str">
        <f>IFERROR(__xludf.DUMMYFUNCTION("""COMPUTED_VALUE"""),"")</f>
        <v/>
      </c>
      <c r="S642" s="5" t="str">
        <f>IFERROR(__xludf.DUMMYFUNCTION("""COMPUTED_VALUE"""),"")</f>
        <v/>
      </c>
      <c r="T642" s="5" t="str">
        <f>IFERROR(__xludf.DUMMYFUNCTION("""COMPUTED_VALUE"""),"")</f>
        <v/>
      </c>
      <c r="U642" s="5" t="str">
        <f>IFERROR(__xludf.DUMMYFUNCTION("""COMPUTED_VALUE"""),"")</f>
        <v/>
      </c>
      <c r="V642" s="5" t="str">
        <f>IFERROR(__xludf.DUMMYFUNCTION("""COMPUTED_VALUE"""),"")</f>
        <v/>
      </c>
      <c r="W642" s="5" t="str">
        <f>IFERROR(__xludf.DUMMYFUNCTION("""COMPUTED_VALUE"""),"")</f>
        <v/>
      </c>
      <c r="X642" s="5" t="str">
        <f>IFERROR(__xludf.DUMMYFUNCTION("""COMPUTED_VALUE"""),"")</f>
        <v/>
      </c>
      <c r="Y642" s="5"/>
      <c r="Z642" s="5"/>
    </row>
    <row r="643">
      <c r="A643" s="5" t="str">
        <f>IFERROR(__xludf.DUMMYFUNCTION("""COMPUTED_VALUE"""),"Super Dice Runner")</f>
        <v>Super Dice Runner</v>
      </c>
      <c r="B643" s="5" t="str">
        <f>IFERROR(__xludf.DUMMYFUNCTION("""COMPUTED_VALUE"""),"")</f>
        <v/>
      </c>
      <c r="C643" s="5" t="str">
        <f>IFERROR(__xludf.DUMMYFUNCTION("""COMPUTED_VALUE"""),"")</f>
        <v/>
      </c>
      <c r="D643" s="5" t="str">
        <f>IFERROR(__xludf.DUMMYFUNCTION("""COMPUTED_VALUE"""),"")</f>
        <v/>
      </c>
      <c r="E643" s="5" t="str">
        <f>IFERROR(__xludf.DUMMYFUNCTION("""COMPUTED_VALUE"""),"")</f>
        <v/>
      </c>
      <c r="F643" s="5" t="str">
        <f>IFERROR(__xludf.DUMMYFUNCTION("""COMPUTED_VALUE"""),"")</f>
        <v/>
      </c>
      <c r="G643" s="5" t="str">
        <f>IFERROR(__xludf.DUMMYFUNCTION("""COMPUTED_VALUE"""),"")</f>
        <v/>
      </c>
      <c r="H643" s="5" t="str">
        <f>IFERROR(__xludf.DUMMYFUNCTION("""COMPUTED_VALUE"""),"")</f>
        <v/>
      </c>
      <c r="I643" s="5" t="str">
        <f>IFERROR(__xludf.DUMMYFUNCTION("""COMPUTED_VALUE"""),"")</f>
        <v/>
      </c>
      <c r="J643" s="5" t="str">
        <f>IFERROR(__xludf.DUMMYFUNCTION("""COMPUTED_VALUE"""),"")</f>
        <v/>
      </c>
      <c r="K643" s="5" t="str">
        <f>IFERROR(__xludf.DUMMYFUNCTION("""COMPUTED_VALUE"""),"")</f>
        <v/>
      </c>
      <c r="L643" s="5" t="str">
        <f>IFERROR(__xludf.DUMMYFUNCTION("""COMPUTED_VALUE"""),"")</f>
        <v/>
      </c>
      <c r="M643" s="5" t="str">
        <f>IFERROR(__xludf.DUMMYFUNCTION("""COMPUTED_VALUE"""),"")</f>
        <v/>
      </c>
      <c r="N643" s="5" t="str">
        <f>IFERROR(__xludf.DUMMYFUNCTION("""COMPUTED_VALUE"""),"")</f>
        <v/>
      </c>
      <c r="O643" s="5" t="str">
        <f>IFERROR(__xludf.DUMMYFUNCTION("""COMPUTED_VALUE"""),"")</f>
        <v/>
      </c>
      <c r="P643" s="5" t="str">
        <f>IFERROR(__xludf.DUMMYFUNCTION("""COMPUTED_VALUE"""),"")</f>
        <v/>
      </c>
      <c r="Q643" s="5" t="str">
        <f>IFERROR(__xludf.DUMMYFUNCTION("""COMPUTED_VALUE"""),"")</f>
        <v/>
      </c>
      <c r="R643" s="5" t="str">
        <f>IFERROR(__xludf.DUMMYFUNCTION("""COMPUTED_VALUE"""),"")</f>
        <v/>
      </c>
      <c r="S643" s="5" t="str">
        <f>IFERROR(__xludf.DUMMYFUNCTION("""COMPUTED_VALUE"""),"")</f>
        <v/>
      </c>
      <c r="T643" s="5" t="str">
        <f>IFERROR(__xludf.DUMMYFUNCTION("""COMPUTED_VALUE"""),"")</f>
        <v/>
      </c>
      <c r="U643" s="5" t="str">
        <f>IFERROR(__xludf.DUMMYFUNCTION("""COMPUTED_VALUE"""),"")</f>
        <v/>
      </c>
      <c r="V643" s="5" t="str">
        <f>IFERROR(__xludf.DUMMYFUNCTION("""COMPUTED_VALUE"""),"")</f>
        <v/>
      </c>
      <c r="W643" s="5" t="str">
        <f>IFERROR(__xludf.DUMMYFUNCTION("""COMPUTED_VALUE"""),"")</f>
        <v/>
      </c>
      <c r="X643" s="5" t="str">
        <f>IFERROR(__xludf.DUMMYFUNCTION("""COMPUTED_VALUE"""),"")</f>
        <v/>
      </c>
      <c r="Y643" s="5"/>
      <c r="Z643" s="5"/>
    </row>
    <row r="644">
      <c r="A644" s="5" t="str">
        <f>IFERROR(__xludf.DUMMYFUNCTION("""COMPUTED_VALUE"""),"Lucky Ginger")</f>
        <v>Lucky Ginger</v>
      </c>
      <c r="B644" s="5" t="str">
        <f>IFERROR(__xludf.DUMMYFUNCTION("""COMPUTED_VALUE"""),"")</f>
        <v/>
      </c>
      <c r="C644" s="5" t="str">
        <f>IFERROR(__xludf.DUMMYFUNCTION("""COMPUTED_VALUE"""),"")</f>
        <v/>
      </c>
      <c r="D644" s="5" t="str">
        <f>IFERROR(__xludf.DUMMYFUNCTION("""COMPUTED_VALUE"""),"")</f>
        <v/>
      </c>
      <c r="E644" s="5" t="str">
        <f>IFERROR(__xludf.DUMMYFUNCTION("""COMPUTED_VALUE"""),"")</f>
        <v/>
      </c>
      <c r="F644" s="5" t="str">
        <f>IFERROR(__xludf.DUMMYFUNCTION("""COMPUTED_VALUE"""),"")</f>
        <v/>
      </c>
      <c r="G644" s="5" t="str">
        <f>IFERROR(__xludf.DUMMYFUNCTION("""COMPUTED_VALUE"""),"")</f>
        <v/>
      </c>
      <c r="H644" s="5" t="str">
        <f>IFERROR(__xludf.DUMMYFUNCTION("""COMPUTED_VALUE"""),"")</f>
        <v/>
      </c>
      <c r="I644" s="5" t="str">
        <f>IFERROR(__xludf.DUMMYFUNCTION("""COMPUTED_VALUE"""),"")</f>
        <v/>
      </c>
      <c r="J644" s="5" t="str">
        <f>IFERROR(__xludf.DUMMYFUNCTION("""COMPUTED_VALUE"""),"")</f>
        <v/>
      </c>
      <c r="K644" s="5" t="str">
        <f>IFERROR(__xludf.DUMMYFUNCTION("""COMPUTED_VALUE"""),"")</f>
        <v/>
      </c>
      <c r="L644" s="5" t="str">
        <f>IFERROR(__xludf.DUMMYFUNCTION("""COMPUTED_VALUE"""),"")</f>
        <v/>
      </c>
      <c r="M644" s="5" t="str">
        <f>IFERROR(__xludf.DUMMYFUNCTION("""COMPUTED_VALUE"""),"")</f>
        <v/>
      </c>
      <c r="N644" s="5" t="str">
        <f>IFERROR(__xludf.DUMMYFUNCTION("""COMPUTED_VALUE"""),"")</f>
        <v/>
      </c>
      <c r="O644" s="5" t="str">
        <f>IFERROR(__xludf.DUMMYFUNCTION("""COMPUTED_VALUE"""),"")</f>
        <v/>
      </c>
      <c r="P644" s="5" t="str">
        <f>IFERROR(__xludf.DUMMYFUNCTION("""COMPUTED_VALUE"""),"")</f>
        <v/>
      </c>
      <c r="Q644" s="5" t="str">
        <f>IFERROR(__xludf.DUMMYFUNCTION("""COMPUTED_VALUE"""),"")</f>
        <v/>
      </c>
      <c r="R644" s="5" t="str">
        <f>IFERROR(__xludf.DUMMYFUNCTION("""COMPUTED_VALUE"""),"")</f>
        <v/>
      </c>
      <c r="S644" s="5" t="str">
        <f>IFERROR(__xludf.DUMMYFUNCTION("""COMPUTED_VALUE"""),"")</f>
        <v/>
      </c>
      <c r="T644" s="5" t="str">
        <f>IFERROR(__xludf.DUMMYFUNCTION("""COMPUTED_VALUE"""),"")</f>
        <v/>
      </c>
      <c r="U644" s="5" t="str">
        <f>IFERROR(__xludf.DUMMYFUNCTION("""COMPUTED_VALUE"""),"")</f>
        <v/>
      </c>
      <c r="V644" s="5" t="str">
        <f>IFERROR(__xludf.DUMMYFUNCTION("""COMPUTED_VALUE"""),"")</f>
        <v/>
      </c>
      <c r="W644" s="5" t="str">
        <f>IFERROR(__xludf.DUMMYFUNCTION("""COMPUTED_VALUE"""),"")</f>
        <v/>
      </c>
      <c r="X644" s="5" t="str">
        <f>IFERROR(__xludf.DUMMYFUNCTION("""COMPUTED_VALUE"""),"")</f>
        <v/>
      </c>
      <c r="Y644" s="5"/>
      <c r="Z644" s="5"/>
    </row>
    <row r="645">
      <c r="A645" s="5" t="str">
        <f>IFERROR(__xludf.DUMMYFUNCTION("""COMPUTED_VALUE"""),"Lions Sevens Extreme")</f>
        <v>Lions Sevens Extreme</v>
      </c>
      <c r="B645" s="5" t="str">
        <f>IFERROR(__xludf.DUMMYFUNCTION("""COMPUTED_VALUE"""),"")</f>
        <v/>
      </c>
      <c r="C645" s="5" t="str">
        <f>IFERROR(__xludf.DUMMYFUNCTION("""COMPUTED_VALUE"""),"")</f>
        <v/>
      </c>
      <c r="D645" s="5" t="str">
        <f>IFERROR(__xludf.DUMMYFUNCTION("""COMPUTED_VALUE"""),"")</f>
        <v/>
      </c>
      <c r="E645" s="5" t="str">
        <f>IFERROR(__xludf.DUMMYFUNCTION("""COMPUTED_VALUE"""),"")</f>
        <v/>
      </c>
      <c r="F645" s="5" t="str">
        <f>IFERROR(__xludf.DUMMYFUNCTION("""COMPUTED_VALUE"""),"")</f>
        <v/>
      </c>
      <c r="G645" s="5" t="str">
        <f>IFERROR(__xludf.DUMMYFUNCTION("""COMPUTED_VALUE"""),"")</f>
        <v/>
      </c>
      <c r="H645" s="5" t="str">
        <f>IFERROR(__xludf.DUMMYFUNCTION("""COMPUTED_VALUE"""),"")</f>
        <v/>
      </c>
      <c r="I645" s="5" t="str">
        <f>IFERROR(__xludf.DUMMYFUNCTION("""COMPUTED_VALUE"""),"")</f>
        <v/>
      </c>
      <c r="J645" s="5" t="str">
        <f>IFERROR(__xludf.DUMMYFUNCTION("""COMPUTED_VALUE"""),"")</f>
        <v/>
      </c>
      <c r="K645" s="5" t="str">
        <f>IFERROR(__xludf.DUMMYFUNCTION("""COMPUTED_VALUE"""),"")</f>
        <v/>
      </c>
      <c r="L645" s="5" t="str">
        <f>IFERROR(__xludf.DUMMYFUNCTION("""COMPUTED_VALUE"""),"")</f>
        <v/>
      </c>
      <c r="M645" s="5" t="str">
        <f>IFERROR(__xludf.DUMMYFUNCTION("""COMPUTED_VALUE"""),"")</f>
        <v/>
      </c>
      <c r="N645" s="5" t="str">
        <f>IFERROR(__xludf.DUMMYFUNCTION("""COMPUTED_VALUE"""),"")</f>
        <v/>
      </c>
      <c r="O645" s="5" t="str">
        <f>IFERROR(__xludf.DUMMYFUNCTION("""COMPUTED_VALUE"""),"")</f>
        <v/>
      </c>
      <c r="P645" s="5" t="str">
        <f>IFERROR(__xludf.DUMMYFUNCTION("""COMPUTED_VALUE"""),"")</f>
        <v/>
      </c>
      <c r="Q645" s="5" t="str">
        <f>IFERROR(__xludf.DUMMYFUNCTION("""COMPUTED_VALUE"""),"")</f>
        <v/>
      </c>
      <c r="R645" s="5" t="str">
        <f>IFERROR(__xludf.DUMMYFUNCTION("""COMPUTED_VALUE"""),"")</f>
        <v/>
      </c>
      <c r="S645" s="5" t="str">
        <f>IFERROR(__xludf.DUMMYFUNCTION("""COMPUTED_VALUE"""),"")</f>
        <v/>
      </c>
      <c r="T645" s="5" t="str">
        <f>IFERROR(__xludf.DUMMYFUNCTION("""COMPUTED_VALUE"""),"")</f>
        <v/>
      </c>
      <c r="U645" s="5" t="str">
        <f>IFERROR(__xludf.DUMMYFUNCTION("""COMPUTED_VALUE"""),"")</f>
        <v/>
      </c>
      <c r="V645" s="5" t="str">
        <f>IFERROR(__xludf.DUMMYFUNCTION("""COMPUTED_VALUE"""),"")</f>
        <v/>
      </c>
      <c r="W645" s="5" t="str">
        <f>IFERROR(__xludf.DUMMYFUNCTION("""COMPUTED_VALUE"""),"")</f>
        <v/>
      </c>
      <c r="X645" s="5" t="str">
        <f>IFERROR(__xludf.DUMMYFUNCTION("""COMPUTED_VALUE"""),"")</f>
        <v/>
      </c>
      <c r="Y645" s="5"/>
      <c r="Z645" s="5"/>
    </row>
    <row r="646">
      <c r="A646" s="5" t="str">
        <f>IFERROR(__xludf.DUMMYFUNCTION("""COMPUTED_VALUE"""),"Coyote Sevens Jackpot")</f>
        <v>Coyote Sevens Jackpot</v>
      </c>
      <c r="B646" s="5" t="str">
        <f>IFERROR(__xludf.DUMMYFUNCTION("""COMPUTED_VALUE"""),"")</f>
        <v/>
      </c>
      <c r="C646" s="5" t="str">
        <f>IFERROR(__xludf.DUMMYFUNCTION("""COMPUTED_VALUE"""),"")</f>
        <v/>
      </c>
      <c r="D646" s="5" t="str">
        <f>IFERROR(__xludf.DUMMYFUNCTION("""COMPUTED_VALUE"""),"")</f>
        <v/>
      </c>
      <c r="E646" s="5" t="str">
        <f>IFERROR(__xludf.DUMMYFUNCTION("""COMPUTED_VALUE"""),"")</f>
        <v/>
      </c>
      <c r="F646" s="5" t="str">
        <f>IFERROR(__xludf.DUMMYFUNCTION("""COMPUTED_VALUE"""),"")</f>
        <v/>
      </c>
      <c r="G646" s="5" t="str">
        <f>IFERROR(__xludf.DUMMYFUNCTION("""COMPUTED_VALUE"""),"")</f>
        <v/>
      </c>
      <c r="H646" s="5" t="str">
        <f>IFERROR(__xludf.DUMMYFUNCTION("""COMPUTED_VALUE"""),"")</f>
        <v/>
      </c>
      <c r="I646" s="5" t="str">
        <f>IFERROR(__xludf.DUMMYFUNCTION("""COMPUTED_VALUE"""),"")</f>
        <v/>
      </c>
      <c r="J646" s="5" t="str">
        <f>IFERROR(__xludf.DUMMYFUNCTION("""COMPUTED_VALUE"""),"")</f>
        <v/>
      </c>
      <c r="K646" s="5" t="str">
        <f>IFERROR(__xludf.DUMMYFUNCTION("""COMPUTED_VALUE"""),"")</f>
        <v/>
      </c>
      <c r="L646" s="5" t="str">
        <f>IFERROR(__xludf.DUMMYFUNCTION("""COMPUTED_VALUE"""),"")</f>
        <v/>
      </c>
      <c r="M646" s="5" t="str">
        <f>IFERROR(__xludf.DUMMYFUNCTION("""COMPUTED_VALUE"""),"")</f>
        <v/>
      </c>
      <c r="N646" s="5" t="str">
        <f>IFERROR(__xludf.DUMMYFUNCTION("""COMPUTED_VALUE"""),"")</f>
        <v/>
      </c>
      <c r="O646" s="5" t="str">
        <f>IFERROR(__xludf.DUMMYFUNCTION("""COMPUTED_VALUE"""),"")</f>
        <v/>
      </c>
      <c r="P646" s="5" t="str">
        <f>IFERROR(__xludf.DUMMYFUNCTION("""COMPUTED_VALUE"""),"")</f>
        <v/>
      </c>
      <c r="Q646" s="5" t="str">
        <f>IFERROR(__xludf.DUMMYFUNCTION("""COMPUTED_VALUE"""),"")</f>
        <v/>
      </c>
      <c r="R646" s="5" t="str">
        <f>IFERROR(__xludf.DUMMYFUNCTION("""COMPUTED_VALUE"""),"")</f>
        <v/>
      </c>
      <c r="S646" s="5" t="str">
        <f>IFERROR(__xludf.DUMMYFUNCTION("""COMPUTED_VALUE"""),"")</f>
        <v/>
      </c>
      <c r="T646" s="5" t="str">
        <f>IFERROR(__xludf.DUMMYFUNCTION("""COMPUTED_VALUE"""),"")</f>
        <v/>
      </c>
      <c r="U646" s="5" t="str">
        <f>IFERROR(__xludf.DUMMYFUNCTION("""COMPUTED_VALUE"""),"")</f>
        <v/>
      </c>
      <c r="V646" s="5" t="str">
        <f>IFERROR(__xludf.DUMMYFUNCTION("""COMPUTED_VALUE"""),"")</f>
        <v/>
      </c>
      <c r="W646" s="5" t="str">
        <f>IFERROR(__xludf.DUMMYFUNCTION("""COMPUTED_VALUE"""),"")</f>
        <v/>
      </c>
      <c r="X646" s="5" t="str">
        <f>IFERROR(__xludf.DUMMYFUNCTION("""COMPUTED_VALUE"""),"")</f>
        <v/>
      </c>
      <c r="Y646" s="5"/>
      <c r="Z646" s="5"/>
    </row>
    <row r="647">
      <c r="A647" s="5" t="str">
        <f>IFERROR(__xludf.DUMMYFUNCTION("""COMPUTED_VALUE"""),"Dragon Gems")</f>
        <v>Dragon Gems</v>
      </c>
      <c r="B647" s="5" t="str">
        <f>IFERROR(__xludf.DUMMYFUNCTION("""COMPUTED_VALUE"""),"")</f>
        <v/>
      </c>
      <c r="C647" s="5" t="str">
        <f>IFERROR(__xludf.DUMMYFUNCTION("""COMPUTED_VALUE"""),"")</f>
        <v/>
      </c>
      <c r="D647" s="5" t="str">
        <f>IFERROR(__xludf.DUMMYFUNCTION("""COMPUTED_VALUE"""),"")</f>
        <v/>
      </c>
      <c r="E647" s="5" t="str">
        <f>IFERROR(__xludf.DUMMYFUNCTION("""COMPUTED_VALUE"""),"")</f>
        <v/>
      </c>
      <c r="F647" s="5" t="str">
        <f>IFERROR(__xludf.DUMMYFUNCTION("""COMPUTED_VALUE"""),"")</f>
        <v/>
      </c>
      <c r="G647" s="5" t="str">
        <f>IFERROR(__xludf.DUMMYFUNCTION("""COMPUTED_VALUE"""),"")</f>
        <v/>
      </c>
      <c r="H647" s="5" t="str">
        <f>IFERROR(__xludf.DUMMYFUNCTION("""COMPUTED_VALUE"""),"")</f>
        <v/>
      </c>
      <c r="I647" s="5" t="str">
        <f>IFERROR(__xludf.DUMMYFUNCTION("""COMPUTED_VALUE"""),"")</f>
        <v/>
      </c>
      <c r="J647" s="5" t="str">
        <f>IFERROR(__xludf.DUMMYFUNCTION("""COMPUTED_VALUE"""),"")</f>
        <v/>
      </c>
      <c r="K647" s="5" t="str">
        <f>IFERROR(__xludf.DUMMYFUNCTION("""COMPUTED_VALUE"""),"")</f>
        <v/>
      </c>
      <c r="L647" s="5" t="str">
        <f>IFERROR(__xludf.DUMMYFUNCTION("""COMPUTED_VALUE"""),"")</f>
        <v/>
      </c>
      <c r="M647" s="5" t="str">
        <f>IFERROR(__xludf.DUMMYFUNCTION("""COMPUTED_VALUE"""),"")</f>
        <v/>
      </c>
      <c r="N647" s="5" t="str">
        <f>IFERROR(__xludf.DUMMYFUNCTION("""COMPUTED_VALUE"""),"")</f>
        <v/>
      </c>
      <c r="O647" s="5" t="str">
        <f>IFERROR(__xludf.DUMMYFUNCTION("""COMPUTED_VALUE"""),"")</f>
        <v/>
      </c>
      <c r="P647" s="5" t="str">
        <f>IFERROR(__xludf.DUMMYFUNCTION("""COMPUTED_VALUE"""),"")</f>
        <v/>
      </c>
      <c r="Q647" s="5" t="str">
        <f>IFERROR(__xludf.DUMMYFUNCTION("""COMPUTED_VALUE"""),"")</f>
        <v/>
      </c>
      <c r="R647" s="5" t="str">
        <f>IFERROR(__xludf.DUMMYFUNCTION("""COMPUTED_VALUE"""),"")</f>
        <v/>
      </c>
      <c r="S647" s="5" t="str">
        <f>IFERROR(__xludf.DUMMYFUNCTION("""COMPUTED_VALUE"""),"")</f>
        <v/>
      </c>
      <c r="T647" s="5" t="str">
        <f>IFERROR(__xludf.DUMMYFUNCTION("""COMPUTED_VALUE"""),"")</f>
        <v/>
      </c>
      <c r="U647" s="5" t="str">
        <f>IFERROR(__xludf.DUMMYFUNCTION("""COMPUTED_VALUE"""),"")</f>
        <v/>
      </c>
      <c r="V647" s="5" t="str">
        <f>IFERROR(__xludf.DUMMYFUNCTION("""COMPUTED_VALUE"""),"")</f>
        <v/>
      </c>
      <c r="W647" s="5" t="str">
        <f>IFERROR(__xludf.DUMMYFUNCTION("""COMPUTED_VALUE"""),"")</f>
        <v/>
      </c>
      <c r="X647" s="5" t="str">
        <f>IFERROR(__xludf.DUMMYFUNCTION("""COMPUTED_VALUE"""),"")</f>
        <v/>
      </c>
      <c r="Y647" s="5"/>
      <c r="Z647" s="5"/>
    </row>
    <row r="648">
      <c r="A648" s="5" t="str">
        <f>IFERROR(__xludf.DUMMYFUNCTION("""COMPUTED_VALUE"""),"Bye Bouse")</f>
        <v>Bye Bouse</v>
      </c>
      <c r="B648" s="5" t="str">
        <f>IFERROR(__xludf.DUMMYFUNCTION("""COMPUTED_VALUE"""),"")</f>
        <v/>
      </c>
      <c r="C648" s="5" t="str">
        <f>IFERROR(__xludf.DUMMYFUNCTION("""COMPUTED_VALUE"""),"")</f>
        <v/>
      </c>
      <c r="D648" s="5" t="str">
        <f>IFERROR(__xludf.DUMMYFUNCTION("""COMPUTED_VALUE"""),"")</f>
        <v/>
      </c>
      <c r="E648" s="5" t="str">
        <f>IFERROR(__xludf.DUMMYFUNCTION("""COMPUTED_VALUE"""),"")</f>
        <v/>
      </c>
      <c r="F648" s="5" t="str">
        <f>IFERROR(__xludf.DUMMYFUNCTION("""COMPUTED_VALUE"""),"")</f>
        <v/>
      </c>
      <c r="G648" s="5" t="str">
        <f>IFERROR(__xludf.DUMMYFUNCTION("""COMPUTED_VALUE"""),"")</f>
        <v/>
      </c>
      <c r="H648" s="5" t="str">
        <f>IFERROR(__xludf.DUMMYFUNCTION("""COMPUTED_VALUE"""),"")</f>
        <v/>
      </c>
      <c r="I648" s="5" t="str">
        <f>IFERROR(__xludf.DUMMYFUNCTION("""COMPUTED_VALUE"""),"")</f>
        <v/>
      </c>
      <c r="J648" s="5" t="str">
        <f>IFERROR(__xludf.DUMMYFUNCTION("""COMPUTED_VALUE"""),"")</f>
        <v/>
      </c>
      <c r="K648" s="5" t="str">
        <f>IFERROR(__xludf.DUMMYFUNCTION("""COMPUTED_VALUE"""),"")</f>
        <v/>
      </c>
      <c r="L648" s="5" t="str">
        <f>IFERROR(__xludf.DUMMYFUNCTION("""COMPUTED_VALUE"""),"")</f>
        <v/>
      </c>
      <c r="M648" s="5" t="str">
        <f>IFERROR(__xludf.DUMMYFUNCTION("""COMPUTED_VALUE"""),"")</f>
        <v/>
      </c>
      <c r="N648" s="5" t="str">
        <f>IFERROR(__xludf.DUMMYFUNCTION("""COMPUTED_VALUE"""),"")</f>
        <v/>
      </c>
      <c r="O648" s="5" t="str">
        <f>IFERROR(__xludf.DUMMYFUNCTION("""COMPUTED_VALUE"""),"")</f>
        <v/>
      </c>
      <c r="P648" s="5" t="str">
        <f>IFERROR(__xludf.DUMMYFUNCTION("""COMPUTED_VALUE"""),"")</f>
        <v/>
      </c>
      <c r="Q648" s="5" t="str">
        <f>IFERROR(__xludf.DUMMYFUNCTION("""COMPUTED_VALUE"""),"")</f>
        <v/>
      </c>
      <c r="R648" s="5" t="str">
        <f>IFERROR(__xludf.DUMMYFUNCTION("""COMPUTED_VALUE"""),"")</f>
        <v/>
      </c>
      <c r="S648" s="5" t="str">
        <f>IFERROR(__xludf.DUMMYFUNCTION("""COMPUTED_VALUE"""),"")</f>
        <v/>
      </c>
      <c r="T648" s="5" t="str">
        <f>IFERROR(__xludf.DUMMYFUNCTION("""COMPUTED_VALUE"""),"")</f>
        <v/>
      </c>
      <c r="U648" s="5" t="str">
        <f>IFERROR(__xludf.DUMMYFUNCTION("""COMPUTED_VALUE"""),"")</f>
        <v/>
      </c>
      <c r="V648" s="5" t="str">
        <f>IFERROR(__xludf.DUMMYFUNCTION("""COMPUTED_VALUE"""),"")</f>
        <v/>
      </c>
      <c r="W648" s="5" t="str">
        <f>IFERROR(__xludf.DUMMYFUNCTION("""COMPUTED_VALUE"""),"")</f>
        <v/>
      </c>
      <c r="X648" s="5" t="str">
        <f>IFERROR(__xludf.DUMMYFUNCTION("""COMPUTED_VALUE"""),"")</f>
        <v/>
      </c>
      <c r="Y648" s="5"/>
      <c r="Z648" s="5"/>
    </row>
    <row r="649">
      <c r="A649" s="5" t="str">
        <f>IFERROR(__xludf.DUMMYFUNCTION("""COMPUTED_VALUE"""),"Triple Royal Wilds")</f>
        <v>Triple Royal Wilds</v>
      </c>
      <c r="B649" s="5" t="str">
        <f>IFERROR(__xludf.DUMMYFUNCTION("""COMPUTED_VALUE"""),"")</f>
        <v/>
      </c>
      <c r="C649" s="5" t="str">
        <f>IFERROR(__xludf.DUMMYFUNCTION("""COMPUTED_VALUE"""),"")</f>
        <v/>
      </c>
      <c r="D649" s="5" t="str">
        <f>IFERROR(__xludf.DUMMYFUNCTION("""COMPUTED_VALUE"""),"")</f>
        <v/>
      </c>
      <c r="E649" s="5" t="str">
        <f>IFERROR(__xludf.DUMMYFUNCTION("""COMPUTED_VALUE"""),"")</f>
        <v/>
      </c>
      <c r="F649" s="5" t="str">
        <f>IFERROR(__xludf.DUMMYFUNCTION("""COMPUTED_VALUE"""),"")</f>
        <v/>
      </c>
      <c r="G649" s="5" t="str">
        <f>IFERROR(__xludf.DUMMYFUNCTION("""COMPUTED_VALUE"""),"")</f>
        <v/>
      </c>
      <c r="H649" s="5" t="str">
        <f>IFERROR(__xludf.DUMMYFUNCTION("""COMPUTED_VALUE"""),"")</f>
        <v/>
      </c>
      <c r="I649" s="5" t="str">
        <f>IFERROR(__xludf.DUMMYFUNCTION("""COMPUTED_VALUE"""),"")</f>
        <v/>
      </c>
      <c r="J649" s="5" t="str">
        <f>IFERROR(__xludf.DUMMYFUNCTION("""COMPUTED_VALUE"""),"")</f>
        <v/>
      </c>
      <c r="K649" s="5" t="str">
        <f>IFERROR(__xludf.DUMMYFUNCTION("""COMPUTED_VALUE"""),"")</f>
        <v/>
      </c>
      <c r="L649" s="5" t="str">
        <f>IFERROR(__xludf.DUMMYFUNCTION("""COMPUTED_VALUE"""),"")</f>
        <v/>
      </c>
      <c r="M649" s="5" t="str">
        <f>IFERROR(__xludf.DUMMYFUNCTION("""COMPUTED_VALUE"""),"")</f>
        <v/>
      </c>
      <c r="N649" s="5" t="str">
        <f>IFERROR(__xludf.DUMMYFUNCTION("""COMPUTED_VALUE"""),"")</f>
        <v/>
      </c>
      <c r="O649" s="5" t="str">
        <f>IFERROR(__xludf.DUMMYFUNCTION("""COMPUTED_VALUE"""),"")</f>
        <v/>
      </c>
      <c r="P649" s="5" t="str">
        <f>IFERROR(__xludf.DUMMYFUNCTION("""COMPUTED_VALUE"""),"")</f>
        <v/>
      </c>
      <c r="Q649" s="5" t="str">
        <f>IFERROR(__xludf.DUMMYFUNCTION("""COMPUTED_VALUE"""),"")</f>
        <v/>
      </c>
      <c r="R649" s="5" t="str">
        <f>IFERROR(__xludf.DUMMYFUNCTION("""COMPUTED_VALUE"""),"")</f>
        <v/>
      </c>
      <c r="S649" s="5" t="str">
        <f>IFERROR(__xludf.DUMMYFUNCTION("""COMPUTED_VALUE"""),"")</f>
        <v/>
      </c>
      <c r="T649" s="5" t="str">
        <f>IFERROR(__xludf.DUMMYFUNCTION("""COMPUTED_VALUE"""),"")</f>
        <v/>
      </c>
      <c r="U649" s="5" t="str">
        <f>IFERROR(__xludf.DUMMYFUNCTION("""COMPUTED_VALUE"""),"")</f>
        <v/>
      </c>
      <c r="V649" s="5" t="str">
        <f>IFERROR(__xludf.DUMMYFUNCTION("""COMPUTED_VALUE"""),"")</f>
        <v/>
      </c>
      <c r="W649" s="5" t="str">
        <f>IFERROR(__xludf.DUMMYFUNCTION("""COMPUTED_VALUE"""),"")</f>
        <v/>
      </c>
      <c r="X649" s="5" t="str">
        <f>IFERROR(__xludf.DUMMYFUNCTION("""COMPUTED_VALUE"""),"")</f>
        <v/>
      </c>
      <c r="Y649" s="5"/>
      <c r="Z649" s="5"/>
    </row>
    <row r="650">
      <c r="A650" s="5" t="str">
        <f>IFERROR(__xludf.DUMMYFUNCTION("""COMPUTED_VALUE"""),"Golden Diamonds 5 Extreme")</f>
        <v>Golden Diamonds 5 Extreme</v>
      </c>
      <c r="B650" s="5" t="str">
        <f>IFERROR(__xludf.DUMMYFUNCTION("""COMPUTED_VALUE"""),"")</f>
        <v/>
      </c>
      <c r="C650" s="5" t="str">
        <f>IFERROR(__xludf.DUMMYFUNCTION("""COMPUTED_VALUE"""),"")</f>
        <v/>
      </c>
      <c r="D650" s="5" t="str">
        <f>IFERROR(__xludf.DUMMYFUNCTION("""COMPUTED_VALUE"""),"")</f>
        <v/>
      </c>
      <c r="E650" s="5" t="str">
        <f>IFERROR(__xludf.DUMMYFUNCTION("""COMPUTED_VALUE"""),"")</f>
        <v/>
      </c>
      <c r="F650" s="5" t="str">
        <f>IFERROR(__xludf.DUMMYFUNCTION("""COMPUTED_VALUE"""),"")</f>
        <v/>
      </c>
      <c r="G650" s="5" t="str">
        <f>IFERROR(__xludf.DUMMYFUNCTION("""COMPUTED_VALUE"""),"")</f>
        <v/>
      </c>
      <c r="H650" s="5" t="str">
        <f>IFERROR(__xludf.DUMMYFUNCTION("""COMPUTED_VALUE"""),"")</f>
        <v/>
      </c>
      <c r="I650" s="5" t="str">
        <f>IFERROR(__xludf.DUMMYFUNCTION("""COMPUTED_VALUE"""),"")</f>
        <v/>
      </c>
      <c r="J650" s="5" t="str">
        <f>IFERROR(__xludf.DUMMYFUNCTION("""COMPUTED_VALUE"""),"")</f>
        <v/>
      </c>
      <c r="K650" s="5" t="str">
        <f>IFERROR(__xludf.DUMMYFUNCTION("""COMPUTED_VALUE"""),"")</f>
        <v/>
      </c>
      <c r="L650" s="5" t="str">
        <f>IFERROR(__xludf.DUMMYFUNCTION("""COMPUTED_VALUE"""),"")</f>
        <v/>
      </c>
      <c r="M650" s="5" t="str">
        <f>IFERROR(__xludf.DUMMYFUNCTION("""COMPUTED_VALUE"""),"")</f>
        <v/>
      </c>
      <c r="N650" s="5" t="str">
        <f>IFERROR(__xludf.DUMMYFUNCTION("""COMPUTED_VALUE"""),"")</f>
        <v/>
      </c>
      <c r="O650" s="5" t="str">
        <f>IFERROR(__xludf.DUMMYFUNCTION("""COMPUTED_VALUE"""),"")</f>
        <v/>
      </c>
      <c r="P650" s="5" t="str">
        <f>IFERROR(__xludf.DUMMYFUNCTION("""COMPUTED_VALUE"""),"")</f>
        <v/>
      </c>
      <c r="Q650" s="5" t="str">
        <f>IFERROR(__xludf.DUMMYFUNCTION("""COMPUTED_VALUE"""),"")</f>
        <v/>
      </c>
      <c r="R650" s="5" t="str">
        <f>IFERROR(__xludf.DUMMYFUNCTION("""COMPUTED_VALUE"""),"")</f>
        <v/>
      </c>
      <c r="S650" s="5" t="str">
        <f>IFERROR(__xludf.DUMMYFUNCTION("""COMPUTED_VALUE"""),"")</f>
        <v/>
      </c>
      <c r="T650" s="5" t="str">
        <f>IFERROR(__xludf.DUMMYFUNCTION("""COMPUTED_VALUE"""),"")</f>
        <v/>
      </c>
      <c r="U650" s="5" t="str">
        <f>IFERROR(__xludf.DUMMYFUNCTION("""COMPUTED_VALUE"""),"")</f>
        <v/>
      </c>
      <c r="V650" s="5" t="str">
        <f>IFERROR(__xludf.DUMMYFUNCTION("""COMPUTED_VALUE"""),"")</f>
        <v/>
      </c>
      <c r="W650" s="5" t="str">
        <f>IFERROR(__xludf.DUMMYFUNCTION("""COMPUTED_VALUE"""),"")</f>
        <v/>
      </c>
      <c r="X650" s="5" t="str">
        <f>IFERROR(__xludf.DUMMYFUNCTION("""COMPUTED_VALUE"""),"")</f>
        <v/>
      </c>
      <c r="Y650" s="5"/>
      <c r="Z650" s="5"/>
    </row>
    <row r="651">
      <c r="A651" s="5" t="str">
        <f>IFERROR(__xludf.DUMMYFUNCTION("""COMPUTED_VALUE"""),"Golden Diamonds 10 Extreme")</f>
        <v>Golden Diamonds 10 Extreme</v>
      </c>
      <c r="B651" s="5" t="str">
        <f>IFERROR(__xludf.DUMMYFUNCTION("""COMPUTED_VALUE"""),"")</f>
        <v/>
      </c>
      <c r="C651" s="5" t="str">
        <f>IFERROR(__xludf.DUMMYFUNCTION("""COMPUTED_VALUE"""),"")</f>
        <v/>
      </c>
      <c r="D651" s="5" t="str">
        <f>IFERROR(__xludf.DUMMYFUNCTION("""COMPUTED_VALUE"""),"")</f>
        <v/>
      </c>
      <c r="E651" s="5" t="str">
        <f>IFERROR(__xludf.DUMMYFUNCTION("""COMPUTED_VALUE"""),"")</f>
        <v/>
      </c>
      <c r="F651" s="5" t="str">
        <f>IFERROR(__xludf.DUMMYFUNCTION("""COMPUTED_VALUE"""),"")</f>
        <v/>
      </c>
      <c r="G651" s="5" t="str">
        <f>IFERROR(__xludf.DUMMYFUNCTION("""COMPUTED_VALUE"""),"")</f>
        <v/>
      </c>
      <c r="H651" s="5" t="str">
        <f>IFERROR(__xludf.DUMMYFUNCTION("""COMPUTED_VALUE"""),"")</f>
        <v/>
      </c>
      <c r="I651" s="5" t="str">
        <f>IFERROR(__xludf.DUMMYFUNCTION("""COMPUTED_VALUE"""),"")</f>
        <v/>
      </c>
      <c r="J651" s="5" t="str">
        <f>IFERROR(__xludf.DUMMYFUNCTION("""COMPUTED_VALUE"""),"")</f>
        <v/>
      </c>
      <c r="K651" s="5" t="str">
        <f>IFERROR(__xludf.DUMMYFUNCTION("""COMPUTED_VALUE"""),"")</f>
        <v/>
      </c>
      <c r="L651" s="5" t="str">
        <f>IFERROR(__xludf.DUMMYFUNCTION("""COMPUTED_VALUE"""),"")</f>
        <v/>
      </c>
      <c r="M651" s="5" t="str">
        <f>IFERROR(__xludf.DUMMYFUNCTION("""COMPUTED_VALUE"""),"")</f>
        <v/>
      </c>
      <c r="N651" s="5" t="str">
        <f>IFERROR(__xludf.DUMMYFUNCTION("""COMPUTED_VALUE"""),"")</f>
        <v/>
      </c>
      <c r="O651" s="5" t="str">
        <f>IFERROR(__xludf.DUMMYFUNCTION("""COMPUTED_VALUE"""),"")</f>
        <v/>
      </c>
      <c r="P651" s="5" t="str">
        <f>IFERROR(__xludf.DUMMYFUNCTION("""COMPUTED_VALUE"""),"")</f>
        <v/>
      </c>
      <c r="Q651" s="5" t="str">
        <f>IFERROR(__xludf.DUMMYFUNCTION("""COMPUTED_VALUE"""),"")</f>
        <v/>
      </c>
      <c r="R651" s="5" t="str">
        <f>IFERROR(__xludf.DUMMYFUNCTION("""COMPUTED_VALUE"""),"")</f>
        <v/>
      </c>
      <c r="S651" s="5" t="str">
        <f>IFERROR(__xludf.DUMMYFUNCTION("""COMPUTED_VALUE"""),"")</f>
        <v/>
      </c>
      <c r="T651" s="5" t="str">
        <f>IFERROR(__xludf.DUMMYFUNCTION("""COMPUTED_VALUE"""),"")</f>
        <v/>
      </c>
      <c r="U651" s="5" t="str">
        <f>IFERROR(__xludf.DUMMYFUNCTION("""COMPUTED_VALUE"""),"")</f>
        <v/>
      </c>
      <c r="V651" s="5" t="str">
        <f>IFERROR(__xludf.DUMMYFUNCTION("""COMPUTED_VALUE"""),"")</f>
        <v/>
      </c>
      <c r="W651" s="5" t="str">
        <f>IFERROR(__xludf.DUMMYFUNCTION("""COMPUTED_VALUE"""),"")</f>
        <v/>
      </c>
      <c r="X651" s="5" t="str">
        <f>IFERROR(__xludf.DUMMYFUNCTION("""COMPUTED_VALUE"""),"")</f>
        <v/>
      </c>
      <c r="Y651" s="5"/>
      <c r="Z651" s="5"/>
    </row>
    <row r="652">
      <c r="A652" s="5" t="str">
        <f>IFERROR(__xludf.DUMMYFUNCTION("""COMPUTED_VALUE"""),"Golden Diamonds 20 Extreme")</f>
        <v>Golden Diamonds 20 Extreme</v>
      </c>
      <c r="B652" s="5" t="str">
        <f>IFERROR(__xludf.DUMMYFUNCTION("""COMPUTED_VALUE"""),"")</f>
        <v/>
      </c>
      <c r="C652" s="5" t="str">
        <f>IFERROR(__xludf.DUMMYFUNCTION("""COMPUTED_VALUE"""),"")</f>
        <v/>
      </c>
      <c r="D652" s="5" t="str">
        <f>IFERROR(__xludf.DUMMYFUNCTION("""COMPUTED_VALUE"""),"")</f>
        <v/>
      </c>
      <c r="E652" s="5" t="str">
        <f>IFERROR(__xludf.DUMMYFUNCTION("""COMPUTED_VALUE"""),"")</f>
        <v/>
      </c>
      <c r="F652" s="5" t="str">
        <f>IFERROR(__xludf.DUMMYFUNCTION("""COMPUTED_VALUE"""),"")</f>
        <v/>
      </c>
      <c r="G652" s="5" t="str">
        <f>IFERROR(__xludf.DUMMYFUNCTION("""COMPUTED_VALUE"""),"")</f>
        <v/>
      </c>
      <c r="H652" s="5" t="str">
        <f>IFERROR(__xludf.DUMMYFUNCTION("""COMPUTED_VALUE"""),"")</f>
        <v/>
      </c>
      <c r="I652" s="5" t="str">
        <f>IFERROR(__xludf.DUMMYFUNCTION("""COMPUTED_VALUE"""),"")</f>
        <v/>
      </c>
      <c r="J652" s="5" t="str">
        <f>IFERROR(__xludf.DUMMYFUNCTION("""COMPUTED_VALUE"""),"")</f>
        <v/>
      </c>
      <c r="K652" s="5" t="str">
        <f>IFERROR(__xludf.DUMMYFUNCTION("""COMPUTED_VALUE"""),"")</f>
        <v/>
      </c>
      <c r="L652" s="5" t="str">
        <f>IFERROR(__xludf.DUMMYFUNCTION("""COMPUTED_VALUE"""),"")</f>
        <v/>
      </c>
      <c r="M652" s="5" t="str">
        <f>IFERROR(__xludf.DUMMYFUNCTION("""COMPUTED_VALUE"""),"")</f>
        <v/>
      </c>
      <c r="N652" s="5" t="str">
        <f>IFERROR(__xludf.DUMMYFUNCTION("""COMPUTED_VALUE"""),"")</f>
        <v/>
      </c>
      <c r="O652" s="5" t="str">
        <f>IFERROR(__xludf.DUMMYFUNCTION("""COMPUTED_VALUE"""),"")</f>
        <v/>
      </c>
      <c r="P652" s="5" t="str">
        <f>IFERROR(__xludf.DUMMYFUNCTION("""COMPUTED_VALUE"""),"")</f>
        <v/>
      </c>
      <c r="Q652" s="5" t="str">
        <f>IFERROR(__xludf.DUMMYFUNCTION("""COMPUTED_VALUE"""),"")</f>
        <v/>
      </c>
      <c r="R652" s="5" t="str">
        <f>IFERROR(__xludf.DUMMYFUNCTION("""COMPUTED_VALUE"""),"")</f>
        <v/>
      </c>
      <c r="S652" s="5" t="str">
        <f>IFERROR(__xludf.DUMMYFUNCTION("""COMPUTED_VALUE"""),"")</f>
        <v/>
      </c>
      <c r="T652" s="5" t="str">
        <f>IFERROR(__xludf.DUMMYFUNCTION("""COMPUTED_VALUE"""),"")</f>
        <v/>
      </c>
      <c r="U652" s="5" t="str">
        <f>IFERROR(__xludf.DUMMYFUNCTION("""COMPUTED_VALUE"""),"")</f>
        <v/>
      </c>
      <c r="V652" s="5" t="str">
        <f>IFERROR(__xludf.DUMMYFUNCTION("""COMPUTED_VALUE"""),"")</f>
        <v/>
      </c>
      <c r="W652" s="5" t="str">
        <f>IFERROR(__xludf.DUMMYFUNCTION("""COMPUTED_VALUE"""),"")</f>
        <v/>
      </c>
      <c r="X652" s="5" t="str">
        <f>IFERROR(__xludf.DUMMYFUNCTION("""COMPUTED_VALUE"""),"")</f>
        <v/>
      </c>
      <c r="Y652" s="5"/>
      <c r="Z652" s="5"/>
    </row>
    <row r="653">
      <c r="A653" s="5" t="str">
        <f>IFERROR(__xludf.DUMMYFUNCTION("""COMPUTED_VALUE"""),"Golden Diamonds 40 Extreme")</f>
        <v>Golden Diamonds 40 Extreme</v>
      </c>
      <c r="B653" s="5" t="str">
        <f>IFERROR(__xludf.DUMMYFUNCTION("""COMPUTED_VALUE"""),"")</f>
        <v/>
      </c>
      <c r="C653" s="5" t="str">
        <f>IFERROR(__xludf.DUMMYFUNCTION("""COMPUTED_VALUE"""),"")</f>
        <v/>
      </c>
      <c r="D653" s="5" t="str">
        <f>IFERROR(__xludf.DUMMYFUNCTION("""COMPUTED_VALUE"""),"")</f>
        <v/>
      </c>
      <c r="E653" s="5" t="str">
        <f>IFERROR(__xludf.DUMMYFUNCTION("""COMPUTED_VALUE"""),"")</f>
        <v/>
      </c>
      <c r="F653" s="5" t="str">
        <f>IFERROR(__xludf.DUMMYFUNCTION("""COMPUTED_VALUE"""),"")</f>
        <v/>
      </c>
      <c r="G653" s="5" t="str">
        <f>IFERROR(__xludf.DUMMYFUNCTION("""COMPUTED_VALUE"""),"")</f>
        <v/>
      </c>
      <c r="H653" s="5" t="str">
        <f>IFERROR(__xludf.DUMMYFUNCTION("""COMPUTED_VALUE"""),"")</f>
        <v/>
      </c>
      <c r="I653" s="5" t="str">
        <f>IFERROR(__xludf.DUMMYFUNCTION("""COMPUTED_VALUE"""),"")</f>
        <v/>
      </c>
      <c r="J653" s="5" t="str">
        <f>IFERROR(__xludf.DUMMYFUNCTION("""COMPUTED_VALUE"""),"")</f>
        <v/>
      </c>
      <c r="K653" s="5" t="str">
        <f>IFERROR(__xludf.DUMMYFUNCTION("""COMPUTED_VALUE"""),"")</f>
        <v/>
      </c>
      <c r="L653" s="5" t="str">
        <f>IFERROR(__xludf.DUMMYFUNCTION("""COMPUTED_VALUE"""),"")</f>
        <v/>
      </c>
      <c r="M653" s="5" t="str">
        <f>IFERROR(__xludf.DUMMYFUNCTION("""COMPUTED_VALUE"""),"")</f>
        <v/>
      </c>
      <c r="N653" s="5" t="str">
        <f>IFERROR(__xludf.DUMMYFUNCTION("""COMPUTED_VALUE"""),"")</f>
        <v/>
      </c>
      <c r="O653" s="5" t="str">
        <f>IFERROR(__xludf.DUMMYFUNCTION("""COMPUTED_VALUE"""),"")</f>
        <v/>
      </c>
      <c r="P653" s="5" t="str">
        <f>IFERROR(__xludf.DUMMYFUNCTION("""COMPUTED_VALUE"""),"")</f>
        <v/>
      </c>
      <c r="Q653" s="5" t="str">
        <f>IFERROR(__xludf.DUMMYFUNCTION("""COMPUTED_VALUE"""),"")</f>
        <v/>
      </c>
      <c r="R653" s="5" t="str">
        <f>IFERROR(__xludf.DUMMYFUNCTION("""COMPUTED_VALUE"""),"")</f>
        <v/>
      </c>
      <c r="S653" s="5" t="str">
        <f>IFERROR(__xludf.DUMMYFUNCTION("""COMPUTED_VALUE"""),"")</f>
        <v/>
      </c>
      <c r="T653" s="5" t="str">
        <f>IFERROR(__xludf.DUMMYFUNCTION("""COMPUTED_VALUE"""),"")</f>
        <v/>
      </c>
      <c r="U653" s="5" t="str">
        <f>IFERROR(__xludf.DUMMYFUNCTION("""COMPUTED_VALUE"""),"")</f>
        <v/>
      </c>
      <c r="V653" s="5" t="str">
        <f>IFERROR(__xludf.DUMMYFUNCTION("""COMPUTED_VALUE"""),"")</f>
        <v/>
      </c>
      <c r="W653" s="5" t="str">
        <f>IFERROR(__xludf.DUMMYFUNCTION("""COMPUTED_VALUE"""),"")</f>
        <v/>
      </c>
      <c r="X653" s="5" t="str">
        <f>IFERROR(__xludf.DUMMYFUNCTION("""COMPUTED_VALUE"""),"")</f>
        <v/>
      </c>
      <c r="Y653" s="5"/>
      <c r="Z653" s="5"/>
    </row>
    <row r="654">
      <c r="A654" s="5" t="str">
        <f>IFERROR(__xludf.DUMMYFUNCTION("""COMPUTED_VALUE"""),"Very Hot 5 Extreme Booster")</f>
        <v>Very Hot 5 Extreme Booster</v>
      </c>
      <c r="B654" s="5" t="str">
        <f>IFERROR(__xludf.DUMMYFUNCTION("""COMPUTED_VALUE"""),"")</f>
        <v/>
      </c>
      <c r="C654" s="5" t="str">
        <f>IFERROR(__xludf.DUMMYFUNCTION("""COMPUTED_VALUE"""),"")</f>
        <v/>
      </c>
      <c r="D654" s="5" t="str">
        <f>IFERROR(__xludf.DUMMYFUNCTION("""COMPUTED_VALUE"""),"")</f>
        <v/>
      </c>
      <c r="E654" s="5" t="str">
        <f>IFERROR(__xludf.DUMMYFUNCTION("""COMPUTED_VALUE"""),"")</f>
        <v/>
      </c>
      <c r="F654" s="5" t="str">
        <f>IFERROR(__xludf.DUMMYFUNCTION("""COMPUTED_VALUE"""),"")</f>
        <v/>
      </c>
      <c r="G654" s="5" t="str">
        <f>IFERROR(__xludf.DUMMYFUNCTION("""COMPUTED_VALUE"""),"")</f>
        <v/>
      </c>
      <c r="H654" s="5" t="str">
        <f>IFERROR(__xludf.DUMMYFUNCTION("""COMPUTED_VALUE"""),"")</f>
        <v/>
      </c>
      <c r="I654" s="5" t="str">
        <f>IFERROR(__xludf.DUMMYFUNCTION("""COMPUTED_VALUE"""),"")</f>
        <v/>
      </c>
      <c r="J654" s="5" t="str">
        <f>IFERROR(__xludf.DUMMYFUNCTION("""COMPUTED_VALUE"""),"")</f>
        <v/>
      </c>
      <c r="K654" s="5" t="str">
        <f>IFERROR(__xludf.DUMMYFUNCTION("""COMPUTED_VALUE"""),"")</f>
        <v/>
      </c>
      <c r="L654" s="5" t="str">
        <f>IFERROR(__xludf.DUMMYFUNCTION("""COMPUTED_VALUE"""),"")</f>
        <v/>
      </c>
      <c r="M654" s="5" t="str">
        <f>IFERROR(__xludf.DUMMYFUNCTION("""COMPUTED_VALUE"""),"")</f>
        <v/>
      </c>
      <c r="N654" s="5" t="str">
        <f>IFERROR(__xludf.DUMMYFUNCTION("""COMPUTED_VALUE"""),"")</f>
        <v/>
      </c>
      <c r="O654" s="5" t="str">
        <f>IFERROR(__xludf.DUMMYFUNCTION("""COMPUTED_VALUE"""),"")</f>
        <v/>
      </c>
      <c r="P654" s="5" t="str">
        <f>IFERROR(__xludf.DUMMYFUNCTION("""COMPUTED_VALUE"""),"")</f>
        <v/>
      </c>
      <c r="Q654" s="5" t="str">
        <f>IFERROR(__xludf.DUMMYFUNCTION("""COMPUTED_VALUE"""),"")</f>
        <v/>
      </c>
      <c r="R654" s="5" t="str">
        <f>IFERROR(__xludf.DUMMYFUNCTION("""COMPUTED_VALUE"""),"")</f>
        <v/>
      </c>
      <c r="S654" s="5" t="str">
        <f>IFERROR(__xludf.DUMMYFUNCTION("""COMPUTED_VALUE"""),"")</f>
        <v/>
      </c>
      <c r="T654" s="5" t="str">
        <f>IFERROR(__xludf.DUMMYFUNCTION("""COMPUTED_VALUE"""),"")</f>
        <v/>
      </c>
      <c r="U654" s="5" t="str">
        <f>IFERROR(__xludf.DUMMYFUNCTION("""COMPUTED_VALUE"""),"")</f>
        <v/>
      </c>
      <c r="V654" s="5" t="str">
        <f>IFERROR(__xludf.DUMMYFUNCTION("""COMPUTED_VALUE"""),"")</f>
        <v/>
      </c>
      <c r="W654" s="5" t="str">
        <f>IFERROR(__xludf.DUMMYFUNCTION("""COMPUTED_VALUE"""),"")</f>
        <v/>
      </c>
      <c r="X654" s="5" t="str">
        <f>IFERROR(__xludf.DUMMYFUNCTION("""COMPUTED_VALUE"""),"")</f>
        <v/>
      </c>
      <c r="Y654" s="5"/>
      <c r="Z654" s="5"/>
    </row>
    <row r="655">
      <c r="A655" s="5" t="str">
        <f>IFERROR(__xludf.DUMMYFUNCTION("""COMPUTED_VALUE"""),"Locked Hearts 10")</f>
        <v>Locked Hearts 10</v>
      </c>
      <c r="B655" s="5" t="str">
        <f>IFERROR(__xludf.DUMMYFUNCTION("""COMPUTED_VALUE"""),"")</f>
        <v/>
      </c>
      <c r="C655" s="5" t="str">
        <f>IFERROR(__xludf.DUMMYFUNCTION("""COMPUTED_VALUE"""),"")</f>
        <v/>
      </c>
      <c r="D655" s="5" t="str">
        <f>IFERROR(__xludf.DUMMYFUNCTION("""COMPUTED_VALUE"""),"")</f>
        <v/>
      </c>
      <c r="E655" s="5" t="str">
        <f>IFERROR(__xludf.DUMMYFUNCTION("""COMPUTED_VALUE"""),"")</f>
        <v/>
      </c>
      <c r="F655" s="5" t="str">
        <f>IFERROR(__xludf.DUMMYFUNCTION("""COMPUTED_VALUE"""),"Development")</f>
        <v>Development</v>
      </c>
      <c r="G655" s="5" t="str">
        <f>IFERROR(__xludf.DUMMYFUNCTION("""COMPUTED_VALUE"""),"")</f>
        <v/>
      </c>
      <c r="H655" s="5" t="str">
        <f>IFERROR(__xludf.DUMMYFUNCTION("""COMPUTED_VALUE"""),"")</f>
        <v/>
      </c>
      <c r="I655" s="5" t="str">
        <f>IFERROR(__xludf.DUMMYFUNCTION("""COMPUTED_VALUE"""),"")</f>
        <v/>
      </c>
      <c r="J655" s="5" t="str">
        <f>IFERROR(__xludf.DUMMYFUNCTION("""COMPUTED_VALUE"""),"")</f>
        <v/>
      </c>
      <c r="K655" s="5" t="str">
        <f>IFERROR(__xludf.DUMMYFUNCTION("""COMPUTED_VALUE"""),"Development")</f>
        <v>Development</v>
      </c>
      <c r="L655" s="5" t="str">
        <f>IFERROR(__xludf.DUMMYFUNCTION("""COMPUTED_VALUE"""),"")</f>
        <v/>
      </c>
      <c r="M655" s="5" t="str">
        <f>IFERROR(__xludf.DUMMYFUNCTION("""COMPUTED_VALUE"""),"")</f>
        <v/>
      </c>
      <c r="N655" s="5" t="str">
        <f>IFERROR(__xludf.DUMMYFUNCTION("""COMPUTED_VALUE"""),"")</f>
        <v/>
      </c>
      <c r="O655" s="5" t="str">
        <f>IFERROR(__xludf.DUMMYFUNCTION("""COMPUTED_VALUE"""),"")</f>
        <v/>
      </c>
      <c r="P655" s="5" t="str">
        <f>IFERROR(__xludf.DUMMYFUNCTION("""COMPUTED_VALUE"""),"")</f>
        <v/>
      </c>
      <c r="Q655" s="5" t="str">
        <f>IFERROR(__xludf.DUMMYFUNCTION("""COMPUTED_VALUE"""),"")</f>
        <v/>
      </c>
      <c r="R655" s="5" t="str">
        <f>IFERROR(__xludf.DUMMYFUNCTION("""COMPUTED_VALUE"""),"")</f>
        <v/>
      </c>
      <c r="S655" s="5" t="str">
        <f>IFERROR(__xludf.DUMMYFUNCTION("""COMPUTED_VALUE"""),"")</f>
        <v/>
      </c>
      <c r="T655" s="5" t="str">
        <f>IFERROR(__xludf.DUMMYFUNCTION("""COMPUTED_VALUE"""),"")</f>
        <v/>
      </c>
      <c r="U655" s="5" t="str">
        <f>IFERROR(__xludf.DUMMYFUNCTION("""COMPUTED_VALUE"""),"")</f>
        <v/>
      </c>
      <c r="V655" s="5" t="str">
        <f>IFERROR(__xludf.DUMMYFUNCTION("""COMPUTED_VALUE"""),"")</f>
        <v/>
      </c>
      <c r="W655" s="5" t="str">
        <f>IFERROR(__xludf.DUMMYFUNCTION("""COMPUTED_VALUE"""),"")</f>
        <v/>
      </c>
      <c r="X655" s="5" t="str">
        <f>IFERROR(__xludf.DUMMYFUNCTION("""COMPUTED_VALUE"""),"")</f>
        <v/>
      </c>
      <c r="Y655" s="5"/>
      <c r="Z655" s="5"/>
    </row>
    <row r="656">
      <c r="A656" s="5" t="str">
        <f>IFERROR(__xludf.DUMMYFUNCTION("""COMPUTED_VALUE"""),"Locked Hearts 5")</f>
        <v>Locked Hearts 5</v>
      </c>
      <c r="B656" s="5" t="str">
        <f>IFERROR(__xludf.DUMMYFUNCTION("""COMPUTED_VALUE"""),"")</f>
        <v/>
      </c>
      <c r="C656" s="5" t="str">
        <f>IFERROR(__xludf.DUMMYFUNCTION("""COMPUTED_VALUE"""),"")</f>
        <v/>
      </c>
      <c r="D656" s="5" t="str">
        <f>IFERROR(__xludf.DUMMYFUNCTION("""COMPUTED_VALUE"""),"")</f>
        <v/>
      </c>
      <c r="E656" s="5" t="str">
        <f>IFERROR(__xludf.DUMMYFUNCTION("""COMPUTED_VALUE"""),"")</f>
        <v/>
      </c>
      <c r="F656" s="5" t="str">
        <f>IFERROR(__xludf.DUMMYFUNCTION("""COMPUTED_VALUE"""),"")</f>
        <v/>
      </c>
      <c r="G656" s="5" t="str">
        <f>IFERROR(__xludf.DUMMYFUNCTION("""COMPUTED_VALUE"""),"")</f>
        <v/>
      </c>
      <c r="H656" s="5" t="str">
        <f>IFERROR(__xludf.DUMMYFUNCTION("""COMPUTED_VALUE"""),"")</f>
        <v/>
      </c>
      <c r="I656" s="5" t="str">
        <f>IFERROR(__xludf.DUMMYFUNCTION("""COMPUTED_VALUE"""),"")</f>
        <v/>
      </c>
      <c r="J656" s="5" t="str">
        <f>IFERROR(__xludf.DUMMYFUNCTION("""COMPUTED_VALUE"""),"")</f>
        <v/>
      </c>
      <c r="K656" s="5" t="str">
        <f>IFERROR(__xludf.DUMMYFUNCTION("""COMPUTED_VALUE"""),"")</f>
        <v/>
      </c>
      <c r="L656" s="5" t="str">
        <f>IFERROR(__xludf.DUMMYFUNCTION("""COMPUTED_VALUE"""),"")</f>
        <v/>
      </c>
      <c r="M656" s="5" t="str">
        <f>IFERROR(__xludf.DUMMYFUNCTION("""COMPUTED_VALUE"""),"")</f>
        <v/>
      </c>
      <c r="N656" s="5" t="str">
        <f>IFERROR(__xludf.DUMMYFUNCTION("""COMPUTED_VALUE"""),"")</f>
        <v/>
      </c>
      <c r="O656" s="5" t="str">
        <f>IFERROR(__xludf.DUMMYFUNCTION("""COMPUTED_VALUE"""),"")</f>
        <v/>
      </c>
      <c r="P656" s="5" t="str">
        <f>IFERROR(__xludf.DUMMYFUNCTION("""COMPUTED_VALUE"""),"")</f>
        <v/>
      </c>
      <c r="Q656" s="5" t="str">
        <f>IFERROR(__xludf.DUMMYFUNCTION("""COMPUTED_VALUE"""),"")</f>
        <v/>
      </c>
      <c r="R656" s="5" t="str">
        <f>IFERROR(__xludf.DUMMYFUNCTION("""COMPUTED_VALUE"""),"")</f>
        <v/>
      </c>
      <c r="S656" s="5" t="str">
        <f>IFERROR(__xludf.DUMMYFUNCTION("""COMPUTED_VALUE"""),"")</f>
        <v/>
      </c>
      <c r="T656" s="5" t="str">
        <f>IFERROR(__xludf.DUMMYFUNCTION("""COMPUTED_VALUE"""),"")</f>
        <v/>
      </c>
      <c r="U656" s="5" t="str">
        <f>IFERROR(__xludf.DUMMYFUNCTION("""COMPUTED_VALUE"""),"")</f>
        <v/>
      </c>
      <c r="V656" s="5" t="str">
        <f>IFERROR(__xludf.DUMMYFUNCTION("""COMPUTED_VALUE"""),"")</f>
        <v/>
      </c>
      <c r="W656" s="5" t="str">
        <f>IFERROR(__xludf.DUMMYFUNCTION("""COMPUTED_VALUE"""),"")</f>
        <v/>
      </c>
      <c r="X656" s="5" t="str">
        <f>IFERROR(__xludf.DUMMYFUNCTION("""COMPUTED_VALUE"""),"")</f>
        <v/>
      </c>
      <c r="Y656" s="5"/>
      <c r="Z656" s="5"/>
    </row>
    <row r="657">
      <c r="A657" s="5" t="str">
        <f>IFERROR(__xludf.DUMMYFUNCTION("""COMPUTED_VALUE"""),"Locked Hearts 20")</f>
        <v>Locked Hearts 20</v>
      </c>
      <c r="B657" s="5" t="str">
        <f>IFERROR(__xludf.DUMMYFUNCTION("""COMPUTED_VALUE"""),"")</f>
        <v/>
      </c>
      <c r="C657" s="5" t="str">
        <f>IFERROR(__xludf.DUMMYFUNCTION("""COMPUTED_VALUE"""),"")</f>
        <v/>
      </c>
      <c r="D657" s="5" t="str">
        <f>IFERROR(__xludf.DUMMYFUNCTION("""COMPUTED_VALUE"""),"")</f>
        <v/>
      </c>
      <c r="E657" s="5" t="str">
        <f>IFERROR(__xludf.DUMMYFUNCTION("""COMPUTED_VALUE"""),"")</f>
        <v/>
      </c>
      <c r="F657" s="5" t="str">
        <f>IFERROR(__xludf.DUMMYFUNCTION("""COMPUTED_VALUE"""),"")</f>
        <v/>
      </c>
      <c r="G657" s="5" t="str">
        <f>IFERROR(__xludf.DUMMYFUNCTION("""COMPUTED_VALUE"""),"")</f>
        <v/>
      </c>
      <c r="H657" s="5" t="str">
        <f>IFERROR(__xludf.DUMMYFUNCTION("""COMPUTED_VALUE"""),"")</f>
        <v/>
      </c>
      <c r="I657" s="5" t="str">
        <f>IFERROR(__xludf.DUMMYFUNCTION("""COMPUTED_VALUE"""),"")</f>
        <v/>
      </c>
      <c r="J657" s="5" t="str">
        <f>IFERROR(__xludf.DUMMYFUNCTION("""COMPUTED_VALUE"""),"")</f>
        <v/>
      </c>
      <c r="K657" s="5" t="str">
        <f>IFERROR(__xludf.DUMMYFUNCTION("""COMPUTED_VALUE"""),"Development")</f>
        <v>Development</v>
      </c>
      <c r="L657" s="5" t="str">
        <f>IFERROR(__xludf.DUMMYFUNCTION("""COMPUTED_VALUE"""),"")</f>
        <v/>
      </c>
      <c r="M657" s="5" t="str">
        <f>IFERROR(__xludf.DUMMYFUNCTION("""COMPUTED_VALUE"""),"")</f>
        <v/>
      </c>
      <c r="N657" s="5" t="str">
        <f>IFERROR(__xludf.DUMMYFUNCTION("""COMPUTED_VALUE"""),"")</f>
        <v/>
      </c>
      <c r="O657" s="5" t="str">
        <f>IFERROR(__xludf.DUMMYFUNCTION("""COMPUTED_VALUE"""),"")</f>
        <v/>
      </c>
      <c r="P657" s="5" t="str">
        <f>IFERROR(__xludf.DUMMYFUNCTION("""COMPUTED_VALUE"""),"")</f>
        <v/>
      </c>
      <c r="Q657" s="5" t="str">
        <f>IFERROR(__xludf.DUMMYFUNCTION("""COMPUTED_VALUE"""),"")</f>
        <v/>
      </c>
      <c r="R657" s="5" t="str">
        <f>IFERROR(__xludf.DUMMYFUNCTION("""COMPUTED_VALUE"""),"")</f>
        <v/>
      </c>
      <c r="S657" s="5" t="str">
        <f>IFERROR(__xludf.DUMMYFUNCTION("""COMPUTED_VALUE"""),"")</f>
        <v/>
      </c>
      <c r="T657" s="5" t="str">
        <f>IFERROR(__xludf.DUMMYFUNCTION("""COMPUTED_VALUE"""),"")</f>
        <v/>
      </c>
      <c r="U657" s="5" t="str">
        <f>IFERROR(__xludf.DUMMYFUNCTION("""COMPUTED_VALUE"""),"")</f>
        <v/>
      </c>
      <c r="V657" s="5" t="str">
        <f>IFERROR(__xludf.DUMMYFUNCTION("""COMPUTED_VALUE"""),"")</f>
        <v/>
      </c>
      <c r="W657" s="5" t="str">
        <f>IFERROR(__xludf.DUMMYFUNCTION("""COMPUTED_VALUE"""),"")</f>
        <v/>
      </c>
      <c r="X657" s="5" t="str">
        <f>IFERROR(__xludf.DUMMYFUNCTION("""COMPUTED_VALUE"""),"")</f>
        <v/>
      </c>
      <c r="Y657" s="5"/>
      <c r="Z657" s="5"/>
    </row>
    <row r="658">
      <c r="A658" s="5" t="str">
        <f>IFERROR(__xludf.DUMMYFUNCTION("""COMPUTED_VALUE"""),"Locked Hearts 40")</f>
        <v>Locked Hearts 40</v>
      </c>
      <c r="B658" s="5" t="str">
        <f>IFERROR(__xludf.DUMMYFUNCTION("""COMPUTED_VALUE"""),"")</f>
        <v/>
      </c>
      <c r="C658" s="5" t="str">
        <f>IFERROR(__xludf.DUMMYFUNCTION("""COMPUTED_VALUE"""),"")</f>
        <v/>
      </c>
      <c r="D658" s="5" t="str">
        <f>IFERROR(__xludf.DUMMYFUNCTION("""COMPUTED_VALUE"""),"")</f>
        <v/>
      </c>
      <c r="E658" s="5" t="str">
        <f>IFERROR(__xludf.DUMMYFUNCTION("""COMPUTED_VALUE"""),"")</f>
        <v/>
      </c>
      <c r="F658" s="5" t="str">
        <f>IFERROR(__xludf.DUMMYFUNCTION("""COMPUTED_VALUE"""),"")</f>
        <v/>
      </c>
      <c r="G658" s="5" t="str">
        <f>IFERROR(__xludf.DUMMYFUNCTION("""COMPUTED_VALUE"""),"")</f>
        <v/>
      </c>
      <c r="H658" s="5" t="str">
        <f>IFERROR(__xludf.DUMMYFUNCTION("""COMPUTED_VALUE"""),"Development")</f>
        <v>Development</v>
      </c>
      <c r="I658" s="5" t="str">
        <f>IFERROR(__xludf.DUMMYFUNCTION("""COMPUTED_VALUE"""),"")</f>
        <v/>
      </c>
      <c r="J658" s="5" t="str">
        <f>IFERROR(__xludf.DUMMYFUNCTION("""COMPUTED_VALUE"""),"")</f>
        <v/>
      </c>
      <c r="K658" s="5" t="str">
        <f>IFERROR(__xludf.DUMMYFUNCTION("""COMPUTED_VALUE"""),"Development")</f>
        <v>Development</v>
      </c>
      <c r="L658" s="5" t="str">
        <f>IFERROR(__xludf.DUMMYFUNCTION("""COMPUTED_VALUE"""),"")</f>
        <v/>
      </c>
      <c r="M658" s="5" t="str">
        <f>IFERROR(__xludf.DUMMYFUNCTION("""COMPUTED_VALUE"""),"")</f>
        <v/>
      </c>
      <c r="N658" s="5" t="str">
        <f>IFERROR(__xludf.DUMMYFUNCTION("""COMPUTED_VALUE"""),"")</f>
        <v/>
      </c>
      <c r="O658" s="5" t="str">
        <f>IFERROR(__xludf.DUMMYFUNCTION("""COMPUTED_VALUE"""),"")</f>
        <v/>
      </c>
      <c r="P658" s="5" t="str">
        <f>IFERROR(__xludf.DUMMYFUNCTION("""COMPUTED_VALUE"""),"")</f>
        <v/>
      </c>
      <c r="Q658" s="5" t="str">
        <f>IFERROR(__xludf.DUMMYFUNCTION("""COMPUTED_VALUE"""),"")</f>
        <v/>
      </c>
      <c r="R658" s="5" t="str">
        <f>IFERROR(__xludf.DUMMYFUNCTION("""COMPUTED_VALUE"""),"")</f>
        <v/>
      </c>
      <c r="S658" s="5" t="str">
        <f>IFERROR(__xludf.DUMMYFUNCTION("""COMPUTED_VALUE"""),"")</f>
        <v/>
      </c>
      <c r="T658" s="5" t="str">
        <f>IFERROR(__xludf.DUMMYFUNCTION("""COMPUTED_VALUE"""),"")</f>
        <v/>
      </c>
      <c r="U658" s="5" t="str">
        <f>IFERROR(__xludf.DUMMYFUNCTION("""COMPUTED_VALUE"""),"")</f>
        <v/>
      </c>
      <c r="V658" s="5" t="str">
        <f>IFERROR(__xludf.DUMMYFUNCTION("""COMPUTED_VALUE"""),"")</f>
        <v/>
      </c>
      <c r="W658" s="5" t="str">
        <f>IFERROR(__xludf.DUMMYFUNCTION("""COMPUTED_VALUE"""),"")</f>
        <v/>
      </c>
      <c r="X658" s="5" t="str">
        <f>IFERROR(__xludf.DUMMYFUNCTION("""COMPUTED_VALUE"""),"")</f>
        <v/>
      </c>
      <c r="Y658" s="5"/>
      <c r="Z658" s="5"/>
    </row>
    <row r="659">
      <c r="A659" s="5" t="str">
        <f>IFERROR(__xludf.DUMMYFUNCTION("""COMPUTED_VALUE"""),"Winning Clover 5 Hold and Win")</f>
        <v>Winning Clover 5 Hold and Win</v>
      </c>
      <c r="B659" s="5" t="str">
        <f>IFERROR(__xludf.DUMMYFUNCTION("""COMPUTED_VALUE"""),"")</f>
        <v/>
      </c>
      <c r="C659" s="5" t="str">
        <f>IFERROR(__xludf.DUMMYFUNCTION("""COMPUTED_VALUE"""),"")</f>
        <v/>
      </c>
      <c r="D659" s="5" t="str">
        <f>IFERROR(__xludf.DUMMYFUNCTION("""COMPUTED_VALUE"""),"")</f>
        <v/>
      </c>
      <c r="E659" s="5" t="str">
        <f>IFERROR(__xludf.DUMMYFUNCTION("""COMPUTED_VALUE"""),"")</f>
        <v/>
      </c>
      <c r="F659" s="5" t="str">
        <f>IFERROR(__xludf.DUMMYFUNCTION("""COMPUTED_VALUE"""),"Development")</f>
        <v>Development</v>
      </c>
      <c r="G659" s="5" t="str">
        <f>IFERROR(__xludf.DUMMYFUNCTION("""COMPUTED_VALUE"""),"")</f>
        <v/>
      </c>
      <c r="H659" s="5" t="str">
        <f>IFERROR(__xludf.DUMMYFUNCTION("""COMPUTED_VALUE"""),"")</f>
        <v/>
      </c>
      <c r="I659" s="5" t="str">
        <f>IFERROR(__xludf.DUMMYFUNCTION("""COMPUTED_VALUE"""),"")</f>
        <v/>
      </c>
      <c r="J659" s="5" t="str">
        <f>IFERROR(__xludf.DUMMYFUNCTION("""COMPUTED_VALUE"""),"")</f>
        <v/>
      </c>
      <c r="K659" s="5" t="str">
        <f>IFERROR(__xludf.DUMMYFUNCTION("""COMPUTED_VALUE"""),"")</f>
        <v/>
      </c>
      <c r="L659" s="5" t="str">
        <f>IFERROR(__xludf.DUMMYFUNCTION("""COMPUTED_VALUE"""),"")</f>
        <v/>
      </c>
      <c r="M659" s="5" t="str">
        <f>IFERROR(__xludf.DUMMYFUNCTION("""COMPUTED_VALUE"""),"")</f>
        <v/>
      </c>
      <c r="N659" s="5" t="str">
        <f>IFERROR(__xludf.DUMMYFUNCTION("""COMPUTED_VALUE"""),"")</f>
        <v/>
      </c>
      <c r="O659" s="5" t="str">
        <f>IFERROR(__xludf.DUMMYFUNCTION("""COMPUTED_VALUE"""),"")</f>
        <v/>
      </c>
      <c r="P659" s="5" t="str">
        <f>IFERROR(__xludf.DUMMYFUNCTION("""COMPUTED_VALUE"""),"")</f>
        <v/>
      </c>
      <c r="Q659" s="5" t="str">
        <f>IFERROR(__xludf.DUMMYFUNCTION("""COMPUTED_VALUE"""),"")</f>
        <v/>
      </c>
      <c r="R659" s="5" t="str">
        <f>IFERROR(__xludf.DUMMYFUNCTION("""COMPUTED_VALUE"""),"")</f>
        <v/>
      </c>
      <c r="S659" s="5" t="str">
        <f>IFERROR(__xludf.DUMMYFUNCTION("""COMPUTED_VALUE"""),"")</f>
        <v/>
      </c>
      <c r="T659" s="5" t="str">
        <f>IFERROR(__xludf.DUMMYFUNCTION("""COMPUTED_VALUE"""),"")</f>
        <v/>
      </c>
      <c r="U659" s="5" t="str">
        <f>IFERROR(__xludf.DUMMYFUNCTION("""COMPUTED_VALUE"""),"")</f>
        <v/>
      </c>
      <c r="V659" s="5" t="str">
        <f>IFERROR(__xludf.DUMMYFUNCTION("""COMPUTED_VALUE"""),"")</f>
        <v/>
      </c>
      <c r="W659" s="5" t="str">
        <f>IFERROR(__xludf.DUMMYFUNCTION("""COMPUTED_VALUE"""),"")</f>
        <v/>
      </c>
      <c r="X659" s="5" t="str">
        <f>IFERROR(__xludf.DUMMYFUNCTION("""COMPUTED_VALUE"""),"")</f>
        <v/>
      </c>
      <c r="Y659" s="5"/>
      <c r="Z659" s="5"/>
    </row>
    <row r="660">
      <c r="A660" s="5" t="str">
        <f>IFERROR(__xludf.DUMMYFUNCTION("""COMPUTED_VALUE"""),"Royal Jewels Fortune")</f>
        <v>Royal Jewels Fortune</v>
      </c>
      <c r="B660" s="5" t="str">
        <f>IFERROR(__xludf.DUMMYFUNCTION("""COMPUTED_VALUE"""),"")</f>
        <v/>
      </c>
      <c r="C660" s="5" t="str">
        <f>IFERROR(__xludf.DUMMYFUNCTION("""COMPUTED_VALUE"""),"")</f>
        <v/>
      </c>
      <c r="D660" s="5" t="str">
        <f>IFERROR(__xludf.DUMMYFUNCTION("""COMPUTED_VALUE"""),"")</f>
        <v/>
      </c>
      <c r="E660" s="5" t="str">
        <f>IFERROR(__xludf.DUMMYFUNCTION("""COMPUTED_VALUE"""),"")</f>
        <v/>
      </c>
      <c r="F660" s="5" t="str">
        <f>IFERROR(__xludf.DUMMYFUNCTION("""COMPUTED_VALUE"""),"")</f>
        <v/>
      </c>
      <c r="G660" s="5" t="str">
        <f>IFERROR(__xludf.DUMMYFUNCTION("""COMPUTED_VALUE"""),"")</f>
        <v/>
      </c>
      <c r="H660" s="5" t="str">
        <f>IFERROR(__xludf.DUMMYFUNCTION("""COMPUTED_VALUE"""),"")</f>
        <v/>
      </c>
      <c r="I660" s="5" t="str">
        <f>IFERROR(__xludf.DUMMYFUNCTION("""COMPUTED_VALUE"""),"")</f>
        <v/>
      </c>
      <c r="J660" s="5" t="str">
        <f>IFERROR(__xludf.DUMMYFUNCTION("""COMPUTED_VALUE"""),"")</f>
        <v/>
      </c>
      <c r="K660" s="5" t="str">
        <f>IFERROR(__xludf.DUMMYFUNCTION("""COMPUTED_VALUE"""),"")</f>
        <v/>
      </c>
      <c r="L660" s="5" t="str">
        <f>IFERROR(__xludf.DUMMYFUNCTION("""COMPUTED_VALUE"""),"")</f>
        <v/>
      </c>
      <c r="M660" s="5" t="str">
        <f>IFERROR(__xludf.DUMMYFUNCTION("""COMPUTED_VALUE"""),"")</f>
        <v/>
      </c>
      <c r="N660" s="5" t="str">
        <f>IFERROR(__xludf.DUMMYFUNCTION("""COMPUTED_VALUE"""),"")</f>
        <v/>
      </c>
      <c r="O660" s="5" t="str">
        <f>IFERROR(__xludf.DUMMYFUNCTION("""COMPUTED_VALUE"""),"")</f>
        <v/>
      </c>
      <c r="P660" s="5" t="str">
        <f>IFERROR(__xludf.DUMMYFUNCTION("""COMPUTED_VALUE"""),"")</f>
        <v/>
      </c>
      <c r="Q660" s="5" t="str">
        <f>IFERROR(__xludf.DUMMYFUNCTION("""COMPUTED_VALUE"""),"")</f>
        <v/>
      </c>
      <c r="R660" s="5" t="str">
        <f>IFERROR(__xludf.DUMMYFUNCTION("""COMPUTED_VALUE"""),"")</f>
        <v/>
      </c>
      <c r="S660" s="5" t="str">
        <f>IFERROR(__xludf.DUMMYFUNCTION("""COMPUTED_VALUE"""),"")</f>
        <v/>
      </c>
      <c r="T660" s="5" t="str">
        <f>IFERROR(__xludf.DUMMYFUNCTION("""COMPUTED_VALUE"""),"")</f>
        <v/>
      </c>
      <c r="U660" s="5" t="str">
        <f>IFERROR(__xludf.DUMMYFUNCTION("""COMPUTED_VALUE"""),"")</f>
        <v/>
      </c>
      <c r="V660" s="5" t="str">
        <f>IFERROR(__xludf.DUMMYFUNCTION("""COMPUTED_VALUE"""),"")</f>
        <v/>
      </c>
      <c r="W660" s="5" t="str">
        <f>IFERROR(__xludf.DUMMYFUNCTION("""COMPUTED_VALUE"""),"")</f>
        <v/>
      </c>
      <c r="X660" s="5" t="str">
        <f>IFERROR(__xludf.DUMMYFUNCTION("""COMPUTED_VALUE"""),"")</f>
        <v/>
      </c>
      <c r="Y660" s="5"/>
      <c r="Z660" s="5"/>
    </row>
    <row r="661">
      <c r="A661" s="5" t="str">
        <f>IFERROR(__xludf.DUMMYFUNCTION("""COMPUTED_VALUE"""),"Clovers And Diamonds 5")</f>
        <v>Clovers And Diamonds 5</v>
      </c>
      <c r="B661" s="5" t="str">
        <f>IFERROR(__xludf.DUMMYFUNCTION("""COMPUTED_VALUE"""),"")</f>
        <v/>
      </c>
      <c r="C661" s="5" t="str">
        <f>IFERROR(__xludf.DUMMYFUNCTION("""COMPUTED_VALUE"""),"")</f>
        <v/>
      </c>
      <c r="D661" s="5" t="str">
        <f>IFERROR(__xludf.DUMMYFUNCTION("""COMPUTED_VALUE"""),"")</f>
        <v/>
      </c>
      <c r="E661" s="5" t="str">
        <f>IFERROR(__xludf.DUMMYFUNCTION("""COMPUTED_VALUE"""),"")</f>
        <v/>
      </c>
      <c r="F661" s="5" t="str">
        <f>IFERROR(__xludf.DUMMYFUNCTION("""COMPUTED_VALUE"""),"")</f>
        <v/>
      </c>
      <c r="G661" s="5" t="str">
        <f>IFERROR(__xludf.DUMMYFUNCTION("""COMPUTED_VALUE"""),"")</f>
        <v/>
      </c>
      <c r="H661" s="5" t="str">
        <f>IFERROR(__xludf.DUMMYFUNCTION("""COMPUTED_VALUE"""),"")</f>
        <v/>
      </c>
      <c r="I661" s="5" t="str">
        <f>IFERROR(__xludf.DUMMYFUNCTION("""COMPUTED_VALUE"""),"")</f>
        <v/>
      </c>
      <c r="J661" s="5" t="str">
        <f>IFERROR(__xludf.DUMMYFUNCTION("""COMPUTED_VALUE"""),"")</f>
        <v/>
      </c>
      <c r="K661" s="5" t="str">
        <f>IFERROR(__xludf.DUMMYFUNCTION("""COMPUTED_VALUE"""),"")</f>
        <v/>
      </c>
      <c r="L661" s="5" t="str">
        <f>IFERROR(__xludf.DUMMYFUNCTION("""COMPUTED_VALUE"""),"")</f>
        <v/>
      </c>
      <c r="M661" s="5" t="str">
        <f>IFERROR(__xludf.DUMMYFUNCTION("""COMPUTED_VALUE"""),"")</f>
        <v/>
      </c>
      <c r="N661" s="5" t="str">
        <f>IFERROR(__xludf.DUMMYFUNCTION("""COMPUTED_VALUE"""),"")</f>
        <v/>
      </c>
      <c r="O661" s="5" t="str">
        <f>IFERROR(__xludf.DUMMYFUNCTION("""COMPUTED_VALUE"""),"")</f>
        <v/>
      </c>
      <c r="P661" s="5" t="str">
        <f>IFERROR(__xludf.DUMMYFUNCTION("""COMPUTED_VALUE"""),"")</f>
        <v/>
      </c>
      <c r="Q661" s="5" t="str">
        <f>IFERROR(__xludf.DUMMYFUNCTION("""COMPUTED_VALUE"""),"")</f>
        <v/>
      </c>
      <c r="R661" s="5" t="str">
        <f>IFERROR(__xludf.DUMMYFUNCTION("""COMPUTED_VALUE"""),"")</f>
        <v/>
      </c>
      <c r="S661" s="5" t="str">
        <f>IFERROR(__xludf.DUMMYFUNCTION("""COMPUTED_VALUE"""),"")</f>
        <v/>
      </c>
      <c r="T661" s="5" t="str">
        <f>IFERROR(__xludf.DUMMYFUNCTION("""COMPUTED_VALUE"""),"")</f>
        <v/>
      </c>
      <c r="U661" s="5" t="str">
        <f>IFERROR(__xludf.DUMMYFUNCTION("""COMPUTED_VALUE"""),"")</f>
        <v/>
      </c>
      <c r="V661" s="5" t="str">
        <f>IFERROR(__xludf.DUMMYFUNCTION("""COMPUTED_VALUE"""),"")</f>
        <v/>
      </c>
      <c r="W661" s="5" t="str">
        <f>IFERROR(__xludf.DUMMYFUNCTION("""COMPUTED_VALUE"""),"")</f>
        <v/>
      </c>
      <c r="X661" s="5" t="str">
        <f>IFERROR(__xludf.DUMMYFUNCTION("""COMPUTED_VALUE"""),"")</f>
        <v/>
      </c>
      <c r="Y661" s="5"/>
      <c r="Z661" s="5"/>
    </row>
    <row r="662">
      <c r="A662" s="5" t="str">
        <f>IFERROR(__xludf.DUMMYFUNCTION("""COMPUTED_VALUE"""),"Three Reel Triple Fruit")</f>
        <v>Three Reel Triple Fruit</v>
      </c>
      <c r="B662" s="5" t="str">
        <f>IFERROR(__xludf.DUMMYFUNCTION("""COMPUTED_VALUE"""),"")</f>
        <v/>
      </c>
      <c r="C662" s="5" t="str">
        <f>IFERROR(__xludf.DUMMYFUNCTION("""COMPUTED_VALUE"""),"")</f>
        <v/>
      </c>
      <c r="D662" s="5" t="str">
        <f>IFERROR(__xludf.DUMMYFUNCTION("""COMPUTED_VALUE"""),"")</f>
        <v/>
      </c>
      <c r="E662" s="5" t="str">
        <f>IFERROR(__xludf.DUMMYFUNCTION("""COMPUTED_VALUE"""),"")</f>
        <v/>
      </c>
      <c r="F662" s="5" t="str">
        <f>IFERROR(__xludf.DUMMYFUNCTION("""COMPUTED_VALUE"""),"")</f>
        <v/>
      </c>
      <c r="G662" s="5" t="str">
        <f>IFERROR(__xludf.DUMMYFUNCTION("""COMPUTED_VALUE"""),"")</f>
        <v/>
      </c>
      <c r="H662" s="5" t="str">
        <f>IFERROR(__xludf.DUMMYFUNCTION("""COMPUTED_VALUE"""),"")</f>
        <v/>
      </c>
      <c r="I662" s="5" t="str">
        <f>IFERROR(__xludf.DUMMYFUNCTION("""COMPUTED_VALUE"""),"")</f>
        <v/>
      </c>
      <c r="J662" s="5" t="str">
        <f>IFERROR(__xludf.DUMMYFUNCTION("""COMPUTED_VALUE"""),"")</f>
        <v/>
      </c>
      <c r="K662" s="5" t="str">
        <f>IFERROR(__xludf.DUMMYFUNCTION("""COMPUTED_VALUE"""),"")</f>
        <v/>
      </c>
      <c r="L662" s="5" t="str">
        <f>IFERROR(__xludf.DUMMYFUNCTION("""COMPUTED_VALUE"""),"")</f>
        <v/>
      </c>
      <c r="M662" s="5" t="str">
        <f>IFERROR(__xludf.DUMMYFUNCTION("""COMPUTED_VALUE"""),"")</f>
        <v/>
      </c>
      <c r="N662" s="5" t="str">
        <f>IFERROR(__xludf.DUMMYFUNCTION("""COMPUTED_VALUE"""),"")</f>
        <v/>
      </c>
      <c r="O662" s="5" t="str">
        <f>IFERROR(__xludf.DUMMYFUNCTION("""COMPUTED_VALUE"""),"")</f>
        <v/>
      </c>
      <c r="P662" s="5" t="str">
        <f>IFERROR(__xludf.DUMMYFUNCTION("""COMPUTED_VALUE"""),"")</f>
        <v/>
      </c>
      <c r="Q662" s="5" t="str">
        <f>IFERROR(__xludf.DUMMYFUNCTION("""COMPUTED_VALUE"""),"")</f>
        <v/>
      </c>
      <c r="R662" s="5" t="str">
        <f>IFERROR(__xludf.DUMMYFUNCTION("""COMPUTED_VALUE"""),"")</f>
        <v/>
      </c>
      <c r="S662" s="5" t="str">
        <f>IFERROR(__xludf.DUMMYFUNCTION("""COMPUTED_VALUE"""),"")</f>
        <v/>
      </c>
      <c r="T662" s="5" t="str">
        <f>IFERROR(__xludf.DUMMYFUNCTION("""COMPUTED_VALUE"""),"")</f>
        <v/>
      </c>
      <c r="U662" s="5" t="str">
        <f>IFERROR(__xludf.DUMMYFUNCTION("""COMPUTED_VALUE"""),"")</f>
        <v/>
      </c>
      <c r="V662" s="5" t="str">
        <f>IFERROR(__xludf.DUMMYFUNCTION("""COMPUTED_VALUE"""),"")</f>
        <v/>
      </c>
      <c r="W662" s="5" t="str">
        <f>IFERROR(__xludf.DUMMYFUNCTION("""COMPUTED_VALUE"""),"")</f>
        <v/>
      </c>
      <c r="X662" s="5" t="str">
        <f>IFERROR(__xludf.DUMMYFUNCTION("""COMPUTED_VALUE"""),"")</f>
        <v/>
      </c>
      <c r="Y662" s="5"/>
      <c r="Z662" s="5"/>
    </row>
    <row r="663">
      <c r="A663" s="5" t="str">
        <f>IFERROR(__xludf.DUMMYFUNCTION("""COMPUTED_VALUE"""),"Epic Dice 100 Booster")</f>
        <v>Epic Dice 100 Booster</v>
      </c>
      <c r="B663" s="5" t="str">
        <f>IFERROR(__xludf.DUMMYFUNCTION("""COMPUTED_VALUE"""),"")</f>
        <v/>
      </c>
      <c r="C663" s="5" t="str">
        <f>IFERROR(__xludf.DUMMYFUNCTION("""COMPUTED_VALUE"""),"")</f>
        <v/>
      </c>
      <c r="D663" s="5" t="str">
        <f>IFERROR(__xludf.DUMMYFUNCTION("""COMPUTED_VALUE"""),"")</f>
        <v/>
      </c>
      <c r="E663" s="5" t="str">
        <f>IFERROR(__xludf.DUMMYFUNCTION("""COMPUTED_VALUE"""),"")</f>
        <v/>
      </c>
      <c r="F663" s="5" t="str">
        <f>IFERROR(__xludf.DUMMYFUNCTION("""COMPUTED_VALUE"""),"")</f>
        <v/>
      </c>
      <c r="G663" s="5" t="str">
        <f>IFERROR(__xludf.DUMMYFUNCTION("""COMPUTED_VALUE"""),"")</f>
        <v/>
      </c>
      <c r="H663" s="5" t="str">
        <f>IFERROR(__xludf.DUMMYFUNCTION("""COMPUTED_VALUE"""),"")</f>
        <v/>
      </c>
      <c r="I663" s="5" t="str">
        <f>IFERROR(__xludf.DUMMYFUNCTION("""COMPUTED_VALUE"""),"")</f>
        <v/>
      </c>
      <c r="J663" s="5" t="str">
        <f>IFERROR(__xludf.DUMMYFUNCTION("""COMPUTED_VALUE"""),"")</f>
        <v/>
      </c>
      <c r="K663" s="5" t="str">
        <f>IFERROR(__xludf.DUMMYFUNCTION("""COMPUTED_VALUE"""),"")</f>
        <v/>
      </c>
      <c r="L663" s="5" t="str">
        <f>IFERROR(__xludf.DUMMYFUNCTION("""COMPUTED_VALUE"""),"")</f>
        <v/>
      </c>
      <c r="M663" s="5" t="str">
        <f>IFERROR(__xludf.DUMMYFUNCTION("""COMPUTED_VALUE"""),"")</f>
        <v/>
      </c>
      <c r="N663" s="5" t="str">
        <f>IFERROR(__xludf.DUMMYFUNCTION("""COMPUTED_VALUE"""),"")</f>
        <v/>
      </c>
      <c r="O663" s="5" t="str">
        <f>IFERROR(__xludf.DUMMYFUNCTION("""COMPUTED_VALUE"""),"")</f>
        <v/>
      </c>
      <c r="P663" s="5" t="str">
        <f>IFERROR(__xludf.DUMMYFUNCTION("""COMPUTED_VALUE"""),"")</f>
        <v/>
      </c>
      <c r="Q663" s="5" t="str">
        <f>IFERROR(__xludf.DUMMYFUNCTION("""COMPUTED_VALUE"""),"")</f>
        <v/>
      </c>
      <c r="R663" s="5" t="str">
        <f>IFERROR(__xludf.DUMMYFUNCTION("""COMPUTED_VALUE"""),"")</f>
        <v/>
      </c>
      <c r="S663" s="5" t="str">
        <f>IFERROR(__xludf.DUMMYFUNCTION("""COMPUTED_VALUE"""),"")</f>
        <v/>
      </c>
      <c r="T663" s="5" t="str">
        <f>IFERROR(__xludf.DUMMYFUNCTION("""COMPUTED_VALUE"""),"")</f>
        <v/>
      </c>
      <c r="U663" s="5" t="str">
        <f>IFERROR(__xludf.DUMMYFUNCTION("""COMPUTED_VALUE"""),"")</f>
        <v/>
      </c>
      <c r="V663" s="5" t="str">
        <f>IFERROR(__xludf.DUMMYFUNCTION("""COMPUTED_VALUE"""),"")</f>
        <v/>
      </c>
      <c r="W663" s="5" t="str">
        <f>IFERROR(__xludf.DUMMYFUNCTION("""COMPUTED_VALUE"""),"")</f>
        <v/>
      </c>
      <c r="X663" s="5" t="str">
        <f>IFERROR(__xludf.DUMMYFUNCTION("""COMPUTED_VALUE"""),"")</f>
        <v/>
      </c>
      <c r="Y663" s="5"/>
      <c r="Z663" s="5"/>
    </row>
    <row r="664">
      <c r="A664" s="5" t="str">
        <f>IFERROR(__xludf.DUMMYFUNCTION("""COMPUTED_VALUE"""),"Very Hot 40 Dice Booster")</f>
        <v>Very Hot 40 Dice Booster</v>
      </c>
      <c r="B664" s="5" t="str">
        <f>IFERROR(__xludf.DUMMYFUNCTION("""COMPUTED_VALUE"""),"")</f>
        <v/>
      </c>
      <c r="C664" s="5" t="str">
        <f>IFERROR(__xludf.DUMMYFUNCTION("""COMPUTED_VALUE"""),"")</f>
        <v/>
      </c>
      <c r="D664" s="5" t="str">
        <f>IFERROR(__xludf.DUMMYFUNCTION("""COMPUTED_VALUE"""),"")</f>
        <v/>
      </c>
      <c r="E664" s="5" t="str">
        <f>IFERROR(__xludf.DUMMYFUNCTION("""COMPUTED_VALUE"""),"")</f>
        <v/>
      </c>
      <c r="F664" s="5" t="str">
        <f>IFERROR(__xludf.DUMMYFUNCTION("""COMPUTED_VALUE"""),"")</f>
        <v/>
      </c>
      <c r="G664" s="5" t="str">
        <f>IFERROR(__xludf.DUMMYFUNCTION("""COMPUTED_VALUE"""),"")</f>
        <v/>
      </c>
      <c r="H664" s="5" t="str">
        <f>IFERROR(__xludf.DUMMYFUNCTION("""COMPUTED_VALUE"""),"")</f>
        <v/>
      </c>
      <c r="I664" s="5" t="str">
        <f>IFERROR(__xludf.DUMMYFUNCTION("""COMPUTED_VALUE"""),"")</f>
        <v/>
      </c>
      <c r="J664" s="5" t="str">
        <f>IFERROR(__xludf.DUMMYFUNCTION("""COMPUTED_VALUE"""),"")</f>
        <v/>
      </c>
      <c r="K664" s="5" t="str">
        <f>IFERROR(__xludf.DUMMYFUNCTION("""COMPUTED_VALUE"""),"")</f>
        <v/>
      </c>
      <c r="L664" s="5" t="str">
        <f>IFERROR(__xludf.DUMMYFUNCTION("""COMPUTED_VALUE"""),"")</f>
        <v/>
      </c>
      <c r="M664" s="5" t="str">
        <f>IFERROR(__xludf.DUMMYFUNCTION("""COMPUTED_VALUE"""),"")</f>
        <v/>
      </c>
      <c r="N664" s="5" t="str">
        <f>IFERROR(__xludf.DUMMYFUNCTION("""COMPUTED_VALUE"""),"")</f>
        <v/>
      </c>
      <c r="O664" s="5" t="str">
        <f>IFERROR(__xludf.DUMMYFUNCTION("""COMPUTED_VALUE"""),"")</f>
        <v/>
      </c>
      <c r="P664" s="5" t="str">
        <f>IFERROR(__xludf.DUMMYFUNCTION("""COMPUTED_VALUE"""),"")</f>
        <v/>
      </c>
      <c r="Q664" s="5" t="str">
        <f>IFERROR(__xludf.DUMMYFUNCTION("""COMPUTED_VALUE"""),"")</f>
        <v/>
      </c>
      <c r="R664" s="5" t="str">
        <f>IFERROR(__xludf.DUMMYFUNCTION("""COMPUTED_VALUE"""),"")</f>
        <v/>
      </c>
      <c r="S664" s="5" t="str">
        <f>IFERROR(__xludf.DUMMYFUNCTION("""COMPUTED_VALUE"""),"")</f>
        <v/>
      </c>
      <c r="T664" s="5" t="str">
        <f>IFERROR(__xludf.DUMMYFUNCTION("""COMPUTED_VALUE"""),"")</f>
        <v/>
      </c>
      <c r="U664" s="5" t="str">
        <f>IFERROR(__xludf.DUMMYFUNCTION("""COMPUTED_VALUE"""),"")</f>
        <v/>
      </c>
      <c r="V664" s="5" t="str">
        <f>IFERROR(__xludf.DUMMYFUNCTION("""COMPUTED_VALUE"""),"")</f>
        <v/>
      </c>
      <c r="W664" s="5" t="str">
        <f>IFERROR(__xludf.DUMMYFUNCTION("""COMPUTED_VALUE"""),"")</f>
        <v/>
      </c>
      <c r="X664" s="5" t="str">
        <f>IFERROR(__xludf.DUMMYFUNCTION("""COMPUTED_VALUE"""),"")</f>
        <v/>
      </c>
      <c r="Y664" s="5"/>
      <c r="Z664" s="5"/>
    </row>
    <row r="665">
      <c r="A665" s="5" t="str">
        <f>IFERROR(__xludf.DUMMYFUNCTION("""COMPUTED_VALUE"""),"Pasino Crown")</f>
        <v>Pasino Crown</v>
      </c>
      <c r="B665" s="5" t="str">
        <f>IFERROR(__xludf.DUMMYFUNCTION("""COMPUTED_VALUE"""),"")</f>
        <v/>
      </c>
      <c r="C665" s="5" t="str">
        <f>IFERROR(__xludf.DUMMYFUNCTION("""COMPUTED_VALUE"""),"")</f>
        <v/>
      </c>
      <c r="D665" s="5" t="str">
        <f>IFERROR(__xludf.DUMMYFUNCTION("""COMPUTED_VALUE"""),"Cert Preparation")</f>
        <v>Cert Preparation</v>
      </c>
      <c r="E665" s="5" t="str">
        <f>IFERROR(__xludf.DUMMYFUNCTION("""COMPUTED_VALUE"""),"")</f>
        <v/>
      </c>
      <c r="F665" s="5" t="str">
        <f>IFERROR(__xludf.DUMMYFUNCTION("""COMPUTED_VALUE"""),"")</f>
        <v/>
      </c>
      <c r="G665" s="5" t="str">
        <f>IFERROR(__xludf.DUMMYFUNCTION("""COMPUTED_VALUE"""),"")</f>
        <v/>
      </c>
      <c r="H665" s="5" t="str">
        <f>IFERROR(__xludf.DUMMYFUNCTION("""COMPUTED_VALUE"""),"")</f>
        <v/>
      </c>
      <c r="I665" s="5" t="str">
        <f>IFERROR(__xludf.DUMMYFUNCTION("""COMPUTED_VALUE"""),"")</f>
        <v/>
      </c>
      <c r="J665" s="5" t="str">
        <f>IFERROR(__xludf.DUMMYFUNCTION("""COMPUTED_VALUE"""),"")</f>
        <v/>
      </c>
      <c r="K665" s="5" t="str">
        <f>IFERROR(__xludf.DUMMYFUNCTION("""COMPUTED_VALUE"""),"")</f>
        <v/>
      </c>
      <c r="L665" s="5" t="str">
        <f>IFERROR(__xludf.DUMMYFUNCTION("""COMPUTED_VALUE"""),"")</f>
        <v/>
      </c>
      <c r="M665" s="5" t="str">
        <f>IFERROR(__xludf.DUMMYFUNCTION("""COMPUTED_VALUE"""),"")</f>
        <v/>
      </c>
      <c r="N665" s="5" t="str">
        <f>IFERROR(__xludf.DUMMYFUNCTION("""COMPUTED_VALUE"""),"")</f>
        <v/>
      </c>
      <c r="O665" s="5" t="str">
        <f>IFERROR(__xludf.DUMMYFUNCTION("""COMPUTED_VALUE"""),"")</f>
        <v/>
      </c>
      <c r="P665" s="5" t="str">
        <f>IFERROR(__xludf.DUMMYFUNCTION("""COMPUTED_VALUE"""),"")</f>
        <v/>
      </c>
      <c r="Q665" s="5" t="str">
        <f>IFERROR(__xludf.DUMMYFUNCTION("""COMPUTED_VALUE"""),"")</f>
        <v/>
      </c>
      <c r="R665" s="5" t="str">
        <f>IFERROR(__xludf.DUMMYFUNCTION("""COMPUTED_VALUE"""),"")</f>
        <v/>
      </c>
      <c r="S665" s="5" t="str">
        <f>IFERROR(__xludf.DUMMYFUNCTION("""COMPUTED_VALUE"""),"")</f>
        <v/>
      </c>
      <c r="T665" s="5" t="str">
        <f>IFERROR(__xludf.DUMMYFUNCTION("""COMPUTED_VALUE"""),"")</f>
        <v/>
      </c>
      <c r="U665" s="5" t="str">
        <f>IFERROR(__xludf.DUMMYFUNCTION("""COMPUTED_VALUE"""),"")</f>
        <v/>
      </c>
      <c r="V665" s="5" t="str">
        <f>IFERROR(__xludf.DUMMYFUNCTION("""COMPUTED_VALUE"""),"")</f>
        <v/>
      </c>
      <c r="W665" s="5" t="str">
        <f>IFERROR(__xludf.DUMMYFUNCTION("""COMPUTED_VALUE"""),"")</f>
        <v/>
      </c>
      <c r="X665" s="5" t="str">
        <f>IFERROR(__xludf.DUMMYFUNCTION("""COMPUTED_VALUE"""),"")</f>
        <v/>
      </c>
      <c r="Y665" s="5"/>
      <c r="Z665" s="5"/>
    </row>
    <row r="666">
      <c r="A666" s="5" t="str">
        <f>IFERROR(__xludf.DUMMYFUNCTION("""COMPUTED_VALUE"""),"Golden Crown Extreme Dice")</f>
        <v>Golden Crown Extreme Dice</v>
      </c>
      <c r="B666" s="5" t="str">
        <f>IFERROR(__xludf.DUMMYFUNCTION("""COMPUTED_VALUE"""),"")</f>
        <v/>
      </c>
      <c r="C666" s="5" t="str">
        <f>IFERROR(__xludf.DUMMYFUNCTION("""COMPUTED_VALUE"""),"")</f>
        <v/>
      </c>
      <c r="D666" s="5" t="str">
        <f>IFERROR(__xludf.DUMMYFUNCTION("""COMPUTED_VALUE"""),"")</f>
        <v/>
      </c>
      <c r="E666" s="5" t="str">
        <f>IFERROR(__xludf.DUMMYFUNCTION("""COMPUTED_VALUE"""),"")</f>
        <v/>
      </c>
      <c r="F666" s="5" t="str">
        <f>IFERROR(__xludf.DUMMYFUNCTION("""COMPUTED_VALUE"""),"")</f>
        <v/>
      </c>
      <c r="G666" s="5" t="str">
        <f>IFERROR(__xludf.DUMMYFUNCTION("""COMPUTED_VALUE"""),"")</f>
        <v/>
      </c>
      <c r="H666" s="5" t="str">
        <f>IFERROR(__xludf.DUMMYFUNCTION("""COMPUTED_VALUE"""),"")</f>
        <v/>
      </c>
      <c r="I666" s="5" t="str">
        <f>IFERROR(__xludf.DUMMYFUNCTION("""COMPUTED_VALUE"""),"")</f>
        <v/>
      </c>
      <c r="J666" s="5" t="str">
        <f>IFERROR(__xludf.DUMMYFUNCTION("""COMPUTED_VALUE"""),"")</f>
        <v/>
      </c>
      <c r="K666" s="5" t="str">
        <f>IFERROR(__xludf.DUMMYFUNCTION("""COMPUTED_VALUE"""),"")</f>
        <v/>
      </c>
      <c r="L666" s="5" t="str">
        <f>IFERROR(__xludf.DUMMYFUNCTION("""COMPUTED_VALUE"""),"")</f>
        <v/>
      </c>
      <c r="M666" s="5" t="str">
        <f>IFERROR(__xludf.DUMMYFUNCTION("""COMPUTED_VALUE"""),"")</f>
        <v/>
      </c>
      <c r="N666" s="5" t="str">
        <f>IFERROR(__xludf.DUMMYFUNCTION("""COMPUTED_VALUE"""),"")</f>
        <v/>
      </c>
      <c r="O666" s="5" t="str">
        <f>IFERROR(__xludf.DUMMYFUNCTION("""COMPUTED_VALUE"""),"")</f>
        <v/>
      </c>
      <c r="P666" s="5" t="str">
        <f>IFERROR(__xludf.DUMMYFUNCTION("""COMPUTED_VALUE"""),"")</f>
        <v/>
      </c>
      <c r="Q666" s="5" t="str">
        <f>IFERROR(__xludf.DUMMYFUNCTION("""COMPUTED_VALUE"""),"")</f>
        <v/>
      </c>
      <c r="R666" s="5" t="str">
        <f>IFERROR(__xludf.DUMMYFUNCTION("""COMPUTED_VALUE"""),"")</f>
        <v/>
      </c>
      <c r="S666" s="5" t="str">
        <f>IFERROR(__xludf.DUMMYFUNCTION("""COMPUTED_VALUE"""),"")</f>
        <v/>
      </c>
      <c r="T666" s="5" t="str">
        <f>IFERROR(__xludf.DUMMYFUNCTION("""COMPUTED_VALUE"""),"")</f>
        <v/>
      </c>
      <c r="U666" s="5" t="str">
        <f>IFERROR(__xludf.DUMMYFUNCTION("""COMPUTED_VALUE"""),"")</f>
        <v/>
      </c>
      <c r="V666" s="5" t="str">
        <f>IFERROR(__xludf.DUMMYFUNCTION("""COMPUTED_VALUE"""),"")</f>
        <v/>
      </c>
      <c r="W666" s="5" t="str">
        <f>IFERROR(__xludf.DUMMYFUNCTION("""COMPUTED_VALUE"""),"")</f>
        <v/>
      </c>
      <c r="X666" s="5" t="str">
        <f>IFERROR(__xludf.DUMMYFUNCTION("""COMPUTED_VALUE"""),"")</f>
        <v/>
      </c>
      <c r="Y666" s="5"/>
      <c r="Z666" s="5"/>
    </row>
    <row r="667">
      <c r="A667" s="5" t="str">
        <f>IFERROR(__xludf.DUMMYFUNCTION("""COMPUTED_VALUE"""),"Winning Clover 5 Extreme Booster")</f>
        <v>Winning Clover 5 Extreme Booster</v>
      </c>
      <c r="B667" s="5" t="str">
        <f>IFERROR(__xludf.DUMMYFUNCTION("""COMPUTED_VALUE"""),"")</f>
        <v/>
      </c>
      <c r="C667" s="5" t="str">
        <f>IFERROR(__xludf.DUMMYFUNCTION("""COMPUTED_VALUE"""),"")</f>
        <v/>
      </c>
      <c r="D667" s="5" t="str">
        <f>IFERROR(__xludf.DUMMYFUNCTION("""COMPUTED_VALUE"""),"")</f>
        <v/>
      </c>
      <c r="E667" s="5" t="str">
        <f>IFERROR(__xludf.DUMMYFUNCTION("""COMPUTED_VALUE"""),"")</f>
        <v/>
      </c>
      <c r="F667" s="5" t="str">
        <f>IFERROR(__xludf.DUMMYFUNCTION("""COMPUTED_VALUE"""),"")</f>
        <v/>
      </c>
      <c r="G667" s="5" t="str">
        <f>IFERROR(__xludf.DUMMYFUNCTION("""COMPUTED_VALUE"""),"")</f>
        <v/>
      </c>
      <c r="H667" s="5" t="str">
        <f>IFERROR(__xludf.DUMMYFUNCTION("""COMPUTED_VALUE"""),"")</f>
        <v/>
      </c>
      <c r="I667" s="5" t="str">
        <f>IFERROR(__xludf.DUMMYFUNCTION("""COMPUTED_VALUE"""),"")</f>
        <v/>
      </c>
      <c r="J667" s="5" t="str">
        <f>IFERROR(__xludf.DUMMYFUNCTION("""COMPUTED_VALUE"""),"")</f>
        <v/>
      </c>
      <c r="K667" s="5" t="str">
        <f>IFERROR(__xludf.DUMMYFUNCTION("""COMPUTED_VALUE"""),"")</f>
        <v/>
      </c>
      <c r="L667" s="5" t="str">
        <f>IFERROR(__xludf.DUMMYFUNCTION("""COMPUTED_VALUE"""),"")</f>
        <v/>
      </c>
      <c r="M667" s="5" t="str">
        <f>IFERROR(__xludf.DUMMYFUNCTION("""COMPUTED_VALUE"""),"")</f>
        <v/>
      </c>
      <c r="N667" s="5" t="str">
        <f>IFERROR(__xludf.DUMMYFUNCTION("""COMPUTED_VALUE"""),"")</f>
        <v/>
      </c>
      <c r="O667" s="5" t="str">
        <f>IFERROR(__xludf.DUMMYFUNCTION("""COMPUTED_VALUE"""),"")</f>
        <v/>
      </c>
      <c r="P667" s="5" t="str">
        <f>IFERROR(__xludf.DUMMYFUNCTION("""COMPUTED_VALUE"""),"")</f>
        <v/>
      </c>
      <c r="Q667" s="5" t="str">
        <f>IFERROR(__xludf.DUMMYFUNCTION("""COMPUTED_VALUE"""),"")</f>
        <v/>
      </c>
      <c r="R667" s="5" t="str">
        <f>IFERROR(__xludf.DUMMYFUNCTION("""COMPUTED_VALUE"""),"")</f>
        <v/>
      </c>
      <c r="S667" s="5" t="str">
        <f>IFERROR(__xludf.DUMMYFUNCTION("""COMPUTED_VALUE"""),"")</f>
        <v/>
      </c>
      <c r="T667" s="5" t="str">
        <f>IFERROR(__xludf.DUMMYFUNCTION("""COMPUTED_VALUE"""),"")</f>
        <v/>
      </c>
      <c r="U667" s="5" t="str">
        <f>IFERROR(__xludf.DUMMYFUNCTION("""COMPUTED_VALUE"""),"")</f>
        <v/>
      </c>
      <c r="V667" s="5" t="str">
        <f>IFERROR(__xludf.DUMMYFUNCTION("""COMPUTED_VALUE"""),"")</f>
        <v/>
      </c>
      <c r="W667" s="5" t="str">
        <f>IFERROR(__xludf.DUMMYFUNCTION("""COMPUTED_VALUE"""),"")</f>
        <v/>
      </c>
      <c r="X667" s="5" t="str">
        <f>IFERROR(__xludf.DUMMYFUNCTION("""COMPUTED_VALUE"""),"")</f>
        <v/>
      </c>
      <c r="Y667" s="5"/>
      <c r="Z667" s="5"/>
    </row>
    <row r="668">
      <c r="A668" s="5" t="str">
        <f>IFERROR(__xludf.DUMMYFUNCTION("""COMPUTED_VALUE"""),"Very Hot 40 Extreme Booster")</f>
        <v>Very Hot 40 Extreme Booster</v>
      </c>
      <c r="B668" s="5" t="str">
        <f>IFERROR(__xludf.DUMMYFUNCTION("""COMPUTED_VALUE"""),"")</f>
        <v/>
      </c>
      <c r="C668" s="5" t="str">
        <f>IFERROR(__xludf.DUMMYFUNCTION("""COMPUTED_VALUE"""),"")</f>
        <v/>
      </c>
      <c r="D668" s="5" t="str">
        <f>IFERROR(__xludf.DUMMYFUNCTION("""COMPUTED_VALUE"""),"")</f>
        <v/>
      </c>
      <c r="E668" s="5" t="str">
        <f>IFERROR(__xludf.DUMMYFUNCTION("""COMPUTED_VALUE"""),"")</f>
        <v/>
      </c>
      <c r="F668" s="5" t="str">
        <f>IFERROR(__xludf.DUMMYFUNCTION("""COMPUTED_VALUE"""),"")</f>
        <v/>
      </c>
      <c r="G668" s="5" t="str">
        <f>IFERROR(__xludf.DUMMYFUNCTION("""COMPUTED_VALUE"""),"")</f>
        <v/>
      </c>
      <c r="H668" s="5" t="str">
        <f>IFERROR(__xludf.DUMMYFUNCTION("""COMPUTED_VALUE"""),"")</f>
        <v/>
      </c>
      <c r="I668" s="5" t="str">
        <f>IFERROR(__xludf.DUMMYFUNCTION("""COMPUTED_VALUE"""),"")</f>
        <v/>
      </c>
      <c r="J668" s="5" t="str">
        <f>IFERROR(__xludf.DUMMYFUNCTION("""COMPUTED_VALUE"""),"")</f>
        <v/>
      </c>
      <c r="K668" s="5" t="str">
        <f>IFERROR(__xludf.DUMMYFUNCTION("""COMPUTED_VALUE"""),"")</f>
        <v/>
      </c>
      <c r="L668" s="5" t="str">
        <f>IFERROR(__xludf.DUMMYFUNCTION("""COMPUTED_VALUE"""),"")</f>
        <v/>
      </c>
      <c r="M668" s="5" t="str">
        <f>IFERROR(__xludf.DUMMYFUNCTION("""COMPUTED_VALUE"""),"")</f>
        <v/>
      </c>
      <c r="N668" s="5" t="str">
        <f>IFERROR(__xludf.DUMMYFUNCTION("""COMPUTED_VALUE"""),"")</f>
        <v/>
      </c>
      <c r="O668" s="5" t="str">
        <f>IFERROR(__xludf.DUMMYFUNCTION("""COMPUTED_VALUE"""),"")</f>
        <v/>
      </c>
      <c r="P668" s="5" t="str">
        <f>IFERROR(__xludf.DUMMYFUNCTION("""COMPUTED_VALUE"""),"")</f>
        <v/>
      </c>
      <c r="Q668" s="5" t="str">
        <f>IFERROR(__xludf.DUMMYFUNCTION("""COMPUTED_VALUE"""),"")</f>
        <v/>
      </c>
      <c r="R668" s="5" t="str">
        <f>IFERROR(__xludf.DUMMYFUNCTION("""COMPUTED_VALUE"""),"")</f>
        <v/>
      </c>
      <c r="S668" s="5" t="str">
        <f>IFERROR(__xludf.DUMMYFUNCTION("""COMPUTED_VALUE"""),"")</f>
        <v/>
      </c>
      <c r="T668" s="5" t="str">
        <f>IFERROR(__xludf.DUMMYFUNCTION("""COMPUTED_VALUE"""),"")</f>
        <v/>
      </c>
      <c r="U668" s="5" t="str">
        <f>IFERROR(__xludf.DUMMYFUNCTION("""COMPUTED_VALUE"""),"")</f>
        <v/>
      </c>
      <c r="V668" s="5" t="str">
        <f>IFERROR(__xludf.DUMMYFUNCTION("""COMPUTED_VALUE"""),"")</f>
        <v/>
      </c>
      <c r="W668" s="5" t="str">
        <f>IFERROR(__xludf.DUMMYFUNCTION("""COMPUTED_VALUE"""),"")</f>
        <v/>
      </c>
      <c r="X668" s="5" t="str">
        <f>IFERROR(__xludf.DUMMYFUNCTION("""COMPUTED_VALUE"""),"")</f>
        <v/>
      </c>
      <c r="Y668" s="5"/>
      <c r="Z668" s="5"/>
    </row>
    <row r="669">
      <c r="A669" s="5" t="str">
        <f>IFERROR(__xludf.DUMMYFUNCTION("""COMPUTED_VALUE"""),"Winning Clover 5 Booster")</f>
        <v>Winning Clover 5 Booster</v>
      </c>
      <c r="B669" s="5" t="str">
        <f>IFERROR(__xludf.DUMMYFUNCTION("""COMPUTED_VALUE"""),"")</f>
        <v/>
      </c>
      <c r="C669" s="5" t="str">
        <f>IFERROR(__xludf.DUMMYFUNCTION("""COMPUTED_VALUE"""),"")</f>
        <v/>
      </c>
      <c r="D669" s="5" t="str">
        <f>IFERROR(__xludf.DUMMYFUNCTION("""COMPUTED_VALUE"""),"")</f>
        <v/>
      </c>
      <c r="E669" s="5" t="str">
        <f>IFERROR(__xludf.DUMMYFUNCTION("""COMPUTED_VALUE"""),"")</f>
        <v/>
      </c>
      <c r="F669" s="5" t="str">
        <f>IFERROR(__xludf.DUMMYFUNCTION("""COMPUTED_VALUE"""),"")</f>
        <v/>
      </c>
      <c r="G669" s="5" t="str">
        <f>IFERROR(__xludf.DUMMYFUNCTION("""COMPUTED_VALUE"""),"")</f>
        <v/>
      </c>
      <c r="H669" s="5" t="str">
        <f>IFERROR(__xludf.DUMMYFUNCTION("""COMPUTED_VALUE"""),"")</f>
        <v/>
      </c>
      <c r="I669" s="5" t="str">
        <f>IFERROR(__xludf.DUMMYFUNCTION("""COMPUTED_VALUE"""),"")</f>
        <v/>
      </c>
      <c r="J669" s="5" t="str">
        <f>IFERROR(__xludf.DUMMYFUNCTION("""COMPUTED_VALUE"""),"")</f>
        <v/>
      </c>
      <c r="K669" s="5" t="str">
        <f>IFERROR(__xludf.DUMMYFUNCTION("""COMPUTED_VALUE"""),"")</f>
        <v/>
      </c>
      <c r="L669" s="5" t="str">
        <f>IFERROR(__xludf.DUMMYFUNCTION("""COMPUTED_VALUE"""),"")</f>
        <v/>
      </c>
      <c r="M669" s="5" t="str">
        <f>IFERROR(__xludf.DUMMYFUNCTION("""COMPUTED_VALUE"""),"")</f>
        <v/>
      </c>
      <c r="N669" s="5" t="str">
        <f>IFERROR(__xludf.DUMMYFUNCTION("""COMPUTED_VALUE"""),"")</f>
        <v/>
      </c>
      <c r="O669" s="5" t="str">
        <f>IFERROR(__xludf.DUMMYFUNCTION("""COMPUTED_VALUE"""),"")</f>
        <v/>
      </c>
      <c r="P669" s="5" t="str">
        <f>IFERROR(__xludf.DUMMYFUNCTION("""COMPUTED_VALUE"""),"")</f>
        <v/>
      </c>
      <c r="Q669" s="5" t="str">
        <f>IFERROR(__xludf.DUMMYFUNCTION("""COMPUTED_VALUE"""),"")</f>
        <v/>
      </c>
      <c r="R669" s="5" t="str">
        <f>IFERROR(__xludf.DUMMYFUNCTION("""COMPUTED_VALUE"""),"")</f>
        <v/>
      </c>
      <c r="S669" s="5" t="str">
        <f>IFERROR(__xludf.DUMMYFUNCTION("""COMPUTED_VALUE"""),"")</f>
        <v/>
      </c>
      <c r="T669" s="5" t="str">
        <f>IFERROR(__xludf.DUMMYFUNCTION("""COMPUTED_VALUE"""),"")</f>
        <v/>
      </c>
      <c r="U669" s="5" t="str">
        <f>IFERROR(__xludf.DUMMYFUNCTION("""COMPUTED_VALUE"""),"")</f>
        <v/>
      </c>
      <c r="V669" s="5" t="str">
        <f>IFERROR(__xludf.DUMMYFUNCTION("""COMPUTED_VALUE"""),"")</f>
        <v/>
      </c>
      <c r="W669" s="5" t="str">
        <f>IFERROR(__xludf.DUMMYFUNCTION("""COMPUTED_VALUE"""),"")</f>
        <v/>
      </c>
      <c r="X669" s="5" t="str">
        <f>IFERROR(__xludf.DUMMYFUNCTION("""COMPUTED_VALUE"""),"")</f>
        <v/>
      </c>
      <c r="Y669" s="5"/>
      <c r="Z669" s="5"/>
    </row>
    <row r="670">
      <c r="A670" s="5" t="str">
        <f>IFERROR(__xludf.DUMMYFUNCTION("""COMPUTED_VALUE"""),"Fortune of Wu Kong")</f>
        <v>Fortune of Wu Kong</v>
      </c>
      <c r="B670" s="5" t="str">
        <f>IFERROR(__xludf.DUMMYFUNCTION("""COMPUTED_VALUE"""),"Available")</f>
        <v>Available</v>
      </c>
      <c r="C670" s="5" t="str">
        <f>IFERROR(__xludf.DUMMYFUNCTION("""COMPUTED_VALUE"""),"")</f>
        <v/>
      </c>
      <c r="D670" s="5" t="str">
        <f>IFERROR(__xludf.DUMMYFUNCTION("""COMPUTED_VALUE"""),"")</f>
        <v/>
      </c>
      <c r="E670" s="5" t="str">
        <f>IFERROR(__xludf.DUMMYFUNCTION("""COMPUTED_VALUE"""),"")</f>
        <v/>
      </c>
      <c r="F670" s="5" t="str">
        <f>IFERROR(__xludf.DUMMYFUNCTION("""COMPUTED_VALUE"""),"")</f>
        <v/>
      </c>
      <c r="G670" s="5" t="str">
        <f>IFERROR(__xludf.DUMMYFUNCTION("""COMPUTED_VALUE"""),"")</f>
        <v/>
      </c>
      <c r="H670" s="5" t="str">
        <f>IFERROR(__xludf.DUMMYFUNCTION("""COMPUTED_VALUE"""),"")</f>
        <v/>
      </c>
      <c r="I670" s="5" t="str">
        <f>IFERROR(__xludf.DUMMYFUNCTION("""COMPUTED_VALUE"""),"")</f>
        <v/>
      </c>
      <c r="J670" s="5" t="str">
        <f>IFERROR(__xludf.DUMMYFUNCTION("""COMPUTED_VALUE"""),"")</f>
        <v/>
      </c>
      <c r="K670" s="5" t="str">
        <f>IFERROR(__xludf.DUMMYFUNCTION("""COMPUTED_VALUE"""),"")</f>
        <v/>
      </c>
      <c r="L670" s="5" t="str">
        <f>IFERROR(__xludf.DUMMYFUNCTION("""COMPUTED_VALUE"""),"")</f>
        <v/>
      </c>
      <c r="M670" s="5" t="str">
        <f>IFERROR(__xludf.DUMMYFUNCTION("""COMPUTED_VALUE"""),"")</f>
        <v/>
      </c>
      <c r="N670" s="5" t="str">
        <f>IFERROR(__xludf.DUMMYFUNCTION("""COMPUTED_VALUE"""),"")</f>
        <v/>
      </c>
      <c r="O670" s="5" t="str">
        <f>IFERROR(__xludf.DUMMYFUNCTION("""COMPUTED_VALUE"""),"")</f>
        <v/>
      </c>
      <c r="P670" s="5" t="str">
        <f>IFERROR(__xludf.DUMMYFUNCTION("""COMPUTED_VALUE"""),"")</f>
        <v/>
      </c>
      <c r="Q670" s="5" t="str">
        <f>IFERROR(__xludf.DUMMYFUNCTION("""COMPUTED_VALUE"""),"")</f>
        <v/>
      </c>
      <c r="R670" s="5" t="str">
        <f>IFERROR(__xludf.DUMMYFUNCTION("""COMPUTED_VALUE"""),"")</f>
        <v/>
      </c>
      <c r="S670" s="5" t="str">
        <f>IFERROR(__xludf.DUMMYFUNCTION("""COMPUTED_VALUE"""),"")</f>
        <v/>
      </c>
      <c r="T670" s="5" t="str">
        <f>IFERROR(__xludf.DUMMYFUNCTION("""COMPUTED_VALUE"""),"")</f>
        <v/>
      </c>
      <c r="U670" s="5" t="str">
        <f>IFERROR(__xludf.DUMMYFUNCTION("""COMPUTED_VALUE"""),"")</f>
        <v/>
      </c>
      <c r="V670" s="5" t="str">
        <f>IFERROR(__xludf.DUMMYFUNCTION("""COMPUTED_VALUE"""),"")</f>
        <v/>
      </c>
      <c r="W670" s="5" t="str">
        <f>IFERROR(__xludf.DUMMYFUNCTION("""COMPUTED_VALUE"""),"")</f>
        <v/>
      </c>
      <c r="X670" s="5" t="str">
        <f>IFERROR(__xludf.DUMMYFUNCTION("""COMPUTED_VALUE"""),"")</f>
        <v/>
      </c>
      <c r="Y670" s="5"/>
      <c r="Z670" s="5"/>
    </row>
    <row r="671">
      <c r="A671" s="5" t="str">
        <f>IFERROR(__xludf.DUMMYFUNCTION("""COMPUTED_VALUE"""),"Clovers And Diamonds 10")</f>
        <v>Clovers And Diamonds 10</v>
      </c>
      <c r="B671" s="5" t="str">
        <f>IFERROR(__xludf.DUMMYFUNCTION("""COMPUTED_VALUE"""),"")</f>
        <v/>
      </c>
      <c r="C671" s="5" t="str">
        <f>IFERROR(__xludf.DUMMYFUNCTION("""COMPUTED_VALUE"""),"")</f>
        <v/>
      </c>
      <c r="D671" s="5" t="str">
        <f>IFERROR(__xludf.DUMMYFUNCTION("""COMPUTED_VALUE"""),"")</f>
        <v/>
      </c>
      <c r="E671" s="5" t="str">
        <f>IFERROR(__xludf.DUMMYFUNCTION("""COMPUTED_VALUE"""),"")</f>
        <v/>
      </c>
      <c r="F671" s="5" t="str">
        <f>IFERROR(__xludf.DUMMYFUNCTION("""COMPUTED_VALUE"""),"")</f>
        <v/>
      </c>
      <c r="G671" s="5" t="str">
        <f>IFERROR(__xludf.DUMMYFUNCTION("""COMPUTED_VALUE"""),"")</f>
        <v/>
      </c>
      <c r="H671" s="5" t="str">
        <f>IFERROR(__xludf.DUMMYFUNCTION("""COMPUTED_VALUE"""),"")</f>
        <v/>
      </c>
      <c r="I671" s="5" t="str">
        <f>IFERROR(__xludf.DUMMYFUNCTION("""COMPUTED_VALUE"""),"")</f>
        <v/>
      </c>
      <c r="J671" s="5" t="str">
        <f>IFERROR(__xludf.DUMMYFUNCTION("""COMPUTED_VALUE"""),"")</f>
        <v/>
      </c>
      <c r="K671" s="5" t="str">
        <f>IFERROR(__xludf.DUMMYFUNCTION("""COMPUTED_VALUE"""),"")</f>
        <v/>
      </c>
      <c r="L671" s="5" t="str">
        <f>IFERROR(__xludf.DUMMYFUNCTION("""COMPUTED_VALUE"""),"")</f>
        <v/>
      </c>
      <c r="M671" s="5" t="str">
        <f>IFERROR(__xludf.DUMMYFUNCTION("""COMPUTED_VALUE"""),"")</f>
        <v/>
      </c>
      <c r="N671" s="5" t="str">
        <f>IFERROR(__xludf.DUMMYFUNCTION("""COMPUTED_VALUE"""),"")</f>
        <v/>
      </c>
      <c r="O671" s="5" t="str">
        <f>IFERROR(__xludf.DUMMYFUNCTION("""COMPUTED_VALUE"""),"")</f>
        <v/>
      </c>
      <c r="P671" s="5" t="str">
        <f>IFERROR(__xludf.DUMMYFUNCTION("""COMPUTED_VALUE"""),"")</f>
        <v/>
      </c>
      <c r="Q671" s="5" t="str">
        <f>IFERROR(__xludf.DUMMYFUNCTION("""COMPUTED_VALUE"""),"")</f>
        <v/>
      </c>
      <c r="R671" s="5" t="str">
        <f>IFERROR(__xludf.DUMMYFUNCTION("""COMPUTED_VALUE"""),"")</f>
        <v/>
      </c>
      <c r="S671" s="5" t="str">
        <f>IFERROR(__xludf.DUMMYFUNCTION("""COMPUTED_VALUE"""),"")</f>
        <v/>
      </c>
      <c r="T671" s="5" t="str">
        <f>IFERROR(__xludf.DUMMYFUNCTION("""COMPUTED_VALUE"""),"")</f>
        <v/>
      </c>
      <c r="U671" s="5" t="str">
        <f>IFERROR(__xludf.DUMMYFUNCTION("""COMPUTED_VALUE"""),"")</f>
        <v/>
      </c>
      <c r="V671" s="5" t="str">
        <f>IFERROR(__xludf.DUMMYFUNCTION("""COMPUTED_VALUE"""),"")</f>
        <v/>
      </c>
      <c r="W671" s="5" t="str">
        <f>IFERROR(__xludf.DUMMYFUNCTION("""COMPUTED_VALUE"""),"")</f>
        <v/>
      </c>
      <c r="X671" s="5" t="str">
        <f>IFERROR(__xludf.DUMMYFUNCTION("""COMPUTED_VALUE"""),"")</f>
        <v/>
      </c>
      <c r="Y671" s="5"/>
      <c r="Z671" s="5"/>
    </row>
    <row r="672">
      <c r="A672" s="5" t="str">
        <f>IFERROR(__xludf.DUMMYFUNCTION("""COMPUTED_VALUE"""),"Clovers And Diamonds 20")</f>
        <v>Clovers And Diamonds 20</v>
      </c>
      <c r="B672" s="5" t="str">
        <f>IFERROR(__xludf.DUMMYFUNCTION("""COMPUTED_VALUE"""),"")</f>
        <v/>
      </c>
      <c r="C672" s="5" t="str">
        <f>IFERROR(__xludf.DUMMYFUNCTION("""COMPUTED_VALUE"""),"")</f>
        <v/>
      </c>
      <c r="D672" s="5" t="str">
        <f>IFERROR(__xludf.DUMMYFUNCTION("""COMPUTED_VALUE"""),"")</f>
        <v/>
      </c>
      <c r="E672" s="5" t="str">
        <f>IFERROR(__xludf.DUMMYFUNCTION("""COMPUTED_VALUE"""),"")</f>
        <v/>
      </c>
      <c r="F672" s="5" t="str">
        <f>IFERROR(__xludf.DUMMYFUNCTION("""COMPUTED_VALUE"""),"")</f>
        <v/>
      </c>
      <c r="G672" s="5" t="str">
        <f>IFERROR(__xludf.DUMMYFUNCTION("""COMPUTED_VALUE"""),"")</f>
        <v/>
      </c>
      <c r="H672" s="5" t="str">
        <f>IFERROR(__xludf.DUMMYFUNCTION("""COMPUTED_VALUE"""),"")</f>
        <v/>
      </c>
      <c r="I672" s="5" t="str">
        <f>IFERROR(__xludf.DUMMYFUNCTION("""COMPUTED_VALUE"""),"")</f>
        <v/>
      </c>
      <c r="J672" s="5" t="str">
        <f>IFERROR(__xludf.DUMMYFUNCTION("""COMPUTED_VALUE"""),"")</f>
        <v/>
      </c>
      <c r="K672" s="5" t="str">
        <f>IFERROR(__xludf.DUMMYFUNCTION("""COMPUTED_VALUE"""),"")</f>
        <v/>
      </c>
      <c r="L672" s="5" t="str">
        <f>IFERROR(__xludf.DUMMYFUNCTION("""COMPUTED_VALUE"""),"")</f>
        <v/>
      </c>
      <c r="M672" s="5" t="str">
        <f>IFERROR(__xludf.DUMMYFUNCTION("""COMPUTED_VALUE"""),"")</f>
        <v/>
      </c>
      <c r="N672" s="5" t="str">
        <f>IFERROR(__xludf.DUMMYFUNCTION("""COMPUTED_VALUE"""),"")</f>
        <v/>
      </c>
      <c r="O672" s="5" t="str">
        <f>IFERROR(__xludf.DUMMYFUNCTION("""COMPUTED_VALUE"""),"")</f>
        <v/>
      </c>
      <c r="P672" s="5" t="str">
        <f>IFERROR(__xludf.DUMMYFUNCTION("""COMPUTED_VALUE"""),"")</f>
        <v/>
      </c>
      <c r="Q672" s="5" t="str">
        <f>IFERROR(__xludf.DUMMYFUNCTION("""COMPUTED_VALUE"""),"")</f>
        <v/>
      </c>
      <c r="R672" s="5" t="str">
        <f>IFERROR(__xludf.DUMMYFUNCTION("""COMPUTED_VALUE"""),"")</f>
        <v/>
      </c>
      <c r="S672" s="5" t="str">
        <f>IFERROR(__xludf.DUMMYFUNCTION("""COMPUTED_VALUE"""),"")</f>
        <v/>
      </c>
      <c r="T672" s="5" t="str">
        <f>IFERROR(__xludf.DUMMYFUNCTION("""COMPUTED_VALUE"""),"")</f>
        <v/>
      </c>
      <c r="U672" s="5" t="str">
        <f>IFERROR(__xludf.DUMMYFUNCTION("""COMPUTED_VALUE"""),"")</f>
        <v/>
      </c>
      <c r="V672" s="5" t="str">
        <f>IFERROR(__xludf.DUMMYFUNCTION("""COMPUTED_VALUE"""),"")</f>
        <v/>
      </c>
      <c r="W672" s="5" t="str">
        <f>IFERROR(__xludf.DUMMYFUNCTION("""COMPUTED_VALUE"""),"")</f>
        <v/>
      </c>
      <c r="X672" s="5" t="str">
        <f>IFERROR(__xludf.DUMMYFUNCTION("""COMPUTED_VALUE"""),"")</f>
        <v/>
      </c>
      <c r="Y672" s="5"/>
      <c r="Z672" s="5"/>
    </row>
    <row r="673">
      <c r="A673" s="5" t="str">
        <f>IFERROR(__xludf.DUMMYFUNCTION("""COMPUTED_VALUE"""),"Clovers And Diamonds 40")</f>
        <v>Clovers And Diamonds 40</v>
      </c>
      <c r="B673" s="5" t="str">
        <f>IFERROR(__xludf.DUMMYFUNCTION("""COMPUTED_VALUE"""),"")</f>
        <v/>
      </c>
      <c r="C673" s="5" t="str">
        <f>IFERROR(__xludf.DUMMYFUNCTION("""COMPUTED_VALUE"""),"")</f>
        <v/>
      </c>
      <c r="D673" s="5" t="str">
        <f>IFERROR(__xludf.DUMMYFUNCTION("""COMPUTED_VALUE"""),"")</f>
        <v/>
      </c>
      <c r="E673" s="5" t="str">
        <f>IFERROR(__xludf.DUMMYFUNCTION("""COMPUTED_VALUE"""),"")</f>
        <v/>
      </c>
      <c r="F673" s="5" t="str">
        <f>IFERROR(__xludf.DUMMYFUNCTION("""COMPUTED_VALUE"""),"")</f>
        <v/>
      </c>
      <c r="G673" s="5" t="str">
        <f>IFERROR(__xludf.DUMMYFUNCTION("""COMPUTED_VALUE"""),"")</f>
        <v/>
      </c>
      <c r="H673" s="5" t="str">
        <f>IFERROR(__xludf.DUMMYFUNCTION("""COMPUTED_VALUE"""),"")</f>
        <v/>
      </c>
      <c r="I673" s="5" t="str">
        <f>IFERROR(__xludf.DUMMYFUNCTION("""COMPUTED_VALUE"""),"")</f>
        <v/>
      </c>
      <c r="J673" s="5" t="str">
        <f>IFERROR(__xludf.DUMMYFUNCTION("""COMPUTED_VALUE"""),"")</f>
        <v/>
      </c>
      <c r="K673" s="5" t="str">
        <f>IFERROR(__xludf.DUMMYFUNCTION("""COMPUTED_VALUE"""),"")</f>
        <v/>
      </c>
      <c r="L673" s="5" t="str">
        <f>IFERROR(__xludf.DUMMYFUNCTION("""COMPUTED_VALUE"""),"")</f>
        <v/>
      </c>
      <c r="M673" s="5" t="str">
        <f>IFERROR(__xludf.DUMMYFUNCTION("""COMPUTED_VALUE"""),"")</f>
        <v/>
      </c>
      <c r="N673" s="5" t="str">
        <f>IFERROR(__xludf.DUMMYFUNCTION("""COMPUTED_VALUE"""),"")</f>
        <v/>
      </c>
      <c r="O673" s="5" t="str">
        <f>IFERROR(__xludf.DUMMYFUNCTION("""COMPUTED_VALUE"""),"")</f>
        <v/>
      </c>
      <c r="P673" s="5" t="str">
        <f>IFERROR(__xludf.DUMMYFUNCTION("""COMPUTED_VALUE"""),"")</f>
        <v/>
      </c>
      <c r="Q673" s="5" t="str">
        <f>IFERROR(__xludf.DUMMYFUNCTION("""COMPUTED_VALUE"""),"")</f>
        <v/>
      </c>
      <c r="R673" s="5" t="str">
        <f>IFERROR(__xludf.DUMMYFUNCTION("""COMPUTED_VALUE"""),"")</f>
        <v/>
      </c>
      <c r="S673" s="5" t="str">
        <f>IFERROR(__xludf.DUMMYFUNCTION("""COMPUTED_VALUE"""),"")</f>
        <v/>
      </c>
      <c r="T673" s="5" t="str">
        <f>IFERROR(__xludf.DUMMYFUNCTION("""COMPUTED_VALUE"""),"")</f>
        <v/>
      </c>
      <c r="U673" s="5" t="str">
        <f>IFERROR(__xludf.DUMMYFUNCTION("""COMPUTED_VALUE"""),"")</f>
        <v/>
      </c>
      <c r="V673" s="5" t="str">
        <f>IFERROR(__xludf.DUMMYFUNCTION("""COMPUTED_VALUE"""),"")</f>
        <v/>
      </c>
      <c r="W673" s="5" t="str">
        <f>IFERROR(__xludf.DUMMYFUNCTION("""COMPUTED_VALUE"""),"")</f>
        <v/>
      </c>
      <c r="X673" s="5" t="str">
        <f>IFERROR(__xludf.DUMMYFUNCTION("""COMPUTED_VALUE"""),"")</f>
        <v/>
      </c>
      <c r="Y673" s="5"/>
      <c r="Z673" s="5"/>
    </row>
    <row r="674">
      <c r="A674" s="5" t="str">
        <f>IFERROR(__xludf.DUMMYFUNCTION("""COMPUTED_VALUE"""),"Royalgarden King")</f>
        <v>Royalgarden King</v>
      </c>
      <c r="B674" s="5" t="str">
        <f>IFERROR(__xludf.DUMMYFUNCTION("""COMPUTED_VALUE"""),"")</f>
        <v/>
      </c>
      <c r="C674" s="5" t="str">
        <f>IFERROR(__xludf.DUMMYFUNCTION("""COMPUTED_VALUE"""),"")</f>
        <v/>
      </c>
      <c r="D674" s="5" t="str">
        <f>IFERROR(__xludf.DUMMYFUNCTION("""COMPUTED_VALUE"""),"")</f>
        <v/>
      </c>
      <c r="E674" s="5" t="str">
        <f>IFERROR(__xludf.DUMMYFUNCTION("""COMPUTED_VALUE"""),"")</f>
        <v/>
      </c>
      <c r="F674" s="5" t="str">
        <f>IFERROR(__xludf.DUMMYFUNCTION("""COMPUTED_VALUE"""),"")</f>
        <v/>
      </c>
      <c r="G674" s="5" t="str">
        <f>IFERROR(__xludf.DUMMYFUNCTION("""COMPUTED_VALUE"""),"")</f>
        <v/>
      </c>
      <c r="H674" s="5" t="str">
        <f>IFERROR(__xludf.DUMMYFUNCTION("""COMPUTED_VALUE"""),"")</f>
        <v/>
      </c>
      <c r="I674" s="5" t="str">
        <f>IFERROR(__xludf.DUMMYFUNCTION("""COMPUTED_VALUE"""),"")</f>
        <v/>
      </c>
      <c r="J674" s="5" t="str">
        <f>IFERROR(__xludf.DUMMYFUNCTION("""COMPUTED_VALUE"""),"")</f>
        <v/>
      </c>
      <c r="K674" s="5" t="str">
        <f>IFERROR(__xludf.DUMMYFUNCTION("""COMPUTED_VALUE"""),"")</f>
        <v/>
      </c>
      <c r="L674" s="5" t="str">
        <f>IFERROR(__xludf.DUMMYFUNCTION("""COMPUTED_VALUE"""),"")</f>
        <v/>
      </c>
      <c r="M674" s="5" t="str">
        <f>IFERROR(__xludf.DUMMYFUNCTION("""COMPUTED_VALUE"""),"")</f>
        <v/>
      </c>
      <c r="N674" s="5" t="str">
        <f>IFERROR(__xludf.DUMMYFUNCTION("""COMPUTED_VALUE"""),"")</f>
        <v/>
      </c>
      <c r="O674" s="5" t="str">
        <f>IFERROR(__xludf.DUMMYFUNCTION("""COMPUTED_VALUE"""),"")</f>
        <v/>
      </c>
      <c r="P674" s="5" t="str">
        <f>IFERROR(__xludf.DUMMYFUNCTION("""COMPUTED_VALUE"""),"")</f>
        <v/>
      </c>
      <c r="Q674" s="5" t="str">
        <f>IFERROR(__xludf.DUMMYFUNCTION("""COMPUTED_VALUE"""),"")</f>
        <v/>
      </c>
      <c r="R674" s="5" t="str">
        <f>IFERROR(__xludf.DUMMYFUNCTION("""COMPUTED_VALUE"""),"")</f>
        <v/>
      </c>
      <c r="S674" s="5" t="str">
        <f>IFERROR(__xludf.DUMMYFUNCTION("""COMPUTED_VALUE"""),"")</f>
        <v/>
      </c>
      <c r="T674" s="5" t="str">
        <f>IFERROR(__xludf.DUMMYFUNCTION("""COMPUTED_VALUE"""),"")</f>
        <v/>
      </c>
      <c r="U674" s="5" t="str">
        <f>IFERROR(__xludf.DUMMYFUNCTION("""COMPUTED_VALUE"""),"")</f>
        <v/>
      </c>
      <c r="V674" s="5" t="str">
        <f>IFERROR(__xludf.DUMMYFUNCTION("""COMPUTED_VALUE"""),"")</f>
        <v/>
      </c>
      <c r="W674" s="5" t="str">
        <f>IFERROR(__xludf.DUMMYFUNCTION("""COMPUTED_VALUE"""),"")</f>
        <v/>
      </c>
      <c r="X674" s="5" t="str">
        <f>IFERROR(__xludf.DUMMYFUNCTION("""COMPUTED_VALUE"""),"")</f>
        <v/>
      </c>
      <c r="Y674" s="5"/>
      <c r="Z674" s="5"/>
    </row>
    <row r="675">
      <c r="A675" s="5" t="str">
        <f>IFERROR(__xludf.DUMMYFUNCTION("""COMPUTED_VALUE"""),"Royalgarden Queen")</f>
        <v>Royalgarden Queen</v>
      </c>
      <c r="B675" s="5" t="str">
        <f>IFERROR(__xludf.DUMMYFUNCTION("""COMPUTED_VALUE"""),"")</f>
        <v/>
      </c>
      <c r="C675" s="5" t="str">
        <f>IFERROR(__xludf.DUMMYFUNCTION("""COMPUTED_VALUE"""),"")</f>
        <v/>
      </c>
      <c r="D675" s="5" t="str">
        <f>IFERROR(__xludf.DUMMYFUNCTION("""COMPUTED_VALUE"""),"")</f>
        <v/>
      </c>
      <c r="E675" s="5" t="str">
        <f>IFERROR(__xludf.DUMMYFUNCTION("""COMPUTED_VALUE"""),"")</f>
        <v/>
      </c>
      <c r="F675" s="5" t="str">
        <f>IFERROR(__xludf.DUMMYFUNCTION("""COMPUTED_VALUE"""),"")</f>
        <v/>
      </c>
      <c r="G675" s="5" t="str">
        <f>IFERROR(__xludf.DUMMYFUNCTION("""COMPUTED_VALUE"""),"")</f>
        <v/>
      </c>
      <c r="H675" s="5" t="str">
        <f>IFERROR(__xludf.DUMMYFUNCTION("""COMPUTED_VALUE"""),"")</f>
        <v/>
      </c>
      <c r="I675" s="5" t="str">
        <f>IFERROR(__xludf.DUMMYFUNCTION("""COMPUTED_VALUE"""),"")</f>
        <v/>
      </c>
      <c r="J675" s="5" t="str">
        <f>IFERROR(__xludf.DUMMYFUNCTION("""COMPUTED_VALUE"""),"")</f>
        <v/>
      </c>
      <c r="K675" s="5" t="str">
        <f>IFERROR(__xludf.DUMMYFUNCTION("""COMPUTED_VALUE"""),"")</f>
        <v/>
      </c>
      <c r="L675" s="5" t="str">
        <f>IFERROR(__xludf.DUMMYFUNCTION("""COMPUTED_VALUE"""),"")</f>
        <v/>
      </c>
      <c r="M675" s="5" t="str">
        <f>IFERROR(__xludf.DUMMYFUNCTION("""COMPUTED_VALUE"""),"")</f>
        <v/>
      </c>
      <c r="N675" s="5" t="str">
        <f>IFERROR(__xludf.DUMMYFUNCTION("""COMPUTED_VALUE"""),"")</f>
        <v/>
      </c>
      <c r="O675" s="5" t="str">
        <f>IFERROR(__xludf.DUMMYFUNCTION("""COMPUTED_VALUE"""),"")</f>
        <v/>
      </c>
      <c r="P675" s="5" t="str">
        <f>IFERROR(__xludf.DUMMYFUNCTION("""COMPUTED_VALUE"""),"")</f>
        <v/>
      </c>
      <c r="Q675" s="5" t="str">
        <f>IFERROR(__xludf.DUMMYFUNCTION("""COMPUTED_VALUE"""),"")</f>
        <v/>
      </c>
      <c r="R675" s="5" t="str">
        <f>IFERROR(__xludf.DUMMYFUNCTION("""COMPUTED_VALUE"""),"")</f>
        <v/>
      </c>
      <c r="S675" s="5" t="str">
        <f>IFERROR(__xludf.DUMMYFUNCTION("""COMPUTED_VALUE"""),"")</f>
        <v/>
      </c>
      <c r="T675" s="5" t="str">
        <f>IFERROR(__xludf.DUMMYFUNCTION("""COMPUTED_VALUE"""),"")</f>
        <v/>
      </c>
      <c r="U675" s="5" t="str">
        <f>IFERROR(__xludf.DUMMYFUNCTION("""COMPUTED_VALUE"""),"")</f>
        <v/>
      </c>
      <c r="V675" s="5" t="str">
        <f>IFERROR(__xludf.DUMMYFUNCTION("""COMPUTED_VALUE"""),"")</f>
        <v/>
      </c>
      <c r="W675" s="5" t="str">
        <f>IFERROR(__xludf.DUMMYFUNCTION("""COMPUTED_VALUE"""),"")</f>
        <v/>
      </c>
      <c r="X675" s="5" t="str">
        <f>IFERROR(__xludf.DUMMYFUNCTION("""COMPUTED_VALUE"""),"")</f>
        <v/>
      </c>
      <c r="Y675" s="5"/>
      <c r="Z675" s="5"/>
    </row>
    <row r="676">
      <c r="A676" s="5" t="str">
        <f>IFERROR(__xludf.DUMMYFUNCTION("""COMPUTED_VALUE"""),"Wild Hot Jacks 40")</f>
        <v>Wild Hot Jacks 40</v>
      </c>
      <c r="B676" s="5" t="str">
        <f>IFERROR(__xludf.DUMMYFUNCTION("""COMPUTED_VALUE"""),"")</f>
        <v/>
      </c>
      <c r="C676" s="5" t="str">
        <f>IFERROR(__xludf.DUMMYFUNCTION("""COMPUTED_VALUE"""),"")</f>
        <v/>
      </c>
      <c r="D676" s="5" t="str">
        <f>IFERROR(__xludf.DUMMYFUNCTION("""COMPUTED_VALUE"""),"")</f>
        <v/>
      </c>
      <c r="E676" s="5" t="str">
        <f>IFERROR(__xludf.DUMMYFUNCTION("""COMPUTED_VALUE"""),"")</f>
        <v/>
      </c>
      <c r="F676" s="5" t="str">
        <f>IFERROR(__xludf.DUMMYFUNCTION("""COMPUTED_VALUE"""),"")</f>
        <v/>
      </c>
      <c r="G676" s="5" t="str">
        <f>IFERROR(__xludf.DUMMYFUNCTION("""COMPUTED_VALUE"""),"")</f>
        <v/>
      </c>
      <c r="H676" s="5" t="str">
        <f>IFERROR(__xludf.DUMMYFUNCTION("""COMPUTED_VALUE"""),"")</f>
        <v/>
      </c>
      <c r="I676" s="5" t="str">
        <f>IFERROR(__xludf.DUMMYFUNCTION("""COMPUTED_VALUE"""),"")</f>
        <v/>
      </c>
      <c r="J676" s="5" t="str">
        <f>IFERROR(__xludf.DUMMYFUNCTION("""COMPUTED_VALUE"""),"")</f>
        <v/>
      </c>
      <c r="K676" s="5" t="str">
        <f>IFERROR(__xludf.DUMMYFUNCTION("""COMPUTED_VALUE"""),"")</f>
        <v/>
      </c>
      <c r="L676" s="5" t="str">
        <f>IFERROR(__xludf.DUMMYFUNCTION("""COMPUTED_VALUE"""),"")</f>
        <v/>
      </c>
      <c r="M676" s="5" t="str">
        <f>IFERROR(__xludf.DUMMYFUNCTION("""COMPUTED_VALUE"""),"Development")</f>
        <v>Development</v>
      </c>
      <c r="N676" s="5" t="str">
        <f>IFERROR(__xludf.DUMMYFUNCTION("""COMPUTED_VALUE"""),"")</f>
        <v/>
      </c>
      <c r="O676" s="5" t="str">
        <f>IFERROR(__xludf.DUMMYFUNCTION("""COMPUTED_VALUE"""),"")</f>
        <v/>
      </c>
      <c r="P676" s="5" t="str">
        <f>IFERROR(__xludf.DUMMYFUNCTION("""COMPUTED_VALUE"""),"")</f>
        <v/>
      </c>
      <c r="Q676" s="5" t="str">
        <f>IFERROR(__xludf.DUMMYFUNCTION("""COMPUTED_VALUE"""),"")</f>
        <v/>
      </c>
      <c r="R676" s="5" t="str">
        <f>IFERROR(__xludf.DUMMYFUNCTION("""COMPUTED_VALUE"""),"")</f>
        <v/>
      </c>
      <c r="S676" s="5" t="str">
        <f>IFERROR(__xludf.DUMMYFUNCTION("""COMPUTED_VALUE"""),"")</f>
        <v/>
      </c>
      <c r="T676" s="5" t="str">
        <f>IFERROR(__xludf.DUMMYFUNCTION("""COMPUTED_VALUE"""),"")</f>
        <v/>
      </c>
      <c r="U676" s="5" t="str">
        <f>IFERROR(__xludf.DUMMYFUNCTION("""COMPUTED_VALUE"""),"")</f>
        <v/>
      </c>
      <c r="V676" s="5" t="str">
        <f>IFERROR(__xludf.DUMMYFUNCTION("""COMPUTED_VALUE"""),"")</f>
        <v/>
      </c>
      <c r="W676" s="5" t="str">
        <f>IFERROR(__xludf.DUMMYFUNCTION("""COMPUTED_VALUE"""),"")</f>
        <v/>
      </c>
      <c r="X676" s="5" t="str">
        <f>IFERROR(__xludf.DUMMYFUNCTION("""COMPUTED_VALUE"""),"")</f>
        <v/>
      </c>
      <c r="Y676" s="5"/>
      <c r="Z676" s="5"/>
    </row>
    <row r="677">
      <c r="A677" s="5" t="str">
        <f>IFERROR(__xludf.DUMMYFUNCTION("""COMPUTED_VALUE"""),"Grandpashabet Clover 40")</f>
        <v>Grandpashabet Clover 40</v>
      </c>
      <c r="B677" s="5" t="str">
        <f>IFERROR(__xludf.DUMMYFUNCTION("""COMPUTED_VALUE"""),"")</f>
        <v/>
      </c>
      <c r="C677" s="5" t="str">
        <f>IFERROR(__xludf.DUMMYFUNCTION("""COMPUTED_VALUE"""),"")</f>
        <v/>
      </c>
      <c r="D677" s="5" t="str">
        <f>IFERROR(__xludf.DUMMYFUNCTION("""COMPUTED_VALUE"""),"")</f>
        <v/>
      </c>
      <c r="E677" s="5" t="str">
        <f>IFERROR(__xludf.DUMMYFUNCTION("""COMPUTED_VALUE"""),"")</f>
        <v/>
      </c>
      <c r="F677" s="5" t="str">
        <f>IFERROR(__xludf.DUMMYFUNCTION("""COMPUTED_VALUE"""),"")</f>
        <v/>
      </c>
      <c r="G677" s="5" t="str">
        <f>IFERROR(__xludf.DUMMYFUNCTION("""COMPUTED_VALUE"""),"")</f>
        <v/>
      </c>
      <c r="H677" s="5" t="str">
        <f>IFERROR(__xludf.DUMMYFUNCTION("""COMPUTED_VALUE"""),"")</f>
        <v/>
      </c>
      <c r="I677" s="5" t="str">
        <f>IFERROR(__xludf.DUMMYFUNCTION("""COMPUTED_VALUE"""),"")</f>
        <v/>
      </c>
      <c r="J677" s="5" t="str">
        <f>IFERROR(__xludf.DUMMYFUNCTION("""COMPUTED_VALUE"""),"")</f>
        <v/>
      </c>
      <c r="K677" s="5" t="str">
        <f>IFERROR(__xludf.DUMMYFUNCTION("""COMPUTED_VALUE"""),"")</f>
        <v/>
      </c>
      <c r="L677" s="5" t="str">
        <f>IFERROR(__xludf.DUMMYFUNCTION("""COMPUTED_VALUE"""),"")</f>
        <v/>
      </c>
      <c r="M677" s="5" t="str">
        <f>IFERROR(__xludf.DUMMYFUNCTION("""COMPUTED_VALUE"""),"")</f>
        <v/>
      </c>
      <c r="N677" s="5" t="str">
        <f>IFERROR(__xludf.DUMMYFUNCTION("""COMPUTED_VALUE"""),"")</f>
        <v/>
      </c>
      <c r="O677" s="5" t="str">
        <f>IFERROR(__xludf.DUMMYFUNCTION("""COMPUTED_VALUE"""),"")</f>
        <v/>
      </c>
      <c r="P677" s="5" t="str">
        <f>IFERROR(__xludf.DUMMYFUNCTION("""COMPUTED_VALUE"""),"")</f>
        <v/>
      </c>
      <c r="Q677" s="5" t="str">
        <f>IFERROR(__xludf.DUMMYFUNCTION("""COMPUTED_VALUE"""),"")</f>
        <v/>
      </c>
      <c r="R677" s="5" t="str">
        <f>IFERROR(__xludf.DUMMYFUNCTION("""COMPUTED_VALUE"""),"")</f>
        <v/>
      </c>
      <c r="S677" s="5" t="str">
        <f>IFERROR(__xludf.DUMMYFUNCTION("""COMPUTED_VALUE"""),"")</f>
        <v/>
      </c>
      <c r="T677" s="5" t="str">
        <f>IFERROR(__xludf.DUMMYFUNCTION("""COMPUTED_VALUE"""),"")</f>
        <v/>
      </c>
      <c r="U677" s="5" t="str">
        <f>IFERROR(__xludf.DUMMYFUNCTION("""COMPUTED_VALUE"""),"")</f>
        <v/>
      </c>
      <c r="V677" s="5" t="str">
        <f>IFERROR(__xludf.DUMMYFUNCTION("""COMPUTED_VALUE"""),"")</f>
        <v/>
      </c>
      <c r="W677" s="5" t="str">
        <f>IFERROR(__xludf.DUMMYFUNCTION("""COMPUTED_VALUE"""),"")</f>
        <v/>
      </c>
      <c r="X677" s="5" t="str">
        <f>IFERROR(__xludf.DUMMYFUNCTION("""COMPUTED_VALUE"""),"")</f>
        <v/>
      </c>
      <c r="Y677" s="5"/>
      <c r="Z677" s="5"/>
    </row>
    <row r="678">
      <c r="A678" s="5" t="str">
        <f>IFERROR(__xludf.DUMMYFUNCTION("""COMPUTED_VALUE"""),"Cro Casino Golden Crown")</f>
        <v>Cro Casino Golden Crown</v>
      </c>
      <c r="B678" s="5" t="str">
        <f>IFERROR(__xludf.DUMMYFUNCTION("""COMPUTED_VALUE"""),"")</f>
        <v/>
      </c>
      <c r="C678" s="5" t="str">
        <f>IFERROR(__xludf.DUMMYFUNCTION("""COMPUTED_VALUE"""),"")</f>
        <v/>
      </c>
      <c r="D678" s="5" t="str">
        <f>IFERROR(__xludf.DUMMYFUNCTION("""COMPUTED_VALUE"""),"")</f>
        <v/>
      </c>
      <c r="E678" s="5" t="str">
        <f>IFERROR(__xludf.DUMMYFUNCTION("""COMPUTED_VALUE"""),"")</f>
        <v/>
      </c>
      <c r="F678" s="5" t="str">
        <f>IFERROR(__xludf.DUMMYFUNCTION("""COMPUTED_VALUE"""),"")</f>
        <v/>
      </c>
      <c r="G678" s="5" t="str">
        <f>IFERROR(__xludf.DUMMYFUNCTION("""COMPUTED_VALUE"""),"")</f>
        <v/>
      </c>
      <c r="H678" s="5" t="str">
        <f>IFERROR(__xludf.DUMMYFUNCTION("""COMPUTED_VALUE"""),"Cert Preparation")</f>
        <v>Cert Preparation</v>
      </c>
      <c r="I678" s="5" t="str">
        <f>IFERROR(__xludf.DUMMYFUNCTION("""COMPUTED_VALUE"""),"")</f>
        <v/>
      </c>
      <c r="J678" s="5" t="str">
        <f>IFERROR(__xludf.DUMMYFUNCTION("""COMPUTED_VALUE"""),"")</f>
        <v/>
      </c>
      <c r="K678" s="5" t="str">
        <f>IFERROR(__xludf.DUMMYFUNCTION("""COMPUTED_VALUE"""),"")</f>
        <v/>
      </c>
      <c r="L678" s="5" t="str">
        <f>IFERROR(__xludf.DUMMYFUNCTION("""COMPUTED_VALUE"""),"")</f>
        <v/>
      </c>
      <c r="M678" s="5" t="str">
        <f>IFERROR(__xludf.DUMMYFUNCTION("""COMPUTED_VALUE"""),"")</f>
        <v/>
      </c>
      <c r="N678" s="5" t="str">
        <f>IFERROR(__xludf.DUMMYFUNCTION("""COMPUTED_VALUE"""),"")</f>
        <v/>
      </c>
      <c r="O678" s="5" t="str">
        <f>IFERROR(__xludf.DUMMYFUNCTION("""COMPUTED_VALUE"""),"")</f>
        <v/>
      </c>
      <c r="P678" s="5" t="str">
        <f>IFERROR(__xludf.DUMMYFUNCTION("""COMPUTED_VALUE"""),"")</f>
        <v/>
      </c>
      <c r="Q678" s="5" t="str">
        <f>IFERROR(__xludf.DUMMYFUNCTION("""COMPUTED_VALUE"""),"")</f>
        <v/>
      </c>
      <c r="R678" s="5" t="str">
        <f>IFERROR(__xludf.DUMMYFUNCTION("""COMPUTED_VALUE"""),"")</f>
        <v/>
      </c>
      <c r="S678" s="5" t="str">
        <f>IFERROR(__xludf.DUMMYFUNCTION("""COMPUTED_VALUE"""),"")</f>
        <v/>
      </c>
      <c r="T678" s="5" t="str">
        <f>IFERROR(__xludf.DUMMYFUNCTION("""COMPUTED_VALUE"""),"")</f>
        <v/>
      </c>
      <c r="U678" s="5" t="str">
        <f>IFERROR(__xludf.DUMMYFUNCTION("""COMPUTED_VALUE"""),"")</f>
        <v/>
      </c>
      <c r="V678" s="5" t="str">
        <f>IFERROR(__xludf.DUMMYFUNCTION("""COMPUTED_VALUE"""),"")</f>
        <v/>
      </c>
      <c r="W678" s="5" t="str">
        <f>IFERROR(__xludf.DUMMYFUNCTION("""COMPUTED_VALUE"""),"")</f>
        <v/>
      </c>
      <c r="X678" s="5" t="str">
        <f>IFERROR(__xludf.DUMMYFUNCTION("""COMPUTED_VALUE"""),"")</f>
        <v/>
      </c>
      <c r="Y678" s="5"/>
      <c r="Z678" s="5"/>
    </row>
    <row r="679">
      <c r="A679" s="5" t="str">
        <f>IFERROR(__xludf.DUMMYFUNCTION("""COMPUTED_VALUE"""),"Wild Shine 40")</f>
        <v>Wild Shine 40</v>
      </c>
      <c r="B679" s="5" t="str">
        <f>IFERROR(__xludf.DUMMYFUNCTION("""COMPUTED_VALUE"""),"")</f>
        <v/>
      </c>
      <c r="C679" s="5" t="str">
        <f>IFERROR(__xludf.DUMMYFUNCTION("""COMPUTED_VALUE"""),"")</f>
        <v/>
      </c>
      <c r="D679" s="5" t="str">
        <f>IFERROR(__xludf.DUMMYFUNCTION("""COMPUTED_VALUE"""),"")</f>
        <v/>
      </c>
      <c r="E679" s="5" t="str">
        <f>IFERROR(__xludf.DUMMYFUNCTION("""COMPUTED_VALUE"""),"")</f>
        <v/>
      </c>
      <c r="F679" s="5" t="str">
        <f>IFERROR(__xludf.DUMMYFUNCTION("""COMPUTED_VALUE"""),"")</f>
        <v/>
      </c>
      <c r="G679" s="5" t="str">
        <f>IFERROR(__xludf.DUMMYFUNCTION("""COMPUTED_VALUE"""),"")</f>
        <v/>
      </c>
      <c r="H679" s="5" t="str">
        <f>IFERROR(__xludf.DUMMYFUNCTION("""COMPUTED_VALUE"""),"")</f>
        <v/>
      </c>
      <c r="I679" s="5" t="str">
        <f>IFERROR(__xludf.DUMMYFUNCTION("""COMPUTED_VALUE"""),"")</f>
        <v/>
      </c>
      <c r="J679" s="5" t="str">
        <f>IFERROR(__xludf.DUMMYFUNCTION("""COMPUTED_VALUE"""),"")</f>
        <v/>
      </c>
      <c r="K679" s="5" t="str">
        <f>IFERROR(__xludf.DUMMYFUNCTION("""COMPUTED_VALUE"""),"")</f>
        <v/>
      </c>
      <c r="L679" s="5" t="str">
        <f>IFERROR(__xludf.DUMMYFUNCTION("""COMPUTED_VALUE"""),"")</f>
        <v/>
      </c>
      <c r="M679" s="5" t="str">
        <f>IFERROR(__xludf.DUMMYFUNCTION("""COMPUTED_VALUE"""),"")</f>
        <v/>
      </c>
      <c r="N679" s="5" t="str">
        <f>IFERROR(__xludf.DUMMYFUNCTION("""COMPUTED_VALUE"""),"")</f>
        <v/>
      </c>
      <c r="O679" s="5" t="str">
        <f>IFERROR(__xludf.DUMMYFUNCTION("""COMPUTED_VALUE"""),"")</f>
        <v/>
      </c>
      <c r="P679" s="5" t="str">
        <f>IFERROR(__xludf.DUMMYFUNCTION("""COMPUTED_VALUE"""),"")</f>
        <v/>
      </c>
      <c r="Q679" s="5" t="str">
        <f>IFERROR(__xludf.DUMMYFUNCTION("""COMPUTED_VALUE"""),"")</f>
        <v/>
      </c>
      <c r="R679" s="5" t="str">
        <f>IFERROR(__xludf.DUMMYFUNCTION("""COMPUTED_VALUE"""),"")</f>
        <v/>
      </c>
      <c r="S679" s="5" t="str">
        <f>IFERROR(__xludf.DUMMYFUNCTION("""COMPUTED_VALUE"""),"")</f>
        <v/>
      </c>
      <c r="T679" s="5" t="str">
        <f>IFERROR(__xludf.DUMMYFUNCTION("""COMPUTED_VALUE"""),"")</f>
        <v/>
      </c>
      <c r="U679" s="5" t="str">
        <f>IFERROR(__xludf.DUMMYFUNCTION("""COMPUTED_VALUE"""),"")</f>
        <v/>
      </c>
      <c r="V679" s="5" t="str">
        <f>IFERROR(__xludf.DUMMYFUNCTION("""COMPUTED_VALUE"""),"")</f>
        <v/>
      </c>
      <c r="W679" s="5" t="str">
        <f>IFERROR(__xludf.DUMMYFUNCTION("""COMPUTED_VALUE"""),"")</f>
        <v/>
      </c>
      <c r="X679" s="5" t="str">
        <f>IFERROR(__xludf.DUMMYFUNCTION("""COMPUTED_VALUE"""),"")</f>
        <v/>
      </c>
      <c r="Y679" s="5"/>
      <c r="Z679" s="5"/>
    </row>
    <row r="680">
      <c r="A680" s="5" t="str">
        <f>IFERROR(__xludf.DUMMYFUNCTION("""COMPUTED_VALUE"""),"Hot Fireballs")</f>
        <v>Hot Fireballs</v>
      </c>
      <c r="B680" s="5" t="str">
        <f>IFERROR(__xludf.DUMMYFUNCTION("""COMPUTED_VALUE"""),"")</f>
        <v/>
      </c>
      <c r="C680" s="5" t="str">
        <f>IFERROR(__xludf.DUMMYFUNCTION("""COMPUTED_VALUE"""),"")</f>
        <v/>
      </c>
      <c r="D680" s="5" t="str">
        <f>IFERROR(__xludf.DUMMYFUNCTION("""COMPUTED_VALUE"""),"")</f>
        <v/>
      </c>
      <c r="E680" s="5" t="str">
        <f>IFERROR(__xludf.DUMMYFUNCTION("""COMPUTED_VALUE"""),"")</f>
        <v/>
      </c>
      <c r="F680" s="5" t="str">
        <f>IFERROR(__xludf.DUMMYFUNCTION("""COMPUTED_VALUE"""),"")</f>
        <v/>
      </c>
      <c r="G680" s="5" t="str">
        <f>IFERROR(__xludf.DUMMYFUNCTION("""COMPUTED_VALUE"""),"")</f>
        <v/>
      </c>
      <c r="H680" s="5" t="str">
        <f>IFERROR(__xludf.DUMMYFUNCTION("""COMPUTED_VALUE"""),"")</f>
        <v/>
      </c>
      <c r="I680" s="5" t="str">
        <f>IFERROR(__xludf.DUMMYFUNCTION("""COMPUTED_VALUE"""),"")</f>
        <v/>
      </c>
      <c r="J680" s="5" t="str">
        <f>IFERROR(__xludf.DUMMYFUNCTION("""COMPUTED_VALUE"""),"")</f>
        <v/>
      </c>
      <c r="K680" s="5" t="str">
        <f>IFERROR(__xludf.DUMMYFUNCTION("""COMPUTED_VALUE"""),"")</f>
        <v/>
      </c>
      <c r="L680" s="5" t="str">
        <f>IFERROR(__xludf.DUMMYFUNCTION("""COMPUTED_VALUE"""),"")</f>
        <v/>
      </c>
      <c r="M680" s="5" t="str">
        <f>IFERROR(__xludf.DUMMYFUNCTION("""COMPUTED_VALUE"""),"")</f>
        <v/>
      </c>
      <c r="N680" s="5" t="str">
        <f>IFERROR(__xludf.DUMMYFUNCTION("""COMPUTED_VALUE"""),"")</f>
        <v/>
      </c>
      <c r="O680" s="5" t="str">
        <f>IFERROR(__xludf.DUMMYFUNCTION("""COMPUTED_VALUE"""),"")</f>
        <v/>
      </c>
      <c r="P680" s="5" t="str">
        <f>IFERROR(__xludf.DUMMYFUNCTION("""COMPUTED_VALUE"""),"")</f>
        <v/>
      </c>
      <c r="Q680" s="5" t="str">
        <f>IFERROR(__xludf.DUMMYFUNCTION("""COMPUTED_VALUE"""),"")</f>
        <v/>
      </c>
      <c r="R680" s="5" t="str">
        <f>IFERROR(__xludf.DUMMYFUNCTION("""COMPUTED_VALUE"""),"")</f>
        <v/>
      </c>
      <c r="S680" s="5" t="str">
        <f>IFERROR(__xludf.DUMMYFUNCTION("""COMPUTED_VALUE"""),"")</f>
        <v/>
      </c>
      <c r="T680" s="5" t="str">
        <f>IFERROR(__xludf.DUMMYFUNCTION("""COMPUTED_VALUE"""),"")</f>
        <v/>
      </c>
      <c r="U680" s="5" t="str">
        <f>IFERROR(__xludf.DUMMYFUNCTION("""COMPUTED_VALUE"""),"")</f>
        <v/>
      </c>
      <c r="V680" s="5" t="str">
        <f>IFERROR(__xludf.DUMMYFUNCTION("""COMPUTED_VALUE"""),"")</f>
        <v/>
      </c>
      <c r="W680" s="5" t="str">
        <f>IFERROR(__xludf.DUMMYFUNCTION("""COMPUTED_VALUE"""),"")</f>
        <v/>
      </c>
      <c r="X680" s="5" t="str">
        <f>IFERROR(__xludf.DUMMYFUNCTION("""COMPUTED_VALUE"""),"")</f>
        <v/>
      </c>
      <c r="Y680" s="5"/>
      <c r="Z680" s="5"/>
    </row>
    <row r="681">
      <c r="A681" s="5" t="str">
        <f>IFERROR(__xludf.DUMMYFUNCTION("""COMPUTED_VALUE"""),"Three Reel Dice")</f>
        <v>Three Reel Dice</v>
      </c>
      <c r="B681" s="5" t="str">
        <f>IFERROR(__xludf.DUMMYFUNCTION("""COMPUTED_VALUE"""),"")</f>
        <v/>
      </c>
      <c r="C681" s="5" t="str">
        <f>IFERROR(__xludf.DUMMYFUNCTION("""COMPUTED_VALUE"""),"")</f>
        <v/>
      </c>
      <c r="D681" s="5" t="str">
        <f>IFERROR(__xludf.DUMMYFUNCTION("""COMPUTED_VALUE"""),"")</f>
        <v/>
      </c>
      <c r="E681" s="5" t="str">
        <f>IFERROR(__xludf.DUMMYFUNCTION("""COMPUTED_VALUE"""),"")</f>
        <v/>
      </c>
      <c r="F681" s="5" t="str">
        <f>IFERROR(__xludf.DUMMYFUNCTION("""COMPUTED_VALUE"""),"")</f>
        <v/>
      </c>
      <c r="G681" s="5" t="str">
        <f>IFERROR(__xludf.DUMMYFUNCTION("""COMPUTED_VALUE"""),"")</f>
        <v/>
      </c>
      <c r="H681" s="5" t="str">
        <f>IFERROR(__xludf.DUMMYFUNCTION("""COMPUTED_VALUE"""),"")</f>
        <v/>
      </c>
      <c r="I681" s="5" t="str">
        <f>IFERROR(__xludf.DUMMYFUNCTION("""COMPUTED_VALUE"""),"")</f>
        <v/>
      </c>
      <c r="J681" s="5" t="str">
        <f>IFERROR(__xludf.DUMMYFUNCTION("""COMPUTED_VALUE"""),"")</f>
        <v/>
      </c>
      <c r="K681" s="5" t="str">
        <f>IFERROR(__xludf.DUMMYFUNCTION("""COMPUTED_VALUE"""),"")</f>
        <v/>
      </c>
      <c r="L681" s="5" t="str">
        <f>IFERROR(__xludf.DUMMYFUNCTION("""COMPUTED_VALUE"""),"")</f>
        <v/>
      </c>
      <c r="M681" s="5" t="str">
        <f>IFERROR(__xludf.DUMMYFUNCTION("""COMPUTED_VALUE"""),"")</f>
        <v/>
      </c>
      <c r="N681" s="5" t="str">
        <f>IFERROR(__xludf.DUMMYFUNCTION("""COMPUTED_VALUE"""),"")</f>
        <v/>
      </c>
      <c r="O681" s="5" t="str">
        <f>IFERROR(__xludf.DUMMYFUNCTION("""COMPUTED_VALUE"""),"")</f>
        <v/>
      </c>
      <c r="P681" s="5" t="str">
        <f>IFERROR(__xludf.DUMMYFUNCTION("""COMPUTED_VALUE"""),"")</f>
        <v/>
      </c>
      <c r="Q681" s="5" t="str">
        <f>IFERROR(__xludf.DUMMYFUNCTION("""COMPUTED_VALUE"""),"")</f>
        <v/>
      </c>
      <c r="R681" s="5" t="str">
        <f>IFERROR(__xludf.DUMMYFUNCTION("""COMPUTED_VALUE"""),"")</f>
        <v/>
      </c>
      <c r="S681" s="5" t="str">
        <f>IFERROR(__xludf.DUMMYFUNCTION("""COMPUTED_VALUE"""),"")</f>
        <v/>
      </c>
      <c r="T681" s="5" t="str">
        <f>IFERROR(__xludf.DUMMYFUNCTION("""COMPUTED_VALUE"""),"")</f>
        <v/>
      </c>
      <c r="U681" s="5" t="str">
        <f>IFERROR(__xludf.DUMMYFUNCTION("""COMPUTED_VALUE"""),"")</f>
        <v/>
      </c>
      <c r="V681" s="5" t="str">
        <f>IFERROR(__xludf.DUMMYFUNCTION("""COMPUTED_VALUE"""),"")</f>
        <v/>
      </c>
      <c r="W681" s="5" t="str">
        <f>IFERROR(__xludf.DUMMYFUNCTION("""COMPUTED_VALUE"""),"")</f>
        <v/>
      </c>
      <c r="X681" s="5" t="str">
        <f>IFERROR(__xludf.DUMMYFUNCTION("""COMPUTED_VALUE"""),"")</f>
        <v/>
      </c>
      <c r="Y681" s="5"/>
      <c r="Z681" s="5"/>
    </row>
    <row r="682">
      <c r="A682" s="5" t="str">
        <f>IFERROR(__xludf.DUMMYFUNCTION("""COMPUTED_VALUE"""),"Tropical Treasure")</f>
        <v>Tropical Treasure</v>
      </c>
      <c r="B682" s="5" t="str">
        <f>IFERROR(__xludf.DUMMYFUNCTION("""COMPUTED_VALUE"""),"")</f>
        <v/>
      </c>
      <c r="C682" s="5" t="str">
        <f>IFERROR(__xludf.DUMMYFUNCTION("""COMPUTED_VALUE"""),"")</f>
        <v/>
      </c>
      <c r="D682" s="5" t="str">
        <f>IFERROR(__xludf.DUMMYFUNCTION("""COMPUTED_VALUE"""),"")</f>
        <v/>
      </c>
      <c r="E682" s="5" t="str">
        <f>IFERROR(__xludf.DUMMYFUNCTION("""COMPUTED_VALUE"""),"")</f>
        <v/>
      </c>
      <c r="F682" s="5" t="str">
        <f>IFERROR(__xludf.DUMMYFUNCTION("""COMPUTED_VALUE"""),"")</f>
        <v/>
      </c>
      <c r="G682" s="5" t="str">
        <f>IFERROR(__xludf.DUMMYFUNCTION("""COMPUTED_VALUE"""),"")</f>
        <v/>
      </c>
      <c r="H682" s="5" t="str">
        <f>IFERROR(__xludf.DUMMYFUNCTION("""COMPUTED_VALUE"""),"")</f>
        <v/>
      </c>
      <c r="I682" s="5" t="str">
        <f>IFERROR(__xludf.DUMMYFUNCTION("""COMPUTED_VALUE"""),"")</f>
        <v/>
      </c>
      <c r="J682" s="5" t="str">
        <f>IFERROR(__xludf.DUMMYFUNCTION("""COMPUTED_VALUE"""),"")</f>
        <v/>
      </c>
      <c r="K682" s="5" t="str">
        <f>IFERROR(__xludf.DUMMYFUNCTION("""COMPUTED_VALUE"""),"")</f>
        <v/>
      </c>
      <c r="L682" s="5" t="str">
        <f>IFERROR(__xludf.DUMMYFUNCTION("""COMPUTED_VALUE"""),"")</f>
        <v/>
      </c>
      <c r="M682" s="5" t="str">
        <f>IFERROR(__xludf.DUMMYFUNCTION("""COMPUTED_VALUE"""),"")</f>
        <v/>
      </c>
      <c r="N682" s="5" t="str">
        <f>IFERROR(__xludf.DUMMYFUNCTION("""COMPUTED_VALUE"""),"")</f>
        <v/>
      </c>
      <c r="O682" s="5" t="str">
        <f>IFERROR(__xludf.DUMMYFUNCTION("""COMPUTED_VALUE"""),"")</f>
        <v/>
      </c>
      <c r="P682" s="5" t="str">
        <f>IFERROR(__xludf.DUMMYFUNCTION("""COMPUTED_VALUE"""),"")</f>
        <v/>
      </c>
      <c r="Q682" s="5" t="str">
        <f>IFERROR(__xludf.DUMMYFUNCTION("""COMPUTED_VALUE"""),"")</f>
        <v/>
      </c>
      <c r="R682" s="5" t="str">
        <f>IFERROR(__xludf.DUMMYFUNCTION("""COMPUTED_VALUE"""),"")</f>
        <v/>
      </c>
      <c r="S682" s="5" t="str">
        <f>IFERROR(__xludf.DUMMYFUNCTION("""COMPUTED_VALUE"""),"")</f>
        <v/>
      </c>
      <c r="T682" s="5" t="str">
        <f>IFERROR(__xludf.DUMMYFUNCTION("""COMPUTED_VALUE"""),"")</f>
        <v/>
      </c>
      <c r="U682" s="5" t="str">
        <f>IFERROR(__xludf.DUMMYFUNCTION("""COMPUTED_VALUE"""),"")</f>
        <v/>
      </c>
      <c r="V682" s="5" t="str">
        <f>IFERROR(__xludf.DUMMYFUNCTION("""COMPUTED_VALUE"""),"")</f>
        <v/>
      </c>
      <c r="W682" s="5" t="str">
        <f>IFERROR(__xludf.DUMMYFUNCTION("""COMPUTED_VALUE"""),"")</f>
        <v/>
      </c>
      <c r="X682" s="5" t="str">
        <f>IFERROR(__xludf.DUMMYFUNCTION("""COMPUTED_VALUE"""),"")</f>
        <v/>
      </c>
      <c r="Y682" s="5"/>
      <c r="Z682" s="5"/>
    </row>
    <row r="683">
      <c r="A683" s="5" t="str">
        <f>IFERROR(__xludf.DUMMYFUNCTION("""COMPUTED_VALUE"""),"Golden Gate Fruit")</f>
        <v>Golden Gate Fruit</v>
      </c>
      <c r="B683" s="5" t="str">
        <f>IFERROR(__xludf.DUMMYFUNCTION("""COMPUTED_VALUE"""),"")</f>
        <v/>
      </c>
      <c r="C683" s="5" t="str">
        <f>IFERROR(__xludf.DUMMYFUNCTION("""COMPUTED_VALUE"""),"")</f>
        <v/>
      </c>
      <c r="D683" s="5" t="str">
        <f>IFERROR(__xludf.DUMMYFUNCTION("""COMPUTED_VALUE"""),"")</f>
        <v/>
      </c>
      <c r="E683" s="5" t="str">
        <f>IFERROR(__xludf.DUMMYFUNCTION("""COMPUTED_VALUE"""),"")</f>
        <v/>
      </c>
      <c r="F683" s="5" t="str">
        <f>IFERROR(__xludf.DUMMYFUNCTION("""COMPUTED_VALUE"""),"")</f>
        <v/>
      </c>
      <c r="G683" s="5" t="str">
        <f>IFERROR(__xludf.DUMMYFUNCTION("""COMPUTED_VALUE"""),"")</f>
        <v/>
      </c>
      <c r="H683" s="5" t="str">
        <f>IFERROR(__xludf.DUMMYFUNCTION("""COMPUTED_VALUE"""),"")</f>
        <v/>
      </c>
      <c r="I683" s="5" t="str">
        <f>IFERROR(__xludf.DUMMYFUNCTION("""COMPUTED_VALUE"""),"")</f>
        <v/>
      </c>
      <c r="J683" s="5" t="str">
        <f>IFERROR(__xludf.DUMMYFUNCTION("""COMPUTED_VALUE"""),"")</f>
        <v/>
      </c>
      <c r="K683" s="5" t="str">
        <f>IFERROR(__xludf.DUMMYFUNCTION("""COMPUTED_VALUE"""),"")</f>
        <v/>
      </c>
      <c r="L683" s="5" t="str">
        <f>IFERROR(__xludf.DUMMYFUNCTION("""COMPUTED_VALUE"""),"")</f>
        <v/>
      </c>
      <c r="M683" s="5" t="str">
        <f>IFERROR(__xludf.DUMMYFUNCTION("""COMPUTED_VALUE"""),"")</f>
        <v/>
      </c>
      <c r="N683" s="5" t="str">
        <f>IFERROR(__xludf.DUMMYFUNCTION("""COMPUTED_VALUE"""),"")</f>
        <v/>
      </c>
      <c r="O683" s="5" t="str">
        <f>IFERROR(__xludf.DUMMYFUNCTION("""COMPUTED_VALUE"""),"")</f>
        <v/>
      </c>
      <c r="P683" s="5" t="str">
        <f>IFERROR(__xludf.DUMMYFUNCTION("""COMPUTED_VALUE"""),"")</f>
        <v/>
      </c>
      <c r="Q683" s="5" t="str">
        <f>IFERROR(__xludf.DUMMYFUNCTION("""COMPUTED_VALUE"""),"")</f>
        <v/>
      </c>
      <c r="R683" s="5" t="str">
        <f>IFERROR(__xludf.DUMMYFUNCTION("""COMPUTED_VALUE"""),"")</f>
        <v/>
      </c>
      <c r="S683" s="5" t="str">
        <f>IFERROR(__xludf.DUMMYFUNCTION("""COMPUTED_VALUE"""),"")</f>
        <v/>
      </c>
      <c r="T683" s="5" t="str">
        <f>IFERROR(__xludf.DUMMYFUNCTION("""COMPUTED_VALUE"""),"")</f>
        <v/>
      </c>
      <c r="U683" s="5" t="str">
        <f>IFERROR(__xludf.DUMMYFUNCTION("""COMPUTED_VALUE"""),"")</f>
        <v/>
      </c>
      <c r="V683" s="5" t="str">
        <f>IFERROR(__xludf.DUMMYFUNCTION("""COMPUTED_VALUE"""),"")</f>
        <v/>
      </c>
      <c r="W683" s="5" t="str">
        <f>IFERROR(__xludf.DUMMYFUNCTION("""COMPUTED_VALUE"""),"")</f>
        <v/>
      </c>
      <c r="X683" s="5" t="str">
        <f>IFERROR(__xludf.DUMMYFUNCTION("""COMPUTED_VALUE"""),"")</f>
        <v/>
      </c>
      <c r="Y683" s="5"/>
      <c r="Z683" s="5"/>
    </row>
    <row r="684">
      <c r="A684" s="5" t="str">
        <f>IFERROR(__xludf.DUMMYFUNCTION("""COMPUTED_VALUE"""),"Money Standard Jackpot")</f>
        <v>Money Standard Jackpot</v>
      </c>
      <c r="B684" s="5" t="str">
        <f>IFERROR(__xludf.DUMMYFUNCTION("""COMPUTED_VALUE"""),"")</f>
        <v/>
      </c>
      <c r="C684" s="5" t="str">
        <f>IFERROR(__xludf.DUMMYFUNCTION("""COMPUTED_VALUE"""),"")</f>
        <v/>
      </c>
      <c r="D684" s="5" t="str">
        <f>IFERROR(__xludf.DUMMYFUNCTION("""COMPUTED_VALUE"""),"")</f>
        <v/>
      </c>
      <c r="E684" s="5" t="str">
        <f>IFERROR(__xludf.DUMMYFUNCTION("""COMPUTED_VALUE"""),"")</f>
        <v/>
      </c>
      <c r="F684" s="5" t="str">
        <f>IFERROR(__xludf.DUMMYFUNCTION("""COMPUTED_VALUE"""),"")</f>
        <v/>
      </c>
      <c r="G684" s="5" t="str">
        <f>IFERROR(__xludf.DUMMYFUNCTION("""COMPUTED_VALUE"""),"")</f>
        <v/>
      </c>
      <c r="H684" s="5" t="str">
        <f>IFERROR(__xludf.DUMMYFUNCTION("""COMPUTED_VALUE"""),"")</f>
        <v/>
      </c>
      <c r="I684" s="5" t="str">
        <f>IFERROR(__xludf.DUMMYFUNCTION("""COMPUTED_VALUE"""),"")</f>
        <v/>
      </c>
      <c r="J684" s="5" t="str">
        <f>IFERROR(__xludf.DUMMYFUNCTION("""COMPUTED_VALUE"""),"")</f>
        <v/>
      </c>
      <c r="K684" s="5" t="str">
        <f>IFERROR(__xludf.DUMMYFUNCTION("""COMPUTED_VALUE"""),"")</f>
        <v/>
      </c>
      <c r="L684" s="5" t="str">
        <f>IFERROR(__xludf.DUMMYFUNCTION("""COMPUTED_VALUE"""),"")</f>
        <v/>
      </c>
      <c r="M684" s="5" t="str">
        <f>IFERROR(__xludf.DUMMYFUNCTION("""COMPUTED_VALUE"""),"")</f>
        <v/>
      </c>
      <c r="N684" s="5" t="str">
        <f>IFERROR(__xludf.DUMMYFUNCTION("""COMPUTED_VALUE"""),"")</f>
        <v/>
      </c>
      <c r="O684" s="5" t="str">
        <f>IFERROR(__xludf.DUMMYFUNCTION("""COMPUTED_VALUE"""),"")</f>
        <v/>
      </c>
      <c r="P684" s="5" t="str">
        <f>IFERROR(__xludf.DUMMYFUNCTION("""COMPUTED_VALUE"""),"")</f>
        <v/>
      </c>
      <c r="Q684" s="5" t="str">
        <f>IFERROR(__xludf.DUMMYFUNCTION("""COMPUTED_VALUE"""),"")</f>
        <v/>
      </c>
      <c r="R684" s="5" t="str">
        <f>IFERROR(__xludf.DUMMYFUNCTION("""COMPUTED_VALUE"""),"")</f>
        <v/>
      </c>
      <c r="S684" s="5" t="str">
        <f>IFERROR(__xludf.DUMMYFUNCTION("""COMPUTED_VALUE"""),"")</f>
        <v/>
      </c>
      <c r="T684" s="5" t="str">
        <f>IFERROR(__xludf.DUMMYFUNCTION("""COMPUTED_VALUE"""),"")</f>
        <v/>
      </c>
      <c r="U684" s="5" t="str">
        <f>IFERROR(__xludf.DUMMYFUNCTION("""COMPUTED_VALUE"""),"")</f>
        <v/>
      </c>
      <c r="V684" s="5" t="str">
        <f>IFERROR(__xludf.DUMMYFUNCTION("""COMPUTED_VALUE"""),"")</f>
        <v/>
      </c>
      <c r="W684" s="5" t="str">
        <f>IFERROR(__xludf.DUMMYFUNCTION("""COMPUTED_VALUE"""),"")</f>
        <v/>
      </c>
      <c r="X684" s="5" t="str">
        <f>IFERROR(__xludf.DUMMYFUNCTION("""COMPUTED_VALUE"""),"")</f>
        <v/>
      </c>
      <c r="Y684" s="5"/>
      <c r="Z684" s="5"/>
    </row>
    <row r="685">
      <c r="A685" s="5" t="str">
        <f>IFERROR(__xludf.DUMMYFUNCTION("""COMPUTED_VALUE"""),"Shiny Fireballs")</f>
        <v>Shiny Fireballs</v>
      </c>
      <c r="B685" s="5" t="str">
        <f>IFERROR(__xludf.DUMMYFUNCTION("""COMPUTED_VALUE"""),"")</f>
        <v/>
      </c>
      <c r="C685" s="5" t="str">
        <f>IFERROR(__xludf.DUMMYFUNCTION("""COMPUTED_VALUE"""),"")</f>
        <v/>
      </c>
      <c r="D685" s="5" t="str">
        <f>IFERROR(__xludf.DUMMYFUNCTION("""COMPUTED_VALUE"""),"")</f>
        <v/>
      </c>
      <c r="E685" s="5" t="str">
        <f>IFERROR(__xludf.DUMMYFUNCTION("""COMPUTED_VALUE"""),"")</f>
        <v/>
      </c>
      <c r="F685" s="5" t="str">
        <f>IFERROR(__xludf.DUMMYFUNCTION("""COMPUTED_VALUE"""),"")</f>
        <v/>
      </c>
      <c r="G685" s="5" t="str">
        <f>IFERROR(__xludf.DUMMYFUNCTION("""COMPUTED_VALUE"""),"")</f>
        <v/>
      </c>
      <c r="H685" s="5" t="str">
        <f>IFERROR(__xludf.DUMMYFUNCTION("""COMPUTED_VALUE"""),"")</f>
        <v/>
      </c>
      <c r="I685" s="5" t="str">
        <f>IFERROR(__xludf.DUMMYFUNCTION("""COMPUTED_VALUE"""),"")</f>
        <v/>
      </c>
      <c r="J685" s="5" t="str">
        <f>IFERROR(__xludf.DUMMYFUNCTION("""COMPUTED_VALUE"""),"")</f>
        <v/>
      </c>
      <c r="K685" s="5" t="str">
        <f>IFERROR(__xludf.DUMMYFUNCTION("""COMPUTED_VALUE"""),"")</f>
        <v/>
      </c>
      <c r="L685" s="5" t="str">
        <f>IFERROR(__xludf.DUMMYFUNCTION("""COMPUTED_VALUE"""),"")</f>
        <v/>
      </c>
      <c r="M685" s="5" t="str">
        <f>IFERROR(__xludf.DUMMYFUNCTION("""COMPUTED_VALUE"""),"")</f>
        <v/>
      </c>
      <c r="N685" s="5" t="str">
        <f>IFERROR(__xludf.DUMMYFUNCTION("""COMPUTED_VALUE"""),"")</f>
        <v/>
      </c>
      <c r="O685" s="5" t="str">
        <f>IFERROR(__xludf.DUMMYFUNCTION("""COMPUTED_VALUE"""),"")</f>
        <v/>
      </c>
      <c r="P685" s="5" t="str">
        <f>IFERROR(__xludf.DUMMYFUNCTION("""COMPUTED_VALUE"""),"")</f>
        <v/>
      </c>
      <c r="Q685" s="5" t="str">
        <f>IFERROR(__xludf.DUMMYFUNCTION("""COMPUTED_VALUE"""),"")</f>
        <v/>
      </c>
      <c r="R685" s="5" t="str">
        <f>IFERROR(__xludf.DUMMYFUNCTION("""COMPUTED_VALUE"""),"")</f>
        <v/>
      </c>
      <c r="S685" s="5" t="str">
        <f>IFERROR(__xludf.DUMMYFUNCTION("""COMPUTED_VALUE"""),"")</f>
        <v/>
      </c>
      <c r="T685" s="5" t="str">
        <f>IFERROR(__xludf.DUMMYFUNCTION("""COMPUTED_VALUE"""),"")</f>
        <v/>
      </c>
      <c r="U685" s="5" t="str">
        <f>IFERROR(__xludf.DUMMYFUNCTION("""COMPUTED_VALUE"""),"")</f>
        <v/>
      </c>
      <c r="V685" s="5" t="str">
        <f>IFERROR(__xludf.DUMMYFUNCTION("""COMPUTED_VALUE"""),"")</f>
        <v/>
      </c>
      <c r="W685" s="5" t="str">
        <f>IFERROR(__xludf.DUMMYFUNCTION("""COMPUTED_VALUE"""),"")</f>
        <v/>
      </c>
      <c r="X685" s="5" t="str">
        <f>IFERROR(__xludf.DUMMYFUNCTION("""COMPUTED_VALUE"""),"")</f>
        <v/>
      </c>
      <c r="Y685" s="5"/>
      <c r="Z685" s="5"/>
    </row>
    <row r="686">
      <c r="A686" s="5" t="str">
        <f>IFERROR(__xludf.DUMMYFUNCTION("""COMPUTED_VALUE"""),"Hot Eighty One")</f>
        <v>Hot Eighty One</v>
      </c>
      <c r="B686" s="5" t="str">
        <f>IFERROR(__xludf.DUMMYFUNCTION("""COMPUTED_VALUE"""),"")</f>
        <v/>
      </c>
      <c r="C686" s="5" t="str">
        <f>IFERROR(__xludf.DUMMYFUNCTION("""COMPUTED_VALUE"""),"")</f>
        <v/>
      </c>
      <c r="D686" s="5" t="str">
        <f>IFERROR(__xludf.DUMMYFUNCTION("""COMPUTED_VALUE"""),"")</f>
        <v/>
      </c>
      <c r="E686" s="5" t="str">
        <f>IFERROR(__xludf.DUMMYFUNCTION("""COMPUTED_VALUE"""),"")</f>
        <v/>
      </c>
      <c r="F686" s="5" t="str">
        <f>IFERROR(__xludf.DUMMYFUNCTION("""COMPUTED_VALUE"""),"")</f>
        <v/>
      </c>
      <c r="G686" s="5" t="str">
        <f>IFERROR(__xludf.DUMMYFUNCTION("""COMPUTED_VALUE"""),"")</f>
        <v/>
      </c>
      <c r="H686" s="5" t="str">
        <f>IFERROR(__xludf.DUMMYFUNCTION("""COMPUTED_VALUE"""),"")</f>
        <v/>
      </c>
      <c r="I686" s="5" t="str">
        <f>IFERROR(__xludf.DUMMYFUNCTION("""COMPUTED_VALUE"""),"")</f>
        <v/>
      </c>
      <c r="J686" s="5" t="str">
        <f>IFERROR(__xludf.DUMMYFUNCTION("""COMPUTED_VALUE"""),"")</f>
        <v/>
      </c>
      <c r="K686" s="5" t="str">
        <f>IFERROR(__xludf.DUMMYFUNCTION("""COMPUTED_VALUE"""),"")</f>
        <v/>
      </c>
      <c r="L686" s="5" t="str">
        <f>IFERROR(__xludf.DUMMYFUNCTION("""COMPUTED_VALUE"""),"")</f>
        <v/>
      </c>
      <c r="M686" s="5" t="str">
        <f>IFERROR(__xludf.DUMMYFUNCTION("""COMPUTED_VALUE"""),"")</f>
        <v/>
      </c>
      <c r="N686" s="5" t="str">
        <f>IFERROR(__xludf.DUMMYFUNCTION("""COMPUTED_VALUE"""),"")</f>
        <v/>
      </c>
      <c r="O686" s="5" t="str">
        <f>IFERROR(__xludf.DUMMYFUNCTION("""COMPUTED_VALUE"""),"")</f>
        <v/>
      </c>
      <c r="P686" s="5" t="str">
        <f>IFERROR(__xludf.DUMMYFUNCTION("""COMPUTED_VALUE"""),"")</f>
        <v/>
      </c>
      <c r="Q686" s="5" t="str">
        <f>IFERROR(__xludf.DUMMYFUNCTION("""COMPUTED_VALUE"""),"")</f>
        <v/>
      </c>
      <c r="R686" s="5" t="str">
        <f>IFERROR(__xludf.DUMMYFUNCTION("""COMPUTED_VALUE"""),"")</f>
        <v/>
      </c>
      <c r="S686" s="5" t="str">
        <f>IFERROR(__xludf.DUMMYFUNCTION("""COMPUTED_VALUE"""),"")</f>
        <v/>
      </c>
      <c r="T686" s="5" t="str">
        <f>IFERROR(__xludf.DUMMYFUNCTION("""COMPUTED_VALUE"""),"")</f>
        <v/>
      </c>
      <c r="U686" s="5" t="str">
        <f>IFERROR(__xludf.DUMMYFUNCTION("""COMPUTED_VALUE"""),"")</f>
        <v/>
      </c>
      <c r="V686" s="5" t="str">
        <f>IFERROR(__xludf.DUMMYFUNCTION("""COMPUTED_VALUE"""),"")</f>
        <v/>
      </c>
      <c r="W686" s="5" t="str">
        <f>IFERROR(__xludf.DUMMYFUNCTION("""COMPUTED_VALUE"""),"")</f>
        <v/>
      </c>
      <c r="X686" s="5" t="str">
        <f>IFERROR(__xludf.DUMMYFUNCTION("""COMPUTED_VALUE"""),"")</f>
        <v/>
      </c>
      <c r="Y686" s="5"/>
      <c r="Z686" s="5"/>
    </row>
    <row r="687">
      <c r="A687" s="5" t="str">
        <f>IFERROR(__xludf.DUMMYFUNCTION("""COMPUTED_VALUE"""),"Hot Firedice")</f>
        <v>Hot Firedice</v>
      </c>
      <c r="B687" s="5" t="str">
        <f>IFERROR(__xludf.DUMMYFUNCTION("""COMPUTED_VALUE"""),"")</f>
        <v/>
      </c>
      <c r="C687" s="5" t="str">
        <f>IFERROR(__xludf.DUMMYFUNCTION("""COMPUTED_VALUE"""),"")</f>
        <v/>
      </c>
      <c r="D687" s="5" t="str">
        <f>IFERROR(__xludf.DUMMYFUNCTION("""COMPUTED_VALUE"""),"")</f>
        <v/>
      </c>
      <c r="E687" s="5" t="str">
        <f>IFERROR(__xludf.DUMMYFUNCTION("""COMPUTED_VALUE"""),"")</f>
        <v/>
      </c>
      <c r="F687" s="5" t="str">
        <f>IFERROR(__xludf.DUMMYFUNCTION("""COMPUTED_VALUE"""),"")</f>
        <v/>
      </c>
      <c r="G687" s="5" t="str">
        <f>IFERROR(__xludf.DUMMYFUNCTION("""COMPUTED_VALUE"""),"")</f>
        <v/>
      </c>
      <c r="H687" s="5" t="str">
        <f>IFERROR(__xludf.DUMMYFUNCTION("""COMPUTED_VALUE"""),"")</f>
        <v/>
      </c>
      <c r="I687" s="5" t="str">
        <f>IFERROR(__xludf.DUMMYFUNCTION("""COMPUTED_VALUE"""),"")</f>
        <v/>
      </c>
      <c r="J687" s="5" t="str">
        <f>IFERROR(__xludf.DUMMYFUNCTION("""COMPUTED_VALUE"""),"")</f>
        <v/>
      </c>
      <c r="K687" s="5" t="str">
        <f>IFERROR(__xludf.DUMMYFUNCTION("""COMPUTED_VALUE"""),"")</f>
        <v/>
      </c>
      <c r="L687" s="5" t="str">
        <f>IFERROR(__xludf.DUMMYFUNCTION("""COMPUTED_VALUE"""),"")</f>
        <v/>
      </c>
      <c r="M687" s="5" t="str">
        <f>IFERROR(__xludf.DUMMYFUNCTION("""COMPUTED_VALUE"""),"")</f>
        <v/>
      </c>
      <c r="N687" s="5" t="str">
        <f>IFERROR(__xludf.DUMMYFUNCTION("""COMPUTED_VALUE"""),"")</f>
        <v/>
      </c>
      <c r="O687" s="5" t="str">
        <f>IFERROR(__xludf.DUMMYFUNCTION("""COMPUTED_VALUE"""),"")</f>
        <v/>
      </c>
      <c r="P687" s="5" t="str">
        <f>IFERROR(__xludf.DUMMYFUNCTION("""COMPUTED_VALUE"""),"")</f>
        <v/>
      </c>
      <c r="Q687" s="5" t="str">
        <f>IFERROR(__xludf.DUMMYFUNCTION("""COMPUTED_VALUE"""),"")</f>
        <v/>
      </c>
      <c r="R687" s="5" t="str">
        <f>IFERROR(__xludf.DUMMYFUNCTION("""COMPUTED_VALUE"""),"")</f>
        <v/>
      </c>
      <c r="S687" s="5" t="str">
        <f>IFERROR(__xludf.DUMMYFUNCTION("""COMPUTED_VALUE"""),"")</f>
        <v/>
      </c>
      <c r="T687" s="5" t="str">
        <f>IFERROR(__xludf.DUMMYFUNCTION("""COMPUTED_VALUE"""),"")</f>
        <v/>
      </c>
      <c r="U687" s="5" t="str">
        <f>IFERROR(__xludf.DUMMYFUNCTION("""COMPUTED_VALUE"""),"")</f>
        <v/>
      </c>
      <c r="V687" s="5" t="str">
        <f>IFERROR(__xludf.DUMMYFUNCTION("""COMPUTED_VALUE"""),"")</f>
        <v/>
      </c>
      <c r="W687" s="5" t="str">
        <f>IFERROR(__xludf.DUMMYFUNCTION("""COMPUTED_VALUE"""),"")</f>
        <v/>
      </c>
      <c r="X687" s="5" t="str">
        <f>IFERROR(__xludf.DUMMYFUNCTION("""COMPUTED_VALUE"""),"")</f>
        <v/>
      </c>
      <c r="Y687" s="5"/>
      <c r="Z687" s="5"/>
    </row>
    <row r="688">
      <c r="A688" s="5" t="str">
        <f>IFERROR(__xludf.DUMMYFUNCTION("""COMPUTED_VALUE"""),"Mystic Treasure")</f>
        <v>Mystic Treasure</v>
      </c>
      <c r="B688" s="5" t="str">
        <f>IFERROR(__xludf.DUMMYFUNCTION("""COMPUTED_VALUE"""),"")</f>
        <v/>
      </c>
      <c r="C688" s="5" t="str">
        <f>IFERROR(__xludf.DUMMYFUNCTION("""COMPUTED_VALUE"""),"")</f>
        <v/>
      </c>
      <c r="D688" s="5" t="str">
        <f>IFERROR(__xludf.DUMMYFUNCTION("""COMPUTED_VALUE"""),"")</f>
        <v/>
      </c>
      <c r="E688" s="5" t="str">
        <f>IFERROR(__xludf.DUMMYFUNCTION("""COMPUTED_VALUE"""),"")</f>
        <v/>
      </c>
      <c r="F688" s="5" t="str">
        <f>IFERROR(__xludf.DUMMYFUNCTION("""COMPUTED_VALUE"""),"")</f>
        <v/>
      </c>
      <c r="G688" s="5" t="str">
        <f>IFERROR(__xludf.DUMMYFUNCTION("""COMPUTED_VALUE"""),"")</f>
        <v/>
      </c>
      <c r="H688" s="5" t="str">
        <f>IFERROR(__xludf.DUMMYFUNCTION("""COMPUTED_VALUE"""),"")</f>
        <v/>
      </c>
      <c r="I688" s="5" t="str">
        <f>IFERROR(__xludf.DUMMYFUNCTION("""COMPUTED_VALUE"""),"")</f>
        <v/>
      </c>
      <c r="J688" s="5" t="str">
        <f>IFERROR(__xludf.DUMMYFUNCTION("""COMPUTED_VALUE"""),"")</f>
        <v/>
      </c>
      <c r="K688" s="5" t="str">
        <f>IFERROR(__xludf.DUMMYFUNCTION("""COMPUTED_VALUE"""),"")</f>
        <v/>
      </c>
      <c r="L688" s="5" t="str">
        <f>IFERROR(__xludf.DUMMYFUNCTION("""COMPUTED_VALUE"""),"")</f>
        <v/>
      </c>
      <c r="M688" s="5" t="str">
        <f>IFERROR(__xludf.DUMMYFUNCTION("""COMPUTED_VALUE"""),"")</f>
        <v/>
      </c>
      <c r="N688" s="5" t="str">
        <f>IFERROR(__xludf.DUMMYFUNCTION("""COMPUTED_VALUE"""),"")</f>
        <v/>
      </c>
      <c r="O688" s="5" t="str">
        <f>IFERROR(__xludf.DUMMYFUNCTION("""COMPUTED_VALUE"""),"")</f>
        <v/>
      </c>
      <c r="P688" s="5" t="str">
        <f>IFERROR(__xludf.DUMMYFUNCTION("""COMPUTED_VALUE"""),"")</f>
        <v/>
      </c>
      <c r="Q688" s="5" t="str">
        <f>IFERROR(__xludf.DUMMYFUNCTION("""COMPUTED_VALUE"""),"")</f>
        <v/>
      </c>
      <c r="R688" s="5" t="str">
        <f>IFERROR(__xludf.DUMMYFUNCTION("""COMPUTED_VALUE"""),"")</f>
        <v/>
      </c>
      <c r="S688" s="5" t="str">
        <f>IFERROR(__xludf.DUMMYFUNCTION("""COMPUTED_VALUE"""),"")</f>
        <v/>
      </c>
      <c r="T688" s="5" t="str">
        <f>IFERROR(__xludf.DUMMYFUNCTION("""COMPUTED_VALUE"""),"")</f>
        <v/>
      </c>
      <c r="U688" s="5" t="str">
        <f>IFERROR(__xludf.DUMMYFUNCTION("""COMPUTED_VALUE"""),"")</f>
        <v/>
      </c>
      <c r="V688" s="5" t="str">
        <f>IFERROR(__xludf.DUMMYFUNCTION("""COMPUTED_VALUE"""),"")</f>
        <v/>
      </c>
      <c r="W688" s="5" t="str">
        <f>IFERROR(__xludf.DUMMYFUNCTION("""COMPUTED_VALUE"""),"")</f>
        <v/>
      </c>
      <c r="X688" s="5" t="str">
        <f>IFERROR(__xludf.DUMMYFUNCTION("""COMPUTED_VALUE"""),"")</f>
        <v/>
      </c>
      <c r="Y688" s="5"/>
      <c r="Z688" s="5"/>
    </row>
    <row r="689">
      <c r="A689" s="5" t="str">
        <f>IFERROR(__xludf.DUMMYFUNCTION("""COMPUTED_VALUE"""),"Golden Gate Dice")</f>
        <v>Golden Gate Dice</v>
      </c>
      <c r="B689" s="5" t="str">
        <f>IFERROR(__xludf.DUMMYFUNCTION("""COMPUTED_VALUE"""),"")</f>
        <v/>
      </c>
      <c r="C689" s="5" t="str">
        <f>IFERROR(__xludf.DUMMYFUNCTION("""COMPUTED_VALUE"""),"")</f>
        <v/>
      </c>
      <c r="D689" s="5" t="str">
        <f>IFERROR(__xludf.DUMMYFUNCTION("""COMPUTED_VALUE"""),"")</f>
        <v/>
      </c>
      <c r="E689" s="5" t="str">
        <f>IFERROR(__xludf.DUMMYFUNCTION("""COMPUTED_VALUE"""),"")</f>
        <v/>
      </c>
      <c r="F689" s="5" t="str">
        <f>IFERROR(__xludf.DUMMYFUNCTION("""COMPUTED_VALUE"""),"")</f>
        <v/>
      </c>
      <c r="G689" s="5" t="str">
        <f>IFERROR(__xludf.DUMMYFUNCTION("""COMPUTED_VALUE"""),"")</f>
        <v/>
      </c>
      <c r="H689" s="5" t="str">
        <f>IFERROR(__xludf.DUMMYFUNCTION("""COMPUTED_VALUE"""),"")</f>
        <v/>
      </c>
      <c r="I689" s="5" t="str">
        <f>IFERROR(__xludf.DUMMYFUNCTION("""COMPUTED_VALUE"""),"")</f>
        <v/>
      </c>
      <c r="J689" s="5" t="str">
        <f>IFERROR(__xludf.DUMMYFUNCTION("""COMPUTED_VALUE"""),"")</f>
        <v/>
      </c>
      <c r="K689" s="5" t="str">
        <f>IFERROR(__xludf.DUMMYFUNCTION("""COMPUTED_VALUE"""),"")</f>
        <v/>
      </c>
      <c r="L689" s="5" t="str">
        <f>IFERROR(__xludf.DUMMYFUNCTION("""COMPUTED_VALUE"""),"")</f>
        <v/>
      </c>
      <c r="M689" s="5" t="str">
        <f>IFERROR(__xludf.DUMMYFUNCTION("""COMPUTED_VALUE"""),"")</f>
        <v/>
      </c>
      <c r="N689" s="5" t="str">
        <f>IFERROR(__xludf.DUMMYFUNCTION("""COMPUTED_VALUE"""),"")</f>
        <v/>
      </c>
      <c r="O689" s="5" t="str">
        <f>IFERROR(__xludf.DUMMYFUNCTION("""COMPUTED_VALUE"""),"")</f>
        <v/>
      </c>
      <c r="P689" s="5" t="str">
        <f>IFERROR(__xludf.DUMMYFUNCTION("""COMPUTED_VALUE"""),"")</f>
        <v/>
      </c>
      <c r="Q689" s="5" t="str">
        <f>IFERROR(__xludf.DUMMYFUNCTION("""COMPUTED_VALUE"""),"")</f>
        <v/>
      </c>
      <c r="R689" s="5" t="str">
        <f>IFERROR(__xludf.DUMMYFUNCTION("""COMPUTED_VALUE"""),"")</f>
        <v/>
      </c>
      <c r="S689" s="5" t="str">
        <f>IFERROR(__xludf.DUMMYFUNCTION("""COMPUTED_VALUE"""),"")</f>
        <v/>
      </c>
      <c r="T689" s="5" t="str">
        <f>IFERROR(__xludf.DUMMYFUNCTION("""COMPUTED_VALUE"""),"")</f>
        <v/>
      </c>
      <c r="U689" s="5" t="str">
        <f>IFERROR(__xludf.DUMMYFUNCTION("""COMPUTED_VALUE"""),"")</f>
        <v/>
      </c>
      <c r="V689" s="5" t="str">
        <f>IFERROR(__xludf.DUMMYFUNCTION("""COMPUTED_VALUE"""),"")</f>
        <v/>
      </c>
      <c r="W689" s="5" t="str">
        <f>IFERROR(__xludf.DUMMYFUNCTION("""COMPUTED_VALUE"""),"")</f>
        <v/>
      </c>
      <c r="X689" s="5" t="str">
        <f>IFERROR(__xludf.DUMMYFUNCTION("""COMPUTED_VALUE"""),"")</f>
        <v/>
      </c>
      <c r="Y689" s="5"/>
      <c r="Z689" s="5"/>
    </row>
    <row r="690">
      <c r="A690" s="5" t="str">
        <f>IFERROR(__xludf.DUMMYFUNCTION("""COMPUTED_VALUE"""),"Barrels Of Riches")</f>
        <v>Barrels Of Riches</v>
      </c>
      <c r="B690" s="5" t="str">
        <f>IFERROR(__xludf.DUMMYFUNCTION("""COMPUTED_VALUE"""),"")</f>
        <v/>
      </c>
      <c r="C690" s="5" t="str">
        <f>IFERROR(__xludf.DUMMYFUNCTION("""COMPUTED_VALUE"""),"")</f>
        <v/>
      </c>
      <c r="D690" s="5" t="str">
        <f>IFERROR(__xludf.DUMMYFUNCTION("""COMPUTED_VALUE"""),"")</f>
        <v/>
      </c>
      <c r="E690" s="5" t="str">
        <f>IFERROR(__xludf.DUMMYFUNCTION("""COMPUTED_VALUE"""),"")</f>
        <v/>
      </c>
      <c r="F690" s="5" t="str">
        <f>IFERROR(__xludf.DUMMYFUNCTION("""COMPUTED_VALUE"""),"")</f>
        <v/>
      </c>
      <c r="G690" s="5" t="str">
        <f>IFERROR(__xludf.DUMMYFUNCTION("""COMPUTED_VALUE"""),"")</f>
        <v/>
      </c>
      <c r="H690" s="5" t="str">
        <f>IFERROR(__xludf.DUMMYFUNCTION("""COMPUTED_VALUE"""),"")</f>
        <v/>
      </c>
      <c r="I690" s="5" t="str">
        <f>IFERROR(__xludf.DUMMYFUNCTION("""COMPUTED_VALUE"""),"")</f>
        <v/>
      </c>
      <c r="J690" s="5" t="str">
        <f>IFERROR(__xludf.DUMMYFUNCTION("""COMPUTED_VALUE"""),"")</f>
        <v/>
      </c>
      <c r="K690" s="5" t="str">
        <f>IFERROR(__xludf.DUMMYFUNCTION("""COMPUTED_VALUE"""),"")</f>
        <v/>
      </c>
      <c r="L690" s="5" t="str">
        <f>IFERROR(__xludf.DUMMYFUNCTION("""COMPUTED_VALUE"""),"")</f>
        <v/>
      </c>
      <c r="M690" s="5" t="str">
        <f>IFERROR(__xludf.DUMMYFUNCTION("""COMPUTED_VALUE"""),"")</f>
        <v/>
      </c>
      <c r="N690" s="5" t="str">
        <f>IFERROR(__xludf.DUMMYFUNCTION("""COMPUTED_VALUE"""),"")</f>
        <v/>
      </c>
      <c r="O690" s="5" t="str">
        <f>IFERROR(__xludf.DUMMYFUNCTION("""COMPUTED_VALUE"""),"")</f>
        <v/>
      </c>
      <c r="P690" s="5" t="str">
        <f>IFERROR(__xludf.DUMMYFUNCTION("""COMPUTED_VALUE"""),"")</f>
        <v/>
      </c>
      <c r="Q690" s="5" t="str">
        <f>IFERROR(__xludf.DUMMYFUNCTION("""COMPUTED_VALUE"""),"")</f>
        <v/>
      </c>
      <c r="R690" s="5" t="str">
        <f>IFERROR(__xludf.DUMMYFUNCTION("""COMPUTED_VALUE"""),"")</f>
        <v/>
      </c>
      <c r="S690" s="5" t="str">
        <f>IFERROR(__xludf.DUMMYFUNCTION("""COMPUTED_VALUE"""),"")</f>
        <v/>
      </c>
      <c r="T690" s="5" t="str">
        <f>IFERROR(__xludf.DUMMYFUNCTION("""COMPUTED_VALUE"""),"")</f>
        <v/>
      </c>
      <c r="U690" s="5" t="str">
        <f>IFERROR(__xludf.DUMMYFUNCTION("""COMPUTED_VALUE"""),"")</f>
        <v/>
      </c>
      <c r="V690" s="5" t="str">
        <f>IFERROR(__xludf.DUMMYFUNCTION("""COMPUTED_VALUE"""),"")</f>
        <v/>
      </c>
      <c r="W690" s="5" t="str">
        <f>IFERROR(__xludf.DUMMYFUNCTION("""COMPUTED_VALUE"""),"")</f>
        <v/>
      </c>
      <c r="X690" s="5" t="str">
        <f>IFERROR(__xludf.DUMMYFUNCTION("""COMPUTED_VALUE"""),"")</f>
        <v/>
      </c>
      <c r="Y690" s="5"/>
      <c r="Z690" s="5"/>
    </row>
    <row r="691">
      <c r="A691" s="5" t="str">
        <f>IFERROR(__xludf.DUMMYFUNCTION("""COMPUTED_VALUE"""),"Fruit Fire")</f>
        <v>Fruit Fire</v>
      </c>
      <c r="B691" s="5" t="str">
        <f>IFERROR(__xludf.DUMMYFUNCTION("""COMPUTED_VALUE"""),"")</f>
        <v/>
      </c>
      <c r="C691" s="5" t="str">
        <f>IFERROR(__xludf.DUMMYFUNCTION("""COMPUTED_VALUE"""),"")</f>
        <v/>
      </c>
      <c r="D691" s="5" t="str">
        <f>IFERROR(__xludf.DUMMYFUNCTION("""COMPUTED_VALUE"""),"")</f>
        <v/>
      </c>
      <c r="E691" s="5" t="str">
        <f>IFERROR(__xludf.DUMMYFUNCTION("""COMPUTED_VALUE"""),"")</f>
        <v/>
      </c>
      <c r="F691" s="5" t="str">
        <f>IFERROR(__xludf.DUMMYFUNCTION("""COMPUTED_VALUE"""),"")</f>
        <v/>
      </c>
      <c r="G691" s="5" t="str">
        <f>IFERROR(__xludf.DUMMYFUNCTION("""COMPUTED_VALUE"""),"")</f>
        <v/>
      </c>
      <c r="H691" s="5" t="str">
        <f>IFERROR(__xludf.DUMMYFUNCTION("""COMPUTED_VALUE"""),"")</f>
        <v/>
      </c>
      <c r="I691" s="5" t="str">
        <f>IFERROR(__xludf.DUMMYFUNCTION("""COMPUTED_VALUE"""),"")</f>
        <v/>
      </c>
      <c r="J691" s="5" t="str">
        <f>IFERROR(__xludf.DUMMYFUNCTION("""COMPUTED_VALUE"""),"")</f>
        <v/>
      </c>
      <c r="K691" s="5" t="str">
        <f>IFERROR(__xludf.DUMMYFUNCTION("""COMPUTED_VALUE"""),"")</f>
        <v/>
      </c>
      <c r="L691" s="5" t="str">
        <f>IFERROR(__xludf.DUMMYFUNCTION("""COMPUTED_VALUE"""),"")</f>
        <v/>
      </c>
      <c r="M691" s="5" t="str">
        <f>IFERROR(__xludf.DUMMYFUNCTION("""COMPUTED_VALUE"""),"")</f>
        <v/>
      </c>
      <c r="N691" s="5" t="str">
        <f>IFERROR(__xludf.DUMMYFUNCTION("""COMPUTED_VALUE"""),"")</f>
        <v/>
      </c>
      <c r="O691" s="5" t="str">
        <f>IFERROR(__xludf.DUMMYFUNCTION("""COMPUTED_VALUE"""),"")</f>
        <v/>
      </c>
      <c r="P691" s="5" t="str">
        <f>IFERROR(__xludf.DUMMYFUNCTION("""COMPUTED_VALUE"""),"")</f>
        <v/>
      </c>
      <c r="Q691" s="5" t="str">
        <f>IFERROR(__xludf.DUMMYFUNCTION("""COMPUTED_VALUE"""),"")</f>
        <v/>
      </c>
      <c r="R691" s="5" t="str">
        <f>IFERROR(__xludf.DUMMYFUNCTION("""COMPUTED_VALUE"""),"")</f>
        <v/>
      </c>
      <c r="S691" s="5" t="str">
        <f>IFERROR(__xludf.DUMMYFUNCTION("""COMPUTED_VALUE"""),"")</f>
        <v/>
      </c>
      <c r="T691" s="5" t="str">
        <f>IFERROR(__xludf.DUMMYFUNCTION("""COMPUTED_VALUE"""),"")</f>
        <v/>
      </c>
      <c r="U691" s="5" t="str">
        <f>IFERROR(__xludf.DUMMYFUNCTION("""COMPUTED_VALUE"""),"")</f>
        <v/>
      </c>
      <c r="V691" s="5" t="str">
        <f>IFERROR(__xludf.DUMMYFUNCTION("""COMPUTED_VALUE"""),"")</f>
        <v/>
      </c>
      <c r="W691" s="5" t="str">
        <f>IFERROR(__xludf.DUMMYFUNCTION("""COMPUTED_VALUE"""),"")</f>
        <v/>
      </c>
      <c r="X691" s="5" t="str">
        <f>IFERROR(__xludf.DUMMYFUNCTION("""COMPUTED_VALUE"""),"")</f>
        <v/>
      </c>
      <c r="Y691" s="5"/>
      <c r="Z691" s="5"/>
    </row>
    <row r="692">
      <c r="A692" s="5" t="str">
        <f>IFERROR(__xludf.DUMMYFUNCTION("""COMPUTED_VALUE"""),"X Clover Fire")</f>
        <v>X Clover Fire</v>
      </c>
      <c r="B692" s="5" t="str">
        <f>IFERROR(__xludf.DUMMYFUNCTION("""COMPUTED_VALUE"""),"")</f>
        <v/>
      </c>
      <c r="C692" s="5" t="str">
        <f>IFERROR(__xludf.DUMMYFUNCTION("""COMPUTED_VALUE"""),"")</f>
        <v/>
      </c>
      <c r="D692" s="5" t="str">
        <f>IFERROR(__xludf.DUMMYFUNCTION("""COMPUTED_VALUE"""),"")</f>
        <v/>
      </c>
      <c r="E692" s="5" t="str">
        <f>IFERROR(__xludf.DUMMYFUNCTION("""COMPUTED_VALUE"""),"")</f>
        <v/>
      </c>
      <c r="F692" s="5" t="str">
        <f>IFERROR(__xludf.DUMMYFUNCTION("""COMPUTED_VALUE"""),"")</f>
        <v/>
      </c>
      <c r="G692" s="5" t="str">
        <f>IFERROR(__xludf.DUMMYFUNCTION("""COMPUTED_VALUE"""),"")</f>
        <v/>
      </c>
      <c r="H692" s="5" t="str">
        <f>IFERROR(__xludf.DUMMYFUNCTION("""COMPUTED_VALUE"""),"")</f>
        <v/>
      </c>
      <c r="I692" s="5" t="str">
        <f>IFERROR(__xludf.DUMMYFUNCTION("""COMPUTED_VALUE"""),"")</f>
        <v/>
      </c>
      <c r="J692" s="5" t="str">
        <f>IFERROR(__xludf.DUMMYFUNCTION("""COMPUTED_VALUE"""),"")</f>
        <v/>
      </c>
      <c r="K692" s="5" t="str">
        <f>IFERROR(__xludf.DUMMYFUNCTION("""COMPUTED_VALUE"""),"")</f>
        <v/>
      </c>
      <c r="L692" s="5" t="str">
        <f>IFERROR(__xludf.DUMMYFUNCTION("""COMPUTED_VALUE"""),"")</f>
        <v/>
      </c>
      <c r="M692" s="5" t="str">
        <f>IFERROR(__xludf.DUMMYFUNCTION("""COMPUTED_VALUE"""),"")</f>
        <v/>
      </c>
      <c r="N692" s="5" t="str">
        <f>IFERROR(__xludf.DUMMYFUNCTION("""COMPUTED_VALUE"""),"")</f>
        <v/>
      </c>
      <c r="O692" s="5" t="str">
        <f>IFERROR(__xludf.DUMMYFUNCTION("""COMPUTED_VALUE"""),"")</f>
        <v/>
      </c>
      <c r="P692" s="5" t="str">
        <f>IFERROR(__xludf.DUMMYFUNCTION("""COMPUTED_VALUE"""),"")</f>
        <v/>
      </c>
      <c r="Q692" s="5" t="str">
        <f>IFERROR(__xludf.DUMMYFUNCTION("""COMPUTED_VALUE"""),"")</f>
        <v/>
      </c>
      <c r="R692" s="5" t="str">
        <f>IFERROR(__xludf.DUMMYFUNCTION("""COMPUTED_VALUE"""),"")</f>
        <v/>
      </c>
      <c r="S692" s="5" t="str">
        <f>IFERROR(__xludf.DUMMYFUNCTION("""COMPUTED_VALUE"""),"")</f>
        <v/>
      </c>
      <c r="T692" s="5" t="str">
        <f>IFERROR(__xludf.DUMMYFUNCTION("""COMPUTED_VALUE"""),"")</f>
        <v/>
      </c>
      <c r="U692" s="5" t="str">
        <f>IFERROR(__xludf.DUMMYFUNCTION("""COMPUTED_VALUE"""),"")</f>
        <v/>
      </c>
      <c r="V692" s="5" t="str">
        <f>IFERROR(__xludf.DUMMYFUNCTION("""COMPUTED_VALUE"""),"")</f>
        <v/>
      </c>
      <c r="W692" s="5" t="str">
        <f>IFERROR(__xludf.DUMMYFUNCTION("""COMPUTED_VALUE"""),"")</f>
        <v/>
      </c>
      <c r="X692" s="5" t="str">
        <f>IFERROR(__xludf.DUMMYFUNCTION("""COMPUTED_VALUE"""),"")</f>
        <v/>
      </c>
      <c r="Y692" s="5"/>
      <c r="Z692" s="5"/>
    </row>
    <row r="693">
      <c r="A693" s="5" t="str">
        <f>IFERROR(__xludf.DUMMYFUNCTION("""COMPUTED_VALUE"""),"5 Heart Deluxe")</f>
        <v>5 Heart Deluxe</v>
      </c>
      <c r="B693" s="5" t="str">
        <f>IFERROR(__xludf.DUMMYFUNCTION("""COMPUTED_VALUE"""),"")</f>
        <v/>
      </c>
      <c r="C693" s="5" t="str">
        <f>IFERROR(__xludf.DUMMYFUNCTION("""COMPUTED_VALUE"""),"")</f>
        <v/>
      </c>
      <c r="D693" s="5" t="str">
        <f>IFERROR(__xludf.DUMMYFUNCTION("""COMPUTED_VALUE"""),"")</f>
        <v/>
      </c>
      <c r="E693" s="5" t="str">
        <f>IFERROR(__xludf.DUMMYFUNCTION("""COMPUTED_VALUE"""),"")</f>
        <v/>
      </c>
      <c r="F693" s="5" t="str">
        <f>IFERROR(__xludf.DUMMYFUNCTION("""COMPUTED_VALUE"""),"")</f>
        <v/>
      </c>
      <c r="G693" s="5" t="str">
        <f>IFERROR(__xludf.DUMMYFUNCTION("""COMPUTED_VALUE"""),"")</f>
        <v/>
      </c>
      <c r="H693" s="5" t="str">
        <f>IFERROR(__xludf.DUMMYFUNCTION("""COMPUTED_VALUE"""),"")</f>
        <v/>
      </c>
      <c r="I693" s="5" t="str">
        <f>IFERROR(__xludf.DUMMYFUNCTION("""COMPUTED_VALUE"""),"")</f>
        <v/>
      </c>
      <c r="J693" s="5" t="str">
        <f>IFERROR(__xludf.DUMMYFUNCTION("""COMPUTED_VALUE"""),"")</f>
        <v/>
      </c>
      <c r="K693" s="5" t="str">
        <f>IFERROR(__xludf.DUMMYFUNCTION("""COMPUTED_VALUE"""),"")</f>
        <v/>
      </c>
      <c r="L693" s="5" t="str">
        <f>IFERROR(__xludf.DUMMYFUNCTION("""COMPUTED_VALUE"""),"")</f>
        <v/>
      </c>
      <c r="M693" s="5" t="str">
        <f>IFERROR(__xludf.DUMMYFUNCTION("""COMPUTED_VALUE"""),"")</f>
        <v/>
      </c>
      <c r="N693" s="5" t="str">
        <f>IFERROR(__xludf.DUMMYFUNCTION("""COMPUTED_VALUE"""),"")</f>
        <v/>
      </c>
      <c r="O693" s="5" t="str">
        <f>IFERROR(__xludf.DUMMYFUNCTION("""COMPUTED_VALUE"""),"")</f>
        <v/>
      </c>
      <c r="P693" s="5" t="str">
        <f>IFERROR(__xludf.DUMMYFUNCTION("""COMPUTED_VALUE"""),"")</f>
        <v/>
      </c>
      <c r="Q693" s="5" t="str">
        <f>IFERROR(__xludf.DUMMYFUNCTION("""COMPUTED_VALUE"""),"")</f>
        <v/>
      </c>
      <c r="R693" s="5" t="str">
        <f>IFERROR(__xludf.DUMMYFUNCTION("""COMPUTED_VALUE"""),"")</f>
        <v/>
      </c>
      <c r="S693" s="5" t="str">
        <f>IFERROR(__xludf.DUMMYFUNCTION("""COMPUTED_VALUE"""),"")</f>
        <v/>
      </c>
      <c r="T693" s="5" t="str">
        <f>IFERROR(__xludf.DUMMYFUNCTION("""COMPUTED_VALUE"""),"")</f>
        <v/>
      </c>
      <c r="U693" s="5" t="str">
        <f>IFERROR(__xludf.DUMMYFUNCTION("""COMPUTED_VALUE"""),"")</f>
        <v/>
      </c>
      <c r="V693" s="5" t="str">
        <f>IFERROR(__xludf.DUMMYFUNCTION("""COMPUTED_VALUE"""),"")</f>
        <v/>
      </c>
      <c r="W693" s="5" t="str">
        <f>IFERROR(__xludf.DUMMYFUNCTION("""COMPUTED_VALUE"""),"")</f>
        <v/>
      </c>
      <c r="X693" s="5" t="str">
        <f>IFERROR(__xludf.DUMMYFUNCTION("""COMPUTED_VALUE"""),"")</f>
        <v/>
      </c>
      <c r="Y693" s="5"/>
      <c r="Z693" s="5"/>
    </row>
    <row r="694">
      <c r="A694" s="5" t="str">
        <f>IFERROR(__xludf.DUMMYFUNCTION("""COMPUTED_VALUE"""),"Clover Deluxe 2X")</f>
        <v>Clover Deluxe 2X</v>
      </c>
      <c r="B694" s="5" t="str">
        <f>IFERROR(__xludf.DUMMYFUNCTION("""COMPUTED_VALUE"""),"")</f>
        <v/>
      </c>
      <c r="C694" s="5" t="str">
        <f>IFERROR(__xludf.DUMMYFUNCTION("""COMPUTED_VALUE"""),"")</f>
        <v/>
      </c>
      <c r="D694" s="5" t="str">
        <f>IFERROR(__xludf.DUMMYFUNCTION("""COMPUTED_VALUE"""),"")</f>
        <v/>
      </c>
      <c r="E694" s="5" t="str">
        <f>IFERROR(__xludf.DUMMYFUNCTION("""COMPUTED_VALUE"""),"")</f>
        <v/>
      </c>
      <c r="F694" s="5" t="str">
        <f>IFERROR(__xludf.DUMMYFUNCTION("""COMPUTED_VALUE"""),"")</f>
        <v/>
      </c>
      <c r="G694" s="5" t="str">
        <f>IFERROR(__xludf.DUMMYFUNCTION("""COMPUTED_VALUE"""),"")</f>
        <v/>
      </c>
      <c r="H694" s="5" t="str">
        <f>IFERROR(__xludf.DUMMYFUNCTION("""COMPUTED_VALUE"""),"")</f>
        <v/>
      </c>
      <c r="I694" s="5" t="str">
        <f>IFERROR(__xludf.DUMMYFUNCTION("""COMPUTED_VALUE"""),"")</f>
        <v/>
      </c>
      <c r="J694" s="5" t="str">
        <f>IFERROR(__xludf.DUMMYFUNCTION("""COMPUTED_VALUE"""),"")</f>
        <v/>
      </c>
      <c r="K694" s="5" t="str">
        <f>IFERROR(__xludf.DUMMYFUNCTION("""COMPUTED_VALUE"""),"")</f>
        <v/>
      </c>
      <c r="L694" s="5" t="str">
        <f>IFERROR(__xludf.DUMMYFUNCTION("""COMPUTED_VALUE"""),"")</f>
        <v/>
      </c>
      <c r="M694" s="5" t="str">
        <f>IFERROR(__xludf.DUMMYFUNCTION("""COMPUTED_VALUE"""),"")</f>
        <v/>
      </c>
      <c r="N694" s="5" t="str">
        <f>IFERROR(__xludf.DUMMYFUNCTION("""COMPUTED_VALUE"""),"")</f>
        <v/>
      </c>
      <c r="O694" s="5" t="str">
        <f>IFERROR(__xludf.DUMMYFUNCTION("""COMPUTED_VALUE"""),"")</f>
        <v/>
      </c>
      <c r="P694" s="5" t="str">
        <f>IFERROR(__xludf.DUMMYFUNCTION("""COMPUTED_VALUE"""),"")</f>
        <v/>
      </c>
      <c r="Q694" s="5" t="str">
        <f>IFERROR(__xludf.DUMMYFUNCTION("""COMPUTED_VALUE"""),"")</f>
        <v/>
      </c>
      <c r="R694" s="5" t="str">
        <f>IFERROR(__xludf.DUMMYFUNCTION("""COMPUTED_VALUE"""),"")</f>
        <v/>
      </c>
      <c r="S694" s="5" t="str">
        <f>IFERROR(__xludf.DUMMYFUNCTION("""COMPUTED_VALUE"""),"")</f>
        <v/>
      </c>
      <c r="T694" s="5" t="str">
        <f>IFERROR(__xludf.DUMMYFUNCTION("""COMPUTED_VALUE"""),"")</f>
        <v/>
      </c>
      <c r="U694" s="5" t="str">
        <f>IFERROR(__xludf.DUMMYFUNCTION("""COMPUTED_VALUE"""),"")</f>
        <v/>
      </c>
      <c r="V694" s="5" t="str">
        <f>IFERROR(__xludf.DUMMYFUNCTION("""COMPUTED_VALUE"""),"")</f>
        <v/>
      </c>
      <c r="W694" s="5" t="str">
        <f>IFERROR(__xludf.DUMMYFUNCTION("""COMPUTED_VALUE"""),"")</f>
        <v/>
      </c>
      <c r="X694" s="5" t="str">
        <f>IFERROR(__xludf.DUMMYFUNCTION("""COMPUTED_VALUE"""),"")</f>
        <v/>
      </c>
      <c r="Y694" s="5"/>
      <c r="Z694" s="5"/>
    </row>
    <row r="695">
      <c r="A695" s="5" t="str">
        <f>IFERROR(__xludf.DUMMYFUNCTION("""COMPUTED_VALUE"""),"Pure Hot 5")</f>
        <v>Pure Hot 5</v>
      </c>
      <c r="B695" s="5" t="str">
        <f>IFERROR(__xludf.DUMMYFUNCTION("""COMPUTED_VALUE"""),"")</f>
        <v/>
      </c>
      <c r="C695" s="5" t="str">
        <f>IFERROR(__xludf.DUMMYFUNCTION("""COMPUTED_VALUE"""),"")</f>
        <v/>
      </c>
      <c r="D695" s="5" t="str">
        <f>IFERROR(__xludf.DUMMYFUNCTION("""COMPUTED_VALUE"""),"")</f>
        <v/>
      </c>
      <c r="E695" s="5" t="str">
        <f>IFERROR(__xludf.DUMMYFUNCTION("""COMPUTED_VALUE"""),"")</f>
        <v/>
      </c>
      <c r="F695" s="5" t="str">
        <f>IFERROR(__xludf.DUMMYFUNCTION("""COMPUTED_VALUE"""),"")</f>
        <v/>
      </c>
      <c r="G695" s="5" t="str">
        <f>IFERROR(__xludf.DUMMYFUNCTION("""COMPUTED_VALUE"""),"")</f>
        <v/>
      </c>
      <c r="H695" s="5" t="str">
        <f>IFERROR(__xludf.DUMMYFUNCTION("""COMPUTED_VALUE"""),"")</f>
        <v/>
      </c>
      <c r="I695" s="5" t="str">
        <f>IFERROR(__xludf.DUMMYFUNCTION("""COMPUTED_VALUE"""),"")</f>
        <v/>
      </c>
      <c r="J695" s="5" t="str">
        <f>IFERROR(__xludf.DUMMYFUNCTION("""COMPUTED_VALUE"""),"")</f>
        <v/>
      </c>
      <c r="K695" s="5" t="str">
        <f>IFERROR(__xludf.DUMMYFUNCTION("""COMPUTED_VALUE"""),"")</f>
        <v/>
      </c>
      <c r="L695" s="5" t="str">
        <f>IFERROR(__xludf.DUMMYFUNCTION("""COMPUTED_VALUE"""),"")</f>
        <v/>
      </c>
      <c r="M695" s="5" t="str">
        <f>IFERROR(__xludf.DUMMYFUNCTION("""COMPUTED_VALUE"""),"")</f>
        <v/>
      </c>
      <c r="N695" s="5" t="str">
        <f>IFERROR(__xludf.DUMMYFUNCTION("""COMPUTED_VALUE"""),"")</f>
        <v/>
      </c>
      <c r="O695" s="5" t="str">
        <f>IFERROR(__xludf.DUMMYFUNCTION("""COMPUTED_VALUE"""),"")</f>
        <v/>
      </c>
      <c r="P695" s="5" t="str">
        <f>IFERROR(__xludf.DUMMYFUNCTION("""COMPUTED_VALUE"""),"")</f>
        <v/>
      </c>
      <c r="Q695" s="5" t="str">
        <f>IFERROR(__xludf.DUMMYFUNCTION("""COMPUTED_VALUE"""),"")</f>
        <v/>
      </c>
      <c r="R695" s="5" t="str">
        <f>IFERROR(__xludf.DUMMYFUNCTION("""COMPUTED_VALUE"""),"")</f>
        <v/>
      </c>
      <c r="S695" s="5" t="str">
        <f>IFERROR(__xludf.DUMMYFUNCTION("""COMPUTED_VALUE"""),"")</f>
        <v/>
      </c>
      <c r="T695" s="5" t="str">
        <f>IFERROR(__xludf.DUMMYFUNCTION("""COMPUTED_VALUE"""),"")</f>
        <v/>
      </c>
      <c r="U695" s="5" t="str">
        <f>IFERROR(__xludf.DUMMYFUNCTION("""COMPUTED_VALUE"""),"")</f>
        <v/>
      </c>
      <c r="V695" s="5" t="str">
        <f>IFERROR(__xludf.DUMMYFUNCTION("""COMPUTED_VALUE"""),"")</f>
        <v/>
      </c>
      <c r="W695" s="5" t="str">
        <f>IFERROR(__xludf.DUMMYFUNCTION("""COMPUTED_VALUE"""),"")</f>
        <v/>
      </c>
      <c r="X695" s="5" t="str">
        <f>IFERROR(__xludf.DUMMYFUNCTION("""COMPUTED_VALUE"""),"")</f>
        <v/>
      </c>
      <c r="Y695" s="5"/>
      <c r="Z695" s="5"/>
    </row>
    <row r="696">
      <c r="A696" s="5" t="str">
        <f>IFERROR(__xludf.DUMMYFUNCTION("""COMPUTED_VALUE"""),"Golden Crown Extreme Booster")</f>
        <v>Golden Crown Extreme Booster</v>
      </c>
      <c r="B696" s="5" t="str">
        <f>IFERROR(__xludf.DUMMYFUNCTION("""COMPUTED_VALUE"""),"")</f>
        <v/>
      </c>
      <c r="C696" s="5" t="str">
        <f>IFERROR(__xludf.DUMMYFUNCTION("""COMPUTED_VALUE"""),"")</f>
        <v/>
      </c>
      <c r="D696" s="5" t="str">
        <f>IFERROR(__xludf.DUMMYFUNCTION("""COMPUTED_VALUE"""),"")</f>
        <v/>
      </c>
      <c r="E696" s="5" t="str">
        <f>IFERROR(__xludf.DUMMYFUNCTION("""COMPUTED_VALUE"""),"")</f>
        <v/>
      </c>
      <c r="F696" s="5" t="str">
        <f>IFERROR(__xludf.DUMMYFUNCTION("""COMPUTED_VALUE"""),"")</f>
        <v/>
      </c>
      <c r="G696" s="5" t="str">
        <f>IFERROR(__xludf.DUMMYFUNCTION("""COMPUTED_VALUE"""),"")</f>
        <v/>
      </c>
      <c r="H696" s="5" t="str">
        <f>IFERROR(__xludf.DUMMYFUNCTION("""COMPUTED_VALUE"""),"")</f>
        <v/>
      </c>
      <c r="I696" s="5" t="str">
        <f>IFERROR(__xludf.DUMMYFUNCTION("""COMPUTED_VALUE"""),"")</f>
        <v/>
      </c>
      <c r="J696" s="5" t="str">
        <f>IFERROR(__xludf.DUMMYFUNCTION("""COMPUTED_VALUE"""),"")</f>
        <v/>
      </c>
      <c r="K696" s="5" t="str">
        <f>IFERROR(__xludf.DUMMYFUNCTION("""COMPUTED_VALUE"""),"")</f>
        <v/>
      </c>
      <c r="L696" s="5" t="str">
        <f>IFERROR(__xludf.DUMMYFUNCTION("""COMPUTED_VALUE"""),"")</f>
        <v/>
      </c>
      <c r="M696" s="5" t="str">
        <f>IFERROR(__xludf.DUMMYFUNCTION("""COMPUTED_VALUE"""),"")</f>
        <v/>
      </c>
      <c r="N696" s="5" t="str">
        <f>IFERROR(__xludf.DUMMYFUNCTION("""COMPUTED_VALUE"""),"")</f>
        <v/>
      </c>
      <c r="O696" s="5" t="str">
        <f>IFERROR(__xludf.DUMMYFUNCTION("""COMPUTED_VALUE"""),"")</f>
        <v/>
      </c>
      <c r="P696" s="5" t="str">
        <f>IFERROR(__xludf.DUMMYFUNCTION("""COMPUTED_VALUE"""),"")</f>
        <v/>
      </c>
      <c r="Q696" s="5" t="str">
        <f>IFERROR(__xludf.DUMMYFUNCTION("""COMPUTED_VALUE"""),"")</f>
        <v/>
      </c>
      <c r="R696" s="5" t="str">
        <f>IFERROR(__xludf.DUMMYFUNCTION("""COMPUTED_VALUE"""),"")</f>
        <v/>
      </c>
      <c r="S696" s="5" t="str">
        <f>IFERROR(__xludf.DUMMYFUNCTION("""COMPUTED_VALUE"""),"")</f>
        <v/>
      </c>
      <c r="T696" s="5" t="str">
        <f>IFERROR(__xludf.DUMMYFUNCTION("""COMPUTED_VALUE"""),"")</f>
        <v/>
      </c>
      <c r="U696" s="5" t="str">
        <f>IFERROR(__xludf.DUMMYFUNCTION("""COMPUTED_VALUE"""),"")</f>
        <v/>
      </c>
      <c r="V696" s="5" t="str">
        <f>IFERROR(__xludf.DUMMYFUNCTION("""COMPUTED_VALUE"""),"")</f>
        <v/>
      </c>
      <c r="W696" s="5" t="str">
        <f>IFERROR(__xludf.DUMMYFUNCTION("""COMPUTED_VALUE"""),"")</f>
        <v/>
      </c>
      <c r="X696" s="5" t="str">
        <f>IFERROR(__xludf.DUMMYFUNCTION("""COMPUTED_VALUE"""),"")</f>
        <v/>
      </c>
      <c r="Y696" s="5"/>
      <c r="Z696" s="5"/>
    </row>
    <row r="697">
      <c r="A697" s="5" t="str">
        <f>IFERROR(__xludf.DUMMYFUNCTION("""COMPUTED_VALUE"""),"X Wild Crown")</f>
        <v>X Wild Crown</v>
      </c>
      <c r="B697" s="5" t="str">
        <f>IFERROR(__xludf.DUMMYFUNCTION("""COMPUTED_VALUE"""),"")</f>
        <v/>
      </c>
      <c r="C697" s="5" t="str">
        <f>IFERROR(__xludf.DUMMYFUNCTION("""COMPUTED_VALUE"""),"")</f>
        <v/>
      </c>
      <c r="D697" s="5" t="str">
        <f>IFERROR(__xludf.DUMMYFUNCTION("""COMPUTED_VALUE"""),"")</f>
        <v/>
      </c>
      <c r="E697" s="5" t="str">
        <f>IFERROR(__xludf.DUMMYFUNCTION("""COMPUTED_VALUE"""),"")</f>
        <v/>
      </c>
      <c r="F697" s="5" t="str">
        <f>IFERROR(__xludf.DUMMYFUNCTION("""COMPUTED_VALUE"""),"")</f>
        <v/>
      </c>
      <c r="G697" s="5" t="str">
        <f>IFERROR(__xludf.DUMMYFUNCTION("""COMPUTED_VALUE"""),"")</f>
        <v/>
      </c>
      <c r="H697" s="5" t="str">
        <f>IFERROR(__xludf.DUMMYFUNCTION("""COMPUTED_VALUE"""),"")</f>
        <v/>
      </c>
      <c r="I697" s="5" t="str">
        <f>IFERROR(__xludf.DUMMYFUNCTION("""COMPUTED_VALUE"""),"")</f>
        <v/>
      </c>
      <c r="J697" s="5" t="str">
        <f>IFERROR(__xludf.DUMMYFUNCTION("""COMPUTED_VALUE"""),"")</f>
        <v/>
      </c>
      <c r="K697" s="5" t="str">
        <f>IFERROR(__xludf.DUMMYFUNCTION("""COMPUTED_VALUE"""),"")</f>
        <v/>
      </c>
      <c r="L697" s="5" t="str">
        <f>IFERROR(__xludf.DUMMYFUNCTION("""COMPUTED_VALUE"""),"")</f>
        <v/>
      </c>
      <c r="M697" s="5" t="str">
        <f>IFERROR(__xludf.DUMMYFUNCTION("""COMPUTED_VALUE"""),"")</f>
        <v/>
      </c>
      <c r="N697" s="5" t="str">
        <f>IFERROR(__xludf.DUMMYFUNCTION("""COMPUTED_VALUE"""),"")</f>
        <v/>
      </c>
      <c r="O697" s="5" t="str">
        <f>IFERROR(__xludf.DUMMYFUNCTION("""COMPUTED_VALUE"""),"")</f>
        <v/>
      </c>
      <c r="P697" s="5" t="str">
        <f>IFERROR(__xludf.DUMMYFUNCTION("""COMPUTED_VALUE"""),"")</f>
        <v/>
      </c>
      <c r="Q697" s="5" t="str">
        <f>IFERROR(__xludf.DUMMYFUNCTION("""COMPUTED_VALUE"""),"")</f>
        <v/>
      </c>
      <c r="R697" s="5" t="str">
        <f>IFERROR(__xludf.DUMMYFUNCTION("""COMPUTED_VALUE"""),"")</f>
        <v/>
      </c>
      <c r="S697" s="5" t="str">
        <f>IFERROR(__xludf.DUMMYFUNCTION("""COMPUTED_VALUE"""),"")</f>
        <v/>
      </c>
      <c r="T697" s="5" t="str">
        <f>IFERROR(__xludf.DUMMYFUNCTION("""COMPUTED_VALUE"""),"")</f>
        <v/>
      </c>
      <c r="U697" s="5" t="str">
        <f>IFERROR(__xludf.DUMMYFUNCTION("""COMPUTED_VALUE"""),"")</f>
        <v/>
      </c>
      <c r="V697" s="5" t="str">
        <f>IFERROR(__xludf.DUMMYFUNCTION("""COMPUTED_VALUE"""),"")</f>
        <v/>
      </c>
      <c r="W697" s="5" t="str">
        <f>IFERROR(__xludf.DUMMYFUNCTION("""COMPUTED_VALUE"""),"")</f>
        <v/>
      </c>
      <c r="X697" s="5" t="str">
        <f>IFERROR(__xludf.DUMMYFUNCTION("""COMPUTED_VALUE"""),"")</f>
        <v/>
      </c>
      <c r="Y697" s="5"/>
      <c r="Z697" s="5"/>
    </row>
    <row r="698">
      <c r="A698" s="5" t="str">
        <f>IFERROR(__xludf.DUMMYFUNCTION("""COMPUTED_VALUE"""),"5 Clover Deluxe")</f>
        <v>5 Clover Deluxe</v>
      </c>
      <c r="B698" s="5" t="str">
        <f>IFERROR(__xludf.DUMMYFUNCTION("""COMPUTED_VALUE"""),"")</f>
        <v/>
      </c>
      <c r="C698" s="5" t="str">
        <f>IFERROR(__xludf.DUMMYFUNCTION("""COMPUTED_VALUE"""),"")</f>
        <v/>
      </c>
      <c r="D698" s="5" t="str">
        <f>IFERROR(__xludf.DUMMYFUNCTION("""COMPUTED_VALUE"""),"")</f>
        <v/>
      </c>
      <c r="E698" s="5" t="str">
        <f>IFERROR(__xludf.DUMMYFUNCTION("""COMPUTED_VALUE"""),"")</f>
        <v/>
      </c>
      <c r="F698" s="5" t="str">
        <f>IFERROR(__xludf.DUMMYFUNCTION("""COMPUTED_VALUE"""),"")</f>
        <v/>
      </c>
      <c r="G698" s="5" t="str">
        <f>IFERROR(__xludf.DUMMYFUNCTION("""COMPUTED_VALUE"""),"")</f>
        <v/>
      </c>
      <c r="H698" s="5" t="str">
        <f>IFERROR(__xludf.DUMMYFUNCTION("""COMPUTED_VALUE"""),"")</f>
        <v/>
      </c>
      <c r="I698" s="5" t="str">
        <f>IFERROR(__xludf.DUMMYFUNCTION("""COMPUTED_VALUE"""),"")</f>
        <v/>
      </c>
      <c r="J698" s="5" t="str">
        <f>IFERROR(__xludf.DUMMYFUNCTION("""COMPUTED_VALUE"""),"")</f>
        <v/>
      </c>
      <c r="K698" s="5" t="str">
        <f>IFERROR(__xludf.DUMMYFUNCTION("""COMPUTED_VALUE"""),"")</f>
        <v/>
      </c>
      <c r="L698" s="5" t="str">
        <f>IFERROR(__xludf.DUMMYFUNCTION("""COMPUTED_VALUE"""),"")</f>
        <v/>
      </c>
      <c r="M698" s="5" t="str">
        <f>IFERROR(__xludf.DUMMYFUNCTION("""COMPUTED_VALUE"""),"")</f>
        <v/>
      </c>
      <c r="N698" s="5" t="str">
        <f>IFERROR(__xludf.DUMMYFUNCTION("""COMPUTED_VALUE"""),"")</f>
        <v/>
      </c>
      <c r="O698" s="5" t="str">
        <f>IFERROR(__xludf.DUMMYFUNCTION("""COMPUTED_VALUE"""),"")</f>
        <v/>
      </c>
      <c r="P698" s="5" t="str">
        <f>IFERROR(__xludf.DUMMYFUNCTION("""COMPUTED_VALUE"""),"")</f>
        <v/>
      </c>
      <c r="Q698" s="5" t="str">
        <f>IFERROR(__xludf.DUMMYFUNCTION("""COMPUTED_VALUE"""),"")</f>
        <v/>
      </c>
      <c r="R698" s="5" t="str">
        <f>IFERROR(__xludf.DUMMYFUNCTION("""COMPUTED_VALUE"""),"")</f>
        <v/>
      </c>
      <c r="S698" s="5" t="str">
        <f>IFERROR(__xludf.DUMMYFUNCTION("""COMPUTED_VALUE"""),"")</f>
        <v/>
      </c>
      <c r="T698" s="5" t="str">
        <f>IFERROR(__xludf.DUMMYFUNCTION("""COMPUTED_VALUE"""),"")</f>
        <v/>
      </c>
      <c r="U698" s="5" t="str">
        <f>IFERROR(__xludf.DUMMYFUNCTION("""COMPUTED_VALUE"""),"")</f>
        <v/>
      </c>
      <c r="V698" s="5" t="str">
        <f>IFERROR(__xludf.DUMMYFUNCTION("""COMPUTED_VALUE"""),"")</f>
        <v/>
      </c>
      <c r="W698" s="5" t="str">
        <f>IFERROR(__xludf.DUMMYFUNCTION("""COMPUTED_VALUE"""),"")</f>
        <v/>
      </c>
      <c r="X698" s="5" t="str">
        <f>IFERROR(__xludf.DUMMYFUNCTION("""COMPUTED_VALUE"""),"")</f>
        <v/>
      </c>
      <c r="Y698" s="5"/>
      <c r="Z698" s="5"/>
    </row>
    <row r="699">
      <c r="A699" s="5" t="str">
        <f>IFERROR(__xludf.DUMMYFUNCTION("""COMPUTED_VALUE"""),"Heart Deluxe 2X")</f>
        <v>Heart Deluxe 2X</v>
      </c>
      <c r="B699" s="5" t="str">
        <f>IFERROR(__xludf.DUMMYFUNCTION("""COMPUTED_VALUE"""),"")</f>
        <v/>
      </c>
      <c r="C699" s="5" t="str">
        <f>IFERROR(__xludf.DUMMYFUNCTION("""COMPUTED_VALUE"""),"")</f>
        <v/>
      </c>
      <c r="D699" s="5" t="str">
        <f>IFERROR(__xludf.DUMMYFUNCTION("""COMPUTED_VALUE"""),"")</f>
        <v/>
      </c>
      <c r="E699" s="5" t="str">
        <f>IFERROR(__xludf.DUMMYFUNCTION("""COMPUTED_VALUE"""),"")</f>
        <v/>
      </c>
      <c r="F699" s="5" t="str">
        <f>IFERROR(__xludf.DUMMYFUNCTION("""COMPUTED_VALUE"""),"")</f>
        <v/>
      </c>
      <c r="G699" s="5" t="str">
        <f>IFERROR(__xludf.DUMMYFUNCTION("""COMPUTED_VALUE"""),"")</f>
        <v/>
      </c>
      <c r="H699" s="5" t="str">
        <f>IFERROR(__xludf.DUMMYFUNCTION("""COMPUTED_VALUE"""),"")</f>
        <v/>
      </c>
      <c r="I699" s="5" t="str">
        <f>IFERROR(__xludf.DUMMYFUNCTION("""COMPUTED_VALUE"""),"")</f>
        <v/>
      </c>
      <c r="J699" s="5" t="str">
        <f>IFERROR(__xludf.DUMMYFUNCTION("""COMPUTED_VALUE"""),"")</f>
        <v/>
      </c>
      <c r="K699" s="5" t="str">
        <f>IFERROR(__xludf.DUMMYFUNCTION("""COMPUTED_VALUE"""),"")</f>
        <v/>
      </c>
      <c r="L699" s="5" t="str">
        <f>IFERROR(__xludf.DUMMYFUNCTION("""COMPUTED_VALUE"""),"")</f>
        <v/>
      </c>
      <c r="M699" s="5" t="str">
        <f>IFERROR(__xludf.DUMMYFUNCTION("""COMPUTED_VALUE"""),"")</f>
        <v/>
      </c>
      <c r="N699" s="5" t="str">
        <f>IFERROR(__xludf.DUMMYFUNCTION("""COMPUTED_VALUE"""),"")</f>
        <v/>
      </c>
      <c r="O699" s="5" t="str">
        <f>IFERROR(__xludf.DUMMYFUNCTION("""COMPUTED_VALUE"""),"")</f>
        <v/>
      </c>
      <c r="P699" s="5" t="str">
        <f>IFERROR(__xludf.DUMMYFUNCTION("""COMPUTED_VALUE"""),"")</f>
        <v/>
      </c>
      <c r="Q699" s="5" t="str">
        <f>IFERROR(__xludf.DUMMYFUNCTION("""COMPUTED_VALUE"""),"")</f>
        <v/>
      </c>
      <c r="R699" s="5" t="str">
        <f>IFERROR(__xludf.DUMMYFUNCTION("""COMPUTED_VALUE"""),"")</f>
        <v/>
      </c>
      <c r="S699" s="5" t="str">
        <f>IFERROR(__xludf.DUMMYFUNCTION("""COMPUTED_VALUE"""),"")</f>
        <v/>
      </c>
      <c r="T699" s="5" t="str">
        <f>IFERROR(__xludf.DUMMYFUNCTION("""COMPUTED_VALUE"""),"")</f>
        <v/>
      </c>
      <c r="U699" s="5" t="str">
        <f>IFERROR(__xludf.DUMMYFUNCTION("""COMPUTED_VALUE"""),"")</f>
        <v/>
      </c>
      <c r="V699" s="5" t="str">
        <f>IFERROR(__xludf.DUMMYFUNCTION("""COMPUTED_VALUE"""),"")</f>
        <v/>
      </c>
      <c r="W699" s="5" t="str">
        <f>IFERROR(__xludf.DUMMYFUNCTION("""COMPUTED_VALUE"""),"")</f>
        <v/>
      </c>
      <c r="X699" s="5" t="str">
        <f>IFERROR(__xludf.DUMMYFUNCTION("""COMPUTED_VALUE"""),"")</f>
        <v/>
      </c>
      <c r="Y699" s="5"/>
      <c r="Z699" s="5"/>
    </row>
    <row r="700">
      <c r="A700" s="5" t="str">
        <f>IFERROR(__xludf.DUMMYFUNCTION("""COMPUTED_VALUE"""),"Cosmic Fruits")</f>
        <v>Cosmic Fruits</v>
      </c>
      <c r="B700" s="5" t="str">
        <f>IFERROR(__xludf.DUMMYFUNCTION("""COMPUTED_VALUE"""),"")</f>
        <v/>
      </c>
      <c r="C700" s="5" t="str">
        <f>IFERROR(__xludf.DUMMYFUNCTION("""COMPUTED_VALUE"""),"")</f>
        <v/>
      </c>
      <c r="D700" s="5" t="str">
        <f>IFERROR(__xludf.DUMMYFUNCTION("""COMPUTED_VALUE"""),"")</f>
        <v/>
      </c>
      <c r="E700" s="5" t="str">
        <f>IFERROR(__xludf.DUMMYFUNCTION("""COMPUTED_VALUE"""),"")</f>
        <v/>
      </c>
      <c r="F700" s="5" t="str">
        <f>IFERROR(__xludf.DUMMYFUNCTION("""COMPUTED_VALUE"""),"")</f>
        <v/>
      </c>
      <c r="G700" s="5" t="str">
        <f>IFERROR(__xludf.DUMMYFUNCTION("""COMPUTED_VALUE"""),"")</f>
        <v/>
      </c>
      <c r="H700" s="5" t="str">
        <f>IFERROR(__xludf.DUMMYFUNCTION("""COMPUTED_VALUE"""),"")</f>
        <v/>
      </c>
      <c r="I700" s="5" t="str">
        <f>IFERROR(__xludf.DUMMYFUNCTION("""COMPUTED_VALUE"""),"")</f>
        <v/>
      </c>
      <c r="J700" s="5" t="str">
        <f>IFERROR(__xludf.DUMMYFUNCTION("""COMPUTED_VALUE"""),"")</f>
        <v/>
      </c>
      <c r="K700" s="5" t="str">
        <f>IFERROR(__xludf.DUMMYFUNCTION("""COMPUTED_VALUE"""),"")</f>
        <v/>
      </c>
      <c r="L700" s="5" t="str">
        <f>IFERROR(__xludf.DUMMYFUNCTION("""COMPUTED_VALUE"""),"")</f>
        <v/>
      </c>
      <c r="M700" s="5" t="str">
        <f>IFERROR(__xludf.DUMMYFUNCTION("""COMPUTED_VALUE"""),"")</f>
        <v/>
      </c>
      <c r="N700" s="5" t="str">
        <f>IFERROR(__xludf.DUMMYFUNCTION("""COMPUTED_VALUE"""),"")</f>
        <v/>
      </c>
      <c r="O700" s="5" t="str">
        <f>IFERROR(__xludf.DUMMYFUNCTION("""COMPUTED_VALUE"""),"")</f>
        <v/>
      </c>
      <c r="P700" s="5" t="str">
        <f>IFERROR(__xludf.DUMMYFUNCTION("""COMPUTED_VALUE"""),"")</f>
        <v/>
      </c>
      <c r="Q700" s="5" t="str">
        <f>IFERROR(__xludf.DUMMYFUNCTION("""COMPUTED_VALUE"""),"")</f>
        <v/>
      </c>
      <c r="R700" s="5" t="str">
        <f>IFERROR(__xludf.DUMMYFUNCTION("""COMPUTED_VALUE"""),"")</f>
        <v/>
      </c>
      <c r="S700" s="5" t="str">
        <f>IFERROR(__xludf.DUMMYFUNCTION("""COMPUTED_VALUE"""),"")</f>
        <v/>
      </c>
      <c r="T700" s="5" t="str">
        <f>IFERROR(__xludf.DUMMYFUNCTION("""COMPUTED_VALUE"""),"")</f>
        <v/>
      </c>
      <c r="U700" s="5" t="str">
        <f>IFERROR(__xludf.DUMMYFUNCTION("""COMPUTED_VALUE"""),"")</f>
        <v/>
      </c>
      <c r="V700" s="5" t="str">
        <f>IFERROR(__xludf.DUMMYFUNCTION("""COMPUTED_VALUE"""),"")</f>
        <v/>
      </c>
      <c r="W700" s="5" t="str">
        <f>IFERROR(__xludf.DUMMYFUNCTION("""COMPUTED_VALUE"""),"")</f>
        <v/>
      </c>
      <c r="X700" s="5" t="str">
        <f>IFERROR(__xludf.DUMMYFUNCTION("""COMPUTED_VALUE"""),"")</f>
        <v/>
      </c>
      <c r="Y700" s="5"/>
      <c r="Z700" s="5"/>
    </row>
    <row r="701">
      <c r="A701" s="5" t="str">
        <f>IFERROR(__xludf.DUMMYFUNCTION("""COMPUTED_VALUE"""),"X Wild Heart")</f>
        <v>X Wild Heart</v>
      </c>
      <c r="B701" s="5" t="str">
        <f>IFERROR(__xludf.DUMMYFUNCTION("""COMPUTED_VALUE"""),"")</f>
        <v/>
      </c>
      <c r="C701" s="5" t="str">
        <f>IFERROR(__xludf.DUMMYFUNCTION("""COMPUTED_VALUE"""),"")</f>
        <v/>
      </c>
      <c r="D701" s="5" t="str">
        <f>IFERROR(__xludf.DUMMYFUNCTION("""COMPUTED_VALUE"""),"")</f>
        <v/>
      </c>
      <c r="E701" s="5" t="str">
        <f>IFERROR(__xludf.DUMMYFUNCTION("""COMPUTED_VALUE"""),"")</f>
        <v/>
      </c>
      <c r="F701" s="5" t="str">
        <f>IFERROR(__xludf.DUMMYFUNCTION("""COMPUTED_VALUE"""),"")</f>
        <v/>
      </c>
      <c r="G701" s="5" t="str">
        <f>IFERROR(__xludf.DUMMYFUNCTION("""COMPUTED_VALUE"""),"")</f>
        <v/>
      </c>
      <c r="H701" s="5" t="str">
        <f>IFERROR(__xludf.DUMMYFUNCTION("""COMPUTED_VALUE"""),"")</f>
        <v/>
      </c>
      <c r="I701" s="5" t="str">
        <f>IFERROR(__xludf.DUMMYFUNCTION("""COMPUTED_VALUE"""),"")</f>
        <v/>
      </c>
      <c r="J701" s="5" t="str">
        <f>IFERROR(__xludf.DUMMYFUNCTION("""COMPUTED_VALUE"""),"")</f>
        <v/>
      </c>
      <c r="K701" s="5" t="str">
        <f>IFERROR(__xludf.DUMMYFUNCTION("""COMPUTED_VALUE"""),"")</f>
        <v/>
      </c>
      <c r="L701" s="5" t="str">
        <f>IFERROR(__xludf.DUMMYFUNCTION("""COMPUTED_VALUE"""),"")</f>
        <v/>
      </c>
      <c r="M701" s="5" t="str">
        <f>IFERROR(__xludf.DUMMYFUNCTION("""COMPUTED_VALUE"""),"")</f>
        <v/>
      </c>
      <c r="N701" s="5" t="str">
        <f>IFERROR(__xludf.DUMMYFUNCTION("""COMPUTED_VALUE"""),"")</f>
        <v/>
      </c>
      <c r="O701" s="5" t="str">
        <f>IFERROR(__xludf.DUMMYFUNCTION("""COMPUTED_VALUE"""),"")</f>
        <v/>
      </c>
      <c r="P701" s="5" t="str">
        <f>IFERROR(__xludf.DUMMYFUNCTION("""COMPUTED_VALUE"""),"")</f>
        <v/>
      </c>
      <c r="Q701" s="5" t="str">
        <f>IFERROR(__xludf.DUMMYFUNCTION("""COMPUTED_VALUE"""),"")</f>
        <v/>
      </c>
      <c r="R701" s="5" t="str">
        <f>IFERROR(__xludf.DUMMYFUNCTION("""COMPUTED_VALUE"""),"")</f>
        <v/>
      </c>
      <c r="S701" s="5" t="str">
        <f>IFERROR(__xludf.DUMMYFUNCTION("""COMPUTED_VALUE"""),"")</f>
        <v/>
      </c>
      <c r="T701" s="5" t="str">
        <f>IFERROR(__xludf.DUMMYFUNCTION("""COMPUTED_VALUE"""),"")</f>
        <v/>
      </c>
      <c r="U701" s="5" t="str">
        <f>IFERROR(__xludf.DUMMYFUNCTION("""COMPUTED_VALUE"""),"")</f>
        <v/>
      </c>
      <c r="V701" s="5" t="str">
        <f>IFERROR(__xludf.DUMMYFUNCTION("""COMPUTED_VALUE"""),"")</f>
        <v/>
      </c>
      <c r="W701" s="5" t="str">
        <f>IFERROR(__xludf.DUMMYFUNCTION("""COMPUTED_VALUE"""),"")</f>
        <v/>
      </c>
      <c r="X701" s="5" t="str">
        <f>IFERROR(__xludf.DUMMYFUNCTION("""COMPUTED_VALUE"""),"")</f>
        <v/>
      </c>
      <c r="Y701" s="5"/>
      <c r="Z701" s="5"/>
    </row>
    <row r="702">
      <c r="A702" s="5" t="str">
        <f>IFERROR(__xludf.DUMMYFUNCTION("""COMPUTED_VALUE"""),"5 Crown Deluxe")</f>
        <v>5 Crown Deluxe</v>
      </c>
      <c r="B702" s="5" t="str">
        <f>IFERROR(__xludf.DUMMYFUNCTION("""COMPUTED_VALUE"""),"")</f>
        <v/>
      </c>
      <c r="C702" s="5" t="str">
        <f>IFERROR(__xludf.DUMMYFUNCTION("""COMPUTED_VALUE"""),"")</f>
        <v/>
      </c>
      <c r="D702" s="5" t="str">
        <f>IFERROR(__xludf.DUMMYFUNCTION("""COMPUTED_VALUE"""),"")</f>
        <v/>
      </c>
      <c r="E702" s="5" t="str">
        <f>IFERROR(__xludf.DUMMYFUNCTION("""COMPUTED_VALUE"""),"")</f>
        <v/>
      </c>
      <c r="F702" s="5" t="str">
        <f>IFERROR(__xludf.DUMMYFUNCTION("""COMPUTED_VALUE"""),"")</f>
        <v/>
      </c>
      <c r="G702" s="5" t="str">
        <f>IFERROR(__xludf.DUMMYFUNCTION("""COMPUTED_VALUE"""),"")</f>
        <v/>
      </c>
      <c r="H702" s="5" t="str">
        <f>IFERROR(__xludf.DUMMYFUNCTION("""COMPUTED_VALUE"""),"")</f>
        <v/>
      </c>
      <c r="I702" s="5" t="str">
        <f>IFERROR(__xludf.DUMMYFUNCTION("""COMPUTED_VALUE"""),"")</f>
        <v/>
      </c>
      <c r="J702" s="5" t="str">
        <f>IFERROR(__xludf.DUMMYFUNCTION("""COMPUTED_VALUE"""),"")</f>
        <v/>
      </c>
      <c r="K702" s="5" t="str">
        <f>IFERROR(__xludf.DUMMYFUNCTION("""COMPUTED_VALUE"""),"")</f>
        <v/>
      </c>
      <c r="L702" s="5" t="str">
        <f>IFERROR(__xludf.DUMMYFUNCTION("""COMPUTED_VALUE"""),"")</f>
        <v/>
      </c>
      <c r="M702" s="5" t="str">
        <f>IFERROR(__xludf.DUMMYFUNCTION("""COMPUTED_VALUE"""),"")</f>
        <v/>
      </c>
      <c r="N702" s="5" t="str">
        <f>IFERROR(__xludf.DUMMYFUNCTION("""COMPUTED_VALUE"""),"")</f>
        <v/>
      </c>
      <c r="O702" s="5" t="str">
        <f>IFERROR(__xludf.DUMMYFUNCTION("""COMPUTED_VALUE"""),"")</f>
        <v/>
      </c>
      <c r="P702" s="5" t="str">
        <f>IFERROR(__xludf.DUMMYFUNCTION("""COMPUTED_VALUE"""),"")</f>
        <v/>
      </c>
      <c r="Q702" s="5" t="str">
        <f>IFERROR(__xludf.DUMMYFUNCTION("""COMPUTED_VALUE"""),"")</f>
        <v/>
      </c>
      <c r="R702" s="5" t="str">
        <f>IFERROR(__xludf.DUMMYFUNCTION("""COMPUTED_VALUE"""),"")</f>
        <v/>
      </c>
      <c r="S702" s="5" t="str">
        <f>IFERROR(__xludf.DUMMYFUNCTION("""COMPUTED_VALUE"""),"")</f>
        <v/>
      </c>
      <c r="T702" s="5" t="str">
        <f>IFERROR(__xludf.DUMMYFUNCTION("""COMPUTED_VALUE"""),"")</f>
        <v/>
      </c>
      <c r="U702" s="5" t="str">
        <f>IFERROR(__xludf.DUMMYFUNCTION("""COMPUTED_VALUE"""),"")</f>
        <v/>
      </c>
      <c r="V702" s="5" t="str">
        <f>IFERROR(__xludf.DUMMYFUNCTION("""COMPUTED_VALUE"""),"")</f>
        <v/>
      </c>
      <c r="W702" s="5" t="str">
        <f>IFERROR(__xludf.DUMMYFUNCTION("""COMPUTED_VALUE"""),"")</f>
        <v/>
      </c>
      <c r="X702" s="5" t="str">
        <f>IFERROR(__xludf.DUMMYFUNCTION("""COMPUTED_VALUE"""),"")</f>
        <v/>
      </c>
      <c r="Y702" s="5"/>
      <c r="Z702" s="5"/>
    </row>
    <row r="703">
      <c r="A703" s="5" t="str">
        <f>IFERROR(__xludf.DUMMYFUNCTION("""COMPUTED_VALUE"""),"Crown Deluxe 2X")</f>
        <v>Crown Deluxe 2X</v>
      </c>
      <c r="B703" s="5" t="str">
        <f>IFERROR(__xludf.DUMMYFUNCTION("""COMPUTED_VALUE"""),"")</f>
        <v/>
      </c>
      <c r="C703" s="5" t="str">
        <f>IFERROR(__xludf.DUMMYFUNCTION("""COMPUTED_VALUE"""),"")</f>
        <v/>
      </c>
      <c r="D703" s="5" t="str">
        <f>IFERROR(__xludf.DUMMYFUNCTION("""COMPUTED_VALUE"""),"")</f>
        <v/>
      </c>
      <c r="E703" s="5" t="str">
        <f>IFERROR(__xludf.DUMMYFUNCTION("""COMPUTED_VALUE"""),"")</f>
        <v/>
      </c>
      <c r="F703" s="5" t="str">
        <f>IFERROR(__xludf.DUMMYFUNCTION("""COMPUTED_VALUE"""),"")</f>
        <v/>
      </c>
      <c r="G703" s="5" t="str">
        <f>IFERROR(__xludf.DUMMYFUNCTION("""COMPUTED_VALUE"""),"")</f>
        <v/>
      </c>
      <c r="H703" s="5" t="str">
        <f>IFERROR(__xludf.DUMMYFUNCTION("""COMPUTED_VALUE"""),"")</f>
        <v/>
      </c>
      <c r="I703" s="5" t="str">
        <f>IFERROR(__xludf.DUMMYFUNCTION("""COMPUTED_VALUE"""),"")</f>
        <v/>
      </c>
      <c r="J703" s="5" t="str">
        <f>IFERROR(__xludf.DUMMYFUNCTION("""COMPUTED_VALUE"""),"")</f>
        <v/>
      </c>
      <c r="K703" s="5" t="str">
        <f>IFERROR(__xludf.DUMMYFUNCTION("""COMPUTED_VALUE"""),"")</f>
        <v/>
      </c>
      <c r="L703" s="5" t="str">
        <f>IFERROR(__xludf.DUMMYFUNCTION("""COMPUTED_VALUE"""),"")</f>
        <v/>
      </c>
      <c r="M703" s="5" t="str">
        <f>IFERROR(__xludf.DUMMYFUNCTION("""COMPUTED_VALUE"""),"")</f>
        <v/>
      </c>
      <c r="N703" s="5" t="str">
        <f>IFERROR(__xludf.DUMMYFUNCTION("""COMPUTED_VALUE"""),"")</f>
        <v/>
      </c>
      <c r="O703" s="5" t="str">
        <f>IFERROR(__xludf.DUMMYFUNCTION("""COMPUTED_VALUE"""),"")</f>
        <v/>
      </c>
      <c r="P703" s="5" t="str">
        <f>IFERROR(__xludf.DUMMYFUNCTION("""COMPUTED_VALUE"""),"")</f>
        <v/>
      </c>
      <c r="Q703" s="5" t="str">
        <f>IFERROR(__xludf.DUMMYFUNCTION("""COMPUTED_VALUE"""),"")</f>
        <v/>
      </c>
      <c r="R703" s="5" t="str">
        <f>IFERROR(__xludf.DUMMYFUNCTION("""COMPUTED_VALUE"""),"")</f>
        <v/>
      </c>
      <c r="S703" s="5" t="str">
        <f>IFERROR(__xludf.DUMMYFUNCTION("""COMPUTED_VALUE"""),"")</f>
        <v/>
      </c>
      <c r="T703" s="5" t="str">
        <f>IFERROR(__xludf.DUMMYFUNCTION("""COMPUTED_VALUE"""),"")</f>
        <v/>
      </c>
      <c r="U703" s="5" t="str">
        <f>IFERROR(__xludf.DUMMYFUNCTION("""COMPUTED_VALUE"""),"")</f>
        <v/>
      </c>
      <c r="V703" s="5" t="str">
        <f>IFERROR(__xludf.DUMMYFUNCTION("""COMPUTED_VALUE"""),"")</f>
        <v/>
      </c>
      <c r="W703" s="5" t="str">
        <f>IFERROR(__xludf.DUMMYFUNCTION("""COMPUTED_VALUE"""),"")</f>
        <v/>
      </c>
      <c r="X703" s="5" t="str">
        <f>IFERROR(__xludf.DUMMYFUNCTION("""COMPUTED_VALUE"""),"")</f>
        <v/>
      </c>
      <c r="Y703" s="5"/>
      <c r="Z703" s="5"/>
    </row>
    <row r="704">
      <c r="A704" s="5" t="str">
        <f>IFERROR(__xludf.DUMMYFUNCTION("""COMPUTED_VALUE"""),"Royal Flame 40")</f>
        <v>Royal Flame 40</v>
      </c>
      <c r="B704" s="5" t="str">
        <f>IFERROR(__xludf.DUMMYFUNCTION("""COMPUTED_VALUE"""),"")</f>
        <v/>
      </c>
      <c r="C704" s="5" t="str">
        <f>IFERROR(__xludf.DUMMYFUNCTION("""COMPUTED_VALUE"""),"")</f>
        <v/>
      </c>
      <c r="D704" s="5" t="str">
        <f>IFERROR(__xludf.DUMMYFUNCTION("""COMPUTED_VALUE"""),"")</f>
        <v/>
      </c>
      <c r="E704" s="5" t="str">
        <f>IFERROR(__xludf.DUMMYFUNCTION("""COMPUTED_VALUE"""),"")</f>
        <v/>
      </c>
      <c r="F704" s="5" t="str">
        <f>IFERROR(__xludf.DUMMYFUNCTION("""COMPUTED_VALUE"""),"")</f>
        <v/>
      </c>
      <c r="G704" s="5" t="str">
        <f>IFERROR(__xludf.DUMMYFUNCTION("""COMPUTED_VALUE"""),"")</f>
        <v/>
      </c>
      <c r="H704" s="5" t="str">
        <f>IFERROR(__xludf.DUMMYFUNCTION("""COMPUTED_VALUE"""),"")</f>
        <v/>
      </c>
      <c r="I704" s="5" t="str">
        <f>IFERROR(__xludf.DUMMYFUNCTION("""COMPUTED_VALUE"""),"")</f>
        <v/>
      </c>
      <c r="J704" s="5" t="str">
        <f>IFERROR(__xludf.DUMMYFUNCTION("""COMPUTED_VALUE"""),"")</f>
        <v/>
      </c>
      <c r="K704" s="5" t="str">
        <f>IFERROR(__xludf.DUMMYFUNCTION("""COMPUTED_VALUE"""),"")</f>
        <v/>
      </c>
      <c r="L704" s="5" t="str">
        <f>IFERROR(__xludf.DUMMYFUNCTION("""COMPUTED_VALUE"""),"")</f>
        <v/>
      </c>
      <c r="M704" s="5" t="str">
        <f>IFERROR(__xludf.DUMMYFUNCTION("""COMPUTED_VALUE"""),"")</f>
        <v/>
      </c>
      <c r="N704" s="5" t="str">
        <f>IFERROR(__xludf.DUMMYFUNCTION("""COMPUTED_VALUE"""),"")</f>
        <v/>
      </c>
      <c r="O704" s="5" t="str">
        <f>IFERROR(__xludf.DUMMYFUNCTION("""COMPUTED_VALUE"""),"")</f>
        <v/>
      </c>
      <c r="P704" s="5" t="str">
        <f>IFERROR(__xludf.DUMMYFUNCTION("""COMPUTED_VALUE"""),"")</f>
        <v/>
      </c>
      <c r="Q704" s="5" t="str">
        <f>IFERROR(__xludf.DUMMYFUNCTION("""COMPUTED_VALUE"""),"")</f>
        <v/>
      </c>
      <c r="R704" s="5" t="str">
        <f>IFERROR(__xludf.DUMMYFUNCTION("""COMPUTED_VALUE"""),"")</f>
        <v/>
      </c>
      <c r="S704" s="5" t="str">
        <f>IFERROR(__xludf.DUMMYFUNCTION("""COMPUTED_VALUE"""),"")</f>
        <v/>
      </c>
      <c r="T704" s="5" t="str">
        <f>IFERROR(__xludf.DUMMYFUNCTION("""COMPUTED_VALUE"""),"")</f>
        <v/>
      </c>
      <c r="U704" s="5" t="str">
        <f>IFERROR(__xludf.DUMMYFUNCTION("""COMPUTED_VALUE"""),"")</f>
        <v/>
      </c>
      <c r="V704" s="5" t="str">
        <f>IFERROR(__xludf.DUMMYFUNCTION("""COMPUTED_VALUE"""),"")</f>
        <v/>
      </c>
      <c r="W704" s="5" t="str">
        <f>IFERROR(__xludf.DUMMYFUNCTION("""COMPUTED_VALUE"""),"")</f>
        <v/>
      </c>
      <c r="X704" s="5" t="str">
        <f>IFERROR(__xludf.DUMMYFUNCTION("""COMPUTED_VALUE"""),"")</f>
        <v/>
      </c>
      <c r="Y704" s="5"/>
      <c r="Z704" s="5"/>
    </row>
    <row r="705">
      <c r="A705" s="5" t="str">
        <f>IFERROR(__xludf.DUMMYFUNCTION("""COMPUTED_VALUE"""),"Fruit JackPot x10.000")</f>
        <v>Fruit JackPot x10.000</v>
      </c>
      <c r="B705" s="5" t="str">
        <f>IFERROR(__xludf.DUMMYFUNCTION("""COMPUTED_VALUE"""),"")</f>
        <v/>
      </c>
      <c r="C705" s="5" t="str">
        <f>IFERROR(__xludf.DUMMYFUNCTION("""COMPUTED_VALUE"""),"")</f>
        <v/>
      </c>
      <c r="D705" s="5" t="str">
        <f>IFERROR(__xludf.DUMMYFUNCTION("""COMPUTED_VALUE"""),"")</f>
        <v/>
      </c>
      <c r="E705" s="5" t="str">
        <f>IFERROR(__xludf.DUMMYFUNCTION("""COMPUTED_VALUE"""),"")</f>
        <v/>
      </c>
      <c r="F705" s="5" t="str">
        <f>IFERROR(__xludf.DUMMYFUNCTION("""COMPUTED_VALUE"""),"")</f>
        <v/>
      </c>
      <c r="G705" s="5" t="str">
        <f>IFERROR(__xludf.DUMMYFUNCTION("""COMPUTED_VALUE"""),"")</f>
        <v/>
      </c>
      <c r="H705" s="5" t="str">
        <f>IFERROR(__xludf.DUMMYFUNCTION("""COMPUTED_VALUE"""),"")</f>
        <v/>
      </c>
      <c r="I705" s="5" t="str">
        <f>IFERROR(__xludf.DUMMYFUNCTION("""COMPUTED_VALUE"""),"")</f>
        <v/>
      </c>
      <c r="J705" s="5" t="str">
        <f>IFERROR(__xludf.DUMMYFUNCTION("""COMPUTED_VALUE"""),"")</f>
        <v/>
      </c>
      <c r="K705" s="5" t="str">
        <f>IFERROR(__xludf.DUMMYFUNCTION("""COMPUTED_VALUE"""),"")</f>
        <v/>
      </c>
      <c r="L705" s="5" t="str">
        <f>IFERROR(__xludf.DUMMYFUNCTION("""COMPUTED_VALUE"""),"")</f>
        <v/>
      </c>
      <c r="M705" s="5" t="str">
        <f>IFERROR(__xludf.DUMMYFUNCTION("""COMPUTED_VALUE"""),"")</f>
        <v/>
      </c>
      <c r="N705" s="5" t="str">
        <f>IFERROR(__xludf.DUMMYFUNCTION("""COMPUTED_VALUE"""),"")</f>
        <v/>
      </c>
      <c r="O705" s="5" t="str">
        <f>IFERROR(__xludf.DUMMYFUNCTION("""COMPUTED_VALUE"""),"")</f>
        <v/>
      </c>
      <c r="P705" s="5" t="str">
        <f>IFERROR(__xludf.DUMMYFUNCTION("""COMPUTED_VALUE"""),"")</f>
        <v/>
      </c>
      <c r="Q705" s="5" t="str">
        <f>IFERROR(__xludf.DUMMYFUNCTION("""COMPUTED_VALUE"""),"")</f>
        <v/>
      </c>
      <c r="R705" s="5" t="str">
        <f>IFERROR(__xludf.DUMMYFUNCTION("""COMPUTED_VALUE"""),"")</f>
        <v/>
      </c>
      <c r="S705" s="5" t="str">
        <f>IFERROR(__xludf.DUMMYFUNCTION("""COMPUTED_VALUE"""),"")</f>
        <v/>
      </c>
      <c r="T705" s="5" t="str">
        <f>IFERROR(__xludf.DUMMYFUNCTION("""COMPUTED_VALUE"""),"")</f>
        <v/>
      </c>
      <c r="U705" s="5" t="str">
        <f>IFERROR(__xludf.DUMMYFUNCTION("""COMPUTED_VALUE"""),"")</f>
        <v/>
      </c>
      <c r="V705" s="5" t="str">
        <f>IFERROR(__xludf.DUMMYFUNCTION("""COMPUTED_VALUE"""),"")</f>
        <v/>
      </c>
      <c r="W705" s="5" t="str">
        <f>IFERROR(__xludf.DUMMYFUNCTION("""COMPUTED_VALUE"""),"")</f>
        <v/>
      </c>
      <c r="X705" s="5" t="str">
        <f>IFERROR(__xludf.DUMMYFUNCTION("""COMPUTED_VALUE"""),"")</f>
        <v/>
      </c>
      <c r="Y705" s="5"/>
      <c r="Z705" s="5"/>
    </row>
    <row r="706">
      <c r="A706" s="5" t="str">
        <f>IFERROR(__xludf.DUMMYFUNCTION("""COMPUTED_VALUE"""),"27 Lucky Fruits")</f>
        <v>27 Lucky Fruits</v>
      </c>
      <c r="B706" s="5" t="str">
        <f>IFERROR(__xludf.DUMMYFUNCTION("""COMPUTED_VALUE"""),"")</f>
        <v/>
      </c>
      <c r="C706" s="5" t="str">
        <f>IFERROR(__xludf.DUMMYFUNCTION("""COMPUTED_VALUE"""),"")</f>
        <v/>
      </c>
      <c r="D706" s="5" t="str">
        <f>IFERROR(__xludf.DUMMYFUNCTION("""COMPUTED_VALUE"""),"")</f>
        <v/>
      </c>
      <c r="E706" s="5" t="str">
        <f>IFERROR(__xludf.DUMMYFUNCTION("""COMPUTED_VALUE"""),"")</f>
        <v/>
      </c>
      <c r="F706" s="5" t="str">
        <f>IFERROR(__xludf.DUMMYFUNCTION("""COMPUTED_VALUE"""),"")</f>
        <v/>
      </c>
      <c r="G706" s="5" t="str">
        <f>IFERROR(__xludf.DUMMYFUNCTION("""COMPUTED_VALUE"""),"")</f>
        <v/>
      </c>
      <c r="H706" s="5" t="str">
        <f>IFERROR(__xludf.DUMMYFUNCTION("""COMPUTED_VALUE"""),"")</f>
        <v/>
      </c>
      <c r="I706" s="5" t="str">
        <f>IFERROR(__xludf.DUMMYFUNCTION("""COMPUTED_VALUE"""),"")</f>
        <v/>
      </c>
      <c r="J706" s="5" t="str">
        <f>IFERROR(__xludf.DUMMYFUNCTION("""COMPUTED_VALUE"""),"")</f>
        <v/>
      </c>
      <c r="K706" s="5" t="str">
        <f>IFERROR(__xludf.DUMMYFUNCTION("""COMPUTED_VALUE"""),"")</f>
        <v/>
      </c>
      <c r="L706" s="5" t="str">
        <f>IFERROR(__xludf.DUMMYFUNCTION("""COMPUTED_VALUE"""),"")</f>
        <v/>
      </c>
      <c r="M706" s="5" t="str">
        <f>IFERROR(__xludf.DUMMYFUNCTION("""COMPUTED_VALUE"""),"")</f>
        <v/>
      </c>
      <c r="N706" s="5" t="str">
        <f>IFERROR(__xludf.DUMMYFUNCTION("""COMPUTED_VALUE"""),"")</f>
        <v/>
      </c>
      <c r="O706" s="5" t="str">
        <f>IFERROR(__xludf.DUMMYFUNCTION("""COMPUTED_VALUE"""),"")</f>
        <v/>
      </c>
      <c r="P706" s="5" t="str">
        <f>IFERROR(__xludf.DUMMYFUNCTION("""COMPUTED_VALUE"""),"")</f>
        <v/>
      </c>
      <c r="Q706" s="5" t="str">
        <f>IFERROR(__xludf.DUMMYFUNCTION("""COMPUTED_VALUE"""),"")</f>
        <v/>
      </c>
      <c r="R706" s="5" t="str">
        <f>IFERROR(__xludf.DUMMYFUNCTION("""COMPUTED_VALUE"""),"")</f>
        <v/>
      </c>
      <c r="S706" s="5" t="str">
        <f>IFERROR(__xludf.DUMMYFUNCTION("""COMPUTED_VALUE"""),"")</f>
        <v/>
      </c>
      <c r="T706" s="5" t="str">
        <f>IFERROR(__xludf.DUMMYFUNCTION("""COMPUTED_VALUE"""),"")</f>
        <v/>
      </c>
      <c r="U706" s="5" t="str">
        <f>IFERROR(__xludf.DUMMYFUNCTION("""COMPUTED_VALUE"""),"")</f>
        <v/>
      </c>
      <c r="V706" s="5" t="str">
        <f>IFERROR(__xludf.DUMMYFUNCTION("""COMPUTED_VALUE"""),"")</f>
        <v/>
      </c>
      <c r="W706" s="5" t="str">
        <f>IFERROR(__xludf.DUMMYFUNCTION("""COMPUTED_VALUE"""),"")</f>
        <v/>
      </c>
      <c r="X706" s="5" t="str">
        <f>IFERROR(__xludf.DUMMYFUNCTION("""COMPUTED_VALUE"""),"")</f>
        <v/>
      </c>
      <c r="Y706" s="5"/>
      <c r="Z706" s="5"/>
    </row>
    <row r="707">
      <c r="A707" s="5" t="str">
        <f>IFERROR(__xludf.DUMMYFUNCTION("""COMPUTED_VALUE"""),"Shadow Hunt 10")</f>
        <v>Shadow Hunt 10</v>
      </c>
      <c r="B707" s="5" t="str">
        <f>IFERROR(__xludf.DUMMYFUNCTION("""COMPUTED_VALUE"""),"")</f>
        <v/>
      </c>
      <c r="C707" s="5" t="str">
        <f>IFERROR(__xludf.DUMMYFUNCTION("""COMPUTED_VALUE"""),"")</f>
        <v/>
      </c>
      <c r="D707" s="5" t="str">
        <f>IFERROR(__xludf.DUMMYFUNCTION("""COMPUTED_VALUE"""),"")</f>
        <v/>
      </c>
      <c r="E707" s="5" t="str">
        <f>IFERROR(__xludf.DUMMYFUNCTION("""COMPUTED_VALUE"""),"")</f>
        <v/>
      </c>
      <c r="F707" s="5" t="str">
        <f>IFERROR(__xludf.DUMMYFUNCTION("""COMPUTED_VALUE"""),"")</f>
        <v/>
      </c>
      <c r="G707" s="5" t="str">
        <f>IFERROR(__xludf.DUMMYFUNCTION("""COMPUTED_VALUE"""),"")</f>
        <v/>
      </c>
      <c r="H707" s="5" t="str">
        <f>IFERROR(__xludf.DUMMYFUNCTION("""COMPUTED_VALUE"""),"")</f>
        <v/>
      </c>
      <c r="I707" s="5" t="str">
        <f>IFERROR(__xludf.DUMMYFUNCTION("""COMPUTED_VALUE"""),"")</f>
        <v/>
      </c>
      <c r="J707" s="5" t="str">
        <f>IFERROR(__xludf.DUMMYFUNCTION("""COMPUTED_VALUE"""),"")</f>
        <v/>
      </c>
      <c r="K707" s="5" t="str">
        <f>IFERROR(__xludf.DUMMYFUNCTION("""COMPUTED_VALUE"""),"")</f>
        <v/>
      </c>
      <c r="L707" s="5" t="str">
        <f>IFERROR(__xludf.DUMMYFUNCTION("""COMPUTED_VALUE"""),"")</f>
        <v/>
      </c>
      <c r="M707" s="5" t="str">
        <f>IFERROR(__xludf.DUMMYFUNCTION("""COMPUTED_VALUE"""),"")</f>
        <v/>
      </c>
      <c r="N707" s="5" t="str">
        <f>IFERROR(__xludf.DUMMYFUNCTION("""COMPUTED_VALUE"""),"")</f>
        <v/>
      </c>
      <c r="O707" s="5" t="str">
        <f>IFERROR(__xludf.DUMMYFUNCTION("""COMPUTED_VALUE"""),"")</f>
        <v/>
      </c>
      <c r="P707" s="5" t="str">
        <f>IFERROR(__xludf.DUMMYFUNCTION("""COMPUTED_VALUE"""),"")</f>
        <v/>
      </c>
      <c r="Q707" s="5" t="str">
        <f>IFERROR(__xludf.DUMMYFUNCTION("""COMPUTED_VALUE"""),"")</f>
        <v/>
      </c>
      <c r="R707" s="5" t="str">
        <f>IFERROR(__xludf.DUMMYFUNCTION("""COMPUTED_VALUE"""),"")</f>
        <v/>
      </c>
      <c r="S707" s="5" t="str">
        <f>IFERROR(__xludf.DUMMYFUNCTION("""COMPUTED_VALUE"""),"")</f>
        <v/>
      </c>
      <c r="T707" s="5" t="str">
        <f>IFERROR(__xludf.DUMMYFUNCTION("""COMPUTED_VALUE"""),"")</f>
        <v/>
      </c>
      <c r="U707" s="5" t="str">
        <f>IFERROR(__xludf.DUMMYFUNCTION("""COMPUTED_VALUE"""),"")</f>
        <v/>
      </c>
      <c r="V707" s="5" t="str">
        <f>IFERROR(__xludf.DUMMYFUNCTION("""COMPUTED_VALUE"""),"")</f>
        <v/>
      </c>
      <c r="W707" s="5" t="str">
        <f>IFERROR(__xludf.DUMMYFUNCTION("""COMPUTED_VALUE"""),"")</f>
        <v/>
      </c>
      <c r="X707" s="5" t="str">
        <f>IFERROR(__xludf.DUMMYFUNCTION("""COMPUTED_VALUE"""),"")</f>
        <v/>
      </c>
      <c r="Y707" s="5"/>
      <c r="Z707" s="5"/>
    </row>
    <row r="708">
      <c r="A708" s="5" t="str">
        <f>IFERROR(__xludf.DUMMYFUNCTION("""COMPUTED_VALUE"""),"Diamond Heart 20")</f>
        <v>Diamond Heart 20</v>
      </c>
      <c r="B708" s="5" t="str">
        <f>IFERROR(__xludf.DUMMYFUNCTION("""COMPUTED_VALUE"""),"")</f>
        <v/>
      </c>
      <c r="C708" s="5" t="str">
        <f>IFERROR(__xludf.DUMMYFUNCTION("""COMPUTED_VALUE"""),"")</f>
        <v/>
      </c>
      <c r="D708" s="5" t="str">
        <f>IFERROR(__xludf.DUMMYFUNCTION("""COMPUTED_VALUE"""),"")</f>
        <v/>
      </c>
      <c r="E708" s="5" t="str">
        <f>IFERROR(__xludf.DUMMYFUNCTION("""COMPUTED_VALUE"""),"")</f>
        <v/>
      </c>
      <c r="F708" s="5" t="str">
        <f>IFERROR(__xludf.DUMMYFUNCTION("""COMPUTED_VALUE"""),"")</f>
        <v/>
      </c>
      <c r="G708" s="5" t="str">
        <f>IFERROR(__xludf.DUMMYFUNCTION("""COMPUTED_VALUE"""),"")</f>
        <v/>
      </c>
      <c r="H708" s="5" t="str">
        <f>IFERROR(__xludf.DUMMYFUNCTION("""COMPUTED_VALUE"""),"")</f>
        <v/>
      </c>
      <c r="I708" s="5" t="str">
        <f>IFERROR(__xludf.DUMMYFUNCTION("""COMPUTED_VALUE"""),"")</f>
        <v/>
      </c>
      <c r="J708" s="5" t="str">
        <f>IFERROR(__xludf.DUMMYFUNCTION("""COMPUTED_VALUE"""),"")</f>
        <v/>
      </c>
      <c r="K708" s="5" t="str">
        <f>IFERROR(__xludf.DUMMYFUNCTION("""COMPUTED_VALUE"""),"")</f>
        <v/>
      </c>
      <c r="L708" s="5" t="str">
        <f>IFERROR(__xludf.DUMMYFUNCTION("""COMPUTED_VALUE"""),"")</f>
        <v/>
      </c>
      <c r="M708" s="5" t="str">
        <f>IFERROR(__xludf.DUMMYFUNCTION("""COMPUTED_VALUE"""),"")</f>
        <v/>
      </c>
      <c r="N708" s="5" t="str">
        <f>IFERROR(__xludf.DUMMYFUNCTION("""COMPUTED_VALUE"""),"")</f>
        <v/>
      </c>
      <c r="O708" s="5" t="str">
        <f>IFERROR(__xludf.DUMMYFUNCTION("""COMPUTED_VALUE"""),"")</f>
        <v/>
      </c>
      <c r="P708" s="5" t="str">
        <f>IFERROR(__xludf.DUMMYFUNCTION("""COMPUTED_VALUE"""),"")</f>
        <v/>
      </c>
      <c r="Q708" s="5" t="str">
        <f>IFERROR(__xludf.DUMMYFUNCTION("""COMPUTED_VALUE"""),"")</f>
        <v/>
      </c>
      <c r="R708" s="5" t="str">
        <f>IFERROR(__xludf.DUMMYFUNCTION("""COMPUTED_VALUE"""),"")</f>
        <v/>
      </c>
      <c r="S708" s="5" t="str">
        <f>IFERROR(__xludf.DUMMYFUNCTION("""COMPUTED_VALUE"""),"")</f>
        <v/>
      </c>
      <c r="T708" s="5" t="str">
        <f>IFERROR(__xludf.DUMMYFUNCTION("""COMPUTED_VALUE"""),"")</f>
        <v/>
      </c>
      <c r="U708" s="5" t="str">
        <f>IFERROR(__xludf.DUMMYFUNCTION("""COMPUTED_VALUE"""),"")</f>
        <v/>
      </c>
      <c r="V708" s="5" t="str">
        <f>IFERROR(__xludf.DUMMYFUNCTION("""COMPUTED_VALUE"""),"")</f>
        <v/>
      </c>
      <c r="W708" s="5" t="str">
        <f>IFERROR(__xludf.DUMMYFUNCTION("""COMPUTED_VALUE"""),"")</f>
        <v/>
      </c>
      <c r="X708" s="5" t="str">
        <f>IFERROR(__xludf.DUMMYFUNCTION("""COMPUTED_VALUE"""),"")</f>
        <v/>
      </c>
      <c r="Y708" s="5"/>
      <c r="Z708" s="5"/>
    </row>
    <row r="709">
      <c r="A709" s="5" t="str">
        <f>IFERROR(__xludf.DUMMYFUNCTION("""COMPUTED_VALUE"""),"Bit Queen")</f>
        <v>Bit Queen</v>
      </c>
      <c r="B709" s="5" t="str">
        <f>IFERROR(__xludf.DUMMYFUNCTION("""COMPUTED_VALUE"""),"")</f>
        <v/>
      </c>
      <c r="C709" s="5" t="str">
        <f>IFERROR(__xludf.DUMMYFUNCTION("""COMPUTED_VALUE"""),"")</f>
        <v/>
      </c>
      <c r="D709" s="5" t="str">
        <f>IFERROR(__xludf.DUMMYFUNCTION("""COMPUTED_VALUE"""),"")</f>
        <v/>
      </c>
      <c r="E709" s="5" t="str">
        <f>IFERROR(__xludf.DUMMYFUNCTION("""COMPUTED_VALUE"""),"")</f>
        <v/>
      </c>
      <c r="F709" s="5" t="str">
        <f>IFERROR(__xludf.DUMMYFUNCTION("""COMPUTED_VALUE"""),"")</f>
        <v/>
      </c>
      <c r="G709" s="5" t="str">
        <f>IFERROR(__xludf.DUMMYFUNCTION("""COMPUTED_VALUE"""),"")</f>
        <v/>
      </c>
      <c r="H709" s="5" t="str">
        <f>IFERROR(__xludf.DUMMYFUNCTION("""COMPUTED_VALUE"""),"")</f>
        <v/>
      </c>
      <c r="I709" s="5" t="str">
        <f>IFERROR(__xludf.DUMMYFUNCTION("""COMPUTED_VALUE"""),"")</f>
        <v/>
      </c>
      <c r="J709" s="5" t="str">
        <f>IFERROR(__xludf.DUMMYFUNCTION("""COMPUTED_VALUE"""),"")</f>
        <v/>
      </c>
      <c r="K709" s="5" t="str">
        <f>IFERROR(__xludf.DUMMYFUNCTION("""COMPUTED_VALUE"""),"")</f>
        <v/>
      </c>
      <c r="L709" s="5" t="str">
        <f>IFERROR(__xludf.DUMMYFUNCTION("""COMPUTED_VALUE"""),"")</f>
        <v/>
      </c>
      <c r="M709" s="5" t="str">
        <f>IFERROR(__xludf.DUMMYFUNCTION("""COMPUTED_VALUE"""),"")</f>
        <v/>
      </c>
      <c r="N709" s="5" t="str">
        <f>IFERROR(__xludf.DUMMYFUNCTION("""COMPUTED_VALUE"""),"")</f>
        <v/>
      </c>
      <c r="O709" s="5" t="str">
        <f>IFERROR(__xludf.DUMMYFUNCTION("""COMPUTED_VALUE"""),"")</f>
        <v/>
      </c>
      <c r="P709" s="5" t="str">
        <f>IFERROR(__xludf.DUMMYFUNCTION("""COMPUTED_VALUE"""),"")</f>
        <v/>
      </c>
      <c r="Q709" s="5" t="str">
        <f>IFERROR(__xludf.DUMMYFUNCTION("""COMPUTED_VALUE"""),"")</f>
        <v/>
      </c>
      <c r="R709" s="5" t="str">
        <f>IFERROR(__xludf.DUMMYFUNCTION("""COMPUTED_VALUE"""),"")</f>
        <v/>
      </c>
      <c r="S709" s="5" t="str">
        <f>IFERROR(__xludf.DUMMYFUNCTION("""COMPUTED_VALUE"""),"")</f>
        <v/>
      </c>
      <c r="T709" s="5" t="str">
        <f>IFERROR(__xludf.DUMMYFUNCTION("""COMPUTED_VALUE"""),"")</f>
        <v/>
      </c>
      <c r="U709" s="5" t="str">
        <f>IFERROR(__xludf.DUMMYFUNCTION("""COMPUTED_VALUE"""),"")</f>
        <v/>
      </c>
      <c r="V709" s="5" t="str">
        <f>IFERROR(__xludf.DUMMYFUNCTION("""COMPUTED_VALUE"""),"")</f>
        <v/>
      </c>
      <c r="W709" s="5" t="str">
        <f>IFERROR(__xludf.DUMMYFUNCTION("""COMPUTED_VALUE"""),"")</f>
        <v/>
      </c>
      <c r="X709" s="5" t="str">
        <f>IFERROR(__xludf.DUMMYFUNCTION("""COMPUTED_VALUE"""),"")</f>
        <v/>
      </c>
      <c r="Y709" s="5"/>
      <c r="Z709" s="5"/>
    </row>
    <row r="710">
      <c r="A710" s="5" t="str">
        <f>IFERROR(__xludf.DUMMYFUNCTION("""COMPUTED_VALUE"""),"Dashing Hot 40")</f>
        <v>Dashing Hot 40</v>
      </c>
      <c r="B710" s="5" t="str">
        <f>IFERROR(__xludf.DUMMYFUNCTION("""COMPUTED_VALUE"""),"")</f>
        <v/>
      </c>
      <c r="C710" s="5" t="str">
        <f>IFERROR(__xludf.DUMMYFUNCTION("""COMPUTED_VALUE"""),"")</f>
        <v/>
      </c>
      <c r="D710" s="5" t="str">
        <f>IFERROR(__xludf.DUMMYFUNCTION("""COMPUTED_VALUE"""),"")</f>
        <v/>
      </c>
      <c r="E710" s="5" t="str">
        <f>IFERROR(__xludf.DUMMYFUNCTION("""COMPUTED_VALUE"""),"")</f>
        <v/>
      </c>
      <c r="F710" s="5" t="str">
        <f>IFERROR(__xludf.DUMMYFUNCTION("""COMPUTED_VALUE"""),"")</f>
        <v/>
      </c>
      <c r="G710" s="5" t="str">
        <f>IFERROR(__xludf.DUMMYFUNCTION("""COMPUTED_VALUE"""),"")</f>
        <v/>
      </c>
      <c r="H710" s="5" t="str">
        <f>IFERROR(__xludf.DUMMYFUNCTION("""COMPUTED_VALUE"""),"")</f>
        <v/>
      </c>
      <c r="I710" s="5" t="str">
        <f>IFERROR(__xludf.DUMMYFUNCTION("""COMPUTED_VALUE"""),"")</f>
        <v/>
      </c>
      <c r="J710" s="5" t="str">
        <f>IFERROR(__xludf.DUMMYFUNCTION("""COMPUTED_VALUE"""),"")</f>
        <v/>
      </c>
      <c r="K710" s="5" t="str">
        <f>IFERROR(__xludf.DUMMYFUNCTION("""COMPUTED_VALUE"""),"")</f>
        <v/>
      </c>
      <c r="L710" s="5" t="str">
        <f>IFERROR(__xludf.DUMMYFUNCTION("""COMPUTED_VALUE"""),"")</f>
        <v/>
      </c>
      <c r="M710" s="5" t="str">
        <f>IFERROR(__xludf.DUMMYFUNCTION("""COMPUTED_VALUE"""),"")</f>
        <v/>
      </c>
      <c r="N710" s="5" t="str">
        <f>IFERROR(__xludf.DUMMYFUNCTION("""COMPUTED_VALUE"""),"")</f>
        <v/>
      </c>
      <c r="O710" s="5" t="str">
        <f>IFERROR(__xludf.DUMMYFUNCTION("""COMPUTED_VALUE"""),"")</f>
        <v/>
      </c>
      <c r="P710" s="5" t="str">
        <f>IFERROR(__xludf.DUMMYFUNCTION("""COMPUTED_VALUE"""),"")</f>
        <v/>
      </c>
      <c r="Q710" s="5" t="str">
        <f>IFERROR(__xludf.DUMMYFUNCTION("""COMPUTED_VALUE"""),"")</f>
        <v/>
      </c>
      <c r="R710" s="5" t="str">
        <f>IFERROR(__xludf.DUMMYFUNCTION("""COMPUTED_VALUE"""),"")</f>
        <v/>
      </c>
      <c r="S710" s="5" t="str">
        <f>IFERROR(__xludf.DUMMYFUNCTION("""COMPUTED_VALUE"""),"")</f>
        <v/>
      </c>
      <c r="T710" s="5" t="str">
        <f>IFERROR(__xludf.DUMMYFUNCTION("""COMPUTED_VALUE"""),"")</f>
        <v/>
      </c>
      <c r="U710" s="5" t="str">
        <f>IFERROR(__xludf.DUMMYFUNCTION("""COMPUTED_VALUE"""),"")</f>
        <v/>
      </c>
      <c r="V710" s="5" t="str">
        <f>IFERROR(__xludf.DUMMYFUNCTION("""COMPUTED_VALUE"""),"")</f>
        <v/>
      </c>
      <c r="W710" s="5" t="str">
        <f>IFERROR(__xludf.DUMMYFUNCTION("""COMPUTED_VALUE"""),"")</f>
        <v/>
      </c>
      <c r="X710" s="5" t="str">
        <f>IFERROR(__xludf.DUMMYFUNCTION("""COMPUTED_VALUE"""),"")</f>
        <v/>
      </c>
      <c r="Y710" s="5"/>
      <c r="Z710" s="5"/>
    </row>
    <row r="711">
      <c r="A711" s="5" t="str">
        <f>IFERROR(__xludf.DUMMYFUNCTION("""COMPUTED_VALUE"""),"Dark Temptress 100")</f>
        <v>Dark Temptress 100</v>
      </c>
      <c r="B711" s="5" t="str">
        <f>IFERROR(__xludf.DUMMYFUNCTION("""COMPUTED_VALUE"""),"")</f>
        <v/>
      </c>
      <c r="C711" s="5" t="str">
        <f>IFERROR(__xludf.DUMMYFUNCTION("""COMPUTED_VALUE"""),"")</f>
        <v/>
      </c>
      <c r="D711" s="5" t="str">
        <f>IFERROR(__xludf.DUMMYFUNCTION("""COMPUTED_VALUE"""),"")</f>
        <v/>
      </c>
      <c r="E711" s="5" t="str">
        <f>IFERROR(__xludf.DUMMYFUNCTION("""COMPUTED_VALUE"""),"")</f>
        <v/>
      </c>
      <c r="F711" s="5" t="str">
        <f>IFERROR(__xludf.DUMMYFUNCTION("""COMPUTED_VALUE"""),"")</f>
        <v/>
      </c>
      <c r="G711" s="5" t="str">
        <f>IFERROR(__xludf.DUMMYFUNCTION("""COMPUTED_VALUE"""),"")</f>
        <v/>
      </c>
      <c r="H711" s="5" t="str">
        <f>IFERROR(__xludf.DUMMYFUNCTION("""COMPUTED_VALUE"""),"")</f>
        <v/>
      </c>
      <c r="I711" s="5" t="str">
        <f>IFERROR(__xludf.DUMMYFUNCTION("""COMPUTED_VALUE"""),"")</f>
        <v/>
      </c>
      <c r="J711" s="5" t="str">
        <f>IFERROR(__xludf.DUMMYFUNCTION("""COMPUTED_VALUE"""),"")</f>
        <v/>
      </c>
      <c r="K711" s="5" t="str">
        <f>IFERROR(__xludf.DUMMYFUNCTION("""COMPUTED_VALUE"""),"")</f>
        <v/>
      </c>
      <c r="L711" s="5" t="str">
        <f>IFERROR(__xludf.DUMMYFUNCTION("""COMPUTED_VALUE"""),"")</f>
        <v/>
      </c>
      <c r="M711" s="5" t="str">
        <f>IFERROR(__xludf.DUMMYFUNCTION("""COMPUTED_VALUE"""),"")</f>
        <v/>
      </c>
      <c r="N711" s="5" t="str">
        <f>IFERROR(__xludf.DUMMYFUNCTION("""COMPUTED_VALUE"""),"")</f>
        <v/>
      </c>
      <c r="O711" s="5" t="str">
        <f>IFERROR(__xludf.DUMMYFUNCTION("""COMPUTED_VALUE"""),"")</f>
        <v/>
      </c>
      <c r="P711" s="5" t="str">
        <f>IFERROR(__xludf.DUMMYFUNCTION("""COMPUTED_VALUE"""),"")</f>
        <v/>
      </c>
      <c r="Q711" s="5" t="str">
        <f>IFERROR(__xludf.DUMMYFUNCTION("""COMPUTED_VALUE"""),"")</f>
        <v/>
      </c>
      <c r="R711" s="5" t="str">
        <f>IFERROR(__xludf.DUMMYFUNCTION("""COMPUTED_VALUE"""),"")</f>
        <v/>
      </c>
      <c r="S711" s="5" t="str">
        <f>IFERROR(__xludf.DUMMYFUNCTION("""COMPUTED_VALUE"""),"")</f>
        <v/>
      </c>
      <c r="T711" s="5" t="str">
        <f>IFERROR(__xludf.DUMMYFUNCTION("""COMPUTED_VALUE"""),"")</f>
        <v/>
      </c>
      <c r="U711" s="5" t="str">
        <f>IFERROR(__xludf.DUMMYFUNCTION("""COMPUTED_VALUE"""),"")</f>
        <v/>
      </c>
      <c r="V711" s="5" t="str">
        <f>IFERROR(__xludf.DUMMYFUNCTION("""COMPUTED_VALUE"""),"")</f>
        <v/>
      </c>
      <c r="W711" s="5" t="str">
        <f>IFERROR(__xludf.DUMMYFUNCTION("""COMPUTED_VALUE"""),"")</f>
        <v/>
      </c>
      <c r="X711" s="5" t="str">
        <f>IFERROR(__xludf.DUMMYFUNCTION("""COMPUTED_VALUE"""),"")</f>
        <v/>
      </c>
      <c r="Y711" s="5"/>
      <c r="Z711" s="5"/>
    </row>
    <row r="712">
      <c r="A712" s="5" t="str">
        <f>IFERROR(__xludf.DUMMYFUNCTION("""COMPUTED_VALUE"""),"Barkin' Riches")</f>
        <v>Barkin' Riches</v>
      </c>
      <c r="B712" s="5" t="str">
        <f>IFERROR(__xludf.DUMMYFUNCTION("""COMPUTED_VALUE"""),"")</f>
        <v/>
      </c>
      <c r="C712" s="5" t="str">
        <f>IFERROR(__xludf.DUMMYFUNCTION("""COMPUTED_VALUE"""),"")</f>
        <v/>
      </c>
      <c r="D712" s="5" t="str">
        <f>IFERROR(__xludf.DUMMYFUNCTION("""COMPUTED_VALUE"""),"")</f>
        <v/>
      </c>
      <c r="E712" s="5" t="str">
        <f>IFERROR(__xludf.DUMMYFUNCTION("""COMPUTED_VALUE"""),"")</f>
        <v/>
      </c>
      <c r="F712" s="5" t="str">
        <f>IFERROR(__xludf.DUMMYFUNCTION("""COMPUTED_VALUE"""),"")</f>
        <v/>
      </c>
      <c r="G712" s="5" t="str">
        <f>IFERROR(__xludf.DUMMYFUNCTION("""COMPUTED_VALUE"""),"")</f>
        <v/>
      </c>
      <c r="H712" s="5" t="str">
        <f>IFERROR(__xludf.DUMMYFUNCTION("""COMPUTED_VALUE"""),"")</f>
        <v/>
      </c>
      <c r="I712" s="5" t="str">
        <f>IFERROR(__xludf.DUMMYFUNCTION("""COMPUTED_VALUE"""),"")</f>
        <v/>
      </c>
      <c r="J712" s="5" t="str">
        <f>IFERROR(__xludf.DUMMYFUNCTION("""COMPUTED_VALUE"""),"")</f>
        <v/>
      </c>
      <c r="K712" s="5" t="str">
        <f>IFERROR(__xludf.DUMMYFUNCTION("""COMPUTED_VALUE"""),"")</f>
        <v/>
      </c>
      <c r="L712" s="5" t="str">
        <f>IFERROR(__xludf.DUMMYFUNCTION("""COMPUTED_VALUE"""),"")</f>
        <v/>
      </c>
      <c r="M712" s="5" t="str">
        <f>IFERROR(__xludf.DUMMYFUNCTION("""COMPUTED_VALUE"""),"")</f>
        <v/>
      </c>
      <c r="N712" s="5" t="str">
        <f>IFERROR(__xludf.DUMMYFUNCTION("""COMPUTED_VALUE"""),"")</f>
        <v/>
      </c>
      <c r="O712" s="5" t="str">
        <f>IFERROR(__xludf.DUMMYFUNCTION("""COMPUTED_VALUE"""),"")</f>
        <v/>
      </c>
      <c r="P712" s="5" t="str">
        <f>IFERROR(__xludf.DUMMYFUNCTION("""COMPUTED_VALUE"""),"")</f>
        <v/>
      </c>
      <c r="Q712" s="5" t="str">
        <f>IFERROR(__xludf.DUMMYFUNCTION("""COMPUTED_VALUE"""),"")</f>
        <v/>
      </c>
      <c r="R712" s="5" t="str">
        <f>IFERROR(__xludf.DUMMYFUNCTION("""COMPUTED_VALUE"""),"")</f>
        <v/>
      </c>
      <c r="S712" s="5" t="str">
        <f>IFERROR(__xludf.DUMMYFUNCTION("""COMPUTED_VALUE"""),"")</f>
        <v/>
      </c>
      <c r="T712" s="5" t="str">
        <f>IFERROR(__xludf.DUMMYFUNCTION("""COMPUTED_VALUE"""),"")</f>
        <v/>
      </c>
      <c r="U712" s="5" t="str">
        <f>IFERROR(__xludf.DUMMYFUNCTION("""COMPUTED_VALUE"""),"")</f>
        <v/>
      </c>
      <c r="V712" s="5" t="str">
        <f>IFERROR(__xludf.DUMMYFUNCTION("""COMPUTED_VALUE"""),"")</f>
        <v/>
      </c>
      <c r="W712" s="5" t="str">
        <f>IFERROR(__xludf.DUMMYFUNCTION("""COMPUTED_VALUE"""),"")</f>
        <v/>
      </c>
      <c r="X712" s="5" t="str">
        <f>IFERROR(__xludf.DUMMYFUNCTION("""COMPUTED_VALUE"""),"")</f>
        <v/>
      </c>
      <c r="Y712" s="5"/>
      <c r="Z712" s="5"/>
    </row>
    <row r="713">
      <c r="A713" s="5" t="str">
        <f>IFERROR(__xludf.DUMMYFUNCTION("""COMPUTED_VALUE"""),"Special4RabetFruits")</f>
        <v>Special4RabetFruits</v>
      </c>
      <c r="B713" s="5" t="str">
        <f>IFERROR(__xludf.DUMMYFUNCTION("""COMPUTED_VALUE"""),"")</f>
        <v/>
      </c>
      <c r="C713" s="5" t="str">
        <f>IFERROR(__xludf.DUMMYFUNCTION("""COMPUTED_VALUE"""),"")</f>
        <v/>
      </c>
      <c r="D713" s="5" t="str">
        <f>IFERROR(__xludf.DUMMYFUNCTION("""COMPUTED_VALUE"""),"")</f>
        <v/>
      </c>
      <c r="E713" s="5" t="str">
        <f>IFERROR(__xludf.DUMMYFUNCTION("""COMPUTED_VALUE"""),"")</f>
        <v/>
      </c>
      <c r="F713" s="5" t="str">
        <f>IFERROR(__xludf.DUMMYFUNCTION("""COMPUTED_VALUE"""),"")</f>
        <v/>
      </c>
      <c r="G713" s="5" t="str">
        <f>IFERROR(__xludf.DUMMYFUNCTION("""COMPUTED_VALUE"""),"")</f>
        <v/>
      </c>
      <c r="H713" s="5" t="str">
        <f>IFERROR(__xludf.DUMMYFUNCTION("""COMPUTED_VALUE"""),"")</f>
        <v/>
      </c>
      <c r="I713" s="5" t="str">
        <f>IFERROR(__xludf.DUMMYFUNCTION("""COMPUTED_VALUE"""),"")</f>
        <v/>
      </c>
      <c r="J713" s="5" t="str">
        <f>IFERROR(__xludf.DUMMYFUNCTION("""COMPUTED_VALUE"""),"")</f>
        <v/>
      </c>
      <c r="K713" s="5" t="str">
        <f>IFERROR(__xludf.DUMMYFUNCTION("""COMPUTED_VALUE"""),"")</f>
        <v/>
      </c>
      <c r="L713" s="5" t="str">
        <f>IFERROR(__xludf.DUMMYFUNCTION("""COMPUTED_VALUE"""),"")</f>
        <v/>
      </c>
      <c r="M713" s="5" t="str">
        <f>IFERROR(__xludf.DUMMYFUNCTION("""COMPUTED_VALUE"""),"")</f>
        <v/>
      </c>
      <c r="N713" s="5" t="str">
        <f>IFERROR(__xludf.DUMMYFUNCTION("""COMPUTED_VALUE"""),"")</f>
        <v/>
      </c>
      <c r="O713" s="5" t="str">
        <f>IFERROR(__xludf.DUMMYFUNCTION("""COMPUTED_VALUE"""),"")</f>
        <v/>
      </c>
      <c r="P713" s="5" t="str">
        <f>IFERROR(__xludf.DUMMYFUNCTION("""COMPUTED_VALUE"""),"")</f>
        <v/>
      </c>
      <c r="Q713" s="5" t="str">
        <f>IFERROR(__xludf.DUMMYFUNCTION("""COMPUTED_VALUE"""),"")</f>
        <v/>
      </c>
      <c r="R713" s="5" t="str">
        <f>IFERROR(__xludf.DUMMYFUNCTION("""COMPUTED_VALUE"""),"")</f>
        <v/>
      </c>
      <c r="S713" s="5" t="str">
        <f>IFERROR(__xludf.DUMMYFUNCTION("""COMPUTED_VALUE"""),"")</f>
        <v/>
      </c>
      <c r="T713" s="5" t="str">
        <f>IFERROR(__xludf.DUMMYFUNCTION("""COMPUTED_VALUE"""),"")</f>
        <v/>
      </c>
      <c r="U713" s="5" t="str">
        <f>IFERROR(__xludf.DUMMYFUNCTION("""COMPUTED_VALUE"""),"")</f>
        <v/>
      </c>
      <c r="V713" s="5" t="str">
        <f>IFERROR(__xludf.DUMMYFUNCTION("""COMPUTED_VALUE"""),"")</f>
        <v/>
      </c>
      <c r="W713" s="5" t="str">
        <f>IFERROR(__xludf.DUMMYFUNCTION("""COMPUTED_VALUE"""),"")</f>
        <v/>
      </c>
      <c r="X713" s="5" t="str">
        <f>IFERROR(__xludf.DUMMYFUNCTION("""COMPUTED_VALUE"""),"")</f>
        <v/>
      </c>
      <c r="Y713" s="5"/>
      <c r="Z713" s="5"/>
    </row>
    <row r="714">
      <c r="A714" s="5" t="str">
        <f>IFERROR(__xludf.DUMMYFUNCTION("""COMPUTED_VALUE"""),"Multihot Pot")</f>
        <v>Multihot Pot</v>
      </c>
      <c r="B714" s="5" t="str">
        <f>IFERROR(__xludf.DUMMYFUNCTION("""COMPUTED_VALUE"""),"")</f>
        <v/>
      </c>
      <c r="C714" s="5" t="str">
        <f>IFERROR(__xludf.DUMMYFUNCTION("""COMPUTED_VALUE"""),"")</f>
        <v/>
      </c>
      <c r="D714" s="5" t="str">
        <f>IFERROR(__xludf.DUMMYFUNCTION("""COMPUTED_VALUE"""),"")</f>
        <v/>
      </c>
      <c r="E714" s="5" t="str">
        <f>IFERROR(__xludf.DUMMYFUNCTION("""COMPUTED_VALUE"""),"")</f>
        <v/>
      </c>
      <c r="F714" s="5" t="str">
        <f>IFERROR(__xludf.DUMMYFUNCTION("""COMPUTED_VALUE"""),"")</f>
        <v/>
      </c>
      <c r="G714" s="5" t="str">
        <f>IFERROR(__xludf.DUMMYFUNCTION("""COMPUTED_VALUE"""),"")</f>
        <v/>
      </c>
      <c r="H714" s="5" t="str">
        <f>IFERROR(__xludf.DUMMYFUNCTION("""COMPUTED_VALUE"""),"")</f>
        <v/>
      </c>
      <c r="I714" s="5" t="str">
        <f>IFERROR(__xludf.DUMMYFUNCTION("""COMPUTED_VALUE"""),"")</f>
        <v/>
      </c>
      <c r="J714" s="5" t="str">
        <f>IFERROR(__xludf.DUMMYFUNCTION("""COMPUTED_VALUE"""),"")</f>
        <v/>
      </c>
      <c r="K714" s="5" t="str">
        <f>IFERROR(__xludf.DUMMYFUNCTION("""COMPUTED_VALUE"""),"")</f>
        <v/>
      </c>
      <c r="L714" s="5" t="str">
        <f>IFERROR(__xludf.DUMMYFUNCTION("""COMPUTED_VALUE"""),"")</f>
        <v/>
      </c>
      <c r="M714" s="5" t="str">
        <f>IFERROR(__xludf.DUMMYFUNCTION("""COMPUTED_VALUE"""),"")</f>
        <v/>
      </c>
      <c r="N714" s="5" t="str">
        <f>IFERROR(__xludf.DUMMYFUNCTION("""COMPUTED_VALUE"""),"")</f>
        <v/>
      </c>
      <c r="O714" s="5" t="str">
        <f>IFERROR(__xludf.DUMMYFUNCTION("""COMPUTED_VALUE"""),"")</f>
        <v/>
      </c>
      <c r="P714" s="5" t="str">
        <f>IFERROR(__xludf.DUMMYFUNCTION("""COMPUTED_VALUE"""),"")</f>
        <v/>
      </c>
      <c r="Q714" s="5" t="str">
        <f>IFERROR(__xludf.DUMMYFUNCTION("""COMPUTED_VALUE"""),"")</f>
        <v/>
      </c>
      <c r="R714" s="5" t="str">
        <f>IFERROR(__xludf.DUMMYFUNCTION("""COMPUTED_VALUE"""),"")</f>
        <v/>
      </c>
      <c r="S714" s="5" t="str">
        <f>IFERROR(__xludf.DUMMYFUNCTION("""COMPUTED_VALUE"""),"")</f>
        <v/>
      </c>
      <c r="T714" s="5" t="str">
        <f>IFERROR(__xludf.DUMMYFUNCTION("""COMPUTED_VALUE"""),"")</f>
        <v/>
      </c>
      <c r="U714" s="5" t="str">
        <f>IFERROR(__xludf.DUMMYFUNCTION("""COMPUTED_VALUE"""),"")</f>
        <v/>
      </c>
      <c r="V714" s="5" t="str">
        <f>IFERROR(__xludf.DUMMYFUNCTION("""COMPUTED_VALUE"""),"")</f>
        <v/>
      </c>
      <c r="W714" s="5" t="str">
        <f>IFERROR(__xludf.DUMMYFUNCTION("""COMPUTED_VALUE"""),"")</f>
        <v/>
      </c>
      <c r="X714" s="5" t="str">
        <f>IFERROR(__xludf.DUMMYFUNCTION("""COMPUTED_VALUE"""),"")</f>
        <v/>
      </c>
      <c r="Y714" s="5"/>
      <c r="Z714" s="5"/>
    </row>
    <row r="715">
      <c r="A715" s="5" t="str">
        <f>IFERROR(__xludf.DUMMYFUNCTION("""COMPUTED_VALUE"""),"Triple Wild Crown")</f>
        <v>Triple Wild Crown</v>
      </c>
      <c r="B715" s="5" t="str">
        <f>IFERROR(__xludf.DUMMYFUNCTION("""COMPUTED_VALUE"""),"")</f>
        <v/>
      </c>
      <c r="C715" s="5" t="str">
        <f>IFERROR(__xludf.DUMMYFUNCTION("""COMPUTED_VALUE"""),"")</f>
        <v/>
      </c>
      <c r="D715" s="5" t="str">
        <f>IFERROR(__xludf.DUMMYFUNCTION("""COMPUTED_VALUE"""),"")</f>
        <v/>
      </c>
      <c r="E715" s="5" t="str">
        <f>IFERROR(__xludf.DUMMYFUNCTION("""COMPUTED_VALUE"""),"")</f>
        <v/>
      </c>
      <c r="F715" s="5" t="str">
        <f>IFERROR(__xludf.DUMMYFUNCTION("""COMPUTED_VALUE"""),"")</f>
        <v/>
      </c>
      <c r="G715" s="5" t="str">
        <f>IFERROR(__xludf.DUMMYFUNCTION("""COMPUTED_VALUE"""),"")</f>
        <v/>
      </c>
      <c r="H715" s="5" t="str">
        <f>IFERROR(__xludf.DUMMYFUNCTION("""COMPUTED_VALUE"""),"")</f>
        <v/>
      </c>
      <c r="I715" s="5" t="str">
        <f>IFERROR(__xludf.DUMMYFUNCTION("""COMPUTED_VALUE"""),"")</f>
        <v/>
      </c>
      <c r="J715" s="5" t="str">
        <f>IFERROR(__xludf.DUMMYFUNCTION("""COMPUTED_VALUE"""),"")</f>
        <v/>
      </c>
      <c r="K715" s="5" t="str">
        <f>IFERROR(__xludf.DUMMYFUNCTION("""COMPUTED_VALUE"""),"")</f>
        <v/>
      </c>
      <c r="L715" s="5" t="str">
        <f>IFERROR(__xludf.DUMMYFUNCTION("""COMPUTED_VALUE"""),"")</f>
        <v/>
      </c>
      <c r="M715" s="5" t="str">
        <f>IFERROR(__xludf.DUMMYFUNCTION("""COMPUTED_VALUE"""),"")</f>
        <v/>
      </c>
      <c r="N715" s="5" t="str">
        <f>IFERROR(__xludf.DUMMYFUNCTION("""COMPUTED_VALUE"""),"")</f>
        <v/>
      </c>
      <c r="O715" s="5" t="str">
        <f>IFERROR(__xludf.DUMMYFUNCTION("""COMPUTED_VALUE"""),"")</f>
        <v/>
      </c>
      <c r="P715" s="5" t="str">
        <f>IFERROR(__xludf.DUMMYFUNCTION("""COMPUTED_VALUE"""),"")</f>
        <v/>
      </c>
      <c r="Q715" s="5" t="str">
        <f>IFERROR(__xludf.DUMMYFUNCTION("""COMPUTED_VALUE"""),"")</f>
        <v/>
      </c>
      <c r="R715" s="5" t="str">
        <f>IFERROR(__xludf.DUMMYFUNCTION("""COMPUTED_VALUE"""),"")</f>
        <v/>
      </c>
      <c r="S715" s="5" t="str">
        <f>IFERROR(__xludf.DUMMYFUNCTION("""COMPUTED_VALUE"""),"")</f>
        <v/>
      </c>
      <c r="T715" s="5" t="str">
        <f>IFERROR(__xludf.DUMMYFUNCTION("""COMPUTED_VALUE"""),"")</f>
        <v/>
      </c>
      <c r="U715" s="5" t="str">
        <f>IFERROR(__xludf.DUMMYFUNCTION("""COMPUTED_VALUE"""),"")</f>
        <v/>
      </c>
      <c r="V715" s="5" t="str">
        <f>IFERROR(__xludf.DUMMYFUNCTION("""COMPUTED_VALUE"""),"")</f>
        <v/>
      </c>
      <c r="W715" s="5" t="str">
        <f>IFERROR(__xludf.DUMMYFUNCTION("""COMPUTED_VALUE"""),"")</f>
        <v/>
      </c>
      <c r="X715" s="5" t="str">
        <f>IFERROR(__xludf.DUMMYFUNCTION("""COMPUTED_VALUE"""),"")</f>
        <v/>
      </c>
      <c r="Y715" s="5"/>
      <c r="Z715" s="5"/>
    </row>
    <row r="716">
      <c r="A716" s="5" t="str">
        <f>IFERROR(__xludf.DUMMYFUNCTION("""COMPUTED_VALUE"""),"Bonus Royal Crown Extralines")</f>
        <v>Bonus Royal Crown Extralines</v>
      </c>
      <c r="B716" s="5" t="str">
        <f>IFERROR(__xludf.DUMMYFUNCTION("""COMPUTED_VALUE"""),"")</f>
        <v/>
      </c>
      <c r="C716" s="5" t="str">
        <f>IFERROR(__xludf.DUMMYFUNCTION("""COMPUTED_VALUE"""),"")</f>
        <v/>
      </c>
      <c r="D716" s="5" t="str">
        <f>IFERROR(__xludf.DUMMYFUNCTION("""COMPUTED_VALUE"""),"")</f>
        <v/>
      </c>
      <c r="E716" s="5" t="str">
        <f>IFERROR(__xludf.DUMMYFUNCTION("""COMPUTED_VALUE"""),"")</f>
        <v/>
      </c>
      <c r="F716" s="5" t="str">
        <f>IFERROR(__xludf.DUMMYFUNCTION("""COMPUTED_VALUE"""),"")</f>
        <v/>
      </c>
      <c r="G716" s="5" t="str">
        <f>IFERROR(__xludf.DUMMYFUNCTION("""COMPUTED_VALUE"""),"")</f>
        <v/>
      </c>
      <c r="H716" s="5" t="str">
        <f>IFERROR(__xludf.DUMMYFUNCTION("""COMPUTED_VALUE"""),"")</f>
        <v/>
      </c>
      <c r="I716" s="5" t="str">
        <f>IFERROR(__xludf.DUMMYFUNCTION("""COMPUTED_VALUE"""),"")</f>
        <v/>
      </c>
      <c r="J716" s="5" t="str">
        <f>IFERROR(__xludf.DUMMYFUNCTION("""COMPUTED_VALUE"""),"")</f>
        <v/>
      </c>
      <c r="K716" s="5" t="str">
        <f>IFERROR(__xludf.DUMMYFUNCTION("""COMPUTED_VALUE"""),"")</f>
        <v/>
      </c>
      <c r="L716" s="5" t="str">
        <f>IFERROR(__xludf.DUMMYFUNCTION("""COMPUTED_VALUE"""),"")</f>
        <v/>
      </c>
      <c r="M716" s="5" t="str">
        <f>IFERROR(__xludf.DUMMYFUNCTION("""COMPUTED_VALUE"""),"")</f>
        <v/>
      </c>
      <c r="N716" s="5" t="str">
        <f>IFERROR(__xludf.DUMMYFUNCTION("""COMPUTED_VALUE"""),"")</f>
        <v/>
      </c>
      <c r="O716" s="5" t="str">
        <f>IFERROR(__xludf.DUMMYFUNCTION("""COMPUTED_VALUE"""),"")</f>
        <v/>
      </c>
      <c r="P716" s="5" t="str">
        <f>IFERROR(__xludf.DUMMYFUNCTION("""COMPUTED_VALUE"""),"")</f>
        <v/>
      </c>
      <c r="Q716" s="5" t="str">
        <f>IFERROR(__xludf.DUMMYFUNCTION("""COMPUTED_VALUE"""),"")</f>
        <v/>
      </c>
      <c r="R716" s="5" t="str">
        <f>IFERROR(__xludf.DUMMYFUNCTION("""COMPUTED_VALUE"""),"")</f>
        <v/>
      </c>
      <c r="S716" s="5" t="str">
        <f>IFERROR(__xludf.DUMMYFUNCTION("""COMPUTED_VALUE"""),"")</f>
        <v/>
      </c>
      <c r="T716" s="5" t="str">
        <f>IFERROR(__xludf.DUMMYFUNCTION("""COMPUTED_VALUE"""),"")</f>
        <v/>
      </c>
      <c r="U716" s="5" t="str">
        <f>IFERROR(__xludf.DUMMYFUNCTION("""COMPUTED_VALUE"""),"")</f>
        <v/>
      </c>
      <c r="V716" s="5" t="str">
        <f>IFERROR(__xludf.DUMMYFUNCTION("""COMPUTED_VALUE"""),"")</f>
        <v/>
      </c>
      <c r="W716" s="5" t="str">
        <f>IFERROR(__xludf.DUMMYFUNCTION("""COMPUTED_VALUE"""),"")</f>
        <v/>
      </c>
      <c r="X716" s="5" t="str">
        <f>IFERROR(__xludf.DUMMYFUNCTION("""COMPUTED_VALUE"""),"")</f>
        <v/>
      </c>
      <c r="Y716" s="5"/>
      <c r="Z716" s="5"/>
    </row>
    <row r="717">
      <c r="A717" s="5" t="str">
        <f>IFERROR(__xludf.DUMMYFUNCTION("""COMPUTED_VALUE"""),"Bonus Epic Wild Extralines")</f>
        <v>Bonus Epic Wild Extralines</v>
      </c>
      <c r="B717" s="5" t="str">
        <f>IFERROR(__xludf.DUMMYFUNCTION("""COMPUTED_VALUE"""),"")</f>
        <v/>
      </c>
      <c r="C717" s="5" t="str">
        <f>IFERROR(__xludf.DUMMYFUNCTION("""COMPUTED_VALUE"""),"")</f>
        <v/>
      </c>
      <c r="D717" s="5" t="str">
        <f>IFERROR(__xludf.DUMMYFUNCTION("""COMPUTED_VALUE"""),"")</f>
        <v/>
      </c>
      <c r="E717" s="5" t="str">
        <f>IFERROR(__xludf.DUMMYFUNCTION("""COMPUTED_VALUE"""),"")</f>
        <v/>
      </c>
      <c r="F717" s="5" t="str">
        <f>IFERROR(__xludf.DUMMYFUNCTION("""COMPUTED_VALUE"""),"")</f>
        <v/>
      </c>
      <c r="G717" s="5" t="str">
        <f>IFERROR(__xludf.DUMMYFUNCTION("""COMPUTED_VALUE"""),"")</f>
        <v/>
      </c>
      <c r="H717" s="5" t="str">
        <f>IFERROR(__xludf.DUMMYFUNCTION("""COMPUTED_VALUE"""),"")</f>
        <v/>
      </c>
      <c r="I717" s="5" t="str">
        <f>IFERROR(__xludf.DUMMYFUNCTION("""COMPUTED_VALUE"""),"")</f>
        <v/>
      </c>
      <c r="J717" s="5" t="str">
        <f>IFERROR(__xludf.DUMMYFUNCTION("""COMPUTED_VALUE"""),"")</f>
        <v/>
      </c>
      <c r="K717" s="5" t="str">
        <f>IFERROR(__xludf.DUMMYFUNCTION("""COMPUTED_VALUE"""),"")</f>
        <v/>
      </c>
      <c r="L717" s="5" t="str">
        <f>IFERROR(__xludf.DUMMYFUNCTION("""COMPUTED_VALUE"""),"")</f>
        <v/>
      </c>
      <c r="M717" s="5" t="str">
        <f>IFERROR(__xludf.DUMMYFUNCTION("""COMPUTED_VALUE"""),"")</f>
        <v/>
      </c>
      <c r="N717" s="5" t="str">
        <f>IFERROR(__xludf.DUMMYFUNCTION("""COMPUTED_VALUE"""),"")</f>
        <v/>
      </c>
      <c r="O717" s="5" t="str">
        <f>IFERROR(__xludf.DUMMYFUNCTION("""COMPUTED_VALUE"""),"")</f>
        <v/>
      </c>
      <c r="P717" s="5" t="str">
        <f>IFERROR(__xludf.DUMMYFUNCTION("""COMPUTED_VALUE"""),"")</f>
        <v/>
      </c>
      <c r="Q717" s="5" t="str">
        <f>IFERROR(__xludf.DUMMYFUNCTION("""COMPUTED_VALUE"""),"")</f>
        <v/>
      </c>
      <c r="R717" s="5" t="str">
        <f>IFERROR(__xludf.DUMMYFUNCTION("""COMPUTED_VALUE"""),"")</f>
        <v/>
      </c>
      <c r="S717" s="5" t="str">
        <f>IFERROR(__xludf.DUMMYFUNCTION("""COMPUTED_VALUE"""),"")</f>
        <v/>
      </c>
      <c r="T717" s="5" t="str">
        <f>IFERROR(__xludf.DUMMYFUNCTION("""COMPUTED_VALUE"""),"")</f>
        <v/>
      </c>
      <c r="U717" s="5" t="str">
        <f>IFERROR(__xludf.DUMMYFUNCTION("""COMPUTED_VALUE"""),"")</f>
        <v/>
      </c>
      <c r="V717" s="5" t="str">
        <f>IFERROR(__xludf.DUMMYFUNCTION("""COMPUTED_VALUE"""),"")</f>
        <v/>
      </c>
      <c r="W717" s="5" t="str">
        <f>IFERROR(__xludf.DUMMYFUNCTION("""COMPUTED_VALUE"""),"")</f>
        <v/>
      </c>
      <c r="X717" s="5" t="str">
        <f>IFERROR(__xludf.DUMMYFUNCTION("""COMPUTED_VALUE"""),"")</f>
        <v/>
      </c>
      <c r="Y717" s="5"/>
      <c r="Z717" s="5"/>
    </row>
    <row r="718">
      <c r="A718" s="5" t="str">
        <f>IFERROR(__xludf.DUMMYFUNCTION("""COMPUTED_VALUE"""),"Very Hot 10 Extreme")</f>
        <v>Very Hot 10 Extreme</v>
      </c>
      <c r="B718" s="5" t="str">
        <f>IFERROR(__xludf.DUMMYFUNCTION("""COMPUTED_VALUE"""),"")</f>
        <v/>
      </c>
      <c r="C718" s="5" t="str">
        <f>IFERROR(__xludf.DUMMYFUNCTION("""COMPUTED_VALUE"""),"")</f>
        <v/>
      </c>
      <c r="D718" s="5" t="str">
        <f>IFERROR(__xludf.DUMMYFUNCTION("""COMPUTED_VALUE"""),"")</f>
        <v/>
      </c>
      <c r="E718" s="5" t="str">
        <f>IFERROR(__xludf.DUMMYFUNCTION("""COMPUTED_VALUE"""),"")</f>
        <v/>
      </c>
      <c r="F718" s="5" t="str">
        <f>IFERROR(__xludf.DUMMYFUNCTION("""COMPUTED_VALUE"""),"")</f>
        <v/>
      </c>
      <c r="G718" s="5" t="str">
        <f>IFERROR(__xludf.DUMMYFUNCTION("""COMPUTED_VALUE"""),"")</f>
        <v/>
      </c>
      <c r="H718" s="5" t="str">
        <f>IFERROR(__xludf.DUMMYFUNCTION("""COMPUTED_VALUE"""),"")</f>
        <v/>
      </c>
      <c r="I718" s="5" t="str">
        <f>IFERROR(__xludf.DUMMYFUNCTION("""COMPUTED_VALUE"""),"")</f>
        <v/>
      </c>
      <c r="J718" s="5" t="str">
        <f>IFERROR(__xludf.DUMMYFUNCTION("""COMPUTED_VALUE"""),"")</f>
        <v/>
      </c>
      <c r="K718" s="5" t="str">
        <f>IFERROR(__xludf.DUMMYFUNCTION("""COMPUTED_VALUE"""),"")</f>
        <v/>
      </c>
      <c r="L718" s="5" t="str">
        <f>IFERROR(__xludf.DUMMYFUNCTION("""COMPUTED_VALUE"""),"")</f>
        <v/>
      </c>
      <c r="M718" s="5" t="str">
        <f>IFERROR(__xludf.DUMMYFUNCTION("""COMPUTED_VALUE"""),"")</f>
        <v/>
      </c>
      <c r="N718" s="5" t="str">
        <f>IFERROR(__xludf.DUMMYFUNCTION("""COMPUTED_VALUE"""),"")</f>
        <v/>
      </c>
      <c r="O718" s="5" t="str">
        <f>IFERROR(__xludf.DUMMYFUNCTION("""COMPUTED_VALUE"""),"")</f>
        <v/>
      </c>
      <c r="P718" s="5" t="str">
        <f>IFERROR(__xludf.DUMMYFUNCTION("""COMPUTED_VALUE"""),"")</f>
        <v/>
      </c>
      <c r="Q718" s="5" t="str">
        <f>IFERROR(__xludf.DUMMYFUNCTION("""COMPUTED_VALUE"""),"")</f>
        <v/>
      </c>
      <c r="R718" s="5" t="str">
        <f>IFERROR(__xludf.DUMMYFUNCTION("""COMPUTED_VALUE"""),"")</f>
        <v/>
      </c>
      <c r="S718" s="5" t="str">
        <f>IFERROR(__xludf.DUMMYFUNCTION("""COMPUTED_VALUE"""),"")</f>
        <v/>
      </c>
      <c r="T718" s="5" t="str">
        <f>IFERROR(__xludf.DUMMYFUNCTION("""COMPUTED_VALUE"""),"")</f>
        <v/>
      </c>
      <c r="U718" s="5" t="str">
        <f>IFERROR(__xludf.DUMMYFUNCTION("""COMPUTED_VALUE"""),"")</f>
        <v/>
      </c>
      <c r="V718" s="5" t="str">
        <f>IFERROR(__xludf.DUMMYFUNCTION("""COMPUTED_VALUE"""),"")</f>
        <v/>
      </c>
      <c r="W718" s="5" t="str">
        <f>IFERROR(__xludf.DUMMYFUNCTION("""COMPUTED_VALUE"""),"")</f>
        <v/>
      </c>
      <c r="X718" s="5" t="str">
        <f>IFERROR(__xludf.DUMMYFUNCTION("""COMPUTED_VALUE"""),"")</f>
        <v/>
      </c>
      <c r="Y718" s="5"/>
      <c r="Z718" s="5"/>
    </row>
    <row r="719">
      <c r="A719" s="5" t="str">
        <f>IFERROR(__xludf.DUMMYFUNCTION("""COMPUTED_VALUE"""),"Very Hot 20 Extreme")</f>
        <v>Very Hot 20 Extreme</v>
      </c>
      <c r="B719" s="5" t="str">
        <f>IFERROR(__xludf.DUMMYFUNCTION("""COMPUTED_VALUE"""),"")</f>
        <v/>
      </c>
      <c r="C719" s="5" t="str">
        <f>IFERROR(__xludf.DUMMYFUNCTION("""COMPUTED_VALUE"""),"")</f>
        <v/>
      </c>
      <c r="D719" s="5" t="str">
        <f>IFERROR(__xludf.DUMMYFUNCTION("""COMPUTED_VALUE"""),"")</f>
        <v/>
      </c>
      <c r="E719" s="5" t="str">
        <f>IFERROR(__xludf.DUMMYFUNCTION("""COMPUTED_VALUE"""),"")</f>
        <v/>
      </c>
      <c r="F719" s="5" t="str">
        <f>IFERROR(__xludf.DUMMYFUNCTION("""COMPUTED_VALUE"""),"")</f>
        <v/>
      </c>
      <c r="G719" s="5" t="str">
        <f>IFERROR(__xludf.DUMMYFUNCTION("""COMPUTED_VALUE"""),"")</f>
        <v/>
      </c>
      <c r="H719" s="5" t="str">
        <f>IFERROR(__xludf.DUMMYFUNCTION("""COMPUTED_VALUE"""),"")</f>
        <v/>
      </c>
      <c r="I719" s="5" t="str">
        <f>IFERROR(__xludf.DUMMYFUNCTION("""COMPUTED_VALUE"""),"")</f>
        <v/>
      </c>
      <c r="J719" s="5" t="str">
        <f>IFERROR(__xludf.DUMMYFUNCTION("""COMPUTED_VALUE"""),"")</f>
        <v/>
      </c>
      <c r="K719" s="5" t="str">
        <f>IFERROR(__xludf.DUMMYFUNCTION("""COMPUTED_VALUE"""),"")</f>
        <v/>
      </c>
      <c r="L719" s="5" t="str">
        <f>IFERROR(__xludf.DUMMYFUNCTION("""COMPUTED_VALUE"""),"")</f>
        <v/>
      </c>
      <c r="M719" s="5" t="str">
        <f>IFERROR(__xludf.DUMMYFUNCTION("""COMPUTED_VALUE"""),"")</f>
        <v/>
      </c>
      <c r="N719" s="5" t="str">
        <f>IFERROR(__xludf.DUMMYFUNCTION("""COMPUTED_VALUE"""),"")</f>
        <v/>
      </c>
      <c r="O719" s="5" t="str">
        <f>IFERROR(__xludf.DUMMYFUNCTION("""COMPUTED_VALUE"""),"")</f>
        <v/>
      </c>
      <c r="P719" s="5" t="str">
        <f>IFERROR(__xludf.DUMMYFUNCTION("""COMPUTED_VALUE"""),"")</f>
        <v/>
      </c>
      <c r="Q719" s="5" t="str">
        <f>IFERROR(__xludf.DUMMYFUNCTION("""COMPUTED_VALUE"""),"")</f>
        <v/>
      </c>
      <c r="R719" s="5" t="str">
        <f>IFERROR(__xludf.DUMMYFUNCTION("""COMPUTED_VALUE"""),"")</f>
        <v/>
      </c>
      <c r="S719" s="5" t="str">
        <f>IFERROR(__xludf.DUMMYFUNCTION("""COMPUTED_VALUE"""),"")</f>
        <v/>
      </c>
      <c r="T719" s="5" t="str">
        <f>IFERROR(__xludf.DUMMYFUNCTION("""COMPUTED_VALUE"""),"")</f>
        <v/>
      </c>
      <c r="U719" s="5" t="str">
        <f>IFERROR(__xludf.DUMMYFUNCTION("""COMPUTED_VALUE"""),"")</f>
        <v/>
      </c>
      <c r="V719" s="5" t="str">
        <f>IFERROR(__xludf.DUMMYFUNCTION("""COMPUTED_VALUE"""),"")</f>
        <v/>
      </c>
      <c r="W719" s="5" t="str">
        <f>IFERROR(__xludf.DUMMYFUNCTION("""COMPUTED_VALUE"""),"")</f>
        <v/>
      </c>
      <c r="X719" s="5" t="str">
        <f>IFERROR(__xludf.DUMMYFUNCTION("""COMPUTED_VALUE"""),"")</f>
        <v/>
      </c>
      <c r="Y719" s="5"/>
      <c r="Z719" s="5"/>
    </row>
    <row r="720">
      <c r="A720" s="5" t="str">
        <f>IFERROR(__xludf.DUMMYFUNCTION("""COMPUTED_VALUE"""),"Very Hot 20 Extreme Booster")</f>
        <v>Very Hot 20 Extreme Booster</v>
      </c>
      <c r="B720" s="5" t="str">
        <f>IFERROR(__xludf.DUMMYFUNCTION("""COMPUTED_VALUE"""),"")</f>
        <v/>
      </c>
      <c r="C720" s="5" t="str">
        <f>IFERROR(__xludf.DUMMYFUNCTION("""COMPUTED_VALUE"""),"")</f>
        <v/>
      </c>
      <c r="D720" s="5" t="str">
        <f>IFERROR(__xludf.DUMMYFUNCTION("""COMPUTED_VALUE"""),"")</f>
        <v/>
      </c>
      <c r="E720" s="5" t="str">
        <f>IFERROR(__xludf.DUMMYFUNCTION("""COMPUTED_VALUE"""),"")</f>
        <v/>
      </c>
      <c r="F720" s="5" t="str">
        <f>IFERROR(__xludf.DUMMYFUNCTION("""COMPUTED_VALUE"""),"")</f>
        <v/>
      </c>
      <c r="G720" s="5" t="str">
        <f>IFERROR(__xludf.DUMMYFUNCTION("""COMPUTED_VALUE"""),"")</f>
        <v/>
      </c>
      <c r="H720" s="5" t="str">
        <f>IFERROR(__xludf.DUMMYFUNCTION("""COMPUTED_VALUE"""),"")</f>
        <v/>
      </c>
      <c r="I720" s="5" t="str">
        <f>IFERROR(__xludf.DUMMYFUNCTION("""COMPUTED_VALUE"""),"")</f>
        <v/>
      </c>
      <c r="J720" s="5" t="str">
        <f>IFERROR(__xludf.DUMMYFUNCTION("""COMPUTED_VALUE"""),"")</f>
        <v/>
      </c>
      <c r="K720" s="5" t="str">
        <f>IFERROR(__xludf.DUMMYFUNCTION("""COMPUTED_VALUE"""),"")</f>
        <v/>
      </c>
      <c r="L720" s="5" t="str">
        <f>IFERROR(__xludf.DUMMYFUNCTION("""COMPUTED_VALUE"""),"")</f>
        <v/>
      </c>
      <c r="M720" s="5" t="str">
        <f>IFERROR(__xludf.DUMMYFUNCTION("""COMPUTED_VALUE"""),"")</f>
        <v/>
      </c>
      <c r="N720" s="5" t="str">
        <f>IFERROR(__xludf.DUMMYFUNCTION("""COMPUTED_VALUE"""),"")</f>
        <v/>
      </c>
      <c r="O720" s="5" t="str">
        <f>IFERROR(__xludf.DUMMYFUNCTION("""COMPUTED_VALUE"""),"")</f>
        <v/>
      </c>
      <c r="P720" s="5" t="str">
        <f>IFERROR(__xludf.DUMMYFUNCTION("""COMPUTED_VALUE"""),"")</f>
        <v/>
      </c>
      <c r="Q720" s="5" t="str">
        <f>IFERROR(__xludf.DUMMYFUNCTION("""COMPUTED_VALUE"""),"")</f>
        <v/>
      </c>
      <c r="R720" s="5" t="str">
        <f>IFERROR(__xludf.DUMMYFUNCTION("""COMPUTED_VALUE"""),"")</f>
        <v/>
      </c>
      <c r="S720" s="5" t="str">
        <f>IFERROR(__xludf.DUMMYFUNCTION("""COMPUTED_VALUE"""),"")</f>
        <v/>
      </c>
      <c r="T720" s="5" t="str">
        <f>IFERROR(__xludf.DUMMYFUNCTION("""COMPUTED_VALUE"""),"")</f>
        <v/>
      </c>
      <c r="U720" s="5" t="str">
        <f>IFERROR(__xludf.DUMMYFUNCTION("""COMPUTED_VALUE"""),"")</f>
        <v/>
      </c>
      <c r="V720" s="5" t="str">
        <f>IFERROR(__xludf.DUMMYFUNCTION("""COMPUTED_VALUE"""),"")</f>
        <v/>
      </c>
      <c r="W720" s="5" t="str">
        <f>IFERROR(__xludf.DUMMYFUNCTION("""COMPUTED_VALUE"""),"")</f>
        <v/>
      </c>
      <c r="X720" s="5" t="str">
        <f>IFERROR(__xludf.DUMMYFUNCTION("""COMPUTED_VALUE"""),"")</f>
        <v/>
      </c>
      <c r="Y720" s="5"/>
      <c r="Z720" s="5"/>
    </row>
    <row r="721">
      <c r="A721" s="5" t="str">
        <f>IFERROR(__xludf.DUMMYFUNCTION("""COMPUTED_VALUE"""),"Very Hot 10 Extreme Booster")</f>
        <v>Very Hot 10 Extreme Booster</v>
      </c>
      <c r="B721" s="5" t="str">
        <f>IFERROR(__xludf.DUMMYFUNCTION("""COMPUTED_VALUE"""),"")</f>
        <v/>
      </c>
      <c r="C721" s="5" t="str">
        <f>IFERROR(__xludf.DUMMYFUNCTION("""COMPUTED_VALUE"""),"")</f>
        <v/>
      </c>
      <c r="D721" s="5" t="str">
        <f>IFERROR(__xludf.DUMMYFUNCTION("""COMPUTED_VALUE"""),"")</f>
        <v/>
      </c>
      <c r="E721" s="5" t="str">
        <f>IFERROR(__xludf.DUMMYFUNCTION("""COMPUTED_VALUE"""),"")</f>
        <v/>
      </c>
      <c r="F721" s="5" t="str">
        <f>IFERROR(__xludf.DUMMYFUNCTION("""COMPUTED_VALUE"""),"")</f>
        <v/>
      </c>
      <c r="G721" s="5" t="str">
        <f>IFERROR(__xludf.DUMMYFUNCTION("""COMPUTED_VALUE"""),"")</f>
        <v/>
      </c>
      <c r="H721" s="5" t="str">
        <f>IFERROR(__xludf.DUMMYFUNCTION("""COMPUTED_VALUE"""),"")</f>
        <v/>
      </c>
      <c r="I721" s="5" t="str">
        <f>IFERROR(__xludf.DUMMYFUNCTION("""COMPUTED_VALUE"""),"")</f>
        <v/>
      </c>
      <c r="J721" s="5" t="str">
        <f>IFERROR(__xludf.DUMMYFUNCTION("""COMPUTED_VALUE"""),"")</f>
        <v/>
      </c>
      <c r="K721" s="5" t="str">
        <f>IFERROR(__xludf.DUMMYFUNCTION("""COMPUTED_VALUE"""),"")</f>
        <v/>
      </c>
      <c r="L721" s="5" t="str">
        <f>IFERROR(__xludf.DUMMYFUNCTION("""COMPUTED_VALUE"""),"")</f>
        <v/>
      </c>
      <c r="M721" s="5" t="str">
        <f>IFERROR(__xludf.DUMMYFUNCTION("""COMPUTED_VALUE"""),"")</f>
        <v/>
      </c>
      <c r="N721" s="5" t="str">
        <f>IFERROR(__xludf.DUMMYFUNCTION("""COMPUTED_VALUE"""),"")</f>
        <v/>
      </c>
      <c r="O721" s="5" t="str">
        <f>IFERROR(__xludf.DUMMYFUNCTION("""COMPUTED_VALUE"""),"")</f>
        <v/>
      </c>
      <c r="P721" s="5" t="str">
        <f>IFERROR(__xludf.DUMMYFUNCTION("""COMPUTED_VALUE"""),"")</f>
        <v/>
      </c>
      <c r="Q721" s="5" t="str">
        <f>IFERROR(__xludf.DUMMYFUNCTION("""COMPUTED_VALUE"""),"")</f>
        <v/>
      </c>
      <c r="R721" s="5" t="str">
        <f>IFERROR(__xludf.DUMMYFUNCTION("""COMPUTED_VALUE"""),"")</f>
        <v/>
      </c>
      <c r="S721" s="5" t="str">
        <f>IFERROR(__xludf.DUMMYFUNCTION("""COMPUTED_VALUE"""),"")</f>
        <v/>
      </c>
      <c r="T721" s="5" t="str">
        <f>IFERROR(__xludf.DUMMYFUNCTION("""COMPUTED_VALUE"""),"")</f>
        <v/>
      </c>
      <c r="U721" s="5" t="str">
        <f>IFERROR(__xludf.DUMMYFUNCTION("""COMPUTED_VALUE"""),"")</f>
        <v/>
      </c>
      <c r="V721" s="5" t="str">
        <f>IFERROR(__xludf.DUMMYFUNCTION("""COMPUTED_VALUE"""),"")</f>
        <v/>
      </c>
      <c r="W721" s="5" t="str">
        <f>IFERROR(__xludf.DUMMYFUNCTION("""COMPUTED_VALUE"""),"")</f>
        <v/>
      </c>
      <c r="X721" s="5" t="str">
        <f>IFERROR(__xludf.DUMMYFUNCTION("""COMPUTED_VALUE"""),"")</f>
        <v/>
      </c>
      <c r="Y721" s="5"/>
      <c r="Z721" s="5"/>
    </row>
    <row r="722">
      <c r="A722" s="5" t="str">
        <f>IFERROR(__xludf.DUMMYFUNCTION("""COMPUTED_VALUE"""),"Very Hot 100 Extreme")</f>
        <v>Very Hot 100 Extreme</v>
      </c>
      <c r="B722" s="5" t="str">
        <f>IFERROR(__xludf.DUMMYFUNCTION("""COMPUTED_VALUE"""),"")</f>
        <v/>
      </c>
      <c r="C722" s="5" t="str">
        <f>IFERROR(__xludf.DUMMYFUNCTION("""COMPUTED_VALUE"""),"")</f>
        <v/>
      </c>
      <c r="D722" s="5" t="str">
        <f>IFERROR(__xludf.DUMMYFUNCTION("""COMPUTED_VALUE"""),"")</f>
        <v/>
      </c>
      <c r="E722" s="5" t="str">
        <f>IFERROR(__xludf.DUMMYFUNCTION("""COMPUTED_VALUE"""),"")</f>
        <v/>
      </c>
      <c r="F722" s="5" t="str">
        <f>IFERROR(__xludf.DUMMYFUNCTION("""COMPUTED_VALUE"""),"")</f>
        <v/>
      </c>
      <c r="G722" s="5" t="str">
        <f>IFERROR(__xludf.DUMMYFUNCTION("""COMPUTED_VALUE"""),"")</f>
        <v/>
      </c>
      <c r="H722" s="5" t="str">
        <f>IFERROR(__xludf.DUMMYFUNCTION("""COMPUTED_VALUE"""),"")</f>
        <v/>
      </c>
      <c r="I722" s="5" t="str">
        <f>IFERROR(__xludf.DUMMYFUNCTION("""COMPUTED_VALUE"""),"")</f>
        <v/>
      </c>
      <c r="J722" s="5" t="str">
        <f>IFERROR(__xludf.DUMMYFUNCTION("""COMPUTED_VALUE"""),"")</f>
        <v/>
      </c>
      <c r="K722" s="5" t="str">
        <f>IFERROR(__xludf.DUMMYFUNCTION("""COMPUTED_VALUE"""),"")</f>
        <v/>
      </c>
      <c r="L722" s="5" t="str">
        <f>IFERROR(__xludf.DUMMYFUNCTION("""COMPUTED_VALUE"""),"")</f>
        <v/>
      </c>
      <c r="M722" s="5" t="str">
        <f>IFERROR(__xludf.DUMMYFUNCTION("""COMPUTED_VALUE"""),"")</f>
        <v/>
      </c>
      <c r="N722" s="5" t="str">
        <f>IFERROR(__xludf.DUMMYFUNCTION("""COMPUTED_VALUE"""),"")</f>
        <v/>
      </c>
      <c r="O722" s="5" t="str">
        <f>IFERROR(__xludf.DUMMYFUNCTION("""COMPUTED_VALUE"""),"")</f>
        <v/>
      </c>
      <c r="P722" s="5" t="str">
        <f>IFERROR(__xludf.DUMMYFUNCTION("""COMPUTED_VALUE"""),"")</f>
        <v/>
      </c>
      <c r="Q722" s="5" t="str">
        <f>IFERROR(__xludf.DUMMYFUNCTION("""COMPUTED_VALUE"""),"")</f>
        <v/>
      </c>
      <c r="R722" s="5" t="str">
        <f>IFERROR(__xludf.DUMMYFUNCTION("""COMPUTED_VALUE"""),"")</f>
        <v/>
      </c>
      <c r="S722" s="5" t="str">
        <f>IFERROR(__xludf.DUMMYFUNCTION("""COMPUTED_VALUE"""),"")</f>
        <v/>
      </c>
      <c r="T722" s="5" t="str">
        <f>IFERROR(__xludf.DUMMYFUNCTION("""COMPUTED_VALUE"""),"")</f>
        <v/>
      </c>
      <c r="U722" s="5" t="str">
        <f>IFERROR(__xludf.DUMMYFUNCTION("""COMPUTED_VALUE"""),"")</f>
        <v/>
      </c>
      <c r="V722" s="5" t="str">
        <f>IFERROR(__xludf.DUMMYFUNCTION("""COMPUTED_VALUE"""),"")</f>
        <v/>
      </c>
      <c r="W722" s="5" t="str">
        <f>IFERROR(__xludf.DUMMYFUNCTION("""COMPUTED_VALUE"""),"")</f>
        <v/>
      </c>
      <c r="X722" s="5" t="str">
        <f>IFERROR(__xludf.DUMMYFUNCTION("""COMPUTED_VALUE"""),"")</f>
        <v/>
      </c>
      <c r="Y722" s="5"/>
      <c r="Z722" s="5"/>
    </row>
    <row r="723">
      <c r="A723" s="5" t="str">
        <f>IFERROR(__xludf.DUMMYFUNCTION("""COMPUTED_VALUE"""),"Very Hot 100 Extreme Booster")</f>
        <v>Very Hot 100 Extreme Booster</v>
      </c>
      <c r="B723" s="5" t="str">
        <f>IFERROR(__xludf.DUMMYFUNCTION("""COMPUTED_VALUE"""),"")</f>
        <v/>
      </c>
      <c r="C723" s="5" t="str">
        <f>IFERROR(__xludf.DUMMYFUNCTION("""COMPUTED_VALUE"""),"")</f>
        <v/>
      </c>
      <c r="D723" s="5" t="str">
        <f>IFERROR(__xludf.DUMMYFUNCTION("""COMPUTED_VALUE"""),"")</f>
        <v/>
      </c>
      <c r="E723" s="5" t="str">
        <f>IFERROR(__xludf.DUMMYFUNCTION("""COMPUTED_VALUE"""),"")</f>
        <v/>
      </c>
      <c r="F723" s="5" t="str">
        <f>IFERROR(__xludf.DUMMYFUNCTION("""COMPUTED_VALUE"""),"")</f>
        <v/>
      </c>
      <c r="G723" s="5" t="str">
        <f>IFERROR(__xludf.DUMMYFUNCTION("""COMPUTED_VALUE"""),"")</f>
        <v/>
      </c>
      <c r="H723" s="5" t="str">
        <f>IFERROR(__xludf.DUMMYFUNCTION("""COMPUTED_VALUE"""),"")</f>
        <v/>
      </c>
      <c r="I723" s="5" t="str">
        <f>IFERROR(__xludf.DUMMYFUNCTION("""COMPUTED_VALUE"""),"")</f>
        <v/>
      </c>
      <c r="J723" s="5" t="str">
        <f>IFERROR(__xludf.DUMMYFUNCTION("""COMPUTED_VALUE"""),"")</f>
        <v/>
      </c>
      <c r="K723" s="5" t="str">
        <f>IFERROR(__xludf.DUMMYFUNCTION("""COMPUTED_VALUE"""),"")</f>
        <v/>
      </c>
      <c r="L723" s="5" t="str">
        <f>IFERROR(__xludf.DUMMYFUNCTION("""COMPUTED_VALUE"""),"")</f>
        <v/>
      </c>
      <c r="M723" s="5" t="str">
        <f>IFERROR(__xludf.DUMMYFUNCTION("""COMPUTED_VALUE"""),"")</f>
        <v/>
      </c>
      <c r="N723" s="5" t="str">
        <f>IFERROR(__xludf.DUMMYFUNCTION("""COMPUTED_VALUE"""),"")</f>
        <v/>
      </c>
      <c r="O723" s="5" t="str">
        <f>IFERROR(__xludf.DUMMYFUNCTION("""COMPUTED_VALUE"""),"")</f>
        <v/>
      </c>
      <c r="P723" s="5" t="str">
        <f>IFERROR(__xludf.DUMMYFUNCTION("""COMPUTED_VALUE"""),"")</f>
        <v/>
      </c>
      <c r="Q723" s="5" t="str">
        <f>IFERROR(__xludf.DUMMYFUNCTION("""COMPUTED_VALUE"""),"")</f>
        <v/>
      </c>
      <c r="R723" s="5" t="str">
        <f>IFERROR(__xludf.DUMMYFUNCTION("""COMPUTED_VALUE"""),"")</f>
        <v/>
      </c>
      <c r="S723" s="5" t="str">
        <f>IFERROR(__xludf.DUMMYFUNCTION("""COMPUTED_VALUE"""),"")</f>
        <v/>
      </c>
      <c r="T723" s="5" t="str">
        <f>IFERROR(__xludf.DUMMYFUNCTION("""COMPUTED_VALUE"""),"")</f>
        <v/>
      </c>
      <c r="U723" s="5" t="str">
        <f>IFERROR(__xludf.DUMMYFUNCTION("""COMPUTED_VALUE"""),"")</f>
        <v/>
      </c>
      <c r="V723" s="5" t="str">
        <f>IFERROR(__xludf.DUMMYFUNCTION("""COMPUTED_VALUE"""),"")</f>
        <v/>
      </c>
      <c r="W723" s="5" t="str">
        <f>IFERROR(__xludf.DUMMYFUNCTION("""COMPUTED_VALUE"""),"")</f>
        <v/>
      </c>
      <c r="X723" s="5" t="str">
        <f>IFERROR(__xludf.DUMMYFUNCTION("""COMPUTED_VALUE"""),"")</f>
        <v/>
      </c>
      <c r="Y723" s="5"/>
      <c r="Z723" s="5"/>
    </row>
    <row r="724">
      <c r="A724" s="5" t="str">
        <f>IFERROR(__xludf.DUMMYFUNCTION("""COMPUTED_VALUE"""),"On Demand Roulette")</f>
        <v>On Demand Roulette</v>
      </c>
      <c r="B724" s="5" t="str">
        <f>IFERROR(__xludf.DUMMYFUNCTION("""COMPUTED_VALUE"""),"")</f>
        <v/>
      </c>
      <c r="C724" s="5" t="str">
        <f>IFERROR(__xludf.DUMMYFUNCTION("""COMPUTED_VALUE"""),"")</f>
        <v/>
      </c>
      <c r="D724" s="5" t="str">
        <f>IFERROR(__xludf.DUMMYFUNCTION("""COMPUTED_VALUE"""),"")</f>
        <v/>
      </c>
      <c r="E724" s="5" t="str">
        <f>IFERROR(__xludf.DUMMYFUNCTION("""COMPUTED_VALUE"""),"")</f>
        <v/>
      </c>
      <c r="F724" s="5" t="str">
        <f>IFERROR(__xludf.DUMMYFUNCTION("""COMPUTED_VALUE"""),"")</f>
        <v/>
      </c>
      <c r="G724" s="5" t="str">
        <f>IFERROR(__xludf.DUMMYFUNCTION("""COMPUTED_VALUE"""),"")</f>
        <v/>
      </c>
      <c r="H724" s="5" t="str">
        <f>IFERROR(__xludf.DUMMYFUNCTION("""COMPUTED_VALUE"""),"")</f>
        <v/>
      </c>
      <c r="I724" s="5" t="str">
        <f>IFERROR(__xludf.DUMMYFUNCTION("""COMPUTED_VALUE"""),"")</f>
        <v/>
      </c>
      <c r="J724" s="5" t="str">
        <f>IFERROR(__xludf.DUMMYFUNCTION("""COMPUTED_VALUE"""),"")</f>
        <v/>
      </c>
      <c r="K724" s="5" t="str">
        <f>IFERROR(__xludf.DUMMYFUNCTION("""COMPUTED_VALUE"""),"")</f>
        <v/>
      </c>
      <c r="L724" s="5" t="str">
        <f>IFERROR(__xludf.DUMMYFUNCTION("""COMPUTED_VALUE"""),"")</f>
        <v/>
      </c>
      <c r="M724" s="5" t="str">
        <f>IFERROR(__xludf.DUMMYFUNCTION("""COMPUTED_VALUE"""),"")</f>
        <v/>
      </c>
      <c r="N724" s="5" t="str">
        <f>IFERROR(__xludf.DUMMYFUNCTION("""COMPUTED_VALUE"""),"")</f>
        <v/>
      </c>
      <c r="O724" s="5" t="str">
        <f>IFERROR(__xludf.DUMMYFUNCTION("""COMPUTED_VALUE"""),"")</f>
        <v/>
      </c>
      <c r="P724" s="5" t="str">
        <f>IFERROR(__xludf.DUMMYFUNCTION("""COMPUTED_VALUE"""),"")</f>
        <v/>
      </c>
      <c r="Q724" s="5" t="str">
        <f>IFERROR(__xludf.DUMMYFUNCTION("""COMPUTED_VALUE"""),"")</f>
        <v/>
      </c>
      <c r="R724" s="5" t="str">
        <f>IFERROR(__xludf.DUMMYFUNCTION("""COMPUTED_VALUE"""),"")</f>
        <v/>
      </c>
      <c r="S724" s="5" t="str">
        <f>IFERROR(__xludf.DUMMYFUNCTION("""COMPUTED_VALUE"""),"")</f>
        <v/>
      </c>
      <c r="T724" s="5" t="str">
        <f>IFERROR(__xludf.DUMMYFUNCTION("""COMPUTED_VALUE"""),"")</f>
        <v/>
      </c>
      <c r="U724" s="5" t="str">
        <f>IFERROR(__xludf.DUMMYFUNCTION("""COMPUTED_VALUE"""),"")</f>
        <v/>
      </c>
      <c r="V724" s="5" t="str">
        <f>IFERROR(__xludf.DUMMYFUNCTION("""COMPUTED_VALUE"""),"")</f>
        <v/>
      </c>
      <c r="W724" s="5" t="str">
        <f>IFERROR(__xludf.DUMMYFUNCTION("""COMPUTED_VALUE"""),"")</f>
        <v/>
      </c>
      <c r="X724" s="5" t="str">
        <f>IFERROR(__xludf.DUMMYFUNCTION("""COMPUTED_VALUE"""),"")</f>
        <v/>
      </c>
      <c r="Y724" s="5"/>
      <c r="Z724" s="5"/>
    </row>
    <row r="725">
      <c r="A725" s="5" t="str">
        <f>IFERROR(__xludf.DUMMYFUNCTION("""COMPUTED_VALUE"""),"Sugar Land (Radni naziv)")</f>
        <v>Sugar Land (Radni naziv)</v>
      </c>
      <c r="B725" s="5" t="str">
        <f>IFERROR(__xludf.DUMMYFUNCTION("""COMPUTED_VALUE"""),"")</f>
        <v/>
      </c>
      <c r="C725" s="5" t="str">
        <f>IFERROR(__xludf.DUMMYFUNCTION("""COMPUTED_VALUE"""),"")</f>
        <v/>
      </c>
      <c r="D725" s="5" t="str">
        <f>IFERROR(__xludf.DUMMYFUNCTION("""COMPUTED_VALUE"""),"")</f>
        <v/>
      </c>
      <c r="E725" s="5" t="str">
        <f>IFERROR(__xludf.DUMMYFUNCTION("""COMPUTED_VALUE"""),"")</f>
        <v/>
      </c>
      <c r="F725" s="5" t="str">
        <f>IFERROR(__xludf.DUMMYFUNCTION("""COMPUTED_VALUE"""),"")</f>
        <v/>
      </c>
      <c r="G725" s="5" t="str">
        <f>IFERROR(__xludf.DUMMYFUNCTION("""COMPUTED_VALUE"""),"")</f>
        <v/>
      </c>
      <c r="H725" s="5" t="str">
        <f>IFERROR(__xludf.DUMMYFUNCTION("""COMPUTED_VALUE"""),"")</f>
        <v/>
      </c>
      <c r="I725" s="5" t="str">
        <f>IFERROR(__xludf.DUMMYFUNCTION("""COMPUTED_VALUE"""),"")</f>
        <v/>
      </c>
      <c r="J725" s="5" t="str">
        <f>IFERROR(__xludf.DUMMYFUNCTION("""COMPUTED_VALUE"""),"")</f>
        <v/>
      </c>
      <c r="K725" s="5" t="str">
        <f>IFERROR(__xludf.DUMMYFUNCTION("""COMPUTED_VALUE"""),"")</f>
        <v/>
      </c>
      <c r="L725" s="5" t="str">
        <f>IFERROR(__xludf.DUMMYFUNCTION("""COMPUTED_VALUE"""),"")</f>
        <v/>
      </c>
      <c r="M725" s="5" t="str">
        <f>IFERROR(__xludf.DUMMYFUNCTION("""COMPUTED_VALUE"""),"")</f>
        <v/>
      </c>
      <c r="N725" s="5" t="str">
        <f>IFERROR(__xludf.DUMMYFUNCTION("""COMPUTED_VALUE"""),"")</f>
        <v/>
      </c>
      <c r="O725" s="5" t="str">
        <f>IFERROR(__xludf.DUMMYFUNCTION("""COMPUTED_VALUE"""),"")</f>
        <v/>
      </c>
      <c r="P725" s="5" t="str">
        <f>IFERROR(__xludf.DUMMYFUNCTION("""COMPUTED_VALUE"""),"")</f>
        <v/>
      </c>
      <c r="Q725" s="5" t="str">
        <f>IFERROR(__xludf.DUMMYFUNCTION("""COMPUTED_VALUE"""),"")</f>
        <v/>
      </c>
      <c r="R725" s="5" t="str">
        <f>IFERROR(__xludf.DUMMYFUNCTION("""COMPUTED_VALUE"""),"")</f>
        <v/>
      </c>
      <c r="S725" s="5" t="str">
        <f>IFERROR(__xludf.DUMMYFUNCTION("""COMPUTED_VALUE"""),"")</f>
        <v/>
      </c>
      <c r="T725" s="5" t="str">
        <f>IFERROR(__xludf.DUMMYFUNCTION("""COMPUTED_VALUE"""),"")</f>
        <v/>
      </c>
      <c r="U725" s="5" t="str">
        <f>IFERROR(__xludf.DUMMYFUNCTION("""COMPUTED_VALUE"""),"")</f>
        <v/>
      </c>
      <c r="V725" s="5" t="str">
        <f>IFERROR(__xludf.DUMMYFUNCTION("""COMPUTED_VALUE"""),"")</f>
        <v/>
      </c>
      <c r="W725" s="5" t="str">
        <f>IFERROR(__xludf.DUMMYFUNCTION("""COMPUTED_VALUE"""),"")</f>
        <v/>
      </c>
      <c r="X725" s="5" t="str">
        <f>IFERROR(__xludf.DUMMYFUNCTION("""COMPUTED_VALUE"""),"")</f>
        <v/>
      </c>
      <c r="Y725" s="5"/>
      <c r="Z725" s="5"/>
    </row>
    <row r="726">
      <c r="A726" s="5" t="str">
        <f>IFERROR(__xludf.DUMMYFUNCTION("""COMPUTED_VALUE"""),"Clover 27")</f>
        <v>Clover 27</v>
      </c>
      <c r="B726" s="5" t="str">
        <f>IFERROR(__xludf.DUMMYFUNCTION("""COMPUTED_VALUE"""),"")</f>
        <v/>
      </c>
      <c r="C726" s="5" t="str">
        <f>IFERROR(__xludf.DUMMYFUNCTION("""COMPUTED_VALUE"""),"")</f>
        <v/>
      </c>
      <c r="D726" s="5" t="str">
        <f>IFERROR(__xludf.DUMMYFUNCTION("""COMPUTED_VALUE"""),"")</f>
        <v/>
      </c>
      <c r="E726" s="5" t="str">
        <f>IFERROR(__xludf.DUMMYFUNCTION("""COMPUTED_VALUE"""),"")</f>
        <v/>
      </c>
      <c r="F726" s="5" t="str">
        <f>IFERROR(__xludf.DUMMYFUNCTION("""COMPUTED_VALUE"""),"")</f>
        <v/>
      </c>
      <c r="G726" s="5" t="str">
        <f>IFERROR(__xludf.DUMMYFUNCTION("""COMPUTED_VALUE"""),"")</f>
        <v/>
      </c>
      <c r="H726" s="5" t="str">
        <f>IFERROR(__xludf.DUMMYFUNCTION("""COMPUTED_VALUE"""),"")</f>
        <v/>
      </c>
      <c r="I726" s="5" t="str">
        <f>IFERROR(__xludf.DUMMYFUNCTION("""COMPUTED_VALUE"""),"")</f>
        <v/>
      </c>
      <c r="J726" s="5" t="str">
        <f>IFERROR(__xludf.DUMMYFUNCTION("""COMPUTED_VALUE"""),"")</f>
        <v/>
      </c>
      <c r="K726" s="5" t="str">
        <f>IFERROR(__xludf.DUMMYFUNCTION("""COMPUTED_VALUE"""),"")</f>
        <v/>
      </c>
      <c r="L726" s="5" t="str">
        <f>IFERROR(__xludf.DUMMYFUNCTION("""COMPUTED_VALUE"""),"")</f>
        <v/>
      </c>
      <c r="M726" s="5" t="str">
        <f>IFERROR(__xludf.DUMMYFUNCTION("""COMPUTED_VALUE"""),"")</f>
        <v/>
      </c>
      <c r="N726" s="5" t="str">
        <f>IFERROR(__xludf.DUMMYFUNCTION("""COMPUTED_VALUE"""),"")</f>
        <v/>
      </c>
      <c r="O726" s="5" t="str">
        <f>IFERROR(__xludf.DUMMYFUNCTION("""COMPUTED_VALUE"""),"")</f>
        <v/>
      </c>
      <c r="P726" s="5" t="str">
        <f>IFERROR(__xludf.DUMMYFUNCTION("""COMPUTED_VALUE"""),"")</f>
        <v/>
      </c>
      <c r="Q726" s="5" t="str">
        <f>IFERROR(__xludf.DUMMYFUNCTION("""COMPUTED_VALUE"""),"")</f>
        <v/>
      </c>
      <c r="R726" s="5" t="str">
        <f>IFERROR(__xludf.DUMMYFUNCTION("""COMPUTED_VALUE"""),"")</f>
        <v/>
      </c>
      <c r="S726" s="5" t="str">
        <f>IFERROR(__xludf.DUMMYFUNCTION("""COMPUTED_VALUE"""),"")</f>
        <v/>
      </c>
      <c r="T726" s="5" t="str">
        <f>IFERROR(__xludf.DUMMYFUNCTION("""COMPUTED_VALUE"""),"")</f>
        <v/>
      </c>
      <c r="U726" s="5" t="str">
        <f>IFERROR(__xludf.DUMMYFUNCTION("""COMPUTED_VALUE"""),"")</f>
        <v/>
      </c>
      <c r="V726" s="5" t="str">
        <f>IFERROR(__xludf.DUMMYFUNCTION("""COMPUTED_VALUE"""),"")</f>
        <v/>
      </c>
      <c r="W726" s="5" t="str">
        <f>IFERROR(__xludf.DUMMYFUNCTION("""COMPUTED_VALUE"""),"")</f>
        <v/>
      </c>
      <c r="X726" s="5" t="str">
        <f>IFERROR(__xludf.DUMMYFUNCTION("""COMPUTED_VALUE"""),"")</f>
        <v/>
      </c>
      <c r="Y726" s="5"/>
      <c r="Z726" s="5"/>
    </row>
    <row r="727">
      <c r="A727" s="5" t="str">
        <f>IFERROR(__xludf.DUMMYFUNCTION("""COMPUTED_VALUE"""),"Book of Monk")</f>
        <v>Book of Monk</v>
      </c>
      <c r="B727" s="5" t="str">
        <f>IFERROR(__xludf.DUMMYFUNCTION("""COMPUTED_VALUE"""),"")</f>
        <v/>
      </c>
      <c r="C727" s="5" t="str">
        <f>IFERROR(__xludf.DUMMYFUNCTION("""COMPUTED_VALUE"""),"")</f>
        <v/>
      </c>
      <c r="D727" s="5" t="str">
        <f>IFERROR(__xludf.DUMMYFUNCTION("""COMPUTED_VALUE"""),"")</f>
        <v/>
      </c>
      <c r="E727" s="5" t="str">
        <f>IFERROR(__xludf.DUMMYFUNCTION("""COMPUTED_VALUE"""),"")</f>
        <v/>
      </c>
      <c r="F727" s="5" t="str">
        <f>IFERROR(__xludf.DUMMYFUNCTION("""COMPUTED_VALUE"""),"")</f>
        <v/>
      </c>
      <c r="G727" s="5" t="str">
        <f>IFERROR(__xludf.DUMMYFUNCTION("""COMPUTED_VALUE"""),"")</f>
        <v/>
      </c>
      <c r="H727" s="5" t="str">
        <f>IFERROR(__xludf.DUMMYFUNCTION("""COMPUTED_VALUE"""),"")</f>
        <v/>
      </c>
      <c r="I727" s="5" t="str">
        <f>IFERROR(__xludf.DUMMYFUNCTION("""COMPUTED_VALUE"""),"")</f>
        <v/>
      </c>
      <c r="J727" s="5" t="str">
        <f>IFERROR(__xludf.DUMMYFUNCTION("""COMPUTED_VALUE"""),"")</f>
        <v/>
      </c>
      <c r="K727" s="5" t="str">
        <f>IFERROR(__xludf.DUMMYFUNCTION("""COMPUTED_VALUE"""),"")</f>
        <v/>
      </c>
      <c r="L727" s="5" t="str">
        <f>IFERROR(__xludf.DUMMYFUNCTION("""COMPUTED_VALUE"""),"")</f>
        <v/>
      </c>
      <c r="M727" s="5" t="str">
        <f>IFERROR(__xludf.DUMMYFUNCTION("""COMPUTED_VALUE"""),"")</f>
        <v/>
      </c>
      <c r="N727" s="5" t="str">
        <f>IFERROR(__xludf.DUMMYFUNCTION("""COMPUTED_VALUE"""),"")</f>
        <v/>
      </c>
      <c r="O727" s="5" t="str">
        <f>IFERROR(__xludf.DUMMYFUNCTION("""COMPUTED_VALUE"""),"")</f>
        <v/>
      </c>
      <c r="P727" s="5" t="str">
        <f>IFERROR(__xludf.DUMMYFUNCTION("""COMPUTED_VALUE"""),"")</f>
        <v/>
      </c>
      <c r="Q727" s="5" t="str">
        <f>IFERROR(__xludf.DUMMYFUNCTION("""COMPUTED_VALUE"""),"")</f>
        <v/>
      </c>
      <c r="R727" s="5" t="str">
        <f>IFERROR(__xludf.DUMMYFUNCTION("""COMPUTED_VALUE"""),"")</f>
        <v/>
      </c>
      <c r="S727" s="5" t="str">
        <f>IFERROR(__xludf.DUMMYFUNCTION("""COMPUTED_VALUE"""),"")</f>
        <v/>
      </c>
      <c r="T727" s="5" t="str">
        <f>IFERROR(__xludf.DUMMYFUNCTION("""COMPUTED_VALUE"""),"")</f>
        <v/>
      </c>
      <c r="U727" s="5" t="str">
        <f>IFERROR(__xludf.DUMMYFUNCTION("""COMPUTED_VALUE"""),"")</f>
        <v/>
      </c>
      <c r="V727" s="5" t="str">
        <f>IFERROR(__xludf.DUMMYFUNCTION("""COMPUTED_VALUE"""),"")</f>
        <v/>
      </c>
      <c r="W727" s="5" t="str">
        <f>IFERROR(__xludf.DUMMYFUNCTION("""COMPUTED_VALUE"""),"")</f>
        <v/>
      </c>
      <c r="X727" s="5" t="str">
        <f>IFERROR(__xludf.DUMMYFUNCTION("""COMPUTED_VALUE"""),"")</f>
        <v/>
      </c>
      <c r="Y727" s="5"/>
      <c r="Z727" s="5"/>
    </row>
    <row r="728">
      <c r="A728" s="5" t="str">
        <f>IFERROR(__xludf.DUMMYFUNCTION("""COMPUTED_VALUE"""),"Bonus Wu Kong 10")</f>
        <v>Bonus Wu Kong 10</v>
      </c>
      <c r="B728" s="5" t="str">
        <f>IFERROR(__xludf.DUMMYFUNCTION("""COMPUTED_VALUE"""),"")</f>
        <v/>
      </c>
      <c r="C728" s="5" t="str">
        <f>IFERROR(__xludf.DUMMYFUNCTION("""COMPUTED_VALUE"""),"")</f>
        <v/>
      </c>
      <c r="D728" s="5" t="str">
        <f>IFERROR(__xludf.DUMMYFUNCTION("""COMPUTED_VALUE"""),"")</f>
        <v/>
      </c>
      <c r="E728" s="5" t="str">
        <f>IFERROR(__xludf.DUMMYFUNCTION("""COMPUTED_VALUE"""),"")</f>
        <v/>
      </c>
      <c r="F728" s="5" t="str">
        <f>IFERROR(__xludf.DUMMYFUNCTION("""COMPUTED_VALUE"""),"")</f>
        <v/>
      </c>
      <c r="G728" s="5" t="str">
        <f>IFERROR(__xludf.DUMMYFUNCTION("""COMPUTED_VALUE"""),"")</f>
        <v/>
      </c>
      <c r="H728" s="5" t="str">
        <f>IFERROR(__xludf.DUMMYFUNCTION("""COMPUTED_VALUE"""),"")</f>
        <v/>
      </c>
      <c r="I728" s="5" t="str">
        <f>IFERROR(__xludf.DUMMYFUNCTION("""COMPUTED_VALUE"""),"")</f>
        <v/>
      </c>
      <c r="J728" s="5" t="str">
        <f>IFERROR(__xludf.DUMMYFUNCTION("""COMPUTED_VALUE"""),"")</f>
        <v/>
      </c>
      <c r="K728" s="5" t="str">
        <f>IFERROR(__xludf.DUMMYFUNCTION("""COMPUTED_VALUE"""),"")</f>
        <v/>
      </c>
      <c r="L728" s="5" t="str">
        <f>IFERROR(__xludf.DUMMYFUNCTION("""COMPUTED_VALUE"""),"")</f>
        <v/>
      </c>
      <c r="M728" s="5" t="str">
        <f>IFERROR(__xludf.DUMMYFUNCTION("""COMPUTED_VALUE"""),"")</f>
        <v/>
      </c>
      <c r="N728" s="5" t="str">
        <f>IFERROR(__xludf.DUMMYFUNCTION("""COMPUTED_VALUE"""),"")</f>
        <v/>
      </c>
      <c r="O728" s="5" t="str">
        <f>IFERROR(__xludf.DUMMYFUNCTION("""COMPUTED_VALUE"""),"")</f>
        <v/>
      </c>
      <c r="P728" s="5" t="str">
        <f>IFERROR(__xludf.DUMMYFUNCTION("""COMPUTED_VALUE"""),"")</f>
        <v/>
      </c>
      <c r="Q728" s="5" t="str">
        <f>IFERROR(__xludf.DUMMYFUNCTION("""COMPUTED_VALUE"""),"")</f>
        <v/>
      </c>
      <c r="R728" s="5" t="str">
        <f>IFERROR(__xludf.DUMMYFUNCTION("""COMPUTED_VALUE"""),"")</f>
        <v/>
      </c>
      <c r="S728" s="5" t="str">
        <f>IFERROR(__xludf.DUMMYFUNCTION("""COMPUTED_VALUE"""),"")</f>
        <v/>
      </c>
      <c r="T728" s="5" t="str">
        <f>IFERROR(__xludf.DUMMYFUNCTION("""COMPUTED_VALUE"""),"")</f>
        <v/>
      </c>
      <c r="U728" s="5" t="str">
        <f>IFERROR(__xludf.DUMMYFUNCTION("""COMPUTED_VALUE"""),"")</f>
        <v/>
      </c>
      <c r="V728" s="5" t="str">
        <f>IFERROR(__xludf.DUMMYFUNCTION("""COMPUTED_VALUE"""),"")</f>
        <v/>
      </c>
      <c r="W728" s="5" t="str">
        <f>IFERROR(__xludf.DUMMYFUNCTION("""COMPUTED_VALUE"""),"")</f>
        <v/>
      </c>
      <c r="X728" s="5" t="str">
        <f>IFERROR(__xludf.DUMMYFUNCTION("""COMPUTED_VALUE"""),"")</f>
        <v/>
      </c>
      <c r="Y728" s="5"/>
      <c r="Z728" s="5"/>
    </row>
    <row r="729">
      <c r="A729" s="5" t="str">
        <f>IFERROR(__xludf.DUMMYFUNCTION("""COMPUTED_VALUE"""),"X Chilli Hot")</f>
        <v>X Chilli Hot</v>
      </c>
      <c r="B729" s="5" t="str">
        <f>IFERROR(__xludf.DUMMYFUNCTION("""COMPUTED_VALUE"""),"")</f>
        <v/>
      </c>
      <c r="C729" s="5" t="str">
        <f>IFERROR(__xludf.DUMMYFUNCTION("""COMPUTED_VALUE"""),"")</f>
        <v/>
      </c>
      <c r="D729" s="5" t="str">
        <f>IFERROR(__xludf.DUMMYFUNCTION("""COMPUTED_VALUE"""),"")</f>
        <v/>
      </c>
      <c r="E729" s="5" t="str">
        <f>IFERROR(__xludf.DUMMYFUNCTION("""COMPUTED_VALUE"""),"")</f>
        <v/>
      </c>
      <c r="F729" s="5" t="str">
        <f>IFERROR(__xludf.DUMMYFUNCTION("""COMPUTED_VALUE"""),"")</f>
        <v/>
      </c>
      <c r="G729" s="5" t="str">
        <f>IFERROR(__xludf.DUMMYFUNCTION("""COMPUTED_VALUE"""),"")</f>
        <v/>
      </c>
      <c r="H729" s="5" t="str">
        <f>IFERROR(__xludf.DUMMYFUNCTION("""COMPUTED_VALUE"""),"")</f>
        <v/>
      </c>
      <c r="I729" s="5" t="str">
        <f>IFERROR(__xludf.DUMMYFUNCTION("""COMPUTED_VALUE"""),"")</f>
        <v/>
      </c>
      <c r="J729" s="5" t="str">
        <f>IFERROR(__xludf.DUMMYFUNCTION("""COMPUTED_VALUE"""),"")</f>
        <v/>
      </c>
      <c r="K729" s="5" t="str">
        <f>IFERROR(__xludf.DUMMYFUNCTION("""COMPUTED_VALUE"""),"")</f>
        <v/>
      </c>
      <c r="L729" s="5" t="str">
        <f>IFERROR(__xludf.DUMMYFUNCTION("""COMPUTED_VALUE"""),"")</f>
        <v/>
      </c>
      <c r="M729" s="5" t="str">
        <f>IFERROR(__xludf.DUMMYFUNCTION("""COMPUTED_VALUE"""),"")</f>
        <v/>
      </c>
      <c r="N729" s="5" t="str">
        <f>IFERROR(__xludf.DUMMYFUNCTION("""COMPUTED_VALUE"""),"")</f>
        <v/>
      </c>
      <c r="O729" s="5" t="str">
        <f>IFERROR(__xludf.DUMMYFUNCTION("""COMPUTED_VALUE"""),"")</f>
        <v/>
      </c>
      <c r="P729" s="5" t="str">
        <f>IFERROR(__xludf.DUMMYFUNCTION("""COMPUTED_VALUE"""),"")</f>
        <v/>
      </c>
      <c r="Q729" s="5" t="str">
        <f>IFERROR(__xludf.DUMMYFUNCTION("""COMPUTED_VALUE"""),"")</f>
        <v/>
      </c>
      <c r="R729" s="5" t="str">
        <f>IFERROR(__xludf.DUMMYFUNCTION("""COMPUTED_VALUE"""),"")</f>
        <v/>
      </c>
      <c r="S729" s="5" t="str">
        <f>IFERROR(__xludf.DUMMYFUNCTION("""COMPUTED_VALUE"""),"")</f>
        <v/>
      </c>
      <c r="T729" s="5" t="str">
        <f>IFERROR(__xludf.DUMMYFUNCTION("""COMPUTED_VALUE"""),"")</f>
        <v/>
      </c>
      <c r="U729" s="5" t="str">
        <f>IFERROR(__xludf.DUMMYFUNCTION("""COMPUTED_VALUE"""),"")</f>
        <v/>
      </c>
      <c r="V729" s="5" t="str">
        <f>IFERROR(__xludf.DUMMYFUNCTION("""COMPUTED_VALUE"""),"")</f>
        <v/>
      </c>
      <c r="W729" s="5" t="str">
        <f>IFERROR(__xludf.DUMMYFUNCTION("""COMPUTED_VALUE"""),"")</f>
        <v/>
      </c>
      <c r="X729" s="5" t="str">
        <f>IFERROR(__xludf.DUMMYFUNCTION("""COMPUTED_VALUE"""),"")</f>
        <v/>
      </c>
      <c r="Y729" s="5"/>
      <c r="Z729" s="5"/>
    </row>
    <row r="730">
      <c r="A730" s="5" t="str">
        <f>IFERROR(__xludf.DUMMYFUNCTION("""COMPUTED_VALUE"""),"X Crown Fire")</f>
        <v>X Crown Fire</v>
      </c>
      <c r="B730" s="5" t="str">
        <f>IFERROR(__xludf.DUMMYFUNCTION("""COMPUTED_VALUE"""),"")</f>
        <v/>
      </c>
      <c r="C730" s="5" t="str">
        <f>IFERROR(__xludf.DUMMYFUNCTION("""COMPUTED_VALUE"""),"")</f>
        <v/>
      </c>
      <c r="D730" s="5" t="str">
        <f>IFERROR(__xludf.DUMMYFUNCTION("""COMPUTED_VALUE"""),"")</f>
        <v/>
      </c>
      <c r="E730" s="5" t="str">
        <f>IFERROR(__xludf.DUMMYFUNCTION("""COMPUTED_VALUE"""),"")</f>
        <v/>
      </c>
      <c r="F730" s="5" t="str">
        <f>IFERROR(__xludf.DUMMYFUNCTION("""COMPUTED_VALUE"""),"")</f>
        <v/>
      </c>
      <c r="G730" s="5" t="str">
        <f>IFERROR(__xludf.DUMMYFUNCTION("""COMPUTED_VALUE"""),"")</f>
        <v/>
      </c>
      <c r="H730" s="5" t="str">
        <f>IFERROR(__xludf.DUMMYFUNCTION("""COMPUTED_VALUE"""),"")</f>
        <v/>
      </c>
      <c r="I730" s="5" t="str">
        <f>IFERROR(__xludf.DUMMYFUNCTION("""COMPUTED_VALUE"""),"")</f>
        <v/>
      </c>
      <c r="J730" s="5" t="str">
        <f>IFERROR(__xludf.DUMMYFUNCTION("""COMPUTED_VALUE"""),"")</f>
        <v/>
      </c>
      <c r="K730" s="5" t="str">
        <f>IFERROR(__xludf.DUMMYFUNCTION("""COMPUTED_VALUE"""),"")</f>
        <v/>
      </c>
      <c r="L730" s="5" t="str">
        <f>IFERROR(__xludf.DUMMYFUNCTION("""COMPUTED_VALUE"""),"")</f>
        <v/>
      </c>
      <c r="M730" s="5" t="str">
        <f>IFERROR(__xludf.DUMMYFUNCTION("""COMPUTED_VALUE"""),"")</f>
        <v/>
      </c>
      <c r="N730" s="5" t="str">
        <f>IFERROR(__xludf.DUMMYFUNCTION("""COMPUTED_VALUE"""),"")</f>
        <v/>
      </c>
      <c r="O730" s="5" t="str">
        <f>IFERROR(__xludf.DUMMYFUNCTION("""COMPUTED_VALUE"""),"")</f>
        <v/>
      </c>
      <c r="P730" s="5" t="str">
        <f>IFERROR(__xludf.DUMMYFUNCTION("""COMPUTED_VALUE"""),"")</f>
        <v/>
      </c>
      <c r="Q730" s="5" t="str">
        <f>IFERROR(__xludf.DUMMYFUNCTION("""COMPUTED_VALUE"""),"")</f>
        <v/>
      </c>
      <c r="R730" s="5" t="str">
        <f>IFERROR(__xludf.DUMMYFUNCTION("""COMPUTED_VALUE"""),"")</f>
        <v/>
      </c>
      <c r="S730" s="5" t="str">
        <f>IFERROR(__xludf.DUMMYFUNCTION("""COMPUTED_VALUE"""),"")</f>
        <v/>
      </c>
      <c r="T730" s="5" t="str">
        <f>IFERROR(__xludf.DUMMYFUNCTION("""COMPUTED_VALUE"""),"")</f>
        <v/>
      </c>
      <c r="U730" s="5" t="str">
        <f>IFERROR(__xludf.DUMMYFUNCTION("""COMPUTED_VALUE"""),"")</f>
        <v/>
      </c>
      <c r="V730" s="5" t="str">
        <f>IFERROR(__xludf.DUMMYFUNCTION("""COMPUTED_VALUE"""),"")</f>
        <v/>
      </c>
      <c r="W730" s="5" t="str">
        <f>IFERROR(__xludf.DUMMYFUNCTION("""COMPUTED_VALUE"""),"")</f>
        <v/>
      </c>
      <c r="X730" s="5" t="str">
        <f>IFERROR(__xludf.DUMMYFUNCTION("""COMPUTED_VALUE"""),"")</f>
        <v/>
      </c>
      <c r="Y730" s="5"/>
      <c r="Z730" s="5"/>
    </row>
    <row r="731">
      <c r="A731" s="5" t="str">
        <f>IFERROR(__xludf.DUMMYFUNCTION("""COMPUTED_VALUE"""),"10 Clover Deluxe")</f>
        <v>10 Clover Deluxe</v>
      </c>
      <c r="B731" s="5" t="str">
        <f>IFERROR(__xludf.DUMMYFUNCTION("""COMPUTED_VALUE"""),"")</f>
        <v/>
      </c>
      <c r="C731" s="5" t="str">
        <f>IFERROR(__xludf.DUMMYFUNCTION("""COMPUTED_VALUE"""),"")</f>
        <v/>
      </c>
      <c r="D731" s="5" t="str">
        <f>IFERROR(__xludf.DUMMYFUNCTION("""COMPUTED_VALUE"""),"")</f>
        <v/>
      </c>
      <c r="E731" s="5" t="str">
        <f>IFERROR(__xludf.DUMMYFUNCTION("""COMPUTED_VALUE"""),"")</f>
        <v/>
      </c>
      <c r="F731" s="5" t="str">
        <f>IFERROR(__xludf.DUMMYFUNCTION("""COMPUTED_VALUE"""),"")</f>
        <v/>
      </c>
      <c r="G731" s="5" t="str">
        <f>IFERROR(__xludf.DUMMYFUNCTION("""COMPUTED_VALUE"""),"")</f>
        <v/>
      </c>
      <c r="H731" s="5" t="str">
        <f>IFERROR(__xludf.DUMMYFUNCTION("""COMPUTED_VALUE"""),"")</f>
        <v/>
      </c>
      <c r="I731" s="5" t="str">
        <f>IFERROR(__xludf.DUMMYFUNCTION("""COMPUTED_VALUE"""),"")</f>
        <v/>
      </c>
      <c r="J731" s="5" t="str">
        <f>IFERROR(__xludf.DUMMYFUNCTION("""COMPUTED_VALUE"""),"")</f>
        <v/>
      </c>
      <c r="K731" s="5" t="str">
        <f>IFERROR(__xludf.DUMMYFUNCTION("""COMPUTED_VALUE"""),"")</f>
        <v/>
      </c>
      <c r="L731" s="5" t="str">
        <f>IFERROR(__xludf.DUMMYFUNCTION("""COMPUTED_VALUE"""),"")</f>
        <v/>
      </c>
      <c r="M731" s="5" t="str">
        <f>IFERROR(__xludf.DUMMYFUNCTION("""COMPUTED_VALUE"""),"")</f>
        <v/>
      </c>
      <c r="N731" s="5" t="str">
        <f>IFERROR(__xludf.DUMMYFUNCTION("""COMPUTED_VALUE"""),"")</f>
        <v/>
      </c>
      <c r="O731" s="5" t="str">
        <f>IFERROR(__xludf.DUMMYFUNCTION("""COMPUTED_VALUE"""),"")</f>
        <v/>
      </c>
      <c r="P731" s="5" t="str">
        <f>IFERROR(__xludf.DUMMYFUNCTION("""COMPUTED_VALUE"""),"")</f>
        <v/>
      </c>
      <c r="Q731" s="5" t="str">
        <f>IFERROR(__xludf.DUMMYFUNCTION("""COMPUTED_VALUE"""),"")</f>
        <v/>
      </c>
      <c r="R731" s="5" t="str">
        <f>IFERROR(__xludf.DUMMYFUNCTION("""COMPUTED_VALUE"""),"")</f>
        <v/>
      </c>
      <c r="S731" s="5" t="str">
        <f>IFERROR(__xludf.DUMMYFUNCTION("""COMPUTED_VALUE"""),"")</f>
        <v/>
      </c>
      <c r="T731" s="5" t="str">
        <f>IFERROR(__xludf.DUMMYFUNCTION("""COMPUTED_VALUE"""),"")</f>
        <v/>
      </c>
      <c r="U731" s="5" t="str">
        <f>IFERROR(__xludf.DUMMYFUNCTION("""COMPUTED_VALUE"""),"")</f>
        <v/>
      </c>
      <c r="V731" s="5" t="str">
        <f>IFERROR(__xludf.DUMMYFUNCTION("""COMPUTED_VALUE"""),"")</f>
        <v/>
      </c>
      <c r="W731" s="5" t="str">
        <f>IFERROR(__xludf.DUMMYFUNCTION("""COMPUTED_VALUE"""),"")</f>
        <v/>
      </c>
      <c r="X731" s="5" t="str">
        <f>IFERROR(__xludf.DUMMYFUNCTION("""COMPUTED_VALUE"""),"")</f>
        <v/>
      </c>
      <c r="Y731" s="5"/>
      <c r="Z731" s="5"/>
    </row>
    <row r="732">
      <c r="A732" s="5" t="str">
        <f>IFERROR(__xludf.DUMMYFUNCTION("""COMPUTED_VALUE"""),"10 Crown Deluxe")</f>
        <v>10 Crown Deluxe</v>
      </c>
      <c r="B732" s="5" t="str">
        <f>IFERROR(__xludf.DUMMYFUNCTION("""COMPUTED_VALUE"""),"")</f>
        <v/>
      </c>
      <c r="C732" s="5" t="str">
        <f>IFERROR(__xludf.DUMMYFUNCTION("""COMPUTED_VALUE"""),"")</f>
        <v/>
      </c>
      <c r="D732" s="5" t="str">
        <f>IFERROR(__xludf.DUMMYFUNCTION("""COMPUTED_VALUE"""),"")</f>
        <v/>
      </c>
      <c r="E732" s="5" t="str">
        <f>IFERROR(__xludf.DUMMYFUNCTION("""COMPUTED_VALUE"""),"")</f>
        <v/>
      </c>
      <c r="F732" s="5" t="str">
        <f>IFERROR(__xludf.DUMMYFUNCTION("""COMPUTED_VALUE"""),"")</f>
        <v/>
      </c>
      <c r="G732" s="5" t="str">
        <f>IFERROR(__xludf.DUMMYFUNCTION("""COMPUTED_VALUE"""),"")</f>
        <v/>
      </c>
      <c r="H732" s="5" t="str">
        <f>IFERROR(__xludf.DUMMYFUNCTION("""COMPUTED_VALUE"""),"")</f>
        <v/>
      </c>
      <c r="I732" s="5" t="str">
        <f>IFERROR(__xludf.DUMMYFUNCTION("""COMPUTED_VALUE"""),"")</f>
        <v/>
      </c>
      <c r="J732" s="5" t="str">
        <f>IFERROR(__xludf.DUMMYFUNCTION("""COMPUTED_VALUE"""),"")</f>
        <v/>
      </c>
      <c r="K732" s="5" t="str">
        <f>IFERROR(__xludf.DUMMYFUNCTION("""COMPUTED_VALUE"""),"")</f>
        <v/>
      </c>
      <c r="L732" s="5" t="str">
        <f>IFERROR(__xludf.DUMMYFUNCTION("""COMPUTED_VALUE"""),"")</f>
        <v/>
      </c>
      <c r="M732" s="5" t="str">
        <f>IFERROR(__xludf.DUMMYFUNCTION("""COMPUTED_VALUE"""),"")</f>
        <v/>
      </c>
      <c r="N732" s="5" t="str">
        <f>IFERROR(__xludf.DUMMYFUNCTION("""COMPUTED_VALUE"""),"")</f>
        <v/>
      </c>
      <c r="O732" s="5" t="str">
        <f>IFERROR(__xludf.DUMMYFUNCTION("""COMPUTED_VALUE"""),"")</f>
        <v/>
      </c>
      <c r="P732" s="5" t="str">
        <f>IFERROR(__xludf.DUMMYFUNCTION("""COMPUTED_VALUE"""),"")</f>
        <v/>
      </c>
      <c r="Q732" s="5" t="str">
        <f>IFERROR(__xludf.DUMMYFUNCTION("""COMPUTED_VALUE"""),"")</f>
        <v/>
      </c>
      <c r="R732" s="5" t="str">
        <f>IFERROR(__xludf.DUMMYFUNCTION("""COMPUTED_VALUE"""),"")</f>
        <v/>
      </c>
      <c r="S732" s="5" t="str">
        <f>IFERROR(__xludf.DUMMYFUNCTION("""COMPUTED_VALUE"""),"")</f>
        <v/>
      </c>
      <c r="T732" s="5" t="str">
        <f>IFERROR(__xludf.DUMMYFUNCTION("""COMPUTED_VALUE"""),"")</f>
        <v/>
      </c>
      <c r="U732" s="5" t="str">
        <f>IFERROR(__xludf.DUMMYFUNCTION("""COMPUTED_VALUE"""),"")</f>
        <v/>
      </c>
      <c r="V732" s="5" t="str">
        <f>IFERROR(__xludf.DUMMYFUNCTION("""COMPUTED_VALUE"""),"")</f>
        <v/>
      </c>
      <c r="W732" s="5" t="str">
        <f>IFERROR(__xludf.DUMMYFUNCTION("""COMPUTED_VALUE"""),"")</f>
        <v/>
      </c>
      <c r="X732" s="5" t="str">
        <f>IFERROR(__xludf.DUMMYFUNCTION("""COMPUTED_VALUE"""),"")</f>
        <v/>
      </c>
      <c r="Y732" s="5"/>
      <c r="Z732" s="5"/>
    </row>
    <row r="733">
      <c r="A733" s="5" t="str">
        <f>IFERROR(__xludf.DUMMYFUNCTION("""COMPUTED_VALUE"""),"10 Heart Deluxe")</f>
        <v>10 Heart Deluxe</v>
      </c>
      <c r="B733" s="5" t="str">
        <f>IFERROR(__xludf.DUMMYFUNCTION("""COMPUTED_VALUE"""),"")</f>
        <v/>
      </c>
      <c r="C733" s="5" t="str">
        <f>IFERROR(__xludf.DUMMYFUNCTION("""COMPUTED_VALUE"""),"")</f>
        <v/>
      </c>
      <c r="D733" s="5" t="str">
        <f>IFERROR(__xludf.DUMMYFUNCTION("""COMPUTED_VALUE"""),"")</f>
        <v/>
      </c>
      <c r="E733" s="5" t="str">
        <f>IFERROR(__xludf.DUMMYFUNCTION("""COMPUTED_VALUE"""),"")</f>
        <v/>
      </c>
      <c r="F733" s="5" t="str">
        <f>IFERROR(__xludf.DUMMYFUNCTION("""COMPUTED_VALUE"""),"")</f>
        <v/>
      </c>
      <c r="G733" s="5" t="str">
        <f>IFERROR(__xludf.DUMMYFUNCTION("""COMPUTED_VALUE"""),"")</f>
        <v/>
      </c>
      <c r="H733" s="5" t="str">
        <f>IFERROR(__xludf.DUMMYFUNCTION("""COMPUTED_VALUE"""),"")</f>
        <v/>
      </c>
      <c r="I733" s="5" t="str">
        <f>IFERROR(__xludf.DUMMYFUNCTION("""COMPUTED_VALUE"""),"")</f>
        <v/>
      </c>
      <c r="J733" s="5" t="str">
        <f>IFERROR(__xludf.DUMMYFUNCTION("""COMPUTED_VALUE"""),"")</f>
        <v/>
      </c>
      <c r="K733" s="5" t="str">
        <f>IFERROR(__xludf.DUMMYFUNCTION("""COMPUTED_VALUE"""),"")</f>
        <v/>
      </c>
      <c r="L733" s="5" t="str">
        <f>IFERROR(__xludf.DUMMYFUNCTION("""COMPUTED_VALUE"""),"")</f>
        <v/>
      </c>
      <c r="M733" s="5" t="str">
        <f>IFERROR(__xludf.DUMMYFUNCTION("""COMPUTED_VALUE"""),"")</f>
        <v/>
      </c>
      <c r="N733" s="5" t="str">
        <f>IFERROR(__xludf.DUMMYFUNCTION("""COMPUTED_VALUE"""),"")</f>
        <v/>
      </c>
      <c r="O733" s="5" t="str">
        <f>IFERROR(__xludf.DUMMYFUNCTION("""COMPUTED_VALUE"""),"")</f>
        <v/>
      </c>
      <c r="P733" s="5" t="str">
        <f>IFERROR(__xludf.DUMMYFUNCTION("""COMPUTED_VALUE"""),"")</f>
        <v/>
      </c>
      <c r="Q733" s="5" t="str">
        <f>IFERROR(__xludf.DUMMYFUNCTION("""COMPUTED_VALUE"""),"")</f>
        <v/>
      </c>
      <c r="R733" s="5" t="str">
        <f>IFERROR(__xludf.DUMMYFUNCTION("""COMPUTED_VALUE"""),"")</f>
        <v/>
      </c>
      <c r="S733" s="5" t="str">
        <f>IFERROR(__xludf.DUMMYFUNCTION("""COMPUTED_VALUE"""),"")</f>
        <v/>
      </c>
      <c r="T733" s="5" t="str">
        <f>IFERROR(__xludf.DUMMYFUNCTION("""COMPUTED_VALUE"""),"")</f>
        <v/>
      </c>
      <c r="U733" s="5" t="str">
        <f>IFERROR(__xludf.DUMMYFUNCTION("""COMPUTED_VALUE"""),"")</f>
        <v/>
      </c>
      <c r="V733" s="5" t="str">
        <f>IFERROR(__xludf.DUMMYFUNCTION("""COMPUTED_VALUE"""),"")</f>
        <v/>
      </c>
      <c r="W733" s="5" t="str">
        <f>IFERROR(__xludf.DUMMYFUNCTION("""COMPUTED_VALUE"""),"")</f>
        <v/>
      </c>
      <c r="X733" s="5" t="str">
        <f>IFERROR(__xludf.DUMMYFUNCTION("""COMPUTED_VALUE"""),"")</f>
        <v/>
      </c>
      <c r="Y733" s="5"/>
      <c r="Z733" s="5"/>
    </row>
    <row r="734">
      <c r="A734" s="5" t="str">
        <f>IFERROR(__xludf.DUMMYFUNCTION("""COMPUTED_VALUE"""),"Multi Crown 5")</f>
        <v>Multi Crown 5</v>
      </c>
      <c r="B734" s="5" t="str">
        <f>IFERROR(__xludf.DUMMYFUNCTION("""COMPUTED_VALUE"""),"")</f>
        <v/>
      </c>
      <c r="C734" s="5" t="str">
        <f>IFERROR(__xludf.DUMMYFUNCTION("""COMPUTED_VALUE"""),"")</f>
        <v/>
      </c>
      <c r="D734" s="5" t="str">
        <f>IFERROR(__xludf.DUMMYFUNCTION("""COMPUTED_VALUE"""),"")</f>
        <v/>
      </c>
      <c r="E734" s="5" t="str">
        <f>IFERROR(__xludf.DUMMYFUNCTION("""COMPUTED_VALUE"""),"")</f>
        <v/>
      </c>
      <c r="F734" s="5" t="str">
        <f>IFERROR(__xludf.DUMMYFUNCTION("""COMPUTED_VALUE"""),"")</f>
        <v/>
      </c>
      <c r="G734" s="5" t="str">
        <f>IFERROR(__xludf.DUMMYFUNCTION("""COMPUTED_VALUE"""),"")</f>
        <v/>
      </c>
      <c r="H734" s="5" t="str">
        <f>IFERROR(__xludf.DUMMYFUNCTION("""COMPUTED_VALUE"""),"")</f>
        <v/>
      </c>
      <c r="I734" s="5" t="str">
        <f>IFERROR(__xludf.DUMMYFUNCTION("""COMPUTED_VALUE"""),"")</f>
        <v/>
      </c>
      <c r="J734" s="5" t="str">
        <f>IFERROR(__xludf.DUMMYFUNCTION("""COMPUTED_VALUE"""),"")</f>
        <v/>
      </c>
      <c r="K734" s="5" t="str">
        <f>IFERROR(__xludf.DUMMYFUNCTION("""COMPUTED_VALUE"""),"")</f>
        <v/>
      </c>
      <c r="L734" s="5" t="str">
        <f>IFERROR(__xludf.DUMMYFUNCTION("""COMPUTED_VALUE"""),"")</f>
        <v/>
      </c>
      <c r="M734" s="5" t="str">
        <f>IFERROR(__xludf.DUMMYFUNCTION("""COMPUTED_VALUE"""),"")</f>
        <v/>
      </c>
      <c r="N734" s="5" t="str">
        <f>IFERROR(__xludf.DUMMYFUNCTION("""COMPUTED_VALUE"""),"")</f>
        <v/>
      </c>
      <c r="O734" s="5" t="str">
        <f>IFERROR(__xludf.DUMMYFUNCTION("""COMPUTED_VALUE"""),"")</f>
        <v/>
      </c>
      <c r="P734" s="5" t="str">
        <f>IFERROR(__xludf.DUMMYFUNCTION("""COMPUTED_VALUE"""),"")</f>
        <v/>
      </c>
      <c r="Q734" s="5" t="str">
        <f>IFERROR(__xludf.DUMMYFUNCTION("""COMPUTED_VALUE"""),"")</f>
        <v/>
      </c>
      <c r="R734" s="5" t="str">
        <f>IFERROR(__xludf.DUMMYFUNCTION("""COMPUTED_VALUE"""),"")</f>
        <v/>
      </c>
      <c r="S734" s="5" t="str">
        <f>IFERROR(__xludf.DUMMYFUNCTION("""COMPUTED_VALUE"""),"")</f>
        <v/>
      </c>
      <c r="T734" s="5" t="str">
        <f>IFERROR(__xludf.DUMMYFUNCTION("""COMPUTED_VALUE"""),"")</f>
        <v/>
      </c>
      <c r="U734" s="5" t="str">
        <f>IFERROR(__xludf.DUMMYFUNCTION("""COMPUTED_VALUE"""),"")</f>
        <v/>
      </c>
      <c r="V734" s="5" t="str">
        <f>IFERROR(__xludf.DUMMYFUNCTION("""COMPUTED_VALUE"""),"")</f>
        <v/>
      </c>
      <c r="W734" s="5" t="str">
        <f>IFERROR(__xludf.DUMMYFUNCTION("""COMPUTED_VALUE"""),"")</f>
        <v/>
      </c>
      <c r="X734" s="5" t="str">
        <f>IFERROR(__xludf.DUMMYFUNCTION("""COMPUTED_VALUE"""),"")</f>
        <v/>
      </c>
      <c r="Y734" s="5"/>
      <c r="Z734" s="5"/>
    </row>
    <row r="735">
      <c r="A735" s="5" t="str">
        <f>IFERROR(__xludf.DUMMYFUNCTION("""COMPUTED_VALUE"""),"Multi Heart 10")</f>
        <v>Multi Heart 10</v>
      </c>
      <c r="B735" s="5" t="str">
        <f>IFERROR(__xludf.DUMMYFUNCTION("""COMPUTED_VALUE"""),"")</f>
        <v/>
      </c>
      <c r="C735" s="5" t="str">
        <f>IFERROR(__xludf.DUMMYFUNCTION("""COMPUTED_VALUE"""),"")</f>
        <v/>
      </c>
      <c r="D735" s="5" t="str">
        <f>IFERROR(__xludf.DUMMYFUNCTION("""COMPUTED_VALUE"""),"")</f>
        <v/>
      </c>
      <c r="E735" s="5" t="str">
        <f>IFERROR(__xludf.DUMMYFUNCTION("""COMPUTED_VALUE"""),"")</f>
        <v/>
      </c>
      <c r="F735" s="5" t="str">
        <f>IFERROR(__xludf.DUMMYFUNCTION("""COMPUTED_VALUE"""),"")</f>
        <v/>
      </c>
      <c r="G735" s="5" t="str">
        <f>IFERROR(__xludf.DUMMYFUNCTION("""COMPUTED_VALUE"""),"")</f>
        <v/>
      </c>
      <c r="H735" s="5" t="str">
        <f>IFERROR(__xludf.DUMMYFUNCTION("""COMPUTED_VALUE"""),"")</f>
        <v/>
      </c>
      <c r="I735" s="5" t="str">
        <f>IFERROR(__xludf.DUMMYFUNCTION("""COMPUTED_VALUE"""),"")</f>
        <v/>
      </c>
      <c r="J735" s="5" t="str">
        <f>IFERROR(__xludf.DUMMYFUNCTION("""COMPUTED_VALUE"""),"")</f>
        <v/>
      </c>
      <c r="K735" s="5" t="str">
        <f>IFERROR(__xludf.DUMMYFUNCTION("""COMPUTED_VALUE"""),"")</f>
        <v/>
      </c>
      <c r="L735" s="5" t="str">
        <f>IFERROR(__xludf.DUMMYFUNCTION("""COMPUTED_VALUE"""),"")</f>
        <v/>
      </c>
      <c r="M735" s="5" t="str">
        <f>IFERROR(__xludf.DUMMYFUNCTION("""COMPUTED_VALUE"""),"")</f>
        <v/>
      </c>
      <c r="N735" s="5" t="str">
        <f>IFERROR(__xludf.DUMMYFUNCTION("""COMPUTED_VALUE"""),"")</f>
        <v/>
      </c>
      <c r="O735" s="5" t="str">
        <f>IFERROR(__xludf.DUMMYFUNCTION("""COMPUTED_VALUE"""),"")</f>
        <v/>
      </c>
      <c r="P735" s="5" t="str">
        <f>IFERROR(__xludf.DUMMYFUNCTION("""COMPUTED_VALUE"""),"")</f>
        <v/>
      </c>
      <c r="Q735" s="5" t="str">
        <f>IFERROR(__xludf.DUMMYFUNCTION("""COMPUTED_VALUE"""),"")</f>
        <v/>
      </c>
      <c r="R735" s="5" t="str">
        <f>IFERROR(__xludf.DUMMYFUNCTION("""COMPUTED_VALUE"""),"")</f>
        <v/>
      </c>
      <c r="S735" s="5" t="str">
        <f>IFERROR(__xludf.DUMMYFUNCTION("""COMPUTED_VALUE"""),"")</f>
        <v/>
      </c>
      <c r="T735" s="5" t="str">
        <f>IFERROR(__xludf.DUMMYFUNCTION("""COMPUTED_VALUE"""),"")</f>
        <v/>
      </c>
      <c r="U735" s="5" t="str">
        <f>IFERROR(__xludf.DUMMYFUNCTION("""COMPUTED_VALUE"""),"")</f>
        <v/>
      </c>
      <c r="V735" s="5" t="str">
        <f>IFERROR(__xludf.DUMMYFUNCTION("""COMPUTED_VALUE"""),"")</f>
        <v/>
      </c>
      <c r="W735" s="5" t="str">
        <f>IFERROR(__xludf.DUMMYFUNCTION("""COMPUTED_VALUE"""),"")</f>
        <v/>
      </c>
      <c r="X735" s="5" t="str">
        <f>IFERROR(__xludf.DUMMYFUNCTION("""COMPUTED_VALUE"""),"")</f>
        <v/>
      </c>
      <c r="Y735" s="5"/>
      <c r="Z735" s="5"/>
    </row>
    <row r="736">
      <c r="A736" s="5" t="str">
        <f>IFERROR(__xludf.DUMMYFUNCTION("""COMPUTED_VALUE"""),"Chilli Double Christmas")</f>
        <v>Chilli Double Christmas</v>
      </c>
      <c r="B736" s="5" t="str">
        <f>IFERROR(__xludf.DUMMYFUNCTION("""COMPUTED_VALUE"""),"")</f>
        <v/>
      </c>
      <c r="C736" s="5" t="str">
        <f>IFERROR(__xludf.DUMMYFUNCTION("""COMPUTED_VALUE"""),"")</f>
        <v/>
      </c>
      <c r="D736" s="5" t="str">
        <f>IFERROR(__xludf.DUMMYFUNCTION("""COMPUTED_VALUE"""),"")</f>
        <v/>
      </c>
      <c r="E736" s="5" t="str">
        <f>IFERROR(__xludf.DUMMYFUNCTION("""COMPUTED_VALUE"""),"")</f>
        <v/>
      </c>
      <c r="F736" s="5" t="str">
        <f>IFERROR(__xludf.DUMMYFUNCTION("""COMPUTED_VALUE"""),"")</f>
        <v/>
      </c>
      <c r="G736" s="5" t="str">
        <f>IFERROR(__xludf.DUMMYFUNCTION("""COMPUTED_VALUE"""),"")</f>
        <v/>
      </c>
      <c r="H736" s="5" t="str">
        <f>IFERROR(__xludf.DUMMYFUNCTION("""COMPUTED_VALUE"""),"")</f>
        <v/>
      </c>
      <c r="I736" s="5" t="str">
        <f>IFERROR(__xludf.DUMMYFUNCTION("""COMPUTED_VALUE"""),"")</f>
        <v/>
      </c>
      <c r="J736" s="5" t="str">
        <f>IFERROR(__xludf.DUMMYFUNCTION("""COMPUTED_VALUE"""),"")</f>
        <v/>
      </c>
      <c r="K736" s="5" t="str">
        <f>IFERROR(__xludf.DUMMYFUNCTION("""COMPUTED_VALUE"""),"")</f>
        <v/>
      </c>
      <c r="L736" s="5" t="str">
        <f>IFERROR(__xludf.DUMMYFUNCTION("""COMPUTED_VALUE"""),"")</f>
        <v/>
      </c>
      <c r="M736" s="5" t="str">
        <f>IFERROR(__xludf.DUMMYFUNCTION("""COMPUTED_VALUE"""),"")</f>
        <v/>
      </c>
      <c r="N736" s="5" t="str">
        <f>IFERROR(__xludf.DUMMYFUNCTION("""COMPUTED_VALUE"""),"")</f>
        <v/>
      </c>
      <c r="O736" s="5" t="str">
        <f>IFERROR(__xludf.DUMMYFUNCTION("""COMPUTED_VALUE"""),"")</f>
        <v/>
      </c>
      <c r="P736" s="5" t="str">
        <f>IFERROR(__xludf.DUMMYFUNCTION("""COMPUTED_VALUE"""),"")</f>
        <v/>
      </c>
      <c r="Q736" s="5" t="str">
        <f>IFERROR(__xludf.DUMMYFUNCTION("""COMPUTED_VALUE"""),"")</f>
        <v/>
      </c>
      <c r="R736" s="5" t="str">
        <f>IFERROR(__xludf.DUMMYFUNCTION("""COMPUTED_VALUE"""),"")</f>
        <v/>
      </c>
      <c r="S736" s="5" t="str">
        <f>IFERROR(__xludf.DUMMYFUNCTION("""COMPUTED_VALUE"""),"")</f>
        <v/>
      </c>
      <c r="T736" s="5" t="str">
        <f>IFERROR(__xludf.DUMMYFUNCTION("""COMPUTED_VALUE"""),"")</f>
        <v/>
      </c>
      <c r="U736" s="5" t="str">
        <f>IFERROR(__xludf.DUMMYFUNCTION("""COMPUTED_VALUE"""),"")</f>
        <v/>
      </c>
      <c r="V736" s="5" t="str">
        <f>IFERROR(__xludf.DUMMYFUNCTION("""COMPUTED_VALUE"""),"")</f>
        <v/>
      </c>
      <c r="W736" s="5" t="str">
        <f>IFERROR(__xludf.DUMMYFUNCTION("""COMPUTED_VALUE"""),"")</f>
        <v/>
      </c>
      <c r="X736" s="5" t="str">
        <f>IFERROR(__xludf.DUMMYFUNCTION("""COMPUTED_VALUE"""),"")</f>
        <v/>
      </c>
      <c r="Y736" s="5"/>
      <c r="Z736" s="5"/>
    </row>
    <row r="737">
      <c r="A737" s="5" t="str">
        <f>IFERROR(__xludf.DUMMYFUNCTION("""COMPUTED_VALUE"""),"Multi Heart 5 Christmas")</f>
        <v>Multi Heart 5 Christmas</v>
      </c>
      <c r="B737" s="5" t="str">
        <f>IFERROR(__xludf.DUMMYFUNCTION("""COMPUTED_VALUE"""),"")</f>
        <v/>
      </c>
      <c r="C737" s="5" t="str">
        <f>IFERROR(__xludf.DUMMYFUNCTION("""COMPUTED_VALUE"""),"")</f>
        <v/>
      </c>
      <c r="D737" s="5" t="str">
        <f>IFERROR(__xludf.DUMMYFUNCTION("""COMPUTED_VALUE"""),"")</f>
        <v/>
      </c>
      <c r="E737" s="5" t="str">
        <f>IFERROR(__xludf.DUMMYFUNCTION("""COMPUTED_VALUE"""),"")</f>
        <v/>
      </c>
      <c r="F737" s="5" t="str">
        <f>IFERROR(__xludf.DUMMYFUNCTION("""COMPUTED_VALUE"""),"")</f>
        <v/>
      </c>
      <c r="G737" s="5" t="str">
        <f>IFERROR(__xludf.DUMMYFUNCTION("""COMPUTED_VALUE"""),"")</f>
        <v/>
      </c>
      <c r="H737" s="5" t="str">
        <f>IFERROR(__xludf.DUMMYFUNCTION("""COMPUTED_VALUE"""),"")</f>
        <v/>
      </c>
      <c r="I737" s="5" t="str">
        <f>IFERROR(__xludf.DUMMYFUNCTION("""COMPUTED_VALUE"""),"")</f>
        <v/>
      </c>
      <c r="J737" s="5" t="str">
        <f>IFERROR(__xludf.DUMMYFUNCTION("""COMPUTED_VALUE"""),"")</f>
        <v/>
      </c>
      <c r="K737" s="5" t="str">
        <f>IFERROR(__xludf.DUMMYFUNCTION("""COMPUTED_VALUE"""),"")</f>
        <v/>
      </c>
      <c r="L737" s="5" t="str">
        <f>IFERROR(__xludf.DUMMYFUNCTION("""COMPUTED_VALUE"""),"")</f>
        <v/>
      </c>
      <c r="M737" s="5" t="str">
        <f>IFERROR(__xludf.DUMMYFUNCTION("""COMPUTED_VALUE"""),"")</f>
        <v/>
      </c>
      <c r="N737" s="5" t="str">
        <f>IFERROR(__xludf.DUMMYFUNCTION("""COMPUTED_VALUE"""),"")</f>
        <v/>
      </c>
      <c r="O737" s="5" t="str">
        <f>IFERROR(__xludf.DUMMYFUNCTION("""COMPUTED_VALUE"""),"")</f>
        <v/>
      </c>
      <c r="P737" s="5" t="str">
        <f>IFERROR(__xludf.DUMMYFUNCTION("""COMPUTED_VALUE"""),"")</f>
        <v/>
      </c>
      <c r="Q737" s="5" t="str">
        <f>IFERROR(__xludf.DUMMYFUNCTION("""COMPUTED_VALUE"""),"")</f>
        <v/>
      </c>
      <c r="R737" s="5" t="str">
        <f>IFERROR(__xludf.DUMMYFUNCTION("""COMPUTED_VALUE"""),"")</f>
        <v/>
      </c>
      <c r="S737" s="5" t="str">
        <f>IFERROR(__xludf.DUMMYFUNCTION("""COMPUTED_VALUE"""),"")</f>
        <v/>
      </c>
      <c r="T737" s="5" t="str">
        <f>IFERROR(__xludf.DUMMYFUNCTION("""COMPUTED_VALUE"""),"")</f>
        <v/>
      </c>
      <c r="U737" s="5" t="str">
        <f>IFERROR(__xludf.DUMMYFUNCTION("""COMPUTED_VALUE"""),"")</f>
        <v/>
      </c>
      <c r="V737" s="5" t="str">
        <f>IFERROR(__xludf.DUMMYFUNCTION("""COMPUTED_VALUE"""),"")</f>
        <v/>
      </c>
      <c r="W737" s="5" t="str">
        <f>IFERROR(__xludf.DUMMYFUNCTION("""COMPUTED_VALUE"""),"")</f>
        <v/>
      </c>
      <c r="X737" s="5" t="str">
        <f>IFERROR(__xludf.DUMMYFUNCTION("""COMPUTED_VALUE"""),"")</f>
        <v/>
      </c>
      <c r="Y737" s="5"/>
      <c r="Z737" s="5"/>
    </row>
    <row r="738">
      <c r="A738" s="5" t="str">
        <f>IFERROR(__xludf.DUMMYFUNCTION("""COMPUTED_VALUE"""),"Double Wild Heart Halloween")</f>
        <v>Double Wild Heart Halloween</v>
      </c>
      <c r="B738" s="5" t="str">
        <f>IFERROR(__xludf.DUMMYFUNCTION("""COMPUTED_VALUE"""),"")</f>
        <v/>
      </c>
      <c r="C738" s="5" t="str">
        <f>IFERROR(__xludf.DUMMYFUNCTION("""COMPUTED_VALUE"""),"")</f>
        <v/>
      </c>
      <c r="D738" s="5" t="str">
        <f>IFERROR(__xludf.DUMMYFUNCTION("""COMPUTED_VALUE"""),"")</f>
        <v/>
      </c>
      <c r="E738" s="5" t="str">
        <f>IFERROR(__xludf.DUMMYFUNCTION("""COMPUTED_VALUE"""),"")</f>
        <v/>
      </c>
      <c r="F738" s="5" t="str">
        <f>IFERROR(__xludf.DUMMYFUNCTION("""COMPUTED_VALUE"""),"")</f>
        <v/>
      </c>
      <c r="G738" s="5" t="str">
        <f>IFERROR(__xludf.DUMMYFUNCTION("""COMPUTED_VALUE"""),"")</f>
        <v/>
      </c>
      <c r="H738" s="5" t="str">
        <f>IFERROR(__xludf.DUMMYFUNCTION("""COMPUTED_VALUE"""),"")</f>
        <v/>
      </c>
      <c r="I738" s="5" t="str">
        <f>IFERROR(__xludf.DUMMYFUNCTION("""COMPUTED_VALUE"""),"")</f>
        <v/>
      </c>
      <c r="J738" s="5" t="str">
        <f>IFERROR(__xludf.DUMMYFUNCTION("""COMPUTED_VALUE"""),"")</f>
        <v/>
      </c>
      <c r="K738" s="5" t="str">
        <f>IFERROR(__xludf.DUMMYFUNCTION("""COMPUTED_VALUE"""),"")</f>
        <v/>
      </c>
      <c r="L738" s="5" t="str">
        <f>IFERROR(__xludf.DUMMYFUNCTION("""COMPUTED_VALUE"""),"")</f>
        <v/>
      </c>
      <c r="M738" s="5" t="str">
        <f>IFERROR(__xludf.DUMMYFUNCTION("""COMPUTED_VALUE"""),"")</f>
        <v/>
      </c>
      <c r="N738" s="5" t="str">
        <f>IFERROR(__xludf.DUMMYFUNCTION("""COMPUTED_VALUE"""),"")</f>
        <v/>
      </c>
      <c r="O738" s="5" t="str">
        <f>IFERROR(__xludf.DUMMYFUNCTION("""COMPUTED_VALUE"""),"")</f>
        <v/>
      </c>
      <c r="P738" s="5" t="str">
        <f>IFERROR(__xludf.DUMMYFUNCTION("""COMPUTED_VALUE"""),"")</f>
        <v/>
      </c>
      <c r="Q738" s="5" t="str">
        <f>IFERROR(__xludf.DUMMYFUNCTION("""COMPUTED_VALUE"""),"")</f>
        <v/>
      </c>
      <c r="R738" s="5" t="str">
        <f>IFERROR(__xludf.DUMMYFUNCTION("""COMPUTED_VALUE"""),"")</f>
        <v/>
      </c>
      <c r="S738" s="5" t="str">
        <f>IFERROR(__xludf.DUMMYFUNCTION("""COMPUTED_VALUE"""),"")</f>
        <v/>
      </c>
      <c r="T738" s="5" t="str">
        <f>IFERROR(__xludf.DUMMYFUNCTION("""COMPUTED_VALUE"""),"")</f>
        <v/>
      </c>
      <c r="U738" s="5" t="str">
        <f>IFERROR(__xludf.DUMMYFUNCTION("""COMPUTED_VALUE"""),"")</f>
        <v/>
      </c>
      <c r="V738" s="5" t="str">
        <f>IFERROR(__xludf.DUMMYFUNCTION("""COMPUTED_VALUE"""),"")</f>
        <v/>
      </c>
      <c r="W738" s="5" t="str">
        <f>IFERROR(__xludf.DUMMYFUNCTION("""COMPUTED_VALUE"""),"")</f>
        <v/>
      </c>
      <c r="X738" s="5" t="str">
        <f>IFERROR(__xludf.DUMMYFUNCTION("""COMPUTED_VALUE"""),"")</f>
        <v/>
      </c>
      <c r="Y738" s="5"/>
      <c r="Z738" s="5"/>
    </row>
    <row r="739">
      <c r="A739" s="5" t="str">
        <f>IFERROR(__xludf.DUMMYFUNCTION("""COMPUTED_VALUE"""),"Lady Wild 81 Respin")</f>
        <v>Lady Wild 81 Respin</v>
      </c>
      <c r="B739" s="5" t="str">
        <f>IFERROR(__xludf.DUMMYFUNCTION("""COMPUTED_VALUE"""),"")</f>
        <v/>
      </c>
      <c r="C739" s="5" t="str">
        <f>IFERROR(__xludf.DUMMYFUNCTION("""COMPUTED_VALUE"""),"")</f>
        <v/>
      </c>
      <c r="D739" s="5" t="str">
        <f>IFERROR(__xludf.DUMMYFUNCTION("""COMPUTED_VALUE"""),"")</f>
        <v/>
      </c>
      <c r="E739" s="5" t="str">
        <f>IFERROR(__xludf.DUMMYFUNCTION("""COMPUTED_VALUE"""),"")</f>
        <v/>
      </c>
      <c r="F739" s="5" t="str">
        <f>IFERROR(__xludf.DUMMYFUNCTION("""COMPUTED_VALUE"""),"")</f>
        <v/>
      </c>
      <c r="G739" s="5" t="str">
        <f>IFERROR(__xludf.DUMMYFUNCTION("""COMPUTED_VALUE"""),"")</f>
        <v/>
      </c>
      <c r="H739" s="5" t="str">
        <f>IFERROR(__xludf.DUMMYFUNCTION("""COMPUTED_VALUE"""),"")</f>
        <v/>
      </c>
      <c r="I739" s="5" t="str">
        <f>IFERROR(__xludf.DUMMYFUNCTION("""COMPUTED_VALUE"""),"")</f>
        <v/>
      </c>
      <c r="J739" s="5" t="str">
        <f>IFERROR(__xludf.DUMMYFUNCTION("""COMPUTED_VALUE"""),"")</f>
        <v/>
      </c>
      <c r="K739" s="5" t="str">
        <f>IFERROR(__xludf.DUMMYFUNCTION("""COMPUTED_VALUE"""),"")</f>
        <v/>
      </c>
      <c r="L739" s="5" t="str">
        <f>IFERROR(__xludf.DUMMYFUNCTION("""COMPUTED_VALUE"""),"")</f>
        <v/>
      </c>
      <c r="M739" s="5" t="str">
        <f>IFERROR(__xludf.DUMMYFUNCTION("""COMPUTED_VALUE"""),"")</f>
        <v/>
      </c>
      <c r="N739" s="5" t="str">
        <f>IFERROR(__xludf.DUMMYFUNCTION("""COMPUTED_VALUE"""),"")</f>
        <v/>
      </c>
      <c r="O739" s="5" t="str">
        <f>IFERROR(__xludf.DUMMYFUNCTION("""COMPUTED_VALUE"""),"")</f>
        <v/>
      </c>
      <c r="P739" s="5" t="str">
        <f>IFERROR(__xludf.DUMMYFUNCTION("""COMPUTED_VALUE"""),"")</f>
        <v/>
      </c>
      <c r="Q739" s="5" t="str">
        <f>IFERROR(__xludf.DUMMYFUNCTION("""COMPUTED_VALUE"""),"")</f>
        <v/>
      </c>
      <c r="R739" s="5" t="str">
        <f>IFERROR(__xludf.DUMMYFUNCTION("""COMPUTED_VALUE"""),"")</f>
        <v/>
      </c>
      <c r="S739" s="5" t="str">
        <f>IFERROR(__xludf.DUMMYFUNCTION("""COMPUTED_VALUE"""),"")</f>
        <v/>
      </c>
      <c r="T739" s="5" t="str">
        <f>IFERROR(__xludf.DUMMYFUNCTION("""COMPUTED_VALUE"""),"")</f>
        <v/>
      </c>
      <c r="U739" s="5" t="str">
        <f>IFERROR(__xludf.DUMMYFUNCTION("""COMPUTED_VALUE"""),"")</f>
        <v/>
      </c>
      <c r="V739" s="5" t="str">
        <f>IFERROR(__xludf.DUMMYFUNCTION("""COMPUTED_VALUE"""),"")</f>
        <v/>
      </c>
      <c r="W739" s="5" t="str">
        <f>IFERROR(__xludf.DUMMYFUNCTION("""COMPUTED_VALUE"""),"")</f>
        <v/>
      </c>
      <c r="X739" s="5" t="str">
        <f>IFERROR(__xludf.DUMMYFUNCTION("""COMPUTED_VALUE"""),"")</f>
        <v/>
      </c>
      <c r="Y739" s="5"/>
      <c r="Z739" s="5"/>
    </row>
    <row r="740">
      <c r="A740" s="5" t="str">
        <f>IFERROR(__xludf.DUMMYFUNCTION("""COMPUTED_VALUE"""),"Lady Wild 243 Respin")</f>
        <v>Lady Wild 243 Respin</v>
      </c>
      <c r="B740" s="5" t="str">
        <f>IFERROR(__xludf.DUMMYFUNCTION("""COMPUTED_VALUE"""),"")</f>
        <v/>
      </c>
      <c r="C740" s="5" t="str">
        <f>IFERROR(__xludf.DUMMYFUNCTION("""COMPUTED_VALUE"""),"")</f>
        <v/>
      </c>
      <c r="D740" s="5" t="str">
        <f>IFERROR(__xludf.DUMMYFUNCTION("""COMPUTED_VALUE"""),"")</f>
        <v/>
      </c>
      <c r="E740" s="5" t="str">
        <f>IFERROR(__xludf.DUMMYFUNCTION("""COMPUTED_VALUE"""),"")</f>
        <v/>
      </c>
      <c r="F740" s="5" t="str">
        <f>IFERROR(__xludf.DUMMYFUNCTION("""COMPUTED_VALUE"""),"")</f>
        <v/>
      </c>
      <c r="G740" s="5" t="str">
        <f>IFERROR(__xludf.DUMMYFUNCTION("""COMPUTED_VALUE"""),"")</f>
        <v/>
      </c>
      <c r="H740" s="5" t="str">
        <f>IFERROR(__xludf.DUMMYFUNCTION("""COMPUTED_VALUE"""),"")</f>
        <v/>
      </c>
      <c r="I740" s="5" t="str">
        <f>IFERROR(__xludf.DUMMYFUNCTION("""COMPUTED_VALUE"""),"")</f>
        <v/>
      </c>
      <c r="J740" s="5" t="str">
        <f>IFERROR(__xludf.DUMMYFUNCTION("""COMPUTED_VALUE"""),"")</f>
        <v/>
      </c>
      <c r="K740" s="5" t="str">
        <f>IFERROR(__xludf.DUMMYFUNCTION("""COMPUTED_VALUE"""),"")</f>
        <v/>
      </c>
      <c r="L740" s="5" t="str">
        <f>IFERROR(__xludf.DUMMYFUNCTION("""COMPUTED_VALUE"""),"")</f>
        <v/>
      </c>
      <c r="M740" s="5" t="str">
        <f>IFERROR(__xludf.DUMMYFUNCTION("""COMPUTED_VALUE"""),"")</f>
        <v/>
      </c>
      <c r="N740" s="5" t="str">
        <f>IFERROR(__xludf.DUMMYFUNCTION("""COMPUTED_VALUE"""),"")</f>
        <v/>
      </c>
      <c r="O740" s="5" t="str">
        <f>IFERROR(__xludf.DUMMYFUNCTION("""COMPUTED_VALUE"""),"")</f>
        <v/>
      </c>
      <c r="P740" s="5" t="str">
        <f>IFERROR(__xludf.DUMMYFUNCTION("""COMPUTED_VALUE"""),"")</f>
        <v/>
      </c>
      <c r="Q740" s="5" t="str">
        <f>IFERROR(__xludf.DUMMYFUNCTION("""COMPUTED_VALUE"""),"")</f>
        <v/>
      </c>
      <c r="R740" s="5" t="str">
        <f>IFERROR(__xludf.DUMMYFUNCTION("""COMPUTED_VALUE"""),"")</f>
        <v/>
      </c>
      <c r="S740" s="5" t="str">
        <f>IFERROR(__xludf.DUMMYFUNCTION("""COMPUTED_VALUE"""),"")</f>
        <v/>
      </c>
      <c r="T740" s="5" t="str">
        <f>IFERROR(__xludf.DUMMYFUNCTION("""COMPUTED_VALUE"""),"")</f>
        <v/>
      </c>
      <c r="U740" s="5" t="str">
        <f>IFERROR(__xludf.DUMMYFUNCTION("""COMPUTED_VALUE"""),"")</f>
        <v/>
      </c>
      <c r="V740" s="5" t="str">
        <f>IFERROR(__xludf.DUMMYFUNCTION("""COMPUTED_VALUE"""),"")</f>
        <v/>
      </c>
      <c r="W740" s="5" t="str">
        <f>IFERROR(__xludf.DUMMYFUNCTION("""COMPUTED_VALUE"""),"")</f>
        <v/>
      </c>
      <c r="X740" s="5" t="str">
        <f>IFERROR(__xludf.DUMMYFUNCTION("""COMPUTED_VALUE"""),"")</f>
        <v/>
      </c>
      <c r="Y740" s="5"/>
      <c r="Z740" s="5"/>
    </row>
    <row r="741">
      <c r="A741" s="5" t="str">
        <f>IFERROR(__xludf.DUMMYFUNCTION("""COMPUTED_VALUE"""),"Bonus Wu Kong 20")</f>
        <v>Bonus Wu Kong 20</v>
      </c>
      <c r="B741" s="5" t="str">
        <f>IFERROR(__xludf.DUMMYFUNCTION("""COMPUTED_VALUE"""),"")</f>
        <v/>
      </c>
      <c r="C741" s="5" t="str">
        <f>IFERROR(__xludf.DUMMYFUNCTION("""COMPUTED_VALUE"""),"")</f>
        <v/>
      </c>
      <c r="D741" s="5" t="str">
        <f>IFERROR(__xludf.DUMMYFUNCTION("""COMPUTED_VALUE"""),"")</f>
        <v/>
      </c>
      <c r="E741" s="5" t="str">
        <f>IFERROR(__xludf.DUMMYFUNCTION("""COMPUTED_VALUE"""),"")</f>
        <v/>
      </c>
      <c r="F741" s="5" t="str">
        <f>IFERROR(__xludf.DUMMYFUNCTION("""COMPUTED_VALUE"""),"")</f>
        <v/>
      </c>
      <c r="G741" s="5" t="str">
        <f>IFERROR(__xludf.DUMMYFUNCTION("""COMPUTED_VALUE"""),"")</f>
        <v/>
      </c>
      <c r="H741" s="5" t="str">
        <f>IFERROR(__xludf.DUMMYFUNCTION("""COMPUTED_VALUE"""),"")</f>
        <v/>
      </c>
      <c r="I741" s="5" t="str">
        <f>IFERROR(__xludf.DUMMYFUNCTION("""COMPUTED_VALUE"""),"")</f>
        <v/>
      </c>
      <c r="J741" s="5" t="str">
        <f>IFERROR(__xludf.DUMMYFUNCTION("""COMPUTED_VALUE"""),"")</f>
        <v/>
      </c>
      <c r="K741" s="5" t="str">
        <f>IFERROR(__xludf.DUMMYFUNCTION("""COMPUTED_VALUE"""),"")</f>
        <v/>
      </c>
      <c r="L741" s="5" t="str">
        <f>IFERROR(__xludf.DUMMYFUNCTION("""COMPUTED_VALUE"""),"")</f>
        <v/>
      </c>
      <c r="M741" s="5" t="str">
        <f>IFERROR(__xludf.DUMMYFUNCTION("""COMPUTED_VALUE"""),"")</f>
        <v/>
      </c>
      <c r="N741" s="5" t="str">
        <f>IFERROR(__xludf.DUMMYFUNCTION("""COMPUTED_VALUE"""),"")</f>
        <v/>
      </c>
      <c r="O741" s="5" t="str">
        <f>IFERROR(__xludf.DUMMYFUNCTION("""COMPUTED_VALUE"""),"")</f>
        <v/>
      </c>
      <c r="P741" s="5" t="str">
        <f>IFERROR(__xludf.DUMMYFUNCTION("""COMPUTED_VALUE"""),"")</f>
        <v/>
      </c>
      <c r="Q741" s="5" t="str">
        <f>IFERROR(__xludf.DUMMYFUNCTION("""COMPUTED_VALUE"""),"")</f>
        <v/>
      </c>
      <c r="R741" s="5" t="str">
        <f>IFERROR(__xludf.DUMMYFUNCTION("""COMPUTED_VALUE"""),"")</f>
        <v/>
      </c>
      <c r="S741" s="5" t="str">
        <f>IFERROR(__xludf.DUMMYFUNCTION("""COMPUTED_VALUE"""),"")</f>
        <v/>
      </c>
      <c r="T741" s="5" t="str">
        <f>IFERROR(__xludf.DUMMYFUNCTION("""COMPUTED_VALUE"""),"")</f>
        <v/>
      </c>
      <c r="U741" s="5" t="str">
        <f>IFERROR(__xludf.DUMMYFUNCTION("""COMPUTED_VALUE"""),"")</f>
        <v/>
      </c>
      <c r="V741" s="5" t="str">
        <f>IFERROR(__xludf.DUMMYFUNCTION("""COMPUTED_VALUE"""),"")</f>
        <v/>
      </c>
      <c r="W741" s="5" t="str">
        <f>IFERROR(__xludf.DUMMYFUNCTION("""COMPUTED_VALUE"""),"")</f>
        <v/>
      </c>
      <c r="X741" s="5" t="str">
        <f>IFERROR(__xludf.DUMMYFUNCTION("""COMPUTED_VALUE"""),"")</f>
        <v/>
      </c>
      <c r="Y741" s="5"/>
      <c r="Z741" s="5"/>
    </row>
    <row r="742">
      <c r="A742" s="5" t="str">
        <f>IFERROR(__xludf.DUMMYFUNCTION("""COMPUTED_VALUE"""),"Bonus Wu Kong 40")</f>
        <v>Bonus Wu Kong 40</v>
      </c>
      <c r="B742" s="5" t="str">
        <f>IFERROR(__xludf.DUMMYFUNCTION("""COMPUTED_VALUE"""),"")</f>
        <v/>
      </c>
      <c r="C742" s="5" t="str">
        <f>IFERROR(__xludf.DUMMYFUNCTION("""COMPUTED_VALUE"""),"")</f>
        <v/>
      </c>
      <c r="D742" s="5" t="str">
        <f>IFERROR(__xludf.DUMMYFUNCTION("""COMPUTED_VALUE"""),"")</f>
        <v/>
      </c>
      <c r="E742" s="5" t="str">
        <f>IFERROR(__xludf.DUMMYFUNCTION("""COMPUTED_VALUE"""),"")</f>
        <v/>
      </c>
      <c r="F742" s="5" t="str">
        <f>IFERROR(__xludf.DUMMYFUNCTION("""COMPUTED_VALUE"""),"")</f>
        <v/>
      </c>
      <c r="G742" s="5" t="str">
        <f>IFERROR(__xludf.DUMMYFUNCTION("""COMPUTED_VALUE"""),"")</f>
        <v/>
      </c>
      <c r="H742" s="5" t="str">
        <f>IFERROR(__xludf.DUMMYFUNCTION("""COMPUTED_VALUE"""),"")</f>
        <v/>
      </c>
      <c r="I742" s="5" t="str">
        <f>IFERROR(__xludf.DUMMYFUNCTION("""COMPUTED_VALUE"""),"")</f>
        <v/>
      </c>
      <c r="J742" s="5" t="str">
        <f>IFERROR(__xludf.DUMMYFUNCTION("""COMPUTED_VALUE"""),"")</f>
        <v/>
      </c>
      <c r="K742" s="5" t="str">
        <f>IFERROR(__xludf.DUMMYFUNCTION("""COMPUTED_VALUE"""),"")</f>
        <v/>
      </c>
      <c r="L742" s="5" t="str">
        <f>IFERROR(__xludf.DUMMYFUNCTION("""COMPUTED_VALUE"""),"")</f>
        <v/>
      </c>
      <c r="M742" s="5" t="str">
        <f>IFERROR(__xludf.DUMMYFUNCTION("""COMPUTED_VALUE"""),"")</f>
        <v/>
      </c>
      <c r="N742" s="5" t="str">
        <f>IFERROR(__xludf.DUMMYFUNCTION("""COMPUTED_VALUE"""),"")</f>
        <v/>
      </c>
      <c r="O742" s="5" t="str">
        <f>IFERROR(__xludf.DUMMYFUNCTION("""COMPUTED_VALUE"""),"")</f>
        <v/>
      </c>
      <c r="P742" s="5" t="str">
        <f>IFERROR(__xludf.DUMMYFUNCTION("""COMPUTED_VALUE"""),"")</f>
        <v/>
      </c>
      <c r="Q742" s="5" t="str">
        <f>IFERROR(__xludf.DUMMYFUNCTION("""COMPUTED_VALUE"""),"")</f>
        <v/>
      </c>
      <c r="R742" s="5" t="str">
        <f>IFERROR(__xludf.DUMMYFUNCTION("""COMPUTED_VALUE"""),"")</f>
        <v/>
      </c>
      <c r="S742" s="5" t="str">
        <f>IFERROR(__xludf.DUMMYFUNCTION("""COMPUTED_VALUE"""),"")</f>
        <v/>
      </c>
      <c r="T742" s="5" t="str">
        <f>IFERROR(__xludf.DUMMYFUNCTION("""COMPUTED_VALUE"""),"")</f>
        <v/>
      </c>
      <c r="U742" s="5" t="str">
        <f>IFERROR(__xludf.DUMMYFUNCTION("""COMPUTED_VALUE"""),"")</f>
        <v/>
      </c>
      <c r="V742" s="5" t="str">
        <f>IFERROR(__xludf.DUMMYFUNCTION("""COMPUTED_VALUE"""),"")</f>
        <v/>
      </c>
      <c r="W742" s="5" t="str">
        <f>IFERROR(__xludf.DUMMYFUNCTION("""COMPUTED_VALUE"""),"")</f>
        <v/>
      </c>
      <c r="X742" s="5" t="str">
        <f>IFERROR(__xludf.DUMMYFUNCTION("""COMPUTED_VALUE"""),"")</f>
        <v/>
      </c>
      <c r="Y742" s="5"/>
      <c r="Z742" s="5"/>
    </row>
    <row r="743">
      <c r="A743" s="5" t="str">
        <f>IFERROR(__xludf.DUMMYFUNCTION("""COMPUTED_VALUE"""),"Bonus Wu Kong 5")</f>
        <v>Bonus Wu Kong 5</v>
      </c>
      <c r="B743" s="5" t="str">
        <f>IFERROR(__xludf.DUMMYFUNCTION("""COMPUTED_VALUE"""),"")</f>
        <v/>
      </c>
      <c r="C743" s="5" t="str">
        <f>IFERROR(__xludf.DUMMYFUNCTION("""COMPUTED_VALUE"""),"")</f>
        <v/>
      </c>
      <c r="D743" s="5" t="str">
        <f>IFERROR(__xludf.DUMMYFUNCTION("""COMPUTED_VALUE"""),"")</f>
        <v/>
      </c>
      <c r="E743" s="5" t="str">
        <f>IFERROR(__xludf.DUMMYFUNCTION("""COMPUTED_VALUE"""),"")</f>
        <v/>
      </c>
      <c r="F743" s="5" t="str">
        <f>IFERROR(__xludf.DUMMYFUNCTION("""COMPUTED_VALUE"""),"")</f>
        <v/>
      </c>
      <c r="G743" s="5" t="str">
        <f>IFERROR(__xludf.DUMMYFUNCTION("""COMPUTED_VALUE"""),"")</f>
        <v/>
      </c>
      <c r="H743" s="5" t="str">
        <f>IFERROR(__xludf.DUMMYFUNCTION("""COMPUTED_VALUE"""),"")</f>
        <v/>
      </c>
      <c r="I743" s="5" t="str">
        <f>IFERROR(__xludf.DUMMYFUNCTION("""COMPUTED_VALUE"""),"")</f>
        <v/>
      </c>
      <c r="J743" s="5" t="str">
        <f>IFERROR(__xludf.DUMMYFUNCTION("""COMPUTED_VALUE"""),"")</f>
        <v/>
      </c>
      <c r="K743" s="5" t="str">
        <f>IFERROR(__xludf.DUMMYFUNCTION("""COMPUTED_VALUE"""),"")</f>
        <v/>
      </c>
      <c r="L743" s="5" t="str">
        <f>IFERROR(__xludf.DUMMYFUNCTION("""COMPUTED_VALUE"""),"")</f>
        <v/>
      </c>
      <c r="M743" s="5" t="str">
        <f>IFERROR(__xludf.DUMMYFUNCTION("""COMPUTED_VALUE"""),"")</f>
        <v/>
      </c>
      <c r="N743" s="5" t="str">
        <f>IFERROR(__xludf.DUMMYFUNCTION("""COMPUTED_VALUE"""),"")</f>
        <v/>
      </c>
      <c r="O743" s="5" t="str">
        <f>IFERROR(__xludf.DUMMYFUNCTION("""COMPUTED_VALUE"""),"")</f>
        <v/>
      </c>
      <c r="P743" s="5" t="str">
        <f>IFERROR(__xludf.DUMMYFUNCTION("""COMPUTED_VALUE"""),"")</f>
        <v/>
      </c>
      <c r="Q743" s="5" t="str">
        <f>IFERROR(__xludf.DUMMYFUNCTION("""COMPUTED_VALUE"""),"")</f>
        <v/>
      </c>
      <c r="R743" s="5" t="str">
        <f>IFERROR(__xludf.DUMMYFUNCTION("""COMPUTED_VALUE"""),"")</f>
        <v/>
      </c>
      <c r="S743" s="5" t="str">
        <f>IFERROR(__xludf.DUMMYFUNCTION("""COMPUTED_VALUE"""),"")</f>
        <v/>
      </c>
      <c r="T743" s="5" t="str">
        <f>IFERROR(__xludf.DUMMYFUNCTION("""COMPUTED_VALUE"""),"")</f>
        <v/>
      </c>
      <c r="U743" s="5" t="str">
        <f>IFERROR(__xludf.DUMMYFUNCTION("""COMPUTED_VALUE"""),"")</f>
        <v/>
      </c>
      <c r="V743" s="5" t="str">
        <f>IFERROR(__xludf.DUMMYFUNCTION("""COMPUTED_VALUE"""),"")</f>
        <v/>
      </c>
      <c r="W743" s="5" t="str">
        <f>IFERROR(__xludf.DUMMYFUNCTION("""COMPUTED_VALUE"""),"")</f>
        <v/>
      </c>
      <c r="X743" s="5" t="str">
        <f>IFERROR(__xludf.DUMMYFUNCTION("""COMPUTED_VALUE"""),"")</f>
        <v/>
      </c>
      <c r="Y743" s="5"/>
      <c r="Z743" s="5"/>
    </row>
    <row r="744">
      <c r="A744" s="5" t="str">
        <f>IFERROR(__xludf.DUMMYFUNCTION("""COMPUTED_VALUE"""),"Kruna 4x3")</f>
        <v>Kruna 4x3</v>
      </c>
      <c r="B744" s="5" t="str">
        <f>IFERROR(__xludf.DUMMYFUNCTION("""COMPUTED_VALUE"""),"")</f>
        <v/>
      </c>
      <c r="C744" s="5" t="str">
        <f>IFERROR(__xludf.DUMMYFUNCTION("""COMPUTED_VALUE"""),"")</f>
        <v/>
      </c>
      <c r="D744" s="5" t="str">
        <f>IFERROR(__xludf.DUMMYFUNCTION("""COMPUTED_VALUE"""),"")</f>
        <v/>
      </c>
      <c r="E744" s="5" t="str">
        <f>IFERROR(__xludf.DUMMYFUNCTION("""COMPUTED_VALUE"""),"")</f>
        <v/>
      </c>
      <c r="F744" s="5" t="str">
        <f>IFERROR(__xludf.DUMMYFUNCTION("""COMPUTED_VALUE"""),"")</f>
        <v/>
      </c>
      <c r="G744" s="5" t="str">
        <f>IFERROR(__xludf.DUMMYFUNCTION("""COMPUTED_VALUE"""),"")</f>
        <v/>
      </c>
      <c r="H744" s="5" t="str">
        <f>IFERROR(__xludf.DUMMYFUNCTION("""COMPUTED_VALUE"""),"")</f>
        <v/>
      </c>
      <c r="I744" s="5" t="str">
        <f>IFERROR(__xludf.DUMMYFUNCTION("""COMPUTED_VALUE"""),"")</f>
        <v/>
      </c>
      <c r="J744" s="5" t="str">
        <f>IFERROR(__xludf.DUMMYFUNCTION("""COMPUTED_VALUE"""),"")</f>
        <v/>
      </c>
      <c r="K744" s="5" t="str">
        <f>IFERROR(__xludf.DUMMYFUNCTION("""COMPUTED_VALUE"""),"")</f>
        <v/>
      </c>
      <c r="L744" s="5" t="str">
        <f>IFERROR(__xludf.DUMMYFUNCTION("""COMPUTED_VALUE"""),"")</f>
        <v/>
      </c>
      <c r="M744" s="5" t="str">
        <f>IFERROR(__xludf.DUMMYFUNCTION("""COMPUTED_VALUE"""),"")</f>
        <v/>
      </c>
      <c r="N744" s="5" t="str">
        <f>IFERROR(__xludf.DUMMYFUNCTION("""COMPUTED_VALUE"""),"")</f>
        <v/>
      </c>
      <c r="O744" s="5" t="str">
        <f>IFERROR(__xludf.DUMMYFUNCTION("""COMPUTED_VALUE"""),"")</f>
        <v/>
      </c>
      <c r="P744" s="5" t="str">
        <f>IFERROR(__xludf.DUMMYFUNCTION("""COMPUTED_VALUE"""),"")</f>
        <v/>
      </c>
      <c r="Q744" s="5" t="str">
        <f>IFERROR(__xludf.DUMMYFUNCTION("""COMPUTED_VALUE"""),"")</f>
        <v/>
      </c>
      <c r="R744" s="5" t="str">
        <f>IFERROR(__xludf.DUMMYFUNCTION("""COMPUTED_VALUE"""),"")</f>
        <v/>
      </c>
      <c r="S744" s="5" t="str">
        <f>IFERROR(__xludf.DUMMYFUNCTION("""COMPUTED_VALUE"""),"")</f>
        <v/>
      </c>
      <c r="T744" s="5" t="str">
        <f>IFERROR(__xludf.DUMMYFUNCTION("""COMPUTED_VALUE"""),"")</f>
        <v/>
      </c>
      <c r="U744" s="5" t="str">
        <f>IFERROR(__xludf.DUMMYFUNCTION("""COMPUTED_VALUE"""),"")</f>
        <v/>
      </c>
      <c r="V744" s="5" t="str">
        <f>IFERROR(__xludf.DUMMYFUNCTION("""COMPUTED_VALUE"""),"")</f>
        <v/>
      </c>
      <c r="W744" s="5" t="str">
        <f>IFERROR(__xludf.DUMMYFUNCTION("""COMPUTED_VALUE"""),"")</f>
        <v/>
      </c>
      <c r="X744" s="5" t="str">
        <f>IFERROR(__xludf.DUMMYFUNCTION("""COMPUTED_VALUE"""),"")</f>
        <v/>
      </c>
      <c r="Y744" s="5"/>
      <c r="Z744" s="5"/>
    </row>
    <row r="745">
      <c r="A745" s="5" t="str">
        <f>IFERROR(__xludf.DUMMYFUNCTION("""COMPUTED_VALUE"""),"Book Of Lob")</f>
        <v>Book Of Lob</v>
      </c>
      <c r="B745" s="5" t="str">
        <f>IFERROR(__xludf.DUMMYFUNCTION("""COMPUTED_VALUE"""),"")</f>
        <v/>
      </c>
      <c r="C745" s="5" t="str">
        <f>IFERROR(__xludf.DUMMYFUNCTION("""COMPUTED_VALUE"""),"")</f>
        <v/>
      </c>
      <c r="D745" s="5" t="str">
        <f>IFERROR(__xludf.DUMMYFUNCTION("""COMPUTED_VALUE"""),"")</f>
        <v/>
      </c>
      <c r="E745" s="5" t="str">
        <f>IFERROR(__xludf.DUMMYFUNCTION("""COMPUTED_VALUE"""),"")</f>
        <v/>
      </c>
      <c r="F745" s="5" t="str">
        <f>IFERROR(__xludf.DUMMYFUNCTION("""COMPUTED_VALUE"""),"")</f>
        <v/>
      </c>
      <c r="G745" s="5" t="str">
        <f>IFERROR(__xludf.DUMMYFUNCTION("""COMPUTED_VALUE"""),"")</f>
        <v/>
      </c>
      <c r="H745" s="5" t="str">
        <f>IFERROR(__xludf.DUMMYFUNCTION("""COMPUTED_VALUE"""),"")</f>
        <v/>
      </c>
      <c r="I745" s="5" t="str">
        <f>IFERROR(__xludf.DUMMYFUNCTION("""COMPUTED_VALUE"""),"")</f>
        <v/>
      </c>
      <c r="J745" s="5" t="str">
        <f>IFERROR(__xludf.DUMMYFUNCTION("""COMPUTED_VALUE"""),"")</f>
        <v/>
      </c>
      <c r="K745" s="5" t="str">
        <f>IFERROR(__xludf.DUMMYFUNCTION("""COMPUTED_VALUE"""),"")</f>
        <v/>
      </c>
      <c r="L745" s="5" t="str">
        <f>IFERROR(__xludf.DUMMYFUNCTION("""COMPUTED_VALUE"""),"")</f>
        <v/>
      </c>
      <c r="M745" s="5" t="str">
        <f>IFERROR(__xludf.DUMMYFUNCTION("""COMPUTED_VALUE"""),"")</f>
        <v/>
      </c>
      <c r="N745" s="5" t="str">
        <f>IFERROR(__xludf.DUMMYFUNCTION("""COMPUTED_VALUE"""),"")</f>
        <v/>
      </c>
      <c r="O745" s="5" t="str">
        <f>IFERROR(__xludf.DUMMYFUNCTION("""COMPUTED_VALUE"""),"")</f>
        <v/>
      </c>
      <c r="P745" s="5" t="str">
        <f>IFERROR(__xludf.DUMMYFUNCTION("""COMPUTED_VALUE"""),"")</f>
        <v/>
      </c>
      <c r="Q745" s="5" t="str">
        <f>IFERROR(__xludf.DUMMYFUNCTION("""COMPUTED_VALUE"""),"")</f>
        <v/>
      </c>
      <c r="R745" s="5" t="str">
        <f>IFERROR(__xludf.DUMMYFUNCTION("""COMPUTED_VALUE"""),"")</f>
        <v/>
      </c>
      <c r="S745" s="5" t="str">
        <f>IFERROR(__xludf.DUMMYFUNCTION("""COMPUTED_VALUE"""),"")</f>
        <v/>
      </c>
      <c r="T745" s="5" t="str">
        <f>IFERROR(__xludf.DUMMYFUNCTION("""COMPUTED_VALUE"""),"")</f>
        <v/>
      </c>
      <c r="U745" s="5" t="str">
        <f>IFERROR(__xludf.DUMMYFUNCTION("""COMPUTED_VALUE"""),"")</f>
        <v/>
      </c>
      <c r="V745" s="5" t="str">
        <f>IFERROR(__xludf.DUMMYFUNCTION("""COMPUTED_VALUE"""),"")</f>
        <v/>
      </c>
      <c r="W745" s="5" t="str">
        <f>IFERROR(__xludf.DUMMYFUNCTION("""COMPUTED_VALUE"""),"")</f>
        <v/>
      </c>
      <c r="X745" s="5" t="str">
        <f>IFERROR(__xludf.DUMMYFUNCTION("""COMPUTED_VALUE"""),"")</f>
        <v/>
      </c>
      <c r="Y745" s="5"/>
      <c r="Z745" s="5"/>
    </row>
    <row r="746">
      <c r="A746" s="5" t="str">
        <f>IFERROR(__xludf.DUMMYFUNCTION("""COMPUTED_VALUE"""),"Ivan's Bonus Crown")</f>
        <v>Ivan's Bonus Crown</v>
      </c>
      <c r="B746" s="5" t="str">
        <f>IFERROR(__xludf.DUMMYFUNCTION("""COMPUTED_VALUE"""),"")</f>
        <v/>
      </c>
      <c r="C746" s="5" t="str">
        <f>IFERROR(__xludf.DUMMYFUNCTION("""COMPUTED_VALUE"""),"")</f>
        <v/>
      </c>
      <c r="D746" s="5" t="str">
        <f>IFERROR(__xludf.DUMMYFUNCTION("""COMPUTED_VALUE"""),"")</f>
        <v/>
      </c>
      <c r="E746" s="5" t="str">
        <f>IFERROR(__xludf.DUMMYFUNCTION("""COMPUTED_VALUE"""),"")</f>
        <v/>
      </c>
      <c r="F746" s="5" t="str">
        <f>IFERROR(__xludf.DUMMYFUNCTION("""COMPUTED_VALUE"""),"")</f>
        <v/>
      </c>
      <c r="G746" s="5" t="str">
        <f>IFERROR(__xludf.DUMMYFUNCTION("""COMPUTED_VALUE"""),"")</f>
        <v/>
      </c>
      <c r="H746" s="5" t="str">
        <f>IFERROR(__xludf.DUMMYFUNCTION("""COMPUTED_VALUE"""),"")</f>
        <v/>
      </c>
      <c r="I746" s="5" t="str">
        <f>IFERROR(__xludf.DUMMYFUNCTION("""COMPUTED_VALUE"""),"")</f>
        <v/>
      </c>
      <c r="J746" s="5" t="str">
        <f>IFERROR(__xludf.DUMMYFUNCTION("""COMPUTED_VALUE"""),"")</f>
        <v/>
      </c>
      <c r="K746" s="5" t="str">
        <f>IFERROR(__xludf.DUMMYFUNCTION("""COMPUTED_VALUE"""),"")</f>
        <v/>
      </c>
      <c r="L746" s="5" t="str">
        <f>IFERROR(__xludf.DUMMYFUNCTION("""COMPUTED_VALUE"""),"")</f>
        <v/>
      </c>
      <c r="M746" s="5" t="str">
        <f>IFERROR(__xludf.DUMMYFUNCTION("""COMPUTED_VALUE"""),"")</f>
        <v/>
      </c>
      <c r="N746" s="5" t="str">
        <f>IFERROR(__xludf.DUMMYFUNCTION("""COMPUTED_VALUE"""),"")</f>
        <v/>
      </c>
      <c r="O746" s="5" t="str">
        <f>IFERROR(__xludf.DUMMYFUNCTION("""COMPUTED_VALUE"""),"")</f>
        <v/>
      </c>
      <c r="P746" s="5" t="str">
        <f>IFERROR(__xludf.DUMMYFUNCTION("""COMPUTED_VALUE"""),"")</f>
        <v/>
      </c>
      <c r="Q746" s="5" t="str">
        <f>IFERROR(__xludf.DUMMYFUNCTION("""COMPUTED_VALUE"""),"")</f>
        <v/>
      </c>
      <c r="R746" s="5" t="str">
        <f>IFERROR(__xludf.DUMMYFUNCTION("""COMPUTED_VALUE"""),"")</f>
        <v/>
      </c>
      <c r="S746" s="5" t="str">
        <f>IFERROR(__xludf.DUMMYFUNCTION("""COMPUTED_VALUE"""),"")</f>
        <v/>
      </c>
      <c r="T746" s="5" t="str">
        <f>IFERROR(__xludf.DUMMYFUNCTION("""COMPUTED_VALUE"""),"")</f>
        <v/>
      </c>
      <c r="U746" s="5" t="str">
        <f>IFERROR(__xludf.DUMMYFUNCTION("""COMPUTED_VALUE"""),"")</f>
        <v/>
      </c>
      <c r="V746" s="5" t="str">
        <f>IFERROR(__xludf.DUMMYFUNCTION("""COMPUTED_VALUE"""),"")</f>
        <v/>
      </c>
      <c r="W746" s="5" t="str">
        <f>IFERROR(__xludf.DUMMYFUNCTION("""COMPUTED_VALUE"""),"")</f>
        <v/>
      </c>
      <c r="X746" s="5" t="str">
        <f>IFERROR(__xludf.DUMMYFUNCTION("""COMPUTED_VALUE"""),"")</f>
        <v/>
      </c>
      <c r="Y746" s="5"/>
      <c r="Z746" s="5"/>
    </row>
    <row r="747">
      <c r="A747" s="5" t="str">
        <f>IFERROR(__xludf.DUMMYFUNCTION("""COMPUTED_VALUE"""),"Wild Hot 40 Triunfo")</f>
        <v>Wild Hot 40 Triunfo</v>
      </c>
      <c r="B747" s="5" t="str">
        <f>IFERROR(__xludf.DUMMYFUNCTION("""COMPUTED_VALUE"""),"")</f>
        <v/>
      </c>
      <c r="C747" s="5" t="str">
        <f>IFERROR(__xludf.DUMMYFUNCTION("""COMPUTED_VALUE"""),"")</f>
        <v/>
      </c>
      <c r="D747" s="5" t="str">
        <f>IFERROR(__xludf.DUMMYFUNCTION("""COMPUTED_VALUE"""),"")</f>
        <v/>
      </c>
      <c r="E747" s="5" t="str">
        <f>IFERROR(__xludf.DUMMYFUNCTION("""COMPUTED_VALUE"""),"")</f>
        <v/>
      </c>
      <c r="F747" s="5" t="str">
        <f>IFERROR(__xludf.DUMMYFUNCTION("""COMPUTED_VALUE"""),"")</f>
        <v/>
      </c>
      <c r="G747" s="5" t="str">
        <f>IFERROR(__xludf.DUMMYFUNCTION("""COMPUTED_VALUE"""),"")</f>
        <v/>
      </c>
      <c r="H747" s="5" t="str">
        <f>IFERROR(__xludf.DUMMYFUNCTION("""COMPUTED_VALUE"""),"")</f>
        <v/>
      </c>
      <c r="I747" s="5" t="str">
        <f>IFERROR(__xludf.DUMMYFUNCTION("""COMPUTED_VALUE"""),"")</f>
        <v/>
      </c>
      <c r="J747" s="5" t="str">
        <f>IFERROR(__xludf.DUMMYFUNCTION("""COMPUTED_VALUE"""),"")</f>
        <v/>
      </c>
      <c r="K747" s="5" t="str">
        <f>IFERROR(__xludf.DUMMYFUNCTION("""COMPUTED_VALUE"""),"")</f>
        <v/>
      </c>
      <c r="L747" s="5" t="str">
        <f>IFERROR(__xludf.DUMMYFUNCTION("""COMPUTED_VALUE"""),"")</f>
        <v/>
      </c>
      <c r="M747" s="5" t="str">
        <f>IFERROR(__xludf.DUMMYFUNCTION("""COMPUTED_VALUE"""),"")</f>
        <v/>
      </c>
      <c r="N747" s="5" t="str">
        <f>IFERROR(__xludf.DUMMYFUNCTION("""COMPUTED_VALUE"""),"")</f>
        <v/>
      </c>
      <c r="O747" s="5" t="str">
        <f>IFERROR(__xludf.DUMMYFUNCTION("""COMPUTED_VALUE"""),"")</f>
        <v/>
      </c>
      <c r="P747" s="5" t="str">
        <f>IFERROR(__xludf.DUMMYFUNCTION("""COMPUTED_VALUE"""),"")</f>
        <v/>
      </c>
      <c r="Q747" s="5" t="str">
        <f>IFERROR(__xludf.DUMMYFUNCTION("""COMPUTED_VALUE"""),"")</f>
        <v/>
      </c>
      <c r="R747" s="5" t="str">
        <f>IFERROR(__xludf.DUMMYFUNCTION("""COMPUTED_VALUE"""),"")</f>
        <v/>
      </c>
      <c r="S747" s="5" t="str">
        <f>IFERROR(__xludf.DUMMYFUNCTION("""COMPUTED_VALUE"""),"")</f>
        <v/>
      </c>
      <c r="T747" s="5" t="str">
        <f>IFERROR(__xludf.DUMMYFUNCTION("""COMPUTED_VALUE"""),"")</f>
        <v/>
      </c>
      <c r="U747" s="5" t="str">
        <f>IFERROR(__xludf.DUMMYFUNCTION("""COMPUTED_VALUE"""),"")</f>
        <v/>
      </c>
      <c r="V747" s="5" t="str">
        <f>IFERROR(__xludf.DUMMYFUNCTION("""COMPUTED_VALUE"""),"")</f>
        <v/>
      </c>
      <c r="W747" s="5" t="str">
        <f>IFERROR(__xludf.DUMMYFUNCTION("""COMPUTED_VALUE"""),"")</f>
        <v/>
      </c>
      <c r="X747" s="5" t="str">
        <f>IFERROR(__xludf.DUMMYFUNCTION("""COMPUTED_VALUE"""),"")</f>
        <v/>
      </c>
      <c r="Y747" s="5"/>
      <c r="Z747" s="5"/>
    </row>
    <row r="748">
      <c r="A748" s="5" t="str">
        <f>IFERROR(__xludf.DUMMYFUNCTION("""COMPUTED_VALUE"""),"Wild Hot Gorilla")</f>
        <v>Wild Hot Gorilla</v>
      </c>
      <c r="B748" s="5" t="str">
        <f>IFERROR(__xludf.DUMMYFUNCTION("""COMPUTED_VALUE"""),"")</f>
        <v/>
      </c>
      <c r="C748" s="5" t="str">
        <f>IFERROR(__xludf.DUMMYFUNCTION("""COMPUTED_VALUE"""),"")</f>
        <v/>
      </c>
      <c r="D748" s="5" t="str">
        <f>IFERROR(__xludf.DUMMYFUNCTION("""COMPUTED_VALUE"""),"")</f>
        <v/>
      </c>
      <c r="E748" s="5" t="str">
        <f>IFERROR(__xludf.DUMMYFUNCTION("""COMPUTED_VALUE"""),"")</f>
        <v/>
      </c>
      <c r="F748" s="5" t="str">
        <f>IFERROR(__xludf.DUMMYFUNCTION("""COMPUTED_VALUE"""),"")</f>
        <v/>
      </c>
      <c r="G748" s="5" t="str">
        <f>IFERROR(__xludf.DUMMYFUNCTION("""COMPUTED_VALUE"""),"")</f>
        <v/>
      </c>
      <c r="H748" s="5" t="str">
        <f>IFERROR(__xludf.DUMMYFUNCTION("""COMPUTED_VALUE"""),"")</f>
        <v/>
      </c>
      <c r="I748" s="5" t="str">
        <f>IFERROR(__xludf.DUMMYFUNCTION("""COMPUTED_VALUE"""),"")</f>
        <v/>
      </c>
      <c r="J748" s="5" t="str">
        <f>IFERROR(__xludf.DUMMYFUNCTION("""COMPUTED_VALUE"""),"")</f>
        <v/>
      </c>
      <c r="K748" s="5" t="str">
        <f>IFERROR(__xludf.DUMMYFUNCTION("""COMPUTED_VALUE"""),"")</f>
        <v/>
      </c>
      <c r="L748" s="5" t="str">
        <f>IFERROR(__xludf.DUMMYFUNCTION("""COMPUTED_VALUE"""),"")</f>
        <v/>
      </c>
      <c r="M748" s="5" t="str">
        <f>IFERROR(__xludf.DUMMYFUNCTION("""COMPUTED_VALUE"""),"")</f>
        <v/>
      </c>
      <c r="N748" s="5" t="str">
        <f>IFERROR(__xludf.DUMMYFUNCTION("""COMPUTED_VALUE"""),"")</f>
        <v/>
      </c>
      <c r="O748" s="5" t="str">
        <f>IFERROR(__xludf.DUMMYFUNCTION("""COMPUTED_VALUE"""),"")</f>
        <v/>
      </c>
      <c r="P748" s="5" t="str">
        <f>IFERROR(__xludf.DUMMYFUNCTION("""COMPUTED_VALUE"""),"")</f>
        <v/>
      </c>
      <c r="Q748" s="5" t="str">
        <f>IFERROR(__xludf.DUMMYFUNCTION("""COMPUTED_VALUE"""),"")</f>
        <v/>
      </c>
      <c r="R748" s="5" t="str">
        <f>IFERROR(__xludf.DUMMYFUNCTION("""COMPUTED_VALUE"""),"")</f>
        <v/>
      </c>
      <c r="S748" s="5" t="str">
        <f>IFERROR(__xludf.DUMMYFUNCTION("""COMPUTED_VALUE"""),"")</f>
        <v/>
      </c>
      <c r="T748" s="5" t="str">
        <f>IFERROR(__xludf.DUMMYFUNCTION("""COMPUTED_VALUE"""),"")</f>
        <v/>
      </c>
      <c r="U748" s="5" t="str">
        <f>IFERROR(__xludf.DUMMYFUNCTION("""COMPUTED_VALUE"""),"")</f>
        <v/>
      </c>
      <c r="V748" s="5" t="str">
        <f>IFERROR(__xludf.DUMMYFUNCTION("""COMPUTED_VALUE"""),"")</f>
        <v/>
      </c>
      <c r="W748" s="5" t="str">
        <f>IFERROR(__xludf.DUMMYFUNCTION("""COMPUTED_VALUE"""),"")</f>
        <v/>
      </c>
      <c r="X748" s="5" t="str">
        <f>IFERROR(__xludf.DUMMYFUNCTION("""COMPUTED_VALUE"""),"")</f>
        <v/>
      </c>
      <c r="Y748" s="5"/>
      <c r="Z748" s="5"/>
    </row>
    <row r="749">
      <c r="A749" s="5" t="str">
        <f>IFERROR(__xludf.DUMMYFUNCTION("""COMPUTED_VALUE"""),"Betking Wild 27")</f>
        <v>Betking Wild 27</v>
      </c>
      <c r="B749" s="5" t="str">
        <f>IFERROR(__xludf.DUMMYFUNCTION("""COMPUTED_VALUE"""),"")</f>
        <v/>
      </c>
      <c r="C749" s="5" t="str">
        <f>IFERROR(__xludf.DUMMYFUNCTION("""COMPUTED_VALUE"""),"")</f>
        <v/>
      </c>
      <c r="D749" s="5" t="str">
        <f>IFERROR(__xludf.DUMMYFUNCTION("""COMPUTED_VALUE"""),"")</f>
        <v/>
      </c>
      <c r="E749" s="5" t="str">
        <f>IFERROR(__xludf.DUMMYFUNCTION("""COMPUTED_VALUE"""),"")</f>
        <v/>
      </c>
      <c r="F749" s="5" t="str">
        <f>IFERROR(__xludf.DUMMYFUNCTION("""COMPUTED_VALUE"""),"")</f>
        <v/>
      </c>
      <c r="G749" s="5" t="str">
        <f>IFERROR(__xludf.DUMMYFUNCTION("""COMPUTED_VALUE"""),"")</f>
        <v/>
      </c>
      <c r="H749" s="5" t="str">
        <f>IFERROR(__xludf.DUMMYFUNCTION("""COMPUTED_VALUE"""),"")</f>
        <v/>
      </c>
      <c r="I749" s="5" t="str">
        <f>IFERROR(__xludf.DUMMYFUNCTION("""COMPUTED_VALUE"""),"")</f>
        <v/>
      </c>
      <c r="J749" s="5" t="str">
        <f>IFERROR(__xludf.DUMMYFUNCTION("""COMPUTED_VALUE"""),"")</f>
        <v/>
      </c>
      <c r="K749" s="5" t="str">
        <f>IFERROR(__xludf.DUMMYFUNCTION("""COMPUTED_VALUE"""),"")</f>
        <v/>
      </c>
      <c r="L749" s="5" t="str">
        <f>IFERROR(__xludf.DUMMYFUNCTION("""COMPUTED_VALUE"""),"")</f>
        <v/>
      </c>
      <c r="M749" s="5" t="str">
        <f>IFERROR(__xludf.DUMMYFUNCTION("""COMPUTED_VALUE"""),"")</f>
        <v/>
      </c>
      <c r="N749" s="5" t="str">
        <f>IFERROR(__xludf.DUMMYFUNCTION("""COMPUTED_VALUE"""),"")</f>
        <v/>
      </c>
      <c r="O749" s="5" t="str">
        <f>IFERROR(__xludf.DUMMYFUNCTION("""COMPUTED_VALUE"""),"")</f>
        <v/>
      </c>
      <c r="P749" s="5" t="str">
        <f>IFERROR(__xludf.DUMMYFUNCTION("""COMPUTED_VALUE"""),"")</f>
        <v/>
      </c>
      <c r="Q749" s="5" t="str">
        <f>IFERROR(__xludf.DUMMYFUNCTION("""COMPUTED_VALUE"""),"")</f>
        <v/>
      </c>
      <c r="R749" s="5" t="str">
        <f>IFERROR(__xludf.DUMMYFUNCTION("""COMPUTED_VALUE"""),"")</f>
        <v/>
      </c>
      <c r="S749" s="5" t="str">
        <f>IFERROR(__xludf.DUMMYFUNCTION("""COMPUTED_VALUE"""),"")</f>
        <v/>
      </c>
      <c r="T749" s="5" t="str">
        <f>IFERROR(__xludf.DUMMYFUNCTION("""COMPUTED_VALUE"""),"")</f>
        <v/>
      </c>
      <c r="U749" s="5" t="str">
        <f>IFERROR(__xludf.DUMMYFUNCTION("""COMPUTED_VALUE"""),"")</f>
        <v/>
      </c>
      <c r="V749" s="5" t="str">
        <f>IFERROR(__xludf.DUMMYFUNCTION("""COMPUTED_VALUE"""),"")</f>
        <v/>
      </c>
      <c r="W749" s="5" t="str">
        <f>IFERROR(__xludf.DUMMYFUNCTION("""COMPUTED_VALUE"""),"")</f>
        <v/>
      </c>
      <c r="X749" s="5" t="str">
        <f>IFERROR(__xludf.DUMMYFUNCTION("""COMPUTED_VALUE"""),"")</f>
        <v/>
      </c>
      <c r="Y749" s="5"/>
      <c r="Z749" s="5"/>
    </row>
    <row r="750">
      <c r="A750" s="5" t="str">
        <f>IFERROR(__xludf.DUMMYFUNCTION("""COMPUTED_VALUE"""),"Lucky Crown 10")</f>
        <v>Lucky Crown 10</v>
      </c>
      <c r="B750" s="5" t="str">
        <f>IFERROR(__xludf.DUMMYFUNCTION("""COMPUTED_VALUE"""),"")</f>
        <v/>
      </c>
      <c r="C750" s="5" t="str">
        <f>IFERROR(__xludf.DUMMYFUNCTION("""COMPUTED_VALUE"""),"")</f>
        <v/>
      </c>
      <c r="D750" s="5" t="str">
        <f>IFERROR(__xludf.DUMMYFUNCTION("""COMPUTED_VALUE"""),"")</f>
        <v/>
      </c>
      <c r="E750" s="5" t="str">
        <f>IFERROR(__xludf.DUMMYFUNCTION("""COMPUTED_VALUE"""),"")</f>
        <v/>
      </c>
      <c r="F750" s="5" t="str">
        <f>IFERROR(__xludf.DUMMYFUNCTION("""COMPUTED_VALUE"""),"")</f>
        <v/>
      </c>
      <c r="G750" s="5" t="str">
        <f>IFERROR(__xludf.DUMMYFUNCTION("""COMPUTED_VALUE"""),"")</f>
        <v/>
      </c>
      <c r="H750" s="5" t="str">
        <f>IFERROR(__xludf.DUMMYFUNCTION("""COMPUTED_VALUE"""),"")</f>
        <v/>
      </c>
      <c r="I750" s="5" t="str">
        <f>IFERROR(__xludf.DUMMYFUNCTION("""COMPUTED_VALUE"""),"")</f>
        <v/>
      </c>
      <c r="J750" s="5" t="str">
        <f>IFERROR(__xludf.DUMMYFUNCTION("""COMPUTED_VALUE"""),"")</f>
        <v/>
      </c>
      <c r="K750" s="5" t="str">
        <f>IFERROR(__xludf.DUMMYFUNCTION("""COMPUTED_VALUE"""),"")</f>
        <v/>
      </c>
      <c r="L750" s="5" t="str">
        <f>IFERROR(__xludf.DUMMYFUNCTION("""COMPUTED_VALUE"""),"")</f>
        <v/>
      </c>
      <c r="M750" s="5" t="str">
        <f>IFERROR(__xludf.DUMMYFUNCTION("""COMPUTED_VALUE"""),"")</f>
        <v/>
      </c>
      <c r="N750" s="5" t="str">
        <f>IFERROR(__xludf.DUMMYFUNCTION("""COMPUTED_VALUE"""),"")</f>
        <v/>
      </c>
      <c r="O750" s="5" t="str">
        <f>IFERROR(__xludf.DUMMYFUNCTION("""COMPUTED_VALUE"""),"")</f>
        <v/>
      </c>
      <c r="P750" s="5" t="str">
        <f>IFERROR(__xludf.DUMMYFUNCTION("""COMPUTED_VALUE"""),"")</f>
        <v/>
      </c>
      <c r="Q750" s="5" t="str">
        <f>IFERROR(__xludf.DUMMYFUNCTION("""COMPUTED_VALUE"""),"")</f>
        <v/>
      </c>
      <c r="R750" s="5" t="str">
        <f>IFERROR(__xludf.DUMMYFUNCTION("""COMPUTED_VALUE"""),"")</f>
        <v/>
      </c>
      <c r="S750" s="5" t="str">
        <f>IFERROR(__xludf.DUMMYFUNCTION("""COMPUTED_VALUE"""),"")</f>
        <v/>
      </c>
      <c r="T750" s="5" t="str">
        <f>IFERROR(__xludf.DUMMYFUNCTION("""COMPUTED_VALUE"""),"")</f>
        <v/>
      </c>
      <c r="U750" s="5" t="str">
        <f>IFERROR(__xludf.DUMMYFUNCTION("""COMPUTED_VALUE"""),"")</f>
        <v/>
      </c>
      <c r="V750" s="5" t="str">
        <f>IFERROR(__xludf.DUMMYFUNCTION("""COMPUTED_VALUE"""),"")</f>
        <v/>
      </c>
      <c r="W750" s="5" t="str">
        <f>IFERROR(__xludf.DUMMYFUNCTION("""COMPUTED_VALUE"""),"")</f>
        <v/>
      </c>
      <c r="X750" s="5" t="str">
        <f>IFERROR(__xludf.DUMMYFUNCTION("""COMPUTED_VALUE"""),"")</f>
        <v/>
      </c>
      <c r="Y750" s="5"/>
      <c r="Z750" s="5"/>
    </row>
    <row r="751">
      <c r="A751" s="5" t="str">
        <f>IFERROR(__xludf.DUMMYFUNCTION("""COMPUTED_VALUE"""),"Hot Clock Extreme")</f>
        <v>Hot Clock Extreme</v>
      </c>
      <c r="B751" s="5" t="str">
        <f>IFERROR(__xludf.DUMMYFUNCTION("""COMPUTED_VALUE"""),"")</f>
        <v/>
      </c>
      <c r="C751" s="5" t="str">
        <f>IFERROR(__xludf.DUMMYFUNCTION("""COMPUTED_VALUE"""),"")</f>
        <v/>
      </c>
      <c r="D751" s="5" t="str">
        <f>IFERROR(__xludf.DUMMYFUNCTION("""COMPUTED_VALUE"""),"")</f>
        <v/>
      </c>
      <c r="E751" s="5" t="str">
        <f>IFERROR(__xludf.DUMMYFUNCTION("""COMPUTED_VALUE"""),"")</f>
        <v/>
      </c>
      <c r="F751" s="5" t="str">
        <f>IFERROR(__xludf.DUMMYFUNCTION("""COMPUTED_VALUE"""),"")</f>
        <v/>
      </c>
      <c r="G751" s="5" t="str">
        <f>IFERROR(__xludf.DUMMYFUNCTION("""COMPUTED_VALUE"""),"")</f>
        <v/>
      </c>
      <c r="H751" s="5" t="str">
        <f>IFERROR(__xludf.DUMMYFUNCTION("""COMPUTED_VALUE"""),"")</f>
        <v/>
      </c>
      <c r="I751" s="5" t="str">
        <f>IFERROR(__xludf.DUMMYFUNCTION("""COMPUTED_VALUE"""),"")</f>
        <v/>
      </c>
      <c r="J751" s="5" t="str">
        <f>IFERROR(__xludf.DUMMYFUNCTION("""COMPUTED_VALUE"""),"")</f>
        <v/>
      </c>
      <c r="K751" s="5" t="str">
        <f>IFERROR(__xludf.DUMMYFUNCTION("""COMPUTED_VALUE"""),"")</f>
        <v/>
      </c>
      <c r="L751" s="5" t="str">
        <f>IFERROR(__xludf.DUMMYFUNCTION("""COMPUTED_VALUE"""),"")</f>
        <v/>
      </c>
      <c r="M751" s="5" t="str">
        <f>IFERROR(__xludf.DUMMYFUNCTION("""COMPUTED_VALUE"""),"")</f>
        <v/>
      </c>
      <c r="N751" s="5" t="str">
        <f>IFERROR(__xludf.DUMMYFUNCTION("""COMPUTED_VALUE"""),"")</f>
        <v/>
      </c>
      <c r="O751" s="5" t="str">
        <f>IFERROR(__xludf.DUMMYFUNCTION("""COMPUTED_VALUE"""),"")</f>
        <v/>
      </c>
      <c r="P751" s="5" t="str">
        <f>IFERROR(__xludf.DUMMYFUNCTION("""COMPUTED_VALUE"""),"")</f>
        <v/>
      </c>
      <c r="Q751" s="5" t="str">
        <f>IFERROR(__xludf.DUMMYFUNCTION("""COMPUTED_VALUE"""),"")</f>
        <v/>
      </c>
      <c r="R751" s="5" t="str">
        <f>IFERROR(__xludf.DUMMYFUNCTION("""COMPUTED_VALUE"""),"")</f>
        <v/>
      </c>
      <c r="S751" s="5" t="str">
        <f>IFERROR(__xludf.DUMMYFUNCTION("""COMPUTED_VALUE"""),"")</f>
        <v/>
      </c>
      <c r="T751" s="5" t="str">
        <f>IFERROR(__xludf.DUMMYFUNCTION("""COMPUTED_VALUE"""),"")</f>
        <v/>
      </c>
      <c r="U751" s="5" t="str">
        <f>IFERROR(__xludf.DUMMYFUNCTION("""COMPUTED_VALUE"""),"")</f>
        <v/>
      </c>
      <c r="V751" s="5" t="str">
        <f>IFERROR(__xludf.DUMMYFUNCTION("""COMPUTED_VALUE"""),"")</f>
        <v/>
      </c>
      <c r="W751" s="5" t="str">
        <f>IFERROR(__xludf.DUMMYFUNCTION("""COMPUTED_VALUE"""),"")</f>
        <v/>
      </c>
      <c r="X751" s="5" t="str">
        <f>IFERROR(__xludf.DUMMYFUNCTION("""COMPUTED_VALUE"""),"")</f>
        <v/>
      </c>
      <c r="Y751" s="5"/>
      <c r="Z751" s="5"/>
    </row>
    <row r="752">
      <c r="A752" s="5" t="str">
        <f>IFERROR(__xludf.DUMMYFUNCTION("""COMPUTED_VALUE"""),"Hot Chili Fiesta")</f>
        <v>Hot Chili Fiesta</v>
      </c>
      <c r="B752" s="5" t="str">
        <f>IFERROR(__xludf.DUMMYFUNCTION("""COMPUTED_VALUE"""),"")</f>
        <v/>
      </c>
      <c r="C752" s="5" t="str">
        <f>IFERROR(__xludf.DUMMYFUNCTION("""COMPUTED_VALUE"""),"")</f>
        <v/>
      </c>
      <c r="D752" s="5" t="str">
        <f>IFERROR(__xludf.DUMMYFUNCTION("""COMPUTED_VALUE"""),"")</f>
        <v/>
      </c>
      <c r="E752" s="5" t="str">
        <f>IFERROR(__xludf.DUMMYFUNCTION("""COMPUTED_VALUE"""),"")</f>
        <v/>
      </c>
      <c r="F752" s="5" t="str">
        <f>IFERROR(__xludf.DUMMYFUNCTION("""COMPUTED_VALUE"""),"")</f>
        <v/>
      </c>
      <c r="G752" s="5" t="str">
        <f>IFERROR(__xludf.DUMMYFUNCTION("""COMPUTED_VALUE"""),"")</f>
        <v/>
      </c>
      <c r="H752" s="5" t="str">
        <f>IFERROR(__xludf.DUMMYFUNCTION("""COMPUTED_VALUE"""),"")</f>
        <v/>
      </c>
      <c r="I752" s="5" t="str">
        <f>IFERROR(__xludf.DUMMYFUNCTION("""COMPUTED_VALUE"""),"")</f>
        <v/>
      </c>
      <c r="J752" s="5" t="str">
        <f>IFERROR(__xludf.DUMMYFUNCTION("""COMPUTED_VALUE"""),"")</f>
        <v/>
      </c>
      <c r="K752" s="5" t="str">
        <f>IFERROR(__xludf.DUMMYFUNCTION("""COMPUTED_VALUE"""),"")</f>
        <v/>
      </c>
      <c r="L752" s="5" t="str">
        <f>IFERROR(__xludf.DUMMYFUNCTION("""COMPUTED_VALUE"""),"")</f>
        <v/>
      </c>
      <c r="M752" s="5" t="str">
        <f>IFERROR(__xludf.DUMMYFUNCTION("""COMPUTED_VALUE"""),"")</f>
        <v/>
      </c>
      <c r="N752" s="5" t="str">
        <f>IFERROR(__xludf.DUMMYFUNCTION("""COMPUTED_VALUE"""),"")</f>
        <v/>
      </c>
      <c r="O752" s="5" t="str">
        <f>IFERROR(__xludf.DUMMYFUNCTION("""COMPUTED_VALUE"""),"")</f>
        <v/>
      </c>
      <c r="P752" s="5" t="str">
        <f>IFERROR(__xludf.DUMMYFUNCTION("""COMPUTED_VALUE"""),"")</f>
        <v/>
      </c>
      <c r="Q752" s="5" t="str">
        <f>IFERROR(__xludf.DUMMYFUNCTION("""COMPUTED_VALUE"""),"")</f>
        <v/>
      </c>
      <c r="R752" s="5" t="str">
        <f>IFERROR(__xludf.DUMMYFUNCTION("""COMPUTED_VALUE"""),"")</f>
        <v/>
      </c>
      <c r="S752" s="5" t="str">
        <f>IFERROR(__xludf.DUMMYFUNCTION("""COMPUTED_VALUE"""),"")</f>
        <v/>
      </c>
      <c r="T752" s="5" t="str">
        <f>IFERROR(__xludf.DUMMYFUNCTION("""COMPUTED_VALUE"""),"")</f>
        <v/>
      </c>
      <c r="U752" s="5" t="str">
        <f>IFERROR(__xludf.DUMMYFUNCTION("""COMPUTED_VALUE"""),"")</f>
        <v/>
      </c>
      <c r="V752" s="5" t="str">
        <f>IFERROR(__xludf.DUMMYFUNCTION("""COMPUTED_VALUE"""),"")</f>
        <v/>
      </c>
      <c r="W752" s="5" t="str">
        <f>IFERROR(__xludf.DUMMYFUNCTION("""COMPUTED_VALUE"""),"")</f>
        <v/>
      </c>
      <c r="X752" s="5" t="str">
        <f>IFERROR(__xludf.DUMMYFUNCTION("""COMPUTED_VALUE"""),"")</f>
        <v/>
      </c>
      <c r="Y752" s="5"/>
      <c r="Z752" s="5"/>
    </row>
    <row r="753">
      <c r="A753" s="5" t="str">
        <f>IFERROR(__xludf.DUMMYFUNCTION("""COMPUTED_VALUE"""),"Coink Bank")</f>
        <v>Coink Bank</v>
      </c>
      <c r="B753" s="5" t="str">
        <f>IFERROR(__xludf.DUMMYFUNCTION("""COMPUTED_VALUE"""),"")</f>
        <v/>
      </c>
      <c r="C753" s="5" t="str">
        <f>IFERROR(__xludf.DUMMYFUNCTION("""COMPUTED_VALUE"""),"")</f>
        <v/>
      </c>
      <c r="D753" s="5" t="str">
        <f>IFERROR(__xludf.DUMMYFUNCTION("""COMPUTED_VALUE"""),"")</f>
        <v/>
      </c>
      <c r="E753" s="5" t="str">
        <f>IFERROR(__xludf.DUMMYFUNCTION("""COMPUTED_VALUE"""),"")</f>
        <v/>
      </c>
      <c r="F753" s="5" t="str">
        <f>IFERROR(__xludf.DUMMYFUNCTION("""COMPUTED_VALUE"""),"")</f>
        <v/>
      </c>
      <c r="G753" s="5" t="str">
        <f>IFERROR(__xludf.DUMMYFUNCTION("""COMPUTED_VALUE"""),"")</f>
        <v/>
      </c>
      <c r="H753" s="5" t="str">
        <f>IFERROR(__xludf.DUMMYFUNCTION("""COMPUTED_VALUE"""),"")</f>
        <v/>
      </c>
      <c r="I753" s="5" t="str">
        <f>IFERROR(__xludf.DUMMYFUNCTION("""COMPUTED_VALUE"""),"")</f>
        <v/>
      </c>
      <c r="J753" s="5" t="str">
        <f>IFERROR(__xludf.DUMMYFUNCTION("""COMPUTED_VALUE"""),"")</f>
        <v/>
      </c>
      <c r="K753" s="5" t="str">
        <f>IFERROR(__xludf.DUMMYFUNCTION("""COMPUTED_VALUE"""),"")</f>
        <v/>
      </c>
      <c r="L753" s="5" t="str">
        <f>IFERROR(__xludf.DUMMYFUNCTION("""COMPUTED_VALUE"""),"")</f>
        <v/>
      </c>
      <c r="M753" s="5" t="str">
        <f>IFERROR(__xludf.DUMMYFUNCTION("""COMPUTED_VALUE"""),"")</f>
        <v/>
      </c>
      <c r="N753" s="5" t="str">
        <f>IFERROR(__xludf.DUMMYFUNCTION("""COMPUTED_VALUE"""),"")</f>
        <v/>
      </c>
      <c r="O753" s="5" t="str">
        <f>IFERROR(__xludf.DUMMYFUNCTION("""COMPUTED_VALUE"""),"")</f>
        <v/>
      </c>
      <c r="P753" s="5" t="str">
        <f>IFERROR(__xludf.DUMMYFUNCTION("""COMPUTED_VALUE"""),"")</f>
        <v/>
      </c>
      <c r="Q753" s="5" t="str">
        <f>IFERROR(__xludf.DUMMYFUNCTION("""COMPUTED_VALUE"""),"")</f>
        <v/>
      </c>
      <c r="R753" s="5" t="str">
        <f>IFERROR(__xludf.DUMMYFUNCTION("""COMPUTED_VALUE"""),"")</f>
        <v/>
      </c>
      <c r="S753" s="5" t="str">
        <f>IFERROR(__xludf.DUMMYFUNCTION("""COMPUTED_VALUE"""),"")</f>
        <v/>
      </c>
      <c r="T753" s="5" t="str">
        <f>IFERROR(__xludf.DUMMYFUNCTION("""COMPUTED_VALUE"""),"")</f>
        <v/>
      </c>
      <c r="U753" s="5" t="str">
        <f>IFERROR(__xludf.DUMMYFUNCTION("""COMPUTED_VALUE"""),"")</f>
        <v/>
      </c>
      <c r="V753" s="5" t="str">
        <f>IFERROR(__xludf.DUMMYFUNCTION("""COMPUTED_VALUE"""),"")</f>
        <v/>
      </c>
      <c r="W753" s="5" t="str">
        <f>IFERROR(__xludf.DUMMYFUNCTION("""COMPUTED_VALUE"""),"")</f>
        <v/>
      </c>
      <c r="X753" s="5" t="str">
        <f>IFERROR(__xludf.DUMMYFUNCTION("""COMPUTED_VALUE"""),"")</f>
        <v/>
      </c>
      <c r="Y753" s="5"/>
      <c r="Z753" s="5"/>
    </row>
    <row r="754">
      <c r="A754" s="5" t="str">
        <f>IFERROR(__xludf.DUMMYFUNCTION("""COMPUTED_VALUE"""),"Retro Flame 5")</f>
        <v>Retro Flame 5</v>
      </c>
      <c r="B754" s="5" t="str">
        <f>IFERROR(__xludf.DUMMYFUNCTION("""COMPUTED_VALUE"""),"")</f>
        <v/>
      </c>
      <c r="C754" s="5" t="str">
        <f>IFERROR(__xludf.DUMMYFUNCTION("""COMPUTED_VALUE"""),"")</f>
        <v/>
      </c>
      <c r="D754" s="5" t="str">
        <f>IFERROR(__xludf.DUMMYFUNCTION("""COMPUTED_VALUE"""),"")</f>
        <v/>
      </c>
      <c r="E754" s="5" t="str">
        <f>IFERROR(__xludf.DUMMYFUNCTION("""COMPUTED_VALUE"""),"")</f>
        <v/>
      </c>
      <c r="F754" s="5" t="str">
        <f>IFERROR(__xludf.DUMMYFUNCTION("""COMPUTED_VALUE"""),"")</f>
        <v/>
      </c>
      <c r="G754" s="5" t="str">
        <f>IFERROR(__xludf.DUMMYFUNCTION("""COMPUTED_VALUE"""),"")</f>
        <v/>
      </c>
      <c r="H754" s="5" t="str">
        <f>IFERROR(__xludf.DUMMYFUNCTION("""COMPUTED_VALUE"""),"")</f>
        <v/>
      </c>
      <c r="I754" s="5" t="str">
        <f>IFERROR(__xludf.DUMMYFUNCTION("""COMPUTED_VALUE"""),"")</f>
        <v/>
      </c>
      <c r="J754" s="5" t="str">
        <f>IFERROR(__xludf.DUMMYFUNCTION("""COMPUTED_VALUE"""),"")</f>
        <v/>
      </c>
      <c r="K754" s="5" t="str">
        <f>IFERROR(__xludf.DUMMYFUNCTION("""COMPUTED_VALUE"""),"")</f>
        <v/>
      </c>
      <c r="L754" s="5" t="str">
        <f>IFERROR(__xludf.DUMMYFUNCTION("""COMPUTED_VALUE"""),"")</f>
        <v/>
      </c>
      <c r="M754" s="5" t="str">
        <f>IFERROR(__xludf.DUMMYFUNCTION("""COMPUTED_VALUE"""),"")</f>
        <v/>
      </c>
      <c r="N754" s="5" t="str">
        <f>IFERROR(__xludf.DUMMYFUNCTION("""COMPUTED_VALUE"""),"")</f>
        <v/>
      </c>
      <c r="O754" s="5" t="str">
        <f>IFERROR(__xludf.DUMMYFUNCTION("""COMPUTED_VALUE"""),"")</f>
        <v/>
      </c>
      <c r="P754" s="5" t="str">
        <f>IFERROR(__xludf.DUMMYFUNCTION("""COMPUTED_VALUE"""),"")</f>
        <v/>
      </c>
      <c r="Q754" s="5" t="str">
        <f>IFERROR(__xludf.DUMMYFUNCTION("""COMPUTED_VALUE"""),"")</f>
        <v/>
      </c>
      <c r="R754" s="5" t="str">
        <f>IFERROR(__xludf.DUMMYFUNCTION("""COMPUTED_VALUE"""),"")</f>
        <v/>
      </c>
      <c r="S754" s="5" t="str">
        <f>IFERROR(__xludf.DUMMYFUNCTION("""COMPUTED_VALUE"""),"")</f>
        <v/>
      </c>
      <c r="T754" s="5" t="str">
        <f>IFERROR(__xludf.DUMMYFUNCTION("""COMPUTED_VALUE"""),"")</f>
        <v/>
      </c>
      <c r="U754" s="5" t="str">
        <f>IFERROR(__xludf.DUMMYFUNCTION("""COMPUTED_VALUE"""),"")</f>
        <v/>
      </c>
      <c r="V754" s="5" t="str">
        <f>IFERROR(__xludf.DUMMYFUNCTION("""COMPUTED_VALUE"""),"")</f>
        <v/>
      </c>
      <c r="W754" s="5" t="str">
        <f>IFERROR(__xludf.DUMMYFUNCTION("""COMPUTED_VALUE"""),"")</f>
        <v/>
      </c>
      <c r="X754" s="5" t="str">
        <f>IFERROR(__xludf.DUMMYFUNCTION("""COMPUTED_VALUE"""),"")</f>
        <v/>
      </c>
      <c r="Y754" s="5"/>
      <c r="Z754" s="5"/>
    </row>
    <row r="755">
      <c r="A755" s="5" t="str">
        <f>IFERROR(__xludf.DUMMYFUNCTION("""COMPUTED_VALUE"""),"Winning Fruits 20")</f>
        <v>Winning Fruits 20</v>
      </c>
      <c r="B755" s="5" t="str">
        <f>IFERROR(__xludf.DUMMYFUNCTION("""COMPUTED_VALUE"""),"")</f>
        <v/>
      </c>
      <c r="C755" s="5" t="str">
        <f>IFERROR(__xludf.DUMMYFUNCTION("""COMPUTED_VALUE"""),"")</f>
        <v/>
      </c>
      <c r="D755" s="5" t="str">
        <f>IFERROR(__xludf.DUMMYFUNCTION("""COMPUTED_VALUE"""),"")</f>
        <v/>
      </c>
      <c r="E755" s="5" t="str">
        <f>IFERROR(__xludf.DUMMYFUNCTION("""COMPUTED_VALUE"""),"")</f>
        <v/>
      </c>
      <c r="F755" s="5" t="str">
        <f>IFERROR(__xludf.DUMMYFUNCTION("""COMPUTED_VALUE"""),"")</f>
        <v/>
      </c>
      <c r="G755" s="5" t="str">
        <f>IFERROR(__xludf.DUMMYFUNCTION("""COMPUTED_VALUE"""),"")</f>
        <v/>
      </c>
      <c r="H755" s="5" t="str">
        <f>IFERROR(__xludf.DUMMYFUNCTION("""COMPUTED_VALUE"""),"")</f>
        <v/>
      </c>
      <c r="I755" s="5" t="str">
        <f>IFERROR(__xludf.DUMMYFUNCTION("""COMPUTED_VALUE"""),"")</f>
        <v/>
      </c>
      <c r="J755" s="5" t="str">
        <f>IFERROR(__xludf.DUMMYFUNCTION("""COMPUTED_VALUE"""),"")</f>
        <v/>
      </c>
      <c r="K755" s="5" t="str">
        <f>IFERROR(__xludf.DUMMYFUNCTION("""COMPUTED_VALUE"""),"")</f>
        <v/>
      </c>
      <c r="L755" s="5" t="str">
        <f>IFERROR(__xludf.DUMMYFUNCTION("""COMPUTED_VALUE"""),"")</f>
        <v/>
      </c>
      <c r="M755" s="5" t="str">
        <f>IFERROR(__xludf.DUMMYFUNCTION("""COMPUTED_VALUE"""),"")</f>
        <v/>
      </c>
      <c r="N755" s="5" t="str">
        <f>IFERROR(__xludf.DUMMYFUNCTION("""COMPUTED_VALUE"""),"")</f>
        <v/>
      </c>
      <c r="O755" s="5" t="str">
        <f>IFERROR(__xludf.DUMMYFUNCTION("""COMPUTED_VALUE"""),"")</f>
        <v/>
      </c>
      <c r="P755" s="5" t="str">
        <f>IFERROR(__xludf.DUMMYFUNCTION("""COMPUTED_VALUE"""),"")</f>
        <v/>
      </c>
      <c r="Q755" s="5" t="str">
        <f>IFERROR(__xludf.DUMMYFUNCTION("""COMPUTED_VALUE"""),"")</f>
        <v/>
      </c>
      <c r="R755" s="5" t="str">
        <f>IFERROR(__xludf.DUMMYFUNCTION("""COMPUTED_VALUE"""),"")</f>
        <v/>
      </c>
      <c r="S755" s="5" t="str">
        <f>IFERROR(__xludf.DUMMYFUNCTION("""COMPUTED_VALUE"""),"")</f>
        <v/>
      </c>
      <c r="T755" s="5" t="str">
        <f>IFERROR(__xludf.DUMMYFUNCTION("""COMPUTED_VALUE"""),"")</f>
        <v/>
      </c>
      <c r="U755" s="5" t="str">
        <f>IFERROR(__xludf.DUMMYFUNCTION("""COMPUTED_VALUE"""),"")</f>
        <v/>
      </c>
      <c r="V755" s="5" t="str">
        <f>IFERROR(__xludf.DUMMYFUNCTION("""COMPUTED_VALUE"""),"")</f>
        <v/>
      </c>
      <c r="W755" s="5" t="str">
        <f>IFERROR(__xludf.DUMMYFUNCTION("""COMPUTED_VALUE"""),"")</f>
        <v/>
      </c>
      <c r="X755" s="5" t="str">
        <f>IFERROR(__xludf.DUMMYFUNCTION("""COMPUTED_VALUE"""),"")</f>
        <v/>
      </c>
      <c r="Y755" s="5"/>
      <c r="Z755" s="5"/>
    </row>
    <row r="756">
      <c r="A756" s="5" t="str">
        <f>IFERROR(__xludf.DUMMYFUNCTION("""COMPUTED_VALUE"""),"Magic Multi Win")</f>
        <v>Magic Multi Win</v>
      </c>
      <c r="B756" s="5" t="str">
        <f>IFERROR(__xludf.DUMMYFUNCTION("""COMPUTED_VALUE"""),"")</f>
        <v/>
      </c>
      <c r="C756" s="5" t="str">
        <f>IFERROR(__xludf.DUMMYFUNCTION("""COMPUTED_VALUE"""),"")</f>
        <v/>
      </c>
      <c r="D756" s="5" t="str">
        <f>IFERROR(__xludf.DUMMYFUNCTION("""COMPUTED_VALUE"""),"")</f>
        <v/>
      </c>
      <c r="E756" s="5" t="str">
        <f>IFERROR(__xludf.DUMMYFUNCTION("""COMPUTED_VALUE"""),"")</f>
        <v/>
      </c>
      <c r="F756" s="5" t="str">
        <f>IFERROR(__xludf.DUMMYFUNCTION("""COMPUTED_VALUE"""),"")</f>
        <v/>
      </c>
      <c r="G756" s="5" t="str">
        <f>IFERROR(__xludf.DUMMYFUNCTION("""COMPUTED_VALUE"""),"")</f>
        <v/>
      </c>
      <c r="H756" s="5" t="str">
        <f>IFERROR(__xludf.DUMMYFUNCTION("""COMPUTED_VALUE"""),"")</f>
        <v/>
      </c>
      <c r="I756" s="5" t="str">
        <f>IFERROR(__xludf.DUMMYFUNCTION("""COMPUTED_VALUE"""),"")</f>
        <v/>
      </c>
      <c r="J756" s="5" t="str">
        <f>IFERROR(__xludf.DUMMYFUNCTION("""COMPUTED_VALUE"""),"")</f>
        <v/>
      </c>
      <c r="K756" s="5" t="str">
        <f>IFERROR(__xludf.DUMMYFUNCTION("""COMPUTED_VALUE"""),"")</f>
        <v/>
      </c>
      <c r="L756" s="5" t="str">
        <f>IFERROR(__xludf.DUMMYFUNCTION("""COMPUTED_VALUE"""),"")</f>
        <v/>
      </c>
      <c r="M756" s="5" t="str">
        <f>IFERROR(__xludf.DUMMYFUNCTION("""COMPUTED_VALUE"""),"")</f>
        <v/>
      </c>
      <c r="N756" s="5" t="str">
        <f>IFERROR(__xludf.DUMMYFUNCTION("""COMPUTED_VALUE"""),"")</f>
        <v/>
      </c>
      <c r="O756" s="5" t="str">
        <f>IFERROR(__xludf.DUMMYFUNCTION("""COMPUTED_VALUE"""),"")</f>
        <v/>
      </c>
      <c r="P756" s="5" t="str">
        <f>IFERROR(__xludf.DUMMYFUNCTION("""COMPUTED_VALUE"""),"")</f>
        <v/>
      </c>
      <c r="Q756" s="5" t="str">
        <f>IFERROR(__xludf.DUMMYFUNCTION("""COMPUTED_VALUE"""),"")</f>
        <v/>
      </c>
      <c r="R756" s="5" t="str">
        <f>IFERROR(__xludf.DUMMYFUNCTION("""COMPUTED_VALUE"""),"")</f>
        <v/>
      </c>
      <c r="S756" s="5" t="str">
        <f>IFERROR(__xludf.DUMMYFUNCTION("""COMPUTED_VALUE"""),"")</f>
        <v/>
      </c>
      <c r="T756" s="5" t="str">
        <f>IFERROR(__xludf.DUMMYFUNCTION("""COMPUTED_VALUE"""),"")</f>
        <v/>
      </c>
      <c r="U756" s="5" t="str">
        <f>IFERROR(__xludf.DUMMYFUNCTION("""COMPUTED_VALUE"""),"")</f>
        <v/>
      </c>
      <c r="V756" s="5" t="str">
        <f>IFERROR(__xludf.DUMMYFUNCTION("""COMPUTED_VALUE"""),"")</f>
        <v/>
      </c>
      <c r="W756" s="5" t="str">
        <f>IFERROR(__xludf.DUMMYFUNCTION("""COMPUTED_VALUE"""),"")</f>
        <v/>
      </c>
      <c r="X756" s="5" t="str">
        <f>IFERROR(__xludf.DUMMYFUNCTION("""COMPUTED_VALUE"""),"")</f>
        <v/>
      </c>
      <c r="Y756" s="5"/>
      <c r="Z756" s="5"/>
    </row>
    <row r="757">
      <c r="A757" s="5" t="str">
        <f>IFERROR(__xludf.DUMMYFUNCTION("""COMPUTED_VALUE"""),"Chilli Burst")</f>
        <v>Chilli Burst</v>
      </c>
      <c r="B757" s="5" t="str">
        <f>IFERROR(__xludf.DUMMYFUNCTION("""COMPUTED_VALUE"""),"")</f>
        <v/>
      </c>
      <c r="C757" s="5" t="str">
        <f>IFERROR(__xludf.DUMMYFUNCTION("""COMPUTED_VALUE"""),"")</f>
        <v/>
      </c>
      <c r="D757" s="5" t="str">
        <f>IFERROR(__xludf.DUMMYFUNCTION("""COMPUTED_VALUE"""),"")</f>
        <v/>
      </c>
      <c r="E757" s="5" t="str">
        <f>IFERROR(__xludf.DUMMYFUNCTION("""COMPUTED_VALUE"""),"")</f>
        <v/>
      </c>
      <c r="F757" s="5" t="str">
        <f>IFERROR(__xludf.DUMMYFUNCTION("""COMPUTED_VALUE"""),"")</f>
        <v/>
      </c>
      <c r="G757" s="5" t="str">
        <f>IFERROR(__xludf.DUMMYFUNCTION("""COMPUTED_VALUE"""),"")</f>
        <v/>
      </c>
      <c r="H757" s="5" t="str">
        <f>IFERROR(__xludf.DUMMYFUNCTION("""COMPUTED_VALUE"""),"")</f>
        <v/>
      </c>
      <c r="I757" s="5" t="str">
        <f>IFERROR(__xludf.DUMMYFUNCTION("""COMPUTED_VALUE"""),"")</f>
        <v/>
      </c>
      <c r="J757" s="5" t="str">
        <f>IFERROR(__xludf.DUMMYFUNCTION("""COMPUTED_VALUE"""),"")</f>
        <v/>
      </c>
      <c r="K757" s="5" t="str">
        <f>IFERROR(__xludf.DUMMYFUNCTION("""COMPUTED_VALUE"""),"")</f>
        <v/>
      </c>
      <c r="L757" s="5" t="str">
        <f>IFERROR(__xludf.DUMMYFUNCTION("""COMPUTED_VALUE"""),"")</f>
        <v/>
      </c>
      <c r="M757" s="5" t="str">
        <f>IFERROR(__xludf.DUMMYFUNCTION("""COMPUTED_VALUE"""),"")</f>
        <v/>
      </c>
      <c r="N757" s="5" t="str">
        <f>IFERROR(__xludf.DUMMYFUNCTION("""COMPUTED_VALUE"""),"")</f>
        <v/>
      </c>
      <c r="O757" s="5" t="str">
        <f>IFERROR(__xludf.DUMMYFUNCTION("""COMPUTED_VALUE"""),"")</f>
        <v/>
      </c>
      <c r="P757" s="5" t="str">
        <f>IFERROR(__xludf.DUMMYFUNCTION("""COMPUTED_VALUE"""),"")</f>
        <v/>
      </c>
      <c r="Q757" s="5" t="str">
        <f>IFERROR(__xludf.DUMMYFUNCTION("""COMPUTED_VALUE"""),"")</f>
        <v/>
      </c>
      <c r="R757" s="5" t="str">
        <f>IFERROR(__xludf.DUMMYFUNCTION("""COMPUTED_VALUE"""),"")</f>
        <v/>
      </c>
      <c r="S757" s="5" t="str">
        <f>IFERROR(__xludf.DUMMYFUNCTION("""COMPUTED_VALUE"""),"")</f>
        <v/>
      </c>
      <c r="T757" s="5" t="str">
        <f>IFERROR(__xludf.DUMMYFUNCTION("""COMPUTED_VALUE"""),"")</f>
        <v/>
      </c>
      <c r="U757" s="5" t="str">
        <f>IFERROR(__xludf.DUMMYFUNCTION("""COMPUTED_VALUE"""),"")</f>
        <v/>
      </c>
      <c r="V757" s="5" t="str">
        <f>IFERROR(__xludf.DUMMYFUNCTION("""COMPUTED_VALUE"""),"")</f>
        <v/>
      </c>
      <c r="W757" s="5" t="str">
        <f>IFERROR(__xludf.DUMMYFUNCTION("""COMPUTED_VALUE"""),"")</f>
        <v/>
      </c>
      <c r="X757" s="5" t="str">
        <f>IFERROR(__xludf.DUMMYFUNCTION("""COMPUTED_VALUE"""),"")</f>
        <v/>
      </c>
      <c r="Y757" s="5"/>
      <c r="Z757" s="5"/>
    </row>
    <row r="758">
      <c r="A758" s="5" t="str">
        <f>IFERROR(__xludf.DUMMYFUNCTION("""COMPUTED_VALUE"""),"Extreme Sticky Clover")</f>
        <v>Extreme Sticky Clover</v>
      </c>
      <c r="B758" s="5" t="str">
        <f>IFERROR(__xludf.DUMMYFUNCTION("""COMPUTED_VALUE"""),"")</f>
        <v/>
      </c>
      <c r="C758" s="5" t="str">
        <f>IFERROR(__xludf.DUMMYFUNCTION("""COMPUTED_VALUE"""),"")</f>
        <v/>
      </c>
      <c r="D758" s="5" t="str">
        <f>IFERROR(__xludf.DUMMYFUNCTION("""COMPUTED_VALUE"""),"")</f>
        <v/>
      </c>
      <c r="E758" s="5" t="str">
        <f>IFERROR(__xludf.DUMMYFUNCTION("""COMPUTED_VALUE"""),"")</f>
        <v/>
      </c>
      <c r="F758" s="5" t="str">
        <f>IFERROR(__xludf.DUMMYFUNCTION("""COMPUTED_VALUE"""),"")</f>
        <v/>
      </c>
      <c r="G758" s="5" t="str">
        <f>IFERROR(__xludf.DUMMYFUNCTION("""COMPUTED_VALUE"""),"")</f>
        <v/>
      </c>
      <c r="H758" s="5" t="str">
        <f>IFERROR(__xludf.DUMMYFUNCTION("""COMPUTED_VALUE"""),"")</f>
        <v/>
      </c>
      <c r="I758" s="5" t="str">
        <f>IFERROR(__xludf.DUMMYFUNCTION("""COMPUTED_VALUE"""),"")</f>
        <v/>
      </c>
      <c r="J758" s="5" t="str">
        <f>IFERROR(__xludf.DUMMYFUNCTION("""COMPUTED_VALUE"""),"")</f>
        <v/>
      </c>
      <c r="K758" s="5" t="str">
        <f>IFERROR(__xludf.DUMMYFUNCTION("""COMPUTED_VALUE"""),"")</f>
        <v/>
      </c>
      <c r="L758" s="5" t="str">
        <f>IFERROR(__xludf.DUMMYFUNCTION("""COMPUTED_VALUE"""),"")</f>
        <v/>
      </c>
      <c r="M758" s="5" t="str">
        <f>IFERROR(__xludf.DUMMYFUNCTION("""COMPUTED_VALUE"""),"")</f>
        <v/>
      </c>
      <c r="N758" s="5" t="str">
        <f>IFERROR(__xludf.DUMMYFUNCTION("""COMPUTED_VALUE"""),"")</f>
        <v/>
      </c>
      <c r="O758" s="5" t="str">
        <f>IFERROR(__xludf.DUMMYFUNCTION("""COMPUTED_VALUE"""),"")</f>
        <v/>
      </c>
      <c r="P758" s="5" t="str">
        <f>IFERROR(__xludf.DUMMYFUNCTION("""COMPUTED_VALUE"""),"")</f>
        <v/>
      </c>
      <c r="Q758" s="5" t="str">
        <f>IFERROR(__xludf.DUMMYFUNCTION("""COMPUTED_VALUE"""),"")</f>
        <v/>
      </c>
      <c r="R758" s="5" t="str">
        <f>IFERROR(__xludf.DUMMYFUNCTION("""COMPUTED_VALUE"""),"")</f>
        <v/>
      </c>
      <c r="S758" s="5" t="str">
        <f>IFERROR(__xludf.DUMMYFUNCTION("""COMPUTED_VALUE"""),"")</f>
        <v/>
      </c>
      <c r="T758" s="5" t="str">
        <f>IFERROR(__xludf.DUMMYFUNCTION("""COMPUTED_VALUE"""),"")</f>
        <v/>
      </c>
      <c r="U758" s="5" t="str">
        <f>IFERROR(__xludf.DUMMYFUNCTION("""COMPUTED_VALUE"""),"")</f>
        <v/>
      </c>
      <c r="V758" s="5" t="str">
        <f>IFERROR(__xludf.DUMMYFUNCTION("""COMPUTED_VALUE"""),"")</f>
        <v/>
      </c>
      <c r="W758" s="5" t="str">
        <f>IFERROR(__xludf.DUMMYFUNCTION("""COMPUTED_VALUE"""),"")</f>
        <v/>
      </c>
      <c r="X758" s="5" t="str">
        <f>IFERROR(__xludf.DUMMYFUNCTION("""COMPUTED_VALUE"""),"")</f>
        <v/>
      </c>
      <c r="Y758" s="5"/>
      <c r="Z758" s="5"/>
    </row>
    <row r="759">
      <c r="A759" s="5" t="str">
        <f>IFERROR(__xludf.DUMMYFUNCTION("""COMPUTED_VALUE"""),"Extreme Heat 7s")</f>
        <v>Extreme Heat 7s</v>
      </c>
      <c r="B759" s="5" t="str">
        <f>IFERROR(__xludf.DUMMYFUNCTION("""COMPUTED_VALUE"""),"")</f>
        <v/>
      </c>
      <c r="C759" s="5" t="str">
        <f>IFERROR(__xludf.DUMMYFUNCTION("""COMPUTED_VALUE"""),"")</f>
        <v/>
      </c>
      <c r="D759" s="5" t="str">
        <f>IFERROR(__xludf.DUMMYFUNCTION("""COMPUTED_VALUE"""),"")</f>
        <v/>
      </c>
      <c r="E759" s="5" t="str">
        <f>IFERROR(__xludf.DUMMYFUNCTION("""COMPUTED_VALUE"""),"")</f>
        <v/>
      </c>
      <c r="F759" s="5" t="str">
        <f>IFERROR(__xludf.DUMMYFUNCTION("""COMPUTED_VALUE"""),"")</f>
        <v/>
      </c>
      <c r="G759" s="5" t="str">
        <f>IFERROR(__xludf.DUMMYFUNCTION("""COMPUTED_VALUE"""),"")</f>
        <v/>
      </c>
      <c r="H759" s="5" t="str">
        <f>IFERROR(__xludf.DUMMYFUNCTION("""COMPUTED_VALUE"""),"")</f>
        <v/>
      </c>
      <c r="I759" s="5" t="str">
        <f>IFERROR(__xludf.DUMMYFUNCTION("""COMPUTED_VALUE"""),"")</f>
        <v/>
      </c>
      <c r="J759" s="5" t="str">
        <f>IFERROR(__xludf.DUMMYFUNCTION("""COMPUTED_VALUE"""),"")</f>
        <v/>
      </c>
      <c r="K759" s="5" t="str">
        <f>IFERROR(__xludf.DUMMYFUNCTION("""COMPUTED_VALUE"""),"")</f>
        <v/>
      </c>
      <c r="L759" s="5" t="str">
        <f>IFERROR(__xludf.DUMMYFUNCTION("""COMPUTED_VALUE"""),"")</f>
        <v/>
      </c>
      <c r="M759" s="5" t="str">
        <f>IFERROR(__xludf.DUMMYFUNCTION("""COMPUTED_VALUE"""),"")</f>
        <v/>
      </c>
      <c r="N759" s="5" t="str">
        <f>IFERROR(__xludf.DUMMYFUNCTION("""COMPUTED_VALUE"""),"")</f>
        <v/>
      </c>
      <c r="O759" s="5" t="str">
        <f>IFERROR(__xludf.DUMMYFUNCTION("""COMPUTED_VALUE"""),"")</f>
        <v/>
      </c>
      <c r="P759" s="5" t="str">
        <f>IFERROR(__xludf.DUMMYFUNCTION("""COMPUTED_VALUE"""),"")</f>
        <v/>
      </c>
      <c r="Q759" s="5" t="str">
        <f>IFERROR(__xludf.DUMMYFUNCTION("""COMPUTED_VALUE"""),"")</f>
        <v/>
      </c>
      <c r="R759" s="5" t="str">
        <f>IFERROR(__xludf.DUMMYFUNCTION("""COMPUTED_VALUE"""),"")</f>
        <v/>
      </c>
      <c r="S759" s="5" t="str">
        <f>IFERROR(__xludf.DUMMYFUNCTION("""COMPUTED_VALUE"""),"")</f>
        <v/>
      </c>
      <c r="T759" s="5" t="str">
        <f>IFERROR(__xludf.DUMMYFUNCTION("""COMPUTED_VALUE"""),"")</f>
        <v/>
      </c>
      <c r="U759" s="5" t="str">
        <f>IFERROR(__xludf.DUMMYFUNCTION("""COMPUTED_VALUE"""),"")</f>
        <v/>
      </c>
      <c r="V759" s="5" t="str">
        <f>IFERROR(__xludf.DUMMYFUNCTION("""COMPUTED_VALUE"""),"")</f>
        <v/>
      </c>
      <c r="W759" s="5" t="str">
        <f>IFERROR(__xludf.DUMMYFUNCTION("""COMPUTED_VALUE"""),"")</f>
        <v/>
      </c>
      <c r="X759" s="5" t="str">
        <f>IFERROR(__xludf.DUMMYFUNCTION("""COMPUTED_VALUE"""),"")</f>
        <v/>
      </c>
      <c r="Y759" s="5"/>
      <c r="Z759" s="5"/>
    </row>
    <row r="760">
      <c r="A760" s="5" t="str">
        <f>IFERROR(__xludf.DUMMYFUNCTION("""COMPUTED_VALUE"""),"Bonus Wild 81 Extralines")</f>
        <v>Bonus Wild 81 Extralines</v>
      </c>
      <c r="B760" s="5" t="str">
        <f>IFERROR(__xludf.DUMMYFUNCTION("""COMPUTED_VALUE"""),"")</f>
        <v/>
      </c>
      <c r="C760" s="5" t="str">
        <f>IFERROR(__xludf.DUMMYFUNCTION("""COMPUTED_VALUE"""),"")</f>
        <v/>
      </c>
      <c r="D760" s="5" t="str">
        <f>IFERROR(__xludf.DUMMYFUNCTION("""COMPUTED_VALUE"""),"")</f>
        <v/>
      </c>
      <c r="E760" s="5" t="str">
        <f>IFERROR(__xludf.DUMMYFUNCTION("""COMPUTED_VALUE"""),"")</f>
        <v/>
      </c>
      <c r="F760" s="5" t="str">
        <f>IFERROR(__xludf.DUMMYFUNCTION("""COMPUTED_VALUE"""),"")</f>
        <v/>
      </c>
      <c r="G760" s="5" t="str">
        <f>IFERROR(__xludf.DUMMYFUNCTION("""COMPUTED_VALUE"""),"")</f>
        <v/>
      </c>
      <c r="H760" s="5" t="str">
        <f>IFERROR(__xludf.DUMMYFUNCTION("""COMPUTED_VALUE"""),"")</f>
        <v/>
      </c>
      <c r="I760" s="5" t="str">
        <f>IFERROR(__xludf.DUMMYFUNCTION("""COMPUTED_VALUE"""),"")</f>
        <v/>
      </c>
      <c r="J760" s="5" t="str">
        <f>IFERROR(__xludf.DUMMYFUNCTION("""COMPUTED_VALUE"""),"")</f>
        <v/>
      </c>
      <c r="K760" s="5" t="str">
        <f>IFERROR(__xludf.DUMMYFUNCTION("""COMPUTED_VALUE"""),"")</f>
        <v/>
      </c>
      <c r="L760" s="5" t="str">
        <f>IFERROR(__xludf.DUMMYFUNCTION("""COMPUTED_VALUE"""),"")</f>
        <v/>
      </c>
      <c r="M760" s="5" t="str">
        <f>IFERROR(__xludf.DUMMYFUNCTION("""COMPUTED_VALUE"""),"")</f>
        <v/>
      </c>
      <c r="N760" s="5" t="str">
        <f>IFERROR(__xludf.DUMMYFUNCTION("""COMPUTED_VALUE"""),"")</f>
        <v/>
      </c>
      <c r="O760" s="5" t="str">
        <f>IFERROR(__xludf.DUMMYFUNCTION("""COMPUTED_VALUE"""),"")</f>
        <v/>
      </c>
      <c r="P760" s="5" t="str">
        <f>IFERROR(__xludf.DUMMYFUNCTION("""COMPUTED_VALUE"""),"")</f>
        <v/>
      </c>
      <c r="Q760" s="5" t="str">
        <f>IFERROR(__xludf.DUMMYFUNCTION("""COMPUTED_VALUE"""),"")</f>
        <v/>
      </c>
      <c r="R760" s="5" t="str">
        <f>IFERROR(__xludf.DUMMYFUNCTION("""COMPUTED_VALUE"""),"")</f>
        <v/>
      </c>
      <c r="S760" s="5" t="str">
        <f>IFERROR(__xludf.DUMMYFUNCTION("""COMPUTED_VALUE"""),"")</f>
        <v/>
      </c>
      <c r="T760" s="5" t="str">
        <f>IFERROR(__xludf.DUMMYFUNCTION("""COMPUTED_VALUE"""),"")</f>
        <v/>
      </c>
      <c r="U760" s="5" t="str">
        <f>IFERROR(__xludf.DUMMYFUNCTION("""COMPUTED_VALUE"""),"")</f>
        <v/>
      </c>
      <c r="V760" s="5" t="str">
        <f>IFERROR(__xludf.DUMMYFUNCTION("""COMPUTED_VALUE"""),"")</f>
        <v/>
      </c>
      <c r="W760" s="5" t="str">
        <f>IFERROR(__xludf.DUMMYFUNCTION("""COMPUTED_VALUE"""),"")</f>
        <v/>
      </c>
      <c r="X760" s="5" t="str">
        <f>IFERROR(__xludf.DUMMYFUNCTION("""COMPUTED_VALUE"""),"")</f>
        <v/>
      </c>
      <c r="Y760" s="5"/>
      <c r="Z760" s="5"/>
    </row>
    <row r="761">
      <c r="A761" s="5" t="str">
        <f>IFERROR(__xludf.DUMMYFUNCTION("""COMPUTED_VALUE"""),"Flamy Fireballs")</f>
        <v>Flamy Fireballs</v>
      </c>
      <c r="B761" s="5" t="str">
        <f>IFERROR(__xludf.DUMMYFUNCTION("""COMPUTED_VALUE"""),"")</f>
        <v/>
      </c>
      <c r="C761" s="5" t="str">
        <f>IFERROR(__xludf.DUMMYFUNCTION("""COMPUTED_VALUE"""),"")</f>
        <v/>
      </c>
      <c r="D761" s="5" t="str">
        <f>IFERROR(__xludf.DUMMYFUNCTION("""COMPUTED_VALUE"""),"")</f>
        <v/>
      </c>
      <c r="E761" s="5" t="str">
        <f>IFERROR(__xludf.DUMMYFUNCTION("""COMPUTED_VALUE"""),"")</f>
        <v/>
      </c>
      <c r="F761" s="5" t="str">
        <f>IFERROR(__xludf.DUMMYFUNCTION("""COMPUTED_VALUE"""),"")</f>
        <v/>
      </c>
      <c r="G761" s="5" t="str">
        <f>IFERROR(__xludf.DUMMYFUNCTION("""COMPUTED_VALUE"""),"")</f>
        <v/>
      </c>
      <c r="H761" s="5" t="str">
        <f>IFERROR(__xludf.DUMMYFUNCTION("""COMPUTED_VALUE"""),"")</f>
        <v/>
      </c>
      <c r="I761" s="5" t="str">
        <f>IFERROR(__xludf.DUMMYFUNCTION("""COMPUTED_VALUE"""),"")</f>
        <v/>
      </c>
      <c r="J761" s="5" t="str">
        <f>IFERROR(__xludf.DUMMYFUNCTION("""COMPUTED_VALUE"""),"")</f>
        <v/>
      </c>
      <c r="K761" s="5" t="str">
        <f>IFERROR(__xludf.DUMMYFUNCTION("""COMPUTED_VALUE"""),"")</f>
        <v/>
      </c>
      <c r="L761" s="5" t="str">
        <f>IFERROR(__xludf.DUMMYFUNCTION("""COMPUTED_VALUE"""),"")</f>
        <v/>
      </c>
      <c r="M761" s="5" t="str">
        <f>IFERROR(__xludf.DUMMYFUNCTION("""COMPUTED_VALUE"""),"")</f>
        <v/>
      </c>
      <c r="N761" s="5" t="str">
        <f>IFERROR(__xludf.DUMMYFUNCTION("""COMPUTED_VALUE"""),"")</f>
        <v/>
      </c>
      <c r="O761" s="5" t="str">
        <f>IFERROR(__xludf.DUMMYFUNCTION("""COMPUTED_VALUE"""),"")</f>
        <v/>
      </c>
      <c r="P761" s="5" t="str">
        <f>IFERROR(__xludf.DUMMYFUNCTION("""COMPUTED_VALUE"""),"")</f>
        <v/>
      </c>
      <c r="Q761" s="5" t="str">
        <f>IFERROR(__xludf.DUMMYFUNCTION("""COMPUTED_VALUE"""),"")</f>
        <v/>
      </c>
      <c r="R761" s="5" t="str">
        <f>IFERROR(__xludf.DUMMYFUNCTION("""COMPUTED_VALUE"""),"")</f>
        <v/>
      </c>
      <c r="S761" s="5" t="str">
        <f>IFERROR(__xludf.DUMMYFUNCTION("""COMPUTED_VALUE"""),"")</f>
        <v/>
      </c>
      <c r="T761" s="5" t="str">
        <f>IFERROR(__xludf.DUMMYFUNCTION("""COMPUTED_VALUE"""),"")</f>
        <v/>
      </c>
      <c r="U761" s="5" t="str">
        <f>IFERROR(__xludf.DUMMYFUNCTION("""COMPUTED_VALUE"""),"")</f>
        <v/>
      </c>
      <c r="V761" s="5" t="str">
        <f>IFERROR(__xludf.DUMMYFUNCTION("""COMPUTED_VALUE"""),"")</f>
        <v/>
      </c>
      <c r="W761" s="5" t="str">
        <f>IFERROR(__xludf.DUMMYFUNCTION("""COMPUTED_VALUE"""),"")</f>
        <v/>
      </c>
      <c r="X761" s="5" t="str">
        <f>IFERROR(__xludf.DUMMYFUNCTION("""COMPUTED_VALUE"""),"")</f>
        <v/>
      </c>
      <c r="Y761" s="5"/>
      <c r="Z761" s="5"/>
    </row>
    <row r="762">
      <c r="A762" s="5" t="str">
        <f>IFERROR(__xludf.DUMMYFUNCTION("""COMPUTED_VALUE"""),"Fruit Play Dice")</f>
        <v>Fruit Play Dice</v>
      </c>
      <c r="B762" s="5" t="str">
        <f>IFERROR(__xludf.DUMMYFUNCTION("""COMPUTED_VALUE"""),"")</f>
        <v/>
      </c>
      <c r="C762" s="5" t="str">
        <f>IFERROR(__xludf.DUMMYFUNCTION("""COMPUTED_VALUE"""),"")</f>
        <v/>
      </c>
      <c r="D762" s="5" t="str">
        <f>IFERROR(__xludf.DUMMYFUNCTION("""COMPUTED_VALUE"""),"")</f>
        <v/>
      </c>
      <c r="E762" s="5" t="str">
        <f>IFERROR(__xludf.DUMMYFUNCTION("""COMPUTED_VALUE"""),"")</f>
        <v/>
      </c>
      <c r="F762" s="5" t="str">
        <f>IFERROR(__xludf.DUMMYFUNCTION("""COMPUTED_VALUE"""),"")</f>
        <v/>
      </c>
      <c r="G762" s="5" t="str">
        <f>IFERROR(__xludf.DUMMYFUNCTION("""COMPUTED_VALUE"""),"")</f>
        <v/>
      </c>
      <c r="H762" s="5" t="str">
        <f>IFERROR(__xludf.DUMMYFUNCTION("""COMPUTED_VALUE"""),"")</f>
        <v/>
      </c>
      <c r="I762" s="5" t="str">
        <f>IFERROR(__xludf.DUMMYFUNCTION("""COMPUTED_VALUE"""),"")</f>
        <v/>
      </c>
      <c r="J762" s="5" t="str">
        <f>IFERROR(__xludf.DUMMYFUNCTION("""COMPUTED_VALUE"""),"")</f>
        <v/>
      </c>
      <c r="K762" s="5" t="str">
        <f>IFERROR(__xludf.DUMMYFUNCTION("""COMPUTED_VALUE"""),"")</f>
        <v/>
      </c>
      <c r="L762" s="5" t="str">
        <f>IFERROR(__xludf.DUMMYFUNCTION("""COMPUTED_VALUE"""),"")</f>
        <v/>
      </c>
      <c r="M762" s="5" t="str">
        <f>IFERROR(__xludf.DUMMYFUNCTION("""COMPUTED_VALUE"""),"")</f>
        <v/>
      </c>
      <c r="N762" s="5" t="str">
        <f>IFERROR(__xludf.DUMMYFUNCTION("""COMPUTED_VALUE"""),"")</f>
        <v/>
      </c>
      <c r="O762" s="5" t="str">
        <f>IFERROR(__xludf.DUMMYFUNCTION("""COMPUTED_VALUE"""),"")</f>
        <v/>
      </c>
      <c r="P762" s="5" t="str">
        <f>IFERROR(__xludf.DUMMYFUNCTION("""COMPUTED_VALUE"""),"")</f>
        <v/>
      </c>
      <c r="Q762" s="5" t="str">
        <f>IFERROR(__xludf.DUMMYFUNCTION("""COMPUTED_VALUE"""),"")</f>
        <v/>
      </c>
      <c r="R762" s="5" t="str">
        <f>IFERROR(__xludf.DUMMYFUNCTION("""COMPUTED_VALUE"""),"")</f>
        <v/>
      </c>
      <c r="S762" s="5" t="str">
        <f>IFERROR(__xludf.DUMMYFUNCTION("""COMPUTED_VALUE"""),"")</f>
        <v/>
      </c>
      <c r="T762" s="5" t="str">
        <f>IFERROR(__xludf.DUMMYFUNCTION("""COMPUTED_VALUE"""),"")</f>
        <v/>
      </c>
      <c r="U762" s="5" t="str">
        <f>IFERROR(__xludf.DUMMYFUNCTION("""COMPUTED_VALUE"""),"")</f>
        <v/>
      </c>
      <c r="V762" s="5" t="str">
        <f>IFERROR(__xludf.DUMMYFUNCTION("""COMPUTED_VALUE"""),"")</f>
        <v/>
      </c>
      <c r="W762" s="5" t="str">
        <f>IFERROR(__xludf.DUMMYFUNCTION("""COMPUTED_VALUE"""),"")</f>
        <v/>
      </c>
      <c r="X762" s="5" t="str">
        <f>IFERROR(__xludf.DUMMYFUNCTION("""COMPUTED_VALUE"""),"")</f>
        <v/>
      </c>
      <c r="Y762" s="5"/>
      <c r="Z762" s="5"/>
    </row>
    <row r="763">
      <c r="A763" s="5" t="str">
        <f>IFERROR(__xludf.DUMMYFUNCTION("""COMPUTED_VALUE"""),"Spin The Sevens")</f>
        <v>Spin The Sevens</v>
      </c>
      <c r="B763" s="5" t="str">
        <f>IFERROR(__xludf.DUMMYFUNCTION("""COMPUTED_VALUE"""),"")</f>
        <v/>
      </c>
      <c r="C763" s="5" t="str">
        <f>IFERROR(__xludf.DUMMYFUNCTION("""COMPUTED_VALUE"""),"")</f>
        <v/>
      </c>
      <c r="D763" s="5" t="str">
        <f>IFERROR(__xludf.DUMMYFUNCTION("""COMPUTED_VALUE"""),"")</f>
        <v/>
      </c>
      <c r="E763" s="5" t="str">
        <f>IFERROR(__xludf.DUMMYFUNCTION("""COMPUTED_VALUE"""),"")</f>
        <v/>
      </c>
      <c r="F763" s="5" t="str">
        <f>IFERROR(__xludf.DUMMYFUNCTION("""COMPUTED_VALUE"""),"")</f>
        <v/>
      </c>
      <c r="G763" s="5" t="str">
        <f>IFERROR(__xludf.DUMMYFUNCTION("""COMPUTED_VALUE"""),"")</f>
        <v/>
      </c>
      <c r="H763" s="5" t="str">
        <f>IFERROR(__xludf.DUMMYFUNCTION("""COMPUTED_VALUE"""),"")</f>
        <v/>
      </c>
      <c r="I763" s="5" t="str">
        <f>IFERROR(__xludf.DUMMYFUNCTION("""COMPUTED_VALUE"""),"")</f>
        <v/>
      </c>
      <c r="J763" s="5" t="str">
        <f>IFERROR(__xludf.DUMMYFUNCTION("""COMPUTED_VALUE"""),"")</f>
        <v/>
      </c>
      <c r="K763" s="5" t="str">
        <f>IFERROR(__xludf.DUMMYFUNCTION("""COMPUTED_VALUE"""),"")</f>
        <v/>
      </c>
      <c r="L763" s="5" t="str">
        <f>IFERROR(__xludf.DUMMYFUNCTION("""COMPUTED_VALUE"""),"")</f>
        <v/>
      </c>
      <c r="M763" s="5" t="str">
        <f>IFERROR(__xludf.DUMMYFUNCTION("""COMPUTED_VALUE"""),"")</f>
        <v/>
      </c>
      <c r="N763" s="5" t="str">
        <f>IFERROR(__xludf.DUMMYFUNCTION("""COMPUTED_VALUE"""),"")</f>
        <v/>
      </c>
      <c r="O763" s="5" t="str">
        <f>IFERROR(__xludf.DUMMYFUNCTION("""COMPUTED_VALUE"""),"")</f>
        <v/>
      </c>
      <c r="P763" s="5" t="str">
        <f>IFERROR(__xludf.DUMMYFUNCTION("""COMPUTED_VALUE"""),"")</f>
        <v/>
      </c>
      <c r="Q763" s="5" t="str">
        <f>IFERROR(__xludf.DUMMYFUNCTION("""COMPUTED_VALUE"""),"")</f>
        <v/>
      </c>
      <c r="R763" s="5" t="str">
        <f>IFERROR(__xludf.DUMMYFUNCTION("""COMPUTED_VALUE"""),"")</f>
        <v/>
      </c>
      <c r="S763" s="5" t="str">
        <f>IFERROR(__xludf.DUMMYFUNCTION("""COMPUTED_VALUE"""),"")</f>
        <v/>
      </c>
      <c r="T763" s="5" t="str">
        <f>IFERROR(__xludf.DUMMYFUNCTION("""COMPUTED_VALUE"""),"")</f>
        <v/>
      </c>
      <c r="U763" s="5" t="str">
        <f>IFERROR(__xludf.DUMMYFUNCTION("""COMPUTED_VALUE"""),"")</f>
        <v/>
      </c>
      <c r="V763" s="5" t="str">
        <f>IFERROR(__xludf.DUMMYFUNCTION("""COMPUTED_VALUE"""),"")</f>
        <v/>
      </c>
      <c r="W763" s="5" t="str">
        <f>IFERROR(__xludf.DUMMYFUNCTION("""COMPUTED_VALUE"""),"")</f>
        <v/>
      </c>
      <c r="X763" s="5" t="str">
        <f>IFERROR(__xludf.DUMMYFUNCTION("""COMPUTED_VALUE"""),"")</f>
        <v/>
      </c>
      <c r="Y763" s="5"/>
      <c r="Z763" s="5"/>
    </row>
    <row r="764">
      <c r="A764" s="5" t="str">
        <f>IFERROR(__xludf.DUMMYFUNCTION("""COMPUTED_VALUE"""),"Crazy Wild Sevens")</f>
        <v>Crazy Wild Sevens</v>
      </c>
      <c r="B764" s="5" t="str">
        <f>IFERROR(__xludf.DUMMYFUNCTION("""COMPUTED_VALUE"""),"")</f>
        <v/>
      </c>
      <c r="C764" s="5" t="str">
        <f>IFERROR(__xludf.DUMMYFUNCTION("""COMPUTED_VALUE"""),"")</f>
        <v/>
      </c>
      <c r="D764" s="5" t="str">
        <f>IFERROR(__xludf.DUMMYFUNCTION("""COMPUTED_VALUE"""),"")</f>
        <v/>
      </c>
      <c r="E764" s="5" t="str">
        <f>IFERROR(__xludf.DUMMYFUNCTION("""COMPUTED_VALUE"""),"")</f>
        <v/>
      </c>
      <c r="F764" s="5" t="str">
        <f>IFERROR(__xludf.DUMMYFUNCTION("""COMPUTED_VALUE"""),"")</f>
        <v/>
      </c>
      <c r="G764" s="5" t="str">
        <f>IFERROR(__xludf.DUMMYFUNCTION("""COMPUTED_VALUE"""),"")</f>
        <v/>
      </c>
      <c r="H764" s="5" t="str">
        <f>IFERROR(__xludf.DUMMYFUNCTION("""COMPUTED_VALUE"""),"")</f>
        <v/>
      </c>
      <c r="I764" s="5" t="str">
        <f>IFERROR(__xludf.DUMMYFUNCTION("""COMPUTED_VALUE"""),"")</f>
        <v/>
      </c>
      <c r="J764" s="5" t="str">
        <f>IFERROR(__xludf.DUMMYFUNCTION("""COMPUTED_VALUE"""),"")</f>
        <v/>
      </c>
      <c r="K764" s="5" t="str">
        <f>IFERROR(__xludf.DUMMYFUNCTION("""COMPUTED_VALUE"""),"")</f>
        <v/>
      </c>
      <c r="L764" s="5" t="str">
        <f>IFERROR(__xludf.DUMMYFUNCTION("""COMPUTED_VALUE"""),"")</f>
        <v/>
      </c>
      <c r="M764" s="5" t="str">
        <f>IFERROR(__xludf.DUMMYFUNCTION("""COMPUTED_VALUE"""),"")</f>
        <v/>
      </c>
      <c r="N764" s="5" t="str">
        <f>IFERROR(__xludf.DUMMYFUNCTION("""COMPUTED_VALUE"""),"")</f>
        <v/>
      </c>
      <c r="O764" s="5" t="str">
        <f>IFERROR(__xludf.DUMMYFUNCTION("""COMPUTED_VALUE"""),"")</f>
        <v/>
      </c>
      <c r="P764" s="5" t="str">
        <f>IFERROR(__xludf.DUMMYFUNCTION("""COMPUTED_VALUE"""),"")</f>
        <v/>
      </c>
      <c r="Q764" s="5" t="str">
        <f>IFERROR(__xludf.DUMMYFUNCTION("""COMPUTED_VALUE"""),"")</f>
        <v/>
      </c>
      <c r="R764" s="5" t="str">
        <f>IFERROR(__xludf.DUMMYFUNCTION("""COMPUTED_VALUE"""),"")</f>
        <v/>
      </c>
      <c r="S764" s="5" t="str">
        <f>IFERROR(__xludf.DUMMYFUNCTION("""COMPUTED_VALUE"""),"")</f>
        <v/>
      </c>
      <c r="T764" s="5" t="str">
        <f>IFERROR(__xludf.DUMMYFUNCTION("""COMPUTED_VALUE"""),"")</f>
        <v/>
      </c>
      <c r="U764" s="5" t="str">
        <f>IFERROR(__xludf.DUMMYFUNCTION("""COMPUTED_VALUE"""),"")</f>
        <v/>
      </c>
      <c r="V764" s="5" t="str">
        <f>IFERROR(__xludf.DUMMYFUNCTION("""COMPUTED_VALUE"""),"")</f>
        <v/>
      </c>
      <c r="W764" s="5" t="str">
        <f>IFERROR(__xludf.DUMMYFUNCTION("""COMPUTED_VALUE"""),"")</f>
        <v/>
      </c>
      <c r="X764" s="5" t="str">
        <f>IFERROR(__xludf.DUMMYFUNCTION("""COMPUTED_VALUE"""),"")</f>
        <v/>
      </c>
      <c r="Y764" s="5"/>
      <c r="Z764" s="5"/>
    </row>
    <row r="765">
      <c r="A765" s="5" t="str">
        <f>IFERROR(__xludf.DUMMYFUNCTION("""COMPUTED_VALUE"""),"Sun Of The Nile")</f>
        <v>Sun Of The Nile</v>
      </c>
      <c r="B765" s="5" t="str">
        <f>IFERROR(__xludf.DUMMYFUNCTION("""COMPUTED_VALUE"""),"")</f>
        <v/>
      </c>
      <c r="C765" s="5" t="str">
        <f>IFERROR(__xludf.DUMMYFUNCTION("""COMPUTED_VALUE"""),"")</f>
        <v/>
      </c>
      <c r="D765" s="5" t="str">
        <f>IFERROR(__xludf.DUMMYFUNCTION("""COMPUTED_VALUE"""),"")</f>
        <v/>
      </c>
      <c r="E765" s="5" t="str">
        <f>IFERROR(__xludf.DUMMYFUNCTION("""COMPUTED_VALUE"""),"")</f>
        <v/>
      </c>
      <c r="F765" s="5" t="str">
        <f>IFERROR(__xludf.DUMMYFUNCTION("""COMPUTED_VALUE"""),"")</f>
        <v/>
      </c>
      <c r="G765" s="5" t="str">
        <f>IFERROR(__xludf.DUMMYFUNCTION("""COMPUTED_VALUE"""),"")</f>
        <v/>
      </c>
      <c r="H765" s="5" t="str">
        <f>IFERROR(__xludf.DUMMYFUNCTION("""COMPUTED_VALUE"""),"")</f>
        <v/>
      </c>
      <c r="I765" s="5" t="str">
        <f>IFERROR(__xludf.DUMMYFUNCTION("""COMPUTED_VALUE"""),"")</f>
        <v/>
      </c>
      <c r="J765" s="5" t="str">
        <f>IFERROR(__xludf.DUMMYFUNCTION("""COMPUTED_VALUE"""),"")</f>
        <v/>
      </c>
      <c r="K765" s="5" t="str">
        <f>IFERROR(__xludf.DUMMYFUNCTION("""COMPUTED_VALUE"""),"")</f>
        <v/>
      </c>
      <c r="L765" s="5" t="str">
        <f>IFERROR(__xludf.DUMMYFUNCTION("""COMPUTED_VALUE"""),"")</f>
        <v/>
      </c>
      <c r="M765" s="5" t="str">
        <f>IFERROR(__xludf.DUMMYFUNCTION("""COMPUTED_VALUE"""),"")</f>
        <v/>
      </c>
      <c r="N765" s="5" t="str">
        <f>IFERROR(__xludf.DUMMYFUNCTION("""COMPUTED_VALUE"""),"")</f>
        <v/>
      </c>
      <c r="O765" s="5" t="str">
        <f>IFERROR(__xludf.DUMMYFUNCTION("""COMPUTED_VALUE"""),"")</f>
        <v/>
      </c>
      <c r="P765" s="5" t="str">
        <f>IFERROR(__xludf.DUMMYFUNCTION("""COMPUTED_VALUE"""),"")</f>
        <v/>
      </c>
      <c r="Q765" s="5" t="str">
        <f>IFERROR(__xludf.DUMMYFUNCTION("""COMPUTED_VALUE"""),"")</f>
        <v/>
      </c>
      <c r="R765" s="5" t="str">
        <f>IFERROR(__xludf.DUMMYFUNCTION("""COMPUTED_VALUE"""),"")</f>
        <v/>
      </c>
      <c r="S765" s="5" t="str">
        <f>IFERROR(__xludf.DUMMYFUNCTION("""COMPUTED_VALUE"""),"")</f>
        <v/>
      </c>
      <c r="T765" s="5" t="str">
        <f>IFERROR(__xludf.DUMMYFUNCTION("""COMPUTED_VALUE"""),"")</f>
        <v/>
      </c>
      <c r="U765" s="5" t="str">
        <f>IFERROR(__xludf.DUMMYFUNCTION("""COMPUTED_VALUE"""),"")</f>
        <v/>
      </c>
      <c r="V765" s="5" t="str">
        <f>IFERROR(__xludf.DUMMYFUNCTION("""COMPUTED_VALUE"""),"")</f>
        <v/>
      </c>
      <c r="W765" s="5" t="str">
        <f>IFERROR(__xludf.DUMMYFUNCTION("""COMPUTED_VALUE"""),"")</f>
        <v/>
      </c>
      <c r="X765" s="5" t="str">
        <f>IFERROR(__xludf.DUMMYFUNCTION("""COMPUTED_VALUE"""),"")</f>
        <v/>
      </c>
      <c r="Y765" s="5"/>
      <c r="Z765" s="5"/>
    </row>
    <row r="766">
      <c r="A766" s="5" t="str">
        <f>IFERROR(__xludf.DUMMYFUNCTION("""COMPUTED_VALUE"""),"Dazzle Fireballs")</f>
        <v>Dazzle Fireballs</v>
      </c>
      <c r="B766" s="5" t="str">
        <f>IFERROR(__xludf.DUMMYFUNCTION("""COMPUTED_VALUE"""),"")</f>
        <v/>
      </c>
      <c r="C766" s="5" t="str">
        <f>IFERROR(__xludf.DUMMYFUNCTION("""COMPUTED_VALUE"""),"")</f>
        <v/>
      </c>
      <c r="D766" s="5" t="str">
        <f>IFERROR(__xludf.DUMMYFUNCTION("""COMPUTED_VALUE"""),"")</f>
        <v/>
      </c>
      <c r="E766" s="5" t="str">
        <f>IFERROR(__xludf.DUMMYFUNCTION("""COMPUTED_VALUE"""),"")</f>
        <v/>
      </c>
      <c r="F766" s="5" t="str">
        <f>IFERROR(__xludf.DUMMYFUNCTION("""COMPUTED_VALUE"""),"")</f>
        <v/>
      </c>
      <c r="G766" s="5" t="str">
        <f>IFERROR(__xludf.DUMMYFUNCTION("""COMPUTED_VALUE"""),"")</f>
        <v/>
      </c>
      <c r="H766" s="5" t="str">
        <f>IFERROR(__xludf.DUMMYFUNCTION("""COMPUTED_VALUE"""),"")</f>
        <v/>
      </c>
      <c r="I766" s="5" t="str">
        <f>IFERROR(__xludf.DUMMYFUNCTION("""COMPUTED_VALUE"""),"")</f>
        <v/>
      </c>
      <c r="J766" s="5" t="str">
        <f>IFERROR(__xludf.DUMMYFUNCTION("""COMPUTED_VALUE"""),"")</f>
        <v/>
      </c>
      <c r="K766" s="5" t="str">
        <f>IFERROR(__xludf.DUMMYFUNCTION("""COMPUTED_VALUE"""),"")</f>
        <v/>
      </c>
      <c r="L766" s="5" t="str">
        <f>IFERROR(__xludf.DUMMYFUNCTION("""COMPUTED_VALUE"""),"")</f>
        <v/>
      </c>
      <c r="M766" s="5" t="str">
        <f>IFERROR(__xludf.DUMMYFUNCTION("""COMPUTED_VALUE"""),"")</f>
        <v/>
      </c>
      <c r="N766" s="5" t="str">
        <f>IFERROR(__xludf.DUMMYFUNCTION("""COMPUTED_VALUE"""),"")</f>
        <v/>
      </c>
      <c r="O766" s="5" t="str">
        <f>IFERROR(__xludf.DUMMYFUNCTION("""COMPUTED_VALUE"""),"")</f>
        <v/>
      </c>
      <c r="P766" s="5" t="str">
        <f>IFERROR(__xludf.DUMMYFUNCTION("""COMPUTED_VALUE"""),"")</f>
        <v/>
      </c>
      <c r="Q766" s="5" t="str">
        <f>IFERROR(__xludf.DUMMYFUNCTION("""COMPUTED_VALUE"""),"")</f>
        <v/>
      </c>
      <c r="R766" s="5" t="str">
        <f>IFERROR(__xludf.DUMMYFUNCTION("""COMPUTED_VALUE"""),"")</f>
        <v/>
      </c>
      <c r="S766" s="5" t="str">
        <f>IFERROR(__xludf.DUMMYFUNCTION("""COMPUTED_VALUE"""),"")</f>
        <v/>
      </c>
      <c r="T766" s="5" t="str">
        <f>IFERROR(__xludf.DUMMYFUNCTION("""COMPUTED_VALUE"""),"")</f>
        <v/>
      </c>
      <c r="U766" s="5" t="str">
        <f>IFERROR(__xludf.DUMMYFUNCTION("""COMPUTED_VALUE"""),"")</f>
        <v/>
      </c>
      <c r="V766" s="5" t="str">
        <f>IFERROR(__xludf.DUMMYFUNCTION("""COMPUTED_VALUE"""),"")</f>
        <v/>
      </c>
      <c r="W766" s="5" t="str">
        <f>IFERROR(__xludf.DUMMYFUNCTION("""COMPUTED_VALUE"""),"")</f>
        <v/>
      </c>
      <c r="X766" s="5" t="str">
        <f>IFERROR(__xludf.DUMMYFUNCTION("""COMPUTED_VALUE"""),"")</f>
        <v/>
      </c>
      <c r="Y766" s="5"/>
      <c r="Z766" s="5"/>
    </row>
    <row r="767">
      <c r="A767" s="5" t="str">
        <f>IFERROR(__xludf.DUMMYFUNCTION("""COMPUTED_VALUE"""),"Sevens Pay Dice")</f>
        <v>Sevens Pay Dice</v>
      </c>
      <c r="B767" s="5" t="str">
        <f>IFERROR(__xludf.DUMMYFUNCTION("""COMPUTED_VALUE"""),"")</f>
        <v/>
      </c>
      <c r="C767" s="5" t="str">
        <f>IFERROR(__xludf.DUMMYFUNCTION("""COMPUTED_VALUE"""),"")</f>
        <v/>
      </c>
      <c r="D767" s="5" t="str">
        <f>IFERROR(__xludf.DUMMYFUNCTION("""COMPUTED_VALUE"""),"")</f>
        <v/>
      </c>
      <c r="E767" s="5" t="str">
        <f>IFERROR(__xludf.DUMMYFUNCTION("""COMPUTED_VALUE"""),"")</f>
        <v/>
      </c>
      <c r="F767" s="5" t="str">
        <f>IFERROR(__xludf.DUMMYFUNCTION("""COMPUTED_VALUE"""),"")</f>
        <v/>
      </c>
      <c r="G767" s="5" t="str">
        <f>IFERROR(__xludf.DUMMYFUNCTION("""COMPUTED_VALUE"""),"")</f>
        <v/>
      </c>
      <c r="H767" s="5" t="str">
        <f>IFERROR(__xludf.DUMMYFUNCTION("""COMPUTED_VALUE"""),"")</f>
        <v/>
      </c>
      <c r="I767" s="5" t="str">
        <f>IFERROR(__xludf.DUMMYFUNCTION("""COMPUTED_VALUE"""),"")</f>
        <v/>
      </c>
      <c r="J767" s="5" t="str">
        <f>IFERROR(__xludf.DUMMYFUNCTION("""COMPUTED_VALUE"""),"")</f>
        <v/>
      </c>
      <c r="K767" s="5" t="str">
        <f>IFERROR(__xludf.DUMMYFUNCTION("""COMPUTED_VALUE"""),"")</f>
        <v/>
      </c>
      <c r="L767" s="5" t="str">
        <f>IFERROR(__xludf.DUMMYFUNCTION("""COMPUTED_VALUE"""),"")</f>
        <v/>
      </c>
      <c r="M767" s="5" t="str">
        <f>IFERROR(__xludf.DUMMYFUNCTION("""COMPUTED_VALUE"""),"")</f>
        <v/>
      </c>
      <c r="N767" s="5" t="str">
        <f>IFERROR(__xludf.DUMMYFUNCTION("""COMPUTED_VALUE"""),"")</f>
        <v/>
      </c>
      <c r="O767" s="5" t="str">
        <f>IFERROR(__xludf.DUMMYFUNCTION("""COMPUTED_VALUE"""),"")</f>
        <v/>
      </c>
      <c r="P767" s="5" t="str">
        <f>IFERROR(__xludf.DUMMYFUNCTION("""COMPUTED_VALUE"""),"")</f>
        <v/>
      </c>
      <c r="Q767" s="5" t="str">
        <f>IFERROR(__xludf.DUMMYFUNCTION("""COMPUTED_VALUE"""),"")</f>
        <v/>
      </c>
      <c r="R767" s="5" t="str">
        <f>IFERROR(__xludf.DUMMYFUNCTION("""COMPUTED_VALUE"""),"")</f>
        <v/>
      </c>
      <c r="S767" s="5" t="str">
        <f>IFERROR(__xludf.DUMMYFUNCTION("""COMPUTED_VALUE"""),"")</f>
        <v/>
      </c>
      <c r="T767" s="5" t="str">
        <f>IFERROR(__xludf.DUMMYFUNCTION("""COMPUTED_VALUE"""),"")</f>
        <v/>
      </c>
      <c r="U767" s="5" t="str">
        <f>IFERROR(__xludf.DUMMYFUNCTION("""COMPUTED_VALUE"""),"")</f>
        <v/>
      </c>
      <c r="V767" s="5" t="str">
        <f>IFERROR(__xludf.DUMMYFUNCTION("""COMPUTED_VALUE"""),"")</f>
        <v/>
      </c>
      <c r="W767" s="5" t="str">
        <f>IFERROR(__xludf.DUMMYFUNCTION("""COMPUTED_VALUE"""),"")</f>
        <v/>
      </c>
      <c r="X767" s="5" t="str">
        <f>IFERROR(__xludf.DUMMYFUNCTION("""COMPUTED_VALUE"""),"")</f>
        <v/>
      </c>
      <c r="Y767" s="5"/>
      <c r="Z767" s="5"/>
    </row>
    <row r="768">
      <c r="A768" s="5" t="str">
        <f>IFERROR(__xludf.DUMMYFUNCTION("""COMPUTED_VALUE"""),"Fruituristic Sevens")</f>
        <v>Fruituristic Sevens</v>
      </c>
      <c r="B768" s="5" t="str">
        <f>IFERROR(__xludf.DUMMYFUNCTION("""COMPUTED_VALUE"""),"")</f>
        <v/>
      </c>
      <c r="C768" s="5" t="str">
        <f>IFERROR(__xludf.DUMMYFUNCTION("""COMPUTED_VALUE"""),"")</f>
        <v/>
      </c>
      <c r="D768" s="5" t="str">
        <f>IFERROR(__xludf.DUMMYFUNCTION("""COMPUTED_VALUE"""),"")</f>
        <v/>
      </c>
      <c r="E768" s="5" t="str">
        <f>IFERROR(__xludf.DUMMYFUNCTION("""COMPUTED_VALUE"""),"")</f>
        <v/>
      </c>
      <c r="F768" s="5" t="str">
        <f>IFERROR(__xludf.DUMMYFUNCTION("""COMPUTED_VALUE"""),"")</f>
        <v/>
      </c>
      <c r="G768" s="5" t="str">
        <f>IFERROR(__xludf.DUMMYFUNCTION("""COMPUTED_VALUE"""),"")</f>
        <v/>
      </c>
      <c r="H768" s="5" t="str">
        <f>IFERROR(__xludf.DUMMYFUNCTION("""COMPUTED_VALUE"""),"")</f>
        <v/>
      </c>
      <c r="I768" s="5" t="str">
        <f>IFERROR(__xludf.DUMMYFUNCTION("""COMPUTED_VALUE"""),"")</f>
        <v/>
      </c>
      <c r="J768" s="5" t="str">
        <f>IFERROR(__xludf.DUMMYFUNCTION("""COMPUTED_VALUE"""),"")</f>
        <v/>
      </c>
      <c r="K768" s="5" t="str">
        <f>IFERROR(__xludf.DUMMYFUNCTION("""COMPUTED_VALUE"""),"")</f>
        <v/>
      </c>
      <c r="L768" s="5" t="str">
        <f>IFERROR(__xludf.DUMMYFUNCTION("""COMPUTED_VALUE"""),"")</f>
        <v/>
      </c>
      <c r="M768" s="5" t="str">
        <f>IFERROR(__xludf.DUMMYFUNCTION("""COMPUTED_VALUE"""),"")</f>
        <v/>
      </c>
      <c r="N768" s="5" t="str">
        <f>IFERROR(__xludf.DUMMYFUNCTION("""COMPUTED_VALUE"""),"")</f>
        <v/>
      </c>
      <c r="O768" s="5" t="str">
        <f>IFERROR(__xludf.DUMMYFUNCTION("""COMPUTED_VALUE"""),"")</f>
        <v/>
      </c>
      <c r="P768" s="5" t="str">
        <f>IFERROR(__xludf.DUMMYFUNCTION("""COMPUTED_VALUE"""),"")</f>
        <v/>
      </c>
      <c r="Q768" s="5" t="str">
        <f>IFERROR(__xludf.DUMMYFUNCTION("""COMPUTED_VALUE"""),"")</f>
        <v/>
      </c>
      <c r="R768" s="5" t="str">
        <f>IFERROR(__xludf.DUMMYFUNCTION("""COMPUTED_VALUE"""),"")</f>
        <v/>
      </c>
      <c r="S768" s="5" t="str">
        <f>IFERROR(__xludf.DUMMYFUNCTION("""COMPUTED_VALUE"""),"")</f>
        <v/>
      </c>
      <c r="T768" s="5" t="str">
        <f>IFERROR(__xludf.DUMMYFUNCTION("""COMPUTED_VALUE"""),"")</f>
        <v/>
      </c>
      <c r="U768" s="5" t="str">
        <f>IFERROR(__xludf.DUMMYFUNCTION("""COMPUTED_VALUE"""),"")</f>
        <v/>
      </c>
      <c r="V768" s="5" t="str">
        <f>IFERROR(__xludf.DUMMYFUNCTION("""COMPUTED_VALUE"""),"")</f>
        <v/>
      </c>
      <c r="W768" s="5" t="str">
        <f>IFERROR(__xludf.DUMMYFUNCTION("""COMPUTED_VALUE"""),"")</f>
        <v/>
      </c>
      <c r="X768" s="5" t="str">
        <f>IFERROR(__xludf.DUMMYFUNCTION("""COMPUTED_VALUE"""),"")</f>
        <v/>
      </c>
      <c r="Y768" s="5"/>
      <c r="Z768" s="5"/>
    </row>
    <row r="769">
      <c r="A769" s="5" t="str">
        <f>IFERROR(__xludf.DUMMYFUNCTION("""COMPUTED_VALUE"""),"Three Reel Fortune Wilds")</f>
        <v>Three Reel Fortune Wilds</v>
      </c>
      <c r="B769" s="5" t="str">
        <f>IFERROR(__xludf.DUMMYFUNCTION("""COMPUTED_VALUE"""),"")</f>
        <v/>
      </c>
      <c r="C769" s="5" t="str">
        <f>IFERROR(__xludf.DUMMYFUNCTION("""COMPUTED_VALUE"""),"")</f>
        <v/>
      </c>
      <c r="D769" s="5" t="str">
        <f>IFERROR(__xludf.DUMMYFUNCTION("""COMPUTED_VALUE"""),"")</f>
        <v/>
      </c>
      <c r="E769" s="5" t="str">
        <f>IFERROR(__xludf.DUMMYFUNCTION("""COMPUTED_VALUE"""),"")</f>
        <v/>
      </c>
      <c r="F769" s="5" t="str">
        <f>IFERROR(__xludf.DUMMYFUNCTION("""COMPUTED_VALUE"""),"")</f>
        <v/>
      </c>
      <c r="G769" s="5" t="str">
        <f>IFERROR(__xludf.DUMMYFUNCTION("""COMPUTED_VALUE"""),"")</f>
        <v/>
      </c>
      <c r="H769" s="5" t="str">
        <f>IFERROR(__xludf.DUMMYFUNCTION("""COMPUTED_VALUE"""),"")</f>
        <v/>
      </c>
      <c r="I769" s="5" t="str">
        <f>IFERROR(__xludf.DUMMYFUNCTION("""COMPUTED_VALUE"""),"")</f>
        <v/>
      </c>
      <c r="J769" s="5" t="str">
        <f>IFERROR(__xludf.DUMMYFUNCTION("""COMPUTED_VALUE"""),"")</f>
        <v/>
      </c>
      <c r="K769" s="5" t="str">
        <f>IFERROR(__xludf.DUMMYFUNCTION("""COMPUTED_VALUE"""),"")</f>
        <v/>
      </c>
      <c r="L769" s="5" t="str">
        <f>IFERROR(__xludf.DUMMYFUNCTION("""COMPUTED_VALUE"""),"")</f>
        <v/>
      </c>
      <c r="M769" s="5" t="str">
        <f>IFERROR(__xludf.DUMMYFUNCTION("""COMPUTED_VALUE"""),"")</f>
        <v/>
      </c>
      <c r="N769" s="5" t="str">
        <f>IFERROR(__xludf.DUMMYFUNCTION("""COMPUTED_VALUE"""),"")</f>
        <v/>
      </c>
      <c r="O769" s="5" t="str">
        <f>IFERROR(__xludf.DUMMYFUNCTION("""COMPUTED_VALUE"""),"")</f>
        <v/>
      </c>
      <c r="P769" s="5" t="str">
        <f>IFERROR(__xludf.DUMMYFUNCTION("""COMPUTED_VALUE"""),"")</f>
        <v/>
      </c>
      <c r="Q769" s="5" t="str">
        <f>IFERROR(__xludf.DUMMYFUNCTION("""COMPUTED_VALUE"""),"")</f>
        <v/>
      </c>
      <c r="R769" s="5" t="str">
        <f>IFERROR(__xludf.DUMMYFUNCTION("""COMPUTED_VALUE"""),"")</f>
        <v/>
      </c>
      <c r="S769" s="5" t="str">
        <f>IFERROR(__xludf.DUMMYFUNCTION("""COMPUTED_VALUE"""),"")</f>
        <v/>
      </c>
      <c r="T769" s="5" t="str">
        <f>IFERROR(__xludf.DUMMYFUNCTION("""COMPUTED_VALUE"""),"")</f>
        <v/>
      </c>
      <c r="U769" s="5" t="str">
        <f>IFERROR(__xludf.DUMMYFUNCTION("""COMPUTED_VALUE"""),"")</f>
        <v/>
      </c>
      <c r="V769" s="5" t="str">
        <f>IFERROR(__xludf.DUMMYFUNCTION("""COMPUTED_VALUE"""),"")</f>
        <v/>
      </c>
      <c r="W769" s="5" t="str">
        <f>IFERROR(__xludf.DUMMYFUNCTION("""COMPUTED_VALUE"""),"")</f>
        <v/>
      </c>
      <c r="X769" s="5" t="str">
        <f>IFERROR(__xludf.DUMMYFUNCTION("""COMPUTED_VALUE"""),"")</f>
        <v/>
      </c>
      <c r="Y769" s="5"/>
      <c r="Z769" s="5"/>
    </row>
    <row r="770">
      <c r="A770" s="5" t="str">
        <f>IFERROR(__xludf.DUMMYFUNCTION("""COMPUTED_VALUE"""),"Super Fireballs")</f>
        <v>Super Fireballs</v>
      </c>
      <c r="B770" s="5" t="str">
        <f>IFERROR(__xludf.DUMMYFUNCTION("""COMPUTED_VALUE"""),"")</f>
        <v/>
      </c>
      <c r="C770" s="5" t="str">
        <f>IFERROR(__xludf.DUMMYFUNCTION("""COMPUTED_VALUE"""),"")</f>
        <v/>
      </c>
      <c r="D770" s="5" t="str">
        <f>IFERROR(__xludf.DUMMYFUNCTION("""COMPUTED_VALUE"""),"")</f>
        <v/>
      </c>
      <c r="E770" s="5" t="str">
        <f>IFERROR(__xludf.DUMMYFUNCTION("""COMPUTED_VALUE"""),"")</f>
        <v/>
      </c>
      <c r="F770" s="5" t="str">
        <f>IFERROR(__xludf.DUMMYFUNCTION("""COMPUTED_VALUE"""),"")</f>
        <v/>
      </c>
      <c r="G770" s="5" t="str">
        <f>IFERROR(__xludf.DUMMYFUNCTION("""COMPUTED_VALUE"""),"")</f>
        <v/>
      </c>
      <c r="H770" s="5" t="str">
        <f>IFERROR(__xludf.DUMMYFUNCTION("""COMPUTED_VALUE"""),"")</f>
        <v/>
      </c>
      <c r="I770" s="5" t="str">
        <f>IFERROR(__xludf.DUMMYFUNCTION("""COMPUTED_VALUE"""),"")</f>
        <v/>
      </c>
      <c r="J770" s="5" t="str">
        <f>IFERROR(__xludf.DUMMYFUNCTION("""COMPUTED_VALUE"""),"")</f>
        <v/>
      </c>
      <c r="K770" s="5" t="str">
        <f>IFERROR(__xludf.DUMMYFUNCTION("""COMPUTED_VALUE"""),"")</f>
        <v/>
      </c>
      <c r="L770" s="5" t="str">
        <f>IFERROR(__xludf.DUMMYFUNCTION("""COMPUTED_VALUE"""),"")</f>
        <v/>
      </c>
      <c r="M770" s="5" t="str">
        <f>IFERROR(__xludf.DUMMYFUNCTION("""COMPUTED_VALUE"""),"")</f>
        <v/>
      </c>
      <c r="N770" s="5" t="str">
        <f>IFERROR(__xludf.DUMMYFUNCTION("""COMPUTED_VALUE"""),"")</f>
        <v/>
      </c>
      <c r="O770" s="5" t="str">
        <f>IFERROR(__xludf.DUMMYFUNCTION("""COMPUTED_VALUE"""),"")</f>
        <v/>
      </c>
      <c r="P770" s="5" t="str">
        <f>IFERROR(__xludf.DUMMYFUNCTION("""COMPUTED_VALUE"""),"")</f>
        <v/>
      </c>
      <c r="Q770" s="5" t="str">
        <f>IFERROR(__xludf.DUMMYFUNCTION("""COMPUTED_VALUE"""),"")</f>
        <v/>
      </c>
      <c r="R770" s="5" t="str">
        <f>IFERROR(__xludf.DUMMYFUNCTION("""COMPUTED_VALUE"""),"")</f>
        <v/>
      </c>
      <c r="S770" s="5" t="str">
        <f>IFERROR(__xludf.DUMMYFUNCTION("""COMPUTED_VALUE"""),"")</f>
        <v/>
      </c>
      <c r="T770" s="5" t="str">
        <f>IFERROR(__xludf.DUMMYFUNCTION("""COMPUTED_VALUE"""),"")</f>
        <v/>
      </c>
      <c r="U770" s="5" t="str">
        <f>IFERROR(__xludf.DUMMYFUNCTION("""COMPUTED_VALUE"""),"")</f>
        <v/>
      </c>
      <c r="V770" s="5" t="str">
        <f>IFERROR(__xludf.DUMMYFUNCTION("""COMPUTED_VALUE"""),"")</f>
        <v/>
      </c>
      <c r="W770" s="5" t="str">
        <f>IFERROR(__xludf.DUMMYFUNCTION("""COMPUTED_VALUE"""),"")</f>
        <v/>
      </c>
      <c r="X770" s="5" t="str">
        <f>IFERROR(__xludf.DUMMYFUNCTION("""COMPUTED_VALUE"""),"")</f>
        <v/>
      </c>
      <c r="Y770" s="5"/>
      <c r="Z770" s="5"/>
    </row>
    <row r="771">
      <c r="A771" s="5" t="str">
        <f>IFERROR(__xludf.DUMMYFUNCTION("""COMPUTED_VALUE"""),"Lions Dice Extreme")</f>
        <v>Lions Dice Extreme</v>
      </c>
      <c r="B771" s="5" t="str">
        <f>IFERROR(__xludf.DUMMYFUNCTION("""COMPUTED_VALUE"""),"")</f>
        <v/>
      </c>
      <c r="C771" s="5" t="str">
        <f>IFERROR(__xludf.DUMMYFUNCTION("""COMPUTED_VALUE"""),"")</f>
        <v/>
      </c>
      <c r="D771" s="5" t="str">
        <f>IFERROR(__xludf.DUMMYFUNCTION("""COMPUTED_VALUE"""),"")</f>
        <v/>
      </c>
      <c r="E771" s="5" t="str">
        <f>IFERROR(__xludf.DUMMYFUNCTION("""COMPUTED_VALUE"""),"")</f>
        <v/>
      </c>
      <c r="F771" s="5" t="str">
        <f>IFERROR(__xludf.DUMMYFUNCTION("""COMPUTED_VALUE"""),"")</f>
        <v/>
      </c>
      <c r="G771" s="5" t="str">
        <f>IFERROR(__xludf.DUMMYFUNCTION("""COMPUTED_VALUE"""),"")</f>
        <v/>
      </c>
      <c r="H771" s="5" t="str">
        <f>IFERROR(__xludf.DUMMYFUNCTION("""COMPUTED_VALUE"""),"")</f>
        <v/>
      </c>
      <c r="I771" s="5" t="str">
        <f>IFERROR(__xludf.DUMMYFUNCTION("""COMPUTED_VALUE"""),"")</f>
        <v/>
      </c>
      <c r="J771" s="5" t="str">
        <f>IFERROR(__xludf.DUMMYFUNCTION("""COMPUTED_VALUE"""),"")</f>
        <v/>
      </c>
      <c r="K771" s="5" t="str">
        <f>IFERROR(__xludf.DUMMYFUNCTION("""COMPUTED_VALUE"""),"")</f>
        <v/>
      </c>
      <c r="L771" s="5" t="str">
        <f>IFERROR(__xludf.DUMMYFUNCTION("""COMPUTED_VALUE"""),"")</f>
        <v/>
      </c>
      <c r="M771" s="5" t="str">
        <f>IFERROR(__xludf.DUMMYFUNCTION("""COMPUTED_VALUE"""),"")</f>
        <v/>
      </c>
      <c r="N771" s="5" t="str">
        <f>IFERROR(__xludf.DUMMYFUNCTION("""COMPUTED_VALUE"""),"")</f>
        <v/>
      </c>
      <c r="O771" s="5" t="str">
        <f>IFERROR(__xludf.DUMMYFUNCTION("""COMPUTED_VALUE"""),"")</f>
        <v/>
      </c>
      <c r="P771" s="5" t="str">
        <f>IFERROR(__xludf.DUMMYFUNCTION("""COMPUTED_VALUE"""),"")</f>
        <v/>
      </c>
      <c r="Q771" s="5" t="str">
        <f>IFERROR(__xludf.DUMMYFUNCTION("""COMPUTED_VALUE"""),"")</f>
        <v/>
      </c>
      <c r="R771" s="5" t="str">
        <f>IFERROR(__xludf.DUMMYFUNCTION("""COMPUTED_VALUE"""),"")</f>
        <v/>
      </c>
      <c r="S771" s="5" t="str">
        <f>IFERROR(__xludf.DUMMYFUNCTION("""COMPUTED_VALUE"""),"")</f>
        <v/>
      </c>
      <c r="T771" s="5" t="str">
        <f>IFERROR(__xludf.DUMMYFUNCTION("""COMPUTED_VALUE"""),"")</f>
        <v/>
      </c>
      <c r="U771" s="5" t="str">
        <f>IFERROR(__xludf.DUMMYFUNCTION("""COMPUTED_VALUE"""),"")</f>
        <v/>
      </c>
      <c r="V771" s="5" t="str">
        <f>IFERROR(__xludf.DUMMYFUNCTION("""COMPUTED_VALUE"""),"")</f>
        <v/>
      </c>
      <c r="W771" s="5" t="str">
        <f>IFERROR(__xludf.DUMMYFUNCTION("""COMPUTED_VALUE"""),"")</f>
        <v/>
      </c>
      <c r="X771" s="5" t="str">
        <f>IFERROR(__xludf.DUMMYFUNCTION("""COMPUTED_VALUE"""),"")</f>
        <v/>
      </c>
      <c r="Y771" s="5"/>
      <c r="Z771" s="5"/>
    </row>
    <row r="772">
      <c r="A772" s="5" t="str">
        <f>IFERROR(__xludf.DUMMYFUNCTION("""COMPUTED_VALUE"""),"Lucky Pay Reels")</f>
        <v>Lucky Pay Reels</v>
      </c>
      <c r="B772" s="5" t="str">
        <f>IFERROR(__xludf.DUMMYFUNCTION("""COMPUTED_VALUE"""),"")</f>
        <v/>
      </c>
      <c r="C772" s="5" t="str">
        <f>IFERROR(__xludf.DUMMYFUNCTION("""COMPUTED_VALUE"""),"")</f>
        <v/>
      </c>
      <c r="D772" s="5" t="str">
        <f>IFERROR(__xludf.DUMMYFUNCTION("""COMPUTED_VALUE"""),"")</f>
        <v/>
      </c>
      <c r="E772" s="5" t="str">
        <f>IFERROR(__xludf.DUMMYFUNCTION("""COMPUTED_VALUE"""),"")</f>
        <v/>
      </c>
      <c r="F772" s="5" t="str">
        <f>IFERROR(__xludf.DUMMYFUNCTION("""COMPUTED_VALUE"""),"")</f>
        <v/>
      </c>
      <c r="G772" s="5" t="str">
        <f>IFERROR(__xludf.DUMMYFUNCTION("""COMPUTED_VALUE"""),"")</f>
        <v/>
      </c>
      <c r="H772" s="5" t="str">
        <f>IFERROR(__xludf.DUMMYFUNCTION("""COMPUTED_VALUE"""),"")</f>
        <v/>
      </c>
      <c r="I772" s="5" t="str">
        <f>IFERROR(__xludf.DUMMYFUNCTION("""COMPUTED_VALUE"""),"")</f>
        <v/>
      </c>
      <c r="J772" s="5" t="str">
        <f>IFERROR(__xludf.DUMMYFUNCTION("""COMPUTED_VALUE"""),"")</f>
        <v/>
      </c>
      <c r="K772" s="5" t="str">
        <f>IFERROR(__xludf.DUMMYFUNCTION("""COMPUTED_VALUE"""),"")</f>
        <v/>
      </c>
      <c r="L772" s="5" t="str">
        <f>IFERROR(__xludf.DUMMYFUNCTION("""COMPUTED_VALUE"""),"")</f>
        <v/>
      </c>
      <c r="M772" s="5" t="str">
        <f>IFERROR(__xludf.DUMMYFUNCTION("""COMPUTED_VALUE"""),"")</f>
        <v/>
      </c>
      <c r="N772" s="5" t="str">
        <f>IFERROR(__xludf.DUMMYFUNCTION("""COMPUTED_VALUE"""),"")</f>
        <v/>
      </c>
      <c r="O772" s="5" t="str">
        <f>IFERROR(__xludf.DUMMYFUNCTION("""COMPUTED_VALUE"""),"")</f>
        <v/>
      </c>
      <c r="P772" s="5" t="str">
        <f>IFERROR(__xludf.DUMMYFUNCTION("""COMPUTED_VALUE"""),"")</f>
        <v/>
      </c>
      <c r="Q772" s="5" t="str">
        <f>IFERROR(__xludf.DUMMYFUNCTION("""COMPUTED_VALUE"""),"")</f>
        <v/>
      </c>
      <c r="R772" s="5" t="str">
        <f>IFERROR(__xludf.DUMMYFUNCTION("""COMPUTED_VALUE"""),"")</f>
        <v/>
      </c>
      <c r="S772" s="5" t="str">
        <f>IFERROR(__xludf.DUMMYFUNCTION("""COMPUTED_VALUE"""),"")</f>
        <v/>
      </c>
      <c r="T772" s="5" t="str">
        <f>IFERROR(__xludf.DUMMYFUNCTION("""COMPUTED_VALUE"""),"")</f>
        <v/>
      </c>
      <c r="U772" s="5" t="str">
        <f>IFERROR(__xludf.DUMMYFUNCTION("""COMPUTED_VALUE"""),"")</f>
        <v/>
      </c>
      <c r="V772" s="5" t="str">
        <f>IFERROR(__xludf.DUMMYFUNCTION("""COMPUTED_VALUE"""),"")</f>
        <v/>
      </c>
      <c r="W772" s="5" t="str">
        <f>IFERROR(__xludf.DUMMYFUNCTION("""COMPUTED_VALUE"""),"")</f>
        <v/>
      </c>
      <c r="X772" s="5" t="str">
        <f>IFERROR(__xludf.DUMMYFUNCTION("""COMPUTED_VALUE"""),"")</f>
        <v/>
      </c>
      <c r="Y772" s="5"/>
      <c r="Z772" s="5"/>
    </row>
    <row r="773">
      <c r="A773" s="5" t="str">
        <f>IFERROR(__xludf.DUMMYFUNCTION("""COMPUTED_VALUE"""),"Stack Wild Attack")</f>
        <v>Stack Wild Attack</v>
      </c>
      <c r="B773" s="5" t="str">
        <f>IFERROR(__xludf.DUMMYFUNCTION("""COMPUTED_VALUE"""),"")</f>
        <v/>
      </c>
      <c r="C773" s="5" t="str">
        <f>IFERROR(__xludf.DUMMYFUNCTION("""COMPUTED_VALUE"""),"")</f>
        <v/>
      </c>
      <c r="D773" s="5" t="str">
        <f>IFERROR(__xludf.DUMMYFUNCTION("""COMPUTED_VALUE"""),"")</f>
        <v/>
      </c>
      <c r="E773" s="5" t="str">
        <f>IFERROR(__xludf.DUMMYFUNCTION("""COMPUTED_VALUE"""),"")</f>
        <v/>
      </c>
      <c r="F773" s="5" t="str">
        <f>IFERROR(__xludf.DUMMYFUNCTION("""COMPUTED_VALUE"""),"")</f>
        <v/>
      </c>
      <c r="G773" s="5" t="str">
        <f>IFERROR(__xludf.DUMMYFUNCTION("""COMPUTED_VALUE"""),"")</f>
        <v/>
      </c>
      <c r="H773" s="5" t="str">
        <f>IFERROR(__xludf.DUMMYFUNCTION("""COMPUTED_VALUE"""),"")</f>
        <v/>
      </c>
      <c r="I773" s="5" t="str">
        <f>IFERROR(__xludf.DUMMYFUNCTION("""COMPUTED_VALUE"""),"")</f>
        <v/>
      </c>
      <c r="J773" s="5" t="str">
        <f>IFERROR(__xludf.DUMMYFUNCTION("""COMPUTED_VALUE"""),"")</f>
        <v/>
      </c>
      <c r="K773" s="5" t="str">
        <f>IFERROR(__xludf.DUMMYFUNCTION("""COMPUTED_VALUE"""),"")</f>
        <v/>
      </c>
      <c r="L773" s="5" t="str">
        <f>IFERROR(__xludf.DUMMYFUNCTION("""COMPUTED_VALUE"""),"")</f>
        <v/>
      </c>
      <c r="M773" s="5" t="str">
        <f>IFERROR(__xludf.DUMMYFUNCTION("""COMPUTED_VALUE"""),"")</f>
        <v/>
      </c>
      <c r="N773" s="5" t="str">
        <f>IFERROR(__xludf.DUMMYFUNCTION("""COMPUTED_VALUE"""),"")</f>
        <v/>
      </c>
      <c r="O773" s="5" t="str">
        <f>IFERROR(__xludf.DUMMYFUNCTION("""COMPUTED_VALUE"""),"")</f>
        <v/>
      </c>
      <c r="P773" s="5" t="str">
        <f>IFERROR(__xludf.DUMMYFUNCTION("""COMPUTED_VALUE"""),"")</f>
        <v/>
      </c>
      <c r="Q773" s="5" t="str">
        <f>IFERROR(__xludf.DUMMYFUNCTION("""COMPUTED_VALUE"""),"")</f>
        <v/>
      </c>
      <c r="R773" s="5" t="str">
        <f>IFERROR(__xludf.DUMMYFUNCTION("""COMPUTED_VALUE"""),"")</f>
        <v/>
      </c>
      <c r="S773" s="5" t="str">
        <f>IFERROR(__xludf.DUMMYFUNCTION("""COMPUTED_VALUE"""),"")</f>
        <v/>
      </c>
      <c r="T773" s="5" t="str">
        <f>IFERROR(__xludf.DUMMYFUNCTION("""COMPUTED_VALUE"""),"")</f>
        <v/>
      </c>
      <c r="U773" s="5" t="str">
        <f>IFERROR(__xludf.DUMMYFUNCTION("""COMPUTED_VALUE"""),"")</f>
        <v/>
      </c>
      <c r="V773" s="5" t="str">
        <f>IFERROR(__xludf.DUMMYFUNCTION("""COMPUTED_VALUE"""),"")</f>
        <v/>
      </c>
      <c r="W773" s="5" t="str">
        <f>IFERROR(__xludf.DUMMYFUNCTION("""COMPUTED_VALUE"""),"")</f>
        <v/>
      </c>
      <c r="X773" s="5" t="str">
        <f>IFERROR(__xludf.DUMMYFUNCTION("""COMPUTED_VALUE"""),"")</f>
        <v/>
      </c>
      <c r="Y773" s="5"/>
      <c r="Z773" s="5"/>
    </row>
    <row r="774">
      <c r="A774" s="5" t="str">
        <f>IFERROR(__xludf.DUMMYFUNCTION("""COMPUTED_VALUE"""),"Forever Fruit")</f>
        <v>Forever Fruit</v>
      </c>
      <c r="B774" s="5" t="str">
        <f>IFERROR(__xludf.DUMMYFUNCTION("""COMPUTED_VALUE"""),"")</f>
        <v/>
      </c>
      <c r="C774" s="5" t="str">
        <f>IFERROR(__xludf.DUMMYFUNCTION("""COMPUTED_VALUE"""),"")</f>
        <v/>
      </c>
      <c r="D774" s="5" t="str">
        <f>IFERROR(__xludf.DUMMYFUNCTION("""COMPUTED_VALUE"""),"")</f>
        <v/>
      </c>
      <c r="E774" s="5" t="str">
        <f>IFERROR(__xludf.DUMMYFUNCTION("""COMPUTED_VALUE"""),"")</f>
        <v/>
      </c>
      <c r="F774" s="5" t="str">
        <f>IFERROR(__xludf.DUMMYFUNCTION("""COMPUTED_VALUE"""),"")</f>
        <v/>
      </c>
      <c r="G774" s="5" t="str">
        <f>IFERROR(__xludf.DUMMYFUNCTION("""COMPUTED_VALUE"""),"")</f>
        <v/>
      </c>
      <c r="H774" s="5" t="str">
        <f>IFERROR(__xludf.DUMMYFUNCTION("""COMPUTED_VALUE"""),"")</f>
        <v/>
      </c>
      <c r="I774" s="5" t="str">
        <f>IFERROR(__xludf.DUMMYFUNCTION("""COMPUTED_VALUE"""),"")</f>
        <v/>
      </c>
      <c r="J774" s="5" t="str">
        <f>IFERROR(__xludf.DUMMYFUNCTION("""COMPUTED_VALUE"""),"")</f>
        <v/>
      </c>
      <c r="K774" s="5" t="str">
        <f>IFERROR(__xludf.DUMMYFUNCTION("""COMPUTED_VALUE"""),"")</f>
        <v/>
      </c>
      <c r="L774" s="5" t="str">
        <f>IFERROR(__xludf.DUMMYFUNCTION("""COMPUTED_VALUE"""),"")</f>
        <v/>
      </c>
      <c r="M774" s="5" t="str">
        <f>IFERROR(__xludf.DUMMYFUNCTION("""COMPUTED_VALUE"""),"")</f>
        <v/>
      </c>
      <c r="N774" s="5" t="str">
        <f>IFERROR(__xludf.DUMMYFUNCTION("""COMPUTED_VALUE"""),"")</f>
        <v/>
      </c>
      <c r="O774" s="5" t="str">
        <f>IFERROR(__xludf.DUMMYFUNCTION("""COMPUTED_VALUE"""),"")</f>
        <v/>
      </c>
      <c r="P774" s="5" t="str">
        <f>IFERROR(__xludf.DUMMYFUNCTION("""COMPUTED_VALUE"""),"")</f>
        <v/>
      </c>
      <c r="Q774" s="5" t="str">
        <f>IFERROR(__xludf.DUMMYFUNCTION("""COMPUTED_VALUE"""),"")</f>
        <v/>
      </c>
      <c r="R774" s="5" t="str">
        <f>IFERROR(__xludf.DUMMYFUNCTION("""COMPUTED_VALUE"""),"")</f>
        <v/>
      </c>
      <c r="S774" s="5" t="str">
        <f>IFERROR(__xludf.DUMMYFUNCTION("""COMPUTED_VALUE"""),"")</f>
        <v/>
      </c>
      <c r="T774" s="5" t="str">
        <f>IFERROR(__xludf.DUMMYFUNCTION("""COMPUTED_VALUE"""),"")</f>
        <v/>
      </c>
      <c r="U774" s="5" t="str">
        <f>IFERROR(__xludf.DUMMYFUNCTION("""COMPUTED_VALUE"""),"")</f>
        <v/>
      </c>
      <c r="V774" s="5" t="str">
        <f>IFERROR(__xludf.DUMMYFUNCTION("""COMPUTED_VALUE"""),"")</f>
        <v/>
      </c>
      <c r="W774" s="5" t="str">
        <f>IFERROR(__xludf.DUMMYFUNCTION("""COMPUTED_VALUE"""),"")</f>
        <v/>
      </c>
      <c r="X774" s="5" t="str">
        <f>IFERROR(__xludf.DUMMYFUNCTION("""COMPUTED_VALUE"""),"")</f>
        <v/>
      </c>
      <c r="Y774" s="5"/>
      <c r="Z774" s="5"/>
    </row>
    <row r="775">
      <c r="A775" s="5" t="str">
        <f>IFERROR(__xludf.DUMMYFUNCTION("""COMPUTED_VALUE"""),"Double Hot Chili")</f>
        <v>Double Hot Chili</v>
      </c>
      <c r="B775" s="5" t="str">
        <f>IFERROR(__xludf.DUMMYFUNCTION("""COMPUTED_VALUE"""),"")</f>
        <v/>
      </c>
      <c r="C775" s="5" t="str">
        <f>IFERROR(__xludf.DUMMYFUNCTION("""COMPUTED_VALUE"""),"")</f>
        <v/>
      </c>
      <c r="D775" s="5" t="str">
        <f>IFERROR(__xludf.DUMMYFUNCTION("""COMPUTED_VALUE"""),"")</f>
        <v/>
      </c>
      <c r="E775" s="5" t="str">
        <f>IFERROR(__xludf.DUMMYFUNCTION("""COMPUTED_VALUE"""),"")</f>
        <v/>
      </c>
      <c r="F775" s="5" t="str">
        <f>IFERROR(__xludf.DUMMYFUNCTION("""COMPUTED_VALUE"""),"")</f>
        <v/>
      </c>
      <c r="G775" s="5" t="str">
        <f>IFERROR(__xludf.DUMMYFUNCTION("""COMPUTED_VALUE"""),"")</f>
        <v/>
      </c>
      <c r="H775" s="5" t="str">
        <f>IFERROR(__xludf.DUMMYFUNCTION("""COMPUTED_VALUE"""),"")</f>
        <v/>
      </c>
      <c r="I775" s="5" t="str">
        <f>IFERROR(__xludf.DUMMYFUNCTION("""COMPUTED_VALUE"""),"")</f>
        <v/>
      </c>
      <c r="J775" s="5" t="str">
        <f>IFERROR(__xludf.DUMMYFUNCTION("""COMPUTED_VALUE"""),"")</f>
        <v/>
      </c>
      <c r="K775" s="5" t="str">
        <f>IFERROR(__xludf.DUMMYFUNCTION("""COMPUTED_VALUE"""),"")</f>
        <v/>
      </c>
      <c r="L775" s="5" t="str">
        <f>IFERROR(__xludf.DUMMYFUNCTION("""COMPUTED_VALUE"""),"")</f>
        <v/>
      </c>
      <c r="M775" s="5" t="str">
        <f>IFERROR(__xludf.DUMMYFUNCTION("""COMPUTED_VALUE"""),"")</f>
        <v/>
      </c>
      <c r="N775" s="5" t="str">
        <f>IFERROR(__xludf.DUMMYFUNCTION("""COMPUTED_VALUE"""),"")</f>
        <v/>
      </c>
      <c r="O775" s="5" t="str">
        <f>IFERROR(__xludf.DUMMYFUNCTION("""COMPUTED_VALUE"""),"")</f>
        <v/>
      </c>
      <c r="P775" s="5" t="str">
        <f>IFERROR(__xludf.DUMMYFUNCTION("""COMPUTED_VALUE"""),"")</f>
        <v/>
      </c>
      <c r="Q775" s="5" t="str">
        <f>IFERROR(__xludf.DUMMYFUNCTION("""COMPUTED_VALUE"""),"")</f>
        <v/>
      </c>
      <c r="R775" s="5" t="str">
        <f>IFERROR(__xludf.DUMMYFUNCTION("""COMPUTED_VALUE"""),"")</f>
        <v/>
      </c>
      <c r="S775" s="5" t="str">
        <f>IFERROR(__xludf.DUMMYFUNCTION("""COMPUTED_VALUE"""),"")</f>
        <v/>
      </c>
      <c r="T775" s="5" t="str">
        <f>IFERROR(__xludf.DUMMYFUNCTION("""COMPUTED_VALUE"""),"")</f>
        <v/>
      </c>
      <c r="U775" s="5" t="str">
        <f>IFERROR(__xludf.DUMMYFUNCTION("""COMPUTED_VALUE"""),"")</f>
        <v/>
      </c>
      <c r="V775" s="5" t="str">
        <f>IFERROR(__xludf.DUMMYFUNCTION("""COMPUTED_VALUE"""),"")</f>
        <v/>
      </c>
      <c r="W775" s="5" t="str">
        <f>IFERROR(__xludf.DUMMYFUNCTION("""COMPUTED_VALUE"""),"")</f>
        <v/>
      </c>
      <c r="X775" s="5" t="str">
        <f>IFERROR(__xludf.DUMMYFUNCTION("""COMPUTED_VALUE"""),"")</f>
        <v/>
      </c>
      <c r="Y775" s="5"/>
      <c r="Z775" s="5"/>
    </row>
    <row r="776">
      <c r="A776" s="5" t="str">
        <f>IFERROR(__xludf.DUMMYFUNCTION("""COMPUTED_VALUE"""),"Golden Sheriff Wilds")</f>
        <v>Golden Sheriff Wilds</v>
      </c>
      <c r="B776" s="5" t="str">
        <f>IFERROR(__xludf.DUMMYFUNCTION("""COMPUTED_VALUE"""),"")</f>
        <v/>
      </c>
      <c r="C776" s="5" t="str">
        <f>IFERROR(__xludf.DUMMYFUNCTION("""COMPUTED_VALUE"""),"")</f>
        <v/>
      </c>
      <c r="D776" s="5" t="str">
        <f>IFERROR(__xludf.DUMMYFUNCTION("""COMPUTED_VALUE"""),"")</f>
        <v/>
      </c>
      <c r="E776" s="5" t="str">
        <f>IFERROR(__xludf.DUMMYFUNCTION("""COMPUTED_VALUE"""),"")</f>
        <v/>
      </c>
      <c r="F776" s="5" t="str">
        <f>IFERROR(__xludf.DUMMYFUNCTION("""COMPUTED_VALUE"""),"")</f>
        <v/>
      </c>
      <c r="G776" s="5" t="str">
        <f>IFERROR(__xludf.DUMMYFUNCTION("""COMPUTED_VALUE"""),"")</f>
        <v/>
      </c>
      <c r="H776" s="5" t="str">
        <f>IFERROR(__xludf.DUMMYFUNCTION("""COMPUTED_VALUE"""),"")</f>
        <v/>
      </c>
      <c r="I776" s="5" t="str">
        <f>IFERROR(__xludf.DUMMYFUNCTION("""COMPUTED_VALUE"""),"")</f>
        <v/>
      </c>
      <c r="J776" s="5" t="str">
        <f>IFERROR(__xludf.DUMMYFUNCTION("""COMPUTED_VALUE"""),"")</f>
        <v/>
      </c>
      <c r="K776" s="5" t="str">
        <f>IFERROR(__xludf.DUMMYFUNCTION("""COMPUTED_VALUE"""),"")</f>
        <v/>
      </c>
      <c r="L776" s="5" t="str">
        <f>IFERROR(__xludf.DUMMYFUNCTION("""COMPUTED_VALUE"""),"")</f>
        <v/>
      </c>
      <c r="M776" s="5" t="str">
        <f>IFERROR(__xludf.DUMMYFUNCTION("""COMPUTED_VALUE"""),"")</f>
        <v/>
      </c>
      <c r="N776" s="5" t="str">
        <f>IFERROR(__xludf.DUMMYFUNCTION("""COMPUTED_VALUE"""),"")</f>
        <v/>
      </c>
      <c r="O776" s="5" t="str">
        <f>IFERROR(__xludf.DUMMYFUNCTION("""COMPUTED_VALUE"""),"")</f>
        <v/>
      </c>
      <c r="P776" s="5" t="str">
        <f>IFERROR(__xludf.DUMMYFUNCTION("""COMPUTED_VALUE"""),"")</f>
        <v/>
      </c>
      <c r="Q776" s="5" t="str">
        <f>IFERROR(__xludf.DUMMYFUNCTION("""COMPUTED_VALUE"""),"")</f>
        <v/>
      </c>
      <c r="R776" s="5" t="str">
        <f>IFERROR(__xludf.DUMMYFUNCTION("""COMPUTED_VALUE"""),"")</f>
        <v/>
      </c>
      <c r="S776" s="5" t="str">
        <f>IFERROR(__xludf.DUMMYFUNCTION("""COMPUTED_VALUE"""),"")</f>
        <v/>
      </c>
      <c r="T776" s="5" t="str">
        <f>IFERROR(__xludf.DUMMYFUNCTION("""COMPUTED_VALUE"""),"")</f>
        <v/>
      </c>
      <c r="U776" s="5" t="str">
        <f>IFERROR(__xludf.DUMMYFUNCTION("""COMPUTED_VALUE"""),"")</f>
        <v/>
      </c>
      <c r="V776" s="5" t="str">
        <f>IFERROR(__xludf.DUMMYFUNCTION("""COMPUTED_VALUE"""),"")</f>
        <v/>
      </c>
      <c r="W776" s="5" t="str">
        <f>IFERROR(__xludf.DUMMYFUNCTION("""COMPUTED_VALUE"""),"")</f>
        <v/>
      </c>
      <c r="X776" s="5" t="str">
        <f>IFERROR(__xludf.DUMMYFUNCTION("""COMPUTED_VALUE"""),"")</f>
        <v/>
      </c>
      <c r="Y776" s="5"/>
      <c r="Z776" s="5"/>
    </row>
    <row r="777">
      <c r="A777" s="5" t="str">
        <f>IFERROR(__xludf.DUMMYFUNCTION("""COMPUTED_VALUE"""),"Lucky Crown 5")</f>
        <v>Lucky Crown 5</v>
      </c>
      <c r="B777" s="5" t="str">
        <f>IFERROR(__xludf.DUMMYFUNCTION("""COMPUTED_VALUE"""),"")</f>
        <v/>
      </c>
      <c r="C777" s="5" t="str">
        <f>IFERROR(__xludf.DUMMYFUNCTION("""COMPUTED_VALUE"""),"")</f>
        <v/>
      </c>
      <c r="D777" s="5" t="str">
        <f>IFERROR(__xludf.DUMMYFUNCTION("""COMPUTED_VALUE"""),"")</f>
        <v/>
      </c>
      <c r="E777" s="5" t="str">
        <f>IFERROR(__xludf.DUMMYFUNCTION("""COMPUTED_VALUE"""),"")</f>
        <v/>
      </c>
      <c r="F777" s="5" t="str">
        <f>IFERROR(__xludf.DUMMYFUNCTION("""COMPUTED_VALUE"""),"")</f>
        <v/>
      </c>
      <c r="G777" s="5" t="str">
        <f>IFERROR(__xludf.DUMMYFUNCTION("""COMPUTED_VALUE"""),"")</f>
        <v/>
      </c>
      <c r="H777" s="5" t="str">
        <f>IFERROR(__xludf.DUMMYFUNCTION("""COMPUTED_VALUE"""),"")</f>
        <v/>
      </c>
      <c r="I777" s="5" t="str">
        <f>IFERROR(__xludf.DUMMYFUNCTION("""COMPUTED_VALUE"""),"")</f>
        <v/>
      </c>
      <c r="J777" s="5" t="str">
        <f>IFERROR(__xludf.DUMMYFUNCTION("""COMPUTED_VALUE"""),"")</f>
        <v/>
      </c>
      <c r="K777" s="5" t="str">
        <f>IFERROR(__xludf.DUMMYFUNCTION("""COMPUTED_VALUE"""),"")</f>
        <v/>
      </c>
      <c r="L777" s="5" t="str">
        <f>IFERROR(__xludf.DUMMYFUNCTION("""COMPUTED_VALUE"""),"")</f>
        <v/>
      </c>
      <c r="M777" s="5" t="str">
        <f>IFERROR(__xludf.DUMMYFUNCTION("""COMPUTED_VALUE"""),"")</f>
        <v/>
      </c>
      <c r="N777" s="5" t="str">
        <f>IFERROR(__xludf.DUMMYFUNCTION("""COMPUTED_VALUE"""),"")</f>
        <v/>
      </c>
      <c r="O777" s="5" t="str">
        <f>IFERROR(__xludf.DUMMYFUNCTION("""COMPUTED_VALUE"""),"")</f>
        <v/>
      </c>
      <c r="P777" s="5" t="str">
        <f>IFERROR(__xludf.DUMMYFUNCTION("""COMPUTED_VALUE"""),"")</f>
        <v/>
      </c>
      <c r="Q777" s="5" t="str">
        <f>IFERROR(__xludf.DUMMYFUNCTION("""COMPUTED_VALUE"""),"")</f>
        <v/>
      </c>
      <c r="R777" s="5" t="str">
        <f>IFERROR(__xludf.DUMMYFUNCTION("""COMPUTED_VALUE"""),"")</f>
        <v/>
      </c>
      <c r="S777" s="5" t="str">
        <f>IFERROR(__xludf.DUMMYFUNCTION("""COMPUTED_VALUE"""),"")</f>
        <v/>
      </c>
      <c r="T777" s="5" t="str">
        <f>IFERROR(__xludf.DUMMYFUNCTION("""COMPUTED_VALUE"""),"")</f>
        <v/>
      </c>
      <c r="U777" s="5" t="str">
        <f>IFERROR(__xludf.DUMMYFUNCTION("""COMPUTED_VALUE"""),"")</f>
        <v/>
      </c>
      <c r="V777" s="5" t="str">
        <f>IFERROR(__xludf.DUMMYFUNCTION("""COMPUTED_VALUE"""),"")</f>
        <v/>
      </c>
      <c r="W777" s="5" t="str">
        <f>IFERROR(__xludf.DUMMYFUNCTION("""COMPUTED_VALUE"""),"")</f>
        <v/>
      </c>
      <c r="X777" s="5" t="str">
        <f>IFERROR(__xludf.DUMMYFUNCTION("""COMPUTED_VALUE"""),"")</f>
        <v/>
      </c>
      <c r="Y777" s="5"/>
      <c r="Z777" s="5"/>
    </row>
    <row r="778">
      <c r="A778" s="5" t="str">
        <f>IFERROR(__xludf.DUMMYFUNCTION("""COMPUTED_VALUE"""),"Royal Jewels Fortune Deluxe")</f>
        <v>Royal Jewels Fortune Deluxe</v>
      </c>
      <c r="B778" s="5" t="str">
        <f>IFERROR(__xludf.DUMMYFUNCTION("""COMPUTED_VALUE"""),"")</f>
        <v/>
      </c>
      <c r="C778" s="5" t="str">
        <f>IFERROR(__xludf.DUMMYFUNCTION("""COMPUTED_VALUE"""),"")</f>
        <v/>
      </c>
      <c r="D778" s="5" t="str">
        <f>IFERROR(__xludf.DUMMYFUNCTION("""COMPUTED_VALUE"""),"")</f>
        <v/>
      </c>
      <c r="E778" s="5" t="str">
        <f>IFERROR(__xludf.DUMMYFUNCTION("""COMPUTED_VALUE"""),"")</f>
        <v/>
      </c>
      <c r="F778" s="5" t="str">
        <f>IFERROR(__xludf.DUMMYFUNCTION("""COMPUTED_VALUE"""),"")</f>
        <v/>
      </c>
      <c r="G778" s="5" t="str">
        <f>IFERROR(__xludf.DUMMYFUNCTION("""COMPUTED_VALUE"""),"")</f>
        <v/>
      </c>
      <c r="H778" s="5" t="str">
        <f>IFERROR(__xludf.DUMMYFUNCTION("""COMPUTED_VALUE"""),"")</f>
        <v/>
      </c>
      <c r="I778" s="5" t="str">
        <f>IFERROR(__xludf.DUMMYFUNCTION("""COMPUTED_VALUE"""),"")</f>
        <v/>
      </c>
      <c r="J778" s="5" t="str">
        <f>IFERROR(__xludf.DUMMYFUNCTION("""COMPUTED_VALUE"""),"")</f>
        <v/>
      </c>
      <c r="K778" s="5" t="str">
        <f>IFERROR(__xludf.DUMMYFUNCTION("""COMPUTED_VALUE"""),"")</f>
        <v/>
      </c>
      <c r="L778" s="5" t="str">
        <f>IFERROR(__xludf.DUMMYFUNCTION("""COMPUTED_VALUE"""),"")</f>
        <v/>
      </c>
      <c r="M778" s="5" t="str">
        <f>IFERROR(__xludf.DUMMYFUNCTION("""COMPUTED_VALUE"""),"")</f>
        <v/>
      </c>
      <c r="N778" s="5" t="str">
        <f>IFERROR(__xludf.DUMMYFUNCTION("""COMPUTED_VALUE"""),"")</f>
        <v/>
      </c>
      <c r="O778" s="5" t="str">
        <f>IFERROR(__xludf.DUMMYFUNCTION("""COMPUTED_VALUE"""),"")</f>
        <v/>
      </c>
      <c r="P778" s="5" t="str">
        <f>IFERROR(__xludf.DUMMYFUNCTION("""COMPUTED_VALUE"""),"")</f>
        <v/>
      </c>
      <c r="Q778" s="5" t="str">
        <f>IFERROR(__xludf.DUMMYFUNCTION("""COMPUTED_VALUE"""),"")</f>
        <v/>
      </c>
      <c r="R778" s="5" t="str">
        <f>IFERROR(__xludf.DUMMYFUNCTION("""COMPUTED_VALUE"""),"")</f>
        <v/>
      </c>
      <c r="S778" s="5" t="str">
        <f>IFERROR(__xludf.DUMMYFUNCTION("""COMPUTED_VALUE"""),"")</f>
        <v/>
      </c>
      <c r="T778" s="5" t="str">
        <f>IFERROR(__xludf.DUMMYFUNCTION("""COMPUTED_VALUE"""),"")</f>
        <v/>
      </c>
      <c r="U778" s="5" t="str">
        <f>IFERROR(__xludf.DUMMYFUNCTION("""COMPUTED_VALUE"""),"")</f>
        <v/>
      </c>
      <c r="V778" s="5" t="str">
        <f>IFERROR(__xludf.DUMMYFUNCTION("""COMPUTED_VALUE"""),"")</f>
        <v/>
      </c>
      <c r="W778" s="5" t="str">
        <f>IFERROR(__xludf.DUMMYFUNCTION("""COMPUTED_VALUE"""),"")</f>
        <v/>
      </c>
      <c r="X778" s="5" t="str">
        <f>IFERROR(__xludf.DUMMYFUNCTION("""COMPUTED_VALUE"""),"")</f>
        <v/>
      </c>
      <c r="Y778" s="5"/>
      <c r="Z778" s="5"/>
    </row>
    <row r="779">
      <c r="A779" s="5" t="str">
        <f>IFERROR(__xludf.DUMMYFUNCTION("""COMPUTED_VALUE"""),"Triple Hot Chili")</f>
        <v>Triple Hot Chili</v>
      </c>
      <c r="B779" s="5" t="str">
        <f>IFERROR(__xludf.DUMMYFUNCTION("""COMPUTED_VALUE"""),"")</f>
        <v/>
      </c>
      <c r="C779" s="5" t="str">
        <f>IFERROR(__xludf.DUMMYFUNCTION("""COMPUTED_VALUE"""),"")</f>
        <v/>
      </c>
      <c r="D779" s="5" t="str">
        <f>IFERROR(__xludf.DUMMYFUNCTION("""COMPUTED_VALUE"""),"")</f>
        <v/>
      </c>
      <c r="E779" s="5" t="str">
        <f>IFERROR(__xludf.DUMMYFUNCTION("""COMPUTED_VALUE"""),"")</f>
        <v/>
      </c>
      <c r="F779" s="5" t="str">
        <f>IFERROR(__xludf.DUMMYFUNCTION("""COMPUTED_VALUE"""),"")</f>
        <v/>
      </c>
      <c r="G779" s="5" t="str">
        <f>IFERROR(__xludf.DUMMYFUNCTION("""COMPUTED_VALUE"""),"")</f>
        <v/>
      </c>
      <c r="H779" s="5" t="str">
        <f>IFERROR(__xludf.DUMMYFUNCTION("""COMPUTED_VALUE"""),"")</f>
        <v/>
      </c>
      <c r="I779" s="5" t="str">
        <f>IFERROR(__xludf.DUMMYFUNCTION("""COMPUTED_VALUE"""),"")</f>
        <v/>
      </c>
      <c r="J779" s="5" t="str">
        <f>IFERROR(__xludf.DUMMYFUNCTION("""COMPUTED_VALUE"""),"")</f>
        <v/>
      </c>
      <c r="K779" s="5" t="str">
        <f>IFERROR(__xludf.DUMMYFUNCTION("""COMPUTED_VALUE"""),"")</f>
        <v/>
      </c>
      <c r="L779" s="5" t="str">
        <f>IFERROR(__xludf.DUMMYFUNCTION("""COMPUTED_VALUE"""),"")</f>
        <v/>
      </c>
      <c r="M779" s="5" t="str">
        <f>IFERROR(__xludf.DUMMYFUNCTION("""COMPUTED_VALUE"""),"")</f>
        <v/>
      </c>
      <c r="N779" s="5" t="str">
        <f>IFERROR(__xludf.DUMMYFUNCTION("""COMPUTED_VALUE"""),"")</f>
        <v/>
      </c>
      <c r="O779" s="5" t="str">
        <f>IFERROR(__xludf.DUMMYFUNCTION("""COMPUTED_VALUE"""),"")</f>
        <v/>
      </c>
      <c r="P779" s="5" t="str">
        <f>IFERROR(__xludf.DUMMYFUNCTION("""COMPUTED_VALUE"""),"")</f>
        <v/>
      </c>
      <c r="Q779" s="5" t="str">
        <f>IFERROR(__xludf.DUMMYFUNCTION("""COMPUTED_VALUE"""),"")</f>
        <v/>
      </c>
      <c r="R779" s="5" t="str">
        <f>IFERROR(__xludf.DUMMYFUNCTION("""COMPUTED_VALUE"""),"")</f>
        <v/>
      </c>
      <c r="S779" s="5" t="str">
        <f>IFERROR(__xludf.DUMMYFUNCTION("""COMPUTED_VALUE"""),"")</f>
        <v/>
      </c>
      <c r="T779" s="5" t="str">
        <f>IFERROR(__xludf.DUMMYFUNCTION("""COMPUTED_VALUE"""),"")</f>
        <v/>
      </c>
      <c r="U779" s="5" t="str">
        <f>IFERROR(__xludf.DUMMYFUNCTION("""COMPUTED_VALUE"""),"")</f>
        <v/>
      </c>
      <c r="V779" s="5" t="str">
        <f>IFERROR(__xludf.DUMMYFUNCTION("""COMPUTED_VALUE"""),"")</f>
        <v/>
      </c>
      <c r="W779" s="5" t="str">
        <f>IFERROR(__xludf.DUMMYFUNCTION("""COMPUTED_VALUE"""),"")</f>
        <v/>
      </c>
      <c r="X779" s="5" t="str">
        <f>IFERROR(__xludf.DUMMYFUNCTION("""COMPUTED_VALUE"""),"")</f>
        <v/>
      </c>
      <c r="Y779" s="5"/>
      <c r="Z779" s="5"/>
    </row>
    <row r="780">
      <c r="A780" s="5" t="str">
        <f>IFERROR(__xludf.DUMMYFUNCTION("""COMPUTED_VALUE"""),"Wild Chili Fiesta")</f>
        <v>Wild Chili Fiesta</v>
      </c>
      <c r="B780" s="5" t="str">
        <f>IFERROR(__xludf.DUMMYFUNCTION("""COMPUTED_VALUE"""),"")</f>
        <v/>
      </c>
      <c r="C780" s="5" t="str">
        <f>IFERROR(__xludf.DUMMYFUNCTION("""COMPUTED_VALUE"""),"")</f>
        <v/>
      </c>
      <c r="D780" s="5" t="str">
        <f>IFERROR(__xludf.DUMMYFUNCTION("""COMPUTED_VALUE"""),"")</f>
        <v/>
      </c>
      <c r="E780" s="5" t="str">
        <f>IFERROR(__xludf.DUMMYFUNCTION("""COMPUTED_VALUE"""),"")</f>
        <v/>
      </c>
      <c r="F780" s="5" t="str">
        <f>IFERROR(__xludf.DUMMYFUNCTION("""COMPUTED_VALUE"""),"")</f>
        <v/>
      </c>
      <c r="G780" s="5" t="str">
        <f>IFERROR(__xludf.DUMMYFUNCTION("""COMPUTED_VALUE"""),"")</f>
        <v/>
      </c>
      <c r="H780" s="5" t="str">
        <f>IFERROR(__xludf.DUMMYFUNCTION("""COMPUTED_VALUE"""),"")</f>
        <v/>
      </c>
      <c r="I780" s="5" t="str">
        <f>IFERROR(__xludf.DUMMYFUNCTION("""COMPUTED_VALUE"""),"")</f>
        <v/>
      </c>
      <c r="J780" s="5" t="str">
        <f>IFERROR(__xludf.DUMMYFUNCTION("""COMPUTED_VALUE"""),"")</f>
        <v/>
      </c>
      <c r="K780" s="5" t="str">
        <f>IFERROR(__xludf.DUMMYFUNCTION("""COMPUTED_VALUE"""),"")</f>
        <v/>
      </c>
      <c r="L780" s="5" t="str">
        <f>IFERROR(__xludf.DUMMYFUNCTION("""COMPUTED_VALUE"""),"")</f>
        <v/>
      </c>
      <c r="M780" s="5" t="str">
        <f>IFERROR(__xludf.DUMMYFUNCTION("""COMPUTED_VALUE"""),"")</f>
        <v/>
      </c>
      <c r="N780" s="5" t="str">
        <f>IFERROR(__xludf.DUMMYFUNCTION("""COMPUTED_VALUE"""),"")</f>
        <v/>
      </c>
      <c r="O780" s="5" t="str">
        <f>IFERROR(__xludf.DUMMYFUNCTION("""COMPUTED_VALUE"""),"")</f>
        <v/>
      </c>
      <c r="P780" s="5" t="str">
        <f>IFERROR(__xludf.DUMMYFUNCTION("""COMPUTED_VALUE"""),"")</f>
        <v/>
      </c>
      <c r="Q780" s="5" t="str">
        <f>IFERROR(__xludf.DUMMYFUNCTION("""COMPUTED_VALUE"""),"")</f>
        <v/>
      </c>
      <c r="R780" s="5" t="str">
        <f>IFERROR(__xludf.DUMMYFUNCTION("""COMPUTED_VALUE"""),"")</f>
        <v/>
      </c>
      <c r="S780" s="5" t="str">
        <f>IFERROR(__xludf.DUMMYFUNCTION("""COMPUTED_VALUE"""),"")</f>
        <v/>
      </c>
      <c r="T780" s="5" t="str">
        <f>IFERROR(__xludf.DUMMYFUNCTION("""COMPUTED_VALUE"""),"")</f>
        <v/>
      </c>
      <c r="U780" s="5" t="str">
        <f>IFERROR(__xludf.DUMMYFUNCTION("""COMPUTED_VALUE"""),"")</f>
        <v/>
      </c>
      <c r="V780" s="5" t="str">
        <f>IFERROR(__xludf.DUMMYFUNCTION("""COMPUTED_VALUE"""),"")</f>
        <v/>
      </c>
      <c r="W780" s="5" t="str">
        <f>IFERROR(__xludf.DUMMYFUNCTION("""COMPUTED_VALUE"""),"")</f>
        <v/>
      </c>
      <c r="X780" s="5" t="str">
        <f>IFERROR(__xludf.DUMMYFUNCTION("""COMPUTED_VALUE"""),"")</f>
        <v/>
      </c>
      <c r="Y780" s="5"/>
      <c r="Z780" s="5"/>
    </row>
    <row r="781">
      <c r="A781" s="5" t="str">
        <f>IFERROR(__xludf.DUMMYFUNCTION("""COMPUTED_VALUE"""),"Royal Crown Delight Deluxe")</f>
        <v>Royal Crown Delight Deluxe</v>
      </c>
      <c r="B781" s="5" t="str">
        <f>IFERROR(__xludf.DUMMYFUNCTION("""COMPUTED_VALUE"""),"")</f>
        <v/>
      </c>
      <c r="C781" s="5" t="str">
        <f>IFERROR(__xludf.DUMMYFUNCTION("""COMPUTED_VALUE"""),"")</f>
        <v/>
      </c>
      <c r="D781" s="5" t="str">
        <f>IFERROR(__xludf.DUMMYFUNCTION("""COMPUTED_VALUE"""),"")</f>
        <v/>
      </c>
      <c r="E781" s="5" t="str">
        <f>IFERROR(__xludf.DUMMYFUNCTION("""COMPUTED_VALUE"""),"")</f>
        <v/>
      </c>
      <c r="F781" s="5" t="str">
        <f>IFERROR(__xludf.DUMMYFUNCTION("""COMPUTED_VALUE"""),"")</f>
        <v/>
      </c>
      <c r="G781" s="5" t="str">
        <f>IFERROR(__xludf.DUMMYFUNCTION("""COMPUTED_VALUE"""),"")</f>
        <v/>
      </c>
      <c r="H781" s="5" t="str">
        <f>IFERROR(__xludf.DUMMYFUNCTION("""COMPUTED_VALUE"""),"")</f>
        <v/>
      </c>
      <c r="I781" s="5" t="str">
        <f>IFERROR(__xludf.DUMMYFUNCTION("""COMPUTED_VALUE"""),"")</f>
        <v/>
      </c>
      <c r="J781" s="5" t="str">
        <f>IFERROR(__xludf.DUMMYFUNCTION("""COMPUTED_VALUE"""),"")</f>
        <v/>
      </c>
      <c r="K781" s="5" t="str">
        <f>IFERROR(__xludf.DUMMYFUNCTION("""COMPUTED_VALUE"""),"")</f>
        <v/>
      </c>
      <c r="L781" s="5" t="str">
        <f>IFERROR(__xludf.DUMMYFUNCTION("""COMPUTED_VALUE"""),"")</f>
        <v/>
      </c>
      <c r="M781" s="5" t="str">
        <f>IFERROR(__xludf.DUMMYFUNCTION("""COMPUTED_VALUE"""),"")</f>
        <v/>
      </c>
      <c r="N781" s="5" t="str">
        <f>IFERROR(__xludf.DUMMYFUNCTION("""COMPUTED_VALUE"""),"")</f>
        <v/>
      </c>
      <c r="O781" s="5" t="str">
        <f>IFERROR(__xludf.DUMMYFUNCTION("""COMPUTED_VALUE"""),"")</f>
        <v/>
      </c>
      <c r="P781" s="5" t="str">
        <f>IFERROR(__xludf.DUMMYFUNCTION("""COMPUTED_VALUE"""),"")</f>
        <v/>
      </c>
      <c r="Q781" s="5" t="str">
        <f>IFERROR(__xludf.DUMMYFUNCTION("""COMPUTED_VALUE"""),"")</f>
        <v/>
      </c>
      <c r="R781" s="5" t="str">
        <f>IFERROR(__xludf.DUMMYFUNCTION("""COMPUTED_VALUE"""),"")</f>
        <v/>
      </c>
      <c r="S781" s="5" t="str">
        <f>IFERROR(__xludf.DUMMYFUNCTION("""COMPUTED_VALUE"""),"")</f>
        <v/>
      </c>
      <c r="T781" s="5" t="str">
        <f>IFERROR(__xludf.DUMMYFUNCTION("""COMPUTED_VALUE"""),"")</f>
        <v/>
      </c>
      <c r="U781" s="5" t="str">
        <f>IFERROR(__xludf.DUMMYFUNCTION("""COMPUTED_VALUE"""),"")</f>
        <v/>
      </c>
      <c r="V781" s="5" t="str">
        <f>IFERROR(__xludf.DUMMYFUNCTION("""COMPUTED_VALUE"""),"")</f>
        <v/>
      </c>
      <c r="W781" s="5" t="str">
        <f>IFERROR(__xludf.DUMMYFUNCTION("""COMPUTED_VALUE"""),"")</f>
        <v/>
      </c>
      <c r="X781" s="5" t="str">
        <f>IFERROR(__xludf.DUMMYFUNCTION("""COMPUTED_VALUE"""),"")</f>
        <v/>
      </c>
      <c r="Y781" s="5"/>
      <c r="Z781" s="5"/>
    </row>
    <row r="782">
      <c r="A782" s="5" t="str">
        <f>IFERROR(__xludf.DUMMYFUNCTION("""COMPUTED_VALUE"""),"Wild Sheriff Fortune")</f>
        <v>Wild Sheriff Fortune</v>
      </c>
      <c r="B782" s="5" t="str">
        <f>IFERROR(__xludf.DUMMYFUNCTION("""COMPUTED_VALUE"""),"")</f>
        <v/>
      </c>
      <c r="C782" s="5" t="str">
        <f>IFERROR(__xludf.DUMMYFUNCTION("""COMPUTED_VALUE"""),"")</f>
        <v/>
      </c>
      <c r="D782" s="5" t="str">
        <f>IFERROR(__xludf.DUMMYFUNCTION("""COMPUTED_VALUE"""),"")</f>
        <v/>
      </c>
      <c r="E782" s="5" t="str">
        <f>IFERROR(__xludf.DUMMYFUNCTION("""COMPUTED_VALUE"""),"")</f>
        <v/>
      </c>
      <c r="F782" s="5" t="str">
        <f>IFERROR(__xludf.DUMMYFUNCTION("""COMPUTED_VALUE"""),"")</f>
        <v/>
      </c>
      <c r="G782" s="5" t="str">
        <f>IFERROR(__xludf.DUMMYFUNCTION("""COMPUTED_VALUE"""),"")</f>
        <v/>
      </c>
      <c r="H782" s="5" t="str">
        <f>IFERROR(__xludf.DUMMYFUNCTION("""COMPUTED_VALUE"""),"")</f>
        <v/>
      </c>
      <c r="I782" s="5" t="str">
        <f>IFERROR(__xludf.DUMMYFUNCTION("""COMPUTED_VALUE"""),"")</f>
        <v/>
      </c>
      <c r="J782" s="5" t="str">
        <f>IFERROR(__xludf.DUMMYFUNCTION("""COMPUTED_VALUE"""),"")</f>
        <v/>
      </c>
      <c r="K782" s="5" t="str">
        <f>IFERROR(__xludf.DUMMYFUNCTION("""COMPUTED_VALUE"""),"")</f>
        <v/>
      </c>
      <c r="L782" s="5" t="str">
        <f>IFERROR(__xludf.DUMMYFUNCTION("""COMPUTED_VALUE"""),"")</f>
        <v/>
      </c>
      <c r="M782" s="5" t="str">
        <f>IFERROR(__xludf.DUMMYFUNCTION("""COMPUTED_VALUE"""),"")</f>
        <v/>
      </c>
      <c r="N782" s="5" t="str">
        <f>IFERROR(__xludf.DUMMYFUNCTION("""COMPUTED_VALUE"""),"")</f>
        <v/>
      </c>
      <c r="O782" s="5" t="str">
        <f>IFERROR(__xludf.DUMMYFUNCTION("""COMPUTED_VALUE"""),"")</f>
        <v/>
      </c>
      <c r="P782" s="5" t="str">
        <f>IFERROR(__xludf.DUMMYFUNCTION("""COMPUTED_VALUE"""),"")</f>
        <v/>
      </c>
      <c r="Q782" s="5" t="str">
        <f>IFERROR(__xludf.DUMMYFUNCTION("""COMPUTED_VALUE"""),"")</f>
        <v/>
      </c>
      <c r="R782" s="5" t="str">
        <f>IFERROR(__xludf.DUMMYFUNCTION("""COMPUTED_VALUE"""),"")</f>
        <v/>
      </c>
      <c r="S782" s="5" t="str">
        <f>IFERROR(__xludf.DUMMYFUNCTION("""COMPUTED_VALUE"""),"")</f>
        <v/>
      </c>
      <c r="T782" s="5" t="str">
        <f>IFERROR(__xludf.DUMMYFUNCTION("""COMPUTED_VALUE"""),"")</f>
        <v/>
      </c>
      <c r="U782" s="5" t="str">
        <f>IFERROR(__xludf.DUMMYFUNCTION("""COMPUTED_VALUE"""),"")</f>
        <v/>
      </c>
      <c r="V782" s="5" t="str">
        <f>IFERROR(__xludf.DUMMYFUNCTION("""COMPUTED_VALUE"""),"")</f>
        <v/>
      </c>
      <c r="W782" s="5" t="str">
        <f>IFERROR(__xludf.DUMMYFUNCTION("""COMPUTED_VALUE"""),"")</f>
        <v/>
      </c>
      <c r="X782" s="5" t="str">
        <f>IFERROR(__xludf.DUMMYFUNCTION("""COMPUTED_VALUE"""),"")</f>
        <v/>
      </c>
      <c r="Y782" s="5"/>
      <c r="Z782" s="5"/>
    </row>
    <row r="783">
      <c r="A783" s="5" t="str">
        <f>IFERROR(__xludf.DUMMYFUNCTION("""COMPUTED_VALUE"""),"Nile Queen Temple Legacy")</f>
        <v>Nile Queen Temple Legacy</v>
      </c>
      <c r="B783" s="5" t="str">
        <f>IFERROR(__xludf.DUMMYFUNCTION("""COMPUTED_VALUE"""),"")</f>
        <v/>
      </c>
      <c r="C783" s="5" t="str">
        <f>IFERROR(__xludf.DUMMYFUNCTION("""COMPUTED_VALUE"""),"")</f>
        <v/>
      </c>
      <c r="D783" s="5" t="str">
        <f>IFERROR(__xludf.DUMMYFUNCTION("""COMPUTED_VALUE"""),"")</f>
        <v/>
      </c>
      <c r="E783" s="5" t="str">
        <f>IFERROR(__xludf.DUMMYFUNCTION("""COMPUTED_VALUE"""),"")</f>
        <v/>
      </c>
      <c r="F783" s="5" t="str">
        <f>IFERROR(__xludf.DUMMYFUNCTION("""COMPUTED_VALUE"""),"")</f>
        <v/>
      </c>
      <c r="G783" s="5" t="str">
        <f>IFERROR(__xludf.DUMMYFUNCTION("""COMPUTED_VALUE"""),"")</f>
        <v/>
      </c>
      <c r="H783" s="5" t="str">
        <f>IFERROR(__xludf.DUMMYFUNCTION("""COMPUTED_VALUE"""),"")</f>
        <v/>
      </c>
      <c r="I783" s="5" t="str">
        <f>IFERROR(__xludf.DUMMYFUNCTION("""COMPUTED_VALUE"""),"")</f>
        <v/>
      </c>
      <c r="J783" s="5" t="str">
        <f>IFERROR(__xludf.DUMMYFUNCTION("""COMPUTED_VALUE"""),"")</f>
        <v/>
      </c>
      <c r="K783" s="5" t="str">
        <f>IFERROR(__xludf.DUMMYFUNCTION("""COMPUTED_VALUE"""),"")</f>
        <v/>
      </c>
      <c r="L783" s="5" t="str">
        <f>IFERROR(__xludf.DUMMYFUNCTION("""COMPUTED_VALUE"""),"")</f>
        <v/>
      </c>
      <c r="M783" s="5" t="str">
        <f>IFERROR(__xludf.DUMMYFUNCTION("""COMPUTED_VALUE"""),"")</f>
        <v/>
      </c>
      <c r="N783" s="5" t="str">
        <f>IFERROR(__xludf.DUMMYFUNCTION("""COMPUTED_VALUE"""),"")</f>
        <v/>
      </c>
      <c r="O783" s="5" t="str">
        <f>IFERROR(__xludf.DUMMYFUNCTION("""COMPUTED_VALUE"""),"")</f>
        <v/>
      </c>
      <c r="P783" s="5" t="str">
        <f>IFERROR(__xludf.DUMMYFUNCTION("""COMPUTED_VALUE"""),"")</f>
        <v/>
      </c>
      <c r="Q783" s="5" t="str">
        <f>IFERROR(__xludf.DUMMYFUNCTION("""COMPUTED_VALUE"""),"")</f>
        <v/>
      </c>
      <c r="R783" s="5" t="str">
        <f>IFERROR(__xludf.DUMMYFUNCTION("""COMPUTED_VALUE"""),"")</f>
        <v/>
      </c>
      <c r="S783" s="5" t="str">
        <f>IFERROR(__xludf.DUMMYFUNCTION("""COMPUTED_VALUE"""),"")</f>
        <v/>
      </c>
      <c r="T783" s="5" t="str">
        <f>IFERROR(__xludf.DUMMYFUNCTION("""COMPUTED_VALUE"""),"")</f>
        <v/>
      </c>
      <c r="U783" s="5" t="str">
        <f>IFERROR(__xludf.DUMMYFUNCTION("""COMPUTED_VALUE"""),"")</f>
        <v/>
      </c>
      <c r="V783" s="5" t="str">
        <f>IFERROR(__xludf.DUMMYFUNCTION("""COMPUTED_VALUE"""),"")</f>
        <v/>
      </c>
      <c r="W783" s="5" t="str">
        <f>IFERROR(__xludf.DUMMYFUNCTION("""COMPUTED_VALUE"""),"")</f>
        <v/>
      </c>
      <c r="X783" s="5" t="str">
        <f>IFERROR(__xludf.DUMMYFUNCTION("""COMPUTED_VALUE"""),"")</f>
        <v/>
      </c>
      <c r="Y783" s="5"/>
      <c r="Z783" s="5"/>
    </row>
    <row r="784">
      <c r="A784" s="5" t="str">
        <f>IFERROR(__xludf.DUMMYFUNCTION("""COMPUTED_VALUE"""),"Triple Crown Jewels")</f>
        <v>Triple Crown Jewels</v>
      </c>
      <c r="B784" s="5" t="str">
        <f>IFERROR(__xludf.DUMMYFUNCTION("""COMPUTED_VALUE"""),"")</f>
        <v/>
      </c>
      <c r="C784" s="5" t="str">
        <f>IFERROR(__xludf.DUMMYFUNCTION("""COMPUTED_VALUE"""),"")</f>
        <v/>
      </c>
      <c r="D784" s="5" t="str">
        <f>IFERROR(__xludf.DUMMYFUNCTION("""COMPUTED_VALUE"""),"")</f>
        <v/>
      </c>
      <c r="E784" s="5" t="str">
        <f>IFERROR(__xludf.DUMMYFUNCTION("""COMPUTED_VALUE"""),"")</f>
        <v/>
      </c>
      <c r="F784" s="5" t="str">
        <f>IFERROR(__xludf.DUMMYFUNCTION("""COMPUTED_VALUE"""),"")</f>
        <v/>
      </c>
      <c r="G784" s="5" t="str">
        <f>IFERROR(__xludf.DUMMYFUNCTION("""COMPUTED_VALUE"""),"")</f>
        <v/>
      </c>
      <c r="H784" s="5" t="str">
        <f>IFERROR(__xludf.DUMMYFUNCTION("""COMPUTED_VALUE"""),"")</f>
        <v/>
      </c>
      <c r="I784" s="5" t="str">
        <f>IFERROR(__xludf.DUMMYFUNCTION("""COMPUTED_VALUE"""),"")</f>
        <v/>
      </c>
      <c r="J784" s="5" t="str">
        <f>IFERROR(__xludf.DUMMYFUNCTION("""COMPUTED_VALUE"""),"")</f>
        <v/>
      </c>
      <c r="K784" s="5" t="str">
        <f>IFERROR(__xludf.DUMMYFUNCTION("""COMPUTED_VALUE"""),"")</f>
        <v/>
      </c>
      <c r="L784" s="5" t="str">
        <f>IFERROR(__xludf.DUMMYFUNCTION("""COMPUTED_VALUE"""),"")</f>
        <v/>
      </c>
      <c r="M784" s="5" t="str">
        <f>IFERROR(__xludf.DUMMYFUNCTION("""COMPUTED_VALUE"""),"")</f>
        <v/>
      </c>
      <c r="N784" s="5" t="str">
        <f>IFERROR(__xludf.DUMMYFUNCTION("""COMPUTED_VALUE"""),"")</f>
        <v/>
      </c>
      <c r="O784" s="5" t="str">
        <f>IFERROR(__xludf.DUMMYFUNCTION("""COMPUTED_VALUE"""),"")</f>
        <v/>
      </c>
      <c r="P784" s="5" t="str">
        <f>IFERROR(__xludf.DUMMYFUNCTION("""COMPUTED_VALUE"""),"")</f>
        <v/>
      </c>
      <c r="Q784" s="5" t="str">
        <f>IFERROR(__xludf.DUMMYFUNCTION("""COMPUTED_VALUE"""),"")</f>
        <v/>
      </c>
      <c r="R784" s="5" t="str">
        <f>IFERROR(__xludf.DUMMYFUNCTION("""COMPUTED_VALUE"""),"")</f>
        <v/>
      </c>
      <c r="S784" s="5" t="str">
        <f>IFERROR(__xludf.DUMMYFUNCTION("""COMPUTED_VALUE"""),"")</f>
        <v/>
      </c>
      <c r="T784" s="5" t="str">
        <f>IFERROR(__xludf.DUMMYFUNCTION("""COMPUTED_VALUE"""),"")</f>
        <v/>
      </c>
      <c r="U784" s="5" t="str">
        <f>IFERROR(__xludf.DUMMYFUNCTION("""COMPUTED_VALUE"""),"")</f>
        <v/>
      </c>
      <c r="V784" s="5" t="str">
        <f>IFERROR(__xludf.DUMMYFUNCTION("""COMPUTED_VALUE"""),"")</f>
        <v/>
      </c>
      <c r="W784" s="5" t="str">
        <f>IFERROR(__xludf.DUMMYFUNCTION("""COMPUTED_VALUE"""),"")</f>
        <v/>
      </c>
      <c r="X784" s="5" t="str">
        <f>IFERROR(__xludf.DUMMYFUNCTION("""COMPUTED_VALUE"""),"")</f>
        <v/>
      </c>
      <c r="Y784" s="5"/>
      <c r="Z784" s="5"/>
    </row>
    <row r="785">
      <c r="A785" s="5" t="str">
        <f>IFERROR(__xludf.DUMMYFUNCTION("""COMPUTED_VALUE"""),"Laurels of Olympus")</f>
        <v>Laurels of Olympus</v>
      </c>
      <c r="B785" s="5" t="str">
        <f>IFERROR(__xludf.DUMMYFUNCTION("""COMPUTED_VALUE"""),"")</f>
        <v/>
      </c>
      <c r="C785" s="5" t="str">
        <f>IFERROR(__xludf.DUMMYFUNCTION("""COMPUTED_VALUE"""),"")</f>
        <v/>
      </c>
      <c r="D785" s="5" t="str">
        <f>IFERROR(__xludf.DUMMYFUNCTION("""COMPUTED_VALUE"""),"")</f>
        <v/>
      </c>
      <c r="E785" s="5" t="str">
        <f>IFERROR(__xludf.DUMMYFUNCTION("""COMPUTED_VALUE"""),"")</f>
        <v/>
      </c>
      <c r="F785" s="5" t="str">
        <f>IFERROR(__xludf.DUMMYFUNCTION("""COMPUTED_VALUE"""),"")</f>
        <v/>
      </c>
      <c r="G785" s="5" t="str">
        <f>IFERROR(__xludf.DUMMYFUNCTION("""COMPUTED_VALUE"""),"")</f>
        <v/>
      </c>
      <c r="H785" s="5" t="str">
        <f>IFERROR(__xludf.DUMMYFUNCTION("""COMPUTED_VALUE"""),"")</f>
        <v/>
      </c>
      <c r="I785" s="5" t="str">
        <f>IFERROR(__xludf.DUMMYFUNCTION("""COMPUTED_VALUE"""),"")</f>
        <v/>
      </c>
      <c r="J785" s="5" t="str">
        <f>IFERROR(__xludf.DUMMYFUNCTION("""COMPUTED_VALUE"""),"")</f>
        <v/>
      </c>
      <c r="K785" s="5" t="str">
        <f>IFERROR(__xludf.DUMMYFUNCTION("""COMPUTED_VALUE"""),"")</f>
        <v/>
      </c>
      <c r="L785" s="5" t="str">
        <f>IFERROR(__xludf.DUMMYFUNCTION("""COMPUTED_VALUE"""),"")</f>
        <v/>
      </c>
      <c r="M785" s="5" t="str">
        <f>IFERROR(__xludf.DUMMYFUNCTION("""COMPUTED_VALUE"""),"")</f>
        <v/>
      </c>
      <c r="N785" s="5" t="str">
        <f>IFERROR(__xludf.DUMMYFUNCTION("""COMPUTED_VALUE"""),"")</f>
        <v/>
      </c>
      <c r="O785" s="5" t="str">
        <f>IFERROR(__xludf.DUMMYFUNCTION("""COMPUTED_VALUE"""),"")</f>
        <v/>
      </c>
      <c r="P785" s="5" t="str">
        <f>IFERROR(__xludf.DUMMYFUNCTION("""COMPUTED_VALUE"""),"")</f>
        <v/>
      </c>
      <c r="Q785" s="5" t="str">
        <f>IFERROR(__xludf.DUMMYFUNCTION("""COMPUTED_VALUE"""),"")</f>
        <v/>
      </c>
      <c r="R785" s="5" t="str">
        <f>IFERROR(__xludf.DUMMYFUNCTION("""COMPUTED_VALUE"""),"")</f>
        <v/>
      </c>
      <c r="S785" s="5" t="str">
        <f>IFERROR(__xludf.DUMMYFUNCTION("""COMPUTED_VALUE"""),"")</f>
        <v/>
      </c>
      <c r="T785" s="5" t="str">
        <f>IFERROR(__xludf.DUMMYFUNCTION("""COMPUTED_VALUE"""),"")</f>
        <v/>
      </c>
      <c r="U785" s="5" t="str">
        <f>IFERROR(__xludf.DUMMYFUNCTION("""COMPUTED_VALUE"""),"")</f>
        <v/>
      </c>
      <c r="V785" s="5" t="str">
        <f>IFERROR(__xludf.DUMMYFUNCTION("""COMPUTED_VALUE"""),"")</f>
        <v/>
      </c>
      <c r="W785" s="5" t="str">
        <f>IFERROR(__xludf.DUMMYFUNCTION("""COMPUTED_VALUE"""),"")</f>
        <v/>
      </c>
      <c r="X785" s="5" t="str">
        <f>IFERROR(__xludf.DUMMYFUNCTION("""COMPUTED_VALUE"""),"")</f>
        <v/>
      </c>
      <c r="Y785" s="5"/>
      <c r="Z785" s="5"/>
    </row>
    <row r="786">
      <c r="A786" s="5" t="str">
        <f>IFERROR(__xludf.DUMMYFUNCTION("""COMPUTED_VALUE"""),"Cash Bell Ringers")</f>
        <v>Cash Bell Ringers</v>
      </c>
      <c r="B786" s="5" t="str">
        <f>IFERROR(__xludf.DUMMYFUNCTION("""COMPUTED_VALUE"""),"")</f>
        <v/>
      </c>
      <c r="C786" s="5" t="str">
        <f>IFERROR(__xludf.DUMMYFUNCTION("""COMPUTED_VALUE"""),"")</f>
        <v/>
      </c>
      <c r="D786" s="5" t="str">
        <f>IFERROR(__xludf.DUMMYFUNCTION("""COMPUTED_VALUE"""),"")</f>
        <v/>
      </c>
      <c r="E786" s="5" t="str">
        <f>IFERROR(__xludf.DUMMYFUNCTION("""COMPUTED_VALUE"""),"")</f>
        <v/>
      </c>
      <c r="F786" s="5" t="str">
        <f>IFERROR(__xludf.DUMMYFUNCTION("""COMPUTED_VALUE"""),"")</f>
        <v/>
      </c>
      <c r="G786" s="5" t="str">
        <f>IFERROR(__xludf.DUMMYFUNCTION("""COMPUTED_VALUE"""),"")</f>
        <v/>
      </c>
      <c r="H786" s="5" t="str">
        <f>IFERROR(__xludf.DUMMYFUNCTION("""COMPUTED_VALUE"""),"")</f>
        <v/>
      </c>
      <c r="I786" s="5" t="str">
        <f>IFERROR(__xludf.DUMMYFUNCTION("""COMPUTED_VALUE"""),"")</f>
        <v/>
      </c>
      <c r="J786" s="5" t="str">
        <f>IFERROR(__xludf.DUMMYFUNCTION("""COMPUTED_VALUE"""),"")</f>
        <v/>
      </c>
      <c r="K786" s="5" t="str">
        <f>IFERROR(__xludf.DUMMYFUNCTION("""COMPUTED_VALUE"""),"")</f>
        <v/>
      </c>
      <c r="L786" s="5" t="str">
        <f>IFERROR(__xludf.DUMMYFUNCTION("""COMPUTED_VALUE"""),"")</f>
        <v/>
      </c>
      <c r="M786" s="5" t="str">
        <f>IFERROR(__xludf.DUMMYFUNCTION("""COMPUTED_VALUE"""),"")</f>
        <v/>
      </c>
      <c r="N786" s="5" t="str">
        <f>IFERROR(__xludf.DUMMYFUNCTION("""COMPUTED_VALUE"""),"")</f>
        <v/>
      </c>
      <c r="O786" s="5" t="str">
        <f>IFERROR(__xludf.DUMMYFUNCTION("""COMPUTED_VALUE"""),"")</f>
        <v/>
      </c>
      <c r="P786" s="5" t="str">
        <f>IFERROR(__xludf.DUMMYFUNCTION("""COMPUTED_VALUE"""),"")</f>
        <v/>
      </c>
      <c r="Q786" s="5" t="str">
        <f>IFERROR(__xludf.DUMMYFUNCTION("""COMPUTED_VALUE"""),"")</f>
        <v/>
      </c>
      <c r="R786" s="5" t="str">
        <f>IFERROR(__xludf.DUMMYFUNCTION("""COMPUTED_VALUE"""),"")</f>
        <v/>
      </c>
      <c r="S786" s="5" t="str">
        <f>IFERROR(__xludf.DUMMYFUNCTION("""COMPUTED_VALUE"""),"")</f>
        <v/>
      </c>
      <c r="T786" s="5" t="str">
        <f>IFERROR(__xludf.DUMMYFUNCTION("""COMPUTED_VALUE"""),"")</f>
        <v/>
      </c>
      <c r="U786" s="5" t="str">
        <f>IFERROR(__xludf.DUMMYFUNCTION("""COMPUTED_VALUE"""),"")</f>
        <v/>
      </c>
      <c r="V786" s="5" t="str">
        <f>IFERROR(__xludf.DUMMYFUNCTION("""COMPUTED_VALUE"""),"")</f>
        <v/>
      </c>
      <c r="W786" s="5" t="str">
        <f>IFERROR(__xludf.DUMMYFUNCTION("""COMPUTED_VALUE"""),"")</f>
        <v/>
      </c>
      <c r="X786" s="5" t="str">
        <f>IFERROR(__xludf.DUMMYFUNCTION("""COMPUTED_VALUE"""),"")</f>
        <v/>
      </c>
      <c r="Y786" s="5"/>
      <c r="Z786" s="5"/>
    </row>
    <row r="787">
      <c r="A787" s="5" t="str">
        <f>IFERROR(__xludf.DUMMYFUNCTION("""COMPUTED_VALUE"""),"Gold Eruption")</f>
        <v>Gold Eruption</v>
      </c>
      <c r="B787" s="5" t="str">
        <f>IFERROR(__xludf.DUMMYFUNCTION("""COMPUTED_VALUE"""),"")</f>
        <v/>
      </c>
      <c r="C787" s="5" t="str">
        <f>IFERROR(__xludf.DUMMYFUNCTION("""COMPUTED_VALUE"""),"")</f>
        <v/>
      </c>
      <c r="D787" s="5" t="str">
        <f>IFERROR(__xludf.DUMMYFUNCTION("""COMPUTED_VALUE"""),"")</f>
        <v/>
      </c>
      <c r="E787" s="5" t="str">
        <f>IFERROR(__xludf.DUMMYFUNCTION("""COMPUTED_VALUE"""),"")</f>
        <v/>
      </c>
      <c r="F787" s="5" t="str">
        <f>IFERROR(__xludf.DUMMYFUNCTION("""COMPUTED_VALUE"""),"")</f>
        <v/>
      </c>
      <c r="G787" s="5" t="str">
        <f>IFERROR(__xludf.DUMMYFUNCTION("""COMPUTED_VALUE"""),"")</f>
        <v/>
      </c>
      <c r="H787" s="5" t="str">
        <f>IFERROR(__xludf.DUMMYFUNCTION("""COMPUTED_VALUE"""),"")</f>
        <v/>
      </c>
      <c r="I787" s="5" t="str">
        <f>IFERROR(__xludf.DUMMYFUNCTION("""COMPUTED_VALUE"""),"")</f>
        <v/>
      </c>
      <c r="J787" s="5" t="str">
        <f>IFERROR(__xludf.DUMMYFUNCTION("""COMPUTED_VALUE"""),"")</f>
        <v/>
      </c>
      <c r="K787" s="5" t="str">
        <f>IFERROR(__xludf.DUMMYFUNCTION("""COMPUTED_VALUE"""),"")</f>
        <v/>
      </c>
      <c r="L787" s="5" t="str">
        <f>IFERROR(__xludf.DUMMYFUNCTION("""COMPUTED_VALUE"""),"")</f>
        <v/>
      </c>
      <c r="M787" s="5" t="str">
        <f>IFERROR(__xludf.DUMMYFUNCTION("""COMPUTED_VALUE"""),"")</f>
        <v/>
      </c>
      <c r="N787" s="5" t="str">
        <f>IFERROR(__xludf.DUMMYFUNCTION("""COMPUTED_VALUE"""),"")</f>
        <v/>
      </c>
      <c r="O787" s="5" t="str">
        <f>IFERROR(__xludf.DUMMYFUNCTION("""COMPUTED_VALUE"""),"")</f>
        <v/>
      </c>
      <c r="P787" s="5" t="str">
        <f>IFERROR(__xludf.DUMMYFUNCTION("""COMPUTED_VALUE"""),"")</f>
        <v/>
      </c>
      <c r="Q787" s="5" t="str">
        <f>IFERROR(__xludf.DUMMYFUNCTION("""COMPUTED_VALUE"""),"")</f>
        <v/>
      </c>
      <c r="R787" s="5" t="str">
        <f>IFERROR(__xludf.DUMMYFUNCTION("""COMPUTED_VALUE"""),"")</f>
        <v/>
      </c>
      <c r="S787" s="5" t="str">
        <f>IFERROR(__xludf.DUMMYFUNCTION("""COMPUTED_VALUE"""),"")</f>
        <v/>
      </c>
      <c r="T787" s="5" t="str">
        <f>IFERROR(__xludf.DUMMYFUNCTION("""COMPUTED_VALUE"""),"")</f>
        <v/>
      </c>
      <c r="U787" s="5" t="str">
        <f>IFERROR(__xludf.DUMMYFUNCTION("""COMPUTED_VALUE"""),"")</f>
        <v/>
      </c>
      <c r="V787" s="5" t="str">
        <f>IFERROR(__xludf.DUMMYFUNCTION("""COMPUTED_VALUE"""),"")</f>
        <v/>
      </c>
      <c r="W787" s="5" t="str">
        <f>IFERROR(__xludf.DUMMYFUNCTION("""COMPUTED_VALUE"""),"")</f>
        <v/>
      </c>
      <c r="X787" s="5" t="str">
        <f>IFERROR(__xludf.DUMMYFUNCTION("""COMPUTED_VALUE"""),"")</f>
        <v/>
      </c>
      <c r="Y787" s="5"/>
      <c r="Z787" s="5"/>
    </row>
    <row r="788">
      <c r="A788" s="5" t="str">
        <f>IFERROR(__xludf.DUMMYFUNCTION("""COMPUTED_VALUE"""),"3 Chilli Pots")</f>
        <v>3 Chilli Pots</v>
      </c>
      <c r="B788" s="5" t="str">
        <f>IFERROR(__xludf.DUMMYFUNCTION("""COMPUTED_VALUE"""),"")</f>
        <v/>
      </c>
      <c r="C788" s="5" t="str">
        <f>IFERROR(__xludf.DUMMYFUNCTION("""COMPUTED_VALUE"""),"")</f>
        <v/>
      </c>
      <c r="D788" s="5" t="str">
        <f>IFERROR(__xludf.DUMMYFUNCTION("""COMPUTED_VALUE"""),"")</f>
        <v/>
      </c>
      <c r="E788" s="5" t="str">
        <f>IFERROR(__xludf.DUMMYFUNCTION("""COMPUTED_VALUE"""),"")</f>
        <v/>
      </c>
      <c r="F788" s="5" t="str">
        <f>IFERROR(__xludf.DUMMYFUNCTION("""COMPUTED_VALUE"""),"")</f>
        <v/>
      </c>
      <c r="G788" s="5" t="str">
        <f>IFERROR(__xludf.DUMMYFUNCTION("""COMPUTED_VALUE"""),"")</f>
        <v/>
      </c>
      <c r="H788" s="5" t="str">
        <f>IFERROR(__xludf.DUMMYFUNCTION("""COMPUTED_VALUE"""),"")</f>
        <v/>
      </c>
      <c r="I788" s="5" t="str">
        <f>IFERROR(__xludf.DUMMYFUNCTION("""COMPUTED_VALUE"""),"")</f>
        <v/>
      </c>
      <c r="J788" s="5" t="str">
        <f>IFERROR(__xludf.DUMMYFUNCTION("""COMPUTED_VALUE"""),"")</f>
        <v/>
      </c>
      <c r="K788" s="5" t="str">
        <f>IFERROR(__xludf.DUMMYFUNCTION("""COMPUTED_VALUE"""),"")</f>
        <v/>
      </c>
      <c r="L788" s="5" t="str">
        <f>IFERROR(__xludf.DUMMYFUNCTION("""COMPUTED_VALUE"""),"")</f>
        <v/>
      </c>
      <c r="M788" s="5" t="str">
        <f>IFERROR(__xludf.DUMMYFUNCTION("""COMPUTED_VALUE"""),"")</f>
        <v/>
      </c>
      <c r="N788" s="5" t="str">
        <f>IFERROR(__xludf.DUMMYFUNCTION("""COMPUTED_VALUE"""),"")</f>
        <v/>
      </c>
      <c r="O788" s="5" t="str">
        <f>IFERROR(__xludf.DUMMYFUNCTION("""COMPUTED_VALUE"""),"")</f>
        <v/>
      </c>
      <c r="P788" s="5" t="str">
        <f>IFERROR(__xludf.DUMMYFUNCTION("""COMPUTED_VALUE"""),"")</f>
        <v/>
      </c>
      <c r="Q788" s="5" t="str">
        <f>IFERROR(__xludf.DUMMYFUNCTION("""COMPUTED_VALUE"""),"")</f>
        <v/>
      </c>
      <c r="R788" s="5" t="str">
        <f>IFERROR(__xludf.DUMMYFUNCTION("""COMPUTED_VALUE"""),"")</f>
        <v/>
      </c>
      <c r="S788" s="5" t="str">
        <f>IFERROR(__xludf.DUMMYFUNCTION("""COMPUTED_VALUE"""),"")</f>
        <v/>
      </c>
      <c r="T788" s="5" t="str">
        <f>IFERROR(__xludf.DUMMYFUNCTION("""COMPUTED_VALUE"""),"")</f>
        <v/>
      </c>
      <c r="U788" s="5" t="str">
        <f>IFERROR(__xludf.DUMMYFUNCTION("""COMPUTED_VALUE"""),"")</f>
        <v/>
      </c>
      <c r="V788" s="5" t="str">
        <f>IFERROR(__xludf.DUMMYFUNCTION("""COMPUTED_VALUE"""),"")</f>
        <v/>
      </c>
      <c r="W788" s="5" t="str">
        <f>IFERROR(__xludf.DUMMYFUNCTION("""COMPUTED_VALUE"""),"")</f>
        <v/>
      </c>
      <c r="X788" s="5" t="str">
        <f>IFERROR(__xludf.DUMMYFUNCTION("""COMPUTED_VALUE"""),"")</f>
        <v/>
      </c>
      <c r="Y788" s="5"/>
      <c r="Z788" s="5"/>
    </row>
    <row r="789">
      <c r="A789" s="5" t="str">
        <f>IFERROR(__xludf.DUMMYFUNCTION("""COMPUTED_VALUE"""),"Shell Fortune")</f>
        <v>Shell Fortune</v>
      </c>
      <c r="B789" s="5" t="str">
        <f>IFERROR(__xludf.DUMMYFUNCTION("""COMPUTED_VALUE"""),"")</f>
        <v/>
      </c>
      <c r="C789" s="5" t="str">
        <f>IFERROR(__xludf.DUMMYFUNCTION("""COMPUTED_VALUE"""),"")</f>
        <v/>
      </c>
      <c r="D789" s="5" t="str">
        <f>IFERROR(__xludf.DUMMYFUNCTION("""COMPUTED_VALUE"""),"")</f>
        <v/>
      </c>
      <c r="E789" s="5" t="str">
        <f>IFERROR(__xludf.DUMMYFUNCTION("""COMPUTED_VALUE"""),"")</f>
        <v/>
      </c>
      <c r="F789" s="5" t="str">
        <f>IFERROR(__xludf.DUMMYFUNCTION("""COMPUTED_VALUE"""),"")</f>
        <v/>
      </c>
      <c r="G789" s="5" t="str">
        <f>IFERROR(__xludf.DUMMYFUNCTION("""COMPUTED_VALUE"""),"")</f>
        <v/>
      </c>
      <c r="H789" s="5" t="str">
        <f>IFERROR(__xludf.DUMMYFUNCTION("""COMPUTED_VALUE"""),"")</f>
        <v/>
      </c>
      <c r="I789" s="5" t="str">
        <f>IFERROR(__xludf.DUMMYFUNCTION("""COMPUTED_VALUE"""),"")</f>
        <v/>
      </c>
      <c r="J789" s="5" t="str">
        <f>IFERROR(__xludf.DUMMYFUNCTION("""COMPUTED_VALUE"""),"")</f>
        <v/>
      </c>
      <c r="K789" s="5" t="str">
        <f>IFERROR(__xludf.DUMMYFUNCTION("""COMPUTED_VALUE"""),"")</f>
        <v/>
      </c>
      <c r="L789" s="5" t="str">
        <f>IFERROR(__xludf.DUMMYFUNCTION("""COMPUTED_VALUE"""),"")</f>
        <v/>
      </c>
      <c r="M789" s="5" t="str">
        <f>IFERROR(__xludf.DUMMYFUNCTION("""COMPUTED_VALUE"""),"")</f>
        <v/>
      </c>
      <c r="N789" s="5" t="str">
        <f>IFERROR(__xludf.DUMMYFUNCTION("""COMPUTED_VALUE"""),"")</f>
        <v/>
      </c>
      <c r="O789" s="5" t="str">
        <f>IFERROR(__xludf.DUMMYFUNCTION("""COMPUTED_VALUE"""),"")</f>
        <v/>
      </c>
      <c r="P789" s="5" t="str">
        <f>IFERROR(__xludf.DUMMYFUNCTION("""COMPUTED_VALUE"""),"")</f>
        <v/>
      </c>
      <c r="Q789" s="5" t="str">
        <f>IFERROR(__xludf.DUMMYFUNCTION("""COMPUTED_VALUE"""),"")</f>
        <v/>
      </c>
      <c r="R789" s="5" t="str">
        <f>IFERROR(__xludf.DUMMYFUNCTION("""COMPUTED_VALUE"""),"")</f>
        <v/>
      </c>
      <c r="S789" s="5" t="str">
        <f>IFERROR(__xludf.DUMMYFUNCTION("""COMPUTED_VALUE"""),"")</f>
        <v/>
      </c>
      <c r="T789" s="5" t="str">
        <f>IFERROR(__xludf.DUMMYFUNCTION("""COMPUTED_VALUE"""),"")</f>
        <v/>
      </c>
      <c r="U789" s="5" t="str">
        <f>IFERROR(__xludf.DUMMYFUNCTION("""COMPUTED_VALUE"""),"")</f>
        <v/>
      </c>
      <c r="V789" s="5" t="str">
        <f>IFERROR(__xludf.DUMMYFUNCTION("""COMPUTED_VALUE"""),"")</f>
        <v/>
      </c>
      <c r="W789" s="5" t="str">
        <f>IFERROR(__xludf.DUMMYFUNCTION("""COMPUTED_VALUE"""),"")</f>
        <v/>
      </c>
      <c r="X789" s="5" t="str">
        <f>IFERROR(__xludf.DUMMYFUNCTION("""COMPUTED_VALUE"""),"")</f>
        <v/>
      </c>
      <c r="Y789" s="5"/>
      <c r="Z789" s="5"/>
    </row>
    <row r="790">
      <c r="A790" s="5" t="str">
        <f>IFERROR(__xludf.DUMMYFUNCTION("""COMPUTED_VALUE"""),"20 Bass Collect")</f>
        <v>20 Bass Collect</v>
      </c>
      <c r="B790" s="5" t="str">
        <f>IFERROR(__xludf.DUMMYFUNCTION("""COMPUTED_VALUE"""),"")</f>
        <v/>
      </c>
      <c r="C790" s="5" t="str">
        <f>IFERROR(__xludf.DUMMYFUNCTION("""COMPUTED_VALUE"""),"")</f>
        <v/>
      </c>
      <c r="D790" s="5" t="str">
        <f>IFERROR(__xludf.DUMMYFUNCTION("""COMPUTED_VALUE"""),"")</f>
        <v/>
      </c>
      <c r="E790" s="5" t="str">
        <f>IFERROR(__xludf.DUMMYFUNCTION("""COMPUTED_VALUE"""),"")</f>
        <v/>
      </c>
      <c r="F790" s="5" t="str">
        <f>IFERROR(__xludf.DUMMYFUNCTION("""COMPUTED_VALUE"""),"")</f>
        <v/>
      </c>
      <c r="G790" s="5" t="str">
        <f>IFERROR(__xludf.DUMMYFUNCTION("""COMPUTED_VALUE"""),"")</f>
        <v/>
      </c>
      <c r="H790" s="5" t="str">
        <f>IFERROR(__xludf.DUMMYFUNCTION("""COMPUTED_VALUE"""),"")</f>
        <v/>
      </c>
      <c r="I790" s="5" t="str">
        <f>IFERROR(__xludf.DUMMYFUNCTION("""COMPUTED_VALUE"""),"")</f>
        <v/>
      </c>
      <c r="J790" s="5" t="str">
        <f>IFERROR(__xludf.DUMMYFUNCTION("""COMPUTED_VALUE"""),"")</f>
        <v/>
      </c>
      <c r="K790" s="5" t="str">
        <f>IFERROR(__xludf.DUMMYFUNCTION("""COMPUTED_VALUE"""),"")</f>
        <v/>
      </c>
      <c r="L790" s="5" t="str">
        <f>IFERROR(__xludf.DUMMYFUNCTION("""COMPUTED_VALUE"""),"")</f>
        <v/>
      </c>
      <c r="M790" s="5" t="str">
        <f>IFERROR(__xludf.DUMMYFUNCTION("""COMPUTED_VALUE"""),"")</f>
        <v/>
      </c>
      <c r="N790" s="5" t="str">
        <f>IFERROR(__xludf.DUMMYFUNCTION("""COMPUTED_VALUE"""),"")</f>
        <v/>
      </c>
      <c r="O790" s="5" t="str">
        <f>IFERROR(__xludf.DUMMYFUNCTION("""COMPUTED_VALUE"""),"")</f>
        <v/>
      </c>
      <c r="P790" s="5" t="str">
        <f>IFERROR(__xludf.DUMMYFUNCTION("""COMPUTED_VALUE"""),"")</f>
        <v/>
      </c>
      <c r="Q790" s="5" t="str">
        <f>IFERROR(__xludf.DUMMYFUNCTION("""COMPUTED_VALUE"""),"")</f>
        <v/>
      </c>
      <c r="R790" s="5" t="str">
        <f>IFERROR(__xludf.DUMMYFUNCTION("""COMPUTED_VALUE"""),"")</f>
        <v/>
      </c>
      <c r="S790" s="5" t="str">
        <f>IFERROR(__xludf.DUMMYFUNCTION("""COMPUTED_VALUE"""),"")</f>
        <v/>
      </c>
      <c r="T790" s="5" t="str">
        <f>IFERROR(__xludf.DUMMYFUNCTION("""COMPUTED_VALUE"""),"")</f>
        <v/>
      </c>
      <c r="U790" s="5" t="str">
        <f>IFERROR(__xludf.DUMMYFUNCTION("""COMPUTED_VALUE"""),"")</f>
        <v/>
      </c>
      <c r="V790" s="5" t="str">
        <f>IFERROR(__xludf.DUMMYFUNCTION("""COMPUTED_VALUE"""),"")</f>
        <v/>
      </c>
      <c r="W790" s="5" t="str">
        <f>IFERROR(__xludf.DUMMYFUNCTION("""COMPUTED_VALUE"""),"")</f>
        <v/>
      </c>
      <c r="X790" s="5" t="str">
        <f>IFERROR(__xludf.DUMMYFUNCTION("""COMPUTED_VALUE"""),"")</f>
        <v/>
      </c>
      <c r="Y790" s="5"/>
      <c r="Z790" s="5"/>
    </row>
    <row r="791">
      <c r="A791" s="5" t="str">
        <f>IFERROR(__xludf.DUMMYFUNCTION("""COMPUTED_VALUE"""),"3 Energy Clovers")</f>
        <v>3 Energy Clovers</v>
      </c>
      <c r="B791" s="5" t="str">
        <f>IFERROR(__xludf.DUMMYFUNCTION("""COMPUTED_VALUE"""),"")</f>
        <v/>
      </c>
      <c r="C791" s="5" t="str">
        <f>IFERROR(__xludf.DUMMYFUNCTION("""COMPUTED_VALUE"""),"")</f>
        <v/>
      </c>
      <c r="D791" s="5" t="str">
        <f>IFERROR(__xludf.DUMMYFUNCTION("""COMPUTED_VALUE"""),"")</f>
        <v/>
      </c>
      <c r="E791" s="5" t="str">
        <f>IFERROR(__xludf.DUMMYFUNCTION("""COMPUTED_VALUE"""),"")</f>
        <v/>
      </c>
      <c r="F791" s="5" t="str">
        <f>IFERROR(__xludf.DUMMYFUNCTION("""COMPUTED_VALUE"""),"")</f>
        <v/>
      </c>
      <c r="G791" s="5" t="str">
        <f>IFERROR(__xludf.DUMMYFUNCTION("""COMPUTED_VALUE"""),"")</f>
        <v/>
      </c>
      <c r="H791" s="5" t="str">
        <f>IFERROR(__xludf.DUMMYFUNCTION("""COMPUTED_VALUE"""),"")</f>
        <v/>
      </c>
      <c r="I791" s="5" t="str">
        <f>IFERROR(__xludf.DUMMYFUNCTION("""COMPUTED_VALUE"""),"")</f>
        <v/>
      </c>
      <c r="J791" s="5" t="str">
        <f>IFERROR(__xludf.DUMMYFUNCTION("""COMPUTED_VALUE"""),"")</f>
        <v/>
      </c>
      <c r="K791" s="5" t="str">
        <f>IFERROR(__xludf.DUMMYFUNCTION("""COMPUTED_VALUE"""),"")</f>
        <v/>
      </c>
      <c r="L791" s="5" t="str">
        <f>IFERROR(__xludf.DUMMYFUNCTION("""COMPUTED_VALUE"""),"")</f>
        <v/>
      </c>
      <c r="M791" s="5" t="str">
        <f>IFERROR(__xludf.DUMMYFUNCTION("""COMPUTED_VALUE"""),"")</f>
        <v/>
      </c>
      <c r="N791" s="5" t="str">
        <f>IFERROR(__xludf.DUMMYFUNCTION("""COMPUTED_VALUE"""),"")</f>
        <v/>
      </c>
      <c r="O791" s="5" t="str">
        <f>IFERROR(__xludf.DUMMYFUNCTION("""COMPUTED_VALUE"""),"")</f>
        <v/>
      </c>
      <c r="P791" s="5" t="str">
        <f>IFERROR(__xludf.DUMMYFUNCTION("""COMPUTED_VALUE"""),"")</f>
        <v/>
      </c>
      <c r="Q791" s="5" t="str">
        <f>IFERROR(__xludf.DUMMYFUNCTION("""COMPUTED_VALUE"""),"")</f>
        <v/>
      </c>
      <c r="R791" s="5" t="str">
        <f>IFERROR(__xludf.DUMMYFUNCTION("""COMPUTED_VALUE"""),"")</f>
        <v/>
      </c>
      <c r="S791" s="5" t="str">
        <f>IFERROR(__xludf.DUMMYFUNCTION("""COMPUTED_VALUE"""),"")</f>
        <v/>
      </c>
      <c r="T791" s="5" t="str">
        <f>IFERROR(__xludf.DUMMYFUNCTION("""COMPUTED_VALUE"""),"")</f>
        <v/>
      </c>
      <c r="U791" s="5" t="str">
        <f>IFERROR(__xludf.DUMMYFUNCTION("""COMPUTED_VALUE"""),"")</f>
        <v/>
      </c>
      <c r="V791" s="5" t="str">
        <f>IFERROR(__xludf.DUMMYFUNCTION("""COMPUTED_VALUE"""),"")</f>
        <v/>
      </c>
      <c r="W791" s="5" t="str">
        <f>IFERROR(__xludf.DUMMYFUNCTION("""COMPUTED_VALUE"""),"")</f>
        <v/>
      </c>
      <c r="X791" s="5" t="str">
        <f>IFERROR(__xludf.DUMMYFUNCTION("""COMPUTED_VALUE"""),"")</f>
        <v/>
      </c>
      <c r="Y791" s="5"/>
      <c r="Z791" s="5"/>
    </row>
    <row r="792">
      <c r="A792" s="5" t="str">
        <f>IFERROR(__xludf.DUMMYFUNCTION("""COMPUTED_VALUE"""),"Wu Kong 5 ")</f>
        <v>Wu Kong 5 </v>
      </c>
      <c r="B792" s="5" t="str">
        <f>IFERROR(__xludf.DUMMYFUNCTION("""COMPUTED_VALUE"""),"")</f>
        <v/>
      </c>
      <c r="C792" s="5" t="str">
        <f>IFERROR(__xludf.DUMMYFUNCTION("""COMPUTED_VALUE"""),"")</f>
        <v/>
      </c>
      <c r="D792" s="5" t="str">
        <f>IFERROR(__xludf.DUMMYFUNCTION("""COMPUTED_VALUE"""),"")</f>
        <v/>
      </c>
      <c r="E792" s="5" t="str">
        <f>IFERROR(__xludf.DUMMYFUNCTION("""COMPUTED_VALUE"""),"")</f>
        <v/>
      </c>
      <c r="F792" s="5" t="str">
        <f>IFERROR(__xludf.DUMMYFUNCTION("""COMPUTED_VALUE"""),"")</f>
        <v/>
      </c>
      <c r="G792" s="5" t="str">
        <f>IFERROR(__xludf.DUMMYFUNCTION("""COMPUTED_VALUE"""),"")</f>
        <v/>
      </c>
      <c r="H792" s="5" t="str">
        <f>IFERROR(__xludf.DUMMYFUNCTION("""COMPUTED_VALUE"""),"")</f>
        <v/>
      </c>
      <c r="I792" s="5" t="str">
        <f>IFERROR(__xludf.DUMMYFUNCTION("""COMPUTED_VALUE"""),"")</f>
        <v/>
      </c>
      <c r="J792" s="5" t="str">
        <f>IFERROR(__xludf.DUMMYFUNCTION("""COMPUTED_VALUE"""),"")</f>
        <v/>
      </c>
      <c r="K792" s="5" t="str">
        <f>IFERROR(__xludf.DUMMYFUNCTION("""COMPUTED_VALUE"""),"")</f>
        <v/>
      </c>
      <c r="L792" s="5" t="str">
        <f>IFERROR(__xludf.DUMMYFUNCTION("""COMPUTED_VALUE"""),"")</f>
        <v/>
      </c>
      <c r="M792" s="5" t="str">
        <f>IFERROR(__xludf.DUMMYFUNCTION("""COMPUTED_VALUE"""),"")</f>
        <v/>
      </c>
      <c r="N792" s="5" t="str">
        <f>IFERROR(__xludf.DUMMYFUNCTION("""COMPUTED_VALUE"""),"")</f>
        <v/>
      </c>
      <c r="O792" s="5" t="str">
        <f>IFERROR(__xludf.DUMMYFUNCTION("""COMPUTED_VALUE"""),"")</f>
        <v/>
      </c>
      <c r="P792" s="5" t="str">
        <f>IFERROR(__xludf.DUMMYFUNCTION("""COMPUTED_VALUE"""),"")</f>
        <v/>
      </c>
      <c r="Q792" s="5" t="str">
        <f>IFERROR(__xludf.DUMMYFUNCTION("""COMPUTED_VALUE"""),"")</f>
        <v/>
      </c>
      <c r="R792" s="5" t="str">
        <f>IFERROR(__xludf.DUMMYFUNCTION("""COMPUTED_VALUE"""),"")</f>
        <v/>
      </c>
      <c r="S792" s="5" t="str">
        <f>IFERROR(__xludf.DUMMYFUNCTION("""COMPUTED_VALUE"""),"")</f>
        <v/>
      </c>
      <c r="T792" s="5" t="str">
        <f>IFERROR(__xludf.DUMMYFUNCTION("""COMPUTED_VALUE"""),"")</f>
        <v/>
      </c>
      <c r="U792" s="5" t="str">
        <f>IFERROR(__xludf.DUMMYFUNCTION("""COMPUTED_VALUE"""),"")</f>
        <v/>
      </c>
      <c r="V792" s="5" t="str">
        <f>IFERROR(__xludf.DUMMYFUNCTION("""COMPUTED_VALUE"""),"")</f>
        <v/>
      </c>
      <c r="W792" s="5" t="str">
        <f>IFERROR(__xludf.DUMMYFUNCTION("""COMPUTED_VALUE"""),"")</f>
        <v/>
      </c>
      <c r="X792" s="5" t="str">
        <f>IFERROR(__xludf.DUMMYFUNCTION("""COMPUTED_VALUE"""),"")</f>
        <v/>
      </c>
      <c r="Y792" s="5"/>
      <c r="Z792" s="5"/>
    </row>
    <row r="793">
      <c r="A793" s="5" t="str">
        <f>IFERROR(__xludf.DUMMYFUNCTION("""COMPUTED_VALUE"""),"Joker's Crown x2")</f>
        <v>Joker's Crown x2</v>
      </c>
      <c r="B793" s="5" t="str">
        <f>IFERROR(__xludf.DUMMYFUNCTION("""COMPUTED_VALUE"""),"")</f>
        <v/>
      </c>
      <c r="C793" s="5" t="str">
        <f>IFERROR(__xludf.DUMMYFUNCTION("""COMPUTED_VALUE"""),"")</f>
        <v/>
      </c>
      <c r="D793" s="5" t="str">
        <f>IFERROR(__xludf.DUMMYFUNCTION("""COMPUTED_VALUE"""),"")</f>
        <v/>
      </c>
      <c r="E793" s="5" t="str">
        <f>IFERROR(__xludf.DUMMYFUNCTION("""COMPUTED_VALUE"""),"")</f>
        <v/>
      </c>
      <c r="F793" s="5" t="str">
        <f>IFERROR(__xludf.DUMMYFUNCTION("""COMPUTED_VALUE"""),"")</f>
        <v/>
      </c>
      <c r="G793" s="5" t="str">
        <f>IFERROR(__xludf.DUMMYFUNCTION("""COMPUTED_VALUE"""),"")</f>
        <v/>
      </c>
      <c r="H793" s="5" t="str">
        <f>IFERROR(__xludf.DUMMYFUNCTION("""COMPUTED_VALUE"""),"")</f>
        <v/>
      </c>
      <c r="I793" s="5" t="str">
        <f>IFERROR(__xludf.DUMMYFUNCTION("""COMPUTED_VALUE"""),"")</f>
        <v/>
      </c>
      <c r="J793" s="5" t="str">
        <f>IFERROR(__xludf.DUMMYFUNCTION("""COMPUTED_VALUE"""),"")</f>
        <v/>
      </c>
      <c r="K793" s="5" t="str">
        <f>IFERROR(__xludf.DUMMYFUNCTION("""COMPUTED_VALUE"""),"")</f>
        <v/>
      </c>
      <c r="L793" s="5" t="str">
        <f>IFERROR(__xludf.DUMMYFUNCTION("""COMPUTED_VALUE"""),"")</f>
        <v/>
      </c>
      <c r="M793" s="5" t="str">
        <f>IFERROR(__xludf.DUMMYFUNCTION("""COMPUTED_VALUE"""),"")</f>
        <v/>
      </c>
      <c r="N793" s="5" t="str">
        <f>IFERROR(__xludf.DUMMYFUNCTION("""COMPUTED_VALUE"""),"")</f>
        <v/>
      </c>
      <c r="O793" s="5" t="str">
        <f>IFERROR(__xludf.DUMMYFUNCTION("""COMPUTED_VALUE"""),"")</f>
        <v/>
      </c>
      <c r="P793" s="5" t="str">
        <f>IFERROR(__xludf.DUMMYFUNCTION("""COMPUTED_VALUE"""),"")</f>
        <v/>
      </c>
      <c r="Q793" s="5" t="str">
        <f>IFERROR(__xludf.DUMMYFUNCTION("""COMPUTED_VALUE"""),"")</f>
        <v/>
      </c>
      <c r="R793" s="5" t="str">
        <f>IFERROR(__xludf.DUMMYFUNCTION("""COMPUTED_VALUE"""),"")</f>
        <v/>
      </c>
      <c r="S793" s="5" t="str">
        <f>IFERROR(__xludf.DUMMYFUNCTION("""COMPUTED_VALUE"""),"")</f>
        <v/>
      </c>
      <c r="T793" s="5" t="str">
        <f>IFERROR(__xludf.DUMMYFUNCTION("""COMPUTED_VALUE"""),"")</f>
        <v/>
      </c>
      <c r="U793" s="5" t="str">
        <f>IFERROR(__xludf.DUMMYFUNCTION("""COMPUTED_VALUE"""),"")</f>
        <v/>
      </c>
      <c r="V793" s="5" t="str">
        <f>IFERROR(__xludf.DUMMYFUNCTION("""COMPUTED_VALUE"""),"")</f>
        <v/>
      </c>
      <c r="W793" s="5" t="str">
        <f>IFERROR(__xludf.DUMMYFUNCTION("""COMPUTED_VALUE"""),"")</f>
        <v/>
      </c>
      <c r="X793" s="5" t="str">
        <f>IFERROR(__xludf.DUMMYFUNCTION("""COMPUTED_VALUE"""),"")</f>
        <v/>
      </c>
      <c r="Y793" s="5"/>
      <c r="Z793" s="5"/>
    </row>
    <row r="794">
      <c r="A794" s="5" t="str">
        <f>IFERROR(__xludf.DUMMYFUNCTION("""COMPUTED_VALUE"""),"Roxy: Undercover")</f>
        <v>Roxy: Undercover</v>
      </c>
      <c r="B794" s="5" t="str">
        <f>IFERROR(__xludf.DUMMYFUNCTION("""COMPUTED_VALUE"""),"")</f>
        <v/>
      </c>
      <c r="C794" s="5" t="str">
        <f>IFERROR(__xludf.DUMMYFUNCTION("""COMPUTED_VALUE"""),"")</f>
        <v/>
      </c>
      <c r="D794" s="5" t="str">
        <f>IFERROR(__xludf.DUMMYFUNCTION("""COMPUTED_VALUE"""),"")</f>
        <v/>
      </c>
      <c r="E794" s="5" t="str">
        <f>IFERROR(__xludf.DUMMYFUNCTION("""COMPUTED_VALUE"""),"")</f>
        <v/>
      </c>
      <c r="F794" s="5" t="str">
        <f>IFERROR(__xludf.DUMMYFUNCTION("""COMPUTED_VALUE"""),"")</f>
        <v/>
      </c>
      <c r="G794" s="5" t="str">
        <f>IFERROR(__xludf.DUMMYFUNCTION("""COMPUTED_VALUE"""),"")</f>
        <v/>
      </c>
      <c r="H794" s="5" t="str">
        <f>IFERROR(__xludf.DUMMYFUNCTION("""COMPUTED_VALUE"""),"")</f>
        <v/>
      </c>
      <c r="I794" s="5" t="str">
        <f>IFERROR(__xludf.DUMMYFUNCTION("""COMPUTED_VALUE"""),"")</f>
        <v/>
      </c>
      <c r="J794" s="5" t="str">
        <f>IFERROR(__xludf.DUMMYFUNCTION("""COMPUTED_VALUE"""),"")</f>
        <v/>
      </c>
      <c r="K794" s="5" t="str">
        <f>IFERROR(__xludf.DUMMYFUNCTION("""COMPUTED_VALUE"""),"")</f>
        <v/>
      </c>
      <c r="L794" s="5" t="str">
        <f>IFERROR(__xludf.DUMMYFUNCTION("""COMPUTED_VALUE"""),"")</f>
        <v/>
      </c>
      <c r="M794" s="5" t="str">
        <f>IFERROR(__xludf.DUMMYFUNCTION("""COMPUTED_VALUE"""),"")</f>
        <v/>
      </c>
      <c r="N794" s="5" t="str">
        <f>IFERROR(__xludf.DUMMYFUNCTION("""COMPUTED_VALUE"""),"")</f>
        <v/>
      </c>
      <c r="O794" s="5" t="str">
        <f>IFERROR(__xludf.DUMMYFUNCTION("""COMPUTED_VALUE"""),"")</f>
        <v/>
      </c>
      <c r="P794" s="5" t="str">
        <f>IFERROR(__xludf.DUMMYFUNCTION("""COMPUTED_VALUE"""),"")</f>
        <v/>
      </c>
      <c r="Q794" s="5" t="str">
        <f>IFERROR(__xludf.DUMMYFUNCTION("""COMPUTED_VALUE"""),"")</f>
        <v/>
      </c>
      <c r="R794" s="5" t="str">
        <f>IFERROR(__xludf.DUMMYFUNCTION("""COMPUTED_VALUE"""),"")</f>
        <v/>
      </c>
      <c r="S794" s="5" t="str">
        <f>IFERROR(__xludf.DUMMYFUNCTION("""COMPUTED_VALUE"""),"")</f>
        <v/>
      </c>
      <c r="T794" s="5" t="str">
        <f>IFERROR(__xludf.DUMMYFUNCTION("""COMPUTED_VALUE"""),"")</f>
        <v/>
      </c>
      <c r="U794" s="5" t="str">
        <f>IFERROR(__xludf.DUMMYFUNCTION("""COMPUTED_VALUE"""),"")</f>
        <v/>
      </c>
      <c r="V794" s="5" t="str">
        <f>IFERROR(__xludf.DUMMYFUNCTION("""COMPUTED_VALUE"""),"")</f>
        <v/>
      </c>
      <c r="W794" s="5" t="str">
        <f>IFERROR(__xludf.DUMMYFUNCTION("""COMPUTED_VALUE"""),"")</f>
        <v/>
      </c>
      <c r="X794" s="5" t="str">
        <f>IFERROR(__xludf.DUMMYFUNCTION("""COMPUTED_VALUE"""),"")</f>
        <v/>
      </c>
      <c r="Y794" s="5"/>
      <c r="Z794" s="5"/>
    </row>
    <row r="795">
      <c r="A795" s="5" t="str">
        <f>IFERROR(__xludf.DUMMYFUNCTION("""COMPUTED_VALUE"""),"Heart Gem 100")</f>
        <v>Heart Gem 100</v>
      </c>
      <c r="B795" s="5" t="str">
        <f>IFERROR(__xludf.DUMMYFUNCTION("""COMPUTED_VALUE"""),"")</f>
        <v/>
      </c>
      <c r="C795" s="5" t="str">
        <f>IFERROR(__xludf.DUMMYFUNCTION("""COMPUTED_VALUE"""),"")</f>
        <v/>
      </c>
      <c r="D795" s="5" t="str">
        <f>IFERROR(__xludf.DUMMYFUNCTION("""COMPUTED_VALUE"""),"")</f>
        <v/>
      </c>
      <c r="E795" s="5" t="str">
        <f>IFERROR(__xludf.DUMMYFUNCTION("""COMPUTED_VALUE"""),"")</f>
        <v/>
      </c>
      <c r="F795" s="5" t="str">
        <f>IFERROR(__xludf.DUMMYFUNCTION("""COMPUTED_VALUE"""),"")</f>
        <v/>
      </c>
      <c r="G795" s="5" t="str">
        <f>IFERROR(__xludf.DUMMYFUNCTION("""COMPUTED_VALUE"""),"")</f>
        <v/>
      </c>
      <c r="H795" s="5" t="str">
        <f>IFERROR(__xludf.DUMMYFUNCTION("""COMPUTED_VALUE"""),"")</f>
        <v/>
      </c>
      <c r="I795" s="5" t="str">
        <f>IFERROR(__xludf.DUMMYFUNCTION("""COMPUTED_VALUE"""),"")</f>
        <v/>
      </c>
      <c r="J795" s="5" t="str">
        <f>IFERROR(__xludf.DUMMYFUNCTION("""COMPUTED_VALUE"""),"")</f>
        <v/>
      </c>
      <c r="K795" s="5" t="str">
        <f>IFERROR(__xludf.DUMMYFUNCTION("""COMPUTED_VALUE"""),"")</f>
        <v/>
      </c>
      <c r="L795" s="5" t="str">
        <f>IFERROR(__xludf.DUMMYFUNCTION("""COMPUTED_VALUE"""),"")</f>
        <v/>
      </c>
      <c r="M795" s="5" t="str">
        <f>IFERROR(__xludf.DUMMYFUNCTION("""COMPUTED_VALUE"""),"")</f>
        <v/>
      </c>
      <c r="N795" s="5" t="str">
        <f>IFERROR(__xludf.DUMMYFUNCTION("""COMPUTED_VALUE"""),"")</f>
        <v/>
      </c>
      <c r="O795" s="5" t="str">
        <f>IFERROR(__xludf.DUMMYFUNCTION("""COMPUTED_VALUE"""),"")</f>
        <v/>
      </c>
      <c r="P795" s="5" t="str">
        <f>IFERROR(__xludf.DUMMYFUNCTION("""COMPUTED_VALUE"""),"")</f>
        <v/>
      </c>
      <c r="Q795" s="5" t="str">
        <f>IFERROR(__xludf.DUMMYFUNCTION("""COMPUTED_VALUE"""),"")</f>
        <v/>
      </c>
      <c r="R795" s="5" t="str">
        <f>IFERROR(__xludf.DUMMYFUNCTION("""COMPUTED_VALUE"""),"")</f>
        <v/>
      </c>
      <c r="S795" s="5" t="str">
        <f>IFERROR(__xludf.DUMMYFUNCTION("""COMPUTED_VALUE"""),"")</f>
        <v/>
      </c>
      <c r="T795" s="5" t="str">
        <f>IFERROR(__xludf.DUMMYFUNCTION("""COMPUTED_VALUE"""),"")</f>
        <v/>
      </c>
      <c r="U795" s="5" t="str">
        <f>IFERROR(__xludf.DUMMYFUNCTION("""COMPUTED_VALUE"""),"")</f>
        <v/>
      </c>
      <c r="V795" s="5" t="str">
        <f>IFERROR(__xludf.DUMMYFUNCTION("""COMPUTED_VALUE"""),"")</f>
        <v/>
      </c>
      <c r="W795" s="5" t="str">
        <f>IFERROR(__xludf.DUMMYFUNCTION("""COMPUTED_VALUE"""),"")</f>
        <v/>
      </c>
      <c r="X795" s="5" t="str">
        <f>IFERROR(__xludf.DUMMYFUNCTION("""COMPUTED_VALUE"""),"")</f>
        <v/>
      </c>
      <c r="Y795" s="5"/>
      <c r="Z795" s="5"/>
    </row>
    <row r="796">
      <c r="A796" s="5" t="str">
        <f>IFERROR(__xludf.DUMMYFUNCTION("""COMPUTED_VALUE"""),"Crown Treasure 10")</f>
        <v>Crown Treasure 10</v>
      </c>
      <c r="B796" s="5" t="str">
        <f>IFERROR(__xludf.DUMMYFUNCTION("""COMPUTED_VALUE"""),"")</f>
        <v/>
      </c>
      <c r="C796" s="5" t="str">
        <f>IFERROR(__xludf.DUMMYFUNCTION("""COMPUTED_VALUE"""),"")</f>
        <v/>
      </c>
      <c r="D796" s="5" t="str">
        <f>IFERROR(__xludf.DUMMYFUNCTION("""COMPUTED_VALUE"""),"")</f>
        <v/>
      </c>
      <c r="E796" s="5" t="str">
        <f>IFERROR(__xludf.DUMMYFUNCTION("""COMPUTED_VALUE"""),"")</f>
        <v/>
      </c>
      <c r="F796" s="5" t="str">
        <f>IFERROR(__xludf.DUMMYFUNCTION("""COMPUTED_VALUE"""),"")</f>
        <v/>
      </c>
      <c r="G796" s="5" t="str">
        <f>IFERROR(__xludf.DUMMYFUNCTION("""COMPUTED_VALUE"""),"")</f>
        <v/>
      </c>
      <c r="H796" s="5" t="str">
        <f>IFERROR(__xludf.DUMMYFUNCTION("""COMPUTED_VALUE"""),"")</f>
        <v/>
      </c>
      <c r="I796" s="5" t="str">
        <f>IFERROR(__xludf.DUMMYFUNCTION("""COMPUTED_VALUE"""),"")</f>
        <v/>
      </c>
      <c r="J796" s="5" t="str">
        <f>IFERROR(__xludf.DUMMYFUNCTION("""COMPUTED_VALUE"""),"")</f>
        <v/>
      </c>
      <c r="K796" s="5" t="str">
        <f>IFERROR(__xludf.DUMMYFUNCTION("""COMPUTED_VALUE"""),"")</f>
        <v/>
      </c>
      <c r="L796" s="5" t="str">
        <f>IFERROR(__xludf.DUMMYFUNCTION("""COMPUTED_VALUE"""),"")</f>
        <v/>
      </c>
      <c r="M796" s="5" t="str">
        <f>IFERROR(__xludf.DUMMYFUNCTION("""COMPUTED_VALUE"""),"")</f>
        <v/>
      </c>
      <c r="N796" s="5" t="str">
        <f>IFERROR(__xludf.DUMMYFUNCTION("""COMPUTED_VALUE"""),"")</f>
        <v/>
      </c>
      <c r="O796" s="5" t="str">
        <f>IFERROR(__xludf.DUMMYFUNCTION("""COMPUTED_VALUE"""),"")</f>
        <v/>
      </c>
      <c r="P796" s="5" t="str">
        <f>IFERROR(__xludf.DUMMYFUNCTION("""COMPUTED_VALUE"""),"")</f>
        <v/>
      </c>
      <c r="Q796" s="5" t="str">
        <f>IFERROR(__xludf.DUMMYFUNCTION("""COMPUTED_VALUE"""),"")</f>
        <v/>
      </c>
      <c r="R796" s="5" t="str">
        <f>IFERROR(__xludf.DUMMYFUNCTION("""COMPUTED_VALUE"""),"")</f>
        <v/>
      </c>
      <c r="S796" s="5" t="str">
        <f>IFERROR(__xludf.DUMMYFUNCTION("""COMPUTED_VALUE"""),"")</f>
        <v/>
      </c>
      <c r="T796" s="5" t="str">
        <f>IFERROR(__xludf.DUMMYFUNCTION("""COMPUTED_VALUE"""),"")</f>
        <v/>
      </c>
      <c r="U796" s="5" t="str">
        <f>IFERROR(__xludf.DUMMYFUNCTION("""COMPUTED_VALUE"""),"")</f>
        <v/>
      </c>
      <c r="V796" s="5" t="str">
        <f>IFERROR(__xludf.DUMMYFUNCTION("""COMPUTED_VALUE"""),"")</f>
        <v/>
      </c>
      <c r="W796" s="5" t="str">
        <f>IFERROR(__xludf.DUMMYFUNCTION("""COMPUTED_VALUE"""),"")</f>
        <v/>
      </c>
      <c r="X796" s="5" t="str">
        <f>IFERROR(__xludf.DUMMYFUNCTION("""COMPUTED_VALUE"""),"")</f>
        <v/>
      </c>
      <c r="Y796" s="5"/>
      <c r="Z796" s="5"/>
    </row>
    <row r="797">
      <c r="A797" s="5" t="str">
        <f>IFERROR(__xludf.DUMMYFUNCTION("""COMPUTED_VALUE"""),"Tropic Twist Extreme")</f>
        <v>Tropic Twist Extreme</v>
      </c>
      <c r="B797" s="5" t="str">
        <f>IFERROR(__xludf.DUMMYFUNCTION("""COMPUTED_VALUE"""),"")</f>
        <v/>
      </c>
      <c r="C797" s="5" t="str">
        <f>IFERROR(__xludf.DUMMYFUNCTION("""COMPUTED_VALUE"""),"")</f>
        <v/>
      </c>
      <c r="D797" s="5" t="str">
        <f>IFERROR(__xludf.DUMMYFUNCTION("""COMPUTED_VALUE"""),"")</f>
        <v/>
      </c>
      <c r="E797" s="5" t="str">
        <f>IFERROR(__xludf.DUMMYFUNCTION("""COMPUTED_VALUE"""),"")</f>
        <v/>
      </c>
      <c r="F797" s="5" t="str">
        <f>IFERROR(__xludf.DUMMYFUNCTION("""COMPUTED_VALUE"""),"")</f>
        <v/>
      </c>
      <c r="G797" s="5" t="str">
        <f>IFERROR(__xludf.DUMMYFUNCTION("""COMPUTED_VALUE"""),"")</f>
        <v/>
      </c>
      <c r="H797" s="5" t="str">
        <f>IFERROR(__xludf.DUMMYFUNCTION("""COMPUTED_VALUE"""),"")</f>
        <v/>
      </c>
      <c r="I797" s="5" t="str">
        <f>IFERROR(__xludf.DUMMYFUNCTION("""COMPUTED_VALUE"""),"")</f>
        <v/>
      </c>
      <c r="J797" s="5" t="str">
        <f>IFERROR(__xludf.DUMMYFUNCTION("""COMPUTED_VALUE"""),"")</f>
        <v/>
      </c>
      <c r="K797" s="5" t="str">
        <f>IFERROR(__xludf.DUMMYFUNCTION("""COMPUTED_VALUE"""),"")</f>
        <v/>
      </c>
      <c r="L797" s="5" t="str">
        <f>IFERROR(__xludf.DUMMYFUNCTION("""COMPUTED_VALUE"""),"")</f>
        <v/>
      </c>
      <c r="M797" s="5" t="str">
        <f>IFERROR(__xludf.DUMMYFUNCTION("""COMPUTED_VALUE"""),"")</f>
        <v/>
      </c>
      <c r="N797" s="5" t="str">
        <f>IFERROR(__xludf.DUMMYFUNCTION("""COMPUTED_VALUE"""),"")</f>
        <v/>
      </c>
      <c r="O797" s="5" t="str">
        <f>IFERROR(__xludf.DUMMYFUNCTION("""COMPUTED_VALUE"""),"")</f>
        <v/>
      </c>
      <c r="P797" s="5" t="str">
        <f>IFERROR(__xludf.DUMMYFUNCTION("""COMPUTED_VALUE"""),"")</f>
        <v/>
      </c>
      <c r="Q797" s="5" t="str">
        <f>IFERROR(__xludf.DUMMYFUNCTION("""COMPUTED_VALUE"""),"")</f>
        <v/>
      </c>
      <c r="R797" s="5" t="str">
        <f>IFERROR(__xludf.DUMMYFUNCTION("""COMPUTED_VALUE"""),"")</f>
        <v/>
      </c>
      <c r="S797" s="5" t="str">
        <f>IFERROR(__xludf.DUMMYFUNCTION("""COMPUTED_VALUE"""),"")</f>
        <v/>
      </c>
      <c r="T797" s="5" t="str">
        <f>IFERROR(__xludf.DUMMYFUNCTION("""COMPUTED_VALUE"""),"")</f>
        <v/>
      </c>
      <c r="U797" s="5" t="str">
        <f>IFERROR(__xludf.DUMMYFUNCTION("""COMPUTED_VALUE"""),"")</f>
        <v/>
      </c>
      <c r="V797" s="5" t="str">
        <f>IFERROR(__xludf.DUMMYFUNCTION("""COMPUTED_VALUE"""),"")</f>
        <v/>
      </c>
      <c r="W797" s="5" t="str">
        <f>IFERROR(__xludf.DUMMYFUNCTION("""COMPUTED_VALUE"""),"")</f>
        <v/>
      </c>
      <c r="X797" s="5" t="str">
        <f>IFERROR(__xludf.DUMMYFUNCTION("""COMPUTED_VALUE"""),"")</f>
        <v/>
      </c>
      <c r="Y797" s="5"/>
      <c r="Z797" s="5"/>
    </row>
    <row r="798">
      <c r="A798" s="5" t="str">
        <f>IFERROR(__xludf.DUMMYFUNCTION("""COMPUTED_VALUE"""),"Clover Wealth 5")</f>
        <v>Clover Wealth 5</v>
      </c>
      <c r="B798" s="5" t="str">
        <f>IFERROR(__xludf.DUMMYFUNCTION("""COMPUTED_VALUE"""),"")</f>
        <v/>
      </c>
      <c r="C798" s="5" t="str">
        <f>IFERROR(__xludf.DUMMYFUNCTION("""COMPUTED_VALUE"""),"")</f>
        <v/>
      </c>
      <c r="D798" s="5" t="str">
        <f>IFERROR(__xludf.DUMMYFUNCTION("""COMPUTED_VALUE"""),"")</f>
        <v/>
      </c>
      <c r="E798" s="5" t="str">
        <f>IFERROR(__xludf.DUMMYFUNCTION("""COMPUTED_VALUE"""),"")</f>
        <v/>
      </c>
      <c r="F798" s="5" t="str">
        <f>IFERROR(__xludf.DUMMYFUNCTION("""COMPUTED_VALUE"""),"")</f>
        <v/>
      </c>
      <c r="G798" s="5" t="str">
        <f>IFERROR(__xludf.DUMMYFUNCTION("""COMPUTED_VALUE"""),"")</f>
        <v/>
      </c>
      <c r="H798" s="5" t="str">
        <f>IFERROR(__xludf.DUMMYFUNCTION("""COMPUTED_VALUE"""),"")</f>
        <v/>
      </c>
      <c r="I798" s="5" t="str">
        <f>IFERROR(__xludf.DUMMYFUNCTION("""COMPUTED_VALUE"""),"")</f>
        <v/>
      </c>
      <c r="J798" s="5" t="str">
        <f>IFERROR(__xludf.DUMMYFUNCTION("""COMPUTED_VALUE"""),"")</f>
        <v/>
      </c>
      <c r="K798" s="5" t="str">
        <f>IFERROR(__xludf.DUMMYFUNCTION("""COMPUTED_VALUE"""),"")</f>
        <v/>
      </c>
      <c r="L798" s="5" t="str">
        <f>IFERROR(__xludf.DUMMYFUNCTION("""COMPUTED_VALUE"""),"")</f>
        <v/>
      </c>
      <c r="M798" s="5" t="str">
        <f>IFERROR(__xludf.DUMMYFUNCTION("""COMPUTED_VALUE"""),"")</f>
        <v/>
      </c>
      <c r="N798" s="5" t="str">
        <f>IFERROR(__xludf.DUMMYFUNCTION("""COMPUTED_VALUE"""),"")</f>
        <v/>
      </c>
      <c r="O798" s="5" t="str">
        <f>IFERROR(__xludf.DUMMYFUNCTION("""COMPUTED_VALUE"""),"")</f>
        <v/>
      </c>
      <c r="P798" s="5" t="str">
        <f>IFERROR(__xludf.DUMMYFUNCTION("""COMPUTED_VALUE"""),"")</f>
        <v/>
      </c>
      <c r="Q798" s="5" t="str">
        <f>IFERROR(__xludf.DUMMYFUNCTION("""COMPUTED_VALUE"""),"")</f>
        <v/>
      </c>
      <c r="R798" s="5" t="str">
        <f>IFERROR(__xludf.DUMMYFUNCTION("""COMPUTED_VALUE"""),"")</f>
        <v/>
      </c>
      <c r="S798" s="5" t="str">
        <f>IFERROR(__xludf.DUMMYFUNCTION("""COMPUTED_VALUE"""),"")</f>
        <v/>
      </c>
      <c r="T798" s="5" t="str">
        <f>IFERROR(__xludf.DUMMYFUNCTION("""COMPUTED_VALUE"""),"")</f>
        <v/>
      </c>
      <c r="U798" s="5" t="str">
        <f>IFERROR(__xludf.DUMMYFUNCTION("""COMPUTED_VALUE"""),"")</f>
        <v/>
      </c>
      <c r="V798" s="5" t="str">
        <f>IFERROR(__xludf.DUMMYFUNCTION("""COMPUTED_VALUE"""),"")</f>
        <v/>
      </c>
      <c r="W798" s="5" t="str">
        <f>IFERROR(__xludf.DUMMYFUNCTION("""COMPUTED_VALUE"""),"")</f>
        <v/>
      </c>
      <c r="X798" s="5" t="str">
        <f>IFERROR(__xludf.DUMMYFUNCTION("""COMPUTED_VALUE"""),"")</f>
        <v/>
      </c>
      <c r="Y798" s="5"/>
      <c r="Z798" s="5"/>
    </row>
    <row r="799">
      <c r="A799" s="5" t="str">
        <f>IFERROR(__xludf.DUMMYFUNCTION("""COMPUTED_VALUE"""),"27 Lucky Crown")</f>
        <v>27 Lucky Crown</v>
      </c>
      <c r="B799" s="5" t="str">
        <f>IFERROR(__xludf.DUMMYFUNCTION("""COMPUTED_VALUE"""),"")</f>
        <v/>
      </c>
      <c r="C799" s="5" t="str">
        <f>IFERROR(__xludf.DUMMYFUNCTION("""COMPUTED_VALUE"""),"")</f>
        <v/>
      </c>
      <c r="D799" s="5" t="str">
        <f>IFERROR(__xludf.DUMMYFUNCTION("""COMPUTED_VALUE"""),"")</f>
        <v/>
      </c>
      <c r="E799" s="5" t="str">
        <f>IFERROR(__xludf.DUMMYFUNCTION("""COMPUTED_VALUE"""),"")</f>
        <v/>
      </c>
      <c r="F799" s="5" t="str">
        <f>IFERROR(__xludf.DUMMYFUNCTION("""COMPUTED_VALUE"""),"")</f>
        <v/>
      </c>
      <c r="G799" s="5" t="str">
        <f>IFERROR(__xludf.DUMMYFUNCTION("""COMPUTED_VALUE"""),"")</f>
        <v/>
      </c>
      <c r="H799" s="5" t="str">
        <f>IFERROR(__xludf.DUMMYFUNCTION("""COMPUTED_VALUE"""),"")</f>
        <v/>
      </c>
      <c r="I799" s="5" t="str">
        <f>IFERROR(__xludf.DUMMYFUNCTION("""COMPUTED_VALUE"""),"")</f>
        <v/>
      </c>
      <c r="J799" s="5" t="str">
        <f>IFERROR(__xludf.DUMMYFUNCTION("""COMPUTED_VALUE"""),"")</f>
        <v/>
      </c>
      <c r="K799" s="5" t="str">
        <f>IFERROR(__xludf.DUMMYFUNCTION("""COMPUTED_VALUE"""),"")</f>
        <v/>
      </c>
      <c r="L799" s="5" t="str">
        <f>IFERROR(__xludf.DUMMYFUNCTION("""COMPUTED_VALUE"""),"")</f>
        <v/>
      </c>
      <c r="M799" s="5" t="str">
        <f>IFERROR(__xludf.DUMMYFUNCTION("""COMPUTED_VALUE"""),"")</f>
        <v/>
      </c>
      <c r="N799" s="5" t="str">
        <f>IFERROR(__xludf.DUMMYFUNCTION("""COMPUTED_VALUE"""),"")</f>
        <v/>
      </c>
      <c r="O799" s="5" t="str">
        <f>IFERROR(__xludf.DUMMYFUNCTION("""COMPUTED_VALUE"""),"")</f>
        <v/>
      </c>
      <c r="P799" s="5" t="str">
        <f>IFERROR(__xludf.DUMMYFUNCTION("""COMPUTED_VALUE"""),"")</f>
        <v/>
      </c>
      <c r="Q799" s="5" t="str">
        <f>IFERROR(__xludf.DUMMYFUNCTION("""COMPUTED_VALUE"""),"")</f>
        <v/>
      </c>
      <c r="R799" s="5" t="str">
        <f>IFERROR(__xludf.DUMMYFUNCTION("""COMPUTED_VALUE"""),"")</f>
        <v/>
      </c>
      <c r="S799" s="5" t="str">
        <f>IFERROR(__xludf.DUMMYFUNCTION("""COMPUTED_VALUE"""),"")</f>
        <v/>
      </c>
      <c r="T799" s="5" t="str">
        <f>IFERROR(__xludf.DUMMYFUNCTION("""COMPUTED_VALUE"""),"")</f>
        <v/>
      </c>
      <c r="U799" s="5" t="str">
        <f>IFERROR(__xludf.DUMMYFUNCTION("""COMPUTED_VALUE"""),"")</f>
        <v/>
      </c>
      <c r="V799" s="5" t="str">
        <f>IFERROR(__xludf.DUMMYFUNCTION("""COMPUTED_VALUE"""),"")</f>
        <v/>
      </c>
      <c r="W799" s="5" t="str">
        <f>IFERROR(__xludf.DUMMYFUNCTION("""COMPUTED_VALUE"""),"")</f>
        <v/>
      </c>
      <c r="X799" s="5" t="str">
        <f>IFERROR(__xludf.DUMMYFUNCTION("""COMPUTED_VALUE"""),"")</f>
        <v/>
      </c>
      <c r="Y799" s="5"/>
      <c r="Z799" s="5"/>
    </row>
    <row r="800">
      <c r="A800" s="5" t="str">
        <f>IFERROR(__xludf.DUMMYFUNCTION("""COMPUTED_VALUE"""),"Royal Flame x2")</f>
        <v>Royal Flame x2</v>
      </c>
      <c r="B800" s="5" t="str">
        <f>IFERROR(__xludf.DUMMYFUNCTION("""COMPUTED_VALUE"""),"")</f>
        <v/>
      </c>
      <c r="C800" s="5" t="str">
        <f>IFERROR(__xludf.DUMMYFUNCTION("""COMPUTED_VALUE"""),"")</f>
        <v/>
      </c>
      <c r="D800" s="5" t="str">
        <f>IFERROR(__xludf.DUMMYFUNCTION("""COMPUTED_VALUE"""),"")</f>
        <v/>
      </c>
      <c r="E800" s="5" t="str">
        <f>IFERROR(__xludf.DUMMYFUNCTION("""COMPUTED_VALUE"""),"")</f>
        <v/>
      </c>
      <c r="F800" s="5" t="str">
        <f>IFERROR(__xludf.DUMMYFUNCTION("""COMPUTED_VALUE"""),"")</f>
        <v/>
      </c>
      <c r="G800" s="5" t="str">
        <f>IFERROR(__xludf.DUMMYFUNCTION("""COMPUTED_VALUE"""),"")</f>
        <v/>
      </c>
      <c r="H800" s="5" t="str">
        <f>IFERROR(__xludf.DUMMYFUNCTION("""COMPUTED_VALUE"""),"")</f>
        <v/>
      </c>
      <c r="I800" s="5" t="str">
        <f>IFERROR(__xludf.DUMMYFUNCTION("""COMPUTED_VALUE"""),"")</f>
        <v/>
      </c>
      <c r="J800" s="5" t="str">
        <f>IFERROR(__xludf.DUMMYFUNCTION("""COMPUTED_VALUE"""),"")</f>
        <v/>
      </c>
      <c r="K800" s="5" t="str">
        <f>IFERROR(__xludf.DUMMYFUNCTION("""COMPUTED_VALUE"""),"")</f>
        <v/>
      </c>
      <c r="L800" s="5" t="str">
        <f>IFERROR(__xludf.DUMMYFUNCTION("""COMPUTED_VALUE"""),"")</f>
        <v/>
      </c>
      <c r="M800" s="5" t="str">
        <f>IFERROR(__xludf.DUMMYFUNCTION("""COMPUTED_VALUE"""),"")</f>
        <v/>
      </c>
      <c r="N800" s="5" t="str">
        <f>IFERROR(__xludf.DUMMYFUNCTION("""COMPUTED_VALUE"""),"")</f>
        <v/>
      </c>
      <c r="O800" s="5" t="str">
        <f>IFERROR(__xludf.DUMMYFUNCTION("""COMPUTED_VALUE"""),"")</f>
        <v/>
      </c>
      <c r="P800" s="5" t="str">
        <f>IFERROR(__xludf.DUMMYFUNCTION("""COMPUTED_VALUE"""),"")</f>
        <v/>
      </c>
      <c r="Q800" s="5" t="str">
        <f>IFERROR(__xludf.DUMMYFUNCTION("""COMPUTED_VALUE"""),"")</f>
        <v/>
      </c>
      <c r="R800" s="5" t="str">
        <f>IFERROR(__xludf.DUMMYFUNCTION("""COMPUTED_VALUE"""),"")</f>
        <v/>
      </c>
      <c r="S800" s="5" t="str">
        <f>IFERROR(__xludf.DUMMYFUNCTION("""COMPUTED_VALUE"""),"")</f>
        <v/>
      </c>
      <c r="T800" s="5" t="str">
        <f>IFERROR(__xludf.DUMMYFUNCTION("""COMPUTED_VALUE"""),"")</f>
        <v/>
      </c>
      <c r="U800" s="5" t="str">
        <f>IFERROR(__xludf.DUMMYFUNCTION("""COMPUTED_VALUE"""),"")</f>
        <v/>
      </c>
      <c r="V800" s="5" t="str">
        <f>IFERROR(__xludf.DUMMYFUNCTION("""COMPUTED_VALUE"""),"")</f>
        <v/>
      </c>
      <c r="W800" s="5" t="str">
        <f>IFERROR(__xludf.DUMMYFUNCTION("""COMPUTED_VALUE"""),"")</f>
        <v/>
      </c>
      <c r="X800" s="5" t="str">
        <f>IFERROR(__xludf.DUMMYFUNCTION("""COMPUTED_VALUE"""),"")</f>
        <v/>
      </c>
      <c r="Y800" s="5"/>
      <c r="Z800" s="5"/>
    </row>
    <row r="801">
      <c r="A801" s="5" t="str">
        <f>IFERROR(__xludf.DUMMYFUNCTION("""COMPUTED_VALUE"""),"Heart Gem 5")</f>
        <v>Heart Gem 5</v>
      </c>
      <c r="B801" s="5" t="str">
        <f>IFERROR(__xludf.DUMMYFUNCTION("""COMPUTED_VALUE"""),"")</f>
        <v/>
      </c>
      <c r="C801" s="5" t="str">
        <f>IFERROR(__xludf.DUMMYFUNCTION("""COMPUTED_VALUE"""),"")</f>
        <v/>
      </c>
      <c r="D801" s="5" t="str">
        <f>IFERROR(__xludf.DUMMYFUNCTION("""COMPUTED_VALUE"""),"")</f>
        <v/>
      </c>
      <c r="E801" s="5" t="str">
        <f>IFERROR(__xludf.DUMMYFUNCTION("""COMPUTED_VALUE"""),"")</f>
        <v/>
      </c>
      <c r="F801" s="5" t="str">
        <f>IFERROR(__xludf.DUMMYFUNCTION("""COMPUTED_VALUE"""),"")</f>
        <v/>
      </c>
      <c r="G801" s="5" t="str">
        <f>IFERROR(__xludf.DUMMYFUNCTION("""COMPUTED_VALUE"""),"")</f>
        <v/>
      </c>
      <c r="H801" s="5" t="str">
        <f>IFERROR(__xludf.DUMMYFUNCTION("""COMPUTED_VALUE"""),"")</f>
        <v/>
      </c>
      <c r="I801" s="5" t="str">
        <f>IFERROR(__xludf.DUMMYFUNCTION("""COMPUTED_VALUE"""),"")</f>
        <v/>
      </c>
      <c r="J801" s="5" t="str">
        <f>IFERROR(__xludf.DUMMYFUNCTION("""COMPUTED_VALUE"""),"")</f>
        <v/>
      </c>
      <c r="K801" s="5" t="str">
        <f>IFERROR(__xludf.DUMMYFUNCTION("""COMPUTED_VALUE"""),"")</f>
        <v/>
      </c>
      <c r="L801" s="5" t="str">
        <f>IFERROR(__xludf.DUMMYFUNCTION("""COMPUTED_VALUE"""),"")</f>
        <v/>
      </c>
      <c r="M801" s="5" t="str">
        <f>IFERROR(__xludf.DUMMYFUNCTION("""COMPUTED_VALUE"""),"")</f>
        <v/>
      </c>
      <c r="N801" s="5" t="str">
        <f>IFERROR(__xludf.DUMMYFUNCTION("""COMPUTED_VALUE"""),"")</f>
        <v/>
      </c>
      <c r="O801" s="5" t="str">
        <f>IFERROR(__xludf.DUMMYFUNCTION("""COMPUTED_VALUE"""),"")</f>
        <v/>
      </c>
      <c r="P801" s="5" t="str">
        <f>IFERROR(__xludf.DUMMYFUNCTION("""COMPUTED_VALUE"""),"")</f>
        <v/>
      </c>
      <c r="Q801" s="5" t="str">
        <f>IFERROR(__xludf.DUMMYFUNCTION("""COMPUTED_VALUE"""),"")</f>
        <v/>
      </c>
      <c r="R801" s="5" t="str">
        <f>IFERROR(__xludf.DUMMYFUNCTION("""COMPUTED_VALUE"""),"")</f>
        <v/>
      </c>
      <c r="S801" s="5" t="str">
        <f>IFERROR(__xludf.DUMMYFUNCTION("""COMPUTED_VALUE"""),"")</f>
        <v/>
      </c>
      <c r="T801" s="5" t="str">
        <f>IFERROR(__xludf.DUMMYFUNCTION("""COMPUTED_VALUE"""),"")</f>
        <v/>
      </c>
      <c r="U801" s="5" t="str">
        <f>IFERROR(__xludf.DUMMYFUNCTION("""COMPUTED_VALUE"""),"")</f>
        <v/>
      </c>
      <c r="V801" s="5" t="str">
        <f>IFERROR(__xludf.DUMMYFUNCTION("""COMPUTED_VALUE"""),"")</f>
        <v/>
      </c>
      <c r="W801" s="5" t="str">
        <f>IFERROR(__xludf.DUMMYFUNCTION("""COMPUTED_VALUE"""),"")</f>
        <v/>
      </c>
      <c r="X801" s="5" t="str">
        <f>IFERROR(__xludf.DUMMYFUNCTION("""COMPUTED_VALUE"""),"")</f>
        <v/>
      </c>
      <c r="Y801" s="5"/>
      <c r="Z801" s="5"/>
    </row>
    <row r="802">
      <c r="A802" s="5" t="str">
        <f>IFERROR(__xludf.DUMMYFUNCTION("""COMPUTED_VALUE"""),"Empress of Flame 20")</f>
        <v>Empress of Flame 20</v>
      </c>
      <c r="B802" s="5" t="str">
        <f>IFERROR(__xludf.DUMMYFUNCTION("""COMPUTED_VALUE"""),"")</f>
        <v/>
      </c>
      <c r="C802" s="5" t="str">
        <f>IFERROR(__xludf.DUMMYFUNCTION("""COMPUTED_VALUE"""),"")</f>
        <v/>
      </c>
      <c r="D802" s="5" t="str">
        <f>IFERROR(__xludf.DUMMYFUNCTION("""COMPUTED_VALUE"""),"")</f>
        <v/>
      </c>
      <c r="E802" s="5" t="str">
        <f>IFERROR(__xludf.DUMMYFUNCTION("""COMPUTED_VALUE"""),"")</f>
        <v/>
      </c>
      <c r="F802" s="5" t="str">
        <f>IFERROR(__xludf.DUMMYFUNCTION("""COMPUTED_VALUE"""),"")</f>
        <v/>
      </c>
      <c r="G802" s="5" t="str">
        <f>IFERROR(__xludf.DUMMYFUNCTION("""COMPUTED_VALUE"""),"")</f>
        <v/>
      </c>
      <c r="H802" s="5" t="str">
        <f>IFERROR(__xludf.DUMMYFUNCTION("""COMPUTED_VALUE"""),"")</f>
        <v/>
      </c>
      <c r="I802" s="5" t="str">
        <f>IFERROR(__xludf.DUMMYFUNCTION("""COMPUTED_VALUE"""),"")</f>
        <v/>
      </c>
      <c r="J802" s="5" t="str">
        <f>IFERROR(__xludf.DUMMYFUNCTION("""COMPUTED_VALUE"""),"")</f>
        <v/>
      </c>
      <c r="K802" s="5" t="str">
        <f>IFERROR(__xludf.DUMMYFUNCTION("""COMPUTED_VALUE"""),"")</f>
        <v/>
      </c>
      <c r="L802" s="5" t="str">
        <f>IFERROR(__xludf.DUMMYFUNCTION("""COMPUTED_VALUE"""),"")</f>
        <v/>
      </c>
      <c r="M802" s="5" t="str">
        <f>IFERROR(__xludf.DUMMYFUNCTION("""COMPUTED_VALUE"""),"")</f>
        <v/>
      </c>
      <c r="N802" s="5" t="str">
        <f>IFERROR(__xludf.DUMMYFUNCTION("""COMPUTED_VALUE"""),"")</f>
        <v/>
      </c>
      <c r="O802" s="5" t="str">
        <f>IFERROR(__xludf.DUMMYFUNCTION("""COMPUTED_VALUE"""),"")</f>
        <v/>
      </c>
      <c r="P802" s="5" t="str">
        <f>IFERROR(__xludf.DUMMYFUNCTION("""COMPUTED_VALUE"""),"")</f>
        <v/>
      </c>
      <c r="Q802" s="5" t="str">
        <f>IFERROR(__xludf.DUMMYFUNCTION("""COMPUTED_VALUE"""),"")</f>
        <v/>
      </c>
      <c r="R802" s="5" t="str">
        <f>IFERROR(__xludf.DUMMYFUNCTION("""COMPUTED_VALUE"""),"")</f>
        <v/>
      </c>
      <c r="S802" s="5" t="str">
        <f>IFERROR(__xludf.DUMMYFUNCTION("""COMPUTED_VALUE"""),"")</f>
        <v/>
      </c>
      <c r="T802" s="5" t="str">
        <f>IFERROR(__xludf.DUMMYFUNCTION("""COMPUTED_VALUE"""),"")</f>
        <v/>
      </c>
      <c r="U802" s="5" t="str">
        <f>IFERROR(__xludf.DUMMYFUNCTION("""COMPUTED_VALUE"""),"")</f>
        <v/>
      </c>
      <c r="V802" s="5" t="str">
        <f>IFERROR(__xludf.DUMMYFUNCTION("""COMPUTED_VALUE"""),"")</f>
        <v/>
      </c>
      <c r="W802" s="5" t="str">
        <f>IFERROR(__xludf.DUMMYFUNCTION("""COMPUTED_VALUE"""),"")</f>
        <v/>
      </c>
      <c r="X802" s="5" t="str">
        <f>IFERROR(__xludf.DUMMYFUNCTION("""COMPUTED_VALUE"""),"")</f>
        <v/>
      </c>
      <c r="Y802" s="5"/>
      <c r="Z802" s="5"/>
    </row>
    <row r="803">
      <c r="A803" s="5" t="str">
        <f>IFERROR(__xludf.DUMMYFUNCTION("""COMPUTED_VALUE"""),"Shadow Hunt 20")</f>
        <v>Shadow Hunt 20</v>
      </c>
      <c r="B803" s="5" t="str">
        <f>IFERROR(__xludf.DUMMYFUNCTION("""COMPUTED_VALUE"""),"")</f>
        <v/>
      </c>
      <c r="C803" s="5" t="str">
        <f>IFERROR(__xludf.DUMMYFUNCTION("""COMPUTED_VALUE"""),"")</f>
        <v/>
      </c>
      <c r="D803" s="5" t="str">
        <f>IFERROR(__xludf.DUMMYFUNCTION("""COMPUTED_VALUE"""),"")</f>
        <v/>
      </c>
      <c r="E803" s="5" t="str">
        <f>IFERROR(__xludf.DUMMYFUNCTION("""COMPUTED_VALUE"""),"")</f>
        <v/>
      </c>
      <c r="F803" s="5" t="str">
        <f>IFERROR(__xludf.DUMMYFUNCTION("""COMPUTED_VALUE"""),"")</f>
        <v/>
      </c>
      <c r="G803" s="5" t="str">
        <f>IFERROR(__xludf.DUMMYFUNCTION("""COMPUTED_VALUE"""),"")</f>
        <v/>
      </c>
      <c r="H803" s="5" t="str">
        <f>IFERROR(__xludf.DUMMYFUNCTION("""COMPUTED_VALUE"""),"")</f>
        <v/>
      </c>
      <c r="I803" s="5" t="str">
        <f>IFERROR(__xludf.DUMMYFUNCTION("""COMPUTED_VALUE"""),"")</f>
        <v/>
      </c>
      <c r="J803" s="5" t="str">
        <f>IFERROR(__xludf.DUMMYFUNCTION("""COMPUTED_VALUE"""),"")</f>
        <v/>
      </c>
      <c r="K803" s="5" t="str">
        <f>IFERROR(__xludf.DUMMYFUNCTION("""COMPUTED_VALUE"""),"")</f>
        <v/>
      </c>
      <c r="L803" s="5" t="str">
        <f>IFERROR(__xludf.DUMMYFUNCTION("""COMPUTED_VALUE"""),"")</f>
        <v/>
      </c>
      <c r="M803" s="5" t="str">
        <f>IFERROR(__xludf.DUMMYFUNCTION("""COMPUTED_VALUE"""),"")</f>
        <v/>
      </c>
      <c r="N803" s="5" t="str">
        <f>IFERROR(__xludf.DUMMYFUNCTION("""COMPUTED_VALUE"""),"")</f>
        <v/>
      </c>
      <c r="O803" s="5" t="str">
        <f>IFERROR(__xludf.DUMMYFUNCTION("""COMPUTED_VALUE"""),"")</f>
        <v/>
      </c>
      <c r="P803" s="5" t="str">
        <f>IFERROR(__xludf.DUMMYFUNCTION("""COMPUTED_VALUE"""),"")</f>
        <v/>
      </c>
      <c r="Q803" s="5" t="str">
        <f>IFERROR(__xludf.DUMMYFUNCTION("""COMPUTED_VALUE"""),"")</f>
        <v/>
      </c>
      <c r="R803" s="5" t="str">
        <f>IFERROR(__xludf.DUMMYFUNCTION("""COMPUTED_VALUE"""),"")</f>
        <v/>
      </c>
      <c r="S803" s="5" t="str">
        <f>IFERROR(__xludf.DUMMYFUNCTION("""COMPUTED_VALUE"""),"")</f>
        <v/>
      </c>
      <c r="T803" s="5" t="str">
        <f>IFERROR(__xludf.DUMMYFUNCTION("""COMPUTED_VALUE"""),"")</f>
        <v/>
      </c>
      <c r="U803" s="5" t="str">
        <f>IFERROR(__xludf.DUMMYFUNCTION("""COMPUTED_VALUE"""),"")</f>
        <v/>
      </c>
      <c r="V803" s="5" t="str">
        <f>IFERROR(__xludf.DUMMYFUNCTION("""COMPUTED_VALUE"""),"")</f>
        <v/>
      </c>
      <c r="W803" s="5" t="str">
        <f>IFERROR(__xludf.DUMMYFUNCTION("""COMPUTED_VALUE"""),"")</f>
        <v/>
      </c>
      <c r="X803" s="5" t="str">
        <f>IFERROR(__xludf.DUMMYFUNCTION("""COMPUTED_VALUE"""),"")</f>
        <v/>
      </c>
      <c r="Y803" s="5"/>
      <c r="Z803" s="5"/>
    </row>
    <row r="804">
      <c r="A804" s="5" t="str">
        <f>IFERROR(__xludf.DUMMYFUNCTION("""COMPUTED_VALUE"""),"27 Wild Stacks Extreme")</f>
        <v>27 Wild Stacks Extreme</v>
      </c>
      <c r="B804" s="5" t="str">
        <f>IFERROR(__xludf.DUMMYFUNCTION("""COMPUTED_VALUE"""),"")</f>
        <v/>
      </c>
      <c r="C804" s="5" t="str">
        <f>IFERROR(__xludf.DUMMYFUNCTION("""COMPUTED_VALUE"""),"")</f>
        <v/>
      </c>
      <c r="D804" s="5" t="str">
        <f>IFERROR(__xludf.DUMMYFUNCTION("""COMPUTED_VALUE"""),"")</f>
        <v/>
      </c>
      <c r="E804" s="5" t="str">
        <f>IFERROR(__xludf.DUMMYFUNCTION("""COMPUTED_VALUE"""),"")</f>
        <v/>
      </c>
      <c r="F804" s="5" t="str">
        <f>IFERROR(__xludf.DUMMYFUNCTION("""COMPUTED_VALUE"""),"")</f>
        <v/>
      </c>
      <c r="G804" s="5" t="str">
        <f>IFERROR(__xludf.DUMMYFUNCTION("""COMPUTED_VALUE"""),"")</f>
        <v/>
      </c>
      <c r="H804" s="5" t="str">
        <f>IFERROR(__xludf.DUMMYFUNCTION("""COMPUTED_VALUE"""),"")</f>
        <v/>
      </c>
      <c r="I804" s="5" t="str">
        <f>IFERROR(__xludf.DUMMYFUNCTION("""COMPUTED_VALUE"""),"")</f>
        <v/>
      </c>
      <c r="J804" s="5" t="str">
        <f>IFERROR(__xludf.DUMMYFUNCTION("""COMPUTED_VALUE"""),"")</f>
        <v/>
      </c>
      <c r="K804" s="5" t="str">
        <f>IFERROR(__xludf.DUMMYFUNCTION("""COMPUTED_VALUE"""),"")</f>
        <v/>
      </c>
      <c r="L804" s="5" t="str">
        <f>IFERROR(__xludf.DUMMYFUNCTION("""COMPUTED_VALUE"""),"")</f>
        <v/>
      </c>
      <c r="M804" s="5" t="str">
        <f>IFERROR(__xludf.DUMMYFUNCTION("""COMPUTED_VALUE"""),"")</f>
        <v/>
      </c>
      <c r="N804" s="5" t="str">
        <f>IFERROR(__xludf.DUMMYFUNCTION("""COMPUTED_VALUE"""),"")</f>
        <v/>
      </c>
      <c r="O804" s="5" t="str">
        <f>IFERROR(__xludf.DUMMYFUNCTION("""COMPUTED_VALUE"""),"")</f>
        <v/>
      </c>
      <c r="P804" s="5" t="str">
        <f>IFERROR(__xludf.DUMMYFUNCTION("""COMPUTED_VALUE"""),"")</f>
        <v/>
      </c>
      <c r="Q804" s="5" t="str">
        <f>IFERROR(__xludf.DUMMYFUNCTION("""COMPUTED_VALUE"""),"")</f>
        <v/>
      </c>
      <c r="R804" s="5" t="str">
        <f>IFERROR(__xludf.DUMMYFUNCTION("""COMPUTED_VALUE"""),"")</f>
        <v/>
      </c>
      <c r="S804" s="5" t="str">
        <f>IFERROR(__xludf.DUMMYFUNCTION("""COMPUTED_VALUE"""),"")</f>
        <v/>
      </c>
      <c r="T804" s="5" t="str">
        <f>IFERROR(__xludf.DUMMYFUNCTION("""COMPUTED_VALUE"""),"")</f>
        <v/>
      </c>
      <c r="U804" s="5" t="str">
        <f>IFERROR(__xludf.DUMMYFUNCTION("""COMPUTED_VALUE"""),"")</f>
        <v/>
      </c>
      <c r="V804" s="5" t="str">
        <f>IFERROR(__xludf.DUMMYFUNCTION("""COMPUTED_VALUE"""),"")</f>
        <v/>
      </c>
      <c r="W804" s="5" t="str">
        <f>IFERROR(__xludf.DUMMYFUNCTION("""COMPUTED_VALUE"""),"")</f>
        <v/>
      </c>
      <c r="X804" s="5" t="str">
        <f>IFERROR(__xludf.DUMMYFUNCTION("""COMPUTED_VALUE"""),"")</f>
        <v/>
      </c>
      <c r="Y804" s="5"/>
      <c r="Z804" s="5"/>
    </row>
    <row r="805">
      <c r="A805" s="5" t="str">
        <f>IFERROR(__xludf.DUMMYFUNCTION("""COMPUTED_VALUE"""),"Lucky Lucky Bells")</f>
        <v>Lucky Lucky Bells</v>
      </c>
      <c r="B805" s="5" t="str">
        <f>IFERROR(__xludf.DUMMYFUNCTION("""COMPUTED_VALUE"""),"")</f>
        <v/>
      </c>
      <c r="C805" s="5" t="str">
        <f>IFERROR(__xludf.DUMMYFUNCTION("""COMPUTED_VALUE"""),"")</f>
        <v/>
      </c>
      <c r="D805" s="5" t="str">
        <f>IFERROR(__xludf.DUMMYFUNCTION("""COMPUTED_VALUE"""),"")</f>
        <v/>
      </c>
      <c r="E805" s="5" t="str">
        <f>IFERROR(__xludf.DUMMYFUNCTION("""COMPUTED_VALUE"""),"")</f>
        <v/>
      </c>
      <c r="F805" s="5" t="str">
        <f>IFERROR(__xludf.DUMMYFUNCTION("""COMPUTED_VALUE"""),"")</f>
        <v/>
      </c>
      <c r="G805" s="5" t="str">
        <f>IFERROR(__xludf.DUMMYFUNCTION("""COMPUTED_VALUE"""),"")</f>
        <v/>
      </c>
      <c r="H805" s="5" t="str">
        <f>IFERROR(__xludf.DUMMYFUNCTION("""COMPUTED_VALUE"""),"")</f>
        <v/>
      </c>
      <c r="I805" s="5" t="str">
        <f>IFERROR(__xludf.DUMMYFUNCTION("""COMPUTED_VALUE"""),"")</f>
        <v/>
      </c>
      <c r="J805" s="5" t="str">
        <f>IFERROR(__xludf.DUMMYFUNCTION("""COMPUTED_VALUE"""),"")</f>
        <v/>
      </c>
      <c r="K805" s="5" t="str">
        <f>IFERROR(__xludf.DUMMYFUNCTION("""COMPUTED_VALUE"""),"")</f>
        <v/>
      </c>
      <c r="L805" s="5" t="str">
        <f>IFERROR(__xludf.DUMMYFUNCTION("""COMPUTED_VALUE"""),"")</f>
        <v/>
      </c>
      <c r="M805" s="5" t="str">
        <f>IFERROR(__xludf.DUMMYFUNCTION("""COMPUTED_VALUE"""),"")</f>
        <v/>
      </c>
      <c r="N805" s="5" t="str">
        <f>IFERROR(__xludf.DUMMYFUNCTION("""COMPUTED_VALUE"""),"")</f>
        <v/>
      </c>
      <c r="O805" s="5" t="str">
        <f>IFERROR(__xludf.DUMMYFUNCTION("""COMPUTED_VALUE"""),"")</f>
        <v/>
      </c>
      <c r="P805" s="5" t="str">
        <f>IFERROR(__xludf.DUMMYFUNCTION("""COMPUTED_VALUE"""),"")</f>
        <v/>
      </c>
      <c r="Q805" s="5" t="str">
        <f>IFERROR(__xludf.DUMMYFUNCTION("""COMPUTED_VALUE"""),"")</f>
        <v/>
      </c>
      <c r="R805" s="5" t="str">
        <f>IFERROR(__xludf.DUMMYFUNCTION("""COMPUTED_VALUE"""),"")</f>
        <v/>
      </c>
      <c r="S805" s="5" t="str">
        <f>IFERROR(__xludf.DUMMYFUNCTION("""COMPUTED_VALUE"""),"")</f>
        <v/>
      </c>
      <c r="T805" s="5" t="str">
        <f>IFERROR(__xludf.DUMMYFUNCTION("""COMPUTED_VALUE"""),"")</f>
        <v/>
      </c>
      <c r="U805" s="5" t="str">
        <f>IFERROR(__xludf.DUMMYFUNCTION("""COMPUTED_VALUE"""),"")</f>
        <v/>
      </c>
      <c r="V805" s="5" t="str">
        <f>IFERROR(__xludf.DUMMYFUNCTION("""COMPUTED_VALUE"""),"")</f>
        <v/>
      </c>
      <c r="W805" s="5" t="str">
        <f>IFERROR(__xludf.DUMMYFUNCTION("""COMPUTED_VALUE"""),"")</f>
        <v/>
      </c>
      <c r="X805" s="5" t="str">
        <f>IFERROR(__xludf.DUMMYFUNCTION("""COMPUTED_VALUE"""),"")</f>
        <v/>
      </c>
      <c r="Y805" s="5"/>
      <c r="Z805" s="5"/>
    </row>
    <row r="806">
      <c r="A806" s="5" t="str">
        <f>IFERROR(__xludf.DUMMYFUNCTION("""COMPUTED_VALUE"""),"Clover Fire 1000")</f>
        <v>Clover Fire 1000</v>
      </c>
      <c r="B806" s="5" t="str">
        <f>IFERROR(__xludf.DUMMYFUNCTION("""COMPUTED_VALUE"""),"")</f>
        <v/>
      </c>
      <c r="C806" s="5" t="str">
        <f>IFERROR(__xludf.DUMMYFUNCTION("""COMPUTED_VALUE"""),"")</f>
        <v/>
      </c>
      <c r="D806" s="5" t="str">
        <f>IFERROR(__xludf.DUMMYFUNCTION("""COMPUTED_VALUE"""),"")</f>
        <v/>
      </c>
      <c r="E806" s="5" t="str">
        <f>IFERROR(__xludf.DUMMYFUNCTION("""COMPUTED_VALUE"""),"")</f>
        <v/>
      </c>
      <c r="F806" s="5" t="str">
        <f>IFERROR(__xludf.DUMMYFUNCTION("""COMPUTED_VALUE"""),"")</f>
        <v/>
      </c>
      <c r="G806" s="5" t="str">
        <f>IFERROR(__xludf.DUMMYFUNCTION("""COMPUTED_VALUE"""),"")</f>
        <v/>
      </c>
      <c r="H806" s="5" t="str">
        <f>IFERROR(__xludf.DUMMYFUNCTION("""COMPUTED_VALUE"""),"")</f>
        <v/>
      </c>
      <c r="I806" s="5" t="str">
        <f>IFERROR(__xludf.DUMMYFUNCTION("""COMPUTED_VALUE"""),"")</f>
        <v/>
      </c>
      <c r="J806" s="5" t="str">
        <f>IFERROR(__xludf.DUMMYFUNCTION("""COMPUTED_VALUE"""),"")</f>
        <v/>
      </c>
      <c r="K806" s="5" t="str">
        <f>IFERROR(__xludf.DUMMYFUNCTION("""COMPUTED_VALUE"""),"")</f>
        <v/>
      </c>
      <c r="L806" s="5" t="str">
        <f>IFERROR(__xludf.DUMMYFUNCTION("""COMPUTED_VALUE"""),"")</f>
        <v/>
      </c>
      <c r="M806" s="5" t="str">
        <f>IFERROR(__xludf.DUMMYFUNCTION("""COMPUTED_VALUE"""),"")</f>
        <v/>
      </c>
      <c r="N806" s="5" t="str">
        <f>IFERROR(__xludf.DUMMYFUNCTION("""COMPUTED_VALUE"""),"")</f>
        <v/>
      </c>
      <c r="O806" s="5" t="str">
        <f>IFERROR(__xludf.DUMMYFUNCTION("""COMPUTED_VALUE"""),"")</f>
        <v/>
      </c>
      <c r="P806" s="5" t="str">
        <f>IFERROR(__xludf.DUMMYFUNCTION("""COMPUTED_VALUE"""),"")</f>
        <v/>
      </c>
      <c r="Q806" s="5" t="str">
        <f>IFERROR(__xludf.DUMMYFUNCTION("""COMPUTED_VALUE"""),"")</f>
        <v/>
      </c>
      <c r="R806" s="5" t="str">
        <f>IFERROR(__xludf.DUMMYFUNCTION("""COMPUTED_VALUE"""),"")</f>
        <v/>
      </c>
      <c r="S806" s="5" t="str">
        <f>IFERROR(__xludf.DUMMYFUNCTION("""COMPUTED_VALUE"""),"")</f>
        <v/>
      </c>
      <c r="T806" s="5" t="str">
        <f>IFERROR(__xludf.DUMMYFUNCTION("""COMPUTED_VALUE"""),"")</f>
        <v/>
      </c>
      <c r="U806" s="5" t="str">
        <f>IFERROR(__xludf.DUMMYFUNCTION("""COMPUTED_VALUE"""),"")</f>
        <v/>
      </c>
      <c r="V806" s="5" t="str">
        <f>IFERROR(__xludf.DUMMYFUNCTION("""COMPUTED_VALUE"""),"")</f>
        <v/>
      </c>
      <c r="W806" s="5" t="str">
        <f>IFERROR(__xludf.DUMMYFUNCTION("""COMPUTED_VALUE"""),"")</f>
        <v/>
      </c>
      <c r="X806" s="5" t="str">
        <f>IFERROR(__xludf.DUMMYFUNCTION("""COMPUTED_VALUE"""),"")</f>
        <v/>
      </c>
      <c r="Y806" s="5"/>
      <c r="Z806" s="5"/>
    </row>
    <row r="807">
      <c r="A807" s="5" t="str">
        <f>IFERROR(__xludf.DUMMYFUNCTION("""COMPUTED_VALUE"""),"Wild Heart 1000")</f>
        <v>Wild Heart 1000</v>
      </c>
      <c r="B807" s="5" t="str">
        <f>IFERROR(__xludf.DUMMYFUNCTION("""COMPUTED_VALUE"""),"")</f>
        <v/>
      </c>
      <c r="C807" s="5" t="str">
        <f>IFERROR(__xludf.DUMMYFUNCTION("""COMPUTED_VALUE"""),"")</f>
        <v/>
      </c>
      <c r="D807" s="5" t="str">
        <f>IFERROR(__xludf.DUMMYFUNCTION("""COMPUTED_VALUE"""),"")</f>
        <v/>
      </c>
      <c r="E807" s="5" t="str">
        <f>IFERROR(__xludf.DUMMYFUNCTION("""COMPUTED_VALUE"""),"")</f>
        <v/>
      </c>
      <c r="F807" s="5" t="str">
        <f>IFERROR(__xludf.DUMMYFUNCTION("""COMPUTED_VALUE"""),"")</f>
        <v/>
      </c>
      <c r="G807" s="5" t="str">
        <f>IFERROR(__xludf.DUMMYFUNCTION("""COMPUTED_VALUE"""),"")</f>
        <v/>
      </c>
      <c r="H807" s="5" t="str">
        <f>IFERROR(__xludf.DUMMYFUNCTION("""COMPUTED_VALUE"""),"")</f>
        <v/>
      </c>
      <c r="I807" s="5" t="str">
        <f>IFERROR(__xludf.DUMMYFUNCTION("""COMPUTED_VALUE"""),"")</f>
        <v/>
      </c>
      <c r="J807" s="5" t="str">
        <f>IFERROR(__xludf.DUMMYFUNCTION("""COMPUTED_VALUE"""),"")</f>
        <v/>
      </c>
      <c r="K807" s="5" t="str">
        <f>IFERROR(__xludf.DUMMYFUNCTION("""COMPUTED_VALUE"""),"")</f>
        <v/>
      </c>
      <c r="L807" s="5" t="str">
        <f>IFERROR(__xludf.DUMMYFUNCTION("""COMPUTED_VALUE"""),"")</f>
        <v/>
      </c>
      <c r="M807" s="5" t="str">
        <f>IFERROR(__xludf.DUMMYFUNCTION("""COMPUTED_VALUE"""),"")</f>
        <v/>
      </c>
      <c r="N807" s="5" t="str">
        <f>IFERROR(__xludf.DUMMYFUNCTION("""COMPUTED_VALUE"""),"")</f>
        <v/>
      </c>
      <c r="O807" s="5" t="str">
        <f>IFERROR(__xludf.DUMMYFUNCTION("""COMPUTED_VALUE"""),"")</f>
        <v/>
      </c>
      <c r="P807" s="5" t="str">
        <f>IFERROR(__xludf.DUMMYFUNCTION("""COMPUTED_VALUE"""),"")</f>
        <v/>
      </c>
      <c r="Q807" s="5" t="str">
        <f>IFERROR(__xludf.DUMMYFUNCTION("""COMPUTED_VALUE"""),"")</f>
        <v/>
      </c>
      <c r="R807" s="5" t="str">
        <f>IFERROR(__xludf.DUMMYFUNCTION("""COMPUTED_VALUE"""),"")</f>
        <v/>
      </c>
      <c r="S807" s="5" t="str">
        <f>IFERROR(__xludf.DUMMYFUNCTION("""COMPUTED_VALUE"""),"")</f>
        <v/>
      </c>
      <c r="T807" s="5" t="str">
        <f>IFERROR(__xludf.DUMMYFUNCTION("""COMPUTED_VALUE"""),"")</f>
        <v/>
      </c>
      <c r="U807" s="5" t="str">
        <f>IFERROR(__xludf.DUMMYFUNCTION("""COMPUTED_VALUE"""),"")</f>
        <v/>
      </c>
      <c r="V807" s="5" t="str">
        <f>IFERROR(__xludf.DUMMYFUNCTION("""COMPUTED_VALUE"""),"")</f>
        <v/>
      </c>
      <c r="W807" s="5" t="str">
        <f>IFERROR(__xludf.DUMMYFUNCTION("""COMPUTED_VALUE"""),"")</f>
        <v/>
      </c>
      <c r="X807" s="5" t="str">
        <f>IFERROR(__xludf.DUMMYFUNCTION("""COMPUTED_VALUE"""),"")</f>
        <v/>
      </c>
      <c r="Y807" s="5"/>
      <c r="Z807" s="5"/>
    </row>
    <row r="808">
      <c r="A808" s="5" t="str">
        <f>IFERROR(__xludf.DUMMYFUNCTION("""COMPUTED_VALUE"""),"Wild Crown 1000")</f>
        <v>Wild Crown 1000</v>
      </c>
      <c r="B808" s="5" t="str">
        <f>IFERROR(__xludf.DUMMYFUNCTION("""COMPUTED_VALUE"""),"")</f>
        <v/>
      </c>
      <c r="C808" s="5" t="str">
        <f>IFERROR(__xludf.DUMMYFUNCTION("""COMPUTED_VALUE"""),"")</f>
        <v/>
      </c>
      <c r="D808" s="5" t="str">
        <f>IFERROR(__xludf.DUMMYFUNCTION("""COMPUTED_VALUE"""),"")</f>
        <v/>
      </c>
      <c r="E808" s="5" t="str">
        <f>IFERROR(__xludf.DUMMYFUNCTION("""COMPUTED_VALUE"""),"")</f>
        <v/>
      </c>
      <c r="F808" s="5" t="str">
        <f>IFERROR(__xludf.DUMMYFUNCTION("""COMPUTED_VALUE"""),"")</f>
        <v/>
      </c>
      <c r="G808" s="5" t="str">
        <f>IFERROR(__xludf.DUMMYFUNCTION("""COMPUTED_VALUE"""),"")</f>
        <v/>
      </c>
      <c r="H808" s="5" t="str">
        <f>IFERROR(__xludf.DUMMYFUNCTION("""COMPUTED_VALUE"""),"")</f>
        <v/>
      </c>
      <c r="I808" s="5" t="str">
        <f>IFERROR(__xludf.DUMMYFUNCTION("""COMPUTED_VALUE"""),"")</f>
        <v/>
      </c>
      <c r="J808" s="5" t="str">
        <f>IFERROR(__xludf.DUMMYFUNCTION("""COMPUTED_VALUE"""),"")</f>
        <v/>
      </c>
      <c r="K808" s="5" t="str">
        <f>IFERROR(__xludf.DUMMYFUNCTION("""COMPUTED_VALUE"""),"")</f>
        <v/>
      </c>
      <c r="L808" s="5" t="str">
        <f>IFERROR(__xludf.DUMMYFUNCTION("""COMPUTED_VALUE"""),"")</f>
        <v/>
      </c>
      <c r="M808" s="5" t="str">
        <f>IFERROR(__xludf.DUMMYFUNCTION("""COMPUTED_VALUE"""),"")</f>
        <v/>
      </c>
      <c r="N808" s="5" t="str">
        <f>IFERROR(__xludf.DUMMYFUNCTION("""COMPUTED_VALUE"""),"")</f>
        <v/>
      </c>
      <c r="O808" s="5" t="str">
        <f>IFERROR(__xludf.DUMMYFUNCTION("""COMPUTED_VALUE"""),"")</f>
        <v/>
      </c>
      <c r="P808" s="5" t="str">
        <f>IFERROR(__xludf.DUMMYFUNCTION("""COMPUTED_VALUE"""),"")</f>
        <v/>
      </c>
      <c r="Q808" s="5" t="str">
        <f>IFERROR(__xludf.DUMMYFUNCTION("""COMPUTED_VALUE"""),"")</f>
        <v/>
      </c>
      <c r="R808" s="5" t="str">
        <f>IFERROR(__xludf.DUMMYFUNCTION("""COMPUTED_VALUE"""),"")</f>
        <v/>
      </c>
      <c r="S808" s="5" t="str">
        <f>IFERROR(__xludf.DUMMYFUNCTION("""COMPUTED_VALUE"""),"")</f>
        <v/>
      </c>
      <c r="T808" s="5" t="str">
        <f>IFERROR(__xludf.DUMMYFUNCTION("""COMPUTED_VALUE"""),"")</f>
        <v/>
      </c>
      <c r="U808" s="5" t="str">
        <f>IFERROR(__xludf.DUMMYFUNCTION("""COMPUTED_VALUE"""),"")</f>
        <v/>
      </c>
      <c r="V808" s="5" t="str">
        <f>IFERROR(__xludf.DUMMYFUNCTION("""COMPUTED_VALUE"""),"")</f>
        <v/>
      </c>
      <c r="W808" s="5" t="str">
        <f>IFERROR(__xludf.DUMMYFUNCTION("""COMPUTED_VALUE"""),"")</f>
        <v/>
      </c>
      <c r="X808" s="5" t="str">
        <f>IFERROR(__xludf.DUMMYFUNCTION("""COMPUTED_VALUE"""),"")</f>
        <v/>
      </c>
      <c r="Y808" s="5"/>
      <c r="Z808" s="5"/>
    </row>
    <row r="809">
      <c r="A809" s="5" t="str">
        <f>IFERROR(__xludf.DUMMYFUNCTION("""COMPUTED_VALUE"""),"Clover 81")</f>
        <v>Clover 81</v>
      </c>
      <c r="B809" s="5" t="str">
        <f>IFERROR(__xludf.DUMMYFUNCTION("""COMPUTED_VALUE"""),"")</f>
        <v/>
      </c>
      <c r="C809" s="5" t="str">
        <f>IFERROR(__xludf.DUMMYFUNCTION("""COMPUTED_VALUE"""),"")</f>
        <v/>
      </c>
      <c r="D809" s="5" t="str">
        <f>IFERROR(__xludf.DUMMYFUNCTION("""COMPUTED_VALUE"""),"")</f>
        <v/>
      </c>
      <c r="E809" s="5" t="str">
        <f>IFERROR(__xludf.DUMMYFUNCTION("""COMPUTED_VALUE"""),"")</f>
        <v/>
      </c>
      <c r="F809" s="5" t="str">
        <f>IFERROR(__xludf.DUMMYFUNCTION("""COMPUTED_VALUE"""),"")</f>
        <v/>
      </c>
      <c r="G809" s="5" t="str">
        <f>IFERROR(__xludf.DUMMYFUNCTION("""COMPUTED_VALUE"""),"")</f>
        <v/>
      </c>
      <c r="H809" s="5" t="str">
        <f>IFERROR(__xludf.DUMMYFUNCTION("""COMPUTED_VALUE"""),"")</f>
        <v/>
      </c>
      <c r="I809" s="5" t="str">
        <f>IFERROR(__xludf.DUMMYFUNCTION("""COMPUTED_VALUE"""),"")</f>
        <v/>
      </c>
      <c r="J809" s="5" t="str">
        <f>IFERROR(__xludf.DUMMYFUNCTION("""COMPUTED_VALUE"""),"")</f>
        <v/>
      </c>
      <c r="K809" s="5" t="str">
        <f>IFERROR(__xludf.DUMMYFUNCTION("""COMPUTED_VALUE"""),"")</f>
        <v/>
      </c>
      <c r="L809" s="5" t="str">
        <f>IFERROR(__xludf.DUMMYFUNCTION("""COMPUTED_VALUE"""),"")</f>
        <v/>
      </c>
      <c r="M809" s="5" t="str">
        <f>IFERROR(__xludf.DUMMYFUNCTION("""COMPUTED_VALUE"""),"")</f>
        <v/>
      </c>
      <c r="N809" s="5" t="str">
        <f>IFERROR(__xludf.DUMMYFUNCTION("""COMPUTED_VALUE"""),"")</f>
        <v/>
      </c>
      <c r="O809" s="5" t="str">
        <f>IFERROR(__xludf.DUMMYFUNCTION("""COMPUTED_VALUE"""),"")</f>
        <v/>
      </c>
      <c r="P809" s="5" t="str">
        <f>IFERROR(__xludf.DUMMYFUNCTION("""COMPUTED_VALUE"""),"")</f>
        <v/>
      </c>
      <c r="Q809" s="5" t="str">
        <f>IFERROR(__xludf.DUMMYFUNCTION("""COMPUTED_VALUE"""),"")</f>
        <v/>
      </c>
      <c r="R809" s="5" t="str">
        <f>IFERROR(__xludf.DUMMYFUNCTION("""COMPUTED_VALUE"""),"")</f>
        <v/>
      </c>
      <c r="S809" s="5" t="str">
        <f>IFERROR(__xludf.DUMMYFUNCTION("""COMPUTED_VALUE"""),"")</f>
        <v/>
      </c>
      <c r="T809" s="5" t="str">
        <f>IFERROR(__xludf.DUMMYFUNCTION("""COMPUTED_VALUE"""),"")</f>
        <v/>
      </c>
      <c r="U809" s="5" t="str">
        <f>IFERROR(__xludf.DUMMYFUNCTION("""COMPUTED_VALUE"""),"")</f>
        <v/>
      </c>
      <c r="V809" s="5" t="str">
        <f>IFERROR(__xludf.DUMMYFUNCTION("""COMPUTED_VALUE"""),"")</f>
        <v/>
      </c>
      <c r="W809" s="5" t="str">
        <f>IFERROR(__xludf.DUMMYFUNCTION("""COMPUTED_VALUE"""),"")</f>
        <v/>
      </c>
      <c r="X809" s="5" t="str">
        <f>IFERROR(__xludf.DUMMYFUNCTION("""COMPUTED_VALUE"""),"")</f>
        <v/>
      </c>
      <c r="Y809" s="5"/>
      <c r="Z809" s="5"/>
    </row>
    <row r="810">
      <c r="A810" s="5" t="str">
        <f>IFERROR(__xludf.DUMMYFUNCTION("""COMPUTED_VALUE"""),"Clover 5")</f>
        <v>Clover 5</v>
      </c>
      <c r="B810" s="5" t="str">
        <f>IFERROR(__xludf.DUMMYFUNCTION("""COMPUTED_VALUE"""),"")</f>
        <v/>
      </c>
      <c r="C810" s="5" t="str">
        <f>IFERROR(__xludf.DUMMYFUNCTION("""COMPUTED_VALUE"""),"")</f>
        <v/>
      </c>
      <c r="D810" s="5" t="str">
        <f>IFERROR(__xludf.DUMMYFUNCTION("""COMPUTED_VALUE"""),"")</f>
        <v/>
      </c>
      <c r="E810" s="5" t="str">
        <f>IFERROR(__xludf.DUMMYFUNCTION("""COMPUTED_VALUE"""),"")</f>
        <v/>
      </c>
      <c r="F810" s="5" t="str">
        <f>IFERROR(__xludf.DUMMYFUNCTION("""COMPUTED_VALUE"""),"")</f>
        <v/>
      </c>
      <c r="G810" s="5" t="str">
        <f>IFERROR(__xludf.DUMMYFUNCTION("""COMPUTED_VALUE"""),"")</f>
        <v/>
      </c>
      <c r="H810" s="5" t="str">
        <f>IFERROR(__xludf.DUMMYFUNCTION("""COMPUTED_VALUE"""),"")</f>
        <v/>
      </c>
      <c r="I810" s="5" t="str">
        <f>IFERROR(__xludf.DUMMYFUNCTION("""COMPUTED_VALUE"""),"")</f>
        <v/>
      </c>
      <c r="J810" s="5" t="str">
        <f>IFERROR(__xludf.DUMMYFUNCTION("""COMPUTED_VALUE"""),"")</f>
        <v/>
      </c>
      <c r="K810" s="5" t="str">
        <f>IFERROR(__xludf.DUMMYFUNCTION("""COMPUTED_VALUE"""),"")</f>
        <v/>
      </c>
      <c r="L810" s="5" t="str">
        <f>IFERROR(__xludf.DUMMYFUNCTION("""COMPUTED_VALUE"""),"")</f>
        <v/>
      </c>
      <c r="M810" s="5" t="str">
        <f>IFERROR(__xludf.DUMMYFUNCTION("""COMPUTED_VALUE"""),"")</f>
        <v/>
      </c>
      <c r="N810" s="5" t="str">
        <f>IFERROR(__xludf.DUMMYFUNCTION("""COMPUTED_VALUE"""),"")</f>
        <v/>
      </c>
      <c r="O810" s="5" t="str">
        <f>IFERROR(__xludf.DUMMYFUNCTION("""COMPUTED_VALUE"""),"")</f>
        <v/>
      </c>
      <c r="P810" s="5" t="str">
        <f>IFERROR(__xludf.DUMMYFUNCTION("""COMPUTED_VALUE"""),"")</f>
        <v/>
      </c>
      <c r="Q810" s="5" t="str">
        <f>IFERROR(__xludf.DUMMYFUNCTION("""COMPUTED_VALUE"""),"")</f>
        <v/>
      </c>
      <c r="R810" s="5" t="str">
        <f>IFERROR(__xludf.DUMMYFUNCTION("""COMPUTED_VALUE"""),"")</f>
        <v/>
      </c>
      <c r="S810" s="5" t="str">
        <f>IFERROR(__xludf.DUMMYFUNCTION("""COMPUTED_VALUE"""),"")</f>
        <v/>
      </c>
      <c r="T810" s="5" t="str">
        <f>IFERROR(__xludf.DUMMYFUNCTION("""COMPUTED_VALUE"""),"")</f>
        <v/>
      </c>
      <c r="U810" s="5" t="str">
        <f>IFERROR(__xludf.DUMMYFUNCTION("""COMPUTED_VALUE"""),"")</f>
        <v/>
      </c>
      <c r="V810" s="5" t="str">
        <f>IFERROR(__xludf.DUMMYFUNCTION("""COMPUTED_VALUE"""),"")</f>
        <v/>
      </c>
      <c r="W810" s="5" t="str">
        <f>IFERROR(__xludf.DUMMYFUNCTION("""COMPUTED_VALUE"""),"")</f>
        <v/>
      </c>
      <c r="X810" s="5" t="str">
        <f>IFERROR(__xludf.DUMMYFUNCTION("""COMPUTED_VALUE"""),"")</f>
        <v/>
      </c>
      <c r="Y810" s="5"/>
      <c r="Z810" s="5"/>
    </row>
    <row r="811">
      <c r="A811" s="5" t="str">
        <f>IFERROR(__xludf.DUMMYFUNCTION("""COMPUTED_VALUE"""),"Clover 10")</f>
        <v>Clover 10</v>
      </c>
      <c r="B811" s="5" t="str">
        <f>IFERROR(__xludf.DUMMYFUNCTION("""COMPUTED_VALUE"""),"")</f>
        <v/>
      </c>
      <c r="C811" s="5" t="str">
        <f>IFERROR(__xludf.DUMMYFUNCTION("""COMPUTED_VALUE"""),"")</f>
        <v/>
      </c>
      <c r="D811" s="5" t="str">
        <f>IFERROR(__xludf.DUMMYFUNCTION("""COMPUTED_VALUE"""),"")</f>
        <v/>
      </c>
      <c r="E811" s="5" t="str">
        <f>IFERROR(__xludf.DUMMYFUNCTION("""COMPUTED_VALUE"""),"")</f>
        <v/>
      </c>
      <c r="F811" s="5" t="str">
        <f>IFERROR(__xludf.DUMMYFUNCTION("""COMPUTED_VALUE"""),"")</f>
        <v/>
      </c>
      <c r="G811" s="5" t="str">
        <f>IFERROR(__xludf.DUMMYFUNCTION("""COMPUTED_VALUE"""),"")</f>
        <v/>
      </c>
      <c r="H811" s="5" t="str">
        <f>IFERROR(__xludf.DUMMYFUNCTION("""COMPUTED_VALUE"""),"")</f>
        <v/>
      </c>
      <c r="I811" s="5" t="str">
        <f>IFERROR(__xludf.DUMMYFUNCTION("""COMPUTED_VALUE"""),"")</f>
        <v/>
      </c>
      <c r="J811" s="5" t="str">
        <f>IFERROR(__xludf.DUMMYFUNCTION("""COMPUTED_VALUE"""),"")</f>
        <v/>
      </c>
      <c r="K811" s="5" t="str">
        <f>IFERROR(__xludf.DUMMYFUNCTION("""COMPUTED_VALUE"""),"")</f>
        <v/>
      </c>
      <c r="L811" s="5" t="str">
        <f>IFERROR(__xludf.DUMMYFUNCTION("""COMPUTED_VALUE"""),"")</f>
        <v/>
      </c>
      <c r="M811" s="5" t="str">
        <f>IFERROR(__xludf.DUMMYFUNCTION("""COMPUTED_VALUE"""),"")</f>
        <v/>
      </c>
      <c r="N811" s="5" t="str">
        <f>IFERROR(__xludf.DUMMYFUNCTION("""COMPUTED_VALUE"""),"")</f>
        <v/>
      </c>
      <c r="O811" s="5" t="str">
        <f>IFERROR(__xludf.DUMMYFUNCTION("""COMPUTED_VALUE"""),"")</f>
        <v/>
      </c>
      <c r="P811" s="5" t="str">
        <f>IFERROR(__xludf.DUMMYFUNCTION("""COMPUTED_VALUE"""),"")</f>
        <v/>
      </c>
      <c r="Q811" s="5" t="str">
        <f>IFERROR(__xludf.DUMMYFUNCTION("""COMPUTED_VALUE"""),"")</f>
        <v/>
      </c>
      <c r="R811" s="5" t="str">
        <f>IFERROR(__xludf.DUMMYFUNCTION("""COMPUTED_VALUE"""),"")</f>
        <v/>
      </c>
      <c r="S811" s="5" t="str">
        <f>IFERROR(__xludf.DUMMYFUNCTION("""COMPUTED_VALUE"""),"")</f>
        <v/>
      </c>
      <c r="T811" s="5" t="str">
        <f>IFERROR(__xludf.DUMMYFUNCTION("""COMPUTED_VALUE"""),"")</f>
        <v/>
      </c>
      <c r="U811" s="5" t="str">
        <f>IFERROR(__xludf.DUMMYFUNCTION("""COMPUTED_VALUE"""),"")</f>
        <v/>
      </c>
      <c r="V811" s="5" t="str">
        <f>IFERROR(__xludf.DUMMYFUNCTION("""COMPUTED_VALUE"""),"")</f>
        <v/>
      </c>
      <c r="W811" s="5" t="str">
        <f>IFERROR(__xludf.DUMMYFUNCTION("""COMPUTED_VALUE"""),"")</f>
        <v/>
      </c>
      <c r="X811" s="5" t="str">
        <f>IFERROR(__xludf.DUMMYFUNCTION("""COMPUTED_VALUE"""),"")</f>
        <v/>
      </c>
      <c r="Y811" s="5"/>
      <c r="Z811" s="5"/>
    </row>
    <row r="812">
      <c r="A812" s="5" t="str">
        <f>IFERROR(__xludf.DUMMYFUNCTION("""COMPUTED_VALUE"""),"Power Lucky 7")</f>
        <v>Power Lucky 7</v>
      </c>
      <c r="B812" s="5" t="str">
        <f>IFERROR(__xludf.DUMMYFUNCTION("""COMPUTED_VALUE"""),"")</f>
        <v/>
      </c>
      <c r="C812" s="5" t="str">
        <f>IFERROR(__xludf.DUMMYFUNCTION("""COMPUTED_VALUE"""),"")</f>
        <v/>
      </c>
      <c r="D812" s="5" t="str">
        <f>IFERROR(__xludf.DUMMYFUNCTION("""COMPUTED_VALUE"""),"")</f>
        <v/>
      </c>
      <c r="E812" s="5" t="str">
        <f>IFERROR(__xludf.DUMMYFUNCTION("""COMPUTED_VALUE"""),"")</f>
        <v/>
      </c>
      <c r="F812" s="5" t="str">
        <f>IFERROR(__xludf.DUMMYFUNCTION("""COMPUTED_VALUE"""),"")</f>
        <v/>
      </c>
      <c r="G812" s="5" t="str">
        <f>IFERROR(__xludf.DUMMYFUNCTION("""COMPUTED_VALUE"""),"")</f>
        <v/>
      </c>
      <c r="H812" s="5" t="str">
        <f>IFERROR(__xludf.DUMMYFUNCTION("""COMPUTED_VALUE"""),"")</f>
        <v/>
      </c>
      <c r="I812" s="5" t="str">
        <f>IFERROR(__xludf.DUMMYFUNCTION("""COMPUTED_VALUE"""),"")</f>
        <v/>
      </c>
      <c r="J812" s="5" t="str">
        <f>IFERROR(__xludf.DUMMYFUNCTION("""COMPUTED_VALUE"""),"")</f>
        <v/>
      </c>
      <c r="K812" s="5" t="str">
        <f>IFERROR(__xludf.DUMMYFUNCTION("""COMPUTED_VALUE"""),"")</f>
        <v/>
      </c>
      <c r="L812" s="5" t="str">
        <f>IFERROR(__xludf.DUMMYFUNCTION("""COMPUTED_VALUE"""),"")</f>
        <v/>
      </c>
      <c r="M812" s="5" t="str">
        <f>IFERROR(__xludf.DUMMYFUNCTION("""COMPUTED_VALUE"""),"")</f>
        <v/>
      </c>
      <c r="N812" s="5" t="str">
        <f>IFERROR(__xludf.DUMMYFUNCTION("""COMPUTED_VALUE"""),"")</f>
        <v/>
      </c>
      <c r="O812" s="5" t="str">
        <f>IFERROR(__xludf.DUMMYFUNCTION("""COMPUTED_VALUE"""),"")</f>
        <v/>
      </c>
      <c r="P812" s="5" t="str">
        <f>IFERROR(__xludf.DUMMYFUNCTION("""COMPUTED_VALUE"""),"")</f>
        <v/>
      </c>
      <c r="Q812" s="5" t="str">
        <f>IFERROR(__xludf.DUMMYFUNCTION("""COMPUTED_VALUE"""),"")</f>
        <v/>
      </c>
      <c r="R812" s="5" t="str">
        <f>IFERROR(__xludf.DUMMYFUNCTION("""COMPUTED_VALUE"""),"")</f>
        <v/>
      </c>
      <c r="S812" s="5" t="str">
        <f>IFERROR(__xludf.DUMMYFUNCTION("""COMPUTED_VALUE"""),"")</f>
        <v/>
      </c>
      <c r="T812" s="5" t="str">
        <f>IFERROR(__xludf.DUMMYFUNCTION("""COMPUTED_VALUE"""),"")</f>
        <v/>
      </c>
      <c r="U812" s="5" t="str">
        <f>IFERROR(__xludf.DUMMYFUNCTION("""COMPUTED_VALUE"""),"")</f>
        <v/>
      </c>
      <c r="V812" s="5" t="str">
        <f>IFERROR(__xludf.DUMMYFUNCTION("""COMPUTED_VALUE"""),"")</f>
        <v/>
      </c>
      <c r="W812" s="5" t="str">
        <f>IFERROR(__xludf.DUMMYFUNCTION("""COMPUTED_VALUE"""),"")</f>
        <v/>
      </c>
      <c r="X812" s="5" t="str">
        <f>IFERROR(__xludf.DUMMYFUNCTION("""COMPUTED_VALUE"""),"")</f>
        <v/>
      </c>
      <c r="Y812" s="5"/>
      <c r="Z812" s="5"/>
    </row>
    <row r="813">
      <c r="A813" s="5" t="str">
        <f>IFERROR(__xludf.DUMMYFUNCTION("""COMPUTED_VALUE"""),"X Bomb Fire")</f>
        <v>X Bomb Fire</v>
      </c>
      <c r="B813" s="5" t="str">
        <f>IFERROR(__xludf.DUMMYFUNCTION("""COMPUTED_VALUE"""),"")</f>
        <v/>
      </c>
      <c r="C813" s="5" t="str">
        <f>IFERROR(__xludf.DUMMYFUNCTION("""COMPUTED_VALUE"""),"")</f>
        <v/>
      </c>
      <c r="D813" s="5" t="str">
        <f>IFERROR(__xludf.DUMMYFUNCTION("""COMPUTED_VALUE"""),"")</f>
        <v/>
      </c>
      <c r="E813" s="5" t="str">
        <f>IFERROR(__xludf.DUMMYFUNCTION("""COMPUTED_VALUE"""),"")</f>
        <v/>
      </c>
      <c r="F813" s="5" t="str">
        <f>IFERROR(__xludf.DUMMYFUNCTION("""COMPUTED_VALUE"""),"")</f>
        <v/>
      </c>
      <c r="G813" s="5" t="str">
        <f>IFERROR(__xludf.DUMMYFUNCTION("""COMPUTED_VALUE"""),"")</f>
        <v/>
      </c>
      <c r="H813" s="5" t="str">
        <f>IFERROR(__xludf.DUMMYFUNCTION("""COMPUTED_VALUE"""),"")</f>
        <v/>
      </c>
      <c r="I813" s="5" t="str">
        <f>IFERROR(__xludf.DUMMYFUNCTION("""COMPUTED_VALUE"""),"")</f>
        <v/>
      </c>
      <c r="J813" s="5" t="str">
        <f>IFERROR(__xludf.DUMMYFUNCTION("""COMPUTED_VALUE"""),"")</f>
        <v/>
      </c>
      <c r="K813" s="5" t="str">
        <f>IFERROR(__xludf.DUMMYFUNCTION("""COMPUTED_VALUE"""),"")</f>
        <v/>
      </c>
      <c r="L813" s="5" t="str">
        <f>IFERROR(__xludf.DUMMYFUNCTION("""COMPUTED_VALUE"""),"")</f>
        <v/>
      </c>
      <c r="M813" s="5" t="str">
        <f>IFERROR(__xludf.DUMMYFUNCTION("""COMPUTED_VALUE"""),"")</f>
        <v/>
      </c>
      <c r="N813" s="5" t="str">
        <f>IFERROR(__xludf.DUMMYFUNCTION("""COMPUTED_VALUE"""),"")</f>
        <v/>
      </c>
      <c r="O813" s="5" t="str">
        <f>IFERROR(__xludf.DUMMYFUNCTION("""COMPUTED_VALUE"""),"")</f>
        <v/>
      </c>
      <c r="P813" s="5" t="str">
        <f>IFERROR(__xludf.DUMMYFUNCTION("""COMPUTED_VALUE"""),"")</f>
        <v/>
      </c>
      <c r="Q813" s="5" t="str">
        <f>IFERROR(__xludf.DUMMYFUNCTION("""COMPUTED_VALUE"""),"")</f>
        <v/>
      </c>
      <c r="R813" s="5" t="str">
        <f>IFERROR(__xludf.DUMMYFUNCTION("""COMPUTED_VALUE"""),"")</f>
        <v/>
      </c>
      <c r="S813" s="5" t="str">
        <f>IFERROR(__xludf.DUMMYFUNCTION("""COMPUTED_VALUE"""),"")</f>
        <v/>
      </c>
      <c r="T813" s="5" t="str">
        <f>IFERROR(__xludf.DUMMYFUNCTION("""COMPUTED_VALUE"""),"")</f>
        <v/>
      </c>
      <c r="U813" s="5" t="str">
        <f>IFERROR(__xludf.DUMMYFUNCTION("""COMPUTED_VALUE"""),"")</f>
        <v/>
      </c>
      <c r="V813" s="5" t="str">
        <f>IFERROR(__xludf.DUMMYFUNCTION("""COMPUTED_VALUE"""),"")</f>
        <v/>
      </c>
      <c r="W813" s="5" t="str">
        <f>IFERROR(__xludf.DUMMYFUNCTION("""COMPUTED_VALUE"""),"")</f>
        <v/>
      </c>
      <c r="X813" s="5" t="str">
        <f>IFERROR(__xludf.DUMMYFUNCTION("""COMPUTED_VALUE"""),"")</f>
        <v/>
      </c>
      <c r="Y813" s="5"/>
      <c r="Z813" s="5"/>
    </row>
    <row r="814">
      <c r="A814" s="5" t="str">
        <f>IFERROR(__xludf.DUMMYFUNCTION("""COMPUTED_VALUE"""),"October Hot 40")</f>
        <v>October Hot 40</v>
      </c>
      <c r="B814" s="5" t="str">
        <f>IFERROR(__xludf.DUMMYFUNCTION("""COMPUTED_VALUE"""),"")</f>
        <v/>
      </c>
      <c r="C814" s="5" t="str">
        <f>IFERROR(__xludf.DUMMYFUNCTION("""COMPUTED_VALUE"""),"")</f>
        <v/>
      </c>
      <c r="D814" s="5" t="str">
        <f>IFERROR(__xludf.DUMMYFUNCTION("""COMPUTED_VALUE"""),"")</f>
        <v/>
      </c>
      <c r="E814" s="5" t="str">
        <f>IFERROR(__xludf.DUMMYFUNCTION("""COMPUTED_VALUE"""),"")</f>
        <v/>
      </c>
      <c r="F814" s="5" t="str">
        <f>IFERROR(__xludf.DUMMYFUNCTION("""COMPUTED_VALUE"""),"")</f>
        <v/>
      </c>
      <c r="G814" s="5" t="str">
        <f>IFERROR(__xludf.DUMMYFUNCTION("""COMPUTED_VALUE"""),"")</f>
        <v/>
      </c>
      <c r="H814" s="5" t="str">
        <f>IFERROR(__xludf.DUMMYFUNCTION("""COMPUTED_VALUE"""),"")</f>
        <v/>
      </c>
      <c r="I814" s="5" t="str">
        <f>IFERROR(__xludf.DUMMYFUNCTION("""COMPUTED_VALUE"""),"")</f>
        <v/>
      </c>
      <c r="J814" s="5" t="str">
        <f>IFERROR(__xludf.DUMMYFUNCTION("""COMPUTED_VALUE"""),"")</f>
        <v/>
      </c>
      <c r="K814" s="5" t="str">
        <f>IFERROR(__xludf.DUMMYFUNCTION("""COMPUTED_VALUE"""),"")</f>
        <v/>
      </c>
      <c r="L814" s="5" t="str">
        <f>IFERROR(__xludf.DUMMYFUNCTION("""COMPUTED_VALUE"""),"")</f>
        <v/>
      </c>
      <c r="M814" s="5" t="str">
        <f>IFERROR(__xludf.DUMMYFUNCTION("""COMPUTED_VALUE"""),"")</f>
        <v/>
      </c>
      <c r="N814" s="5" t="str">
        <f>IFERROR(__xludf.DUMMYFUNCTION("""COMPUTED_VALUE"""),"")</f>
        <v/>
      </c>
      <c r="O814" s="5" t="str">
        <f>IFERROR(__xludf.DUMMYFUNCTION("""COMPUTED_VALUE"""),"")</f>
        <v/>
      </c>
      <c r="P814" s="5" t="str">
        <f>IFERROR(__xludf.DUMMYFUNCTION("""COMPUTED_VALUE"""),"")</f>
        <v/>
      </c>
      <c r="Q814" s="5" t="str">
        <f>IFERROR(__xludf.DUMMYFUNCTION("""COMPUTED_VALUE"""),"")</f>
        <v/>
      </c>
      <c r="R814" s="5" t="str">
        <f>IFERROR(__xludf.DUMMYFUNCTION("""COMPUTED_VALUE"""),"")</f>
        <v/>
      </c>
      <c r="S814" s="5" t="str">
        <f>IFERROR(__xludf.DUMMYFUNCTION("""COMPUTED_VALUE"""),"")</f>
        <v/>
      </c>
      <c r="T814" s="5" t="str">
        <f>IFERROR(__xludf.DUMMYFUNCTION("""COMPUTED_VALUE"""),"")</f>
        <v/>
      </c>
      <c r="U814" s="5" t="str">
        <f>IFERROR(__xludf.DUMMYFUNCTION("""COMPUTED_VALUE"""),"")</f>
        <v/>
      </c>
      <c r="V814" s="5" t="str">
        <f>IFERROR(__xludf.DUMMYFUNCTION("""COMPUTED_VALUE"""),"")</f>
        <v/>
      </c>
      <c r="W814" s="5" t="str">
        <f>IFERROR(__xludf.DUMMYFUNCTION("""COMPUTED_VALUE"""),"")</f>
        <v/>
      </c>
      <c r="X814" s="5" t="str">
        <f>IFERROR(__xludf.DUMMYFUNCTION("""COMPUTED_VALUE"""),"")</f>
        <v/>
      </c>
      <c r="Y814" s="5"/>
      <c r="Z814" s="5"/>
    </row>
    <row r="815">
      <c r="A815" s="5" t="str">
        <f>IFERROR(__xludf.DUMMYFUNCTION("""COMPUTED_VALUE"""),"Winning Wild Crown")</f>
        <v>Winning Wild Crown</v>
      </c>
      <c r="B815" s="5" t="str">
        <f>IFERROR(__xludf.DUMMYFUNCTION("""COMPUTED_VALUE"""),"")</f>
        <v/>
      </c>
      <c r="C815" s="5" t="str">
        <f>IFERROR(__xludf.DUMMYFUNCTION("""COMPUTED_VALUE"""),"")</f>
        <v/>
      </c>
      <c r="D815" s="5" t="str">
        <f>IFERROR(__xludf.DUMMYFUNCTION("""COMPUTED_VALUE"""),"")</f>
        <v/>
      </c>
      <c r="E815" s="5" t="str">
        <f>IFERROR(__xludf.DUMMYFUNCTION("""COMPUTED_VALUE"""),"")</f>
        <v/>
      </c>
      <c r="F815" s="5" t="str">
        <f>IFERROR(__xludf.DUMMYFUNCTION("""COMPUTED_VALUE"""),"")</f>
        <v/>
      </c>
      <c r="G815" s="5" t="str">
        <f>IFERROR(__xludf.DUMMYFUNCTION("""COMPUTED_VALUE"""),"")</f>
        <v/>
      </c>
      <c r="H815" s="5" t="str">
        <f>IFERROR(__xludf.DUMMYFUNCTION("""COMPUTED_VALUE"""),"")</f>
        <v/>
      </c>
      <c r="I815" s="5" t="str">
        <f>IFERROR(__xludf.DUMMYFUNCTION("""COMPUTED_VALUE"""),"")</f>
        <v/>
      </c>
      <c r="J815" s="5" t="str">
        <f>IFERROR(__xludf.DUMMYFUNCTION("""COMPUTED_VALUE"""),"")</f>
        <v/>
      </c>
      <c r="K815" s="5" t="str">
        <f>IFERROR(__xludf.DUMMYFUNCTION("""COMPUTED_VALUE"""),"")</f>
        <v/>
      </c>
      <c r="L815" s="5" t="str">
        <f>IFERROR(__xludf.DUMMYFUNCTION("""COMPUTED_VALUE"""),"")</f>
        <v/>
      </c>
      <c r="M815" s="5" t="str">
        <f>IFERROR(__xludf.DUMMYFUNCTION("""COMPUTED_VALUE"""),"")</f>
        <v/>
      </c>
      <c r="N815" s="5" t="str">
        <f>IFERROR(__xludf.DUMMYFUNCTION("""COMPUTED_VALUE"""),"")</f>
        <v/>
      </c>
      <c r="O815" s="5" t="str">
        <f>IFERROR(__xludf.DUMMYFUNCTION("""COMPUTED_VALUE"""),"")</f>
        <v/>
      </c>
      <c r="P815" s="5" t="str">
        <f>IFERROR(__xludf.DUMMYFUNCTION("""COMPUTED_VALUE"""),"")</f>
        <v/>
      </c>
      <c r="Q815" s="5" t="str">
        <f>IFERROR(__xludf.DUMMYFUNCTION("""COMPUTED_VALUE"""),"")</f>
        <v/>
      </c>
      <c r="R815" s="5" t="str">
        <f>IFERROR(__xludf.DUMMYFUNCTION("""COMPUTED_VALUE"""),"")</f>
        <v/>
      </c>
      <c r="S815" s="5" t="str">
        <f>IFERROR(__xludf.DUMMYFUNCTION("""COMPUTED_VALUE"""),"")</f>
        <v/>
      </c>
      <c r="T815" s="5" t="str">
        <f>IFERROR(__xludf.DUMMYFUNCTION("""COMPUTED_VALUE"""),"")</f>
        <v/>
      </c>
      <c r="U815" s="5" t="str">
        <f>IFERROR(__xludf.DUMMYFUNCTION("""COMPUTED_VALUE"""),"")</f>
        <v/>
      </c>
      <c r="V815" s="5" t="str">
        <f>IFERROR(__xludf.DUMMYFUNCTION("""COMPUTED_VALUE"""),"")</f>
        <v/>
      </c>
      <c r="W815" s="5" t="str">
        <f>IFERROR(__xludf.DUMMYFUNCTION("""COMPUTED_VALUE"""),"")</f>
        <v/>
      </c>
      <c r="X815" s="5" t="str">
        <f>IFERROR(__xludf.DUMMYFUNCTION("""COMPUTED_VALUE"""),"")</f>
        <v/>
      </c>
      <c r="Y815" s="5"/>
      <c r="Z815" s="5"/>
    </row>
    <row r="816">
      <c r="A816" s="5" t="str">
        <f>IFERROR(__xludf.DUMMYFUNCTION("""COMPUTED_VALUE"""),"Tipobet Hot 40")</f>
        <v>Tipobet Hot 40</v>
      </c>
      <c r="B816" s="5" t="str">
        <f>IFERROR(__xludf.DUMMYFUNCTION("""COMPUTED_VALUE"""),"")</f>
        <v/>
      </c>
      <c r="C816" s="5" t="str">
        <f>IFERROR(__xludf.DUMMYFUNCTION("""COMPUTED_VALUE"""),"")</f>
        <v/>
      </c>
      <c r="D816" s="5" t="str">
        <f>IFERROR(__xludf.DUMMYFUNCTION("""COMPUTED_VALUE"""),"")</f>
        <v/>
      </c>
      <c r="E816" s="5" t="str">
        <f>IFERROR(__xludf.DUMMYFUNCTION("""COMPUTED_VALUE"""),"")</f>
        <v/>
      </c>
      <c r="F816" s="5" t="str">
        <f>IFERROR(__xludf.DUMMYFUNCTION("""COMPUTED_VALUE"""),"")</f>
        <v/>
      </c>
      <c r="G816" s="5" t="str">
        <f>IFERROR(__xludf.DUMMYFUNCTION("""COMPUTED_VALUE"""),"")</f>
        <v/>
      </c>
      <c r="H816" s="5" t="str">
        <f>IFERROR(__xludf.DUMMYFUNCTION("""COMPUTED_VALUE"""),"")</f>
        <v/>
      </c>
      <c r="I816" s="5" t="str">
        <f>IFERROR(__xludf.DUMMYFUNCTION("""COMPUTED_VALUE"""),"")</f>
        <v/>
      </c>
      <c r="J816" s="5" t="str">
        <f>IFERROR(__xludf.DUMMYFUNCTION("""COMPUTED_VALUE"""),"")</f>
        <v/>
      </c>
      <c r="K816" s="5" t="str">
        <f>IFERROR(__xludf.DUMMYFUNCTION("""COMPUTED_VALUE"""),"")</f>
        <v/>
      </c>
      <c r="L816" s="5" t="str">
        <f>IFERROR(__xludf.DUMMYFUNCTION("""COMPUTED_VALUE"""),"")</f>
        <v/>
      </c>
      <c r="M816" s="5" t="str">
        <f>IFERROR(__xludf.DUMMYFUNCTION("""COMPUTED_VALUE"""),"")</f>
        <v/>
      </c>
      <c r="N816" s="5" t="str">
        <f>IFERROR(__xludf.DUMMYFUNCTION("""COMPUTED_VALUE"""),"")</f>
        <v/>
      </c>
      <c r="O816" s="5" t="str">
        <f>IFERROR(__xludf.DUMMYFUNCTION("""COMPUTED_VALUE"""),"")</f>
        <v/>
      </c>
      <c r="P816" s="5" t="str">
        <f>IFERROR(__xludf.DUMMYFUNCTION("""COMPUTED_VALUE"""),"")</f>
        <v/>
      </c>
      <c r="Q816" s="5" t="str">
        <f>IFERROR(__xludf.DUMMYFUNCTION("""COMPUTED_VALUE"""),"")</f>
        <v/>
      </c>
      <c r="R816" s="5" t="str">
        <f>IFERROR(__xludf.DUMMYFUNCTION("""COMPUTED_VALUE"""),"")</f>
        <v/>
      </c>
      <c r="S816" s="5" t="str">
        <f>IFERROR(__xludf.DUMMYFUNCTION("""COMPUTED_VALUE"""),"")</f>
        <v/>
      </c>
      <c r="T816" s="5" t="str">
        <f>IFERROR(__xludf.DUMMYFUNCTION("""COMPUTED_VALUE"""),"")</f>
        <v/>
      </c>
      <c r="U816" s="5" t="str">
        <f>IFERROR(__xludf.DUMMYFUNCTION("""COMPUTED_VALUE"""),"")</f>
        <v/>
      </c>
      <c r="V816" s="5" t="str">
        <f>IFERROR(__xludf.DUMMYFUNCTION("""COMPUTED_VALUE"""),"")</f>
        <v/>
      </c>
      <c r="W816" s="5" t="str">
        <f>IFERROR(__xludf.DUMMYFUNCTION("""COMPUTED_VALUE"""),"")</f>
        <v/>
      </c>
      <c r="X816" s="5" t="str">
        <f>IFERROR(__xludf.DUMMYFUNCTION("""COMPUTED_VALUE"""),"")</f>
        <v/>
      </c>
      <c r="Y816" s="5"/>
      <c r="Z816" s="5"/>
    </row>
    <row r="817">
      <c r="A817" s="5" t="str">
        <f>IFERROR(__xludf.DUMMYFUNCTION("""COMPUTED_VALUE"""),"Crown Of Bonus Extrabet")</f>
        <v>Crown Of Bonus Extrabet</v>
      </c>
      <c r="B817" s="5" t="str">
        <f>IFERROR(__xludf.DUMMYFUNCTION("""COMPUTED_VALUE"""),"")</f>
        <v/>
      </c>
      <c r="C817" s="5" t="str">
        <f>IFERROR(__xludf.DUMMYFUNCTION("""COMPUTED_VALUE"""),"")</f>
        <v/>
      </c>
      <c r="D817" s="5" t="str">
        <f>IFERROR(__xludf.DUMMYFUNCTION("""COMPUTED_VALUE"""),"")</f>
        <v/>
      </c>
      <c r="E817" s="5" t="str">
        <f>IFERROR(__xludf.DUMMYFUNCTION("""COMPUTED_VALUE"""),"")</f>
        <v/>
      </c>
      <c r="F817" s="5" t="str">
        <f>IFERROR(__xludf.DUMMYFUNCTION("""COMPUTED_VALUE"""),"")</f>
        <v/>
      </c>
      <c r="G817" s="5" t="str">
        <f>IFERROR(__xludf.DUMMYFUNCTION("""COMPUTED_VALUE"""),"")</f>
        <v/>
      </c>
      <c r="H817" s="5" t="str">
        <f>IFERROR(__xludf.DUMMYFUNCTION("""COMPUTED_VALUE"""),"")</f>
        <v/>
      </c>
      <c r="I817" s="5" t="str">
        <f>IFERROR(__xludf.DUMMYFUNCTION("""COMPUTED_VALUE"""),"")</f>
        <v/>
      </c>
      <c r="J817" s="5" t="str">
        <f>IFERROR(__xludf.DUMMYFUNCTION("""COMPUTED_VALUE"""),"")</f>
        <v/>
      </c>
      <c r="K817" s="5" t="str">
        <f>IFERROR(__xludf.DUMMYFUNCTION("""COMPUTED_VALUE"""),"")</f>
        <v/>
      </c>
      <c r="L817" s="5" t="str">
        <f>IFERROR(__xludf.DUMMYFUNCTION("""COMPUTED_VALUE"""),"")</f>
        <v/>
      </c>
      <c r="M817" s="5" t="str">
        <f>IFERROR(__xludf.DUMMYFUNCTION("""COMPUTED_VALUE"""),"")</f>
        <v/>
      </c>
      <c r="N817" s="5" t="str">
        <f>IFERROR(__xludf.DUMMYFUNCTION("""COMPUTED_VALUE"""),"")</f>
        <v/>
      </c>
      <c r="O817" s="5" t="str">
        <f>IFERROR(__xludf.DUMMYFUNCTION("""COMPUTED_VALUE"""),"")</f>
        <v/>
      </c>
      <c r="P817" s="5" t="str">
        <f>IFERROR(__xludf.DUMMYFUNCTION("""COMPUTED_VALUE"""),"")</f>
        <v/>
      </c>
      <c r="Q817" s="5" t="str">
        <f>IFERROR(__xludf.DUMMYFUNCTION("""COMPUTED_VALUE"""),"")</f>
        <v/>
      </c>
      <c r="R817" s="5" t="str">
        <f>IFERROR(__xludf.DUMMYFUNCTION("""COMPUTED_VALUE"""),"")</f>
        <v/>
      </c>
      <c r="S817" s="5" t="str">
        <f>IFERROR(__xludf.DUMMYFUNCTION("""COMPUTED_VALUE"""),"")</f>
        <v/>
      </c>
      <c r="T817" s="5" t="str">
        <f>IFERROR(__xludf.DUMMYFUNCTION("""COMPUTED_VALUE"""),"")</f>
        <v/>
      </c>
      <c r="U817" s="5" t="str">
        <f>IFERROR(__xludf.DUMMYFUNCTION("""COMPUTED_VALUE"""),"")</f>
        <v/>
      </c>
      <c r="V817" s="5" t="str">
        <f>IFERROR(__xludf.DUMMYFUNCTION("""COMPUTED_VALUE"""),"")</f>
        <v/>
      </c>
      <c r="W817" s="5" t="str">
        <f>IFERROR(__xludf.DUMMYFUNCTION("""COMPUTED_VALUE"""),"")</f>
        <v/>
      </c>
      <c r="X817" s="5" t="str">
        <f>IFERROR(__xludf.DUMMYFUNCTION("""COMPUTED_VALUE"""),"")</f>
        <v/>
      </c>
      <c r="Y817" s="5"/>
      <c r="Z817" s="5"/>
    </row>
    <row r="818">
      <c r="A818" s="5" t="str">
        <f>IFERROR(__xludf.DUMMYFUNCTION("""COMPUTED_VALUE"""),"Treasure Rush")</f>
        <v>Treasure Rush</v>
      </c>
      <c r="B818" s="5" t="str">
        <f>IFERROR(__xludf.DUMMYFUNCTION("""COMPUTED_VALUE"""),"")</f>
        <v/>
      </c>
      <c r="C818" s="5" t="str">
        <f>IFERROR(__xludf.DUMMYFUNCTION("""COMPUTED_VALUE"""),"")</f>
        <v/>
      </c>
      <c r="D818" s="5" t="str">
        <f>IFERROR(__xludf.DUMMYFUNCTION("""COMPUTED_VALUE"""),"")</f>
        <v/>
      </c>
      <c r="E818" s="5" t="str">
        <f>IFERROR(__xludf.DUMMYFUNCTION("""COMPUTED_VALUE"""),"")</f>
        <v/>
      </c>
      <c r="F818" s="5" t="str">
        <f>IFERROR(__xludf.DUMMYFUNCTION("""COMPUTED_VALUE"""),"")</f>
        <v/>
      </c>
      <c r="G818" s="5" t="str">
        <f>IFERROR(__xludf.DUMMYFUNCTION("""COMPUTED_VALUE"""),"")</f>
        <v/>
      </c>
      <c r="H818" s="5" t="str">
        <f>IFERROR(__xludf.DUMMYFUNCTION("""COMPUTED_VALUE"""),"")</f>
        <v/>
      </c>
      <c r="I818" s="5" t="str">
        <f>IFERROR(__xludf.DUMMYFUNCTION("""COMPUTED_VALUE"""),"")</f>
        <v/>
      </c>
      <c r="J818" s="5" t="str">
        <f>IFERROR(__xludf.DUMMYFUNCTION("""COMPUTED_VALUE"""),"")</f>
        <v/>
      </c>
      <c r="K818" s="5" t="str">
        <f>IFERROR(__xludf.DUMMYFUNCTION("""COMPUTED_VALUE"""),"")</f>
        <v/>
      </c>
      <c r="L818" s="5" t="str">
        <f>IFERROR(__xludf.DUMMYFUNCTION("""COMPUTED_VALUE"""),"")</f>
        <v/>
      </c>
      <c r="M818" s="5" t="str">
        <f>IFERROR(__xludf.DUMMYFUNCTION("""COMPUTED_VALUE"""),"")</f>
        <v/>
      </c>
      <c r="N818" s="5" t="str">
        <f>IFERROR(__xludf.DUMMYFUNCTION("""COMPUTED_VALUE"""),"")</f>
        <v/>
      </c>
      <c r="O818" s="5" t="str">
        <f>IFERROR(__xludf.DUMMYFUNCTION("""COMPUTED_VALUE"""),"")</f>
        <v/>
      </c>
      <c r="P818" s="5" t="str">
        <f>IFERROR(__xludf.DUMMYFUNCTION("""COMPUTED_VALUE"""),"")</f>
        <v/>
      </c>
      <c r="Q818" s="5" t="str">
        <f>IFERROR(__xludf.DUMMYFUNCTION("""COMPUTED_VALUE"""),"")</f>
        <v/>
      </c>
      <c r="R818" s="5" t="str">
        <f>IFERROR(__xludf.DUMMYFUNCTION("""COMPUTED_VALUE"""),"")</f>
        <v/>
      </c>
      <c r="S818" s="5" t="str">
        <f>IFERROR(__xludf.DUMMYFUNCTION("""COMPUTED_VALUE"""),"")</f>
        <v/>
      </c>
      <c r="T818" s="5" t="str">
        <f>IFERROR(__xludf.DUMMYFUNCTION("""COMPUTED_VALUE"""),"")</f>
        <v/>
      </c>
      <c r="U818" s="5" t="str">
        <f>IFERROR(__xludf.DUMMYFUNCTION("""COMPUTED_VALUE"""),"")</f>
        <v/>
      </c>
      <c r="V818" s="5" t="str">
        <f>IFERROR(__xludf.DUMMYFUNCTION("""COMPUTED_VALUE"""),"")</f>
        <v/>
      </c>
      <c r="W818" s="5" t="str">
        <f>IFERROR(__xludf.DUMMYFUNCTION("""COMPUTED_VALUE"""),"")</f>
        <v/>
      </c>
      <c r="X818" s="5" t="str">
        <f>IFERROR(__xludf.DUMMYFUNCTION("""COMPUTED_VALUE"""),"")</f>
        <v/>
      </c>
      <c r="Y818" s="5"/>
      <c r="Z818" s="5"/>
    </row>
    <row r="819">
      <c r="A819" s="5" t="str">
        <f>IFERROR(__xludf.DUMMYFUNCTION("""COMPUTED_VALUE"""),"On Demand Roulette Lux")</f>
        <v>On Demand Roulette Lux</v>
      </c>
      <c r="B819" s="5" t="str">
        <f>IFERROR(__xludf.DUMMYFUNCTION("""COMPUTED_VALUE"""),"")</f>
        <v/>
      </c>
      <c r="C819" s="5" t="str">
        <f>IFERROR(__xludf.DUMMYFUNCTION("""COMPUTED_VALUE"""),"")</f>
        <v/>
      </c>
      <c r="D819" s="5" t="str">
        <f>IFERROR(__xludf.DUMMYFUNCTION("""COMPUTED_VALUE"""),"")</f>
        <v/>
      </c>
      <c r="E819" s="5" t="str">
        <f>IFERROR(__xludf.DUMMYFUNCTION("""COMPUTED_VALUE"""),"")</f>
        <v/>
      </c>
      <c r="F819" s="5" t="str">
        <f>IFERROR(__xludf.DUMMYFUNCTION("""COMPUTED_VALUE"""),"")</f>
        <v/>
      </c>
      <c r="G819" s="5" t="str">
        <f>IFERROR(__xludf.DUMMYFUNCTION("""COMPUTED_VALUE"""),"")</f>
        <v/>
      </c>
      <c r="H819" s="5" t="str">
        <f>IFERROR(__xludf.DUMMYFUNCTION("""COMPUTED_VALUE"""),"")</f>
        <v/>
      </c>
      <c r="I819" s="5" t="str">
        <f>IFERROR(__xludf.DUMMYFUNCTION("""COMPUTED_VALUE"""),"")</f>
        <v/>
      </c>
      <c r="J819" s="5" t="str">
        <f>IFERROR(__xludf.DUMMYFUNCTION("""COMPUTED_VALUE"""),"")</f>
        <v/>
      </c>
      <c r="K819" s="5" t="str">
        <f>IFERROR(__xludf.DUMMYFUNCTION("""COMPUTED_VALUE"""),"")</f>
        <v/>
      </c>
      <c r="L819" s="5" t="str">
        <f>IFERROR(__xludf.DUMMYFUNCTION("""COMPUTED_VALUE"""),"")</f>
        <v/>
      </c>
      <c r="M819" s="5" t="str">
        <f>IFERROR(__xludf.DUMMYFUNCTION("""COMPUTED_VALUE"""),"")</f>
        <v/>
      </c>
      <c r="N819" s="5" t="str">
        <f>IFERROR(__xludf.DUMMYFUNCTION("""COMPUTED_VALUE"""),"")</f>
        <v/>
      </c>
      <c r="O819" s="5" t="str">
        <f>IFERROR(__xludf.DUMMYFUNCTION("""COMPUTED_VALUE"""),"")</f>
        <v/>
      </c>
      <c r="P819" s="5" t="str">
        <f>IFERROR(__xludf.DUMMYFUNCTION("""COMPUTED_VALUE"""),"")</f>
        <v/>
      </c>
      <c r="Q819" s="5" t="str">
        <f>IFERROR(__xludf.DUMMYFUNCTION("""COMPUTED_VALUE"""),"")</f>
        <v/>
      </c>
      <c r="R819" s="5" t="str">
        <f>IFERROR(__xludf.DUMMYFUNCTION("""COMPUTED_VALUE"""),"")</f>
        <v/>
      </c>
      <c r="S819" s="5" t="str">
        <f>IFERROR(__xludf.DUMMYFUNCTION("""COMPUTED_VALUE"""),"")</f>
        <v/>
      </c>
      <c r="T819" s="5" t="str">
        <f>IFERROR(__xludf.DUMMYFUNCTION("""COMPUTED_VALUE"""),"")</f>
        <v/>
      </c>
      <c r="U819" s="5" t="str">
        <f>IFERROR(__xludf.DUMMYFUNCTION("""COMPUTED_VALUE"""),"")</f>
        <v/>
      </c>
      <c r="V819" s="5" t="str">
        <f>IFERROR(__xludf.DUMMYFUNCTION("""COMPUTED_VALUE"""),"")</f>
        <v/>
      </c>
      <c r="W819" s="5" t="str">
        <f>IFERROR(__xludf.DUMMYFUNCTION("""COMPUTED_VALUE"""),"")</f>
        <v/>
      </c>
      <c r="X819" s="5" t="str">
        <f>IFERROR(__xludf.DUMMYFUNCTION("""COMPUTED_VALUE"""),"")</f>
        <v/>
      </c>
      <c r="Y819" s="5"/>
      <c r="Z819" s="5"/>
    </row>
    <row r="820">
      <c r="A820" s="5" t="str">
        <f>IFERROR(__xludf.DUMMYFUNCTION("""COMPUTED_VALUE"""),"On Demand Roulette Vip")</f>
        <v>On Demand Roulette Vip</v>
      </c>
      <c r="B820" s="5" t="str">
        <f>IFERROR(__xludf.DUMMYFUNCTION("""COMPUTED_VALUE"""),"")</f>
        <v/>
      </c>
      <c r="C820" s="5" t="str">
        <f>IFERROR(__xludf.DUMMYFUNCTION("""COMPUTED_VALUE"""),"")</f>
        <v/>
      </c>
      <c r="D820" s="5" t="str">
        <f>IFERROR(__xludf.DUMMYFUNCTION("""COMPUTED_VALUE"""),"")</f>
        <v/>
      </c>
      <c r="E820" s="5" t="str">
        <f>IFERROR(__xludf.DUMMYFUNCTION("""COMPUTED_VALUE"""),"")</f>
        <v/>
      </c>
      <c r="F820" s="5" t="str">
        <f>IFERROR(__xludf.DUMMYFUNCTION("""COMPUTED_VALUE"""),"")</f>
        <v/>
      </c>
      <c r="G820" s="5" t="str">
        <f>IFERROR(__xludf.DUMMYFUNCTION("""COMPUTED_VALUE"""),"")</f>
        <v/>
      </c>
      <c r="H820" s="5" t="str">
        <f>IFERROR(__xludf.DUMMYFUNCTION("""COMPUTED_VALUE"""),"")</f>
        <v/>
      </c>
      <c r="I820" s="5" t="str">
        <f>IFERROR(__xludf.DUMMYFUNCTION("""COMPUTED_VALUE"""),"")</f>
        <v/>
      </c>
      <c r="J820" s="5" t="str">
        <f>IFERROR(__xludf.DUMMYFUNCTION("""COMPUTED_VALUE"""),"")</f>
        <v/>
      </c>
      <c r="K820" s="5" t="str">
        <f>IFERROR(__xludf.DUMMYFUNCTION("""COMPUTED_VALUE"""),"")</f>
        <v/>
      </c>
      <c r="L820" s="5" t="str">
        <f>IFERROR(__xludf.DUMMYFUNCTION("""COMPUTED_VALUE"""),"")</f>
        <v/>
      </c>
      <c r="M820" s="5" t="str">
        <f>IFERROR(__xludf.DUMMYFUNCTION("""COMPUTED_VALUE"""),"")</f>
        <v/>
      </c>
      <c r="N820" s="5" t="str">
        <f>IFERROR(__xludf.DUMMYFUNCTION("""COMPUTED_VALUE"""),"")</f>
        <v/>
      </c>
      <c r="O820" s="5" t="str">
        <f>IFERROR(__xludf.DUMMYFUNCTION("""COMPUTED_VALUE"""),"")</f>
        <v/>
      </c>
      <c r="P820" s="5" t="str">
        <f>IFERROR(__xludf.DUMMYFUNCTION("""COMPUTED_VALUE"""),"")</f>
        <v/>
      </c>
      <c r="Q820" s="5" t="str">
        <f>IFERROR(__xludf.DUMMYFUNCTION("""COMPUTED_VALUE"""),"")</f>
        <v/>
      </c>
      <c r="R820" s="5" t="str">
        <f>IFERROR(__xludf.DUMMYFUNCTION("""COMPUTED_VALUE"""),"")</f>
        <v/>
      </c>
      <c r="S820" s="5" t="str">
        <f>IFERROR(__xludf.DUMMYFUNCTION("""COMPUTED_VALUE"""),"")</f>
        <v/>
      </c>
      <c r="T820" s="5" t="str">
        <f>IFERROR(__xludf.DUMMYFUNCTION("""COMPUTED_VALUE"""),"")</f>
        <v/>
      </c>
      <c r="U820" s="5" t="str">
        <f>IFERROR(__xludf.DUMMYFUNCTION("""COMPUTED_VALUE"""),"")</f>
        <v/>
      </c>
      <c r="V820" s="5" t="str">
        <f>IFERROR(__xludf.DUMMYFUNCTION("""COMPUTED_VALUE"""),"")</f>
        <v/>
      </c>
      <c r="W820" s="5" t="str">
        <f>IFERROR(__xludf.DUMMYFUNCTION("""COMPUTED_VALUE"""),"")</f>
        <v/>
      </c>
      <c r="X820" s="5" t="str">
        <f>IFERROR(__xludf.DUMMYFUNCTION("""COMPUTED_VALUE"""),"")</f>
        <v/>
      </c>
      <c r="Y820" s="5"/>
      <c r="Z820" s="5"/>
    </row>
    <row r="821">
      <c r="A821" s="5" t="str">
        <f>IFERROR(__xludf.DUMMYFUNCTION("""COMPUTED_VALUE"""),"Wu Kong 27")</f>
        <v>Wu Kong 27</v>
      </c>
      <c r="B821" s="5" t="str">
        <f>IFERROR(__xludf.DUMMYFUNCTION("""COMPUTED_VALUE"""),"")</f>
        <v/>
      </c>
      <c r="C821" s="5" t="str">
        <f>IFERROR(__xludf.DUMMYFUNCTION("""COMPUTED_VALUE"""),"")</f>
        <v/>
      </c>
      <c r="D821" s="5" t="str">
        <f>IFERROR(__xludf.DUMMYFUNCTION("""COMPUTED_VALUE"""),"")</f>
        <v/>
      </c>
      <c r="E821" s="5" t="str">
        <f>IFERROR(__xludf.DUMMYFUNCTION("""COMPUTED_VALUE"""),"")</f>
        <v/>
      </c>
      <c r="F821" s="5" t="str">
        <f>IFERROR(__xludf.DUMMYFUNCTION("""COMPUTED_VALUE"""),"")</f>
        <v/>
      </c>
      <c r="G821" s="5" t="str">
        <f>IFERROR(__xludf.DUMMYFUNCTION("""COMPUTED_VALUE"""),"")</f>
        <v/>
      </c>
      <c r="H821" s="5" t="str">
        <f>IFERROR(__xludf.DUMMYFUNCTION("""COMPUTED_VALUE"""),"")</f>
        <v/>
      </c>
      <c r="I821" s="5" t="str">
        <f>IFERROR(__xludf.DUMMYFUNCTION("""COMPUTED_VALUE"""),"")</f>
        <v/>
      </c>
      <c r="J821" s="5" t="str">
        <f>IFERROR(__xludf.DUMMYFUNCTION("""COMPUTED_VALUE"""),"")</f>
        <v/>
      </c>
      <c r="K821" s="5" t="str">
        <f>IFERROR(__xludf.DUMMYFUNCTION("""COMPUTED_VALUE"""),"")</f>
        <v/>
      </c>
      <c r="L821" s="5" t="str">
        <f>IFERROR(__xludf.DUMMYFUNCTION("""COMPUTED_VALUE"""),"")</f>
        <v/>
      </c>
      <c r="M821" s="5" t="str">
        <f>IFERROR(__xludf.DUMMYFUNCTION("""COMPUTED_VALUE"""),"")</f>
        <v/>
      </c>
      <c r="N821" s="5" t="str">
        <f>IFERROR(__xludf.DUMMYFUNCTION("""COMPUTED_VALUE"""),"")</f>
        <v/>
      </c>
      <c r="O821" s="5" t="str">
        <f>IFERROR(__xludf.DUMMYFUNCTION("""COMPUTED_VALUE"""),"")</f>
        <v/>
      </c>
      <c r="P821" s="5" t="str">
        <f>IFERROR(__xludf.DUMMYFUNCTION("""COMPUTED_VALUE"""),"")</f>
        <v/>
      </c>
      <c r="Q821" s="5" t="str">
        <f>IFERROR(__xludf.DUMMYFUNCTION("""COMPUTED_VALUE"""),"")</f>
        <v/>
      </c>
      <c r="R821" s="5" t="str">
        <f>IFERROR(__xludf.DUMMYFUNCTION("""COMPUTED_VALUE"""),"")</f>
        <v/>
      </c>
      <c r="S821" s="5" t="str">
        <f>IFERROR(__xludf.DUMMYFUNCTION("""COMPUTED_VALUE"""),"")</f>
        <v/>
      </c>
      <c r="T821" s="5" t="str">
        <f>IFERROR(__xludf.DUMMYFUNCTION("""COMPUTED_VALUE"""),"")</f>
        <v/>
      </c>
      <c r="U821" s="5" t="str">
        <f>IFERROR(__xludf.DUMMYFUNCTION("""COMPUTED_VALUE"""),"")</f>
        <v/>
      </c>
      <c r="V821" s="5" t="str">
        <f>IFERROR(__xludf.DUMMYFUNCTION("""COMPUTED_VALUE"""),"")</f>
        <v/>
      </c>
      <c r="W821" s="5" t="str">
        <f>IFERROR(__xludf.DUMMYFUNCTION("""COMPUTED_VALUE"""),"")</f>
        <v/>
      </c>
      <c r="X821" s="5" t="str">
        <f>IFERROR(__xludf.DUMMYFUNCTION("""COMPUTED_VALUE"""),"")</f>
        <v/>
      </c>
      <c r="Y821" s="5"/>
      <c r="Z821" s="5"/>
    </row>
    <row r="822">
      <c r="A822" s="5" t="str">
        <f>IFERROR(__xludf.DUMMYFUNCTION("""COMPUTED_VALUE"""),"Hollow Nightmare")</f>
        <v>Hollow Nightmare</v>
      </c>
      <c r="B822" s="5" t="str">
        <f>IFERROR(__xludf.DUMMYFUNCTION("""COMPUTED_VALUE"""),"")</f>
        <v/>
      </c>
      <c r="C822" s="5" t="str">
        <f>IFERROR(__xludf.DUMMYFUNCTION("""COMPUTED_VALUE"""),"")</f>
        <v/>
      </c>
      <c r="D822" s="5" t="str">
        <f>IFERROR(__xludf.DUMMYFUNCTION("""COMPUTED_VALUE"""),"")</f>
        <v/>
      </c>
      <c r="E822" s="5" t="str">
        <f>IFERROR(__xludf.DUMMYFUNCTION("""COMPUTED_VALUE"""),"")</f>
        <v/>
      </c>
      <c r="F822" s="5" t="str">
        <f>IFERROR(__xludf.DUMMYFUNCTION("""COMPUTED_VALUE"""),"")</f>
        <v/>
      </c>
      <c r="G822" s="5" t="str">
        <f>IFERROR(__xludf.DUMMYFUNCTION("""COMPUTED_VALUE"""),"")</f>
        <v/>
      </c>
      <c r="H822" s="5" t="str">
        <f>IFERROR(__xludf.DUMMYFUNCTION("""COMPUTED_VALUE"""),"")</f>
        <v/>
      </c>
      <c r="I822" s="5" t="str">
        <f>IFERROR(__xludf.DUMMYFUNCTION("""COMPUTED_VALUE"""),"")</f>
        <v/>
      </c>
      <c r="J822" s="5" t="str">
        <f>IFERROR(__xludf.DUMMYFUNCTION("""COMPUTED_VALUE"""),"")</f>
        <v/>
      </c>
      <c r="K822" s="5" t="str">
        <f>IFERROR(__xludf.DUMMYFUNCTION("""COMPUTED_VALUE"""),"")</f>
        <v/>
      </c>
      <c r="L822" s="5" t="str">
        <f>IFERROR(__xludf.DUMMYFUNCTION("""COMPUTED_VALUE"""),"")</f>
        <v/>
      </c>
      <c r="M822" s="5" t="str">
        <f>IFERROR(__xludf.DUMMYFUNCTION("""COMPUTED_VALUE"""),"")</f>
        <v/>
      </c>
      <c r="N822" s="5" t="str">
        <f>IFERROR(__xludf.DUMMYFUNCTION("""COMPUTED_VALUE"""),"")</f>
        <v/>
      </c>
      <c r="O822" s="5" t="str">
        <f>IFERROR(__xludf.DUMMYFUNCTION("""COMPUTED_VALUE"""),"")</f>
        <v/>
      </c>
      <c r="P822" s="5" t="str">
        <f>IFERROR(__xludf.DUMMYFUNCTION("""COMPUTED_VALUE"""),"")</f>
        <v/>
      </c>
      <c r="Q822" s="5" t="str">
        <f>IFERROR(__xludf.DUMMYFUNCTION("""COMPUTED_VALUE"""),"")</f>
        <v/>
      </c>
      <c r="R822" s="5" t="str">
        <f>IFERROR(__xludf.DUMMYFUNCTION("""COMPUTED_VALUE"""),"")</f>
        <v/>
      </c>
      <c r="S822" s="5" t="str">
        <f>IFERROR(__xludf.DUMMYFUNCTION("""COMPUTED_VALUE"""),"")</f>
        <v/>
      </c>
      <c r="T822" s="5" t="str">
        <f>IFERROR(__xludf.DUMMYFUNCTION("""COMPUTED_VALUE"""),"")</f>
        <v/>
      </c>
      <c r="U822" s="5" t="str">
        <f>IFERROR(__xludf.DUMMYFUNCTION("""COMPUTED_VALUE"""),"")</f>
        <v/>
      </c>
      <c r="V822" s="5" t="str">
        <f>IFERROR(__xludf.DUMMYFUNCTION("""COMPUTED_VALUE"""),"")</f>
        <v/>
      </c>
      <c r="W822" s="5" t="str">
        <f>IFERROR(__xludf.DUMMYFUNCTION("""COMPUTED_VALUE"""),"")</f>
        <v/>
      </c>
      <c r="X822" s="5" t="str">
        <f>IFERROR(__xludf.DUMMYFUNCTION("""COMPUTED_VALUE"""),"")</f>
        <v/>
      </c>
      <c r="Y822" s="5"/>
      <c r="Z822" s="5"/>
    </row>
    <row r="823">
      <c r="A823" s="5" t="str">
        <f>IFERROR(__xludf.DUMMYFUNCTION("""COMPUTED_VALUE"""),"Classic Fruit Bars")</f>
        <v>Classic Fruit Bars</v>
      </c>
      <c r="B823" s="5" t="str">
        <f>IFERROR(__xludf.DUMMYFUNCTION("""COMPUTED_VALUE"""),"")</f>
        <v/>
      </c>
      <c r="C823" s="5" t="str">
        <f>IFERROR(__xludf.DUMMYFUNCTION("""COMPUTED_VALUE"""),"")</f>
        <v/>
      </c>
      <c r="D823" s="5" t="str">
        <f>IFERROR(__xludf.DUMMYFUNCTION("""COMPUTED_VALUE"""),"")</f>
        <v/>
      </c>
      <c r="E823" s="5" t="str">
        <f>IFERROR(__xludf.DUMMYFUNCTION("""COMPUTED_VALUE"""),"")</f>
        <v/>
      </c>
      <c r="F823" s="5" t="str">
        <f>IFERROR(__xludf.DUMMYFUNCTION("""COMPUTED_VALUE"""),"")</f>
        <v/>
      </c>
      <c r="G823" s="5" t="str">
        <f>IFERROR(__xludf.DUMMYFUNCTION("""COMPUTED_VALUE"""),"")</f>
        <v/>
      </c>
      <c r="H823" s="5" t="str">
        <f>IFERROR(__xludf.DUMMYFUNCTION("""COMPUTED_VALUE"""),"")</f>
        <v/>
      </c>
      <c r="I823" s="5" t="str">
        <f>IFERROR(__xludf.DUMMYFUNCTION("""COMPUTED_VALUE"""),"")</f>
        <v/>
      </c>
      <c r="J823" s="5" t="str">
        <f>IFERROR(__xludf.DUMMYFUNCTION("""COMPUTED_VALUE"""),"")</f>
        <v/>
      </c>
      <c r="K823" s="5" t="str">
        <f>IFERROR(__xludf.DUMMYFUNCTION("""COMPUTED_VALUE"""),"")</f>
        <v/>
      </c>
      <c r="L823" s="5" t="str">
        <f>IFERROR(__xludf.DUMMYFUNCTION("""COMPUTED_VALUE"""),"")</f>
        <v/>
      </c>
      <c r="M823" s="5" t="str">
        <f>IFERROR(__xludf.DUMMYFUNCTION("""COMPUTED_VALUE"""),"")</f>
        <v/>
      </c>
      <c r="N823" s="5" t="str">
        <f>IFERROR(__xludf.DUMMYFUNCTION("""COMPUTED_VALUE"""),"")</f>
        <v/>
      </c>
      <c r="O823" s="5" t="str">
        <f>IFERROR(__xludf.DUMMYFUNCTION("""COMPUTED_VALUE"""),"")</f>
        <v/>
      </c>
      <c r="P823" s="5" t="str">
        <f>IFERROR(__xludf.DUMMYFUNCTION("""COMPUTED_VALUE"""),"")</f>
        <v/>
      </c>
      <c r="Q823" s="5" t="str">
        <f>IFERROR(__xludf.DUMMYFUNCTION("""COMPUTED_VALUE"""),"")</f>
        <v/>
      </c>
      <c r="R823" s="5" t="str">
        <f>IFERROR(__xludf.DUMMYFUNCTION("""COMPUTED_VALUE"""),"")</f>
        <v/>
      </c>
      <c r="S823" s="5" t="str">
        <f>IFERROR(__xludf.DUMMYFUNCTION("""COMPUTED_VALUE"""),"")</f>
        <v/>
      </c>
      <c r="T823" s="5" t="str">
        <f>IFERROR(__xludf.DUMMYFUNCTION("""COMPUTED_VALUE"""),"")</f>
        <v/>
      </c>
      <c r="U823" s="5" t="str">
        <f>IFERROR(__xludf.DUMMYFUNCTION("""COMPUTED_VALUE"""),"")</f>
        <v/>
      </c>
      <c r="V823" s="5" t="str">
        <f>IFERROR(__xludf.DUMMYFUNCTION("""COMPUTED_VALUE"""),"")</f>
        <v/>
      </c>
      <c r="W823" s="5" t="str">
        <f>IFERROR(__xludf.DUMMYFUNCTION("""COMPUTED_VALUE"""),"")</f>
        <v/>
      </c>
      <c r="X823" s="5" t="str">
        <f>IFERROR(__xludf.DUMMYFUNCTION("""COMPUTED_VALUE"""),"")</f>
        <v/>
      </c>
      <c r="Y823" s="5"/>
      <c r="Z823" s="5"/>
    </row>
    <row r="824">
      <c r="A824" s="5" t="str">
        <f>IFERROR(__xludf.DUMMYFUNCTION("""COMPUTED_VALUE"""),"Double Gift 10")</f>
        <v>Double Gift 10</v>
      </c>
      <c r="B824" s="5" t="str">
        <f>IFERROR(__xludf.DUMMYFUNCTION("""COMPUTED_VALUE"""),"")</f>
        <v/>
      </c>
      <c r="C824" s="5" t="str">
        <f>IFERROR(__xludf.DUMMYFUNCTION("""COMPUTED_VALUE"""),"")</f>
        <v/>
      </c>
      <c r="D824" s="5" t="str">
        <f>IFERROR(__xludf.DUMMYFUNCTION("""COMPUTED_VALUE"""),"")</f>
        <v/>
      </c>
      <c r="E824" s="5" t="str">
        <f>IFERROR(__xludf.DUMMYFUNCTION("""COMPUTED_VALUE"""),"")</f>
        <v/>
      </c>
      <c r="F824" s="5" t="str">
        <f>IFERROR(__xludf.DUMMYFUNCTION("""COMPUTED_VALUE"""),"")</f>
        <v/>
      </c>
      <c r="G824" s="5" t="str">
        <f>IFERROR(__xludf.DUMMYFUNCTION("""COMPUTED_VALUE"""),"")</f>
        <v/>
      </c>
      <c r="H824" s="5" t="str">
        <f>IFERROR(__xludf.DUMMYFUNCTION("""COMPUTED_VALUE"""),"")</f>
        <v/>
      </c>
      <c r="I824" s="5" t="str">
        <f>IFERROR(__xludf.DUMMYFUNCTION("""COMPUTED_VALUE"""),"")</f>
        <v/>
      </c>
      <c r="J824" s="5" t="str">
        <f>IFERROR(__xludf.DUMMYFUNCTION("""COMPUTED_VALUE"""),"")</f>
        <v/>
      </c>
      <c r="K824" s="5" t="str">
        <f>IFERROR(__xludf.DUMMYFUNCTION("""COMPUTED_VALUE"""),"")</f>
        <v/>
      </c>
      <c r="L824" s="5" t="str">
        <f>IFERROR(__xludf.DUMMYFUNCTION("""COMPUTED_VALUE"""),"")</f>
        <v/>
      </c>
      <c r="M824" s="5" t="str">
        <f>IFERROR(__xludf.DUMMYFUNCTION("""COMPUTED_VALUE"""),"")</f>
        <v/>
      </c>
      <c r="N824" s="5" t="str">
        <f>IFERROR(__xludf.DUMMYFUNCTION("""COMPUTED_VALUE"""),"")</f>
        <v/>
      </c>
      <c r="O824" s="5" t="str">
        <f>IFERROR(__xludf.DUMMYFUNCTION("""COMPUTED_VALUE"""),"")</f>
        <v/>
      </c>
      <c r="P824" s="5" t="str">
        <f>IFERROR(__xludf.DUMMYFUNCTION("""COMPUTED_VALUE"""),"")</f>
        <v/>
      </c>
      <c r="Q824" s="5" t="str">
        <f>IFERROR(__xludf.DUMMYFUNCTION("""COMPUTED_VALUE"""),"")</f>
        <v/>
      </c>
      <c r="R824" s="5" t="str">
        <f>IFERROR(__xludf.DUMMYFUNCTION("""COMPUTED_VALUE"""),"")</f>
        <v/>
      </c>
      <c r="S824" s="5" t="str">
        <f>IFERROR(__xludf.DUMMYFUNCTION("""COMPUTED_VALUE"""),"")</f>
        <v/>
      </c>
      <c r="T824" s="5" t="str">
        <f>IFERROR(__xludf.DUMMYFUNCTION("""COMPUTED_VALUE"""),"")</f>
        <v/>
      </c>
      <c r="U824" s="5" t="str">
        <f>IFERROR(__xludf.DUMMYFUNCTION("""COMPUTED_VALUE"""),"")</f>
        <v/>
      </c>
      <c r="V824" s="5" t="str">
        <f>IFERROR(__xludf.DUMMYFUNCTION("""COMPUTED_VALUE"""),"")</f>
        <v/>
      </c>
      <c r="W824" s="5" t="str">
        <f>IFERROR(__xludf.DUMMYFUNCTION("""COMPUTED_VALUE"""),"")</f>
        <v/>
      </c>
      <c r="X824" s="5" t="str">
        <f>IFERROR(__xludf.DUMMYFUNCTION("""COMPUTED_VALUE"""),"")</f>
        <v/>
      </c>
      <c r="Y824" s="5"/>
      <c r="Z824" s="5"/>
    </row>
    <row r="825">
      <c r="A825" s="5" t="str">
        <f>IFERROR(__xludf.DUMMYFUNCTION("""COMPUTED_VALUE"""),"Double Gift 5")</f>
        <v>Double Gift 5</v>
      </c>
      <c r="B825" s="5" t="str">
        <f>IFERROR(__xludf.DUMMYFUNCTION("""COMPUTED_VALUE"""),"")</f>
        <v/>
      </c>
      <c r="C825" s="5" t="str">
        <f>IFERROR(__xludf.DUMMYFUNCTION("""COMPUTED_VALUE"""),"")</f>
        <v/>
      </c>
      <c r="D825" s="5" t="str">
        <f>IFERROR(__xludf.DUMMYFUNCTION("""COMPUTED_VALUE"""),"")</f>
        <v/>
      </c>
      <c r="E825" s="5" t="str">
        <f>IFERROR(__xludf.DUMMYFUNCTION("""COMPUTED_VALUE"""),"")</f>
        <v/>
      </c>
      <c r="F825" s="5" t="str">
        <f>IFERROR(__xludf.DUMMYFUNCTION("""COMPUTED_VALUE"""),"")</f>
        <v/>
      </c>
      <c r="G825" s="5" t="str">
        <f>IFERROR(__xludf.DUMMYFUNCTION("""COMPUTED_VALUE"""),"")</f>
        <v/>
      </c>
      <c r="H825" s="5" t="str">
        <f>IFERROR(__xludf.DUMMYFUNCTION("""COMPUTED_VALUE"""),"")</f>
        <v/>
      </c>
      <c r="I825" s="5" t="str">
        <f>IFERROR(__xludf.DUMMYFUNCTION("""COMPUTED_VALUE"""),"")</f>
        <v/>
      </c>
      <c r="J825" s="5" t="str">
        <f>IFERROR(__xludf.DUMMYFUNCTION("""COMPUTED_VALUE"""),"")</f>
        <v/>
      </c>
      <c r="K825" s="5" t="str">
        <f>IFERROR(__xludf.DUMMYFUNCTION("""COMPUTED_VALUE"""),"")</f>
        <v/>
      </c>
      <c r="L825" s="5" t="str">
        <f>IFERROR(__xludf.DUMMYFUNCTION("""COMPUTED_VALUE"""),"")</f>
        <v/>
      </c>
      <c r="M825" s="5" t="str">
        <f>IFERROR(__xludf.DUMMYFUNCTION("""COMPUTED_VALUE"""),"")</f>
        <v/>
      </c>
      <c r="N825" s="5" t="str">
        <f>IFERROR(__xludf.DUMMYFUNCTION("""COMPUTED_VALUE"""),"")</f>
        <v/>
      </c>
      <c r="O825" s="5" t="str">
        <f>IFERROR(__xludf.DUMMYFUNCTION("""COMPUTED_VALUE"""),"")</f>
        <v/>
      </c>
      <c r="P825" s="5" t="str">
        <f>IFERROR(__xludf.DUMMYFUNCTION("""COMPUTED_VALUE"""),"")</f>
        <v/>
      </c>
      <c r="Q825" s="5" t="str">
        <f>IFERROR(__xludf.DUMMYFUNCTION("""COMPUTED_VALUE"""),"")</f>
        <v/>
      </c>
      <c r="R825" s="5" t="str">
        <f>IFERROR(__xludf.DUMMYFUNCTION("""COMPUTED_VALUE"""),"")</f>
        <v/>
      </c>
      <c r="S825" s="5" t="str">
        <f>IFERROR(__xludf.DUMMYFUNCTION("""COMPUTED_VALUE"""),"")</f>
        <v/>
      </c>
      <c r="T825" s="5" t="str">
        <f>IFERROR(__xludf.DUMMYFUNCTION("""COMPUTED_VALUE"""),"")</f>
        <v/>
      </c>
      <c r="U825" s="5" t="str">
        <f>IFERROR(__xludf.DUMMYFUNCTION("""COMPUTED_VALUE"""),"")</f>
        <v/>
      </c>
      <c r="V825" s="5" t="str">
        <f>IFERROR(__xludf.DUMMYFUNCTION("""COMPUTED_VALUE"""),"")</f>
        <v/>
      </c>
      <c r="W825" s="5" t="str">
        <f>IFERROR(__xludf.DUMMYFUNCTION("""COMPUTED_VALUE"""),"")</f>
        <v/>
      </c>
      <c r="X825" s="5" t="str">
        <f>IFERROR(__xludf.DUMMYFUNCTION("""COMPUTED_VALUE"""),"")</f>
        <v/>
      </c>
      <c r="Y825" s="5"/>
      <c r="Z825" s="5"/>
    </row>
    <row r="826">
      <c r="A826" s="5" t="str">
        <f>IFERROR(__xludf.DUMMYFUNCTION("""COMPUTED_VALUE"""),"X Wild Pumpkin")</f>
        <v>X Wild Pumpkin</v>
      </c>
      <c r="B826" s="5" t="str">
        <f>IFERROR(__xludf.DUMMYFUNCTION("""COMPUTED_VALUE"""),"")</f>
        <v/>
      </c>
      <c r="C826" s="5" t="str">
        <f>IFERROR(__xludf.DUMMYFUNCTION("""COMPUTED_VALUE"""),"")</f>
        <v/>
      </c>
      <c r="D826" s="5" t="str">
        <f>IFERROR(__xludf.DUMMYFUNCTION("""COMPUTED_VALUE"""),"")</f>
        <v/>
      </c>
      <c r="E826" s="5" t="str">
        <f>IFERROR(__xludf.DUMMYFUNCTION("""COMPUTED_VALUE"""),"")</f>
        <v/>
      </c>
      <c r="F826" s="5" t="str">
        <f>IFERROR(__xludf.DUMMYFUNCTION("""COMPUTED_VALUE"""),"")</f>
        <v/>
      </c>
      <c r="G826" s="5" t="str">
        <f>IFERROR(__xludf.DUMMYFUNCTION("""COMPUTED_VALUE"""),"")</f>
        <v/>
      </c>
      <c r="H826" s="5" t="str">
        <f>IFERROR(__xludf.DUMMYFUNCTION("""COMPUTED_VALUE"""),"")</f>
        <v/>
      </c>
      <c r="I826" s="5" t="str">
        <f>IFERROR(__xludf.DUMMYFUNCTION("""COMPUTED_VALUE"""),"")</f>
        <v/>
      </c>
      <c r="J826" s="5" t="str">
        <f>IFERROR(__xludf.DUMMYFUNCTION("""COMPUTED_VALUE"""),"")</f>
        <v/>
      </c>
      <c r="K826" s="5" t="str">
        <f>IFERROR(__xludf.DUMMYFUNCTION("""COMPUTED_VALUE"""),"")</f>
        <v/>
      </c>
      <c r="L826" s="5" t="str">
        <f>IFERROR(__xludf.DUMMYFUNCTION("""COMPUTED_VALUE"""),"")</f>
        <v/>
      </c>
      <c r="M826" s="5" t="str">
        <f>IFERROR(__xludf.DUMMYFUNCTION("""COMPUTED_VALUE"""),"")</f>
        <v/>
      </c>
      <c r="N826" s="5" t="str">
        <f>IFERROR(__xludf.DUMMYFUNCTION("""COMPUTED_VALUE"""),"")</f>
        <v/>
      </c>
      <c r="O826" s="5" t="str">
        <f>IFERROR(__xludf.DUMMYFUNCTION("""COMPUTED_VALUE"""),"")</f>
        <v/>
      </c>
      <c r="P826" s="5" t="str">
        <f>IFERROR(__xludf.DUMMYFUNCTION("""COMPUTED_VALUE"""),"")</f>
        <v/>
      </c>
      <c r="Q826" s="5" t="str">
        <f>IFERROR(__xludf.DUMMYFUNCTION("""COMPUTED_VALUE"""),"")</f>
        <v/>
      </c>
      <c r="R826" s="5" t="str">
        <f>IFERROR(__xludf.DUMMYFUNCTION("""COMPUTED_VALUE"""),"")</f>
        <v/>
      </c>
      <c r="S826" s="5" t="str">
        <f>IFERROR(__xludf.DUMMYFUNCTION("""COMPUTED_VALUE"""),"")</f>
        <v/>
      </c>
      <c r="T826" s="5" t="str">
        <f>IFERROR(__xludf.DUMMYFUNCTION("""COMPUTED_VALUE"""),"")</f>
        <v/>
      </c>
      <c r="U826" s="5" t="str">
        <f>IFERROR(__xludf.DUMMYFUNCTION("""COMPUTED_VALUE"""),"")</f>
        <v/>
      </c>
      <c r="V826" s="5" t="str">
        <f>IFERROR(__xludf.DUMMYFUNCTION("""COMPUTED_VALUE"""),"")</f>
        <v/>
      </c>
      <c r="W826" s="5" t="str">
        <f>IFERROR(__xludf.DUMMYFUNCTION("""COMPUTED_VALUE"""),"")</f>
        <v/>
      </c>
      <c r="X826" s="5" t="str">
        <f>IFERROR(__xludf.DUMMYFUNCTION("""COMPUTED_VALUE"""),"")</f>
        <v/>
      </c>
      <c r="Y826" s="5"/>
      <c r="Z826" s="5"/>
    </row>
    <row r="827">
      <c r="A827" s="5" t="str">
        <f>IFERROR(__xludf.DUMMYFUNCTION("""COMPUTED_VALUE"""),"Double Crown Deluxe")</f>
        <v>Double Crown Deluxe</v>
      </c>
      <c r="B827" s="5" t="str">
        <f>IFERROR(__xludf.DUMMYFUNCTION("""COMPUTED_VALUE"""),"")</f>
        <v/>
      </c>
      <c r="C827" s="5" t="str">
        <f>IFERROR(__xludf.DUMMYFUNCTION("""COMPUTED_VALUE"""),"")</f>
        <v/>
      </c>
      <c r="D827" s="5" t="str">
        <f>IFERROR(__xludf.DUMMYFUNCTION("""COMPUTED_VALUE"""),"")</f>
        <v/>
      </c>
      <c r="E827" s="5" t="str">
        <f>IFERROR(__xludf.DUMMYFUNCTION("""COMPUTED_VALUE"""),"")</f>
        <v/>
      </c>
      <c r="F827" s="5" t="str">
        <f>IFERROR(__xludf.DUMMYFUNCTION("""COMPUTED_VALUE"""),"")</f>
        <v/>
      </c>
      <c r="G827" s="5" t="str">
        <f>IFERROR(__xludf.DUMMYFUNCTION("""COMPUTED_VALUE"""),"")</f>
        <v/>
      </c>
      <c r="H827" s="5" t="str">
        <f>IFERROR(__xludf.DUMMYFUNCTION("""COMPUTED_VALUE"""),"")</f>
        <v/>
      </c>
      <c r="I827" s="5" t="str">
        <f>IFERROR(__xludf.DUMMYFUNCTION("""COMPUTED_VALUE"""),"")</f>
        <v/>
      </c>
      <c r="J827" s="5" t="str">
        <f>IFERROR(__xludf.DUMMYFUNCTION("""COMPUTED_VALUE"""),"")</f>
        <v/>
      </c>
      <c r="K827" s="5" t="str">
        <f>IFERROR(__xludf.DUMMYFUNCTION("""COMPUTED_VALUE"""),"")</f>
        <v/>
      </c>
      <c r="L827" s="5" t="str">
        <f>IFERROR(__xludf.DUMMYFUNCTION("""COMPUTED_VALUE"""),"")</f>
        <v/>
      </c>
      <c r="M827" s="5" t="str">
        <f>IFERROR(__xludf.DUMMYFUNCTION("""COMPUTED_VALUE"""),"")</f>
        <v/>
      </c>
      <c r="N827" s="5" t="str">
        <f>IFERROR(__xludf.DUMMYFUNCTION("""COMPUTED_VALUE"""),"")</f>
        <v/>
      </c>
      <c r="O827" s="5" t="str">
        <f>IFERROR(__xludf.DUMMYFUNCTION("""COMPUTED_VALUE"""),"")</f>
        <v/>
      </c>
      <c r="P827" s="5" t="str">
        <f>IFERROR(__xludf.DUMMYFUNCTION("""COMPUTED_VALUE"""),"")</f>
        <v/>
      </c>
      <c r="Q827" s="5" t="str">
        <f>IFERROR(__xludf.DUMMYFUNCTION("""COMPUTED_VALUE"""),"")</f>
        <v/>
      </c>
      <c r="R827" s="5" t="str">
        <f>IFERROR(__xludf.DUMMYFUNCTION("""COMPUTED_VALUE"""),"")</f>
        <v/>
      </c>
      <c r="S827" s="5" t="str">
        <f>IFERROR(__xludf.DUMMYFUNCTION("""COMPUTED_VALUE"""),"")</f>
        <v/>
      </c>
      <c r="T827" s="5" t="str">
        <f>IFERROR(__xludf.DUMMYFUNCTION("""COMPUTED_VALUE"""),"")</f>
        <v/>
      </c>
      <c r="U827" s="5" t="str">
        <f>IFERROR(__xludf.DUMMYFUNCTION("""COMPUTED_VALUE"""),"")</f>
        <v/>
      </c>
      <c r="V827" s="5" t="str">
        <f>IFERROR(__xludf.DUMMYFUNCTION("""COMPUTED_VALUE"""),"")</f>
        <v/>
      </c>
      <c r="W827" s="5" t="str">
        <f>IFERROR(__xludf.DUMMYFUNCTION("""COMPUTED_VALUE"""),"")</f>
        <v/>
      </c>
      <c r="X827" s="5" t="str">
        <f>IFERROR(__xludf.DUMMYFUNCTION("""COMPUTED_VALUE"""),"")</f>
        <v/>
      </c>
      <c r="Y827" s="5"/>
      <c r="Z827" s="5"/>
    </row>
    <row r="828">
      <c r="A828" s="5" t="str">
        <f>IFERROR(__xludf.DUMMYFUNCTION("""COMPUTED_VALUE"""),"Fruit Oasis")</f>
        <v>Fruit Oasis</v>
      </c>
      <c r="B828" s="5" t="str">
        <f>IFERROR(__xludf.DUMMYFUNCTION("""COMPUTED_VALUE"""),"")</f>
        <v/>
      </c>
      <c r="C828" s="5" t="str">
        <f>IFERROR(__xludf.DUMMYFUNCTION("""COMPUTED_VALUE"""),"")</f>
        <v/>
      </c>
      <c r="D828" s="5" t="str">
        <f>IFERROR(__xludf.DUMMYFUNCTION("""COMPUTED_VALUE"""),"")</f>
        <v/>
      </c>
      <c r="E828" s="5" t="str">
        <f>IFERROR(__xludf.DUMMYFUNCTION("""COMPUTED_VALUE"""),"")</f>
        <v/>
      </c>
      <c r="F828" s="5" t="str">
        <f>IFERROR(__xludf.DUMMYFUNCTION("""COMPUTED_VALUE"""),"")</f>
        <v/>
      </c>
      <c r="G828" s="5" t="str">
        <f>IFERROR(__xludf.DUMMYFUNCTION("""COMPUTED_VALUE"""),"")</f>
        <v/>
      </c>
      <c r="H828" s="5" t="str">
        <f>IFERROR(__xludf.DUMMYFUNCTION("""COMPUTED_VALUE"""),"")</f>
        <v/>
      </c>
      <c r="I828" s="5" t="str">
        <f>IFERROR(__xludf.DUMMYFUNCTION("""COMPUTED_VALUE"""),"")</f>
        <v/>
      </c>
      <c r="J828" s="5" t="str">
        <f>IFERROR(__xludf.DUMMYFUNCTION("""COMPUTED_VALUE"""),"")</f>
        <v/>
      </c>
      <c r="K828" s="5" t="str">
        <f>IFERROR(__xludf.DUMMYFUNCTION("""COMPUTED_VALUE"""),"")</f>
        <v/>
      </c>
      <c r="L828" s="5" t="str">
        <f>IFERROR(__xludf.DUMMYFUNCTION("""COMPUTED_VALUE"""),"")</f>
        <v/>
      </c>
      <c r="M828" s="5" t="str">
        <f>IFERROR(__xludf.DUMMYFUNCTION("""COMPUTED_VALUE"""),"")</f>
        <v/>
      </c>
      <c r="N828" s="5" t="str">
        <f>IFERROR(__xludf.DUMMYFUNCTION("""COMPUTED_VALUE"""),"")</f>
        <v/>
      </c>
      <c r="O828" s="5" t="str">
        <f>IFERROR(__xludf.DUMMYFUNCTION("""COMPUTED_VALUE"""),"")</f>
        <v/>
      </c>
      <c r="P828" s="5" t="str">
        <f>IFERROR(__xludf.DUMMYFUNCTION("""COMPUTED_VALUE"""),"")</f>
        <v/>
      </c>
      <c r="Q828" s="5" t="str">
        <f>IFERROR(__xludf.DUMMYFUNCTION("""COMPUTED_VALUE"""),"")</f>
        <v/>
      </c>
      <c r="R828" s="5" t="str">
        <f>IFERROR(__xludf.DUMMYFUNCTION("""COMPUTED_VALUE"""),"")</f>
        <v/>
      </c>
      <c r="S828" s="5" t="str">
        <f>IFERROR(__xludf.DUMMYFUNCTION("""COMPUTED_VALUE"""),"")</f>
        <v/>
      </c>
      <c r="T828" s="5" t="str">
        <f>IFERROR(__xludf.DUMMYFUNCTION("""COMPUTED_VALUE"""),"")</f>
        <v/>
      </c>
      <c r="U828" s="5" t="str">
        <f>IFERROR(__xludf.DUMMYFUNCTION("""COMPUTED_VALUE"""),"")</f>
        <v/>
      </c>
      <c r="V828" s="5" t="str">
        <f>IFERROR(__xludf.DUMMYFUNCTION("""COMPUTED_VALUE"""),"")</f>
        <v/>
      </c>
      <c r="W828" s="5" t="str">
        <f>IFERROR(__xludf.DUMMYFUNCTION("""COMPUTED_VALUE"""),"")</f>
        <v/>
      </c>
      <c r="X828" s="5" t="str">
        <f>IFERROR(__xludf.DUMMYFUNCTION("""COMPUTED_VALUE"""),"")</f>
        <v/>
      </c>
      <c r="Y828" s="5"/>
      <c r="Z828" s="5"/>
    </row>
    <row r="829">
      <c r="A829" s="5" t="str">
        <f>IFERROR(__xludf.DUMMYFUNCTION("""COMPUTED_VALUE"""),"5 Wild Crown")</f>
        <v>5 Wild Crown</v>
      </c>
      <c r="B829" s="5" t="str">
        <f>IFERROR(__xludf.DUMMYFUNCTION("""COMPUTED_VALUE"""),"")</f>
        <v/>
      </c>
      <c r="C829" s="5" t="str">
        <f>IFERROR(__xludf.DUMMYFUNCTION("""COMPUTED_VALUE"""),"")</f>
        <v/>
      </c>
      <c r="D829" s="5" t="str">
        <f>IFERROR(__xludf.DUMMYFUNCTION("""COMPUTED_VALUE"""),"")</f>
        <v/>
      </c>
      <c r="E829" s="5" t="str">
        <f>IFERROR(__xludf.DUMMYFUNCTION("""COMPUTED_VALUE"""),"")</f>
        <v/>
      </c>
      <c r="F829" s="5" t="str">
        <f>IFERROR(__xludf.DUMMYFUNCTION("""COMPUTED_VALUE"""),"")</f>
        <v/>
      </c>
      <c r="G829" s="5" t="str">
        <f>IFERROR(__xludf.DUMMYFUNCTION("""COMPUTED_VALUE"""),"")</f>
        <v/>
      </c>
      <c r="H829" s="5" t="str">
        <f>IFERROR(__xludf.DUMMYFUNCTION("""COMPUTED_VALUE"""),"")</f>
        <v/>
      </c>
      <c r="I829" s="5" t="str">
        <f>IFERROR(__xludf.DUMMYFUNCTION("""COMPUTED_VALUE"""),"")</f>
        <v/>
      </c>
      <c r="J829" s="5" t="str">
        <f>IFERROR(__xludf.DUMMYFUNCTION("""COMPUTED_VALUE"""),"")</f>
        <v/>
      </c>
      <c r="K829" s="5" t="str">
        <f>IFERROR(__xludf.DUMMYFUNCTION("""COMPUTED_VALUE"""),"")</f>
        <v/>
      </c>
      <c r="L829" s="5" t="str">
        <f>IFERROR(__xludf.DUMMYFUNCTION("""COMPUTED_VALUE"""),"")</f>
        <v/>
      </c>
      <c r="M829" s="5" t="str">
        <f>IFERROR(__xludf.DUMMYFUNCTION("""COMPUTED_VALUE"""),"")</f>
        <v/>
      </c>
      <c r="N829" s="5" t="str">
        <f>IFERROR(__xludf.DUMMYFUNCTION("""COMPUTED_VALUE"""),"")</f>
        <v/>
      </c>
      <c r="O829" s="5" t="str">
        <f>IFERROR(__xludf.DUMMYFUNCTION("""COMPUTED_VALUE"""),"")</f>
        <v/>
      </c>
      <c r="P829" s="5" t="str">
        <f>IFERROR(__xludf.DUMMYFUNCTION("""COMPUTED_VALUE"""),"")</f>
        <v/>
      </c>
      <c r="Q829" s="5" t="str">
        <f>IFERROR(__xludf.DUMMYFUNCTION("""COMPUTED_VALUE"""),"")</f>
        <v/>
      </c>
      <c r="R829" s="5" t="str">
        <f>IFERROR(__xludf.DUMMYFUNCTION("""COMPUTED_VALUE"""),"")</f>
        <v/>
      </c>
      <c r="S829" s="5" t="str">
        <f>IFERROR(__xludf.DUMMYFUNCTION("""COMPUTED_VALUE"""),"")</f>
        <v/>
      </c>
      <c r="T829" s="5" t="str">
        <f>IFERROR(__xludf.DUMMYFUNCTION("""COMPUTED_VALUE"""),"")</f>
        <v/>
      </c>
      <c r="U829" s="5" t="str">
        <f>IFERROR(__xludf.DUMMYFUNCTION("""COMPUTED_VALUE"""),"")</f>
        <v/>
      </c>
      <c r="V829" s="5" t="str">
        <f>IFERROR(__xludf.DUMMYFUNCTION("""COMPUTED_VALUE"""),"")</f>
        <v/>
      </c>
      <c r="W829" s="5" t="str">
        <f>IFERROR(__xludf.DUMMYFUNCTION("""COMPUTED_VALUE"""),"")</f>
        <v/>
      </c>
      <c r="X829" s="5" t="str">
        <f>IFERROR(__xludf.DUMMYFUNCTION("""COMPUTED_VALUE"""),"")</f>
        <v/>
      </c>
      <c r="Y829" s="5"/>
      <c r="Z829" s="5"/>
    </row>
    <row r="830">
      <c r="A830" s="5" t="str">
        <f>IFERROR(__xludf.DUMMYFUNCTION("""COMPUTED_VALUE"""),"Shell Fortune")</f>
        <v>Shell Fortune</v>
      </c>
      <c r="B830" s="5" t="str">
        <f>IFERROR(__xludf.DUMMYFUNCTION("""COMPUTED_VALUE"""),"")</f>
        <v/>
      </c>
      <c r="C830" s="5" t="str">
        <f>IFERROR(__xludf.DUMMYFUNCTION("""COMPUTED_VALUE"""),"")</f>
        <v/>
      </c>
      <c r="D830" s="5" t="str">
        <f>IFERROR(__xludf.DUMMYFUNCTION("""COMPUTED_VALUE"""),"")</f>
        <v/>
      </c>
      <c r="E830" s="5" t="str">
        <f>IFERROR(__xludf.DUMMYFUNCTION("""COMPUTED_VALUE"""),"")</f>
        <v/>
      </c>
      <c r="F830" s="5" t="str">
        <f>IFERROR(__xludf.DUMMYFUNCTION("""COMPUTED_VALUE"""),"")</f>
        <v/>
      </c>
      <c r="G830" s="5" t="str">
        <f>IFERROR(__xludf.DUMMYFUNCTION("""COMPUTED_VALUE"""),"")</f>
        <v/>
      </c>
      <c r="H830" s="5" t="str">
        <f>IFERROR(__xludf.DUMMYFUNCTION("""COMPUTED_VALUE"""),"")</f>
        <v/>
      </c>
      <c r="I830" s="5" t="str">
        <f>IFERROR(__xludf.DUMMYFUNCTION("""COMPUTED_VALUE"""),"")</f>
        <v/>
      </c>
      <c r="J830" s="5" t="str">
        <f>IFERROR(__xludf.DUMMYFUNCTION("""COMPUTED_VALUE"""),"")</f>
        <v/>
      </c>
      <c r="K830" s="5" t="str">
        <f>IFERROR(__xludf.DUMMYFUNCTION("""COMPUTED_VALUE"""),"")</f>
        <v/>
      </c>
      <c r="L830" s="5" t="str">
        <f>IFERROR(__xludf.DUMMYFUNCTION("""COMPUTED_VALUE"""),"")</f>
        <v/>
      </c>
      <c r="M830" s="5" t="str">
        <f>IFERROR(__xludf.DUMMYFUNCTION("""COMPUTED_VALUE"""),"")</f>
        <v/>
      </c>
      <c r="N830" s="5" t="str">
        <f>IFERROR(__xludf.DUMMYFUNCTION("""COMPUTED_VALUE"""),"")</f>
        <v/>
      </c>
      <c r="O830" s="5" t="str">
        <f>IFERROR(__xludf.DUMMYFUNCTION("""COMPUTED_VALUE"""),"")</f>
        <v/>
      </c>
      <c r="P830" s="5" t="str">
        <f>IFERROR(__xludf.DUMMYFUNCTION("""COMPUTED_VALUE"""),"")</f>
        <v/>
      </c>
      <c r="Q830" s="5" t="str">
        <f>IFERROR(__xludf.DUMMYFUNCTION("""COMPUTED_VALUE"""),"")</f>
        <v/>
      </c>
      <c r="R830" s="5" t="str">
        <f>IFERROR(__xludf.DUMMYFUNCTION("""COMPUTED_VALUE"""),"")</f>
        <v/>
      </c>
      <c r="S830" s="5" t="str">
        <f>IFERROR(__xludf.DUMMYFUNCTION("""COMPUTED_VALUE"""),"")</f>
        <v/>
      </c>
      <c r="T830" s="5" t="str">
        <f>IFERROR(__xludf.DUMMYFUNCTION("""COMPUTED_VALUE"""),"")</f>
        <v/>
      </c>
      <c r="U830" s="5" t="str">
        <f>IFERROR(__xludf.DUMMYFUNCTION("""COMPUTED_VALUE"""),"")</f>
        <v/>
      </c>
      <c r="V830" s="5" t="str">
        <f>IFERROR(__xludf.DUMMYFUNCTION("""COMPUTED_VALUE"""),"")</f>
        <v/>
      </c>
      <c r="W830" s="5" t="str">
        <f>IFERROR(__xludf.DUMMYFUNCTION("""COMPUTED_VALUE"""),"")</f>
        <v/>
      </c>
      <c r="X830" s="5" t="str">
        <f>IFERROR(__xludf.DUMMYFUNCTION("""COMPUTED_VALUE"""),"")</f>
        <v/>
      </c>
      <c r="Y830" s="5"/>
      <c r="Z830" s="5"/>
    </row>
    <row r="831">
      <c r="A831" s="5" t="str">
        <f>IFERROR(__xludf.DUMMYFUNCTION("""COMPUTED_VALUE"""),"40 Wild Crown Bell Power")</f>
        <v>40 Wild Crown Bell Power</v>
      </c>
      <c r="B831" s="5" t="str">
        <f>IFERROR(__xludf.DUMMYFUNCTION("""COMPUTED_VALUE"""),"")</f>
        <v/>
      </c>
      <c r="C831" s="5" t="str">
        <f>IFERROR(__xludf.DUMMYFUNCTION("""COMPUTED_VALUE"""),"")</f>
        <v/>
      </c>
      <c r="D831" s="5" t="str">
        <f>IFERROR(__xludf.DUMMYFUNCTION("""COMPUTED_VALUE"""),"")</f>
        <v/>
      </c>
      <c r="E831" s="5" t="str">
        <f>IFERROR(__xludf.DUMMYFUNCTION("""COMPUTED_VALUE"""),"")</f>
        <v/>
      </c>
      <c r="F831" s="5" t="str">
        <f>IFERROR(__xludf.DUMMYFUNCTION("""COMPUTED_VALUE"""),"")</f>
        <v/>
      </c>
      <c r="G831" s="5" t="str">
        <f>IFERROR(__xludf.DUMMYFUNCTION("""COMPUTED_VALUE"""),"")</f>
        <v/>
      </c>
      <c r="H831" s="5" t="str">
        <f>IFERROR(__xludf.DUMMYFUNCTION("""COMPUTED_VALUE"""),"")</f>
        <v/>
      </c>
      <c r="I831" s="5" t="str">
        <f>IFERROR(__xludf.DUMMYFUNCTION("""COMPUTED_VALUE"""),"")</f>
        <v/>
      </c>
      <c r="J831" s="5" t="str">
        <f>IFERROR(__xludf.DUMMYFUNCTION("""COMPUTED_VALUE"""),"")</f>
        <v/>
      </c>
      <c r="K831" s="5" t="str">
        <f>IFERROR(__xludf.DUMMYFUNCTION("""COMPUTED_VALUE"""),"")</f>
        <v/>
      </c>
      <c r="L831" s="5" t="str">
        <f>IFERROR(__xludf.DUMMYFUNCTION("""COMPUTED_VALUE"""),"")</f>
        <v/>
      </c>
      <c r="M831" s="5" t="str">
        <f>IFERROR(__xludf.DUMMYFUNCTION("""COMPUTED_VALUE"""),"")</f>
        <v/>
      </c>
      <c r="N831" s="5" t="str">
        <f>IFERROR(__xludf.DUMMYFUNCTION("""COMPUTED_VALUE"""),"")</f>
        <v/>
      </c>
      <c r="O831" s="5" t="str">
        <f>IFERROR(__xludf.DUMMYFUNCTION("""COMPUTED_VALUE"""),"")</f>
        <v/>
      </c>
      <c r="P831" s="5" t="str">
        <f>IFERROR(__xludf.DUMMYFUNCTION("""COMPUTED_VALUE"""),"")</f>
        <v/>
      </c>
      <c r="Q831" s="5" t="str">
        <f>IFERROR(__xludf.DUMMYFUNCTION("""COMPUTED_VALUE"""),"")</f>
        <v/>
      </c>
      <c r="R831" s="5" t="str">
        <f>IFERROR(__xludf.DUMMYFUNCTION("""COMPUTED_VALUE"""),"")</f>
        <v/>
      </c>
      <c r="S831" s="5" t="str">
        <f>IFERROR(__xludf.DUMMYFUNCTION("""COMPUTED_VALUE"""),"")</f>
        <v/>
      </c>
      <c r="T831" s="5" t="str">
        <f>IFERROR(__xludf.DUMMYFUNCTION("""COMPUTED_VALUE"""),"")</f>
        <v/>
      </c>
      <c r="U831" s="5" t="str">
        <f>IFERROR(__xludf.DUMMYFUNCTION("""COMPUTED_VALUE"""),"")</f>
        <v/>
      </c>
      <c r="V831" s="5" t="str">
        <f>IFERROR(__xludf.DUMMYFUNCTION("""COMPUTED_VALUE"""),"")</f>
        <v/>
      </c>
      <c r="W831" s="5" t="str">
        <f>IFERROR(__xludf.DUMMYFUNCTION("""COMPUTED_VALUE"""),"")</f>
        <v/>
      </c>
      <c r="X831" s="5" t="str">
        <f>IFERROR(__xludf.DUMMYFUNCTION("""COMPUTED_VALUE"""),"")</f>
        <v/>
      </c>
      <c r="Y831" s="5"/>
      <c r="Z831" s="5"/>
    </row>
    <row r="832">
      <c r="A832" s="5" t="str">
        <f>IFERROR(__xludf.DUMMYFUNCTION("""COMPUTED_VALUE"""),"Triple Royal Dice")</f>
        <v>Triple Royal Dice</v>
      </c>
      <c r="B832" s="5" t="str">
        <f>IFERROR(__xludf.DUMMYFUNCTION("""COMPUTED_VALUE"""),"")</f>
        <v/>
      </c>
      <c r="C832" s="5" t="str">
        <f>IFERROR(__xludf.DUMMYFUNCTION("""COMPUTED_VALUE"""),"")</f>
        <v/>
      </c>
      <c r="D832" s="5" t="str">
        <f>IFERROR(__xludf.DUMMYFUNCTION("""COMPUTED_VALUE"""),"")</f>
        <v/>
      </c>
      <c r="E832" s="5" t="str">
        <f>IFERROR(__xludf.DUMMYFUNCTION("""COMPUTED_VALUE"""),"")</f>
        <v/>
      </c>
      <c r="F832" s="5" t="str">
        <f>IFERROR(__xludf.DUMMYFUNCTION("""COMPUTED_VALUE"""),"")</f>
        <v/>
      </c>
      <c r="G832" s="5" t="str">
        <f>IFERROR(__xludf.DUMMYFUNCTION("""COMPUTED_VALUE"""),"")</f>
        <v/>
      </c>
      <c r="H832" s="5" t="str">
        <f>IFERROR(__xludf.DUMMYFUNCTION("""COMPUTED_VALUE"""),"")</f>
        <v/>
      </c>
      <c r="I832" s="5" t="str">
        <f>IFERROR(__xludf.DUMMYFUNCTION("""COMPUTED_VALUE"""),"")</f>
        <v/>
      </c>
      <c r="J832" s="5" t="str">
        <f>IFERROR(__xludf.DUMMYFUNCTION("""COMPUTED_VALUE"""),"")</f>
        <v/>
      </c>
      <c r="K832" s="5" t="str">
        <f>IFERROR(__xludf.DUMMYFUNCTION("""COMPUTED_VALUE"""),"")</f>
        <v/>
      </c>
      <c r="L832" s="5" t="str">
        <f>IFERROR(__xludf.DUMMYFUNCTION("""COMPUTED_VALUE"""),"")</f>
        <v/>
      </c>
      <c r="M832" s="5" t="str">
        <f>IFERROR(__xludf.DUMMYFUNCTION("""COMPUTED_VALUE"""),"")</f>
        <v/>
      </c>
      <c r="N832" s="5" t="str">
        <f>IFERROR(__xludf.DUMMYFUNCTION("""COMPUTED_VALUE"""),"")</f>
        <v/>
      </c>
      <c r="O832" s="5" t="str">
        <f>IFERROR(__xludf.DUMMYFUNCTION("""COMPUTED_VALUE"""),"")</f>
        <v/>
      </c>
      <c r="P832" s="5" t="str">
        <f>IFERROR(__xludf.DUMMYFUNCTION("""COMPUTED_VALUE"""),"")</f>
        <v/>
      </c>
      <c r="Q832" s="5" t="str">
        <f>IFERROR(__xludf.DUMMYFUNCTION("""COMPUTED_VALUE"""),"")</f>
        <v/>
      </c>
      <c r="R832" s="5" t="str">
        <f>IFERROR(__xludf.DUMMYFUNCTION("""COMPUTED_VALUE"""),"")</f>
        <v/>
      </c>
      <c r="S832" s="5" t="str">
        <f>IFERROR(__xludf.DUMMYFUNCTION("""COMPUTED_VALUE"""),"")</f>
        <v/>
      </c>
      <c r="T832" s="5" t="str">
        <f>IFERROR(__xludf.DUMMYFUNCTION("""COMPUTED_VALUE"""),"")</f>
        <v/>
      </c>
      <c r="U832" s="5" t="str">
        <f>IFERROR(__xludf.DUMMYFUNCTION("""COMPUTED_VALUE"""),"")</f>
        <v/>
      </c>
      <c r="V832" s="5" t="str">
        <f>IFERROR(__xludf.DUMMYFUNCTION("""COMPUTED_VALUE"""),"")</f>
        <v/>
      </c>
      <c r="W832" s="5" t="str">
        <f>IFERROR(__xludf.DUMMYFUNCTION("""COMPUTED_VALUE"""),"")</f>
        <v/>
      </c>
      <c r="X832" s="5" t="str">
        <f>IFERROR(__xludf.DUMMYFUNCTION("""COMPUTED_VALUE"""),"")</f>
        <v/>
      </c>
      <c r="Y832" s="5"/>
      <c r="Z832" s="5"/>
    </row>
    <row r="833">
      <c r="A833" s="5" t="str">
        <f>IFERROR(__xludf.DUMMYFUNCTION("""COMPUTED_VALUE"""),"Dynamite Sam")</f>
        <v>Dynamite Sam</v>
      </c>
      <c r="B833" s="5" t="str">
        <f>IFERROR(__xludf.DUMMYFUNCTION("""COMPUTED_VALUE"""),"")</f>
        <v/>
      </c>
      <c r="C833" s="5" t="str">
        <f>IFERROR(__xludf.DUMMYFUNCTION("""COMPUTED_VALUE"""),"")</f>
        <v/>
      </c>
      <c r="D833" s="5" t="str">
        <f>IFERROR(__xludf.DUMMYFUNCTION("""COMPUTED_VALUE"""),"")</f>
        <v/>
      </c>
      <c r="E833" s="5" t="str">
        <f>IFERROR(__xludf.DUMMYFUNCTION("""COMPUTED_VALUE"""),"")</f>
        <v/>
      </c>
      <c r="F833" s="5" t="str">
        <f>IFERROR(__xludf.DUMMYFUNCTION("""COMPUTED_VALUE"""),"")</f>
        <v/>
      </c>
      <c r="G833" s="5" t="str">
        <f>IFERROR(__xludf.DUMMYFUNCTION("""COMPUTED_VALUE"""),"")</f>
        <v/>
      </c>
      <c r="H833" s="5" t="str">
        <f>IFERROR(__xludf.DUMMYFUNCTION("""COMPUTED_VALUE"""),"")</f>
        <v/>
      </c>
      <c r="I833" s="5" t="str">
        <f>IFERROR(__xludf.DUMMYFUNCTION("""COMPUTED_VALUE"""),"")</f>
        <v/>
      </c>
      <c r="J833" s="5" t="str">
        <f>IFERROR(__xludf.DUMMYFUNCTION("""COMPUTED_VALUE"""),"")</f>
        <v/>
      </c>
      <c r="K833" s="5" t="str">
        <f>IFERROR(__xludf.DUMMYFUNCTION("""COMPUTED_VALUE"""),"")</f>
        <v/>
      </c>
      <c r="L833" s="5" t="str">
        <f>IFERROR(__xludf.DUMMYFUNCTION("""COMPUTED_VALUE"""),"")</f>
        <v/>
      </c>
      <c r="M833" s="5" t="str">
        <f>IFERROR(__xludf.DUMMYFUNCTION("""COMPUTED_VALUE"""),"")</f>
        <v/>
      </c>
      <c r="N833" s="5" t="str">
        <f>IFERROR(__xludf.DUMMYFUNCTION("""COMPUTED_VALUE"""),"")</f>
        <v/>
      </c>
      <c r="O833" s="5" t="str">
        <f>IFERROR(__xludf.DUMMYFUNCTION("""COMPUTED_VALUE"""),"")</f>
        <v/>
      </c>
      <c r="P833" s="5" t="str">
        <f>IFERROR(__xludf.DUMMYFUNCTION("""COMPUTED_VALUE"""),"")</f>
        <v/>
      </c>
      <c r="Q833" s="5" t="str">
        <f>IFERROR(__xludf.DUMMYFUNCTION("""COMPUTED_VALUE"""),"")</f>
        <v/>
      </c>
      <c r="R833" s="5" t="str">
        <f>IFERROR(__xludf.DUMMYFUNCTION("""COMPUTED_VALUE"""),"")</f>
        <v/>
      </c>
      <c r="S833" s="5" t="str">
        <f>IFERROR(__xludf.DUMMYFUNCTION("""COMPUTED_VALUE"""),"")</f>
        <v/>
      </c>
      <c r="T833" s="5" t="str">
        <f>IFERROR(__xludf.DUMMYFUNCTION("""COMPUTED_VALUE"""),"")</f>
        <v/>
      </c>
      <c r="U833" s="5" t="str">
        <f>IFERROR(__xludf.DUMMYFUNCTION("""COMPUTED_VALUE"""),"")</f>
        <v/>
      </c>
      <c r="V833" s="5" t="str">
        <f>IFERROR(__xludf.DUMMYFUNCTION("""COMPUTED_VALUE"""),"")</f>
        <v/>
      </c>
      <c r="W833" s="5" t="str">
        <f>IFERROR(__xludf.DUMMYFUNCTION("""COMPUTED_VALUE"""),"")</f>
        <v/>
      </c>
      <c r="X833" s="5" t="str">
        <f>IFERROR(__xludf.DUMMYFUNCTION("""COMPUTED_VALUE"""),"")</f>
        <v/>
      </c>
      <c r="Y833" s="5"/>
      <c r="Z833" s="5"/>
    </row>
    <row r="834">
      <c r="A834" s="5" t="str">
        <f>IFERROR(__xludf.DUMMYFUNCTION("""COMPUTED_VALUE"""),"Grand Royal Wild")</f>
        <v>Grand Royal Wild</v>
      </c>
      <c r="B834" s="5" t="str">
        <f>IFERROR(__xludf.DUMMYFUNCTION("""COMPUTED_VALUE"""),"")</f>
        <v/>
      </c>
      <c r="C834" s="5" t="str">
        <f>IFERROR(__xludf.DUMMYFUNCTION("""COMPUTED_VALUE"""),"")</f>
        <v/>
      </c>
      <c r="D834" s="5" t="str">
        <f>IFERROR(__xludf.DUMMYFUNCTION("""COMPUTED_VALUE"""),"")</f>
        <v/>
      </c>
      <c r="E834" s="5" t="str">
        <f>IFERROR(__xludf.DUMMYFUNCTION("""COMPUTED_VALUE"""),"")</f>
        <v/>
      </c>
      <c r="F834" s="5" t="str">
        <f>IFERROR(__xludf.DUMMYFUNCTION("""COMPUTED_VALUE"""),"")</f>
        <v/>
      </c>
      <c r="G834" s="5" t="str">
        <f>IFERROR(__xludf.DUMMYFUNCTION("""COMPUTED_VALUE"""),"")</f>
        <v/>
      </c>
      <c r="H834" s="5" t="str">
        <f>IFERROR(__xludf.DUMMYFUNCTION("""COMPUTED_VALUE"""),"")</f>
        <v/>
      </c>
      <c r="I834" s="5" t="str">
        <f>IFERROR(__xludf.DUMMYFUNCTION("""COMPUTED_VALUE"""),"")</f>
        <v/>
      </c>
      <c r="J834" s="5" t="str">
        <f>IFERROR(__xludf.DUMMYFUNCTION("""COMPUTED_VALUE"""),"")</f>
        <v/>
      </c>
      <c r="K834" s="5" t="str">
        <f>IFERROR(__xludf.DUMMYFUNCTION("""COMPUTED_VALUE"""),"")</f>
        <v/>
      </c>
      <c r="L834" s="5" t="str">
        <f>IFERROR(__xludf.DUMMYFUNCTION("""COMPUTED_VALUE"""),"")</f>
        <v/>
      </c>
      <c r="M834" s="5" t="str">
        <f>IFERROR(__xludf.DUMMYFUNCTION("""COMPUTED_VALUE"""),"")</f>
        <v/>
      </c>
      <c r="N834" s="5" t="str">
        <f>IFERROR(__xludf.DUMMYFUNCTION("""COMPUTED_VALUE"""),"")</f>
        <v/>
      </c>
      <c r="O834" s="5" t="str">
        <f>IFERROR(__xludf.DUMMYFUNCTION("""COMPUTED_VALUE"""),"")</f>
        <v/>
      </c>
      <c r="P834" s="5" t="str">
        <f>IFERROR(__xludf.DUMMYFUNCTION("""COMPUTED_VALUE"""),"")</f>
        <v/>
      </c>
      <c r="Q834" s="5" t="str">
        <f>IFERROR(__xludf.DUMMYFUNCTION("""COMPUTED_VALUE"""),"")</f>
        <v/>
      </c>
      <c r="R834" s="5" t="str">
        <f>IFERROR(__xludf.DUMMYFUNCTION("""COMPUTED_VALUE"""),"")</f>
        <v/>
      </c>
      <c r="S834" s="5" t="str">
        <f>IFERROR(__xludf.DUMMYFUNCTION("""COMPUTED_VALUE"""),"")</f>
        <v/>
      </c>
      <c r="T834" s="5" t="str">
        <f>IFERROR(__xludf.DUMMYFUNCTION("""COMPUTED_VALUE"""),"")</f>
        <v/>
      </c>
      <c r="U834" s="5" t="str">
        <f>IFERROR(__xludf.DUMMYFUNCTION("""COMPUTED_VALUE"""),"")</f>
        <v/>
      </c>
      <c r="V834" s="5" t="str">
        <f>IFERROR(__xludf.DUMMYFUNCTION("""COMPUTED_VALUE"""),"")</f>
        <v/>
      </c>
      <c r="W834" s="5" t="str">
        <f>IFERROR(__xludf.DUMMYFUNCTION("""COMPUTED_VALUE"""),"")</f>
        <v/>
      </c>
      <c r="X834" s="5" t="str">
        <f>IFERROR(__xludf.DUMMYFUNCTION("""COMPUTED_VALUE"""),"")</f>
        <v/>
      </c>
      <c r="Y834" s="5"/>
      <c r="Z834" s="5"/>
    </row>
    <row r="835">
      <c r="A835" s="5" t="str">
        <f>IFERROR(__xludf.DUMMYFUNCTION("""COMPUTED_VALUE"""),"Safari Road")</f>
        <v>Safari Road</v>
      </c>
      <c r="B835" s="5" t="str">
        <f>IFERROR(__xludf.DUMMYFUNCTION("""COMPUTED_VALUE"""),"")</f>
        <v/>
      </c>
      <c r="C835" s="5" t="str">
        <f>IFERROR(__xludf.DUMMYFUNCTION("""COMPUTED_VALUE"""),"")</f>
        <v/>
      </c>
      <c r="D835" s="5" t="str">
        <f>IFERROR(__xludf.DUMMYFUNCTION("""COMPUTED_VALUE"""),"")</f>
        <v/>
      </c>
      <c r="E835" s="5" t="str">
        <f>IFERROR(__xludf.DUMMYFUNCTION("""COMPUTED_VALUE"""),"")</f>
        <v/>
      </c>
      <c r="F835" s="5" t="str">
        <f>IFERROR(__xludf.DUMMYFUNCTION("""COMPUTED_VALUE"""),"")</f>
        <v/>
      </c>
      <c r="G835" s="5" t="str">
        <f>IFERROR(__xludf.DUMMYFUNCTION("""COMPUTED_VALUE"""),"")</f>
        <v/>
      </c>
      <c r="H835" s="5" t="str">
        <f>IFERROR(__xludf.DUMMYFUNCTION("""COMPUTED_VALUE"""),"")</f>
        <v/>
      </c>
      <c r="I835" s="5" t="str">
        <f>IFERROR(__xludf.DUMMYFUNCTION("""COMPUTED_VALUE"""),"")</f>
        <v/>
      </c>
      <c r="J835" s="5" t="str">
        <f>IFERROR(__xludf.DUMMYFUNCTION("""COMPUTED_VALUE"""),"")</f>
        <v/>
      </c>
      <c r="K835" s="5" t="str">
        <f>IFERROR(__xludf.DUMMYFUNCTION("""COMPUTED_VALUE"""),"")</f>
        <v/>
      </c>
      <c r="L835" s="5" t="str">
        <f>IFERROR(__xludf.DUMMYFUNCTION("""COMPUTED_VALUE"""),"")</f>
        <v/>
      </c>
      <c r="M835" s="5" t="str">
        <f>IFERROR(__xludf.DUMMYFUNCTION("""COMPUTED_VALUE"""),"")</f>
        <v/>
      </c>
      <c r="N835" s="5" t="str">
        <f>IFERROR(__xludf.DUMMYFUNCTION("""COMPUTED_VALUE"""),"")</f>
        <v/>
      </c>
      <c r="O835" s="5" t="str">
        <f>IFERROR(__xludf.DUMMYFUNCTION("""COMPUTED_VALUE"""),"")</f>
        <v/>
      </c>
      <c r="P835" s="5" t="str">
        <f>IFERROR(__xludf.DUMMYFUNCTION("""COMPUTED_VALUE"""),"")</f>
        <v/>
      </c>
      <c r="Q835" s="5" t="str">
        <f>IFERROR(__xludf.DUMMYFUNCTION("""COMPUTED_VALUE"""),"")</f>
        <v/>
      </c>
      <c r="R835" s="5" t="str">
        <f>IFERROR(__xludf.DUMMYFUNCTION("""COMPUTED_VALUE"""),"")</f>
        <v/>
      </c>
      <c r="S835" s="5" t="str">
        <f>IFERROR(__xludf.DUMMYFUNCTION("""COMPUTED_VALUE"""),"")</f>
        <v/>
      </c>
      <c r="T835" s="5" t="str">
        <f>IFERROR(__xludf.DUMMYFUNCTION("""COMPUTED_VALUE"""),"")</f>
        <v/>
      </c>
      <c r="U835" s="5" t="str">
        <f>IFERROR(__xludf.DUMMYFUNCTION("""COMPUTED_VALUE"""),"")</f>
        <v/>
      </c>
      <c r="V835" s="5" t="str">
        <f>IFERROR(__xludf.DUMMYFUNCTION("""COMPUTED_VALUE"""),"")</f>
        <v/>
      </c>
      <c r="W835" s="5" t="str">
        <f>IFERROR(__xludf.DUMMYFUNCTION("""COMPUTED_VALUE"""),"")</f>
        <v/>
      </c>
      <c r="X835" s="5" t="str">
        <f>IFERROR(__xludf.DUMMYFUNCTION("""COMPUTED_VALUE"""),"")</f>
        <v/>
      </c>
      <c r="Y835" s="5"/>
      <c r="Z835" s="5"/>
    </row>
    <row r="836">
      <c r="A836" s="5" t="str">
        <f>IFERROR(__xludf.DUMMYFUNCTION("""COMPUTED_VALUE"""),"Sun of the Nile Jackpot")</f>
        <v>Sun of the Nile Jackpot</v>
      </c>
      <c r="B836" s="5" t="str">
        <f>IFERROR(__xludf.DUMMYFUNCTION("""COMPUTED_VALUE"""),"")</f>
        <v/>
      </c>
      <c r="C836" s="5" t="str">
        <f>IFERROR(__xludf.DUMMYFUNCTION("""COMPUTED_VALUE"""),"")</f>
        <v/>
      </c>
      <c r="D836" s="5" t="str">
        <f>IFERROR(__xludf.DUMMYFUNCTION("""COMPUTED_VALUE"""),"")</f>
        <v/>
      </c>
      <c r="E836" s="5" t="str">
        <f>IFERROR(__xludf.DUMMYFUNCTION("""COMPUTED_VALUE"""),"")</f>
        <v/>
      </c>
      <c r="F836" s="5" t="str">
        <f>IFERROR(__xludf.DUMMYFUNCTION("""COMPUTED_VALUE"""),"")</f>
        <v/>
      </c>
      <c r="G836" s="5" t="str">
        <f>IFERROR(__xludf.DUMMYFUNCTION("""COMPUTED_VALUE"""),"")</f>
        <v/>
      </c>
      <c r="H836" s="5" t="str">
        <f>IFERROR(__xludf.DUMMYFUNCTION("""COMPUTED_VALUE"""),"")</f>
        <v/>
      </c>
      <c r="I836" s="5" t="str">
        <f>IFERROR(__xludf.DUMMYFUNCTION("""COMPUTED_VALUE"""),"")</f>
        <v/>
      </c>
      <c r="J836" s="5" t="str">
        <f>IFERROR(__xludf.DUMMYFUNCTION("""COMPUTED_VALUE"""),"")</f>
        <v/>
      </c>
      <c r="K836" s="5" t="str">
        <f>IFERROR(__xludf.DUMMYFUNCTION("""COMPUTED_VALUE"""),"")</f>
        <v/>
      </c>
      <c r="L836" s="5" t="str">
        <f>IFERROR(__xludf.DUMMYFUNCTION("""COMPUTED_VALUE"""),"")</f>
        <v/>
      </c>
      <c r="M836" s="5" t="str">
        <f>IFERROR(__xludf.DUMMYFUNCTION("""COMPUTED_VALUE"""),"")</f>
        <v/>
      </c>
      <c r="N836" s="5" t="str">
        <f>IFERROR(__xludf.DUMMYFUNCTION("""COMPUTED_VALUE"""),"")</f>
        <v/>
      </c>
      <c r="O836" s="5" t="str">
        <f>IFERROR(__xludf.DUMMYFUNCTION("""COMPUTED_VALUE"""),"")</f>
        <v/>
      </c>
      <c r="P836" s="5" t="str">
        <f>IFERROR(__xludf.DUMMYFUNCTION("""COMPUTED_VALUE"""),"")</f>
        <v/>
      </c>
      <c r="Q836" s="5" t="str">
        <f>IFERROR(__xludf.DUMMYFUNCTION("""COMPUTED_VALUE"""),"")</f>
        <v/>
      </c>
      <c r="R836" s="5" t="str">
        <f>IFERROR(__xludf.DUMMYFUNCTION("""COMPUTED_VALUE"""),"")</f>
        <v/>
      </c>
      <c r="S836" s="5" t="str">
        <f>IFERROR(__xludf.DUMMYFUNCTION("""COMPUTED_VALUE"""),"")</f>
        <v/>
      </c>
      <c r="T836" s="5" t="str">
        <f>IFERROR(__xludf.DUMMYFUNCTION("""COMPUTED_VALUE"""),"")</f>
        <v/>
      </c>
      <c r="U836" s="5" t="str">
        <f>IFERROR(__xludf.DUMMYFUNCTION("""COMPUTED_VALUE"""),"")</f>
        <v/>
      </c>
      <c r="V836" s="5" t="str">
        <f>IFERROR(__xludf.DUMMYFUNCTION("""COMPUTED_VALUE"""),"")</f>
        <v/>
      </c>
      <c r="W836" s="5" t="str">
        <f>IFERROR(__xludf.DUMMYFUNCTION("""COMPUTED_VALUE"""),"")</f>
        <v/>
      </c>
      <c r="X836" s="5" t="str">
        <f>IFERROR(__xludf.DUMMYFUNCTION("""COMPUTED_VALUE"""),"")</f>
        <v/>
      </c>
      <c r="Y836" s="5"/>
      <c r="Z836" s="5"/>
    </row>
    <row r="837">
      <c r="A837" s="5" t="str">
        <f>IFERROR(__xludf.DUMMYFUNCTION("""COMPUTED_VALUE"""),"Spin the Sevens Jackpot")</f>
        <v>Spin the Sevens Jackpot</v>
      </c>
      <c r="B837" s="5" t="str">
        <f>IFERROR(__xludf.DUMMYFUNCTION("""COMPUTED_VALUE"""),"")</f>
        <v/>
      </c>
      <c r="C837" s="5" t="str">
        <f>IFERROR(__xludf.DUMMYFUNCTION("""COMPUTED_VALUE"""),"")</f>
        <v/>
      </c>
      <c r="D837" s="5" t="str">
        <f>IFERROR(__xludf.DUMMYFUNCTION("""COMPUTED_VALUE"""),"")</f>
        <v/>
      </c>
      <c r="E837" s="5" t="str">
        <f>IFERROR(__xludf.DUMMYFUNCTION("""COMPUTED_VALUE"""),"")</f>
        <v/>
      </c>
      <c r="F837" s="5" t="str">
        <f>IFERROR(__xludf.DUMMYFUNCTION("""COMPUTED_VALUE"""),"")</f>
        <v/>
      </c>
      <c r="G837" s="5" t="str">
        <f>IFERROR(__xludf.DUMMYFUNCTION("""COMPUTED_VALUE"""),"")</f>
        <v/>
      </c>
      <c r="H837" s="5" t="str">
        <f>IFERROR(__xludf.DUMMYFUNCTION("""COMPUTED_VALUE"""),"")</f>
        <v/>
      </c>
      <c r="I837" s="5" t="str">
        <f>IFERROR(__xludf.DUMMYFUNCTION("""COMPUTED_VALUE"""),"")</f>
        <v/>
      </c>
      <c r="J837" s="5" t="str">
        <f>IFERROR(__xludf.DUMMYFUNCTION("""COMPUTED_VALUE"""),"")</f>
        <v/>
      </c>
      <c r="K837" s="5" t="str">
        <f>IFERROR(__xludf.DUMMYFUNCTION("""COMPUTED_VALUE"""),"")</f>
        <v/>
      </c>
      <c r="L837" s="5" t="str">
        <f>IFERROR(__xludf.DUMMYFUNCTION("""COMPUTED_VALUE"""),"")</f>
        <v/>
      </c>
      <c r="M837" s="5" t="str">
        <f>IFERROR(__xludf.DUMMYFUNCTION("""COMPUTED_VALUE"""),"")</f>
        <v/>
      </c>
      <c r="N837" s="5" t="str">
        <f>IFERROR(__xludf.DUMMYFUNCTION("""COMPUTED_VALUE"""),"")</f>
        <v/>
      </c>
      <c r="O837" s="5" t="str">
        <f>IFERROR(__xludf.DUMMYFUNCTION("""COMPUTED_VALUE"""),"")</f>
        <v/>
      </c>
      <c r="P837" s="5" t="str">
        <f>IFERROR(__xludf.DUMMYFUNCTION("""COMPUTED_VALUE"""),"")</f>
        <v/>
      </c>
      <c r="Q837" s="5" t="str">
        <f>IFERROR(__xludf.DUMMYFUNCTION("""COMPUTED_VALUE"""),"")</f>
        <v/>
      </c>
      <c r="R837" s="5" t="str">
        <f>IFERROR(__xludf.DUMMYFUNCTION("""COMPUTED_VALUE"""),"")</f>
        <v/>
      </c>
      <c r="S837" s="5" t="str">
        <f>IFERROR(__xludf.DUMMYFUNCTION("""COMPUTED_VALUE"""),"")</f>
        <v/>
      </c>
      <c r="T837" s="5" t="str">
        <f>IFERROR(__xludf.DUMMYFUNCTION("""COMPUTED_VALUE"""),"")</f>
        <v/>
      </c>
      <c r="U837" s="5" t="str">
        <f>IFERROR(__xludf.DUMMYFUNCTION("""COMPUTED_VALUE"""),"")</f>
        <v/>
      </c>
      <c r="V837" s="5" t="str">
        <f>IFERROR(__xludf.DUMMYFUNCTION("""COMPUTED_VALUE"""),"")</f>
        <v/>
      </c>
      <c r="W837" s="5" t="str">
        <f>IFERROR(__xludf.DUMMYFUNCTION("""COMPUTED_VALUE"""),"")</f>
        <v/>
      </c>
      <c r="X837" s="5" t="str">
        <f>IFERROR(__xludf.DUMMYFUNCTION("""COMPUTED_VALUE"""),"")</f>
        <v/>
      </c>
      <c r="Y837" s="5"/>
      <c r="Z837" s="5"/>
    </row>
    <row r="838">
      <c r="A838" s="5" t="str">
        <f>IFERROR(__xludf.DUMMYFUNCTION("""COMPUTED_VALUE"""),"Dazzle Firedice")</f>
        <v>Dazzle Firedice</v>
      </c>
      <c r="B838" s="5" t="str">
        <f>IFERROR(__xludf.DUMMYFUNCTION("""COMPUTED_VALUE"""),"")</f>
        <v/>
      </c>
      <c r="C838" s="5" t="str">
        <f>IFERROR(__xludf.DUMMYFUNCTION("""COMPUTED_VALUE"""),"")</f>
        <v/>
      </c>
      <c r="D838" s="5" t="str">
        <f>IFERROR(__xludf.DUMMYFUNCTION("""COMPUTED_VALUE"""),"")</f>
        <v/>
      </c>
      <c r="E838" s="5" t="str">
        <f>IFERROR(__xludf.DUMMYFUNCTION("""COMPUTED_VALUE"""),"")</f>
        <v/>
      </c>
      <c r="F838" s="5" t="str">
        <f>IFERROR(__xludf.DUMMYFUNCTION("""COMPUTED_VALUE"""),"")</f>
        <v/>
      </c>
      <c r="G838" s="5" t="str">
        <f>IFERROR(__xludf.DUMMYFUNCTION("""COMPUTED_VALUE"""),"")</f>
        <v/>
      </c>
      <c r="H838" s="5" t="str">
        <f>IFERROR(__xludf.DUMMYFUNCTION("""COMPUTED_VALUE"""),"")</f>
        <v/>
      </c>
      <c r="I838" s="5" t="str">
        <f>IFERROR(__xludf.DUMMYFUNCTION("""COMPUTED_VALUE"""),"")</f>
        <v/>
      </c>
      <c r="J838" s="5" t="str">
        <f>IFERROR(__xludf.DUMMYFUNCTION("""COMPUTED_VALUE"""),"")</f>
        <v/>
      </c>
      <c r="K838" s="5" t="str">
        <f>IFERROR(__xludf.DUMMYFUNCTION("""COMPUTED_VALUE"""),"")</f>
        <v/>
      </c>
      <c r="L838" s="5" t="str">
        <f>IFERROR(__xludf.DUMMYFUNCTION("""COMPUTED_VALUE"""),"")</f>
        <v/>
      </c>
      <c r="M838" s="5" t="str">
        <f>IFERROR(__xludf.DUMMYFUNCTION("""COMPUTED_VALUE"""),"")</f>
        <v/>
      </c>
      <c r="N838" s="5" t="str">
        <f>IFERROR(__xludf.DUMMYFUNCTION("""COMPUTED_VALUE"""),"")</f>
        <v/>
      </c>
      <c r="O838" s="5" t="str">
        <f>IFERROR(__xludf.DUMMYFUNCTION("""COMPUTED_VALUE"""),"")</f>
        <v/>
      </c>
      <c r="P838" s="5" t="str">
        <f>IFERROR(__xludf.DUMMYFUNCTION("""COMPUTED_VALUE"""),"")</f>
        <v/>
      </c>
      <c r="Q838" s="5" t="str">
        <f>IFERROR(__xludf.DUMMYFUNCTION("""COMPUTED_VALUE"""),"")</f>
        <v/>
      </c>
      <c r="R838" s="5" t="str">
        <f>IFERROR(__xludf.DUMMYFUNCTION("""COMPUTED_VALUE"""),"")</f>
        <v/>
      </c>
      <c r="S838" s="5" t="str">
        <f>IFERROR(__xludf.DUMMYFUNCTION("""COMPUTED_VALUE"""),"")</f>
        <v/>
      </c>
      <c r="T838" s="5" t="str">
        <f>IFERROR(__xludf.DUMMYFUNCTION("""COMPUTED_VALUE"""),"")</f>
        <v/>
      </c>
      <c r="U838" s="5" t="str">
        <f>IFERROR(__xludf.DUMMYFUNCTION("""COMPUTED_VALUE"""),"")</f>
        <v/>
      </c>
      <c r="V838" s="5" t="str">
        <f>IFERROR(__xludf.DUMMYFUNCTION("""COMPUTED_VALUE"""),"")</f>
        <v/>
      </c>
      <c r="W838" s="5" t="str">
        <f>IFERROR(__xludf.DUMMYFUNCTION("""COMPUTED_VALUE"""),"")</f>
        <v/>
      </c>
      <c r="X838" s="5" t="str">
        <f>IFERROR(__xludf.DUMMYFUNCTION("""COMPUTED_VALUE"""),"")</f>
        <v/>
      </c>
      <c r="Y838" s="5"/>
      <c r="Z838" s="5"/>
    </row>
    <row r="839">
      <c r="A839" s="5" t="str">
        <f>IFERROR(__xludf.DUMMYFUNCTION("""COMPUTED_VALUE"""),"Christmas Present Jackpot")</f>
        <v>Christmas Present Jackpot</v>
      </c>
      <c r="B839" s="5" t="str">
        <f>IFERROR(__xludf.DUMMYFUNCTION("""COMPUTED_VALUE"""),"")</f>
        <v/>
      </c>
      <c r="C839" s="5" t="str">
        <f>IFERROR(__xludf.DUMMYFUNCTION("""COMPUTED_VALUE"""),"")</f>
        <v/>
      </c>
      <c r="D839" s="5" t="str">
        <f>IFERROR(__xludf.DUMMYFUNCTION("""COMPUTED_VALUE"""),"")</f>
        <v/>
      </c>
      <c r="E839" s="5" t="str">
        <f>IFERROR(__xludf.DUMMYFUNCTION("""COMPUTED_VALUE"""),"")</f>
        <v/>
      </c>
      <c r="F839" s="5" t="str">
        <f>IFERROR(__xludf.DUMMYFUNCTION("""COMPUTED_VALUE"""),"")</f>
        <v/>
      </c>
      <c r="G839" s="5" t="str">
        <f>IFERROR(__xludf.DUMMYFUNCTION("""COMPUTED_VALUE"""),"")</f>
        <v/>
      </c>
      <c r="H839" s="5" t="str">
        <f>IFERROR(__xludf.DUMMYFUNCTION("""COMPUTED_VALUE"""),"")</f>
        <v/>
      </c>
      <c r="I839" s="5" t="str">
        <f>IFERROR(__xludf.DUMMYFUNCTION("""COMPUTED_VALUE"""),"")</f>
        <v/>
      </c>
      <c r="J839" s="5" t="str">
        <f>IFERROR(__xludf.DUMMYFUNCTION("""COMPUTED_VALUE"""),"")</f>
        <v/>
      </c>
      <c r="K839" s="5" t="str">
        <f>IFERROR(__xludf.DUMMYFUNCTION("""COMPUTED_VALUE"""),"")</f>
        <v/>
      </c>
      <c r="L839" s="5" t="str">
        <f>IFERROR(__xludf.DUMMYFUNCTION("""COMPUTED_VALUE"""),"")</f>
        <v/>
      </c>
      <c r="M839" s="5" t="str">
        <f>IFERROR(__xludf.DUMMYFUNCTION("""COMPUTED_VALUE"""),"")</f>
        <v/>
      </c>
      <c r="N839" s="5" t="str">
        <f>IFERROR(__xludf.DUMMYFUNCTION("""COMPUTED_VALUE"""),"")</f>
        <v/>
      </c>
      <c r="O839" s="5" t="str">
        <f>IFERROR(__xludf.DUMMYFUNCTION("""COMPUTED_VALUE"""),"")</f>
        <v/>
      </c>
      <c r="P839" s="5" t="str">
        <f>IFERROR(__xludf.DUMMYFUNCTION("""COMPUTED_VALUE"""),"")</f>
        <v/>
      </c>
      <c r="Q839" s="5" t="str">
        <f>IFERROR(__xludf.DUMMYFUNCTION("""COMPUTED_VALUE"""),"")</f>
        <v/>
      </c>
      <c r="R839" s="5" t="str">
        <f>IFERROR(__xludf.DUMMYFUNCTION("""COMPUTED_VALUE"""),"")</f>
        <v/>
      </c>
      <c r="S839" s="5" t="str">
        <f>IFERROR(__xludf.DUMMYFUNCTION("""COMPUTED_VALUE"""),"")</f>
        <v/>
      </c>
      <c r="T839" s="5" t="str">
        <f>IFERROR(__xludf.DUMMYFUNCTION("""COMPUTED_VALUE"""),"")</f>
        <v/>
      </c>
      <c r="U839" s="5" t="str">
        <f>IFERROR(__xludf.DUMMYFUNCTION("""COMPUTED_VALUE"""),"")</f>
        <v/>
      </c>
      <c r="V839" s="5" t="str">
        <f>IFERROR(__xludf.DUMMYFUNCTION("""COMPUTED_VALUE"""),"")</f>
        <v/>
      </c>
      <c r="W839" s="5" t="str">
        <f>IFERROR(__xludf.DUMMYFUNCTION("""COMPUTED_VALUE"""),"")</f>
        <v/>
      </c>
      <c r="X839" s="5" t="str">
        <f>IFERROR(__xludf.DUMMYFUNCTION("""COMPUTED_VALUE"""),"")</f>
        <v/>
      </c>
      <c r="Y839" s="5"/>
      <c r="Z839" s="5"/>
    </row>
    <row r="840">
      <c r="A840" s="5" t="str">
        <f>IFERROR(__xludf.DUMMYFUNCTION("""COMPUTED_VALUE"""),"Lucky Sevens Chase")</f>
        <v>Lucky Sevens Chase</v>
      </c>
      <c r="B840" s="5" t="str">
        <f>IFERROR(__xludf.DUMMYFUNCTION("""COMPUTED_VALUE"""),"")</f>
        <v/>
      </c>
      <c r="C840" s="5" t="str">
        <f>IFERROR(__xludf.DUMMYFUNCTION("""COMPUTED_VALUE"""),"")</f>
        <v/>
      </c>
      <c r="D840" s="5" t="str">
        <f>IFERROR(__xludf.DUMMYFUNCTION("""COMPUTED_VALUE"""),"")</f>
        <v/>
      </c>
      <c r="E840" s="5" t="str">
        <f>IFERROR(__xludf.DUMMYFUNCTION("""COMPUTED_VALUE"""),"")</f>
        <v/>
      </c>
      <c r="F840" s="5" t="str">
        <f>IFERROR(__xludf.DUMMYFUNCTION("""COMPUTED_VALUE"""),"")</f>
        <v/>
      </c>
      <c r="G840" s="5" t="str">
        <f>IFERROR(__xludf.DUMMYFUNCTION("""COMPUTED_VALUE"""),"")</f>
        <v/>
      </c>
      <c r="H840" s="5" t="str">
        <f>IFERROR(__xludf.DUMMYFUNCTION("""COMPUTED_VALUE"""),"")</f>
        <v/>
      </c>
      <c r="I840" s="5" t="str">
        <f>IFERROR(__xludf.DUMMYFUNCTION("""COMPUTED_VALUE"""),"")</f>
        <v/>
      </c>
      <c r="J840" s="5" t="str">
        <f>IFERROR(__xludf.DUMMYFUNCTION("""COMPUTED_VALUE"""),"")</f>
        <v/>
      </c>
      <c r="K840" s="5" t="str">
        <f>IFERROR(__xludf.DUMMYFUNCTION("""COMPUTED_VALUE"""),"")</f>
        <v/>
      </c>
      <c r="L840" s="5" t="str">
        <f>IFERROR(__xludf.DUMMYFUNCTION("""COMPUTED_VALUE"""),"")</f>
        <v/>
      </c>
      <c r="M840" s="5" t="str">
        <f>IFERROR(__xludf.DUMMYFUNCTION("""COMPUTED_VALUE"""),"")</f>
        <v/>
      </c>
      <c r="N840" s="5" t="str">
        <f>IFERROR(__xludf.DUMMYFUNCTION("""COMPUTED_VALUE"""),"")</f>
        <v/>
      </c>
      <c r="O840" s="5" t="str">
        <f>IFERROR(__xludf.DUMMYFUNCTION("""COMPUTED_VALUE"""),"")</f>
        <v/>
      </c>
      <c r="P840" s="5" t="str">
        <f>IFERROR(__xludf.DUMMYFUNCTION("""COMPUTED_VALUE"""),"")</f>
        <v/>
      </c>
      <c r="Q840" s="5" t="str">
        <f>IFERROR(__xludf.DUMMYFUNCTION("""COMPUTED_VALUE"""),"")</f>
        <v/>
      </c>
      <c r="R840" s="5" t="str">
        <f>IFERROR(__xludf.DUMMYFUNCTION("""COMPUTED_VALUE"""),"")</f>
        <v/>
      </c>
      <c r="S840" s="5" t="str">
        <f>IFERROR(__xludf.DUMMYFUNCTION("""COMPUTED_VALUE"""),"")</f>
        <v/>
      </c>
      <c r="T840" s="5" t="str">
        <f>IFERROR(__xludf.DUMMYFUNCTION("""COMPUTED_VALUE"""),"")</f>
        <v/>
      </c>
      <c r="U840" s="5" t="str">
        <f>IFERROR(__xludf.DUMMYFUNCTION("""COMPUTED_VALUE"""),"")</f>
        <v/>
      </c>
      <c r="V840" s="5" t="str">
        <f>IFERROR(__xludf.DUMMYFUNCTION("""COMPUTED_VALUE"""),"")</f>
        <v/>
      </c>
      <c r="W840" s="5" t="str">
        <f>IFERROR(__xludf.DUMMYFUNCTION("""COMPUTED_VALUE"""),"")</f>
        <v/>
      </c>
      <c r="X840" s="5" t="str">
        <f>IFERROR(__xludf.DUMMYFUNCTION("""COMPUTED_VALUE"""),"")</f>
        <v/>
      </c>
      <c r="Y840" s="5"/>
      <c r="Z840" s="5"/>
    </row>
    <row r="841">
      <c r="A841" s="5" t="str">
        <f>IFERROR(__xludf.DUMMYFUNCTION("""COMPUTED_VALUE"""),"Money Standard Dice Jackpot")</f>
        <v>Money Standard Dice Jackpot</v>
      </c>
      <c r="B841" s="5" t="str">
        <f>IFERROR(__xludf.DUMMYFUNCTION("""COMPUTED_VALUE"""),"")</f>
        <v/>
      </c>
      <c r="C841" s="5" t="str">
        <f>IFERROR(__xludf.DUMMYFUNCTION("""COMPUTED_VALUE"""),"")</f>
        <v/>
      </c>
      <c r="D841" s="5" t="str">
        <f>IFERROR(__xludf.DUMMYFUNCTION("""COMPUTED_VALUE"""),"")</f>
        <v/>
      </c>
      <c r="E841" s="5" t="str">
        <f>IFERROR(__xludf.DUMMYFUNCTION("""COMPUTED_VALUE"""),"")</f>
        <v/>
      </c>
      <c r="F841" s="5" t="str">
        <f>IFERROR(__xludf.DUMMYFUNCTION("""COMPUTED_VALUE"""),"")</f>
        <v/>
      </c>
      <c r="G841" s="5" t="str">
        <f>IFERROR(__xludf.DUMMYFUNCTION("""COMPUTED_VALUE"""),"")</f>
        <v/>
      </c>
      <c r="H841" s="5" t="str">
        <f>IFERROR(__xludf.DUMMYFUNCTION("""COMPUTED_VALUE"""),"")</f>
        <v/>
      </c>
      <c r="I841" s="5" t="str">
        <f>IFERROR(__xludf.DUMMYFUNCTION("""COMPUTED_VALUE"""),"")</f>
        <v/>
      </c>
      <c r="J841" s="5" t="str">
        <f>IFERROR(__xludf.DUMMYFUNCTION("""COMPUTED_VALUE"""),"")</f>
        <v/>
      </c>
      <c r="K841" s="5" t="str">
        <f>IFERROR(__xludf.DUMMYFUNCTION("""COMPUTED_VALUE"""),"")</f>
        <v/>
      </c>
      <c r="L841" s="5" t="str">
        <f>IFERROR(__xludf.DUMMYFUNCTION("""COMPUTED_VALUE"""),"")</f>
        <v/>
      </c>
      <c r="M841" s="5" t="str">
        <f>IFERROR(__xludf.DUMMYFUNCTION("""COMPUTED_VALUE"""),"")</f>
        <v/>
      </c>
      <c r="N841" s="5" t="str">
        <f>IFERROR(__xludf.DUMMYFUNCTION("""COMPUTED_VALUE"""),"")</f>
        <v/>
      </c>
      <c r="O841" s="5" t="str">
        <f>IFERROR(__xludf.DUMMYFUNCTION("""COMPUTED_VALUE"""),"")</f>
        <v/>
      </c>
      <c r="P841" s="5" t="str">
        <f>IFERROR(__xludf.DUMMYFUNCTION("""COMPUTED_VALUE"""),"")</f>
        <v/>
      </c>
      <c r="Q841" s="5" t="str">
        <f>IFERROR(__xludf.DUMMYFUNCTION("""COMPUTED_VALUE"""),"")</f>
        <v/>
      </c>
      <c r="R841" s="5" t="str">
        <f>IFERROR(__xludf.DUMMYFUNCTION("""COMPUTED_VALUE"""),"")</f>
        <v/>
      </c>
      <c r="S841" s="5" t="str">
        <f>IFERROR(__xludf.DUMMYFUNCTION("""COMPUTED_VALUE"""),"")</f>
        <v/>
      </c>
      <c r="T841" s="5" t="str">
        <f>IFERROR(__xludf.DUMMYFUNCTION("""COMPUTED_VALUE"""),"")</f>
        <v/>
      </c>
      <c r="U841" s="5" t="str">
        <f>IFERROR(__xludf.DUMMYFUNCTION("""COMPUTED_VALUE"""),"")</f>
        <v/>
      </c>
      <c r="V841" s="5" t="str">
        <f>IFERROR(__xludf.DUMMYFUNCTION("""COMPUTED_VALUE"""),"")</f>
        <v/>
      </c>
      <c r="W841" s="5" t="str">
        <f>IFERROR(__xludf.DUMMYFUNCTION("""COMPUTED_VALUE"""),"")</f>
        <v/>
      </c>
      <c r="X841" s="5" t="str">
        <f>IFERROR(__xludf.DUMMYFUNCTION("""COMPUTED_VALUE"""),"")</f>
        <v/>
      </c>
      <c r="Y841" s="5"/>
      <c r="Z841" s="5"/>
    </row>
    <row r="842">
      <c r="A842" s="5" t="str">
        <f>IFERROR(__xludf.DUMMYFUNCTION("""COMPUTED_VALUE"""),"Fruit Getaway")</f>
        <v>Fruit Getaway</v>
      </c>
      <c r="B842" s="5" t="str">
        <f>IFERROR(__xludf.DUMMYFUNCTION("""COMPUTED_VALUE"""),"")</f>
        <v/>
      </c>
      <c r="C842" s="5" t="str">
        <f>IFERROR(__xludf.DUMMYFUNCTION("""COMPUTED_VALUE"""),"")</f>
        <v/>
      </c>
      <c r="D842" s="5" t="str">
        <f>IFERROR(__xludf.DUMMYFUNCTION("""COMPUTED_VALUE"""),"")</f>
        <v/>
      </c>
      <c r="E842" s="5" t="str">
        <f>IFERROR(__xludf.DUMMYFUNCTION("""COMPUTED_VALUE"""),"")</f>
        <v/>
      </c>
      <c r="F842" s="5" t="str">
        <f>IFERROR(__xludf.DUMMYFUNCTION("""COMPUTED_VALUE"""),"")</f>
        <v/>
      </c>
      <c r="G842" s="5" t="str">
        <f>IFERROR(__xludf.DUMMYFUNCTION("""COMPUTED_VALUE"""),"")</f>
        <v/>
      </c>
      <c r="H842" s="5" t="str">
        <f>IFERROR(__xludf.DUMMYFUNCTION("""COMPUTED_VALUE"""),"")</f>
        <v/>
      </c>
      <c r="I842" s="5" t="str">
        <f>IFERROR(__xludf.DUMMYFUNCTION("""COMPUTED_VALUE"""),"")</f>
        <v/>
      </c>
      <c r="J842" s="5" t="str">
        <f>IFERROR(__xludf.DUMMYFUNCTION("""COMPUTED_VALUE"""),"")</f>
        <v/>
      </c>
      <c r="K842" s="5" t="str">
        <f>IFERROR(__xludf.DUMMYFUNCTION("""COMPUTED_VALUE"""),"")</f>
        <v/>
      </c>
      <c r="L842" s="5" t="str">
        <f>IFERROR(__xludf.DUMMYFUNCTION("""COMPUTED_VALUE"""),"")</f>
        <v/>
      </c>
      <c r="M842" s="5" t="str">
        <f>IFERROR(__xludf.DUMMYFUNCTION("""COMPUTED_VALUE"""),"")</f>
        <v/>
      </c>
      <c r="N842" s="5" t="str">
        <f>IFERROR(__xludf.DUMMYFUNCTION("""COMPUTED_VALUE"""),"")</f>
        <v/>
      </c>
      <c r="O842" s="5" t="str">
        <f>IFERROR(__xludf.DUMMYFUNCTION("""COMPUTED_VALUE"""),"")</f>
        <v/>
      </c>
      <c r="P842" s="5" t="str">
        <f>IFERROR(__xludf.DUMMYFUNCTION("""COMPUTED_VALUE"""),"")</f>
        <v/>
      </c>
      <c r="Q842" s="5" t="str">
        <f>IFERROR(__xludf.DUMMYFUNCTION("""COMPUTED_VALUE"""),"")</f>
        <v/>
      </c>
      <c r="R842" s="5" t="str">
        <f>IFERROR(__xludf.DUMMYFUNCTION("""COMPUTED_VALUE"""),"")</f>
        <v/>
      </c>
      <c r="S842" s="5" t="str">
        <f>IFERROR(__xludf.DUMMYFUNCTION("""COMPUTED_VALUE"""),"")</f>
        <v/>
      </c>
      <c r="T842" s="5" t="str">
        <f>IFERROR(__xludf.DUMMYFUNCTION("""COMPUTED_VALUE"""),"")</f>
        <v/>
      </c>
      <c r="U842" s="5" t="str">
        <f>IFERROR(__xludf.DUMMYFUNCTION("""COMPUTED_VALUE"""),"")</f>
        <v/>
      </c>
      <c r="V842" s="5" t="str">
        <f>IFERROR(__xludf.DUMMYFUNCTION("""COMPUTED_VALUE"""),"")</f>
        <v/>
      </c>
      <c r="W842" s="5" t="str">
        <f>IFERROR(__xludf.DUMMYFUNCTION("""COMPUTED_VALUE"""),"")</f>
        <v/>
      </c>
      <c r="X842" s="5" t="str">
        <f>IFERROR(__xludf.DUMMYFUNCTION("""COMPUTED_VALUE"""),"")</f>
        <v/>
      </c>
      <c r="Y842" s="5"/>
      <c r="Z842" s="5"/>
    </row>
    <row r="843">
      <c r="A843" s="5"/>
      <c r="B843" s="5" t="str">
        <f>IFERROR(__xludf.DUMMYFUNCTION("""COMPUTED_VALUE"""),"")</f>
        <v/>
      </c>
      <c r="C843" s="5" t="str">
        <f>IFERROR(__xludf.DUMMYFUNCTION("""COMPUTED_VALUE"""),"")</f>
        <v/>
      </c>
      <c r="D843" s="5" t="str">
        <f>IFERROR(__xludf.DUMMYFUNCTION("""COMPUTED_VALUE"""),"")</f>
        <v/>
      </c>
      <c r="E843" s="5" t="str">
        <f>IFERROR(__xludf.DUMMYFUNCTION("""COMPUTED_VALUE"""),"")</f>
        <v/>
      </c>
      <c r="F843" s="5" t="str">
        <f>IFERROR(__xludf.DUMMYFUNCTION("""COMPUTED_VALUE"""),"")</f>
        <v/>
      </c>
      <c r="G843" s="5" t="str">
        <f>IFERROR(__xludf.DUMMYFUNCTION("""COMPUTED_VALUE"""),"")</f>
        <v/>
      </c>
      <c r="H843" s="5" t="str">
        <f>IFERROR(__xludf.DUMMYFUNCTION("""COMPUTED_VALUE"""),"")</f>
        <v/>
      </c>
      <c r="I843" s="5" t="str">
        <f>IFERROR(__xludf.DUMMYFUNCTION("""COMPUTED_VALUE"""),"")</f>
        <v/>
      </c>
      <c r="J843" s="5" t="str">
        <f>IFERROR(__xludf.DUMMYFUNCTION("""COMPUTED_VALUE"""),"")</f>
        <v/>
      </c>
      <c r="K843" s="5" t="str">
        <f>IFERROR(__xludf.DUMMYFUNCTION("""COMPUTED_VALUE"""),"")</f>
        <v/>
      </c>
      <c r="L843" s="5" t="str">
        <f>IFERROR(__xludf.DUMMYFUNCTION("""COMPUTED_VALUE"""),"")</f>
        <v/>
      </c>
      <c r="M843" s="5" t="str">
        <f>IFERROR(__xludf.DUMMYFUNCTION("""COMPUTED_VALUE"""),"")</f>
        <v/>
      </c>
      <c r="N843" s="5" t="str">
        <f>IFERROR(__xludf.DUMMYFUNCTION("""COMPUTED_VALUE"""),"")</f>
        <v/>
      </c>
      <c r="O843" s="5" t="str">
        <f>IFERROR(__xludf.DUMMYFUNCTION("""COMPUTED_VALUE"""),"")</f>
        <v/>
      </c>
      <c r="P843" s="5" t="str">
        <f>IFERROR(__xludf.DUMMYFUNCTION("""COMPUTED_VALUE"""),"")</f>
        <v/>
      </c>
      <c r="Q843" s="5" t="str">
        <f>IFERROR(__xludf.DUMMYFUNCTION("""COMPUTED_VALUE"""),"")</f>
        <v/>
      </c>
      <c r="R843" s="5" t="str">
        <f>IFERROR(__xludf.DUMMYFUNCTION("""COMPUTED_VALUE"""),"")</f>
        <v/>
      </c>
      <c r="S843" s="5" t="str">
        <f>IFERROR(__xludf.DUMMYFUNCTION("""COMPUTED_VALUE"""),"")</f>
        <v/>
      </c>
      <c r="T843" s="5" t="str">
        <f>IFERROR(__xludf.DUMMYFUNCTION("""COMPUTED_VALUE"""),"")</f>
        <v/>
      </c>
      <c r="U843" s="5" t="str">
        <f>IFERROR(__xludf.DUMMYFUNCTION("""COMPUTED_VALUE"""),"")</f>
        <v/>
      </c>
      <c r="V843" s="5" t="str">
        <f>IFERROR(__xludf.DUMMYFUNCTION("""COMPUTED_VALUE"""),"")</f>
        <v/>
      </c>
      <c r="W843" s="5" t="str">
        <f>IFERROR(__xludf.DUMMYFUNCTION("""COMPUTED_VALUE"""),"")</f>
        <v/>
      </c>
      <c r="X843" s="5" t="str">
        <f>IFERROR(__xludf.DUMMYFUNCTION("""COMPUTED_VALUE"""),"")</f>
        <v/>
      </c>
      <c r="Y843" s="5"/>
      <c r="Z843" s="5"/>
    </row>
    <row r="844">
      <c r="A844" s="5"/>
      <c r="B844" s="5" t="str">
        <f>IFERROR(__xludf.DUMMYFUNCTION("""COMPUTED_VALUE"""),"")</f>
        <v/>
      </c>
      <c r="C844" s="5" t="str">
        <f>IFERROR(__xludf.DUMMYFUNCTION("""COMPUTED_VALUE"""),"")</f>
        <v/>
      </c>
      <c r="D844" s="5" t="str">
        <f>IFERROR(__xludf.DUMMYFUNCTION("""COMPUTED_VALUE"""),"")</f>
        <v/>
      </c>
      <c r="E844" s="5" t="str">
        <f>IFERROR(__xludf.DUMMYFUNCTION("""COMPUTED_VALUE"""),"")</f>
        <v/>
      </c>
      <c r="F844" s="5" t="str">
        <f>IFERROR(__xludf.DUMMYFUNCTION("""COMPUTED_VALUE"""),"")</f>
        <v/>
      </c>
      <c r="G844" s="5" t="str">
        <f>IFERROR(__xludf.DUMMYFUNCTION("""COMPUTED_VALUE"""),"")</f>
        <v/>
      </c>
      <c r="H844" s="5" t="str">
        <f>IFERROR(__xludf.DUMMYFUNCTION("""COMPUTED_VALUE"""),"")</f>
        <v/>
      </c>
      <c r="I844" s="5" t="str">
        <f>IFERROR(__xludf.DUMMYFUNCTION("""COMPUTED_VALUE"""),"")</f>
        <v/>
      </c>
      <c r="J844" s="5" t="str">
        <f>IFERROR(__xludf.DUMMYFUNCTION("""COMPUTED_VALUE"""),"")</f>
        <v/>
      </c>
      <c r="K844" s="5" t="str">
        <f>IFERROR(__xludf.DUMMYFUNCTION("""COMPUTED_VALUE"""),"")</f>
        <v/>
      </c>
      <c r="L844" s="5" t="str">
        <f>IFERROR(__xludf.DUMMYFUNCTION("""COMPUTED_VALUE"""),"")</f>
        <v/>
      </c>
      <c r="M844" s="5" t="str">
        <f>IFERROR(__xludf.DUMMYFUNCTION("""COMPUTED_VALUE"""),"")</f>
        <v/>
      </c>
      <c r="N844" s="5" t="str">
        <f>IFERROR(__xludf.DUMMYFUNCTION("""COMPUTED_VALUE"""),"")</f>
        <v/>
      </c>
      <c r="O844" s="5" t="str">
        <f>IFERROR(__xludf.DUMMYFUNCTION("""COMPUTED_VALUE"""),"")</f>
        <v/>
      </c>
      <c r="P844" s="5" t="str">
        <f>IFERROR(__xludf.DUMMYFUNCTION("""COMPUTED_VALUE"""),"")</f>
        <v/>
      </c>
      <c r="Q844" s="5" t="str">
        <f>IFERROR(__xludf.DUMMYFUNCTION("""COMPUTED_VALUE"""),"")</f>
        <v/>
      </c>
      <c r="R844" s="5" t="str">
        <f>IFERROR(__xludf.DUMMYFUNCTION("""COMPUTED_VALUE"""),"")</f>
        <v/>
      </c>
      <c r="S844" s="5" t="str">
        <f>IFERROR(__xludf.DUMMYFUNCTION("""COMPUTED_VALUE"""),"")</f>
        <v/>
      </c>
      <c r="T844" s="5" t="str">
        <f>IFERROR(__xludf.DUMMYFUNCTION("""COMPUTED_VALUE"""),"")</f>
        <v/>
      </c>
      <c r="U844" s="5" t="str">
        <f>IFERROR(__xludf.DUMMYFUNCTION("""COMPUTED_VALUE"""),"")</f>
        <v/>
      </c>
      <c r="V844" s="5" t="str">
        <f>IFERROR(__xludf.DUMMYFUNCTION("""COMPUTED_VALUE"""),"")</f>
        <v/>
      </c>
      <c r="W844" s="5" t="str">
        <f>IFERROR(__xludf.DUMMYFUNCTION("""COMPUTED_VALUE"""),"")</f>
        <v/>
      </c>
      <c r="X844" s="5" t="str">
        <f>IFERROR(__xludf.DUMMYFUNCTION("""COMPUTED_VALUE"""),"")</f>
        <v/>
      </c>
      <c r="Y844" s="5"/>
      <c r="Z844" s="5"/>
    </row>
    <row r="845">
      <c r="A845" s="5"/>
      <c r="B845" s="5" t="str">
        <f>IFERROR(__xludf.DUMMYFUNCTION("""COMPUTED_VALUE"""),"")</f>
        <v/>
      </c>
      <c r="C845" s="5" t="str">
        <f>IFERROR(__xludf.DUMMYFUNCTION("""COMPUTED_VALUE"""),"")</f>
        <v/>
      </c>
      <c r="D845" s="5" t="str">
        <f>IFERROR(__xludf.DUMMYFUNCTION("""COMPUTED_VALUE"""),"")</f>
        <v/>
      </c>
      <c r="E845" s="5" t="str">
        <f>IFERROR(__xludf.DUMMYFUNCTION("""COMPUTED_VALUE"""),"")</f>
        <v/>
      </c>
      <c r="F845" s="5" t="str">
        <f>IFERROR(__xludf.DUMMYFUNCTION("""COMPUTED_VALUE"""),"")</f>
        <v/>
      </c>
      <c r="G845" s="5" t="str">
        <f>IFERROR(__xludf.DUMMYFUNCTION("""COMPUTED_VALUE"""),"")</f>
        <v/>
      </c>
      <c r="H845" s="5" t="str">
        <f>IFERROR(__xludf.DUMMYFUNCTION("""COMPUTED_VALUE"""),"")</f>
        <v/>
      </c>
      <c r="I845" s="5" t="str">
        <f>IFERROR(__xludf.DUMMYFUNCTION("""COMPUTED_VALUE"""),"")</f>
        <v/>
      </c>
      <c r="J845" s="5" t="str">
        <f>IFERROR(__xludf.DUMMYFUNCTION("""COMPUTED_VALUE"""),"")</f>
        <v/>
      </c>
      <c r="K845" s="5" t="str">
        <f>IFERROR(__xludf.DUMMYFUNCTION("""COMPUTED_VALUE"""),"")</f>
        <v/>
      </c>
      <c r="L845" s="5" t="str">
        <f>IFERROR(__xludf.DUMMYFUNCTION("""COMPUTED_VALUE"""),"")</f>
        <v/>
      </c>
      <c r="M845" s="5" t="str">
        <f>IFERROR(__xludf.DUMMYFUNCTION("""COMPUTED_VALUE"""),"")</f>
        <v/>
      </c>
      <c r="N845" s="5" t="str">
        <f>IFERROR(__xludf.DUMMYFUNCTION("""COMPUTED_VALUE"""),"")</f>
        <v/>
      </c>
      <c r="O845" s="5" t="str">
        <f>IFERROR(__xludf.DUMMYFUNCTION("""COMPUTED_VALUE"""),"")</f>
        <v/>
      </c>
      <c r="P845" s="5" t="str">
        <f>IFERROR(__xludf.DUMMYFUNCTION("""COMPUTED_VALUE"""),"")</f>
        <v/>
      </c>
      <c r="Q845" s="5" t="str">
        <f>IFERROR(__xludf.DUMMYFUNCTION("""COMPUTED_VALUE"""),"")</f>
        <v/>
      </c>
      <c r="R845" s="5" t="str">
        <f>IFERROR(__xludf.DUMMYFUNCTION("""COMPUTED_VALUE"""),"")</f>
        <v/>
      </c>
      <c r="S845" s="5" t="str">
        <f>IFERROR(__xludf.DUMMYFUNCTION("""COMPUTED_VALUE"""),"")</f>
        <v/>
      </c>
      <c r="T845" s="5" t="str">
        <f>IFERROR(__xludf.DUMMYFUNCTION("""COMPUTED_VALUE"""),"")</f>
        <v/>
      </c>
      <c r="U845" s="5" t="str">
        <f>IFERROR(__xludf.DUMMYFUNCTION("""COMPUTED_VALUE"""),"")</f>
        <v/>
      </c>
      <c r="V845" s="5" t="str">
        <f>IFERROR(__xludf.DUMMYFUNCTION("""COMPUTED_VALUE"""),"")</f>
        <v/>
      </c>
      <c r="W845" s="5" t="str">
        <f>IFERROR(__xludf.DUMMYFUNCTION("""COMPUTED_VALUE"""),"")</f>
        <v/>
      </c>
      <c r="X845" s="5" t="str">
        <f>IFERROR(__xludf.DUMMYFUNCTION("""COMPUTED_VALUE"""),"")</f>
        <v/>
      </c>
      <c r="Y845" s="5"/>
      <c r="Z845" s="5"/>
    </row>
    <row r="846">
      <c r="A846" s="5"/>
      <c r="B846" s="5" t="str">
        <f>IFERROR(__xludf.DUMMYFUNCTION("""COMPUTED_VALUE"""),"")</f>
        <v/>
      </c>
      <c r="C846" s="5" t="str">
        <f>IFERROR(__xludf.DUMMYFUNCTION("""COMPUTED_VALUE"""),"")</f>
        <v/>
      </c>
      <c r="D846" s="5" t="str">
        <f>IFERROR(__xludf.DUMMYFUNCTION("""COMPUTED_VALUE"""),"")</f>
        <v/>
      </c>
      <c r="E846" s="5" t="str">
        <f>IFERROR(__xludf.DUMMYFUNCTION("""COMPUTED_VALUE"""),"")</f>
        <v/>
      </c>
      <c r="F846" s="5" t="str">
        <f>IFERROR(__xludf.DUMMYFUNCTION("""COMPUTED_VALUE"""),"")</f>
        <v/>
      </c>
      <c r="G846" s="5" t="str">
        <f>IFERROR(__xludf.DUMMYFUNCTION("""COMPUTED_VALUE"""),"")</f>
        <v/>
      </c>
      <c r="H846" s="5" t="str">
        <f>IFERROR(__xludf.DUMMYFUNCTION("""COMPUTED_VALUE"""),"")</f>
        <v/>
      </c>
      <c r="I846" s="5" t="str">
        <f>IFERROR(__xludf.DUMMYFUNCTION("""COMPUTED_VALUE"""),"")</f>
        <v/>
      </c>
      <c r="J846" s="5" t="str">
        <f>IFERROR(__xludf.DUMMYFUNCTION("""COMPUTED_VALUE"""),"")</f>
        <v/>
      </c>
      <c r="K846" s="5" t="str">
        <f>IFERROR(__xludf.DUMMYFUNCTION("""COMPUTED_VALUE"""),"")</f>
        <v/>
      </c>
      <c r="L846" s="5" t="str">
        <f>IFERROR(__xludf.DUMMYFUNCTION("""COMPUTED_VALUE"""),"")</f>
        <v/>
      </c>
      <c r="M846" s="5" t="str">
        <f>IFERROR(__xludf.DUMMYFUNCTION("""COMPUTED_VALUE"""),"")</f>
        <v/>
      </c>
      <c r="N846" s="5" t="str">
        <f>IFERROR(__xludf.DUMMYFUNCTION("""COMPUTED_VALUE"""),"")</f>
        <v/>
      </c>
      <c r="O846" s="5" t="str">
        <f>IFERROR(__xludf.DUMMYFUNCTION("""COMPUTED_VALUE"""),"")</f>
        <v/>
      </c>
      <c r="P846" s="5" t="str">
        <f>IFERROR(__xludf.DUMMYFUNCTION("""COMPUTED_VALUE"""),"")</f>
        <v/>
      </c>
      <c r="Q846" s="5" t="str">
        <f>IFERROR(__xludf.DUMMYFUNCTION("""COMPUTED_VALUE"""),"")</f>
        <v/>
      </c>
      <c r="R846" s="5" t="str">
        <f>IFERROR(__xludf.DUMMYFUNCTION("""COMPUTED_VALUE"""),"")</f>
        <v/>
      </c>
      <c r="S846" s="5" t="str">
        <f>IFERROR(__xludf.DUMMYFUNCTION("""COMPUTED_VALUE"""),"")</f>
        <v/>
      </c>
      <c r="T846" s="5" t="str">
        <f>IFERROR(__xludf.DUMMYFUNCTION("""COMPUTED_VALUE"""),"")</f>
        <v/>
      </c>
      <c r="U846" s="5" t="str">
        <f>IFERROR(__xludf.DUMMYFUNCTION("""COMPUTED_VALUE"""),"")</f>
        <v/>
      </c>
      <c r="V846" s="5" t="str">
        <f>IFERROR(__xludf.DUMMYFUNCTION("""COMPUTED_VALUE"""),"")</f>
        <v/>
      </c>
      <c r="W846" s="5" t="str">
        <f>IFERROR(__xludf.DUMMYFUNCTION("""COMPUTED_VALUE"""),"")</f>
        <v/>
      </c>
      <c r="X846" s="5" t="str">
        <f>IFERROR(__xludf.DUMMYFUNCTION("""COMPUTED_VALUE"""),"")</f>
        <v/>
      </c>
      <c r="Y846" s="5"/>
      <c r="Z846" s="5"/>
    </row>
    <row r="847">
      <c r="A847" s="5"/>
      <c r="B847" s="5" t="str">
        <f>IFERROR(__xludf.DUMMYFUNCTION("""COMPUTED_VALUE"""),"")</f>
        <v/>
      </c>
      <c r="C847" s="5" t="str">
        <f>IFERROR(__xludf.DUMMYFUNCTION("""COMPUTED_VALUE"""),"")</f>
        <v/>
      </c>
      <c r="D847" s="5" t="str">
        <f>IFERROR(__xludf.DUMMYFUNCTION("""COMPUTED_VALUE"""),"")</f>
        <v/>
      </c>
      <c r="E847" s="5" t="str">
        <f>IFERROR(__xludf.DUMMYFUNCTION("""COMPUTED_VALUE"""),"")</f>
        <v/>
      </c>
      <c r="F847" s="5" t="str">
        <f>IFERROR(__xludf.DUMMYFUNCTION("""COMPUTED_VALUE"""),"")</f>
        <v/>
      </c>
      <c r="G847" s="5" t="str">
        <f>IFERROR(__xludf.DUMMYFUNCTION("""COMPUTED_VALUE"""),"")</f>
        <v/>
      </c>
      <c r="H847" s="5" t="str">
        <f>IFERROR(__xludf.DUMMYFUNCTION("""COMPUTED_VALUE"""),"")</f>
        <v/>
      </c>
      <c r="I847" s="5" t="str">
        <f>IFERROR(__xludf.DUMMYFUNCTION("""COMPUTED_VALUE"""),"")</f>
        <v/>
      </c>
      <c r="J847" s="5" t="str">
        <f>IFERROR(__xludf.DUMMYFUNCTION("""COMPUTED_VALUE"""),"")</f>
        <v/>
      </c>
      <c r="K847" s="5" t="str">
        <f>IFERROR(__xludf.DUMMYFUNCTION("""COMPUTED_VALUE"""),"")</f>
        <v/>
      </c>
      <c r="L847" s="5" t="str">
        <f>IFERROR(__xludf.DUMMYFUNCTION("""COMPUTED_VALUE"""),"")</f>
        <v/>
      </c>
      <c r="M847" s="5" t="str">
        <f>IFERROR(__xludf.DUMMYFUNCTION("""COMPUTED_VALUE"""),"")</f>
        <v/>
      </c>
      <c r="N847" s="5" t="str">
        <f>IFERROR(__xludf.DUMMYFUNCTION("""COMPUTED_VALUE"""),"")</f>
        <v/>
      </c>
      <c r="O847" s="5" t="str">
        <f>IFERROR(__xludf.DUMMYFUNCTION("""COMPUTED_VALUE"""),"")</f>
        <v/>
      </c>
      <c r="P847" s="5" t="str">
        <f>IFERROR(__xludf.DUMMYFUNCTION("""COMPUTED_VALUE"""),"")</f>
        <v/>
      </c>
      <c r="Q847" s="5" t="str">
        <f>IFERROR(__xludf.DUMMYFUNCTION("""COMPUTED_VALUE"""),"")</f>
        <v/>
      </c>
      <c r="R847" s="5" t="str">
        <f>IFERROR(__xludf.DUMMYFUNCTION("""COMPUTED_VALUE"""),"")</f>
        <v/>
      </c>
      <c r="S847" s="5" t="str">
        <f>IFERROR(__xludf.DUMMYFUNCTION("""COMPUTED_VALUE"""),"")</f>
        <v/>
      </c>
      <c r="T847" s="5" t="str">
        <f>IFERROR(__xludf.DUMMYFUNCTION("""COMPUTED_VALUE"""),"")</f>
        <v/>
      </c>
      <c r="U847" s="5" t="str">
        <f>IFERROR(__xludf.DUMMYFUNCTION("""COMPUTED_VALUE"""),"")</f>
        <v/>
      </c>
      <c r="V847" s="5" t="str">
        <f>IFERROR(__xludf.DUMMYFUNCTION("""COMPUTED_VALUE"""),"")</f>
        <v/>
      </c>
      <c r="W847" s="5" t="str">
        <f>IFERROR(__xludf.DUMMYFUNCTION("""COMPUTED_VALUE"""),"")</f>
        <v/>
      </c>
      <c r="X847" s="5" t="str">
        <f>IFERROR(__xludf.DUMMYFUNCTION("""COMPUTED_VALUE"""),"")</f>
        <v/>
      </c>
      <c r="Y847" s="5"/>
      <c r="Z847" s="5"/>
    </row>
    <row r="848">
      <c r="A848" s="5"/>
      <c r="B848" s="5" t="str">
        <f>IFERROR(__xludf.DUMMYFUNCTION("""COMPUTED_VALUE"""),"")</f>
        <v/>
      </c>
      <c r="C848" s="5" t="str">
        <f>IFERROR(__xludf.DUMMYFUNCTION("""COMPUTED_VALUE"""),"")</f>
        <v/>
      </c>
      <c r="D848" s="5" t="str">
        <f>IFERROR(__xludf.DUMMYFUNCTION("""COMPUTED_VALUE"""),"")</f>
        <v/>
      </c>
      <c r="E848" s="5" t="str">
        <f>IFERROR(__xludf.DUMMYFUNCTION("""COMPUTED_VALUE"""),"")</f>
        <v/>
      </c>
      <c r="F848" s="5" t="str">
        <f>IFERROR(__xludf.DUMMYFUNCTION("""COMPUTED_VALUE"""),"")</f>
        <v/>
      </c>
      <c r="G848" s="5" t="str">
        <f>IFERROR(__xludf.DUMMYFUNCTION("""COMPUTED_VALUE"""),"")</f>
        <v/>
      </c>
      <c r="H848" s="5" t="str">
        <f>IFERROR(__xludf.DUMMYFUNCTION("""COMPUTED_VALUE"""),"")</f>
        <v/>
      </c>
      <c r="I848" s="5" t="str">
        <f>IFERROR(__xludf.DUMMYFUNCTION("""COMPUTED_VALUE"""),"")</f>
        <v/>
      </c>
      <c r="J848" s="5" t="str">
        <f>IFERROR(__xludf.DUMMYFUNCTION("""COMPUTED_VALUE"""),"")</f>
        <v/>
      </c>
      <c r="K848" s="5" t="str">
        <f>IFERROR(__xludf.DUMMYFUNCTION("""COMPUTED_VALUE"""),"")</f>
        <v/>
      </c>
      <c r="L848" s="5" t="str">
        <f>IFERROR(__xludf.DUMMYFUNCTION("""COMPUTED_VALUE"""),"")</f>
        <v/>
      </c>
      <c r="M848" s="5" t="str">
        <f>IFERROR(__xludf.DUMMYFUNCTION("""COMPUTED_VALUE"""),"")</f>
        <v/>
      </c>
      <c r="N848" s="5" t="str">
        <f>IFERROR(__xludf.DUMMYFUNCTION("""COMPUTED_VALUE"""),"")</f>
        <v/>
      </c>
      <c r="O848" s="5" t="str">
        <f>IFERROR(__xludf.DUMMYFUNCTION("""COMPUTED_VALUE"""),"")</f>
        <v/>
      </c>
      <c r="P848" s="5" t="str">
        <f>IFERROR(__xludf.DUMMYFUNCTION("""COMPUTED_VALUE"""),"")</f>
        <v/>
      </c>
      <c r="Q848" s="5" t="str">
        <f>IFERROR(__xludf.DUMMYFUNCTION("""COMPUTED_VALUE"""),"")</f>
        <v/>
      </c>
      <c r="R848" s="5" t="str">
        <f>IFERROR(__xludf.DUMMYFUNCTION("""COMPUTED_VALUE"""),"")</f>
        <v/>
      </c>
      <c r="S848" s="5" t="str">
        <f>IFERROR(__xludf.DUMMYFUNCTION("""COMPUTED_VALUE"""),"")</f>
        <v/>
      </c>
      <c r="T848" s="5" t="str">
        <f>IFERROR(__xludf.DUMMYFUNCTION("""COMPUTED_VALUE"""),"")</f>
        <v/>
      </c>
      <c r="U848" s="5" t="str">
        <f>IFERROR(__xludf.DUMMYFUNCTION("""COMPUTED_VALUE"""),"")</f>
        <v/>
      </c>
      <c r="V848" s="5" t="str">
        <f>IFERROR(__xludf.DUMMYFUNCTION("""COMPUTED_VALUE"""),"")</f>
        <v/>
      </c>
      <c r="W848" s="5" t="str">
        <f>IFERROR(__xludf.DUMMYFUNCTION("""COMPUTED_VALUE"""),"")</f>
        <v/>
      </c>
      <c r="X848" s="5" t="str">
        <f>IFERROR(__xludf.DUMMYFUNCTION("""COMPUTED_VALUE"""),"")</f>
        <v/>
      </c>
      <c r="Y848" s="5"/>
      <c r="Z848" s="5"/>
    </row>
    <row r="849">
      <c r="A849" s="5"/>
      <c r="B849" s="5" t="str">
        <f>IFERROR(__xludf.DUMMYFUNCTION("""COMPUTED_VALUE"""),"")</f>
        <v/>
      </c>
      <c r="C849" s="5" t="str">
        <f>IFERROR(__xludf.DUMMYFUNCTION("""COMPUTED_VALUE"""),"")</f>
        <v/>
      </c>
      <c r="D849" s="5" t="str">
        <f>IFERROR(__xludf.DUMMYFUNCTION("""COMPUTED_VALUE"""),"")</f>
        <v/>
      </c>
      <c r="E849" s="5" t="str">
        <f>IFERROR(__xludf.DUMMYFUNCTION("""COMPUTED_VALUE"""),"")</f>
        <v/>
      </c>
      <c r="F849" s="5" t="str">
        <f>IFERROR(__xludf.DUMMYFUNCTION("""COMPUTED_VALUE"""),"")</f>
        <v/>
      </c>
      <c r="G849" s="5" t="str">
        <f>IFERROR(__xludf.DUMMYFUNCTION("""COMPUTED_VALUE"""),"")</f>
        <v/>
      </c>
      <c r="H849" s="5" t="str">
        <f>IFERROR(__xludf.DUMMYFUNCTION("""COMPUTED_VALUE"""),"")</f>
        <v/>
      </c>
      <c r="I849" s="5" t="str">
        <f>IFERROR(__xludf.DUMMYFUNCTION("""COMPUTED_VALUE"""),"")</f>
        <v/>
      </c>
      <c r="J849" s="5" t="str">
        <f>IFERROR(__xludf.DUMMYFUNCTION("""COMPUTED_VALUE"""),"")</f>
        <v/>
      </c>
      <c r="K849" s="5" t="str">
        <f>IFERROR(__xludf.DUMMYFUNCTION("""COMPUTED_VALUE"""),"")</f>
        <v/>
      </c>
      <c r="L849" s="5" t="str">
        <f>IFERROR(__xludf.DUMMYFUNCTION("""COMPUTED_VALUE"""),"")</f>
        <v/>
      </c>
      <c r="M849" s="5" t="str">
        <f>IFERROR(__xludf.DUMMYFUNCTION("""COMPUTED_VALUE"""),"")</f>
        <v/>
      </c>
      <c r="N849" s="5" t="str">
        <f>IFERROR(__xludf.DUMMYFUNCTION("""COMPUTED_VALUE"""),"")</f>
        <v/>
      </c>
      <c r="O849" s="5" t="str">
        <f>IFERROR(__xludf.DUMMYFUNCTION("""COMPUTED_VALUE"""),"")</f>
        <v/>
      </c>
      <c r="P849" s="5" t="str">
        <f>IFERROR(__xludf.DUMMYFUNCTION("""COMPUTED_VALUE"""),"")</f>
        <v/>
      </c>
      <c r="Q849" s="5" t="str">
        <f>IFERROR(__xludf.DUMMYFUNCTION("""COMPUTED_VALUE"""),"")</f>
        <v/>
      </c>
      <c r="R849" s="5" t="str">
        <f>IFERROR(__xludf.DUMMYFUNCTION("""COMPUTED_VALUE"""),"")</f>
        <v/>
      </c>
      <c r="S849" s="5" t="str">
        <f>IFERROR(__xludf.DUMMYFUNCTION("""COMPUTED_VALUE"""),"")</f>
        <v/>
      </c>
      <c r="T849" s="5" t="str">
        <f>IFERROR(__xludf.DUMMYFUNCTION("""COMPUTED_VALUE"""),"")</f>
        <v/>
      </c>
      <c r="U849" s="5" t="str">
        <f>IFERROR(__xludf.DUMMYFUNCTION("""COMPUTED_VALUE"""),"")</f>
        <v/>
      </c>
      <c r="V849" s="5" t="str">
        <f>IFERROR(__xludf.DUMMYFUNCTION("""COMPUTED_VALUE"""),"")</f>
        <v/>
      </c>
      <c r="W849" s="5" t="str">
        <f>IFERROR(__xludf.DUMMYFUNCTION("""COMPUTED_VALUE"""),"")</f>
        <v/>
      </c>
      <c r="X849" s="5" t="str">
        <f>IFERROR(__xludf.DUMMYFUNCTION("""COMPUTED_VALUE"""),"")</f>
        <v/>
      </c>
      <c r="Y849" s="5"/>
      <c r="Z849" s="5"/>
    </row>
    <row r="850">
      <c r="A850" s="5"/>
      <c r="B850" s="5" t="str">
        <f>IFERROR(__xludf.DUMMYFUNCTION("""COMPUTED_VALUE"""),"")</f>
        <v/>
      </c>
      <c r="C850" s="5" t="str">
        <f>IFERROR(__xludf.DUMMYFUNCTION("""COMPUTED_VALUE"""),"")</f>
        <v/>
      </c>
      <c r="D850" s="5" t="str">
        <f>IFERROR(__xludf.DUMMYFUNCTION("""COMPUTED_VALUE"""),"")</f>
        <v/>
      </c>
      <c r="E850" s="5" t="str">
        <f>IFERROR(__xludf.DUMMYFUNCTION("""COMPUTED_VALUE"""),"")</f>
        <v/>
      </c>
      <c r="F850" s="5" t="str">
        <f>IFERROR(__xludf.DUMMYFUNCTION("""COMPUTED_VALUE"""),"")</f>
        <v/>
      </c>
      <c r="G850" s="5" t="str">
        <f>IFERROR(__xludf.DUMMYFUNCTION("""COMPUTED_VALUE"""),"")</f>
        <v/>
      </c>
      <c r="H850" s="5" t="str">
        <f>IFERROR(__xludf.DUMMYFUNCTION("""COMPUTED_VALUE"""),"")</f>
        <v/>
      </c>
      <c r="I850" s="5" t="str">
        <f>IFERROR(__xludf.DUMMYFUNCTION("""COMPUTED_VALUE"""),"")</f>
        <v/>
      </c>
      <c r="J850" s="5" t="str">
        <f>IFERROR(__xludf.DUMMYFUNCTION("""COMPUTED_VALUE"""),"")</f>
        <v/>
      </c>
      <c r="K850" s="5" t="str">
        <f>IFERROR(__xludf.DUMMYFUNCTION("""COMPUTED_VALUE"""),"")</f>
        <v/>
      </c>
      <c r="L850" s="5" t="str">
        <f>IFERROR(__xludf.DUMMYFUNCTION("""COMPUTED_VALUE"""),"")</f>
        <v/>
      </c>
      <c r="M850" s="5" t="str">
        <f>IFERROR(__xludf.DUMMYFUNCTION("""COMPUTED_VALUE"""),"")</f>
        <v/>
      </c>
      <c r="N850" s="5" t="str">
        <f>IFERROR(__xludf.DUMMYFUNCTION("""COMPUTED_VALUE"""),"")</f>
        <v/>
      </c>
      <c r="O850" s="5" t="str">
        <f>IFERROR(__xludf.DUMMYFUNCTION("""COMPUTED_VALUE"""),"")</f>
        <v/>
      </c>
      <c r="P850" s="5" t="str">
        <f>IFERROR(__xludf.DUMMYFUNCTION("""COMPUTED_VALUE"""),"")</f>
        <v/>
      </c>
      <c r="Q850" s="5" t="str">
        <f>IFERROR(__xludf.DUMMYFUNCTION("""COMPUTED_VALUE"""),"")</f>
        <v/>
      </c>
      <c r="R850" s="5" t="str">
        <f>IFERROR(__xludf.DUMMYFUNCTION("""COMPUTED_VALUE"""),"")</f>
        <v/>
      </c>
      <c r="S850" s="5" t="str">
        <f>IFERROR(__xludf.DUMMYFUNCTION("""COMPUTED_VALUE"""),"")</f>
        <v/>
      </c>
      <c r="T850" s="5" t="str">
        <f>IFERROR(__xludf.DUMMYFUNCTION("""COMPUTED_VALUE"""),"")</f>
        <v/>
      </c>
      <c r="U850" s="5" t="str">
        <f>IFERROR(__xludf.DUMMYFUNCTION("""COMPUTED_VALUE"""),"")</f>
        <v/>
      </c>
      <c r="V850" s="5" t="str">
        <f>IFERROR(__xludf.DUMMYFUNCTION("""COMPUTED_VALUE"""),"")</f>
        <v/>
      </c>
      <c r="W850" s="5" t="str">
        <f>IFERROR(__xludf.DUMMYFUNCTION("""COMPUTED_VALUE"""),"")</f>
        <v/>
      </c>
      <c r="X850" s="5" t="str">
        <f>IFERROR(__xludf.DUMMYFUNCTION("""COMPUTED_VALUE"""),"")</f>
        <v/>
      </c>
      <c r="Y850" s="5"/>
      <c r="Z850" s="5"/>
    </row>
    <row r="851">
      <c r="A851" s="5"/>
      <c r="B851" s="5" t="str">
        <f>IFERROR(__xludf.DUMMYFUNCTION("""COMPUTED_VALUE"""),"")</f>
        <v/>
      </c>
      <c r="C851" s="5" t="str">
        <f>IFERROR(__xludf.DUMMYFUNCTION("""COMPUTED_VALUE"""),"")</f>
        <v/>
      </c>
      <c r="D851" s="5" t="str">
        <f>IFERROR(__xludf.DUMMYFUNCTION("""COMPUTED_VALUE"""),"")</f>
        <v/>
      </c>
      <c r="E851" s="5" t="str">
        <f>IFERROR(__xludf.DUMMYFUNCTION("""COMPUTED_VALUE"""),"")</f>
        <v/>
      </c>
      <c r="F851" s="5" t="str">
        <f>IFERROR(__xludf.DUMMYFUNCTION("""COMPUTED_VALUE"""),"")</f>
        <v/>
      </c>
      <c r="G851" s="5" t="str">
        <f>IFERROR(__xludf.DUMMYFUNCTION("""COMPUTED_VALUE"""),"")</f>
        <v/>
      </c>
      <c r="H851" s="5" t="str">
        <f>IFERROR(__xludf.DUMMYFUNCTION("""COMPUTED_VALUE"""),"")</f>
        <v/>
      </c>
      <c r="I851" s="5" t="str">
        <f>IFERROR(__xludf.DUMMYFUNCTION("""COMPUTED_VALUE"""),"")</f>
        <v/>
      </c>
      <c r="J851" s="5" t="str">
        <f>IFERROR(__xludf.DUMMYFUNCTION("""COMPUTED_VALUE"""),"")</f>
        <v/>
      </c>
      <c r="K851" s="5" t="str">
        <f>IFERROR(__xludf.DUMMYFUNCTION("""COMPUTED_VALUE"""),"")</f>
        <v/>
      </c>
      <c r="L851" s="5" t="str">
        <f>IFERROR(__xludf.DUMMYFUNCTION("""COMPUTED_VALUE"""),"")</f>
        <v/>
      </c>
      <c r="M851" s="5" t="str">
        <f>IFERROR(__xludf.DUMMYFUNCTION("""COMPUTED_VALUE"""),"")</f>
        <v/>
      </c>
      <c r="N851" s="5" t="str">
        <f>IFERROR(__xludf.DUMMYFUNCTION("""COMPUTED_VALUE"""),"")</f>
        <v/>
      </c>
      <c r="O851" s="5" t="str">
        <f>IFERROR(__xludf.DUMMYFUNCTION("""COMPUTED_VALUE"""),"")</f>
        <v/>
      </c>
      <c r="P851" s="5" t="str">
        <f>IFERROR(__xludf.DUMMYFUNCTION("""COMPUTED_VALUE"""),"")</f>
        <v/>
      </c>
      <c r="Q851" s="5" t="str">
        <f>IFERROR(__xludf.DUMMYFUNCTION("""COMPUTED_VALUE"""),"")</f>
        <v/>
      </c>
      <c r="R851" s="5" t="str">
        <f>IFERROR(__xludf.DUMMYFUNCTION("""COMPUTED_VALUE"""),"")</f>
        <v/>
      </c>
      <c r="S851" s="5" t="str">
        <f>IFERROR(__xludf.DUMMYFUNCTION("""COMPUTED_VALUE"""),"")</f>
        <v/>
      </c>
      <c r="T851" s="5" t="str">
        <f>IFERROR(__xludf.DUMMYFUNCTION("""COMPUTED_VALUE"""),"")</f>
        <v/>
      </c>
      <c r="U851" s="5" t="str">
        <f>IFERROR(__xludf.DUMMYFUNCTION("""COMPUTED_VALUE"""),"")</f>
        <v/>
      </c>
      <c r="V851" s="5" t="str">
        <f>IFERROR(__xludf.DUMMYFUNCTION("""COMPUTED_VALUE"""),"")</f>
        <v/>
      </c>
      <c r="W851" s="5" t="str">
        <f>IFERROR(__xludf.DUMMYFUNCTION("""COMPUTED_VALUE"""),"")</f>
        <v/>
      </c>
      <c r="X851" s="5" t="str">
        <f>IFERROR(__xludf.DUMMYFUNCTION("""COMPUTED_VALUE"""),"")</f>
        <v/>
      </c>
      <c r="Y851" s="5"/>
      <c r="Z851" s="5"/>
    </row>
    <row r="852">
      <c r="A852" s="5"/>
      <c r="B852" s="5" t="str">
        <f>IFERROR(__xludf.DUMMYFUNCTION("""COMPUTED_VALUE"""),"")</f>
        <v/>
      </c>
      <c r="C852" s="5" t="str">
        <f>IFERROR(__xludf.DUMMYFUNCTION("""COMPUTED_VALUE"""),"")</f>
        <v/>
      </c>
      <c r="D852" s="5" t="str">
        <f>IFERROR(__xludf.DUMMYFUNCTION("""COMPUTED_VALUE"""),"")</f>
        <v/>
      </c>
      <c r="E852" s="5" t="str">
        <f>IFERROR(__xludf.DUMMYFUNCTION("""COMPUTED_VALUE"""),"")</f>
        <v/>
      </c>
      <c r="F852" s="5" t="str">
        <f>IFERROR(__xludf.DUMMYFUNCTION("""COMPUTED_VALUE"""),"")</f>
        <v/>
      </c>
      <c r="G852" s="5" t="str">
        <f>IFERROR(__xludf.DUMMYFUNCTION("""COMPUTED_VALUE"""),"")</f>
        <v/>
      </c>
      <c r="H852" s="5" t="str">
        <f>IFERROR(__xludf.DUMMYFUNCTION("""COMPUTED_VALUE"""),"")</f>
        <v/>
      </c>
      <c r="I852" s="5" t="str">
        <f>IFERROR(__xludf.DUMMYFUNCTION("""COMPUTED_VALUE"""),"")</f>
        <v/>
      </c>
      <c r="J852" s="5" t="str">
        <f>IFERROR(__xludf.DUMMYFUNCTION("""COMPUTED_VALUE"""),"")</f>
        <v/>
      </c>
      <c r="K852" s="5" t="str">
        <f>IFERROR(__xludf.DUMMYFUNCTION("""COMPUTED_VALUE"""),"")</f>
        <v/>
      </c>
      <c r="L852" s="5" t="str">
        <f>IFERROR(__xludf.DUMMYFUNCTION("""COMPUTED_VALUE"""),"")</f>
        <v/>
      </c>
      <c r="M852" s="5" t="str">
        <f>IFERROR(__xludf.DUMMYFUNCTION("""COMPUTED_VALUE"""),"")</f>
        <v/>
      </c>
      <c r="N852" s="5" t="str">
        <f>IFERROR(__xludf.DUMMYFUNCTION("""COMPUTED_VALUE"""),"")</f>
        <v/>
      </c>
      <c r="O852" s="5" t="str">
        <f>IFERROR(__xludf.DUMMYFUNCTION("""COMPUTED_VALUE"""),"")</f>
        <v/>
      </c>
      <c r="P852" s="5" t="str">
        <f>IFERROR(__xludf.DUMMYFUNCTION("""COMPUTED_VALUE"""),"")</f>
        <v/>
      </c>
      <c r="Q852" s="5" t="str">
        <f>IFERROR(__xludf.DUMMYFUNCTION("""COMPUTED_VALUE"""),"")</f>
        <v/>
      </c>
      <c r="R852" s="5" t="str">
        <f>IFERROR(__xludf.DUMMYFUNCTION("""COMPUTED_VALUE"""),"")</f>
        <v/>
      </c>
      <c r="S852" s="5" t="str">
        <f>IFERROR(__xludf.DUMMYFUNCTION("""COMPUTED_VALUE"""),"")</f>
        <v/>
      </c>
      <c r="T852" s="5" t="str">
        <f>IFERROR(__xludf.DUMMYFUNCTION("""COMPUTED_VALUE"""),"")</f>
        <v/>
      </c>
      <c r="U852" s="5" t="str">
        <f>IFERROR(__xludf.DUMMYFUNCTION("""COMPUTED_VALUE"""),"")</f>
        <v/>
      </c>
      <c r="V852" s="5" t="str">
        <f>IFERROR(__xludf.DUMMYFUNCTION("""COMPUTED_VALUE"""),"")</f>
        <v/>
      </c>
      <c r="W852" s="5" t="str">
        <f>IFERROR(__xludf.DUMMYFUNCTION("""COMPUTED_VALUE"""),"")</f>
        <v/>
      </c>
      <c r="X852" s="5" t="str">
        <f>IFERROR(__xludf.DUMMYFUNCTION("""COMPUTED_VALUE"""),"")</f>
        <v/>
      </c>
      <c r="Y852" s="5"/>
      <c r="Z852" s="5"/>
    </row>
    <row r="853">
      <c r="A853" s="5"/>
      <c r="B853" s="5" t="str">
        <f>IFERROR(__xludf.DUMMYFUNCTION("""COMPUTED_VALUE"""),"")</f>
        <v/>
      </c>
      <c r="C853" s="5" t="str">
        <f>IFERROR(__xludf.DUMMYFUNCTION("""COMPUTED_VALUE"""),"")</f>
        <v/>
      </c>
      <c r="D853" s="5" t="str">
        <f>IFERROR(__xludf.DUMMYFUNCTION("""COMPUTED_VALUE"""),"")</f>
        <v/>
      </c>
      <c r="E853" s="5" t="str">
        <f>IFERROR(__xludf.DUMMYFUNCTION("""COMPUTED_VALUE"""),"")</f>
        <v/>
      </c>
      <c r="F853" s="5" t="str">
        <f>IFERROR(__xludf.DUMMYFUNCTION("""COMPUTED_VALUE"""),"")</f>
        <v/>
      </c>
      <c r="G853" s="5" t="str">
        <f>IFERROR(__xludf.DUMMYFUNCTION("""COMPUTED_VALUE"""),"")</f>
        <v/>
      </c>
      <c r="H853" s="5" t="str">
        <f>IFERROR(__xludf.DUMMYFUNCTION("""COMPUTED_VALUE"""),"")</f>
        <v/>
      </c>
      <c r="I853" s="5" t="str">
        <f>IFERROR(__xludf.DUMMYFUNCTION("""COMPUTED_VALUE"""),"")</f>
        <v/>
      </c>
      <c r="J853" s="5" t="str">
        <f>IFERROR(__xludf.DUMMYFUNCTION("""COMPUTED_VALUE"""),"")</f>
        <v/>
      </c>
      <c r="K853" s="5" t="str">
        <f>IFERROR(__xludf.DUMMYFUNCTION("""COMPUTED_VALUE"""),"")</f>
        <v/>
      </c>
      <c r="L853" s="5" t="str">
        <f>IFERROR(__xludf.DUMMYFUNCTION("""COMPUTED_VALUE"""),"")</f>
        <v/>
      </c>
      <c r="M853" s="5" t="str">
        <f>IFERROR(__xludf.DUMMYFUNCTION("""COMPUTED_VALUE"""),"")</f>
        <v/>
      </c>
      <c r="N853" s="5" t="str">
        <f>IFERROR(__xludf.DUMMYFUNCTION("""COMPUTED_VALUE"""),"")</f>
        <v/>
      </c>
      <c r="O853" s="5" t="str">
        <f>IFERROR(__xludf.DUMMYFUNCTION("""COMPUTED_VALUE"""),"")</f>
        <v/>
      </c>
      <c r="P853" s="5" t="str">
        <f>IFERROR(__xludf.DUMMYFUNCTION("""COMPUTED_VALUE"""),"")</f>
        <v/>
      </c>
      <c r="Q853" s="5" t="str">
        <f>IFERROR(__xludf.DUMMYFUNCTION("""COMPUTED_VALUE"""),"")</f>
        <v/>
      </c>
      <c r="R853" s="5" t="str">
        <f>IFERROR(__xludf.DUMMYFUNCTION("""COMPUTED_VALUE"""),"")</f>
        <v/>
      </c>
      <c r="S853" s="5" t="str">
        <f>IFERROR(__xludf.DUMMYFUNCTION("""COMPUTED_VALUE"""),"")</f>
        <v/>
      </c>
      <c r="T853" s="5" t="str">
        <f>IFERROR(__xludf.DUMMYFUNCTION("""COMPUTED_VALUE"""),"")</f>
        <v/>
      </c>
      <c r="U853" s="5" t="str">
        <f>IFERROR(__xludf.DUMMYFUNCTION("""COMPUTED_VALUE"""),"")</f>
        <v/>
      </c>
      <c r="V853" s="5" t="str">
        <f>IFERROR(__xludf.DUMMYFUNCTION("""COMPUTED_VALUE"""),"")</f>
        <v/>
      </c>
      <c r="W853" s="5" t="str">
        <f>IFERROR(__xludf.DUMMYFUNCTION("""COMPUTED_VALUE"""),"")</f>
        <v/>
      </c>
      <c r="X853" s="5" t="str">
        <f>IFERROR(__xludf.DUMMYFUNCTION("""COMPUTED_VALUE"""),"")</f>
        <v/>
      </c>
      <c r="Y853" s="5"/>
      <c r="Z853" s="5"/>
    </row>
    <row r="854">
      <c r="A854" s="5"/>
      <c r="B854" s="5" t="str">
        <f>IFERROR(__xludf.DUMMYFUNCTION("""COMPUTED_VALUE"""),"")</f>
        <v/>
      </c>
      <c r="C854" s="5" t="str">
        <f>IFERROR(__xludf.DUMMYFUNCTION("""COMPUTED_VALUE"""),"")</f>
        <v/>
      </c>
      <c r="D854" s="5" t="str">
        <f>IFERROR(__xludf.DUMMYFUNCTION("""COMPUTED_VALUE"""),"")</f>
        <v/>
      </c>
      <c r="E854" s="5" t="str">
        <f>IFERROR(__xludf.DUMMYFUNCTION("""COMPUTED_VALUE"""),"")</f>
        <v/>
      </c>
      <c r="F854" s="5" t="str">
        <f>IFERROR(__xludf.DUMMYFUNCTION("""COMPUTED_VALUE"""),"")</f>
        <v/>
      </c>
      <c r="G854" s="5" t="str">
        <f>IFERROR(__xludf.DUMMYFUNCTION("""COMPUTED_VALUE"""),"")</f>
        <v/>
      </c>
      <c r="H854" s="5" t="str">
        <f>IFERROR(__xludf.DUMMYFUNCTION("""COMPUTED_VALUE"""),"")</f>
        <v/>
      </c>
      <c r="I854" s="5" t="str">
        <f>IFERROR(__xludf.DUMMYFUNCTION("""COMPUTED_VALUE"""),"")</f>
        <v/>
      </c>
      <c r="J854" s="5" t="str">
        <f>IFERROR(__xludf.DUMMYFUNCTION("""COMPUTED_VALUE"""),"")</f>
        <v/>
      </c>
      <c r="K854" s="5" t="str">
        <f>IFERROR(__xludf.DUMMYFUNCTION("""COMPUTED_VALUE"""),"")</f>
        <v/>
      </c>
      <c r="L854" s="5" t="str">
        <f>IFERROR(__xludf.DUMMYFUNCTION("""COMPUTED_VALUE"""),"")</f>
        <v/>
      </c>
      <c r="M854" s="5" t="str">
        <f>IFERROR(__xludf.DUMMYFUNCTION("""COMPUTED_VALUE"""),"")</f>
        <v/>
      </c>
      <c r="N854" s="5" t="str">
        <f>IFERROR(__xludf.DUMMYFUNCTION("""COMPUTED_VALUE"""),"")</f>
        <v/>
      </c>
      <c r="O854" s="5" t="str">
        <f>IFERROR(__xludf.DUMMYFUNCTION("""COMPUTED_VALUE"""),"")</f>
        <v/>
      </c>
      <c r="P854" s="5" t="str">
        <f>IFERROR(__xludf.DUMMYFUNCTION("""COMPUTED_VALUE"""),"")</f>
        <v/>
      </c>
      <c r="Q854" s="5" t="str">
        <f>IFERROR(__xludf.DUMMYFUNCTION("""COMPUTED_VALUE"""),"")</f>
        <v/>
      </c>
      <c r="R854" s="5" t="str">
        <f>IFERROR(__xludf.DUMMYFUNCTION("""COMPUTED_VALUE"""),"")</f>
        <v/>
      </c>
      <c r="S854" s="5" t="str">
        <f>IFERROR(__xludf.DUMMYFUNCTION("""COMPUTED_VALUE"""),"")</f>
        <v/>
      </c>
      <c r="T854" s="5" t="str">
        <f>IFERROR(__xludf.DUMMYFUNCTION("""COMPUTED_VALUE"""),"")</f>
        <v/>
      </c>
      <c r="U854" s="5" t="str">
        <f>IFERROR(__xludf.DUMMYFUNCTION("""COMPUTED_VALUE"""),"")</f>
        <v/>
      </c>
      <c r="V854" s="5" t="str">
        <f>IFERROR(__xludf.DUMMYFUNCTION("""COMPUTED_VALUE"""),"")</f>
        <v/>
      </c>
      <c r="W854" s="5" t="str">
        <f>IFERROR(__xludf.DUMMYFUNCTION("""COMPUTED_VALUE"""),"")</f>
        <v/>
      </c>
      <c r="X854" s="5" t="str">
        <f>IFERROR(__xludf.DUMMYFUNCTION("""COMPUTED_VALUE"""),"")</f>
        <v/>
      </c>
      <c r="Y854" s="5"/>
      <c r="Z854" s="5"/>
    </row>
    <row r="855">
      <c r="A855" s="5"/>
      <c r="B855" s="5" t="str">
        <f>IFERROR(__xludf.DUMMYFUNCTION("""COMPUTED_VALUE"""),"")</f>
        <v/>
      </c>
      <c r="C855" s="5" t="str">
        <f>IFERROR(__xludf.DUMMYFUNCTION("""COMPUTED_VALUE"""),"")</f>
        <v/>
      </c>
      <c r="D855" s="5" t="str">
        <f>IFERROR(__xludf.DUMMYFUNCTION("""COMPUTED_VALUE"""),"")</f>
        <v/>
      </c>
      <c r="E855" s="5" t="str">
        <f>IFERROR(__xludf.DUMMYFUNCTION("""COMPUTED_VALUE"""),"")</f>
        <v/>
      </c>
      <c r="F855" s="5" t="str">
        <f>IFERROR(__xludf.DUMMYFUNCTION("""COMPUTED_VALUE"""),"")</f>
        <v/>
      </c>
      <c r="G855" s="5" t="str">
        <f>IFERROR(__xludf.DUMMYFUNCTION("""COMPUTED_VALUE"""),"")</f>
        <v/>
      </c>
      <c r="H855" s="5" t="str">
        <f>IFERROR(__xludf.DUMMYFUNCTION("""COMPUTED_VALUE"""),"")</f>
        <v/>
      </c>
      <c r="I855" s="5" t="str">
        <f>IFERROR(__xludf.DUMMYFUNCTION("""COMPUTED_VALUE"""),"")</f>
        <v/>
      </c>
      <c r="J855" s="5" t="str">
        <f>IFERROR(__xludf.DUMMYFUNCTION("""COMPUTED_VALUE"""),"")</f>
        <v/>
      </c>
      <c r="K855" s="5" t="str">
        <f>IFERROR(__xludf.DUMMYFUNCTION("""COMPUTED_VALUE"""),"")</f>
        <v/>
      </c>
      <c r="L855" s="5" t="str">
        <f>IFERROR(__xludf.DUMMYFUNCTION("""COMPUTED_VALUE"""),"")</f>
        <v/>
      </c>
      <c r="M855" s="5" t="str">
        <f>IFERROR(__xludf.DUMMYFUNCTION("""COMPUTED_VALUE"""),"")</f>
        <v/>
      </c>
      <c r="N855" s="5" t="str">
        <f>IFERROR(__xludf.DUMMYFUNCTION("""COMPUTED_VALUE"""),"")</f>
        <v/>
      </c>
      <c r="O855" s="5" t="str">
        <f>IFERROR(__xludf.DUMMYFUNCTION("""COMPUTED_VALUE"""),"")</f>
        <v/>
      </c>
      <c r="P855" s="5" t="str">
        <f>IFERROR(__xludf.DUMMYFUNCTION("""COMPUTED_VALUE"""),"")</f>
        <v/>
      </c>
      <c r="Q855" s="5" t="str">
        <f>IFERROR(__xludf.DUMMYFUNCTION("""COMPUTED_VALUE"""),"")</f>
        <v/>
      </c>
      <c r="R855" s="5" t="str">
        <f>IFERROR(__xludf.DUMMYFUNCTION("""COMPUTED_VALUE"""),"")</f>
        <v/>
      </c>
      <c r="S855" s="5" t="str">
        <f>IFERROR(__xludf.DUMMYFUNCTION("""COMPUTED_VALUE"""),"")</f>
        <v/>
      </c>
      <c r="T855" s="5" t="str">
        <f>IFERROR(__xludf.DUMMYFUNCTION("""COMPUTED_VALUE"""),"")</f>
        <v/>
      </c>
      <c r="U855" s="5" t="str">
        <f>IFERROR(__xludf.DUMMYFUNCTION("""COMPUTED_VALUE"""),"")</f>
        <v/>
      </c>
      <c r="V855" s="5" t="str">
        <f>IFERROR(__xludf.DUMMYFUNCTION("""COMPUTED_VALUE"""),"")</f>
        <v/>
      </c>
      <c r="W855" s="5" t="str">
        <f>IFERROR(__xludf.DUMMYFUNCTION("""COMPUTED_VALUE"""),"")</f>
        <v/>
      </c>
      <c r="X855" s="5" t="str">
        <f>IFERROR(__xludf.DUMMYFUNCTION("""COMPUTED_VALUE"""),"")</f>
        <v/>
      </c>
      <c r="Y855" s="5"/>
      <c r="Z855" s="5"/>
    </row>
    <row r="856">
      <c r="A856" s="5"/>
      <c r="B856" s="5" t="str">
        <f>IFERROR(__xludf.DUMMYFUNCTION("""COMPUTED_VALUE"""),"")</f>
        <v/>
      </c>
      <c r="C856" s="5" t="str">
        <f>IFERROR(__xludf.DUMMYFUNCTION("""COMPUTED_VALUE"""),"")</f>
        <v/>
      </c>
      <c r="D856" s="5" t="str">
        <f>IFERROR(__xludf.DUMMYFUNCTION("""COMPUTED_VALUE"""),"")</f>
        <v/>
      </c>
      <c r="E856" s="5" t="str">
        <f>IFERROR(__xludf.DUMMYFUNCTION("""COMPUTED_VALUE"""),"")</f>
        <v/>
      </c>
      <c r="F856" s="5" t="str">
        <f>IFERROR(__xludf.DUMMYFUNCTION("""COMPUTED_VALUE"""),"")</f>
        <v/>
      </c>
      <c r="G856" s="5" t="str">
        <f>IFERROR(__xludf.DUMMYFUNCTION("""COMPUTED_VALUE"""),"")</f>
        <v/>
      </c>
      <c r="H856" s="5" t="str">
        <f>IFERROR(__xludf.DUMMYFUNCTION("""COMPUTED_VALUE"""),"")</f>
        <v/>
      </c>
      <c r="I856" s="5" t="str">
        <f>IFERROR(__xludf.DUMMYFUNCTION("""COMPUTED_VALUE"""),"")</f>
        <v/>
      </c>
      <c r="J856" s="5" t="str">
        <f>IFERROR(__xludf.DUMMYFUNCTION("""COMPUTED_VALUE"""),"")</f>
        <v/>
      </c>
      <c r="K856" s="5" t="str">
        <f>IFERROR(__xludf.DUMMYFUNCTION("""COMPUTED_VALUE"""),"")</f>
        <v/>
      </c>
      <c r="L856" s="5" t="str">
        <f>IFERROR(__xludf.DUMMYFUNCTION("""COMPUTED_VALUE"""),"")</f>
        <v/>
      </c>
      <c r="M856" s="5" t="str">
        <f>IFERROR(__xludf.DUMMYFUNCTION("""COMPUTED_VALUE"""),"")</f>
        <v/>
      </c>
      <c r="N856" s="5" t="str">
        <f>IFERROR(__xludf.DUMMYFUNCTION("""COMPUTED_VALUE"""),"")</f>
        <v/>
      </c>
      <c r="O856" s="5" t="str">
        <f>IFERROR(__xludf.DUMMYFUNCTION("""COMPUTED_VALUE"""),"")</f>
        <v/>
      </c>
      <c r="P856" s="5" t="str">
        <f>IFERROR(__xludf.DUMMYFUNCTION("""COMPUTED_VALUE"""),"")</f>
        <v/>
      </c>
      <c r="Q856" s="5" t="str">
        <f>IFERROR(__xludf.DUMMYFUNCTION("""COMPUTED_VALUE"""),"")</f>
        <v/>
      </c>
      <c r="R856" s="5" t="str">
        <f>IFERROR(__xludf.DUMMYFUNCTION("""COMPUTED_VALUE"""),"")</f>
        <v/>
      </c>
      <c r="S856" s="5" t="str">
        <f>IFERROR(__xludf.DUMMYFUNCTION("""COMPUTED_VALUE"""),"")</f>
        <v/>
      </c>
      <c r="T856" s="5" t="str">
        <f>IFERROR(__xludf.DUMMYFUNCTION("""COMPUTED_VALUE"""),"")</f>
        <v/>
      </c>
      <c r="U856" s="5" t="str">
        <f>IFERROR(__xludf.DUMMYFUNCTION("""COMPUTED_VALUE"""),"")</f>
        <v/>
      </c>
      <c r="V856" s="5" t="str">
        <f>IFERROR(__xludf.DUMMYFUNCTION("""COMPUTED_VALUE"""),"")</f>
        <v/>
      </c>
      <c r="W856" s="5" t="str">
        <f>IFERROR(__xludf.DUMMYFUNCTION("""COMPUTED_VALUE"""),"")</f>
        <v/>
      </c>
      <c r="X856" s="5" t="str">
        <f>IFERROR(__xludf.DUMMYFUNCTION("""COMPUTED_VALUE"""),"")</f>
        <v/>
      </c>
      <c r="Y856" s="5"/>
      <c r="Z856" s="5"/>
    </row>
    <row r="857">
      <c r="A857" s="5"/>
      <c r="B857" s="5" t="str">
        <f>IFERROR(__xludf.DUMMYFUNCTION("""COMPUTED_VALUE"""),"")</f>
        <v/>
      </c>
      <c r="C857" s="5" t="str">
        <f>IFERROR(__xludf.DUMMYFUNCTION("""COMPUTED_VALUE"""),"")</f>
        <v/>
      </c>
      <c r="D857" s="5" t="str">
        <f>IFERROR(__xludf.DUMMYFUNCTION("""COMPUTED_VALUE"""),"")</f>
        <v/>
      </c>
      <c r="E857" s="5" t="str">
        <f>IFERROR(__xludf.DUMMYFUNCTION("""COMPUTED_VALUE"""),"")</f>
        <v/>
      </c>
      <c r="F857" s="5" t="str">
        <f>IFERROR(__xludf.DUMMYFUNCTION("""COMPUTED_VALUE"""),"")</f>
        <v/>
      </c>
      <c r="G857" s="5" t="str">
        <f>IFERROR(__xludf.DUMMYFUNCTION("""COMPUTED_VALUE"""),"")</f>
        <v/>
      </c>
      <c r="H857" s="5" t="str">
        <f>IFERROR(__xludf.DUMMYFUNCTION("""COMPUTED_VALUE"""),"")</f>
        <v/>
      </c>
      <c r="I857" s="5" t="str">
        <f>IFERROR(__xludf.DUMMYFUNCTION("""COMPUTED_VALUE"""),"")</f>
        <v/>
      </c>
      <c r="J857" s="5" t="str">
        <f>IFERROR(__xludf.DUMMYFUNCTION("""COMPUTED_VALUE"""),"")</f>
        <v/>
      </c>
      <c r="K857" s="5" t="str">
        <f>IFERROR(__xludf.DUMMYFUNCTION("""COMPUTED_VALUE"""),"")</f>
        <v/>
      </c>
      <c r="L857" s="5" t="str">
        <f>IFERROR(__xludf.DUMMYFUNCTION("""COMPUTED_VALUE"""),"")</f>
        <v/>
      </c>
      <c r="M857" s="5" t="str">
        <f>IFERROR(__xludf.DUMMYFUNCTION("""COMPUTED_VALUE"""),"")</f>
        <v/>
      </c>
      <c r="N857" s="5" t="str">
        <f>IFERROR(__xludf.DUMMYFUNCTION("""COMPUTED_VALUE"""),"")</f>
        <v/>
      </c>
      <c r="O857" s="5" t="str">
        <f>IFERROR(__xludf.DUMMYFUNCTION("""COMPUTED_VALUE"""),"")</f>
        <v/>
      </c>
      <c r="P857" s="5" t="str">
        <f>IFERROR(__xludf.DUMMYFUNCTION("""COMPUTED_VALUE"""),"")</f>
        <v/>
      </c>
      <c r="Q857" s="5" t="str">
        <f>IFERROR(__xludf.DUMMYFUNCTION("""COMPUTED_VALUE"""),"")</f>
        <v/>
      </c>
      <c r="R857" s="5" t="str">
        <f>IFERROR(__xludf.DUMMYFUNCTION("""COMPUTED_VALUE"""),"")</f>
        <v/>
      </c>
      <c r="S857" s="5" t="str">
        <f>IFERROR(__xludf.DUMMYFUNCTION("""COMPUTED_VALUE"""),"")</f>
        <v/>
      </c>
      <c r="T857" s="5" t="str">
        <f>IFERROR(__xludf.DUMMYFUNCTION("""COMPUTED_VALUE"""),"")</f>
        <v/>
      </c>
      <c r="U857" s="5" t="str">
        <f>IFERROR(__xludf.DUMMYFUNCTION("""COMPUTED_VALUE"""),"")</f>
        <v/>
      </c>
      <c r="V857" s="5" t="str">
        <f>IFERROR(__xludf.DUMMYFUNCTION("""COMPUTED_VALUE"""),"")</f>
        <v/>
      </c>
      <c r="W857" s="5" t="str">
        <f>IFERROR(__xludf.DUMMYFUNCTION("""COMPUTED_VALUE"""),"")</f>
        <v/>
      </c>
      <c r="X857" s="5" t="str">
        <f>IFERROR(__xludf.DUMMYFUNCTION("""COMPUTED_VALUE"""),"")</f>
        <v/>
      </c>
      <c r="Y857" s="5"/>
      <c r="Z857" s="5"/>
    </row>
    <row r="858">
      <c r="A858" s="5"/>
      <c r="B858" s="5" t="str">
        <f>IFERROR(__xludf.DUMMYFUNCTION("""COMPUTED_VALUE"""),"")</f>
        <v/>
      </c>
      <c r="C858" s="5" t="str">
        <f>IFERROR(__xludf.DUMMYFUNCTION("""COMPUTED_VALUE"""),"")</f>
        <v/>
      </c>
      <c r="D858" s="5" t="str">
        <f>IFERROR(__xludf.DUMMYFUNCTION("""COMPUTED_VALUE"""),"")</f>
        <v/>
      </c>
      <c r="E858" s="5" t="str">
        <f>IFERROR(__xludf.DUMMYFUNCTION("""COMPUTED_VALUE"""),"")</f>
        <v/>
      </c>
      <c r="F858" s="5" t="str">
        <f>IFERROR(__xludf.DUMMYFUNCTION("""COMPUTED_VALUE"""),"")</f>
        <v/>
      </c>
      <c r="G858" s="5" t="str">
        <f>IFERROR(__xludf.DUMMYFUNCTION("""COMPUTED_VALUE"""),"")</f>
        <v/>
      </c>
      <c r="H858" s="5" t="str">
        <f>IFERROR(__xludf.DUMMYFUNCTION("""COMPUTED_VALUE"""),"")</f>
        <v/>
      </c>
      <c r="I858" s="5" t="str">
        <f>IFERROR(__xludf.DUMMYFUNCTION("""COMPUTED_VALUE"""),"")</f>
        <v/>
      </c>
      <c r="J858" s="5" t="str">
        <f>IFERROR(__xludf.DUMMYFUNCTION("""COMPUTED_VALUE"""),"")</f>
        <v/>
      </c>
      <c r="K858" s="5" t="str">
        <f>IFERROR(__xludf.DUMMYFUNCTION("""COMPUTED_VALUE"""),"")</f>
        <v/>
      </c>
      <c r="L858" s="5" t="str">
        <f>IFERROR(__xludf.DUMMYFUNCTION("""COMPUTED_VALUE"""),"")</f>
        <v/>
      </c>
      <c r="M858" s="5" t="str">
        <f>IFERROR(__xludf.DUMMYFUNCTION("""COMPUTED_VALUE"""),"")</f>
        <v/>
      </c>
      <c r="N858" s="5" t="str">
        <f>IFERROR(__xludf.DUMMYFUNCTION("""COMPUTED_VALUE"""),"")</f>
        <v/>
      </c>
      <c r="O858" s="5" t="str">
        <f>IFERROR(__xludf.DUMMYFUNCTION("""COMPUTED_VALUE"""),"")</f>
        <v/>
      </c>
      <c r="P858" s="5" t="str">
        <f>IFERROR(__xludf.DUMMYFUNCTION("""COMPUTED_VALUE"""),"")</f>
        <v/>
      </c>
      <c r="Q858" s="5" t="str">
        <f>IFERROR(__xludf.DUMMYFUNCTION("""COMPUTED_VALUE"""),"")</f>
        <v/>
      </c>
      <c r="R858" s="5" t="str">
        <f>IFERROR(__xludf.DUMMYFUNCTION("""COMPUTED_VALUE"""),"")</f>
        <v/>
      </c>
      <c r="S858" s="5" t="str">
        <f>IFERROR(__xludf.DUMMYFUNCTION("""COMPUTED_VALUE"""),"")</f>
        <v/>
      </c>
      <c r="T858" s="5" t="str">
        <f>IFERROR(__xludf.DUMMYFUNCTION("""COMPUTED_VALUE"""),"")</f>
        <v/>
      </c>
      <c r="U858" s="5" t="str">
        <f>IFERROR(__xludf.DUMMYFUNCTION("""COMPUTED_VALUE"""),"")</f>
        <v/>
      </c>
      <c r="V858" s="5" t="str">
        <f>IFERROR(__xludf.DUMMYFUNCTION("""COMPUTED_VALUE"""),"")</f>
        <v/>
      </c>
      <c r="W858" s="5" t="str">
        <f>IFERROR(__xludf.DUMMYFUNCTION("""COMPUTED_VALUE"""),"")</f>
        <v/>
      </c>
      <c r="X858" s="5" t="str">
        <f>IFERROR(__xludf.DUMMYFUNCTION("""COMPUTED_VALUE"""),"")</f>
        <v/>
      </c>
      <c r="Y858" s="5"/>
      <c r="Z858" s="5"/>
    </row>
    <row r="859">
      <c r="A859" s="5"/>
      <c r="B859" s="5" t="str">
        <f>IFERROR(__xludf.DUMMYFUNCTION("""COMPUTED_VALUE"""),"")</f>
        <v/>
      </c>
      <c r="C859" s="5" t="str">
        <f>IFERROR(__xludf.DUMMYFUNCTION("""COMPUTED_VALUE"""),"")</f>
        <v/>
      </c>
      <c r="D859" s="5" t="str">
        <f>IFERROR(__xludf.DUMMYFUNCTION("""COMPUTED_VALUE"""),"")</f>
        <v/>
      </c>
      <c r="E859" s="5" t="str">
        <f>IFERROR(__xludf.DUMMYFUNCTION("""COMPUTED_VALUE"""),"")</f>
        <v/>
      </c>
      <c r="F859" s="5" t="str">
        <f>IFERROR(__xludf.DUMMYFUNCTION("""COMPUTED_VALUE"""),"")</f>
        <v/>
      </c>
      <c r="G859" s="5" t="str">
        <f>IFERROR(__xludf.DUMMYFUNCTION("""COMPUTED_VALUE"""),"")</f>
        <v/>
      </c>
      <c r="H859" s="5" t="str">
        <f>IFERROR(__xludf.DUMMYFUNCTION("""COMPUTED_VALUE"""),"")</f>
        <v/>
      </c>
      <c r="I859" s="5" t="str">
        <f>IFERROR(__xludf.DUMMYFUNCTION("""COMPUTED_VALUE"""),"")</f>
        <v/>
      </c>
      <c r="J859" s="5" t="str">
        <f>IFERROR(__xludf.DUMMYFUNCTION("""COMPUTED_VALUE"""),"")</f>
        <v/>
      </c>
      <c r="K859" s="5" t="str">
        <f>IFERROR(__xludf.DUMMYFUNCTION("""COMPUTED_VALUE"""),"")</f>
        <v/>
      </c>
      <c r="L859" s="5" t="str">
        <f>IFERROR(__xludf.DUMMYFUNCTION("""COMPUTED_VALUE"""),"")</f>
        <v/>
      </c>
      <c r="M859" s="5" t="str">
        <f>IFERROR(__xludf.DUMMYFUNCTION("""COMPUTED_VALUE"""),"")</f>
        <v/>
      </c>
      <c r="N859" s="5" t="str">
        <f>IFERROR(__xludf.DUMMYFUNCTION("""COMPUTED_VALUE"""),"")</f>
        <v/>
      </c>
      <c r="O859" s="5" t="str">
        <f>IFERROR(__xludf.DUMMYFUNCTION("""COMPUTED_VALUE"""),"")</f>
        <v/>
      </c>
      <c r="P859" s="5" t="str">
        <f>IFERROR(__xludf.DUMMYFUNCTION("""COMPUTED_VALUE"""),"")</f>
        <v/>
      </c>
      <c r="Q859" s="5" t="str">
        <f>IFERROR(__xludf.DUMMYFUNCTION("""COMPUTED_VALUE"""),"")</f>
        <v/>
      </c>
      <c r="R859" s="5" t="str">
        <f>IFERROR(__xludf.DUMMYFUNCTION("""COMPUTED_VALUE"""),"")</f>
        <v/>
      </c>
      <c r="S859" s="5" t="str">
        <f>IFERROR(__xludf.DUMMYFUNCTION("""COMPUTED_VALUE"""),"")</f>
        <v/>
      </c>
      <c r="T859" s="5" t="str">
        <f>IFERROR(__xludf.DUMMYFUNCTION("""COMPUTED_VALUE"""),"")</f>
        <v/>
      </c>
      <c r="U859" s="5" t="str">
        <f>IFERROR(__xludf.DUMMYFUNCTION("""COMPUTED_VALUE"""),"")</f>
        <v/>
      </c>
      <c r="V859" s="5" t="str">
        <f>IFERROR(__xludf.DUMMYFUNCTION("""COMPUTED_VALUE"""),"")</f>
        <v/>
      </c>
      <c r="W859" s="5" t="str">
        <f>IFERROR(__xludf.DUMMYFUNCTION("""COMPUTED_VALUE"""),"")</f>
        <v/>
      </c>
      <c r="X859" s="5" t="str">
        <f>IFERROR(__xludf.DUMMYFUNCTION("""COMPUTED_VALUE"""),"")</f>
        <v/>
      </c>
      <c r="Y859" s="5"/>
      <c r="Z859" s="5"/>
    </row>
    <row r="860">
      <c r="A860" s="5"/>
      <c r="B860" s="5" t="str">
        <f>IFERROR(__xludf.DUMMYFUNCTION("""COMPUTED_VALUE"""),"")</f>
        <v/>
      </c>
      <c r="C860" s="5" t="str">
        <f>IFERROR(__xludf.DUMMYFUNCTION("""COMPUTED_VALUE"""),"")</f>
        <v/>
      </c>
      <c r="D860" s="5" t="str">
        <f>IFERROR(__xludf.DUMMYFUNCTION("""COMPUTED_VALUE"""),"")</f>
        <v/>
      </c>
      <c r="E860" s="5" t="str">
        <f>IFERROR(__xludf.DUMMYFUNCTION("""COMPUTED_VALUE"""),"")</f>
        <v/>
      </c>
      <c r="F860" s="5" t="str">
        <f>IFERROR(__xludf.DUMMYFUNCTION("""COMPUTED_VALUE"""),"")</f>
        <v/>
      </c>
      <c r="G860" s="5" t="str">
        <f>IFERROR(__xludf.DUMMYFUNCTION("""COMPUTED_VALUE"""),"")</f>
        <v/>
      </c>
      <c r="H860" s="5" t="str">
        <f>IFERROR(__xludf.DUMMYFUNCTION("""COMPUTED_VALUE"""),"")</f>
        <v/>
      </c>
      <c r="I860" s="5" t="str">
        <f>IFERROR(__xludf.DUMMYFUNCTION("""COMPUTED_VALUE"""),"")</f>
        <v/>
      </c>
      <c r="J860" s="5" t="str">
        <f>IFERROR(__xludf.DUMMYFUNCTION("""COMPUTED_VALUE"""),"")</f>
        <v/>
      </c>
      <c r="K860" s="5" t="str">
        <f>IFERROR(__xludf.DUMMYFUNCTION("""COMPUTED_VALUE"""),"")</f>
        <v/>
      </c>
      <c r="L860" s="5" t="str">
        <f>IFERROR(__xludf.DUMMYFUNCTION("""COMPUTED_VALUE"""),"")</f>
        <v/>
      </c>
      <c r="M860" s="5" t="str">
        <f>IFERROR(__xludf.DUMMYFUNCTION("""COMPUTED_VALUE"""),"")</f>
        <v/>
      </c>
      <c r="N860" s="5" t="str">
        <f>IFERROR(__xludf.DUMMYFUNCTION("""COMPUTED_VALUE"""),"")</f>
        <v/>
      </c>
      <c r="O860" s="5" t="str">
        <f>IFERROR(__xludf.DUMMYFUNCTION("""COMPUTED_VALUE"""),"")</f>
        <v/>
      </c>
      <c r="P860" s="5" t="str">
        <f>IFERROR(__xludf.DUMMYFUNCTION("""COMPUTED_VALUE"""),"")</f>
        <v/>
      </c>
      <c r="Q860" s="5" t="str">
        <f>IFERROR(__xludf.DUMMYFUNCTION("""COMPUTED_VALUE"""),"")</f>
        <v/>
      </c>
      <c r="R860" s="5" t="str">
        <f>IFERROR(__xludf.DUMMYFUNCTION("""COMPUTED_VALUE"""),"")</f>
        <v/>
      </c>
      <c r="S860" s="5" t="str">
        <f>IFERROR(__xludf.DUMMYFUNCTION("""COMPUTED_VALUE"""),"")</f>
        <v/>
      </c>
      <c r="T860" s="5" t="str">
        <f>IFERROR(__xludf.DUMMYFUNCTION("""COMPUTED_VALUE"""),"")</f>
        <v/>
      </c>
      <c r="U860" s="5" t="str">
        <f>IFERROR(__xludf.DUMMYFUNCTION("""COMPUTED_VALUE"""),"")</f>
        <v/>
      </c>
      <c r="V860" s="5" t="str">
        <f>IFERROR(__xludf.DUMMYFUNCTION("""COMPUTED_VALUE"""),"")</f>
        <v/>
      </c>
      <c r="W860" s="5" t="str">
        <f>IFERROR(__xludf.DUMMYFUNCTION("""COMPUTED_VALUE"""),"")</f>
        <v/>
      </c>
      <c r="X860" s="5" t="str">
        <f>IFERROR(__xludf.DUMMYFUNCTION("""COMPUTED_VALUE"""),"")</f>
        <v/>
      </c>
      <c r="Y860" s="5"/>
      <c r="Z860" s="5"/>
    </row>
    <row r="861">
      <c r="A861" s="5"/>
      <c r="B861" s="5" t="str">
        <f>IFERROR(__xludf.DUMMYFUNCTION("""COMPUTED_VALUE"""),"")</f>
        <v/>
      </c>
      <c r="C861" s="5" t="str">
        <f>IFERROR(__xludf.DUMMYFUNCTION("""COMPUTED_VALUE"""),"")</f>
        <v/>
      </c>
      <c r="D861" s="5" t="str">
        <f>IFERROR(__xludf.DUMMYFUNCTION("""COMPUTED_VALUE"""),"")</f>
        <v/>
      </c>
      <c r="E861" s="5" t="str">
        <f>IFERROR(__xludf.DUMMYFUNCTION("""COMPUTED_VALUE"""),"")</f>
        <v/>
      </c>
      <c r="F861" s="5" t="str">
        <f>IFERROR(__xludf.DUMMYFUNCTION("""COMPUTED_VALUE"""),"")</f>
        <v/>
      </c>
      <c r="G861" s="5" t="str">
        <f>IFERROR(__xludf.DUMMYFUNCTION("""COMPUTED_VALUE"""),"")</f>
        <v/>
      </c>
      <c r="H861" s="5" t="str">
        <f>IFERROR(__xludf.DUMMYFUNCTION("""COMPUTED_VALUE"""),"")</f>
        <v/>
      </c>
      <c r="I861" s="5" t="str">
        <f>IFERROR(__xludf.DUMMYFUNCTION("""COMPUTED_VALUE"""),"")</f>
        <v/>
      </c>
      <c r="J861" s="5" t="str">
        <f>IFERROR(__xludf.DUMMYFUNCTION("""COMPUTED_VALUE"""),"")</f>
        <v/>
      </c>
      <c r="K861" s="5" t="str">
        <f>IFERROR(__xludf.DUMMYFUNCTION("""COMPUTED_VALUE"""),"")</f>
        <v/>
      </c>
      <c r="L861" s="5" t="str">
        <f>IFERROR(__xludf.DUMMYFUNCTION("""COMPUTED_VALUE"""),"")</f>
        <v/>
      </c>
      <c r="M861" s="5" t="str">
        <f>IFERROR(__xludf.DUMMYFUNCTION("""COMPUTED_VALUE"""),"")</f>
        <v/>
      </c>
      <c r="N861" s="5" t="str">
        <f>IFERROR(__xludf.DUMMYFUNCTION("""COMPUTED_VALUE"""),"")</f>
        <v/>
      </c>
      <c r="O861" s="5" t="str">
        <f>IFERROR(__xludf.DUMMYFUNCTION("""COMPUTED_VALUE"""),"")</f>
        <v/>
      </c>
      <c r="P861" s="5" t="str">
        <f>IFERROR(__xludf.DUMMYFUNCTION("""COMPUTED_VALUE"""),"")</f>
        <v/>
      </c>
      <c r="Q861" s="5" t="str">
        <f>IFERROR(__xludf.DUMMYFUNCTION("""COMPUTED_VALUE"""),"")</f>
        <v/>
      </c>
      <c r="R861" s="5" t="str">
        <f>IFERROR(__xludf.DUMMYFUNCTION("""COMPUTED_VALUE"""),"")</f>
        <v/>
      </c>
      <c r="S861" s="5" t="str">
        <f>IFERROR(__xludf.DUMMYFUNCTION("""COMPUTED_VALUE"""),"")</f>
        <v/>
      </c>
      <c r="T861" s="5" t="str">
        <f>IFERROR(__xludf.DUMMYFUNCTION("""COMPUTED_VALUE"""),"")</f>
        <v/>
      </c>
      <c r="U861" s="5" t="str">
        <f>IFERROR(__xludf.DUMMYFUNCTION("""COMPUTED_VALUE"""),"")</f>
        <v/>
      </c>
      <c r="V861" s="5" t="str">
        <f>IFERROR(__xludf.DUMMYFUNCTION("""COMPUTED_VALUE"""),"")</f>
        <v/>
      </c>
      <c r="W861" s="5" t="str">
        <f>IFERROR(__xludf.DUMMYFUNCTION("""COMPUTED_VALUE"""),"")</f>
        <v/>
      </c>
      <c r="X861" s="5" t="str">
        <f>IFERROR(__xludf.DUMMYFUNCTION("""COMPUTED_VALUE"""),"")</f>
        <v/>
      </c>
      <c r="Y861" s="5"/>
      <c r="Z861" s="5"/>
    </row>
    <row r="862">
      <c r="A862" s="5"/>
      <c r="B862" s="5" t="str">
        <f>IFERROR(__xludf.DUMMYFUNCTION("""COMPUTED_VALUE"""),"")</f>
        <v/>
      </c>
      <c r="C862" s="5" t="str">
        <f>IFERROR(__xludf.DUMMYFUNCTION("""COMPUTED_VALUE"""),"")</f>
        <v/>
      </c>
      <c r="D862" s="5" t="str">
        <f>IFERROR(__xludf.DUMMYFUNCTION("""COMPUTED_VALUE"""),"")</f>
        <v/>
      </c>
      <c r="E862" s="5" t="str">
        <f>IFERROR(__xludf.DUMMYFUNCTION("""COMPUTED_VALUE"""),"")</f>
        <v/>
      </c>
      <c r="F862" s="5" t="str">
        <f>IFERROR(__xludf.DUMMYFUNCTION("""COMPUTED_VALUE"""),"")</f>
        <v/>
      </c>
      <c r="G862" s="5" t="str">
        <f>IFERROR(__xludf.DUMMYFUNCTION("""COMPUTED_VALUE"""),"")</f>
        <v/>
      </c>
      <c r="H862" s="5" t="str">
        <f>IFERROR(__xludf.DUMMYFUNCTION("""COMPUTED_VALUE"""),"")</f>
        <v/>
      </c>
      <c r="I862" s="5" t="str">
        <f>IFERROR(__xludf.DUMMYFUNCTION("""COMPUTED_VALUE"""),"")</f>
        <v/>
      </c>
      <c r="J862" s="5" t="str">
        <f>IFERROR(__xludf.DUMMYFUNCTION("""COMPUTED_VALUE"""),"")</f>
        <v/>
      </c>
      <c r="K862" s="5" t="str">
        <f>IFERROR(__xludf.DUMMYFUNCTION("""COMPUTED_VALUE"""),"")</f>
        <v/>
      </c>
      <c r="L862" s="5" t="str">
        <f>IFERROR(__xludf.DUMMYFUNCTION("""COMPUTED_VALUE"""),"")</f>
        <v/>
      </c>
      <c r="M862" s="5" t="str">
        <f>IFERROR(__xludf.DUMMYFUNCTION("""COMPUTED_VALUE"""),"")</f>
        <v/>
      </c>
      <c r="N862" s="5" t="str">
        <f>IFERROR(__xludf.DUMMYFUNCTION("""COMPUTED_VALUE"""),"")</f>
        <v/>
      </c>
      <c r="O862" s="5" t="str">
        <f>IFERROR(__xludf.DUMMYFUNCTION("""COMPUTED_VALUE"""),"")</f>
        <v/>
      </c>
      <c r="P862" s="5" t="str">
        <f>IFERROR(__xludf.DUMMYFUNCTION("""COMPUTED_VALUE"""),"")</f>
        <v/>
      </c>
      <c r="Q862" s="5" t="str">
        <f>IFERROR(__xludf.DUMMYFUNCTION("""COMPUTED_VALUE"""),"")</f>
        <v/>
      </c>
      <c r="R862" s="5" t="str">
        <f>IFERROR(__xludf.DUMMYFUNCTION("""COMPUTED_VALUE"""),"")</f>
        <v/>
      </c>
      <c r="S862" s="5" t="str">
        <f>IFERROR(__xludf.DUMMYFUNCTION("""COMPUTED_VALUE"""),"")</f>
        <v/>
      </c>
      <c r="T862" s="5" t="str">
        <f>IFERROR(__xludf.DUMMYFUNCTION("""COMPUTED_VALUE"""),"")</f>
        <v/>
      </c>
      <c r="U862" s="5" t="str">
        <f>IFERROR(__xludf.DUMMYFUNCTION("""COMPUTED_VALUE"""),"")</f>
        <v/>
      </c>
      <c r="V862" s="5" t="str">
        <f>IFERROR(__xludf.DUMMYFUNCTION("""COMPUTED_VALUE"""),"")</f>
        <v/>
      </c>
      <c r="W862" s="5" t="str">
        <f>IFERROR(__xludf.DUMMYFUNCTION("""COMPUTED_VALUE"""),"")</f>
        <v/>
      </c>
      <c r="X862" s="5" t="str">
        <f>IFERROR(__xludf.DUMMYFUNCTION("""COMPUTED_VALUE"""),"")</f>
        <v/>
      </c>
      <c r="Y862" s="5"/>
      <c r="Z862" s="5"/>
    </row>
    <row r="863">
      <c r="A863" s="5"/>
      <c r="B863" s="5" t="str">
        <f>IFERROR(__xludf.DUMMYFUNCTION("""COMPUTED_VALUE"""),"")</f>
        <v/>
      </c>
      <c r="C863" s="5" t="str">
        <f>IFERROR(__xludf.DUMMYFUNCTION("""COMPUTED_VALUE"""),"")</f>
        <v/>
      </c>
      <c r="D863" s="5" t="str">
        <f>IFERROR(__xludf.DUMMYFUNCTION("""COMPUTED_VALUE"""),"")</f>
        <v/>
      </c>
      <c r="E863" s="5" t="str">
        <f>IFERROR(__xludf.DUMMYFUNCTION("""COMPUTED_VALUE"""),"")</f>
        <v/>
      </c>
      <c r="F863" s="5" t="str">
        <f>IFERROR(__xludf.DUMMYFUNCTION("""COMPUTED_VALUE"""),"")</f>
        <v/>
      </c>
      <c r="G863" s="5" t="str">
        <f>IFERROR(__xludf.DUMMYFUNCTION("""COMPUTED_VALUE"""),"")</f>
        <v/>
      </c>
      <c r="H863" s="5" t="str">
        <f>IFERROR(__xludf.DUMMYFUNCTION("""COMPUTED_VALUE"""),"")</f>
        <v/>
      </c>
      <c r="I863" s="5" t="str">
        <f>IFERROR(__xludf.DUMMYFUNCTION("""COMPUTED_VALUE"""),"")</f>
        <v/>
      </c>
      <c r="J863" s="5" t="str">
        <f>IFERROR(__xludf.DUMMYFUNCTION("""COMPUTED_VALUE"""),"")</f>
        <v/>
      </c>
      <c r="K863" s="5" t="str">
        <f>IFERROR(__xludf.DUMMYFUNCTION("""COMPUTED_VALUE"""),"")</f>
        <v/>
      </c>
      <c r="L863" s="5" t="str">
        <f>IFERROR(__xludf.DUMMYFUNCTION("""COMPUTED_VALUE"""),"")</f>
        <v/>
      </c>
      <c r="M863" s="5" t="str">
        <f>IFERROR(__xludf.DUMMYFUNCTION("""COMPUTED_VALUE"""),"")</f>
        <v/>
      </c>
      <c r="N863" s="5" t="str">
        <f>IFERROR(__xludf.DUMMYFUNCTION("""COMPUTED_VALUE"""),"")</f>
        <v/>
      </c>
      <c r="O863" s="5" t="str">
        <f>IFERROR(__xludf.DUMMYFUNCTION("""COMPUTED_VALUE"""),"")</f>
        <v/>
      </c>
      <c r="P863" s="5" t="str">
        <f>IFERROR(__xludf.DUMMYFUNCTION("""COMPUTED_VALUE"""),"")</f>
        <v/>
      </c>
      <c r="Q863" s="5" t="str">
        <f>IFERROR(__xludf.DUMMYFUNCTION("""COMPUTED_VALUE"""),"")</f>
        <v/>
      </c>
      <c r="R863" s="5" t="str">
        <f>IFERROR(__xludf.DUMMYFUNCTION("""COMPUTED_VALUE"""),"")</f>
        <v/>
      </c>
      <c r="S863" s="5" t="str">
        <f>IFERROR(__xludf.DUMMYFUNCTION("""COMPUTED_VALUE"""),"")</f>
        <v/>
      </c>
      <c r="T863" s="5" t="str">
        <f>IFERROR(__xludf.DUMMYFUNCTION("""COMPUTED_VALUE"""),"")</f>
        <v/>
      </c>
      <c r="U863" s="5" t="str">
        <f>IFERROR(__xludf.DUMMYFUNCTION("""COMPUTED_VALUE"""),"")</f>
        <v/>
      </c>
      <c r="V863" s="5" t="str">
        <f>IFERROR(__xludf.DUMMYFUNCTION("""COMPUTED_VALUE"""),"")</f>
        <v/>
      </c>
      <c r="W863" s="5" t="str">
        <f>IFERROR(__xludf.DUMMYFUNCTION("""COMPUTED_VALUE"""),"")</f>
        <v/>
      </c>
      <c r="X863" s="5" t="str">
        <f>IFERROR(__xludf.DUMMYFUNCTION("""COMPUTED_VALUE"""),"")</f>
        <v/>
      </c>
      <c r="Y863" s="5"/>
      <c r="Z863" s="5"/>
    </row>
    <row r="864">
      <c r="A864" s="5"/>
      <c r="B864" s="5" t="str">
        <f>IFERROR(__xludf.DUMMYFUNCTION("""COMPUTED_VALUE"""),"")</f>
        <v/>
      </c>
      <c r="C864" s="5" t="str">
        <f>IFERROR(__xludf.DUMMYFUNCTION("""COMPUTED_VALUE"""),"")</f>
        <v/>
      </c>
      <c r="D864" s="5" t="str">
        <f>IFERROR(__xludf.DUMMYFUNCTION("""COMPUTED_VALUE"""),"")</f>
        <v/>
      </c>
      <c r="E864" s="5" t="str">
        <f>IFERROR(__xludf.DUMMYFUNCTION("""COMPUTED_VALUE"""),"")</f>
        <v/>
      </c>
      <c r="F864" s="5" t="str">
        <f>IFERROR(__xludf.DUMMYFUNCTION("""COMPUTED_VALUE"""),"")</f>
        <v/>
      </c>
      <c r="G864" s="5" t="str">
        <f>IFERROR(__xludf.DUMMYFUNCTION("""COMPUTED_VALUE"""),"")</f>
        <v/>
      </c>
      <c r="H864" s="5" t="str">
        <f>IFERROR(__xludf.DUMMYFUNCTION("""COMPUTED_VALUE"""),"")</f>
        <v/>
      </c>
      <c r="I864" s="5" t="str">
        <f>IFERROR(__xludf.DUMMYFUNCTION("""COMPUTED_VALUE"""),"")</f>
        <v/>
      </c>
      <c r="J864" s="5" t="str">
        <f>IFERROR(__xludf.DUMMYFUNCTION("""COMPUTED_VALUE"""),"")</f>
        <v/>
      </c>
      <c r="K864" s="5" t="str">
        <f>IFERROR(__xludf.DUMMYFUNCTION("""COMPUTED_VALUE"""),"")</f>
        <v/>
      </c>
      <c r="L864" s="5" t="str">
        <f>IFERROR(__xludf.DUMMYFUNCTION("""COMPUTED_VALUE"""),"")</f>
        <v/>
      </c>
      <c r="M864" s="5" t="str">
        <f>IFERROR(__xludf.DUMMYFUNCTION("""COMPUTED_VALUE"""),"")</f>
        <v/>
      </c>
      <c r="N864" s="5" t="str">
        <f>IFERROR(__xludf.DUMMYFUNCTION("""COMPUTED_VALUE"""),"")</f>
        <v/>
      </c>
      <c r="O864" s="5" t="str">
        <f>IFERROR(__xludf.DUMMYFUNCTION("""COMPUTED_VALUE"""),"")</f>
        <v/>
      </c>
      <c r="P864" s="5" t="str">
        <f>IFERROR(__xludf.DUMMYFUNCTION("""COMPUTED_VALUE"""),"")</f>
        <v/>
      </c>
      <c r="Q864" s="5" t="str">
        <f>IFERROR(__xludf.DUMMYFUNCTION("""COMPUTED_VALUE"""),"")</f>
        <v/>
      </c>
      <c r="R864" s="5" t="str">
        <f>IFERROR(__xludf.DUMMYFUNCTION("""COMPUTED_VALUE"""),"")</f>
        <v/>
      </c>
      <c r="S864" s="5" t="str">
        <f>IFERROR(__xludf.DUMMYFUNCTION("""COMPUTED_VALUE"""),"")</f>
        <v/>
      </c>
      <c r="T864" s="5" t="str">
        <f>IFERROR(__xludf.DUMMYFUNCTION("""COMPUTED_VALUE"""),"")</f>
        <v/>
      </c>
      <c r="U864" s="5" t="str">
        <f>IFERROR(__xludf.DUMMYFUNCTION("""COMPUTED_VALUE"""),"")</f>
        <v/>
      </c>
      <c r="V864" s="5" t="str">
        <f>IFERROR(__xludf.DUMMYFUNCTION("""COMPUTED_VALUE"""),"")</f>
        <v/>
      </c>
      <c r="W864" s="5" t="str">
        <f>IFERROR(__xludf.DUMMYFUNCTION("""COMPUTED_VALUE"""),"")</f>
        <v/>
      </c>
      <c r="X864" s="5" t="str">
        <f>IFERROR(__xludf.DUMMYFUNCTION("""COMPUTED_VALUE"""),"")</f>
        <v/>
      </c>
      <c r="Y864" s="5"/>
      <c r="Z864" s="5"/>
    </row>
    <row r="865">
      <c r="A865" s="5"/>
      <c r="B865" s="5" t="str">
        <f>IFERROR(__xludf.DUMMYFUNCTION("""COMPUTED_VALUE"""),"")</f>
        <v/>
      </c>
      <c r="C865" s="5" t="str">
        <f>IFERROR(__xludf.DUMMYFUNCTION("""COMPUTED_VALUE"""),"")</f>
        <v/>
      </c>
      <c r="D865" s="5" t="str">
        <f>IFERROR(__xludf.DUMMYFUNCTION("""COMPUTED_VALUE"""),"")</f>
        <v/>
      </c>
      <c r="E865" s="5" t="str">
        <f>IFERROR(__xludf.DUMMYFUNCTION("""COMPUTED_VALUE"""),"")</f>
        <v/>
      </c>
      <c r="F865" s="5" t="str">
        <f>IFERROR(__xludf.DUMMYFUNCTION("""COMPUTED_VALUE"""),"")</f>
        <v/>
      </c>
      <c r="G865" s="5" t="str">
        <f>IFERROR(__xludf.DUMMYFUNCTION("""COMPUTED_VALUE"""),"")</f>
        <v/>
      </c>
      <c r="H865" s="5" t="str">
        <f>IFERROR(__xludf.DUMMYFUNCTION("""COMPUTED_VALUE"""),"")</f>
        <v/>
      </c>
      <c r="I865" s="5" t="str">
        <f>IFERROR(__xludf.DUMMYFUNCTION("""COMPUTED_VALUE"""),"")</f>
        <v/>
      </c>
      <c r="J865" s="5" t="str">
        <f>IFERROR(__xludf.DUMMYFUNCTION("""COMPUTED_VALUE"""),"")</f>
        <v/>
      </c>
      <c r="K865" s="5" t="str">
        <f>IFERROR(__xludf.DUMMYFUNCTION("""COMPUTED_VALUE"""),"")</f>
        <v/>
      </c>
      <c r="L865" s="5" t="str">
        <f>IFERROR(__xludf.DUMMYFUNCTION("""COMPUTED_VALUE"""),"")</f>
        <v/>
      </c>
      <c r="M865" s="5" t="str">
        <f>IFERROR(__xludf.DUMMYFUNCTION("""COMPUTED_VALUE"""),"")</f>
        <v/>
      </c>
      <c r="N865" s="5" t="str">
        <f>IFERROR(__xludf.DUMMYFUNCTION("""COMPUTED_VALUE"""),"")</f>
        <v/>
      </c>
      <c r="O865" s="5" t="str">
        <f>IFERROR(__xludf.DUMMYFUNCTION("""COMPUTED_VALUE"""),"")</f>
        <v/>
      </c>
      <c r="P865" s="5" t="str">
        <f>IFERROR(__xludf.DUMMYFUNCTION("""COMPUTED_VALUE"""),"")</f>
        <v/>
      </c>
      <c r="Q865" s="5" t="str">
        <f>IFERROR(__xludf.DUMMYFUNCTION("""COMPUTED_VALUE"""),"")</f>
        <v/>
      </c>
      <c r="R865" s="5" t="str">
        <f>IFERROR(__xludf.DUMMYFUNCTION("""COMPUTED_VALUE"""),"")</f>
        <v/>
      </c>
      <c r="S865" s="5" t="str">
        <f>IFERROR(__xludf.DUMMYFUNCTION("""COMPUTED_VALUE"""),"")</f>
        <v/>
      </c>
      <c r="T865" s="5" t="str">
        <f>IFERROR(__xludf.DUMMYFUNCTION("""COMPUTED_VALUE"""),"")</f>
        <v/>
      </c>
      <c r="U865" s="5" t="str">
        <f>IFERROR(__xludf.DUMMYFUNCTION("""COMPUTED_VALUE"""),"")</f>
        <v/>
      </c>
      <c r="V865" s="5" t="str">
        <f>IFERROR(__xludf.DUMMYFUNCTION("""COMPUTED_VALUE"""),"")</f>
        <v/>
      </c>
      <c r="W865" s="5" t="str">
        <f>IFERROR(__xludf.DUMMYFUNCTION("""COMPUTED_VALUE"""),"")</f>
        <v/>
      </c>
      <c r="X865" s="5" t="str">
        <f>IFERROR(__xludf.DUMMYFUNCTION("""COMPUTED_VALUE"""),"")</f>
        <v/>
      </c>
      <c r="Y865" s="5"/>
      <c r="Z865" s="5"/>
    </row>
    <row r="866">
      <c r="A866" s="5"/>
      <c r="B866" s="5" t="str">
        <f>IFERROR(__xludf.DUMMYFUNCTION("""COMPUTED_VALUE"""),"")</f>
        <v/>
      </c>
      <c r="C866" s="5" t="str">
        <f>IFERROR(__xludf.DUMMYFUNCTION("""COMPUTED_VALUE"""),"")</f>
        <v/>
      </c>
      <c r="D866" s="5" t="str">
        <f>IFERROR(__xludf.DUMMYFUNCTION("""COMPUTED_VALUE"""),"")</f>
        <v/>
      </c>
      <c r="E866" s="5" t="str">
        <f>IFERROR(__xludf.DUMMYFUNCTION("""COMPUTED_VALUE"""),"")</f>
        <v/>
      </c>
      <c r="F866" s="5" t="str">
        <f>IFERROR(__xludf.DUMMYFUNCTION("""COMPUTED_VALUE"""),"")</f>
        <v/>
      </c>
      <c r="G866" s="5" t="str">
        <f>IFERROR(__xludf.DUMMYFUNCTION("""COMPUTED_VALUE"""),"")</f>
        <v/>
      </c>
      <c r="H866" s="5" t="str">
        <f>IFERROR(__xludf.DUMMYFUNCTION("""COMPUTED_VALUE"""),"")</f>
        <v/>
      </c>
      <c r="I866" s="5" t="str">
        <f>IFERROR(__xludf.DUMMYFUNCTION("""COMPUTED_VALUE"""),"")</f>
        <v/>
      </c>
      <c r="J866" s="5" t="str">
        <f>IFERROR(__xludf.DUMMYFUNCTION("""COMPUTED_VALUE"""),"")</f>
        <v/>
      </c>
      <c r="K866" s="5" t="str">
        <f>IFERROR(__xludf.DUMMYFUNCTION("""COMPUTED_VALUE"""),"")</f>
        <v/>
      </c>
      <c r="L866" s="5" t="str">
        <f>IFERROR(__xludf.DUMMYFUNCTION("""COMPUTED_VALUE"""),"")</f>
        <v/>
      </c>
      <c r="M866" s="5" t="str">
        <f>IFERROR(__xludf.DUMMYFUNCTION("""COMPUTED_VALUE"""),"")</f>
        <v/>
      </c>
      <c r="N866" s="5" t="str">
        <f>IFERROR(__xludf.DUMMYFUNCTION("""COMPUTED_VALUE"""),"")</f>
        <v/>
      </c>
      <c r="O866" s="5" t="str">
        <f>IFERROR(__xludf.DUMMYFUNCTION("""COMPUTED_VALUE"""),"")</f>
        <v/>
      </c>
      <c r="P866" s="5" t="str">
        <f>IFERROR(__xludf.DUMMYFUNCTION("""COMPUTED_VALUE"""),"")</f>
        <v/>
      </c>
      <c r="Q866" s="5" t="str">
        <f>IFERROR(__xludf.DUMMYFUNCTION("""COMPUTED_VALUE"""),"")</f>
        <v/>
      </c>
      <c r="R866" s="5" t="str">
        <f>IFERROR(__xludf.DUMMYFUNCTION("""COMPUTED_VALUE"""),"")</f>
        <v/>
      </c>
      <c r="S866" s="5" t="str">
        <f>IFERROR(__xludf.DUMMYFUNCTION("""COMPUTED_VALUE"""),"")</f>
        <v/>
      </c>
      <c r="T866" s="5" t="str">
        <f>IFERROR(__xludf.DUMMYFUNCTION("""COMPUTED_VALUE"""),"")</f>
        <v/>
      </c>
      <c r="U866" s="5" t="str">
        <f>IFERROR(__xludf.DUMMYFUNCTION("""COMPUTED_VALUE"""),"")</f>
        <v/>
      </c>
      <c r="V866" s="5" t="str">
        <f>IFERROR(__xludf.DUMMYFUNCTION("""COMPUTED_VALUE"""),"")</f>
        <v/>
      </c>
      <c r="W866" s="5" t="str">
        <f>IFERROR(__xludf.DUMMYFUNCTION("""COMPUTED_VALUE"""),"")</f>
        <v/>
      </c>
      <c r="X866" s="5" t="str">
        <f>IFERROR(__xludf.DUMMYFUNCTION("""COMPUTED_VALUE"""),"")</f>
        <v/>
      </c>
      <c r="Y866" s="5"/>
      <c r="Z866" s="5"/>
    </row>
    <row r="867">
      <c r="A867" s="5"/>
      <c r="B867" s="5" t="str">
        <f>IFERROR(__xludf.DUMMYFUNCTION("""COMPUTED_VALUE"""),"")</f>
        <v/>
      </c>
      <c r="C867" s="5" t="str">
        <f>IFERROR(__xludf.DUMMYFUNCTION("""COMPUTED_VALUE"""),"")</f>
        <v/>
      </c>
      <c r="D867" s="5" t="str">
        <f>IFERROR(__xludf.DUMMYFUNCTION("""COMPUTED_VALUE"""),"")</f>
        <v/>
      </c>
      <c r="E867" s="5" t="str">
        <f>IFERROR(__xludf.DUMMYFUNCTION("""COMPUTED_VALUE"""),"")</f>
        <v/>
      </c>
      <c r="F867" s="5" t="str">
        <f>IFERROR(__xludf.DUMMYFUNCTION("""COMPUTED_VALUE"""),"")</f>
        <v/>
      </c>
      <c r="G867" s="5" t="str">
        <f>IFERROR(__xludf.DUMMYFUNCTION("""COMPUTED_VALUE"""),"")</f>
        <v/>
      </c>
      <c r="H867" s="5" t="str">
        <f>IFERROR(__xludf.DUMMYFUNCTION("""COMPUTED_VALUE"""),"")</f>
        <v/>
      </c>
      <c r="I867" s="5" t="str">
        <f>IFERROR(__xludf.DUMMYFUNCTION("""COMPUTED_VALUE"""),"")</f>
        <v/>
      </c>
      <c r="J867" s="5" t="str">
        <f>IFERROR(__xludf.DUMMYFUNCTION("""COMPUTED_VALUE"""),"")</f>
        <v/>
      </c>
      <c r="K867" s="5" t="str">
        <f>IFERROR(__xludf.DUMMYFUNCTION("""COMPUTED_VALUE"""),"")</f>
        <v/>
      </c>
      <c r="L867" s="5" t="str">
        <f>IFERROR(__xludf.DUMMYFUNCTION("""COMPUTED_VALUE"""),"")</f>
        <v/>
      </c>
      <c r="M867" s="5" t="str">
        <f>IFERROR(__xludf.DUMMYFUNCTION("""COMPUTED_VALUE"""),"")</f>
        <v/>
      </c>
      <c r="N867" s="5" t="str">
        <f>IFERROR(__xludf.DUMMYFUNCTION("""COMPUTED_VALUE"""),"")</f>
        <v/>
      </c>
      <c r="O867" s="5" t="str">
        <f>IFERROR(__xludf.DUMMYFUNCTION("""COMPUTED_VALUE"""),"")</f>
        <v/>
      </c>
      <c r="P867" s="5" t="str">
        <f>IFERROR(__xludf.DUMMYFUNCTION("""COMPUTED_VALUE"""),"")</f>
        <v/>
      </c>
      <c r="Q867" s="5" t="str">
        <f>IFERROR(__xludf.DUMMYFUNCTION("""COMPUTED_VALUE"""),"")</f>
        <v/>
      </c>
      <c r="R867" s="5" t="str">
        <f>IFERROR(__xludf.DUMMYFUNCTION("""COMPUTED_VALUE"""),"")</f>
        <v/>
      </c>
      <c r="S867" s="5" t="str">
        <f>IFERROR(__xludf.DUMMYFUNCTION("""COMPUTED_VALUE"""),"")</f>
        <v/>
      </c>
      <c r="T867" s="5" t="str">
        <f>IFERROR(__xludf.DUMMYFUNCTION("""COMPUTED_VALUE"""),"")</f>
        <v/>
      </c>
      <c r="U867" s="5" t="str">
        <f>IFERROR(__xludf.DUMMYFUNCTION("""COMPUTED_VALUE"""),"")</f>
        <v/>
      </c>
      <c r="V867" s="5" t="str">
        <f>IFERROR(__xludf.DUMMYFUNCTION("""COMPUTED_VALUE"""),"")</f>
        <v/>
      </c>
      <c r="W867" s="5" t="str">
        <f>IFERROR(__xludf.DUMMYFUNCTION("""COMPUTED_VALUE"""),"")</f>
        <v/>
      </c>
      <c r="X867" s="5" t="str">
        <f>IFERROR(__xludf.DUMMYFUNCTION("""COMPUTED_VALUE"""),"")</f>
        <v/>
      </c>
      <c r="Y867" s="5"/>
      <c r="Z867" s="5"/>
    </row>
    <row r="868">
      <c r="A868" s="5"/>
      <c r="B868" s="5" t="str">
        <f>IFERROR(__xludf.DUMMYFUNCTION("""COMPUTED_VALUE"""),"")</f>
        <v/>
      </c>
      <c r="C868" s="5" t="str">
        <f>IFERROR(__xludf.DUMMYFUNCTION("""COMPUTED_VALUE"""),"")</f>
        <v/>
      </c>
      <c r="D868" s="5" t="str">
        <f>IFERROR(__xludf.DUMMYFUNCTION("""COMPUTED_VALUE"""),"")</f>
        <v/>
      </c>
      <c r="E868" s="5" t="str">
        <f>IFERROR(__xludf.DUMMYFUNCTION("""COMPUTED_VALUE"""),"")</f>
        <v/>
      </c>
      <c r="F868" s="5" t="str">
        <f>IFERROR(__xludf.DUMMYFUNCTION("""COMPUTED_VALUE"""),"")</f>
        <v/>
      </c>
      <c r="G868" s="5" t="str">
        <f>IFERROR(__xludf.DUMMYFUNCTION("""COMPUTED_VALUE"""),"")</f>
        <v/>
      </c>
      <c r="H868" s="5" t="str">
        <f>IFERROR(__xludf.DUMMYFUNCTION("""COMPUTED_VALUE"""),"")</f>
        <v/>
      </c>
      <c r="I868" s="5" t="str">
        <f>IFERROR(__xludf.DUMMYFUNCTION("""COMPUTED_VALUE"""),"")</f>
        <v/>
      </c>
      <c r="J868" s="5" t="str">
        <f>IFERROR(__xludf.DUMMYFUNCTION("""COMPUTED_VALUE"""),"")</f>
        <v/>
      </c>
      <c r="K868" s="5" t="str">
        <f>IFERROR(__xludf.DUMMYFUNCTION("""COMPUTED_VALUE"""),"")</f>
        <v/>
      </c>
      <c r="L868" s="5" t="str">
        <f>IFERROR(__xludf.DUMMYFUNCTION("""COMPUTED_VALUE"""),"")</f>
        <v/>
      </c>
      <c r="M868" s="5" t="str">
        <f>IFERROR(__xludf.DUMMYFUNCTION("""COMPUTED_VALUE"""),"")</f>
        <v/>
      </c>
      <c r="N868" s="5" t="str">
        <f>IFERROR(__xludf.DUMMYFUNCTION("""COMPUTED_VALUE"""),"")</f>
        <v/>
      </c>
      <c r="O868" s="5" t="str">
        <f>IFERROR(__xludf.DUMMYFUNCTION("""COMPUTED_VALUE"""),"")</f>
        <v/>
      </c>
      <c r="P868" s="5" t="str">
        <f>IFERROR(__xludf.DUMMYFUNCTION("""COMPUTED_VALUE"""),"")</f>
        <v/>
      </c>
      <c r="Q868" s="5" t="str">
        <f>IFERROR(__xludf.DUMMYFUNCTION("""COMPUTED_VALUE"""),"")</f>
        <v/>
      </c>
      <c r="R868" s="5" t="str">
        <f>IFERROR(__xludf.DUMMYFUNCTION("""COMPUTED_VALUE"""),"")</f>
        <v/>
      </c>
      <c r="S868" s="5" t="str">
        <f>IFERROR(__xludf.DUMMYFUNCTION("""COMPUTED_VALUE"""),"")</f>
        <v/>
      </c>
      <c r="T868" s="5" t="str">
        <f>IFERROR(__xludf.DUMMYFUNCTION("""COMPUTED_VALUE"""),"")</f>
        <v/>
      </c>
      <c r="U868" s="5" t="str">
        <f>IFERROR(__xludf.DUMMYFUNCTION("""COMPUTED_VALUE"""),"")</f>
        <v/>
      </c>
      <c r="V868" s="5" t="str">
        <f>IFERROR(__xludf.DUMMYFUNCTION("""COMPUTED_VALUE"""),"")</f>
        <v/>
      </c>
      <c r="W868" s="5" t="str">
        <f>IFERROR(__xludf.DUMMYFUNCTION("""COMPUTED_VALUE"""),"")</f>
        <v/>
      </c>
      <c r="X868" s="5" t="str">
        <f>IFERROR(__xludf.DUMMYFUNCTION("""COMPUTED_VALUE"""),"")</f>
        <v/>
      </c>
      <c r="Y868" s="5"/>
      <c r="Z868" s="5"/>
    </row>
    <row r="869">
      <c r="A869" s="5"/>
      <c r="B869" s="5" t="str">
        <f>IFERROR(__xludf.DUMMYFUNCTION("""COMPUTED_VALUE"""),"")</f>
        <v/>
      </c>
      <c r="C869" s="5" t="str">
        <f>IFERROR(__xludf.DUMMYFUNCTION("""COMPUTED_VALUE"""),"")</f>
        <v/>
      </c>
      <c r="D869" s="5" t="str">
        <f>IFERROR(__xludf.DUMMYFUNCTION("""COMPUTED_VALUE"""),"")</f>
        <v/>
      </c>
      <c r="E869" s="5" t="str">
        <f>IFERROR(__xludf.DUMMYFUNCTION("""COMPUTED_VALUE"""),"")</f>
        <v/>
      </c>
      <c r="F869" s="5" t="str">
        <f>IFERROR(__xludf.DUMMYFUNCTION("""COMPUTED_VALUE"""),"")</f>
        <v/>
      </c>
      <c r="G869" s="5" t="str">
        <f>IFERROR(__xludf.DUMMYFUNCTION("""COMPUTED_VALUE"""),"")</f>
        <v/>
      </c>
      <c r="H869" s="5" t="str">
        <f>IFERROR(__xludf.DUMMYFUNCTION("""COMPUTED_VALUE"""),"")</f>
        <v/>
      </c>
      <c r="I869" s="5" t="str">
        <f>IFERROR(__xludf.DUMMYFUNCTION("""COMPUTED_VALUE"""),"")</f>
        <v/>
      </c>
      <c r="J869" s="5" t="str">
        <f>IFERROR(__xludf.DUMMYFUNCTION("""COMPUTED_VALUE"""),"")</f>
        <v/>
      </c>
      <c r="K869" s="5" t="str">
        <f>IFERROR(__xludf.DUMMYFUNCTION("""COMPUTED_VALUE"""),"")</f>
        <v/>
      </c>
      <c r="L869" s="5" t="str">
        <f>IFERROR(__xludf.DUMMYFUNCTION("""COMPUTED_VALUE"""),"")</f>
        <v/>
      </c>
      <c r="M869" s="5" t="str">
        <f>IFERROR(__xludf.DUMMYFUNCTION("""COMPUTED_VALUE"""),"")</f>
        <v/>
      </c>
      <c r="N869" s="5" t="str">
        <f>IFERROR(__xludf.DUMMYFUNCTION("""COMPUTED_VALUE"""),"")</f>
        <v/>
      </c>
      <c r="O869" s="5" t="str">
        <f>IFERROR(__xludf.DUMMYFUNCTION("""COMPUTED_VALUE"""),"")</f>
        <v/>
      </c>
      <c r="P869" s="5" t="str">
        <f>IFERROR(__xludf.DUMMYFUNCTION("""COMPUTED_VALUE"""),"")</f>
        <v/>
      </c>
      <c r="Q869" s="5" t="str">
        <f>IFERROR(__xludf.DUMMYFUNCTION("""COMPUTED_VALUE"""),"")</f>
        <v/>
      </c>
      <c r="R869" s="5" t="str">
        <f>IFERROR(__xludf.DUMMYFUNCTION("""COMPUTED_VALUE"""),"")</f>
        <v/>
      </c>
      <c r="S869" s="5" t="str">
        <f>IFERROR(__xludf.DUMMYFUNCTION("""COMPUTED_VALUE"""),"")</f>
        <v/>
      </c>
      <c r="T869" s="5" t="str">
        <f>IFERROR(__xludf.DUMMYFUNCTION("""COMPUTED_VALUE"""),"")</f>
        <v/>
      </c>
      <c r="U869" s="5" t="str">
        <f>IFERROR(__xludf.DUMMYFUNCTION("""COMPUTED_VALUE"""),"")</f>
        <v/>
      </c>
      <c r="V869" s="5" t="str">
        <f>IFERROR(__xludf.DUMMYFUNCTION("""COMPUTED_VALUE"""),"")</f>
        <v/>
      </c>
      <c r="W869" s="5" t="str">
        <f>IFERROR(__xludf.DUMMYFUNCTION("""COMPUTED_VALUE"""),"")</f>
        <v/>
      </c>
      <c r="X869" s="5" t="str">
        <f>IFERROR(__xludf.DUMMYFUNCTION("""COMPUTED_VALUE"""),"")</f>
        <v/>
      </c>
      <c r="Y869" s="5"/>
      <c r="Z869" s="5"/>
    </row>
    <row r="870">
      <c r="A870" s="5"/>
      <c r="B870" s="5" t="str">
        <f>IFERROR(__xludf.DUMMYFUNCTION("""COMPUTED_VALUE"""),"")</f>
        <v/>
      </c>
      <c r="C870" s="5" t="str">
        <f>IFERROR(__xludf.DUMMYFUNCTION("""COMPUTED_VALUE"""),"")</f>
        <v/>
      </c>
      <c r="D870" s="5" t="str">
        <f>IFERROR(__xludf.DUMMYFUNCTION("""COMPUTED_VALUE"""),"")</f>
        <v/>
      </c>
      <c r="E870" s="5" t="str">
        <f>IFERROR(__xludf.DUMMYFUNCTION("""COMPUTED_VALUE"""),"")</f>
        <v/>
      </c>
      <c r="F870" s="5" t="str">
        <f>IFERROR(__xludf.DUMMYFUNCTION("""COMPUTED_VALUE"""),"")</f>
        <v/>
      </c>
      <c r="G870" s="5" t="str">
        <f>IFERROR(__xludf.DUMMYFUNCTION("""COMPUTED_VALUE"""),"")</f>
        <v/>
      </c>
      <c r="H870" s="5" t="str">
        <f>IFERROR(__xludf.DUMMYFUNCTION("""COMPUTED_VALUE"""),"")</f>
        <v/>
      </c>
      <c r="I870" s="5" t="str">
        <f>IFERROR(__xludf.DUMMYFUNCTION("""COMPUTED_VALUE"""),"")</f>
        <v/>
      </c>
      <c r="J870" s="5" t="str">
        <f>IFERROR(__xludf.DUMMYFUNCTION("""COMPUTED_VALUE"""),"")</f>
        <v/>
      </c>
      <c r="K870" s="5" t="str">
        <f>IFERROR(__xludf.DUMMYFUNCTION("""COMPUTED_VALUE"""),"")</f>
        <v/>
      </c>
      <c r="L870" s="5" t="str">
        <f>IFERROR(__xludf.DUMMYFUNCTION("""COMPUTED_VALUE"""),"")</f>
        <v/>
      </c>
      <c r="M870" s="5" t="str">
        <f>IFERROR(__xludf.DUMMYFUNCTION("""COMPUTED_VALUE"""),"")</f>
        <v/>
      </c>
      <c r="N870" s="5" t="str">
        <f>IFERROR(__xludf.DUMMYFUNCTION("""COMPUTED_VALUE"""),"")</f>
        <v/>
      </c>
      <c r="O870" s="5" t="str">
        <f>IFERROR(__xludf.DUMMYFUNCTION("""COMPUTED_VALUE"""),"")</f>
        <v/>
      </c>
      <c r="P870" s="5" t="str">
        <f>IFERROR(__xludf.DUMMYFUNCTION("""COMPUTED_VALUE"""),"")</f>
        <v/>
      </c>
      <c r="Q870" s="5" t="str">
        <f>IFERROR(__xludf.DUMMYFUNCTION("""COMPUTED_VALUE"""),"")</f>
        <v/>
      </c>
      <c r="R870" s="5" t="str">
        <f>IFERROR(__xludf.DUMMYFUNCTION("""COMPUTED_VALUE"""),"")</f>
        <v/>
      </c>
      <c r="S870" s="5" t="str">
        <f>IFERROR(__xludf.DUMMYFUNCTION("""COMPUTED_VALUE"""),"")</f>
        <v/>
      </c>
      <c r="T870" s="5" t="str">
        <f>IFERROR(__xludf.DUMMYFUNCTION("""COMPUTED_VALUE"""),"")</f>
        <v/>
      </c>
      <c r="U870" s="5" t="str">
        <f>IFERROR(__xludf.DUMMYFUNCTION("""COMPUTED_VALUE"""),"")</f>
        <v/>
      </c>
      <c r="V870" s="5" t="str">
        <f>IFERROR(__xludf.DUMMYFUNCTION("""COMPUTED_VALUE"""),"")</f>
        <v/>
      </c>
      <c r="W870" s="5" t="str">
        <f>IFERROR(__xludf.DUMMYFUNCTION("""COMPUTED_VALUE"""),"")</f>
        <v/>
      </c>
      <c r="X870" s="5" t="str">
        <f>IFERROR(__xludf.DUMMYFUNCTION("""COMPUTED_VALUE"""),"")</f>
        <v/>
      </c>
      <c r="Y870" s="5"/>
      <c r="Z870" s="5"/>
    </row>
    <row r="871">
      <c r="A871" s="5"/>
      <c r="B871" s="5" t="str">
        <f>IFERROR(__xludf.DUMMYFUNCTION("""COMPUTED_VALUE"""),"")</f>
        <v/>
      </c>
      <c r="C871" s="5" t="str">
        <f>IFERROR(__xludf.DUMMYFUNCTION("""COMPUTED_VALUE"""),"")</f>
        <v/>
      </c>
      <c r="D871" s="5" t="str">
        <f>IFERROR(__xludf.DUMMYFUNCTION("""COMPUTED_VALUE"""),"")</f>
        <v/>
      </c>
      <c r="E871" s="5" t="str">
        <f>IFERROR(__xludf.DUMMYFUNCTION("""COMPUTED_VALUE"""),"")</f>
        <v/>
      </c>
      <c r="F871" s="5" t="str">
        <f>IFERROR(__xludf.DUMMYFUNCTION("""COMPUTED_VALUE"""),"")</f>
        <v/>
      </c>
      <c r="G871" s="5" t="str">
        <f>IFERROR(__xludf.DUMMYFUNCTION("""COMPUTED_VALUE"""),"")</f>
        <v/>
      </c>
      <c r="H871" s="5" t="str">
        <f>IFERROR(__xludf.DUMMYFUNCTION("""COMPUTED_VALUE"""),"")</f>
        <v/>
      </c>
      <c r="I871" s="5" t="str">
        <f>IFERROR(__xludf.DUMMYFUNCTION("""COMPUTED_VALUE"""),"")</f>
        <v/>
      </c>
      <c r="J871" s="5" t="str">
        <f>IFERROR(__xludf.DUMMYFUNCTION("""COMPUTED_VALUE"""),"")</f>
        <v/>
      </c>
      <c r="K871" s="5" t="str">
        <f>IFERROR(__xludf.DUMMYFUNCTION("""COMPUTED_VALUE"""),"")</f>
        <v/>
      </c>
      <c r="L871" s="5" t="str">
        <f>IFERROR(__xludf.DUMMYFUNCTION("""COMPUTED_VALUE"""),"")</f>
        <v/>
      </c>
      <c r="M871" s="5" t="str">
        <f>IFERROR(__xludf.DUMMYFUNCTION("""COMPUTED_VALUE"""),"")</f>
        <v/>
      </c>
      <c r="N871" s="5" t="str">
        <f>IFERROR(__xludf.DUMMYFUNCTION("""COMPUTED_VALUE"""),"")</f>
        <v/>
      </c>
      <c r="O871" s="5" t="str">
        <f>IFERROR(__xludf.DUMMYFUNCTION("""COMPUTED_VALUE"""),"")</f>
        <v/>
      </c>
      <c r="P871" s="5" t="str">
        <f>IFERROR(__xludf.DUMMYFUNCTION("""COMPUTED_VALUE"""),"")</f>
        <v/>
      </c>
      <c r="Q871" s="5" t="str">
        <f>IFERROR(__xludf.DUMMYFUNCTION("""COMPUTED_VALUE"""),"")</f>
        <v/>
      </c>
      <c r="R871" s="5" t="str">
        <f>IFERROR(__xludf.DUMMYFUNCTION("""COMPUTED_VALUE"""),"")</f>
        <v/>
      </c>
      <c r="S871" s="5" t="str">
        <f>IFERROR(__xludf.DUMMYFUNCTION("""COMPUTED_VALUE"""),"")</f>
        <v/>
      </c>
      <c r="T871" s="5" t="str">
        <f>IFERROR(__xludf.DUMMYFUNCTION("""COMPUTED_VALUE"""),"")</f>
        <v/>
      </c>
      <c r="U871" s="5" t="str">
        <f>IFERROR(__xludf.DUMMYFUNCTION("""COMPUTED_VALUE"""),"")</f>
        <v/>
      </c>
      <c r="V871" s="5" t="str">
        <f>IFERROR(__xludf.DUMMYFUNCTION("""COMPUTED_VALUE"""),"")</f>
        <v/>
      </c>
      <c r="W871" s="5" t="str">
        <f>IFERROR(__xludf.DUMMYFUNCTION("""COMPUTED_VALUE"""),"")</f>
        <v/>
      </c>
      <c r="X871" s="5" t="str">
        <f>IFERROR(__xludf.DUMMYFUNCTION("""COMPUTED_VALUE"""),"")</f>
        <v/>
      </c>
      <c r="Y871" s="5"/>
      <c r="Z871" s="5"/>
    </row>
    <row r="872">
      <c r="A872" s="5"/>
      <c r="B872" s="5" t="str">
        <f>IFERROR(__xludf.DUMMYFUNCTION("""COMPUTED_VALUE"""),"")</f>
        <v/>
      </c>
      <c r="C872" s="5" t="str">
        <f>IFERROR(__xludf.DUMMYFUNCTION("""COMPUTED_VALUE"""),"")</f>
        <v/>
      </c>
      <c r="D872" s="5" t="str">
        <f>IFERROR(__xludf.DUMMYFUNCTION("""COMPUTED_VALUE"""),"")</f>
        <v/>
      </c>
      <c r="E872" s="5" t="str">
        <f>IFERROR(__xludf.DUMMYFUNCTION("""COMPUTED_VALUE"""),"")</f>
        <v/>
      </c>
      <c r="F872" s="5" t="str">
        <f>IFERROR(__xludf.DUMMYFUNCTION("""COMPUTED_VALUE"""),"")</f>
        <v/>
      </c>
      <c r="G872" s="5" t="str">
        <f>IFERROR(__xludf.DUMMYFUNCTION("""COMPUTED_VALUE"""),"")</f>
        <v/>
      </c>
      <c r="H872" s="5" t="str">
        <f>IFERROR(__xludf.DUMMYFUNCTION("""COMPUTED_VALUE"""),"")</f>
        <v/>
      </c>
      <c r="I872" s="5" t="str">
        <f>IFERROR(__xludf.DUMMYFUNCTION("""COMPUTED_VALUE"""),"")</f>
        <v/>
      </c>
      <c r="J872" s="5" t="str">
        <f>IFERROR(__xludf.DUMMYFUNCTION("""COMPUTED_VALUE"""),"")</f>
        <v/>
      </c>
      <c r="K872" s="5" t="str">
        <f>IFERROR(__xludf.DUMMYFUNCTION("""COMPUTED_VALUE"""),"")</f>
        <v/>
      </c>
      <c r="L872" s="5" t="str">
        <f>IFERROR(__xludf.DUMMYFUNCTION("""COMPUTED_VALUE"""),"")</f>
        <v/>
      </c>
      <c r="M872" s="5" t="str">
        <f>IFERROR(__xludf.DUMMYFUNCTION("""COMPUTED_VALUE"""),"")</f>
        <v/>
      </c>
      <c r="N872" s="5" t="str">
        <f>IFERROR(__xludf.DUMMYFUNCTION("""COMPUTED_VALUE"""),"")</f>
        <v/>
      </c>
      <c r="O872" s="5" t="str">
        <f>IFERROR(__xludf.DUMMYFUNCTION("""COMPUTED_VALUE"""),"")</f>
        <v/>
      </c>
      <c r="P872" s="5" t="str">
        <f>IFERROR(__xludf.DUMMYFUNCTION("""COMPUTED_VALUE"""),"")</f>
        <v/>
      </c>
      <c r="Q872" s="5" t="str">
        <f>IFERROR(__xludf.DUMMYFUNCTION("""COMPUTED_VALUE"""),"")</f>
        <v/>
      </c>
      <c r="R872" s="5" t="str">
        <f>IFERROR(__xludf.DUMMYFUNCTION("""COMPUTED_VALUE"""),"")</f>
        <v/>
      </c>
      <c r="S872" s="5" t="str">
        <f>IFERROR(__xludf.DUMMYFUNCTION("""COMPUTED_VALUE"""),"")</f>
        <v/>
      </c>
      <c r="T872" s="5" t="str">
        <f>IFERROR(__xludf.DUMMYFUNCTION("""COMPUTED_VALUE"""),"")</f>
        <v/>
      </c>
      <c r="U872" s="5" t="str">
        <f>IFERROR(__xludf.DUMMYFUNCTION("""COMPUTED_VALUE"""),"")</f>
        <v/>
      </c>
      <c r="V872" s="5" t="str">
        <f>IFERROR(__xludf.DUMMYFUNCTION("""COMPUTED_VALUE"""),"")</f>
        <v/>
      </c>
      <c r="W872" s="5" t="str">
        <f>IFERROR(__xludf.DUMMYFUNCTION("""COMPUTED_VALUE"""),"")</f>
        <v/>
      </c>
      <c r="X872" s="5" t="str">
        <f>IFERROR(__xludf.DUMMYFUNCTION("""COMPUTED_VALUE"""),"")</f>
        <v/>
      </c>
      <c r="Y872" s="5"/>
      <c r="Z872" s="5"/>
    </row>
    <row r="873">
      <c r="A873" s="5"/>
      <c r="B873" s="5" t="str">
        <f>IFERROR(__xludf.DUMMYFUNCTION("""COMPUTED_VALUE"""),"")</f>
        <v/>
      </c>
      <c r="C873" s="5" t="str">
        <f>IFERROR(__xludf.DUMMYFUNCTION("""COMPUTED_VALUE"""),"")</f>
        <v/>
      </c>
      <c r="D873" s="5" t="str">
        <f>IFERROR(__xludf.DUMMYFUNCTION("""COMPUTED_VALUE"""),"")</f>
        <v/>
      </c>
      <c r="E873" s="5" t="str">
        <f>IFERROR(__xludf.DUMMYFUNCTION("""COMPUTED_VALUE"""),"")</f>
        <v/>
      </c>
      <c r="F873" s="5" t="str">
        <f>IFERROR(__xludf.DUMMYFUNCTION("""COMPUTED_VALUE"""),"")</f>
        <v/>
      </c>
      <c r="G873" s="5" t="str">
        <f>IFERROR(__xludf.DUMMYFUNCTION("""COMPUTED_VALUE"""),"")</f>
        <v/>
      </c>
      <c r="H873" s="5" t="str">
        <f>IFERROR(__xludf.DUMMYFUNCTION("""COMPUTED_VALUE"""),"")</f>
        <v/>
      </c>
      <c r="I873" s="5" t="str">
        <f>IFERROR(__xludf.DUMMYFUNCTION("""COMPUTED_VALUE"""),"")</f>
        <v/>
      </c>
      <c r="J873" s="5" t="str">
        <f>IFERROR(__xludf.DUMMYFUNCTION("""COMPUTED_VALUE"""),"")</f>
        <v/>
      </c>
      <c r="K873" s="5" t="str">
        <f>IFERROR(__xludf.DUMMYFUNCTION("""COMPUTED_VALUE"""),"")</f>
        <v/>
      </c>
      <c r="L873" s="5" t="str">
        <f>IFERROR(__xludf.DUMMYFUNCTION("""COMPUTED_VALUE"""),"")</f>
        <v/>
      </c>
      <c r="M873" s="5" t="str">
        <f>IFERROR(__xludf.DUMMYFUNCTION("""COMPUTED_VALUE"""),"")</f>
        <v/>
      </c>
      <c r="N873" s="5" t="str">
        <f>IFERROR(__xludf.DUMMYFUNCTION("""COMPUTED_VALUE"""),"")</f>
        <v/>
      </c>
      <c r="O873" s="5" t="str">
        <f>IFERROR(__xludf.DUMMYFUNCTION("""COMPUTED_VALUE"""),"")</f>
        <v/>
      </c>
      <c r="P873" s="5" t="str">
        <f>IFERROR(__xludf.DUMMYFUNCTION("""COMPUTED_VALUE"""),"")</f>
        <v/>
      </c>
      <c r="Q873" s="5" t="str">
        <f>IFERROR(__xludf.DUMMYFUNCTION("""COMPUTED_VALUE"""),"")</f>
        <v/>
      </c>
      <c r="R873" s="5" t="str">
        <f>IFERROR(__xludf.DUMMYFUNCTION("""COMPUTED_VALUE"""),"")</f>
        <v/>
      </c>
      <c r="S873" s="5" t="str">
        <f>IFERROR(__xludf.DUMMYFUNCTION("""COMPUTED_VALUE"""),"")</f>
        <v/>
      </c>
      <c r="T873" s="5" t="str">
        <f>IFERROR(__xludf.DUMMYFUNCTION("""COMPUTED_VALUE"""),"")</f>
        <v/>
      </c>
      <c r="U873" s="5" t="str">
        <f>IFERROR(__xludf.DUMMYFUNCTION("""COMPUTED_VALUE"""),"")</f>
        <v/>
      </c>
      <c r="V873" s="5" t="str">
        <f>IFERROR(__xludf.DUMMYFUNCTION("""COMPUTED_VALUE"""),"")</f>
        <v/>
      </c>
      <c r="W873" s="5" t="str">
        <f>IFERROR(__xludf.DUMMYFUNCTION("""COMPUTED_VALUE"""),"")</f>
        <v/>
      </c>
      <c r="X873" s="5" t="str">
        <f>IFERROR(__xludf.DUMMYFUNCTION("""COMPUTED_VALUE"""),"")</f>
        <v/>
      </c>
      <c r="Y873" s="5"/>
      <c r="Z873" s="5"/>
    </row>
    <row r="874">
      <c r="A874" s="5"/>
      <c r="B874" s="5" t="str">
        <f>IFERROR(__xludf.DUMMYFUNCTION("""COMPUTED_VALUE"""),"")</f>
        <v/>
      </c>
      <c r="C874" s="5" t="str">
        <f>IFERROR(__xludf.DUMMYFUNCTION("""COMPUTED_VALUE"""),"")</f>
        <v/>
      </c>
      <c r="D874" s="5" t="str">
        <f>IFERROR(__xludf.DUMMYFUNCTION("""COMPUTED_VALUE"""),"")</f>
        <v/>
      </c>
      <c r="E874" s="5" t="str">
        <f>IFERROR(__xludf.DUMMYFUNCTION("""COMPUTED_VALUE"""),"")</f>
        <v/>
      </c>
      <c r="F874" s="5" t="str">
        <f>IFERROR(__xludf.DUMMYFUNCTION("""COMPUTED_VALUE"""),"")</f>
        <v/>
      </c>
      <c r="G874" s="5" t="str">
        <f>IFERROR(__xludf.DUMMYFUNCTION("""COMPUTED_VALUE"""),"")</f>
        <v/>
      </c>
      <c r="H874" s="5" t="str">
        <f>IFERROR(__xludf.DUMMYFUNCTION("""COMPUTED_VALUE"""),"")</f>
        <v/>
      </c>
      <c r="I874" s="5" t="str">
        <f>IFERROR(__xludf.DUMMYFUNCTION("""COMPUTED_VALUE"""),"")</f>
        <v/>
      </c>
      <c r="J874" s="5" t="str">
        <f>IFERROR(__xludf.DUMMYFUNCTION("""COMPUTED_VALUE"""),"")</f>
        <v/>
      </c>
      <c r="K874" s="5" t="str">
        <f>IFERROR(__xludf.DUMMYFUNCTION("""COMPUTED_VALUE"""),"")</f>
        <v/>
      </c>
      <c r="L874" s="5" t="str">
        <f>IFERROR(__xludf.DUMMYFUNCTION("""COMPUTED_VALUE"""),"")</f>
        <v/>
      </c>
      <c r="M874" s="5" t="str">
        <f>IFERROR(__xludf.DUMMYFUNCTION("""COMPUTED_VALUE"""),"")</f>
        <v/>
      </c>
      <c r="N874" s="5" t="str">
        <f>IFERROR(__xludf.DUMMYFUNCTION("""COMPUTED_VALUE"""),"")</f>
        <v/>
      </c>
      <c r="O874" s="5" t="str">
        <f>IFERROR(__xludf.DUMMYFUNCTION("""COMPUTED_VALUE"""),"")</f>
        <v/>
      </c>
      <c r="P874" s="5" t="str">
        <f>IFERROR(__xludf.DUMMYFUNCTION("""COMPUTED_VALUE"""),"")</f>
        <v/>
      </c>
      <c r="Q874" s="5" t="str">
        <f>IFERROR(__xludf.DUMMYFUNCTION("""COMPUTED_VALUE"""),"")</f>
        <v/>
      </c>
      <c r="R874" s="5" t="str">
        <f>IFERROR(__xludf.DUMMYFUNCTION("""COMPUTED_VALUE"""),"")</f>
        <v/>
      </c>
      <c r="S874" s="5" t="str">
        <f>IFERROR(__xludf.DUMMYFUNCTION("""COMPUTED_VALUE"""),"")</f>
        <v/>
      </c>
      <c r="T874" s="5" t="str">
        <f>IFERROR(__xludf.DUMMYFUNCTION("""COMPUTED_VALUE"""),"")</f>
        <v/>
      </c>
      <c r="U874" s="5" t="str">
        <f>IFERROR(__xludf.DUMMYFUNCTION("""COMPUTED_VALUE"""),"")</f>
        <v/>
      </c>
      <c r="V874" s="5" t="str">
        <f>IFERROR(__xludf.DUMMYFUNCTION("""COMPUTED_VALUE"""),"")</f>
        <v/>
      </c>
      <c r="W874" s="5" t="str">
        <f>IFERROR(__xludf.DUMMYFUNCTION("""COMPUTED_VALUE"""),"")</f>
        <v/>
      </c>
      <c r="X874" s="5" t="str">
        <f>IFERROR(__xludf.DUMMYFUNCTION("""COMPUTED_VALUE"""),"")</f>
        <v/>
      </c>
      <c r="Y874" s="5"/>
      <c r="Z874" s="5"/>
    </row>
    <row r="875">
      <c r="A875" s="5"/>
      <c r="B875" s="5" t="str">
        <f>IFERROR(__xludf.DUMMYFUNCTION("""COMPUTED_VALUE"""),"")</f>
        <v/>
      </c>
      <c r="C875" s="5" t="str">
        <f>IFERROR(__xludf.DUMMYFUNCTION("""COMPUTED_VALUE"""),"")</f>
        <v/>
      </c>
      <c r="D875" s="5" t="str">
        <f>IFERROR(__xludf.DUMMYFUNCTION("""COMPUTED_VALUE"""),"")</f>
        <v/>
      </c>
      <c r="E875" s="5" t="str">
        <f>IFERROR(__xludf.DUMMYFUNCTION("""COMPUTED_VALUE"""),"")</f>
        <v/>
      </c>
      <c r="F875" s="5" t="str">
        <f>IFERROR(__xludf.DUMMYFUNCTION("""COMPUTED_VALUE"""),"")</f>
        <v/>
      </c>
      <c r="G875" s="5" t="str">
        <f>IFERROR(__xludf.DUMMYFUNCTION("""COMPUTED_VALUE"""),"")</f>
        <v/>
      </c>
      <c r="H875" s="5" t="str">
        <f>IFERROR(__xludf.DUMMYFUNCTION("""COMPUTED_VALUE"""),"")</f>
        <v/>
      </c>
      <c r="I875" s="5" t="str">
        <f>IFERROR(__xludf.DUMMYFUNCTION("""COMPUTED_VALUE"""),"")</f>
        <v/>
      </c>
      <c r="J875" s="5" t="str">
        <f>IFERROR(__xludf.DUMMYFUNCTION("""COMPUTED_VALUE"""),"")</f>
        <v/>
      </c>
      <c r="K875" s="5" t="str">
        <f>IFERROR(__xludf.DUMMYFUNCTION("""COMPUTED_VALUE"""),"")</f>
        <v/>
      </c>
      <c r="L875" s="5" t="str">
        <f>IFERROR(__xludf.DUMMYFUNCTION("""COMPUTED_VALUE"""),"")</f>
        <v/>
      </c>
      <c r="M875" s="5" t="str">
        <f>IFERROR(__xludf.DUMMYFUNCTION("""COMPUTED_VALUE"""),"")</f>
        <v/>
      </c>
      <c r="N875" s="5" t="str">
        <f>IFERROR(__xludf.DUMMYFUNCTION("""COMPUTED_VALUE"""),"")</f>
        <v/>
      </c>
      <c r="O875" s="5" t="str">
        <f>IFERROR(__xludf.DUMMYFUNCTION("""COMPUTED_VALUE"""),"")</f>
        <v/>
      </c>
      <c r="P875" s="5" t="str">
        <f>IFERROR(__xludf.DUMMYFUNCTION("""COMPUTED_VALUE"""),"")</f>
        <v/>
      </c>
      <c r="Q875" s="5" t="str">
        <f>IFERROR(__xludf.DUMMYFUNCTION("""COMPUTED_VALUE"""),"")</f>
        <v/>
      </c>
      <c r="R875" s="5" t="str">
        <f>IFERROR(__xludf.DUMMYFUNCTION("""COMPUTED_VALUE"""),"")</f>
        <v/>
      </c>
      <c r="S875" s="5" t="str">
        <f>IFERROR(__xludf.DUMMYFUNCTION("""COMPUTED_VALUE"""),"")</f>
        <v/>
      </c>
      <c r="T875" s="5" t="str">
        <f>IFERROR(__xludf.DUMMYFUNCTION("""COMPUTED_VALUE"""),"")</f>
        <v/>
      </c>
      <c r="U875" s="5" t="str">
        <f>IFERROR(__xludf.DUMMYFUNCTION("""COMPUTED_VALUE"""),"")</f>
        <v/>
      </c>
      <c r="V875" s="5" t="str">
        <f>IFERROR(__xludf.DUMMYFUNCTION("""COMPUTED_VALUE"""),"")</f>
        <v/>
      </c>
      <c r="W875" s="5" t="str">
        <f>IFERROR(__xludf.DUMMYFUNCTION("""COMPUTED_VALUE"""),"")</f>
        <v/>
      </c>
      <c r="X875" s="5" t="str">
        <f>IFERROR(__xludf.DUMMYFUNCTION("""COMPUTED_VALUE"""),"")</f>
        <v/>
      </c>
      <c r="Y875" s="5"/>
      <c r="Z875" s="5"/>
    </row>
    <row r="876">
      <c r="A876" s="5"/>
      <c r="B876" s="5" t="str">
        <f>IFERROR(__xludf.DUMMYFUNCTION("""COMPUTED_VALUE"""),"")</f>
        <v/>
      </c>
      <c r="C876" s="5" t="str">
        <f>IFERROR(__xludf.DUMMYFUNCTION("""COMPUTED_VALUE"""),"")</f>
        <v/>
      </c>
      <c r="D876" s="5" t="str">
        <f>IFERROR(__xludf.DUMMYFUNCTION("""COMPUTED_VALUE"""),"")</f>
        <v/>
      </c>
      <c r="E876" s="5" t="str">
        <f>IFERROR(__xludf.DUMMYFUNCTION("""COMPUTED_VALUE"""),"")</f>
        <v/>
      </c>
      <c r="F876" s="5" t="str">
        <f>IFERROR(__xludf.DUMMYFUNCTION("""COMPUTED_VALUE"""),"")</f>
        <v/>
      </c>
      <c r="G876" s="5" t="str">
        <f>IFERROR(__xludf.DUMMYFUNCTION("""COMPUTED_VALUE"""),"")</f>
        <v/>
      </c>
      <c r="H876" s="5" t="str">
        <f>IFERROR(__xludf.DUMMYFUNCTION("""COMPUTED_VALUE"""),"")</f>
        <v/>
      </c>
      <c r="I876" s="5" t="str">
        <f>IFERROR(__xludf.DUMMYFUNCTION("""COMPUTED_VALUE"""),"")</f>
        <v/>
      </c>
      <c r="J876" s="5" t="str">
        <f>IFERROR(__xludf.DUMMYFUNCTION("""COMPUTED_VALUE"""),"")</f>
        <v/>
      </c>
      <c r="K876" s="5" t="str">
        <f>IFERROR(__xludf.DUMMYFUNCTION("""COMPUTED_VALUE"""),"")</f>
        <v/>
      </c>
      <c r="L876" s="5" t="str">
        <f>IFERROR(__xludf.DUMMYFUNCTION("""COMPUTED_VALUE"""),"")</f>
        <v/>
      </c>
      <c r="M876" s="5" t="str">
        <f>IFERROR(__xludf.DUMMYFUNCTION("""COMPUTED_VALUE"""),"")</f>
        <v/>
      </c>
      <c r="N876" s="5" t="str">
        <f>IFERROR(__xludf.DUMMYFUNCTION("""COMPUTED_VALUE"""),"")</f>
        <v/>
      </c>
      <c r="O876" s="5" t="str">
        <f>IFERROR(__xludf.DUMMYFUNCTION("""COMPUTED_VALUE"""),"")</f>
        <v/>
      </c>
      <c r="P876" s="5" t="str">
        <f>IFERROR(__xludf.DUMMYFUNCTION("""COMPUTED_VALUE"""),"")</f>
        <v/>
      </c>
      <c r="Q876" s="5" t="str">
        <f>IFERROR(__xludf.DUMMYFUNCTION("""COMPUTED_VALUE"""),"")</f>
        <v/>
      </c>
      <c r="R876" s="5" t="str">
        <f>IFERROR(__xludf.DUMMYFUNCTION("""COMPUTED_VALUE"""),"")</f>
        <v/>
      </c>
      <c r="S876" s="5" t="str">
        <f>IFERROR(__xludf.DUMMYFUNCTION("""COMPUTED_VALUE"""),"")</f>
        <v/>
      </c>
      <c r="T876" s="5" t="str">
        <f>IFERROR(__xludf.DUMMYFUNCTION("""COMPUTED_VALUE"""),"")</f>
        <v/>
      </c>
      <c r="U876" s="5" t="str">
        <f>IFERROR(__xludf.DUMMYFUNCTION("""COMPUTED_VALUE"""),"")</f>
        <v/>
      </c>
      <c r="V876" s="5" t="str">
        <f>IFERROR(__xludf.DUMMYFUNCTION("""COMPUTED_VALUE"""),"")</f>
        <v/>
      </c>
      <c r="W876" s="5" t="str">
        <f>IFERROR(__xludf.DUMMYFUNCTION("""COMPUTED_VALUE"""),"")</f>
        <v/>
      </c>
      <c r="X876" s="5" t="str">
        <f>IFERROR(__xludf.DUMMYFUNCTION("""COMPUTED_VALUE"""),"")</f>
        <v/>
      </c>
      <c r="Y876" s="5"/>
      <c r="Z876" s="5"/>
    </row>
    <row r="877">
      <c r="A877" s="5"/>
      <c r="B877" s="5" t="str">
        <f>IFERROR(__xludf.DUMMYFUNCTION("""COMPUTED_VALUE"""),"")</f>
        <v/>
      </c>
      <c r="C877" s="5" t="str">
        <f>IFERROR(__xludf.DUMMYFUNCTION("""COMPUTED_VALUE"""),"")</f>
        <v/>
      </c>
      <c r="D877" s="5" t="str">
        <f>IFERROR(__xludf.DUMMYFUNCTION("""COMPUTED_VALUE"""),"")</f>
        <v/>
      </c>
      <c r="E877" s="5" t="str">
        <f>IFERROR(__xludf.DUMMYFUNCTION("""COMPUTED_VALUE"""),"")</f>
        <v/>
      </c>
      <c r="F877" s="5" t="str">
        <f>IFERROR(__xludf.DUMMYFUNCTION("""COMPUTED_VALUE"""),"")</f>
        <v/>
      </c>
      <c r="G877" s="5" t="str">
        <f>IFERROR(__xludf.DUMMYFUNCTION("""COMPUTED_VALUE"""),"")</f>
        <v/>
      </c>
      <c r="H877" s="5" t="str">
        <f>IFERROR(__xludf.DUMMYFUNCTION("""COMPUTED_VALUE"""),"")</f>
        <v/>
      </c>
      <c r="I877" s="5" t="str">
        <f>IFERROR(__xludf.DUMMYFUNCTION("""COMPUTED_VALUE"""),"")</f>
        <v/>
      </c>
      <c r="J877" s="5" t="str">
        <f>IFERROR(__xludf.DUMMYFUNCTION("""COMPUTED_VALUE"""),"")</f>
        <v/>
      </c>
      <c r="K877" s="5" t="str">
        <f>IFERROR(__xludf.DUMMYFUNCTION("""COMPUTED_VALUE"""),"")</f>
        <v/>
      </c>
      <c r="L877" s="5" t="str">
        <f>IFERROR(__xludf.DUMMYFUNCTION("""COMPUTED_VALUE"""),"")</f>
        <v/>
      </c>
      <c r="M877" s="5" t="str">
        <f>IFERROR(__xludf.DUMMYFUNCTION("""COMPUTED_VALUE"""),"")</f>
        <v/>
      </c>
      <c r="N877" s="5" t="str">
        <f>IFERROR(__xludf.DUMMYFUNCTION("""COMPUTED_VALUE"""),"")</f>
        <v/>
      </c>
      <c r="O877" s="5" t="str">
        <f>IFERROR(__xludf.DUMMYFUNCTION("""COMPUTED_VALUE"""),"")</f>
        <v/>
      </c>
      <c r="P877" s="5" t="str">
        <f>IFERROR(__xludf.DUMMYFUNCTION("""COMPUTED_VALUE"""),"")</f>
        <v/>
      </c>
      <c r="Q877" s="5" t="str">
        <f>IFERROR(__xludf.DUMMYFUNCTION("""COMPUTED_VALUE"""),"")</f>
        <v/>
      </c>
      <c r="R877" s="5" t="str">
        <f>IFERROR(__xludf.DUMMYFUNCTION("""COMPUTED_VALUE"""),"")</f>
        <v/>
      </c>
      <c r="S877" s="5" t="str">
        <f>IFERROR(__xludf.DUMMYFUNCTION("""COMPUTED_VALUE"""),"")</f>
        <v/>
      </c>
      <c r="T877" s="5" t="str">
        <f>IFERROR(__xludf.DUMMYFUNCTION("""COMPUTED_VALUE"""),"")</f>
        <v/>
      </c>
      <c r="U877" s="5" t="str">
        <f>IFERROR(__xludf.DUMMYFUNCTION("""COMPUTED_VALUE"""),"")</f>
        <v/>
      </c>
      <c r="V877" s="5" t="str">
        <f>IFERROR(__xludf.DUMMYFUNCTION("""COMPUTED_VALUE"""),"")</f>
        <v/>
      </c>
      <c r="W877" s="5" t="str">
        <f>IFERROR(__xludf.DUMMYFUNCTION("""COMPUTED_VALUE"""),"")</f>
        <v/>
      </c>
      <c r="X877" s="5" t="str">
        <f>IFERROR(__xludf.DUMMYFUNCTION("""COMPUTED_VALUE"""),"")</f>
        <v/>
      </c>
      <c r="Y877" s="5"/>
      <c r="Z877" s="5"/>
    </row>
    <row r="878">
      <c r="A878" s="5"/>
      <c r="B878" s="5" t="str">
        <f>IFERROR(__xludf.DUMMYFUNCTION("""COMPUTED_VALUE"""),"")</f>
        <v/>
      </c>
      <c r="C878" s="5" t="str">
        <f>IFERROR(__xludf.DUMMYFUNCTION("""COMPUTED_VALUE"""),"")</f>
        <v/>
      </c>
      <c r="D878" s="5" t="str">
        <f>IFERROR(__xludf.DUMMYFUNCTION("""COMPUTED_VALUE"""),"")</f>
        <v/>
      </c>
      <c r="E878" s="5" t="str">
        <f>IFERROR(__xludf.DUMMYFUNCTION("""COMPUTED_VALUE"""),"")</f>
        <v/>
      </c>
      <c r="F878" s="5" t="str">
        <f>IFERROR(__xludf.DUMMYFUNCTION("""COMPUTED_VALUE"""),"")</f>
        <v/>
      </c>
      <c r="G878" s="5" t="str">
        <f>IFERROR(__xludf.DUMMYFUNCTION("""COMPUTED_VALUE"""),"")</f>
        <v/>
      </c>
      <c r="H878" s="5" t="str">
        <f>IFERROR(__xludf.DUMMYFUNCTION("""COMPUTED_VALUE"""),"")</f>
        <v/>
      </c>
      <c r="I878" s="5" t="str">
        <f>IFERROR(__xludf.DUMMYFUNCTION("""COMPUTED_VALUE"""),"")</f>
        <v/>
      </c>
      <c r="J878" s="5" t="str">
        <f>IFERROR(__xludf.DUMMYFUNCTION("""COMPUTED_VALUE"""),"")</f>
        <v/>
      </c>
      <c r="K878" s="5" t="str">
        <f>IFERROR(__xludf.DUMMYFUNCTION("""COMPUTED_VALUE"""),"")</f>
        <v/>
      </c>
      <c r="L878" s="5" t="str">
        <f>IFERROR(__xludf.DUMMYFUNCTION("""COMPUTED_VALUE"""),"")</f>
        <v/>
      </c>
      <c r="M878" s="5" t="str">
        <f>IFERROR(__xludf.DUMMYFUNCTION("""COMPUTED_VALUE"""),"")</f>
        <v/>
      </c>
      <c r="N878" s="5" t="str">
        <f>IFERROR(__xludf.DUMMYFUNCTION("""COMPUTED_VALUE"""),"")</f>
        <v/>
      </c>
      <c r="O878" s="5" t="str">
        <f>IFERROR(__xludf.DUMMYFUNCTION("""COMPUTED_VALUE"""),"")</f>
        <v/>
      </c>
      <c r="P878" s="5" t="str">
        <f>IFERROR(__xludf.DUMMYFUNCTION("""COMPUTED_VALUE"""),"")</f>
        <v/>
      </c>
      <c r="Q878" s="5" t="str">
        <f>IFERROR(__xludf.DUMMYFUNCTION("""COMPUTED_VALUE"""),"")</f>
        <v/>
      </c>
      <c r="R878" s="5" t="str">
        <f>IFERROR(__xludf.DUMMYFUNCTION("""COMPUTED_VALUE"""),"")</f>
        <v/>
      </c>
      <c r="S878" s="5" t="str">
        <f>IFERROR(__xludf.DUMMYFUNCTION("""COMPUTED_VALUE"""),"")</f>
        <v/>
      </c>
      <c r="T878" s="5" t="str">
        <f>IFERROR(__xludf.DUMMYFUNCTION("""COMPUTED_VALUE"""),"")</f>
        <v/>
      </c>
      <c r="U878" s="5" t="str">
        <f>IFERROR(__xludf.DUMMYFUNCTION("""COMPUTED_VALUE"""),"")</f>
        <v/>
      </c>
      <c r="V878" s="5" t="str">
        <f>IFERROR(__xludf.DUMMYFUNCTION("""COMPUTED_VALUE"""),"")</f>
        <v/>
      </c>
      <c r="W878" s="5" t="str">
        <f>IFERROR(__xludf.DUMMYFUNCTION("""COMPUTED_VALUE"""),"")</f>
        <v/>
      </c>
      <c r="X878" s="5" t="str">
        <f>IFERROR(__xludf.DUMMYFUNCTION("""COMPUTED_VALUE"""),"")</f>
        <v/>
      </c>
      <c r="Y878" s="5"/>
      <c r="Z878" s="5"/>
    </row>
    <row r="879">
      <c r="A879" s="5"/>
      <c r="B879" s="5" t="str">
        <f>IFERROR(__xludf.DUMMYFUNCTION("""COMPUTED_VALUE"""),"")</f>
        <v/>
      </c>
      <c r="C879" s="5" t="str">
        <f>IFERROR(__xludf.DUMMYFUNCTION("""COMPUTED_VALUE"""),"")</f>
        <v/>
      </c>
      <c r="D879" s="5" t="str">
        <f>IFERROR(__xludf.DUMMYFUNCTION("""COMPUTED_VALUE"""),"")</f>
        <v/>
      </c>
      <c r="E879" s="5" t="str">
        <f>IFERROR(__xludf.DUMMYFUNCTION("""COMPUTED_VALUE"""),"")</f>
        <v/>
      </c>
      <c r="F879" s="5" t="str">
        <f>IFERROR(__xludf.DUMMYFUNCTION("""COMPUTED_VALUE"""),"")</f>
        <v/>
      </c>
      <c r="G879" s="5" t="str">
        <f>IFERROR(__xludf.DUMMYFUNCTION("""COMPUTED_VALUE"""),"")</f>
        <v/>
      </c>
      <c r="H879" s="5" t="str">
        <f>IFERROR(__xludf.DUMMYFUNCTION("""COMPUTED_VALUE"""),"")</f>
        <v/>
      </c>
      <c r="I879" s="5" t="str">
        <f>IFERROR(__xludf.DUMMYFUNCTION("""COMPUTED_VALUE"""),"")</f>
        <v/>
      </c>
      <c r="J879" s="5" t="str">
        <f>IFERROR(__xludf.DUMMYFUNCTION("""COMPUTED_VALUE"""),"")</f>
        <v/>
      </c>
      <c r="K879" s="5" t="str">
        <f>IFERROR(__xludf.DUMMYFUNCTION("""COMPUTED_VALUE"""),"")</f>
        <v/>
      </c>
      <c r="L879" s="5" t="str">
        <f>IFERROR(__xludf.DUMMYFUNCTION("""COMPUTED_VALUE"""),"")</f>
        <v/>
      </c>
      <c r="M879" s="5" t="str">
        <f>IFERROR(__xludf.DUMMYFUNCTION("""COMPUTED_VALUE"""),"")</f>
        <v/>
      </c>
      <c r="N879" s="5" t="str">
        <f>IFERROR(__xludf.DUMMYFUNCTION("""COMPUTED_VALUE"""),"")</f>
        <v/>
      </c>
      <c r="O879" s="5" t="str">
        <f>IFERROR(__xludf.DUMMYFUNCTION("""COMPUTED_VALUE"""),"")</f>
        <v/>
      </c>
      <c r="P879" s="5" t="str">
        <f>IFERROR(__xludf.DUMMYFUNCTION("""COMPUTED_VALUE"""),"")</f>
        <v/>
      </c>
      <c r="Q879" s="5" t="str">
        <f>IFERROR(__xludf.DUMMYFUNCTION("""COMPUTED_VALUE"""),"")</f>
        <v/>
      </c>
      <c r="R879" s="5" t="str">
        <f>IFERROR(__xludf.DUMMYFUNCTION("""COMPUTED_VALUE"""),"")</f>
        <v/>
      </c>
      <c r="S879" s="5" t="str">
        <f>IFERROR(__xludf.DUMMYFUNCTION("""COMPUTED_VALUE"""),"")</f>
        <v/>
      </c>
      <c r="T879" s="5" t="str">
        <f>IFERROR(__xludf.DUMMYFUNCTION("""COMPUTED_VALUE"""),"")</f>
        <v/>
      </c>
      <c r="U879" s="5" t="str">
        <f>IFERROR(__xludf.DUMMYFUNCTION("""COMPUTED_VALUE"""),"")</f>
        <v/>
      </c>
      <c r="V879" s="5" t="str">
        <f>IFERROR(__xludf.DUMMYFUNCTION("""COMPUTED_VALUE"""),"")</f>
        <v/>
      </c>
      <c r="W879" s="5" t="str">
        <f>IFERROR(__xludf.DUMMYFUNCTION("""COMPUTED_VALUE"""),"")</f>
        <v/>
      </c>
      <c r="X879" s="5" t="str">
        <f>IFERROR(__xludf.DUMMYFUNCTION("""COMPUTED_VALUE"""),"")</f>
        <v/>
      </c>
      <c r="Y879" s="5"/>
      <c r="Z879" s="5"/>
    </row>
    <row r="880">
      <c r="A880" s="5"/>
      <c r="B880" s="5" t="str">
        <f>IFERROR(__xludf.DUMMYFUNCTION("""COMPUTED_VALUE"""),"")</f>
        <v/>
      </c>
      <c r="C880" s="5" t="str">
        <f>IFERROR(__xludf.DUMMYFUNCTION("""COMPUTED_VALUE"""),"")</f>
        <v/>
      </c>
      <c r="D880" s="5" t="str">
        <f>IFERROR(__xludf.DUMMYFUNCTION("""COMPUTED_VALUE"""),"")</f>
        <v/>
      </c>
      <c r="E880" s="5" t="str">
        <f>IFERROR(__xludf.DUMMYFUNCTION("""COMPUTED_VALUE"""),"")</f>
        <v/>
      </c>
      <c r="F880" s="5" t="str">
        <f>IFERROR(__xludf.DUMMYFUNCTION("""COMPUTED_VALUE"""),"")</f>
        <v/>
      </c>
      <c r="G880" s="5" t="str">
        <f>IFERROR(__xludf.DUMMYFUNCTION("""COMPUTED_VALUE"""),"")</f>
        <v/>
      </c>
      <c r="H880" s="5" t="str">
        <f>IFERROR(__xludf.DUMMYFUNCTION("""COMPUTED_VALUE"""),"")</f>
        <v/>
      </c>
      <c r="I880" s="5" t="str">
        <f>IFERROR(__xludf.DUMMYFUNCTION("""COMPUTED_VALUE"""),"")</f>
        <v/>
      </c>
      <c r="J880" s="5" t="str">
        <f>IFERROR(__xludf.DUMMYFUNCTION("""COMPUTED_VALUE"""),"")</f>
        <v/>
      </c>
      <c r="K880" s="5" t="str">
        <f>IFERROR(__xludf.DUMMYFUNCTION("""COMPUTED_VALUE"""),"")</f>
        <v/>
      </c>
      <c r="L880" s="5" t="str">
        <f>IFERROR(__xludf.DUMMYFUNCTION("""COMPUTED_VALUE"""),"")</f>
        <v/>
      </c>
      <c r="M880" s="5" t="str">
        <f>IFERROR(__xludf.DUMMYFUNCTION("""COMPUTED_VALUE"""),"")</f>
        <v/>
      </c>
      <c r="N880" s="5" t="str">
        <f>IFERROR(__xludf.DUMMYFUNCTION("""COMPUTED_VALUE"""),"")</f>
        <v/>
      </c>
      <c r="O880" s="5" t="str">
        <f>IFERROR(__xludf.DUMMYFUNCTION("""COMPUTED_VALUE"""),"")</f>
        <v/>
      </c>
      <c r="P880" s="5" t="str">
        <f>IFERROR(__xludf.DUMMYFUNCTION("""COMPUTED_VALUE"""),"")</f>
        <v/>
      </c>
      <c r="Q880" s="5" t="str">
        <f>IFERROR(__xludf.DUMMYFUNCTION("""COMPUTED_VALUE"""),"")</f>
        <v/>
      </c>
      <c r="R880" s="5" t="str">
        <f>IFERROR(__xludf.DUMMYFUNCTION("""COMPUTED_VALUE"""),"")</f>
        <v/>
      </c>
      <c r="S880" s="5" t="str">
        <f>IFERROR(__xludf.DUMMYFUNCTION("""COMPUTED_VALUE"""),"")</f>
        <v/>
      </c>
      <c r="T880" s="5" t="str">
        <f>IFERROR(__xludf.DUMMYFUNCTION("""COMPUTED_VALUE"""),"")</f>
        <v/>
      </c>
      <c r="U880" s="5" t="str">
        <f>IFERROR(__xludf.DUMMYFUNCTION("""COMPUTED_VALUE"""),"")</f>
        <v/>
      </c>
      <c r="V880" s="5" t="str">
        <f>IFERROR(__xludf.DUMMYFUNCTION("""COMPUTED_VALUE"""),"")</f>
        <v/>
      </c>
      <c r="W880" s="5" t="str">
        <f>IFERROR(__xludf.DUMMYFUNCTION("""COMPUTED_VALUE"""),"")</f>
        <v/>
      </c>
      <c r="X880" s="5" t="str">
        <f>IFERROR(__xludf.DUMMYFUNCTION("""COMPUTED_VALUE"""),"")</f>
        <v/>
      </c>
      <c r="Y880" s="5"/>
      <c r="Z880" s="5"/>
    </row>
    <row r="881">
      <c r="A881" s="5"/>
      <c r="B881" s="5" t="str">
        <f>IFERROR(__xludf.DUMMYFUNCTION("""COMPUTED_VALUE"""),"")</f>
        <v/>
      </c>
      <c r="C881" s="5" t="str">
        <f>IFERROR(__xludf.DUMMYFUNCTION("""COMPUTED_VALUE"""),"")</f>
        <v/>
      </c>
      <c r="D881" s="5" t="str">
        <f>IFERROR(__xludf.DUMMYFUNCTION("""COMPUTED_VALUE"""),"")</f>
        <v/>
      </c>
      <c r="E881" s="5" t="str">
        <f>IFERROR(__xludf.DUMMYFUNCTION("""COMPUTED_VALUE"""),"")</f>
        <v/>
      </c>
      <c r="F881" s="5" t="str">
        <f>IFERROR(__xludf.DUMMYFUNCTION("""COMPUTED_VALUE"""),"")</f>
        <v/>
      </c>
      <c r="G881" s="5" t="str">
        <f>IFERROR(__xludf.DUMMYFUNCTION("""COMPUTED_VALUE"""),"")</f>
        <v/>
      </c>
      <c r="H881" s="5" t="str">
        <f>IFERROR(__xludf.DUMMYFUNCTION("""COMPUTED_VALUE"""),"")</f>
        <v/>
      </c>
      <c r="I881" s="5" t="str">
        <f>IFERROR(__xludf.DUMMYFUNCTION("""COMPUTED_VALUE"""),"")</f>
        <v/>
      </c>
      <c r="J881" s="5" t="str">
        <f>IFERROR(__xludf.DUMMYFUNCTION("""COMPUTED_VALUE"""),"")</f>
        <v/>
      </c>
      <c r="K881" s="5" t="str">
        <f>IFERROR(__xludf.DUMMYFUNCTION("""COMPUTED_VALUE"""),"")</f>
        <v/>
      </c>
      <c r="L881" s="5" t="str">
        <f>IFERROR(__xludf.DUMMYFUNCTION("""COMPUTED_VALUE"""),"")</f>
        <v/>
      </c>
      <c r="M881" s="5" t="str">
        <f>IFERROR(__xludf.DUMMYFUNCTION("""COMPUTED_VALUE"""),"")</f>
        <v/>
      </c>
      <c r="N881" s="5" t="str">
        <f>IFERROR(__xludf.DUMMYFUNCTION("""COMPUTED_VALUE"""),"")</f>
        <v/>
      </c>
      <c r="O881" s="5" t="str">
        <f>IFERROR(__xludf.DUMMYFUNCTION("""COMPUTED_VALUE"""),"")</f>
        <v/>
      </c>
      <c r="P881" s="5" t="str">
        <f>IFERROR(__xludf.DUMMYFUNCTION("""COMPUTED_VALUE"""),"")</f>
        <v/>
      </c>
      <c r="Q881" s="5" t="str">
        <f>IFERROR(__xludf.DUMMYFUNCTION("""COMPUTED_VALUE"""),"")</f>
        <v/>
      </c>
      <c r="R881" s="5" t="str">
        <f>IFERROR(__xludf.DUMMYFUNCTION("""COMPUTED_VALUE"""),"")</f>
        <v/>
      </c>
      <c r="S881" s="5" t="str">
        <f>IFERROR(__xludf.DUMMYFUNCTION("""COMPUTED_VALUE"""),"")</f>
        <v/>
      </c>
      <c r="T881" s="5" t="str">
        <f>IFERROR(__xludf.DUMMYFUNCTION("""COMPUTED_VALUE"""),"")</f>
        <v/>
      </c>
      <c r="U881" s="5" t="str">
        <f>IFERROR(__xludf.DUMMYFUNCTION("""COMPUTED_VALUE"""),"")</f>
        <v/>
      </c>
      <c r="V881" s="5" t="str">
        <f>IFERROR(__xludf.DUMMYFUNCTION("""COMPUTED_VALUE"""),"")</f>
        <v/>
      </c>
      <c r="W881" s="5" t="str">
        <f>IFERROR(__xludf.DUMMYFUNCTION("""COMPUTED_VALUE"""),"")</f>
        <v/>
      </c>
      <c r="X881" s="5" t="str">
        <f>IFERROR(__xludf.DUMMYFUNCTION("""COMPUTED_VALUE"""),"")</f>
        <v/>
      </c>
      <c r="Y881" s="5"/>
      <c r="Z881" s="5"/>
    </row>
    <row r="882">
      <c r="A882" s="5"/>
      <c r="B882" s="5" t="str">
        <f>IFERROR(__xludf.DUMMYFUNCTION("""COMPUTED_VALUE"""),"")</f>
        <v/>
      </c>
      <c r="C882" s="5" t="str">
        <f>IFERROR(__xludf.DUMMYFUNCTION("""COMPUTED_VALUE"""),"")</f>
        <v/>
      </c>
      <c r="D882" s="5" t="str">
        <f>IFERROR(__xludf.DUMMYFUNCTION("""COMPUTED_VALUE"""),"")</f>
        <v/>
      </c>
      <c r="E882" s="5" t="str">
        <f>IFERROR(__xludf.DUMMYFUNCTION("""COMPUTED_VALUE"""),"")</f>
        <v/>
      </c>
      <c r="F882" s="5" t="str">
        <f>IFERROR(__xludf.DUMMYFUNCTION("""COMPUTED_VALUE"""),"")</f>
        <v/>
      </c>
      <c r="G882" s="5" t="str">
        <f>IFERROR(__xludf.DUMMYFUNCTION("""COMPUTED_VALUE"""),"")</f>
        <v/>
      </c>
      <c r="H882" s="5" t="str">
        <f>IFERROR(__xludf.DUMMYFUNCTION("""COMPUTED_VALUE"""),"")</f>
        <v/>
      </c>
      <c r="I882" s="5" t="str">
        <f>IFERROR(__xludf.DUMMYFUNCTION("""COMPUTED_VALUE"""),"")</f>
        <v/>
      </c>
      <c r="J882" s="5" t="str">
        <f>IFERROR(__xludf.DUMMYFUNCTION("""COMPUTED_VALUE"""),"")</f>
        <v/>
      </c>
      <c r="K882" s="5" t="str">
        <f>IFERROR(__xludf.DUMMYFUNCTION("""COMPUTED_VALUE"""),"")</f>
        <v/>
      </c>
      <c r="L882" s="5" t="str">
        <f>IFERROR(__xludf.DUMMYFUNCTION("""COMPUTED_VALUE"""),"")</f>
        <v/>
      </c>
      <c r="M882" s="5" t="str">
        <f>IFERROR(__xludf.DUMMYFUNCTION("""COMPUTED_VALUE"""),"")</f>
        <v/>
      </c>
      <c r="N882" s="5" t="str">
        <f>IFERROR(__xludf.DUMMYFUNCTION("""COMPUTED_VALUE"""),"")</f>
        <v/>
      </c>
      <c r="O882" s="5" t="str">
        <f>IFERROR(__xludf.DUMMYFUNCTION("""COMPUTED_VALUE"""),"")</f>
        <v/>
      </c>
      <c r="P882" s="5" t="str">
        <f>IFERROR(__xludf.DUMMYFUNCTION("""COMPUTED_VALUE"""),"")</f>
        <v/>
      </c>
      <c r="Q882" s="5" t="str">
        <f>IFERROR(__xludf.DUMMYFUNCTION("""COMPUTED_VALUE"""),"")</f>
        <v/>
      </c>
      <c r="R882" s="5" t="str">
        <f>IFERROR(__xludf.DUMMYFUNCTION("""COMPUTED_VALUE"""),"")</f>
        <v/>
      </c>
      <c r="S882" s="5" t="str">
        <f>IFERROR(__xludf.DUMMYFUNCTION("""COMPUTED_VALUE"""),"")</f>
        <v/>
      </c>
      <c r="T882" s="5" t="str">
        <f>IFERROR(__xludf.DUMMYFUNCTION("""COMPUTED_VALUE"""),"")</f>
        <v/>
      </c>
      <c r="U882" s="5" t="str">
        <f>IFERROR(__xludf.DUMMYFUNCTION("""COMPUTED_VALUE"""),"")</f>
        <v/>
      </c>
      <c r="V882" s="5" t="str">
        <f>IFERROR(__xludf.DUMMYFUNCTION("""COMPUTED_VALUE"""),"")</f>
        <v/>
      </c>
      <c r="W882" s="5" t="str">
        <f>IFERROR(__xludf.DUMMYFUNCTION("""COMPUTED_VALUE"""),"")</f>
        <v/>
      </c>
      <c r="X882" s="5" t="str">
        <f>IFERROR(__xludf.DUMMYFUNCTION("""COMPUTED_VALUE"""),"")</f>
        <v/>
      </c>
      <c r="Y882" s="5"/>
      <c r="Z882" s="5"/>
    </row>
    <row r="883">
      <c r="A883" s="5"/>
      <c r="B883" s="5" t="str">
        <f>IFERROR(__xludf.DUMMYFUNCTION("""COMPUTED_VALUE"""),"")</f>
        <v/>
      </c>
      <c r="C883" s="5" t="str">
        <f>IFERROR(__xludf.DUMMYFUNCTION("""COMPUTED_VALUE"""),"")</f>
        <v/>
      </c>
      <c r="D883" s="5" t="str">
        <f>IFERROR(__xludf.DUMMYFUNCTION("""COMPUTED_VALUE"""),"")</f>
        <v/>
      </c>
      <c r="E883" s="5" t="str">
        <f>IFERROR(__xludf.DUMMYFUNCTION("""COMPUTED_VALUE"""),"")</f>
        <v/>
      </c>
      <c r="F883" s="5" t="str">
        <f>IFERROR(__xludf.DUMMYFUNCTION("""COMPUTED_VALUE"""),"")</f>
        <v/>
      </c>
      <c r="G883" s="5" t="str">
        <f>IFERROR(__xludf.DUMMYFUNCTION("""COMPUTED_VALUE"""),"")</f>
        <v/>
      </c>
      <c r="H883" s="5" t="str">
        <f>IFERROR(__xludf.DUMMYFUNCTION("""COMPUTED_VALUE"""),"")</f>
        <v/>
      </c>
      <c r="I883" s="5" t="str">
        <f>IFERROR(__xludf.DUMMYFUNCTION("""COMPUTED_VALUE"""),"")</f>
        <v/>
      </c>
      <c r="J883" s="5" t="str">
        <f>IFERROR(__xludf.DUMMYFUNCTION("""COMPUTED_VALUE"""),"")</f>
        <v/>
      </c>
      <c r="K883" s="5" t="str">
        <f>IFERROR(__xludf.DUMMYFUNCTION("""COMPUTED_VALUE"""),"")</f>
        <v/>
      </c>
      <c r="L883" s="5" t="str">
        <f>IFERROR(__xludf.DUMMYFUNCTION("""COMPUTED_VALUE"""),"")</f>
        <v/>
      </c>
      <c r="M883" s="5" t="str">
        <f>IFERROR(__xludf.DUMMYFUNCTION("""COMPUTED_VALUE"""),"")</f>
        <v/>
      </c>
      <c r="N883" s="5" t="str">
        <f>IFERROR(__xludf.DUMMYFUNCTION("""COMPUTED_VALUE"""),"")</f>
        <v/>
      </c>
      <c r="O883" s="5" t="str">
        <f>IFERROR(__xludf.DUMMYFUNCTION("""COMPUTED_VALUE"""),"")</f>
        <v/>
      </c>
      <c r="P883" s="5" t="str">
        <f>IFERROR(__xludf.DUMMYFUNCTION("""COMPUTED_VALUE"""),"")</f>
        <v/>
      </c>
      <c r="Q883" s="5" t="str">
        <f>IFERROR(__xludf.DUMMYFUNCTION("""COMPUTED_VALUE"""),"")</f>
        <v/>
      </c>
      <c r="R883" s="5" t="str">
        <f>IFERROR(__xludf.DUMMYFUNCTION("""COMPUTED_VALUE"""),"")</f>
        <v/>
      </c>
      <c r="S883" s="5" t="str">
        <f>IFERROR(__xludf.DUMMYFUNCTION("""COMPUTED_VALUE"""),"")</f>
        <v/>
      </c>
      <c r="T883" s="5" t="str">
        <f>IFERROR(__xludf.DUMMYFUNCTION("""COMPUTED_VALUE"""),"")</f>
        <v/>
      </c>
      <c r="U883" s="5" t="str">
        <f>IFERROR(__xludf.DUMMYFUNCTION("""COMPUTED_VALUE"""),"")</f>
        <v/>
      </c>
      <c r="V883" s="5" t="str">
        <f>IFERROR(__xludf.DUMMYFUNCTION("""COMPUTED_VALUE"""),"")</f>
        <v/>
      </c>
      <c r="W883" s="5" t="str">
        <f>IFERROR(__xludf.DUMMYFUNCTION("""COMPUTED_VALUE"""),"")</f>
        <v/>
      </c>
      <c r="X883" s="5" t="str">
        <f>IFERROR(__xludf.DUMMYFUNCTION("""COMPUTED_VALUE"""),"")</f>
        <v/>
      </c>
      <c r="Y883" s="5"/>
      <c r="Z883" s="5"/>
    </row>
    <row r="884">
      <c r="A884" s="5"/>
      <c r="B884" s="5" t="str">
        <f>IFERROR(__xludf.DUMMYFUNCTION("""COMPUTED_VALUE"""),"")</f>
        <v/>
      </c>
      <c r="C884" s="5" t="str">
        <f>IFERROR(__xludf.DUMMYFUNCTION("""COMPUTED_VALUE"""),"")</f>
        <v/>
      </c>
      <c r="D884" s="5" t="str">
        <f>IFERROR(__xludf.DUMMYFUNCTION("""COMPUTED_VALUE"""),"")</f>
        <v/>
      </c>
      <c r="E884" s="5" t="str">
        <f>IFERROR(__xludf.DUMMYFUNCTION("""COMPUTED_VALUE"""),"")</f>
        <v/>
      </c>
      <c r="F884" s="5" t="str">
        <f>IFERROR(__xludf.DUMMYFUNCTION("""COMPUTED_VALUE"""),"")</f>
        <v/>
      </c>
      <c r="G884" s="5" t="str">
        <f>IFERROR(__xludf.DUMMYFUNCTION("""COMPUTED_VALUE"""),"")</f>
        <v/>
      </c>
      <c r="H884" s="5" t="str">
        <f>IFERROR(__xludf.DUMMYFUNCTION("""COMPUTED_VALUE"""),"")</f>
        <v/>
      </c>
      <c r="I884" s="5" t="str">
        <f>IFERROR(__xludf.DUMMYFUNCTION("""COMPUTED_VALUE"""),"")</f>
        <v/>
      </c>
      <c r="J884" s="5" t="str">
        <f>IFERROR(__xludf.DUMMYFUNCTION("""COMPUTED_VALUE"""),"")</f>
        <v/>
      </c>
      <c r="K884" s="5" t="str">
        <f>IFERROR(__xludf.DUMMYFUNCTION("""COMPUTED_VALUE"""),"")</f>
        <v/>
      </c>
      <c r="L884" s="5" t="str">
        <f>IFERROR(__xludf.DUMMYFUNCTION("""COMPUTED_VALUE"""),"")</f>
        <v/>
      </c>
      <c r="M884" s="5" t="str">
        <f>IFERROR(__xludf.DUMMYFUNCTION("""COMPUTED_VALUE"""),"")</f>
        <v/>
      </c>
      <c r="N884" s="5" t="str">
        <f>IFERROR(__xludf.DUMMYFUNCTION("""COMPUTED_VALUE"""),"")</f>
        <v/>
      </c>
      <c r="O884" s="5" t="str">
        <f>IFERROR(__xludf.DUMMYFUNCTION("""COMPUTED_VALUE"""),"")</f>
        <v/>
      </c>
      <c r="P884" s="5" t="str">
        <f>IFERROR(__xludf.DUMMYFUNCTION("""COMPUTED_VALUE"""),"")</f>
        <v/>
      </c>
      <c r="Q884" s="5" t="str">
        <f>IFERROR(__xludf.DUMMYFUNCTION("""COMPUTED_VALUE"""),"")</f>
        <v/>
      </c>
      <c r="R884" s="5" t="str">
        <f>IFERROR(__xludf.DUMMYFUNCTION("""COMPUTED_VALUE"""),"")</f>
        <v/>
      </c>
      <c r="S884" s="5" t="str">
        <f>IFERROR(__xludf.DUMMYFUNCTION("""COMPUTED_VALUE"""),"")</f>
        <v/>
      </c>
      <c r="T884" s="5" t="str">
        <f>IFERROR(__xludf.DUMMYFUNCTION("""COMPUTED_VALUE"""),"")</f>
        <v/>
      </c>
      <c r="U884" s="5" t="str">
        <f>IFERROR(__xludf.DUMMYFUNCTION("""COMPUTED_VALUE"""),"")</f>
        <v/>
      </c>
      <c r="V884" s="5" t="str">
        <f>IFERROR(__xludf.DUMMYFUNCTION("""COMPUTED_VALUE"""),"")</f>
        <v/>
      </c>
      <c r="W884" s="5" t="str">
        <f>IFERROR(__xludf.DUMMYFUNCTION("""COMPUTED_VALUE"""),"")</f>
        <v/>
      </c>
      <c r="X884" s="5" t="str">
        <f>IFERROR(__xludf.DUMMYFUNCTION("""COMPUTED_VALUE"""),"")</f>
        <v/>
      </c>
      <c r="Y884" s="5"/>
      <c r="Z884" s="5"/>
    </row>
    <row r="885">
      <c r="A885" s="5"/>
      <c r="B885" s="5" t="str">
        <f>IFERROR(__xludf.DUMMYFUNCTION("""COMPUTED_VALUE"""),"")</f>
        <v/>
      </c>
      <c r="C885" s="5" t="str">
        <f>IFERROR(__xludf.DUMMYFUNCTION("""COMPUTED_VALUE"""),"")</f>
        <v/>
      </c>
      <c r="D885" s="5" t="str">
        <f>IFERROR(__xludf.DUMMYFUNCTION("""COMPUTED_VALUE"""),"")</f>
        <v/>
      </c>
      <c r="E885" s="5" t="str">
        <f>IFERROR(__xludf.DUMMYFUNCTION("""COMPUTED_VALUE"""),"")</f>
        <v/>
      </c>
      <c r="F885" s="5" t="str">
        <f>IFERROR(__xludf.DUMMYFUNCTION("""COMPUTED_VALUE"""),"")</f>
        <v/>
      </c>
      <c r="G885" s="5" t="str">
        <f>IFERROR(__xludf.DUMMYFUNCTION("""COMPUTED_VALUE"""),"")</f>
        <v/>
      </c>
      <c r="H885" s="5" t="str">
        <f>IFERROR(__xludf.DUMMYFUNCTION("""COMPUTED_VALUE"""),"")</f>
        <v/>
      </c>
      <c r="I885" s="5" t="str">
        <f>IFERROR(__xludf.DUMMYFUNCTION("""COMPUTED_VALUE"""),"")</f>
        <v/>
      </c>
      <c r="J885" s="5" t="str">
        <f>IFERROR(__xludf.DUMMYFUNCTION("""COMPUTED_VALUE"""),"")</f>
        <v/>
      </c>
      <c r="K885" s="5" t="str">
        <f>IFERROR(__xludf.DUMMYFUNCTION("""COMPUTED_VALUE"""),"")</f>
        <v/>
      </c>
      <c r="L885" s="5" t="str">
        <f>IFERROR(__xludf.DUMMYFUNCTION("""COMPUTED_VALUE"""),"")</f>
        <v/>
      </c>
      <c r="M885" s="5" t="str">
        <f>IFERROR(__xludf.DUMMYFUNCTION("""COMPUTED_VALUE"""),"")</f>
        <v/>
      </c>
      <c r="N885" s="5" t="str">
        <f>IFERROR(__xludf.DUMMYFUNCTION("""COMPUTED_VALUE"""),"")</f>
        <v/>
      </c>
      <c r="O885" s="5" t="str">
        <f>IFERROR(__xludf.DUMMYFUNCTION("""COMPUTED_VALUE"""),"")</f>
        <v/>
      </c>
      <c r="P885" s="5" t="str">
        <f>IFERROR(__xludf.DUMMYFUNCTION("""COMPUTED_VALUE"""),"")</f>
        <v/>
      </c>
      <c r="Q885" s="5" t="str">
        <f>IFERROR(__xludf.DUMMYFUNCTION("""COMPUTED_VALUE"""),"")</f>
        <v/>
      </c>
      <c r="R885" s="5" t="str">
        <f>IFERROR(__xludf.DUMMYFUNCTION("""COMPUTED_VALUE"""),"")</f>
        <v/>
      </c>
      <c r="S885" s="5" t="str">
        <f>IFERROR(__xludf.DUMMYFUNCTION("""COMPUTED_VALUE"""),"")</f>
        <v/>
      </c>
      <c r="T885" s="5" t="str">
        <f>IFERROR(__xludf.DUMMYFUNCTION("""COMPUTED_VALUE"""),"")</f>
        <v/>
      </c>
      <c r="U885" s="5" t="str">
        <f>IFERROR(__xludf.DUMMYFUNCTION("""COMPUTED_VALUE"""),"")</f>
        <v/>
      </c>
      <c r="V885" s="5" t="str">
        <f>IFERROR(__xludf.DUMMYFUNCTION("""COMPUTED_VALUE"""),"")</f>
        <v/>
      </c>
      <c r="W885" s="5" t="str">
        <f>IFERROR(__xludf.DUMMYFUNCTION("""COMPUTED_VALUE"""),"")</f>
        <v/>
      </c>
      <c r="X885" s="5" t="str">
        <f>IFERROR(__xludf.DUMMYFUNCTION("""COMPUTED_VALUE"""),"")</f>
        <v/>
      </c>
      <c r="Y885" s="5"/>
      <c r="Z885" s="5"/>
    </row>
    <row r="886">
      <c r="A886" s="5"/>
      <c r="B886" s="5" t="str">
        <f>IFERROR(__xludf.DUMMYFUNCTION("""COMPUTED_VALUE"""),"")</f>
        <v/>
      </c>
      <c r="C886" s="5" t="str">
        <f>IFERROR(__xludf.DUMMYFUNCTION("""COMPUTED_VALUE"""),"")</f>
        <v/>
      </c>
      <c r="D886" s="5" t="str">
        <f>IFERROR(__xludf.DUMMYFUNCTION("""COMPUTED_VALUE"""),"")</f>
        <v/>
      </c>
      <c r="E886" s="5" t="str">
        <f>IFERROR(__xludf.DUMMYFUNCTION("""COMPUTED_VALUE"""),"")</f>
        <v/>
      </c>
      <c r="F886" s="5" t="str">
        <f>IFERROR(__xludf.DUMMYFUNCTION("""COMPUTED_VALUE"""),"")</f>
        <v/>
      </c>
      <c r="G886" s="5" t="str">
        <f>IFERROR(__xludf.DUMMYFUNCTION("""COMPUTED_VALUE"""),"")</f>
        <v/>
      </c>
      <c r="H886" s="5" t="str">
        <f>IFERROR(__xludf.DUMMYFUNCTION("""COMPUTED_VALUE"""),"")</f>
        <v/>
      </c>
      <c r="I886" s="5" t="str">
        <f>IFERROR(__xludf.DUMMYFUNCTION("""COMPUTED_VALUE"""),"")</f>
        <v/>
      </c>
      <c r="J886" s="5" t="str">
        <f>IFERROR(__xludf.DUMMYFUNCTION("""COMPUTED_VALUE"""),"")</f>
        <v/>
      </c>
      <c r="K886" s="5" t="str">
        <f>IFERROR(__xludf.DUMMYFUNCTION("""COMPUTED_VALUE"""),"")</f>
        <v/>
      </c>
      <c r="L886" s="5" t="str">
        <f>IFERROR(__xludf.DUMMYFUNCTION("""COMPUTED_VALUE"""),"")</f>
        <v/>
      </c>
      <c r="M886" s="5" t="str">
        <f>IFERROR(__xludf.DUMMYFUNCTION("""COMPUTED_VALUE"""),"")</f>
        <v/>
      </c>
      <c r="N886" s="5" t="str">
        <f>IFERROR(__xludf.DUMMYFUNCTION("""COMPUTED_VALUE"""),"")</f>
        <v/>
      </c>
      <c r="O886" s="5" t="str">
        <f>IFERROR(__xludf.DUMMYFUNCTION("""COMPUTED_VALUE"""),"")</f>
        <v/>
      </c>
      <c r="P886" s="5" t="str">
        <f>IFERROR(__xludf.DUMMYFUNCTION("""COMPUTED_VALUE"""),"")</f>
        <v/>
      </c>
      <c r="Q886" s="5" t="str">
        <f>IFERROR(__xludf.DUMMYFUNCTION("""COMPUTED_VALUE"""),"")</f>
        <v/>
      </c>
      <c r="R886" s="5" t="str">
        <f>IFERROR(__xludf.DUMMYFUNCTION("""COMPUTED_VALUE"""),"")</f>
        <v/>
      </c>
      <c r="S886" s="5" t="str">
        <f>IFERROR(__xludf.DUMMYFUNCTION("""COMPUTED_VALUE"""),"")</f>
        <v/>
      </c>
      <c r="T886" s="5" t="str">
        <f>IFERROR(__xludf.DUMMYFUNCTION("""COMPUTED_VALUE"""),"")</f>
        <v/>
      </c>
      <c r="U886" s="5" t="str">
        <f>IFERROR(__xludf.DUMMYFUNCTION("""COMPUTED_VALUE"""),"")</f>
        <v/>
      </c>
      <c r="V886" s="5" t="str">
        <f>IFERROR(__xludf.DUMMYFUNCTION("""COMPUTED_VALUE"""),"")</f>
        <v/>
      </c>
      <c r="W886" s="5" t="str">
        <f>IFERROR(__xludf.DUMMYFUNCTION("""COMPUTED_VALUE"""),"")</f>
        <v/>
      </c>
      <c r="X886" s="5" t="str">
        <f>IFERROR(__xludf.DUMMYFUNCTION("""COMPUTED_VALUE"""),"")</f>
        <v/>
      </c>
      <c r="Y886" s="5"/>
      <c r="Z886" s="5"/>
    </row>
    <row r="887">
      <c r="A887" s="5"/>
      <c r="B887" s="5" t="str">
        <f>IFERROR(__xludf.DUMMYFUNCTION("""COMPUTED_VALUE"""),"")</f>
        <v/>
      </c>
      <c r="C887" s="5" t="str">
        <f>IFERROR(__xludf.DUMMYFUNCTION("""COMPUTED_VALUE"""),"")</f>
        <v/>
      </c>
      <c r="D887" s="5" t="str">
        <f>IFERROR(__xludf.DUMMYFUNCTION("""COMPUTED_VALUE"""),"")</f>
        <v/>
      </c>
      <c r="E887" s="5" t="str">
        <f>IFERROR(__xludf.DUMMYFUNCTION("""COMPUTED_VALUE"""),"")</f>
        <v/>
      </c>
      <c r="F887" s="5" t="str">
        <f>IFERROR(__xludf.DUMMYFUNCTION("""COMPUTED_VALUE"""),"")</f>
        <v/>
      </c>
      <c r="G887" s="5" t="str">
        <f>IFERROR(__xludf.DUMMYFUNCTION("""COMPUTED_VALUE"""),"")</f>
        <v/>
      </c>
      <c r="H887" s="5" t="str">
        <f>IFERROR(__xludf.DUMMYFUNCTION("""COMPUTED_VALUE"""),"")</f>
        <v/>
      </c>
      <c r="I887" s="5" t="str">
        <f>IFERROR(__xludf.DUMMYFUNCTION("""COMPUTED_VALUE"""),"")</f>
        <v/>
      </c>
      <c r="J887" s="5" t="str">
        <f>IFERROR(__xludf.DUMMYFUNCTION("""COMPUTED_VALUE"""),"")</f>
        <v/>
      </c>
      <c r="K887" s="5" t="str">
        <f>IFERROR(__xludf.DUMMYFUNCTION("""COMPUTED_VALUE"""),"")</f>
        <v/>
      </c>
      <c r="L887" s="5" t="str">
        <f>IFERROR(__xludf.DUMMYFUNCTION("""COMPUTED_VALUE"""),"")</f>
        <v/>
      </c>
      <c r="M887" s="5" t="str">
        <f>IFERROR(__xludf.DUMMYFUNCTION("""COMPUTED_VALUE"""),"")</f>
        <v/>
      </c>
      <c r="N887" s="5" t="str">
        <f>IFERROR(__xludf.DUMMYFUNCTION("""COMPUTED_VALUE"""),"")</f>
        <v/>
      </c>
      <c r="O887" s="5" t="str">
        <f>IFERROR(__xludf.DUMMYFUNCTION("""COMPUTED_VALUE"""),"")</f>
        <v/>
      </c>
      <c r="P887" s="5" t="str">
        <f>IFERROR(__xludf.DUMMYFUNCTION("""COMPUTED_VALUE"""),"")</f>
        <v/>
      </c>
      <c r="Q887" s="5" t="str">
        <f>IFERROR(__xludf.DUMMYFUNCTION("""COMPUTED_VALUE"""),"")</f>
        <v/>
      </c>
      <c r="R887" s="5" t="str">
        <f>IFERROR(__xludf.DUMMYFUNCTION("""COMPUTED_VALUE"""),"")</f>
        <v/>
      </c>
      <c r="S887" s="5" t="str">
        <f>IFERROR(__xludf.DUMMYFUNCTION("""COMPUTED_VALUE"""),"")</f>
        <v/>
      </c>
      <c r="T887" s="5" t="str">
        <f>IFERROR(__xludf.DUMMYFUNCTION("""COMPUTED_VALUE"""),"")</f>
        <v/>
      </c>
      <c r="U887" s="5" t="str">
        <f>IFERROR(__xludf.DUMMYFUNCTION("""COMPUTED_VALUE"""),"")</f>
        <v/>
      </c>
      <c r="V887" s="5" t="str">
        <f>IFERROR(__xludf.DUMMYFUNCTION("""COMPUTED_VALUE"""),"")</f>
        <v/>
      </c>
      <c r="W887" s="5" t="str">
        <f>IFERROR(__xludf.DUMMYFUNCTION("""COMPUTED_VALUE"""),"")</f>
        <v/>
      </c>
      <c r="X887" s="5" t="str">
        <f>IFERROR(__xludf.DUMMYFUNCTION("""COMPUTED_VALUE"""),"")</f>
        <v/>
      </c>
      <c r="Y887" s="5"/>
      <c r="Z887" s="5"/>
    </row>
    <row r="888">
      <c r="A888" s="5"/>
      <c r="B888" s="5" t="str">
        <f>IFERROR(__xludf.DUMMYFUNCTION("""COMPUTED_VALUE"""),"")</f>
        <v/>
      </c>
      <c r="C888" s="5" t="str">
        <f>IFERROR(__xludf.DUMMYFUNCTION("""COMPUTED_VALUE"""),"")</f>
        <v/>
      </c>
      <c r="D888" s="5" t="str">
        <f>IFERROR(__xludf.DUMMYFUNCTION("""COMPUTED_VALUE"""),"")</f>
        <v/>
      </c>
      <c r="E888" s="5" t="str">
        <f>IFERROR(__xludf.DUMMYFUNCTION("""COMPUTED_VALUE"""),"")</f>
        <v/>
      </c>
      <c r="F888" s="5" t="str">
        <f>IFERROR(__xludf.DUMMYFUNCTION("""COMPUTED_VALUE"""),"")</f>
        <v/>
      </c>
      <c r="G888" s="5" t="str">
        <f>IFERROR(__xludf.DUMMYFUNCTION("""COMPUTED_VALUE"""),"")</f>
        <v/>
      </c>
      <c r="H888" s="5" t="str">
        <f>IFERROR(__xludf.DUMMYFUNCTION("""COMPUTED_VALUE"""),"")</f>
        <v/>
      </c>
      <c r="I888" s="5" t="str">
        <f>IFERROR(__xludf.DUMMYFUNCTION("""COMPUTED_VALUE"""),"")</f>
        <v/>
      </c>
      <c r="J888" s="5" t="str">
        <f>IFERROR(__xludf.DUMMYFUNCTION("""COMPUTED_VALUE"""),"")</f>
        <v/>
      </c>
      <c r="K888" s="5" t="str">
        <f>IFERROR(__xludf.DUMMYFUNCTION("""COMPUTED_VALUE"""),"")</f>
        <v/>
      </c>
      <c r="L888" s="5" t="str">
        <f>IFERROR(__xludf.DUMMYFUNCTION("""COMPUTED_VALUE"""),"")</f>
        <v/>
      </c>
      <c r="M888" s="5" t="str">
        <f>IFERROR(__xludf.DUMMYFUNCTION("""COMPUTED_VALUE"""),"")</f>
        <v/>
      </c>
      <c r="N888" s="5" t="str">
        <f>IFERROR(__xludf.DUMMYFUNCTION("""COMPUTED_VALUE"""),"")</f>
        <v/>
      </c>
      <c r="O888" s="5" t="str">
        <f>IFERROR(__xludf.DUMMYFUNCTION("""COMPUTED_VALUE"""),"")</f>
        <v/>
      </c>
      <c r="P888" s="5" t="str">
        <f>IFERROR(__xludf.DUMMYFUNCTION("""COMPUTED_VALUE"""),"")</f>
        <v/>
      </c>
      <c r="Q888" s="5" t="str">
        <f>IFERROR(__xludf.DUMMYFUNCTION("""COMPUTED_VALUE"""),"")</f>
        <v/>
      </c>
      <c r="R888" s="5" t="str">
        <f>IFERROR(__xludf.DUMMYFUNCTION("""COMPUTED_VALUE"""),"")</f>
        <v/>
      </c>
      <c r="S888" s="5" t="str">
        <f>IFERROR(__xludf.DUMMYFUNCTION("""COMPUTED_VALUE"""),"")</f>
        <v/>
      </c>
      <c r="T888" s="5" t="str">
        <f>IFERROR(__xludf.DUMMYFUNCTION("""COMPUTED_VALUE"""),"")</f>
        <v/>
      </c>
      <c r="U888" s="5" t="str">
        <f>IFERROR(__xludf.DUMMYFUNCTION("""COMPUTED_VALUE"""),"")</f>
        <v/>
      </c>
      <c r="V888" s="5" t="str">
        <f>IFERROR(__xludf.DUMMYFUNCTION("""COMPUTED_VALUE"""),"")</f>
        <v/>
      </c>
      <c r="W888" s="5" t="str">
        <f>IFERROR(__xludf.DUMMYFUNCTION("""COMPUTED_VALUE"""),"")</f>
        <v/>
      </c>
      <c r="X888" s="5" t="str">
        <f>IFERROR(__xludf.DUMMYFUNCTION("""COMPUTED_VALUE"""),"")</f>
        <v/>
      </c>
      <c r="Y888" s="5"/>
      <c r="Z888" s="5"/>
    </row>
    <row r="889">
      <c r="A889" s="5"/>
      <c r="B889" s="5" t="str">
        <f>IFERROR(__xludf.DUMMYFUNCTION("""COMPUTED_VALUE"""),"")</f>
        <v/>
      </c>
      <c r="C889" s="5" t="str">
        <f>IFERROR(__xludf.DUMMYFUNCTION("""COMPUTED_VALUE"""),"")</f>
        <v/>
      </c>
      <c r="D889" s="5" t="str">
        <f>IFERROR(__xludf.DUMMYFUNCTION("""COMPUTED_VALUE"""),"")</f>
        <v/>
      </c>
      <c r="E889" s="5" t="str">
        <f>IFERROR(__xludf.DUMMYFUNCTION("""COMPUTED_VALUE"""),"")</f>
        <v/>
      </c>
      <c r="F889" s="5" t="str">
        <f>IFERROR(__xludf.DUMMYFUNCTION("""COMPUTED_VALUE"""),"")</f>
        <v/>
      </c>
      <c r="G889" s="5" t="str">
        <f>IFERROR(__xludf.DUMMYFUNCTION("""COMPUTED_VALUE"""),"")</f>
        <v/>
      </c>
      <c r="H889" s="5" t="str">
        <f>IFERROR(__xludf.DUMMYFUNCTION("""COMPUTED_VALUE"""),"")</f>
        <v/>
      </c>
      <c r="I889" s="5" t="str">
        <f>IFERROR(__xludf.DUMMYFUNCTION("""COMPUTED_VALUE"""),"")</f>
        <v/>
      </c>
      <c r="J889" s="5" t="str">
        <f>IFERROR(__xludf.DUMMYFUNCTION("""COMPUTED_VALUE"""),"")</f>
        <v/>
      </c>
      <c r="K889" s="5" t="str">
        <f>IFERROR(__xludf.DUMMYFUNCTION("""COMPUTED_VALUE"""),"")</f>
        <v/>
      </c>
      <c r="L889" s="5" t="str">
        <f>IFERROR(__xludf.DUMMYFUNCTION("""COMPUTED_VALUE"""),"")</f>
        <v/>
      </c>
      <c r="M889" s="5" t="str">
        <f>IFERROR(__xludf.DUMMYFUNCTION("""COMPUTED_VALUE"""),"")</f>
        <v/>
      </c>
      <c r="N889" s="5" t="str">
        <f>IFERROR(__xludf.DUMMYFUNCTION("""COMPUTED_VALUE"""),"")</f>
        <v/>
      </c>
      <c r="O889" s="5" t="str">
        <f>IFERROR(__xludf.DUMMYFUNCTION("""COMPUTED_VALUE"""),"")</f>
        <v/>
      </c>
      <c r="P889" s="5" t="str">
        <f>IFERROR(__xludf.DUMMYFUNCTION("""COMPUTED_VALUE"""),"")</f>
        <v/>
      </c>
      <c r="Q889" s="5" t="str">
        <f>IFERROR(__xludf.DUMMYFUNCTION("""COMPUTED_VALUE"""),"")</f>
        <v/>
      </c>
      <c r="R889" s="5" t="str">
        <f>IFERROR(__xludf.DUMMYFUNCTION("""COMPUTED_VALUE"""),"")</f>
        <v/>
      </c>
      <c r="S889" s="5" t="str">
        <f>IFERROR(__xludf.DUMMYFUNCTION("""COMPUTED_VALUE"""),"")</f>
        <v/>
      </c>
      <c r="T889" s="5" t="str">
        <f>IFERROR(__xludf.DUMMYFUNCTION("""COMPUTED_VALUE"""),"")</f>
        <v/>
      </c>
      <c r="U889" s="5" t="str">
        <f>IFERROR(__xludf.DUMMYFUNCTION("""COMPUTED_VALUE"""),"")</f>
        <v/>
      </c>
      <c r="V889" s="5" t="str">
        <f>IFERROR(__xludf.DUMMYFUNCTION("""COMPUTED_VALUE"""),"")</f>
        <v/>
      </c>
      <c r="W889" s="5" t="str">
        <f>IFERROR(__xludf.DUMMYFUNCTION("""COMPUTED_VALUE"""),"")</f>
        <v/>
      </c>
      <c r="X889" s="5" t="str">
        <f>IFERROR(__xludf.DUMMYFUNCTION("""COMPUTED_VALUE"""),"")</f>
        <v/>
      </c>
      <c r="Y889" s="5"/>
      <c r="Z889" s="5"/>
    </row>
    <row r="890">
      <c r="A890" s="5"/>
      <c r="B890" s="5" t="str">
        <f>IFERROR(__xludf.DUMMYFUNCTION("""COMPUTED_VALUE"""),"")</f>
        <v/>
      </c>
      <c r="C890" s="5" t="str">
        <f>IFERROR(__xludf.DUMMYFUNCTION("""COMPUTED_VALUE"""),"")</f>
        <v/>
      </c>
      <c r="D890" s="5" t="str">
        <f>IFERROR(__xludf.DUMMYFUNCTION("""COMPUTED_VALUE"""),"")</f>
        <v/>
      </c>
      <c r="E890" s="5" t="str">
        <f>IFERROR(__xludf.DUMMYFUNCTION("""COMPUTED_VALUE"""),"")</f>
        <v/>
      </c>
      <c r="F890" s="5" t="str">
        <f>IFERROR(__xludf.DUMMYFUNCTION("""COMPUTED_VALUE"""),"")</f>
        <v/>
      </c>
      <c r="G890" s="5" t="str">
        <f>IFERROR(__xludf.DUMMYFUNCTION("""COMPUTED_VALUE"""),"")</f>
        <v/>
      </c>
      <c r="H890" s="5" t="str">
        <f>IFERROR(__xludf.DUMMYFUNCTION("""COMPUTED_VALUE"""),"")</f>
        <v/>
      </c>
      <c r="I890" s="5" t="str">
        <f>IFERROR(__xludf.DUMMYFUNCTION("""COMPUTED_VALUE"""),"")</f>
        <v/>
      </c>
      <c r="J890" s="5" t="str">
        <f>IFERROR(__xludf.DUMMYFUNCTION("""COMPUTED_VALUE"""),"")</f>
        <v/>
      </c>
      <c r="K890" s="5" t="str">
        <f>IFERROR(__xludf.DUMMYFUNCTION("""COMPUTED_VALUE"""),"")</f>
        <v/>
      </c>
      <c r="L890" s="5" t="str">
        <f>IFERROR(__xludf.DUMMYFUNCTION("""COMPUTED_VALUE"""),"")</f>
        <v/>
      </c>
      <c r="M890" s="5" t="str">
        <f>IFERROR(__xludf.DUMMYFUNCTION("""COMPUTED_VALUE"""),"")</f>
        <v/>
      </c>
      <c r="N890" s="5" t="str">
        <f>IFERROR(__xludf.DUMMYFUNCTION("""COMPUTED_VALUE"""),"")</f>
        <v/>
      </c>
      <c r="O890" s="5" t="str">
        <f>IFERROR(__xludf.DUMMYFUNCTION("""COMPUTED_VALUE"""),"")</f>
        <v/>
      </c>
      <c r="P890" s="5" t="str">
        <f>IFERROR(__xludf.DUMMYFUNCTION("""COMPUTED_VALUE"""),"")</f>
        <v/>
      </c>
      <c r="Q890" s="5" t="str">
        <f>IFERROR(__xludf.DUMMYFUNCTION("""COMPUTED_VALUE"""),"")</f>
        <v/>
      </c>
      <c r="R890" s="5" t="str">
        <f>IFERROR(__xludf.DUMMYFUNCTION("""COMPUTED_VALUE"""),"")</f>
        <v/>
      </c>
      <c r="S890" s="5" t="str">
        <f>IFERROR(__xludf.DUMMYFUNCTION("""COMPUTED_VALUE"""),"")</f>
        <v/>
      </c>
      <c r="T890" s="5" t="str">
        <f>IFERROR(__xludf.DUMMYFUNCTION("""COMPUTED_VALUE"""),"")</f>
        <v/>
      </c>
      <c r="U890" s="5" t="str">
        <f>IFERROR(__xludf.DUMMYFUNCTION("""COMPUTED_VALUE"""),"")</f>
        <v/>
      </c>
      <c r="V890" s="5" t="str">
        <f>IFERROR(__xludf.DUMMYFUNCTION("""COMPUTED_VALUE"""),"")</f>
        <v/>
      </c>
      <c r="W890" s="5" t="str">
        <f>IFERROR(__xludf.DUMMYFUNCTION("""COMPUTED_VALUE"""),"")</f>
        <v/>
      </c>
      <c r="X890" s="5" t="str">
        <f>IFERROR(__xludf.DUMMYFUNCTION("""COMPUTED_VALUE"""),"")</f>
        <v/>
      </c>
      <c r="Y890" s="5"/>
      <c r="Z890" s="5"/>
    </row>
    <row r="891">
      <c r="A891" s="5"/>
      <c r="B891" s="5" t="str">
        <f>IFERROR(__xludf.DUMMYFUNCTION("""COMPUTED_VALUE"""),"")</f>
        <v/>
      </c>
      <c r="C891" s="5" t="str">
        <f>IFERROR(__xludf.DUMMYFUNCTION("""COMPUTED_VALUE"""),"")</f>
        <v/>
      </c>
      <c r="D891" s="5" t="str">
        <f>IFERROR(__xludf.DUMMYFUNCTION("""COMPUTED_VALUE"""),"")</f>
        <v/>
      </c>
      <c r="E891" s="5" t="str">
        <f>IFERROR(__xludf.DUMMYFUNCTION("""COMPUTED_VALUE"""),"")</f>
        <v/>
      </c>
      <c r="F891" s="5" t="str">
        <f>IFERROR(__xludf.DUMMYFUNCTION("""COMPUTED_VALUE"""),"")</f>
        <v/>
      </c>
      <c r="G891" s="5" t="str">
        <f>IFERROR(__xludf.DUMMYFUNCTION("""COMPUTED_VALUE"""),"")</f>
        <v/>
      </c>
      <c r="H891" s="5" t="str">
        <f>IFERROR(__xludf.DUMMYFUNCTION("""COMPUTED_VALUE"""),"")</f>
        <v/>
      </c>
      <c r="I891" s="5" t="str">
        <f>IFERROR(__xludf.DUMMYFUNCTION("""COMPUTED_VALUE"""),"")</f>
        <v/>
      </c>
      <c r="J891" s="5" t="str">
        <f>IFERROR(__xludf.DUMMYFUNCTION("""COMPUTED_VALUE"""),"")</f>
        <v/>
      </c>
      <c r="K891" s="5" t="str">
        <f>IFERROR(__xludf.DUMMYFUNCTION("""COMPUTED_VALUE"""),"")</f>
        <v/>
      </c>
      <c r="L891" s="5" t="str">
        <f>IFERROR(__xludf.DUMMYFUNCTION("""COMPUTED_VALUE"""),"")</f>
        <v/>
      </c>
      <c r="M891" s="5" t="str">
        <f>IFERROR(__xludf.DUMMYFUNCTION("""COMPUTED_VALUE"""),"")</f>
        <v/>
      </c>
      <c r="N891" s="5" t="str">
        <f>IFERROR(__xludf.DUMMYFUNCTION("""COMPUTED_VALUE"""),"")</f>
        <v/>
      </c>
      <c r="O891" s="5" t="str">
        <f>IFERROR(__xludf.DUMMYFUNCTION("""COMPUTED_VALUE"""),"")</f>
        <v/>
      </c>
      <c r="P891" s="5" t="str">
        <f>IFERROR(__xludf.DUMMYFUNCTION("""COMPUTED_VALUE"""),"")</f>
        <v/>
      </c>
      <c r="Q891" s="5" t="str">
        <f>IFERROR(__xludf.DUMMYFUNCTION("""COMPUTED_VALUE"""),"")</f>
        <v/>
      </c>
      <c r="R891" s="5" t="str">
        <f>IFERROR(__xludf.DUMMYFUNCTION("""COMPUTED_VALUE"""),"")</f>
        <v/>
      </c>
      <c r="S891" s="5" t="str">
        <f>IFERROR(__xludf.DUMMYFUNCTION("""COMPUTED_VALUE"""),"")</f>
        <v/>
      </c>
      <c r="T891" s="5" t="str">
        <f>IFERROR(__xludf.DUMMYFUNCTION("""COMPUTED_VALUE"""),"")</f>
        <v/>
      </c>
      <c r="U891" s="5" t="str">
        <f>IFERROR(__xludf.DUMMYFUNCTION("""COMPUTED_VALUE"""),"")</f>
        <v/>
      </c>
      <c r="V891" s="5" t="str">
        <f>IFERROR(__xludf.DUMMYFUNCTION("""COMPUTED_VALUE"""),"")</f>
        <v/>
      </c>
      <c r="W891" s="5" t="str">
        <f>IFERROR(__xludf.DUMMYFUNCTION("""COMPUTED_VALUE"""),"")</f>
        <v/>
      </c>
      <c r="X891" s="5" t="str">
        <f>IFERROR(__xludf.DUMMYFUNCTION("""COMPUTED_VALUE"""),"")</f>
        <v/>
      </c>
      <c r="Y891" s="5"/>
      <c r="Z891" s="5"/>
    </row>
    <row r="892">
      <c r="A892" s="5"/>
      <c r="B892" s="5" t="str">
        <f>IFERROR(__xludf.DUMMYFUNCTION("""COMPUTED_VALUE"""),"")</f>
        <v/>
      </c>
      <c r="C892" s="5" t="str">
        <f>IFERROR(__xludf.DUMMYFUNCTION("""COMPUTED_VALUE"""),"")</f>
        <v/>
      </c>
      <c r="D892" s="5" t="str">
        <f>IFERROR(__xludf.DUMMYFUNCTION("""COMPUTED_VALUE"""),"")</f>
        <v/>
      </c>
      <c r="E892" s="5" t="str">
        <f>IFERROR(__xludf.DUMMYFUNCTION("""COMPUTED_VALUE"""),"")</f>
        <v/>
      </c>
      <c r="F892" s="5" t="str">
        <f>IFERROR(__xludf.DUMMYFUNCTION("""COMPUTED_VALUE"""),"")</f>
        <v/>
      </c>
      <c r="G892" s="5" t="str">
        <f>IFERROR(__xludf.DUMMYFUNCTION("""COMPUTED_VALUE"""),"")</f>
        <v/>
      </c>
      <c r="H892" s="5" t="str">
        <f>IFERROR(__xludf.DUMMYFUNCTION("""COMPUTED_VALUE"""),"")</f>
        <v/>
      </c>
      <c r="I892" s="5" t="str">
        <f>IFERROR(__xludf.DUMMYFUNCTION("""COMPUTED_VALUE"""),"")</f>
        <v/>
      </c>
      <c r="J892" s="5" t="str">
        <f>IFERROR(__xludf.DUMMYFUNCTION("""COMPUTED_VALUE"""),"")</f>
        <v/>
      </c>
      <c r="K892" s="5" t="str">
        <f>IFERROR(__xludf.DUMMYFUNCTION("""COMPUTED_VALUE"""),"")</f>
        <v/>
      </c>
      <c r="L892" s="5" t="str">
        <f>IFERROR(__xludf.DUMMYFUNCTION("""COMPUTED_VALUE"""),"")</f>
        <v/>
      </c>
      <c r="M892" s="5" t="str">
        <f>IFERROR(__xludf.DUMMYFUNCTION("""COMPUTED_VALUE"""),"")</f>
        <v/>
      </c>
      <c r="N892" s="5" t="str">
        <f>IFERROR(__xludf.DUMMYFUNCTION("""COMPUTED_VALUE"""),"")</f>
        <v/>
      </c>
      <c r="O892" s="5" t="str">
        <f>IFERROR(__xludf.DUMMYFUNCTION("""COMPUTED_VALUE"""),"")</f>
        <v/>
      </c>
      <c r="P892" s="5" t="str">
        <f>IFERROR(__xludf.DUMMYFUNCTION("""COMPUTED_VALUE"""),"")</f>
        <v/>
      </c>
      <c r="Q892" s="5" t="str">
        <f>IFERROR(__xludf.DUMMYFUNCTION("""COMPUTED_VALUE"""),"")</f>
        <v/>
      </c>
      <c r="R892" s="5" t="str">
        <f>IFERROR(__xludf.DUMMYFUNCTION("""COMPUTED_VALUE"""),"")</f>
        <v/>
      </c>
      <c r="S892" s="5" t="str">
        <f>IFERROR(__xludf.DUMMYFUNCTION("""COMPUTED_VALUE"""),"")</f>
        <v/>
      </c>
      <c r="T892" s="5" t="str">
        <f>IFERROR(__xludf.DUMMYFUNCTION("""COMPUTED_VALUE"""),"")</f>
        <v/>
      </c>
      <c r="U892" s="5" t="str">
        <f>IFERROR(__xludf.DUMMYFUNCTION("""COMPUTED_VALUE"""),"")</f>
        <v/>
      </c>
      <c r="V892" s="5" t="str">
        <f>IFERROR(__xludf.DUMMYFUNCTION("""COMPUTED_VALUE"""),"")</f>
        <v/>
      </c>
      <c r="W892" s="5" t="str">
        <f>IFERROR(__xludf.DUMMYFUNCTION("""COMPUTED_VALUE"""),"")</f>
        <v/>
      </c>
      <c r="X892" s="5" t="str">
        <f>IFERROR(__xludf.DUMMYFUNCTION("""COMPUTED_VALUE"""),"")</f>
        <v/>
      </c>
      <c r="Y892" s="5"/>
      <c r="Z892" s="5"/>
    </row>
    <row r="893">
      <c r="A893" s="5"/>
      <c r="B893" s="5" t="str">
        <f>IFERROR(__xludf.DUMMYFUNCTION("""COMPUTED_VALUE"""),"")</f>
        <v/>
      </c>
      <c r="C893" s="5" t="str">
        <f>IFERROR(__xludf.DUMMYFUNCTION("""COMPUTED_VALUE"""),"")</f>
        <v/>
      </c>
      <c r="D893" s="5" t="str">
        <f>IFERROR(__xludf.DUMMYFUNCTION("""COMPUTED_VALUE"""),"")</f>
        <v/>
      </c>
      <c r="E893" s="5" t="str">
        <f>IFERROR(__xludf.DUMMYFUNCTION("""COMPUTED_VALUE"""),"")</f>
        <v/>
      </c>
      <c r="F893" s="5" t="str">
        <f>IFERROR(__xludf.DUMMYFUNCTION("""COMPUTED_VALUE"""),"")</f>
        <v/>
      </c>
      <c r="G893" s="5" t="str">
        <f>IFERROR(__xludf.DUMMYFUNCTION("""COMPUTED_VALUE"""),"")</f>
        <v/>
      </c>
      <c r="H893" s="5" t="str">
        <f>IFERROR(__xludf.DUMMYFUNCTION("""COMPUTED_VALUE"""),"")</f>
        <v/>
      </c>
      <c r="I893" s="5" t="str">
        <f>IFERROR(__xludf.DUMMYFUNCTION("""COMPUTED_VALUE"""),"")</f>
        <v/>
      </c>
      <c r="J893" s="5" t="str">
        <f>IFERROR(__xludf.DUMMYFUNCTION("""COMPUTED_VALUE"""),"")</f>
        <v/>
      </c>
      <c r="K893" s="5" t="str">
        <f>IFERROR(__xludf.DUMMYFUNCTION("""COMPUTED_VALUE"""),"")</f>
        <v/>
      </c>
      <c r="L893" s="5" t="str">
        <f>IFERROR(__xludf.DUMMYFUNCTION("""COMPUTED_VALUE"""),"")</f>
        <v/>
      </c>
      <c r="M893" s="5" t="str">
        <f>IFERROR(__xludf.DUMMYFUNCTION("""COMPUTED_VALUE"""),"")</f>
        <v/>
      </c>
      <c r="N893" s="5" t="str">
        <f>IFERROR(__xludf.DUMMYFUNCTION("""COMPUTED_VALUE"""),"")</f>
        <v/>
      </c>
      <c r="O893" s="5" t="str">
        <f>IFERROR(__xludf.DUMMYFUNCTION("""COMPUTED_VALUE"""),"")</f>
        <v/>
      </c>
      <c r="P893" s="5" t="str">
        <f>IFERROR(__xludf.DUMMYFUNCTION("""COMPUTED_VALUE"""),"")</f>
        <v/>
      </c>
      <c r="Q893" s="5" t="str">
        <f>IFERROR(__xludf.DUMMYFUNCTION("""COMPUTED_VALUE"""),"")</f>
        <v/>
      </c>
      <c r="R893" s="5" t="str">
        <f>IFERROR(__xludf.DUMMYFUNCTION("""COMPUTED_VALUE"""),"")</f>
        <v/>
      </c>
      <c r="S893" s="5" t="str">
        <f>IFERROR(__xludf.DUMMYFUNCTION("""COMPUTED_VALUE"""),"")</f>
        <v/>
      </c>
      <c r="T893" s="5" t="str">
        <f>IFERROR(__xludf.DUMMYFUNCTION("""COMPUTED_VALUE"""),"")</f>
        <v/>
      </c>
      <c r="U893" s="5" t="str">
        <f>IFERROR(__xludf.DUMMYFUNCTION("""COMPUTED_VALUE"""),"")</f>
        <v/>
      </c>
      <c r="V893" s="5" t="str">
        <f>IFERROR(__xludf.DUMMYFUNCTION("""COMPUTED_VALUE"""),"")</f>
        <v/>
      </c>
      <c r="W893" s="5" t="str">
        <f>IFERROR(__xludf.DUMMYFUNCTION("""COMPUTED_VALUE"""),"")</f>
        <v/>
      </c>
      <c r="X893" s="5" t="str">
        <f>IFERROR(__xludf.DUMMYFUNCTION("""COMPUTED_VALUE"""),"")</f>
        <v/>
      </c>
      <c r="Y893" s="5"/>
      <c r="Z893" s="5"/>
    </row>
    <row r="894">
      <c r="A894" s="5"/>
      <c r="B894" s="5" t="str">
        <f>IFERROR(__xludf.DUMMYFUNCTION("""COMPUTED_VALUE"""),"")</f>
        <v/>
      </c>
      <c r="C894" s="5" t="str">
        <f>IFERROR(__xludf.DUMMYFUNCTION("""COMPUTED_VALUE"""),"")</f>
        <v/>
      </c>
      <c r="D894" s="5" t="str">
        <f>IFERROR(__xludf.DUMMYFUNCTION("""COMPUTED_VALUE"""),"")</f>
        <v/>
      </c>
      <c r="E894" s="5" t="str">
        <f>IFERROR(__xludf.DUMMYFUNCTION("""COMPUTED_VALUE"""),"")</f>
        <v/>
      </c>
      <c r="F894" s="5" t="str">
        <f>IFERROR(__xludf.DUMMYFUNCTION("""COMPUTED_VALUE"""),"")</f>
        <v/>
      </c>
      <c r="G894" s="5" t="str">
        <f>IFERROR(__xludf.DUMMYFUNCTION("""COMPUTED_VALUE"""),"")</f>
        <v/>
      </c>
      <c r="H894" s="5" t="str">
        <f>IFERROR(__xludf.DUMMYFUNCTION("""COMPUTED_VALUE"""),"")</f>
        <v/>
      </c>
      <c r="I894" s="5" t="str">
        <f>IFERROR(__xludf.DUMMYFUNCTION("""COMPUTED_VALUE"""),"")</f>
        <v/>
      </c>
      <c r="J894" s="5" t="str">
        <f>IFERROR(__xludf.DUMMYFUNCTION("""COMPUTED_VALUE"""),"")</f>
        <v/>
      </c>
      <c r="K894" s="5" t="str">
        <f>IFERROR(__xludf.DUMMYFUNCTION("""COMPUTED_VALUE"""),"")</f>
        <v/>
      </c>
      <c r="L894" s="5" t="str">
        <f>IFERROR(__xludf.DUMMYFUNCTION("""COMPUTED_VALUE"""),"")</f>
        <v/>
      </c>
      <c r="M894" s="5" t="str">
        <f>IFERROR(__xludf.DUMMYFUNCTION("""COMPUTED_VALUE"""),"")</f>
        <v/>
      </c>
      <c r="N894" s="5" t="str">
        <f>IFERROR(__xludf.DUMMYFUNCTION("""COMPUTED_VALUE"""),"")</f>
        <v/>
      </c>
      <c r="O894" s="5" t="str">
        <f>IFERROR(__xludf.DUMMYFUNCTION("""COMPUTED_VALUE"""),"")</f>
        <v/>
      </c>
      <c r="P894" s="5" t="str">
        <f>IFERROR(__xludf.DUMMYFUNCTION("""COMPUTED_VALUE"""),"")</f>
        <v/>
      </c>
      <c r="Q894" s="5" t="str">
        <f>IFERROR(__xludf.DUMMYFUNCTION("""COMPUTED_VALUE"""),"")</f>
        <v/>
      </c>
      <c r="R894" s="5" t="str">
        <f>IFERROR(__xludf.DUMMYFUNCTION("""COMPUTED_VALUE"""),"")</f>
        <v/>
      </c>
      <c r="S894" s="5" t="str">
        <f>IFERROR(__xludf.DUMMYFUNCTION("""COMPUTED_VALUE"""),"")</f>
        <v/>
      </c>
      <c r="T894" s="5" t="str">
        <f>IFERROR(__xludf.DUMMYFUNCTION("""COMPUTED_VALUE"""),"")</f>
        <v/>
      </c>
      <c r="U894" s="5" t="str">
        <f>IFERROR(__xludf.DUMMYFUNCTION("""COMPUTED_VALUE"""),"")</f>
        <v/>
      </c>
      <c r="V894" s="5" t="str">
        <f>IFERROR(__xludf.DUMMYFUNCTION("""COMPUTED_VALUE"""),"")</f>
        <v/>
      </c>
      <c r="W894" s="5" t="str">
        <f>IFERROR(__xludf.DUMMYFUNCTION("""COMPUTED_VALUE"""),"")</f>
        <v/>
      </c>
      <c r="X894" s="5" t="str">
        <f>IFERROR(__xludf.DUMMYFUNCTION("""COMPUTED_VALUE"""),"")</f>
        <v/>
      </c>
      <c r="Y894" s="5"/>
      <c r="Z894" s="5"/>
    </row>
    <row r="895">
      <c r="A895" s="5"/>
      <c r="B895" s="5" t="str">
        <f>IFERROR(__xludf.DUMMYFUNCTION("""COMPUTED_VALUE"""),"")</f>
        <v/>
      </c>
      <c r="C895" s="5" t="str">
        <f>IFERROR(__xludf.DUMMYFUNCTION("""COMPUTED_VALUE"""),"")</f>
        <v/>
      </c>
      <c r="D895" s="5" t="str">
        <f>IFERROR(__xludf.DUMMYFUNCTION("""COMPUTED_VALUE"""),"")</f>
        <v/>
      </c>
      <c r="E895" s="5" t="str">
        <f>IFERROR(__xludf.DUMMYFUNCTION("""COMPUTED_VALUE"""),"")</f>
        <v/>
      </c>
      <c r="F895" s="5" t="str">
        <f>IFERROR(__xludf.DUMMYFUNCTION("""COMPUTED_VALUE"""),"")</f>
        <v/>
      </c>
      <c r="G895" s="5" t="str">
        <f>IFERROR(__xludf.DUMMYFUNCTION("""COMPUTED_VALUE"""),"")</f>
        <v/>
      </c>
      <c r="H895" s="5" t="str">
        <f>IFERROR(__xludf.DUMMYFUNCTION("""COMPUTED_VALUE"""),"")</f>
        <v/>
      </c>
      <c r="I895" s="5" t="str">
        <f>IFERROR(__xludf.DUMMYFUNCTION("""COMPUTED_VALUE"""),"")</f>
        <v/>
      </c>
      <c r="J895" s="5" t="str">
        <f>IFERROR(__xludf.DUMMYFUNCTION("""COMPUTED_VALUE"""),"")</f>
        <v/>
      </c>
      <c r="K895" s="5" t="str">
        <f>IFERROR(__xludf.DUMMYFUNCTION("""COMPUTED_VALUE"""),"")</f>
        <v/>
      </c>
      <c r="L895" s="5" t="str">
        <f>IFERROR(__xludf.DUMMYFUNCTION("""COMPUTED_VALUE"""),"")</f>
        <v/>
      </c>
      <c r="M895" s="5" t="str">
        <f>IFERROR(__xludf.DUMMYFUNCTION("""COMPUTED_VALUE"""),"")</f>
        <v/>
      </c>
      <c r="N895" s="5" t="str">
        <f>IFERROR(__xludf.DUMMYFUNCTION("""COMPUTED_VALUE"""),"")</f>
        <v/>
      </c>
      <c r="O895" s="5" t="str">
        <f>IFERROR(__xludf.DUMMYFUNCTION("""COMPUTED_VALUE"""),"")</f>
        <v/>
      </c>
      <c r="P895" s="5" t="str">
        <f>IFERROR(__xludf.DUMMYFUNCTION("""COMPUTED_VALUE"""),"")</f>
        <v/>
      </c>
      <c r="Q895" s="5" t="str">
        <f>IFERROR(__xludf.DUMMYFUNCTION("""COMPUTED_VALUE"""),"")</f>
        <v/>
      </c>
      <c r="R895" s="5" t="str">
        <f>IFERROR(__xludf.DUMMYFUNCTION("""COMPUTED_VALUE"""),"")</f>
        <v/>
      </c>
      <c r="S895" s="5" t="str">
        <f>IFERROR(__xludf.DUMMYFUNCTION("""COMPUTED_VALUE"""),"")</f>
        <v/>
      </c>
      <c r="T895" s="5" t="str">
        <f>IFERROR(__xludf.DUMMYFUNCTION("""COMPUTED_VALUE"""),"")</f>
        <v/>
      </c>
      <c r="U895" s="5" t="str">
        <f>IFERROR(__xludf.DUMMYFUNCTION("""COMPUTED_VALUE"""),"")</f>
        <v/>
      </c>
      <c r="V895" s="5" t="str">
        <f>IFERROR(__xludf.DUMMYFUNCTION("""COMPUTED_VALUE"""),"")</f>
        <v/>
      </c>
      <c r="W895" s="5" t="str">
        <f>IFERROR(__xludf.DUMMYFUNCTION("""COMPUTED_VALUE"""),"")</f>
        <v/>
      </c>
      <c r="X895" s="5" t="str">
        <f>IFERROR(__xludf.DUMMYFUNCTION("""COMPUTED_VALUE"""),"")</f>
        <v/>
      </c>
      <c r="Y895" s="5"/>
      <c r="Z895" s="5"/>
    </row>
    <row r="896">
      <c r="A896" s="5"/>
      <c r="B896" s="5" t="str">
        <f>IFERROR(__xludf.DUMMYFUNCTION("""COMPUTED_VALUE"""),"")</f>
        <v/>
      </c>
      <c r="C896" s="5" t="str">
        <f>IFERROR(__xludf.DUMMYFUNCTION("""COMPUTED_VALUE"""),"")</f>
        <v/>
      </c>
      <c r="D896" s="5" t="str">
        <f>IFERROR(__xludf.DUMMYFUNCTION("""COMPUTED_VALUE"""),"")</f>
        <v/>
      </c>
      <c r="E896" s="5" t="str">
        <f>IFERROR(__xludf.DUMMYFUNCTION("""COMPUTED_VALUE"""),"")</f>
        <v/>
      </c>
      <c r="F896" s="5" t="str">
        <f>IFERROR(__xludf.DUMMYFUNCTION("""COMPUTED_VALUE"""),"")</f>
        <v/>
      </c>
      <c r="G896" s="5" t="str">
        <f>IFERROR(__xludf.DUMMYFUNCTION("""COMPUTED_VALUE"""),"")</f>
        <v/>
      </c>
      <c r="H896" s="5" t="str">
        <f>IFERROR(__xludf.DUMMYFUNCTION("""COMPUTED_VALUE"""),"")</f>
        <v/>
      </c>
      <c r="I896" s="5" t="str">
        <f>IFERROR(__xludf.DUMMYFUNCTION("""COMPUTED_VALUE"""),"")</f>
        <v/>
      </c>
      <c r="J896" s="5" t="str">
        <f>IFERROR(__xludf.DUMMYFUNCTION("""COMPUTED_VALUE"""),"")</f>
        <v/>
      </c>
      <c r="K896" s="5" t="str">
        <f>IFERROR(__xludf.DUMMYFUNCTION("""COMPUTED_VALUE"""),"")</f>
        <v/>
      </c>
      <c r="L896" s="5" t="str">
        <f>IFERROR(__xludf.DUMMYFUNCTION("""COMPUTED_VALUE"""),"")</f>
        <v/>
      </c>
      <c r="M896" s="5" t="str">
        <f>IFERROR(__xludf.DUMMYFUNCTION("""COMPUTED_VALUE"""),"")</f>
        <v/>
      </c>
      <c r="N896" s="5" t="str">
        <f>IFERROR(__xludf.DUMMYFUNCTION("""COMPUTED_VALUE"""),"")</f>
        <v/>
      </c>
      <c r="O896" s="5" t="str">
        <f>IFERROR(__xludf.DUMMYFUNCTION("""COMPUTED_VALUE"""),"")</f>
        <v/>
      </c>
      <c r="P896" s="5" t="str">
        <f>IFERROR(__xludf.DUMMYFUNCTION("""COMPUTED_VALUE"""),"")</f>
        <v/>
      </c>
      <c r="Q896" s="5" t="str">
        <f>IFERROR(__xludf.DUMMYFUNCTION("""COMPUTED_VALUE"""),"")</f>
        <v/>
      </c>
      <c r="R896" s="5" t="str">
        <f>IFERROR(__xludf.DUMMYFUNCTION("""COMPUTED_VALUE"""),"")</f>
        <v/>
      </c>
      <c r="S896" s="5" t="str">
        <f>IFERROR(__xludf.DUMMYFUNCTION("""COMPUTED_VALUE"""),"")</f>
        <v/>
      </c>
      <c r="T896" s="5" t="str">
        <f>IFERROR(__xludf.DUMMYFUNCTION("""COMPUTED_VALUE"""),"")</f>
        <v/>
      </c>
      <c r="U896" s="5" t="str">
        <f>IFERROR(__xludf.DUMMYFUNCTION("""COMPUTED_VALUE"""),"")</f>
        <v/>
      </c>
      <c r="V896" s="5" t="str">
        <f>IFERROR(__xludf.DUMMYFUNCTION("""COMPUTED_VALUE"""),"")</f>
        <v/>
      </c>
      <c r="W896" s="5" t="str">
        <f>IFERROR(__xludf.DUMMYFUNCTION("""COMPUTED_VALUE"""),"")</f>
        <v/>
      </c>
      <c r="X896" s="5" t="str">
        <f>IFERROR(__xludf.DUMMYFUNCTION("""COMPUTED_VALUE"""),"")</f>
        <v/>
      </c>
      <c r="Y896" s="5"/>
      <c r="Z896" s="5"/>
    </row>
    <row r="897">
      <c r="A897" s="5"/>
      <c r="B897" s="5" t="str">
        <f>IFERROR(__xludf.DUMMYFUNCTION("""COMPUTED_VALUE"""),"")</f>
        <v/>
      </c>
      <c r="C897" s="5" t="str">
        <f>IFERROR(__xludf.DUMMYFUNCTION("""COMPUTED_VALUE"""),"")</f>
        <v/>
      </c>
      <c r="D897" s="5" t="str">
        <f>IFERROR(__xludf.DUMMYFUNCTION("""COMPUTED_VALUE"""),"")</f>
        <v/>
      </c>
      <c r="E897" s="5" t="str">
        <f>IFERROR(__xludf.DUMMYFUNCTION("""COMPUTED_VALUE"""),"")</f>
        <v/>
      </c>
      <c r="F897" s="5" t="str">
        <f>IFERROR(__xludf.DUMMYFUNCTION("""COMPUTED_VALUE"""),"")</f>
        <v/>
      </c>
      <c r="G897" s="5" t="str">
        <f>IFERROR(__xludf.DUMMYFUNCTION("""COMPUTED_VALUE"""),"")</f>
        <v/>
      </c>
      <c r="H897" s="5" t="str">
        <f>IFERROR(__xludf.DUMMYFUNCTION("""COMPUTED_VALUE"""),"")</f>
        <v/>
      </c>
      <c r="I897" s="5" t="str">
        <f>IFERROR(__xludf.DUMMYFUNCTION("""COMPUTED_VALUE"""),"")</f>
        <v/>
      </c>
      <c r="J897" s="5" t="str">
        <f>IFERROR(__xludf.DUMMYFUNCTION("""COMPUTED_VALUE"""),"")</f>
        <v/>
      </c>
      <c r="K897" s="5" t="str">
        <f>IFERROR(__xludf.DUMMYFUNCTION("""COMPUTED_VALUE"""),"")</f>
        <v/>
      </c>
      <c r="L897" s="5" t="str">
        <f>IFERROR(__xludf.DUMMYFUNCTION("""COMPUTED_VALUE"""),"")</f>
        <v/>
      </c>
      <c r="M897" s="5" t="str">
        <f>IFERROR(__xludf.DUMMYFUNCTION("""COMPUTED_VALUE"""),"")</f>
        <v/>
      </c>
      <c r="N897" s="5" t="str">
        <f>IFERROR(__xludf.DUMMYFUNCTION("""COMPUTED_VALUE"""),"")</f>
        <v/>
      </c>
      <c r="O897" s="5" t="str">
        <f>IFERROR(__xludf.DUMMYFUNCTION("""COMPUTED_VALUE"""),"")</f>
        <v/>
      </c>
      <c r="P897" s="5" t="str">
        <f>IFERROR(__xludf.DUMMYFUNCTION("""COMPUTED_VALUE"""),"")</f>
        <v/>
      </c>
      <c r="Q897" s="5" t="str">
        <f>IFERROR(__xludf.DUMMYFUNCTION("""COMPUTED_VALUE"""),"")</f>
        <v/>
      </c>
      <c r="R897" s="5" t="str">
        <f>IFERROR(__xludf.DUMMYFUNCTION("""COMPUTED_VALUE"""),"")</f>
        <v/>
      </c>
      <c r="S897" s="5" t="str">
        <f>IFERROR(__xludf.DUMMYFUNCTION("""COMPUTED_VALUE"""),"")</f>
        <v/>
      </c>
      <c r="T897" s="5" t="str">
        <f>IFERROR(__xludf.DUMMYFUNCTION("""COMPUTED_VALUE"""),"")</f>
        <v/>
      </c>
      <c r="U897" s="5" t="str">
        <f>IFERROR(__xludf.DUMMYFUNCTION("""COMPUTED_VALUE"""),"")</f>
        <v/>
      </c>
      <c r="V897" s="5" t="str">
        <f>IFERROR(__xludf.DUMMYFUNCTION("""COMPUTED_VALUE"""),"")</f>
        <v/>
      </c>
      <c r="W897" s="5" t="str">
        <f>IFERROR(__xludf.DUMMYFUNCTION("""COMPUTED_VALUE"""),"")</f>
        <v/>
      </c>
      <c r="X897" s="5" t="str">
        <f>IFERROR(__xludf.DUMMYFUNCTION("""COMPUTED_VALUE"""),"")</f>
        <v/>
      </c>
      <c r="Y897" s="5"/>
      <c r="Z897" s="5"/>
    </row>
    <row r="898">
      <c r="A898" s="5"/>
      <c r="B898" s="5" t="str">
        <f>IFERROR(__xludf.DUMMYFUNCTION("""COMPUTED_VALUE"""),"")</f>
        <v/>
      </c>
      <c r="C898" s="5" t="str">
        <f>IFERROR(__xludf.DUMMYFUNCTION("""COMPUTED_VALUE"""),"")</f>
        <v/>
      </c>
      <c r="D898" s="5" t="str">
        <f>IFERROR(__xludf.DUMMYFUNCTION("""COMPUTED_VALUE"""),"")</f>
        <v/>
      </c>
      <c r="E898" s="5" t="str">
        <f>IFERROR(__xludf.DUMMYFUNCTION("""COMPUTED_VALUE"""),"")</f>
        <v/>
      </c>
      <c r="F898" s="5" t="str">
        <f>IFERROR(__xludf.DUMMYFUNCTION("""COMPUTED_VALUE"""),"")</f>
        <v/>
      </c>
      <c r="G898" s="5" t="str">
        <f>IFERROR(__xludf.DUMMYFUNCTION("""COMPUTED_VALUE"""),"")</f>
        <v/>
      </c>
      <c r="H898" s="5" t="str">
        <f>IFERROR(__xludf.DUMMYFUNCTION("""COMPUTED_VALUE"""),"")</f>
        <v/>
      </c>
      <c r="I898" s="5" t="str">
        <f>IFERROR(__xludf.DUMMYFUNCTION("""COMPUTED_VALUE"""),"")</f>
        <v/>
      </c>
      <c r="J898" s="5" t="str">
        <f>IFERROR(__xludf.DUMMYFUNCTION("""COMPUTED_VALUE"""),"")</f>
        <v/>
      </c>
      <c r="K898" s="5" t="str">
        <f>IFERROR(__xludf.DUMMYFUNCTION("""COMPUTED_VALUE"""),"")</f>
        <v/>
      </c>
      <c r="L898" s="5" t="str">
        <f>IFERROR(__xludf.DUMMYFUNCTION("""COMPUTED_VALUE"""),"")</f>
        <v/>
      </c>
      <c r="M898" s="5" t="str">
        <f>IFERROR(__xludf.DUMMYFUNCTION("""COMPUTED_VALUE"""),"")</f>
        <v/>
      </c>
      <c r="N898" s="5" t="str">
        <f>IFERROR(__xludf.DUMMYFUNCTION("""COMPUTED_VALUE"""),"")</f>
        <v/>
      </c>
      <c r="O898" s="5" t="str">
        <f>IFERROR(__xludf.DUMMYFUNCTION("""COMPUTED_VALUE"""),"")</f>
        <v/>
      </c>
      <c r="P898" s="5" t="str">
        <f>IFERROR(__xludf.DUMMYFUNCTION("""COMPUTED_VALUE"""),"")</f>
        <v/>
      </c>
      <c r="Q898" s="5" t="str">
        <f>IFERROR(__xludf.DUMMYFUNCTION("""COMPUTED_VALUE"""),"")</f>
        <v/>
      </c>
      <c r="R898" s="5" t="str">
        <f>IFERROR(__xludf.DUMMYFUNCTION("""COMPUTED_VALUE"""),"")</f>
        <v/>
      </c>
      <c r="S898" s="5" t="str">
        <f>IFERROR(__xludf.DUMMYFUNCTION("""COMPUTED_VALUE"""),"")</f>
        <v/>
      </c>
      <c r="T898" s="5" t="str">
        <f>IFERROR(__xludf.DUMMYFUNCTION("""COMPUTED_VALUE"""),"")</f>
        <v/>
      </c>
      <c r="U898" s="5" t="str">
        <f>IFERROR(__xludf.DUMMYFUNCTION("""COMPUTED_VALUE"""),"")</f>
        <v/>
      </c>
      <c r="V898" s="5" t="str">
        <f>IFERROR(__xludf.DUMMYFUNCTION("""COMPUTED_VALUE"""),"")</f>
        <v/>
      </c>
      <c r="W898" s="5" t="str">
        <f>IFERROR(__xludf.DUMMYFUNCTION("""COMPUTED_VALUE"""),"")</f>
        <v/>
      </c>
      <c r="X898" s="5" t="str">
        <f>IFERROR(__xludf.DUMMYFUNCTION("""COMPUTED_VALUE"""),"")</f>
        <v/>
      </c>
      <c r="Y898" s="5"/>
      <c r="Z898" s="5"/>
    </row>
    <row r="899">
      <c r="A899" s="5"/>
      <c r="B899" s="5" t="str">
        <f>IFERROR(__xludf.DUMMYFUNCTION("""COMPUTED_VALUE"""),"")</f>
        <v/>
      </c>
      <c r="C899" s="5" t="str">
        <f>IFERROR(__xludf.DUMMYFUNCTION("""COMPUTED_VALUE"""),"")</f>
        <v/>
      </c>
      <c r="D899" s="5" t="str">
        <f>IFERROR(__xludf.DUMMYFUNCTION("""COMPUTED_VALUE"""),"")</f>
        <v/>
      </c>
      <c r="E899" s="5" t="str">
        <f>IFERROR(__xludf.DUMMYFUNCTION("""COMPUTED_VALUE"""),"")</f>
        <v/>
      </c>
      <c r="F899" s="5" t="str">
        <f>IFERROR(__xludf.DUMMYFUNCTION("""COMPUTED_VALUE"""),"")</f>
        <v/>
      </c>
      <c r="G899" s="5" t="str">
        <f>IFERROR(__xludf.DUMMYFUNCTION("""COMPUTED_VALUE"""),"")</f>
        <v/>
      </c>
      <c r="H899" s="5" t="str">
        <f>IFERROR(__xludf.DUMMYFUNCTION("""COMPUTED_VALUE"""),"")</f>
        <v/>
      </c>
      <c r="I899" s="5" t="str">
        <f>IFERROR(__xludf.DUMMYFUNCTION("""COMPUTED_VALUE"""),"")</f>
        <v/>
      </c>
      <c r="J899" s="5" t="str">
        <f>IFERROR(__xludf.DUMMYFUNCTION("""COMPUTED_VALUE"""),"")</f>
        <v/>
      </c>
      <c r="K899" s="5" t="str">
        <f>IFERROR(__xludf.DUMMYFUNCTION("""COMPUTED_VALUE"""),"")</f>
        <v/>
      </c>
      <c r="L899" s="5" t="str">
        <f>IFERROR(__xludf.DUMMYFUNCTION("""COMPUTED_VALUE"""),"")</f>
        <v/>
      </c>
      <c r="M899" s="5" t="str">
        <f>IFERROR(__xludf.DUMMYFUNCTION("""COMPUTED_VALUE"""),"")</f>
        <v/>
      </c>
      <c r="N899" s="5" t="str">
        <f>IFERROR(__xludf.DUMMYFUNCTION("""COMPUTED_VALUE"""),"")</f>
        <v/>
      </c>
      <c r="O899" s="5" t="str">
        <f>IFERROR(__xludf.DUMMYFUNCTION("""COMPUTED_VALUE"""),"")</f>
        <v/>
      </c>
      <c r="P899" s="5" t="str">
        <f>IFERROR(__xludf.DUMMYFUNCTION("""COMPUTED_VALUE"""),"")</f>
        <v/>
      </c>
      <c r="Q899" s="5" t="str">
        <f>IFERROR(__xludf.DUMMYFUNCTION("""COMPUTED_VALUE"""),"")</f>
        <v/>
      </c>
      <c r="R899" s="5" t="str">
        <f>IFERROR(__xludf.DUMMYFUNCTION("""COMPUTED_VALUE"""),"")</f>
        <v/>
      </c>
      <c r="S899" s="5" t="str">
        <f>IFERROR(__xludf.DUMMYFUNCTION("""COMPUTED_VALUE"""),"")</f>
        <v/>
      </c>
      <c r="T899" s="5" t="str">
        <f>IFERROR(__xludf.DUMMYFUNCTION("""COMPUTED_VALUE"""),"")</f>
        <v/>
      </c>
      <c r="U899" s="5" t="str">
        <f>IFERROR(__xludf.DUMMYFUNCTION("""COMPUTED_VALUE"""),"")</f>
        <v/>
      </c>
      <c r="V899" s="5" t="str">
        <f>IFERROR(__xludf.DUMMYFUNCTION("""COMPUTED_VALUE"""),"")</f>
        <v/>
      </c>
      <c r="W899" s="5" t="str">
        <f>IFERROR(__xludf.DUMMYFUNCTION("""COMPUTED_VALUE"""),"")</f>
        <v/>
      </c>
      <c r="X899" s="5" t="str">
        <f>IFERROR(__xludf.DUMMYFUNCTION("""COMPUTED_VALUE"""),"")</f>
        <v/>
      </c>
      <c r="Y899" s="5"/>
      <c r="Z899" s="5"/>
    </row>
    <row r="900">
      <c r="A900" s="5"/>
      <c r="B900" s="5" t="str">
        <f>IFERROR(__xludf.DUMMYFUNCTION("""COMPUTED_VALUE"""),"")</f>
        <v/>
      </c>
      <c r="C900" s="5" t="str">
        <f>IFERROR(__xludf.DUMMYFUNCTION("""COMPUTED_VALUE"""),"")</f>
        <v/>
      </c>
      <c r="D900" s="5" t="str">
        <f>IFERROR(__xludf.DUMMYFUNCTION("""COMPUTED_VALUE"""),"")</f>
        <v/>
      </c>
      <c r="E900" s="5" t="str">
        <f>IFERROR(__xludf.DUMMYFUNCTION("""COMPUTED_VALUE"""),"")</f>
        <v/>
      </c>
      <c r="F900" s="5" t="str">
        <f>IFERROR(__xludf.DUMMYFUNCTION("""COMPUTED_VALUE"""),"")</f>
        <v/>
      </c>
      <c r="G900" s="5" t="str">
        <f>IFERROR(__xludf.DUMMYFUNCTION("""COMPUTED_VALUE"""),"")</f>
        <v/>
      </c>
      <c r="H900" s="5" t="str">
        <f>IFERROR(__xludf.DUMMYFUNCTION("""COMPUTED_VALUE"""),"")</f>
        <v/>
      </c>
      <c r="I900" s="5" t="str">
        <f>IFERROR(__xludf.DUMMYFUNCTION("""COMPUTED_VALUE"""),"")</f>
        <v/>
      </c>
      <c r="J900" s="5" t="str">
        <f>IFERROR(__xludf.DUMMYFUNCTION("""COMPUTED_VALUE"""),"")</f>
        <v/>
      </c>
      <c r="K900" s="5" t="str">
        <f>IFERROR(__xludf.DUMMYFUNCTION("""COMPUTED_VALUE"""),"")</f>
        <v/>
      </c>
      <c r="L900" s="5" t="str">
        <f>IFERROR(__xludf.DUMMYFUNCTION("""COMPUTED_VALUE"""),"")</f>
        <v/>
      </c>
      <c r="M900" s="5" t="str">
        <f>IFERROR(__xludf.DUMMYFUNCTION("""COMPUTED_VALUE"""),"")</f>
        <v/>
      </c>
      <c r="N900" s="5" t="str">
        <f>IFERROR(__xludf.DUMMYFUNCTION("""COMPUTED_VALUE"""),"")</f>
        <v/>
      </c>
      <c r="O900" s="5" t="str">
        <f>IFERROR(__xludf.DUMMYFUNCTION("""COMPUTED_VALUE"""),"")</f>
        <v/>
      </c>
      <c r="P900" s="5" t="str">
        <f>IFERROR(__xludf.DUMMYFUNCTION("""COMPUTED_VALUE"""),"")</f>
        <v/>
      </c>
      <c r="Q900" s="5" t="str">
        <f>IFERROR(__xludf.DUMMYFUNCTION("""COMPUTED_VALUE"""),"")</f>
        <v/>
      </c>
      <c r="R900" s="5" t="str">
        <f>IFERROR(__xludf.DUMMYFUNCTION("""COMPUTED_VALUE"""),"")</f>
        <v/>
      </c>
      <c r="S900" s="5" t="str">
        <f>IFERROR(__xludf.DUMMYFUNCTION("""COMPUTED_VALUE"""),"")</f>
        <v/>
      </c>
      <c r="T900" s="5" t="str">
        <f>IFERROR(__xludf.DUMMYFUNCTION("""COMPUTED_VALUE"""),"")</f>
        <v/>
      </c>
      <c r="U900" s="5" t="str">
        <f>IFERROR(__xludf.DUMMYFUNCTION("""COMPUTED_VALUE"""),"")</f>
        <v/>
      </c>
      <c r="V900" s="5" t="str">
        <f>IFERROR(__xludf.DUMMYFUNCTION("""COMPUTED_VALUE"""),"")</f>
        <v/>
      </c>
      <c r="W900" s="5" t="str">
        <f>IFERROR(__xludf.DUMMYFUNCTION("""COMPUTED_VALUE"""),"")</f>
        <v/>
      </c>
      <c r="X900" s="5" t="str">
        <f>IFERROR(__xludf.DUMMYFUNCTION("""COMPUTED_VALUE"""),"")</f>
        <v/>
      </c>
      <c r="Y900" s="5"/>
      <c r="Z900" s="5"/>
    </row>
    <row r="901">
      <c r="A901" s="5"/>
      <c r="B901" s="5" t="str">
        <f>IFERROR(__xludf.DUMMYFUNCTION("""COMPUTED_VALUE"""),"")</f>
        <v/>
      </c>
      <c r="C901" s="5" t="str">
        <f>IFERROR(__xludf.DUMMYFUNCTION("""COMPUTED_VALUE"""),"")</f>
        <v/>
      </c>
      <c r="D901" s="5" t="str">
        <f>IFERROR(__xludf.DUMMYFUNCTION("""COMPUTED_VALUE"""),"")</f>
        <v/>
      </c>
      <c r="E901" s="5" t="str">
        <f>IFERROR(__xludf.DUMMYFUNCTION("""COMPUTED_VALUE"""),"")</f>
        <v/>
      </c>
      <c r="F901" s="5" t="str">
        <f>IFERROR(__xludf.DUMMYFUNCTION("""COMPUTED_VALUE"""),"")</f>
        <v/>
      </c>
      <c r="G901" s="5" t="str">
        <f>IFERROR(__xludf.DUMMYFUNCTION("""COMPUTED_VALUE"""),"")</f>
        <v/>
      </c>
      <c r="H901" s="5" t="str">
        <f>IFERROR(__xludf.DUMMYFUNCTION("""COMPUTED_VALUE"""),"")</f>
        <v/>
      </c>
      <c r="I901" s="5" t="str">
        <f>IFERROR(__xludf.DUMMYFUNCTION("""COMPUTED_VALUE"""),"")</f>
        <v/>
      </c>
      <c r="J901" s="5" t="str">
        <f>IFERROR(__xludf.DUMMYFUNCTION("""COMPUTED_VALUE"""),"")</f>
        <v/>
      </c>
      <c r="K901" s="5" t="str">
        <f>IFERROR(__xludf.DUMMYFUNCTION("""COMPUTED_VALUE"""),"")</f>
        <v/>
      </c>
      <c r="L901" s="5" t="str">
        <f>IFERROR(__xludf.DUMMYFUNCTION("""COMPUTED_VALUE"""),"")</f>
        <v/>
      </c>
      <c r="M901" s="5" t="str">
        <f>IFERROR(__xludf.DUMMYFUNCTION("""COMPUTED_VALUE"""),"")</f>
        <v/>
      </c>
      <c r="N901" s="5" t="str">
        <f>IFERROR(__xludf.DUMMYFUNCTION("""COMPUTED_VALUE"""),"")</f>
        <v/>
      </c>
      <c r="O901" s="5" t="str">
        <f>IFERROR(__xludf.DUMMYFUNCTION("""COMPUTED_VALUE"""),"")</f>
        <v/>
      </c>
      <c r="P901" s="5" t="str">
        <f>IFERROR(__xludf.DUMMYFUNCTION("""COMPUTED_VALUE"""),"")</f>
        <v/>
      </c>
      <c r="Q901" s="5" t="str">
        <f>IFERROR(__xludf.DUMMYFUNCTION("""COMPUTED_VALUE"""),"")</f>
        <v/>
      </c>
      <c r="R901" s="5" t="str">
        <f>IFERROR(__xludf.DUMMYFUNCTION("""COMPUTED_VALUE"""),"")</f>
        <v/>
      </c>
      <c r="S901" s="5" t="str">
        <f>IFERROR(__xludf.DUMMYFUNCTION("""COMPUTED_VALUE"""),"")</f>
        <v/>
      </c>
      <c r="T901" s="5" t="str">
        <f>IFERROR(__xludf.DUMMYFUNCTION("""COMPUTED_VALUE"""),"")</f>
        <v/>
      </c>
      <c r="U901" s="5" t="str">
        <f>IFERROR(__xludf.DUMMYFUNCTION("""COMPUTED_VALUE"""),"")</f>
        <v/>
      </c>
      <c r="V901" s="5" t="str">
        <f>IFERROR(__xludf.DUMMYFUNCTION("""COMPUTED_VALUE"""),"")</f>
        <v/>
      </c>
      <c r="W901" s="5" t="str">
        <f>IFERROR(__xludf.DUMMYFUNCTION("""COMPUTED_VALUE"""),"")</f>
        <v/>
      </c>
      <c r="X901" s="5" t="str">
        <f>IFERROR(__xludf.DUMMYFUNCTION("""COMPUTED_VALUE"""),"")</f>
        <v/>
      </c>
      <c r="Y901" s="5"/>
      <c r="Z901" s="5"/>
    </row>
    <row r="902">
      <c r="A902" s="5"/>
      <c r="B902" s="5" t="str">
        <f>IFERROR(__xludf.DUMMYFUNCTION("""COMPUTED_VALUE"""),"")</f>
        <v/>
      </c>
      <c r="C902" s="5" t="str">
        <f>IFERROR(__xludf.DUMMYFUNCTION("""COMPUTED_VALUE"""),"")</f>
        <v/>
      </c>
      <c r="D902" s="5" t="str">
        <f>IFERROR(__xludf.DUMMYFUNCTION("""COMPUTED_VALUE"""),"")</f>
        <v/>
      </c>
      <c r="E902" s="5" t="str">
        <f>IFERROR(__xludf.DUMMYFUNCTION("""COMPUTED_VALUE"""),"")</f>
        <v/>
      </c>
      <c r="F902" s="5" t="str">
        <f>IFERROR(__xludf.DUMMYFUNCTION("""COMPUTED_VALUE"""),"")</f>
        <v/>
      </c>
      <c r="G902" s="5" t="str">
        <f>IFERROR(__xludf.DUMMYFUNCTION("""COMPUTED_VALUE"""),"")</f>
        <v/>
      </c>
      <c r="H902" s="5" t="str">
        <f>IFERROR(__xludf.DUMMYFUNCTION("""COMPUTED_VALUE"""),"")</f>
        <v/>
      </c>
      <c r="I902" s="5" t="str">
        <f>IFERROR(__xludf.DUMMYFUNCTION("""COMPUTED_VALUE"""),"")</f>
        <v/>
      </c>
      <c r="J902" s="5" t="str">
        <f>IFERROR(__xludf.DUMMYFUNCTION("""COMPUTED_VALUE"""),"")</f>
        <v/>
      </c>
      <c r="K902" s="5" t="str">
        <f>IFERROR(__xludf.DUMMYFUNCTION("""COMPUTED_VALUE"""),"")</f>
        <v/>
      </c>
      <c r="L902" s="5" t="str">
        <f>IFERROR(__xludf.DUMMYFUNCTION("""COMPUTED_VALUE"""),"")</f>
        <v/>
      </c>
      <c r="M902" s="5" t="str">
        <f>IFERROR(__xludf.DUMMYFUNCTION("""COMPUTED_VALUE"""),"")</f>
        <v/>
      </c>
      <c r="N902" s="5" t="str">
        <f>IFERROR(__xludf.DUMMYFUNCTION("""COMPUTED_VALUE"""),"")</f>
        <v/>
      </c>
      <c r="O902" s="5" t="str">
        <f>IFERROR(__xludf.DUMMYFUNCTION("""COMPUTED_VALUE"""),"")</f>
        <v/>
      </c>
      <c r="P902" s="5" t="str">
        <f>IFERROR(__xludf.DUMMYFUNCTION("""COMPUTED_VALUE"""),"")</f>
        <v/>
      </c>
      <c r="Q902" s="5" t="str">
        <f>IFERROR(__xludf.DUMMYFUNCTION("""COMPUTED_VALUE"""),"")</f>
        <v/>
      </c>
      <c r="R902" s="5" t="str">
        <f>IFERROR(__xludf.DUMMYFUNCTION("""COMPUTED_VALUE"""),"")</f>
        <v/>
      </c>
      <c r="S902" s="5" t="str">
        <f>IFERROR(__xludf.DUMMYFUNCTION("""COMPUTED_VALUE"""),"")</f>
        <v/>
      </c>
      <c r="T902" s="5" t="str">
        <f>IFERROR(__xludf.DUMMYFUNCTION("""COMPUTED_VALUE"""),"")</f>
        <v/>
      </c>
      <c r="U902" s="5" t="str">
        <f>IFERROR(__xludf.DUMMYFUNCTION("""COMPUTED_VALUE"""),"")</f>
        <v/>
      </c>
      <c r="V902" s="5" t="str">
        <f>IFERROR(__xludf.DUMMYFUNCTION("""COMPUTED_VALUE"""),"")</f>
        <v/>
      </c>
      <c r="W902" s="5" t="str">
        <f>IFERROR(__xludf.DUMMYFUNCTION("""COMPUTED_VALUE"""),"")</f>
        <v/>
      </c>
      <c r="X902" s="5" t="str">
        <f>IFERROR(__xludf.DUMMYFUNCTION("""COMPUTED_VALUE"""),"")</f>
        <v/>
      </c>
      <c r="Y902" s="5"/>
      <c r="Z902" s="5"/>
    </row>
    <row r="903">
      <c r="A903" s="5"/>
      <c r="B903" s="5" t="str">
        <f>IFERROR(__xludf.DUMMYFUNCTION("""COMPUTED_VALUE"""),"")</f>
        <v/>
      </c>
      <c r="C903" s="5" t="str">
        <f>IFERROR(__xludf.DUMMYFUNCTION("""COMPUTED_VALUE"""),"")</f>
        <v/>
      </c>
      <c r="D903" s="5" t="str">
        <f>IFERROR(__xludf.DUMMYFUNCTION("""COMPUTED_VALUE"""),"")</f>
        <v/>
      </c>
      <c r="E903" s="5" t="str">
        <f>IFERROR(__xludf.DUMMYFUNCTION("""COMPUTED_VALUE"""),"")</f>
        <v/>
      </c>
      <c r="F903" s="5" t="str">
        <f>IFERROR(__xludf.DUMMYFUNCTION("""COMPUTED_VALUE"""),"")</f>
        <v/>
      </c>
      <c r="G903" s="5" t="str">
        <f>IFERROR(__xludf.DUMMYFUNCTION("""COMPUTED_VALUE"""),"")</f>
        <v/>
      </c>
      <c r="H903" s="5" t="str">
        <f>IFERROR(__xludf.DUMMYFUNCTION("""COMPUTED_VALUE"""),"")</f>
        <v/>
      </c>
      <c r="I903" s="5" t="str">
        <f>IFERROR(__xludf.DUMMYFUNCTION("""COMPUTED_VALUE"""),"")</f>
        <v/>
      </c>
      <c r="J903" s="5" t="str">
        <f>IFERROR(__xludf.DUMMYFUNCTION("""COMPUTED_VALUE"""),"")</f>
        <v/>
      </c>
      <c r="K903" s="5" t="str">
        <f>IFERROR(__xludf.DUMMYFUNCTION("""COMPUTED_VALUE"""),"")</f>
        <v/>
      </c>
      <c r="L903" s="5" t="str">
        <f>IFERROR(__xludf.DUMMYFUNCTION("""COMPUTED_VALUE"""),"")</f>
        <v/>
      </c>
      <c r="M903" s="5" t="str">
        <f>IFERROR(__xludf.DUMMYFUNCTION("""COMPUTED_VALUE"""),"")</f>
        <v/>
      </c>
      <c r="N903" s="5" t="str">
        <f>IFERROR(__xludf.DUMMYFUNCTION("""COMPUTED_VALUE"""),"")</f>
        <v/>
      </c>
      <c r="O903" s="5" t="str">
        <f>IFERROR(__xludf.DUMMYFUNCTION("""COMPUTED_VALUE"""),"")</f>
        <v/>
      </c>
      <c r="P903" s="5" t="str">
        <f>IFERROR(__xludf.DUMMYFUNCTION("""COMPUTED_VALUE"""),"")</f>
        <v/>
      </c>
      <c r="Q903" s="5" t="str">
        <f>IFERROR(__xludf.DUMMYFUNCTION("""COMPUTED_VALUE"""),"")</f>
        <v/>
      </c>
      <c r="R903" s="5" t="str">
        <f>IFERROR(__xludf.DUMMYFUNCTION("""COMPUTED_VALUE"""),"")</f>
        <v/>
      </c>
      <c r="S903" s="5" t="str">
        <f>IFERROR(__xludf.DUMMYFUNCTION("""COMPUTED_VALUE"""),"")</f>
        <v/>
      </c>
      <c r="T903" s="5" t="str">
        <f>IFERROR(__xludf.DUMMYFUNCTION("""COMPUTED_VALUE"""),"")</f>
        <v/>
      </c>
      <c r="U903" s="5" t="str">
        <f>IFERROR(__xludf.DUMMYFUNCTION("""COMPUTED_VALUE"""),"")</f>
        <v/>
      </c>
      <c r="V903" s="5" t="str">
        <f>IFERROR(__xludf.DUMMYFUNCTION("""COMPUTED_VALUE"""),"")</f>
        <v/>
      </c>
      <c r="W903" s="5" t="str">
        <f>IFERROR(__xludf.DUMMYFUNCTION("""COMPUTED_VALUE"""),"")</f>
        <v/>
      </c>
      <c r="X903" s="5" t="str">
        <f>IFERROR(__xludf.DUMMYFUNCTION("""COMPUTED_VALUE"""),"")</f>
        <v/>
      </c>
      <c r="Y903" s="5"/>
      <c r="Z903" s="5"/>
    </row>
    <row r="904">
      <c r="A904" s="5"/>
      <c r="B904" s="5" t="str">
        <f>IFERROR(__xludf.DUMMYFUNCTION("""COMPUTED_VALUE"""),"")</f>
        <v/>
      </c>
      <c r="C904" s="5" t="str">
        <f>IFERROR(__xludf.DUMMYFUNCTION("""COMPUTED_VALUE"""),"")</f>
        <v/>
      </c>
      <c r="D904" s="5" t="str">
        <f>IFERROR(__xludf.DUMMYFUNCTION("""COMPUTED_VALUE"""),"")</f>
        <v/>
      </c>
      <c r="E904" s="5" t="str">
        <f>IFERROR(__xludf.DUMMYFUNCTION("""COMPUTED_VALUE"""),"")</f>
        <v/>
      </c>
      <c r="F904" s="5" t="str">
        <f>IFERROR(__xludf.DUMMYFUNCTION("""COMPUTED_VALUE"""),"")</f>
        <v/>
      </c>
      <c r="G904" s="5" t="str">
        <f>IFERROR(__xludf.DUMMYFUNCTION("""COMPUTED_VALUE"""),"")</f>
        <v/>
      </c>
      <c r="H904" s="5" t="str">
        <f>IFERROR(__xludf.DUMMYFUNCTION("""COMPUTED_VALUE"""),"")</f>
        <v/>
      </c>
      <c r="I904" s="5" t="str">
        <f>IFERROR(__xludf.DUMMYFUNCTION("""COMPUTED_VALUE"""),"")</f>
        <v/>
      </c>
      <c r="J904" s="5" t="str">
        <f>IFERROR(__xludf.DUMMYFUNCTION("""COMPUTED_VALUE"""),"")</f>
        <v/>
      </c>
      <c r="K904" s="5" t="str">
        <f>IFERROR(__xludf.DUMMYFUNCTION("""COMPUTED_VALUE"""),"")</f>
        <v/>
      </c>
      <c r="L904" s="5" t="str">
        <f>IFERROR(__xludf.DUMMYFUNCTION("""COMPUTED_VALUE"""),"")</f>
        <v/>
      </c>
      <c r="M904" s="5" t="str">
        <f>IFERROR(__xludf.DUMMYFUNCTION("""COMPUTED_VALUE"""),"")</f>
        <v/>
      </c>
      <c r="N904" s="5" t="str">
        <f>IFERROR(__xludf.DUMMYFUNCTION("""COMPUTED_VALUE"""),"")</f>
        <v/>
      </c>
      <c r="O904" s="5" t="str">
        <f>IFERROR(__xludf.DUMMYFUNCTION("""COMPUTED_VALUE"""),"")</f>
        <v/>
      </c>
      <c r="P904" s="5" t="str">
        <f>IFERROR(__xludf.DUMMYFUNCTION("""COMPUTED_VALUE"""),"")</f>
        <v/>
      </c>
      <c r="Q904" s="5" t="str">
        <f>IFERROR(__xludf.DUMMYFUNCTION("""COMPUTED_VALUE"""),"")</f>
        <v/>
      </c>
      <c r="R904" s="5" t="str">
        <f>IFERROR(__xludf.DUMMYFUNCTION("""COMPUTED_VALUE"""),"")</f>
        <v/>
      </c>
      <c r="S904" s="5" t="str">
        <f>IFERROR(__xludf.DUMMYFUNCTION("""COMPUTED_VALUE"""),"")</f>
        <v/>
      </c>
      <c r="T904" s="5" t="str">
        <f>IFERROR(__xludf.DUMMYFUNCTION("""COMPUTED_VALUE"""),"")</f>
        <v/>
      </c>
      <c r="U904" s="5" t="str">
        <f>IFERROR(__xludf.DUMMYFUNCTION("""COMPUTED_VALUE"""),"")</f>
        <v/>
      </c>
      <c r="V904" s="5" t="str">
        <f>IFERROR(__xludf.DUMMYFUNCTION("""COMPUTED_VALUE"""),"")</f>
        <v/>
      </c>
      <c r="W904" s="5" t="str">
        <f>IFERROR(__xludf.DUMMYFUNCTION("""COMPUTED_VALUE"""),"")</f>
        <v/>
      </c>
      <c r="X904" s="5" t="str">
        <f>IFERROR(__xludf.DUMMYFUNCTION("""COMPUTED_VALUE"""),"")</f>
        <v/>
      </c>
      <c r="Y904" s="5"/>
      <c r="Z904" s="5"/>
    </row>
    <row r="905">
      <c r="A905" s="5"/>
      <c r="B905" s="5" t="str">
        <f>IFERROR(__xludf.DUMMYFUNCTION("""COMPUTED_VALUE"""),"")</f>
        <v/>
      </c>
      <c r="C905" s="5" t="str">
        <f>IFERROR(__xludf.DUMMYFUNCTION("""COMPUTED_VALUE"""),"")</f>
        <v/>
      </c>
      <c r="D905" s="5" t="str">
        <f>IFERROR(__xludf.DUMMYFUNCTION("""COMPUTED_VALUE"""),"")</f>
        <v/>
      </c>
      <c r="E905" s="5" t="str">
        <f>IFERROR(__xludf.DUMMYFUNCTION("""COMPUTED_VALUE"""),"")</f>
        <v/>
      </c>
      <c r="F905" s="5" t="str">
        <f>IFERROR(__xludf.DUMMYFUNCTION("""COMPUTED_VALUE"""),"")</f>
        <v/>
      </c>
      <c r="G905" s="5" t="str">
        <f>IFERROR(__xludf.DUMMYFUNCTION("""COMPUTED_VALUE"""),"")</f>
        <v/>
      </c>
      <c r="H905" s="5" t="str">
        <f>IFERROR(__xludf.DUMMYFUNCTION("""COMPUTED_VALUE"""),"")</f>
        <v/>
      </c>
      <c r="I905" s="5" t="str">
        <f>IFERROR(__xludf.DUMMYFUNCTION("""COMPUTED_VALUE"""),"")</f>
        <v/>
      </c>
      <c r="J905" s="5" t="str">
        <f>IFERROR(__xludf.DUMMYFUNCTION("""COMPUTED_VALUE"""),"")</f>
        <v/>
      </c>
      <c r="K905" s="5" t="str">
        <f>IFERROR(__xludf.DUMMYFUNCTION("""COMPUTED_VALUE"""),"")</f>
        <v/>
      </c>
      <c r="L905" s="5" t="str">
        <f>IFERROR(__xludf.DUMMYFUNCTION("""COMPUTED_VALUE"""),"")</f>
        <v/>
      </c>
      <c r="M905" s="5" t="str">
        <f>IFERROR(__xludf.DUMMYFUNCTION("""COMPUTED_VALUE"""),"")</f>
        <v/>
      </c>
      <c r="N905" s="5" t="str">
        <f>IFERROR(__xludf.DUMMYFUNCTION("""COMPUTED_VALUE"""),"")</f>
        <v/>
      </c>
      <c r="O905" s="5" t="str">
        <f>IFERROR(__xludf.DUMMYFUNCTION("""COMPUTED_VALUE"""),"")</f>
        <v/>
      </c>
      <c r="P905" s="5" t="str">
        <f>IFERROR(__xludf.DUMMYFUNCTION("""COMPUTED_VALUE"""),"")</f>
        <v/>
      </c>
      <c r="Q905" s="5" t="str">
        <f>IFERROR(__xludf.DUMMYFUNCTION("""COMPUTED_VALUE"""),"")</f>
        <v/>
      </c>
      <c r="R905" s="5" t="str">
        <f>IFERROR(__xludf.DUMMYFUNCTION("""COMPUTED_VALUE"""),"")</f>
        <v/>
      </c>
      <c r="S905" s="5" t="str">
        <f>IFERROR(__xludf.DUMMYFUNCTION("""COMPUTED_VALUE"""),"")</f>
        <v/>
      </c>
      <c r="T905" s="5" t="str">
        <f>IFERROR(__xludf.DUMMYFUNCTION("""COMPUTED_VALUE"""),"")</f>
        <v/>
      </c>
      <c r="U905" s="5" t="str">
        <f>IFERROR(__xludf.DUMMYFUNCTION("""COMPUTED_VALUE"""),"")</f>
        <v/>
      </c>
      <c r="V905" s="5" t="str">
        <f>IFERROR(__xludf.DUMMYFUNCTION("""COMPUTED_VALUE"""),"")</f>
        <v/>
      </c>
      <c r="W905" s="5" t="str">
        <f>IFERROR(__xludf.DUMMYFUNCTION("""COMPUTED_VALUE"""),"")</f>
        <v/>
      </c>
      <c r="X905" s="5" t="str">
        <f>IFERROR(__xludf.DUMMYFUNCTION("""COMPUTED_VALUE"""),"")</f>
        <v/>
      </c>
      <c r="Y905" s="5"/>
      <c r="Z905" s="5"/>
    </row>
    <row r="906">
      <c r="A906" s="5"/>
      <c r="B906" s="5" t="str">
        <f>IFERROR(__xludf.DUMMYFUNCTION("""COMPUTED_VALUE"""),"")</f>
        <v/>
      </c>
      <c r="C906" s="5" t="str">
        <f>IFERROR(__xludf.DUMMYFUNCTION("""COMPUTED_VALUE"""),"")</f>
        <v/>
      </c>
      <c r="D906" s="5" t="str">
        <f>IFERROR(__xludf.DUMMYFUNCTION("""COMPUTED_VALUE"""),"")</f>
        <v/>
      </c>
      <c r="E906" s="5" t="str">
        <f>IFERROR(__xludf.DUMMYFUNCTION("""COMPUTED_VALUE"""),"")</f>
        <v/>
      </c>
      <c r="F906" s="5" t="str">
        <f>IFERROR(__xludf.DUMMYFUNCTION("""COMPUTED_VALUE"""),"")</f>
        <v/>
      </c>
      <c r="G906" s="5" t="str">
        <f>IFERROR(__xludf.DUMMYFUNCTION("""COMPUTED_VALUE"""),"")</f>
        <v/>
      </c>
      <c r="H906" s="5" t="str">
        <f>IFERROR(__xludf.DUMMYFUNCTION("""COMPUTED_VALUE"""),"")</f>
        <v/>
      </c>
      <c r="I906" s="5" t="str">
        <f>IFERROR(__xludf.DUMMYFUNCTION("""COMPUTED_VALUE"""),"")</f>
        <v/>
      </c>
      <c r="J906" s="5" t="str">
        <f>IFERROR(__xludf.DUMMYFUNCTION("""COMPUTED_VALUE"""),"")</f>
        <v/>
      </c>
      <c r="K906" s="5" t="str">
        <f>IFERROR(__xludf.DUMMYFUNCTION("""COMPUTED_VALUE"""),"")</f>
        <v/>
      </c>
      <c r="L906" s="5" t="str">
        <f>IFERROR(__xludf.DUMMYFUNCTION("""COMPUTED_VALUE"""),"")</f>
        <v/>
      </c>
      <c r="M906" s="5" t="str">
        <f>IFERROR(__xludf.DUMMYFUNCTION("""COMPUTED_VALUE"""),"")</f>
        <v/>
      </c>
      <c r="N906" s="5" t="str">
        <f>IFERROR(__xludf.DUMMYFUNCTION("""COMPUTED_VALUE"""),"")</f>
        <v/>
      </c>
      <c r="O906" s="5" t="str">
        <f>IFERROR(__xludf.DUMMYFUNCTION("""COMPUTED_VALUE"""),"")</f>
        <v/>
      </c>
      <c r="P906" s="5" t="str">
        <f>IFERROR(__xludf.DUMMYFUNCTION("""COMPUTED_VALUE"""),"")</f>
        <v/>
      </c>
      <c r="Q906" s="5" t="str">
        <f>IFERROR(__xludf.DUMMYFUNCTION("""COMPUTED_VALUE"""),"")</f>
        <v/>
      </c>
      <c r="R906" s="5" t="str">
        <f>IFERROR(__xludf.DUMMYFUNCTION("""COMPUTED_VALUE"""),"")</f>
        <v/>
      </c>
      <c r="S906" s="5" t="str">
        <f>IFERROR(__xludf.DUMMYFUNCTION("""COMPUTED_VALUE"""),"")</f>
        <v/>
      </c>
      <c r="T906" s="5" t="str">
        <f>IFERROR(__xludf.DUMMYFUNCTION("""COMPUTED_VALUE"""),"")</f>
        <v/>
      </c>
      <c r="U906" s="5" t="str">
        <f>IFERROR(__xludf.DUMMYFUNCTION("""COMPUTED_VALUE"""),"")</f>
        <v/>
      </c>
      <c r="V906" s="5" t="str">
        <f>IFERROR(__xludf.DUMMYFUNCTION("""COMPUTED_VALUE"""),"")</f>
        <v/>
      </c>
      <c r="W906" s="5" t="str">
        <f>IFERROR(__xludf.DUMMYFUNCTION("""COMPUTED_VALUE"""),"")</f>
        <v/>
      </c>
      <c r="X906" s="5" t="str">
        <f>IFERROR(__xludf.DUMMYFUNCTION("""COMPUTED_VALUE"""),"")</f>
        <v/>
      </c>
      <c r="Y906" s="5"/>
      <c r="Z906" s="5"/>
    </row>
    <row r="907">
      <c r="A907" s="5"/>
      <c r="B907" s="5" t="str">
        <f>IFERROR(__xludf.DUMMYFUNCTION("""COMPUTED_VALUE"""),"")</f>
        <v/>
      </c>
      <c r="C907" s="5" t="str">
        <f>IFERROR(__xludf.DUMMYFUNCTION("""COMPUTED_VALUE"""),"")</f>
        <v/>
      </c>
      <c r="D907" s="5" t="str">
        <f>IFERROR(__xludf.DUMMYFUNCTION("""COMPUTED_VALUE"""),"")</f>
        <v/>
      </c>
      <c r="E907" s="5" t="str">
        <f>IFERROR(__xludf.DUMMYFUNCTION("""COMPUTED_VALUE"""),"")</f>
        <v/>
      </c>
      <c r="F907" s="5" t="str">
        <f>IFERROR(__xludf.DUMMYFUNCTION("""COMPUTED_VALUE"""),"")</f>
        <v/>
      </c>
      <c r="G907" s="5" t="str">
        <f>IFERROR(__xludf.DUMMYFUNCTION("""COMPUTED_VALUE"""),"")</f>
        <v/>
      </c>
      <c r="H907" s="5" t="str">
        <f>IFERROR(__xludf.DUMMYFUNCTION("""COMPUTED_VALUE"""),"")</f>
        <v/>
      </c>
      <c r="I907" s="5" t="str">
        <f>IFERROR(__xludf.DUMMYFUNCTION("""COMPUTED_VALUE"""),"")</f>
        <v/>
      </c>
      <c r="J907" s="5" t="str">
        <f>IFERROR(__xludf.DUMMYFUNCTION("""COMPUTED_VALUE"""),"")</f>
        <v/>
      </c>
      <c r="K907" s="5" t="str">
        <f>IFERROR(__xludf.DUMMYFUNCTION("""COMPUTED_VALUE"""),"")</f>
        <v/>
      </c>
      <c r="L907" s="5" t="str">
        <f>IFERROR(__xludf.DUMMYFUNCTION("""COMPUTED_VALUE"""),"")</f>
        <v/>
      </c>
      <c r="M907" s="5" t="str">
        <f>IFERROR(__xludf.DUMMYFUNCTION("""COMPUTED_VALUE"""),"")</f>
        <v/>
      </c>
      <c r="N907" s="5" t="str">
        <f>IFERROR(__xludf.DUMMYFUNCTION("""COMPUTED_VALUE"""),"")</f>
        <v/>
      </c>
      <c r="O907" s="5" t="str">
        <f>IFERROR(__xludf.DUMMYFUNCTION("""COMPUTED_VALUE"""),"")</f>
        <v/>
      </c>
      <c r="P907" s="5" t="str">
        <f>IFERROR(__xludf.DUMMYFUNCTION("""COMPUTED_VALUE"""),"")</f>
        <v/>
      </c>
      <c r="Q907" s="5" t="str">
        <f>IFERROR(__xludf.DUMMYFUNCTION("""COMPUTED_VALUE"""),"")</f>
        <v/>
      </c>
      <c r="R907" s="5" t="str">
        <f>IFERROR(__xludf.DUMMYFUNCTION("""COMPUTED_VALUE"""),"")</f>
        <v/>
      </c>
      <c r="S907" s="5" t="str">
        <f>IFERROR(__xludf.DUMMYFUNCTION("""COMPUTED_VALUE"""),"")</f>
        <v/>
      </c>
      <c r="T907" s="5" t="str">
        <f>IFERROR(__xludf.DUMMYFUNCTION("""COMPUTED_VALUE"""),"")</f>
        <v/>
      </c>
      <c r="U907" s="5" t="str">
        <f>IFERROR(__xludf.DUMMYFUNCTION("""COMPUTED_VALUE"""),"")</f>
        <v/>
      </c>
      <c r="V907" s="5" t="str">
        <f>IFERROR(__xludf.DUMMYFUNCTION("""COMPUTED_VALUE"""),"")</f>
        <v/>
      </c>
      <c r="W907" s="5" t="str">
        <f>IFERROR(__xludf.DUMMYFUNCTION("""COMPUTED_VALUE"""),"")</f>
        <v/>
      </c>
      <c r="X907" s="5" t="str">
        <f>IFERROR(__xludf.DUMMYFUNCTION("""COMPUTED_VALUE"""),"")</f>
        <v/>
      </c>
      <c r="Y907" s="5"/>
      <c r="Z907" s="5"/>
    </row>
    <row r="908">
      <c r="A908" s="5"/>
      <c r="B908" s="5" t="str">
        <f>IFERROR(__xludf.DUMMYFUNCTION("""COMPUTED_VALUE"""),"")</f>
        <v/>
      </c>
      <c r="C908" s="5" t="str">
        <f>IFERROR(__xludf.DUMMYFUNCTION("""COMPUTED_VALUE"""),"")</f>
        <v/>
      </c>
      <c r="D908" s="5" t="str">
        <f>IFERROR(__xludf.DUMMYFUNCTION("""COMPUTED_VALUE"""),"")</f>
        <v/>
      </c>
      <c r="E908" s="5" t="str">
        <f>IFERROR(__xludf.DUMMYFUNCTION("""COMPUTED_VALUE"""),"")</f>
        <v/>
      </c>
      <c r="F908" s="5" t="str">
        <f>IFERROR(__xludf.DUMMYFUNCTION("""COMPUTED_VALUE"""),"")</f>
        <v/>
      </c>
      <c r="G908" s="5" t="str">
        <f>IFERROR(__xludf.DUMMYFUNCTION("""COMPUTED_VALUE"""),"")</f>
        <v/>
      </c>
      <c r="H908" s="5" t="str">
        <f>IFERROR(__xludf.DUMMYFUNCTION("""COMPUTED_VALUE"""),"")</f>
        <v/>
      </c>
      <c r="I908" s="5" t="str">
        <f>IFERROR(__xludf.DUMMYFUNCTION("""COMPUTED_VALUE"""),"")</f>
        <v/>
      </c>
      <c r="J908" s="5" t="str">
        <f>IFERROR(__xludf.DUMMYFUNCTION("""COMPUTED_VALUE"""),"")</f>
        <v/>
      </c>
      <c r="K908" s="5" t="str">
        <f>IFERROR(__xludf.DUMMYFUNCTION("""COMPUTED_VALUE"""),"")</f>
        <v/>
      </c>
      <c r="L908" s="5" t="str">
        <f>IFERROR(__xludf.DUMMYFUNCTION("""COMPUTED_VALUE"""),"")</f>
        <v/>
      </c>
      <c r="M908" s="5" t="str">
        <f>IFERROR(__xludf.DUMMYFUNCTION("""COMPUTED_VALUE"""),"")</f>
        <v/>
      </c>
      <c r="N908" s="5" t="str">
        <f>IFERROR(__xludf.DUMMYFUNCTION("""COMPUTED_VALUE"""),"")</f>
        <v/>
      </c>
      <c r="O908" s="5" t="str">
        <f>IFERROR(__xludf.DUMMYFUNCTION("""COMPUTED_VALUE"""),"")</f>
        <v/>
      </c>
      <c r="P908" s="5" t="str">
        <f>IFERROR(__xludf.DUMMYFUNCTION("""COMPUTED_VALUE"""),"")</f>
        <v/>
      </c>
      <c r="Q908" s="5" t="str">
        <f>IFERROR(__xludf.DUMMYFUNCTION("""COMPUTED_VALUE"""),"")</f>
        <v/>
      </c>
      <c r="R908" s="5" t="str">
        <f>IFERROR(__xludf.DUMMYFUNCTION("""COMPUTED_VALUE"""),"")</f>
        <v/>
      </c>
      <c r="S908" s="5" t="str">
        <f>IFERROR(__xludf.DUMMYFUNCTION("""COMPUTED_VALUE"""),"")</f>
        <v/>
      </c>
      <c r="T908" s="5" t="str">
        <f>IFERROR(__xludf.DUMMYFUNCTION("""COMPUTED_VALUE"""),"")</f>
        <v/>
      </c>
      <c r="U908" s="5" t="str">
        <f>IFERROR(__xludf.DUMMYFUNCTION("""COMPUTED_VALUE"""),"")</f>
        <v/>
      </c>
      <c r="V908" s="5" t="str">
        <f>IFERROR(__xludf.DUMMYFUNCTION("""COMPUTED_VALUE"""),"")</f>
        <v/>
      </c>
      <c r="W908" s="5" t="str">
        <f>IFERROR(__xludf.DUMMYFUNCTION("""COMPUTED_VALUE"""),"")</f>
        <v/>
      </c>
      <c r="X908" s="5" t="str">
        <f>IFERROR(__xludf.DUMMYFUNCTION("""COMPUTED_VALUE"""),"")</f>
        <v/>
      </c>
      <c r="Y908" s="5"/>
      <c r="Z908" s="5"/>
    </row>
    <row r="909">
      <c r="A909" s="5"/>
      <c r="B909" s="5" t="str">
        <f>IFERROR(__xludf.DUMMYFUNCTION("""COMPUTED_VALUE"""),"")</f>
        <v/>
      </c>
      <c r="C909" s="5" t="str">
        <f>IFERROR(__xludf.DUMMYFUNCTION("""COMPUTED_VALUE"""),"")</f>
        <v/>
      </c>
      <c r="D909" s="5" t="str">
        <f>IFERROR(__xludf.DUMMYFUNCTION("""COMPUTED_VALUE"""),"")</f>
        <v/>
      </c>
      <c r="E909" s="5" t="str">
        <f>IFERROR(__xludf.DUMMYFUNCTION("""COMPUTED_VALUE"""),"")</f>
        <v/>
      </c>
      <c r="F909" s="5" t="str">
        <f>IFERROR(__xludf.DUMMYFUNCTION("""COMPUTED_VALUE"""),"")</f>
        <v/>
      </c>
      <c r="G909" s="5" t="str">
        <f>IFERROR(__xludf.DUMMYFUNCTION("""COMPUTED_VALUE"""),"")</f>
        <v/>
      </c>
      <c r="H909" s="5" t="str">
        <f>IFERROR(__xludf.DUMMYFUNCTION("""COMPUTED_VALUE"""),"")</f>
        <v/>
      </c>
      <c r="I909" s="5" t="str">
        <f>IFERROR(__xludf.DUMMYFUNCTION("""COMPUTED_VALUE"""),"")</f>
        <v/>
      </c>
      <c r="J909" s="5" t="str">
        <f>IFERROR(__xludf.DUMMYFUNCTION("""COMPUTED_VALUE"""),"")</f>
        <v/>
      </c>
      <c r="K909" s="5" t="str">
        <f>IFERROR(__xludf.DUMMYFUNCTION("""COMPUTED_VALUE"""),"")</f>
        <v/>
      </c>
      <c r="L909" s="5" t="str">
        <f>IFERROR(__xludf.DUMMYFUNCTION("""COMPUTED_VALUE"""),"")</f>
        <v/>
      </c>
      <c r="M909" s="5" t="str">
        <f>IFERROR(__xludf.DUMMYFUNCTION("""COMPUTED_VALUE"""),"")</f>
        <v/>
      </c>
      <c r="N909" s="5" t="str">
        <f>IFERROR(__xludf.DUMMYFUNCTION("""COMPUTED_VALUE"""),"")</f>
        <v/>
      </c>
      <c r="O909" s="5" t="str">
        <f>IFERROR(__xludf.DUMMYFUNCTION("""COMPUTED_VALUE"""),"")</f>
        <v/>
      </c>
      <c r="P909" s="5" t="str">
        <f>IFERROR(__xludf.DUMMYFUNCTION("""COMPUTED_VALUE"""),"")</f>
        <v/>
      </c>
      <c r="Q909" s="5" t="str">
        <f>IFERROR(__xludf.DUMMYFUNCTION("""COMPUTED_VALUE"""),"")</f>
        <v/>
      </c>
      <c r="R909" s="5" t="str">
        <f>IFERROR(__xludf.DUMMYFUNCTION("""COMPUTED_VALUE"""),"")</f>
        <v/>
      </c>
      <c r="S909" s="5" t="str">
        <f>IFERROR(__xludf.DUMMYFUNCTION("""COMPUTED_VALUE"""),"")</f>
        <v/>
      </c>
      <c r="T909" s="5" t="str">
        <f>IFERROR(__xludf.DUMMYFUNCTION("""COMPUTED_VALUE"""),"")</f>
        <v/>
      </c>
      <c r="U909" s="5" t="str">
        <f>IFERROR(__xludf.DUMMYFUNCTION("""COMPUTED_VALUE"""),"")</f>
        <v/>
      </c>
      <c r="V909" s="5" t="str">
        <f>IFERROR(__xludf.DUMMYFUNCTION("""COMPUTED_VALUE"""),"")</f>
        <v/>
      </c>
      <c r="W909" s="5" t="str">
        <f>IFERROR(__xludf.DUMMYFUNCTION("""COMPUTED_VALUE"""),"")</f>
        <v/>
      </c>
      <c r="X909" s="5" t="str">
        <f>IFERROR(__xludf.DUMMYFUNCTION("""COMPUTED_VALUE"""),"")</f>
        <v/>
      </c>
      <c r="Y909" s="5"/>
      <c r="Z909" s="5"/>
    </row>
    <row r="910">
      <c r="A910" s="5"/>
      <c r="B910" s="5" t="str">
        <f>IFERROR(__xludf.DUMMYFUNCTION("""COMPUTED_VALUE"""),"")</f>
        <v/>
      </c>
      <c r="C910" s="5" t="str">
        <f>IFERROR(__xludf.DUMMYFUNCTION("""COMPUTED_VALUE"""),"")</f>
        <v/>
      </c>
      <c r="D910" s="5" t="str">
        <f>IFERROR(__xludf.DUMMYFUNCTION("""COMPUTED_VALUE"""),"")</f>
        <v/>
      </c>
      <c r="E910" s="5" t="str">
        <f>IFERROR(__xludf.DUMMYFUNCTION("""COMPUTED_VALUE"""),"")</f>
        <v/>
      </c>
      <c r="F910" s="5" t="str">
        <f>IFERROR(__xludf.DUMMYFUNCTION("""COMPUTED_VALUE"""),"")</f>
        <v/>
      </c>
      <c r="G910" s="5" t="str">
        <f>IFERROR(__xludf.DUMMYFUNCTION("""COMPUTED_VALUE"""),"")</f>
        <v/>
      </c>
      <c r="H910" s="5" t="str">
        <f>IFERROR(__xludf.DUMMYFUNCTION("""COMPUTED_VALUE"""),"")</f>
        <v/>
      </c>
      <c r="I910" s="5" t="str">
        <f>IFERROR(__xludf.DUMMYFUNCTION("""COMPUTED_VALUE"""),"")</f>
        <v/>
      </c>
      <c r="J910" s="5" t="str">
        <f>IFERROR(__xludf.DUMMYFUNCTION("""COMPUTED_VALUE"""),"")</f>
        <v/>
      </c>
      <c r="K910" s="5" t="str">
        <f>IFERROR(__xludf.DUMMYFUNCTION("""COMPUTED_VALUE"""),"")</f>
        <v/>
      </c>
      <c r="L910" s="5" t="str">
        <f>IFERROR(__xludf.DUMMYFUNCTION("""COMPUTED_VALUE"""),"")</f>
        <v/>
      </c>
      <c r="M910" s="5" t="str">
        <f>IFERROR(__xludf.DUMMYFUNCTION("""COMPUTED_VALUE"""),"")</f>
        <v/>
      </c>
      <c r="N910" s="5" t="str">
        <f>IFERROR(__xludf.DUMMYFUNCTION("""COMPUTED_VALUE"""),"")</f>
        <v/>
      </c>
      <c r="O910" s="5" t="str">
        <f>IFERROR(__xludf.DUMMYFUNCTION("""COMPUTED_VALUE"""),"")</f>
        <v/>
      </c>
      <c r="P910" s="5" t="str">
        <f>IFERROR(__xludf.DUMMYFUNCTION("""COMPUTED_VALUE"""),"")</f>
        <v/>
      </c>
      <c r="Q910" s="5" t="str">
        <f>IFERROR(__xludf.DUMMYFUNCTION("""COMPUTED_VALUE"""),"")</f>
        <v/>
      </c>
      <c r="R910" s="5" t="str">
        <f>IFERROR(__xludf.DUMMYFUNCTION("""COMPUTED_VALUE"""),"")</f>
        <v/>
      </c>
      <c r="S910" s="5" t="str">
        <f>IFERROR(__xludf.DUMMYFUNCTION("""COMPUTED_VALUE"""),"")</f>
        <v/>
      </c>
      <c r="T910" s="5" t="str">
        <f>IFERROR(__xludf.DUMMYFUNCTION("""COMPUTED_VALUE"""),"")</f>
        <v/>
      </c>
      <c r="U910" s="5" t="str">
        <f>IFERROR(__xludf.DUMMYFUNCTION("""COMPUTED_VALUE"""),"")</f>
        <v/>
      </c>
      <c r="V910" s="5" t="str">
        <f>IFERROR(__xludf.DUMMYFUNCTION("""COMPUTED_VALUE"""),"")</f>
        <v/>
      </c>
      <c r="W910" s="5" t="str">
        <f>IFERROR(__xludf.DUMMYFUNCTION("""COMPUTED_VALUE"""),"")</f>
        <v/>
      </c>
      <c r="X910" s="5" t="str">
        <f>IFERROR(__xludf.DUMMYFUNCTION("""COMPUTED_VALUE"""),"")</f>
        <v/>
      </c>
      <c r="Y910" s="5"/>
      <c r="Z910" s="5"/>
    </row>
    <row r="911">
      <c r="A911" s="5"/>
      <c r="B911" s="5" t="str">
        <f>IFERROR(__xludf.DUMMYFUNCTION("""COMPUTED_VALUE"""),"")</f>
        <v/>
      </c>
      <c r="C911" s="5" t="str">
        <f>IFERROR(__xludf.DUMMYFUNCTION("""COMPUTED_VALUE"""),"")</f>
        <v/>
      </c>
      <c r="D911" s="5" t="str">
        <f>IFERROR(__xludf.DUMMYFUNCTION("""COMPUTED_VALUE"""),"")</f>
        <v/>
      </c>
      <c r="E911" s="5" t="str">
        <f>IFERROR(__xludf.DUMMYFUNCTION("""COMPUTED_VALUE"""),"")</f>
        <v/>
      </c>
      <c r="F911" s="5" t="str">
        <f>IFERROR(__xludf.DUMMYFUNCTION("""COMPUTED_VALUE"""),"")</f>
        <v/>
      </c>
      <c r="G911" s="5" t="str">
        <f>IFERROR(__xludf.DUMMYFUNCTION("""COMPUTED_VALUE"""),"")</f>
        <v/>
      </c>
      <c r="H911" s="5" t="str">
        <f>IFERROR(__xludf.DUMMYFUNCTION("""COMPUTED_VALUE"""),"")</f>
        <v/>
      </c>
      <c r="I911" s="5" t="str">
        <f>IFERROR(__xludf.DUMMYFUNCTION("""COMPUTED_VALUE"""),"")</f>
        <v/>
      </c>
      <c r="J911" s="5" t="str">
        <f>IFERROR(__xludf.DUMMYFUNCTION("""COMPUTED_VALUE"""),"")</f>
        <v/>
      </c>
      <c r="K911" s="5" t="str">
        <f>IFERROR(__xludf.DUMMYFUNCTION("""COMPUTED_VALUE"""),"")</f>
        <v/>
      </c>
      <c r="L911" s="5" t="str">
        <f>IFERROR(__xludf.DUMMYFUNCTION("""COMPUTED_VALUE"""),"")</f>
        <v/>
      </c>
      <c r="M911" s="5" t="str">
        <f>IFERROR(__xludf.DUMMYFUNCTION("""COMPUTED_VALUE"""),"")</f>
        <v/>
      </c>
      <c r="N911" s="5" t="str">
        <f>IFERROR(__xludf.DUMMYFUNCTION("""COMPUTED_VALUE"""),"")</f>
        <v/>
      </c>
      <c r="O911" s="5" t="str">
        <f>IFERROR(__xludf.DUMMYFUNCTION("""COMPUTED_VALUE"""),"")</f>
        <v/>
      </c>
      <c r="P911" s="5" t="str">
        <f>IFERROR(__xludf.DUMMYFUNCTION("""COMPUTED_VALUE"""),"")</f>
        <v/>
      </c>
      <c r="Q911" s="5" t="str">
        <f>IFERROR(__xludf.DUMMYFUNCTION("""COMPUTED_VALUE"""),"")</f>
        <v/>
      </c>
      <c r="R911" s="5" t="str">
        <f>IFERROR(__xludf.DUMMYFUNCTION("""COMPUTED_VALUE"""),"")</f>
        <v/>
      </c>
      <c r="S911" s="5" t="str">
        <f>IFERROR(__xludf.DUMMYFUNCTION("""COMPUTED_VALUE"""),"")</f>
        <v/>
      </c>
      <c r="T911" s="5" t="str">
        <f>IFERROR(__xludf.DUMMYFUNCTION("""COMPUTED_VALUE"""),"")</f>
        <v/>
      </c>
      <c r="U911" s="5" t="str">
        <f>IFERROR(__xludf.DUMMYFUNCTION("""COMPUTED_VALUE"""),"")</f>
        <v/>
      </c>
      <c r="V911" s="5" t="str">
        <f>IFERROR(__xludf.DUMMYFUNCTION("""COMPUTED_VALUE"""),"")</f>
        <v/>
      </c>
      <c r="W911" s="5" t="str">
        <f>IFERROR(__xludf.DUMMYFUNCTION("""COMPUTED_VALUE"""),"")</f>
        <v/>
      </c>
      <c r="X911" s="5" t="str">
        <f>IFERROR(__xludf.DUMMYFUNCTION("""COMPUTED_VALUE"""),"")</f>
        <v/>
      </c>
      <c r="Y911" s="5"/>
      <c r="Z911" s="5"/>
    </row>
    <row r="912">
      <c r="A912" s="5"/>
      <c r="B912" s="5" t="str">
        <f>IFERROR(__xludf.DUMMYFUNCTION("""COMPUTED_VALUE"""),"")</f>
        <v/>
      </c>
      <c r="C912" s="5" t="str">
        <f>IFERROR(__xludf.DUMMYFUNCTION("""COMPUTED_VALUE"""),"")</f>
        <v/>
      </c>
      <c r="D912" s="5" t="str">
        <f>IFERROR(__xludf.DUMMYFUNCTION("""COMPUTED_VALUE"""),"")</f>
        <v/>
      </c>
      <c r="E912" s="5" t="str">
        <f>IFERROR(__xludf.DUMMYFUNCTION("""COMPUTED_VALUE"""),"")</f>
        <v/>
      </c>
      <c r="F912" s="5" t="str">
        <f>IFERROR(__xludf.DUMMYFUNCTION("""COMPUTED_VALUE"""),"")</f>
        <v/>
      </c>
      <c r="G912" s="5" t="str">
        <f>IFERROR(__xludf.DUMMYFUNCTION("""COMPUTED_VALUE"""),"")</f>
        <v/>
      </c>
      <c r="H912" s="5" t="str">
        <f>IFERROR(__xludf.DUMMYFUNCTION("""COMPUTED_VALUE"""),"")</f>
        <v/>
      </c>
      <c r="I912" s="5" t="str">
        <f>IFERROR(__xludf.DUMMYFUNCTION("""COMPUTED_VALUE"""),"")</f>
        <v/>
      </c>
      <c r="J912" s="5" t="str">
        <f>IFERROR(__xludf.DUMMYFUNCTION("""COMPUTED_VALUE"""),"")</f>
        <v/>
      </c>
      <c r="K912" s="5" t="str">
        <f>IFERROR(__xludf.DUMMYFUNCTION("""COMPUTED_VALUE"""),"")</f>
        <v/>
      </c>
      <c r="L912" s="5" t="str">
        <f>IFERROR(__xludf.DUMMYFUNCTION("""COMPUTED_VALUE"""),"")</f>
        <v/>
      </c>
      <c r="M912" s="5" t="str">
        <f>IFERROR(__xludf.DUMMYFUNCTION("""COMPUTED_VALUE"""),"")</f>
        <v/>
      </c>
      <c r="N912" s="5" t="str">
        <f>IFERROR(__xludf.DUMMYFUNCTION("""COMPUTED_VALUE"""),"")</f>
        <v/>
      </c>
      <c r="O912" s="5" t="str">
        <f>IFERROR(__xludf.DUMMYFUNCTION("""COMPUTED_VALUE"""),"")</f>
        <v/>
      </c>
      <c r="P912" s="5" t="str">
        <f>IFERROR(__xludf.DUMMYFUNCTION("""COMPUTED_VALUE"""),"")</f>
        <v/>
      </c>
      <c r="Q912" s="5" t="str">
        <f>IFERROR(__xludf.DUMMYFUNCTION("""COMPUTED_VALUE"""),"")</f>
        <v/>
      </c>
      <c r="R912" s="5" t="str">
        <f>IFERROR(__xludf.DUMMYFUNCTION("""COMPUTED_VALUE"""),"")</f>
        <v/>
      </c>
      <c r="S912" s="5" t="str">
        <f>IFERROR(__xludf.DUMMYFUNCTION("""COMPUTED_VALUE"""),"")</f>
        <v/>
      </c>
      <c r="T912" s="5" t="str">
        <f>IFERROR(__xludf.DUMMYFUNCTION("""COMPUTED_VALUE"""),"")</f>
        <v/>
      </c>
      <c r="U912" s="5" t="str">
        <f>IFERROR(__xludf.DUMMYFUNCTION("""COMPUTED_VALUE"""),"")</f>
        <v/>
      </c>
      <c r="V912" s="5" t="str">
        <f>IFERROR(__xludf.DUMMYFUNCTION("""COMPUTED_VALUE"""),"")</f>
        <v/>
      </c>
      <c r="W912" s="5" t="str">
        <f>IFERROR(__xludf.DUMMYFUNCTION("""COMPUTED_VALUE"""),"")</f>
        <v/>
      </c>
      <c r="X912" s="5" t="str">
        <f>IFERROR(__xludf.DUMMYFUNCTION("""COMPUTED_VALUE"""),"")</f>
        <v/>
      </c>
      <c r="Y912" s="5"/>
      <c r="Z912" s="5"/>
    </row>
    <row r="913">
      <c r="A913" s="5"/>
      <c r="B913" s="5" t="str">
        <f>IFERROR(__xludf.DUMMYFUNCTION("""COMPUTED_VALUE"""),"")</f>
        <v/>
      </c>
      <c r="C913" s="5" t="str">
        <f>IFERROR(__xludf.DUMMYFUNCTION("""COMPUTED_VALUE"""),"")</f>
        <v/>
      </c>
      <c r="D913" s="5" t="str">
        <f>IFERROR(__xludf.DUMMYFUNCTION("""COMPUTED_VALUE"""),"")</f>
        <v/>
      </c>
      <c r="E913" s="5" t="str">
        <f>IFERROR(__xludf.DUMMYFUNCTION("""COMPUTED_VALUE"""),"")</f>
        <v/>
      </c>
      <c r="F913" s="5" t="str">
        <f>IFERROR(__xludf.DUMMYFUNCTION("""COMPUTED_VALUE"""),"")</f>
        <v/>
      </c>
      <c r="G913" s="5" t="str">
        <f>IFERROR(__xludf.DUMMYFUNCTION("""COMPUTED_VALUE"""),"")</f>
        <v/>
      </c>
      <c r="H913" s="5" t="str">
        <f>IFERROR(__xludf.DUMMYFUNCTION("""COMPUTED_VALUE"""),"")</f>
        <v/>
      </c>
      <c r="I913" s="5" t="str">
        <f>IFERROR(__xludf.DUMMYFUNCTION("""COMPUTED_VALUE"""),"")</f>
        <v/>
      </c>
      <c r="J913" s="5" t="str">
        <f>IFERROR(__xludf.DUMMYFUNCTION("""COMPUTED_VALUE"""),"")</f>
        <v/>
      </c>
      <c r="K913" s="5" t="str">
        <f>IFERROR(__xludf.DUMMYFUNCTION("""COMPUTED_VALUE"""),"")</f>
        <v/>
      </c>
      <c r="L913" s="5" t="str">
        <f>IFERROR(__xludf.DUMMYFUNCTION("""COMPUTED_VALUE"""),"")</f>
        <v/>
      </c>
      <c r="M913" s="5" t="str">
        <f>IFERROR(__xludf.DUMMYFUNCTION("""COMPUTED_VALUE"""),"")</f>
        <v/>
      </c>
      <c r="N913" s="5" t="str">
        <f>IFERROR(__xludf.DUMMYFUNCTION("""COMPUTED_VALUE"""),"")</f>
        <v/>
      </c>
      <c r="O913" s="5" t="str">
        <f>IFERROR(__xludf.DUMMYFUNCTION("""COMPUTED_VALUE"""),"")</f>
        <v/>
      </c>
      <c r="P913" s="5" t="str">
        <f>IFERROR(__xludf.DUMMYFUNCTION("""COMPUTED_VALUE"""),"")</f>
        <v/>
      </c>
      <c r="Q913" s="5" t="str">
        <f>IFERROR(__xludf.DUMMYFUNCTION("""COMPUTED_VALUE"""),"")</f>
        <v/>
      </c>
      <c r="R913" s="5" t="str">
        <f>IFERROR(__xludf.DUMMYFUNCTION("""COMPUTED_VALUE"""),"")</f>
        <v/>
      </c>
      <c r="S913" s="5" t="str">
        <f>IFERROR(__xludf.DUMMYFUNCTION("""COMPUTED_VALUE"""),"")</f>
        <v/>
      </c>
      <c r="T913" s="5" t="str">
        <f>IFERROR(__xludf.DUMMYFUNCTION("""COMPUTED_VALUE"""),"")</f>
        <v/>
      </c>
      <c r="U913" s="5" t="str">
        <f>IFERROR(__xludf.DUMMYFUNCTION("""COMPUTED_VALUE"""),"")</f>
        <v/>
      </c>
      <c r="V913" s="5" t="str">
        <f>IFERROR(__xludf.DUMMYFUNCTION("""COMPUTED_VALUE"""),"")</f>
        <v/>
      </c>
      <c r="W913" s="5" t="str">
        <f>IFERROR(__xludf.DUMMYFUNCTION("""COMPUTED_VALUE"""),"")</f>
        <v/>
      </c>
      <c r="X913" s="5" t="str">
        <f>IFERROR(__xludf.DUMMYFUNCTION("""COMPUTED_VALUE"""),"")</f>
        <v/>
      </c>
      <c r="Y913" s="5"/>
      <c r="Z913" s="5"/>
    </row>
    <row r="914">
      <c r="A914" s="5"/>
      <c r="B914" s="5" t="str">
        <f>IFERROR(__xludf.DUMMYFUNCTION("""COMPUTED_VALUE"""),"")</f>
        <v/>
      </c>
      <c r="C914" s="5" t="str">
        <f>IFERROR(__xludf.DUMMYFUNCTION("""COMPUTED_VALUE"""),"")</f>
        <v/>
      </c>
      <c r="D914" s="5" t="str">
        <f>IFERROR(__xludf.DUMMYFUNCTION("""COMPUTED_VALUE"""),"")</f>
        <v/>
      </c>
      <c r="E914" s="5" t="str">
        <f>IFERROR(__xludf.DUMMYFUNCTION("""COMPUTED_VALUE"""),"")</f>
        <v/>
      </c>
      <c r="F914" s="5" t="str">
        <f>IFERROR(__xludf.DUMMYFUNCTION("""COMPUTED_VALUE"""),"")</f>
        <v/>
      </c>
      <c r="G914" s="5" t="str">
        <f>IFERROR(__xludf.DUMMYFUNCTION("""COMPUTED_VALUE"""),"")</f>
        <v/>
      </c>
      <c r="H914" s="5" t="str">
        <f>IFERROR(__xludf.DUMMYFUNCTION("""COMPUTED_VALUE"""),"")</f>
        <v/>
      </c>
      <c r="I914" s="5" t="str">
        <f>IFERROR(__xludf.DUMMYFUNCTION("""COMPUTED_VALUE"""),"")</f>
        <v/>
      </c>
      <c r="J914" s="5" t="str">
        <f>IFERROR(__xludf.DUMMYFUNCTION("""COMPUTED_VALUE"""),"")</f>
        <v/>
      </c>
      <c r="K914" s="5" t="str">
        <f>IFERROR(__xludf.DUMMYFUNCTION("""COMPUTED_VALUE"""),"")</f>
        <v/>
      </c>
      <c r="L914" s="5" t="str">
        <f>IFERROR(__xludf.DUMMYFUNCTION("""COMPUTED_VALUE"""),"")</f>
        <v/>
      </c>
      <c r="M914" s="5" t="str">
        <f>IFERROR(__xludf.DUMMYFUNCTION("""COMPUTED_VALUE"""),"")</f>
        <v/>
      </c>
      <c r="N914" s="5" t="str">
        <f>IFERROR(__xludf.DUMMYFUNCTION("""COMPUTED_VALUE"""),"")</f>
        <v/>
      </c>
      <c r="O914" s="5" t="str">
        <f>IFERROR(__xludf.DUMMYFUNCTION("""COMPUTED_VALUE"""),"")</f>
        <v/>
      </c>
      <c r="P914" s="5" t="str">
        <f>IFERROR(__xludf.DUMMYFUNCTION("""COMPUTED_VALUE"""),"")</f>
        <v/>
      </c>
      <c r="Q914" s="5" t="str">
        <f>IFERROR(__xludf.DUMMYFUNCTION("""COMPUTED_VALUE"""),"")</f>
        <v/>
      </c>
      <c r="R914" s="5" t="str">
        <f>IFERROR(__xludf.DUMMYFUNCTION("""COMPUTED_VALUE"""),"")</f>
        <v/>
      </c>
      <c r="S914" s="5" t="str">
        <f>IFERROR(__xludf.DUMMYFUNCTION("""COMPUTED_VALUE"""),"")</f>
        <v/>
      </c>
      <c r="T914" s="5" t="str">
        <f>IFERROR(__xludf.DUMMYFUNCTION("""COMPUTED_VALUE"""),"")</f>
        <v/>
      </c>
      <c r="U914" s="5" t="str">
        <f>IFERROR(__xludf.DUMMYFUNCTION("""COMPUTED_VALUE"""),"")</f>
        <v/>
      </c>
      <c r="V914" s="5" t="str">
        <f>IFERROR(__xludf.DUMMYFUNCTION("""COMPUTED_VALUE"""),"")</f>
        <v/>
      </c>
      <c r="W914" s="5" t="str">
        <f>IFERROR(__xludf.DUMMYFUNCTION("""COMPUTED_VALUE"""),"")</f>
        <v/>
      </c>
      <c r="X914" s="5" t="str">
        <f>IFERROR(__xludf.DUMMYFUNCTION("""COMPUTED_VALUE"""),"")</f>
        <v/>
      </c>
      <c r="Y914" s="5"/>
      <c r="Z914" s="5"/>
    </row>
    <row r="915">
      <c r="A915" s="5"/>
      <c r="B915" s="5" t="str">
        <f>IFERROR(__xludf.DUMMYFUNCTION("""COMPUTED_VALUE"""),"")</f>
        <v/>
      </c>
      <c r="C915" s="5" t="str">
        <f>IFERROR(__xludf.DUMMYFUNCTION("""COMPUTED_VALUE"""),"")</f>
        <v/>
      </c>
      <c r="D915" s="5" t="str">
        <f>IFERROR(__xludf.DUMMYFUNCTION("""COMPUTED_VALUE"""),"")</f>
        <v/>
      </c>
      <c r="E915" s="5" t="str">
        <f>IFERROR(__xludf.DUMMYFUNCTION("""COMPUTED_VALUE"""),"")</f>
        <v/>
      </c>
      <c r="F915" s="5" t="str">
        <f>IFERROR(__xludf.DUMMYFUNCTION("""COMPUTED_VALUE"""),"")</f>
        <v/>
      </c>
      <c r="G915" s="5" t="str">
        <f>IFERROR(__xludf.DUMMYFUNCTION("""COMPUTED_VALUE"""),"")</f>
        <v/>
      </c>
      <c r="H915" s="5" t="str">
        <f>IFERROR(__xludf.DUMMYFUNCTION("""COMPUTED_VALUE"""),"")</f>
        <v/>
      </c>
      <c r="I915" s="5" t="str">
        <f>IFERROR(__xludf.DUMMYFUNCTION("""COMPUTED_VALUE"""),"")</f>
        <v/>
      </c>
      <c r="J915" s="5" t="str">
        <f>IFERROR(__xludf.DUMMYFUNCTION("""COMPUTED_VALUE"""),"")</f>
        <v/>
      </c>
      <c r="K915" s="5" t="str">
        <f>IFERROR(__xludf.DUMMYFUNCTION("""COMPUTED_VALUE"""),"")</f>
        <v/>
      </c>
      <c r="L915" s="5" t="str">
        <f>IFERROR(__xludf.DUMMYFUNCTION("""COMPUTED_VALUE"""),"")</f>
        <v/>
      </c>
      <c r="M915" s="5" t="str">
        <f>IFERROR(__xludf.DUMMYFUNCTION("""COMPUTED_VALUE"""),"")</f>
        <v/>
      </c>
      <c r="N915" s="5" t="str">
        <f>IFERROR(__xludf.DUMMYFUNCTION("""COMPUTED_VALUE"""),"")</f>
        <v/>
      </c>
      <c r="O915" s="5" t="str">
        <f>IFERROR(__xludf.DUMMYFUNCTION("""COMPUTED_VALUE"""),"")</f>
        <v/>
      </c>
      <c r="P915" s="5" t="str">
        <f>IFERROR(__xludf.DUMMYFUNCTION("""COMPUTED_VALUE"""),"")</f>
        <v/>
      </c>
      <c r="Q915" s="5" t="str">
        <f>IFERROR(__xludf.DUMMYFUNCTION("""COMPUTED_VALUE"""),"")</f>
        <v/>
      </c>
      <c r="R915" s="5" t="str">
        <f>IFERROR(__xludf.DUMMYFUNCTION("""COMPUTED_VALUE"""),"")</f>
        <v/>
      </c>
      <c r="S915" s="5" t="str">
        <f>IFERROR(__xludf.DUMMYFUNCTION("""COMPUTED_VALUE"""),"")</f>
        <v/>
      </c>
      <c r="T915" s="5" t="str">
        <f>IFERROR(__xludf.DUMMYFUNCTION("""COMPUTED_VALUE"""),"")</f>
        <v/>
      </c>
      <c r="U915" s="5" t="str">
        <f>IFERROR(__xludf.DUMMYFUNCTION("""COMPUTED_VALUE"""),"")</f>
        <v/>
      </c>
      <c r="V915" s="5" t="str">
        <f>IFERROR(__xludf.DUMMYFUNCTION("""COMPUTED_VALUE"""),"")</f>
        <v/>
      </c>
      <c r="W915" s="5" t="str">
        <f>IFERROR(__xludf.DUMMYFUNCTION("""COMPUTED_VALUE"""),"")</f>
        <v/>
      </c>
      <c r="X915" s="5" t="str">
        <f>IFERROR(__xludf.DUMMYFUNCTION("""COMPUTED_VALUE"""),"")</f>
        <v/>
      </c>
      <c r="Y915" s="5"/>
      <c r="Z915" s="5"/>
    </row>
    <row r="916">
      <c r="A916" s="5"/>
      <c r="B916" s="5" t="str">
        <f>IFERROR(__xludf.DUMMYFUNCTION("""COMPUTED_VALUE"""),"")</f>
        <v/>
      </c>
      <c r="C916" s="5" t="str">
        <f>IFERROR(__xludf.DUMMYFUNCTION("""COMPUTED_VALUE"""),"")</f>
        <v/>
      </c>
      <c r="D916" s="5" t="str">
        <f>IFERROR(__xludf.DUMMYFUNCTION("""COMPUTED_VALUE"""),"")</f>
        <v/>
      </c>
      <c r="E916" s="5" t="str">
        <f>IFERROR(__xludf.DUMMYFUNCTION("""COMPUTED_VALUE"""),"")</f>
        <v/>
      </c>
      <c r="F916" s="5" t="str">
        <f>IFERROR(__xludf.DUMMYFUNCTION("""COMPUTED_VALUE"""),"")</f>
        <v/>
      </c>
      <c r="G916" s="5" t="str">
        <f>IFERROR(__xludf.DUMMYFUNCTION("""COMPUTED_VALUE"""),"")</f>
        <v/>
      </c>
      <c r="H916" s="5" t="str">
        <f>IFERROR(__xludf.DUMMYFUNCTION("""COMPUTED_VALUE"""),"")</f>
        <v/>
      </c>
      <c r="I916" s="5" t="str">
        <f>IFERROR(__xludf.DUMMYFUNCTION("""COMPUTED_VALUE"""),"")</f>
        <v/>
      </c>
      <c r="J916" s="5" t="str">
        <f>IFERROR(__xludf.DUMMYFUNCTION("""COMPUTED_VALUE"""),"")</f>
        <v/>
      </c>
      <c r="K916" s="5" t="str">
        <f>IFERROR(__xludf.DUMMYFUNCTION("""COMPUTED_VALUE"""),"")</f>
        <v/>
      </c>
      <c r="L916" s="5" t="str">
        <f>IFERROR(__xludf.DUMMYFUNCTION("""COMPUTED_VALUE"""),"")</f>
        <v/>
      </c>
      <c r="M916" s="5" t="str">
        <f>IFERROR(__xludf.DUMMYFUNCTION("""COMPUTED_VALUE"""),"")</f>
        <v/>
      </c>
      <c r="N916" s="5" t="str">
        <f>IFERROR(__xludf.DUMMYFUNCTION("""COMPUTED_VALUE"""),"")</f>
        <v/>
      </c>
      <c r="O916" s="5" t="str">
        <f>IFERROR(__xludf.DUMMYFUNCTION("""COMPUTED_VALUE"""),"")</f>
        <v/>
      </c>
      <c r="P916" s="5" t="str">
        <f>IFERROR(__xludf.DUMMYFUNCTION("""COMPUTED_VALUE"""),"")</f>
        <v/>
      </c>
      <c r="Q916" s="5" t="str">
        <f>IFERROR(__xludf.DUMMYFUNCTION("""COMPUTED_VALUE"""),"")</f>
        <v/>
      </c>
      <c r="R916" s="5" t="str">
        <f>IFERROR(__xludf.DUMMYFUNCTION("""COMPUTED_VALUE"""),"")</f>
        <v/>
      </c>
      <c r="S916" s="5" t="str">
        <f>IFERROR(__xludf.DUMMYFUNCTION("""COMPUTED_VALUE"""),"")</f>
        <v/>
      </c>
      <c r="T916" s="5" t="str">
        <f>IFERROR(__xludf.DUMMYFUNCTION("""COMPUTED_VALUE"""),"")</f>
        <v/>
      </c>
      <c r="U916" s="5" t="str">
        <f>IFERROR(__xludf.DUMMYFUNCTION("""COMPUTED_VALUE"""),"")</f>
        <v/>
      </c>
      <c r="V916" s="5" t="str">
        <f>IFERROR(__xludf.DUMMYFUNCTION("""COMPUTED_VALUE"""),"")</f>
        <v/>
      </c>
      <c r="W916" s="5" t="str">
        <f>IFERROR(__xludf.DUMMYFUNCTION("""COMPUTED_VALUE"""),"")</f>
        <v/>
      </c>
      <c r="X916" s="5" t="str">
        <f>IFERROR(__xludf.DUMMYFUNCTION("""COMPUTED_VALUE"""),"")</f>
        <v/>
      </c>
      <c r="Y916" s="5"/>
      <c r="Z916" s="5"/>
    </row>
    <row r="917">
      <c r="A917" s="5"/>
      <c r="B917" s="5" t="str">
        <f>IFERROR(__xludf.DUMMYFUNCTION("""COMPUTED_VALUE"""),"")</f>
        <v/>
      </c>
      <c r="C917" s="5" t="str">
        <f>IFERROR(__xludf.DUMMYFUNCTION("""COMPUTED_VALUE"""),"")</f>
        <v/>
      </c>
      <c r="D917" s="5" t="str">
        <f>IFERROR(__xludf.DUMMYFUNCTION("""COMPUTED_VALUE"""),"")</f>
        <v/>
      </c>
      <c r="E917" s="5" t="str">
        <f>IFERROR(__xludf.DUMMYFUNCTION("""COMPUTED_VALUE"""),"")</f>
        <v/>
      </c>
      <c r="F917" s="5" t="str">
        <f>IFERROR(__xludf.DUMMYFUNCTION("""COMPUTED_VALUE"""),"")</f>
        <v/>
      </c>
      <c r="G917" s="5" t="str">
        <f>IFERROR(__xludf.DUMMYFUNCTION("""COMPUTED_VALUE"""),"")</f>
        <v/>
      </c>
      <c r="H917" s="5" t="str">
        <f>IFERROR(__xludf.DUMMYFUNCTION("""COMPUTED_VALUE"""),"")</f>
        <v/>
      </c>
      <c r="I917" s="5" t="str">
        <f>IFERROR(__xludf.DUMMYFUNCTION("""COMPUTED_VALUE"""),"")</f>
        <v/>
      </c>
      <c r="J917" s="5" t="str">
        <f>IFERROR(__xludf.DUMMYFUNCTION("""COMPUTED_VALUE"""),"")</f>
        <v/>
      </c>
      <c r="K917" s="5" t="str">
        <f>IFERROR(__xludf.DUMMYFUNCTION("""COMPUTED_VALUE"""),"")</f>
        <v/>
      </c>
      <c r="L917" s="5" t="str">
        <f>IFERROR(__xludf.DUMMYFUNCTION("""COMPUTED_VALUE"""),"")</f>
        <v/>
      </c>
      <c r="M917" s="5" t="str">
        <f>IFERROR(__xludf.DUMMYFUNCTION("""COMPUTED_VALUE"""),"")</f>
        <v/>
      </c>
      <c r="N917" s="5" t="str">
        <f>IFERROR(__xludf.DUMMYFUNCTION("""COMPUTED_VALUE"""),"")</f>
        <v/>
      </c>
      <c r="O917" s="5" t="str">
        <f>IFERROR(__xludf.DUMMYFUNCTION("""COMPUTED_VALUE"""),"")</f>
        <v/>
      </c>
      <c r="P917" s="5" t="str">
        <f>IFERROR(__xludf.DUMMYFUNCTION("""COMPUTED_VALUE"""),"")</f>
        <v/>
      </c>
      <c r="Q917" s="5" t="str">
        <f>IFERROR(__xludf.DUMMYFUNCTION("""COMPUTED_VALUE"""),"")</f>
        <v/>
      </c>
      <c r="R917" s="5" t="str">
        <f>IFERROR(__xludf.DUMMYFUNCTION("""COMPUTED_VALUE"""),"")</f>
        <v/>
      </c>
      <c r="S917" s="5" t="str">
        <f>IFERROR(__xludf.DUMMYFUNCTION("""COMPUTED_VALUE"""),"")</f>
        <v/>
      </c>
      <c r="T917" s="5" t="str">
        <f>IFERROR(__xludf.DUMMYFUNCTION("""COMPUTED_VALUE"""),"")</f>
        <v/>
      </c>
      <c r="U917" s="5" t="str">
        <f>IFERROR(__xludf.DUMMYFUNCTION("""COMPUTED_VALUE"""),"")</f>
        <v/>
      </c>
      <c r="V917" s="5" t="str">
        <f>IFERROR(__xludf.DUMMYFUNCTION("""COMPUTED_VALUE"""),"")</f>
        <v/>
      </c>
      <c r="W917" s="5" t="str">
        <f>IFERROR(__xludf.DUMMYFUNCTION("""COMPUTED_VALUE"""),"")</f>
        <v/>
      </c>
      <c r="X917" s="5" t="str">
        <f>IFERROR(__xludf.DUMMYFUNCTION("""COMPUTED_VALUE"""),"")</f>
        <v/>
      </c>
      <c r="Y917" s="5"/>
      <c r="Z917" s="5"/>
    </row>
    <row r="918">
      <c r="A918" s="5"/>
      <c r="B918" s="5" t="str">
        <f>IFERROR(__xludf.DUMMYFUNCTION("""COMPUTED_VALUE"""),"")</f>
        <v/>
      </c>
      <c r="C918" s="5" t="str">
        <f>IFERROR(__xludf.DUMMYFUNCTION("""COMPUTED_VALUE"""),"")</f>
        <v/>
      </c>
      <c r="D918" s="5" t="str">
        <f>IFERROR(__xludf.DUMMYFUNCTION("""COMPUTED_VALUE"""),"")</f>
        <v/>
      </c>
      <c r="E918" s="5" t="str">
        <f>IFERROR(__xludf.DUMMYFUNCTION("""COMPUTED_VALUE"""),"")</f>
        <v/>
      </c>
      <c r="F918" s="5" t="str">
        <f>IFERROR(__xludf.DUMMYFUNCTION("""COMPUTED_VALUE"""),"")</f>
        <v/>
      </c>
      <c r="G918" s="5" t="str">
        <f>IFERROR(__xludf.DUMMYFUNCTION("""COMPUTED_VALUE"""),"")</f>
        <v/>
      </c>
      <c r="H918" s="5" t="str">
        <f>IFERROR(__xludf.DUMMYFUNCTION("""COMPUTED_VALUE"""),"")</f>
        <v/>
      </c>
      <c r="I918" s="5" t="str">
        <f>IFERROR(__xludf.DUMMYFUNCTION("""COMPUTED_VALUE"""),"")</f>
        <v/>
      </c>
      <c r="J918" s="5" t="str">
        <f>IFERROR(__xludf.DUMMYFUNCTION("""COMPUTED_VALUE"""),"")</f>
        <v/>
      </c>
      <c r="K918" s="5" t="str">
        <f>IFERROR(__xludf.DUMMYFUNCTION("""COMPUTED_VALUE"""),"")</f>
        <v/>
      </c>
      <c r="L918" s="5" t="str">
        <f>IFERROR(__xludf.DUMMYFUNCTION("""COMPUTED_VALUE"""),"")</f>
        <v/>
      </c>
      <c r="M918" s="5" t="str">
        <f>IFERROR(__xludf.DUMMYFUNCTION("""COMPUTED_VALUE"""),"")</f>
        <v/>
      </c>
      <c r="N918" s="5" t="str">
        <f>IFERROR(__xludf.DUMMYFUNCTION("""COMPUTED_VALUE"""),"")</f>
        <v/>
      </c>
      <c r="O918" s="5" t="str">
        <f>IFERROR(__xludf.DUMMYFUNCTION("""COMPUTED_VALUE"""),"")</f>
        <v/>
      </c>
      <c r="P918" s="5" t="str">
        <f>IFERROR(__xludf.DUMMYFUNCTION("""COMPUTED_VALUE"""),"")</f>
        <v/>
      </c>
      <c r="Q918" s="5" t="str">
        <f>IFERROR(__xludf.DUMMYFUNCTION("""COMPUTED_VALUE"""),"")</f>
        <v/>
      </c>
      <c r="R918" s="5" t="str">
        <f>IFERROR(__xludf.DUMMYFUNCTION("""COMPUTED_VALUE"""),"")</f>
        <v/>
      </c>
      <c r="S918" s="5" t="str">
        <f>IFERROR(__xludf.DUMMYFUNCTION("""COMPUTED_VALUE"""),"")</f>
        <v/>
      </c>
      <c r="T918" s="5" t="str">
        <f>IFERROR(__xludf.DUMMYFUNCTION("""COMPUTED_VALUE"""),"")</f>
        <v/>
      </c>
      <c r="U918" s="5" t="str">
        <f>IFERROR(__xludf.DUMMYFUNCTION("""COMPUTED_VALUE"""),"")</f>
        <v/>
      </c>
      <c r="V918" s="5" t="str">
        <f>IFERROR(__xludf.DUMMYFUNCTION("""COMPUTED_VALUE"""),"")</f>
        <v/>
      </c>
      <c r="W918" s="5" t="str">
        <f>IFERROR(__xludf.DUMMYFUNCTION("""COMPUTED_VALUE"""),"")</f>
        <v/>
      </c>
      <c r="X918" s="5" t="str">
        <f>IFERROR(__xludf.DUMMYFUNCTION("""COMPUTED_VALUE"""),"")</f>
        <v/>
      </c>
      <c r="Y918" s="5"/>
      <c r="Z918" s="5"/>
    </row>
    <row r="919">
      <c r="A919" s="5"/>
      <c r="B919" s="5" t="str">
        <f>IFERROR(__xludf.DUMMYFUNCTION("""COMPUTED_VALUE"""),"")</f>
        <v/>
      </c>
      <c r="C919" s="5" t="str">
        <f>IFERROR(__xludf.DUMMYFUNCTION("""COMPUTED_VALUE"""),"")</f>
        <v/>
      </c>
      <c r="D919" s="5" t="str">
        <f>IFERROR(__xludf.DUMMYFUNCTION("""COMPUTED_VALUE"""),"")</f>
        <v/>
      </c>
      <c r="E919" s="5" t="str">
        <f>IFERROR(__xludf.DUMMYFUNCTION("""COMPUTED_VALUE"""),"")</f>
        <v/>
      </c>
      <c r="F919" s="5" t="str">
        <f>IFERROR(__xludf.DUMMYFUNCTION("""COMPUTED_VALUE"""),"")</f>
        <v/>
      </c>
      <c r="G919" s="5" t="str">
        <f>IFERROR(__xludf.DUMMYFUNCTION("""COMPUTED_VALUE"""),"")</f>
        <v/>
      </c>
      <c r="H919" s="5" t="str">
        <f>IFERROR(__xludf.DUMMYFUNCTION("""COMPUTED_VALUE"""),"")</f>
        <v/>
      </c>
      <c r="I919" s="5" t="str">
        <f>IFERROR(__xludf.DUMMYFUNCTION("""COMPUTED_VALUE"""),"")</f>
        <v/>
      </c>
      <c r="J919" s="5" t="str">
        <f>IFERROR(__xludf.DUMMYFUNCTION("""COMPUTED_VALUE"""),"")</f>
        <v/>
      </c>
      <c r="K919" s="5" t="str">
        <f>IFERROR(__xludf.DUMMYFUNCTION("""COMPUTED_VALUE"""),"")</f>
        <v/>
      </c>
      <c r="L919" s="5" t="str">
        <f>IFERROR(__xludf.DUMMYFUNCTION("""COMPUTED_VALUE"""),"")</f>
        <v/>
      </c>
      <c r="M919" s="5" t="str">
        <f>IFERROR(__xludf.DUMMYFUNCTION("""COMPUTED_VALUE"""),"")</f>
        <v/>
      </c>
      <c r="N919" s="5" t="str">
        <f>IFERROR(__xludf.DUMMYFUNCTION("""COMPUTED_VALUE"""),"")</f>
        <v/>
      </c>
      <c r="O919" s="5" t="str">
        <f>IFERROR(__xludf.DUMMYFUNCTION("""COMPUTED_VALUE"""),"")</f>
        <v/>
      </c>
      <c r="P919" s="5" t="str">
        <f>IFERROR(__xludf.DUMMYFUNCTION("""COMPUTED_VALUE"""),"")</f>
        <v/>
      </c>
      <c r="Q919" s="5" t="str">
        <f>IFERROR(__xludf.DUMMYFUNCTION("""COMPUTED_VALUE"""),"")</f>
        <v/>
      </c>
      <c r="R919" s="5" t="str">
        <f>IFERROR(__xludf.DUMMYFUNCTION("""COMPUTED_VALUE"""),"")</f>
        <v/>
      </c>
      <c r="S919" s="5" t="str">
        <f>IFERROR(__xludf.DUMMYFUNCTION("""COMPUTED_VALUE"""),"")</f>
        <v/>
      </c>
      <c r="T919" s="5" t="str">
        <f>IFERROR(__xludf.DUMMYFUNCTION("""COMPUTED_VALUE"""),"")</f>
        <v/>
      </c>
      <c r="U919" s="5" t="str">
        <f>IFERROR(__xludf.DUMMYFUNCTION("""COMPUTED_VALUE"""),"")</f>
        <v/>
      </c>
      <c r="V919" s="5" t="str">
        <f>IFERROR(__xludf.DUMMYFUNCTION("""COMPUTED_VALUE"""),"")</f>
        <v/>
      </c>
      <c r="W919" s="5" t="str">
        <f>IFERROR(__xludf.DUMMYFUNCTION("""COMPUTED_VALUE"""),"")</f>
        <v/>
      </c>
      <c r="X919" s="5" t="str">
        <f>IFERROR(__xludf.DUMMYFUNCTION("""COMPUTED_VALUE"""),"")</f>
        <v/>
      </c>
      <c r="Y919" s="5"/>
      <c r="Z919" s="5"/>
    </row>
    <row r="920">
      <c r="A920" s="5"/>
      <c r="B920" s="5" t="str">
        <f>IFERROR(__xludf.DUMMYFUNCTION("""COMPUTED_VALUE"""),"")</f>
        <v/>
      </c>
      <c r="C920" s="5" t="str">
        <f>IFERROR(__xludf.DUMMYFUNCTION("""COMPUTED_VALUE"""),"")</f>
        <v/>
      </c>
      <c r="D920" s="5" t="str">
        <f>IFERROR(__xludf.DUMMYFUNCTION("""COMPUTED_VALUE"""),"")</f>
        <v/>
      </c>
      <c r="E920" s="5" t="str">
        <f>IFERROR(__xludf.DUMMYFUNCTION("""COMPUTED_VALUE"""),"")</f>
        <v/>
      </c>
      <c r="F920" s="5" t="str">
        <f>IFERROR(__xludf.DUMMYFUNCTION("""COMPUTED_VALUE"""),"")</f>
        <v/>
      </c>
      <c r="G920" s="5" t="str">
        <f>IFERROR(__xludf.DUMMYFUNCTION("""COMPUTED_VALUE"""),"")</f>
        <v/>
      </c>
      <c r="H920" s="5" t="str">
        <f>IFERROR(__xludf.DUMMYFUNCTION("""COMPUTED_VALUE"""),"")</f>
        <v/>
      </c>
      <c r="I920" s="5" t="str">
        <f>IFERROR(__xludf.DUMMYFUNCTION("""COMPUTED_VALUE"""),"")</f>
        <v/>
      </c>
      <c r="J920" s="5" t="str">
        <f>IFERROR(__xludf.DUMMYFUNCTION("""COMPUTED_VALUE"""),"")</f>
        <v/>
      </c>
      <c r="K920" s="5" t="str">
        <f>IFERROR(__xludf.DUMMYFUNCTION("""COMPUTED_VALUE"""),"")</f>
        <v/>
      </c>
      <c r="L920" s="5" t="str">
        <f>IFERROR(__xludf.DUMMYFUNCTION("""COMPUTED_VALUE"""),"")</f>
        <v/>
      </c>
      <c r="M920" s="5" t="str">
        <f>IFERROR(__xludf.DUMMYFUNCTION("""COMPUTED_VALUE"""),"")</f>
        <v/>
      </c>
      <c r="N920" s="5" t="str">
        <f>IFERROR(__xludf.DUMMYFUNCTION("""COMPUTED_VALUE"""),"")</f>
        <v/>
      </c>
      <c r="O920" s="5" t="str">
        <f>IFERROR(__xludf.DUMMYFUNCTION("""COMPUTED_VALUE"""),"")</f>
        <v/>
      </c>
      <c r="P920" s="5" t="str">
        <f>IFERROR(__xludf.DUMMYFUNCTION("""COMPUTED_VALUE"""),"")</f>
        <v/>
      </c>
      <c r="Q920" s="5" t="str">
        <f>IFERROR(__xludf.DUMMYFUNCTION("""COMPUTED_VALUE"""),"")</f>
        <v/>
      </c>
      <c r="R920" s="5" t="str">
        <f>IFERROR(__xludf.DUMMYFUNCTION("""COMPUTED_VALUE"""),"")</f>
        <v/>
      </c>
      <c r="S920" s="5" t="str">
        <f>IFERROR(__xludf.DUMMYFUNCTION("""COMPUTED_VALUE"""),"")</f>
        <v/>
      </c>
      <c r="T920" s="5" t="str">
        <f>IFERROR(__xludf.DUMMYFUNCTION("""COMPUTED_VALUE"""),"")</f>
        <v/>
      </c>
      <c r="U920" s="5" t="str">
        <f>IFERROR(__xludf.DUMMYFUNCTION("""COMPUTED_VALUE"""),"")</f>
        <v/>
      </c>
      <c r="V920" s="5" t="str">
        <f>IFERROR(__xludf.DUMMYFUNCTION("""COMPUTED_VALUE"""),"")</f>
        <v/>
      </c>
      <c r="W920" s="5" t="str">
        <f>IFERROR(__xludf.DUMMYFUNCTION("""COMPUTED_VALUE"""),"")</f>
        <v/>
      </c>
      <c r="X920" s="5" t="str">
        <f>IFERROR(__xludf.DUMMYFUNCTION("""COMPUTED_VALUE"""),"")</f>
        <v/>
      </c>
      <c r="Y920" s="5"/>
      <c r="Z920" s="5"/>
    </row>
    <row r="921">
      <c r="A921" s="5"/>
      <c r="B921" s="5" t="str">
        <f>IFERROR(__xludf.DUMMYFUNCTION("""COMPUTED_VALUE"""),"")</f>
        <v/>
      </c>
      <c r="C921" s="5" t="str">
        <f>IFERROR(__xludf.DUMMYFUNCTION("""COMPUTED_VALUE"""),"")</f>
        <v/>
      </c>
      <c r="D921" s="5" t="str">
        <f>IFERROR(__xludf.DUMMYFUNCTION("""COMPUTED_VALUE"""),"")</f>
        <v/>
      </c>
      <c r="E921" s="5" t="str">
        <f>IFERROR(__xludf.DUMMYFUNCTION("""COMPUTED_VALUE"""),"")</f>
        <v/>
      </c>
      <c r="F921" s="5" t="str">
        <f>IFERROR(__xludf.DUMMYFUNCTION("""COMPUTED_VALUE"""),"")</f>
        <v/>
      </c>
      <c r="G921" s="5" t="str">
        <f>IFERROR(__xludf.DUMMYFUNCTION("""COMPUTED_VALUE"""),"")</f>
        <v/>
      </c>
      <c r="H921" s="5" t="str">
        <f>IFERROR(__xludf.DUMMYFUNCTION("""COMPUTED_VALUE"""),"")</f>
        <v/>
      </c>
      <c r="I921" s="5" t="str">
        <f>IFERROR(__xludf.DUMMYFUNCTION("""COMPUTED_VALUE"""),"")</f>
        <v/>
      </c>
      <c r="J921" s="5" t="str">
        <f>IFERROR(__xludf.DUMMYFUNCTION("""COMPUTED_VALUE"""),"")</f>
        <v/>
      </c>
      <c r="K921" s="5" t="str">
        <f>IFERROR(__xludf.DUMMYFUNCTION("""COMPUTED_VALUE"""),"")</f>
        <v/>
      </c>
      <c r="L921" s="5" t="str">
        <f>IFERROR(__xludf.DUMMYFUNCTION("""COMPUTED_VALUE"""),"")</f>
        <v/>
      </c>
      <c r="M921" s="5" t="str">
        <f>IFERROR(__xludf.DUMMYFUNCTION("""COMPUTED_VALUE"""),"")</f>
        <v/>
      </c>
      <c r="N921" s="5" t="str">
        <f>IFERROR(__xludf.DUMMYFUNCTION("""COMPUTED_VALUE"""),"")</f>
        <v/>
      </c>
      <c r="O921" s="5" t="str">
        <f>IFERROR(__xludf.DUMMYFUNCTION("""COMPUTED_VALUE"""),"")</f>
        <v/>
      </c>
      <c r="P921" s="5" t="str">
        <f>IFERROR(__xludf.DUMMYFUNCTION("""COMPUTED_VALUE"""),"")</f>
        <v/>
      </c>
      <c r="Q921" s="5" t="str">
        <f>IFERROR(__xludf.DUMMYFUNCTION("""COMPUTED_VALUE"""),"")</f>
        <v/>
      </c>
      <c r="R921" s="5" t="str">
        <f>IFERROR(__xludf.DUMMYFUNCTION("""COMPUTED_VALUE"""),"")</f>
        <v/>
      </c>
      <c r="S921" s="5" t="str">
        <f>IFERROR(__xludf.DUMMYFUNCTION("""COMPUTED_VALUE"""),"")</f>
        <v/>
      </c>
      <c r="T921" s="5" t="str">
        <f>IFERROR(__xludf.DUMMYFUNCTION("""COMPUTED_VALUE"""),"")</f>
        <v/>
      </c>
      <c r="U921" s="5" t="str">
        <f>IFERROR(__xludf.DUMMYFUNCTION("""COMPUTED_VALUE"""),"")</f>
        <v/>
      </c>
      <c r="V921" s="5" t="str">
        <f>IFERROR(__xludf.DUMMYFUNCTION("""COMPUTED_VALUE"""),"")</f>
        <v/>
      </c>
      <c r="W921" s="5" t="str">
        <f>IFERROR(__xludf.DUMMYFUNCTION("""COMPUTED_VALUE"""),"")</f>
        <v/>
      </c>
      <c r="X921" s="5" t="str">
        <f>IFERROR(__xludf.DUMMYFUNCTION("""COMPUTED_VALUE"""),"")</f>
        <v/>
      </c>
      <c r="Y921" s="5"/>
      <c r="Z921" s="5"/>
    </row>
    <row r="922">
      <c r="A922" s="5"/>
      <c r="B922" s="5" t="str">
        <f>IFERROR(__xludf.DUMMYFUNCTION("""COMPUTED_VALUE"""),"")</f>
        <v/>
      </c>
      <c r="C922" s="5" t="str">
        <f>IFERROR(__xludf.DUMMYFUNCTION("""COMPUTED_VALUE"""),"")</f>
        <v/>
      </c>
      <c r="D922" s="5" t="str">
        <f>IFERROR(__xludf.DUMMYFUNCTION("""COMPUTED_VALUE"""),"")</f>
        <v/>
      </c>
      <c r="E922" s="5" t="str">
        <f>IFERROR(__xludf.DUMMYFUNCTION("""COMPUTED_VALUE"""),"")</f>
        <v/>
      </c>
      <c r="F922" s="5" t="str">
        <f>IFERROR(__xludf.DUMMYFUNCTION("""COMPUTED_VALUE"""),"")</f>
        <v/>
      </c>
      <c r="G922" s="5" t="str">
        <f>IFERROR(__xludf.DUMMYFUNCTION("""COMPUTED_VALUE"""),"")</f>
        <v/>
      </c>
      <c r="H922" s="5" t="str">
        <f>IFERROR(__xludf.DUMMYFUNCTION("""COMPUTED_VALUE"""),"")</f>
        <v/>
      </c>
      <c r="I922" s="5" t="str">
        <f>IFERROR(__xludf.DUMMYFUNCTION("""COMPUTED_VALUE"""),"")</f>
        <v/>
      </c>
      <c r="J922" s="5" t="str">
        <f>IFERROR(__xludf.DUMMYFUNCTION("""COMPUTED_VALUE"""),"")</f>
        <v/>
      </c>
      <c r="K922" s="5" t="str">
        <f>IFERROR(__xludf.DUMMYFUNCTION("""COMPUTED_VALUE"""),"")</f>
        <v/>
      </c>
      <c r="L922" s="5" t="str">
        <f>IFERROR(__xludf.DUMMYFUNCTION("""COMPUTED_VALUE"""),"")</f>
        <v/>
      </c>
      <c r="M922" s="5" t="str">
        <f>IFERROR(__xludf.DUMMYFUNCTION("""COMPUTED_VALUE"""),"")</f>
        <v/>
      </c>
      <c r="N922" s="5" t="str">
        <f>IFERROR(__xludf.DUMMYFUNCTION("""COMPUTED_VALUE"""),"")</f>
        <v/>
      </c>
      <c r="O922" s="5" t="str">
        <f>IFERROR(__xludf.DUMMYFUNCTION("""COMPUTED_VALUE"""),"")</f>
        <v/>
      </c>
      <c r="P922" s="5" t="str">
        <f>IFERROR(__xludf.DUMMYFUNCTION("""COMPUTED_VALUE"""),"")</f>
        <v/>
      </c>
      <c r="Q922" s="5" t="str">
        <f>IFERROR(__xludf.DUMMYFUNCTION("""COMPUTED_VALUE"""),"")</f>
        <v/>
      </c>
      <c r="R922" s="5" t="str">
        <f>IFERROR(__xludf.DUMMYFUNCTION("""COMPUTED_VALUE"""),"")</f>
        <v/>
      </c>
      <c r="S922" s="5" t="str">
        <f>IFERROR(__xludf.DUMMYFUNCTION("""COMPUTED_VALUE"""),"")</f>
        <v/>
      </c>
      <c r="T922" s="5" t="str">
        <f>IFERROR(__xludf.DUMMYFUNCTION("""COMPUTED_VALUE"""),"")</f>
        <v/>
      </c>
      <c r="U922" s="5" t="str">
        <f>IFERROR(__xludf.DUMMYFUNCTION("""COMPUTED_VALUE"""),"")</f>
        <v/>
      </c>
      <c r="V922" s="5" t="str">
        <f>IFERROR(__xludf.DUMMYFUNCTION("""COMPUTED_VALUE"""),"")</f>
        <v/>
      </c>
      <c r="W922" s="5" t="str">
        <f>IFERROR(__xludf.DUMMYFUNCTION("""COMPUTED_VALUE"""),"")</f>
        <v/>
      </c>
      <c r="X922" s="5" t="str">
        <f>IFERROR(__xludf.DUMMYFUNCTION("""COMPUTED_VALUE"""),"")</f>
        <v/>
      </c>
      <c r="Y922" s="5"/>
      <c r="Z922" s="5"/>
    </row>
    <row r="923">
      <c r="A923" s="5"/>
      <c r="B923" s="5" t="str">
        <f>IFERROR(__xludf.DUMMYFUNCTION("""COMPUTED_VALUE"""),"")</f>
        <v/>
      </c>
      <c r="C923" s="5" t="str">
        <f>IFERROR(__xludf.DUMMYFUNCTION("""COMPUTED_VALUE"""),"")</f>
        <v/>
      </c>
      <c r="D923" s="5" t="str">
        <f>IFERROR(__xludf.DUMMYFUNCTION("""COMPUTED_VALUE"""),"")</f>
        <v/>
      </c>
      <c r="E923" s="5" t="str">
        <f>IFERROR(__xludf.DUMMYFUNCTION("""COMPUTED_VALUE"""),"")</f>
        <v/>
      </c>
      <c r="F923" s="5" t="str">
        <f>IFERROR(__xludf.DUMMYFUNCTION("""COMPUTED_VALUE"""),"")</f>
        <v/>
      </c>
      <c r="G923" s="5" t="str">
        <f>IFERROR(__xludf.DUMMYFUNCTION("""COMPUTED_VALUE"""),"")</f>
        <v/>
      </c>
      <c r="H923" s="5" t="str">
        <f>IFERROR(__xludf.DUMMYFUNCTION("""COMPUTED_VALUE"""),"")</f>
        <v/>
      </c>
      <c r="I923" s="5" t="str">
        <f>IFERROR(__xludf.DUMMYFUNCTION("""COMPUTED_VALUE"""),"")</f>
        <v/>
      </c>
      <c r="J923" s="5" t="str">
        <f>IFERROR(__xludf.DUMMYFUNCTION("""COMPUTED_VALUE"""),"")</f>
        <v/>
      </c>
      <c r="K923" s="5" t="str">
        <f>IFERROR(__xludf.DUMMYFUNCTION("""COMPUTED_VALUE"""),"")</f>
        <v/>
      </c>
      <c r="L923" s="5" t="str">
        <f>IFERROR(__xludf.DUMMYFUNCTION("""COMPUTED_VALUE"""),"")</f>
        <v/>
      </c>
      <c r="M923" s="5" t="str">
        <f>IFERROR(__xludf.DUMMYFUNCTION("""COMPUTED_VALUE"""),"")</f>
        <v/>
      </c>
      <c r="N923" s="5" t="str">
        <f>IFERROR(__xludf.DUMMYFUNCTION("""COMPUTED_VALUE"""),"")</f>
        <v/>
      </c>
      <c r="O923" s="5" t="str">
        <f>IFERROR(__xludf.DUMMYFUNCTION("""COMPUTED_VALUE"""),"")</f>
        <v/>
      </c>
      <c r="P923" s="5" t="str">
        <f>IFERROR(__xludf.DUMMYFUNCTION("""COMPUTED_VALUE"""),"")</f>
        <v/>
      </c>
      <c r="Q923" s="5" t="str">
        <f>IFERROR(__xludf.DUMMYFUNCTION("""COMPUTED_VALUE"""),"")</f>
        <v/>
      </c>
      <c r="R923" s="5" t="str">
        <f>IFERROR(__xludf.DUMMYFUNCTION("""COMPUTED_VALUE"""),"")</f>
        <v/>
      </c>
      <c r="S923" s="5" t="str">
        <f>IFERROR(__xludf.DUMMYFUNCTION("""COMPUTED_VALUE"""),"")</f>
        <v/>
      </c>
      <c r="T923" s="5" t="str">
        <f>IFERROR(__xludf.DUMMYFUNCTION("""COMPUTED_VALUE"""),"")</f>
        <v/>
      </c>
      <c r="U923" s="5" t="str">
        <f>IFERROR(__xludf.DUMMYFUNCTION("""COMPUTED_VALUE"""),"")</f>
        <v/>
      </c>
      <c r="V923" s="5" t="str">
        <f>IFERROR(__xludf.DUMMYFUNCTION("""COMPUTED_VALUE"""),"")</f>
        <v/>
      </c>
      <c r="W923" s="5" t="str">
        <f>IFERROR(__xludf.DUMMYFUNCTION("""COMPUTED_VALUE"""),"")</f>
        <v/>
      </c>
      <c r="X923" s="5" t="str">
        <f>IFERROR(__xludf.DUMMYFUNCTION("""COMPUTED_VALUE"""),"")</f>
        <v/>
      </c>
      <c r="Y923" s="5"/>
      <c r="Z923" s="5"/>
    </row>
    <row r="924">
      <c r="A924" s="5"/>
      <c r="B924" s="5" t="str">
        <f>IFERROR(__xludf.DUMMYFUNCTION("""COMPUTED_VALUE"""),"")</f>
        <v/>
      </c>
      <c r="C924" s="5" t="str">
        <f>IFERROR(__xludf.DUMMYFUNCTION("""COMPUTED_VALUE"""),"")</f>
        <v/>
      </c>
      <c r="D924" s="5" t="str">
        <f>IFERROR(__xludf.DUMMYFUNCTION("""COMPUTED_VALUE"""),"")</f>
        <v/>
      </c>
      <c r="E924" s="5" t="str">
        <f>IFERROR(__xludf.DUMMYFUNCTION("""COMPUTED_VALUE"""),"")</f>
        <v/>
      </c>
      <c r="F924" s="5" t="str">
        <f>IFERROR(__xludf.DUMMYFUNCTION("""COMPUTED_VALUE"""),"")</f>
        <v/>
      </c>
      <c r="G924" s="5" t="str">
        <f>IFERROR(__xludf.DUMMYFUNCTION("""COMPUTED_VALUE"""),"")</f>
        <v/>
      </c>
      <c r="H924" s="5" t="str">
        <f>IFERROR(__xludf.DUMMYFUNCTION("""COMPUTED_VALUE"""),"")</f>
        <v/>
      </c>
      <c r="I924" s="5" t="str">
        <f>IFERROR(__xludf.DUMMYFUNCTION("""COMPUTED_VALUE"""),"")</f>
        <v/>
      </c>
      <c r="J924" s="5" t="str">
        <f>IFERROR(__xludf.DUMMYFUNCTION("""COMPUTED_VALUE"""),"")</f>
        <v/>
      </c>
      <c r="K924" s="5" t="str">
        <f>IFERROR(__xludf.DUMMYFUNCTION("""COMPUTED_VALUE"""),"")</f>
        <v/>
      </c>
      <c r="L924" s="5" t="str">
        <f>IFERROR(__xludf.DUMMYFUNCTION("""COMPUTED_VALUE"""),"")</f>
        <v/>
      </c>
      <c r="M924" s="5" t="str">
        <f>IFERROR(__xludf.DUMMYFUNCTION("""COMPUTED_VALUE"""),"")</f>
        <v/>
      </c>
      <c r="N924" s="5" t="str">
        <f>IFERROR(__xludf.DUMMYFUNCTION("""COMPUTED_VALUE"""),"")</f>
        <v/>
      </c>
      <c r="O924" s="5" t="str">
        <f>IFERROR(__xludf.DUMMYFUNCTION("""COMPUTED_VALUE"""),"")</f>
        <v/>
      </c>
      <c r="P924" s="5" t="str">
        <f>IFERROR(__xludf.DUMMYFUNCTION("""COMPUTED_VALUE"""),"")</f>
        <v/>
      </c>
      <c r="Q924" s="5" t="str">
        <f>IFERROR(__xludf.DUMMYFUNCTION("""COMPUTED_VALUE"""),"")</f>
        <v/>
      </c>
      <c r="R924" s="5" t="str">
        <f>IFERROR(__xludf.DUMMYFUNCTION("""COMPUTED_VALUE"""),"")</f>
        <v/>
      </c>
      <c r="S924" s="5" t="str">
        <f>IFERROR(__xludf.DUMMYFUNCTION("""COMPUTED_VALUE"""),"")</f>
        <v/>
      </c>
      <c r="T924" s="5" t="str">
        <f>IFERROR(__xludf.DUMMYFUNCTION("""COMPUTED_VALUE"""),"")</f>
        <v/>
      </c>
      <c r="U924" s="5" t="str">
        <f>IFERROR(__xludf.DUMMYFUNCTION("""COMPUTED_VALUE"""),"")</f>
        <v/>
      </c>
      <c r="V924" s="5" t="str">
        <f>IFERROR(__xludf.DUMMYFUNCTION("""COMPUTED_VALUE"""),"")</f>
        <v/>
      </c>
      <c r="W924" s="5" t="str">
        <f>IFERROR(__xludf.DUMMYFUNCTION("""COMPUTED_VALUE"""),"")</f>
        <v/>
      </c>
      <c r="X924" s="5" t="str">
        <f>IFERROR(__xludf.DUMMYFUNCTION("""COMPUTED_VALUE"""),"")</f>
        <v/>
      </c>
      <c r="Y924" s="5"/>
      <c r="Z924" s="5"/>
    </row>
    <row r="925">
      <c r="A925" s="5"/>
      <c r="B925" s="5" t="str">
        <f>IFERROR(__xludf.DUMMYFUNCTION("""COMPUTED_VALUE"""),"")</f>
        <v/>
      </c>
      <c r="C925" s="5" t="str">
        <f>IFERROR(__xludf.DUMMYFUNCTION("""COMPUTED_VALUE"""),"")</f>
        <v/>
      </c>
      <c r="D925" s="5" t="str">
        <f>IFERROR(__xludf.DUMMYFUNCTION("""COMPUTED_VALUE"""),"")</f>
        <v/>
      </c>
      <c r="E925" s="5" t="str">
        <f>IFERROR(__xludf.DUMMYFUNCTION("""COMPUTED_VALUE"""),"")</f>
        <v/>
      </c>
      <c r="F925" s="5" t="str">
        <f>IFERROR(__xludf.DUMMYFUNCTION("""COMPUTED_VALUE"""),"")</f>
        <v/>
      </c>
      <c r="G925" s="5" t="str">
        <f>IFERROR(__xludf.DUMMYFUNCTION("""COMPUTED_VALUE"""),"")</f>
        <v/>
      </c>
      <c r="H925" s="5" t="str">
        <f>IFERROR(__xludf.DUMMYFUNCTION("""COMPUTED_VALUE"""),"")</f>
        <v/>
      </c>
      <c r="I925" s="5" t="str">
        <f>IFERROR(__xludf.DUMMYFUNCTION("""COMPUTED_VALUE"""),"")</f>
        <v/>
      </c>
      <c r="J925" s="5" t="str">
        <f>IFERROR(__xludf.DUMMYFUNCTION("""COMPUTED_VALUE"""),"")</f>
        <v/>
      </c>
      <c r="K925" s="5" t="str">
        <f>IFERROR(__xludf.DUMMYFUNCTION("""COMPUTED_VALUE"""),"")</f>
        <v/>
      </c>
      <c r="L925" s="5" t="str">
        <f>IFERROR(__xludf.DUMMYFUNCTION("""COMPUTED_VALUE"""),"")</f>
        <v/>
      </c>
      <c r="M925" s="5" t="str">
        <f>IFERROR(__xludf.DUMMYFUNCTION("""COMPUTED_VALUE"""),"")</f>
        <v/>
      </c>
      <c r="N925" s="5" t="str">
        <f>IFERROR(__xludf.DUMMYFUNCTION("""COMPUTED_VALUE"""),"")</f>
        <v/>
      </c>
      <c r="O925" s="5" t="str">
        <f>IFERROR(__xludf.DUMMYFUNCTION("""COMPUTED_VALUE"""),"")</f>
        <v/>
      </c>
      <c r="P925" s="5" t="str">
        <f>IFERROR(__xludf.DUMMYFUNCTION("""COMPUTED_VALUE"""),"")</f>
        <v/>
      </c>
      <c r="Q925" s="5" t="str">
        <f>IFERROR(__xludf.DUMMYFUNCTION("""COMPUTED_VALUE"""),"")</f>
        <v/>
      </c>
      <c r="R925" s="5" t="str">
        <f>IFERROR(__xludf.DUMMYFUNCTION("""COMPUTED_VALUE"""),"")</f>
        <v/>
      </c>
      <c r="S925" s="5" t="str">
        <f>IFERROR(__xludf.DUMMYFUNCTION("""COMPUTED_VALUE"""),"")</f>
        <v/>
      </c>
      <c r="T925" s="5" t="str">
        <f>IFERROR(__xludf.DUMMYFUNCTION("""COMPUTED_VALUE"""),"")</f>
        <v/>
      </c>
      <c r="U925" s="5" t="str">
        <f>IFERROR(__xludf.DUMMYFUNCTION("""COMPUTED_VALUE"""),"")</f>
        <v/>
      </c>
      <c r="V925" s="5" t="str">
        <f>IFERROR(__xludf.DUMMYFUNCTION("""COMPUTED_VALUE"""),"")</f>
        <v/>
      </c>
      <c r="W925" s="5" t="str">
        <f>IFERROR(__xludf.DUMMYFUNCTION("""COMPUTED_VALUE"""),"")</f>
        <v/>
      </c>
      <c r="X925" s="5" t="str">
        <f>IFERROR(__xludf.DUMMYFUNCTION("""COMPUTED_VALUE"""),"")</f>
        <v/>
      </c>
      <c r="Y925" s="5"/>
      <c r="Z925" s="5"/>
    </row>
    <row r="926">
      <c r="A926" s="5"/>
      <c r="B926" s="5" t="str">
        <f>IFERROR(__xludf.DUMMYFUNCTION("""COMPUTED_VALUE"""),"")</f>
        <v/>
      </c>
      <c r="C926" s="5" t="str">
        <f>IFERROR(__xludf.DUMMYFUNCTION("""COMPUTED_VALUE"""),"")</f>
        <v/>
      </c>
      <c r="D926" s="5" t="str">
        <f>IFERROR(__xludf.DUMMYFUNCTION("""COMPUTED_VALUE"""),"")</f>
        <v/>
      </c>
      <c r="E926" s="5" t="str">
        <f>IFERROR(__xludf.DUMMYFUNCTION("""COMPUTED_VALUE"""),"")</f>
        <v/>
      </c>
      <c r="F926" s="5" t="str">
        <f>IFERROR(__xludf.DUMMYFUNCTION("""COMPUTED_VALUE"""),"")</f>
        <v/>
      </c>
      <c r="G926" s="5" t="str">
        <f>IFERROR(__xludf.DUMMYFUNCTION("""COMPUTED_VALUE"""),"")</f>
        <v/>
      </c>
      <c r="H926" s="5" t="str">
        <f>IFERROR(__xludf.DUMMYFUNCTION("""COMPUTED_VALUE"""),"")</f>
        <v/>
      </c>
      <c r="I926" s="5" t="str">
        <f>IFERROR(__xludf.DUMMYFUNCTION("""COMPUTED_VALUE"""),"")</f>
        <v/>
      </c>
      <c r="J926" s="5" t="str">
        <f>IFERROR(__xludf.DUMMYFUNCTION("""COMPUTED_VALUE"""),"")</f>
        <v/>
      </c>
      <c r="K926" s="5" t="str">
        <f>IFERROR(__xludf.DUMMYFUNCTION("""COMPUTED_VALUE"""),"")</f>
        <v/>
      </c>
      <c r="L926" s="5" t="str">
        <f>IFERROR(__xludf.DUMMYFUNCTION("""COMPUTED_VALUE"""),"")</f>
        <v/>
      </c>
      <c r="M926" s="5" t="str">
        <f>IFERROR(__xludf.DUMMYFUNCTION("""COMPUTED_VALUE"""),"")</f>
        <v/>
      </c>
      <c r="N926" s="5" t="str">
        <f>IFERROR(__xludf.DUMMYFUNCTION("""COMPUTED_VALUE"""),"")</f>
        <v/>
      </c>
      <c r="O926" s="5" t="str">
        <f>IFERROR(__xludf.DUMMYFUNCTION("""COMPUTED_VALUE"""),"")</f>
        <v/>
      </c>
      <c r="P926" s="5" t="str">
        <f>IFERROR(__xludf.DUMMYFUNCTION("""COMPUTED_VALUE"""),"")</f>
        <v/>
      </c>
      <c r="Q926" s="5" t="str">
        <f>IFERROR(__xludf.DUMMYFUNCTION("""COMPUTED_VALUE"""),"")</f>
        <v/>
      </c>
      <c r="R926" s="5" t="str">
        <f>IFERROR(__xludf.DUMMYFUNCTION("""COMPUTED_VALUE"""),"")</f>
        <v/>
      </c>
      <c r="S926" s="5" t="str">
        <f>IFERROR(__xludf.DUMMYFUNCTION("""COMPUTED_VALUE"""),"")</f>
        <v/>
      </c>
      <c r="T926" s="5" t="str">
        <f>IFERROR(__xludf.DUMMYFUNCTION("""COMPUTED_VALUE"""),"")</f>
        <v/>
      </c>
      <c r="U926" s="5" t="str">
        <f>IFERROR(__xludf.DUMMYFUNCTION("""COMPUTED_VALUE"""),"")</f>
        <v/>
      </c>
      <c r="V926" s="5" t="str">
        <f>IFERROR(__xludf.DUMMYFUNCTION("""COMPUTED_VALUE"""),"")</f>
        <v/>
      </c>
      <c r="W926" s="5" t="str">
        <f>IFERROR(__xludf.DUMMYFUNCTION("""COMPUTED_VALUE"""),"")</f>
        <v/>
      </c>
      <c r="X926" s="5" t="str">
        <f>IFERROR(__xludf.DUMMYFUNCTION("""COMPUTED_VALUE"""),"")</f>
        <v/>
      </c>
      <c r="Y926" s="5"/>
      <c r="Z926" s="5"/>
    </row>
    <row r="927">
      <c r="A927" s="5"/>
      <c r="B927" s="5" t="str">
        <f>IFERROR(__xludf.DUMMYFUNCTION("""COMPUTED_VALUE"""),"")</f>
        <v/>
      </c>
      <c r="C927" s="5" t="str">
        <f>IFERROR(__xludf.DUMMYFUNCTION("""COMPUTED_VALUE"""),"")</f>
        <v/>
      </c>
      <c r="D927" s="5" t="str">
        <f>IFERROR(__xludf.DUMMYFUNCTION("""COMPUTED_VALUE"""),"")</f>
        <v/>
      </c>
      <c r="E927" s="5" t="str">
        <f>IFERROR(__xludf.DUMMYFUNCTION("""COMPUTED_VALUE"""),"")</f>
        <v/>
      </c>
      <c r="F927" s="5" t="str">
        <f>IFERROR(__xludf.DUMMYFUNCTION("""COMPUTED_VALUE"""),"")</f>
        <v/>
      </c>
      <c r="G927" s="5" t="str">
        <f>IFERROR(__xludf.DUMMYFUNCTION("""COMPUTED_VALUE"""),"")</f>
        <v/>
      </c>
      <c r="H927" s="5" t="str">
        <f>IFERROR(__xludf.DUMMYFUNCTION("""COMPUTED_VALUE"""),"")</f>
        <v/>
      </c>
      <c r="I927" s="5" t="str">
        <f>IFERROR(__xludf.DUMMYFUNCTION("""COMPUTED_VALUE"""),"")</f>
        <v/>
      </c>
      <c r="J927" s="5" t="str">
        <f>IFERROR(__xludf.DUMMYFUNCTION("""COMPUTED_VALUE"""),"")</f>
        <v/>
      </c>
      <c r="K927" s="5" t="str">
        <f>IFERROR(__xludf.DUMMYFUNCTION("""COMPUTED_VALUE"""),"")</f>
        <v/>
      </c>
      <c r="L927" s="5" t="str">
        <f>IFERROR(__xludf.DUMMYFUNCTION("""COMPUTED_VALUE"""),"")</f>
        <v/>
      </c>
      <c r="M927" s="5" t="str">
        <f>IFERROR(__xludf.DUMMYFUNCTION("""COMPUTED_VALUE"""),"")</f>
        <v/>
      </c>
      <c r="N927" s="5" t="str">
        <f>IFERROR(__xludf.DUMMYFUNCTION("""COMPUTED_VALUE"""),"")</f>
        <v/>
      </c>
      <c r="O927" s="5" t="str">
        <f>IFERROR(__xludf.DUMMYFUNCTION("""COMPUTED_VALUE"""),"")</f>
        <v/>
      </c>
      <c r="P927" s="5" t="str">
        <f>IFERROR(__xludf.DUMMYFUNCTION("""COMPUTED_VALUE"""),"")</f>
        <v/>
      </c>
      <c r="Q927" s="5" t="str">
        <f>IFERROR(__xludf.DUMMYFUNCTION("""COMPUTED_VALUE"""),"")</f>
        <v/>
      </c>
      <c r="R927" s="5" t="str">
        <f>IFERROR(__xludf.DUMMYFUNCTION("""COMPUTED_VALUE"""),"")</f>
        <v/>
      </c>
      <c r="S927" s="5" t="str">
        <f>IFERROR(__xludf.DUMMYFUNCTION("""COMPUTED_VALUE"""),"")</f>
        <v/>
      </c>
      <c r="T927" s="5" t="str">
        <f>IFERROR(__xludf.DUMMYFUNCTION("""COMPUTED_VALUE"""),"")</f>
        <v/>
      </c>
      <c r="U927" s="5" t="str">
        <f>IFERROR(__xludf.DUMMYFUNCTION("""COMPUTED_VALUE"""),"")</f>
        <v/>
      </c>
      <c r="V927" s="5" t="str">
        <f>IFERROR(__xludf.DUMMYFUNCTION("""COMPUTED_VALUE"""),"")</f>
        <v/>
      </c>
      <c r="W927" s="5" t="str">
        <f>IFERROR(__xludf.DUMMYFUNCTION("""COMPUTED_VALUE"""),"")</f>
        <v/>
      </c>
      <c r="X927" s="5" t="str">
        <f>IFERROR(__xludf.DUMMYFUNCTION("""COMPUTED_VALUE"""),"")</f>
        <v/>
      </c>
      <c r="Y927" s="5"/>
      <c r="Z927" s="5"/>
    </row>
    <row r="928">
      <c r="A928" s="5"/>
      <c r="B928" s="5" t="str">
        <f>IFERROR(__xludf.DUMMYFUNCTION("""COMPUTED_VALUE"""),"")</f>
        <v/>
      </c>
      <c r="C928" s="5" t="str">
        <f>IFERROR(__xludf.DUMMYFUNCTION("""COMPUTED_VALUE"""),"")</f>
        <v/>
      </c>
      <c r="D928" s="5" t="str">
        <f>IFERROR(__xludf.DUMMYFUNCTION("""COMPUTED_VALUE"""),"")</f>
        <v/>
      </c>
      <c r="E928" s="5" t="str">
        <f>IFERROR(__xludf.DUMMYFUNCTION("""COMPUTED_VALUE"""),"")</f>
        <v/>
      </c>
      <c r="F928" s="5" t="str">
        <f>IFERROR(__xludf.DUMMYFUNCTION("""COMPUTED_VALUE"""),"")</f>
        <v/>
      </c>
      <c r="G928" s="5" t="str">
        <f>IFERROR(__xludf.DUMMYFUNCTION("""COMPUTED_VALUE"""),"")</f>
        <v/>
      </c>
      <c r="H928" s="5" t="str">
        <f>IFERROR(__xludf.DUMMYFUNCTION("""COMPUTED_VALUE"""),"")</f>
        <v/>
      </c>
      <c r="I928" s="5" t="str">
        <f>IFERROR(__xludf.DUMMYFUNCTION("""COMPUTED_VALUE"""),"")</f>
        <v/>
      </c>
      <c r="J928" s="5" t="str">
        <f>IFERROR(__xludf.DUMMYFUNCTION("""COMPUTED_VALUE"""),"")</f>
        <v/>
      </c>
      <c r="K928" s="5" t="str">
        <f>IFERROR(__xludf.DUMMYFUNCTION("""COMPUTED_VALUE"""),"")</f>
        <v/>
      </c>
      <c r="L928" s="5" t="str">
        <f>IFERROR(__xludf.DUMMYFUNCTION("""COMPUTED_VALUE"""),"")</f>
        <v/>
      </c>
      <c r="M928" s="5" t="str">
        <f>IFERROR(__xludf.DUMMYFUNCTION("""COMPUTED_VALUE"""),"")</f>
        <v/>
      </c>
      <c r="N928" s="5" t="str">
        <f>IFERROR(__xludf.DUMMYFUNCTION("""COMPUTED_VALUE"""),"")</f>
        <v/>
      </c>
      <c r="O928" s="5" t="str">
        <f>IFERROR(__xludf.DUMMYFUNCTION("""COMPUTED_VALUE"""),"")</f>
        <v/>
      </c>
      <c r="P928" s="5" t="str">
        <f>IFERROR(__xludf.DUMMYFUNCTION("""COMPUTED_VALUE"""),"")</f>
        <v/>
      </c>
      <c r="Q928" s="5" t="str">
        <f>IFERROR(__xludf.DUMMYFUNCTION("""COMPUTED_VALUE"""),"")</f>
        <v/>
      </c>
      <c r="R928" s="5" t="str">
        <f>IFERROR(__xludf.DUMMYFUNCTION("""COMPUTED_VALUE"""),"")</f>
        <v/>
      </c>
      <c r="S928" s="5" t="str">
        <f>IFERROR(__xludf.DUMMYFUNCTION("""COMPUTED_VALUE"""),"")</f>
        <v/>
      </c>
      <c r="T928" s="5" t="str">
        <f>IFERROR(__xludf.DUMMYFUNCTION("""COMPUTED_VALUE"""),"")</f>
        <v/>
      </c>
      <c r="U928" s="5" t="str">
        <f>IFERROR(__xludf.DUMMYFUNCTION("""COMPUTED_VALUE"""),"")</f>
        <v/>
      </c>
      <c r="V928" s="5" t="str">
        <f>IFERROR(__xludf.DUMMYFUNCTION("""COMPUTED_VALUE"""),"")</f>
        <v/>
      </c>
      <c r="W928" s="5" t="str">
        <f>IFERROR(__xludf.DUMMYFUNCTION("""COMPUTED_VALUE"""),"")</f>
        <v/>
      </c>
      <c r="X928" s="5" t="str">
        <f>IFERROR(__xludf.DUMMYFUNCTION("""COMPUTED_VALUE"""),"")</f>
        <v/>
      </c>
      <c r="Y928" s="5"/>
      <c r="Z928" s="5"/>
    </row>
    <row r="929">
      <c r="A929" s="5"/>
      <c r="B929" s="5" t="str">
        <f>IFERROR(__xludf.DUMMYFUNCTION("""COMPUTED_VALUE"""),"")</f>
        <v/>
      </c>
      <c r="C929" s="5" t="str">
        <f>IFERROR(__xludf.DUMMYFUNCTION("""COMPUTED_VALUE"""),"")</f>
        <v/>
      </c>
      <c r="D929" s="5" t="str">
        <f>IFERROR(__xludf.DUMMYFUNCTION("""COMPUTED_VALUE"""),"")</f>
        <v/>
      </c>
      <c r="E929" s="5" t="str">
        <f>IFERROR(__xludf.DUMMYFUNCTION("""COMPUTED_VALUE"""),"")</f>
        <v/>
      </c>
      <c r="F929" s="5" t="str">
        <f>IFERROR(__xludf.DUMMYFUNCTION("""COMPUTED_VALUE"""),"")</f>
        <v/>
      </c>
      <c r="G929" s="5" t="str">
        <f>IFERROR(__xludf.DUMMYFUNCTION("""COMPUTED_VALUE"""),"")</f>
        <v/>
      </c>
      <c r="H929" s="5" t="str">
        <f>IFERROR(__xludf.DUMMYFUNCTION("""COMPUTED_VALUE"""),"")</f>
        <v/>
      </c>
      <c r="I929" s="5" t="str">
        <f>IFERROR(__xludf.DUMMYFUNCTION("""COMPUTED_VALUE"""),"")</f>
        <v/>
      </c>
      <c r="J929" s="5" t="str">
        <f>IFERROR(__xludf.DUMMYFUNCTION("""COMPUTED_VALUE"""),"")</f>
        <v/>
      </c>
      <c r="K929" s="5" t="str">
        <f>IFERROR(__xludf.DUMMYFUNCTION("""COMPUTED_VALUE"""),"")</f>
        <v/>
      </c>
      <c r="L929" s="5" t="str">
        <f>IFERROR(__xludf.DUMMYFUNCTION("""COMPUTED_VALUE"""),"")</f>
        <v/>
      </c>
      <c r="M929" s="5" t="str">
        <f>IFERROR(__xludf.DUMMYFUNCTION("""COMPUTED_VALUE"""),"")</f>
        <v/>
      </c>
      <c r="N929" s="5" t="str">
        <f>IFERROR(__xludf.DUMMYFUNCTION("""COMPUTED_VALUE"""),"")</f>
        <v/>
      </c>
      <c r="O929" s="5" t="str">
        <f>IFERROR(__xludf.DUMMYFUNCTION("""COMPUTED_VALUE"""),"")</f>
        <v/>
      </c>
      <c r="P929" s="5" t="str">
        <f>IFERROR(__xludf.DUMMYFUNCTION("""COMPUTED_VALUE"""),"")</f>
        <v/>
      </c>
      <c r="Q929" s="5" t="str">
        <f>IFERROR(__xludf.DUMMYFUNCTION("""COMPUTED_VALUE"""),"")</f>
        <v/>
      </c>
      <c r="R929" s="5" t="str">
        <f>IFERROR(__xludf.DUMMYFUNCTION("""COMPUTED_VALUE"""),"")</f>
        <v/>
      </c>
      <c r="S929" s="5" t="str">
        <f>IFERROR(__xludf.DUMMYFUNCTION("""COMPUTED_VALUE"""),"")</f>
        <v/>
      </c>
      <c r="T929" s="5" t="str">
        <f>IFERROR(__xludf.DUMMYFUNCTION("""COMPUTED_VALUE"""),"")</f>
        <v/>
      </c>
      <c r="U929" s="5" t="str">
        <f>IFERROR(__xludf.DUMMYFUNCTION("""COMPUTED_VALUE"""),"")</f>
        <v/>
      </c>
      <c r="V929" s="5" t="str">
        <f>IFERROR(__xludf.DUMMYFUNCTION("""COMPUTED_VALUE"""),"")</f>
        <v/>
      </c>
      <c r="W929" s="5" t="str">
        <f>IFERROR(__xludf.DUMMYFUNCTION("""COMPUTED_VALUE"""),"")</f>
        <v/>
      </c>
      <c r="X929" s="5" t="str">
        <f>IFERROR(__xludf.DUMMYFUNCTION("""COMPUTED_VALUE"""),"")</f>
        <v/>
      </c>
      <c r="Y929" s="5"/>
      <c r="Z929" s="5"/>
    </row>
    <row r="930">
      <c r="A930" s="5"/>
      <c r="B930" s="5" t="str">
        <f>IFERROR(__xludf.DUMMYFUNCTION("""COMPUTED_VALUE"""),"")</f>
        <v/>
      </c>
      <c r="C930" s="5" t="str">
        <f>IFERROR(__xludf.DUMMYFUNCTION("""COMPUTED_VALUE"""),"")</f>
        <v/>
      </c>
      <c r="D930" s="5" t="str">
        <f>IFERROR(__xludf.DUMMYFUNCTION("""COMPUTED_VALUE"""),"")</f>
        <v/>
      </c>
      <c r="E930" s="5" t="str">
        <f>IFERROR(__xludf.DUMMYFUNCTION("""COMPUTED_VALUE"""),"")</f>
        <v/>
      </c>
      <c r="F930" s="5" t="str">
        <f>IFERROR(__xludf.DUMMYFUNCTION("""COMPUTED_VALUE"""),"")</f>
        <v/>
      </c>
      <c r="G930" s="5" t="str">
        <f>IFERROR(__xludf.DUMMYFUNCTION("""COMPUTED_VALUE"""),"")</f>
        <v/>
      </c>
      <c r="H930" s="5" t="str">
        <f>IFERROR(__xludf.DUMMYFUNCTION("""COMPUTED_VALUE"""),"")</f>
        <v/>
      </c>
      <c r="I930" s="5" t="str">
        <f>IFERROR(__xludf.DUMMYFUNCTION("""COMPUTED_VALUE"""),"")</f>
        <v/>
      </c>
      <c r="J930" s="5" t="str">
        <f>IFERROR(__xludf.DUMMYFUNCTION("""COMPUTED_VALUE"""),"")</f>
        <v/>
      </c>
      <c r="K930" s="5" t="str">
        <f>IFERROR(__xludf.DUMMYFUNCTION("""COMPUTED_VALUE"""),"")</f>
        <v/>
      </c>
      <c r="L930" s="5" t="str">
        <f>IFERROR(__xludf.DUMMYFUNCTION("""COMPUTED_VALUE"""),"")</f>
        <v/>
      </c>
      <c r="M930" s="5" t="str">
        <f>IFERROR(__xludf.DUMMYFUNCTION("""COMPUTED_VALUE"""),"")</f>
        <v/>
      </c>
      <c r="N930" s="5" t="str">
        <f>IFERROR(__xludf.DUMMYFUNCTION("""COMPUTED_VALUE"""),"")</f>
        <v/>
      </c>
      <c r="O930" s="5" t="str">
        <f>IFERROR(__xludf.DUMMYFUNCTION("""COMPUTED_VALUE"""),"")</f>
        <v/>
      </c>
      <c r="P930" s="5" t="str">
        <f>IFERROR(__xludf.DUMMYFUNCTION("""COMPUTED_VALUE"""),"")</f>
        <v/>
      </c>
      <c r="Q930" s="5" t="str">
        <f>IFERROR(__xludf.DUMMYFUNCTION("""COMPUTED_VALUE"""),"")</f>
        <v/>
      </c>
      <c r="R930" s="5" t="str">
        <f>IFERROR(__xludf.DUMMYFUNCTION("""COMPUTED_VALUE"""),"")</f>
        <v/>
      </c>
      <c r="S930" s="5" t="str">
        <f>IFERROR(__xludf.DUMMYFUNCTION("""COMPUTED_VALUE"""),"")</f>
        <v/>
      </c>
      <c r="T930" s="5" t="str">
        <f>IFERROR(__xludf.DUMMYFUNCTION("""COMPUTED_VALUE"""),"")</f>
        <v/>
      </c>
      <c r="U930" s="5" t="str">
        <f>IFERROR(__xludf.DUMMYFUNCTION("""COMPUTED_VALUE"""),"")</f>
        <v/>
      </c>
      <c r="V930" s="5" t="str">
        <f>IFERROR(__xludf.DUMMYFUNCTION("""COMPUTED_VALUE"""),"")</f>
        <v/>
      </c>
      <c r="W930" s="5" t="str">
        <f>IFERROR(__xludf.DUMMYFUNCTION("""COMPUTED_VALUE"""),"")</f>
        <v/>
      </c>
      <c r="X930" s="5" t="str">
        <f>IFERROR(__xludf.DUMMYFUNCTION("""COMPUTED_VALUE"""),"")</f>
        <v/>
      </c>
      <c r="Y930" s="5"/>
      <c r="Z930" s="5"/>
    </row>
    <row r="931">
      <c r="A931" s="5"/>
      <c r="B931" s="5" t="str">
        <f>IFERROR(__xludf.DUMMYFUNCTION("""COMPUTED_VALUE"""),"")</f>
        <v/>
      </c>
      <c r="C931" s="5" t="str">
        <f>IFERROR(__xludf.DUMMYFUNCTION("""COMPUTED_VALUE"""),"")</f>
        <v/>
      </c>
      <c r="D931" s="5" t="str">
        <f>IFERROR(__xludf.DUMMYFUNCTION("""COMPUTED_VALUE"""),"")</f>
        <v/>
      </c>
      <c r="E931" s="5" t="str">
        <f>IFERROR(__xludf.DUMMYFUNCTION("""COMPUTED_VALUE"""),"")</f>
        <v/>
      </c>
      <c r="F931" s="5" t="str">
        <f>IFERROR(__xludf.DUMMYFUNCTION("""COMPUTED_VALUE"""),"")</f>
        <v/>
      </c>
      <c r="G931" s="5" t="str">
        <f>IFERROR(__xludf.DUMMYFUNCTION("""COMPUTED_VALUE"""),"")</f>
        <v/>
      </c>
      <c r="H931" s="5" t="str">
        <f>IFERROR(__xludf.DUMMYFUNCTION("""COMPUTED_VALUE"""),"")</f>
        <v/>
      </c>
      <c r="I931" s="5" t="str">
        <f>IFERROR(__xludf.DUMMYFUNCTION("""COMPUTED_VALUE"""),"")</f>
        <v/>
      </c>
      <c r="J931" s="5" t="str">
        <f>IFERROR(__xludf.DUMMYFUNCTION("""COMPUTED_VALUE"""),"")</f>
        <v/>
      </c>
      <c r="K931" s="5" t="str">
        <f>IFERROR(__xludf.DUMMYFUNCTION("""COMPUTED_VALUE"""),"")</f>
        <v/>
      </c>
      <c r="L931" s="5" t="str">
        <f>IFERROR(__xludf.DUMMYFUNCTION("""COMPUTED_VALUE"""),"")</f>
        <v/>
      </c>
      <c r="M931" s="5" t="str">
        <f>IFERROR(__xludf.DUMMYFUNCTION("""COMPUTED_VALUE"""),"")</f>
        <v/>
      </c>
      <c r="N931" s="5" t="str">
        <f>IFERROR(__xludf.DUMMYFUNCTION("""COMPUTED_VALUE"""),"")</f>
        <v/>
      </c>
      <c r="O931" s="5" t="str">
        <f>IFERROR(__xludf.DUMMYFUNCTION("""COMPUTED_VALUE"""),"")</f>
        <v/>
      </c>
      <c r="P931" s="5" t="str">
        <f>IFERROR(__xludf.DUMMYFUNCTION("""COMPUTED_VALUE"""),"")</f>
        <v/>
      </c>
      <c r="Q931" s="5" t="str">
        <f>IFERROR(__xludf.DUMMYFUNCTION("""COMPUTED_VALUE"""),"")</f>
        <v/>
      </c>
      <c r="R931" s="5" t="str">
        <f>IFERROR(__xludf.DUMMYFUNCTION("""COMPUTED_VALUE"""),"")</f>
        <v/>
      </c>
      <c r="S931" s="5" t="str">
        <f>IFERROR(__xludf.DUMMYFUNCTION("""COMPUTED_VALUE"""),"")</f>
        <v/>
      </c>
      <c r="T931" s="5" t="str">
        <f>IFERROR(__xludf.DUMMYFUNCTION("""COMPUTED_VALUE"""),"")</f>
        <v/>
      </c>
      <c r="U931" s="5" t="str">
        <f>IFERROR(__xludf.DUMMYFUNCTION("""COMPUTED_VALUE"""),"")</f>
        <v/>
      </c>
      <c r="V931" s="5" t="str">
        <f>IFERROR(__xludf.DUMMYFUNCTION("""COMPUTED_VALUE"""),"")</f>
        <v/>
      </c>
      <c r="W931" s="5" t="str">
        <f>IFERROR(__xludf.DUMMYFUNCTION("""COMPUTED_VALUE"""),"")</f>
        <v/>
      </c>
      <c r="X931" s="5" t="str">
        <f>IFERROR(__xludf.DUMMYFUNCTION("""COMPUTED_VALUE"""),"")</f>
        <v/>
      </c>
      <c r="Y931" s="5"/>
      <c r="Z931" s="5"/>
    </row>
    <row r="932">
      <c r="A932" s="5"/>
      <c r="B932" s="5" t="str">
        <f>IFERROR(__xludf.DUMMYFUNCTION("""COMPUTED_VALUE"""),"")</f>
        <v/>
      </c>
      <c r="C932" s="5" t="str">
        <f>IFERROR(__xludf.DUMMYFUNCTION("""COMPUTED_VALUE"""),"")</f>
        <v/>
      </c>
      <c r="D932" s="5" t="str">
        <f>IFERROR(__xludf.DUMMYFUNCTION("""COMPUTED_VALUE"""),"")</f>
        <v/>
      </c>
      <c r="E932" s="5" t="str">
        <f>IFERROR(__xludf.DUMMYFUNCTION("""COMPUTED_VALUE"""),"")</f>
        <v/>
      </c>
      <c r="F932" s="5" t="str">
        <f>IFERROR(__xludf.DUMMYFUNCTION("""COMPUTED_VALUE"""),"")</f>
        <v/>
      </c>
      <c r="G932" s="5" t="str">
        <f>IFERROR(__xludf.DUMMYFUNCTION("""COMPUTED_VALUE"""),"")</f>
        <v/>
      </c>
      <c r="H932" s="5" t="str">
        <f>IFERROR(__xludf.DUMMYFUNCTION("""COMPUTED_VALUE"""),"")</f>
        <v/>
      </c>
      <c r="I932" s="5" t="str">
        <f>IFERROR(__xludf.DUMMYFUNCTION("""COMPUTED_VALUE"""),"")</f>
        <v/>
      </c>
      <c r="J932" s="5" t="str">
        <f>IFERROR(__xludf.DUMMYFUNCTION("""COMPUTED_VALUE"""),"")</f>
        <v/>
      </c>
      <c r="K932" s="5" t="str">
        <f>IFERROR(__xludf.DUMMYFUNCTION("""COMPUTED_VALUE"""),"")</f>
        <v/>
      </c>
      <c r="L932" s="5" t="str">
        <f>IFERROR(__xludf.DUMMYFUNCTION("""COMPUTED_VALUE"""),"")</f>
        <v/>
      </c>
      <c r="M932" s="5" t="str">
        <f>IFERROR(__xludf.DUMMYFUNCTION("""COMPUTED_VALUE"""),"")</f>
        <v/>
      </c>
      <c r="N932" s="5" t="str">
        <f>IFERROR(__xludf.DUMMYFUNCTION("""COMPUTED_VALUE"""),"")</f>
        <v/>
      </c>
      <c r="O932" s="5" t="str">
        <f>IFERROR(__xludf.DUMMYFUNCTION("""COMPUTED_VALUE"""),"")</f>
        <v/>
      </c>
      <c r="P932" s="5" t="str">
        <f>IFERROR(__xludf.DUMMYFUNCTION("""COMPUTED_VALUE"""),"")</f>
        <v/>
      </c>
      <c r="Q932" s="5" t="str">
        <f>IFERROR(__xludf.DUMMYFUNCTION("""COMPUTED_VALUE"""),"")</f>
        <v/>
      </c>
      <c r="R932" s="5" t="str">
        <f>IFERROR(__xludf.DUMMYFUNCTION("""COMPUTED_VALUE"""),"")</f>
        <v/>
      </c>
      <c r="S932" s="5" t="str">
        <f>IFERROR(__xludf.DUMMYFUNCTION("""COMPUTED_VALUE"""),"")</f>
        <v/>
      </c>
      <c r="T932" s="5" t="str">
        <f>IFERROR(__xludf.DUMMYFUNCTION("""COMPUTED_VALUE"""),"")</f>
        <v/>
      </c>
      <c r="U932" s="5" t="str">
        <f>IFERROR(__xludf.DUMMYFUNCTION("""COMPUTED_VALUE"""),"")</f>
        <v/>
      </c>
      <c r="V932" s="5" t="str">
        <f>IFERROR(__xludf.DUMMYFUNCTION("""COMPUTED_VALUE"""),"")</f>
        <v/>
      </c>
      <c r="W932" s="5" t="str">
        <f>IFERROR(__xludf.DUMMYFUNCTION("""COMPUTED_VALUE"""),"")</f>
        <v/>
      </c>
      <c r="X932" s="5" t="str">
        <f>IFERROR(__xludf.DUMMYFUNCTION("""COMPUTED_VALUE"""),"")</f>
        <v/>
      </c>
      <c r="Y932" s="5"/>
      <c r="Z932" s="5"/>
    </row>
    <row r="933">
      <c r="A933" s="5"/>
      <c r="B933" s="5" t="str">
        <f>IFERROR(__xludf.DUMMYFUNCTION("""COMPUTED_VALUE"""),"")</f>
        <v/>
      </c>
      <c r="C933" s="5" t="str">
        <f>IFERROR(__xludf.DUMMYFUNCTION("""COMPUTED_VALUE"""),"")</f>
        <v/>
      </c>
      <c r="D933" s="5" t="str">
        <f>IFERROR(__xludf.DUMMYFUNCTION("""COMPUTED_VALUE"""),"")</f>
        <v/>
      </c>
      <c r="E933" s="5" t="str">
        <f>IFERROR(__xludf.DUMMYFUNCTION("""COMPUTED_VALUE"""),"")</f>
        <v/>
      </c>
      <c r="F933" s="5" t="str">
        <f>IFERROR(__xludf.DUMMYFUNCTION("""COMPUTED_VALUE"""),"")</f>
        <v/>
      </c>
      <c r="G933" s="5" t="str">
        <f>IFERROR(__xludf.DUMMYFUNCTION("""COMPUTED_VALUE"""),"")</f>
        <v/>
      </c>
      <c r="H933" s="5" t="str">
        <f>IFERROR(__xludf.DUMMYFUNCTION("""COMPUTED_VALUE"""),"")</f>
        <v/>
      </c>
      <c r="I933" s="5" t="str">
        <f>IFERROR(__xludf.DUMMYFUNCTION("""COMPUTED_VALUE"""),"")</f>
        <v/>
      </c>
      <c r="J933" s="5" t="str">
        <f>IFERROR(__xludf.DUMMYFUNCTION("""COMPUTED_VALUE"""),"")</f>
        <v/>
      </c>
      <c r="K933" s="5" t="str">
        <f>IFERROR(__xludf.DUMMYFUNCTION("""COMPUTED_VALUE"""),"")</f>
        <v/>
      </c>
      <c r="L933" s="5" t="str">
        <f>IFERROR(__xludf.DUMMYFUNCTION("""COMPUTED_VALUE"""),"")</f>
        <v/>
      </c>
      <c r="M933" s="5" t="str">
        <f>IFERROR(__xludf.DUMMYFUNCTION("""COMPUTED_VALUE"""),"")</f>
        <v/>
      </c>
      <c r="N933" s="5" t="str">
        <f>IFERROR(__xludf.DUMMYFUNCTION("""COMPUTED_VALUE"""),"")</f>
        <v/>
      </c>
      <c r="O933" s="5" t="str">
        <f>IFERROR(__xludf.DUMMYFUNCTION("""COMPUTED_VALUE"""),"")</f>
        <v/>
      </c>
      <c r="P933" s="5" t="str">
        <f>IFERROR(__xludf.DUMMYFUNCTION("""COMPUTED_VALUE"""),"")</f>
        <v/>
      </c>
      <c r="Q933" s="5" t="str">
        <f>IFERROR(__xludf.DUMMYFUNCTION("""COMPUTED_VALUE"""),"")</f>
        <v/>
      </c>
      <c r="R933" s="5" t="str">
        <f>IFERROR(__xludf.DUMMYFUNCTION("""COMPUTED_VALUE"""),"")</f>
        <v/>
      </c>
      <c r="S933" s="5" t="str">
        <f>IFERROR(__xludf.DUMMYFUNCTION("""COMPUTED_VALUE"""),"")</f>
        <v/>
      </c>
      <c r="T933" s="5" t="str">
        <f>IFERROR(__xludf.DUMMYFUNCTION("""COMPUTED_VALUE"""),"")</f>
        <v/>
      </c>
      <c r="U933" s="5" t="str">
        <f>IFERROR(__xludf.DUMMYFUNCTION("""COMPUTED_VALUE"""),"")</f>
        <v/>
      </c>
      <c r="V933" s="5" t="str">
        <f>IFERROR(__xludf.DUMMYFUNCTION("""COMPUTED_VALUE"""),"")</f>
        <v/>
      </c>
      <c r="W933" s="5" t="str">
        <f>IFERROR(__xludf.DUMMYFUNCTION("""COMPUTED_VALUE"""),"")</f>
        <v/>
      </c>
      <c r="X933" s="5" t="str">
        <f>IFERROR(__xludf.DUMMYFUNCTION("""COMPUTED_VALUE"""),"")</f>
        <v/>
      </c>
      <c r="Y933" s="5"/>
      <c r="Z933" s="5"/>
    </row>
    <row r="934">
      <c r="A934" s="5"/>
      <c r="B934" s="5" t="str">
        <f>IFERROR(__xludf.DUMMYFUNCTION("""COMPUTED_VALUE"""),"")</f>
        <v/>
      </c>
      <c r="C934" s="5" t="str">
        <f>IFERROR(__xludf.DUMMYFUNCTION("""COMPUTED_VALUE"""),"")</f>
        <v/>
      </c>
      <c r="D934" s="5" t="str">
        <f>IFERROR(__xludf.DUMMYFUNCTION("""COMPUTED_VALUE"""),"")</f>
        <v/>
      </c>
      <c r="E934" s="5" t="str">
        <f>IFERROR(__xludf.DUMMYFUNCTION("""COMPUTED_VALUE"""),"")</f>
        <v/>
      </c>
      <c r="F934" s="5" t="str">
        <f>IFERROR(__xludf.DUMMYFUNCTION("""COMPUTED_VALUE"""),"")</f>
        <v/>
      </c>
      <c r="G934" s="5" t="str">
        <f>IFERROR(__xludf.DUMMYFUNCTION("""COMPUTED_VALUE"""),"")</f>
        <v/>
      </c>
      <c r="H934" s="5" t="str">
        <f>IFERROR(__xludf.DUMMYFUNCTION("""COMPUTED_VALUE"""),"")</f>
        <v/>
      </c>
      <c r="I934" s="5" t="str">
        <f>IFERROR(__xludf.DUMMYFUNCTION("""COMPUTED_VALUE"""),"")</f>
        <v/>
      </c>
      <c r="J934" s="5" t="str">
        <f>IFERROR(__xludf.DUMMYFUNCTION("""COMPUTED_VALUE"""),"")</f>
        <v/>
      </c>
      <c r="K934" s="5" t="str">
        <f>IFERROR(__xludf.DUMMYFUNCTION("""COMPUTED_VALUE"""),"")</f>
        <v/>
      </c>
      <c r="L934" s="5" t="str">
        <f>IFERROR(__xludf.DUMMYFUNCTION("""COMPUTED_VALUE"""),"")</f>
        <v/>
      </c>
      <c r="M934" s="5" t="str">
        <f>IFERROR(__xludf.DUMMYFUNCTION("""COMPUTED_VALUE"""),"")</f>
        <v/>
      </c>
      <c r="N934" s="5" t="str">
        <f>IFERROR(__xludf.DUMMYFUNCTION("""COMPUTED_VALUE"""),"")</f>
        <v/>
      </c>
      <c r="O934" s="5" t="str">
        <f>IFERROR(__xludf.DUMMYFUNCTION("""COMPUTED_VALUE"""),"")</f>
        <v/>
      </c>
      <c r="P934" s="5" t="str">
        <f>IFERROR(__xludf.DUMMYFUNCTION("""COMPUTED_VALUE"""),"")</f>
        <v/>
      </c>
      <c r="Q934" s="5" t="str">
        <f>IFERROR(__xludf.DUMMYFUNCTION("""COMPUTED_VALUE"""),"")</f>
        <v/>
      </c>
      <c r="R934" s="5" t="str">
        <f>IFERROR(__xludf.DUMMYFUNCTION("""COMPUTED_VALUE"""),"")</f>
        <v/>
      </c>
      <c r="S934" s="5" t="str">
        <f>IFERROR(__xludf.DUMMYFUNCTION("""COMPUTED_VALUE"""),"")</f>
        <v/>
      </c>
      <c r="T934" s="5" t="str">
        <f>IFERROR(__xludf.DUMMYFUNCTION("""COMPUTED_VALUE"""),"")</f>
        <v/>
      </c>
      <c r="U934" s="5" t="str">
        <f>IFERROR(__xludf.DUMMYFUNCTION("""COMPUTED_VALUE"""),"")</f>
        <v/>
      </c>
      <c r="V934" s="5" t="str">
        <f>IFERROR(__xludf.DUMMYFUNCTION("""COMPUTED_VALUE"""),"")</f>
        <v/>
      </c>
      <c r="W934" s="5" t="str">
        <f>IFERROR(__xludf.DUMMYFUNCTION("""COMPUTED_VALUE"""),"")</f>
        <v/>
      </c>
      <c r="X934" s="5" t="str">
        <f>IFERROR(__xludf.DUMMYFUNCTION("""COMPUTED_VALUE"""),"")</f>
        <v/>
      </c>
      <c r="Y934" s="5"/>
      <c r="Z934" s="5"/>
    </row>
    <row r="935">
      <c r="A935" s="5"/>
      <c r="B935" s="5" t="str">
        <f>IFERROR(__xludf.DUMMYFUNCTION("""COMPUTED_VALUE"""),"")</f>
        <v/>
      </c>
      <c r="C935" s="5" t="str">
        <f>IFERROR(__xludf.DUMMYFUNCTION("""COMPUTED_VALUE"""),"")</f>
        <v/>
      </c>
      <c r="D935" s="5" t="str">
        <f>IFERROR(__xludf.DUMMYFUNCTION("""COMPUTED_VALUE"""),"")</f>
        <v/>
      </c>
      <c r="E935" s="5" t="str">
        <f>IFERROR(__xludf.DUMMYFUNCTION("""COMPUTED_VALUE"""),"")</f>
        <v/>
      </c>
      <c r="F935" s="5" t="str">
        <f>IFERROR(__xludf.DUMMYFUNCTION("""COMPUTED_VALUE"""),"")</f>
        <v/>
      </c>
      <c r="G935" s="5" t="str">
        <f>IFERROR(__xludf.DUMMYFUNCTION("""COMPUTED_VALUE"""),"")</f>
        <v/>
      </c>
      <c r="H935" s="5" t="str">
        <f>IFERROR(__xludf.DUMMYFUNCTION("""COMPUTED_VALUE"""),"")</f>
        <v/>
      </c>
      <c r="I935" s="5" t="str">
        <f>IFERROR(__xludf.DUMMYFUNCTION("""COMPUTED_VALUE"""),"")</f>
        <v/>
      </c>
      <c r="J935" s="5" t="str">
        <f>IFERROR(__xludf.DUMMYFUNCTION("""COMPUTED_VALUE"""),"")</f>
        <v/>
      </c>
      <c r="K935" s="5" t="str">
        <f>IFERROR(__xludf.DUMMYFUNCTION("""COMPUTED_VALUE"""),"")</f>
        <v/>
      </c>
      <c r="L935" s="5" t="str">
        <f>IFERROR(__xludf.DUMMYFUNCTION("""COMPUTED_VALUE"""),"")</f>
        <v/>
      </c>
      <c r="M935" s="5" t="str">
        <f>IFERROR(__xludf.DUMMYFUNCTION("""COMPUTED_VALUE"""),"")</f>
        <v/>
      </c>
      <c r="N935" s="5" t="str">
        <f>IFERROR(__xludf.DUMMYFUNCTION("""COMPUTED_VALUE"""),"")</f>
        <v/>
      </c>
      <c r="O935" s="5" t="str">
        <f>IFERROR(__xludf.DUMMYFUNCTION("""COMPUTED_VALUE"""),"")</f>
        <v/>
      </c>
      <c r="P935" s="5" t="str">
        <f>IFERROR(__xludf.DUMMYFUNCTION("""COMPUTED_VALUE"""),"")</f>
        <v/>
      </c>
      <c r="Q935" s="5" t="str">
        <f>IFERROR(__xludf.DUMMYFUNCTION("""COMPUTED_VALUE"""),"")</f>
        <v/>
      </c>
      <c r="R935" s="5" t="str">
        <f>IFERROR(__xludf.DUMMYFUNCTION("""COMPUTED_VALUE"""),"")</f>
        <v/>
      </c>
      <c r="S935" s="5" t="str">
        <f>IFERROR(__xludf.DUMMYFUNCTION("""COMPUTED_VALUE"""),"")</f>
        <v/>
      </c>
      <c r="T935" s="5" t="str">
        <f>IFERROR(__xludf.DUMMYFUNCTION("""COMPUTED_VALUE"""),"")</f>
        <v/>
      </c>
      <c r="U935" s="5" t="str">
        <f>IFERROR(__xludf.DUMMYFUNCTION("""COMPUTED_VALUE"""),"")</f>
        <v/>
      </c>
      <c r="V935" s="5" t="str">
        <f>IFERROR(__xludf.DUMMYFUNCTION("""COMPUTED_VALUE"""),"")</f>
        <v/>
      </c>
      <c r="W935" s="5" t="str">
        <f>IFERROR(__xludf.DUMMYFUNCTION("""COMPUTED_VALUE"""),"")</f>
        <v/>
      </c>
      <c r="X935" s="5" t="str">
        <f>IFERROR(__xludf.DUMMYFUNCTION("""COMPUTED_VALUE"""),"")</f>
        <v/>
      </c>
      <c r="Y935" s="5"/>
      <c r="Z935" s="5"/>
    </row>
    <row r="936">
      <c r="A936" s="5"/>
      <c r="B936" s="5" t="str">
        <f>IFERROR(__xludf.DUMMYFUNCTION("""COMPUTED_VALUE"""),"")</f>
        <v/>
      </c>
      <c r="C936" s="5" t="str">
        <f>IFERROR(__xludf.DUMMYFUNCTION("""COMPUTED_VALUE"""),"")</f>
        <v/>
      </c>
      <c r="D936" s="5" t="str">
        <f>IFERROR(__xludf.DUMMYFUNCTION("""COMPUTED_VALUE"""),"")</f>
        <v/>
      </c>
      <c r="E936" s="5" t="str">
        <f>IFERROR(__xludf.DUMMYFUNCTION("""COMPUTED_VALUE"""),"")</f>
        <v/>
      </c>
      <c r="F936" s="5" t="str">
        <f>IFERROR(__xludf.DUMMYFUNCTION("""COMPUTED_VALUE"""),"")</f>
        <v/>
      </c>
      <c r="G936" s="5" t="str">
        <f>IFERROR(__xludf.DUMMYFUNCTION("""COMPUTED_VALUE"""),"")</f>
        <v/>
      </c>
      <c r="H936" s="5" t="str">
        <f>IFERROR(__xludf.DUMMYFUNCTION("""COMPUTED_VALUE"""),"")</f>
        <v/>
      </c>
      <c r="I936" s="5" t="str">
        <f>IFERROR(__xludf.DUMMYFUNCTION("""COMPUTED_VALUE"""),"")</f>
        <v/>
      </c>
      <c r="J936" s="5" t="str">
        <f>IFERROR(__xludf.DUMMYFUNCTION("""COMPUTED_VALUE"""),"")</f>
        <v/>
      </c>
      <c r="K936" s="5" t="str">
        <f>IFERROR(__xludf.DUMMYFUNCTION("""COMPUTED_VALUE"""),"")</f>
        <v/>
      </c>
      <c r="L936" s="5" t="str">
        <f>IFERROR(__xludf.DUMMYFUNCTION("""COMPUTED_VALUE"""),"")</f>
        <v/>
      </c>
      <c r="M936" s="5" t="str">
        <f>IFERROR(__xludf.DUMMYFUNCTION("""COMPUTED_VALUE"""),"")</f>
        <v/>
      </c>
      <c r="N936" s="5" t="str">
        <f>IFERROR(__xludf.DUMMYFUNCTION("""COMPUTED_VALUE"""),"")</f>
        <v/>
      </c>
      <c r="O936" s="5" t="str">
        <f>IFERROR(__xludf.DUMMYFUNCTION("""COMPUTED_VALUE"""),"")</f>
        <v/>
      </c>
      <c r="P936" s="5" t="str">
        <f>IFERROR(__xludf.DUMMYFUNCTION("""COMPUTED_VALUE"""),"")</f>
        <v/>
      </c>
      <c r="Q936" s="5" t="str">
        <f>IFERROR(__xludf.DUMMYFUNCTION("""COMPUTED_VALUE"""),"")</f>
        <v/>
      </c>
      <c r="R936" s="5" t="str">
        <f>IFERROR(__xludf.DUMMYFUNCTION("""COMPUTED_VALUE"""),"")</f>
        <v/>
      </c>
      <c r="S936" s="5" t="str">
        <f>IFERROR(__xludf.DUMMYFUNCTION("""COMPUTED_VALUE"""),"")</f>
        <v/>
      </c>
      <c r="T936" s="5" t="str">
        <f>IFERROR(__xludf.DUMMYFUNCTION("""COMPUTED_VALUE"""),"")</f>
        <v/>
      </c>
      <c r="U936" s="5" t="str">
        <f>IFERROR(__xludf.DUMMYFUNCTION("""COMPUTED_VALUE"""),"")</f>
        <v/>
      </c>
      <c r="V936" s="5" t="str">
        <f>IFERROR(__xludf.DUMMYFUNCTION("""COMPUTED_VALUE"""),"")</f>
        <v/>
      </c>
      <c r="W936" s="5" t="str">
        <f>IFERROR(__xludf.DUMMYFUNCTION("""COMPUTED_VALUE"""),"")</f>
        <v/>
      </c>
      <c r="X936" s="5" t="str">
        <f>IFERROR(__xludf.DUMMYFUNCTION("""COMPUTED_VALUE"""),"")</f>
        <v/>
      </c>
      <c r="Y936" s="5"/>
      <c r="Z936" s="5"/>
    </row>
    <row r="937">
      <c r="A937" s="5"/>
      <c r="B937" s="5" t="str">
        <f>IFERROR(__xludf.DUMMYFUNCTION("""COMPUTED_VALUE"""),"")</f>
        <v/>
      </c>
      <c r="C937" s="5" t="str">
        <f>IFERROR(__xludf.DUMMYFUNCTION("""COMPUTED_VALUE"""),"")</f>
        <v/>
      </c>
      <c r="D937" s="5" t="str">
        <f>IFERROR(__xludf.DUMMYFUNCTION("""COMPUTED_VALUE"""),"")</f>
        <v/>
      </c>
      <c r="E937" s="5" t="str">
        <f>IFERROR(__xludf.DUMMYFUNCTION("""COMPUTED_VALUE"""),"")</f>
        <v/>
      </c>
      <c r="F937" s="5" t="str">
        <f>IFERROR(__xludf.DUMMYFUNCTION("""COMPUTED_VALUE"""),"")</f>
        <v/>
      </c>
      <c r="G937" s="5" t="str">
        <f>IFERROR(__xludf.DUMMYFUNCTION("""COMPUTED_VALUE"""),"")</f>
        <v/>
      </c>
      <c r="H937" s="5" t="str">
        <f>IFERROR(__xludf.DUMMYFUNCTION("""COMPUTED_VALUE"""),"")</f>
        <v/>
      </c>
      <c r="I937" s="5" t="str">
        <f>IFERROR(__xludf.DUMMYFUNCTION("""COMPUTED_VALUE"""),"")</f>
        <v/>
      </c>
      <c r="J937" s="5" t="str">
        <f>IFERROR(__xludf.DUMMYFUNCTION("""COMPUTED_VALUE"""),"")</f>
        <v/>
      </c>
      <c r="K937" s="5" t="str">
        <f>IFERROR(__xludf.DUMMYFUNCTION("""COMPUTED_VALUE"""),"")</f>
        <v/>
      </c>
      <c r="L937" s="5" t="str">
        <f>IFERROR(__xludf.DUMMYFUNCTION("""COMPUTED_VALUE"""),"")</f>
        <v/>
      </c>
      <c r="M937" s="5" t="str">
        <f>IFERROR(__xludf.DUMMYFUNCTION("""COMPUTED_VALUE"""),"")</f>
        <v/>
      </c>
      <c r="N937" s="5" t="str">
        <f>IFERROR(__xludf.DUMMYFUNCTION("""COMPUTED_VALUE"""),"")</f>
        <v/>
      </c>
      <c r="O937" s="5" t="str">
        <f>IFERROR(__xludf.DUMMYFUNCTION("""COMPUTED_VALUE"""),"")</f>
        <v/>
      </c>
      <c r="P937" s="5" t="str">
        <f>IFERROR(__xludf.DUMMYFUNCTION("""COMPUTED_VALUE"""),"")</f>
        <v/>
      </c>
      <c r="Q937" s="5" t="str">
        <f>IFERROR(__xludf.DUMMYFUNCTION("""COMPUTED_VALUE"""),"")</f>
        <v/>
      </c>
      <c r="R937" s="5" t="str">
        <f>IFERROR(__xludf.DUMMYFUNCTION("""COMPUTED_VALUE"""),"")</f>
        <v/>
      </c>
      <c r="S937" s="5" t="str">
        <f>IFERROR(__xludf.DUMMYFUNCTION("""COMPUTED_VALUE"""),"")</f>
        <v/>
      </c>
      <c r="T937" s="5" t="str">
        <f>IFERROR(__xludf.DUMMYFUNCTION("""COMPUTED_VALUE"""),"")</f>
        <v/>
      </c>
      <c r="U937" s="5" t="str">
        <f>IFERROR(__xludf.DUMMYFUNCTION("""COMPUTED_VALUE"""),"")</f>
        <v/>
      </c>
      <c r="V937" s="5" t="str">
        <f>IFERROR(__xludf.DUMMYFUNCTION("""COMPUTED_VALUE"""),"")</f>
        <v/>
      </c>
      <c r="W937" s="5" t="str">
        <f>IFERROR(__xludf.DUMMYFUNCTION("""COMPUTED_VALUE"""),"")</f>
        <v/>
      </c>
      <c r="X937" s="5" t="str">
        <f>IFERROR(__xludf.DUMMYFUNCTION("""COMPUTED_VALUE"""),"")</f>
        <v/>
      </c>
      <c r="Y937" s="5"/>
      <c r="Z937" s="5"/>
    </row>
    <row r="938">
      <c r="A938" s="5"/>
      <c r="B938" s="5" t="str">
        <f>IFERROR(__xludf.DUMMYFUNCTION("""COMPUTED_VALUE"""),"")</f>
        <v/>
      </c>
      <c r="C938" s="5" t="str">
        <f>IFERROR(__xludf.DUMMYFUNCTION("""COMPUTED_VALUE"""),"")</f>
        <v/>
      </c>
      <c r="D938" s="5" t="str">
        <f>IFERROR(__xludf.DUMMYFUNCTION("""COMPUTED_VALUE"""),"")</f>
        <v/>
      </c>
      <c r="E938" s="5" t="str">
        <f>IFERROR(__xludf.DUMMYFUNCTION("""COMPUTED_VALUE"""),"")</f>
        <v/>
      </c>
      <c r="F938" s="5" t="str">
        <f>IFERROR(__xludf.DUMMYFUNCTION("""COMPUTED_VALUE"""),"")</f>
        <v/>
      </c>
      <c r="G938" s="5" t="str">
        <f>IFERROR(__xludf.DUMMYFUNCTION("""COMPUTED_VALUE"""),"")</f>
        <v/>
      </c>
      <c r="H938" s="5" t="str">
        <f>IFERROR(__xludf.DUMMYFUNCTION("""COMPUTED_VALUE"""),"")</f>
        <v/>
      </c>
      <c r="I938" s="5" t="str">
        <f>IFERROR(__xludf.DUMMYFUNCTION("""COMPUTED_VALUE"""),"")</f>
        <v/>
      </c>
      <c r="J938" s="5" t="str">
        <f>IFERROR(__xludf.DUMMYFUNCTION("""COMPUTED_VALUE"""),"")</f>
        <v/>
      </c>
      <c r="K938" s="5" t="str">
        <f>IFERROR(__xludf.DUMMYFUNCTION("""COMPUTED_VALUE"""),"")</f>
        <v/>
      </c>
      <c r="L938" s="5" t="str">
        <f>IFERROR(__xludf.DUMMYFUNCTION("""COMPUTED_VALUE"""),"")</f>
        <v/>
      </c>
      <c r="M938" s="5" t="str">
        <f>IFERROR(__xludf.DUMMYFUNCTION("""COMPUTED_VALUE"""),"")</f>
        <v/>
      </c>
      <c r="N938" s="5" t="str">
        <f>IFERROR(__xludf.DUMMYFUNCTION("""COMPUTED_VALUE"""),"")</f>
        <v/>
      </c>
      <c r="O938" s="5" t="str">
        <f>IFERROR(__xludf.DUMMYFUNCTION("""COMPUTED_VALUE"""),"")</f>
        <v/>
      </c>
      <c r="P938" s="5" t="str">
        <f>IFERROR(__xludf.DUMMYFUNCTION("""COMPUTED_VALUE"""),"")</f>
        <v/>
      </c>
      <c r="Q938" s="5" t="str">
        <f>IFERROR(__xludf.DUMMYFUNCTION("""COMPUTED_VALUE"""),"")</f>
        <v/>
      </c>
      <c r="R938" s="5" t="str">
        <f>IFERROR(__xludf.DUMMYFUNCTION("""COMPUTED_VALUE"""),"")</f>
        <v/>
      </c>
      <c r="S938" s="5" t="str">
        <f>IFERROR(__xludf.DUMMYFUNCTION("""COMPUTED_VALUE"""),"")</f>
        <v/>
      </c>
      <c r="T938" s="5" t="str">
        <f>IFERROR(__xludf.DUMMYFUNCTION("""COMPUTED_VALUE"""),"")</f>
        <v/>
      </c>
      <c r="U938" s="5" t="str">
        <f>IFERROR(__xludf.DUMMYFUNCTION("""COMPUTED_VALUE"""),"")</f>
        <v/>
      </c>
      <c r="V938" s="5" t="str">
        <f>IFERROR(__xludf.DUMMYFUNCTION("""COMPUTED_VALUE"""),"")</f>
        <v/>
      </c>
      <c r="W938" s="5" t="str">
        <f>IFERROR(__xludf.DUMMYFUNCTION("""COMPUTED_VALUE"""),"")</f>
        <v/>
      </c>
      <c r="X938" s="5" t="str">
        <f>IFERROR(__xludf.DUMMYFUNCTION("""COMPUTED_VALUE"""),"")</f>
        <v/>
      </c>
      <c r="Y938" s="5"/>
      <c r="Z938" s="5"/>
    </row>
    <row r="939">
      <c r="A939" s="5"/>
      <c r="B939" s="5" t="str">
        <f>IFERROR(__xludf.DUMMYFUNCTION("""COMPUTED_VALUE"""),"")</f>
        <v/>
      </c>
      <c r="C939" s="5" t="str">
        <f>IFERROR(__xludf.DUMMYFUNCTION("""COMPUTED_VALUE"""),"")</f>
        <v/>
      </c>
      <c r="D939" s="5" t="str">
        <f>IFERROR(__xludf.DUMMYFUNCTION("""COMPUTED_VALUE"""),"")</f>
        <v/>
      </c>
      <c r="E939" s="5" t="str">
        <f>IFERROR(__xludf.DUMMYFUNCTION("""COMPUTED_VALUE"""),"")</f>
        <v/>
      </c>
      <c r="F939" s="5" t="str">
        <f>IFERROR(__xludf.DUMMYFUNCTION("""COMPUTED_VALUE"""),"")</f>
        <v/>
      </c>
      <c r="G939" s="5" t="str">
        <f>IFERROR(__xludf.DUMMYFUNCTION("""COMPUTED_VALUE"""),"")</f>
        <v/>
      </c>
      <c r="H939" s="5" t="str">
        <f>IFERROR(__xludf.DUMMYFUNCTION("""COMPUTED_VALUE"""),"")</f>
        <v/>
      </c>
      <c r="I939" s="5" t="str">
        <f>IFERROR(__xludf.DUMMYFUNCTION("""COMPUTED_VALUE"""),"")</f>
        <v/>
      </c>
      <c r="J939" s="5" t="str">
        <f>IFERROR(__xludf.DUMMYFUNCTION("""COMPUTED_VALUE"""),"")</f>
        <v/>
      </c>
      <c r="K939" s="5" t="str">
        <f>IFERROR(__xludf.DUMMYFUNCTION("""COMPUTED_VALUE"""),"")</f>
        <v/>
      </c>
      <c r="L939" s="5" t="str">
        <f>IFERROR(__xludf.DUMMYFUNCTION("""COMPUTED_VALUE"""),"")</f>
        <v/>
      </c>
      <c r="M939" s="5" t="str">
        <f>IFERROR(__xludf.DUMMYFUNCTION("""COMPUTED_VALUE"""),"")</f>
        <v/>
      </c>
      <c r="N939" s="5" t="str">
        <f>IFERROR(__xludf.DUMMYFUNCTION("""COMPUTED_VALUE"""),"")</f>
        <v/>
      </c>
      <c r="O939" s="5" t="str">
        <f>IFERROR(__xludf.DUMMYFUNCTION("""COMPUTED_VALUE"""),"")</f>
        <v/>
      </c>
      <c r="P939" s="5" t="str">
        <f>IFERROR(__xludf.DUMMYFUNCTION("""COMPUTED_VALUE"""),"")</f>
        <v/>
      </c>
      <c r="Q939" s="5" t="str">
        <f>IFERROR(__xludf.DUMMYFUNCTION("""COMPUTED_VALUE"""),"")</f>
        <v/>
      </c>
      <c r="R939" s="5" t="str">
        <f>IFERROR(__xludf.DUMMYFUNCTION("""COMPUTED_VALUE"""),"")</f>
        <v/>
      </c>
      <c r="S939" s="5" t="str">
        <f>IFERROR(__xludf.DUMMYFUNCTION("""COMPUTED_VALUE"""),"")</f>
        <v/>
      </c>
      <c r="T939" s="5" t="str">
        <f>IFERROR(__xludf.DUMMYFUNCTION("""COMPUTED_VALUE"""),"")</f>
        <v/>
      </c>
      <c r="U939" s="5" t="str">
        <f>IFERROR(__xludf.DUMMYFUNCTION("""COMPUTED_VALUE"""),"")</f>
        <v/>
      </c>
      <c r="V939" s="5" t="str">
        <f>IFERROR(__xludf.DUMMYFUNCTION("""COMPUTED_VALUE"""),"")</f>
        <v/>
      </c>
      <c r="W939" s="5" t="str">
        <f>IFERROR(__xludf.DUMMYFUNCTION("""COMPUTED_VALUE"""),"")</f>
        <v/>
      </c>
      <c r="X939" s="5" t="str">
        <f>IFERROR(__xludf.DUMMYFUNCTION("""COMPUTED_VALUE"""),"")</f>
        <v/>
      </c>
      <c r="Y939" s="5"/>
      <c r="Z939" s="5"/>
    </row>
    <row r="940">
      <c r="A940" s="5"/>
      <c r="B940" s="5" t="str">
        <f>IFERROR(__xludf.DUMMYFUNCTION("""COMPUTED_VALUE"""),"")</f>
        <v/>
      </c>
      <c r="C940" s="5" t="str">
        <f>IFERROR(__xludf.DUMMYFUNCTION("""COMPUTED_VALUE"""),"")</f>
        <v/>
      </c>
      <c r="D940" s="5" t="str">
        <f>IFERROR(__xludf.DUMMYFUNCTION("""COMPUTED_VALUE"""),"")</f>
        <v/>
      </c>
      <c r="E940" s="5" t="str">
        <f>IFERROR(__xludf.DUMMYFUNCTION("""COMPUTED_VALUE"""),"")</f>
        <v/>
      </c>
      <c r="F940" s="5" t="str">
        <f>IFERROR(__xludf.DUMMYFUNCTION("""COMPUTED_VALUE"""),"")</f>
        <v/>
      </c>
      <c r="G940" s="5" t="str">
        <f>IFERROR(__xludf.DUMMYFUNCTION("""COMPUTED_VALUE"""),"")</f>
        <v/>
      </c>
      <c r="H940" s="5" t="str">
        <f>IFERROR(__xludf.DUMMYFUNCTION("""COMPUTED_VALUE"""),"")</f>
        <v/>
      </c>
      <c r="I940" s="5" t="str">
        <f>IFERROR(__xludf.DUMMYFUNCTION("""COMPUTED_VALUE"""),"")</f>
        <v/>
      </c>
      <c r="J940" s="5" t="str">
        <f>IFERROR(__xludf.DUMMYFUNCTION("""COMPUTED_VALUE"""),"")</f>
        <v/>
      </c>
      <c r="K940" s="5" t="str">
        <f>IFERROR(__xludf.DUMMYFUNCTION("""COMPUTED_VALUE"""),"")</f>
        <v/>
      </c>
      <c r="L940" s="5" t="str">
        <f>IFERROR(__xludf.DUMMYFUNCTION("""COMPUTED_VALUE"""),"")</f>
        <v/>
      </c>
      <c r="M940" s="5" t="str">
        <f>IFERROR(__xludf.DUMMYFUNCTION("""COMPUTED_VALUE"""),"")</f>
        <v/>
      </c>
      <c r="N940" s="5" t="str">
        <f>IFERROR(__xludf.DUMMYFUNCTION("""COMPUTED_VALUE"""),"")</f>
        <v/>
      </c>
      <c r="O940" s="5" t="str">
        <f>IFERROR(__xludf.DUMMYFUNCTION("""COMPUTED_VALUE"""),"")</f>
        <v/>
      </c>
      <c r="P940" s="5" t="str">
        <f>IFERROR(__xludf.DUMMYFUNCTION("""COMPUTED_VALUE"""),"")</f>
        <v/>
      </c>
      <c r="Q940" s="5" t="str">
        <f>IFERROR(__xludf.DUMMYFUNCTION("""COMPUTED_VALUE"""),"")</f>
        <v/>
      </c>
      <c r="R940" s="5" t="str">
        <f>IFERROR(__xludf.DUMMYFUNCTION("""COMPUTED_VALUE"""),"")</f>
        <v/>
      </c>
      <c r="S940" s="5" t="str">
        <f>IFERROR(__xludf.DUMMYFUNCTION("""COMPUTED_VALUE"""),"")</f>
        <v/>
      </c>
      <c r="T940" s="5" t="str">
        <f>IFERROR(__xludf.DUMMYFUNCTION("""COMPUTED_VALUE"""),"")</f>
        <v/>
      </c>
      <c r="U940" s="5" t="str">
        <f>IFERROR(__xludf.DUMMYFUNCTION("""COMPUTED_VALUE"""),"")</f>
        <v/>
      </c>
      <c r="V940" s="5" t="str">
        <f>IFERROR(__xludf.DUMMYFUNCTION("""COMPUTED_VALUE"""),"")</f>
        <v/>
      </c>
      <c r="W940" s="5" t="str">
        <f>IFERROR(__xludf.DUMMYFUNCTION("""COMPUTED_VALUE"""),"")</f>
        <v/>
      </c>
      <c r="X940" s="5" t="str">
        <f>IFERROR(__xludf.DUMMYFUNCTION("""COMPUTED_VALUE"""),"")</f>
        <v/>
      </c>
      <c r="Y940" s="5"/>
      <c r="Z940" s="5"/>
    </row>
    <row r="941">
      <c r="A941" s="5"/>
      <c r="B941" s="5" t="str">
        <f>IFERROR(__xludf.DUMMYFUNCTION("""COMPUTED_VALUE"""),"")</f>
        <v/>
      </c>
      <c r="C941" s="5" t="str">
        <f>IFERROR(__xludf.DUMMYFUNCTION("""COMPUTED_VALUE"""),"")</f>
        <v/>
      </c>
      <c r="D941" s="5" t="str">
        <f>IFERROR(__xludf.DUMMYFUNCTION("""COMPUTED_VALUE"""),"")</f>
        <v/>
      </c>
      <c r="E941" s="5" t="str">
        <f>IFERROR(__xludf.DUMMYFUNCTION("""COMPUTED_VALUE"""),"")</f>
        <v/>
      </c>
      <c r="F941" s="5" t="str">
        <f>IFERROR(__xludf.DUMMYFUNCTION("""COMPUTED_VALUE"""),"")</f>
        <v/>
      </c>
      <c r="G941" s="5" t="str">
        <f>IFERROR(__xludf.DUMMYFUNCTION("""COMPUTED_VALUE"""),"")</f>
        <v/>
      </c>
      <c r="H941" s="5" t="str">
        <f>IFERROR(__xludf.DUMMYFUNCTION("""COMPUTED_VALUE"""),"")</f>
        <v/>
      </c>
      <c r="I941" s="5" t="str">
        <f>IFERROR(__xludf.DUMMYFUNCTION("""COMPUTED_VALUE"""),"")</f>
        <v/>
      </c>
      <c r="J941" s="5" t="str">
        <f>IFERROR(__xludf.DUMMYFUNCTION("""COMPUTED_VALUE"""),"")</f>
        <v/>
      </c>
      <c r="K941" s="5" t="str">
        <f>IFERROR(__xludf.DUMMYFUNCTION("""COMPUTED_VALUE"""),"")</f>
        <v/>
      </c>
      <c r="L941" s="5" t="str">
        <f>IFERROR(__xludf.DUMMYFUNCTION("""COMPUTED_VALUE"""),"")</f>
        <v/>
      </c>
      <c r="M941" s="5" t="str">
        <f>IFERROR(__xludf.DUMMYFUNCTION("""COMPUTED_VALUE"""),"")</f>
        <v/>
      </c>
      <c r="N941" s="5" t="str">
        <f>IFERROR(__xludf.DUMMYFUNCTION("""COMPUTED_VALUE"""),"")</f>
        <v/>
      </c>
      <c r="O941" s="5" t="str">
        <f>IFERROR(__xludf.DUMMYFUNCTION("""COMPUTED_VALUE"""),"")</f>
        <v/>
      </c>
      <c r="P941" s="5" t="str">
        <f>IFERROR(__xludf.DUMMYFUNCTION("""COMPUTED_VALUE"""),"")</f>
        <v/>
      </c>
      <c r="Q941" s="5" t="str">
        <f>IFERROR(__xludf.DUMMYFUNCTION("""COMPUTED_VALUE"""),"")</f>
        <v/>
      </c>
      <c r="R941" s="5" t="str">
        <f>IFERROR(__xludf.DUMMYFUNCTION("""COMPUTED_VALUE"""),"")</f>
        <v/>
      </c>
      <c r="S941" s="5" t="str">
        <f>IFERROR(__xludf.DUMMYFUNCTION("""COMPUTED_VALUE"""),"")</f>
        <v/>
      </c>
      <c r="T941" s="5" t="str">
        <f>IFERROR(__xludf.DUMMYFUNCTION("""COMPUTED_VALUE"""),"")</f>
        <v/>
      </c>
      <c r="U941" s="5" t="str">
        <f>IFERROR(__xludf.DUMMYFUNCTION("""COMPUTED_VALUE"""),"")</f>
        <v/>
      </c>
      <c r="V941" s="5" t="str">
        <f>IFERROR(__xludf.DUMMYFUNCTION("""COMPUTED_VALUE"""),"")</f>
        <v/>
      </c>
      <c r="W941" s="5" t="str">
        <f>IFERROR(__xludf.DUMMYFUNCTION("""COMPUTED_VALUE"""),"")</f>
        <v/>
      </c>
      <c r="X941" s="5" t="str">
        <f>IFERROR(__xludf.DUMMYFUNCTION("""COMPUTED_VALUE"""),"")</f>
        <v/>
      </c>
      <c r="Y941" s="5"/>
      <c r="Z941" s="5"/>
    </row>
    <row r="942">
      <c r="A942" s="5"/>
      <c r="B942" s="5" t="str">
        <f>IFERROR(__xludf.DUMMYFUNCTION("""COMPUTED_VALUE"""),"")</f>
        <v/>
      </c>
      <c r="C942" s="5" t="str">
        <f>IFERROR(__xludf.DUMMYFUNCTION("""COMPUTED_VALUE"""),"")</f>
        <v/>
      </c>
      <c r="D942" s="5" t="str">
        <f>IFERROR(__xludf.DUMMYFUNCTION("""COMPUTED_VALUE"""),"")</f>
        <v/>
      </c>
      <c r="E942" s="5" t="str">
        <f>IFERROR(__xludf.DUMMYFUNCTION("""COMPUTED_VALUE"""),"")</f>
        <v/>
      </c>
      <c r="F942" s="5" t="str">
        <f>IFERROR(__xludf.DUMMYFUNCTION("""COMPUTED_VALUE"""),"")</f>
        <v/>
      </c>
      <c r="G942" s="5" t="str">
        <f>IFERROR(__xludf.DUMMYFUNCTION("""COMPUTED_VALUE"""),"")</f>
        <v/>
      </c>
      <c r="H942" s="5" t="str">
        <f>IFERROR(__xludf.DUMMYFUNCTION("""COMPUTED_VALUE"""),"")</f>
        <v/>
      </c>
      <c r="I942" s="5" t="str">
        <f>IFERROR(__xludf.DUMMYFUNCTION("""COMPUTED_VALUE"""),"")</f>
        <v/>
      </c>
      <c r="J942" s="5" t="str">
        <f>IFERROR(__xludf.DUMMYFUNCTION("""COMPUTED_VALUE"""),"")</f>
        <v/>
      </c>
      <c r="K942" s="5" t="str">
        <f>IFERROR(__xludf.DUMMYFUNCTION("""COMPUTED_VALUE"""),"")</f>
        <v/>
      </c>
      <c r="L942" s="5" t="str">
        <f>IFERROR(__xludf.DUMMYFUNCTION("""COMPUTED_VALUE"""),"")</f>
        <v/>
      </c>
      <c r="M942" s="5" t="str">
        <f>IFERROR(__xludf.DUMMYFUNCTION("""COMPUTED_VALUE"""),"")</f>
        <v/>
      </c>
      <c r="N942" s="5" t="str">
        <f>IFERROR(__xludf.DUMMYFUNCTION("""COMPUTED_VALUE"""),"")</f>
        <v/>
      </c>
      <c r="O942" s="5" t="str">
        <f>IFERROR(__xludf.DUMMYFUNCTION("""COMPUTED_VALUE"""),"")</f>
        <v/>
      </c>
      <c r="P942" s="5" t="str">
        <f>IFERROR(__xludf.DUMMYFUNCTION("""COMPUTED_VALUE"""),"")</f>
        <v/>
      </c>
      <c r="Q942" s="5" t="str">
        <f>IFERROR(__xludf.DUMMYFUNCTION("""COMPUTED_VALUE"""),"")</f>
        <v/>
      </c>
      <c r="R942" s="5" t="str">
        <f>IFERROR(__xludf.DUMMYFUNCTION("""COMPUTED_VALUE"""),"")</f>
        <v/>
      </c>
      <c r="S942" s="5" t="str">
        <f>IFERROR(__xludf.DUMMYFUNCTION("""COMPUTED_VALUE"""),"")</f>
        <v/>
      </c>
      <c r="T942" s="5" t="str">
        <f>IFERROR(__xludf.DUMMYFUNCTION("""COMPUTED_VALUE"""),"")</f>
        <v/>
      </c>
      <c r="U942" s="5" t="str">
        <f>IFERROR(__xludf.DUMMYFUNCTION("""COMPUTED_VALUE"""),"")</f>
        <v/>
      </c>
      <c r="V942" s="5" t="str">
        <f>IFERROR(__xludf.DUMMYFUNCTION("""COMPUTED_VALUE"""),"")</f>
        <v/>
      </c>
      <c r="W942" s="5" t="str">
        <f>IFERROR(__xludf.DUMMYFUNCTION("""COMPUTED_VALUE"""),"")</f>
        <v/>
      </c>
      <c r="X942" s="5" t="str">
        <f>IFERROR(__xludf.DUMMYFUNCTION("""COMPUTED_VALUE"""),"")</f>
        <v/>
      </c>
      <c r="Y942" s="5"/>
      <c r="Z942" s="5"/>
    </row>
    <row r="943">
      <c r="A943" s="5"/>
      <c r="B943" s="5" t="str">
        <f>IFERROR(__xludf.DUMMYFUNCTION("""COMPUTED_VALUE"""),"")</f>
        <v/>
      </c>
      <c r="C943" s="5" t="str">
        <f>IFERROR(__xludf.DUMMYFUNCTION("""COMPUTED_VALUE"""),"")</f>
        <v/>
      </c>
      <c r="D943" s="5" t="str">
        <f>IFERROR(__xludf.DUMMYFUNCTION("""COMPUTED_VALUE"""),"")</f>
        <v/>
      </c>
      <c r="E943" s="5" t="str">
        <f>IFERROR(__xludf.DUMMYFUNCTION("""COMPUTED_VALUE"""),"")</f>
        <v/>
      </c>
      <c r="F943" s="5" t="str">
        <f>IFERROR(__xludf.DUMMYFUNCTION("""COMPUTED_VALUE"""),"")</f>
        <v/>
      </c>
      <c r="G943" s="5" t="str">
        <f>IFERROR(__xludf.DUMMYFUNCTION("""COMPUTED_VALUE"""),"")</f>
        <v/>
      </c>
      <c r="H943" s="5" t="str">
        <f>IFERROR(__xludf.DUMMYFUNCTION("""COMPUTED_VALUE"""),"")</f>
        <v/>
      </c>
      <c r="I943" s="5" t="str">
        <f>IFERROR(__xludf.DUMMYFUNCTION("""COMPUTED_VALUE"""),"")</f>
        <v/>
      </c>
      <c r="J943" s="5" t="str">
        <f>IFERROR(__xludf.DUMMYFUNCTION("""COMPUTED_VALUE"""),"")</f>
        <v/>
      </c>
      <c r="K943" s="5" t="str">
        <f>IFERROR(__xludf.DUMMYFUNCTION("""COMPUTED_VALUE"""),"")</f>
        <v/>
      </c>
      <c r="L943" s="5" t="str">
        <f>IFERROR(__xludf.DUMMYFUNCTION("""COMPUTED_VALUE"""),"")</f>
        <v/>
      </c>
      <c r="M943" s="5" t="str">
        <f>IFERROR(__xludf.DUMMYFUNCTION("""COMPUTED_VALUE"""),"")</f>
        <v/>
      </c>
      <c r="N943" s="5" t="str">
        <f>IFERROR(__xludf.DUMMYFUNCTION("""COMPUTED_VALUE"""),"")</f>
        <v/>
      </c>
      <c r="O943" s="5" t="str">
        <f>IFERROR(__xludf.DUMMYFUNCTION("""COMPUTED_VALUE"""),"")</f>
        <v/>
      </c>
      <c r="P943" s="5" t="str">
        <f>IFERROR(__xludf.DUMMYFUNCTION("""COMPUTED_VALUE"""),"")</f>
        <v/>
      </c>
      <c r="Q943" s="5" t="str">
        <f>IFERROR(__xludf.DUMMYFUNCTION("""COMPUTED_VALUE"""),"")</f>
        <v/>
      </c>
      <c r="R943" s="5" t="str">
        <f>IFERROR(__xludf.DUMMYFUNCTION("""COMPUTED_VALUE"""),"")</f>
        <v/>
      </c>
      <c r="S943" s="5" t="str">
        <f>IFERROR(__xludf.DUMMYFUNCTION("""COMPUTED_VALUE"""),"")</f>
        <v/>
      </c>
      <c r="T943" s="5" t="str">
        <f>IFERROR(__xludf.DUMMYFUNCTION("""COMPUTED_VALUE"""),"")</f>
        <v/>
      </c>
      <c r="U943" s="5" t="str">
        <f>IFERROR(__xludf.DUMMYFUNCTION("""COMPUTED_VALUE"""),"")</f>
        <v/>
      </c>
      <c r="V943" s="5" t="str">
        <f>IFERROR(__xludf.DUMMYFUNCTION("""COMPUTED_VALUE"""),"")</f>
        <v/>
      </c>
      <c r="W943" s="5" t="str">
        <f>IFERROR(__xludf.DUMMYFUNCTION("""COMPUTED_VALUE"""),"")</f>
        <v/>
      </c>
      <c r="X943" s="5" t="str">
        <f>IFERROR(__xludf.DUMMYFUNCTION("""COMPUTED_VALUE"""),"")</f>
        <v/>
      </c>
      <c r="Y943" s="5"/>
      <c r="Z943" s="5"/>
    </row>
    <row r="944">
      <c r="A944" s="5"/>
      <c r="B944" s="5" t="str">
        <f>IFERROR(__xludf.DUMMYFUNCTION("""COMPUTED_VALUE"""),"")</f>
        <v/>
      </c>
      <c r="C944" s="5" t="str">
        <f>IFERROR(__xludf.DUMMYFUNCTION("""COMPUTED_VALUE"""),"")</f>
        <v/>
      </c>
      <c r="D944" s="5" t="str">
        <f>IFERROR(__xludf.DUMMYFUNCTION("""COMPUTED_VALUE"""),"")</f>
        <v/>
      </c>
      <c r="E944" s="5" t="str">
        <f>IFERROR(__xludf.DUMMYFUNCTION("""COMPUTED_VALUE"""),"")</f>
        <v/>
      </c>
      <c r="F944" s="5" t="str">
        <f>IFERROR(__xludf.DUMMYFUNCTION("""COMPUTED_VALUE"""),"")</f>
        <v/>
      </c>
      <c r="G944" s="5" t="str">
        <f>IFERROR(__xludf.DUMMYFUNCTION("""COMPUTED_VALUE"""),"")</f>
        <v/>
      </c>
      <c r="H944" s="5" t="str">
        <f>IFERROR(__xludf.DUMMYFUNCTION("""COMPUTED_VALUE"""),"")</f>
        <v/>
      </c>
      <c r="I944" s="5" t="str">
        <f>IFERROR(__xludf.DUMMYFUNCTION("""COMPUTED_VALUE"""),"")</f>
        <v/>
      </c>
      <c r="J944" s="5" t="str">
        <f>IFERROR(__xludf.DUMMYFUNCTION("""COMPUTED_VALUE"""),"")</f>
        <v/>
      </c>
      <c r="K944" s="5" t="str">
        <f>IFERROR(__xludf.DUMMYFUNCTION("""COMPUTED_VALUE"""),"")</f>
        <v/>
      </c>
      <c r="L944" s="5" t="str">
        <f>IFERROR(__xludf.DUMMYFUNCTION("""COMPUTED_VALUE"""),"")</f>
        <v/>
      </c>
      <c r="M944" s="5" t="str">
        <f>IFERROR(__xludf.DUMMYFUNCTION("""COMPUTED_VALUE"""),"")</f>
        <v/>
      </c>
      <c r="N944" s="5" t="str">
        <f>IFERROR(__xludf.DUMMYFUNCTION("""COMPUTED_VALUE"""),"")</f>
        <v/>
      </c>
      <c r="O944" s="5" t="str">
        <f>IFERROR(__xludf.DUMMYFUNCTION("""COMPUTED_VALUE"""),"")</f>
        <v/>
      </c>
      <c r="P944" s="5" t="str">
        <f>IFERROR(__xludf.DUMMYFUNCTION("""COMPUTED_VALUE"""),"")</f>
        <v/>
      </c>
      <c r="Q944" s="5" t="str">
        <f>IFERROR(__xludf.DUMMYFUNCTION("""COMPUTED_VALUE"""),"")</f>
        <v/>
      </c>
      <c r="R944" s="5" t="str">
        <f>IFERROR(__xludf.DUMMYFUNCTION("""COMPUTED_VALUE"""),"")</f>
        <v/>
      </c>
      <c r="S944" s="5" t="str">
        <f>IFERROR(__xludf.DUMMYFUNCTION("""COMPUTED_VALUE"""),"")</f>
        <v/>
      </c>
      <c r="T944" s="5" t="str">
        <f>IFERROR(__xludf.DUMMYFUNCTION("""COMPUTED_VALUE"""),"")</f>
        <v/>
      </c>
      <c r="U944" s="5" t="str">
        <f>IFERROR(__xludf.DUMMYFUNCTION("""COMPUTED_VALUE"""),"")</f>
        <v/>
      </c>
      <c r="V944" s="5" t="str">
        <f>IFERROR(__xludf.DUMMYFUNCTION("""COMPUTED_VALUE"""),"")</f>
        <v/>
      </c>
      <c r="W944" s="5" t="str">
        <f>IFERROR(__xludf.DUMMYFUNCTION("""COMPUTED_VALUE"""),"")</f>
        <v/>
      </c>
      <c r="X944" s="5" t="str">
        <f>IFERROR(__xludf.DUMMYFUNCTION("""COMPUTED_VALUE"""),"")</f>
        <v/>
      </c>
      <c r="Y944" s="5"/>
      <c r="Z944" s="5"/>
    </row>
    <row r="945">
      <c r="A945" s="5"/>
      <c r="B945" s="5" t="str">
        <f>IFERROR(__xludf.DUMMYFUNCTION("""COMPUTED_VALUE"""),"")</f>
        <v/>
      </c>
      <c r="C945" s="5" t="str">
        <f>IFERROR(__xludf.DUMMYFUNCTION("""COMPUTED_VALUE"""),"")</f>
        <v/>
      </c>
      <c r="D945" s="5" t="str">
        <f>IFERROR(__xludf.DUMMYFUNCTION("""COMPUTED_VALUE"""),"")</f>
        <v/>
      </c>
      <c r="E945" s="5" t="str">
        <f>IFERROR(__xludf.DUMMYFUNCTION("""COMPUTED_VALUE"""),"")</f>
        <v/>
      </c>
      <c r="F945" s="5" t="str">
        <f>IFERROR(__xludf.DUMMYFUNCTION("""COMPUTED_VALUE"""),"")</f>
        <v/>
      </c>
      <c r="G945" s="5" t="str">
        <f>IFERROR(__xludf.DUMMYFUNCTION("""COMPUTED_VALUE"""),"")</f>
        <v/>
      </c>
      <c r="H945" s="5" t="str">
        <f>IFERROR(__xludf.DUMMYFUNCTION("""COMPUTED_VALUE"""),"")</f>
        <v/>
      </c>
      <c r="I945" s="5" t="str">
        <f>IFERROR(__xludf.DUMMYFUNCTION("""COMPUTED_VALUE"""),"")</f>
        <v/>
      </c>
      <c r="J945" s="5" t="str">
        <f>IFERROR(__xludf.DUMMYFUNCTION("""COMPUTED_VALUE"""),"")</f>
        <v/>
      </c>
      <c r="K945" s="5" t="str">
        <f>IFERROR(__xludf.DUMMYFUNCTION("""COMPUTED_VALUE"""),"")</f>
        <v/>
      </c>
      <c r="L945" s="5" t="str">
        <f>IFERROR(__xludf.DUMMYFUNCTION("""COMPUTED_VALUE"""),"")</f>
        <v/>
      </c>
      <c r="M945" s="5" t="str">
        <f>IFERROR(__xludf.DUMMYFUNCTION("""COMPUTED_VALUE"""),"")</f>
        <v/>
      </c>
      <c r="N945" s="5" t="str">
        <f>IFERROR(__xludf.DUMMYFUNCTION("""COMPUTED_VALUE"""),"")</f>
        <v/>
      </c>
      <c r="O945" s="5" t="str">
        <f>IFERROR(__xludf.DUMMYFUNCTION("""COMPUTED_VALUE"""),"")</f>
        <v/>
      </c>
      <c r="P945" s="5" t="str">
        <f>IFERROR(__xludf.DUMMYFUNCTION("""COMPUTED_VALUE"""),"")</f>
        <v/>
      </c>
      <c r="Q945" s="5" t="str">
        <f>IFERROR(__xludf.DUMMYFUNCTION("""COMPUTED_VALUE"""),"")</f>
        <v/>
      </c>
      <c r="R945" s="5" t="str">
        <f>IFERROR(__xludf.DUMMYFUNCTION("""COMPUTED_VALUE"""),"")</f>
        <v/>
      </c>
      <c r="S945" s="5" t="str">
        <f>IFERROR(__xludf.DUMMYFUNCTION("""COMPUTED_VALUE"""),"")</f>
        <v/>
      </c>
      <c r="T945" s="5" t="str">
        <f>IFERROR(__xludf.DUMMYFUNCTION("""COMPUTED_VALUE"""),"")</f>
        <v/>
      </c>
      <c r="U945" s="5" t="str">
        <f>IFERROR(__xludf.DUMMYFUNCTION("""COMPUTED_VALUE"""),"")</f>
        <v/>
      </c>
      <c r="V945" s="5" t="str">
        <f>IFERROR(__xludf.DUMMYFUNCTION("""COMPUTED_VALUE"""),"")</f>
        <v/>
      </c>
      <c r="W945" s="5" t="str">
        <f>IFERROR(__xludf.DUMMYFUNCTION("""COMPUTED_VALUE"""),"")</f>
        <v/>
      </c>
      <c r="X945" s="5" t="str">
        <f>IFERROR(__xludf.DUMMYFUNCTION("""COMPUTED_VALUE"""),"")</f>
        <v/>
      </c>
      <c r="Y945" s="5"/>
      <c r="Z945" s="5"/>
    </row>
    <row r="946">
      <c r="A946" s="5"/>
      <c r="B946" s="5" t="str">
        <f>IFERROR(__xludf.DUMMYFUNCTION("""COMPUTED_VALUE"""),"")</f>
        <v/>
      </c>
      <c r="C946" s="5" t="str">
        <f>IFERROR(__xludf.DUMMYFUNCTION("""COMPUTED_VALUE"""),"")</f>
        <v/>
      </c>
      <c r="D946" s="5" t="str">
        <f>IFERROR(__xludf.DUMMYFUNCTION("""COMPUTED_VALUE"""),"")</f>
        <v/>
      </c>
      <c r="E946" s="5" t="str">
        <f>IFERROR(__xludf.DUMMYFUNCTION("""COMPUTED_VALUE"""),"")</f>
        <v/>
      </c>
      <c r="F946" s="5" t="str">
        <f>IFERROR(__xludf.DUMMYFUNCTION("""COMPUTED_VALUE"""),"")</f>
        <v/>
      </c>
      <c r="G946" s="5" t="str">
        <f>IFERROR(__xludf.DUMMYFUNCTION("""COMPUTED_VALUE"""),"")</f>
        <v/>
      </c>
      <c r="H946" s="5" t="str">
        <f>IFERROR(__xludf.DUMMYFUNCTION("""COMPUTED_VALUE"""),"")</f>
        <v/>
      </c>
      <c r="I946" s="5" t="str">
        <f>IFERROR(__xludf.DUMMYFUNCTION("""COMPUTED_VALUE"""),"")</f>
        <v/>
      </c>
      <c r="J946" s="5" t="str">
        <f>IFERROR(__xludf.DUMMYFUNCTION("""COMPUTED_VALUE"""),"")</f>
        <v/>
      </c>
      <c r="K946" s="5" t="str">
        <f>IFERROR(__xludf.DUMMYFUNCTION("""COMPUTED_VALUE"""),"")</f>
        <v/>
      </c>
      <c r="L946" s="5" t="str">
        <f>IFERROR(__xludf.DUMMYFUNCTION("""COMPUTED_VALUE"""),"")</f>
        <v/>
      </c>
      <c r="M946" s="5" t="str">
        <f>IFERROR(__xludf.DUMMYFUNCTION("""COMPUTED_VALUE"""),"")</f>
        <v/>
      </c>
      <c r="N946" s="5" t="str">
        <f>IFERROR(__xludf.DUMMYFUNCTION("""COMPUTED_VALUE"""),"")</f>
        <v/>
      </c>
      <c r="O946" s="5" t="str">
        <f>IFERROR(__xludf.DUMMYFUNCTION("""COMPUTED_VALUE"""),"")</f>
        <v/>
      </c>
      <c r="P946" s="5" t="str">
        <f>IFERROR(__xludf.DUMMYFUNCTION("""COMPUTED_VALUE"""),"")</f>
        <v/>
      </c>
      <c r="Q946" s="5" t="str">
        <f>IFERROR(__xludf.DUMMYFUNCTION("""COMPUTED_VALUE"""),"")</f>
        <v/>
      </c>
      <c r="R946" s="5" t="str">
        <f>IFERROR(__xludf.DUMMYFUNCTION("""COMPUTED_VALUE"""),"")</f>
        <v/>
      </c>
      <c r="S946" s="5" t="str">
        <f>IFERROR(__xludf.DUMMYFUNCTION("""COMPUTED_VALUE"""),"")</f>
        <v/>
      </c>
      <c r="T946" s="5" t="str">
        <f>IFERROR(__xludf.DUMMYFUNCTION("""COMPUTED_VALUE"""),"")</f>
        <v/>
      </c>
      <c r="U946" s="5" t="str">
        <f>IFERROR(__xludf.DUMMYFUNCTION("""COMPUTED_VALUE"""),"")</f>
        <v/>
      </c>
      <c r="V946" s="5" t="str">
        <f>IFERROR(__xludf.DUMMYFUNCTION("""COMPUTED_VALUE"""),"")</f>
        <v/>
      </c>
      <c r="W946" s="5" t="str">
        <f>IFERROR(__xludf.DUMMYFUNCTION("""COMPUTED_VALUE"""),"")</f>
        <v/>
      </c>
      <c r="X946" s="5" t="str">
        <f>IFERROR(__xludf.DUMMYFUNCTION("""COMPUTED_VALUE"""),"")</f>
        <v/>
      </c>
      <c r="Y946" s="5"/>
      <c r="Z946" s="5"/>
    </row>
    <row r="947">
      <c r="A947" s="5"/>
      <c r="B947" s="5" t="str">
        <f>IFERROR(__xludf.DUMMYFUNCTION("""COMPUTED_VALUE"""),"")</f>
        <v/>
      </c>
      <c r="C947" s="5" t="str">
        <f>IFERROR(__xludf.DUMMYFUNCTION("""COMPUTED_VALUE"""),"")</f>
        <v/>
      </c>
      <c r="D947" s="5" t="str">
        <f>IFERROR(__xludf.DUMMYFUNCTION("""COMPUTED_VALUE"""),"")</f>
        <v/>
      </c>
      <c r="E947" s="5" t="str">
        <f>IFERROR(__xludf.DUMMYFUNCTION("""COMPUTED_VALUE"""),"")</f>
        <v/>
      </c>
      <c r="F947" s="5" t="str">
        <f>IFERROR(__xludf.DUMMYFUNCTION("""COMPUTED_VALUE"""),"")</f>
        <v/>
      </c>
      <c r="G947" s="5" t="str">
        <f>IFERROR(__xludf.DUMMYFUNCTION("""COMPUTED_VALUE"""),"")</f>
        <v/>
      </c>
      <c r="H947" s="5" t="str">
        <f>IFERROR(__xludf.DUMMYFUNCTION("""COMPUTED_VALUE"""),"")</f>
        <v/>
      </c>
      <c r="I947" s="5" t="str">
        <f>IFERROR(__xludf.DUMMYFUNCTION("""COMPUTED_VALUE"""),"")</f>
        <v/>
      </c>
      <c r="J947" s="5" t="str">
        <f>IFERROR(__xludf.DUMMYFUNCTION("""COMPUTED_VALUE"""),"")</f>
        <v/>
      </c>
      <c r="K947" s="5" t="str">
        <f>IFERROR(__xludf.DUMMYFUNCTION("""COMPUTED_VALUE"""),"")</f>
        <v/>
      </c>
      <c r="L947" s="5" t="str">
        <f>IFERROR(__xludf.DUMMYFUNCTION("""COMPUTED_VALUE"""),"")</f>
        <v/>
      </c>
      <c r="M947" s="5" t="str">
        <f>IFERROR(__xludf.DUMMYFUNCTION("""COMPUTED_VALUE"""),"")</f>
        <v/>
      </c>
      <c r="N947" s="5" t="str">
        <f>IFERROR(__xludf.DUMMYFUNCTION("""COMPUTED_VALUE"""),"")</f>
        <v/>
      </c>
      <c r="O947" s="5" t="str">
        <f>IFERROR(__xludf.DUMMYFUNCTION("""COMPUTED_VALUE"""),"")</f>
        <v/>
      </c>
      <c r="P947" s="5" t="str">
        <f>IFERROR(__xludf.DUMMYFUNCTION("""COMPUTED_VALUE"""),"")</f>
        <v/>
      </c>
      <c r="Q947" s="5" t="str">
        <f>IFERROR(__xludf.DUMMYFUNCTION("""COMPUTED_VALUE"""),"")</f>
        <v/>
      </c>
      <c r="R947" s="5" t="str">
        <f>IFERROR(__xludf.DUMMYFUNCTION("""COMPUTED_VALUE"""),"")</f>
        <v/>
      </c>
      <c r="S947" s="5" t="str">
        <f>IFERROR(__xludf.DUMMYFUNCTION("""COMPUTED_VALUE"""),"")</f>
        <v/>
      </c>
      <c r="T947" s="5" t="str">
        <f>IFERROR(__xludf.DUMMYFUNCTION("""COMPUTED_VALUE"""),"")</f>
        <v/>
      </c>
      <c r="U947" s="5" t="str">
        <f>IFERROR(__xludf.DUMMYFUNCTION("""COMPUTED_VALUE"""),"")</f>
        <v/>
      </c>
      <c r="V947" s="5" t="str">
        <f>IFERROR(__xludf.DUMMYFUNCTION("""COMPUTED_VALUE"""),"")</f>
        <v/>
      </c>
      <c r="W947" s="5" t="str">
        <f>IFERROR(__xludf.DUMMYFUNCTION("""COMPUTED_VALUE"""),"")</f>
        <v/>
      </c>
      <c r="X947" s="5" t="str">
        <f>IFERROR(__xludf.DUMMYFUNCTION("""COMPUTED_VALUE"""),"")</f>
        <v/>
      </c>
      <c r="Y947" s="5"/>
      <c r="Z947" s="5"/>
    </row>
    <row r="948">
      <c r="A948" s="5"/>
      <c r="B948" s="5" t="str">
        <f>IFERROR(__xludf.DUMMYFUNCTION("""COMPUTED_VALUE"""),"")</f>
        <v/>
      </c>
      <c r="C948" s="5" t="str">
        <f>IFERROR(__xludf.DUMMYFUNCTION("""COMPUTED_VALUE"""),"")</f>
        <v/>
      </c>
      <c r="D948" s="5" t="str">
        <f>IFERROR(__xludf.DUMMYFUNCTION("""COMPUTED_VALUE"""),"")</f>
        <v/>
      </c>
      <c r="E948" s="5" t="str">
        <f>IFERROR(__xludf.DUMMYFUNCTION("""COMPUTED_VALUE"""),"")</f>
        <v/>
      </c>
      <c r="F948" s="5" t="str">
        <f>IFERROR(__xludf.DUMMYFUNCTION("""COMPUTED_VALUE"""),"")</f>
        <v/>
      </c>
      <c r="G948" s="5" t="str">
        <f>IFERROR(__xludf.DUMMYFUNCTION("""COMPUTED_VALUE"""),"")</f>
        <v/>
      </c>
      <c r="H948" s="5" t="str">
        <f>IFERROR(__xludf.DUMMYFUNCTION("""COMPUTED_VALUE"""),"")</f>
        <v/>
      </c>
      <c r="I948" s="5" t="str">
        <f>IFERROR(__xludf.DUMMYFUNCTION("""COMPUTED_VALUE"""),"")</f>
        <v/>
      </c>
      <c r="J948" s="5" t="str">
        <f>IFERROR(__xludf.DUMMYFUNCTION("""COMPUTED_VALUE"""),"")</f>
        <v/>
      </c>
      <c r="K948" s="5" t="str">
        <f>IFERROR(__xludf.DUMMYFUNCTION("""COMPUTED_VALUE"""),"")</f>
        <v/>
      </c>
      <c r="L948" s="5" t="str">
        <f>IFERROR(__xludf.DUMMYFUNCTION("""COMPUTED_VALUE"""),"")</f>
        <v/>
      </c>
      <c r="M948" s="5" t="str">
        <f>IFERROR(__xludf.DUMMYFUNCTION("""COMPUTED_VALUE"""),"")</f>
        <v/>
      </c>
      <c r="N948" s="5" t="str">
        <f>IFERROR(__xludf.DUMMYFUNCTION("""COMPUTED_VALUE"""),"")</f>
        <v/>
      </c>
      <c r="O948" s="5" t="str">
        <f>IFERROR(__xludf.DUMMYFUNCTION("""COMPUTED_VALUE"""),"")</f>
        <v/>
      </c>
      <c r="P948" s="5" t="str">
        <f>IFERROR(__xludf.DUMMYFUNCTION("""COMPUTED_VALUE"""),"")</f>
        <v/>
      </c>
      <c r="Q948" s="5" t="str">
        <f>IFERROR(__xludf.DUMMYFUNCTION("""COMPUTED_VALUE"""),"")</f>
        <v/>
      </c>
      <c r="R948" s="5" t="str">
        <f>IFERROR(__xludf.DUMMYFUNCTION("""COMPUTED_VALUE"""),"")</f>
        <v/>
      </c>
      <c r="S948" s="5" t="str">
        <f>IFERROR(__xludf.DUMMYFUNCTION("""COMPUTED_VALUE"""),"")</f>
        <v/>
      </c>
      <c r="T948" s="5" t="str">
        <f>IFERROR(__xludf.DUMMYFUNCTION("""COMPUTED_VALUE"""),"")</f>
        <v/>
      </c>
      <c r="U948" s="5" t="str">
        <f>IFERROR(__xludf.DUMMYFUNCTION("""COMPUTED_VALUE"""),"")</f>
        <v/>
      </c>
      <c r="V948" s="5" t="str">
        <f>IFERROR(__xludf.DUMMYFUNCTION("""COMPUTED_VALUE"""),"")</f>
        <v/>
      </c>
      <c r="W948" s="5" t="str">
        <f>IFERROR(__xludf.DUMMYFUNCTION("""COMPUTED_VALUE"""),"")</f>
        <v/>
      </c>
      <c r="X948" s="5" t="str">
        <f>IFERROR(__xludf.DUMMYFUNCTION("""COMPUTED_VALUE"""),"")</f>
        <v/>
      </c>
      <c r="Y948" s="5"/>
      <c r="Z948" s="5"/>
    </row>
    <row r="949">
      <c r="A949" s="5"/>
      <c r="B949" s="5" t="str">
        <f>IFERROR(__xludf.DUMMYFUNCTION("""COMPUTED_VALUE"""),"")</f>
        <v/>
      </c>
      <c r="C949" s="5" t="str">
        <f>IFERROR(__xludf.DUMMYFUNCTION("""COMPUTED_VALUE"""),"")</f>
        <v/>
      </c>
      <c r="D949" s="5" t="str">
        <f>IFERROR(__xludf.DUMMYFUNCTION("""COMPUTED_VALUE"""),"")</f>
        <v/>
      </c>
      <c r="E949" s="5" t="str">
        <f>IFERROR(__xludf.DUMMYFUNCTION("""COMPUTED_VALUE"""),"")</f>
        <v/>
      </c>
      <c r="F949" s="5" t="str">
        <f>IFERROR(__xludf.DUMMYFUNCTION("""COMPUTED_VALUE"""),"")</f>
        <v/>
      </c>
      <c r="G949" s="5" t="str">
        <f>IFERROR(__xludf.DUMMYFUNCTION("""COMPUTED_VALUE"""),"")</f>
        <v/>
      </c>
      <c r="H949" s="5" t="str">
        <f>IFERROR(__xludf.DUMMYFUNCTION("""COMPUTED_VALUE"""),"")</f>
        <v/>
      </c>
      <c r="I949" s="5" t="str">
        <f>IFERROR(__xludf.DUMMYFUNCTION("""COMPUTED_VALUE"""),"")</f>
        <v/>
      </c>
      <c r="J949" s="5" t="str">
        <f>IFERROR(__xludf.DUMMYFUNCTION("""COMPUTED_VALUE"""),"")</f>
        <v/>
      </c>
      <c r="K949" s="5" t="str">
        <f>IFERROR(__xludf.DUMMYFUNCTION("""COMPUTED_VALUE"""),"")</f>
        <v/>
      </c>
      <c r="L949" s="5" t="str">
        <f>IFERROR(__xludf.DUMMYFUNCTION("""COMPUTED_VALUE"""),"")</f>
        <v/>
      </c>
      <c r="M949" s="5" t="str">
        <f>IFERROR(__xludf.DUMMYFUNCTION("""COMPUTED_VALUE"""),"")</f>
        <v/>
      </c>
      <c r="N949" s="5" t="str">
        <f>IFERROR(__xludf.DUMMYFUNCTION("""COMPUTED_VALUE"""),"")</f>
        <v/>
      </c>
      <c r="O949" s="5" t="str">
        <f>IFERROR(__xludf.DUMMYFUNCTION("""COMPUTED_VALUE"""),"")</f>
        <v/>
      </c>
      <c r="P949" s="5" t="str">
        <f>IFERROR(__xludf.DUMMYFUNCTION("""COMPUTED_VALUE"""),"")</f>
        <v/>
      </c>
      <c r="Q949" s="5" t="str">
        <f>IFERROR(__xludf.DUMMYFUNCTION("""COMPUTED_VALUE"""),"")</f>
        <v/>
      </c>
      <c r="R949" s="5" t="str">
        <f>IFERROR(__xludf.DUMMYFUNCTION("""COMPUTED_VALUE"""),"")</f>
        <v/>
      </c>
      <c r="S949" s="5" t="str">
        <f>IFERROR(__xludf.DUMMYFUNCTION("""COMPUTED_VALUE"""),"")</f>
        <v/>
      </c>
      <c r="T949" s="5" t="str">
        <f>IFERROR(__xludf.DUMMYFUNCTION("""COMPUTED_VALUE"""),"")</f>
        <v/>
      </c>
      <c r="U949" s="5" t="str">
        <f>IFERROR(__xludf.DUMMYFUNCTION("""COMPUTED_VALUE"""),"")</f>
        <v/>
      </c>
      <c r="V949" s="5" t="str">
        <f>IFERROR(__xludf.DUMMYFUNCTION("""COMPUTED_VALUE"""),"")</f>
        <v/>
      </c>
      <c r="W949" s="5" t="str">
        <f>IFERROR(__xludf.DUMMYFUNCTION("""COMPUTED_VALUE"""),"")</f>
        <v/>
      </c>
      <c r="X949" s="5" t="str">
        <f>IFERROR(__xludf.DUMMYFUNCTION("""COMPUTED_VALUE"""),"")</f>
        <v/>
      </c>
      <c r="Y949" s="5"/>
      <c r="Z949" s="5"/>
    </row>
    <row r="950">
      <c r="A950" s="5"/>
      <c r="B950" s="5" t="str">
        <f>IFERROR(__xludf.DUMMYFUNCTION("""COMPUTED_VALUE"""),"")</f>
        <v/>
      </c>
      <c r="C950" s="5" t="str">
        <f>IFERROR(__xludf.DUMMYFUNCTION("""COMPUTED_VALUE"""),"")</f>
        <v/>
      </c>
      <c r="D950" s="5" t="str">
        <f>IFERROR(__xludf.DUMMYFUNCTION("""COMPUTED_VALUE"""),"")</f>
        <v/>
      </c>
      <c r="E950" s="5" t="str">
        <f>IFERROR(__xludf.DUMMYFUNCTION("""COMPUTED_VALUE"""),"")</f>
        <v/>
      </c>
      <c r="F950" s="5" t="str">
        <f>IFERROR(__xludf.DUMMYFUNCTION("""COMPUTED_VALUE"""),"")</f>
        <v/>
      </c>
      <c r="G950" s="5" t="str">
        <f>IFERROR(__xludf.DUMMYFUNCTION("""COMPUTED_VALUE"""),"")</f>
        <v/>
      </c>
      <c r="H950" s="5" t="str">
        <f>IFERROR(__xludf.DUMMYFUNCTION("""COMPUTED_VALUE"""),"")</f>
        <v/>
      </c>
      <c r="I950" s="5" t="str">
        <f>IFERROR(__xludf.DUMMYFUNCTION("""COMPUTED_VALUE"""),"")</f>
        <v/>
      </c>
      <c r="J950" s="5" t="str">
        <f>IFERROR(__xludf.DUMMYFUNCTION("""COMPUTED_VALUE"""),"")</f>
        <v/>
      </c>
      <c r="K950" s="5" t="str">
        <f>IFERROR(__xludf.DUMMYFUNCTION("""COMPUTED_VALUE"""),"")</f>
        <v/>
      </c>
      <c r="L950" s="5" t="str">
        <f>IFERROR(__xludf.DUMMYFUNCTION("""COMPUTED_VALUE"""),"")</f>
        <v/>
      </c>
      <c r="M950" s="5" t="str">
        <f>IFERROR(__xludf.DUMMYFUNCTION("""COMPUTED_VALUE"""),"")</f>
        <v/>
      </c>
      <c r="N950" s="5" t="str">
        <f>IFERROR(__xludf.DUMMYFUNCTION("""COMPUTED_VALUE"""),"")</f>
        <v/>
      </c>
      <c r="O950" s="5" t="str">
        <f>IFERROR(__xludf.DUMMYFUNCTION("""COMPUTED_VALUE"""),"")</f>
        <v/>
      </c>
      <c r="P950" s="5" t="str">
        <f>IFERROR(__xludf.DUMMYFUNCTION("""COMPUTED_VALUE"""),"")</f>
        <v/>
      </c>
      <c r="Q950" s="5" t="str">
        <f>IFERROR(__xludf.DUMMYFUNCTION("""COMPUTED_VALUE"""),"")</f>
        <v/>
      </c>
      <c r="R950" s="5" t="str">
        <f>IFERROR(__xludf.DUMMYFUNCTION("""COMPUTED_VALUE"""),"")</f>
        <v/>
      </c>
      <c r="S950" s="5" t="str">
        <f>IFERROR(__xludf.DUMMYFUNCTION("""COMPUTED_VALUE"""),"")</f>
        <v/>
      </c>
      <c r="T950" s="5" t="str">
        <f>IFERROR(__xludf.DUMMYFUNCTION("""COMPUTED_VALUE"""),"")</f>
        <v/>
      </c>
      <c r="U950" s="5" t="str">
        <f>IFERROR(__xludf.DUMMYFUNCTION("""COMPUTED_VALUE"""),"")</f>
        <v/>
      </c>
      <c r="V950" s="5" t="str">
        <f>IFERROR(__xludf.DUMMYFUNCTION("""COMPUTED_VALUE"""),"")</f>
        <v/>
      </c>
      <c r="W950" s="5" t="str">
        <f>IFERROR(__xludf.DUMMYFUNCTION("""COMPUTED_VALUE"""),"")</f>
        <v/>
      </c>
      <c r="X950" s="5" t="str">
        <f>IFERROR(__xludf.DUMMYFUNCTION("""COMPUTED_VALUE"""),"")</f>
        <v/>
      </c>
      <c r="Y950" s="5"/>
      <c r="Z950" s="5"/>
    </row>
    <row r="951">
      <c r="A951" s="5"/>
      <c r="B951" s="5" t="str">
        <f>IFERROR(__xludf.DUMMYFUNCTION("""COMPUTED_VALUE"""),"")</f>
        <v/>
      </c>
      <c r="C951" s="5" t="str">
        <f>IFERROR(__xludf.DUMMYFUNCTION("""COMPUTED_VALUE"""),"")</f>
        <v/>
      </c>
      <c r="D951" s="5" t="str">
        <f>IFERROR(__xludf.DUMMYFUNCTION("""COMPUTED_VALUE"""),"")</f>
        <v/>
      </c>
      <c r="E951" s="5" t="str">
        <f>IFERROR(__xludf.DUMMYFUNCTION("""COMPUTED_VALUE"""),"")</f>
        <v/>
      </c>
      <c r="F951" s="5" t="str">
        <f>IFERROR(__xludf.DUMMYFUNCTION("""COMPUTED_VALUE"""),"")</f>
        <v/>
      </c>
      <c r="G951" s="5" t="str">
        <f>IFERROR(__xludf.DUMMYFUNCTION("""COMPUTED_VALUE"""),"")</f>
        <v/>
      </c>
      <c r="H951" s="5" t="str">
        <f>IFERROR(__xludf.DUMMYFUNCTION("""COMPUTED_VALUE"""),"")</f>
        <v/>
      </c>
      <c r="I951" s="5" t="str">
        <f>IFERROR(__xludf.DUMMYFUNCTION("""COMPUTED_VALUE"""),"")</f>
        <v/>
      </c>
      <c r="J951" s="5" t="str">
        <f>IFERROR(__xludf.DUMMYFUNCTION("""COMPUTED_VALUE"""),"")</f>
        <v/>
      </c>
      <c r="K951" s="5" t="str">
        <f>IFERROR(__xludf.DUMMYFUNCTION("""COMPUTED_VALUE"""),"")</f>
        <v/>
      </c>
      <c r="L951" s="5" t="str">
        <f>IFERROR(__xludf.DUMMYFUNCTION("""COMPUTED_VALUE"""),"")</f>
        <v/>
      </c>
      <c r="M951" s="5" t="str">
        <f>IFERROR(__xludf.DUMMYFUNCTION("""COMPUTED_VALUE"""),"")</f>
        <v/>
      </c>
      <c r="N951" s="5" t="str">
        <f>IFERROR(__xludf.DUMMYFUNCTION("""COMPUTED_VALUE"""),"")</f>
        <v/>
      </c>
      <c r="O951" s="5" t="str">
        <f>IFERROR(__xludf.DUMMYFUNCTION("""COMPUTED_VALUE"""),"")</f>
        <v/>
      </c>
      <c r="P951" s="5" t="str">
        <f>IFERROR(__xludf.DUMMYFUNCTION("""COMPUTED_VALUE"""),"")</f>
        <v/>
      </c>
      <c r="Q951" s="5" t="str">
        <f>IFERROR(__xludf.DUMMYFUNCTION("""COMPUTED_VALUE"""),"")</f>
        <v/>
      </c>
      <c r="R951" s="5" t="str">
        <f>IFERROR(__xludf.DUMMYFUNCTION("""COMPUTED_VALUE"""),"")</f>
        <v/>
      </c>
      <c r="S951" s="5" t="str">
        <f>IFERROR(__xludf.DUMMYFUNCTION("""COMPUTED_VALUE"""),"")</f>
        <v/>
      </c>
      <c r="T951" s="5" t="str">
        <f>IFERROR(__xludf.DUMMYFUNCTION("""COMPUTED_VALUE"""),"")</f>
        <v/>
      </c>
      <c r="U951" s="5" t="str">
        <f>IFERROR(__xludf.DUMMYFUNCTION("""COMPUTED_VALUE"""),"")</f>
        <v/>
      </c>
      <c r="V951" s="5" t="str">
        <f>IFERROR(__xludf.DUMMYFUNCTION("""COMPUTED_VALUE"""),"")</f>
        <v/>
      </c>
      <c r="W951" s="5" t="str">
        <f>IFERROR(__xludf.DUMMYFUNCTION("""COMPUTED_VALUE"""),"")</f>
        <v/>
      </c>
      <c r="X951" s="5" t="str">
        <f>IFERROR(__xludf.DUMMYFUNCTION("""COMPUTED_VALUE"""),"")</f>
        <v/>
      </c>
      <c r="Y951" s="5"/>
      <c r="Z951" s="5"/>
    </row>
    <row r="952">
      <c r="A952" s="5"/>
      <c r="B952" s="5" t="str">
        <f>IFERROR(__xludf.DUMMYFUNCTION("""COMPUTED_VALUE"""),"")</f>
        <v/>
      </c>
      <c r="C952" s="5" t="str">
        <f>IFERROR(__xludf.DUMMYFUNCTION("""COMPUTED_VALUE"""),"")</f>
        <v/>
      </c>
      <c r="D952" s="5" t="str">
        <f>IFERROR(__xludf.DUMMYFUNCTION("""COMPUTED_VALUE"""),"")</f>
        <v/>
      </c>
      <c r="E952" s="5" t="str">
        <f>IFERROR(__xludf.DUMMYFUNCTION("""COMPUTED_VALUE"""),"")</f>
        <v/>
      </c>
      <c r="F952" s="5" t="str">
        <f>IFERROR(__xludf.DUMMYFUNCTION("""COMPUTED_VALUE"""),"")</f>
        <v/>
      </c>
      <c r="G952" s="5" t="str">
        <f>IFERROR(__xludf.DUMMYFUNCTION("""COMPUTED_VALUE"""),"")</f>
        <v/>
      </c>
      <c r="H952" s="5" t="str">
        <f>IFERROR(__xludf.DUMMYFUNCTION("""COMPUTED_VALUE"""),"")</f>
        <v/>
      </c>
      <c r="I952" s="5" t="str">
        <f>IFERROR(__xludf.DUMMYFUNCTION("""COMPUTED_VALUE"""),"")</f>
        <v/>
      </c>
      <c r="J952" s="5" t="str">
        <f>IFERROR(__xludf.DUMMYFUNCTION("""COMPUTED_VALUE"""),"")</f>
        <v/>
      </c>
      <c r="K952" s="5" t="str">
        <f>IFERROR(__xludf.DUMMYFUNCTION("""COMPUTED_VALUE"""),"")</f>
        <v/>
      </c>
      <c r="L952" s="5" t="str">
        <f>IFERROR(__xludf.DUMMYFUNCTION("""COMPUTED_VALUE"""),"")</f>
        <v/>
      </c>
      <c r="M952" s="5" t="str">
        <f>IFERROR(__xludf.DUMMYFUNCTION("""COMPUTED_VALUE"""),"")</f>
        <v/>
      </c>
      <c r="N952" s="5" t="str">
        <f>IFERROR(__xludf.DUMMYFUNCTION("""COMPUTED_VALUE"""),"")</f>
        <v/>
      </c>
      <c r="O952" s="5" t="str">
        <f>IFERROR(__xludf.DUMMYFUNCTION("""COMPUTED_VALUE"""),"")</f>
        <v/>
      </c>
      <c r="P952" s="5" t="str">
        <f>IFERROR(__xludf.DUMMYFUNCTION("""COMPUTED_VALUE"""),"")</f>
        <v/>
      </c>
      <c r="Q952" s="5" t="str">
        <f>IFERROR(__xludf.DUMMYFUNCTION("""COMPUTED_VALUE"""),"")</f>
        <v/>
      </c>
      <c r="R952" s="5" t="str">
        <f>IFERROR(__xludf.DUMMYFUNCTION("""COMPUTED_VALUE"""),"")</f>
        <v/>
      </c>
      <c r="S952" s="5" t="str">
        <f>IFERROR(__xludf.DUMMYFUNCTION("""COMPUTED_VALUE"""),"")</f>
        <v/>
      </c>
      <c r="T952" s="5" t="str">
        <f>IFERROR(__xludf.DUMMYFUNCTION("""COMPUTED_VALUE"""),"")</f>
        <v/>
      </c>
      <c r="U952" s="5" t="str">
        <f>IFERROR(__xludf.DUMMYFUNCTION("""COMPUTED_VALUE"""),"")</f>
        <v/>
      </c>
      <c r="V952" s="5" t="str">
        <f>IFERROR(__xludf.DUMMYFUNCTION("""COMPUTED_VALUE"""),"")</f>
        <v/>
      </c>
      <c r="W952" s="5" t="str">
        <f>IFERROR(__xludf.DUMMYFUNCTION("""COMPUTED_VALUE"""),"")</f>
        <v/>
      </c>
      <c r="X952" s="5" t="str">
        <f>IFERROR(__xludf.DUMMYFUNCTION("""COMPUTED_VALUE"""),"")</f>
        <v/>
      </c>
      <c r="Y952" s="5"/>
      <c r="Z952" s="5"/>
    </row>
    <row r="953">
      <c r="A953" s="5"/>
      <c r="B953" s="5" t="str">
        <f>IFERROR(__xludf.DUMMYFUNCTION("""COMPUTED_VALUE"""),"")</f>
        <v/>
      </c>
      <c r="C953" s="5" t="str">
        <f>IFERROR(__xludf.DUMMYFUNCTION("""COMPUTED_VALUE"""),"")</f>
        <v/>
      </c>
      <c r="D953" s="5" t="str">
        <f>IFERROR(__xludf.DUMMYFUNCTION("""COMPUTED_VALUE"""),"")</f>
        <v/>
      </c>
      <c r="E953" s="5" t="str">
        <f>IFERROR(__xludf.DUMMYFUNCTION("""COMPUTED_VALUE"""),"")</f>
        <v/>
      </c>
      <c r="F953" s="5" t="str">
        <f>IFERROR(__xludf.DUMMYFUNCTION("""COMPUTED_VALUE"""),"")</f>
        <v/>
      </c>
      <c r="G953" s="5" t="str">
        <f>IFERROR(__xludf.DUMMYFUNCTION("""COMPUTED_VALUE"""),"")</f>
        <v/>
      </c>
      <c r="H953" s="5" t="str">
        <f>IFERROR(__xludf.DUMMYFUNCTION("""COMPUTED_VALUE"""),"")</f>
        <v/>
      </c>
      <c r="I953" s="5" t="str">
        <f>IFERROR(__xludf.DUMMYFUNCTION("""COMPUTED_VALUE"""),"")</f>
        <v/>
      </c>
      <c r="J953" s="5" t="str">
        <f>IFERROR(__xludf.DUMMYFUNCTION("""COMPUTED_VALUE"""),"")</f>
        <v/>
      </c>
      <c r="K953" s="5" t="str">
        <f>IFERROR(__xludf.DUMMYFUNCTION("""COMPUTED_VALUE"""),"")</f>
        <v/>
      </c>
      <c r="L953" s="5" t="str">
        <f>IFERROR(__xludf.DUMMYFUNCTION("""COMPUTED_VALUE"""),"")</f>
        <v/>
      </c>
      <c r="M953" s="5" t="str">
        <f>IFERROR(__xludf.DUMMYFUNCTION("""COMPUTED_VALUE"""),"")</f>
        <v/>
      </c>
      <c r="N953" s="5" t="str">
        <f>IFERROR(__xludf.DUMMYFUNCTION("""COMPUTED_VALUE"""),"")</f>
        <v/>
      </c>
      <c r="O953" s="5" t="str">
        <f>IFERROR(__xludf.DUMMYFUNCTION("""COMPUTED_VALUE"""),"")</f>
        <v/>
      </c>
      <c r="P953" s="5" t="str">
        <f>IFERROR(__xludf.DUMMYFUNCTION("""COMPUTED_VALUE"""),"")</f>
        <v/>
      </c>
      <c r="Q953" s="5" t="str">
        <f>IFERROR(__xludf.DUMMYFUNCTION("""COMPUTED_VALUE"""),"")</f>
        <v/>
      </c>
      <c r="R953" s="5" t="str">
        <f>IFERROR(__xludf.DUMMYFUNCTION("""COMPUTED_VALUE"""),"")</f>
        <v/>
      </c>
      <c r="S953" s="5" t="str">
        <f>IFERROR(__xludf.DUMMYFUNCTION("""COMPUTED_VALUE"""),"")</f>
        <v/>
      </c>
      <c r="T953" s="5" t="str">
        <f>IFERROR(__xludf.DUMMYFUNCTION("""COMPUTED_VALUE"""),"")</f>
        <v/>
      </c>
      <c r="U953" s="5" t="str">
        <f>IFERROR(__xludf.DUMMYFUNCTION("""COMPUTED_VALUE"""),"")</f>
        <v/>
      </c>
      <c r="V953" s="5" t="str">
        <f>IFERROR(__xludf.DUMMYFUNCTION("""COMPUTED_VALUE"""),"")</f>
        <v/>
      </c>
      <c r="W953" s="5" t="str">
        <f>IFERROR(__xludf.DUMMYFUNCTION("""COMPUTED_VALUE"""),"")</f>
        <v/>
      </c>
      <c r="X953" s="5" t="str">
        <f>IFERROR(__xludf.DUMMYFUNCTION("""COMPUTED_VALUE"""),"")</f>
        <v/>
      </c>
      <c r="Y953" s="5"/>
      <c r="Z953" s="5"/>
    </row>
    <row r="954">
      <c r="A954" s="5"/>
      <c r="B954" s="5" t="str">
        <f>IFERROR(__xludf.DUMMYFUNCTION("""COMPUTED_VALUE"""),"")</f>
        <v/>
      </c>
      <c r="C954" s="5" t="str">
        <f>IFERROR(__xludf.DUMMYFUNCTION("""COMPUTED_VALUE"""),"")</f>
        <v/>
      </c>
      <c r="D954" s="5" t="str">
        <f>IFERROR(__xludf.DUMMYFUNCTION("""COMPUTED_VALUE"""),"")</f>
        <v/>
      </c>
      <c r="E954" s="5" t="str">
        <f>IFERROR(__xludf.DUMMYFUNCTION("""COMPUTED_VALUE"""),"")</f>
        <v/>
      </c>
      <c r="F954" s="5" t="str">
        <f>IFERROR(__xludf.DUMMYFUNCTION("""COMPUTED_VALUE"""),"")</f>
        <v/>
      </c>
      <c r="G954" s="5" t="str">
        <f>IFERROR(__xludf.DUMMYFUNCTION("""COMPUTED_VALUE"""),"")</f>
        <v/>
      </c>
      <c r="H954" s="5" t="str">
        <f>IFERROR(__xludf.DUMMYFUNCTION("""COMPUTED_VALUE"""),"")</f>
        <v/>
      </c>
      <c r="I954" s="5" t="str">
        <f>IFERROR(__xludf.DUMMYFUNCTION("""COMPUTED_VALUE"""),"")</f>
        <v/>
      </c>
      <c r="J954" s="5" t="str">
        <f>IFERROR(__xludf.DUMMYFUNCTION("""COMPUTED_VALUE"""),"")</f>
        <v/>
      </c>
      <c r="K954" s="5" t="str">
        <f>IFERROR(__xludf.DUMMYFUNCTION("""COMPUTED_VALUE"""),"")</f>
        <v/>
      </c>
      <c r="L954" s="5" t="str">
        <f>IFERROR(__xludf.DUMMYFUNCTION("""COMPUTED_VALUE"""),"")</f>
        <v/>
      </c>
      <c r="M954" s="5" t="str">
        <f>IFERROR(__xludf.DUMMYFUNCTION("""COMPUTED_VALUE"""),"")</f>
        <v/>
      </c>
      <c r="N954" s="5" t="str">
        <f>IFERROR(__xludf.DUMMYFUNCTION("""COMPUTED_VALUE"""),"")</f>
        <v/>
      </c>
      <c r="O954" s="5" t="str">
        <f>IFERROR(__xludf.DUMMYFUNCTION("""COMPUTED_VALUE"""),"")</f>
        <v/>
      </c>
      <c r="P954" s="5" t="str">
        <f>IFERROR(__xludf.DUMMYFUNCTION("""COMPUTED_VALUE"""),"")</f>
        <v/>
      </c>
      <c r="Q954" s="5" t="str">
        <f>IFERROR(__xludf.DUMMYFUNCTION("""COMPUTED_VALUE"""),"")</f>
        <v/>
      </c>
      <c r="R954" s="5" t="str">
        <f>IFERROR(__xludf.DUMMYFUNCTION("""COMPUTED_VALUE"""),"")</f>
        <v/>
      </c>
      <c r="S954" s="5" t="str">
        <f>IFERROR(__xludf.DUMMYFUNCTION("""COMPUTED_VALUE"""),"")</f>
        <v/>
      </c>
      <c r="T954" s="5" t="str">
        <f>IFERROR(__xludf.DUMMYFUNCTION("""COMPUTED_VALUE"""),"")</f>
        <v/>
      </c>
      <c r="U954" s="5" t="str">
        <f>IFERROR(__xludf.DUMMYFUNCTION("""COMPUTED_VALUE"""),"")</f>
        <v/>
      </c>
      <c r="V954" s="5" t="str">
        <f>IFERROR(__xludf.DUMMYFUNCTION("""COMPUTED_VALUE"""),"")</f>
        <v/>
      </c>
      <c r="W954" s="5" t="str">
        <f>IFERROR(__xludf.DUMMYFUNCTION("""COMPUTED_VALUE"""),"")</f>
        <v/>
      </c>
      <c r="X954" s="5" t="str">
        <f>IFERROR(__xludf.DUMMYFUNCTION("""COMPUTED_VALUE"""),"")</f>
        <v/>
      </c>
      <c r="Y954" s="5"/>
      <c r="Z954" s="5"/>
    </row>
    <row r="955">
      <c r="A955" s="5"/>
      <c r="B955" s="5" t="str">
        <f>IFERROR(__xludf.DUMMYFUNCTION("""COMPUTED_VALUE"""),"")</f>
        <v/>
      </c>
      <c r="C955" s="5" t="str">
        <f>IFERROR(__xludf.DUMMYFUNCTION("""COMPUTED_VALUE"""),"")</f>
        <v/>
      </c>
      <c r="D955" s="5" t="str">
        <f>IFERROR(__xludf.DUMMYFUNCTION("""COMPUTED_VALUE"""),"")</f>
        <v/>
      </c>
      <c r="E955" s="5" t="str">
        <f>IFERROR(__xludf.DUMMYFUNCTION("""COMPUTED_VALUE"""),"")</f>
        <v/>
      </c>
      <c r="F955" s="5" t="str">
        <f>IFERROR(__xludf.DUMMYFUNCTION("""COMPUTED_VALUE"""),"")</f>
        <v/>
      </c>
      <c r="G955" s="5" t="str">
        <f>IFERROR(__xludf.DUMMYFUNCTION("""COMPUTED_VALUE"""),"")</f>
        <v/>
      </c>
      <c r="H955" s="5" t="str">
        <f>IFERROR(__xludf.DUMMYFUNCTION("""COMPUTED_VALUE"""),"")</f>
        <v/>
      </c>
      <c r="I955" s="5" t="str">
        <f>IFERROR(__xludf.DUMMYFUNCTION("""COMPUTED_VALUE"""),"")</f>
        <v/>
      </c>
      <c r="J955" s="5" t="str">
        <f>IFERROR(__xludf.DUMMYFUNCTION("""COMPUTED_VALUE"""),"")</f>
        <v/>
      </c>
      <c r="K955" s="5" t="str">
        <f>IFERROR(__xludf.DUMMYFUNCTION("""COMPUTED_VALUE"""),"")</f>
        <v/>
      </c>
      <c r="L955" s="5" t="str">
        <f>IFERROR(__xludf.DUMMYFUNCTION("""COMPUTED_VALUE"""),"")</f>
        <v/>
      </c>
      <c r="M955" s="5" t="str">
        <f>IFERROR(__xludf.DUMMYFUNCTION("""COMPUTED_VALUE"""),"")</f>
        <v/>
      </c>
      <c r="N955" s="5" t="str">
        <f>IFERROR(__xludf.DUMMYFUNCTION("""COMPUTED_VALUE"""),"")</f>
        <v/>
      </c>
      <c r="O955" s="5" t="str">
        <f>IFERROR(__xludf.DUMMYFUNCTION("""COMPUTED_VALUE"""),"")</f>
        <v/>
      </c>
      <c r="P955" s="5" t="str">
        <f>IFERROR(__xludf.DUMMYFUNCTION("""COMPUTED_VALUE"""),"")</f>
        <v/>
      </c>
      <c r="Q955" s="5" t="str">
        <f>IFERROR(__xludf.DUMMYFUNCTION("""COMPUTED_VALUE"""),"")</f>
        <v/>
      </c>
      <c r="R955" s="5" t="str">
        <f>IFERROR(__xludf.DUMMYFUNCTION("""COMPUTED_VALUE"""),"")</f>
        <v/>
      </c>
      <c r="S955" s="5" t="str">
        <f>IFERROR(__xludf.DUMMYFUNCTION("""COMPUTED_VALUE"""),"")</f>
        <v/>
      </c>
      <c r="T955" s="5" t="str">
        <f>IFERROR(__xludf.DUMMYFUNCTION("""COMPUTED_VALUE"""),"")</f>
        <v/>
      </c>
      <c r="U955" s="5" t="str">
        <f>IFERROR(__xludf.DUMMYFUNCTION("""COMPUTED_VALUE"""),"")</f>
        <v/>
      </c>
      <c r="V955" s="5" t="str">
        <f>IFERROR(__xludf.DUMMYFUNCTION("""COMPUTED_VALUE"""),"")</f>
        <v/>
      </c>
      <c r="W955" s="5" t="str">
        <f>IFERROR(__xludf.DUMMYFUNCTION("""COMPUTED_VALUE"""),"")</f>
        <v/>
      </c>
      <c r="X955" s="5" t="str">
        <f>IFERROR(__xludf.DUMMYFUNCTION("""COMPUTED_VALUE"""),"")</f>
        <v/>
      </c>
      <c r="Y955" s="5"/>
      <c r="Z955" s="5"/>
    </row>
    <row r="956">
      <c r="A956" s="5"/>
      <c r="B956" s="5" t="str">
        <f>IFERROR(__xludf.DUMMYFUNCTION("""COMPUTED_VALUE"""),"")</f>
        <v/>
      </c>
      <c r="C956" s="5" t="str">
        <f>IFERROR(__xludf.DUMMYFUNCTION("""COMPUTED_VALUE"""),"")</f>
        <v/>
      </c>
      <c r="D956" s="5" t="str">
        <f>IFERROR(__xludf.DUMMYFUNCTION("""COMPUTED_VALUE"""),"")</f>
        <v/>
      </c>
      <c r="E956" s="5" t="str">
        <f>IFERROR(__xludf.DUMMYFUNCTION("""COMPUTED_VALUE"""),"")</f>
        <v/>
      </c>
      <c r="F956" s="5" t="str">
        <f>IFERROR(__xludf.DUMMYFUNCTION("""COMPUTED_VALUE"""),"")</f>
        <v/>
      </c>
      <c r="G956" s="5" t="str">
        <f>IFERROR(__xludf.DUMMYFUNCTION("""COMPUTED_VALUE"""),"")</f>
        <v/>
      </c>
      <c r="H956" s="5" t="str">
        <f>IFERROR(__xludf.DUMMYFUNCTION("""COMPUTED_VALUE"""),"")</f>
        <v/>
      </c>
      <c r="I956" s="5" t="str">
        <f>IFERROR(__xludf.DUMMYFUNCTION("""COMPUTED_VALUE"""),"")</f>
        <v/>
      </c>
      <c r="J956" s="5" t="str">
        <f>IFERROR(__xludf.DUMMYFUNCTION("""COMPUTED_VALUE"""),"")</f>
        <v/>
      </c>
      <c r="K956" s="5" t="str">
        <f>IFERROR(__xludf.DUMMYFUNCTION("""COMPUTED_VALUE"""),"")</f>
        <v/>
      </c>
      <c r="L956" s="5" t="str">
        <f>IFERROR(__xludf.DUMMYFUNCTION("""COMPUTED_VALUE"""),"")</f>
        <v/>
      </c>
      <c r="M956" s="5" t="str">
        <f>IFERROR(__xludf.DUMMYFUNCTION("""COMPUTED_VALUE"""),"")</f>
        <v/>
      </c>
      <c r="N956" s="5" t="str">
        <f>IFERROR(__xludf.DUMMYFUNCTION("""COMPUTED_VALUE"""),"")</f>
        <v/>
      </c>
      <c r="O956" s="5" t="str">
        <f>IFERROR(__xludf.DUMMYFUNCTION("""COMPUTED_VALUE"""),"")</f>
        <v/>
      </c>
      <c r="P956" s="5" t="str">
        <f>IFERROR(__xludf.DUMMYFUNCTION("""COMPUTED_VALUE"""),"")</f>
        <v/>
      </c>
      <c r="Q956" s="5" t="str">
        <f>IFERROR(__xludf.DUMMYFUNCTION("""COMPUTED_VALUE"""),"")</f>
        <v/>
      </c>
      <c r="R956" s="5" t="str">
        <f>IFERROR(__xludf.DUMMYFUNCTION("""COMPUTED_VALUE"""),"")</f>
        <v/>
      </c>
      <c r="S956" s="5" t="str">
        <f>IFERROR(__xludf.DUMMYFUNCTION("""COMPUTED_VALUE"""),"")</f>
        <v/>
      </c>
      <c r="T956" s="5" t="str">
        <f>IFERROR(__xludf.DUMMYFUNCTION("""COMPUTED_VALUE"""),"")</f>
        <v/>
      </c>
      <c r="U956" s="5" t="str">
        <f>IFERROR(__xludf.DUMMYFUNCTION("""COMPUTED_VALUE"""),"")</f>
        <v/>
      </c>
      <c r="V956" s="5" t="str">
        <f>IFERROR(__xludf.DUMMYFUNCTION("""COMPUTED_VALUE"""),"")</f>
        <v/>
      </c>
      <c r="W956" s="5" t="str">
        <f>IFERROR(__xludf.DUMMYFUNCTION("""COMPUTED_VALUE"""),"")</f>
        <v/>
      </c>
      <c r="X956" s="5" t="str">
        <f>IFERROR(__xludf.DUMMYFUNCTION("""COMPUTED_VALUE"""),"")</f>
        <v/>
      </c>
      <c r="Y956" s="5"/>
      <c r="Z956" s="5"/>
    </row>
    <row r="957">
      <c r="A957" s="5"/>
      <c r="B957" s="5" t="str">
        <f>IFERROR(__xludf.DUMMYFUNCTION("""COMPUTED_VALUE"""),"")</f>
        <v/>
      </c>
      <c r="C957" s="5" t="str">
        <f>IFERROR(__xludf.DUMMYFUNCTION("""COMPUTED_VALUE"""),"")</f>
        <v/>
      </c>
      <c r="D957" s="5" t="str">
        <f>IFERROR(__xludf.DUMMYFUNCTION("""COMPUTED_VALUE"""),"")</f>
        <v/>
      </c>
      <c r="E957" s="5" t="str">
        <f>IFERROR(__xludf.DUMMYFUNCTION("""COMPUTED_VALUE"""),"")</f>
        <v/>
      </c>
      <c r="F957" s="5" t="str">
        <f>IFERROR(__xludf.DUMMYFUNCTION("""COMPUTED_VALUE"""),"")</f>
        <v/>
      </c>
      <c r="G957" s="5" t="str">
        <f>IFERROR(__xludf.DUMMYFUNCTION("""COMPUTED_VALUE"""),"")</f>
        <v/>
      </c>
      <c r="H957" s="5" t="str">
        <f>IFERROR(__xludf.DUMMYFUNCTION("""COMPUTED_VALUE"""),"")</f>
        <v/>
      </c>
      <c r="I957" s="5" t="str">
        <f>IFERROR(__xludf.DUMMYFUNCTION("""COMPUTED_VALUE"""),"")</f>
        <v/>
      </c>
      <c r="J957" s="5" t="str">
        <f>IFERROR(__xludf.DUMMYFUNCTION("""COMPUTED_VALUE"""),"")</f>
        <v/>
      </c>
      <c r="K957" s="5" t="str">
        <f>IFERROR(__xludf.DUMMYFUNCTION("""COMPUTED_VALUE"""),"")</f>
        <v/>
      </c>
      <c r="L957" s="5" t="str">
        <f>IFERROR(__xludf.DUMMYFUNCTION("""COMPUTED_VALUE"""),"")</f>
        <v/>
      </c>
      <c r="M957" s="5" t="str">
        <f>IFERROR(__xludf.DUMMYFUNCTION("""COMPUTED_VALUE"""),"")</f>
        <v/>
      </c>
      <c r="N957" s="5" t="str">
        <f>IFERROR(__xludf.DUMMYFUNCTION("""COMPUTED_VALUE"""),"")</f>
        <v/>
      </c>
      <c r="O957" s="5" t="str">
        <f>IFERROR(__xludf.DUMMYFUNCTION("""COMPUTED_VALUE"""),"")</f>
        <v/>
      </c>
      <c r="P957" s="5" t="str">
        <f>IFERROR(__xludf.DUMMYFUNCTION("""COMPUTED_VALUE"""),"")</f>
        <v/>
      </c>
      <c r="Q957" s="5" t="str">
        <f>IFERROR(__xludf.DUMMYFUNCTION("""COMPUTED_VALUE"""),"")</f>
        <v/>
      </c>
      <c r="R957" s="5" t="str">
        <f>IFERROR(__xludf.DUMMYFUNCTION("""COMPUTED_VALUE"""),"")</f>
        <v/>
      </c>
      <c r="S957" s="5" t="str">
        <f>IFERROR(__xludf.DUMMYFUNCTION("""COMPUTED_VALUE"""),"")</f>
        <v/>
      </c>
      <c r="T957" s="5" t="str">
        <f>IFERROR(__xludf.DUMMYFUNCTION("""COMPUTED_VALUE"""),"")</f>
        <v/>
      </c>
      <c r="U957" s="5" t="str">
        <f>IFERROR(__xludf.DUMMYFUNCTION("""COMPUTED_VALUE"""),"")</f>
        <v/>
      </c>
      <c r="V957" s="5" t="str">
        <f>IFERROR(__xludf.DUMMYFUNCTION("""COMPUTED_VALUE"""),"")</f>
        <v/>
      </c>
      <c r="W957" s="5" t="str">
        <f>IFERROR(__xludf.DUMMYFUNCTION("""COMPUTED_VALUE"""),"")</f>
        <v/>
      </c>
      <c r="X957" s="5" t="str">
        <f>IFERROR(__xludf.DUMMYFUNCTION("""COMPUTED_VALUE"""),"")</f>
        <v/>
      </c>
      <c r="Y957" s="5"/>
      <c r="Z957" s="5"/>
    </row>
    <row r="958">
      <c r="A958" s="5"/>
      <c r="B958" s="5" t="str">
        <f>IFERROR(__xludf.DUMMYFUNCTION("""COMPUTED_VALUE"""),"")</f>
        <v/>
      </c>
      <c r="C958" s="5" t="str">
        <f>IFERROR(__xludf.DUMMYFUNCTION("""COMPUTED_VALUE"""),"")</f>
        <v/>
      </c>
      <c r="D958" s="5" t="str">
        <f>IFERROR(__xludf.DUMMYFUNCTION("""COMPUTED_VALUE"""),"")</f>
        <v/>
      </c>
      <c r="E958" s="5" t="str">
        <f>IFERROR(__xludf.DUMMYFUNCTION("""COMPUTED_VALUE"""),"")</f>
        <v/>
      </c>
      <c r="F958" s="5" t="str">
        <f>IFERROR(__xludf.DUMMYFUNCTION("""COMPUTED_VALUE"""),"")</f>
        <v/>
      </c>
      <c r="G958" s="5" t="str">
        <f>IFERROR(__xludf.DUMMYFUNCTION("""COMPUTED_VALUE"""),"")</f>
        <v/>
      </c>
      <c r="H958" s="5" t="str">
        <f>IFERROR(__xludf.DUMMYFUNCTION("""COMPUTED_VALUE"""),"")</f>
        <v/>
      </c>
      <c r="I958" s="5" t="str">
        <f>IFERROR(__xludf.DUMMYFUNCTION("""COMPUTED_VALUE"""),"")</f>
        <v/>
      </c>
      <c r="J958" s="5" t="str">
        <f>IFERROR(__xludf.DUMMYFUNCTION("""COMPUTED_VALUE"""),"")</f>
        <v/>
      </c>
      <c r="K958" s="5" t="str">
        <f>IFERROR(__xludf.DUMMYFUNCTION("""COMPUTED_VALUE"""),"")</f>
        <v/>
      </c>
      <c r="L958" s="5" t="str">
        <f>IFERROR(__xludf.DUMMYFUNCTION("""COMPUTED_VALUE"""),"")</f>
        <v/>
      </c>
      <c r="M958" s="5" t="str">
        <f>IFERROR(__xludf.DUMMYFUNCTION("""COMPUTED_VALUE"""),"")</f>
        <v/>
      </c>
      <c r="N958" s="5" t="str">
        <f>IFERROR(__xludf.DUMMYFUNCTION("""COMPUTED_VALUE"""),"")</f>
        <v/>
      </c>
      <c r="O958" s="5" t="str">
        <f>IFERROR(__xludf.DUMMYFUNCTION("""COMPUTED_VALUE"""),"")</f>
        <v/>
      </c>
      <c r="P958" s="5" t="str">
        <f>IFERROR(__xludf.DUMMYFUNCTION("""COMPUTED_VALUE"""),"")</f>
        <v/>
      </c>
      <c r="Q958" s="5" t="str">
        <f>IFERROR(__xludf.DUMMYFUNCTION("""COMPUTED_VALUE"""),"")</f>
        <v/>
      </c>
      <c r="R958" s="5" t="str">
        <f>IFERROR(__xludf.DUMMYFUNCTION("""COMPUTED_VALUE"""),"")</f>
        <v/>
      </c>
      <c r="S958" s="5" t="str">
        <f>IFERROR(__xludf.DUMMYFUNCTION("""COMPUTED_VALUE"""),"")</f>
        <v/>
      </c>
      <c r="T958" s="5" t="str">
        <f>IFERROR(__xludf.DUMMYFUNCTION("""COMPUTED_VALUE"""),"")</f>
        <v/>
      </c>
      <c r="U958" s="5" t="str">
        <f>IFERROR(__xludf.DUMMYFUNCTION("""COMPUTED_VALUE"""),"")</f>
        <v/>
      </c>
      <c r="V958" s="5" t="str">
        <f>IFERROR(__xludf.DUMMYFUNCTION("""COMPUTED_VALUE"""),"")</f>
        <v/>
      </c>
      <c r="W958" s="5" t="str">
        <f>IFERROR(__xludf.DUMMYFUNCTION("""COMPUTED_VALUE"""),"")</f>
        <v/>
      </c>
      <c r="X958" s="5" t="str">
        <f>IFERROR(__xludf.DUMMYFUNCTION("""COMPUTED_VALUE"""),"")</f>
        <v/>
      </c>
      <c r="Y958" s="5"/>
      <c r="Z958" s="5"/>
    </row>
    <row r="959">
      <c r="A959" s="5"/>
      <c r="B959" s="5" t="str">
        <f>IFERROR(__xludf.DUMMYFUNCTION("""COMPUTED_VALUE"""),"")</f>
        <v/>
      </c>
      <c r="C959" s="5" t="str">
        <f>IFERROR(__xludf.DUMMYFUNCTION("""COMPUTED_VALUE"""),"")</f>
        <v/>
      </c>
      <c r="D959" s="5" t="str">
        <f>IFERROR(__xludf.DUMMYFUNCTION("""COMPUTED_VALUE"""),"")</f>
        <v/>
      </c>
      <c r="E959" s="5" t="str">
        <f>IFERROR(__xludf.DUMMYFUNCTION("""COMPUTED_VALUE"""),"")</f>
        <v/>
      </c>
      <c r="F959" s="5" t="str">
        <f>IFERROR(__xludf.DUMMYFUNCTION("""COMPUTED_VALUE"""),"")</f>
        <v/>
      </c>
      <c r="G959" s="5" t="str">
        <f>IFERROR(__xludf.DUMMYFUNCTION("""COMPUTED_VALUE"""),"")</f>
        <v/>
      </c>
      <c r="H959" s="5" t="str">
        <f>IFERROR(__xludf.DUMMYFUNCTION("""COMPUTED_VALUE"""),"")</f>
        <v/>
      </c>
      <c r="I959" s="5" t="str">
        <f>IFERROR(__xludf.DUMMYFUNCTION("""COMPUTED_VALUE"""),"")</f>
        <v/>
      </c>
      <c r="J959" s="5" t="str">
        <f>IFERROR(__xludf.DUMMYFUNCTION("""COMPUTED_VALUE"""),"")</f>
        <v/>
      </c>
      <c r="K959" s="5" t="str">
        <f>IFERROR(__xludf.DUMMYFUNCTION("""COMPUTED_VALUE"""),"")</f>
        <v/>
      </c>
      <c r="L959" s="5" t="str">
        <f>IFERROR(__xludf.DUMMYFUNCTION("""COMPUTED_VALUE"""),"")</f>
        <v/>
      </c>
      <c r="M959" s="5" t="str">
        <f>IFERROR(__xludf.DUMMYFUNCTION("""COMPUTED_VALUE"""),"")</f>
        <v/>
      </c>
      <c r="N959" s="5" t="str">
        <f>IFERROR(__xludf.DUMMYFUNCTION("""COMPUTED_VALUE"""),"")</f>
        <v/>
      </c>
      <c r="O959" s="5" t="str">
        <f>IFERROR(__xludf.DUMMYFUNCTION("""COMPUTED_VALUE"""),"")</f>
        <v/>
      </c>
      <c r="P959" s="5" t="str">
        <f>IFERROR(__xludf.DUMMYFUNCTION("""COMPUTED_VALUE"""),"")</f>
        <v/>
      </c>
      <c r="Q959" s="5" t="str">
        <f>IFERROR(__xludf.DUMMYFUNCTION("""COMPUTED_VALUE"""),"")</f>
        <v/>
      </c>
      <c r="R959" s="5" t="str">
        <f>IFERROR(__xludf.DUMMYFUNCTION("""COMPUTED_VALUE"""),"")</f>
        <v/>
      </c>
      <c r="S959" s="5" t="str">
        <f>IFERROR(__xludf.DUMMYFUNCTION("""COMPUTED_VALUE"""),"")</f>
        <v/>
      </c>
      <c r="T959" s="5" t="str">
        <f>IFERROR(__xludf.DUMMYFUNCTION("""COMPUTED_VALUE"""),"")</f>
        <v/>
      </c>
      <c r="U959" s="5" t="str">
        <f>IFERROR(__xludf.DUMMYFUNCTION("""COMPUTED_VALUE"""),"")</f>
        <v/>
      </c>
      <c r="V959" s="5" t="str">
        <f>IFERROR(__xludf.DUMMYFUNCTION("""COMPUTED_VALUE"""),"")</f>
        <v/>
      </c>
      <c r="W959" s="5" t="str">
        <f>IFERROR(__xludf.DUMMYFUNCTION("""COMPUTED_VALUE"""),"")</f>
        <v/>
      </c>
      <c r="X959" s="5" t="str">
        <f>IFERROR(__xludf.DUMMYFUNCTION("""COMPUTED_VALUE"""),"")</f>
        <v/>
      </c>
      <c r="Y959" s="5"/>
      <c r="Z959" s="5"/>
    </row>
    <row r="960">
      <c r="A960" s="5"/>
      <c r="B960" s="5" t="str">
        <f>IFERROR(__xludf.DUMMYFUNCTION("""COMPUTED_VALUE"""),"")</f>
        <v/>
      </c>
      <c r="C960" s="5" t="str">
        <f>IFERROR(__xludf.DUMMYFUNCTION("""COMPUTED_VALUE"""),"")</f>
        <v/>
      </c>
      <c r="D960" s="5" t="str">
        <f>IFERROR(__xludf.DUMMYFUNCTION("""COMPUTED_VALUE"""),"")</f>
        <v/>
      </c>
      <c r="E960" s="5" t="str">
        <f>IFERROR(__xludf.DUMMYFUNCTION("""COMPUTED_VALUE"""),"")</f>
        <v/>
      </c>
      <c r="F960" s="5" t="str">
        <f>IFERROR(__xludf.DUMMYFUNCTION("""COMPUTED_VALUE"""),"")</f>
        <v/>
      </c>
      <c r="G960" s="5" t="str">
        <f>IFERROR(__xludf.DUMMYFUNCTION("""COMPUTED_VALUE"""),"")</f>
        <v/>
      </c>
      <c r="H960" s="5" t="str">
        <f>IFERROR(__xludf.DUMMYFUNCTION("""COMPUTED_VALUE"""),"")</f>
        <v/>
      </c>
      <c r="I960" s="5" t="str">
        <f>IFERROR(__xludf.DUMMYFUNCTION("""COMPUTED_VALUE"""),"")</f>
        <v/>
      </c>
      <c r="J960" s="5" t="str">
        <f>IFERROR(__xludf.DUMMYFUNCTION("""COMPUTED_VALUE"""),"")</f>
        <v/>
      </c>
      <c r="K960" s="5" t="str">
        <f>IFERROR(__xludf.DUMMYFUNCTION("""COMPUTED_VALUE"""),"")</f>
        <v/>
      </c>
      <c r="L960" s="5" t="str">
        <f>IFERROR(__xludf.DUMMYFUNCTION("""COMPUTED_VALUE"""),"")</f>
        <v/>
      </c>
      <c r="M960" s="5" t="str">
        <f>IFERROR(__xludf.DUMMYFUNCTION("""COMPUTED_VALUE"""),"")</f>
        <v/>
      </c>
      <c r="N960" s="5" t="str">
        <f>IFERROR(__xludf.DUMMYFUNCTION("""COMPUTED_VALUE"""),"")</f>
        <v/>
      </c>
      <c r="O960" s="5" t="str">
        <f>IFERROR(__xludf.DUMMYFUNCTION("""COMPUTED_VALUE"""),"")</f>
        <v/>
      </c>
      <c r="P960" s="5" t="str">
        <f>IFERROR(__xludf.DUMMYFUNCTION("""COMPUTED_VALUE"""),"")</f>
        <v/>
      </c>
      <c r="Q960" s="5" t="str">
        <f>IFERROR(__xludf.DUMMYFUNCTION("""COMPUTED_VALUE"""),"")</f>
        <v/>
      </c>
      <c r="R960" s="5" t="str">
        <f>IFERROR(__xludf.DUMMYFUNCTION("""COMPUTED_VALUE"""),"")</f>
        <v/>
      </c>
      <c r="S960" s="5" t="str">
        <f>IFERROR(__xludf.DUMMYFUNCTION("""COMPUTED_VALUE"""),"")</f>
        <v/>
      </c>
      <c r="T960" s="5" t="str">
        <f>IFERROR(__xludf.DUMMYFUNCTION("""COMPUTED_VALUE"""),"")</f>
        <v/>
      </c>
      <c r="U960" s="5" t="str">
        <f>IFERROR(__xludf.DUMMYFUNCTION("""COMPUTED_VALUE"""),"")</f>
        <v/>
      </c>
      <c r="V960" s="5" t="str">
        <f>IFERROR(__xludf.DUMMYFUNCTION("""COMPUTED_VALUE"""),"")</f>
        <v/>
      </c>
      <c r="W960" s="5" t="str">
        <f>IFERROR(__xludf.DUMMYFUNCTION("""COMPUTED_VALUE"""),"")</f>
        <v/>
      </c>
      <c r="X960" s="5" t="str">
        <f>IFERROR(__xludf.DUMMYFUNCTION("""COMPUTED_VALUE"""),"")</f>
        <v/>
      </c>
      <c r="Y960" s="5"/>
      <c r="Z960" s="5"/>
    </row>
    <row r="961">
      <c r="A961" s="5"/>
      <c r="B961" s="5" t="str">
        <f>IFERROR(__xludf.DUMMYFUNCTION("""COMPUTED_VALUE"""),"")</f>
        <v/>
      </c>
      <c r="C961" s="5" t="str">
        <f>IFERROR(__xludf.DUMMYFUNCTION("""COMPUTED_VALUE"""),"")</f>
        <v/>
      </c>
      <c r="D961" s="5" t="str">
        <f>IFERROR(__xludf.DUMMYFUNCTION("""COMPUTED_VALUE"""),"")</f>
        <v/>
      </c>
      <c r="E961" s="5" t="str">
        <f>IFERROR(__xludf.DUMMYFUNCTION("""COMPUTED_VALUE"""),"")</f>
        <v/>
      </c>
      <c r="F961" s="5" t="str">
        <f>IFERROR(__xludf.DUMMYFUNCTION("""COMPUTED_VALUE"""),"")</f>
        <v/>
      </c>
      <c r="G961" s="5" t="str">
        <f>IFERROR(__xludf.DUMMYFUNCTION("""COMPUTED_VALUE"""),"")</f>
        <v/>
      </c>
      <c r="H961" s="5" t="str">
        <f>IFERROR(__xludf.DUMMYFUNCTION("""COMPUTED_VALUE"""),"")</f>
        <v/>
      </c>
      <c r="I961" s="5" t="str">
        <f>IFERROR(__xludf.DUMMYFUNCTION("""COMPUTED_VALUE"""),"")</f>
        <v/>
      </c>
      <c r="J961" s="5" t="str">
        <f>IFERROR(__xludf.DUMMYFUNCTION("""COMPUTED_VALUE"""),"")</f>
        <v/>
      </c>
      <c r="K961" s="5" t="str">
        <f>IFERROR(__xludf.DUMMYFUNCTION("""COMPUTED_VALUE"""),"")</f>
        <v/>
      </c>
      <c r="L961" s="5" t="str">
        <f>IFERROR(__xludf.DUMMYFUNCTION("""COMPUTED_VALUE"""),"")</f>
        <v/>
      </c>
      <c r="M961" s="5" t="str">
        <f>IFERROR(__xludf.DUMMYFUNCTION("""COMPUTED_VALUE"""),"")</f>
        <v/>
      </c>
      <c r="N961" s="5" t="str">
        <f>IFERROR(__xludf.DUMMYFUNCTION("""COMPUTED_VALUE"""),"")</f>
        <v/>
      </c>
      <c r="O961" s="5" t="str">
        <f>IFERROR(__xludf.DUMMYFUNCTION("""COMPUTED_VALUE"""),"")</f>
        <v/>
      </c>
      <c r="P961" s="5" t="str">
        <f>IFERROR(__xludf.DUMMYFUNCTION("""COMPUTED_VALUE"""),"")</f>
        <v/>
      </c>
      <c r="Q961" s="5" t="str">
        <f>IFERROR(__xludf.DUMMYFUNCTION("""COMPUTED_VALUE"""),"")</f>
        <v/>
      </c>
      <c r="R961" s="5" t="str">
        <f>IFERROR(__xludf.DUMMYFUNCTION("""COMPUTED_VALUE"""),"")</f>
        <v/>
      </c>
      <c r="S961" s="5" t="str">
        <f>IFERROR(__xludf.DUMMYFUNCTION("""COMPUTED_VALUE"""),"")</f>
        <v/>
      </c>
      <c r="T961" s="5" t="str">
        <f>IFERROR(__xludf.DUMMYFUNCTION("""COMPUTED_VALUE"""),"")</f>
        <v/>
      </c>
      <c r="U961" s="5" t="str">
        <f>IFERROR(__xludf.DUMMYFUNCTION("""COMPUTED_VALUE"""),"")</f>
        <v/>
      </c>
      <c r="V961" s="5" t="str">
        <f>IFERROR(__xludf.DUMMYFUNCTION("""COMPUTED_VALUE"""),"")</f>
        <v/>
      </c>
      <c r="W961" s="5" t="str">
        <f>IFERROR(__xludf.DUMMYFUNCTION("""COMPUTED_VALUE"""),"")</f>
        <v/>
      </c>
      <c r="X961" s="5" t="str">
        <f>IFERROR(__xludf.DUMMYFUNCTION("""COMPUTED_VALUE"""),"")</f>
        <v/>
      </c>
      <c r="Y961" s="5"/>
      <c r="Z961" s="5"/>
    </row>
    <row r="962">
      <c r="A962" s="5"/>
      <c r="B962" s="5" t="str">
        <f>IFERROR(__xludf.DUMMYFUNCTION("""COMPUTED_VALUE"""),"")</f>
        <v/>
      </c>
      <c r="C962" s="5" t="str">
        <f>IFERROR(__xludf.DUMMYFUNCTION("""COMPUTED_VALUE"""),"")</f>
        <v/>
      </c>
      <c r="D962" s="5" t="str">
        <f>IFERROR(__xludf.DUMMYFUNCTION("""COMPUTED_VALUE"""),"")</f>
        <v/>
      </c>
      <c r="E962" s="5" t="str">
        <f>IFERROR(__xludf.DUMMYFUNCTION("""COMPUTED_VALUE"""),"")</f>
        <v/>
      </c>
      <c r="F962" s="5" t="str">
        <f>IFERROR(__xludf.DUMMYFUNCTION("""COMPUTED_VALUE"""),"")</f>
        <v/>
      </c>
      <c r="G962" s="5" t="str">
        <f>IFERROR(__xludf.DUMMYFUNCTION("""COMPUTED_VALUE"""),"")</f>
        <v/>
      </c>
      <c r="H962" s="5" t="str">
        <f>IFERROR(__xludf.DUMMYFUNCTION("""COMPUTED_VALUE"""),"")</f>
        <v/>
      </c>
      <c r="I962" s="5" t="str">
        <f>IFERROR(__xludf.DUMMYFUNCTION("""COMPUTED_VALUE"""),"")</f>
        <v/>
      </c>
      <c r="J962" s="5" t="str">
        <f>IFERROR(__xludf.DUMMYFUNCTION("""COMPUTED_VALUE"""),"")</f>
        <v/>
      </c>
      <c r="K962" s="5" t="str">
        <f>IFERROR(__xludf.DUMMYFUNCTION("""COMPUTED_VALUE"""),"")</f>
        <v/>
      </c>
      <c r="L962" s="5" t="str">
        <f>IFERROR(__xludf.DUMMYFUNCTION("""COMPUTED_VALUE"""),"")</f>
        <v/>
      </c>
      <c r="M962" s="5" t="str">
        <f>IFERROR(__xludf.DUMMYFUNCTION("""COMPUTED_VALUE"""),"")</f>
        <v/>
      </c>
      <c r="N962" s="5" t="str">
        <f>IFERROR(__xludf.DUMMYFUNCTION("""COMPUTED_VALUE"""),"")</f>
        <v/>
      </c>
      <c r="O962" s="5" t="str">
        <f>IFERROR(__xludf.DUMMYFUNCTION("""COMPUTED_VALUE"""),"")</f>
        <v/>
      </c>
      <c r="P962" s="5" t="str">
        <f>IFERROR(__xludf.DUMMYFUNCTION("""COMPUTED_VALUE"""),"")</f>
        <v/>
      </c>
      <c r="Q962" s="5" t="str">
        <f>IFERROR(__xludf.DUMMYFUNCTION("""COMPUTED_VALUE"""),"")</f>
        <v/>
      </c>
      <c r="R962" s="5" t="str">
        <f>IFERROR(__xludf.DUMMYFUNCTION("""COMPUTED_VALUE"""),"")</f>
        <v/>
      </c>
      <c r="S962" s="5" t="str">
        <f>IFERROR(__xludf.DUMMYFUNCTION("""COMPUTED_VALUE"""),"")</f>
        <v/>
      </c>
      <c r="T962" s="5" t="str">
        <f>IFERROR(__xludf.DUMMYFUNCTION("""COMPUTED_VALUE"""),"")</f>
        <v/>
      </c>
      <c r="U962" s="5" t="str">
        <f>IFERROR(__xludf.DUMMYFUNCTION("""COMPUTED_VALUE"""),"")</f>
        <v/>
      </c>
      <c r="V962" s="5" t="str">
        <f>IFERROR(__xludf.DUMMYFUNCTION("""COMPUTED_VALUE"""),"")</f>
        <v/>
      </c>
      <c r="W962" s="5" t="str">
        <f>IFERROR(__xludf.DUMMYFUNCTION("""COMPUTED_VALUE"""),"")</f>
        <v/>
      </c>
      <c r="X962" s="5" t="str">
        <f>IFERROR(__xludf.DUMMYFUNCTION("""COMPUTED_VALUE"""),"")</f>
        <v/>
      </c>
      <c r="Y962" s="5"/>
      <c r="Z962" s="5"/>
    </row>
    <row r="963">
      <c r="A963" s="5"/>
      <c r="B963" s="5" t="str">
        <f>IFERROR(__xludf.DUMMYFUNCTION("""COMPUTED_VALUE"""),"")</f>
        <v/>
      </c>
      <c r="C963" s="5" t="str">
        <f>IFERROR(__xludf.DUMMYFUNCTION("""COMPUTED_VALUE"""),"")</f>
        <v/>
      </c>
      <c r="D963" s="5" t="str">
        <f>IFERROR(__xludf.DUMMYFUNCTION("""COMPUTED_VALUE"""),"")</f>
        <v/>
      </c>
      <c r="E963" s="5" t="str">
        <f>IFERROR(__xludf.DUMMYFUNCTION("""COMPUTED_VALUE"""),"")</f>
        <v/>
      </c>
      <c r="F963" s="5" t="str">
        <f>IFERROR(__xludf.DUMMYFUNCTION("""COMPUTED_VALUE"""),"")</f>
        <v/>
      </c>
      <c r="G963" s="5" t="str">
        <f>IFERROR(__xludf.DUMMYFUNCTION("""COMPUTED_VALUE"""),"")</f>
        <v/>
      </c>
      <c r="H963" s="5" t="str">
        <f>IFERROR(__xludf.DUMMYFUNCTION("""COMPUTED_VALUE"""),"")</f>
        <v/>
      </c>
      <c r="I963" s="5" t="str">
        <f>IFERROR(__xludf.DUMMYFUNCTION("""COMPUTED_VALUE"""),"")</f>
        <v/>
      </c>
      <c r="J963" s="5" t="str">
        <f>IFERROR(__xludf.DUMMYFUNCTION("""COMPUTED_VALUE"""),"")</f>
        <v/>
      </c>
      <c r="K963" s="5" t="str">
        <f>IFERROR(__xludf.DUMMYFUNCTION("""COMPUTED_VALUE"""),"")</f>
        <v/>
      </c>
      <c r="L963" s="5" t="str">
        <f>IFERROR(__xludf.DUMMYFUNCTION("""COMPUTED_VALUE"""),"")</f>
        <v/>
      </c>
      <c r="M963" s="5" t="str">
        <f>IFERROR(__xludf.DUMMYFUNCTION("""COMPUTED_VALUE"""),"")</f>
        <v/>
      </c>
      <c r="N963" s="5" t="str">
        <f>IFERROR(__xludf.DUMMYFUNCTION("""COMPUTED_VALUE"""),"")</f>
        <v/>
      </c>
      <c r="O963" s="5" t="str">
        <f>IFERROR(__xludf.DUMMYFUNCTION("""COMPUTED_VALUE"""),"")</f>
        <v/>
      </c>
      <c r="P963" s="5" t="str">
        <f>IFERROR(__xludf.DUMMYFUNCTION("""COMPUTED_VALUE"""),"")</f>
        <v/>
      </c>
      <c r="Q963" s="5" t="str">
        <f>IFERROR(__xludf.DUMMYFUNCTION("""COMPUTED_VALUE"""),"")</f>
        <v/>
      </c>
      <c r="R963" s="5" t="str">
        <f>IFERROR(__xludf.DUMMYFUNCTION("""COMPUTED_VALUE"""),"")</f>
        <v/>
      </c>
      <c r="S963" s="5" t="str">
        <f>IFERROR(__xludf.DUMMYFUNCTION("""COMPUTED_VALUE"""),"")</f>
        <v/>
      </c>
      <c r="T963" s="5" t="str">
        <f>IFERROR(__xludf.DUMMYFUNCTION("""COMPUTED_VALUE"""),"")</f>
        <v/>
      </c>
      <c r="U963" s="5" t="str">
        <f>IFERROR(__xludf.DUMMYFUNCTION("""COMPUTED_VALUE"""),"")</f>
        <v/>
      </c>
      <c r="V963" s="5" t="str">
        <f>IFERROR(__xludf.DUMMYFUNCTION("""COMPUTED_VALUE"""),"")</f>
        <v/>
      </c>
      <c r="W963" s="5" t="str">
        <f>IFERROR(__xludf.DUMMYFUNCTION("""COMPUTED_VALUE"""),"")</f>
        <v/>
      </c>
      <c r="X963" s="5" t="str">
        <f>IFERROR(__xludf.DUMMYFUNCTION("""COMPUTED_VALUE"""),"")</f>
        <v/>
      </c>
      <c r="Y963" s="5"/>
      <c r="Z963" s="5"/>
    </row>
    <row r="964">
      <c r="A964" s="5"/>
      <c r="B964" s="5" t="str">
        <f>IFERROR(__xludf.DUMMYFUNCTION("""COMPUTED_VALUE"""),"")</f>
        <v/>
      </c>
      <c r="C964" s="5" t="str">
        <f>IFERROR(__xludf.DUMMYFUNCTION("""COMPUTED_VALUE"""),"")</f>
        <v/>
      </c>
      <c r="D964" s="5" t="str">
        <f>IFERROR(__xludf.DUMMYFUNCTION("""COMPUTED_VALUE"""),"")</f>
        <v/>
      </c>
      <c r="E964" s="5" t="str">
        <f>IFERROR(__xludf.DUMMYFUNCTION("""COMPUTED_VALUE"""),"")</f>
        <v/>
      </c>
      <c r="F964" s="5" t="str">
        <f>IFERROR(__xludf.DUMMYFUNCTION("""COMPUTED_VALUE"""),"")</f>
        <v/>
      </c>
      <c r="G964" s="5" t="str">
        <f>IFERROR(__xludf.DUMMYFUNCTION("""COMPUTED_VALUE"""),"")</f>
        <v/>
      </c>
      <c r="H964" s="5" t="str">
        <f>IFERROR(__xludf.DUMMYFUNCTION("""COMPUTED_VALUE"""),"")</f>
        <v/>
      </c>
      <c r="I964" s="5" t="str">
        <f>IFERROR(__xludf.DUMMYFUNCTION("""COMPUTED_VALUE"""),"")</f>
        <v/>
      </c>
      <c r="J964" s="5" t="str">
        <f>IFERROR(__xludf.DUMMYFUNCTION("""COMPUTED_VALUE"""),"")</f>
        <v/>
      </c>
      <c r="K964" s="5" t="str">
        <f>IFERROR(__xludf.DUMMYFUNCTION("""COMPUTED_VALUE"""),"")</f>
        <v/>
      </c>
      <c r="L964" s="5" t="str">
        <f>IFERROR(__xludf.DUMMYFUNCTION("""COMPUTED_VALUE"""),"")</f>
        <v/>
      </c>
      <c r="M964" s="5" t="str">
        <f>IFERROR(__xludf.DUMMYFUNCTION("""COMPUTED_VALUE"""),"")</f>
        <v/>
      </c>
      <c r="N964" s="5" t="str">
        <f>IFERROR(__xludf.DUMMYFUNCTION("""COMPUTED_VALUE"""),"")</f>
        <v/>
      </c>
      <c r="O964" s="5" t="str">
        <f>IFERROR(__xludf.DUMMYFUNCTION("""COMPUTED_VALUE"""),"")</f>
        <v/>
      </c>
      <c r="P964" s="5" t="str">
        <f>IFERROR(__xludf.DUMMYFUNCTION("""COMPUTED_VALUE"""),"")</f>
        <v/>
      </c>
      <c r="Q964" s="5" t="str">
        <f>IFERROR(__xludf.DUMMYFUNCTION("""COMPUTED_VALUE"""),"")</f>
        <v/>
      </c>
      <c r="R964" s="5" t="str">
        <f>IFERROR(__xludf.DUMMYFUNCTION("""COMPUTED_VALUE"""),"")</f>
        <v/>
      </c>
      <c r="S964" s="5" t="str">
        <f>IFERROR(__xludf.DUMMYFUNCTION("""COMPUTED_VALUE"""),"")</f>
        <v/>
      </c>
      <c r="T964" s="5" t="str">
        <f>IFERROR(__xludf.DUMMYFUNCTION("""COMPUTED_VALUE"""),"")</f>
        <v/>
      </c>
      <c r="U964" s="5" t="str">
        <f>IFERROR(__xludf.DUMMYFUNCTION("""COMPUTED_VALUE"""),"")</f>
        <v/>
      </c>
      <c r="V964" s="5" t="str">
        <f>IFERROR(__xludf.DUMMYFUNCTION("""COMPUTED_VALUE"""),"")</f>
        <v/>
      </c>
      <c r="W964" s="5" t="str">
        <f>IFERROR(__xludf.DUMMYFUNCTION("""COMPUTED_VALUE"""),"")</f>
        <v/>
      </c>
      <c r="X964" s="5" t="str">
        <f>IFERROR(__xludf.DUMMYFUNCTION("""COMPUTED_VALUE"""),"")</f>
        <v/>
      </c>
      <c r="Y964" s="5"/>
      <c r="Z964" s="5"/>
    </row>
    <row r="965">
      <c r="A965" s="5"/>
      <c r="B965" s="5" t="str">
        <f>IFERROR(__xludf.DUMMYFUNCTION("""COMPUTED_VALUE"""),"")</f>
        <v/>
      </c>
      <c r="C965" s="5" t="str">
        <f>IFERROR(__xludf.DUMMYFUNCTION("""COMPUTED_VALUE"""),"")</f>
        <v/>
      </c>
      <c r="D965" s="5" t="str">
        <f>IFERROR(__xludf.DUMMYFUNCTION("""COMPUTED_VALUE"""),"")</f>
        <v/>
      </c>
      <c r="E965" s="5" t="str">
        <f>IFERROR(__xludf.DUMMYFUNCTION("""COMPUTED_VALUE"""),"")</f>
        <v/>
      </c>
      <c r="F965" s="5" t="str">
        <f>IFERROR(__xludf.DUMMYFUNCTION("""COMPUTED_VALUE"""),"")</f>
        <v/>
      </c>
      <c r="G965" s="5" t="str">
        <f>IFERROR(__xludf.DUMMYFUNCTION("""COMPUTED_VALUE"""),"")</f>
        <v/>
      </c>
      <c r="H965" s="5" t="str">
        <f>IFERROR(__xludf.DUMMYFUNCTION("""COMPUTED_VALUE"""),"")</f>
        <v/>
      </c>
      <c r="I965" s="5" t="str">
        <f>IFERROR(__xludf.DUMMYFUNCTION("""COMPUTED_VALUE"""),"")</f>
        <v/>
      </c>
      <c r="J965" s="5" t="str">
        <f>IFERROR(__xludf.DUMMYFUNCTION("""COMPUTED_VALUE"""),"")</f>
        <v/>
      </c>
      <c r="K965" s="5" t="str">
        <f>IFERROR(__xludf.DUMMYFUNCTION("""COMPUTED_VALUE"""),"")</f>
        <v/>
      </c>
      <c r="L965" s="5" t="str">
        <f>IFERROR(__xludf.DUMMYFUNCTION("""COMPUTED_VALUE"""),"")</f>
        <v/>
      </c>
      <c r="M965" s="5" t="str">
        <f>IFERROR(__xludf.DUMMYFUNCTION("""COMPUTED_VALUE"""),"")</f>
        <v/>
      </c>
      <c r="N965" s="5" t="str">
        <f>IFERROR(__xludf.DUMMYFUNCTION("""COMPUTED_VALUE"""),"")</f>
        <v/>
      </c>
      <c r="O965" s="5" t="str">
        <f>IFERROR(__xludf.DUMMYFUNCTION("""COMPUTED_VALUE"""),"")</f>
        <v/>
      </c>
      <c r="P965" s="5" t="str">
        <f>IFERROR(__xludf.DUMMYFUNCTION("""COMPUTED_VALUE"""),"")</f>
        <v/>
      </c>
      <c r="Q965" s="5" t="str">
        <f>IFERROR(__xludf.DUMMYFUNCTION("""COMPUTED_VALUE"""),"")</f>
        <v/>
      </c>
      <c r="R965" s="5" t="str">
        <f>IFERROR(__xludf.DUMMYFUNCTION("""COMPUTED_VALUE"""),"")</f>
        <v/>
      </c>
      <c r="S965" s="5" t="str">
        <f>IFERROR(__xludf.DUMMYFUNCTION("""COMPUTED_VALUE"""),"")</f>
        <v/>
      </c>
      <c r="T965" s="5" t="str">
        <f>IFERROR(__xludf.DUMMYFUNCTION("""COMPUTED_VALUE"""),"")</f>
        <v/>
      </c>
      <c r="U965" s="5" t="str">
        <f>IFERROR(__xludf.DUMMYFUNCTION("""COMPUTED_VALUE"""),"")</f>
        <v/>
      </c>
      <c r="V965" s="5" t="str">
        <f>IFERROR(__xludf.DUMMYFUNCTION("""COMPUTED_VALUE"""),"")</f>
        <v/>
      </c>
      <c r="W965" s="5" t="str">
        <f>IFERROR(__xludf.DUMMYFUNCTION("""COMPUTED_VALUE"""),"")</f>
        <v/>
      </c>
      <c r="X965" s="5" t="str">
        <f>IFERROR(__xludf.DUMMYFUNCTION("""COMPUTED_VALUE"""),"")</f>
        <v/>
      </c>
      <c r="Y965" s="5"/>
      <c r="Z965" s="5"/>
    </row>
    <row r="966">
      <c r="A966" s="5"/>
      <c r="B966" s="5" t="str">
        <f>IFERROR(__xludf.DUMMYFUNCTION("""COMPUTED_VALUE"""),"")</f>
        <v/>
      </c>
      <c r="C966" s="5" t="str">
        <f>IFERROR(__xludf.DUMMYFUNCTION("""COMPUTED_VALUE"""),"")</f>
        <v/>
      </c>
      <c r="D966" s="5" t="str">
        <f>IFERROR(__xludf.DUMMYFUNCTION("""COMPUTED_VALUE"""),"")</f>
        <v/>
      </c>
      <c r="E966" s="5" t="str">
        <f>IFERROR(__xludf.DUMMYFUNCTION("""COMPUTED_VALUE"""),"")</f>
        <v/>
      </c>
      <c r="F966" s="5" t="str">
        <f>IFERROR(__xludf.DUMMYFUNCTION("""COMPUTED_VALUE"""),"")</f>
        <v/>
      </c>
      <c r="G966" s="5" t="str">
        <f>IFERROR(__xludf.DUMMYFUNCTION("""COMPUTED_VALUE"""),"")</f>
        <v/>
      </c>
      <c r="H966" s="5" t="str">
        <f>IFERROR(__xludf.DUMMYFUNCTION("""COMPUTED_VALUE"""),"")</f>
        <v/>
      </c>
      <c r="I966" s="5" t="str">
        <f>IFERROR(__xludf.DUMMYFUNCTION("""COMPUTED_VALUE"""),"")</f>
        <v/>
      </c>
      <c r="J966" s="5" t="str">
        <f>IFERROR(__xludf.DUMMYFUNCTION("""COMPUTED_VALUE"""),"")</f>
        <v/>
      </c>
      <c r="K966" s="5" t="str">
        <f>IFERROR(__xludf.DUMMYFUNCTION("""COMPUTED_VALUE"""),"")</f>
        <v/>
      </c>
      <c r="L966" s="5" t="str">
        <f>IFERROR(__xludf.DUMMYFUNCTION("""COMPUTED_VALUE"""),"")</f>
        <v/>
      </c>
      <c r="M966" s="5" t="str">
        <f>IFERROR(__xludf.DUMMYFUNCTION("""COMPUTED_VALUE"""),"")</f>
        <v/>
      </c>
      <c r="N966" s="5" t="str">
        <f>IFERROR(__xludf.DUMMYFUNCTION("""COMPUTED_VALUE"""),"")</f>
        <v/>
      </c>
      <c r="O966" s="5" t="str">
        <f>IFERROR(__xludf.DUMMYFUNCTION("""COMPUTED_VALUE"""),"")</f>
        <v/>
      </c>
      <c r="P966" s="5" t="str">
        <f>IFERROR(__xludf.DUMMYFUNCTION("""COMPUTED_VALUE"""),"")</f>
        <v/>
      </c>
      <c r="Q966" s="5" t="str">
        <f>IFERROR(__xludf.DUMMYFUNCTION("""COMPUTED_VALUE"""),"")</f>
        <v/>
      </c>
      <c r="R966" s="5" t="str">
        <f>IFERROR(__xludf.DUMMYFUNCTION("""COMPUTED_VALUE"""),"")</f>
        <v/>
      </c>
      <c r="S966" s="5" t="str">
        <f>IFERROR(__xludf.DUMMYFUNCTION("""COMPUTED_VALUE"""),"")</f>
        <v/>
      </c>
      <c r="T966" s="5" t="str">
        <f>IFERROR(__xludf.DUMMYFUNCTION("""COMPUTED_VALUE"""),"")</f>
        <v/>
      </c>
      <c r="U966" s="5" t="str">
        <f>IFERROR(__xludf.DUMMYFUNCTION("""COMPUTED_VALUE"""),"")</f>
        <v/>
      </c>
      <c r="V966" s="5" t="str">
        <f>IFERROR(__xludf.DUMMYFUNCTION("""COMPUTED_VALUE"""),"")</f>
        <v/>
      </c>
      <c r="W966" s="5" t="str">
        <f>IFERROR(__xludf.DUMMYFUNCTION("""COMPUTED_VALUE"""),"")</f>
        <v/>
      </c>
      <c r="X966" s="5" t="str">
        <f>IFERROR(__xludf.DUMMYFUNCTION("""COMPUTED_VALUE"""),"")</f>
        <v/>
      </c>
      <c r="Y966" s="5"/>
      <c r="Z966" s="5"/>
    </row>
    <row r="967">
      <c r="A967" s="5"/>
      <c r="B967" s="5" t="str">
        <f>IFERROR(__xludf.DUMMYFUNCTION("""COMPUTED_VALUE"""),"")</f>
        <v/>
      </c>
      <c r="C967" s="5" t="str">
        <f>IFERROR(__xludf.DUMMYFUNCTION("""COMPUTED_VALUE"""),"")</f>
        <v/>
      </c>
      <c r="D967" s="5" t="str">
        <f>IFERROR(__xludf.DUMMYFUNCTION("""COMPUTED_VALUE"""),"")</f>
        <v/>
      </c>
      <c r="E967" s="5" t="str">
        <f>IFERROR(__xludf.DUMMYFUNCTION("""COMPUTED_VALUE"""),"")</f>
        <v/>
      </c>
      <c r="F967" s="5" t="str">
        <f>IFERROR(__xludf.DUMMYFUNCTION("""COMPUTED_VALUE"""),"")</f>
        <v/>
      </c>
      <c r="G967" s="5" t="str">
        <f>IFERROR(__xludf.DUMMYFUNCTION("""COMPUTED_VALUE"""),"")</f>
        <v/>
      </c>
      <c r="H967" s="5" t="str">
        <f>IFERROR(__xludf.DUMMYFUNCTION("""COMPUTED_VALUE"""),"")</f>
        <v/>
      </c>
      <c r="I967" s="5" t="str">
        <f>IFERROR(__xludf.DUMMYFUNCTION("""COMPUTED_VALUE"""),"")</f>
        <v/>
      </c>
      <c r="J967" s="5" t="str">
        <f>IFERROR(__xludf.DUMMYFUNCTION("""COMPUTED_VALUE"""),"")</f>
        <v/>
      </c>
      <c r="K967" s="5" t="str">
        <f>IFERROR(__xludf.DUMMYFUNCTION("""COMPUTED_VALUE"""),"")</f>
        <v/>
      </c>
      <c r="L967" s="5" t="str">
        <f>IFERROR(__xludf.DUMMYFUNCTION("""COMPUTED_VALUE"""),"")</f>
        <v/>
      </c>
      <c r="M967" s="5" t="str">
        <f>IFERROR(__xludf.DUMMYFUNCTION("""COMPUTED_VALUE"""),"")</f>
        <v/>
      </c>
      <c r="N967" s="5" t="str">
        <f>IFERROR(__xludf.DUMMYFUNCTION("""COMPUTED_VALUE"""),"")</f>
        <v/>
      </c>
      <c r="O967" s="5" t="str">
        <f>IFERROR(__xludf.DUMMYFUNCTION("""COMPUTED_VALUE"""),"")</f>
        <v/>
      </c>
      <c r="P967" s="5" t="str">
        <f>IFERROR(__xludf.DUMMYFUNCTION("""COMPUTED_VALUE"""),"")</f>
        <v/>
      </c>
      <c r="Q967" s="5" t="str">
        <f>IFERROR(__xludf.DUMMYFUNCTION("""COMPUTED_VALUE"""),"")</f>
        <v/>
      </c>
      <c r="R967" s="5" t="str">
        <f>IFERROR(__xludf.DUMMYFUNCTION("""COMPUTED_VALUE"""),"")</f>
        <v/>
      </c>
      <c r="S967" s="5" t="str">
        <f>IFERROR(__xludf.DUMMYFUNCTION("""COMPUTED_VALUE"""),"")</f>
        <v/>
      </c>
      <c r="T967" s="5" t="str">
        <f>IFERROR(__xludf.DUMMYFUNCTION("""COMPUTED_VALUE"""),"")</f>
        <v/>
      </c>
      <c r="U967" s="5" t="str">
        <f>IFERROR(__xludf.DUMMYFUNCTION("""COMPUTED_VALUE"""),"")</f>
        <v/>
      </c>
      <c r="V967" s="5" t="str">
        <f>IFERROR(__xludf.DUMMYFUNCTION("""COMPUTED_VALUE"""),"")</f>
        <v/>
      </c>
      <c r="W967" s="5" t="str">
        <f>IFERROR(__xludf.DUMMYFUNCTION("""COMPUTED_VALUE"""),"")</f>
        <v/>
      </c>
      <c r="X967" s="5" t="str">
        <f>IFERROR(__xludf.DUMMYFUNCTION("""COMPUTED_VALUE"""),"")</f>
        <v/>
      </c>
      <c r="Y967" s="5"/>
      <c r="Z967" s="5"/>
    </row>
    <row r="968">
      <c r="A968" s="5"/>
      <c r="B968" s="5" t="str">
        <f>IFERROR(__xludf.DUMMYFUNCTION("""COMPUTED_VALUE"""),"")</f>
        <v/>
      </c>
      <c r="C968" s="5" t="str">
        <f>IFERROR(__xludf.DUMMYFUNCTION("""COMPUTED_VALUE"""),"")</f>
        <v/>
      </c>
      <c r="D968" s="5" t="str">
        <f>IFERROR(__xludf.DUMMYFUNCTION("""COMPUTED_VALUE"""),"")</f>
        <v/>
      </c>
      <c r="E968" s="5" t="str">
        <f>IFERROR(__xludf.DUMMYFUNCTION("""COMPUTED_VALUE"""),"")</f>
        <v/>
      </c>
      <c r="F968" s="5" t="str">
        <f>IFERROR(__xludf.DUMMYFUNCTION("""COMPUTED_VALUE"""),"")</f>
        <v/>
      </c>
      <c r="G968" s="5" t="str">
        <f>IFERROR(__xludf.DUMMYFUNCTION("""COMPUTED_VALUE"""),"")</f>
        <v/>
      </c>
      <c r="H968" s="5" t="str">
        <f>IFERROR(__xludf.DUMMYFUNCTION("""COMPUTED_VALUE"""),"")</f>
        <v/>
      </c>
      <c r="I968" s="5" t="str">
        <f>IFERROR(__xludf.DUMMYFUNCTION("""COMPUTED_VALUE"""),"")</f>
        <v/>
      </c>
      <c r="J968" s="5" t="str">
        <f>IFERROR(__xludf.DUMMYFUNCTION("""COMPUTED_VALUE"""),"")</f>
        <v/>
      </c>
      <c r="K968" s="5" t="str">
        <f>IFERROR(__xludf.DUMMYFUNCTION("""COMPUTED_VALUE"""),"")</f>
        <v/>
      </c>
      <c r="L968" s="5" t="str">
        <f>IFERROR(__xludf.DUMMYFUNCTION("""COMPUTED_VALUE"""),"")</f>
        <v/>
      </c>
      <c r="M968" s="5" t="str">
        <f>IFERROR(__xludf.DUMMYFUNCTION("""COMPUTED_VALUE"""),"")</f>
        <v/>
      </c>
      <c r="N968" s="5" t="str">
        <f>IFERROR(__xludf.DUMMYFUNCTION("""COMPUTED_VALUE"""),"")</f>
        <v/>
      </c>
      <c r="O968" s="5" t="str">
        <f>IFERROR(__xludf.DUMMYFUNCTION("""COMPUTED_VALUE"""),"")</f>
        <v/>
      </c>
      <c r="P968" s="5" t="str">
        <f>IFERROR(__xludf.DUMMYFUNCTION("""COMPUTED_VALUE"""),"")</f>
        <v/>
      </c>
      <c r="Q968" s="5" t="str">
        <f>IFERROR(__xludf.DUMMYFUNCTION("""COMPUTED_VALUE"""),"")</f>
        <v/>
      </c>
      <c r="R968" s="5" t="str">
        <f>IFERROR(__xludf.DUMMYFUNCTION("""COMPUTED_VALUE"""),"")</f>
        <v/>
      </c>
      <c r="S968" s="5" t="str">
        <f>IFERROR(__xludf.DUMMYFUNCTION("""COMPUTED_VALUE"""),"")</f>
        <v/>
      </c>
      <c r="T968" s="5" t="str">
        <f>IFERROR(__xludf.DUMMYFUNCTION("""COMPUTED_VALUE"""),"")</f>
        <v/>
      </c>
      <c r="U968" s="5" t="str">
        <f>IFERROR(__xludf.DUMMYFUNCTION("""COMPUTED_VALUE"""),"")</f>
        <v/>
      </c>
      <c r="V968" s="5" t="str">
        <f>IFERROR(__xludf.DUMMYFUNCTION("""COMPUTED_VALUE"""),"")</f>
        <v/>
      </c>
      <c r="W968" s="5" t="str">
        <f>IFERROR(__xludf.DUMMYFUNCTION("""COMPUTED_VALUE"""),"")</f>
        <v/>
      </c>
      <c r="X968" s="5" t="str">
        <f>IFERROR(__xludf.DUMMYFUNCTION("""COMPUTED_VALUE"""),"")</f>
        <v/>
      </c>
      <c r="Y968" s="5"/>
      <c r="Z968" s="5"/>
    </row>
    <row r="969">
      <c r="A969" s="5"/>
      <c r="B969" s="5" t="str">
        <f>IFERROR(__xludf.DUMMYFUNCTION("""COMPUTED_VALUE"""),"")</f>
        <v/>
      </c>
      <c r="C969" s="5" t="str">
        <f>IFERROR(__xludf.DUMMYFUNCTION("""COMPUTED_VALUE"""),"")</f>
        <v/>
      </c>
      <c r="D969" s="5" t="str">
        <f>IFERROR(__xludf.DUMMYFUNCTION("""COMPUTED_VALUE"""),"")</f>
        <v/>
      </c>
      <c r="E969" s="5" t="str">
        <f>IFERROR(__xludf.DUMMYFUNCTION("""COMPUTED_VALUE"""),"")</f>
        <v/>
      </c>
      <c r="F969" s="5" t="str">
        <f>IFERROR(__xludf.DUMMYFUNCTION("""COMPUTED_VALUE"""),"")</f>
        <v/>
      </c>
      <c r="G969" s="5" t="str">
        <f>IFERROR(__xludf.DUMMYFUNCTION("""COMPUTED_VALUE"""),"")</f>
        <v/>
      </c>
      <c r="H969" s="5" t="str">
        <f>IFERROR(__xludf.DUMMYFUNCTION("""COMPUTED_VALUE"""),"")</f>
        <v/>
      </c>
      <c r="I969" s="5" t="str">
        <f>IFERROR(__xludf.DUMMYFUNCTION("""COMPUTED_VALUE"""),"")</f>
        <v/>
      </c>
      <c r="J969" s="5" t="str">
        <f>IFERROR(__xludf.DUMMYFUNCTION("""COMPUTED_VALUE"""),"")</f>
        <v/>
      </c>
      <c r="K969" s="5" t="str">
        <f>IFERROR(__xludf.DUMMYFUNCTION("""COMPUTED_VALUE"""),"")</f>
        <v/>
      </c>
      <c r="L969" s="5" t="str">
        <f>IFERROR(__xludf.DUMMYFUNCTION("""COMPUTED_VALUE"""),"")</f>
        <v/>
      </c>
      <c r="M969" s="5" t="str">
        <f>IFERROR(__xludf.DUMMYFUNCTION("""COMPUTED_VALUE"""),"")</f>
        <v/>
      </c>
      <c r="N969" s="5" t="str">
        <f>IFERROR(__xludf.DUMMYFUNCTION("""COMPUTED_VALUE"""),"")</f>
        <v/>
      </c>
      <c r="O969" s="5" t="str">
        <f>IFERROR(__xludf.DUMMYFUNCTION("""COMPUTED_VALUE"""),"")</f>
        <v/>
      </c>
      <c r="P969" s="5" t="str">
        <f>IFERROR(__xludf.DUMMYFUNCTION("""COMPUTED_VALUE"""),"")</f>
        <v/>
      </c>
      <c r="Q969" s="5" t="str">
        <f>IFERROR(__xludf.DUMMYFUNCTION("""COMPUTED_VALUE"""),"")</f>
        <v/>
      </c>
      <c r="R969" s="5" t="str">
        <f>IFERROR(__xludf.DUMMYFUNCTION("""COMPUTED_VALUE"""),"")</f>
        <v/>
      </c>
      <c r="S969" s="5" t="str">
        <f>IFERROR(__xludf.DUMMYFUNCTION("""COMPUTED_VALUE"""),"")</f>
        <v/>
      </c>
      <c r="T969" s="5" t="str">
        <f>IFERROR(__xludf.DUMMYFUNCTION("""COMPUTED_VALUE"""),"")</f>
        <v/>
      </c>
      <c r="U969" s="5" t="str">
        <f>IFERROR(__xludf.DUMMYFUNCTION("""COMPUTED_VALUE"""),"")</f>
        <v/>
      </c>
      <c r="V969" s="5" t="str">
        <f>IFERROR(__xludf.DUMMYFUNCTION("""COMPUTED_VALUE"""),"")</f>
        <v/>
      </c>
      <c r="W969" s="5" t="str">
        <f>IFERROR(__xludf.DUMMYFUNCTION("""COMPUTED_VALUE"""),"")</f>
        <v/>
      </c>
      <c r="X969" s="5" t="str">
        <f>IFERROR(__xludf.DUMMYFUNCTION("""COMPUTED_VALUE"""),"")</f>
        <v/>
      </c>
      <c r="Y969" s="5"/>
      <c r="Z969" s="5"/>
    </row>
    <row r="970">
      <c r="A970" s="5"/>
      <c r="B970" s="5" t="str">
        <f>IFERROR(__xludf.DUMMYFUNCTION("""COMPUTED_VALUE"""),"")</f>
        <v/>
      </c>
      <c r="C970" s="5" t="str">
        <f>IFERROR(__xludf.DUMMYFUNCTION("""COMPUTED_VALUE"""),"")</f>
        <v/>
      </c>
      <c r="D970" s="5" t="str">
        <f>IFERROR(__xludf.DUMMYFUNCTION("""COMPUTED_VALUE"""),"")</f>
        <v/>
      </c>
      <c r="E970" s="5" t="str">
        <f>IFERROR(__xludf.DUMMYFUNCTION("""COMPUTED_VALUE"""),"")</f>
        <v/>
      </c>
      <c r="F970" s="5" t="str">
        <f>IFERROR(__xludf.DUMMYFUNCTION("""COMPUTED_VALUE"""),"")</f>
        <v/>
      </c>
      <c r="G970" s="5" t="str">
        <f>IFERROR(__xludf.DUMMYFUNCTION("""COMPUTED_VALUE"""),"")</f>
        <v/>
      </c>
      <c r="H970" s="5" t="str">
        <f>IFERROR(__xludf.DUMMYFUNCTION("""COMPUTED_VALUE"""),"")</f>
        <v/>
      </c>
      <c r="I970" s="5" t="str">
        <f>IFERROR(__xludf.DUMMYFUNCTION("""COMPUTED_VALUE"""),"")</f>
        <v/>
      </c>
      <c r="J970" s="5" t="str">
        <f>IFERROR(__xludf.DUMMYFUNCTION("""COMPUTED_VALUE"""),"")</f>
        <v/>
      </c>
      <c r="K970" s="5" t="str">
        <f>IFERROR(__xludf.DUMMYFUNCTION("""COMPUTED_VALUE"""),"")</f>
        <v/>
      </c>
      <c r="L970" s="5" t="str">
        <f>IFERROR(__xludf.DUMMYFUNCTION("""COMPUTED_VALUE"""),"")</f>
        <v/>
      </c>
      <c r="M970" s="5" t="str">
        <f>IFERROR(__xludf.DUMMYFUNCTION("""COMPUTED_VALUE"""),"")</f>
        <v/>
      </c>
      <c r="N970" s="5" t="str">
        <f>IFERROR(__xludf.DUMMYFUNCTION("""COMPUTED_VALUE"""),"")</f>
        <v/>
      </c>
      <c r="O970" s="5" t="str">
        <f>IFERROR(__xludf.DUMMYFUNCTION("""COMPUTED_VALUE"""),"")</f>
        <v/>
      </c>
      <c r="P970" s="5" t="str">
        <f>IFERROR(__xludf.DUMMYFUNCTION("""COMPUTED_VALUE"""),"")</f>
        <v/>
      </c>
      <c r="Q970" s="5" t="str">
        <f>IFERROR(__xludf.DUMMYFUNCTION("""COMPUTED_VALUE"""),"")</f>
        <v/>
      </c>
      <c r="R970" s="5" t="str">
        <f>IFERROR(__xludf.DUMMYFUNCTION("""COMPUTED_VALUE"""),"")</f>
        <v/>
      </c>
      <c r="S970" s="5" t="str">
        <f>IFERROR(__xludf.DUMMYFUNCTION("""COMPUTED_VALUE"""),"")</f>
        <v/>
      </c>
      <c r="T970" s="5" t="str">
        <f>IFERROR(__xludf.DUMMYFUNCTION("""COMPUTED_VALUE"""),"")</f>
        <v/>
      </c>
      <c r="U970" s="5" t="str">
        <f>IFERROR(__xludf.DUMMYFUNCTION("""COMPUTED_VALUE"""),"")</f>
        <v/>
      </c>
      <c r="V970" s="5" t="str">
        <f>IFERROR(__xludf.DUMMYFUNCTION("""COMPUTED_VALUE"""),"")</f>
        <v/>
      </c>
      <c r="W970" s="5" t="str">
        <f>IFERROR(__xludf.DUMMYFUNCTION("""COMPUTED_VALUE"""),"")</f>
        <v/>
      </c>
      <c r="X970" s="5" t="str">
        <f>IFERROR(__xludf.DUMMYFUNCTION("""COMPUTED_VALUE"""),"")</f>
        <v/>
      </c>
      <c r="Y970" s="5"/>
      <c r="Z970" s="5"/>
    </row>
    <row r="971">
      <c r="A971" s="5"/>
      <c r="B971" s="5" t="str">
        <f>IFERROR(__xludf.DUMMYFUNCTION("""COMPUTED_VALUE"""),"")</f>
        <v/>
      </c>
      <c r="C971" s="5" t="str">
        <f>IFERROR(__xludf.DUMMYFUNCTION("""COMPUTED_VALUE"""),"")</f>
        <v/>
      </c>
      <c r="D971" s="5" t="str">
        <f>IFERROR(__xludf.DUMMYFUNCTION("""COMPUTED_VALUE"""),"")</f>
        <v/>
      </c>
      <c r="E971" s="5" t="str">
        <f>IFERROR(__xludf.DUMMYFUNCTION("""COMPUTED_VALUE"""),"")</f>
        <v/>
      </c>
      <c r="F971" s="5" t="str">
        <f>IFERROR(__xludf.DUMMYFUNCTION("""COMPUTED_VALUE"""),"")</f>
        <v/>
      </c>
      <c r="G971" s="5" t="str">
        <f>IFERROR(__xludf.DUMMYFUNCTION("""COMPUTED_VALUE"""),"")</f>
        <v/>
      </c>
      <c r="H971" s="5" t="str">
        <f>IFERROR(__xludf.DUMMYFUNCTION("""COMPUTED_VALUE"""),"")</f>
        <v/>
      </c>
      <c r="I971" s="5" t="str">
        <f>IFERROR(__xludf.DUMMYFUNCTION("""COMPUTED_VALUE"""),"")</f>
        <v/>
      </c>
      <c r="J971" s="5" t="str">
        <f>IFERROR(__xludf.DUMMYFUNCTION("""COMPUTED_VALUE"""),"")</f>
        <v/>
      </c>
      <c r="K971" s="5" t="str">
        <f>IFERROR(__xludf.DUMMYFUNCTION("""COMPUTED_VALUE"""),"")</f>
        <v/>
      </c>
      <c r="L971" s="5" t="str">
        <f>IFERROR(__xludf.DUMMYFUNCTION("""COMPUTED_VALUE"""),"")</f>
        <v/>
      </c>
      <c r="M971" s="5" t="str">
        <f>IFERROR(__xludf.DUMMYFUNCTION("""COMPUTED_VALUE"""),"")</f>
        <v/>
      </c>
      <c r="N971" s="5" t="str">
        <f>IFERROR(__xludf.DUMMYFUNCTION("""COMPUTED_VALUE"""),"")</f>
        <v/>
      </c>
      <c r="O971" s="5" t="str">
        <f>IFERROR(__xludf.DUMMYFUNCTION("""COMPUTED_VALUE"""),"")</f>
        <v/>
      </c>
      <c r="P971" s="5" t="str">
        <f>IFERROR(__xludf.DUMMYFUNCTION("""COMPUTED_VALUE"""),"")</f>
        <v/>
      </c>
      <c r="Q971" s="5" t="str">
        <f>IFERROR(__xludf.DUMMYFUNCTION("""COMPUTED_VALUE"""),"")</f>
        <v/>
      </c>
      <c r="R971" s="5" t="str">
        <f>IFERROR(__xludf.DUMMYFUNCTION("""COMPUTED_VALUE"""),"")</f>
        <v/>
      </c>
      <c r="S971" s="5" t="str">
        <f>IFERROR(__xludf.DUMMYFUNCTION("""COMPUTED_VALUE"""),"")</f>
        <v/>
      </c>
      <c r="T971" s="5" t="str">
        <f>IFERROR(__xludf.DUMMYFUNCTION("""COMPUTED_VALUE"""),"")</f>
        <v/>
      </c>
      <c r="U971" s="5" t="str">
        <f>IFERROR(__xludf.DUMMYFUNCTION("""COMPUTED_VALUE"""),"")</f>
        <v/>
      </c>
      <c r="V971" s="5" t="str">
        <f>IFERROR(__xludf.DUMMYFUNCTION("""COMPUTED_VALUE"""),"")</f>
        <v/>
      </c>
      <c r="W971" s="5" t="str">
        <f>IFERROR(__xludf.DUMMYFUNCTION("""COMPUTED_VALUE"""),"")</f>
        <v/>
      </c>
      <c r="X971" s="5" t="str">
        <f>IFERROR(__xludf.DUMMYFUNCTION("""COMPUTED_VALUE"""),"")</f>
        <v/>
      </c>
      <c r="Y971" s="5"/>
      <c r="Z971" s="5"/>
    </row>
    <row r="972">
      <c r="A972" s="5"/>
      <c r="B972" s="5" t="str">
        <f>IFERROR(__xludf.DUMMYFUNCTION("""COMPUTED_VALUE"""),"")</f>
        <v/>
      </c>
      <c r="C972" s="5" t="str">
        <f>IFERROR(__xludf.DUMMYFUNCTION("""COMPUTED_VALUE"""),"")</f>
        <v/>
      </c>
      <c r="D972" s="5" t="str">
        <f>IFERROR(__xludf.DUMMYFUNCTION("""COMPUTED_VALUE"""),"")</f>
        <v/>
      </c>
      <c r="E972" s="5" t="str">
        <f>IFERROR(__xludf.DUMMYFUNCTION("""COMPUTED_VALUE"""),"")</f>
        <v/>
      </c>
      <c r="F972" s="5" t="str">
        <f>IFERROR(__xludf.DUMMYFUNCTION("""COMPUTED_VALUE"""),"")</f>
        <v/>
      </c>
      <c r="G972" s="5" t="str">
        <f>IFERROR(__xludf.DUMMYFUNCTION("""COMPUTED_VALUE"""),"")</f>
        <v/>
      </c>
      <c r="H972" s="5" t="str">
        <f>IFERROR(__xludf.DUMMYFUNCTION("""COMPUTED_VALUE"""),"")</f>
        <v/>
      </c>
      <c r="I972" s="5" t="str">
        <f>IFERROR(__xludf.DUMMYFUNCTION("""COMPUTED_VALUE"""),"")</f>
        <v/>
      </c>
      <c r="J972" s="5" t="str">
        <f>IFERROR(__xludf.DUMMYFUNCTION("""COMPUTED_VALUE"""),"")</f>
        <v/>
      </c>
      <c r="K972" s="5" t="str">
        <f>IFERROR(__xludf.DUMMYFUNCTION("""COMPUTED_VALUE"""),"")</f>
        <v/>
      </c>
      <c r="L972" s="5" t="str">
        <f>IFERROR(__xludf.DUMMYFUNCTION("""COMPUTED_VALUE"""),"")</f>
        <v/>
      </c>
      <c r="M972" s="5" t="str">
        <f>IFERROR(__xludf.DUMMYFUNCTION("""COMPUTED_VALUE"""),"")</f>
        <v/>
      </c>
      <c r="N972" s="5" t="str">
        <f>IFERROR(__xludf.DUMMYFUNCTION("""COMPUTED_VALUE"""),"")</f>
        <v/>
      </c>
      <c r="O972" s="5" t="str">
        <f>IFERROR(__xludf.DUMMYFUNCTION("""COMPUTED_VALUE"""),"")</f>
        <v/>
      </c>
      <c r="P972" s="5" t="str">
        <f>IFERROR(__xludf.DUMMYFUNCTION("""COMPUTED_VALUE"""),"")</f>
        <v/>
      </c>
      <c r="Q972" s="5" t="str">
        <f>IFERROR(__xludf.DUMMYFUNCTION("""COMPUTED_VALUE"""),"")</f>
        <v/>
      </c>
      <c r="R972" s="5" t="str">
        <f>IFERROR(__xludf.DUMMYFUNCTION("""COMPUTED_VALUE"""),"")</f>
        <v/>
      </c>
      <c r="S972" s="5" t="str">
        <f>IFERROR(__xludf.DUMMYFUNCTION("""COMPUTED_VALUE"""),"")</f>
        <v/>
      </c>
      <c r="T972" s="5" t="str">
        <f>IFERROR(__xludf.DUMMYFUNCTION("""COMPUTED_VALUE"""),"")</f>
        <v/>
      </c>
      <c r="U972" s="5" t="str">
        <f>IFERROR(__xludf.DUMMYFUNCTION("""COMPUTED_VALUE"""),"")</f>
        <v/>
      </c>
      <c r="V972" s="5" t="str">
        <f>IFERROR(__xludf.DUMMYFUNCTION("""COMPUTED_VALUE"""),"")</f>
        <v/>
      </c>
      <c r="W972" s="5" t="str">
        <f>IFERROR(__xludf.DUMMYFUNCTION("""COMPUTED_VALUE"""),"")</f>
        <v/>
      </c>
      <c r="X972" s="5" t="str">
        <f>IFERROR(__xludf.DUMMYFUNCTION("""COMPUTED_VALUE"""),"")</f>
        <v/>
      </c>
      <c r="Y972" s="5"/>
      <c r="Z972" s="5"/>
    </row>
    <row r="973">
      <c r="A973" s="5"/>
      <c r="B973" s="5" t="str">
        <f>IFERROR(__xludf.DUMMYFUNCTION("""COMPUTED_VALUE"""),"")</f>
        <v/>
      </c>
      <c r="C973" s="5" t="str">
        <f>IFERROR(__xludf.DUMMYFUNCTION("""COMPUTED_VALUE"""),"")</f>
        <v/>
      </c>
      <c r="D973" s="5" t="str">
        <f>IFERROR(__xludf.DUMMYFUNCTION("""COMPUTED_VALUE"""),"")</f>
        <v/>
      </c>
      <c r="E973" s="5" t="str">
        <f>IFERROR(__xludf.DUMMYFUNCTION("""COMPUTED_VALUE"""),"")</f>
        <v/>
      </c>
      <c r="F973" s="5" t="str">
        <f>IFERROR(__xludf.DUMMYFUNCTION("""COMPUTED_VALUE"""),"")</f>
        <v/>
      </c>
      <c r="G973" s="5" t="str">
        <f>IFERROR(__xludf.DUMMYFUNCTION("""COMPUTED_VALUE"""),"")</f>
        <v/>
      </c>
      <c r="H973" s="5" t="str">
        <f>IFERROR(__xludf.DUMMYFUNCTION("""COMPUTED_VALUE"""),"")</f>
        <v/>
      </c>
      <c r="I973" s="5" t="str">
        <f>IFERROR(__xludf.DUMMYFUNCTION("""COMPUTED_VALUE"""),"")</f>
        <v/>
      </c>
      <c r="J973" s="5" t="str">
        <f>IFERROR(__xludf.DUMMYFUNCTION("""COMPUTED_VALUE"""),"")</f>
        <v/>
      </c>
      <c r="K973" s="5" t="str">
        <f>IFERROR(__xludf.DUMMYFUNCTION("""COMPUTED_VALUE"""),"")</f>
        <v/>
      </c>
      <c r="L973" s="5" t="str">
        <f>IFERROR(__xludf.DUMMYFUNCTION("""COMPUTED_VALUE"""),"")</f>
        <v/>
      </c>
      <c r="M973" s="5" t="str">
        <f>IFERROR(__xludf.DUMMYFUNCTION("""COMPUTED_VALUE"""),"")</f>
        <v/>
      </c>
      <c r="N973" s="5" t="str">
        <f>IFERROR(__xludf.DUMMYFUNCTION("""COMPUTED_VALUE"""),"")</f>
        <v/>
      </c>
      <c r="O973" s="5" t="str">
        <f>IFERROR(__xludf.DUMMYFUNCTION("""COMPUTED_VALUE"""),"")</f>
        <v/>
      </c>
      <c r="P973" s="5" t="str">
        <f>IFERROR(__xludf.DUMMYFUNCTION("""COMPUTED_VALUE"""),"")</f>
        <v/>
      </c>
      <c r="Q973" s="5" t="str">
        <f>IFERROR(__xludf.DUMMYFUNCTION("""COMPUTED_VALUE"""),"")</f>
        <v/>
      </c>
      <c r="R973" s="5" t="str">
        <f>IFERROR(__xludf.DUMMYFUNCTION("""COMPUTED_VALUE"""),"")</f>
        <v/>
      </c>
      <c r="S973" s="5" t="str">
        <f>IFERROR(__xludf.DUMMYFUNCTION("""COMPUTED_VALUE"""),"")</f>
        <v/>
      </c>
      <c r="T973" s="5" t="str">
        <f>IFERROR(__xludf.DUMMYFUNCTION("""COMPUTED_VALUE"""),"")</f>
        <v/>
      </c>
      <c r="U973" s="5" t="str">
        <f>IFERROR(__xludf.DUMMYFUNCTION("""COMPUTED_VALUE"""),"")</f>
        <v/>
      </c>
      <c r="V973" s="5" t="str">
        <f>IFERROR(__xludf.DUMMYFUNCTION("""COMPUTED_VALUE"""),"")</f>
        <v/>
      </c>
      <c r="W973" s="5" t="str">
        <f>IFERROR(__xludf.DUMMYFUNCTION("""COMPUTED_VALUE"""),"")</f>
        <v/>
      </c>
      <c r="X973" s="5" t="str">
        <f>IFERROR(__xludf.DUMMYFUNCTION("""COMPUTED_VALUE"""),"")</f>
        <v/>
      </c>
      <c r="Y973" s="5"/>
      <c r="Z973" s="5"/>
    </row>
    <row r="974">
      <c r="A974" s="5"/>
      <c r="B974" s="5" t="str">
        <f>IFERROR(__xludf.DUMMYFUNCTION("""COMPUTED_VALUE"""),"")</f>
        <v/>
      </c>
      <c r="C974" s="5" t="str">
        <f>IFERROR(__xludf.DUMMYFUNCTION("""COMPUTED_VALUE"""),"")</f>
        <v/>
      </c>
      <c r="D974" s="5" t="str">
        <f>IFERROR(__xludf.DUMMYFUNCTION("""COMPUTED_VALUE"""),"")</f>
        <v/>
      </c>
      <c r="E974" s="5" t="str">
        <f>IFERROR(__xludf.DUMMYFUNCTION("""COMPUTED_VALUE"""),"")</f>
        <v/>
      </c>
      <c r="F974" s="5" t="str">
        <f>IFERROR(__xludf.DUMMYFUNCTION("""COMPUTED_VALUE"""),"")</f>
        <v/>
      </c>
      <c r="G974" s="5" t="str">
        <f>IFERROR(__xludf.DUMMYFUNCTION("""COMPUTED_VALUE"""),"")</f>
        <v/>
      </c>
      <c r="H974" s="5" t="str">
        <f>IFERROR(__xludf.DUMMYFUNCTION("""COMPUTED_VALUE"""),"")</f>
        <v/>
      </c>
      <c r="I974" s="5" t="str">
        <f>IFERROR(__xludf.DUMMYFUNCTION("""COMPUTED_VALUE"""),"")</f>
        <v/>
      </c>
      <c r="J974" s="5" t="str">
        <f>IFERROR(__xludf.DUMMYFUNCTION("""COMPUTED_VALUE"""),"")</f>
        <v/>
      </c>
      <c r="K974" s="5" t="str">
        <f>IFERROR(__xludf.DUMMYFUNCTION("""COMPUTED_VALUE"""),"")</f>
        <v/>
      </c>
      <c r="L974" s="5" t="str">
        <f>IFERROR(__xludf.DUMMYFUNCTION("""COMPUTED_VALUE"""),"")</f>
        <v/>
      </c>
      <c r="M974" s="5" t="str">
        <f>IFERROR(__xludf.DUMMYFUNCTION("""COMPUTED_VALUE"""),"")</f>
        <v/>
      </c>
      <c r="N974" s="5" t="str">
        <f>IFERROR(__xludf.DUMMYFUNCTION("""COMPUTED_VALUE"""),"")</f>
        <v/>
      </c>
      <c r="O974" s="5" t="str">
        <f>IFERROR(__xludf.DUMMYFUNCTION("""COMPUTED_VALUE"""),"")</f>
        <v/>
      </c>
      <c r="P974" s="5" t="str">
        <f>IFERROR(__xludf.DUMMYFUNCTION("""COMPUTED_VALUE"""),"")</f>
        <v/>
      </c>
      <c r="Q974" s="5" t="str">
        <f>IFERROR(__xludf.DUMMYFUNCTION("""COMPUTED_VALUE"""),"")</f>
        <v/>
      </c>
      <c r="R974" s="5" t="str">
        <f>IFERROR(__xludf.DUMMYFUNCTION("""COMPUTED_VALUE"""),"")</f>
        <v/>
      </c>
      <c r="S974" s="5" t="str">
        <f>IFERROR(__xludf.DUMMYFUNCTION("""COMPUTED_VALUE"""),"")</f>
        <v/>
      </c>
      <c r="T974" s="5" t="str">
        <f>IFERROR(__xludf.DUMMYFUNCTION("""COMPUTED_VALUE"""),"")</f>
        <v/>
      </c>
      <c r="U974" s="5" t="str">
        <f>IFERROR(__xludf.DUMMYFUNCTION("""COMPUTED_VALUE"""),"")</f>
        <v/>
      </c>
      <c r="V974" s="5" t="str">
        <f>IFERROR(__xludf.DUMMYFUNCTION("""COMPUTED_VALUE"""),"")</f>
        <v/>
      </c>
      <c r="W974" s="5" t="str">
        <f>IFERROR(__xludf.DUMMYFUNCTION("""COMPUTED_VALUE"""),"")</f>
        <v/>
      </c>
      <c r="X974" s="5" t="str">
        <f>IFERROR(__xludf.DUMMYFUNCTION("""COMPUTED_VALUE"""),"")</f>
        <v/>
      </c>
      <c r="Y974" s="5"/>
      <c r="Z974" s="5"/>
    </row>
    <row r="975">
      <c r="A975" s="5"/>
      <c r="B975" s="5" t="str">
        <f>IFERROR(__xludf.DUMMYFUNCTION("""COMPUTED_VALUE"""),"")</f>
        <v/>
      </c>
      <c r="C975" s="5" t="str">
        <f>IFERROR(__xludf.DUMMYFUNCTION("""COMPUTED_VALUE"""),"")</f>
        <v/>
      </c>
      <c r="D975" s="5" t="str">
        <f>IFERROR(__xludf.DUMMYFUNCTION("""COMPUTED_VALUE"""),"")</f>
        <v/>
      </c>
      <c r="E975" s="5" t="str">
        <f>IFERROR(__xludf.DUMMYFUNCTION("""COMPUTED_VALUE"""),"")</f>
        <v/>
      </c>
      <c r="F975" s="5" t="str">
        <f>IFERROR(__xludf.DUMMYFUNCTION("""COMPUTED_VALUE"""),"")</f>
        <v/>
      </c>
      <c r="G975" s="5" t="str">
        <f>IFERROR(__xludf.DUMMYFUNCTION("""COMPUTED_VALUE"""),"")</f>
        <v/>
      </c>
      <c r="H975" s="5" t="str">
        <f>IFERROR(__xludf.DUMMYFUNCTION("""COMPUTED_VALUE"""),"")</f>
        <v/>
      </c>
      <c r="I975" s="5" t="str">
        <f>IFERROR(__xludf.DUMMYFUNCTION("""COMPUTED_VALUE"""),"")</f>
        <v/>
      </c>
      <c r="J975" s="5" t="str">
        <f>IFERROR(__xludf.DUMMYFUNCTION("""COMPUTED_VALUE"""),"")</f>
        <v/>
      </c>
      <c r="K975" s="5" t="str">
        <f>IFERROR(__xludf.DUMMYFUNCTION("""COMPUTED_VALUE"""),"")</f>
        <v/>
      </c>
      <c r="L975" s="5" t="str">
        <f>IFERROR(__xludf.DUMMYFUNCTION("""COMPUTED_VALUE"""),"")</f>
        <v/>
      </c>
      <c r="M975" s="5" t="str">
        <f>IFERROR(__xludf.DUMMYFUNCTION("""COMPUTED_VALUE"""),"")</f>
        <v/>
      </c>
      <c r="N975" s="5" t="str">
        <f>IFERROR(__xludf.DUMMYFUNCTION("""COMPUTED_VALUE"""),"")</f>
        <v/>
      </c>
      <c r="O975" s="5" t="str">
        <f>IFERROR(__xludf.DUMMYFUNCTION("""COMPUTED_VALUE"""),"")</f>
        <v/>
      </c>
      <c r="P975" s="5" t="str">
        <f>IFERROR(__xludf.DUMMYFUNCTION("""COMPUTED_VALUE"""),"")</f>
        <v/>
      </c>
      <c r="Q975" s="5" t="str">
        <f>IFERROR(__xludf.DUMMYFUNCTION("""COMPUTED_VALUE"""),"")</f>
        <v/>
      </c>
      <c r="R975" s="5" t="str">
        <f>IFERROR(__xludf.DUMMYFUNCTION("""COMPUTED_VALUE"""),"")</f>
        <v/>
      </c>
      <c r="S975" s="5" t="str">
        <f>IFERROR(__xludf.DUMMYFUNCTION("""COMPUTED_VALUE"""),"")</f>
        <v/>
      </c>
      <c r="T975" s="5" t="str">
        <f>IFERROR(__xludf.DUMMYFUNCTION("""COMPUTED_VALUE"""),"")</f>
        <v/>
      </c>
      <c r="U975" s="5" t="str">
        <f>IFERROR(__xludf.DUMMYFUNCTION("""COMPUTED_VALUE"""),"")</f>
        <v/>
      </c>
      <c r="V975" s="5" t="str">
        <f>IFERROR(__xludf.DUMMYFUNCTION("""COMPUTED_VALUE"""),"")</f>
        <v/>
      </c>
      <c r="W975" s="5" t="str">
        <f>IFERROR(__xludf.DUMMYFUNCTION("""COMPUTED_VALUE"""),"")</f>
        <v/>
      </c>
      <c r="X975" s="5" t="str">
        <f>IFERROR(__xludf.DUMMYFUNCTION("""COMPUTED_VALUE"""),"")</f>
        <v/>
      </c>
      <c r="Y975" s="5"/>
      <c r="Z975" s="5"/>
    </row>
    <row r="976">
      <c r="A976" s="5"/>
      <c r="B976" s="5" t="str">
        <f>IFERROR(__xludf.DUMMYFUNCTION("""COMPUTED_VALUE"""),"")</f>
        <v/>
      </c>
      <c r="C976" s="5" t="str">
        <f>IFERROR(__xludf.DUMMYFUNCTION("""COMPUTED_VALUE"""),"")</f>
        <v/>
      </c>
      <c r="D976" s="5" t="str">
        <f>IFERROR(__xludf.DUMMYFUNCTION("""COMPUTED_VALUE"""),"")</f>
        <v/>
      </c>
      <c r="E976" s="5" t="str">
        <f>IFERROR(__xludf.DUMMYFUNCTION("""COMPUTED_VALUE"""),"")</f>
        <v/>
      </c>
      <c r="F976" s="5" t="str">
        <f>IFERROR(__xludf.DUMMYFUNCTION("""COMPUTED_VALUE"""),"")</f>
        <v/>
      </c>
      <c r="G976" s="5" t="str">
        <f>IFERROR(__xludf.DUMMYFUNCTION("""COMPUTED_VALUE"""),"")</f>
        <v/>
      </c>
      <c r="H976" s="5" t="str">
        <f>IFERROR(__xludf.DUMMYFUNCTION("""COMPUTED_VALUE"""),"")</f>
        <v/>
      </c>
      <c r="I976" s="5" t="str">
        <f>IFERROR(__xludf.DUMMYFUNCTION("""COMPUTED_VALUE"""),"")</f>
        <v/>
      </c>
      <c r="J976" s="5" t="str">
        <f>IFERROR(__xludf.DUMMYFUNCTION("""COMPUTED_VALUE"""),"")</f>
        <v/>
      </c>
      <c r="K976" s="5" t="str">
        <f>IFERROR(__xludf.DUMMYFUNCTION("""COMPUTED_VALUE"""),"")</f>
        <v/>
      </c>
      <c r="L976" s="5" t="str">
        <f>IFERROR(__xludf.DUMMYFUNCTION("""COMPUTED_VALUE"""),"")</f>
        <v/>
      </c>
      <c r="M976" s="5" t="str">
        <f>IFERROR(__xludf.DUMMYFUNCTION("""COMPUTED_VALUE"""),"")</f>
        <v/>
      </c>
      <c r="N976" s="5" t="str">
        <f>IFERROR(__xludf.DUMMYFUNCTION("""COMPUTED_VALUE"""),"")</f>
        <v/>
      </c>
      <c r="O976" s="5" t="str">
        <f>IFERROR(__xludf.DUMMYFUNCTION("""COMPUTED_VALUE"""),"")</f>
        <v/>
      </c>
      <c r="P976" s="5" t="str">
        <f>IFERROR(__xludf.DUMMYFUNCTION("""COMPUTED_VALUE"""),"")</f>
        <v/>
      </c>
      <c r="Q976" s="5" t="str">
        <f>IFERROR(__xludf.DUMMYFUNCTION("""COMPUTED_VALUE"""),"")</f>
        <v/>
      </c>
      <c r="R976" s="5" t="str">
        <f>IFERROR(__xludf.DUMMYFUNCTION("""COMPUTED_VALUE"""),"")</f>
        <v/>
      </c>
      <c r="S976" s="5" t="str">
        <f>IFERROR(__xludf.DUMMYFUNCTION("""COMPUTED_VALUE"""),"")</f>
        <v/>
      </c>
      <c r="T976" s="5" t="str">
        <f>IFERROR(__xludf.DUMMYFUNCTION("""COMPUTED_VALUE"""),"")</f>
        <v/>
      </c>
      <c r="U976" s="5" t="str">
        <f>IFERROR(__xludf.DUMMYFUNCTION("""COMPUTED_VALUE"""),"")</f>
        <v/>
      </c>
      <c r="V976" s="5" t="str">
        <f>IFERROR(__xludf.DUMMYFUNCTION("""COMPUTED_VALUE"""),"")</f>
        <v/>
      </c>
      <c r="W976" s="5" t="str">
        <f>IFERROR(__xludf.DUMMYFUNCTION("""COMPUTED_VALUE"""),"")</f>
        <v/>
      </c>
      <c r="X976" s="5" t="str">
        <f>IFERROR(__xludf.DUMMYFUNCTION("""COMPUTED_VALUE"""),"")</f>
        <v/>
      </c>
      <c r="Y976" s="5"/>
      <c r="Z976" s="5"/>
    </row>
    <row r="977">
      <c r="A977" s="5"/>
      <c r="B977" s="5" t="str">
        <f>IFERROR(__xludf.DUMMYFUNCTION("""COMPUTED_VALUE"""),"")</f>
        <v/>
      </c>
      <c r="C977" s="5" t="str">
        <f>IFERROR(__xludf.DUMMYFUNCTION("""COMPUTED_VALUE"""),"")</f>
        <v/>
      </c>
      <c r="D977" s="5" t="str">
        <f>IFERROR(__xludf.DUMMYFUNCTION("""COMPUTED_VALUE"""),"")</f>
        <v/>
      </c>
      <c r="E977" s="5" t="str">
        <f>IFERROR(__xludf.DUMMYFUNCTION("""COMPUTED_VALUE"""),"")</f>
        <v/>
      </c>
      <c r="F977" s="5" t="str">
        <f>IFERROR(__xludf.DUMMYFUNCTION("""COMPUTED_VALUE"""),"")</f>
        <v/>
      </c>
      <c r="G977" s="5" t="str">
        <f>IFERROR(__xludf.DUMMYFUNCTION("""COMPUTED_VALUE"""),"")</f>
        <v/>
      </c>
      <c r="H977" s="5" t="str">
        <f>IFERROR(__xludf.DUMMYFUNCTION("""COMPUTED_VALUE"""),"")</f>
        <v/>
      </c>
      <c r="I977" s="5" t="str">
        <f>IFERROR(__xludf.DUMMYFUNCTION("""COMPUTED_VALUE"""),"")</f>
        <v/>
      </c>
      <c r="J977" s="5" t="str">
        <f>IFERROR(__xludf.DUMMYFUNCTION("""COMPUTED_VALUE"""),"")</f>
        <v/>
      </c>
      <c r="K977" s="5" t="str">
        <f>IFERROR(__xludf.DUMMYFUNCTION("""COMPUTED_VALUE"""),"")</f>
        <v/>
      </c>
      <c r="L977" s="5" t="str">
        <f>IFERROR(__xludf.DUMMYFUNCTION("""COMPUTED_VALUE"""),"")</f>
        <v/>
      </c>
      <c r="M977" s="5" t="str">
        <f>IFERROR(__xludf.DUMMYFUNCTION("""COMPUTED_VALUE"""),"")</f>
        <v/>
      </c>
      <c r="N977" s="5" t="str">
        <f>IFERROR(__xludf.DUMMYFUNCTION("""COMPUTED_VALUE"""),"")</f>
        <v/>
      </c>
      <c r="O977" s="5" t="str">
        <f>IFERROR(__xludf.DUMMYFUNCTION("""COMPUTED_VALUE"""),"")</f>
        <v/>
      </c>
      <c r="P977" s="5" t="str">
        <f>IFERROR(__xludf.DUMMYFUNCTION("""COMPUTED_VALUE"""),"")</f>
        <v/>
      </c>
      <c r="Q977" s="5" t="str">
        <f>IFERROR(__xludf.DUMMYFUNCTION("""COMPUTED_VALUE"""),"")</f>
        <v/>
      </c>
      <c r="R977" s="5" t="str">
        <f>IFERROR(__xludf.DUMMYFUNCTION("""COMPUTED_VALUE"""),"")</f>
        <v/>
      </c>
      <c r="S977" s="5" t="str">
        <f>IFERROR(__xludf.DUMMYFUNCTION("""COMPUTED_VALUE"""),"")</f>
        <v/>
      </c>
      <c r="T977" s="5" t="str">
        <f>IFERROR(__xludf.DUMMYFUNCTION("""COMPUTED_VALUE"""),"")</f>
        <v/>
      </c>
      <c r="U977" s="5" t="str">
        <f>IFERROR(__xludf.DUMMYFUNCTION("""COMPUTED_VALUE"""),"")</f>
        <v/>
      </c>
      <c r="V977" s="5" t="str">
        <f>IFERROR(__xludf.DUMMYFUNCTION("""COMPUTED_VALUE"""),"")</f>
        <v/>
      </c>
      <c r="W977" s="5" t="str">
        <f>IFERROR(__xludf.DUMMYFUNCTION("""COMPUTED_VALUE"""),"")</f>
        <v/>
      </c>
      <c r="X977" s="5" t="str">
        <f>IFERROR(__xludf.DUMMYFUNCTION("""COMPUTED_VALUE"""),"")</f>
        <v/>
      </c>
      <c r="Y977" s="5"/>
      <c r="Z977" s="5"/>
    </row>
    <row r="978">
      <c r="A978" s="5"/>
      <c r="B978" s="5" t="str">
        <f>IFERROR(__xludf.DUMMYFUNCTION("""COMPUTED_VALUE"""),"")</f>
        <v/>
      </c>
      <c r="C978" s="5" t="str">
        <f>IFERROR(__xludf.DUMMYFUNCTION("""COMPUTED_VALUE"""),"")</f>
        <v/>
      </c>
      <c r="D978" s="5" t="str">
        <f>IFERROR(__xludf.DUMMYFUNCTION("""COMPUTED_VALUE"""),"")</f>
        <v/>
      </c>
      <c r="E978" s="5" t="str">
        <f>IFERROR(__xludf.DUMMYFUNCTION("""COMPUTED_VALUE"""),"")</f>
        <v/>
      </c>
      <c r="F978" s="5" t="str">
        <f>IFERROR(__xludf.DUMMYFUNCTION("""COMPUTED_VALUE"""),"")</f>
        <v/>
      </c>
      <c r="G978" s="5" t="str">
        <f>IFERROR(__xludf.DUMMYFUNCTION("""COMPUTED_VALUE"""),"")</f>
        <v/>
      </c>
      <c r="H978" s="5" t="str">
        <f>IFERROR(__xludf.DUMMYFUNCTION("""COMPUTED_VALUE"""),"")</f>
        <v/>
      </c>
      <c r="I978" s="5" t="str">
        <f>IFERROR(__xludf.DUMMYFUNCTION("""COMPUTED_VALUE"""),"")</f>
        <v/>
      </c>
      <c r="J978" s="5" t="str">
        <f>IFERROR(__xludf.DUMMYFUNCTION("""COMPUTED_VALUE"""),"")</f>
        <v/>
      </c>
      <c r="K978" s="5" t="str">
        <f>IFERROR(__xludf.DUMMYFUNCTION("""COMPUTED_VALUE"""),"")</f>
        <v/>
      </c>
      <c r="L978" s="5" t="str">
        <f>IFERROR(__xludf.DUMMYFUNCTION("""COMPUTED_VALUE"""),"")</f>
        <v/>
      </c>
      <c r="M978" s="5" t="str">
        <f>IFERROR(__xludf.DUMMYFUNCTION("""COMPUTED_VALUE"""),"")</f>
        <v/>
      </c>
      <c r="N978" s="5" t="str">
        <f>IFERROR(__xludf.DUMMYFUNCTION("""COMPUTED_VALUE"""),"")</f>
        <v/>
      </c>
      <c r="O978" s="5" t="str">
        <f>IFERROR(__xludf.DUMMYFUNCTION("""COMPUTED_VALUE"""),"")</f>
        <v/>
      </c>
      <c r="P978" s="5" t="str">
        <f>IFERROR(__xludf.DUMMYFUNCTION("""COMPUTED_VALUE"""),"")</f>
        <v/>
      </c>
      <c r="Q978" s="5" t="str">
        <f>IFERROR(__xludf.DUMMYFUNCTION("""COMPUTED_VALUE"""),"")</f>
        <v/>
      </c>
      <c r="R978" s="5" t="str">
        <f>IFERROR(__xludf.DUMMYFUNCTION("""COMPUTED_VALUE"""),"")</f>
        <v/>
      </c>
      <c r="S978" s="5" t="str">
        <f>IFERROR(__xludf.DUMMYFUNCTION("""COMPUTED_VALUE"""),"")</f>
        <v/>
      </c>
      <c r="T978" s="5" t="str">
        <f>IFERROR(__xludf.DUMMYFUNCTION("""COMPUTED_VALUE"""),"")</f>
        <v/>
      </c>
      <c r="U978" s="5" t="str">
        <f>IFERROR(__xludf.DUMMYFUNCTION("""COMPUTED_VALUE"""),"")</f>
        <v/>
      </c>
      <c r="V978" s="5" t="str">
        <f>IFERROR(__xludf.DUMMYFUNCTION("""COMPUTED_VALUE"""),"")</f>
        <v/>
      </c>
      <c r="W978" s="5" t="str">
        <f>IFERROR(__xludf.DUMMYFUNCTION("""COMPUTED_VALUE"""),"")</f>
        <v/>
      </c>
      <c r="X978" s="5" t="str">
        <f>IFERROR(__xludf.DUMMYFUNCTION("""COMPUTED_VALUE"""),"")</f>
        <v/>
      </c>
      <c r="Y978" s="5"/>
      <c r="Z978" s="5"/>
    </row>
    <row r="979">
      <c r="A979" s="5"/>
      <c r="B979" s="5" t="str">
        <f>IFERROR(__xludf.DUMMYFUNCTION("""COMPUTED_VALUE"""),"")</f>
        <v/>
      </c>
      <c r="C979" s="5" t="str">
        <f>IFERROR(__xludf.DUMMYFUNCTION("""COMPUTED_VALUE"""),"")</f>
        <v/>
      </c>
      <c r="D979" s="5" t="str">
        <f>IFERROR(__xludf.DUMMYFUNCTION("""COMPUTED_VALUE"""),"")</f>
        <v/>
      </c>
      <c r="E979" s="5" t="str">
        <f>IFERROR(__xludf.DUMMYFUNCTION("""COMPUTED_VALUE"""),"")</f>
        <v/>
      </c>
      <c r="F979" s="5" t="str">
        <f>IFERROR(__xludf.DUMMYFUNCTION("""COMPUTED_VALUE"""),"")</f>
        <v/>
      </c>
      <c r="G979" s="5" t="str">
        <f>IFERROR(__xludf.DUMMYFUNCTION("""COMPUTED_VALUE"""),"")</f>
        <v/>
      </c>
      <c r="H979" s="5" t="str">
        <f>IFERROR(__xludf.DUMMYFUNCTION("""COMPUTED_VALUE"""),"")</f>
        <v/>
      </c>
      <c r="I979" s="5" t="str">
        <f>IFERROR(__xludf.DUMMYFUNCTION("""COMPUTED_VALUE"""),"")</f>
        <v/>
      </c>
      <c r="J979" s="5" t="str">
        <f>IFERROR(__xludf.DUMMYFUNCTION("""COMPUTED_VALUE"""),"")</f>
        <v/>
      </c>
      <c r="K979" s="5" t="str">
        <f>IFERROR(__xludf.DUMMYFUNCTION("""COMPUTED_VALUE"""),"")</f>
        <v/>
      </c>
      <c r="L979" s="5" t="str">
        <f>IFERROR(__xludf.DUMMYFUNCTION("""COMPUTED_VALUE"""),"")</f>
        <v/>
      </c>
      <c r="M979" s="5" t="str">
        <f>IFERROR(__xludf.DUMMYFUNCTION("""COMPUTED_VALUE"""),"")</f>
        <v/>
      </c>
      <c r="N979" s="5" t="str">
        <f>IFERROR(__xludf.DUMMYFUNCTION("""COMPUTED_VALUE"""),"")</f>
        <v/>
      </c>
      <c r="O979" s="5" t="str">
        <f>IFERROR(__xludf.DUMMYFUNCTION("""COMPUTED_VALUE"""),"")</f>
        <v/>
      </c>
      <c r="P979" s="5" t="str">
        <f>IFERROR(__xludf.DUMMYFUNCTION("""COMPUTED_VALUE"""),"")</f>
        <v/>
      </c>
      <c r="Q979" s="5" t="str">
        <f>IFERROR(__xludf.DUMMYFUNCTION("""COMPUTED_VALUE"""),"")</f>
        <v/>
      </c>
      <c r="R979" s="5" t="str">
        <f>IFERROR(__xludf.DUMMYFUNCTION("""COMPUTED_VALUE"""),"")</f>
        <v/>
      </c>
      <c r="S979" s="5" t="str">
        <f>IFERROR(__xludf.DUMMYFUNCTION("""COMPUTED_VALUE"""),"")</f>
        <v/>
      </c>
      <c r="T979" s="5" t="str">
        <f>IFERROR(__xludf.DUMMYFUNCTION("""COMPUTED_VALUE"""),"")</f>
        <v/>
      </c>
      <c r="U979" s="5" t="str">
        <f>IFERROR(__xludf.DUMMYFUNCTION("""COMPUTED_VALUE"""),"")</f>
        <v/>
      </c>
      <c r="V979" s="5" t="str">
        <f>IFERROR(__xludf.DUMMYFUNCTION("""COMPUTED_VALUE"""),"")</f>
        <v/>
      </c>
      <c r="W979" s="5" t="str">
        <f>IFERROR(__xludf.DUMMYFUNCTION("""COMPUTED_VALUE"""),"")</f>
        <v/>
      </c>
      <c r="X979" s="5" t="str">
        <f>IFERROR(__xludf.DUMMYFUNCTION("""COMPUTED_VALUE"""),"")</f>
        <v/>
      </c>
      <c r="Y979" s="5"/>
      <c r="Z979" s="5"/>
    </row>
    <row r="980">
      <c r="A980" s="5"/>
      <c r="B980" s="5" t="str">
        <f>IFERROR(__xludf.DUMMYFUNCTION("""COMPUTED_VALUE"""),"")</f>
        <v/>
      </c>
      <c r="C980" s="5" t="str">
        <f>IFERROR(__xludf.DUMMYFUNCTION("""COMPUTED_VALUE"""),"")</f>
        <v/>
      </c>
      <c r="D980" s="5" t="str">
        <f>IFERROR(__xludf.DUMMYFUNCTION("""COMPUTED_VALUE"""),"")</f>
        <v/>
      </c>
      <c r="E980" s="5" t="str">
        <f>IFERROR(__xludf.DUMMYFUNCTION("""COMPUTED_VALUE"""),"")</f>
        <v/>
      </c>
      <c r="F980" s="5" t="str">
        <f>IFERROR(__xludf.DUMMYFUNCTION("""COMPUTED_VALUE"""),"")</f>
        <v/>
      </c>
      <c r="G980" s="5" t="str">
        <f>IFERROR(__xludf.DUMMYFUNCTION("""COMPUTED_VALUE"""),"")</f>
        <v/>
      </c>
      <c r="H980" s="5" t="str">
        <f>IFERROR(__xludf.DUMMYFUNCTION("""COMPUTED_VALUE"""),"")</f>
        <v/>
      </c>
      <c r="I980" s="5" t="str">
        <f>IFERROR(__xludf.DUMMYFUNCTION("""COMPUTED_VALUE"""),"")</f>
        <v/>
      </c>
      <c r="J980" s="5" t="str">
        <f>IFERROR(__xludf.DUMMYFUNCTION("""COMPUTED_VALUE"""),"")</f>
        <v/>
      </c>
      <c r="K980" s="5" t="str">
        <f>IFERROR(__xludf.DUMMYFUNCTION("""COMPUTED_VALUE"""),"")</f>
        <v/>
      </c>
      <c r="L980" s="5" t="str">
        <f>IFERROR(__xludf.DUMMYFUNCTION("""COMPUTED_VALUE"""),"")</f>
        <v/>
      </c>
      <c r="M980" s="5" t="str">
        <f>IFERROR(__xludf.DUMMYFUNCTION("""COMPUTED_VALUE"""),"")</f>
        <v/>
      </c>
      <c r="N980" s="5" t="str">
        <f>IFERROR(__xludf.DUMMYFUNCTION("""COMPUTED_VALUE"""),"")</f>
        <v/>
      </c>
      <c r="O980" s="5" t="str">
        <f>IFERROR(__xludf.DUMMYFUNCTION("""COMPUTED_VALUE"""),"")</f>
        <v/>
      </c>
      <c r="P980" s="5" t="str">
        <f>IFERROR(__xludf.DUMMYFUNCTION("""COMPUTED_VALUE"""),"")</f>
        <v/>
      </c>
      <c r="Q980" s="5" t="str">
        <f>IFERROR(__xludf.DUMMYFUNCTION("""COMPUTED_VALUE"""),"")</f>
        <v/>
      </c>
      <c r="R980" s="5" t="str">
        <f>IFERROR(__xludf.DUMMYFUNCTION("""COMPUTED_VALUE"""),"")</f>
        <v/>
      </c>
      <c r="S980" s="5" t="str">
        <f>IFERROR(__xludf.DUMMYFUNCTION("""COMPUTED_VALUE"""),"")</f>
        <v/>
      </c>
      <c r="T980" s="5" t="str">
        <f>IFERROR(__xludf.DUMMYFUNCTION("""COMPUTED_VALUE"""),"")</f>
        <v/>
      </c>
      <c r="U980" s="5" t="str">
        <f>IFERROR(__xludf.DUMMYFUNCTION("""COMPUTED_VALUE"""),"")</f>
        <v/>
      </c>
      <c r="V980" s="5" t="str">
        <f>IFERROR(__xludf.DUMMYFUNCTION("""COMPUTED_VALUE"""),"")</f>
        <v/>
      </c>
      <c r="W980" s="5" t="str">
        <f>IFERROR(__xludf.DUMMYFUNCTION("""COMPUTED_VALUE"""),"")</f>
        <v/>
      </c>
      <c r="X980" s="5" t="str">
        <f>IFERROR(__xludf.DUMMYFUNCTION("""COMPUTED_VALUE"""),"")</f>
        <v/>
      </c>
      <c r="Y980" s="5"/>
      <c r="Z980" s="5"/>
    </row>
    <row r="981">
      <c r="A981" s="5"/>
      <c r="B981" s="5" t="str">
        <f>IFERROR(__xludf.DUMMYFUNCTION("""COMPUTED_VALUE"""),"")</f>
        <v/>
      </c>
      <c r="C981" s="5" t="str">
        <f>IFERROR(__xludf.DUMMYFUNCTION("""COMPUTED_VALUE"""),"")</f>
        <v/>
      </c>
      <c r="D981" s="5" t="str">
        <f>IFERROR(__xludf.DUMMYFUNCTION("""COMPUTED_VALUE"""),"")</f>
        <v/>
      </c>
      <c r="E981" s="5" t="str">
        <f>IFERROR(__xludf.DUMMYFUNCTION("""COMPUTED_VALUE"""),"")</f>
        <v/>
      </c>
      <c r="F981" s="5" t="str">
        <f>IFERROR(__xludf.DUMMYFUNCTION("""COMPUTED_VALUE"""),"")</f>
        <v/>
      </c>
      <c r="G981" s="5" t="str">
        <f>IFERROR(__xludf.DUMMYFUNCTION("""COMPUTED_VALUE"""),"")</f>
        <v/>
      </c>
      <c r="H981" s="5" t="str">
        <f>IFERROR(__xludf.DUMMYFUNCTION("""COMPUTED_VALUE"""),"")</f>
        <v/>
      </c>
      <c r="I981" s="5" t="str">
        <f>IFERROR(__xludf.DUMMYFUNCTION("""COMPUTED_VALUE"""),"")</f>
        <v/>
      </c>
      <c r="J981" s="5" t="str">
        <f>IFERROR(__xludf.DUMMYFUNCTION("""COMPUTED_VALUE"""),"")</f>
        <v/>
      </c>
      <c r="K981" s="5" t="str">
        <f>IFERROR(__xludf.DUMMYFUNCTION("""COMPUTED_VALUE"""),"")</f>
        <v/>
      </c>
      <c r="L981" s="5" t="str">
        <f>IFERROR(__xludf.DUMMYFUNCTION("""COMPUTED_VALUE"""),"")</f>
        <v/>
      </c>
      <c r="M981" s="5" t="str">
        <f>IFERROR(__xludf.DUMMYFUNCTION("""COMPUTED_VALUE"""),"")</f>
        <v/>
      </c>
      <c r="N981" s="5" t="str">
        <f>IFERROR(__xludf.DUMMYFUNCTION("""COMPUTED_VALUE"""),"")</f>
        <v/>
      </c>
      <c r="O981" s="5" t="str">
        <f>IFERROR(__xludf.DUMMYFUNCTION("""COMPUTED_VALUE"""),"")</f>
        <v/>
      </c>
      <c r="P981" s="5" t="str">
        <f>IFERROR(__xludf.DUMMYFUNCTION("""COMPUTED_VALUE"""),"")</f>
        <v/>
      </c>
      <c r="Q981" s="5" t="str">
        <f>IFERROR(__xludf.DUMMYFUNCTION("""COMPUTED_VALUE"""),"")</f>
        <v/>
      </c>
      <c r="R981" s="5" t="str">
        <f>IFERROR(__xludf.DUMMYFUNCTION("""COMPUTED_VALUE"""),"")</f>
        <v/>
      </c>
      <c r="S981" s="5" t="str">
        <f>IFERROR(__xludf.DUMMYFUNCTION("""COMPUTED_VALUE"""),"")</f>
        <v/>
      </c>
      <c r="T981" s="5" t="str">
        <f>IFERROR(__xludf.DUMMYFUNCTION("""COMPUTED_VALUE"""),"")</f>
        <v/>
      </c>
      <c r="U981" s="5" t="str">
        <f>IFERROR(__xludf.DUMMYFUNCTION("""COMPUTED_VALUE"""),"")</f>
        <v/>
      </c>
      <c r="V981" s="5" t="str">
        <f>IFERROR(__xludf.DUMMYFUNCTION("""COMPUTED_VALUE"""),"")</f>
        <v/>
      </c>
      <c r="W981" s="5" t="str">
        <f>IFERROR(__xludf.DUMMYFUNCTION("""COMPUTED_VALUE"""),"")</f>
        <v/>
      </c>
      <c r="X981" s="5" t="str">
        <f>IFERROR(__xludf.DUMMYFUNCTION("""COMPUTED_VALUE"""),"")</f>
        <v/>
      </c>
      <c r="Y981" s="5"/>
      <c r="Z981" s="5"/>
    </row>
    <row r="982">
      <c r="A982" s="5"/>
      <c r="B982" s="5" t="str">
        <f>IFERROR(__xludf.DUMMYFUNCTION("""COMPUTED_VALUE"""),"")</f>
        <v/>
      </c>
      <c r="C982" s="5" t="str">
        <f>IFERROR(__xludf.DUMMYFUNCTION("""COMPUTED_VALUE"""),"")</f>
        <v/>
      </c>
      <c r="D982" s="5" t="str">
        <f>IFERROR(__xludf.DUMMYFUNCTION("""COMPUTED_VALUE"""),"")</f>
        <v/>
      </c>
      <c r="E982" s="5" t="str">
        <f>IFERROR(__xludf.DUMMYFUNCTION("""COMPUTED_VALUE"""),"")</f>
        <v/>
      </c>
      <c r="F982" s="5" t="str">
        <f>IFERROR(__xludf.DUMMYFUNCTION("""COMPUTED_VALUE"""),"")</f>
        <v/>
      </c>
      <c r="G982" s="5" t="str">
        <f>IFERROR(__xludf.DUMMYFUNCTION("""COMPUTED_VALUE"""),"")</f>
        <v/>
      </c>
      <c r="H982" s="5" t="str">
        <f>IFERROR(__xludf.DUMMYFUNCTION("""COMPUTED_VALUE"""),"")</f>
        <v/>
      </c>
      <c r="I982" s="5" t="str">
        <f>IFERROR(__xludf.DUMMYFUNCTION("""COMPUTED_VALUE"""),"")</f>
        <v/>
      </c>
      <c r="J982" s="5" t="str">
        <f>IFERROR(__xludf.DUMMYFUNCTION("""COMPUTED_VALUE"""),"")</f>
        <v/>
      </c>
      <c r="K982" s="5" t="str">
        <f>IFERROR(__xludf.DUMMYFUNCTION("""COMPUTED_VALUE"""),"")</f>
        <v/>
      </c>
      <c r="L982" s="5" t="str">
        <f>IFERROR(__xludf.DUMMYFUNCTION("""COMPUTED_VALUE"""),"")</f>
        <v/>
      </c>
      <c r="M982" s="5" t="str">
        <f>IFERROR(__xludf.DUMMYFUNCTION("""COMPUTED_VALUE"""),"")</f>
        <v/>
      </c>
      <c r="N982" s="5" t="str">
        <f>IFERROR(__xludf.DUMMYFUNCTION("""COMPUTED_VALUE"""),"")</f>
        <v/>
      </c>
      <c r="O982" s="5" t="str">
        <f>IFERROR(__xludf.DUMMYFUNCTION("""COMPUTED_VALUE"""),"")</f>
        <v/>
      </c>
      <c r="P982" s="5" t="str">
        <f>IFERROR(__xludf.DUMMYFUNCTION("""COMPUTED_VALUE"""),"")</f>
        <v/>
      </c>
      <c r="Q982" s="5" t="str">
        <f>IFERROR(__xludf.DUMMYFUNCTION("""COMPUTED_VALUE"""),"")</f>
        <v/>
      </c>
      <c r="R982" s="5" t="str">
        <f>IFERROR(__xludf.DUMMYFUNCTION("""COMPUTED_VALUE"""),"")</f>
        <v/>
      </c>
      <c r="S982" s="5" t="str">
        <f>IFERROR(__xludf.DUMMYFUNCTION("""COMPUTED_VALUE"""),"")</f>
        <v/>
      </c>
      <c r="T982" s="5" t="str">
        <f>IFERROR(__xludf.DUMMYFUNCTION("""COMPUTED_VALUE"""),"")</f>
        <v/>
      </c>
      <c r="U982" s="5" t="str">
        <f>IFERROR(__xludf.DUMMYFUNCTION("""COMPUTED_VALUE"""),"")</f>
        <v/>
      </c>
      <c r="V982" s="5" t="str">
        <f>IFERROR(__xludf.DUMMYFUNCTION("""COMPUTED_VALUE"""),"")</f>
        <v/>
      </c>
      <c r="W982" s="5" t="str">
        <f>IFERROR(__xludf.DUMMYFUNCTION("""COMPUTED_VALUE"""),"")</f>
        <v/>
      </c>
      <c r="X982" s="5" t="str">
        <f>IFERROR(__xludf.DUMMYFUNCTION("""COMPUTED_VALUE"""),"")</f>
        <v/>
      </c>
      <c r="Y982" s="5"/>
      <c r="Z982" s="5"/>
    </row>
    <row r="983">
      <c r="A983" s="5"/>
      <c r="B983" s="5" t="str">
        <f>IFERROR(__xludf.DUMMYFUNCTION("""COMPUTED_VALUE"""),"")</f>
        <v/>
      </c>
      <c r="C983" s="5" t="str">
        <f>IFERROR(__xludf.DUMMYFUNCTION("""COMPUTED_VALUE"""),"")</f>
        <v/>
      </c>
      <c r="D983" s="5" t="str">
        <f>IFERROR(__xludf.DUMMYFUNCTION("""COMPUTED_VALUE"""),"")</f>
        <v/>
      </c>
      <c r="E983" s="5" t="str">
        <f>IFERROR(__xludf.DUMMYFUNCTION("""COMPUTED_VALUE"""),"")</f>
        <v/>
      </c>
      <c r="F983" s="5" t="str">
        <f>IFERROR(__xludf.DUMMYFUNCTION("""COMPUTED_VALUE"""),"")</f>
        <v/>
      </c>
      <c r="G983" s="5" t="str">
        <f>IFERROR(__xludf.DUMMYFUNCTION("""COMPUTED_VALUE"""),"")</f>
        <v/>
      </c>
      <c r="H983" s="5" t="str">
        <f>IFERROR(__xludf.DUMMYFUNCTION("""COMPUTED_VALUE"""),"")</f>
        <v/>
      </c>
      <c r="I983" s="5" t="str">
        <f>IFERROR(__xludf.DUMMYFUNCTION("""COMPUTED_VALUE"""),"")</f>
        <v/>
      </c>
      <c r="J983" s="5" t="str">
        <f>IFERROR(__xludf.DUMMYFUNCTION("""COMPUTED_VALUE"""),"")</f>
        <v/>
      </c>
      <c r="K983" s="5" t="str">
        <f>IFERROR(__xludf.DUMMYFUNCTION("""COMPUTED_VALUE"""),"")</f>
        <v/>
      </c>
      <c r="L983" s="5" t="str">
        <f>IFERROR(__xludf.DUMMYFUNCTION("""COMPUTED_VALUE"""),"")</f>
        <v/>
      </c>
      <c r="M983" s="5" t="str">
        <f>IFERROR(__xludf.DUMMYFUNCTION("""COMPUTED_VALUE"""),"")</f>
        <v/>
      </c>
      <c r="N983" s="5" t="str">
        <f>IFERROR(__xludf.DUMMYFUNCTION("""COMPUTED_VALUE"""),"")</f>
        <v/>
      </c>
      <c r="O983" s="5" t="str">
        <f>IFERROR(__xludf.DUMMYFUNCTION("""COMPUTED_VALUE"""),"")</f>
        <v/>
      </c>
      <c r="P983" s="5" t="str">
        <f>IFERROR(__xludf.DUMMYFUNCTION("""COMPUTED_VALUE"""),"")</f>
        <v/>
      </c>
      <c r="Q983" s="5" t="str">
        <f>IFERROR(__xludf.DUMMYFUNCTION("""COMPUTED_VALUE"""),"")</f>
        <v/>
      </c>
      <c r="R983" s="5" t="str">
        <f>IFERROR(__xludf.DUMMYFUNCTION("""COMPUTED_VALUE"""),"")</f>
        <v/>
      </c>
      <c r="S983" s="5" t="str">
        <f>IFERROR(__xludf.DUMMYFUNCTION("""COMPUTED_VALUE"""),"")</f>
        <v/>
      </c>
      <c r="T983" s="5" t="str">
        <f>IFERROR(__xludf.DUMMYFUNCTION("""COMPUTED_VALUE"""),"")</f>
        <v/>
      </c>
      <c r="U983" s="5" t="str">
        <f>IFERROR(__xludf.DUMMYFUNCTION("""COMPUTED_VALUE"""),"")</f>
        <v/>
      </c>
      <c r="V983" s="5" t="str">
        <f>IFERROR(__xludf.DUMMYFUNCTION("""COMPUTED_VALUE"""),"")</f>
        <v/>
      </c>
      <c r="W983" s="5" t="str">
        <f>IFERROR(__xludf.DUMMYFUNCTION("""COMPUTED_VALUE"""),"")</f>
        <v/>
      </c>
      <c r="X983" s="5" t="str">
        <f>IFERROR(__xludf.DUMMYFUNCTION("""COMPUTED_VALUE"""),"")</f>
        <v/>
      </c>
      <c r="Y983" s="5"/>
      <c r="Z983" s="5"/>
    </row>
    <row r="984">
      <c r="A984" s="5"/>
      <c r="B984" s="5" t="str">
        <f>IFERROR(__xludf.DUMMYFUNCTION("""COMPUTED_VALUE"""),"")</f>
        <v/>
      </c>
      <c r="C984" s="5" t="str">
        <f>IFERROR(__xludf.DUMMYFUNCTION("""COMPUTED_VALUE"""),"")</f>
        <v/>
      </c>
      <c r="D984" s="5" t="str">
        <f>IFERROR(__xludf.DUMMYFUNCTION("""COMPUTED_VALUE"""),"")</f>
        <v/>
      </c>
      <c r="E984" s="5" t="str">
        <f>IFERROR(__xludf.DUMMYFUNCTION("""COMPUTED_VALUE"""),"")</f>
        <v/>
      </c>
      <c r="F984" s="5" t="str">
        <f>IFERROR(__xludf.DUMMYFUNCTION("""COMPUTED_VALUE"""),"")</f>
        <v/>
      </c>
      <c r="G984" s="5" t="str">
        <f>IFERROR(__xludf.DUMMYFUNCTION("""COMPUTED_VALUE"""),"")</f>
        <v/>
      </c>
      <c r="H984" s="5" t="str">
        <f>IFERROR(__xludf.DUMMYFUNCTION("""COMPUTED_VALUE"""),"")</f>
        <v/>
      </c>
      <c r="I984" s="5" t="str">
        <f>IFERROR(__xludf.DUMMYFUNCTION("""COMPUTED_VALUE"""),"")</f>
        <v/>
      </c>
      <c r="J984" s="5" t="str">
        <f>IFERROR(__xludf.DUMMYFUNCTION("""COMPUTED_VALUE"""),"")</f>
        <v/>
      </c>
      <c r="K984" s="5" t="str">
        <f>IFERROR(__xludf.DUMMYFUNCTION("""COMPUTED_VALUE"""),"")</f>
        <v/>
      </c>
      <c r="L984" s="5" t="str">
        <f>IFERROR(__xludf.DUMMYFUNCTION("""COMPUTED_VALUE"""),"")</f>
        <v/>
      </c>
      <c r="M984" s="5" t="str">
        <f>IFERROR(__xludf.DUMMYFUNCTION("""COMPUTED_VALUE"""),"")</f>
        <v/>
      </c>
      <c r="N984" s="5" t="str">
        <f>IFERROR(__xludf.DUMMYFUNCTION("""COMPUTED_VALUE"""),"")</f>
        <v/>
      </c>
      <c r="O984" s="5" t="str">
        <f>IFERROR(__xludf.DUMMYFUNCTION("""COMPUTED_VALUE"""),"")</f>
        <v/>
      </c>
      <c r="P984" s="5" t="str">
        <f>IFERROR(__xludf.DUMMYFUNCTION("""COMPUTED_VALUE"""),"")</f>
        <v/>
      </c>
      <c r="Q984" s="5" t="str">
        <f>IFERROR(__xludf.DUMMYFUNCTION("""COMPUTED_VALUE"""),"")</f>
        <v/>
      </c>
      <c r="R984" s="5" t="str">
        <f>IFERROR(__xludf.DUMMYFUNCTION("""COMPUTED_VALUE"""),"")</f>
        <v/>
      </c>
      <c r="S984" s="5" t="str">
        <f>IFERROR(__xludf.DUMMYFUNCTION("""COMPUTED_VALUE"""),"")</f>
        <v/>
      </c>
      <c r="T984" s="5" t="str">
        <f>IFERROR(__xludf.DUMMYFUNCTION("""COMPUTED_VALUE"""),"")</f>
        <v/>
      </c>
      <c r="U984" s="5" t="str">
        <f>IFERROR(__xludf.DUMMYFUNCTION("""COMPUTED_VALUE"""),"")</f>
        <v/>
      </c>
      <c r="V984" s="5" t="str">
        <f>IFERROR(__xludf.DUMMYFUNCTION("""COMPUTED_VALUE"""),"")</f>
        <v/>
      </c>
      <c r="W984" s="5" t="str">
        <f>IFERROR(__xludf.DUMMYFUNCTION("""COMPUTED_VALUE"""),"")</f>
        <v/>
      </c>
      <c r="X984" s="5" t="str">
        <f>IFERROR(__xludf.DUMMYFUNCTION("""COMPUTED_VALUE"""),"")</f>
        <v/>
      </c>
      <c r="Y984" s="5"/>
      <c r="Z984" s="5"/>
    </row>
    <row r="985">
      <c r="A985" s="5"/>
      <c r="B985" s="5" t="str">
        <f>IFERROR(__xludf.DUMMYFUNCTION("""COMPUTED_VALUE"""),"")</f>
        <v/>
      </c>
      <c r="C985" s="5" t="str">
        <f>IFERROR(__xludf.DUMMYFUNCTION("""COMPUTED_VALUE"""),"")</f>
        <v/>
      </c>
      <c r="D985" s="5" t="str">
        <f>IFERROR(__xludf.DUMMYFUNCTION("""COMPUTED_VALUE"""),"")</f>
        <v/>
      </c>
      <c r="E985" s="5" t="str">
        <f>IFERROR(__xludf.DUMMYFUNCTION("""COMPUTED_VALUE"""),"")</f>
        <v/>
      </c>
      <c r="F985" s="5" t="str">
        <f>IFERROR(__xludf.DUMMYFUNCTION("""COMPUTED_VALUE"""),"")</f>
        <v/>
      </c>
      <c r="G985" s="5" t="str">
        <f>IFERROR(__xludf.DUMMYFUNCTION("""COMPUTED_VALUE"""),"")</f>
        <v/>
      </c>
      <c r="H985" s="5" t="str">
        <f>IFERROR(__xludf.DUMMYFUNCTION("""COMPUTED_VALUE"""),"")</f>
        <v/>
      </c>
      <c r="I985" s="5" t="str">
        <f>IFERROR(__xludf.DUMMYFUNCTION("""COMPUTED_VALUE"""),"")</f>
        <v/>
      </c>
      <c r="J985" s="5" t="str">
        <f>IFERROR(__xludf.DUMMYFUNCTION("""COMPUTED_VALUE"""),"")</f>
        <v/>
      </c>
      <c r="K985" s="5" t="str">
        <f>IFERROR(__xludf.DUMMYFUNCTION("""COMPUTED_VALUE"""),"")</f>
        <v/>
      </c>
      <c r="L985" s="5" t="str">
        <f>IFERROR(__xludf.DUMMYFUNCTION("""COMPUTED_VALUE"""),"")</f>
        <v/>
      </c>
      <c r="M985" s="5" t="str">
        <f>IFERROR(__xludf.DUMMYFUNCTION("""COMPUTED_VALUE"""),"")</f>
        <v/>
      </c>
      <c r="N985" s="5" t="str">
        <f>IFERROR(__xludf.DUMMYFUNCTION("""COMPUTED_VALUE"""),"")</f>
        <v/>
      </c>
      <c r="O985" s="5" t="str">
        <f>IFERROR(__xludf.DUMMYFUNCTION("""COMPUTED_VALUE"""),"")</f>
        <v/>
      </c>
      <c r="P985" s="5" t="str">
        <f>IFERROR(__xludf.DUMMYFUNCTION("""COMPUTED_VALUE"""),"")</f>
        <v/>
      </c>
      <c r="Q985" s="5" t="str">
        <f>IFERROR(__xludf.DUMMYFUNCTION("""COMPUTED_VALUE"""),"")</f>
        <v/>
      </c>
      <c r="R985" s="5" t="str">
        <f>IFERROR(__xludf.DUMMYFUNCTION("""COMPUTED_VALUE"""),"")</f>
        <v/>
      </c>
      <c r="S985" s="5" t="str">
        <f>IFERROR(__xludf.DUMMYFUNCTION("""COMPUTED_VALUE"""),"")</f>
        <v/>
      </c>
      <c r="T985" s="5" t="str">
        <f>IFERROR(__xludf.DUMMYFUNCTION("""COMPUTED_VALUE"""),"")</f>
        <v/>
      </c>
      <c r="U985" s="5" t="str">
        <f>IFERROR(__xludf.DUMMYFUNCTION("""COMPUTED_VALUE"""),"")</f>
        <v/>
      </c>
      <c r="V985" s="5" t="str">
        <f>IFERROR(__xludf.DUMMYFUNCTION("""COMPUTED_VALUE"""),"")</f>
        <v/>
      </c>
      <c r="W985" s="5" t="str">
        <f>IFERROR(__xludf.DUMMYFUNCTION("""COMPUTED_VALUE"""),"")</f>
        <v/>
      </c>
      <c r="X985" s="5" t="str">
        <f>IFERROR(__xludf.DUMMYFUNCTION("""COMPUTED_VALUE"""),"")</f>
        <v/>
      </c>
      <c r="Y985" s="5"/>
      <c r="Z985" s="5"/>
    </row>
    <row r="986">
      <c r="A986" s="5"/>
      <c r="B986" s="5" t="str">
        <f>IFERROR(__xludf.DUMMYFUNCTION("""COMPUTED_VALUE"""),"")</f>
        <v/>
      </c>
      <c r="C986" s="5" t="str">
        <f>IFERROR(__xludf.DUMMYFUNCTION("""COMPUTED_VALUE"""),"")</f>
        <v/>
      </c>
      <c r="D986" s="5" t="str">
        <f>IFERROR(__xludf.DUMMYFUNCTION("""COMPUTED_VALUE"""),"")</f>
        <v/>
      </c>
      <c r="E986" s="5" t="str">
        <f>IFERROR(__xludf.DUMMYFUNCTION("""COMPUTED_VALUE"""),"")</f>
        <v/>
      </c>
      <c r="F986" s="5" t="str">
        <f>IFERROR(__xludf.DUMMYFUNCTION("""COMPUTED_VALUE"""),"")</f>
        <v/>
      </c>
      <c r="G986" s="5" t="str">
        <f>IFERROR(__xludf.DUMMYFUNCTION("""COMPUTED_VALUE"""),"")</f>
        <v/>
      </c>
      <c r="H986" s="5" t="str">
        <f>IFERROR(__xludf.DUMMYFUNCTION("""COMPUTED_VALUE"""),"")</f>
        <v/>
      </c>
      <c r="I986" s="5" t="str">
        <f>IFERROR(__xludf.DUMMYFUNCTION("""COMPUTED_VALUE"""),"")</f>
        <v/>
      </c>
      <c r="J986" s="5" t="str">
        <f>IFERROR(__xludf.DUMMYFUNCTION("""COMPUTED_VALUE"""),"")</f>
        <v/>
      </c>
      <c r="K986" s="5" t="str">
        <f>IFERROR(__xludf.DUMMYFUNCTION("""COMPUTED_VALUE"""),"")</f>
        <v/>
      </c>
      <c r="L986" s="5" t="str">
        <f>IFERROR(__xludf.DUMMYFUNCTION("""COMPUTED_VALUE"""),"")</f>
        <v/>
      </c>
      <c r="M986" s="5" t="str">
        <f>IFERROR(__xludf.DUMMYFUNCTION("""COMPUTED_VALUE"""),"")</f>
        <v/>
      </c>
      <c r="N986" s="5" t="str">
        <f>IFERROR(__xludf.DUMMYFUNCTION("""COMPUTED_VALUE"""),"")</f>
        <v/>
      </c>
      <c r="O986" s="5" t="str">
        <f>IFERROR(__xludf.DUMMYFUNCTION("""COMPUTED_VALUE"""),"")</f>
        <v/>
      </c>
      <c r="P986" s="5" t="str">
        <f>IFERROR(__xludf.DUMMYFUNCTION("""COMPUTED_VALUE"""),"")</f>
        <v/>
      </c>
      <c r="Q986" s="5" t="str">
        <f>IFERROR(__xludf.DUMMYFUNCTION("""COMPUTED_VALUE"""),"")</f>
        <v/>
      </c>
      <c r="R986" s="5" t="str">
        <f>IFERROR(__xludf.DUMMYFUNCTION("""COMPUTED_VALUE"""),"")</f>
        <v/>
      </c>
      <c r="S986" s="5" t="str">
        <f>IFERROR(__xludf.DUMMYFUNCTION("""COMPUTED_VALUE"""),"")</f>
        <v/>
      </c>
      <c r="T986" s="5" t="str">
        <f>IFERROR(__xludf.DUMMYFUNCTION("""COMPUTED_VALUE"""),"")</f>
        <v/>
      </c>
      <c r="U986" s="5" t="str">
        <f>IFERROR(__xludf.DUMMYFUNCTION("""COMPUTED_VALUE"""),"")</f>
        <v/>
      </c>
      <c r="V986" s="5" t="str">
        <f>IFERROR(__xludf.DUMMYFUNCTION("""COMPUTED_VALUE"""),"")</f>
        <v/>
      </c>
      <c r="W986" s="5" t="str">
        <f>IFERROR(__xludf.DUMMYFUNCTION("""COMPUTED_VALUE"""),"")</f>
        <v/>
      </c>
      <c r="X986" s="5" t="str">
        <f>IFERROR(__xludf.DUMMYFUNCTION("""COMPUTED_VALUE"""),"")</f>
        <v/>
      </c>
      <c r="Y986" s="5"/>
      <c r="Z986" s="5"/>
    </row>
    <row r="987">
      <c r="A987" s="5"/>
      <c r="B987" s="5" t="str">
        <f>IFERROR(__xludf.DUMMYFUNCTION("""COMPUTED_VALUE"""),"")</f>
        <v/>
      </c>
      <c r="C987" s="5" t="str">
        <f>IFERROR(__xludf.DUMMYFUNCTION("""COMPUTED_VALUE"""),"")</f>
        <v/>
      </c>
      <c r="D987" s="5" t="str">
        <f>IFERROR(__xludf.DUMMYFUNCTION("""COMPUTED_VALUE"""),"")</f>
        <v/>
      </c>
      <c r="E987" s="5" t="str">
        <f>IFERROR(__xludf.DUMMYFUNCTION("""COMPUTED_VALUE"""),"")</f>
        <v/>
      </c>
      <c r="F987" s="5" t="str">
        <f>IFERROR(__xludf.DUMMYFUNCTION("""COMPUTED_VALUE"""),"")</f>
        <v/>
      </c>
      <c r="G987" s="5" t="str">
        <f>IFERROR(__xludf.DUMMYFUNCTION("""COMPUTED_VALUE"""),"")</f>
        <v/>
      </c>
      <c r="H987" s="5" t="str">
        <f>IFERROR(__xludf.DUMMYFUNCTION("""COMPUTED_VALUE"""),"")</f>
        <v/>
      </c>
      <c r="I987" s="5" t="str">
        <f>IFERROR(__xludf.DUMMYFUNCTION("""COMPUTED_VALUE"""),"")</f>
        <v/>
      </c>
      <c r="J987" s="5" t="str">
        <f>IFERROR(__xludf.DUMMYFUNCTION("""COMPUTED_VALUE"""),"")</f>
        <v/>
      </c>
      <c r="K987" s="5" t="str">
        <f>IFERROR(__xludf.DUMMYFUNCTION("""COMPUTED_VALUE"""),"")</f>
        <v/>
      </c>
      <c r="L987" s="5" t="str">
        <f>IFERROR(__xludf.DUMMYFUNCTION("""COMPUTED_VALUE"""),"")</f>
        <v/>
      </c>
      <c r="M987" s="5" t="str">
        <f>IFERROR(__xludf.DUMMYFUNCTION("""COMPUTED_VALUE"""),"")</f>
        <v/>
      </c>
      <c r="N987" s="5" t="str">
        <f>IFERROR(__xludf.DUMMYFUNCTION("""COMPUTED_VALUE"""),"")</f>
        <v/>
      </c>
      <c r="O987" s="5" t="str">
        <f>IFERROR(__xludf.DUMMYFUNCTION("""COMPUTED_VALUE"""),"")</f>
        <v/>
      </c>
      <c r="P987" s="5" t="str">
        <f>IFERROR(__xludf.DUMMYFUNCTION("""COMPUTED_VALUE"""),"")</f>
        <v/>
      </c>
      <c r="Q987" s="5" t="str">
        <f>IFERROR(__xludf.DUMMYFUNCTION("""COMPUTED_VALUE"""),"")</f>
        <v/>
      </c>
      <c r="R987" s="5" t="str">
        <f>IFERROR(__xludf.DUMMYFUNCTION("""COMPUTED_VALUE"""),"")</f>
        <v/>
      </c>
      <c r="S987" s="5" t="str">
        <f>IFERROR(__xludf.DUMMYFUNCTION("""COMPUTED_VALUE"""),"")</f>
        <v/>
      </c>
      <c r="T987" s="5" t="str">
        <f>IFERROR(__xludf.DUMMYFUNCTION("""COMPUTED_VALUE"""),"")</f>
        <v/>
      </c>
      <c r="U987" s="5" t="str">
        <f>IFERROR(__xludf.DUMMYFUNCTION("""COMPUTED_VALUE"""),"")</f>
        <v/>
      </c>
      <c r="V987" s="5" t="str">
        <f>IFERROR(__xludf.DUMMYFUNCTION("""COMPUTED_VALUE"""),"")</f>
        <v/>
      </c>
      <c r="W987" s="5" t="str">
        <f>IFERROR(__xludf.DUMMYFUNCTION("""COMPUTED_VALUE"""),"")</f>
        <v/>
      </c>
      <c r="X987" s="5" t="str">
        <f>IFERROR(__xludf.DUMMYFUNCTION("""COMPUTED_VALUE"""),"")</f>
        <v/>
      </c>
      <c r="Y987" s="5"/>
      <c r="Z987" s="5"/>
    </row>
    <row r="988">
      <c r="A988" s="5"/>
      <c r="B988" s="5" t="str">
        <f>IFERROR(__xludf.DUMMYFUNCTION("""COMPUTED_VALUE"""),"")</f>
        <v/>
      </c>
      <c r="C988" s="5" t="str">
        <f>IFERROR(__xludf.DUMMYFUNCTION("""COMPUTED_VALUE"""),"")</f>
        <v/>
      </c>
      <c r="D988" s="5" t="str">
        <f>IFERROR(__xludf.DUMMYFUNCTION("""COMPUTED_VALUE"""),"")</f>
        <v/>
      </c>
      <c r="E988" s="5" t="str">
        <f>IFERROR(__xludf.DUMMYFUNCTION("""COMPUTED_VALUE"""),"")</f>
        <v/>
      </c>
      <c r="F988" s="5" t="str">
        <f>IFERROR(__xludf.DUMMYFUNCTION("""COMPUTED_VALUE"""),"")</f>
        <v/>
      </c>
      <c r="G988" s="5" t="str">
        <f>IFERROR(__xludf.DUMMYFUNCTION("""COMPUTED_VALUE"""),"")</f>
        <v/>
      </c>
      <c r="H988" s="5" t="str">
        <f>IFERROR(__xludf.DUMMYFUNCTION("""COMPUTED_VALUE"""),"")</f>
        <v/>
      </c>
      <c r="I988" s="5" t="str">
        <f>IFERROR(__xludf.DUMMYFUNCTION("""COMPUTED_VALUE"""),"")</f>
        <v/>
      </c>
      <c r="J988" s="5" t="str">
        <f>IFERROR(__xludf.DUMMYFUNCTION("""COMPUTED_VALUE"""),"")</f>
        <v/>
      </c>
      <c r="K988" s="5" t="str">
        <f>IFERROR(__xludf.DUMMYFUNCTION("""COMPUTED_VALUE"""),"")</f>
        <v/>
      </c>
      <c r="L988" s="5" t="str">
        <f>IFERROR(__xludf.DUMMYFUNCTION("""COMPUTED_VALUE"""),"")</f>
        <v/>
      </c>
      <c r="M988" s="5" t="str">
        <f>IFERROR(__xludf.DUMMYFUNCTION("""COMPUTED_VALUE"""),"")</f>
        <v/>
      </c>
      <c r="N988" s="5" t="str">
        <f>IFERROR(__xludf.DUMMYFUNCTION("""COMPUTED_VALUE"""),"")</f>
        <v/>
      </c>
      <c r="O988" s="5" t="str">
        <f>IFERROR(__xludf.DUMMYFUNCTION("""COMPUTED_VALUE"""),"")</f>
        <v/>
      </c>
      <c r="P988" s="5" t="str">
        <f>IFERROR(__xludf.DUMMYFUNCTION("""COMPUTED_VALUE"""),"")</f>
        <v/>
      </c>
      <c r="Q988" s="5" t="str">
        <f>IFERROR(__xludf.DUMMYFUNCTION("""COMPUTED_VALUE"""),"")</f>
        <v/>
      </c>
      <c r="R988" s="5" t="str">
        <f>IFERROR(__xludf.DUMMYFUNCTION("""COMPUTED_VALUE"""),"")</f>
        <v/>
      </c>
      <c r="S988" s="5" t="str">
        <f>IFERROR(__xludf.DUMMYFUNCTION("""COMPUTED_VALUE"""),"")</f>
        <v/>
      </c>
      <c r="T988" s="5" t="str">
        <f>IFERROR(__xludf.DUMMYFUNCTION("""COMPUTED_VALUE"""),"")</f>
        <v/>
      </c>
      <c r="U988" s="5" t="str">
        <f>IFERROR(__xludf.DUMMYFUNCTION("""COMPUTED_VALUE"""),"")</f>
        <v/>
      </c>
      <c r="V988" s="5" t="str">
        <f>IFERROR(__xludf.DUMMYFUNCTION("""COMPUTED_VALUE"""),"")</f>
        <v/>
      </c>
      <c r="W988" s="5" t="str">
        <f>IFERROR(__xludf.DUMMYFUNCTION("""COMPUTED_VALUE"""),"")</f>
        <v/>
      </c>
      <c r="X988" s="5" t="str">
        <f>IFERROR(__xludf.DUMMYFUNCTION("""COMPUTED_VALUE"""),"")</f>
        <v/>
      </c>
      <c r="Y988" s="5"/>
      <c r="Z988" s="5"/>
    </row>
    <row r="989">
      <c r="A989" s="5"/>
      <c r="B989" s="5" t="str">
        <f>IFERROR(__xludf.DUMMYFUNCTION("""COMPUTED_VALUE"""),"")</f>
        <v/>
      </c>
      <c r="C989" s="5" t="str">
        <f>IFERROR(__xludf.DUMMYFUNCTION("""COMPUTED_VALUE"""),"")</f>
        <v/>
      </c>
      <c r="D989" s="5" t="str">
        <f>IFERROR(__xludf.DUMMYFUNCTION("""COMPUTED_VALUE"""),"")</f>
        <v/>
      </c>
      <c r="E989" s="5" t="str">
        <f>IFERROR(__xludf.DUMMYFUNCTION("""COMPUTED_VALUE"""),"")</f>
        <v/>
      </c>
      <c r="F989" s="5" t="str">
        <f>IFERROR(__xludf.DUMMYFUNCTION("""COMPUTED_VALUE"""),"")</f>
        <v/>
      </c>
      <c r="G989" s="5" t="str">
        <f>IFERROR(__xludf.DUMMYFUNCTION("""COMPUTED_VALUE"""),"")</f>
        <v/>
      </c>
      <c r="H989" s="5" t="str">
        <f>IFERROR(__xludf.DUMMYFUNCTION("""COMPUTED_VALUE"""),"")</f>
        <v/>
      </c>
      <c r="I989" s="5" t="str">
        <f>IFERROR(__xludf.DUMMYFUNCTION("""COMPUTED_VALUE"""),"")</f>
        <v/>
      </c>
      <c r="J989" s="5" t="str">
        <f>IFERROR(__xludf.DUMMYFUNCTION("""COMPUTED_VALUE"""),"")</f>
        <v/>
      </c>
      <c r="K989" s="5" t="str">
        <f>IFERROR(__xludf.DUMMYFUNCTION("""COMPUTED_VALUE"""),"")</f>
        <v/>
      </c>
      <c r="L989" s="5" t="str">
        <f>IFERROR(__xludf.DUMMYFUNCTION("""COMPUTED_VALUE"""),"")</f>
        <v/>
      </c>
      <c r="M989" s="5" t="str">
        <f>IFERROR(__xludf.DUMMYFUNCTION("""COMPUTED_VALUE"""),"")</f>
        <v/>
      </c>
      <c r="N989" s="5" t="str">
        <f>IFERROR(__xludf.DUMMYFUNCTION("""COMPUTED_VALUE"""),"")</f>
        <v/>
      </c>
      <c r="O989" s="5" t="str">
        <f>IFERROR(__xludf.DUMMYFUNCTION("""COMPUTED_VALUE"""),"")</f>
        <v/>
      </c>
      <c r="P989" s="5" t="str">
        <f>IFERROR(__xludf.DUMMYFUNCTION("""COMPUTED_VALUE"""),"")</f>
        <v/>
      </c>
      <c r="Q989" s="5" t="str">
        <f>IFERROR(__xludf.DUMMYFUNCTION("""COMPUTED_VALUE"""),"")</f>
        <v/>
      </c>
      <c r="R989" s="5" t="str">
        <f>IFERROR(__xludf.DUMMYFUNCTION("""COMPUTED_VALUE"""),"")</f>
        <v/>
      </c>
      <c r="S989" s="5" t="str">
        <f>IFERROR(__xludf.DUMMYFUNCTION("""COMPUTED_VALUE"""),"")</f>
        <v/>
      </c>
      <c r="T989" s="5" t="str">
        <f>IFERROR(__xludf.DUMMYFUNCTION("""COMPUTED_VALUE"""),"")</f>
        <v/>
      </c>
      <c r="U989" s="5" t="str">
        <f>IFERROR(__xludf.DUMMYFUNCTION("""COMPUTED_VALUE"""),"")</f>
        <v/>
      </c>
      <c r="V989" s="5" t="str">
        <f>IFERROR(__xludf.DUMMYFUNCTION("""COMPUTED_VALUE"""),"")</f>
        <v/>
      </c>
      <c r="W989" s="5" t="str">
        <f>IFERROR(__xludf.DUMMYFUNCTION("""COMPUTED_VALUE"""),"")</f>
        <v/>
      </c>
      <c r="X989" s="5" t="str">
        <f>IFERROR(__xludf.DUMMYFUNCTION("""COMPUTED_VALUE"""),"")</f>
        <v/>
      </c>
      <c r="Y989" s="5"/>
      <c r="Z989" s="5"/>
    </row>
    <row r="990">
      <c r="A990" s="5"/>
      <c r="B990" s="5" t="str">
        <f>IFERROR(__xludf.DUMMYFUNCTION("""COMPUTED_VALUE"""),"")</f>
        <v/>
      </c>
      <c r="C990" s="5" t="str">
        <f>IFERROR(__xludf.DUMMYFUNCTION("""COMPUTED_VALUE"""),"")</f>
        <v/>
      </c>
      <c r="D990" s="5" t="str">
        <f>IFERROR(__xludf.DUMMYFUNCTION("""COMPUTED_VALUE"""),"")</f>
        <v/>
      </c>
      <c r="E990" s="5" t="str">
        <f>IFERROR(__xludf.DUMMYFUNCTION("""COMPUTED_VALUE"""),"")</f>
        <v/>
      </c>
      <c r="F990" s="5" t="str">
        <f>IFERROR(__xludf.DUMMYFUNCTION("""COMPUTED_VALUE"""),"")</f>
        <v/>
      </c>
      <c r="G990" s="5" t="str">
        <f>IFERROR(__xludf.DUMMYFUNCTION("""COMPUTED_VALUE"""),"")</f>
        <v/>
      </c>
      <c r="H990" s="5" t="str">
        <f>IFERROR(__xludf.DUMMYFUNCTION("""COMPUTED_VALUE"""),"")</f>
        <v/>
      </c>
      <c r="I990" s="5" t="str">
        <f>IFERROR(__xludf.DUMMYFUNCTION("""COMPUTED_VALUE"""),"")</f>
        <v/>
      </c>
      <c r="J990" s="5" t="str">
        <f>IFERROR(__xludf.DUMMYFUNCTION("""COMPUTED_VALUE"""),"")</f>
        <v/>
      </c>
      <c r="K990" s="5" t="str">
        <f>IFERROR(__xludf.DUMMYFUNCTION("""COMPUTED_VALUE"""),"")</f>
        <v/>
      </c>
      <c r="L990" s="5" t="str">
        <f>IFERROR(__xludf.DUMMYFUNCTION("""COMPUTED_VALUE"""),"")</f>
        <v/>
      </c>
      <c r="M990" s="5" t="str">
        <f>IFERROR(__xludf.DUMMYFUNCTION("""COMPUTED_VALUE"""),"")</f>
        <v/>
      </c>
      <c r="N990" s="5" t="str">
        <f>IFERROR(__xludf.DUMMYFUNCTION("""COMPUTED_VALUE"""),"")</f>
        <v/>
      </c>
      <c r="O990" s="5" t="str">
        <f>IFERROR(__xludf.DUMMYFUNCTION("""COMPUTED_VALUE"""),"")</f>
        <v/>
      </c>
      <c r="P990" s="5" t="str">
        <f>IFERROR(__xludf.DUMMYFUNCTION("""COMPUTED_VALUE"""),"")</f>
        <v/>
      </c>
      <c r="Q990" s="5" t="str">
        <f>IFERROR(__xludf.DUMMYFUNCTION("""COMPUTED_VALUE"""),"")</f>
        <v/>
      </c>
      <c r="R990" s="5" t="str">
        <f>IFERROR(__xludf.DUMMYFUNCTION("""COMPUTED_VALUE"""),"")</f>
        <v/>
      </c>
      <c r="S990" s="5" t="str">
        <f>IFERROR(__xludf.DUMMYFUNCTION("""COMPUTED_VALUE"""),"")</f>
        <v/>
      </c>
      <c r="T990" s="5" t="str">
        <f>IFERROR(__xludf.DUMMYFUNCTION("""COMPUTED_VALUE"""),"")</f>
        <v/>
      </c>
      <c r="U990" s="5" t="str">
        <f>IFERROR(__xludf.DUMMYFUNCTION("""COMPUTED_VALUE"""),"")</f>
        <v/>
      </c>
      <c r="V990" s="5" t="str">
        <f>IFERROR(__xludf.DUMMYFUNCTION("""COMPUTED_VALUE"""),"")</f>
        <v/>
      </c>
      <c r="W990" s="5" t="str">
        <f>IFERROR(__xludf.DUMMYFUNCTION("""COMPUTED_VALUE"""),"")</f>
        <v/>
      </c>
      <c r="X990" s="5" t="str">
        <f>IFERROR(__xludf.DUMMYFUNCTION("""COMPUTED_VALUE"""),"")</f>
        <v/>
      </c>
      <c r="Y990" s="5"/>
      <c r="Z990" s="5"/>
    </row>
    <row r="991">
      <c r="A991" s="5"/>
      <c r="B991" s="5" t="str">
        <f>IFERROR(__xludf.DUMMYFUNCTION("""COMPUTED_VALUE"""),"")</f>
        <v/>
      </c>
      <c r="C991" s="5" t="str">
        <f>IFERROR(__xludf.DUMMYFUNCTION("""COMPUTED_VALUE"""),"")</f>
        <v/>
      </c>
      <c r="D991" s="5" t="str">
        <f>IFERROR(__xludf.DUMMYFUNCTION("""COMPUTED_VALUE"""),"")</f>
        <v/>
      </c>
      <c r="E991" s="5" t="str">
        <f>IFERROR(__xludf.DUMMYFUNCTION("""COMPUTED_VALUE"""),"")</f>
        <v/>
      </c>
      <c r="F991" s="5" t="str">
        <f>IFERROR(__xludf.DUMMYFUNCTION("""COMPUTED_VALUE"""),"")</f>
        <v/>
      </c>
      <c r="G991" s="5" t="str">
        <f>IFERROR(__xludf.DUMMYFUNCTION("""COMPUTED_VALUE"""),"")</f>
        <v/>
      </c>
      <c r="H991" s="5" t="str">
        <f>IFERROR(__xludf.DUMMYFUNCTION("""COMPUTED_VALUE"""),"")</f>
        <v/>
      </c>
      <c r="I991" s="5" t="str">
        <f>IFERROR(__xludf.DUMMYFUNCTION("""COMPUTED_VALUE"""),"")</f>
        <v/>
      </c>
      <c r="J991" s="5" t="str">
        <f>IFERROR(__xludf.DUMMYFUNCTION("""COMPUTED_VALUE"""),"")</f>
        <v/>
      </c>
      <c r="K991" s="5" t="str">
        <f>IFERROR(__xludf.DUMMYFUNCTION("""COMPUTED_VALUE"""),"")</f>
        <v/>
      </c>
      <c r="L991" s="5" t="str">
        <f>IFERROR(__xludf.DUMMYFUNCTION("""COMPUTED_VALUE"""),"")</f>
        <v/>
      </c>
      <c r="M991" s="5" t="str">
        <f>IFERROR(__xludf.DUMMYFUNCTION("""COMPUTED_VALUE"""),"")</f>
        <v/>
      </c>
      <c r="N991" s="5" t="str">
        <f>IFERROR(__xludf.DUMMYFUNCTION("""COMPUTED_VALUE"""),"")</f>
        <v/>
      </c>
      <c r="O991" s="5" t="str">
        <f>IFERROR(__xludf.DUMMYFUNCTION("""COMPUTED_VALUE"""),"")</f>
        <v/>
      </c>
      <c r="P991" s="5" t="str">
        <f>IFERROR(__xludf.DUMMYFUNCTION("""COMPUTED_VALUE"""),"")</f>
        <v/>
      </c>
      <c r="Q991" s="5" t="str">
        <f>IFERROR(__xludf.DUMMYFUNCTION("""COMPUTED_VALUE"""),"")</f>
        <v/>
      </c>
      <c r="R991" s="5" t="str">
        <f>IFERROR(__xludf.DUMMYFUNCTION("""COMPUTED_VALUE"""),"")</f>
        <v/>
      </c>
      <c r="S991" s="5" t="str">
        <f>IFERROR(__xludf.DUMMYFUNCTION("""COMPUTED_VALUE"""),"")</f>
        <v/>
      </c>
      <c r="T991" s="5" t="str">
        <f>IFERROR(__xludf.DUMMYFUNCTION("""COMPUTED_VALUE"""),"")</f>
        <v/>
      </c>
      <c r="U991" s="5" t="str">
        <f>IFERROR(__xludf.DUMMYFUNCTION("""COMPUTED_VALUE"""),"")</f>
        <v/>
      </c>
      <c r="V991" s="5" t="str">
        <f>IFERROR(__xludf.DUMMYFUNCTION("""COMPUTED_VALUE"""),"")</f>
        <v/>
      </c>
      <c r="W991" s="5" t="str">
        <f>IFERROR(__xludf.DUMMYFUNCTION("""COMPUTED_VALUE"""),"")</f>
        <v/>
      </c>
      <c r="X991" s="5" t="str">
        <f>IFERROR(__xludf.DUMMYFUNCTION("""COMPUTED_VALUE"""),"")</f>
        <v/>
      </c>
      <c r="Y991" s="5"/>
      <c r="Z991" s="5"/>
    </row>
    <row r="992">
      <c r="A992" s="5"/>
      <c r="B992" s="5" t="str">
        <f>IFERROR(__xludf.DUMMYFUNCTION("""COMPUTED_VALUE"""),"")</f>
        <v/>
      </c>
      <c r="C992" s="5" t="str">
        <f>IFERROR(__xludf.DUMMYFUNCTION("""COMPUTED_VALUE"""),"")</f>
        <v/>
      </c>
      <c r="D992" s="5" t="str">
        <f>IFERROR(__xludf.DUMMYFUNCTION("""COMPUTED_VALUE"""),"")</f>
        <v/>
      </c>
      <c r="E992" s="5" t="str">
        <f>IFERROR(__xludf.DUMMYFUNCTION("""COMPUTED_VALUE"""),"")</f>
        <v/>
      </c>
      <c r="F992" s="5" t="str">
        <f>IFERROR(__xludf.DUMMYFUNCTION("""COMPUTED_VALUE"""),"")</f>
        <v/>
      </c>
      <c r="G992" s="5" t="str">
        <f>IFERROR(__xludf.DUMMYFUNCTION("""COMPUTED_VALUE"""),"")</f>
        <v/>
      </c>
      <c r="H992" s="5" t="str">
        <f>IFERROR(__xludf.DUMMYFUNCTION("""COMPUTED_VALUE"""),"")</f>
        <v/>
      </c>
      <c r="I992" s="5" t="str">
        <f>IFERROR(__xludf.DUMMYFUNCTION("""COMPUTED_VALUE"""),"")</f>
        <v/>
      </c>
      <c r="J992" s="5" t="str">
        <f>IFERROR(__xludf.DUMMYFUNCTION("""COMPUTED_VALUE"""),"")</f>
        <v/>
      </c>
      <c r="K992" s="5" t="str">
        <f>IFERROR(__xludf.DUMMYFUNCTION("""COMPUTED_VALUE"""),"")</f>
        <v/>
      </c>
      <c r="L992" s="5" t="str">
        <f>IFERROR(__xludf.DUMMYFUNCTION("""COMPUTED_VALUE"""),"")</f>
        <v/>
      </c>
      <c r="M992" s="5" t="str">
        <f>IFERROR(__xludf.DUMMYFUNCTION("""COMPUTED_VALUE"""),"")</f>
        <v/>
      </c>
      <c r="N992" s="5" t="str">
        <f>IFERROR(__xludf.DUMMYFUNCTION("""COMPUTED_VALUE"""),"")</f>
        <v/>
      </c>
      <c r="O992" s="5" t="str">
        <f>IFERROR(__xludf.DUMMYFUNCTION("""COMPUTED_VALUE"""),"")</f>
        <v/>
      </c>
      <c r="P992" s="5" t="str">
        <f>IFERROR(__xludf.DUMMYFUNCTION("""COMPUTED_VALUE"""),"")</f>
        <v/>
      </c>
      <c r="Q992" s="5" t="str">
        <f>IFERROR(__xludf.DUMMYFUNCTION("""COMPUTED_VALUE"""),"")</f>
        <v/>
      </c>
      <c r="R992" s="5" t="str">
        <f>IFERROR(__xludf.DUMMYFUNCTION("""COMPUTED_VALUE"""),"")</f>
        <v/>
      </c>
      <c r="S992" s="5" t="str">
        <f>IFERROR(__xludf.DUMMYFUNCTION("""COMPUTED_VALUE"""),"")</f>
        <v/>
      </c>
      <c r="T992" s="5" t="str">
        <f>IFERROR(__xludf.DUMMYFUNCTION("""COMPUTED_VALUE"""),"")</f>
        <v/>
      </c>
      <c r="U992" s="5" t="str">
        <f>IFERROR(__xludf.DUMMYFUNCTION("""COMPUTED_VALUE"""),"")</f>
        <v/>
      </c>
      <c r="V992" s="5" t="str">
        <f>IFERROR(__xludf.DUMMYFUNCTION("""COMPUTED_VALUE"""),"")</f>
        <v/>
      </c>
      <c r="W992" s="5" t="str">
        <f>IFERROR(__xludf.DUMMYFUNCTION("""COMPUTED_VALUE"""),"")</f>
        <v/>
      </c>
      <c r="X992" s="5" t="str">
        <f>IFERROR(__xludf.DUMMYFUNCTION("""COMPUTED_VALUE"""),"")</f>
        <v/>
      </c>
      <c r="Y992" s="5"/>
      <c r="Z992" s="5"/>
    </row>
    <row r="993">
      <c r="A993" s="5"/>
      <c r="B993" s="5" t="str">
        <f>IFERROR(__xludf.DUMMYFUNCTION("""COMPUTED_VALUE"""),"")</f>
        <v/>
      </c>
      <c r="C993" s="5" t="str">
        <f>IFERROR(__xludf.DUMMYFUNCTION("""COMPUTED_VALUE"""),"")</f>
        <v/>
      </c>
      <c r="D993" s="5" t="str">
        <f>IFERROR(__xludf.DUMMYFUNCTION("""COMPUTED_VALUE"""),"")</f>
        <v/>
      </c>
      <c r="E993" s="5" t="str">
        <f>IFERROR(__xludf.DUMMYFUNCTION("""COMPUTED_VALUE"""),"")</f>
        <v/>
      </c>
      <c r="F993" s="5" t="str">
        <f>IFERROR(__xludf.DUMMYFUNCTION("""COMPUTED_VALUE"""),"")</f>
        <v/>
      </c>
      <c r="G993" s="5" t="str">
        <f>IFERROR(__xludf.DUMMYFUNCTION("""COMPUTED_VALUE"""),"")</f>
        <v/>
      </c>
      <c r="H993" s="5" t="str">
        <f>IFERROR(__xludf.DUMMYFUNCTION("""COMPUTED_VALUE"""),"")</f>
        <v/>
      </c>
      <c r="I993" s="5" t="str">
        <f>IFERROR(__xludf.DUMMYFUNCTION("""COMPUTED_VALUE"""),"")</f>
        <v/>
      </c>
      <c r="J993" s="5" t="str">
        <f>IFERROR(__xludf.DUMMYFUNCTION("""COMPUTED_VALUE"""),"")</f>
        <v/>
      </c>
      <c r="K993" s="5" t="str">
        <f>IFERROR(__xludf.DUMMYFUNCTION("""COMPUTED_VALUE"""),"")</f>
        <v/>
      </c>
      <c r="L993" s="5" t="str">
        <f>IFERROR(__xludf.DUMMYFUNCTION("""COMPUTED_VALUE"""),"")</f>
        <v/>
      </c>
      <c r="M993" s="5" t="str">
        <f>IFERROR(__xludf.DUMMYFUNCTION("""COMPUTED_VALUE"""),"")</f>
        <v/>
      </c>
      <c r="N993" s="5" t="str">
        <f>IFERROR(__xludf.DUMMYFUNCTION("""COMPUTED_VALUE"""),"")</f>
        <v/>
      </c>
      <c r="O993" s="5" t="str">
        <f>IFERROR(__xludf.DUMMYFUNCTION("""COMPUTED_VALUE"""),"")</f>
        <v/>
      </c>
      <c r="P993" s="5" t="str">
        <f>IFERROR(__xludf.DUMMYFUNCTION("""COMPUTED_VALUE"""),"")</f>
        <v/>
      </c>
      <c r="Q993" s="5" t="str">
        <f>IFERROR(__xludf.DUMMYFUNCTION("""COMPUTED_VALUE"""),"")</f>
        <v/>
      </c>
      <c r="R993" s="5" t="str">
        <f>IFERROR(__xludf.DUMMYFUNCTION("""COMPUTED_VALUE"""),"")</f>
        <v/>
      </c>
      <c r="S993" s="5" t="str">
        <f>IFERROR(__xludf.DUMMYFUNCTION("""COMPUTED_VALUE"""),"")</f>
        <v/>
      </c>
      <c r="T993" s="5" t="str">
        <f>IFERROR(__xludf.DUMMYFUNCTION("""COMPUTED_VALUE"""),"")</f>
        <v/>
      </c>
      <c r="U993" s="5" t="str">
        <f>IFERROR(__xludf.DUMMYFUNCTION("""COMPUTED_VALUE"""),"")</f>
        <v/>
      </c>
      <c r="V993" s="5" t="str">
        <f>IFERROR(__xludf.DUMMYFUNCTION("""COMPUTED_VALUE"""),"")</f>
        <v/>
      </c>
      <c r="W993" s="5" t="str">
        <f>IFERROR(__xludf.DUMMYFUNCTION("""COMPUTED_VALUE"""),"")</f>
        <v/>
      </c>
      <c r="X993" s="5" t="str">
        <f>IFERROR(__xludf.DUMMYFUNCTION("""COMPUTED_VALUE"""),"")</f>
        <v/>
      </c>
      <c r="Y993" s="5"/>
      <c r="Z993" s="5"/>
    </row>
    <row r="994">
      <c r="A994" s="5"/>
      <c r="B994" s="5" t="str">
        <f>IFERROR(__xludf.DUMMYFUNCTION("""COMPUTED_VALUE"""),"")</f>
        <v/>
      </c>
      <c r="C994" s="5" t="str">
        <f>IFERROR(__xludf.DUMMYFUNCTION("""COMPUTED_VALUE"""),"")</f>
        <v/>
      </c>
      <c r="D994" s="5" t="str">
        <f>IFERROR(__xludf.DUMMYFUNCTION("""COMPUTED_VALUE"""),"")</f>
        <v/>
      </c>
      <c r="E994" s="5" t="str">
        <f>IFERROR(__xludf.DUMMYFUNCTION("""COMPUTED_VALUE"""),"")</f>
        <v/>
      </c>
      <c r="F994" s="5" t="str">
        <f>IFERROR(__xludf.DUMMYFUNCTION("""COMPUTED_VALUE"""),"")</f>
        <v/>
      </c>
      <c r="G994" s="5" t="str">
        <f>IFERROR(__xludf.DUMMYFUNCTION("""COMPUTED_VALUE"""),"")</f>
        <v/>
      </c>
      <c r="H994" s="5" t="str">
        <f>IFERROR(__xludf.DUMMYFUNCTION("""COMPUTED_VALUE"""),"")</f>
        <v/>
      </c>
      <c r="I994" s="5" t="str">
        <f>IFERROR(__xludf.DUMMYFUNCTION("""COMPUTED_VALUE"""),"")</f>
        <v/>
      </c>
      <c r="J994" s="5" t="str">
        <f>IFERROR(__xludf.DUMMYFUNCTION("""COMPUTED_VALUE"""),"")</f>
        <v/>
      </c>
      <c r="K994" s="5" t="str">
        <f>IFERROR(__xludf.DUMMYFUNCTION("""COMPUTED_VALUE"""),"")</f>
        <v/>
      </c>
      <c r="L994" s="5" t="str">
        <f>IFERROR(__xludf.DUMMYFUNCTION("""COMPUTED_VALUE"""),"")</f>
        <v/>
      </c>
      <c r="M994" s="5" t="str">
        <f>IFERROR(__xludf.DUMMYFUNCTION("""COMPUTED_VALUE"""),"")</f>
        <v/>
      </c>
      <c r="N994" s="5" t="str">
        <f>IFERROR(__xludf.DUMMYFUNCTION("""COMPUTED_VALUE"""),"")</f>
        <v/>
      </c>
      <c r="O994" s="5" t="str">
        <f>IFERROR(__xludf.DUMMYFUNCTION("""COMPUTED_VALUE"""),"")</f>
        <v/>
      </c>
      <c r="P994" s="5" t="str">
        <f>IFERROR(__xludf.DUMMYFUNCTION("""COMPUTED_VALUE"""),"")</f>
        <v/>
      </c>
      <c r="Q994" s="5" t="str">
        <f>IFERROR(__xludf.DUMMYFUNCTION("""COMPUTED_VALUE"""),"")</f>
        <v/>
      </c>
      <c r="R994" s="5" t="str">
        <f>IFERROR(__xludf.DUMMYFUNCTION("""COMPUTED_VALUE"""),"")</f>
        <v/>
      </c>
      <c r="S994" s="5" t="str">
        <f>IFERROR(__xludf.DUMMYFUNCTION("""COMPUTED_VALUE"""),"")</f>
        <v/>
      </c>
      <c r="T994" s="5" t="str">
        <f>IFERROR(__xludf.DUMMYFUNCTION("""COMPUTED_VALUE"""),"")</f>
        <v/>
      </c>
      <c r="U994" s="5" t="str">
        <f>IFERROR(__xludf.DUMMYFUNCTION("""COMPUTED_VALUE"""),"")</f>
        <v/>
      </c>
      <c r="V994" s="5" t="str">
        <f>IFERROR(__xludf.DUMMYFUNCTION("""COMPUTED_VALUE"""),"")</f>
        <v/>
      </c>
      <c r="W994" s="5" t="str">
        <f>IFERROR(__xludf.DUMMYFUNCTION("""COMPUTED_VALUE"""),"")</f>
        <v/>
      </c>
      <c r="X994" s="5" t="str">
        <f>IFERROR(__xludf.DUMMYFUNCTION("""COMPUTED_VALUE"""),"")</f>
        <v/>
      </c>
      <c r="Y994" s="5"/>
      <c r="Z994" s="5"/>
    </row>
    <row r="995">
      <c r="A995" s="5"/>
      <c r="B995" s="5" t="str">
        <f>IFERROR(__xludf.DUMMYFUNCTION("""COMPUTED_VALUE"""),"")</f>
        <v/>
      </c>
      <c r="C995" s="5" t="str">
        <f>IFERROR(__xludf.DUMMYFUNCTION("""COMPUTED_VALUE"""),"")</f>
        <v/>
      </c>
      <c r="D995" s="5" t="str">
        <f>IFERROR(__xludf.DUMMYFUNCTION("""COMPUTED_VALUE"""),"")</f>
        <v/>
      </c>
      <c r="E995" s="5" t="str">
        <f>IFERROR(__xludf.DUMMYFUNCTION("""COMPUTED_VALUE"""),"")</f>
        <v/>
      </c>
      <c r="F995" s="5" t="str">
        <f>IFERROR(__xludf.DUMMYFUNCTION("""COMPUTED_VALUE"""),"")</f>
        <v/>
      </c>
      <c r="G995" s="5" t="str">
        <f>IFERROR(__xludf.DUMMYFUNCTION("""COMPUTED_VALUE"""),"")</f>
        <v/>
      </c>
      <c r="H995" s="5" t="str">
        <f>IFERROR(__xludf.DUMMYFUNCTION("""COMPUTED_VALUE"""),"")</f>
        <v/>
      </c>
      <c r="I995" s="5" t="str">
        <f>IFERROR(__xludf.DUMMYFUNCTION("""COMPUTED_VALUE"""),"")</f>
        <v/>
      </c>
      <c r="J995" s="5" t="str">
        <f>IFERROR(__xludf.DUMMYFUNCTION("""COMPUTED_VALUE"""),"")</f>
        <v/>
      </c>
      <c r="K995" s="5" t="str">
        <f>IFERROR(__xludf.DUMMYFUNCTION("""COMPUTED_VALUE"""),"")</f>
        <v/>
      </c>
      <c r="L995" s="5" t="str">
        <f>IFERROR(__xludf.DUMMYFUNCTION("""COMPUTED_VALUE"""),"")</f>
        <v/>
      </c>
      <c r="M995" s="5" t="str">
        <f>IFERROR(__xludf.DUMMYFUNCTION("""COMPUTED_VALUE"""),"")</f>
        <v/>
      </c>
      <c r="N995" s="5" t="str">
        <f>IFERROR(__xludf.DUMMYFUNCTION("""COMPUTED_VALUE"""),"")</f>
        <v/>
      </c>
      <c r="O995" s="5" t="str">
        <f>IFERROR(__xludf.DUMMYFUNCTION("""COMPUTED_VALUE"""),"")</f>
        <v/>
      </c>
      <c r="P995" s="5" t="str">
        <f>IFERROR(__xludf.DUMMYFUNCTION("""COMPUTED_VALUE"""),"")</f>
        <v/>
      </c>
      <c r="Q995" s="5" t="str">
        <f>IFERROR(__xludf.DUMMYFUNCTION("""COMPUTED_VALUE"""),"")</f>
        <v/>
      </c>
      <c r="R995" s="5" t="str">
        <f>IFERROR(__xludf.DUMMYFUNCTION("""COMPUTED_VALUE"""),"")</f>
        <v/>
      </c>
      <c r="S995" s="5" t="str">
        <f>IFERROR(__xludf.DUMMYFUNCTION("""COMPUTED_VALUE"""),"")</f>
        <v/>
      </c>
      <c r="T995" s="5" t="str">
        <f>IFERROR(__xludf.DUMMYFUNCTION("""COMPUTED_VALUE"""),"")</f>
        <v/>
      </c>
      <c r="U995" s="5" t="str">
        <f>IFERROR(__xludf.DUMMYFUNCTION("""COMPUTED_VALUE"""),"")</f>
        <v/>
      </c>
      <c r="V995" s="5" t="str">
        <f>IFERROR(__xludf.DUMMYFUNCTION("""COMPUTED_VALUE"""),"")</f>
        <v/>
      </c>
      <c r="W995" s="5" t="str">
        <f>IFERROR(__xludf.DUMMYFUNCTION("""COMPUTED_VALUE"""),"")</f>
        <v/>
      </c>
      <c r="X995" s="5" t="str">
        <f>IFERROR(__xludf.DUMMYFUNCTION("""COMPUTED_VALUE"""),"")</f>
        <v/>
      </c>
      <c r="Y995" s="5"/>
      <c r="Z995" s="5"/>
    </row>
    <row r="996">
      <c r="A996" s="5"/>
      <c r="B996" s="5" t="str">
        <f>IFERROR(__xludf.DUMMYFUNCTION("""COMPUTED_VALUE"""),"")</f>
        <v/>
      </c>
      <c r="C996" s="5" t="str">
        <f>IFERROR(__xludf.DUMMYFUNCTION("""COMPUTED_VALUE"""),"")</f>
        <v/>
      </c>
      <c r="D996" s="5" t="str">
        <f>IFERROR(__xludf.DUMMYFUNCTION("""COMPUTED_VALUE"""),"")</f>
        <v/>
      </c>
      <c r="E996" s="5" t="str">
        <f>IFERROR(__xludf.DUMMYFUNCTION("""COMPUTED_VALUE"""),"")</f>
        <v/>
      </c>
      <c r="F996" s="5" t="str">
        <f>IFERROR(__xludf.DUMMYFUNCTION("""COMPUTED_VALUE"""),"")</f>
        <v/>
      </c>
      <c r="G996" s="5" t="str">
        <f>IFERROR(__xludf.DUMMYFUNCTION("""COMPUTED_VALUE"""),"")</f>
        <v/>
      </c>
      <c r="H996" s="5" t="str">
        <f>IFERROR(__xludf.DUMMYFUNCTION("""COMPUTED_VALUE"""),"")</f>
        <v/>
      </c>
      <c r="I996" s="5" t="str">
        <f>IFERROR(__xludf.DUMMYFUNCTION("""COMPUTED_VALUE"""),"")</f>
        <v/>
      </c>
      <c r="J996" s="5" t="str">
        <f>IFERROR(__xludf.DUMMYFUNCTION("""COMPUTED_VALUE"""),"")</f>
        <v/>
      </c>
      <c r="K996" s="5" t="str">
        <f>IFERROR(__xludf.DUMMYFUNCTION("""COMPUTED_VALUE"""),"")</f>
        <v/>
      </c>
      <c r="L996" s="5" t="str">
        <f>IFERROR(__xludf.DUMMYFUNCTION("""COMPUTED_VALUE"""),"")</f>
        <v/>
      </c>
      <c r="M996" s="5" t="str">
        <f>IFERROR(__xludf.DUMMYFUNCTION("""COMPUTED_VALUE"""),"")</f>
        <v/>
      </c>
      <c r="N996" s="5" t="str">
        <f>IFERROR(__xludf.DUMMYFUNCTION("""COMPUTED_VALUE"""),"")</f>
        <v/>
      </c>
      <c r="O996" s="5" t="str">
        <f>IFERROR(__xludf.DUMMYFUNCTION("""COMPUTED_VALUE"""),"")</f>
        <v/>
      </c>
      <c r="P996" s="5" t="str">
        <f>IFERROR(__xludf.DUMMYFUNCTION("""COMPUTED_VALUE"""),"")</f>
        <v/>
      </c>
      <c r="Q996" s="5" t="str">
        <f>IFERROR(__xludf.DUMMYFUNCTION("""COMPUTED_VALUE"""),"")</f>
        <v/>
      </c>
      <c r="R996" s="5" t="str">
        <f>IFERROR(__xludf.DUMMYFUNCTION("""COMPUTED_VALUE"""),"")</f>
        <v/>
      </c>
      <c r="S996" s="5" t="str">
        <f>IFERROR(__xludf.DUMMYFUNCTION("""COMPUTED_VALUE"""),"")</f>
        <v/>
      </c>
      <c r="T996" s="5" t="str">
        <f>IFERROR(__xludf.DUMMYFUNCTION("""COMPUTED_VALUE"""),"")</f>
        <v/>
      </c>
      <c r="U996" s="5" t="str">
        <f>IFERROR(__xludf.DUMMYFUNCTION("""COMPUTED_VALUE"""),"")</f>
        <v/>
      </c>
      <c r="V996" s="5" t="str">
        <f>IFERROR(__xludf.DUMMYFUNCTION("""COMPUTED_VALUE"""),"")</f>
        <v/>
      </c>
      <c r="W996" s="5" t="str">
        <f>IFERROR(__xludf.DUMMYFUNCTION("""COMPUTED_VALUE"""),"")</f>
        <v/>
      </c>
      <c r="X996" s="5" t="str">
        <f>IFERROR(__xludf.DUMMYFUNCTION("""COMPUTED_VALUE"""),"")</f>
        <v/>
      </c>
      <c r="Y996" s="5"/>
      <c r="Z996" s="5"/>
    </row>
    <row r="997">
      <c r="A997" s="5"/>
      <c r="B997" s="5" t="str">
        <f>IFERROR(__xludf.DUMMYFUNCTION("""COMPUTED_VALUE"""),"")</f>
        <v/>
      </c>
      <c r="C997" s="5" t="str">
        <f>IFERROR(__xludf.DUMMYFUNCTION("""COMPUTED_VALUE"""),"")</f>
        <v/>
      </c>
      <c r="D997" s="5" t="str">
        <f>IFERROR(__xludf.DUMMYFUNCTION("""COMPUTED_VALUE"""),"")</f>
        <v/>
      </c>
      <c r="E997" s="5" t="str">
        <f>IFERROR(__xludf.DUMMYFUNCTION("""COMPUTED_VALUE"""),"")</f>
        <v/>
      </c>
      <c r="F997" s="5" t="str">
        <f>IFERROR(__xludf.DUMMYFUNCTION("""COMPUTED_VALUE"""),"")</f>
        <v/>
      </c>
      <c r="G997" s="5" t="str">
        <f>IFERROR(__xludf.DUMMYFUNCTION("""COMPUTED_VALUE"""),"")</f>
        <v/>
      </c>
      <c r="H997" s="5" t="str">
        <f>IFERROR(__xludf.DUMMYFUNCTION("""COMPUTED_VALUE"""),"")</f>
        <v/>
      </c>
      <c r="I997" s="5" t="str">
        <f>IFERROR(__xludf.DUMMYFUNCTION("""COMPUTED_VALUE"""),"")</f>
        <v/>
      </c>
      <c r="J997" s="5" t="str">
        <f>IFERROR(__xludf.DUMMYFUNCTION("""COMPUTED_VALUE"""),"")</f>
        <v/>
      </c>
      <c r="K997" s="5" t="str">
        <f>IFERROR(__xludf.DUMMYFUNCTION("""COMPUTED_VALUE"""),"")</f>
        <v/>
      </c>
      <c r="L997" s="5" t="str">
        <f>IFERROR(__xludf.DUMMYFUNCTION("""COMPUTED_VALUE"""),"")</f>
        <v/>
      </c>
      <c r="M997" s="5" t="str">
        <f>IFERROR(__xludf.DUMMYFUNCTION("""COMPUTED_VALUE"""),"")</f>
        <v/>
      </c>
      <c r="N997" s="5" t="str">
        <f>IFERROR(__xludf.DUMMYFUNCTION("""COMPUTED_VALUE"""),"")</f>
        <v/>
      </c>
      <c r="O997" s="5" t="str">
        <f>IFERROR(__xludf.DUMMYFUNCTION("""COMPUTED_VALUE"""),"")</f>
        <v/>
      </c>
      <c r="P997" s="5" t="str">
        <f>IFERROR(__xludf.DUMMYFUNCTION("""COMPUTED_VALUE"""),"")</f>
        <v/>
      </c>
      <c r="Q997" s="5" t="str">
        <f>IFERROR(__xludf.DUMMYFUNCTION("""COMPUTED_VALUE"""),"")</f>
        <v/>
      </c>
      <c r="R997" s="5" t="str">
        <f>IFERROR(__xludf.DUMMYFUNCTION("""COMPUTED_VALUE"""),"")</f>
        <v/>
      </c>
      <c r="S997" s="5" t="str">
        <f>IFERROR(__xludf.DUMMYFUNCTION("""COMPUTED_VALUE"""),"")</f>
        <v/>
      </c>
      <c r="T997" s="5" t="str">
        <f>IFERROR(__xludf.DUMMYFUNCTION("""COMPUTED_VALUE"""),"")</f>
        <v/>
      </c>
      <c r="U997" s="5" t="str">
        <f>IFERROR(__xludf.DUMMYFUNCTION("""COMPUTED_VALUE"""),"")</f>
        <v/>
      </c>
      <c r="V997" s="5" t="str">
        <f>IFERROR(__xludf.DUMMYFUNCTION("""COMPUTED_VALUE"""),"")</f>
        <v/>
      </c>
      <c r="W997" s="5" t="str">
        <f>IFERROR(__xludf.DUMMYFUNCTION("""COMPUTED_VALUE"""),"")</f>
        <v/>
      </c>
      <c r="X997" s="5" t="str">
        <f>IFERROR(__xludf.DUMMYFUNCTION("""COMPUTED_VALUE"""),"")</f>
        <v/>
      </c>
      <c r="Y997" s="5"/>
      <c r="Z997" s="5"/>
    </row>
    <row r="998">
      <c r="A998" s="5"/>
      <c r="B998" s="5" t="str">
        <f>IFERROR(__xludf.DUMMYFUNCTION("""COMPUTED_VALUE"""),"")</f>
        <v/>
      </c>
      <c r="C998" s="5" t="str">
        <f>IFERROR(__xludf.DUMMYFUNCTION("""COMPUTED_VALUE"""),"")</f>
        <v/>
      </c>
      <c r="D998" s="5" t="str">
        <f>IFERROR(__xludf.DUMMYFUNCTION("""COMPUTED_VALUE"""),"")</f>
        <v/>
      </c>
      <c r="E998" s="5" t="str">
        <f>IFERROR(__xludf.DUMMYFUNCTION("""COMPUTED_VALUE"""),"")</f>
        <v/>
      </c>
      <c r="F998" s="5" t="str">
        <f>IFERROR(__xludf.DUMMYFUNCTION("""COMPUTED_VALUE"""),"")</f>
        <v/>
      </c>
      <c r="G998" s="5" t="str">
        <f>IFERROR(__xludf.DUMMYFUNCTION("""COMPUTED_VALUE"""),"")</f>
        <v/>
      </c>
      <c r="H998" s="5" t="str">
        <f>IFERROR(__xludf.DUMMYFUNCTION("""COMPUTED_VALUE"""),"")</f>
        <v/>
      </c>
      <c r="I998" s="5" t="str">
        <f>IFERROR(__xludf.DUMMYFUNCTION("""COMPUTED_VALUE"""),"")</f>
        <v/>
      </c>
      <c r="J998" s="5" t="str">
        <f>IFERROR(__xludf.DUMMYFUNCTION("""COMPUTED_VALUE"""),"")</f>
        <v/>
      </c>
      <c r="K998" s="5" t="str">
        <f>IFERROR(__xludf.DUMMYFUNCTION("""COMPUTED_VALUE"""),"")</f>
        <v/>
      </c>
      <c r="L998" s="5" t="str">
        <f>IFERROR(__xludf.DUMMYFUNCTION("""COMPUTED_VALUE"""),"")</f>
        <v/>
      </c>
      <c r="M998" s="5" t="str">
        <f>IFERROR(__xludf.DUMMYFUNCTION("""COMPUTED_VALUE"""),"")</f>
        <v/>
      </c>
      <c r="N998" s="5" t="str">
        <f>IFERROR(__xludf.DUMMYFUNCTION("""COMPUTED_VALUE"""),"")</f>
        <v/>
      </c>
      <c r="O998" s="5" t="str">
        <f>IFERROR(__xludf.DUMMYFUNCTION("""COMPUTED_VALUE"""),"")</f>
        <v/>
      </c>
      <c r="P998" s="5" t="str">
        <f>IFERROR(__xludf.DUMMYFUNCTION("""COMPUTED_VALUE"""),"")</f>
        <v/>
      </c>
      <c r="Q998" s="5" t="str">
        <f>IFERROR(__xludf.DUMMYFUNCTION("""COMPUTED_VALUE"""),"")</f>
        <v/>
      </c>
      <c r="R998" s="5" t="str">
        <f>IFERROR(__xludf.DUMMYFUNCTION("""COMPUTED_VALUE"""),"")</f>
        <v/>
      </c>
      <c r="S998" s="5" t="str">
        <f>IFERROR(__xludf.DUMMYFUNCTION("""COMPUTED_VALUE"""),"")</f>
        <v/>
      </c>
      <c r="T998" s="5" t="str">
        <f>IFERROR(__xludf.DUMMYFUNCTION("""COMPUTED_VALUE"""),"")</f>
        <v/>
      </c>
      <c r="U998" s="5" t="str">
        <f>IFERROR(__xludf.DUMMYFUNCTION("""COMPUTED_VALUE"""),"")</f>
        <v/>
      </c>
      <c r="V998" s="5" t="str">
        <f>IFERROR(__xludf.DUMMYFUNCTION("""COMPUTED_VALUE"""),"")</f>
        <v/>
      </c>
      <c r="W998" s="5" t="str">
        <f>IFERROR(__xludf.DUMMYFUNCTION("""COMPUTED_VALUE"""),"")</f>
        <v/>
      </c>
      <c r="X998" s="5" t="str">
        <f>IFERROR(__xludf.DUMMYFUNCTION("""COMPUTED_VALUE"""),"")</f>
        <v/>
      </c>
      <c r="Y998" s="5"/>
      <c r="Z998" s="5"/>
    </row>
    <row r="999">
      <c r="A999" s="5"/>
      <c r="B999" s="5" t="str">
        <f>IFERROR(__xludf.DUMMYFUNCTION("""COMPUTED_VALUE"""),"")</f>
        <v/>
      </c>
      <c r="C999" s="5" t="str">
        <f>IFERROR(__xludf.DUMMYFUNCTION("""COMPUTED_VALUE"""),"")</f>
        <v/>
      </c>
      <c r="D999" s="5" t="str">
        <f>IFERROR(__xludf.DUMMYFUNCTION("""COMPUTED_VALUE"""),"")</f>
        <v/>
      </c>
      <c r="E999" s="5" t="str">
        <f>IFERROR(__xludf.DUMMYFUNCTION("""COMPUTED_VALUE"""),"")</f>
        <v/>
      </c>
      <c r="F999" s="5" t="str">
        <f>IFERROR(__xludf.DUMMYFUNCTION("""COMPUTED_VALUE"""),"")</f>
        <v/>
      </c>
      <c r="G999" s="5" t="str">
        <f>IFERROR(__xludf.DUMMYFUNCTION("""COMPUTED_VALUE"""),"")</f>
        <v/>
      </c>
      <c r="H999" s="5" t="str">
        <f>IFERROR(__xludf.DUMMYFUNCTION("""COMPUTED_VALUE"""),"")</f>
        <v/>
      </c>
      <c r="I999" s="5" t="str">
        <f>IFERROR(__xludf.DUMMYFUNCTION("""COMPUTED_VALUE"""),"")</f>
        <v/>
      </c>
      <c r="J999" s="5" t="str">
        <f>IFERROR(__xludf.DUMMYFUNCTION("""COMPUTED_VALUE"""),"")</f>
        <v/>
      </c>
      <c r="K999" s="5" t="str">
        <f>IFERROR(__xludf.DUMMYFUNCTION("""COMPUTED_VALUE"""),"")</f>
        <v/>
      </c>
      <c r="L999" s="5" t="str">
        <f>IFERROR(__xludf.DUMMYFUNCTION("""COMPUTED_VALUE"""),"")</f>
        <v/>
      </c>
      <c r="M999" s="5" t="str">
        <f>IFERROR(__xludf.DUMMYFUNCTION("""COMPUTED_VALUE"""),"")</f>
        <v/>
      </c>
      <c r="N999" s="5" t="str">
        <f>IFERROR(__xludf.DUMMYFUNCTION("""COMPUTED_VALUE"""),"")</f>
        <v/>
      </c>
      <c r="O999" s="5" t="str">
        <f>IFERROR(__xludf.DUMMYFUNCTION("""COMPUTED_VALUE"""),"")</f>
        <v/>
      </c>
      <c r="P999" s="5" t="str">
        <f>IFERROR(__xludf.DUMMYFUNCTION("""COMPUTED_VALUE"""),"")</f>
        <v/>
      </c>
      <c r="Q999" s="5" t="str">
        <f>IFERROR(__xludf.DUMMYFUNCTION("""COMPUTED_VALUE"""),"")</f>
        <v/>
      </c>
      <c r="R999" s="5" t="str">
        <f>IFERROR(__xludf.DUMMYFUNCTION("""COMPUTED_VALUE"""),"")</f>
        <v/>
      </c>
      <c r="S999" s="5" t="str">
        <f>IFERROR(__xludf.DUMMYFUNCTION("""COMPUTED_VALUE"""),"")</f>
        <v/>
      </c>
      <c r="T999" s="5" t="str">
        <f>IFERROR(__xludf.DUMMYFUNCTION("""COMPUTED_VALUE"""),"")</f>
        <v/>
      </c>
      <c r="U999" s="5" t="str">
        <f>IFERROR(__xludf.DUMMYFUNCTION("""COMPUTED_VALUE"""),"")</f>
        <v/>
      </c>
      <c r="V999" s="5" t="str">
        <f>IFERROR(__xludf.DUMMYFUNCTION("""COMPUTED_VALUE"""),"")</f>
        <v/>
      </c>
      <c r="W999" s="5" t="str">
        <f>IFERROR(__xludf.DUMMYFUNCTION("""COMPUTED_VALUE"""),"")</f>
        <v/>
      </c>
      <c r="X999" s="5" t="str">
        <f>IFERROR(__xludf.DUMMYFUNCTION("""COMPUTED_VALUE"""),"")</f>
        <v/>
      </c>
      <c r="Y999" s="5"/>
      <c r="Z999" s="5"/>
    </row>
    <row r="1000">
      <c r="A1000" s="5"/>
      <c r="B1000" s="5" t="str">
        <f>IFERROR(__xludf.DUMMYFUNCTION("""COMPUTED_VALUE"""),"")</f>
        <v/>
      </c>
      <c r="C1000" s="5" t="str">
        <f>IFERROR(__xludf.DUMMYFUNCTION("""COMPUTED_VALUE"""),"")</f>
        <v/>
      </c>
      <c r="D1000" s="5" t="str">
        <f>IFERROR(__xludf.DUMMYFUNCTION("""COMPUTED_VALUE"""),"")</f>
        <v/>
      </c>
      <c r="E1000" s="5" t="str">
        <f>IFERROR(__xludf.DUMMYFUNCTION("""COMPUTED_VALUE"""),"")</f>
        <v/>
      </c>
      <c r="F1000" s="5" t="str">
        <f>IFERROR(__xludf.DUMMYFUNCTION("""COMPUTED_VALUE"""),"")</f>
        <v/>
      </c>
      <c r="G1000" s="5" t="str">
        <f>IFERROR(__xludf.DUMMYFUNCTION("""COMPUTED_VALUE"""),"")</f>
        <v/>
      </c>
      <c r="H1000" s="5" t="str">
        <f>IFERROR(__xludf.DUMMYFUNCTION("""COMPUTED_VALUE"""),"")</f>
        <v/>
      </c>
      <c r="I1000" s="5" t="str">
        <f>IFERROR(__xludf.DUMMYFUNCTION("""COMPUTED_VALUE"""),"")</f>
        <v/>
      </c>
      <c r="J1000" s="5" t="str">
        <f>IFERROR(__xludf.DUMMYFUNCTION("""COMPUTED_VALUE"""),"")</f>
        <v/>
      </c>
      <c r="K1000" s="5" t="str">
        <f>IFERROR(__xludf.DUMMYFUNCTION("""COMPUTED_VALUE"""),"")</f>
        <v/>
      </c>
      <c r="L1000" s="5" t="str">
        <f>IFERROR(__xludf.DUMMYFUNCTION("""COMPUTED_VALUE"""),"")</f>
        <v/>
      </c>
      <c r="M1000" s="5" t="str">
        <f>IFERROR(__xludf.DUMMYFUNCTION("""COMPUTED_VALUE"""),"")</f>
        <v/>
      </c>
      <c r="N1000" s="5" t="str">
        <f>IFERROR(__xludf.DUMMYFUNCTION("""COMPUTED_VALUE"""),"")</f>
        <v/>
      </c>
      <c r="O1000" s="5" t="str">
        <f>IFERROR(__xludf.DUMMYFUNCTION("""COMPUTED_VALUE"""),"")</f>
        <v/>
      </c>
      <c r="P1000" s="5" t="str">
        <f>IFERROR(__xludf.DUMMYFUNCTION("""COMPUTED_VALUE"""),"")</f>
        <v/>
      </c>
      <c r="Q1000" s="5" t="str">
        <f>IFERROR(__xludf.DUMMYFUNCTION("""COMPUTED_VALUE"""),"")</f>
        <v/>
      </c>
      <c r="R1000" s="5" t="str">
        <f>IFERROR(__xludf.DUMMYFUNCTION("""COMPUTED_VALUE"""),"")</f>
        <v/>
      </c>
      <c r="S1000" s="5" t="str">
        <f>IFERROR(__xludf.DUMMYFUNCTION("""COMPUTED_VALUE"""),"")</f>
        <v/>
      </c>
      <c r="T1000" s="5" t="str">
        <f>IFERROR(__xludf.DUMMYFUNCTION("""COMPUTED_VALUE"""),"")</f>
        <v/>
      </c>
      <c r="U1000" s="5" t="str">
        <f>IFERROR(__xludf.DUMMYFUNCTION("""COMPUTED_VALUE"""),"")</f>
        <v/>
      </c>
      <c r="V1000" s="5" t="str">
        <f>IFERROR(__xludf.DUMMYFUNCTION("""COMPUTED_VALUE"""),"")</f>
        <v/>
      </c>
      <c r="W1000" s="5" t="str">
        <f>IFERROR(__xludf.DUMMYFUNCTION("""COMPUTED_VALUE"""),"")</f>
        <v/>
      </c>
      <c r="X1000" s="5" t="str">
        <f>IFERROR(__xludf.DUMMYFUNCTION("""COMPUTED_VALUE"""),"")</f>
        <v/>
      </c>
      <c r="Y1000" s="5"/>
      <c r="Z1000" s="5"/>
    </row>
    <row r="1001">
      <c r="A1001" s="5"/>
      <c r="B1001" s="5" t="str">
        <f>IFERROR(__xludf.DUMMYFUNCTION("""COMPUTED_VALUE"""),"")</f>
        <v/>
      </c>
      <c r="C1001" s="5" t="str">
        <f>IFERROR(__xludf.DUMMYFUNCTION("""COMPUTED_VALUE"""),"")</f>
        <v/>
      </c>
      <c r="D1001" s="5" t="str">
        <f>IFERROR(__xludf.DUMMYFUNCTION("""COMPUTED_VALUE"""),"")</f>
        <v/>
      </c>
      <c r="E1001" s="5" t="str">
        <f>IFERROR(__xludf.DUMMYFUNCTION("""COMPUTED_VALUE"""),"")</f>
        <v/>
      </c>
      <c r="F1001" s="5" t="str">
        <f>IFERROR(__xludf.DUMMYFUNCTION("""COMPUTED_VALUE"""),"")</f>
        <v/>
      </c>
      <c r="G1001" s="5" t="str">
        <f>IFERROR(__xludf.DUMMYFUNCTION("""COMPUTED_VALUE"""),"")</f>
        <v/>
      </c>
      <c r="H1001" s="5" t="str">
        <f>IFERROR(__xludf.DUMMYFUNCTION("""COMPUTED_VALUE"""),"")</f>
        <v/>
      </c>
      <c r="I1001" s="5" t="str">
        <f>IFERROR(__xludf.DUMMYFUNCTION("""COMPUTED_VALUE"""),"")</f>
        <v/>
      </c>
      <c r="J1001" s="5" t="str">
        <f>IFERROR(__xludf.DUMMYFUNCTION("""COMPUTED_VALUE"""),"")</f>
        <v/>
      </c>
      <c r="K1001" s="5" t="str">
        <f>IFERROR(__xludf.DUMMYFUNCTION("""COMPUTED_VALUE"""),"")</f>
        <v/>
      </c>
      <c r="L1001" s="5" t="str">
        <f>IFERROR(__xludf.DUMMYFUNCTION("""COMPUTED_VALUE"""),"")</f>
        <v/>
      </c>
      <c r="M1001" s="5" t="str">
        <f>IFERROR(__xludf.DUMMYFUNCTION("""COMPUTED_VALUE"""),"")</f>
        <v/>
      </c>
      <c r="N1001" s="5" t="str">
        <f>IFERROR(__xludf.DUMMYFUNCTION("""COMPUTED_VALUE"""),"")</f>
        <v/>
      </c>
      <c r="O1001" s="5" t="str">
        <f>IFERROR(__xludf.DUMMYFUNCTION("""COMPUTED_VALUE"""),"")</f>
        <v/>
      </c>
      <c r="P1001" s="5" t="str">
        <f>IFERROR(__xludf.DUMMYFUNCTION("""COMPUTED_VALUE"""),"")</f>
        <v/>
      </c>
      <c r="Q1001" s="5" t="str">
        <f>IFERROR(__xludf.DUMMYFUNCTION("""COMPUTED_VALUE"""),"")</f>
        <v/>
      </c>
      <c r="R1001" s="5" t="str">
        <f>IFERROR(__xludf.DUMMYFUNCTION("""COMPUTED_VALUE"""),"")</f>
        <v/>
      </c>
      <c r="S1001" s="5" t="str">
        <f>IFERROR(__xludf.DUMMYFUNCTION("""COMPUTED_VALUE"""),"")</f>
        <v/>
      </c>
      <c r="T1001" s="5" t="str">
        <f>IFERROR(__xludf.DUMMYFUNCTION("""COMPUTED_VALUE"""),"")</f>
        <v/>
      </c>
      <c r="U1001" s="5" t="str">
        <f>IFERROR(__xludf.DUMMYFUNCTION("""COMPUTED_VALUE"""),"")</f>
        <v/>
      </c>
      <c r="V1001" s="5" t="str">
        <f>IFERROR(__xludf.DUMMYFUNCTION("""COMPUTED_VALUE"""),"")</f>
        <v/>
      </c>
      <c r="W1001" s="5" t="str">
        <f>IFERROR(__xludf.DUMMYFUNCTION("""COMPUTED_VALUE"""),"")</f>
        <v/>
      </c>
      <c r="X1001" s="5" t="str">
        <f>IFERROR(__xludf.DUMMYFUNCTION("""COMPUTED_VALUE"""),"")</f>
        <v/>
      </c>
      <c r="Y1001" s="5"/>
      <c r="Z1001" s="5"/>
    </row>
    <row r="1002">
      <c r="A1002" s="5"/>
      <c r="B1002" s="5" t="str">
        <f>IFERROR(__xludf.DUMMYFUNCTION("""COMPUTED_VALUE"""),"")</f>
        <v/>
      </c>
      <c r="C1002" s="5" t="str">
        <f>IFERROR(__xludf.DUMMYFUNCTION("""COMPUTED_VALUE"""),"")</f>
        <v/>
      </c>
      <c r="D1002" s="5" t="str">
        <f>IFERROR(__xludf.DUMMYFUNCTION("""COMPUTED_VALUE"""),"")</f>
        <v/>
      </c>
      <c r="E1002" s="5" t="str">
        <f>IFERROR(__xludf.DUMMYFUNCTION("""COMPUTED_VALUE"""),"")</f>
        <v/>
      </c>
      <c r="F1002" s="5" t="str">
        <f>IFERROR(__xludf.DUMMYFUNCTION("""COMPUTED_VALUE"""),"")</f>
        <v/>
      </c>
      <c r="G1002" s="5" t="str">
        <f>IFERROR(__xludf.DUMMYFUNCTION("""COMPUTED_VALUE"""),"")</f>
        <v/>
      </c>
      <c r="H1002" s="5" t="str">
        <f>IFERROR(__xludf.DUMMYFUNCTION("""COMPUTED_VALUE"""),"")</f>
        <v/>
      </c>
      <c r="I1002" s="5" t="str">
        <f>IFERROR(__xludf.DUMMYFUNCTION("""COMPUTED_VALUE"""),"")</f>
        <v/>
      </c>
      <c r="J1002" s="5" t="str">
        <f>IFERROR(__xludf.DUMMYFUNCTION("""COMPUTED_VALUE"""),"")</f>
        <v/>
      </c>
      <c r="K1002" s="5" t="str">
        <f>IFERROR(__xludf.DUMMYFUNCTION("""COMPUTED_VALUE"""),"")</f>
        <v/>
      </c>
      <c r="L1002" s="5" t="str">
        <f>IFERROR(__xludf.DUMMYFUNCTION("""COMPUTED_VALUE"""),"")</f>
        <v/>
      </c>
      <c r="M1002" s="5" t="str">
        <f>IFERROR(__xludf.DUMMYFUNCTION("""COMPUTED_VALUE"""),"")</f>
        <v/>
      </c>
      <c r="N1002" s="5" t="str">
        <f>IFERROR(__xludf.DUMMYFUNCTION("""COMPUTED_VALUE"""),"")</f>
        <v/>
      </c>
      <c r="O1002" s="5" t="str">
        <f>IFERROR(__xludf.DUMMYFUNCTION("""COMPUTED_VALUE"""),"")</f>
        <v/>
      </c>
      <c r="P1002" s="5" t="str">
        <f>IFERROR(__xludf.DUMMYFUNCTION("""COMPUTED_VALUE"""),"")</f>
        <v/>
      </c>
      <c r="Q1002" s="5" t="str">
        <f>IFERROR(__xludf.DUMMYFUNCTION("""COMPUTED_VALUE"""),"")</f>
        <v/>
      </c>
      <c r="R1002" s="5" t="str">
        <f>IFERROR(__xludf.DUMMYFUNCTION("""COMPUTED_VALUE"""),"")</f>
        <v/>
      </c>
      <c r="S1002" s="5" t="str">
        <f>IFERROR(__xludf.DUMMYFUNCTION("""COMPUTED_VALUE"""),"")</f>
        <v/>
      </c>
      <c r="T1002" s="5" t="str">
        <f>IFERROR(__xludf.DUMMYFUNCTION("""COMPUTED_VALUE"""),"")</f>
        <v/>
      </c>
      <c r="U1002" s="5" t="str">
        <f>IFERROR(__xludf.DUMMYFUNCTION("""COMPUTED_VALUE"""),"")</f>
        <v/>
      </c>
      <c r="V1002" s="5" t="str">
        <f>IFERROR(__xludf.DUMMYFUNCTION("""COMPUTED_VALUE"""),"")</f>
        <v/>
      </c>
      <c r="W1002" s="5" t="str">
        <f>IFERROR(__xludf.DUMMYFUNCTION("""COMPUTED_VALUE"""),"")</f>
        <v/>
      </c>
      <c r="X1002" s="5" t="str">
        <f>IFERROR(__xludf.DUMMYFUNCTION("""COMPUTED_VALUE"""),"")</f>
        <v/>
      </c>
      <c r="Y1002" s="5"/>
      <c r="Z1002" s="5"/>
    </row>
    <row r="1003">
      <c r="A1003" s="5"/>
      <c r="B1003" s="5" t="str">
        <f>IFERROR(__xludf.DUMMYFUNCTION("""COMPUTED_VALUE"""),"")</f>
        <v/>
      </c>
      <c r="C1003" s="5" t="str">
        <f>IFERROR(__xludf.DUMMYFUNCTION("""COMPUTED_VALUE"""),"")</f>
        <v/>
      </c>
      <c r="D1003" s="5" t="str">
        <f>IFERROR(__xludf.DUMMYFUNCTION("""COMPUTED_VALUE"""),"")</f>
        <v/>
      </c>
      <c r="E1003" s="5" t="str">
        <f>IFERROR(__xludf.DUMMYFUNCTION("""COMPUTED_VALUE"""),"")</f>
        <v/>
      </c>
      <c r="F1003" s="5" t="str">
        <f>IFERROR(__xludf.DUMMYFUNCTION("""COMPUTED_VALUE"""),"")</f>
        <v/>
      </c>
      <c r="G1003" s="5" t="str">
        <f>IFERROR(__xludf.DUMMYFUNCTION("""COMPUTED_VALUE"""),"")</f>
        <v/>
      </c>
      <c r="H1003" s="5" t="str">
        <f>IFERROR(__xludf.DUMMYFUNCTION("""COMPUTED_VALUE"""),"")</f>
        <v/>
      </c>
      <c r="I1003" s="5" t="str">
        <f>IFERROR(__xludf.DUMMYFUNCTION("""COMPUTED_VALUE"""),"")</f>
        <v/>
      </c>
      <c r="J1003" s="5" t="str">
        <f>IFERROR(__xludf.DUMMYFUNCTION("""COMPUTED_VALUE"""),"")</f>
        <v/>
      </c>
      <c r="K1003" s="5" t="str">
        <f>IFERROR(__xludf.DUMMYFUNCTION("""COMPUTED_VALUE"""),"")</f>
        <v/>
      </c>
      <c r="L1003" s="5" t="str">
        <f>IFERROR(__xludf.DUMMYFUNCTION("""COMPUTED_VALUE"""),"")</f>
        <v/>
      </c>
      <c r="M1003" s="5" t="str">
        <f>IFERROR(__xludf.DUMMYFUNCTION("""COMPUTED_VALUE"""),"")</f>
        <v/>
      </c>
      <c r="N1003" s="5" t="str">
        <f>IFERROR(__xludf.DUMMYFUNCTION("""COMPUTED_VALUE"""),"")</f>
        <v/>
      </c>
      <c r="O1003" s="5" t="str">
        <f>IFERROR(__xludf.DUMMYFUNCTION("""COMPUTED_VALUE"""),"")</f>
        <v/>
      </c>
      <c r="P1003" s="5" t="str">
        <f>IFERROR(__xludf.DUMMYFUNCTION("""COMPUTED_VALUE"""),"")</f>
        <v/>
      </c>
      <c r="Q1003" s="5" t="str">
        <f>IFERROR(__xludf.DUMMYFUNCTION("""COMPUTED_VALUE"""),"")</f>
        <v/>
      </c>
      <c r="R1003" s="5" t="str">
        <f>IFERROR(__xludf.DUMMYFUNCTION("""COMPUTED_VALUE"""),"")</f>
        <v/>
      </c>
      <c r="S1003" s="5" t="str">
        <f>IFERROR(__xludf.DUMMYFUNCTION("""COMPUTED_VALUE"""),"")</f>
        <v/>
      </c>
      <c r="T1003" s="5" t="str">
        <f>IFERROR(__xludf.DUMMYFUNCTION("""COMPUTED_VALUE"""),"")</f>
        <v/>
      </c>
      <c r="U1003" s="5" t="str">
        <f>IFERROR(__xludf.DUMMYFUNCTION("""COMPUTED_VALUE"""),"")</f>
        <v/>
      </c>
      <c r="V1003" s="5" t="str">
        <f>IFERROR(__xludf.DUMMYFUNCTION("""COMPUTED_VALUE"""),"")</f>
        <v/>
      </c>
      <c r="W1003" s="5" t="str">
        <f>IFERROR(__xludf.DUMMYFUNCTION("""COMPUTED_VALUE"""),"")</f>
        <v/>
      </c>
      <c r="X1003" s="5" t="str">
        <f>IFERROR(__xludf.DUMMYFUNCTION("""COMPUTED_VALUE"""),"")</f>
        <v/>
      </c>
      <c r="Y1003" s="5"/>
      <c r="Z1003" s="5"/>
    </row>
    <row r="1004">
      <c r="A1004" s="5"/>
      <c r="B1004" s="5" t="str">
        <f>IFERROR(__xludf.DUMMYFUNCTION("""COMPUTED_VALUE"""),"")</f>
        <v/>
      </c>
      <c r="C1004" s="5" t="str">
        <f>IFERROR(__xludf.DUMMYFUNCTION("""COMPUTED_VALUE"""),"")</f>
        <v/>
      </c>
      <c r="D1004" s="5" t="str">
        <f>IFERROR(__xludf.DUMMYFUNCTION("""COMPUTED_VALUE"""),"")</f>
        <v/>
      </c>
      <c r="E1004" s="5" t="str">
        <f>IFERROR(__xludf.DUMMYFUNCTION("""COMPUTED_VALUE"""),"")</f>
        <v/>
      </c>
      <c r="F1004" s="5" t="str">
        <f>IFERROR(__xludf.DUMMYFUNCTION("""COMPUTED_VALUE"""),"")</f>
        <v/>
      </c>
      <c r="G1004" s="5" t="str">
        <f>IFERROR(__xludf.DUMMYFUNCTION("""COMPUTED_VALUE"""),"")</f>
        <v/>
      </c>
      <c r="H1004" s="5" t="str">
        <f>IFERROR(__xludf.DUMMYFUNCTION("""COMPUTED_VALUE"""),"")</f>
        <v/>
      </c>
      <c r="I1004" s="5" t="str">
        <f>IFERROR(__xludf.DUMMYFUNCTION("""COMPUTED_VALUE"""),"")</f>
        <v/>
      </c>
      <c r="J1004" s="5" t="str">
        <f>IFERROR(__xludf.DUMMYFUNCTION("""COMPUTED_VALUE"""),"")</f>
        <v/>
      </c>
      <c r="K1004" s="5" t="str">
        <f>IFERROR(__xludf.DUMMYFUNCTION("""COMPUTED_VALUE"""),"")</f>
        <v/>
      </c>
      <c r="L1004" s="5" t="str">
        <f>IFERROR(__xludf.DUMMYFUNCTION("""COMPUTED_VALUE"""),"")</f>
        <v/>
      </c>
      <c r="M1004" s="5" t="str">
        <f>IFERROR(__xludf.DUMMYFUNCTION("""COMPUTED_VALUE"""),"")</f>
        <v/>
      </c>
      <c r="N1004" s="5" t="str">
        <f>IFERROR(__xludf.DUMMYFUNCTION("""COMPUTED_VALUE"""),"")</f>
        <v/>
      </c>
      <c r="O1004" s="5" t="str">
        <f>IFERROR(__xludf.DUMMYFUNCTION("""COMPUTED_VALUE"""),"")</f>
        <v/>
      </c>
      <c r="P1004" s="5" t="str">
        <f>IFERROR(__xludf.DUMMYFUNCTION("""COMPUTED_VALUE"""),"")</f>
        <v/>
      </c>
      <c r="Q1004" s="5" t="str">
        <f>IFERROR(__xludf.DUMMYFUNCTION("""COMPUTED_VALUE"""),"")</f>
        <v/>
      </c>
      <c r="R1004" s="5" t="str">
        <f>IFERROR(__xludf.DUMMYFUNCTION("""COMPUTED_VALUE"""),"")</f>
        <v/>
      </c>
      <c r="S1004" s="5" t="str">
        <f>IFERROR(__xludf.DUMMYFUNCTION("""COMPUTED_VALUE"""),"")</f>
        <v/>
      </c>
      <c r="T1004" s="5" t="str">
        <f>IFERROR(__xludf.DUMMYFUNCTION("""COMPUTED_VALUE"""),"")</f>
        <v/>
      </c>
      <c r="U1004" s="5" t="str">
        <f>IFERROR(__xludf.DUMMYFUNCTION("""COMPUTED_VALUE"""),"")</f>
        <v/>
      </c>
      <c r="V1004" s="5" t="str">
        <f>IFERROR(__xludf.DUMMYFUNCTION("""COMPUTED_VALUE"""),"")</f>
        <v/>
      </c>
      <c r="W1004" s="5" t="str">
        <f>IFERROR(__xludf.DUMMYFUNCTION("""COMPUTED_VALUE"""),"")</f>
        <v/>
      </c>
      <c r="X1004" s="5" t="str">
        <f>IFERROR(__xludf.DUMMYFUNCTION("""COMPUTED_VALUE"""),"")</f>
        <v/>
      </c>
      <c r="Y1004" s="5"/>
      <c r="Z1004" s="5"/>
    </row>
    <row r="1005">
      <c r="A1005" s="5"/>
      <c r="B1005" s="5" t="str">
        <f>IFERROR(__xludf.DUMMYFUNCTION("""COMPUTED_VALUE"""),"")</f>
        <v/>
      </c>
      <c r="C1005" s="5" t="str">
        <f>IFERROR(__xludf.DUMMYFUNCTION("""COMPUTED_VALUE"""),"")</f>
        <v/>
      </c>
      <c r="D1005" s="5" t="str">
        <f>IFERROR(__xludf.DUMMYFUNCTION("""COMPUTED_VALUE"""),"")</f>
        <v/>
      </c>
      <c r="E1005" s="5" t="str">
        <f>IFERROR(__xludf.DUMMYFUNCTION("""COMPUTED_VALUE"""),"")</f>
        <v/>
      </c>
      <c r="F1005" s="5" t="str">
        <f>IFERROR(__xludf.DUMMYFUNCTION("""COMPUTED_VALUE"""),"")</f>
        <v/>
      </c>
      <c r="G1005" s="5" t="str">
        <f>IFERROR(__xludf.DUMMYFUNCTION("""COMPUTED_VALUE"""),"")</f>
        <v/>
      </c>
      <c r="H1005" s="5" t="str">
        <f>IFERROR(__xludf.DUMMYFUNCTION("""COMPUTED_VALUE"""),"")</f>
        <v/>
      </c>
      <c r="I1005" s="5" t="str">
        <f>IFERROR(__xludf.DUMMYFUNCTION("""COMPUTED_VALUE"""),"")</f>
        <v/>
      </c>
      <c r="J1005" s="5" t="str">
        <f>IFERROR(__xludf.DUMMYFUNCTION("""COMPUTED_VALUE"""),"")</f>
        <v/>
      </c>
      <c r="K1005" s="5" t="str">
        <f>IFERROR(__xludf.DUMMYFUNCTION("""COMPUTED_VALUE"""),"")</f>
        <v/>
      </c>
      <c r="L1005" s="5" t="str">
        <f>IFERROR(__xludf.DUMMYFUNCTION("""COMPUTED_VALUE"""),"")</f>
        <v/>
      </c>
      <c r="M1005" s="5" t="str">
        <f>IFERROR(__xludf.DUMMYFUNCTION("""COMPUTED_VALUE"""),"")</f>
        <v/>
      </c>
      <c r="N1005" s="5" t="str">
        <f>IFERROR(__xludf.DUMMYFUNCTION("""COMPUTED_VALUE"""),"")</f>
        <v/>
      </c>
      <c r="O1005" s="5" t="str">
        <f>IFERROR(__xludf.DUMMYFUNCTION("""COMPUTED_VALUE"""),"")</f>
        <v/>
      </c>
      <c r="P1005" s="5" t="str">
        <f>IFERROR(__xludf.DUMMYFUNCTION("""COMPUTED_VALUE"""),"")</f>
        <v/>
      </c>
      <c r="Q1005" s="5" t="str">
        <f>IFERROR(__xludf.DUMMYFUNCTION("""COMPUTED_VALUE"""),"")</f>
        <v/>
      </c>
      <c r="R1005" s="5" t="str">
        <f>IFERROR(__xludf.DUMMYFUNCTION("""COMPUTED_VALUE"""),"")</f>
        <v/>
      </c>
      <c r="S1005" s="5" t="str">
        <f>IFERROR(__xludf.DUMMYFUNCTION("""COMPUTED_VALUE"""),"")</f>
        <v/>
      </c>
      <c r="T1005" s="5" t="str">
        <f>IFERROR(__xludf.DUMMYFUNCTION("""COMPUTED_VALUE"""),"")</f>
        <v/>
      </c>
      <c r="U1005" s="5" t="str">
        <f>IFERROR(__xludf.DUMMYFUNCTION("""COMPUTED_VALUE"""),"")</f>
        <v/>
      </c>
      <c r="V1005" s="5" t="str">
        <f>IFERROR(__xludf.DUMMYFUNCTION("""COMPUTED_VALUE"""),"")</f>
        <v/>
      </c>
      <c r="W1005" s="5" t="str">
        <f>IFERROR(__xludf.DUMMYFUNCTION("""COMPUTED_VALUE"""),"")</f>
        <v/>
      </c>
      <c r="X1005" s="5" t="str">
        <f>IFERROR(__xludf.DUMMYFUNCTION("""COMPUTED_VALUE"""),"")</f>
        <v/>
      </c>
      <c r="Y1005" s="5"/>
      <c r="Z1005" s="5"/>
    </row>
    <row r="1006">
      <c r="A1006" s="5"/>
      <c r="B1006" s="5" t="str">
        <f>IFERROR(__xludf.DUMMYFUNCTION("""COMPUTED_VALUE"""),"")</f>
        <v/>
      </c>
      <c r="C1006" s="5" t="str">
        <f>IFERROR(__xludf.DUMMYFUNCTION("""COMPUTED_VALUE"""),"")</f>
        <v/>
      </c>
      <c r="D1006" s="5" t="str">
        <f>IFERROR(__xludf.DUMMYFUNCTION("""COMPUTED_VALUE"""),"")</f>
        <v/>
      </c>
      <c r="E1006" s="5" t="str">
        <f>IFERROR(__xludf.DUMMYFUNCTION("""COMPUTED_VALUE"""),"")</f>
        <v/>
      </c>
      <c r="F1006" s="5" t="str">
        <f>IFERROR(__xludf.DUMMYFUNCTION("""COMPUTED_VALUE"""),"")</f>
        <v/>
      </c>
      <c r="G1006" s="5" t="str">
        <f>IFERROR(__xludf.DUMMYFUNCTION("""COMPUTED_VALUE"""),"")</f>
        <v/>
      </c>
      <c r="H1006" s="5" t="str">
        <f>IFERROR(__xludf.DUMMYFUNCTION("""COMPUTED_VALUE"""),"")</f>
        <v/>
      </c>
      <c r="I1006" s="5" t="str">
        <f>IFERROR(__xludf.DUMMYFUNCTION("""COMPUTED_VALUE"""),"")</f>
        <v/>
      </c>
      <c r="J1006" s="5" t="str">
        <f>IFERROR(__xludf.DUMMYFUNCTION("""COMPUTED_VALUE"""),"")</f>
        <v/>
      </c>
      <c r="K1006" s="5" t="str">
        <f>IFERROR(__xludf.DUMMYFUNCTION("""COMPUTED_VALUE"""),"")</f>
        <v/>
      </c>
      <c r="L1006" s="5" t="str">
        <f>IFERROR(__xludf.DUMMYFUNCTION("""COMPUTED_VALUE"""),"")</f>
        <v/>
      </c>
      <c r="M1006" s="5" t="str">
        <f>IFERROR(__xludf.DUMMYFUNCTION("""COMPUTED_VALUE"""),"")</f>
        <v/>
      </c>
      <c r="N1006" s="5" t="str">
        <f>IFERROR(__xludf.DUMMYFUNCTION("""COMPUTED_VALUE"""),"")</f>
        <v/>
      </c>
      <c r="O1006" s="5" t="str">
        <f>IFERROR(__xludf.DUMMYFUNCTION("""COMPUTED_VALUE"""),"")</f>
        <v/>
      </c>
      <c r="P1006" s="5" t="str">
        <f>IFERROR(__xludf.DUMMYFUNCTION("""COMPUTED_VALUE"""),"")</f>
        <v/>
      </c>
      <c r="Q1006" s="5" t="str">
        <f>IFERROR(__xludf.DUMMYFUNCTION("""COMPUTED_VALUE"""),"")</f>
        <v/>
      </c>
      <c r="R1006" s="5" t="str">
        <f>IFERROR(__xludf.DUMMYFUNCTION("""COMPUTED_VALUE"""),"")</f>
        <v/>
      </c>
      <c r="S1006" s="5" t="str">
        <f>IFERROR(__xludf.DUMMYFUNCTION("""COMPUTED_VALUE"""),"")</f>
        <v/>
      </c>
      <c r="T1006" s="5" t="str">
        <f>IFERROR(__xludf.DUMMYFUNCTION("""COMPUTED_VALUE"""),"")</f>
        <v/>
      </c>
      <c r="U1006" s="5" t="str">
        <f>IFERROR(__xludf.DUMMYFUNCTION("""COMPUTED_VALUE"""),"")</f>
        <v/>
      </c>
      <c r="V1006" s="5" t="str">
        <f>IFERROR(__xludf.DUMMYFUNCTION("""COMPUTED_VALUE"""),"")</f>
        <v/>
      </c>
      <c r="W1006" s="5" t="str">
        <f>IFERROR(__xludf.DUMMYFUNCTION("""COMPUTED_VALUE"""),"")</f>
        <v/>
      </c>
      <c r="X1006" s="5" t="str">
        <f>IFERROR(__xludf.DUMMYFUNCTION("""COMPUTED_VALUE"""),"")</f>
        <v/>
      </c>
      <c r="Y1006" s="5"/>
      <c r="Z1006" s="5"/>
    </row>
    <row r="1007">
      <c r="A1007" s="5"/>
      <c r="B1007" s="5" t="str">
        <f>IFERROR(__xludf.DUMMYFUNCTION("""COMPUTED_VALUE"""),"")</f>
        <v/>
      </c>
      <c r="C1007" s="5" t="str">
        <f>IFERROR(__xludf.DUMMYFUNCTION("""COMPUTED_VALUE"""),"")</f>
        <v/>
      </c>
      <c r="D1007" s="5" t="str">
        <f>IFERROR(__xludf.DUMMYFUNCTION("""COMPUTED_VALUE"""),"")</f>
        <v/>
      </c>
      <c r="E1007" s="5" t="str">
        <f>IFERROR(__xludf.DUMMYFUNCTION("""COMPUTED_VALUE"""),"")</f>
        <v/>
      </c>
      <c r="F1007" s="5" t="str">
        <f>IFERROR(__xludf.DUMMYFUNCTION("""COMPUTED_VALUE"""),"")</f>
        <v/>
      </c>
      <c r="G1007" s="5" t="str">
        <f>IFERROR(__xludf.DUMMYFUNCTION("""COMPUTED_VALUE"""),"")</f>
        <v/>
      </c>
      <c r="H1007" s="5" t="str">
        <f>IFERROR(__xludf.DUMMYFUNCTION("""COMPUTED_VALUE"""),"")</f>
        <v/>
      </c>
      <c r="I1007" s="5" t="str">
        <f>IFERROR(__xludf.DUMMYFUNCTION("""COMPUTED_VALUE"""),"")</f>
        <v/>
      </c>
      <c r="J1007" s="5" t="str">
        <f>IFERROR(__xludf.DUMMYFUNCTION("""COMPUTED_VALUE"""),"")</f>
        <v/>
      </c>
      <c r="K1007" s="5" t="str">
        <f>IFERROR(__xludf.DUMMYFUNCTION("""COMPUTED_VALUE"""),"")</f>
        <v/>
      </c>
      <c r="L1007" s="5" t="str">
        <f>IFERROR(__xludf.DUMMYFUNCTION("""COMPUTED_VALUE"""),"")</f>
        <v/>
      </c>
      <c r="M1007" s="5" t="str">
        <f>IFERROR(__xludf.DUMMYFUNCTION("""COMPUTED_VALUE"""),"")</f>
        <v/>
      </c>
      <c r="N1007" s="5" t="str">
        <f>IFERROR(__xludf.DUMMYFUNCTION("""COMPUTED_VALUE"""),"")</f>
        <v/>
      </c>
      <c r="O1007" s="5" t="str">
        <f>IFERROR(__xludf.DUMMYFUNCTION("""COMPUTED_VALUE"""),"")</f>
        <v/>
      </c>
      <c r="P1007" s="5" t="str">
        <f>IFERROR(__xludf.DUMMYFUNCTION("""COMPUTED_VALUE"""),"")</f>
        <v/>
      </c>
      <c r="Q1007" s="5" t="str">
        <f>IFERROR(__xludf.DUMMYFUNCTION("""COMPUTED_VALUE"""),"")</f>
        <v/>
      </c>
      <c r="R1007" s="5" t="str">
        <f>IFERROR(__xludf.DUMMYFUNCTION("""COMPUTED_VALUE"""),"")</f>
        <v/>
      </c>
      <c r="S1007" s="5" t="str">
        <f>IFERROR(__xludf.DUMMYFUNCTION("""COMPUTED_VALUE"""),"")</f>
        <v/>
      </c>
      <c r="T1007" s="5" t="str">
        <f>IFERROR(__xludf.DUMMYFUNCTION("""COMPUTED_VALUE"""),"")</f>
        <v/>
      </c>
      <c r="U1007" s="5" t="str">
        <f>IFERROR(__xludf.DUMMYFUNCTION("""COMPUTED_VALUE"""),"")</f>
        <v/>
      </c>
      <c r="V1007" s="5" t="str">
        <f>IFERROR(__xludf.DUMMYFUNCTION("""COMPUTED_VALUE"""),"")</f>
        <v/>
      </c>
      <c r="W1007" s="5" t="str">
        <f>IFERROR(__xludf.DUMMYFUNCTION("""COMPUTED_VALUE"""),"")</f>
        <v/>
      </c>
      <c r="X1007" s="5" t="str">
        <f>IFERROR(__xludf.DUMMYFUNCTION("""COMPUTED_VALUE"""),"")</f>
        <v/>
      </c>
      <c r="Y1007" s="5"/>
      <c r="Z1007" s="5"/>
    </row>
    <row r="1008">
      <c r="A1008" s="5"/>
      <c r="B1008" s="5" t="str">
        <f>IFERROR(__xludf.DUMMYFUNCTION("""COMPUTED_VALUE"""),"")</f>
        <v/>
      </c>
      <c r="C1008" s="5" t="str">
        <f>IFERROR(__xludf.DUMMYFUNCTION("""COMPUTED_VALUE"""),"")</f>
        <v/>
      </c>
      <c r="D1008" s="5" t="str">
        <f>IFERROR(__xludf.DUMMYFUNCTION("""COMPUTED_VALUE"""),"")</f>
        <v/>
      </c>
      <c r="E1008" s="5" t="str">
        <f>IFERROR(__xludf.DUMMYFUNCTION("""COMPUTED_VALUE"""),"")</f>
        <v/>
      </c>
      <c r="F1008" s="5" t="str">
        <f>IFERROR(__xludf.DUMMYFUNCTION("""COMPUTED_VALUE"""),"")</f>
        <v/>
      </c>
      <c r="G1008" s="5" t="str">
        <f>IFERROR(__xludf.DUMMYFUNCTION("""COMPUTED_VALUE"""),"")</f>
        <v/>
      </c>
      <c r="H1008" s="5" t="str">
        <f>IFERROR(__xludf.DUMMYFUNCTION("""COMPUTED_VALUE"""),"")</f>
        <v/>
      </c>
      <c r="I1008" s="5" t="str">
        <f>IFERROR(__xludf.DUMMYFUNCTION("""COMPUTED_VALUE"""),"")</f>
        <v/>
      </c>
      <c r="J1008" s="5" t="str">
        <f>IFERROR(__xludf.DUMMYFUNCTION("""COMPUTED_VALUE"""),"")</f>
        <v/>
      </c>
      <c r="K1008" s="5" t="str">
        <f>IFERROR(__xludf.DUMMYFUNCTION("""COMPUTED_VALUE"""),"")</f>
        <v/>
      </c>
      <c r="L1008" s="5" t="str">
        <f>IFERROR(__xludf.DUMMYFUNCTION("""COMPUTED_VALUE"""),"")</f>
        <v/>
      </c>
      <c r="M1008" s="5" t="str">
        <f>IFERROR(__xludf.DUMMYFUNCTION("""COMPUTED_VALUE"""),"")</f>
        <v/>
      </c>
      <c r="N1008" s="5" t="str">
        <f>IFERROR(__xludf.DUMMYFUNCTION("""COMPUTED_VALUE"""),"")</f>
        <v/>
      </c>
      <c r="O1008" s="5" t="str">
        <f>IFERROR(__xludf.DUMMYFUNCTION("""COMPUTED_VALUE"""),"")</f>
        <v/>
      </c>
      <c r="P1008" s="5" t="str">
        <f>IFERROR(__xludf.DUMMYFUNCTION("""COMPUTED_VALUE"""),"")</f>
        <v/>
      </c>
      <c r="Q1008" s="5" t="str">
        <f>IFERROR(__xludf.DUMMYFUNCTION("""COMPUTED_VALUE"""),"")</f>
        <v/>
      </c>
      <c r="R1008" s="5" t="str">
        <f>IFERROR(__xludf.DUMMYFUNCTION("""COMPUTED_VALUE"""),"")</f>
        <v/>
      </c>
      <c r="S1008" s="5" t="str">
        <f>IFERROR(__xludf.DUMMYFUNCTION("""COMPUTED_VALUE"""),"")</f>
        <v/>
      </c>
      <c r="T1008" s="5" t="str">
        <f>IFERROR(__xludf.DUMMYFUNCTION("""COMPUTED_VALUE"""),"")</f>
        <v/>
      </c>
      <c r="U1008" s="5" t="str">
        <f>IFERROR(__xludf.DUMMYFUNCTION("""COMPUTED_VALUE"""),"")</f>
        <v/>
      </c>
      <c r="V1008" s="5" t="str">
        <f>IFERROR(__xludf.DUMMYFUNCTION("""COMPUTED_VALUE"""),"")</f>
        <v/>
      </c>
      <c r="W1008" s="5" t="str">
        <f>IFERROR(__xludf.DUMMYFUNCTION("""COMPUTED_VALUE"""),"")</f>
        <v/>
      </c>
      <c r="X1008" s="5" t="str">
        <f>IFERROR(__xludf.DUMMYFUNCTION("""COMPUTED_VALUE"""),"")</f>
        <v/>
      </c>
      <c r="Y1008" s="5"/>
      <c r="Z1008" s="5"/>
    </row>
    <row r="1009">
      <c r="A1009" s="5"/>
      <c r="B1009" s="5" t="str">
        <f>IFERROR(__xludf.DUMMYFUNCTION("""COMPUTED_VALUE"""),"")</f>
        <v/>
      </c>
      <c r="C1009" s="5" t="str">
        <f>IFERROR(__xludf.DUMMYFUNCTION("""COMPUTED_VALUE"""),"")</f>
        <v/>
      </c>
      <c r="D1009" s="5" t="str">
        <f>IFERROR(__xludf.DUMMYFUNCTION("""COMPUTED_VALUE"""),"")</f>
        <v/>
      </c>
      <c r="E1009" s="5" t="str">
        <f>IFERROR(__xludf.DUMMYFUNCTION("""COMPUTED_VALUE"""),"")</f>
        <v/>
      </c>
      <c r="F1009" s="5" t="str">
        <f>IFERROR(__xludf.DUMMYFUNCTION("""COMPUTED_VALUE"""),"")</f>
        <v/>
      </c>
      <c r="G1009" s="5" t="str">
        <f>IFERROR(__xludf.DUMMYFUNCTION("""COMPUTED_VALUE"""),"")</f>
        <v/>
      </c>
      <c r="H1009" s="5" t="str">
        <f>IFERROR(__xludf.DUMMYFUNCTION("""COMPUTED_VALUE"""),"")</f>
        <v/>
      </c>
      <c r="I1009" s="5" t="str">
        <f>IFERROR(__xludf.DUMMYFUNCTION("""COMPUTED_VALUE"""),"")</f>
        <v/>
      </c>
      <c r="J1009" s="5" t="str">
        <f>IFERROR(__xludf.DUMMYFUNCTION("""COMPUTED_VALUE"""),"")</f>
        <v/>
      </c>
      <c r="K1009" s="5" t="str">
        <f>IFERROR(__xludf.DUMMYFUNCTION("""COMPUTED_VALUE"""),"")</f>
        <v/>
      </c>
      <c r="L1009" s="5" t="str">
        <f>IFERROR(__xludf.DUMMYFUNCTION("""COMPUTED_VALUE"""),"")</f>
        <v/>
      </c>
      <c r="M1009" s="5" t="str">
        <f>IFERROR(__xludf.DUMMYFUNCTION("""COMPUTED_VALUE"""),"")</f>
        <v/>
      </c>
      <c r="N1009" s="5" t="str">
        <f>IFERROR(__xludf.DUMMYFUNCTION("""COMPUTED_VALUE"""),"")</f>
        <v/>
      </c>
      <c r="O1009" s="5" t="str">
        <f>IFERROR(__xludf.DUMMYFUNCTION("""COMPUTED_VALUE"""),"")</f>
        <v/>
      </c>
      <c r="P1009" s="5" t="str">
        <f>IFERROR(__xludf.DUMMYFUNCTION("""COMPUTED_VALUE"""),"")</f>
        <v/>
      </c>
      <c r="Q1009" s="5" t="str">
        <f>IFERROR(__xludf.DUMMYFUNCTION("""COMPUTED_VALUE"""),"")</f>
        <v/>
      </c>
      <c r="R1009" s="5" t="str">
        <f>IFERROR(__xludf.DUMMYFUNCTION("""COMPUTED_VALUE"""),"")</f>
        <v/>
      </c>
      <c r="S1009" s="5" t="str">
        <f>IFERROR(__xludf.DUMMYFUNCTION("""COMPUTED_VALUE"""),"")</f>
        <v/>
      </c>
      <c r="T1009" s="5" t="str">
        <f>IFERROR(__xludf.DUMMYFUNCTION("""COMPUTED_VALUE"""),"")</f>
        <v/>
      </c>
      <c r="U1009" s="5" t="str">
        <f>IFERROR(__xludf.DUMMYFUNCTION("""COMPUTED_VALUE"""),"")</f>
        <v/>
      </c>
      <c r="V1009" s="5" t="str">
        <f>IFERROR(__xludf.DUMMYFUNCTION("""COMPUTED_VALUE"""),"")</f>
        <v/>
      </c>
      <c r="W1009" s="5" t="str">
        <f>IFERROR(__xludf.DUMMYFUNCTION("""COMPUTED_VALUE"""),"")</f>
        <v/>
      </c>
      <c r="X1009" s="5" t="str">
        <f>IFERROR(__xludf.DUMMYFUNCTION("""COMPUTED_VALUE"""),"")</f>
        <v/>
      </c>
      <c r="Y1009" s="5"/>
      <c r="Z1009" s="5"/>
    </row>
    <row r="1010">
      <c r="A1010" s="5"/>
      <c r="B1010" s="5" t="str">
        <f>IFERROR(__xludf.DUMMYFUNCTION("""COMPUTED_VALUE"""),"")</f>
        <v/>
      </c>
      <c r="C1010" s="5" t="str">
        <f>IFERROR(__xludf.DUMMYFUNCTION("""COMPUTED_VALUE"""),"")</f>
        <v/>
      </c>
      <c r="D1010" s="5" t="str">
        <f>IFERROR(__xludf.DUMMYFUNCTION("""COMPUTED_VALUE"""),"")</f>
        <v/>
      </c>
      <c r="E1010" s="5" t="str">
        <f>IFERROR(__xludf.DUMMYFUNCTION("""COMPUTED_VALUE"""),"")</f>
        <v/>
      </c>
      <c r="F1010" s="5" t="str">
        <f>IFERROR(__xludf.DUMMYFUNCTION("""COMPUTED_VALUE"""),"")</f>
        <v/>
      </c>
      <c r="G1010" s="5" t="str">
        <f>IFERROR(__xludf.DUMMYFUNCTION("""COMPUTED_VALUE"""),"")</f>
        <v/>
      </c>
      <c r="H1010" s="5" t="str">
        <f>IFERROR(__xludf.DUMMYFUNCTION("""COMPUTED_VALUE"""),"")</f>
        <v/>
      </c>
      <c r="I1010" s="5" t="str">
        <f>IFERROR(__xludf.DUMMYFUNCTION("""COMPUTED_VALUE"""),"")</f>
        <v/>
      </c>
      <c r="J1010" s="5" t="str">
        <f>IFERROR(__xludf.DUMMYFUNCTION("""COMPUTED_VALUE"""),"")</f>
        <v/>
      </c>
      <c r="K1010" s="5" t="str">
        <f>IFERROR(__xludf.DUMMYFUNCTION("""COMPUTED_VALUE"""),"")</f>
        <v/>
      </c>
      <c r="L1010" s="5" t="str">
        <f>IFERROR(__xludf.DUMMYFUNCTION("""COMPUTED_VALUE"""),"")</f>
        <v/>
      </c>
      <c r="M1010" s="5" t="str">
        <f>IFERROR(__xludf.DUMMYFUNCTION("""COMPUTED_VALUE"""),"")</f>
        <v/>
      </c>
      <c r="N1010" s="5" t="str">
        <f>IFERROR(__xludf.DUMMYFUNCTION("""COMPUTED_VALUE"""),"")</f>
        <v/>
      </c>
      <c r="O1010" s="5" t="str">
        <f>IFERROR(__xludf.DUMMYFUNCTION("""COMPUTED_VALUE"""),"")</f>
        <v/>
      </c>
      <c r="P1010" s="5" t="str">
        <f>IFERROR(__xludf.DUMMYFUNCTION("""COMPUTED_VALUE"""),"")</f>
        <v/>
      </c>
      <c r="Q1010" s="5" t="str">
        <f>IFERROR(__xludf.DUMMYFUNCTION("""COMPUTED_VALUE"""),"")</f>
        <v/>
      </c>
      <c r="R1010" s="5" t="str">
        <f>IFERROR(__xludf.DUMMYFUNCTION("""COMPUTED_VALUE"""),"")</f>
        <v/>
      </c>
      <c r="S1010" s="5" t="str">
        <f>IFERROR(__xludf.DUMMYFUNCTION("""COMPUTED_VALUE"""),"")</f>
        <v/>
      </c>
      <c r="T1010" s="5" t="str">
        <f>IFERROR(__xludf.DUMMYFUNCTION("""COMPUTED_VALUE"""),"")</f>
        <v/>
      </c>
      <c r="U1010" s="5" t="str">
        <f>IFERROR(__xludf.DUMMYFUNCTION("""COMPUTED_VALUE"""),"")</f>
        <v/>
      </c>
      <c r="V1010" s="5" t="str">
        <f>IFERROR(__xludf.DUMMYFUNCTION("""COMPUTED_VALUE"""),"")</f>
        <v/>
      </c>
      <c r="W1010" s="5" t="str">
        <f>IFERROR(__xludf.DUMMYFUNCTION("""COMPUTED_VALUE"""),"")</f>
        <v/>
      </c>
      <c r="X1010" s="5" t="str">
        <f>IFERROR(__xludf.DUMMYFUNCTION("""COMPUTED_VALUE"""),"")</f>
        <v/>
      </c>
      <c r="Y1010" s="5"/>
      <c r="Z1010" s="5"/>
    </row>
    <row r="1011">
      <c r="A1011" s="5"/>
      <c r="B1011" s="5" t="str">
        <f>IFERROR(__xludf.DUMMYFUNCTION("""COMPUTED_VALUE"""),"")</f>
        <v/>
      </c>
      <c r="C1011" s="5" t="str">
        <f>IFERROR(__xludf.DUMMYFUNCTION("""COMPUTED_VALUE"""),"")</f>
        <v/>
      </c>
      <c r="D1011" s="5" t="str">
        <f>IFERROR(__xludf.DUMMYFUNCTION("""COMPUTED_VALUE"""),"")</f>
        <v/>
      </c>
      <c r="E1011" s="5" t="str">
        <f>IFERROR(__xludf.DUMMYFUNCTION("""COMPUTED_VALUE"""),"")</f>
        <v/>
      </c>
      <c r="F1011" s="5" t="str">
        <f>IFERROR(__xludf.DUMMYFUNCTION("""COMPUTED_VALUE"""),"")</f>
        <v/>
      </c>
      <c r="G1011" s="5" t="str">
        <f>IFERROR(__xludf.DUMMYFUNCTION("""COMPUTED_VALUE"""),"")</f>
        <v/>
      </c>
      <c r="H1011" s="5" t="str">
        <f>IFERROR(__xludf.DUMMYFUNCTION("""COMPUTED_VALUE"""),"")</f>
        <v/>
      </c>
      <c r="I1011" s="5" t="str">
        <f>IFERROR(__xludf.DUMMYFUNCTION("""COMPUTED_VALUE"""),"")</f>
        <v/>
      </c>
      <c r="J1011" s="5" t="str">
        <f>IFERROR(__xludf.DUMMYFUNCTION("""COMPUTED_VALUE"""),"")</f>
        <v/>
      </c>
      <c r="K1011" s="5" t="str">
        <f>IFERROR(__xludf.DUMMYFUNCTION("""COMPUTED_VALUE"""),"")</f>
        <v/>
      </c>
      <c r="L1011" s="5" t="str">
        <f>IFERROR(__xludf.DUMMYFUNCTION("""COMPUTED_VALUE"""),"")</f>
        <v/>
      </c>
      <c r="M1011" s="5" t="str">
        <f>IFERROR(__xludf.DUMMYFUNCTION("""COMPUTED_VALUE"""),"")</f>
        <v/>
      </c>
      <c r="N1011" s="5" t="str">
        <f>IFERROR(__xludf.DUMMYFUNCTION("""COMPUTED_VALUE"""),"")</f>
        <v/>
      </c>
      <c r="O1011" s="5" t="str">
        <f>IFERROR(__xludf.DUMMYFUNCTION("""COMPUTED_VALUE"""),"")</f>
        <v/>
      </c>
      <c r="P1011" s="5" t="str">
        <f>IFERROR(__xludf.DUMMYFUNCTION("""COMPUTED_VALUE"""),"")</f>
        <v/>
      </c>
      <c r="Q1011" s="5" t="str">
        <f>IFERROR(__xludf.DUMMYFUNCTION("""COMPUTED_VALUE"""),"")</f>
        <v/>
      </c>
      <c r="R1011" s="5" t="str">
        <f>IFERROR(__xludf.DUMMYFUNCTION("""COMPUTED_VALUE"""),"")</f>
        <v/>
      </c>
      <c r="S1011" s="5" t="str">
        <f>IFERROR(__xludf.DUMMYFUNCTION("""COMPUTED_VALUE"""),"")</f>
        <v/>
      </c>
      <c r="T1011" s="5" t="str">
        <f>IFERROR(__xludf.DUMMYFUNCTION("""COMPUTED_VALUE"""),"")</f>
        <v/>
      </c>
      <c r="U1011" s="5" t="str">
        <f>IFERROR(__xludf.DUMMYFUNCTION("""COMPUTED_VALUE"""),"")</f>
        <v/>
      </c>
      <c r="V1011" s="5" t="str">
        <f>IFERROR(__xludf.DUMMYFUNCTION("""COMPUTED_VALUE"""),"")</f>
        <v/>
      </c>
      <c r="W1011" s="5" t="str">
        <f>IFERROR(__xludf.DUMMYFUNCTION("""COMPUTED_VALUE"""),"")</f>
        <v/>
      </c>
      <c r="X1011" s="5" t="str">
        <f>IFERROR(__xludf.DUMMYFUNCTION("""COMPUTED_VALUE"""),"")</f>
        <v/>
      </c>
      <c r="Y1011" s="5"/>
      <c r="Z1011" s="5"/>
    </row>
    <row r="1012">
      <c r="A1012" s="5"/>
      <c r="B1012" s="5" t="str">
        <f>IFERROR(__xludf.DUMMYFUNCTION("""COMPUTED_VALUE"""),"")</f>
        <v/>
      </c>
      <c r="C1012" s="5" t="str">
        <f>IFERROR(__xludf.DUMMYFUNCTION("""COMPUTED_VALUE"""),"")</f>
        <v/>
      </c>
      <c r="D1012" s="5" t="str">
        <f>IFERROR(__xludf.DUMMYFUNCTION("""COMPUTED_VALUE"""),"")</f>
        <v/>
      </c>
      <c r="E1012" s="5" t="str">
        <f>IFERROR(__xludf.DUMMYFUNCTION("""COMPUTED_VALUE"""),"")</f>
        <v/>
      </c>
      <c r="F1012" s="5" t="str">
        <f>IFERROR(__xludf.DUMMYFUNCTION("""COMPUTED_VALUE"""),"")</f>
        <v/>
      </c>
      <c r="G1012" s="5" t="str">
        <f>IFERROR(__xludf.DUMMYFUNCTION("""COMPUTED_VALUE"""),"")</f>
        <v/>
      </c>
      <c r="H1012" s="5" t="str">
        <f>IFERROR(__xludf.DUMMYFUNCTION("""COMPUTED_VALUE"""),"")</f>
        <v/>
      </c>
      <c r="I1012" s="5" t="str">
        <f>IFERROR(__xludf.DUMMYFUNCTION("""COMPUTED_VALUE"""),"")</f>
        <v/>
      </c>
      <c r="J1012" s="5" t="str">
        <f>IFERROR(__xludf.DUMMYFUNCTION("""COMPUTED_VALUE"""),"")</f>
        <v/>
      </c>
      <c r="K1012" s="5" t="str">
        <f>IFERROR(__xludf.DUMMYFUNCTION("""COMPUTED_VALUE"""),"")</f>
        <v/>
      </c>
      <c r="L1012" s="5" t="str">
        <f>IFERROR(__xludf.DUMMYFUNCTION("""COMPUTED_VALUE"""),"")</f>
        <v/>
      </c>
      <c r="M1012" s="5" t="str">
        <f>IFERROR(__xludf.DUMMYFUNCTION("""COMPUTED_VALUE"""),"")</f>
        <v/>
      </c>
      <c r="N1012" s="5" t="str">
        <f>IFERROR(__xludf.DUMMYFUNCTION("""COMPUTED_VALUE"""),"")</f>
        <v/>
      </c>
      <c r="O1012" s="5" t="str">
        <f>IFERROR(__xludf.DUMMYFUNCTION("""COMPUTED_VALUE"""),"")</f>
        <v/>
      </c>
      <c r="P1012" s="5" t="str">
        <f>IFERROR(__xludf.DUMMYFUNCTION("""COMPUTED_VALUE"""),"")</f>
        <v/>
      </c>
      <c r="Q1012" s="5" t="str">
        <f>IFERROR(__xludf.DUMMYFUNCTION("""COMPUTED_VALUE"""),"")</f>
        <v/>
      </c>
      <c r="R1012" s="5" t="str">
        <f>IFERROR(__xludf.DUMMYFUNCTION("""COMPUTED_VALUE"""),"")</f>
        <v/>
      </c>
      <c r="S1012" s="5" t="str">
        <f>IFERROR(__xludf.DUMMYFUNCTION("""COMPUTED_VALUE"""),"")</f>
        <v/>
      </c>
      <c r="T1012" s="5" t="str">
        <f>IFERROR(__xludf.DUMMYFUNCTION("""COMPUTED_VALUE"""),"")</f>
        <v/>
      </c>
      <c r="U1012" s="5" t="str">
        <f>IFERROR(__xludf.DUMMYFUNCTION("""COMPUTED_VALUE"""),"")</f>
        <v/>
      </c>
      <c r="V1012" s="5" t="str">
        <f>IFERROR(__xludf.DUMMYFUNCTION("""COMPUTED_VALUE"""),"")</f>
        <v/>
      </c>
      <c r="W1012" s="5" t="str">
        <f>IFERROR(__xludf.DUMMYFUNCTION("""COMPUTED_VALUE"""),"")</f>
        <v/>
      </c>
      <c r="X1012" s="5" t="str">
        <f>IFERROR(__xludf.DUMMYFUNCTION("""COMPUTED_VALUE"""),"")</f>
        <v/>
      </c>
      <c r="Y1012" s="5"/>
      <c r="Z1012" s="5"/>
    </row>
    <row r="1013">
      <c r="A1013" s="5"/>
      <c r="B1013" s="5" t="str">
        <f>IFERROR(__xludf.DUMMYFUNCTION("""COMPUTED_VALUE"""),"")</f>
        <v/>
      </c>
      <c r="C1013" s="5" t="str">
        <f>IFERROR(__xludf.DUMMYFUNCTION("""COMPUTED_VALUE"""),"")</f>
        <v/>
      </c>
      <c r="D1013" s="5" t="str">
        <f>IFERROR(__xludf.DUMMYFUNCTION("""COMPUTED_VALUE"""),"")</f>
        <v/>
      </c>
      <c r="E1013" s="5" t="str">
        <f>IFERROR(__xludf.DUMMYFUNCTION("""COMPUTED_VALUE"""),"")</f>
        <v/>
      </c>
      <c r="F1013" s="5" t="str">
        <f>IFERROR(__xludf.DUMMYFUNCTION("""COMPUTED_VALUE"""),"")</f>
        <v/>
      </c>
      <c r="G1013" s="5" t="str">
        <f>IFERROR(__xludf.DUMMYFUNCTION("""COMPUTED_VALUE"""),"")</f>
        <v/>
      </c>
      <c r="H1013" s="5" t="str">
        <f>IFERROR(__xludf.DUMMYFUNCTION("""COMPUTED_VALUE"""),"")</f>
        <v/>
      </c>
      <c r="I1013" s="5" t="str">
        <f>IFERROR(__xludf.DUMMYFUNCTION("""COMPUTED_VALUE"""),"")</f>
        <v/>
      </c>
      <c r="J1013" s="5" t="str">
        <f>IFERROR(__xludf.DUMMYFUNCTION("""COMPUTED_VALUE"""),"")</f>
        <v/>
      </c>
      <c r="K1013" s="5" t="str">
        <f>IFERROR(__xludf.DUMMYFUNCTION("""COMPUTED_VALUE"""),"")</f>
        <v/>
      </c>
      <c r="L1013" s="5" t="str">
        <f>IFERROR(__xludf.DUMMYFUNCTION("""COMPUTED_VALUE"""),"")</f>
        <v/>
      </c>
      <c r="M1013" s="5" t="str">
        <f>IFERROR(__xludf.DUMMYFUNCTION("""COMPUTED_VALUE"""),"")</f>
        <v/>
      </c>
      <c r="N1013" s="5" t="str">
        <f>IFERROR(__xludf.DUMMYFUNCTION("""COMPUTED_VALUE"""),"")</f>
        <v/>
      </c>
      <c r="O1013" s="5" t="str">
        <f>IFERROR(__xludf.DUMMYFUNCTION("""COMPUTED_VALUE"""),"")</f>
        <v/>
      </c>
      <c r="P1013" s="5" t="str">
        <f>IFERROR(__xludf.DUMMYFUNCTION("""COMPUTED_VALUE"""),"")</f>
        <v/>
      </c>
      <c r="Q1013" s="5" t="str">
        <f>IFERROR(__xludf.DUMMYFUNCTION("""COMPUTED_VALUE"""),"")</f>
        <v/>
      </c>
      <c r="R1013" s="5" t="str">
        <f>IFERROR(__xludf.DUMMYFUNCTION("""COMPUTED_VALUE"""),"")</f>
        <v/>
      </c>
      <c r="S1013" s="5" t="str">
        <f>IFERROR(__xludf.DUMMYFUNCTION("""COMPUTED_VALUE"""),"")</f>
        <v/>
      </c>
      <c r="T1013" s="5" t="str">
        <f>IFERROR(__xludf.DUMMYFUNCTION("""COMPUTED_VALUE"""),"")</f>
        <v/>
      </c>
      <c r="U1013" s="5" t="str">
        <f>IFERROR(__xludf.DUMMYFUNCTION("""COMPUTED_VALUE"""),"")</f>
        <v/>
      </c>
      <c r="V1013" s="5" t="str">
        <f>IFERROR(__xludf.DUMMYFUNCTION("""COMPUTED_VALUE"""),"")</f>
        <v/>
      </c>
      <c r="W1013" s="5" t="str">
        <f>IFERROR(__xludf.DUMMYFUNCTION("""COMPUTED_VALUE"""),"")</f>
        <v/>
      </c>
      <c r="X1013" s="5" t="str">
        <f>IFERROR(__xludf.DUMMYFUNCTION("""COMPUTED_VALUE"""),"")</f>
        <v/>
      </c>
      <c r="Y1013" s="5"/>
      <c r="Z1013" s="5"/>
    </row>
    <row r="1014">
      <c r="A1014" s="5"/>
      <c r="B1014" s="5" t="str">
        <f>IFERROR(__xludf.DUMMYFUNCTION("""COMPUTED_VALUE"""),"")</f>
        <v/>
      </c>
      <c r="C1014" s="5" t="str">
        <f>IFERROR(__xludf.DUMMYFUNCTION("""COMPUTED_VALUE"""),"")</f>
        <v/>
      </c>
      <c r="D1014" s="5" t="str">
        <f>IFERROR(__xludf.DUMMYFUNCTION("""COMPUTED_VALUE"""),"")</f>
        <v/>
      </c>
      <c r="E1014" s="5" t="str">
        <f>IFERROR(__xludf.DUMMYFUNCTION("""COMPUTED_VALUE"""),"")</f>
        <v/>
      </c>
      <c r="F1014" s="5" t="str">
        <f>IFERROR(__xludf.DUMMYFUNCTION("""COMPUTED_VALUE"""),"")</f>
        <v/>
      </c>
      <c r="G1014" s="5" t="str">
        <f>IFERROR(__xludf.DUMMYFUNCTION("""COMPUTED_VALUE"""),"")</f>
        <v/>
      </c>
      <c r="H1014" s="5" t="str">
        <f>IFERROR(__xludf.DUMMYFUNCTION("""COMPUTED_VALUE"""),"")</f>
        <v/>
      </c>
      <c r="I1014" s="5" t="str">
        <f>IFERROR(__xludf.DUMMYFUNCTION("""COMPUTED_VALUE"""),"")</f>
        <v/>
      </c>
      <c r="J1014" s="5" t="str">
        <f>IFERROR(__xludf.DUMMYFUNCTION("""COMPUTED_VALUE"""),"")</f>
        <v/>
      </c>
      <c r="K1014" s="5" t="str">
        <f>IFERROR(__xludf.DUMMYFUNCTION("""COMPUTED_VALUE"""),"")</f>
        <v/>
      </c>
      <c r="L1014" s="5" t="str">
        <f>IFERROR(__xludf.DUMMYFUNCTION("""COMPUTED_VALUE"""),"")</f>
        <v/>
      </c>
      <c r="M1014" s="5" t="str">
        <f>IFERROR(__xludf.DUMMYFUNCTION("""COMPUTED_VALUE"""),"")</f>
        <v/>
      </c>
      <c r="N1014" s="5" t="str">
        <f>IFERROR(__xludf.DUMMYFUNCTION("""COMPUTED_VALUE"""),"")</f>
        <v/>
      </c>
      <c r="O1014" s="5" t="str">
        <f>IFERROR(__xludf.DUMMYFUNCTION("""COMPUTED_VALUE"""),"")</f>
        <v/>
      </c>
      <c r="P1014" s="5" t="str">
        <f>IFERROR(__xludf.DUMMYFUNCTION("""COMPUTED_VALUE"""),"")</f>
        <v/>
      </c>
      <c r="Q1014" s="5" t="str">
        <f>IFERROR(__xludf.DUMMYFUNCTION("""COMPUTED_VALUE"""),"")</f>
        <v/>
      </c>
      <c r="R1014" s="5" t="str">
        <f>IFERROR(__xludf.DUMMYFUNCTION("""COMPUTED_VALUE"""),"")</f>
        <v/>
      </c>
      <c r="S1014" s="5" t="str">
        <f>IFERROR(__xludf.DUMMYFUNCTION("""COMPUTED_VALUE"""),"")</f>
        <v/>
      </c>
      <c r="T1014" s="5" t="str">
        <f>IFERROR(__xludf.DUMMYFUNCTION("""COMPUTED_VALUE"""),"")</f>
        <v/>
      </c>
      <c r="U1014" s="5" t="str">
        <f>IFERROR(__xludf.DUMMYFUNCTION("""COMPUTED_VALUE"""),"")</f>
        <v/>
      </c>
      <c r="V1014" s="5" t="str">
        <f>IFERROR(__xludf.DUMMYFUNCTION("""COMPUTED_VALUE"""),"")</f>
        <v/>
      </c>
      <c r="W1014" s="5" t="str">
        <f>IFERROR(__xludf.DUMMYFUNCTION("""COMPUTED_VALUE"""),"")</f>
        <v/>
      </c>
      <c r="X1014" s="5" t="str">
        <f>IFERROR(__xludf.DUMMYFUNCTION("""COMPUTED_VALUE"""),"")</f>
        <v/>
      </c>
      <c r="Y1014" s="5"/>
      <c r="Z1014" s="5"/>
    </row>
    <row r="1015">
      <c r="A1015" s="5"/>
      <c r="B1015" s="5" t="str">
        <f>IFERROR(__xludf.DUMMYFUNCTION("""COMPUTED_VALUE"""),"")</f>
        <v/>
      </c>
      <c r="C1015" s="5" t="str">
        <f>IFERROR(__xludf.DUMMYFUNCTION("""COMPUTED_VALUE"""),"")</f>
        <v/>
      </c>
      <c r="D1015" s="5" t="str">
        <f>IFERROR(__xludf.DUMMYFUNCTION("""COMPUTED_VALUE"""),"")</f>
        <v/>
      </c>
      <c r="E1015" s="5" t="str">
        <f>IFERROR(__xludf.DUMMYFUNCTION("""COMPUTED_VALUE"""),"")</f>
        <v/>
      </c>
      <c r="F1015" s="5" t="str">
        <f>IFERROR(__xludf.DUMMYFUNCTION("""COMPUTED_VALUE"""),"")</f>
        <v/>
      </c>
      <c r="G1015" s="5" t="str">
        <f>IFERROR(__xludf.DUMMYFUNCTION("""COMPUTED_VALUE"""),"")</f>
        <v/>
      </c>
      <c r="H1015" s="5" t="str">
        <f>IFERROR(__xludf.DUMMYFUNCTION("""COMPUTED_VALUE"""),"")</f>
        <v/>
      </c>
      <c r="I1015" s="5" t="str">
        <f>IFERROR(__xludf.DUMMYFUNCTION("""COMPUTED_VALUE"""),"")</f>
        <v/>
      </c>
      <c r="J1015" s="5" t="str">
        <f>IFERROR(__xludf.DUMMYFUNCTION("""COMPUTED_VALUE"""),"")</f>
        <v/>
      </c>
      <c r="K1015" s="5" t="str">
        <f>IFERROR(__xludf.DUMMYFUNCTION("""COMPUTED_VALUE"""),"")</f>
        <v/>
      </c>
      <c r="L1015" s="5" t="str">
        <f>IFERROR(__xludf.DUMMYFUNCTION("""COMPUTED_VALUE"""),"")</f>
        <v/>
      </c>
      <c r="M1015" s="5" t="str">
        <f>IFERROR(__xludf.DUMMYFUNCTION("""COMPUTED_VALUE"""),"")</f>
        <v/>
      </c>
      <c r="N1015" s="5" t="str">
        <f>IFERROR(__xludf.DUMMYFUNCTION("""COMPUTED_VALUE"""),"")</f>
        <v/>
      </c>
      <c r="O1015" s="5" t="str">
        <f>IFERROR(__xludf.DUMMYFUNCTION("""COMPUTED_VALUE"""),"")</f>
        <v/>
      </c>
      <c r="P1015" s="5" t="str">
        <f>IFERROR(__xludf.DUMMYFUNCTION("""COMPUTED_VALUE"""),"")</f>
        <v/>
      </c>
      <c r="Q1015" s="5" t="str">
        <f>IFERROR(__xludf.DUMMYFUNCTION("""COMPUTED_VALUE"""),"")</f>
        <v/>
      </c>
      <c r="R1015" s="5" t="str">
        <f>IFERROR(__xludf.DUMMYFUNCTION("""COMPUTED_VALUE"""),"")</f>
        <v/>
      </c>
      <c r="S1015" s="5" t="str">
        <f>IFERROR(__xludf.DUMMYFUNCTION("""COMPUTED_VALUE"""),"")</f>
        <v/>
      </c>
      <c r="T1015" s="5" t="str">
        <f>IFERROR(__xludf.DUMMYFUNCTION("""COMPUTED_VALUE"""),"")</f>
        <v/>
      </c>
      <c r="U1015" s="5" t="str">
        <f>IFERROR(__xludf.DUMMYFUNCTION("""COMPUTED_VALUE"""),"")</f>
        <v/>
      </c>
      <c r="V1015" s="5" t="str">
        <f>IFERROR(__xludf.DUMMYFUNCTION("""COMPUTED_VALUE"""),"")</f>
        <v/>
      </c>
      <c r="W1015" s="5" t="str">
        <f>IFERROR(__xludf.DUMMYFUNCTION("""COMPUTED_VALUE"""),"")</f>
        <v/>
      </c>
      <c r="X1015" s="5" t="str">
        <f>IFERROR(__xludf.DUMMYFUNCTION("""COMPUTED_VALUE"""),"")</f>
        <v/>
      </c>
      <c r="Y1015" s="5"/>
      <c r="Z1015" s="5"/>
    </row>
    <row r="1016">
      <c r="A1016" s="5"/>
      <c r="B1016" s="5" t="str">
        <f>IFERROR(__xludf.DUMMYFUNCTION("""COMPUTED_VALUE"""),"")</f>
        <v/>
      </c>
      <c r="C1016" s="5" t="str">
        <f>IFERROR(__xludf.DUMMYFUNCTION("""COMPUTED_VALUE"""),"")</f>
        <v/>
      </c>
      <c r="D1016" s="5" t="str">
        <f>IFERROR(__xludf.DUMMYFUNCTION("""COMPUTED_VALUE"""),"")</f>
        <v/>
      </c>
      <c r="E1016" s="5" t="str">
        <f>IFERROR(__xludf.DUMMYFUNCTION("""COMPUTED_VALUE"""),"")</f>
        <v/>
      </c>
      <c r="F1016" s="5" t="str">
        <f>IFERROR(__xludf.DUMMYFUNCTION("""COMPUTED_VALUE"""),"")</f>
        <v/>
      </c>
      <c r="G1016" s="5" t="str">
        <f>IFERROR(__xludf.DUMMYFUNCTION("""COMPUTED_VALUE"""),"")</f>
        <v/>
      </c>
      <c r="H1016" s="5" t="str">
        <f>IFERROR(__xludf.DUMMYFUNCTION("""COMPUTED_VALUE"""),"")</f>
        <v/>
      </c>
      <c r="I1016" s="5" t="str">
        <f>IFERROR(__xludf.DUMMYFUNCTION("""COMPUTED_VALUE"""),"")</f>
        <v/>
      </c>
      <c r="J1016" s="5" t="str">
        <f>IFERROR(__xludf.DUMMYFUNCTION("""COMPUTED_VALUE"""),"")</f>
        <v/>
      </c>
      <c r="K1016" s="5" t="str">
        <f>IFERROR(__xludf.DUMMYFUNCTION("""COMPUTED_VALUE"""),"")</f>
        <v/>
      </c>
      <c r="L1016" s="5" t="str">
        <f>IFERROR(__xludf.DUMMYFUNCTION("""COMPUTED_VALUE"""),"")</f>
        <v/>
      </c>
      <c r="M1016" s="5" t="str">
        <f>IFERROR(__xludf.DUMMYFUNCTION("""COMPUTED_VALUE"""),"")</f>
        <v/>
      </c>
      <c r="N1016" s="5" t="str">
        <f>IFERROR(__xludf.DUMMYFUNCTION("""COMPUTED_VALUE"""),"")</f>
        <v/>
      </c>
      <c r="O1016" s="5" t="str">
        <f>IFERROR(__xludf.DUMMYFUNCTION("""COMPUTED_VALUE"""),"")</f>
        <v/>
      </c>
      <c r="P1016" s="5" t="str">
        <f>IFERROR(__xludf.DUMMYFUNCTION("""COMPUTED_VALUE"""),"")</f>
        <v/>
      </c>
      <c r="Q1016" s="5" t="str">
        <f>IFERROR(__xludf.DUMMYFUNCTION("""COMPUTED_VALUE"""),"")</f>
        <v/>
      </c>
      <c r="R1016" s="5" t="str">
        <f>IFERROR(__xludf.DUMMYFUNCTION("""COMPUTED_VALUE"""),"")</f>
        <v/>
      </c>
      <c r="S1016" s="5" t="str">
        <f>IFERROR(__xludf.DUMMYFUNCTION("""COMPUTED_VALUE"""),"")</f>
        <v/>
      </c>
      <c r="T1016" s="5" t="str">
        <f>IFERROR(__xludf.DUMMYFUNCTION("""COMPUTED_VALUE"""),"")</f>
        <v/>
      </c>
      <c r="U1016" s="5" t="str">
        <f>IFERROR(__xludf.DUMMYFUNCTION("""COMPUTED_VALUE"""),"")</f>
        <v/>
      </c>
      <c r="V1016" s="5" t="str">
        <f>IFERROR(__xludf.DUMMYFUNCTION("""COMPUTED_VALUE"""),"")</f>
        <v/>
      </c>
      <c r="W1016" s="5" t="str">
        <f>IFERROR(__xludf.DUMMYFUNCTION("""COMPUTED_VALUE"""),"")</f>
        <v/>
      </c>
      <c r="X1016" s="5" t="str">
        <f>IFERROR(__xludf.DUMMYFUNCTION("""COMPUTED_VALUE"""),"")</f>
        <v/>
      </c>
      <c r="Y1016" s="5"/>
      <c r="Z1016" s="5"/>
    </row>
    <row r="1017">
      <c r="A1017" s="5"/>
      <c r="B1017" s="5" t="str">
        <f>IFERROR(__xludf.DUMMYFUNCTION("""COMPUTED_VALUE"""),"")</f>
        <v/>
      </c>
      <c r="C1017" s="5" t="str">
        <f>IFERROR(__xludf.DUMMYFUNCTION("""COMPUTED_VALUE"""),"")</f>
        <v/>
      </c>
      <c r="D1017" s="5" t="str">
        <f>IFERROR(__xludf.DUMMYFUNCTION("""COMPUTED_VALUE"""),"")</f>
        <v/>
      </c>
      <c r="E1017" s="5" t="str">
        <f>IFERROR(__xludf.DUMMYFUNCTION("""COMPUTED_VALUE"""),"")</f>
        <v/>
      </c>
      <c r="F1017" s="5" t="str">
        <f>IFERROR(__xludf.DUMMYFUNCTION("""COMPUTED_VALUE"""),"")</f>
        <v/>
      </c>
      <c r="G1017" s="5" t="str">
        <f>IFERROR(__xludf.DUMMYFUNCTION("""COMPUTED_VALUE"""),"")</f>
        <v/>
      </c>
      <c r="H1017" s="5" t="str">
        <f>IFERROR(__xludf.DUMMYFUNCTION("""COMPUTED_VALUE"""),"")</f>
        <v/>
      </c>
      <c r="I1017" s="5" t="str">
        <f>IFERROR(__xludf.DUMMYFUNCTION("""COMPUTED_VALUE"""),"")</f>
        <v/>
      </c>
      <c r="J1017" s="5" t="str">
        <f>IFERROR(__xludf.DUMMYFUNCTION("""COMPUTED_VALUE"""),"")</f>
        <v/>
      </c>
      <c r="K1017" s="5" t="str">
        <f>IFERROR(__xludf.DUMMYFUNCTION("""COMPUTED_VALUE"""),"")</f>
        <v/>
      </c>
      <c r="L1017" s="5" t="str">
        <f>IFERROR(__xludf.DUMMYFUNCTION("""COMPUTED_VALUE"""),"")</f>
        <v/>
      </c>
      <c r="M1017" s="5" t="str">
        <f>IFERROR(__xludf.DUMMYFUNCTION("""COMPUTED_VALUE"""),"")</f>
        <v/>
      </c>
      <c r="N1017" s="5" t="str">
        <f>IFERROR(__xludf.DUMMYFUNCTION("""COMPUTED_VALUE"""),"")</f>
        <v/>
      </c>
      <c r="O1017" s="5" t="str">
        <f>IFERROR(__xludf.DUMMYFUNCTION("""COMPUTED_VALUE"""),"")</f>
        <v/>
      </c>
      <c r="P1017" s="5" t="str">
        <f>IFERROR(__xludf.DUMMYFUNCTION("""COMPUTED_VALUE"""),"")</f>
        <v/>
      </c>
      <c r="Q1017" s="5" t="str">
        <f>IFERROR(__xludf.DUMMYFUNCTION("""COMPUTED_VALUE"""),"")</f>
        <v/>
      </c>
      <c r="R1017" s="5" t="str">
        <f>IFERROR(__xludf.DUMMYFUNCTION("""COMPUTED_VALUE"""),"")</f>
        <v/>
      </c>
      <c r="S1017" s="5" t="str">
        <f>IFERROR(__xludf.DUMMYFUNCTION("""COMPUTED_VALUE"""),"")</f>
        <v/>
      </c>
      <c r="T1017" s="5" t="str">
        <f>IFERROR(__xludf.DUMMYFUNCTION("""COMPUTED_VALUE"""),"")</f>
        <v/>
      </c>
      <c r="U1017" s="5" t="str">
        <f>IFERROR(__xludf.DUMMYFUNCTION("""COMPUTED_VALUE"""),"")</f>
        <v/>
      </c>
      <c r="V1017" s="5" t="str">
        <f>IFERROR(__xludf.DUMMYFUNCTION("""COMPUTED_VALUE"""),"")</f>
        <v/>
      </c>
      <c r="W1017" s="5" t="str">
        <f>IFERROR(__xludf.DUMMYFUNCTION("""COMPUTED_VALUE"""),"")</f>
        <v/>
      </c>
      <c r="X1017" s="5" t="str">
        <f>IFERROR(__xludf.DUMMYFUNCTION("""COMPUTED_VALUE"""),"")</f>
        <v/>
      </c>
      <c r="Y1017" s="5"/>
      <c r="Z1017" s="5"/>
    </row>
    <row r="1018">
      <c r="A1018" s="5"/>
      <c r="B1018" s="5" t="str">
        <f>IFERROR(__xludf.DUMMYFUNCTION("""COMPUTED_VALUE"""),"")</f>
        <v/>
      </c>
      <c r="C1018" s="5" t="str">
        <f>IFERROR(__xludf.DUMMYFUNCTION("""COMPUTED_VALUE"""),"")</f>
        <v/>
      </c>
      <c r="D1018" s="5" t="str">
        <f>IFERROR(__xludf.DUMMYFUNCTION("""COMPUTED_VALUE"""),"")</f>
        <v/>
      </c>
      <c r="E1018" s="5" t="str">
        <f>IFERROR(__xludf.DUMMYFUNCTION("""COMPUTED_VALUE"""),"")</f>
        <v/>
      </c>
      <c r="F1018" s="5" t="str">
        <f>IFERROR(__xludf.DUMMYFUNCTION("""COMPUTED_VALUE"""),"")</f>
        <v/>
      </c>
      <c r="G1018" s="5" t="str">
        <f>IFERROR(__xludf.DUMMYFUNCTION("""COMPUTED_VALUE"""),"")</f>
        <v/>
      </c>
      <c r="H1018" s="5" t="str">
        <f>IFERROR(__xludf.DUMMYFUNCTION("""COMPUTED_VALUE"""),"")</f>
        <v/>
      </c>
      <c r="I1018" s="5" t="str">
        <f>IFERROR(__xludf.DUMMYFUNCTION("""COMPUTED_VALUE"""),"")</f>
        <v/>
      </c>
      <c r="J1018" s="5" t="str">
        <f>IFERROR(__xludf.DUMMYFUNCTION("""COMPUTED_VALUE"""),"")</f>
        <v/>
      </c>
      <c r="K1018" s="5" t="str">
        <f>IFERROR(__xludf.DUMMYFUNCTION("""COMPUTED_VALUE"""),"")</f>
        <v/>
      </c>
      <c r="L1018" s="5" t="str">
        <f>IFERROR(__xludf.DUMMYFUNCTION("""COMPUTED_VALUE"""),"")</f>
        <v/>
      </c>
      <c r="M1018" s="5" t="str">
        <f>IFERROR(__xludf.DUMMYFUNCTION("""COMPUTED_VALUE"""),"")</f>
        <v/>
      </c>
      <c r="N1018" s="5" t="str">
        <f>IFERROR(__xludf.DUMMYFUNCTION("""COMPUTED_VALUE"""),"")</f>
        <v/>
      </c>
      <c r="O1018" s="5" t="str">
        <f>IFERROR(__xludf.DUMMYFUNCTION("""COMPUTED_VALUE"""),"")</f>
        <v/>
      </c>
      <c r="P1018" s="5" t="str">
        <f>IFERROR(__xludf.DUMMYFUNCTION("""COMPUTED_VALUE"""),"")</f>
        <v/>
      </c>
      <c r="Q1018" s="5" t="str">
        <f>IFERROR(__xludf.DUMMYFUNCTION("""COMPUTED_VALUE"""),"")</f>
        <v/>
      </c>
      <c r="R1018" s="5" t="str">
        <f>IFERROR(__xludf.DUMMYFUNCTION("""COMPUTED_VALUE"""),"")</f>
        <v/>
      </c>
      <c r="S1018" s="5" t="str">
        <f>IFERROR(__xludf.DUMMYFUNCTION("""COMPUTED_VALUE"""),"")</f>
        <v/>
      </c>
      <c r="T1018" s="5" t="str">
        <f>IFERROR(__xludf.DUMMYFUNCTION("""COMPUTED_VALUE"""),"")</f>
        <v/>
      </c>
      <c r="U1018" s="5" t="str">
        <f>IFERROR(__xludf.DUMMYFUNCTION("""COMPUTED_VALUE"""),"")</f>
        <v/>
      </c>
      <c r="V1018" s="5" t="str">
        <f>IFERROR(__xludf.DUMMYFUNCTION("""COMPUTED_VALUE"""),"")</f>
        <v/>
      </c>
      <c r="W1018" s="5" t="str">
        <f>IFERROR(__xludf.DUMMYFUNCTION("""COMPUTED_VALUE"""),"")</f>
        <v/>
      </c>
      <c r="X1018" s="5" t="str">
        <f>IFERROR(__xludf.DUMMYFUNCTION("""COMPUTED_VALUE"""),"")</f>
        <v/>
      </c>
      <c r="Y1018" s="5"/>
      <c r="Z1018" s="5"/>
    </row>
    <row r="1019">
      <c r="A1019" s="5"/>
      <c r="B1019" s="5" t="str">
        <f>IFERROR(__xludf.DUMMYFUNCTION("""COMPUTED_VALUE"""),"")</f>
        <v/>
      </c>
      <c r="C1019" s="5" t="str">
        <f>IFERROR(__xludf.DUMMYFUNCTION("""COMPUTED_VALUE"""),"")</f>
        <v/>
      </c>
      <c r="D1019" s="5" t="str">
        <f>IFERROR(__xludf.DUMMYFUNCTION("""COMPUTED_VALUE"""),"")</f>
        <v/>
      </c>
      <c r="E1019" s="5" t="str">
        <f>IFERROR(__xludf.DUMMYFUNCTION("""COMPUTED_VALUE"""),"")</f>
        <v/>
      </c>
      <c r="F1019" s="5" t="str">
        <f>IFERROR(__xludf.DUMMYFUNCTION("""COMPUTED_VALUE"""),"")</f>
        <v/>
      </c>
      <c r="G1019" s="5" t="str">
        <f>IFERROR(__xludf.DUMMYFUNCTION("""COMPUTED_VALUE"""),"")</f>
        <v/>
      </c>
      <c r="H1019" s="5" t="str">
        <f>IFERROR(__xludf.DUMMYFUNCTION("""COMPUTED_VALUE"""),"")</f>
        <v/>
      </c>
      <c r="I1019" s="5" t="str">
        <f>IFERROR(__xludf.DUMMYFUNCTION("""COMPUTED_VALUE"""),"")</f>
        <v/>
      </c>
      <c r="J1019" s="5" t="str">
        <f>IFERROR(__xludf.DUMMYFUNCTION("""COMPUTED_VALUE"""),"")</f>
        <v/>
      </c>
      <c r="K1019" s="5" t="str">
        <f>IFERROR(__xludf.DUMMYFUNCTION("""COMPUTED_VALUE"""),"")</f>
        <v/>
      </c>
      <c r="L1019" s="5" t="str">
        <f>IFERROR(__xludf.DUMMYFUNCTION("""COMPUTED_VALUE"""),"")</f>
        <v/>
      </c>
      <c r="M1019" s="5" t="str">
        <f>IFERROR(__xludf.DUMMYFUNCTION("""COMPUTED_VALUE"""),"")</f>
        <v/>
      </c>
      <c r="N1019" s="5" t="str">
        <f>IFERROR(__xludf.DUMMYFUNCTION("""COMPUTED_VALUE"""),"")</f>
        <v/>
      </c>
      <c r="O1019" s="5" t="str">
        <f>IFERROR(__xludf.DUMMYFUNCTION("""COMPUTED_VALUE"""),"")</f>
        <v/>
      </c>
      <c r="P1019" s="5" t="str">
        <f>IFERROR(__xludf.DUMMYFUNCTION("""COMPUTED_VALUE"""),"")</f>
        <v/>
      </c>
      <c r="Q1019" s="5" t="str">
        <f>IFERROR(__xludf.DUMMYFUNCTION("""COMPUTED_VALUE"""),"")</f>
        <v/>
      </c>
      <c r="R1019" s="5" t="str">
        <f>IFERROR(__xludf.DUMMYFUNCTION("""COMPUTED_VALUE"""),"")</f>
        <v/>
      </c>
      <c r="S1019" s="5" t="str">
        <f>IFERROR(__xludf.DUMMYFUNCTION("""COMPUTED_VALUE"""),"")</f>
        <v/>
      </c>
      <c r="T1019" s="5" t="str">
        <f>IFERROR(__xludf.DUMMYFUNCTION("""COMPUTED_VALUE"""),"")</f>
        <v/>
      </c>
      <c r="U1019" s="5" t="str">
        <f>IFERROR(__xludf.DUMMYFUNCTION("""COMPUTED_VALUE"""),"")</f>
        <v/>
      </c>
      <c r="V1019" s="5" t="str">
        <f>IFERROR(__xludf.DUMMYFUNCTION("""COMPUTED_VALUE"""),"")</f>
        <v/>
      </c>
      <c r="W1019" s="5" t="str">
        <f>IFERROR(__xludf.DUMMYFUNCTION("""COMPUTED_VALUE"""),"")</f>
        <v/>
      </c>
      <c r="X1019" s="5" t="str">
        <f>IFERROR(__xludf.DUMMYFUNCTION("""COMPUTED_VALUE"""),"")</f>
        <v/>
      </c>
      <c r="Y1019" s="5"/>
      <c r="Z1019" s="5"/>
    </row>
    <row r="1020">
      <c r="A1020" s="5"/>
      <c r="B1020" s="5" t="str">
        <f>IFERROR(__xludf.DUMMYFUNCTION("""COMPUTED_VALUE"""),"")</f>
        <v/>
      </c>
      <c r="C1020" s="5" t="str">
        <f>IFERROR(__xludf.DUMMYFUNCTION("""COMPUTED_VALUE"""),"")</f>
        <v/>
      </c>
      <c r="D1020" s="5" t="str">
        <f>IFERROR(__xludf.DUMMYFUNCTION("""COMPUTED_VALUE"""),"")</f>
        <v/>
      </c>
      <c r="E1020" s="5" t="str">
        <f>IFERROR(__xludf.DUMMYFUNCTION("""COMPUTED_VALUE"""),"")</f>
        <v/>
      </c>
      <c r="F1020" s="5" t="str">
        <f>IFERROR(__xludf.DUMMYFUNCTION("""COMPUTED_VALUE"""),"")</f>
        <v/>
      </c>
      <c r="G1020" s="5" t="str">
        <f>IFERROR(__xludf.DUMMYFUNCTION("""COMPUTED_VALUE"""),"")</f>
        <v/>
      </c>
      <c r="H1020" s="5" t="str">
        <f>IFERROR(__xludf.DUMMYFUNCTION("""COMPUTED_VALUE"""),"")</f>
        <v/>
      </c>
      <c r="I1020" s="5" t="str">
        <f>IFERROR(__xludf.DUMMYFUNCTION("""COMPUTED_VALUE"""),"")</f>
        <v/>
      </c>
      <c r="J1020" s="5" t="str">
        <f>IFERROR(__xludf.DUMMYFUNCTION("""COMPUTED_VALUE"""),"")</f>
        <v/>
      </c>
      <c r="K1020" s="5" t="str">
        <f>IFERROR(__xludf.DUMMYFUNCTION("""COMPUTED_VALUE"""),"")</f>
        <v/>
      </c>
      <c r="L1020" s="5" t="str">
        <f>IFERROR(__xludf.DUMMYFUNCTION("""COMPUTED_VALUE"""),"")</f>
        <v/>
      </c>
      <c r="M1020" s="5" t="str">
        <f>IFERROR(__xludf.DUMMYFUNCTION("""COMPUTED_VALUE"""),"")</f>
        <v/>
      </c>
      <c r="N1020" s="5" t="str">
        <f>IFERROR(__xludf.DUMMYFUNCTION("""COMPUTED_VALUE"""),"")</f>
        <v/>
      </c>
      <c r="O1020" s="5" t="str">
        <f>IFERROR(__xludf.DUMMYFUNCTION("""COMPUTED_VALUE"""),"")</f>
        <v/>
      </c>
      <c r="P1020" s="5" t="str">
        <f>IFERROR(__xludf.DUMMYFUNCTION("""COMPUTED_VALUE"""),"")</f>
        <v/>
      </c>
      <c r="Q1020" s="5" t="str">
        <f>IFERROR(__xludf.DUMMYFUNCTION("""COMPUTED_VALUE"""),"")</f>
        <v/>
      </c>
      <c r="R1020" s="5" t="str">
        <f>IFERROR(__xludf.DUMMYFUNCTION("""COMPUTED_VALUE"""),"")</f>
        <v/>
      </c>
      <c r="S1020" s="5" t="str">
        <f>IFERROR(__xludf.DUMMYFUNCTION("""COMPUTED_VALUE"""),"")</f>
        <v/>
      </c>
      <c r="T1020" s="5" t="str">
        <f>IFERROR(__xludf.DUMMYFUNCTION("""COMPUTED_VALUE"""),"")</f>
        <v/>
      </c>
      <c r="U1020" s="5" t="str">
        <f>IFERROR(__xludf.DUMMYFUNCTION("""COMPUTED_VALUE"""),"")</f>
        <v/>
      </c>
      <c r="V1020" s="5" t="str">
        <f>IFERROR(__xludf.DUMMYFUNCTION("""COMPUTED_VALUE"""),"")</f>
        <v/>
      </c>
      <c r="W1020" s="5" t="str">
        <f>IFERROR(__xludf.DUMMYFUNCTION("""COMPUTED_VALUE"""),"")</f>
        <v/>
      </c>
      <c r="X1020" s="5" t="str">
        <f>IFERROR(__xludf.DUMMYFUNCTION("""COMPUTED_VALUE"""),"")</f>
        <v/>
      </c>
      <c r="Y1020" s="5"/>
      <c r="Z1020" s="5"/>
    </row>
    <row r="1021">
      <c r="A1021" s="5"/>
      <c r="B1021" s="5" t="str">
        <f>IFERROR(__xludf.DUMMYFUNCTION("""COMPUTED_VALUE"""),"")</f>
        <v/>
      </c>
      <c r="C1021" s="5" t="str">
        <f>IFERROR(__xludf.DUMMYFUNCTION("""COMPUTED_VALUE"""),"")</f>
        <v/>
      </c>
      <c r="D1021" s="5" t="str">
        <f>IFERROR(__xludf.DUMMYFUNCTION("""COMPUTED_VALUE"""),"")</f>
        <v/>
      </c>
      <c r="E1021" s="5" t="str">
        <f>IFERROR(__xludf.DUMMYFUNCTION("""COMPUTED_VALUE"""),"")</f>
        <v/>
      </c>
      <c r="F1021" s="5" t="str">
        <f>IFERROR(__xludf.DUMMYFUNCTION("""COMPUTED_VALUE"""),"")</f>
        <v/>
      </c>
      <c r="G1021" s="5" t="str">
        <f>IFERROR(__xludf.DUMMYFUNCTION("""COMPUTED_VALUE"""),"")</f>
        <v/>
      </c>
      <c r="H1021" s="5" t="str">
        <f>IFERROR(__xludf.DUMMYFUNCTION("""COMPUTED_VALUE"""),"")</f>
        <v/>
      </c>
      <c r="I1021" s="5" t="str">
        <f>IFERROR(__xludf.DUMMYFUNCTION("""COMPUTED_VALUE"""),"")</f>
        <v/>
      </c>
      <c r="J1021" s="5" t="str">
        <f>IFERROR(__xludf.DUMMYFUNCTION("""COMPUTED_VALUE"""),"")</f>
        <v/>
      </c>
      <c r="K1021" s="5" t="str">
        <f>IFERROR(__xludf.DUMMYFUNCTION("""COMPUTED_VALUE"""),"")</f>
        <v/>
      </c>
      <c r="L1021" s="5" t="str">
        <f>IFERROR(__xludf.DUMMYFUNCTION("""COMPUTED_VALUE"""),"")</f>
        <v/>
      </c>
      <c r="M1021" s="5" t="str">
        <f>IFERROR(__xludf.DUMMYFUNCTION("""COMPUTED_VALUE"""),"")</f>
        <v/>
      </c>
      <c r="N1021" s="5" t="str">
        <f>IFERROR(__xludf.DUMMYFUNCTION("""COMPUTED_VALUE"""),"")</f>
        <v/>
      </c>
      <c r="O1021" s="5" t="str">
        <f>IFERROR(__xludf.DUMMYFUNCTION("""COMPUTED_VALUE"""),"")</f>
        <v/>
      </c>
      <c r="P1021" s="5" t="str">
        <f>IFERROR(__xludf.DUMMYFUNCTION("""COMPUTED_VALUE"""),"")</f>
        <v/>
      </c>
      <c r="Q1021" s="5" t="str">
        <f>IFERROR(__xludf.DUMMYFUNCTION("""COMPUTED_VALUE"""),"")</f>
        <v/>
      </c>
      <c r="R1021" s="5" t="str">
        <f>IFERROR(__xludf.DUMMYFUNCTION("""COMPUTED_VALUE"""),"")</f>
        <v/>
      </c>
      <c r="S1021" s="5" t="str">
        <f>IFERROR(__xludf.DUMMYFUNCTION("""COMPUTED_VALUE"""),"")</f>
        <v/>
      </c>
      <c r="T1021" s="5" t="str">
        <f>IFERROR(__xludf.DUMMYFUNCTION("""COMPUTED_VALUE"""),"")</f>
        <v/>
      </c>
      <c r="U1021" s="5" t="str">
        <f>IFERROR(__xludf.DUMMYFUNCTION("""COMPUTED_VALUE"""),"")</f>
        <v/>
      </c>
      <c r="V1021" s="5" t="str">
        <f>IFERROR(__xludf.DUMMYFUNCTION("""COMPUTED_VALUE"""),"")</f>
        <v/>
      </c>
      <c r="W1021" s="5" t="str">
        <f>IFERROR(__xludf.DUMMYFUNCTION("""COMPUTED_VALUE"""),"")</f>
        <v/>
      </c>
      <c r="X1021" s="5" t="str">
        <f>IFERROR(__xludf.DUMMYFUNCTION("""COMPUTED_VALUE"""),"")</f>
        <v/>
      </c>
      <c r="Y1021" s="5"/>
      <c r="Z1021" s="5"/>
    </row>
    <row r="1022">
      <c r="A1022" s="5"/>
      <c r="B1022" s="5" t="str">
        <f>IFERROR(__xludf.DUMMYFUNCTION("""COMPUTED_VALUE"""),"")</f>
        <v/>
      </c>
      <c r="C1022" s="5" t="str">
        <f>IFERROR(__xludf.DUMMYFUNCTION("""COMPUTED_VALUE"""),"")</f>
        <v/>
      </c>
      <c r="D1022" s="5" t="str">
        <f>IFERROR(__xludf.DUMMYFUNCTION("""COMPUTED_VALUE"""),"")</f>
        <v/>
      </c>
      <c r="E1022" s="5" t="str">
        <f>IFERROR(__xludf.DUMMYFUNCTION("""COMPUTED_VALUE"""),"")</f>
        <v/>
      </c>
      <c r="F1022" s="5" t="str">
        <f>IFERROR(__xludf.DUMMYFUNCTION("""COMPUTED_VALUE"""),"")</f>
        <v/>
      </c>
      <c r="G1022" s="5" t="str">
        <f>IFERROR(__xludf.DUMMYFUNCTION("""COMPUTED_VALUE"""),"")</f>
        <v/>
      </c>
      <c r="H1022" s="5" t="str">
        <f>IFERROR(__xludf.DUMMYFUNCTION("""COMPUTED_VALUE"""),"")</f>
        <v/>
      </c>
      <c r="I1022" s="5" t="str">
        <f>IFERROR(__xludf.DUMMYFUNCTION("""COMPUTED_VALUE"""),"")</f>
        <v/>
      </c>
      <c r="J1022" s="5" t="str">
        <f>IFERROR(__xludf.DUMMYFUNCTION("""COMPUTED_VALUE"""),"")</f>
        <v/>
      </c>
      <c r="K1022" s="5" t="str">
        <f>IFERROR(__xludf.DUMMYFUNCTION("""COMPUTED_VALUE"""),"")</f>
        <v/>
      </c>
      <c r="L1022" s="5" t="str">
        <f>IFERROR(__xludf.DUMMYFUNCTION("""COMPUTED_VALUE"""),"")</f>
        <v/>
      </c>
      <c r="M1022" s="5" t="str">
        <f>IFERROR(__xludf.DUMMYFUNCTION("""COMPUTED_VALUE"""),"")</f>
        <v/>
      </c>
      <c r="N1022" s="5" t="str">
        <f>IFERROR(__xludf.DUMMYFUNCTION("""COMPUTED_VALUE"""),"")</f>
        <v/>
      </c>
      <c r="O1022" s="5" t="str">
        <f>IFERROR(__xludf.DUMMYFUNCTION("""COMPUTED_VALUE"""),"")</f>
        <v/>
      </c>
      <c r="P1022" s="5" t="str">
        <f>IFERROR(__xludf.DUMMYFUNCTION("""COMPUTED_VALUE"""),"")</f>
        <v/>
      </c>
      <c r="Q1022" s="5" t="str">
        <f>IFERROR(__xludf.DUMMYFUNCTION("""COMPUTED_VALUE"""),"")</f>
        <v/>
      </c>
      <c r="R1022" s="5" t="str">
        <f>IFERROR(__xludf.DUMMYFUNCTION("""COMPUTED_VALUE"""),"")</f>
        <v/>
      </c>
      <c r="S1022" s="5" t="str">
        <f>IFERROR(__xludf.DUMMYFUNCTION("""COMPUTED_VALUE"""),"")</f>
        <v/>
      </c>
      <c r="T1022" s="5" t="str">
        <f>IFERROR(__xludf.DUMMYFUNCTION("""COMPUTED_VALUE"""),"")</f>
        <v/>
      </c>
      <c r="U1022" s="5" t="str">
        <f>IFERROR(__xludf.DUMMYFUNCTION("""COMPUTED_VALUE"""),"")</f>
        <v/>
      </c>
      <c r="V1022" s="5" t="str">
        <f>IFERROR(__xludf.DUMMYFUNCTION("""COMPUTED_VALUE"""),"")</f>
        <v/>
      </c>
      <c r="W1022" s="5" t="str">
        <f>IFERROR(__xludf.DUMMYFUNCTION("""COMPUTED_VALUE"""),"")</f>
        <v/>
      </c>
      <c r="X1022" s="5" t="str">
        <f>IFERROR(__xludf.DUMMYFUNCTION("""COMPUTED_VALUE"""),"")</f>
        <v/>
      </c>
      <c r="Y1022" s="5"/>
      <c r="Z1022" s="5"/>
    </row>
    <row r="1023">
      <c r="A1023" s="5"/>
      <c r="B1023" s="5" t="str">
        <f>IFERROR(__xludf.DUMMYFUNCTION("""COMPUTED_VALUE"""),"")</f>
        <v/>
      </c>
      <c r="C1023" s="5" t="str">
        <f>IFERROR(__xludf.DUMMYFUNCTION("""COMPUTED_VALUE"""),"")</f>
        <v/>
      </c>
      <c r="D1023" s="5" t="str">
        <f>IFERROR(__xludf.DUMMYFUNCTION("""COMPUTED_VALUE"""),"")</f>
        <v/>
      </c>
      <c r="E1023" s="5" t="str">
        <f>IFERROR(__xludf.DUMMYFUNCTION("""COMPUTED_VALUE"""),"")</f>
        <v/>
      </c>
      <c r="F1023" s="5" t="str">
        <f>IFERROR(__xludf.DUMMYFUNCTION("""COMPUTED_VALUE"""),"")</f>
        <v/>
      </c>
      <c r="G1023" s="5" t="str">
        <f>IFERROR(__xludf.DUMMYFUNCTION("""COMPUTED_VALUE"""),"")</f>
        <v/>
      </c>
      <c r="H1023" s="5" t="str">
        <f>IFERROR(__xludf.DUMMYFUNCTION("""COMPUTED_VALUE"""),"")</f>
        <v/>
      </c>
      <c r="I1023" s="5" t="str">
        <f>IFERROR(__xludf.DUMMYFUNCTION("""COMPUTED_VALUE"""),"")</f>
        <v/>
      </c>
      <c r="J1023" s="5" t="str">
        <f>IFERROR(__xludf.DUMMYFUNCTION("""COMPUTED_VALUE"""),"")</f>
        <v/>
      </c>
      <c r="K1023" s="5" t="str">
        <f>IFERROR(__xludf.DUMMYFUNCTION("""COMPUTED_VALUE"""),"")</f>
        <v/>
      </c>
      <c r="L1023" s="5" t="str">
        <f>IFERROR(__xludf.DUMMYFUNCTION("""COMPUTED_VALUE"""),"")</f>
        <v/>
      </c>
      <c r="M1023" s="5" t="str">
        <f>IFERROR(__xludf.DUMMYFUNCTION("""COMPUTED_VALUE"""),"")</f>
        <v/>
      </c>
      <c r="N1023" s="5" t="str">
        <f>IFERROR(__xludf.DUMMYFUNCTION("""COMPUTED_VALUE"""),"")</f>
        <v/>
      </c>
      <c r="O1023" s="5" t="str">
        <f>IFERROR(__xludf.DUMMYFUNCTION("""COMPUTED_VALUE"""),"")</f>
        <v/>
      </c>
      <c r="P1023" s="5" t="str">
        <f>IFERROR(__xludf.DUMMYFUNCTION("""COMPUTED_VALUE"""),"")</f>
        <v/>
      </c>
      <c r="Q1023" s="5" t="str">
        <f>IFERROR(__xludf.DUMMYFUNCTION("""COMPUTED_VALUE"""),"")</f>
        <v/>
      </c>
      <c r="R1023" s="5" t="str">
        <f>IFERROR(__xludf.DUMMYFUNCTION("""COMPUTED_VALUE"""),"")</f>
        <v/>
      </c>
      <c r="S1023" s="5" t="str">
        <f>IFERROR(__xludf.DUMMYFUNCTION("""COMPUTED_VALUE"""),"")</f>
        <v/>
      </c>
      <c r="T1023" s="5" t="str">
        <f>IFERROR(__xludf.DUMMYFUNCTION("""COMPUTED_VALUE"""),"")</f>
        <v/>
      </c>
      <c r="U1023" s="5" t="str">
        <f>IFERROR(__xludf.DUMMYFUNCTION("""COMPUTED_VALUE"""),"")</f>
        <v/>
      </c>
      <c r="V1023" s="5" t="str">
        <f>IFERROR(__xludf.DUMMYFUNCTION("""COMPUTED_VALUE"""),"")</f>
        <v/>
      </c>
      <c r="W1023" s="5" t="str">
        <f>IFERROR(__xludf.DUMMYFUNCTION("""COMPUTED_VALUE"""),"")</f>
        <v/>
      </c>
      <c r="X1023" s="5" t="str">
        <f>IFERROR(__xludf.DUMMYFUNCTION("""COMPUTED_VALUE"""),"")</f>
        <v/>
      </c>
      <c r="Y1023" s="5"/>
      <c r="Z1023" s="5"/>
    </row>
    <row r="1024">
      <c r="A1024" s="5"/>
      <c r="B1024" s="5" t="str">
        <f>IFERROR(__xludf.DUMMYFUNCTION("""COMPUTED_VALUE"""),"")</f>
        <v/>
      </c>
      <c r="C1024" s="5" t="str">
        <f>IFERROR(__xludf.DUMMYFUNCTION("""COMPUTED_VALUE"""),"")</f>
        <v/>
      </c>
      <c r="D1024" s="5" t="str">
        <f>IFERROR(__xludf.DUMMYFUNCTION("""COMPUTED_VALUE"""),"")</f>
        <v/>
      </c>
      <c r="E1024" s="5" t="str">
        <f>IFERROR(__xludf.DUMMYFUNCTION("""COMPUTED_VALUE"""),"")</f>
        <v/>
      </c>
      <c r="F1024" s="5" t="str">
        <f>IFERROR(__xludf.DUMMYFUNCTION("""COMPUTED_VALUE"""),"")</f>
        <v/>
      </c>
      <c r="G1024" s="5" t="str">
        <f>IFERROR(__xludf.DUMMYFUNCTION("""COMPUTED_VALUE"""),"")</f>
        <v/>
      </c>
      <c r="H1024" s="5" t="str">
        <f>IFERROR(__xludf.DUMMYFUNCTION("""COMPUTED_VALUE"""),"")</f>
        <v/>
      </c>
      <c r="I1024" s="5" t="str">
        <f>IFERROR(__xludf.DUMMYFUNCTION("""COMPUTED_VALUE"""),"")</f>
        <v/>
      </c>
      <c r="J1024" s="5" t="str">
        <f>IFERROR(__xludf.DUMMYFUNCTION("""COMPUTED_VALUE"""),"")</f>
        <v/>
      </c>
      <c r="K1024" s="5" t="str">
        <f>IFERROR(__xludf.DUMMYFUNCTION("""COMPUTED_VALUE"""),"")</f>
        <v/>
      </c>
      <c r="L1024" s="5" t="str">
        <f>IFERROR(__xludf.DUMMYFUNCTION("""COMPUTED_VALUE"""),"")</f>
        <v/>
      </c>
      <c r="M1024" s="5" t="str">
        <f>IFERROR(__xludf.DUMMYFUNCTION("""COMPUTED_VALUE"""),"")</f>
        <v/>
      </c>
      <c r="N1024" s="5" t="str">
        <f>IFERROR(__xludf.DUMMYFUNCTION("""COMPUTED_VALUE"""),"")</f>
        <v/>
      </c>
      <c r="O1024" s="5" t="str">
        <f>IFERROR(__xludf.DUMMYFUNCTION("""COMPUTED_VALUE"""),"")</f>
        <v/>
      </c>
      <c r="P1024" s="5" t="str">
        <f>IFERROR(__xludf.DUMMYFUNCTION("""COMPUTED_VALUE"""),"")</f>
        <v/>
      </c>
      <c r="Q1024" s="5" t="str">
        <f>IFERROR(__xludf.DUMMYFUNCTION("""COMPUTED_VALUE"""),"")</f>
        <v/>
      </c>
      <c r="R1024" s="5" t="str">
        <f>IFERROR(__xludf.DUMMYFUNCTION("""COMPUTED_VALUE"""),"")</f>
        <v/>
      </c>
      <c r="S1024" s="5" t="str">
        <f>IFERROR(__xludf.DUMMYFUNCTION("""COMPUTED_VALUE"""),"")</f>
        <v/>
      </c>
      <c r="T1024" s="5" t="str">
        <f>IFERROR(__xludf.DUMMYFUNCTION("""COMPUTED_VALUE"""),"")</f>
        <v/>
      </c>
      <c r="U1024" s="5" t="str">
        <f>IFERROR(__xludf.DUMMYFUNCTION("""COMPUTED_VALUE"""),"")</f>
        <v/>
      </c>
      <c r="V1024" s="5" t="str">
        <f>IFERROR(__xludf.DUMMYFUNCTION("""COMPUTED_VALUE"""),"")</f>
        <v/>
      </c>
      <c r="W1024" s="5" t="str">
        <f>IFERROR(__xludf.DUMMYFUNCTION("""COMPUTED_VALUE"""),"")</f>
        <v/>
      </c>
      <c r="X1024" s="5" t="str">
        <f>IFERROR(__xludf.DUMMYFUNCTION("""COMPUTED_VALUE"""),"")</f>
        <v/>
      </c>
      <c r="Y1024" s="5"/>
      <c r="Z1024" s="5"/>
    </row>
    <row r="1025">
      <c r="A1025" s="5"/>
      <c r="B1025" s="5" t="str">
        <f>IFERROR(__xludf.DUMMYFUNCTION("""COMPUTED_VALUE"""),"")</f>
        <v/>
      </c>
      <c r="C1025" s="5" t="str">
        <f>IFERROR(__xludf.DUMMYFUNCTION("""COMPUTED_VALUE"""),"")</f>
        <v/>
      </c>
      <c r="D1025" s="5" t="str">
        <f>IFERROR(__xludf.DUMMYFUNCTION("""COMPUTED_VALUE"""),"")</f>
        <v/>
      </c>
      <c r="E1025" s="5" t="str">
        <f>IFERROR(__xludf.DUMMYFUNCTION("""COMPUTED_VALUE"""),"")</f>
        <v/>
      </c>
      <c r="F1025" s="5" t="str">
        <f>IFERROR(__xludf.DUMMYFUNCTION("""COMPUTED_VALUE"""),"")</f>
        <v/>
      </c>
      <c r="G1025" s="5" t="str">
        <f>IFERROR(__xludf.DUMMYFUNCTION("""COMPUTED_VALUE"""),"")</f>
        <v/>
      </c>
      <c r="H1025" s="5" t="str">
        <f>IFERROR(__xludf.DUMMYFUNCTION("""COMPUTED_VALUE"""),"")</f>
        <v/>
      </c>
      <c r="I1025" s="5" t="str">
        <f>IFERROR(__xludf.DUMMYFUNCTION("""COMPUTED_VALUE"""),"")</f>
        <v/>
      </c>
      <c r="J1025" s="5" t="str">
        <f>IFERROR(__xludf.DUMMYFUNCTION("""COMPUTED_VALUE"""),"")</f>
        <v/>
      </c>
      <c r="K1025" s="5" t="str">
        <f>IFERROR(__xludf.DUMMYFUNCTION("""COMPUTED_VALUE"""),"")</f>
        <v/>
      </c>
      <c r="L1025" s="5" t="str">
        <f>IFERROR(__xludf.DUMMYFUNCTION("""COMPUTED_VALUE"""),"")</f>
        <v/>
      </c>
      <c r="M1025" s="5" t="str">
        <f>IFERROR(__xludf.DUMMYFUNCTION("""COMPUTED_VALUE"""),"")</f>
        <v/>
      </c>
      <c r="N1025" s="5" t="str">
        <f>IFERROR(__xludf.DUMMYFUNCTION("""COMPUTED_VALUE"""),"")</f>
        <v/>
      </c>
      <c r="O1025" s="5" t="str">
        <f>IFERROR(__xludf.DUMMYFUNCTION("""COMPUTED_VALUE"""),"")</f>
        <v/>
      </c>
      <c r="P1025" s="5" t="str">
        <f>IFERROR(__xludf.DUMMYFUNCTION("""COMPUTED_VALUE"""),"")</f>
        <v/>
      </c>
      <c r="Q1025" s="5" t="str">
        <f>IFERROR(__xludf.DUMMYFUNCTION("""COMPUTED_VALUE"""),"")</f>
        <v/>
      </c>
      <c r="R1025" s="5" t="str">
        <f>IFERROR(__xludf.DUMMYFUNCTION("""COMPUTED_VALUE"""),"")</f>
        <v/>
      </c>
      <c r="S1025" s="5" t="str">
        <f>IFERROR(__xludf.DUMMYFUNCTION("""COMPUTED_VALUE"""),"")</f>
        <v/>
      </c>
      <c r="T1025" s="5" t="str">
        <f>IFERROR(__xludf.DUMMYFUNCTION("""COMPUTED_VALUE"""),"")</f>
        <v/>
      </c>
      <c r="U1025" s="5" t="str">
        <f>IFERROR(__xludf.DUMMYFUNCTION("""COMPUTED_VALUE"""),"")</f>
        <v/>
      </c>
      <c r="V1025" s="5" t="str">
        <f>IFERROR(__xludf.DUMMYFUNCTION("""COMPUTED_VALUE"""),"")</f>
        <v/>
      </c>
      <c r="W1025" s="5" t="str">
        <f>IFERROR(__xludf.DUMMYFUNCTION("""COMPUTED_VALUE"""),"")</f>
        <v/>
      </c>
      <c r="X1025" s="5" t="str">
        <f>IFERROR(__xludf.DUMMYFUNCTION("""COMPUTED_VALUE"""),"")</f>
        <v/>
      </c>
      <c r="Y1025" s="5"/>
      <c r="Z1025" s="5"/>
    </row>
    <row r="1026">
      <c r="A1026" s="5"/>
      <c r="B1026" s="5" t="str">
        <f>IFERROR(__xludf.DUMMYFUNCTION("""COMPUTED_VALUE"""),"")</f>
        <v/>
      </c>
      <c r="C1026" s="5" t="str">
        <f>IFERROR(__xludf.DUMMYFUNCTION("""COMPUTED_VALUE"""),"")</f>
        <v/>
      </c>
      <c r="D1026" s="5" t="str">
        <f>IFERROR(__xludf.DUMMYFUNCTION("""COMPUTED_VALUE"""),"")</f>
        <v/>
      </c>
      <c r="E1026" s="5" t="str">
        <f>IFERROR(__xludf.DUMMYFUNCTION("""COMPUTED_VALUE"""),"")</f>
        <v/>
      </c>
      <c r="F1026" s="5" t="str">
        <f>IFERROR(__xludf.DUMMYFUNCTION("""COMPUTED_VALUE"""),"")</f>
        <v/>
      </c>
      <c r="G1026" s="5" t="str">
        <f>IFERROR(__xludf.DUMMYFUNCTION("""COMPUTED_VALUE"""),"")</f>
        <v/>
      </c>
      <c r="H1026" s="5" t="str">
        <f>IFERROR(__xludf.DUMMYFUNCTION("""COMPUTED_VALUE"""),"")</f>
        <v/>
      </c>
      <c r="I1026" s="5" t="str">
        <f>IFERROR(__xludf.DUMMYFUNCTION("""COMPUTED_VALUE"""),"")</f>
        <v/>
      </c>
      <c r="J1026" s="5" t="str">
        <f>IFERROR(__xludf.DUMMYFUNCTION("""COMPUTED_VALUE"""),"")</f>
        <v/>
      </c>
      <c r="K1026" s="5" t="str">
        <f>IFERROR(__xludf.DUMMYFUNCTION("""COMPUTED_VALUE"""),"")</f>
        <v/>
      </c>
      <c r="L1026" s="5" t="str">
        <f>IFERROR(__xludf.DUMMYFUNCTION("""COMPUTED_VALUE"""),"")</f>
        <v/>
      </c>
      <c r="M1026" s="5" t="str">
        <f>IFERROR(__xludf.DUMMYFUNCTION("""COMPUTED_VALUE"""),"")</f>
        <v/>
      </c>
      <c r="N1026" s="5" t="str">
        <f>IFERROR(__xludf.DUMMYFUNCTION("""COMPUTED_VALUE"""),"")</f>
        <v/>
      </c>
      <c r="O1026" s="5" t="str">
        <f>IFERROR(__xludf.DUMMYFUNCTION("""COMPUTED_VALUE"""),"")</f>
        <v/>
      </c>
      <c r="P1026" s="5" t="str">
        <f>IFERROR(__xludf.DUMMYFUNCTION("""COMPUTED_VALUE"""),"")</f>
        <v/>
      </c>
      <c r="Q1026" s="5" t="str">
        <f>IFERROR(__xludf.DUMMYFUNCTION("""COMPUTED_VALUE"""),"")</f>
        <v/>
      </c>
      <c r="R1026" s="5" t="str">
        <f>IFERROR(__xludf.DUMMYFUNCTION("""COMPUTED_VALUE"""),"")</f>
        <v/>
      </c>
      <c r="S1026" s="5" t="str">
        <f>IFERROR(__xludf.DUMMYFUNCTION("""COMPUTED_VALUE"""),"")</f>
        <v/>
      </c>
      <c r="T1026" s="5" t="str">
        <f>IFERROR(__xludf.DUMMYFUNCTION("""COMPUTED_VALUE"""),"")</f>
        <v/>
      </c>
      <c r="U1026" s="5" t="str">
        <f>IFERROR(__xludf.DUMMYFUNCTION("""COMPUTED_VALUE"""),"")</f>
        <v/>
      </c>
      <c r="V1026" s="5" t="str">
        <f>IFERROR(__xludf.DUMMYFUNCTION("""COMPUTED_VALUE"""),"")</f>
        <v/>
      </c>
      <c r="W1026" s="5" t="str">
        <f>IFERROR(__xludf.DUMMYFUNCTION("""COMPUTED_VALUE"""),"")</f>
        <v/>
      </c>
      <c r="X1026" s="5" t="str">
        <f>IFERROR(__xludf.DUMMYFUNCTION("""COMPUTED_VALUE"""),"")</f>
        <v/>
      </c>
      <c r="Y1026" s="5"/>
      <c r="Z1026" s="5"/>
    </row>
    <row r="1027">
      <c r="A1027" s="5"/>
      <c r="B1027" s="5" t="str">
        <f>IFERROR(__xludf.DUMMYFUNCTION("""COMPUTED_VALUE"""),"")</f>
        <v/>
      </c>
      <c r="C1027" s="5" t="str">
        <f>IFERROR(__xludf.DUMMYFUNCTION("""COMPUTED_VALUE"""),"")</f>
        <v/>
      </c>
      <c r="D1027" s="5" t="str">
        <f>IFERROR(__xludf.DUMMYFUNCTION("""COMPUTED_VALUE"""),"")</f>
        <v/>
      </c>
      <c r="E1027" s="5" t="str">
        <f>IFERROR(__xludf.DUMMYFUNCTION("""COMPUTED_VALUE"""),"")</f>
        <v/>
      </c>
      <c r="F1027" s="5" t="str">
        <f>IFERROR(__xludf.DUMMYFUNCTION("""COMPUTED_VALUE"""),"")</f>
        <v/>
      </c>
      <c r="G1027" s="5" t="str">
        <f>IFERROR(__xludf.DUMMYFUNCTION("""COMPUTED_VALUE"""),"")</f>
        <v/>
      </c>
      <c r="H1027" s="5" t="str">
        <f>IFERROR(__xludf.DUMMYFUNCTION("""COMPUTED_VALUE"""),"")</f>
        <v/>
      </c>
      <c r="I1027" s="5" t="str">
        <f>IFERROR(__xludf.DUMMYFUNCTION("""COMPUTED_VALUE"""),"")</f>
        <v/>
      </c>
      <c r="J1027" s="5" t="str">
        <f>IFERROR(__xludf.DUMMYFUNCTION("""COMPUTED_VALUE"""),"")</f>
        <v/>
      </c>
      <c r="K1027" s="5" t="str">
        <f>IFERROR(__xludf.DUMMYFUNCTION("""COMPUTED_VALUE"""),"")</f>
        <v/>
      </c>
      <c r="L1027" s="5" t="str">
        <f>IFERROR(__xludf.DUMMYFUNCTION("""COMPUTED_VALUE"""),"")</f>
        <v/>
      </c>
      <c r="M1027" s="5" t="str">
        <f>IFERROR(__xludf.DUMMYFUNCTION("""COMPUTED_VALUE"""),"")</f>
        <v/>
      </c>
      <c r="N1027" s="5" t="str">
        <f>IFERROR(__xludf.DUMMYFUNCTION("""COMPUTED_VALUE"""),"")</f>
        <v/>
      </c>
      <c r="O1027" s="5" t="str">
        <f>IFERROR(__xludf.DUMMYFUNCTION("""COMPUTED_VALUE"""),"")</f>
        <v/>
      </c>
      <c r="P1027" s="5" t="str">
        <f>IFERROR(__xludf.DUMMYFUNCTION("""COMPUTED_VALUE"""),"")</f>
        <v/>
      </c>
      <c r="Q1027" s="5" t="str">
        <f>IFERROR(__xludf.DUMMYFUNCTION("""COMPUTED_VALUE"""),"")</f>
        <v/>
      </c>
      <c r="R1027" s="5" t="str">
        <f>IFERROR(__xludf.DUMMYFUNCTION("""COMPUTED_VALUE"""),"")</f>
        <v/>
      </c>
      <c r="S1027" s="5" t="str">
        <f>IFERROR(__xludf.DUMMYFUNCTION("""COMPUTED_VALUE"""),"")</f>
        <v/>
      </c>
      <c r="T1027" s="5" t="str">
        <f>IFERROR(__xludf.DUMMYFUNCTION("""COMPUTED_VALUE"""),"")</f>
        <v/>
      </c>
      <c r="U1027" s="5" t="str">
        <f>IFERROR(__xludf.DUMMYFUNCTION("""COMPUTED_VALUE"""),"")</f>
        <v/>
      </c>
      <c r="V1027" s="5" t="str">
        <f>IFERROR(__xludf.DUMMYFUNCTION("""COMPUTED_VALUE"""),"")</f>
        <v/>
      </c>
      <c r="W1027" s="5" t="str">
        <f>IFERROR(__xludf.DUMMYFUNCTION("""COMPUTED_VALUE"""),"")</f>
        <v/>
      </c>
      <c r="X1027" s="5" t="str">
        <f>IFERROR(__xludf.DUMMYFUNCTION("""COMPUTED_VALUE"""),"")</f>
        <v/>
      </c>
      <c r="Y1027" s="5"/>
      <c r="Z1027" s="5"/>
    </row>
    <row r="1028">
      <c r="A1028" s="5"/>
      <c r="B1028" s="5" t="str">
        <f>IFERROR(__xludf.DUMMYFUNCTION("""COMPUTED_VALUE"""),"")</f>
        <v/>
      </c>
      <c r="C1028" s="5" t="str">
        <f>IFERROR(__xludf.DUMMYFUNCTION("""COMPUTED_VALUE"""),"")</f>
        <v/>
      </c>
      <c r="D1028" s="5" t="str">
        <f>IFERROR(__xludf.DUMMYFUNCTION("""COMPUTED_VALUE"""),"")</f>
        <v/>
      </c>
      <c r="E1028" s="5" t="str">
        <f>IFERROR(__xludf.DUMMYFUNCTION("""COMPUTED_VALUE"""),"")</f>
        <v/>
      </c>
      <c r="F1028" s="5" t="str">
        <f>IFERROR(__xludf.DUMMYFUNCTION("""COMPUTED_VALUE"""),"")</f>
        <v/>
      </c>
      <c r="G1028" s="5" t="str">
        <f>IFERROR(__xludf.DUMMYFUNCTION("""COMPUTED_VALUE"""),"")</f>
        <v/>
      </c>
      <c r="H1028" s="5" t="str">
        <f>IFERROR(__xludf.DUMMYFUNCTION("""COMPUTED_VALUE"""),"")</f>
        <v/>
      </c>
      <c r="I1028" s="5" t="str">
        <f>IFERROR(__xludf.DUMMYFUNCTION("""COMPUTED_VALUE"""),"")</f>
        <v/>
      </c>
      <c r="J1028" s="5" t="str">
        <f>IFERROR(__xludf.DUMMYFUNCTION("""COMPUTED_VALUE"""),"")</f>
        <v/>
      </c>
      <c r="K1028" s="5" t="str">
        <f>IFERROR(__xludf.DUMMYFUNCTION("""COMPUTED_VALUE"""),"")</f>
        <v/>
      </c>
      <c r="L1028" s="5" t="str">
        <f>IFERROR(__xludf.DUMMYFUNCTION("""COMPUTED_VALUE"""),"")</f>
        <v/>
      </c>
      <c r="M1028" s="5" t="str">
        <f>IFERROR(__xludf.DUMMYFUNCTION("""COMPUTED_VALUE"""),"")</f>
        <v/>
      </c>
      <c r="N1028" s="5" t="str">
        <f>IFERROR(__xludf.DUMMYFUNCTION("""COMPUTED_VALUE"""),"")</f>
        <v/>
      </c>
      <c r="O1028" s="5" t="str">
        <f>IFERROR(__xludf.DUMMYFUNCTION("""COMPUTED_VALUE"""),"")</f>
        <v/>
      </c>
      <c r="P1028" s="5" t="str">
        <f>IFERROR(__xludf.DUMMYFUNCTION("""COMPUTED_VALUE"""),"")</f>
        <v/>
      </c>
      <c r="Q1028" s="5" t="str">
        <f>IFERROR(__xludf.DUMMYFUNCTION("""COMPUTED_VALUE"""),"")</f>
        <v/>
      </c>
      <c r="R1028" s="5" t="str">
        <f>IFERROR(__xludf.DUMMYFUNCTION("""COMPUTED_VALUE"""),"")</f>
        <v/>
      </c>
      <c r="S1028" s="5" t="str">
        <f>IFERROR(__xludf.DUMMYFUNCTION("""COMPUTED_VALUE"""),"")</f>
        <v/>
      </c>
      <c r="T1028" s="5" t="str">
        <f>IFERROR(__xludf.DUMMYFUNCTION("""COMPUTED_VALUE"""),"")</f>
        <v/>
      </c>
      <c r="U1028" s="5" t="str">
        <f>IFERROR(__xludf.DUMMYFUNCTION("""COMPUTED_VALUE"""),"")</f>
        <v/>
      </c>
      <c r="V1028" s="5" t="str">
        <f>IFERROR(__xludf.DUMMYFUNCTION("""COMPUTED_VALUE"""),"")</f>
        <v/>
      </c>
      <c r="W1028" s="5" t="str">
        <f>IFERROR(__xludf.DUMMYFUNCTION("""COMPUTED_VALUE"""),"")</f>
        <v/>
      </c>
      <c r="X1028" s="5" t="str">
        <f>IFERROR(__xludf.DUMMYFUNCTION("""COMPUTED_VALUE"""),"")</f>
        <v/>
      </c>
      <c r="Y1028" s="5"/>
      <c r="Z1028" s="5"/>
    </row>
    <row r="1029">
      <c r="A1029" s="5"/>
      <c r="B1029" s="5" t="str">
        <f>IFERROR(__xludf.DUMMYFUNCTION("""COMPUTED_VALUE"""),"")</f>
        <v/>
      </c>
      <c r="C1029" s="5" t="str">
        <f>IFERROR(__xludf.DUMMYFUNCTION("""COMPUTED_VALUE"""),"")</f>
        <v/>
      </c>
      <c r="D1029" s="5" t="str">
        <f>IFERROR(__xludf.DUMMYFUNCTION("""COMPUTED_VALUE"""),"")</f>
        <v/>
      </c>
      <c r="E1029" s="5" t="str">
        <f>IFERROR(__xludf.DUMMYFUNCTION("""COMPUTED_VALUE"""),"")</f>
        <v/>
      </c>
      <c r="F1029" s="5" t="str">
        <f>IFERROR(__xludf.DUMMYFUNCTION("""COMPUTED_VALUE"""),"")</f>
        <v/>
      </c>
      <c r="G1029" s="5" t="str">
        <f>IFERROR(__xludf.DUMMYFUNCTION("""COMPUTED_VALUE"""),"")</f>
        <v/>
      </c>
      <c r="H1029" s="5" t="str">
        <f>IFERROR(__xludf.DUMMYFUNCTION("""COMPUTED_VALUE"""),"")</f>
        <v/>
      </c>
      <c r="I1029" s="5" t="str">
        <f>IFERROR(__xludf.DUMMYFUNCTION("""COMPUTED_VALUE"""),"")</f>
        <v/>
      </c>
      <c r="J1029" s="5" t="str">
        <f>IFERROR(__xludf.DUMMYFUNCTION("""COMPUTED_VALUE"""),"")</f>
        <v/>
      </c>
      <c r="K1029" s="5" t="str">
        <f>IFERROR(__xludf.DUMMYFUNCTION("""COMPUTED_VALUE"""),"")</f>
        <v/>
      </c>
      <c r="L1029" s="5" t="str">
        <f>IFERROR(__xludf.DUMMYFUNCTION("""COMPUTED_VALUE"""),"")</f>
        <v/>
      </c>
      <c r="M1029" s="5" t="str">
        <f>IFERROR(__xludf.DUMMYFUNCTION("""COMPUTED_VALUE"""),"")</f>
        <v/>
      </c>
      <c r="N1029" s="5" t="str">
        <f>IFERROR(__xludf.DUMMYFUNCTION("""COMPUTED_VALUE"""),"")</f>
        <v/>
      </c>
      <c r="O1029" s="5" t="str">
        <f>IFERROR(__xludf.DUMMYFUNCTION("""COMPUTED_VALUE"""),"")</f>
        <v/>
      </c>
      <c r="P1029" s="5" t="str">
        <f>IFERROR(__xludf.DUMMYFUNCTION("""COMPUTED_VALUE"""),"")</f>
        <v/>
      </c>
      <c r="Q1029" s="5" t="str">
        <f>IFERROR(__xludf.DUMMYFUNCTION("""COMPUTED_VALUE"""),"")</f>
        <v/>
      </c>
      <c r="R1029" s="5" t="str">
        <f>IFERROR(__xludf.DUMMYFUNCTION("""COMPUTED_VALUE"""),"")</f>
        <v/>
      </c>
      <c r="S1029" s="5" t="str">
        <f>IFERROR(__xludf.DUMMYFUNCTION("""COMPUTED_VALUE"""),"")</f>
        <v/>
      </c>
      <c r="T1029" s="5" t="str">
        <f>IFERROR(__xludf.DUMMYFUNCTION("""COMPUTED_VALUE"""),"")</f>
        <v/>
      </c>
      <c r="U1029" s="5" t="str">
        <f>IFERROR(__xludf.DUMMYFUNCTION("""COMPUTED_VALUE"""),"")</f>
        <v/>
      </c>
      <c r="V1029" s="5" t="str">
        <f>IFERROR(__xludf.DUMMYFUNCTION("""COMPUTED_VALUE"""),"")</f>
        <v/>
      </c>
      <c r="W1029" s="5" t="str">
        <f>IFERROR(__xludf.DUMMYFUNCTION("""COMPUTED_VALUE"""),"")</f>
        <v/>
      </c>
      <c r="X1029" s="5" t="str">
        <f>IFERROR(__xludf.DUMMYFUNCTION("""COMPUTED_VALUE"""),"")</f>
        <v/>
      </c>
      <c r="Y1029" s="5"/>
      <c r="Z1029" s="5"/>
    </row>
    <row r="1030">
      <c r="A1030" s="5"/>
      <c r="B1030" s="5" t="str">
        <f>IFERROR(__xludf.DUMMYFUNCTION("""COMPUTED_VALUE"""),"")</f>
        <v/>
      </c>
      <c r="C1030" s="5" t="str">
        <f>IFERROR(__xludf.DUMMYFUNCTION("""COMPUTED_VALUE"""),"")</f>
        <v/>
      </c>
      <c r="D1030" s="5" t="str">
        <f>IFERROR(__xludf.DUMMYFUNCTION("""COMPUTED_VALUE"""),"")</f>
        <v/>
      </c>
      <c r="E1030" s="5" t="str">
        <f>IFERROR(__xludf.DUMMYFUNCTION("""COMPUTED_VALUE"""),"")</f>
        <v/>
      </c>
      <c r="F1030" s="5" t="str">
        <f>IFERROR(__xludf.DUMMYFUNCTION("""COMPUTED_VALUE"""),"")</f>
        <v/>
      </c>
      <c r="G1030" s="5" t="str">
        <f>IFERROR(__xludf.DUMMYFUNCTION("""COMPUTED_VALUE"""),"")</f>
        <v/>
      </c>
      <c r="H1030" s="5" t="str">
        <f>IFERROR(__xludf.DUMMYFUNCTION("""COMPUTED_VALUE"""),"")</f>
        <v/>
      </c>
      <c r="I1030" s="5" t="str">
        <f>IFERROR(__xludf.DUMMYFUNCTION("""COMPUTED_VALUE"""),"")</f>
        <v/>
      </c>
      <c r="J1030" s="5" t="str">
        <f>IFERROR(__xludf.DUMMYFUNCTION("""COMPUTED_VALUE"""),"")</f>
        <v/>
      </c>
      <c r="K1030" s="5" t="str">
        <f>IFERROR(__xludf.DUMMYFUNCTION("""COMPUTED_VALUE"""),"")</f>
        <v/>
      </c>
      <c r="L1030" s="5" t="str">
        <f>IFERROR(__xludf.DUMMYFUNCTION("""COMPUTED_VALUE"""),"")</f>
        <v/>
      </c>
      <c r="M1030" s="5" t="str">
        <f>IFERROR(__xludf.DUMMYFUNCTION("""COMPUTED_VALUE"""),"")</f>
        <v/>
      </c>
      <c r="N1030" s="5" t="str">
        <f>IFERROR(__xludf.DUMMYFUNCTION("""COMPUTED_VALUE"""),"")</f>
        <v/>
      </c>
      <c r="O1030" s="5" t="str">
        <f>IFERROR(__xludf.DUMMYFUNCTION("""COMPUTED_VALUE"""),"")</f>
        <v/>
      </c>
      <c r="P1030" s="5" t="str">
        <f>IFERROR(__xludf.DUMMYFUNCTION("""COMPUTED_VALUE"""),"")</f>
        <v/>
      </c>
      <c r="Q1030" s="5" t="str">
        <f>IFERROR(__xludf.DUMMYFUNCTION("""COMPUTED_VALUE"""),"")</f>
        <v/>
      </c>
      <c r="R1030" s="5" t="str">
        <f>IFERROR(__xludf.DUMMYFUNCTION("""COMPUTED_VALUE"""),"")</f>
        <v/>
      </c>
      <c r="S1030" s="5" t="str">
        <f>IFERROR(__xludf.DUMMYFUNCTION("""COMPUTED_VALUE"""),"")</f>
        <v/>
      </c>
      <c r="T1030" s="5" t="str">
        <f>IFERROR(__xludf.DUMMYFUNCTION("""COMPUTED_VALUE"""),"")</f>
        <v/>
      </c>
      <c r="U1030" s="5" t="str">
        <f>IFERROR(__xludf.DUMMYFUNCTION("""COMPUTED_VALUE"""),"")</f>
        <v/>
      </c>
      <c r="V1030" s="5" t="str">
        <f>IFERROR(__xludf.DUMMYFUNCTION("""COMPUTED_VALUE"""),"")</f>
        <v/>
      </c>
      <c r="W1030" s="5" t="str">
        <f>IFERROR(__xludf.DUMMYFUNCTION("""COMPUTED_VALUE"""),"")</f>
        <v/>
      </c>
      <c r="X1030" s="5" t="str">
        <f>IFERROR(__xludf.DUMMYFUNCTION("""COMPUTED_VALUE"""),"")</f>
        <v/>
      </c>
      <c r="Y1030" s="5"/>
      <c r="Z1030" s="5"/>
    </row>
    <row r="1031">
      <c r="A1031" s="5"/>
      <c r="B1031" s="5" t="str">
        <f>IFERROR(__xludf.DUMMYFUNCTION("""COMPUTED_VALUE"""),"")</f>
        <v/>
      </c>
      <c r="C1031" s="5" t="str">
        <f>IFERROR(__xludf.DUMMYFUNCTION("""COMPUTED_VALUE"""),"")</f>
        <v/>
      </c>
      <c r="D1031" s="5" t="str">
        <f>IFERROR(__xludf.DUMMYFUNCTION("""COMPUTED_VALUE"""),"")</f>
        <v/>
      </c>
      <c r="E1031" s="5" t="str">
        <f>IFERROR(__xludf.DUMMYFUNCTION("""COMPUTED_VALUE"""),"")</f>
        <v/>
      </c>
      <c r="F1031" s="5" t="str">
        <f>IFERROR(__xludf.DUMMYFUNCTION("""COMPUTED_VALUE"""),"")</f>
        <v/>
      </c>
      <c r="G1031" s="5" t="str">
        <f>IFERROR(__xludf.DUMMYFUNCTION("""COMPUTED_VALUE"""),"")</f>
        <v/>
      </c>
      <c r="H1031" s="5" t="str">
        <f>IFERROR(__xludf.DUMMYFUNCTION("""COMPUTED_VALUE"""),"")</f>
        <v/>
      </c>
      <c r="I1031" s="5" t="str">
        <f>IFERROR(__xludf.DUMMYFUNCTION("""COMPUTED_VALUE"""),"")</f>
        <v/>
      </c>
      <c r="J1031" s="5" t="str">
        <f>IFERROR(__xludf.DUMMYFUNCTION("""COMPUTED_VALUE"""),"")</f>
        <v/>
      </c>
      <c r="K1031" s="5" t="str">
        <f>IFERROR(__xludf.DUMMYFUNCTION("""COMPUTED_VALUE"""),"")</f>
        <v/>
      </c>
      <c r="L1031" s="5" t="str">
        <f>IFERROR(__xludf.DUMMYFUNCTION("""COMPUTED_VALUE"""),"")</f>
        <v/>
      </c>
      <c r="M1031" s="5" t="str">
        <f>IFERROR(__xludf.DUMMYFUNCTION("""COMPUTED_VALUE"""),"")</f>
        <v/>
      </c>
      <c r="N1031" s="5" t="str">
        <f>IFERROR(__xludf.DUMMYFUNCTION("""COMPUTED_VALUE"""),"")</f>
        <v/>
      </c>
      <c r="O1031" s="5" t="str">
        <f>IFERROR(__xludf.DUMMYFUNCTION("""COMPUTED_VALUE"""),"")</f>
        <v/>
      </c>
      <c r="P1031" s="5" t="str">
        <f>IFERROR(__xludf.DUMMYFUNCTION("""COMPUTED_VALUE"""),"")</f>
        <v/>
      </c>
      <c r="Q1031" s="5" t="str">
        <f>IFERROR(__xludf.DUMMYFUNCTION("""COMPUTED_VALUE"""),"")</f>
        <v/>
      </c>
      <c r="R1031" s="5" t="str">
        <f>IFERROR(__xludf.DUMMYFUNCTION("""COMPUTED_VALUE"""),"")</f>
        <v/>
      </c>
      <c r="S1031" s="5" t="str">
        <f>IFERROR(__xludf.DUMMYFUNCTION("""COMPUTED_VALUE"""),"")</f>
        <v/>
      </c>
      <c r="T1031" s="5" t="str">
        <f>IFERROR(__xludf.DUMMYFUNCTION("""COMPUTED_VALUE"""),"")</f>
        <v/>
      </c>
      <c r="U1031" s="5" t="str">
        <f>IFERROR(__xludf.DUMMYFUNCTION("""COMPUTED_VALUE"""),"")</f>
        <v/>
      </c>
      <c r="V1031" s="5" t="str">
        <f>IFERROR(__xludf.DUMMYFUNCTION("""COMPUTED_VALUE"""),"")</f>
        <v/>
      </c>
      <c r="W1031" s="5" t="str">
        <f>IFERROR(__xludf.DUMMYFUNCTION("""COMPUTED_VALUE"""),"")</f>
        <v/>
      </c>
      <c r="X1031" s="5" t="str">
        <f>IFERROR(__xludf.DUMMYFUNCTION("""COMPUTED_VALUE"""),"")</f>
        <v/>
      </c>
      <c r="Y1031" s="5"/>
      <c r="Z1031" s="5"/>
    </row>
    <row r="1032">
      <c r="A1032" s="5"/>
      <c r="B1032" s="5" t="str">
        <f>IFERROR(__xludf.DUMMYFUNCTION("""COMPUTED_VALUE"""),"")</f>
        <v/>
      </c>
      <c r="C1032" s="5" t="str">
        <f>IFERROR(__xludf.DUMMYFUNCTION("""COMPUTED_VALUE"""),"")</f>
        <v/>
      </c>
      <c r="D1032" s="5" t="str">
        <f>IFERROR(__xludf.DUMMYFUNCTION("""COMPUTED_VALUE"""),"")</f>
        <v/>
      </c>
      <c r="E1032" s="5" t="str">
        <f>IFERROR(__xludf.DUMMYFUNCTION("""COMPUTED_VALUE"""),"")</f>
        <v/>
      </c>
      <c r="F1032" s="5" t="str">
        <f>IFERROR(__xludf.DUMMYFUNCTION("""COMPUTED_VALUE"""),"")</f>
        <v/>
      </c>
      <c r="G1032" s="5" t="str">
        <f>IFERROR(__xludf.DUMMYFUNCTION("""COMPUTED_VALUE"""),"")</f>
        <v/>
      </c>
      <c r="H1032" s="5" t="str">
        <f>IFERROR(__xludf.DUMMYFUNCTION("""COMPUTED_VALUE"""),"")</f>
        <v/>
      </c>
      <c r="I1032" s="5" t="str">
        <f>IFERROR(__xludf.DUMMYFUNCTION("""COMPUTED_VALUE"""),"")</f>
        <v/>
      </c>
      <c r="J1032" s="5" t="str">
        <f>IFERROR(__xludf.DUMMYFUNCTION("""COMPUTED_VALUE"""),"")</f>
        <v/>
      </c>
      <c r="K1032" s="5" t="str">
        <f>IFERROR(__xludf.DUMMYFUNCTION("""COMPUTED_VALUE"""),"")</f>
        <v/>
      </c>
      <c r="L1032" s="5" t="str">
        <f>IFERROR(__xludf.DUMMYFUNCTION("""COMPUTED_VALUE"""),"")</f>
        <v/>
      </c>
      <c r="M1032" s="5" t="str">
        <f>IFERROR(__xludf.DUMMYFUNCTION("""COMPUTED_VALUE"""),"")</f>
        <v/>
      </c>
      <c r="N1032" s="5" t="str">
        <f>IFERROR(__xludf.DUMMYFUNCTION("""COMPUTED_VALUE"""),"")</f>
        <v/>
      </c>
      <c r="O1032" s="5" t="str">
        <f>IFERROR(__xludf.DUMMYFUNCTION("""COMPUTED_VALUE"""),"")</f>
        <v/>
      </c>
      <c r="P1032" s="5" t="str">
        <f>IFERROR(__xludf.DUMMYFUNCTION("""COMPUTED_VALUE"""),"")</f>
        <v/>
      </c>
      <c r="Q1032" s="5" t="str">
        <f>IFERROR(__xludf.DUMMYFUNCTION("""COMPUTED_VALUE"""),"")</f>
        <v/>
      </c>
      <c r="R1032" s="5" t="str">
        <f>IFERROR(__xludf.DUMMYFUNCTION("""COMPUTED_VALUE"""),"")</f>
        <v/>
      </c>
      <c r="S1032" s="5" t="str">
        <f>IFERROR(__xludf.DUMMYFUNCTION("""COMPUTED_VALUE"""),"")</f>
        <v/>
      </c>
      <c r="T1032" s="5" t="str">
        <f>IFERROR(__xludf.DUMMYFUNCTION("""COMPUTED_VALUE"""),"")</f>
        <v/>
      </c>
      <c r="U1032" s="5" t="str">
        <f>IFERROR(__xludf.DUMMYFUNCTION("""COMPUTED_VALUE"""),"")</f>
        <v/>
      </c>
      <c r="V1032" s="5" t="str">
        <f>IFERROR(__xludf.DUMMYFUNCTION("""COMPUTED_VALUE"""),"")</f>
        <v/>
      </c>
      <c r="W1032" s="5" t="str">
        <f>IFERROR(__xludf.DUMMYFUNCTION("""COMPUTED_VALUE"""),"")</f>
        <v/>
      </c>
      <c r="X1032" s="5" t="str">
        <f>IFERROR(__xludf.DUMMYFUNCTION("""COMPUTED_VALUE"""),"")</f>
        <v/>
      </c>
      <c r="Y1032" s="5"/>
      <c r="Z1032" s="5"/>
    </row>
    <row r="1033">
      <c r="A1033" s="5"/>
      <c r="B1033" s="5" t="str">
        <f>IFERROR(__xludf.DUMMYFUNCTION("""COMPUTED_VALUE"""),"")</f>
        <v/>
      </c>
      <c r="C1033" s="5" t="str">
        <f>IFERROR(__xludf.DUMMYFUNCTION("""COMPUTED_VALUE"""),"")</f>
        <v/>
      </c>
      <c r="D1033" s="5" t="str">
        <f>IFERROR(__xludf.DUMMYFUNCTION("""COMPUTED_VALUE"""),"")</f>
        <v/>
      </c>
      <c r="E1033" s="5" t="str">
        <f>IFERROR(__xludf.DUMMYFUNCTION("""COMPUTED_VALUE"""),"")</f>
        <v/>
      </c>
      <c r="F1033" s="5" t="str">
        <f>IFERROR(__xludf.DUMMYFUNCTION("""COMPUTED_VALUE"""),"")</f>
        <v/>
      </c>
      <c r="G1033" s="5" t="str">
        <f>IFERROR(__xludf.DUMMYFUNCTION("""COMPUTED_VALUE"""),"")</f>
        <v/>
      </c>
      <c r="H1033" s="5" t="str">
        <f>IFERROR(__xludf.DUMMYFUNCTION("""COMPUTED_VALUE"""),"")</f>
        <v/>
      </c>
      <c r="I1033" s="5" t="str">
        <f>IFERROR(__xludf.DUMMYFUNCTION("""COMPUTED_VALUE"""),"")</f>
        <v/>
      </c>
      <c r="J1033" s="5" t="str">
        <f>IFERROR(__xludf.DUMMYFUNCTION("""COMPUTED_VALUE"""),"")</f>
        <v/>
      </c>
      <c r="K1033" s="5" t="str">
        <f>IFERROR(__xludf.DUMMYFUNCTION("""COMPUTED_VALUE"""),"")</f>
        <v/>
      </c>
      <c r="L1033" s="5" t="str">
        <f>IFERROR(__xludf.DUMMYFUNCTION("""COMPUTED_VALUE"""),"")</f>
        <v/>
      </c>
      <c r="M1033" s="5" t="str">
        <f>IFERROR(__xludf.DUMMYFUNCTION("""COMPUTED_VALUE"""),"")</f>
        <v/>
      </c>
      <c r="N1033" s="5" t="str">
        <f>IFERROR(__xludf.DUMMYFUNCTION("""COMPUTED_VALUE"""),"")</f>
        <v/>
      </c>
      <c r="O1033" s="5" t="str">
        <f>IFERROR(__xludf.DUMMYFUNCTION("""COMPUTED_VALUE"""),"")</f>
        <v/>
      </c>
      <c r="P1033" s="5" t="str">
        <f>IFERROR(__xludf.DUMMYFUNCTION("""COMPUTED_VALUE"""),"")</f>
        <v/>
      </c>
      <c r="Q1033" s="5" t="str">
        <f>IFERROR(__xludf.DUMMYFUNCTION("""COMPUTED_VALUE"""),"")</f>
        <v/>
      </c>
      <c r="R1033" s="5" t="str">
        <f>IFERROR(__xludf.DUMMYFUNCTION("""COMPUTED_VALUE"""),"")</f>
        <v/>
      </c>
      <c r="S1033" s="5" t="str">
        <f>IFERROR(__xludf.DUMMYFUNCTION("""COMPUTED_VALUE"""),"")</f>
        <v/>
      </c>
      <c r="T1033" s="5" t="str">
        <f>IFERROR(__xludf.DUMMYFUNCTION("""COMPUTED_VALUE"""),"")</f>
        <v/>
      </c>
      <c r="U1033" s="5" t="str">
        <f>IFERROR(__xludf.DUMMYFUNCTION("""COMPUTED_VALUE"""),"")</f>
        <v/>
      </c>
      <c r="V1033" s="5" t="str">
        <f>IFERROR(__xludf.DUMMYFUNCTION("""COMPUTED_VALUE"""),"")</f>
        <v/>
      </c>
      <c r="W1033" s="5" t="str">
        <f>IFERROR(__xludf.DUMMYFUNCTION("""COMPUTED_VALUE"""),"")</f>
        <v/>
      </c>
      <c r="X1033" s="5" t="str">
        <f>IFERROR(__xludf.DUMMYFUNCTION("""COMPUTED_VALUE"""),"")</f>
        <v/>
      </c>
      <c r="Y1033" s="5"/>
      <c r="Z1033" s="5"/>
    </row>
    <row r="1034">
      <c r="A1034" s="5"/>
      <c r="B1034" s="5" t="str">
        <f>IFERROR(__xludf.DUMMYFUNCTION("""COMPUTED_VALUE"""),"")</f>
        <v/>
      </c>
      <c r="C1034" s="5" t="str">
        <f>IFERROR(__xludf.DUMMYFUNCTION("""COMPUTED_VALUE"""),"")</f>
        <v/>
      </c>
      <c r="D1034" s="5" t="str">
        <f>IFERROR(__xludf.DUMMYFUNCTION("""COMPUTED_VALUE"""),"")</f>
        <v/>
      </c>
      <c r="E1034" s="5" t="str">
        <f>IFERROR(__xludf.DUMMYFUNCTION("""COMPUTED_VALUE"""),"")</f>
        <v/>
      </c>
      <c r="F1034" s="5" t="str">
        <f>IFERROR(__xludf.DUMMYFUNCTION("""COMPUTED_VALUE"""),"")</f>
        <v/>
      </c>
      <c r="G1034" s="5" t="str">
        <f>IFERROR(__xludf.DUMMYFUNCTION("""COMPUTED_VALUE"""),"")</f>
        <v/>
      </c>
      <c r="H1034" s="5" t="str">
        <f>IFERROR(__xludf.DUMMYFUNCTION("""COMPUTED_VALUE"""),"")</f>
        <v/>
      </c>
      <c r="I1034" s="5" t="str">
        <f>IFERROR(__xludf.DUMMYFUNCTION("""COMPUTED_VALUE"""),"")</f>
        <v/>
      </c>
      <c r="J1034" s="5" t="str">
        <f>IFERROR(__xludf.DUMMYFUNCTION("""COMPUTED_VALUE"""),"")</f>
        <v/>
      </c>
      <c r="K1034" s="5" t="str">
        <f>IFERROR(__xludf.DUMMYFUNCTION("""COMPUTED_VALUE"""),"")</f>
        <v/>
      </c>
      <c r="L1034" s="5" t="str">
        <f>IFERROR(__xludf.DUMMYFUNCTION("""COMPUTED_VALUE"""),"")</f>
        <v/>
      </c>
      <c r="M1034" s="5" t="str">
        <f>IFERROR(__xludf.DUMMYFUNCTION("""COMPUTED_VALUE"""),"")</f>
        <v/>
      </c>
      <c r="N1034" s="5" t="str">
        <f>IFERROR(__xludf.DUMMYFUNCTION("""COMPUTED_VALUE"""),"")</f>
        <v/>
      </c>
      <c r="O1034" s="5" t="str">
        <f>IFERROR(__xludf.DUMMYFUNCTION("""COMPUTED_VALUE"""),"")</f>
        <v/>
      </c>
      <c r="P1034" s="5" t="str">
        <f>IFERROR(__xludf.DUMMYFUNCTION("""COMPUTED_VALUE"""),"")</f>
        <v/>
      </c>
      <c r="Q1034" s="5" t="str">
        <f>IFERROR(__xludf.DUMMYFUNCTION("""COMPUTED_VALUE"""),"")</f>
        <v/>
      </c>
      <c r="R1034" s="5" t="str">
        <f>IFERROR(__xludf.DUMMYFUNCTION("""COMPUTED_VALUE"""),"")</f>
        <v/>
      </c>
      <c r="S1034" s="5" t="str">
        <f>IFERROR(__xludf.DUMMYFUNCTION("""COMPUTED_VALUE"""),"")</f>
        <v/>
      </c>
      <c r="T1034" s="5" t="str">
        <f>IFERROR(__xludf.DUMMYFUNCTION("""COMPUTED_VALUE"""),"")</f>
        <v/>
      </c>
      <c r="U1034" s="5" t="str">
        <f>IFERROR(__xludf.DUMMYFUNCTION("""COMPUTED_VALUE"""),"")</f>
        <v/>
      </c>
      <c r="V1034" s="5" t="str">
        <f>IFERROR(__xludf.DUMMYFUNCTION("""COMPUTED_VALUE"""),"")</f>
        <v/>
      </c>
      <c r="W1034" s="5" t="str">
        <f>IFERROR(__xludf.DUMMYFUNCTION("""COMPUTED_VALUE"""),"")</f>
        <v/>
      </c>
      <c r="X1034" s="5" t="str">
        <f>IFERROR(__xludf.DUMMYFUNCTION("""COMPUTED_VALUE"""),"")</f>
        <v/>
      </c>
      <c r="Y1034" s="5"/>
      <c r="Z1034" s="5"/>
    </row>
    <row r="1035">
      <c r="A1035" s="5"/>
      <c r="B1035" s="5" t="str">
        <f>IFERROR(__xludf.DUMMYFUNCTION("""COMPUTED_VALUE"""),"")</f>
        <v/>
      </c>
      <c r="C1035" s="5" t="str">
        <f>IFERROR(__xludf.DUMMYFUNCTION("""COMPUTED_VALUE"""),"")</f>
        <v/>
      </c>
      <c r="D1035" s="5" t="str">
        <f>IFERROR(__xludf.DUMMYFUNCTION("""COMPUTED_VALUE"""),"")</f>
        <v/>
      </c>
      <c r="E1035" s="5" t="str">
        <f>IFERROR(__xludf.DUMMYFUNCTION("""COMPUTED_VALUE"""),"")</f>
        <v/>
      </c>
      <c r="F1035" s="5" t="str">
        <f>IFERROR(__xludf.DUMMYFUNCTION("""COMPUTED_VALUE"""),"")</f>
        <v/>
      </c>
      <c r="G1035" s="5" t="str">
        <f>IFERROR(__xludf.DUMMYFUNCTION("""COMPUTED_VALUE"""),"")</f>
        <v/>
      </c>
      <c r="H1035" s="5" t="str">
        <f>IFERROR(__xludf.DUMMYFUNCTION("""COMPUTED_VALUE"""),"")</f>
        <v/>
      </c>
      <c r="I1035" s="5" t="str">
        <f>IFERROR(__xludf.DUMMYFUNCTION("""COMPUTED_VALUE"""),"")</f>
        <v/>
      </c>
      <c r="J1035" s="5" t="str">
        <f>IFERROR(__xludf.DUMMYFUNCTION("""COMPUTED_VALUE"""),"")</f>
        <v/>
      </c>
      <c r="K1035" s="5" t="str">
        <f>IFERROR(__xludf.DUMMYFUNCTION("""COMPUTED_VALUE"""),"")</f>
        <v/>
      </c>
      <c r="L1035" s="5" t="str">
        <f>IFERROR(__xludf.DUMMYFUNCTION("""COMPUTED_VALUE"""),"")</f>
        <v/>
      </c>
      <c r="M1035" s="5" t="str">
        <f>IFERROR(__xludf.DUMMYFUNCTION("""COMPUTED_VALUE"""),"")</f>
        <v/>
      </c>
      <c r="N1035" s="5" t="str">
        <f>IFERROR(__xludf.DUMMYFUNCTION("""COMPUTED_VALUE"""),"")</f>
        <v/>
      </c>
      <c r="O1035" s="5" t="str">
        <f>IFERROR(__xludf.DUMMYFUNCTION("""COMPUTED_VALUE"""),"")</f>
        <v/>
      </c>
      <c r="P1035" s="5" t="str">
        <f>IFERROR(__xludf.DUMMYFUNCTION("""COMPUTED_VALUE"""),"")</f>
        <v/>
      </c>
      <c r="Q1035" s="5" t="str">
        <f>IFERROR(__xludf.DUMMYFUNCTION("""COMPUTED_VALUE"""),"")</f>
        <v/>
      </c>
      <c r="R1035" s="5" t="str">
        <f>IFERROR(__xludf.DUMMYFUNCTION("""COMPUTED_VALUE"""),"")</f>
        <v/>
      </c>
      <c r="S1035" s="5" t="str">
        <f>IFERROR(__xludf.DUMMYFUNCTION("""COMPUTED_VALUE"""),"")</f>
        <v/>
      </c>
      <c r="T1035" s="5" t="str">
        <f>IFERROR(__xludf.DUMMYFUNCTION("""COMPUTED_VALUE"""),"")</f>
        <v/>
      </c>
      <c r="U1035" s="5" t="str">
        <f>IFERROR(__xludf.DUMMYFUNCTION("""COMPUTED_VALUE"""),"")</f>
        <v/>
      </c>
      <c r="V1035" s="5" t="str">
        <f>IFERROR(__xludf.DUMMYFUNCTION("""COMPUTED_VALUE"""),"")</f>
        <v/>
      </c>
      <c r="W1035" s="5" t="str">
        <f>IFERROR(__xludf.DUMMYFUNCTION("""COMPUTED_VALUE"""),"")</f>
        <v/>
      </c>
      <c r="X1035" s="5" t="str">
        <f>IFERROR(__xludf.DUMMYFUNCTION("""COMPUTED_VALUE"""),"")</f>
        <v/>
      </c>
      <c r="Y1035" s="5"/>
      <c r="Z1035" s="5"/>
    </row>
    <row r="1036">
      <c r="A1036" s="5"/>
      <c r="B1036" s="5" t="str">
        <f>IFERROR(__xludf.DUMMYFUNCTION("""COMPUTED_VALUE"""),"")</f>
        <v/>
      </c>
      <c r="C1036" s="5" t="str">
        <f>IFERROR(__xludf.DUMMYFUNCTION("""COMPUTED_VALUE"""),"")</f>
        <v/>
      </c>
      <c r="D1036" s="5" t="str">
        <f>IFERROR(__xludf.DUMMYFUNCTION("""COMPUTED_VALUE"""),"")</f>
        <v/>
      </c>
      <c r="E1036" s="5" t="str">
        <f>IFERROR(__xludf.DUMMYFUNCTION("""COMPUTED_VALUE"""),"")</f>
        <v/>
      </c>
      <c r="F1036" s="5" t="str">
        <f>IFERROR(__xludf.DUMMYFUNCTION("""COMPUTED_VALUE"""),"")</f>
        <v/>
      </c>
      <c r="G1036" s="5" t="str">
        <f>IFERROR(__xludf.DUMMYFUNCTION("""COMPUTED_VALUE"""),"")</f>
        <v/>
      </c>
      <c r="H1036" s="5" t="str">
        <f>IFERROR(__xludf.DUMMYFUNCTION("""COMPUTED_VALUE"""),"")</f>
        <v/>
      </c>
      <c r="I1036" s="5" t="str">
        <f>IFERROR(__xludf.DUMMYFUNCTION("""COMPUTED_VALUE"""),"")</f>
        <v/>
      </c>
      <c r="J1036" s="5" t="str">
        <f>IFERROR(__xludf.DUMMYFUNCTION("""COMPUTED_VALUE"""),"")</f>
        <v/>
      </c>
      <c r="K1036" s="5" t="str">
        <f>IFERROR(__xludf.DUMMYFUNCTION("""COMPUTED_VALUE"""),"")</f>
        <v/>
      </c>
      <c r="L1036" s="5" t="str">
        <f>IFERROR(__xludf.DUMMYFUNCTION("""COMPUTED_VALUE"""),"")</f>
        <v/>
      </c>
      <c r="M1036" s="5" t="str">
        <f>IFERROR(__xludf.DUMMYFUNCTION("""COMPUTED_VALUE"""),"")</f>
        <v/>
      </c>
      <c r="N1036" s="5" t="str">
        <f>IFERROR(__xludf.DUMMYFUNCTION("""COMPUTED_VALUE"""),"")</f>
        <v/>
      </c>
      <c r="O1036" s="5" t="str">
        <f>IFERROR(__xludf.DUMMYFUNCTION("""COMPUTED_VALUE"""),"")</f>
        <v/>
      </c>
      <c r="P1036" s="5" t="str">
        <f>IFERROR(__xludf.DUMMYFUNCTION("""COMPUTED_VALUE"""),"")</f>
        <v/>
      </c>
      <c r="Q1036" s="5" t="str">
        <f>IFERROR(__xludf.DUMMYFUNCTION("""COMPUTED_VALUE"""),"")</f>
        <v/>
      </c>
      <c r="R1036" s="5" t="str">
        <f>IFERROR(__xludf.DUMMYFUNCTION("""COMPUTED_VALUE"""),"")</f>
        <v/>
      </c>
      <c r="S1036" s="5" t="str">
        <f>IFERROR(__xludf.DUMMYFUNCTION("""COMPUTED_VALUE"""),"")</f>
        <v/>
      </c>
      <c r="T1036" s="5" t="str">
        <f>IFERROR(__xludf.DUMMYFUNCTION("""COMPUTED_VALUE"""),"")</f>
        <v/>
      </c>
      <c r="U1036" s="5" t="str">
        <f>IFERROR(__xludf.DUMMYFUNCTION("""COMPUTED_VALUE"""),"")</f>
        <v/>
      </c>
      <c r="V1036" s="5" t="str">
        <f>IFERROR(__xludf.DUMMYFUNCTION("""COMPUTED_VALUE"""),"")</f>
        <v/>
      </c>
      <c r="W1036" s="5" t="str">
        <f>IFERROR(__xludf.DUMMYFUNCTION("""COMPUTED_VALUE"""),"")</f>
        <v/>
      </c>
      <c r="X1036" s="5" t="str">
        <f>IFERROR(__xludf.DUMMYFUNCTION("""COMPUTED_VALUE"""),"")</f>
        <v/>
      </c>
      <c r="Y1036" s="5"/>
      <c r="Z1036" s="5"/>
    </row>
    <row r="1037">
      <c r="A1037" s="5"/>
      <c r="B1037" s="5" t="str">
        <f>IFERROR(__xludf.DUMMYFUNCTION("""COMPUTED_VALUE"""),"")</f>
        <v/>
      </c>
      <c r="C1037" s="5" t="str">
        <f>IFERROR(__xludf.DUMMYFUNCTION("""COMPUTED_VALUE"""),"")</f>
        <v/>
      </c>
      <c r="D1037" s="5" t="str">
        <f>IFERROR(__xludf.DUMMYFUNCTION("""COMPUTED_VALUE"""),"")</f>
        <v/>
      </c>
      <c r="E1037" s="5" t="str">
        <f>IFERROR(__xludf.DUMMYFUNCTION("""COMPUTED_VALUE"""),"")</f>
        <v/>
      </c>
      <c r="F1037" s="5" t="str">
        <f>IFERROR(__xludf.DUMMYFUNCTION("""COMPUTED_VALUE"""),"")</f>
        <v/>
      </c>
      <c r="G1037" s="5" t="str">
        <f>IFERROR(__xludf.DUMMYFUNCTION("""COMPUTED_VALUE"""),"")</f>
        <v/>
      </c>
      <c r="H1037" s="5" t="str">
        <f>IFERROR(__xludf.DUMMYFUNCTION("""COMPUTED_VALUE"""),"")</f>
        <v/>
      </c>
      <c r="I1037" s="5" t="str">
        <f>IFERROR(__xludf.DUMMYFUNCTION("""COMPUTED_VALUE"""),"")</f>
        <v/>
      </c>
      <c r="J1037" s="5" t="str">
        <f>IFERROR(__xludf.DUMMYFUNCTION("""COMPUTED_VALUE"""),"")</f>
        <v/>
      </c>
      <c r="K1037" s="5" t="str">
        <f>IFERROR(__xludf.DUMMYFUNCTION("""COMPUTED_VALUE"""),"")</f>
        <v/>
      </c>
      <c r="L1037" s="5" t="str">
        <f>IFERROR(__xludf.DUMMYFUNCTION("""COMPUTED_VALUE"""),"")</f>
        <v/>
      </c>
      <c r="M1037" s="5" t="str">
        <f>IFERROR(__xludf.DUMMYFUNCTION("""COMPUTED_VALUE"""),"")</f>
        <v/>
      </c>
      <c r="N1037" s="5" t="str">
        <f>IFERROR(__xludf.DUMMYFUNCTION("""COMPUTED_VALUE"""),"")</f>
        <v/>
      </c>
      <c r="O1037" s="5" t="str">
        <f>IFERROR(__xludf.DUMMYFUNCTION("""COMPUTED_VALUE"""),"")</f>
        <v/>
      </c>
      <c r="P1037" s="5" t="str">
        <f>IFERROR(__xludf.DUMMYFUNCTION("""COMPUTED_VALUE"""),"")</f>
        <v/>
      </c>
      <c r="Q1037" s="5" t="str">
        <f>IFERROR(__xludf.DUMMYFUNCTION("""COMPUTED_VALUE"""),"")</f>
        <v/>
      </c>
      <c r="R1037" s="5" t="str">
        <f>IFERROR(__xludf.DUMMYFUNCTION("""COMPUTED_VALUE"""),"")</f>
        <v/>
      </c>
      <c r="S1037" s="5" t="str">
        <f>IFERROR(__xludf.DUMMYFUNCTION("""COMPUTED_VALUE"""),"")</f>
        <v/>
      </c>
      <c r="T1037" s="5" t="str">
        <f>IFERROR(__xludf.DUMMYFUNCTION("""COMPUTED_VALUE"""),"")</f>
        <v/>
      </c>
      <c r="U1037" s="5" t="str">
        <f>IFERROR(__xludf.DUMMYFUNCTION("""COMPUTED_VALUE"""),"")</f>
        <v/>
      </c>
      <c r="V1037" s="5" t="str">
        <f>IFERROR(__xludf.DUMMYFUNCTION("""COMPUTED_VALUE"""),"")</f>
        <v/>
      </c>
      <c r="W1037" s="5" t="str">
        <f>IFERROR(__xludf.DUMMYFUNCTION("""COMPUTED_VALUE"""),"")</f>
        <v/>
      </c>
      <c r="X1037" s="5" t="str">
        <f>IFERROR(__xludf.DUMMYFUNCTION("""COMPUTED_VALUE"""),"")</f>
        <v/>
      </c>
      <c r="Y1037" s="5"/>
      <c r="Z1037" s="5"/>
    </row>
    <row r="1038">
      <c r="A1038" s="5"/>
      <c r="B1038" s="5" t="str">
        <f>IFERROR(__xludf.DUMMYFUNCTION("""COMPUTED_VALUE"""),"")</f>
        <v/>
      </c>
      <c r="C1038" s="5" t="str">
        <f>IFERROR(__xludf.DUMMYFUNCTION("""COMPUTED_VALUE"""),"")</f>
        <v/>
      </c>
      <c r="D1038" s="5" t="str">
        <f>IFERROR(__xludf.DUMMYFUNCTION("""COMPUTED_VALUE"""),"")</f>
        <v/>
      </c>
      <c r="E1038" s="5" t="str">
        <f>IFERROR(__xludf.DUMMYFUNCTION("""COMPUTED_VALUE"""),"")</f>
        <v/>
      </c>
      <c r="F1038" s="5" t="str">
        <f>IFERROR(__xludf.DUMMYFUNCTION("""COMPUTED_VALUE"""),"")</f>
        <v/>
      </c>
      <c r="G1038" s="5" t="str">
        <f>IFERROR(__xludf.DUMMYFUNCTION("""COMPUTED_VALUE"""),"")</f>
        <v/>
      </c>
      <c r="H1038" s="5" t="str">
        <f>IFERROR(__xludf.DUMMYFUNCTION("""COMPUTED_VALUE"""),"")</f>
        <v/>
      </c>
      <c r="I1038" s="5" t="str">
        <f>IFERROR(__xludf.DUMMYFUNCTION("""COMPUTED_VALUE"""),"")</f>
        <v/>
      </c>
      <c r="J1038" s="5" t="str">
        <f>IFERROR(__xludf.DUMMYFUNCTION("""COMPUTED_VALUE"""),"")</f>
        <v/>
      </c>
      <c r="K1038" s="5" t="str">
        <f>IFERROR(__xludf.DUMMYFUNCTION("""COMPUTED_VALUE"""),"")</f>
        <v/>
      </c>
      <c r="L1038" s="5" t="str">
        <f>IFERROR(__xludf.DUMMYFUNCTION("""COMPUTED_VALUE"""),"")</f>
        <v/>
      </c>
      <c r="M1038" s="5" t="str">
        <f>IFERROR(__xludf.DUMMYFUNCTION("""COMPUTED_VALUE"""),"")</f>
        <v/>
      </c>
      <c r="N1038" s="5" t="str">
        <f>IFERROR(__xludf.DUMMYFUNCTION("""COMPUTED_VALUE"""),"")</f>
        <v/>
      </c>
      <c r="O1038" s="5" t="str">
        <f>IFERROR(__xludf.DUMMYFUNCTION("""COMPUTED_VALUE"""),"")</f>
        <v/>
      </c>
      <c r="P1038" s="5" t="str">
        <f>IFERROR(__xludf.DUMMYFUNCTION("""COMPUTED_VALUE"""),"")</f>
        <v/>
      </c>
      <c r="Q1038" s="5" t="str">
        <f>IFERROR(__xludf.DUMMYFUNCTION("""COMPUTED_VALUE"""),"")</f>
        <v/>
      </c>
      <c r="R1038" s="5" t="str">
        <f>IFERROR(__xludf.DUMMYFUNCTION("""COMPUTED_VALUE"""),"")</f>
        <v/>
      </c>
      <c r="S1038" s="5" t="str">
        <f>IFERROR(__xludf.DUMMYFUNCTION("""COMPUTED_VALUE"""),"")</f>
        <v/>
      </c>
      <c r="T1038" s="5" t="str">
        <f>IFERROR(__xludf.DUMMYFUNCTION("""COMPUTED_VALUE"""),"")</f>
        <v/>
      </c>
      <c r="U1038" s="5" t="str">
        <f>IFERROR(__xludf.DUMMYFUNCTION("""COMPUTED_VALUE"""),"")</f>
        <v/>
      </c>
      <c r="V1038" s="5" t="str">
        <f>IFERROR(__xludf.DUMMYFUNCTION("""COMPUTED_VALUE"""),"")</f>
        <v/>
      </c>
      <c r="W1038" s="5" t="str">
        <f>IFERROR(__xludf.DUMMYFUNCTION("""COMPUTED_VALUE"""),"")</f>
        <v/>
      </c>
      <c r="X1038" s="5" t="str">
        <f>IFERROR(__xludf.DUMMYFUNCTION("""COMPUTED_VALUE"""),"")</f>
        <v/>
      </c>
      <c r="Y1038" s="5"/>
      <c r="Z1038" s="5"/>
    </row>
    <row r="1039">
      <c r="A1039" s="5"/>
      <c r="B1039" s="5" t="str">
        <f>IFERROR(__xludf.DUMMYFUNCTION("""COMPUTED_VALUE"""),"")</f>
        <v/>
      </c>
      <c r="C1039" s="5" t="str">
        <f>IFERROR(__xludf.DUMMYFUNCTION("""COMPUTED_VALUE"""),"")</f>
        <v/>
      </c>
      <c r="D1039" s="5" t="str">
        <f>IFERROR(__xludf.DUMMYFUNCTION("""COMPUTED_VALUE"""),"")</f>
        <v/>
      </c>
      <c r="E1039" s="5" t="str">
        <f>IFERROR(__xludf.DUMMYFUNCTION("""COMPUTED_VALUE"""),"")</f>
        <v/>
      </c>
      <c r="F1039" s="5" t="str">
        <f>IFERROR(__xludf.DUMMYFUNCTION("""COMPUTED_VALUE"""),"")</f>
        <v/>
      </c>
      <c r="G1039" s="5" t="str">
        <f>IFERROR(__xludf.DUMMYFUNCTION("""COMPUTED_VALUE"""),"")</f>
        <v/>
      </c>
      <c r="H1039" s="5" t="str">
        <f>IFERROR(__xludf.DUMMYFUNCTION("""COMPUTED_VALUE"""),"")</f>
        <v/>
      </c>
      <c r="I1039" s="5" t="str">
        <f>IFERROR(__xludf.DUMMYFUNCTION("""COMPUTED_VALUE"""),"")</f>
        <v/>
      </c>
      <c r="J1039" s="5" t="str">
        <f>IFERROR(__xludf.DUMMYFUNCTION("""COMPUTED_VALUE"""),"")</f>
        <v/>
      </c>
      <c r="K1039" s="5" t="str">
        <f>IFERROR(__xludf.DUMMYFUNCTION("""COMPUTED_VALUE"""),"")</f>
        <v/>
      </c>
      <c r="L1039" s="5" t="str">
        <f>IFERROR(__xludf.DUMMYFUNCTION("""COMPUTED_VALUE"""),"")</f>
        <v/>
      </c>
      <c r="M1039" s="5" t="str">
        <f>IFERROR(__xludf.DUMMYFUNCTION("""COMPUTED_VALUE"""),"")</f>
        <v/>
      </c>
      <c r="N1039" s="5" t="str">
        <f>IFERROR(__xludf.DUMMYFUNCTION("""COMPUTED_VALUE"""),"")</f>
        <v/>
      </c>
      <c r="O1039" s="5" t="str">
        <f>IFERROR(__xludf.DUMMYFUNCTION("""COMPUTED_VALUE"""),"")</f>
        <v/>
      </c>
      <c r="P1039" s="5" t="str">
        <f>IFERROR(__xludf.DUMMYFUNCTION("""COMPUTED_VALUE"""),"")</f>
        <v/>
      </c>
      <c r="Q1039" s="5" t="str">
        <f>IFERROR(__xludf.DUMMYFUNCTION("""COMPUTED_VALUE"""),"")</f>
        <v/>
      </c>
      <c r="R1039" s="5" t="str">
        <f>IFERROR(__xludf.DUMMYFUNCTION("""COMPUTED_VALUE"""),"")</f>
        <v/>
      </c>
      <c r="S1039" s="5" t="str">
        <f>IFERROR(__xludf.DUMMYFUNCTION("""COMPUTED_VALUE"""),"")</f>
        <v/>
      </c>
      <c r="T1039" s="5" t="str">
        <f>IFERROR(__xludf.DUMMYFUNCTION("""COMPUTED_VALUE"""),"")</f>
        <v/>
      </c>
      <c r="U1039" s="5" t="str">
        <f>IFERROR(__xludf.DUMMYFUNCTION("""COMPUTED_VALUE"""),"")</f>
        <v/>
      </c>
      <c r="V1039" s="5" t="str">
        <f>IFERROR(__xludf.DUMMYFUNCTION("""COMPUTED_VALUE"""),"")</f>
        <v/>
      </c>
      <c r="W1039" s="5" t="str">
        <f>IFERROR(__xludf.DUMMYFUNCTION("""COMPUTED_VALUE"""),"")</f>
        <v/>
      </c>
      <c r="X1039" s="5" t="str">
        <f>IFERROR(__xludf.DUMMYFUNCTION("""COMPUTED_VALUE"""),"")</f>
        <v/>
      </c>
      <c r="Y1039" s="5"/>
      <c r="Z1039" s="5"/>
    </row>
    <row r="1040">
      <c r="A1040" s="5"/>
      <c r="B1040" s="5" t="str">
        <f>IFERROR(__xludf.DUMMYFUNCTION("""COMPUTED_VALUE"""),"")</f>
        <v/>
      </c>
      <c r="C1040" s="5" t="str">
        <f>IFERROR(__xludf.DUMMYFUNCTION("""COMPUTED_VALUE"""),"")</f>
        <v/>
      </c>
      <c r="D1040" s="5" t="str">
        <f>IFERROR(__xludf.DUMMYFUNCTION("""COMPUTED_VALUE"""),"")</f>
        <v/>
      </c>
      <c r="E1040" s="5" t="str">
        <f>IFERROR(__xludf.DUMMYFUNCTION("""COMPUTED_VALUE"""),"")</f>
        <v/>
      </c>
      <c r="F1040" s="5" t="str">
        <f>IFERROR(__xludf.DUMMYFUNCTION("""COMPUTED_VALUE"""),"")</f>
        <v/>
      </c>
      <c r="G1040" s="5" t="str">
        <f>IFERROR(__xludf.DUMMYFUNCTION("""COMPUTED_VALUE"""),"")</f>
        <v/>
      </c>
      <c r="H1040" s="5" t="str">
        <f>IFERROR(__xludf.DUMMYFUNCTION("""COMPUTED_VALUE"""),"")</f>
        <v/>
      </c>
      <c r="I1040" s="5" t="str">
        <f>IFERROR(__xludf.DUMMYFUNCTION("""COMPUTED_VALUE"""),"")</f>
        <v/>
      </c>
      <c r="J1040" s="5" t="str">
        <f>IFERROR(__xludf.DUMMYFUNCTION("""COMPUTED_VALUE"""),"")</f>
        <v/>
      </c>
      <c r="K1040" s="5" t="str">
        <f>IFERROR(__xludf.DUMMYFUNCTION("""COMPUTED_VALUE"""),"")</f>
        <v/>
      </c>
      <c r="L1040" s="5" t="str">
        <f>IFERROR(__xludf.DUMMYFUNCTION("""COMPUTED_VALUE"""),"")</f>
        <v/>
      </c>
      <c r="M1040" s="5" t="str">
        <f>IFERROR(__xludf.DUMMYFUNCTION("""COMPUTED_VALUE"""),"")</f>
        <v/>
      </c>
      <c r="N1040" s="5" t="str">
        <f>IFERROR(__xludf.DUMMYFUNCTION("""COMPUTED_VALUE"""),"")</f>
        <v/>
      </c>
      <c r="O1040" s="5" t="str">
        <f>IFERROR(__xludf.DUMMYFUNCTION("""COMPUTED_VALUE"""),"")</f>
        <v/>
      </c>
      <c r="P1040" s="5" t="str">
        <f>IFERROR(__xludf.DUMMYFUNCTION("""COMPUTED_VALUE"""),"")</f>
        <v/>
      </c>
      <c r="Q1040" s="5" t="str">
        <f>IFERROR(__xludf.DUMMYFUNCTION("""COMPUTED_VALUE"""),"")</f>
        <v/>
      </c>
      <c r="R1040" s="5" t="str">
        <f>IFERROR(__xludf.DUMMYFUNCTION("""COMPUTED_VALUE"""),"")</f>
        <v/>
      </c>
      <c r="S1040" s="5" t="str">
        <f>IFERROR(__xludf.DUMMYFUNCTION("""COMPUTED_VALUE"""),"")</f>
        <v/>
      </c>
      <c r="T1040" s="5" t="str">
        <f>IFERROR(__xludf.DUMMYFUNCTION("""COMPUTED_VALUE"""),"")</f>
        <v/>
      </c>
      <c r="U1040" s="5" t="str">
        <f>IFERROR(__xludf.DUMMYFUNCTION("""COMPUTED_VALUE"""),"")</f>
        <v/>
      </c>
      <c r="V1040" s="5" t="str">
        <f>IFERROR(__xludf.DUMMYFUNCTION("""COMPUTED_VALUE"""),"")</f>
        <v/>
      </c>
      <c r="W1040" s="5" t="str">
        <f>IFERROR(__xludf.DUMMYFUNCTION("""COMPUTED_VALUE"""),"")</f>
        <v/>
      </c>
      <c r="X1040" s="5" t="str">
        <f>IFERROR(__xludf.DUMMYFUNCTION("""COMPUTED_VALUE"""),"")</f>
        <v/>
      </c>
      <c r="Y1040" s="5"/>
      <c r="Z1040" s="5"/>
    </row>
    <row r="1041">
      <c r="A1041" s="5"/>
      <c r="B1041" s="5" t="str">
        <f>IFERROR(__xludf.DUMMYFUNCTION("""COMPUTED_VALUE"""),"")</f>
        <v/>
      </c>
      <c r="C1041" s="5" t="str">
        <f>IFERROR(__xludf.DUMMYFUNCTION("""COMPUTED_VALUE"""),"")</f>
        <v/>
      </c>
      <c r="D1041" s="5" t="str">
        <f>IFERROR(__xludf.DUMMYFUNCTION("""COMPUTED_VALUE"""),"")</f>
        <v/>
      </c>
      <c r="E1041" s="5" t="str">
        <f>IFERROR(__xludf.DUMMYFUNCTION("""COMPUTED_VALUE"""),"")</f>
        <v/>
      </c>
      <c r="F1041" s="5" t="str">
        <f>IFERROR(__xludf.DUMMYFUNCTION("""COMPUTED_VALUE"""),"")</f>
        <v/>
      </c>
      <c r="G1041" s="5" t="str">
        <f>IFERROR(__xludf.DUMMYFUNCTION("""COMPUTED_VALUE"""),"")</f>
        <v/>
      </c>
      <c r="H1041" s="5" t="str">
        <f>IFERROR(__xludf.DUMMYFUNCTION("""COMPUTED_VALUE"""),"")</f>
        <v/>
      </c>
      <c r="I1041" s="5" t="str">
        <f>IFERROR(__xludf.DUMMYFUNCTION("""COMPUTED_VALUE"""),"")</f>
        <v/>
      </c>
      <c r="J1041" s="5" t="str">
        <f>IFERROR(__xludf.DUMMYFUNCTION("""COMPUTED_VALUE"""),"")</f>
        <v/>
      </c>
      <c r="K1041" s="5" t="str">
        <f>IFERROR(__xludf.DUMMYFUNCTION("""COMPUTED_VALUE"""),"")</f>
        <v/>
      </c>
      <c r="L1041" s="5" t="str">
        <f>IFERROR(__xludf.DUMMYFUNCTION("""COMPUTED_VALUE"""),"")</f>
        <v/>
      </c>
      <c r="M1041" s="5" t="str">
        <f>IFERROR(__xludf.DUMMYFUNCTION("""COMPUTED_VALUE"""),"")</f>
        <v/>
      </c>
      <c r="N1041" s="5" t="str">
        <f>IFERROR(__xludf.DUMMYFUNCTION("""COMPUTED_VALUE"""),"")</f>
        <v/>
      </c>
      <c r="O1041" s="5" t="str">
        <f>IFERROR(__xludf.DUMMYFUNCTION("""COMPUTED_VALUE"""),"")</f>
        <v/>
      </c>
      <c r="P1041" s="5" t="str">
        <f>IFERROR(__xludf.DUMMYFUNCTION("""COMPUTED_VALUE"""),"")</f>
        <v/>
      </c>
      <c r="Q1041" s="5" t="str">
        <f>IFERROR(__xludf.DUMMYFUNCTION("""COMPUTED_VALUE"""),"")</f>
        <v/>
      </c>
      <c r="R1041" s="5" t="str">
        <f>IFERROR(__xludf.DUMMYFUNCTION("""COMPUTED_VALUE"""),"")</f>
        <v/>
      </c>
      <c r="S1041" s="5" t="str">
        <f>IFERROR(__xludf.DUMMYFUNCTION("""COMPUTED_VALUE"""),"")</f>
        <v/>
      </c>
      <c r="T1041" s="5" t="str">
        <f>IFERROR(__xludf.DUMMYFUNCTION("""COMPUTED_VALUE"""),"")</f>
        <v/>
      </c>
      <c r="U1041" s="5" t="str">
        <f>IFERROR(__xludf.DUMMYFUNCTION("""COMPUTED_VALUE"""),"")</f>
        <v/>
      </c>
      <c r="V1041" s="5" t="str">
        <f>IFERROR(__xludf.DUMMYFUNCTION("""COMPUTED_VALUE"""),"")</f>
        <v/>
      </c>
      <c r="W1041" s="5" t="str">
        <f>IFERROR(__xludf.DUMMYFUNCTION("""COMPUTED_VALUE"""),"")</f>
        <v/>
      </c>
      <c r="X1041" s="5" t="str">
        <f>IFERROR(__xludf.DUMMYFUNCTION("""COMPUTED_VALUE"""),"")</f>
        <v/>
      </c>
      <c r="Y1041" s="5"/>
      <c r="Z1041" s="5"/>
    </row>
    <row r="1042">
      <c r="A1042" s="5"/>
      <c r="B1042" s="5" t="str">
        <f>IFERROR(__xludf.DUMMYFUNCTION("""COMPUTED_VALUE"""),"")</f>
        <v/>
      </c>
      <c r="C1042" s="5" t="str">
        <f>IFERROR(__xludf.DUMMYFUNCTION("""COMPUTED_VALUE"""),"")</f>
        <v/>
      </c>
      <c r="D1042" s="5" t="str">
        <f>IFERROR(__xludf.DUMMYFUNCTION("""COMPUTED_VALUE"""),"")</f>
        <v/>
      </c>
      <c r="E1042" s="5" t="str">
        <f>IFERROR(__xludf.DUMMYFUNCTION("""COMPUTED_VALUE"""),"")</f>
        <v/>
      </c>
      <c r="F1042" s="5" t="str">
        <f>IFERROR(__xludf.DUMMYFUNCTION("""COMPUTED_VALUE"""),"")</f>
        <v/>
      </c>
      <c r="G1042" s="5" t="str">
        <f>IFERROR(__xludf.DUMMYFUNCTION("""COMPUTED_VALUE"""),"")</f>
        <v/>
      </c>
      <c r="H1042" s="5" t="str">
        <f>IFERROR(__xludf.DUMMYFUNCTION("""COMPUTED_VALUE"""),"")</f>
        <v/>
      </c>
      <c r="I1042" s="5" t="str">
        <f>IFERROR(__xludf.DUMMYFUNCTION("""COMPUTED_VALUE"""),"")</f>
        <v/>
      </c>
      <c r="J1042" s="5" t="str">
        <f>IFERROR(__xludf.DUMMYFUNCTION("""COMPUTED_VALUE"""),"")</f>
        <v/>
      </c>
      <c r="K1042" s="5" t="str">
        <f>IFERROR(__xludf.DUMMYFUNCTION("""COMPUTED_VALUE"""),"")</f>
        <v/>
      </c>
      <c r="L1042" s="5" t="str">
        <f>IFERROR(__xludf.DUMMYFUNCTION("""COMPUTED_VALUE"""),"")</f>
        <v/>
      </c>
      <c r="M1042" s="5" t="str">
        <f>IFERROR(__xludf.DUMMYFUNCTION("""COMPUTED_VALUE"""),"")</f>
        <v/>
      </c>
      <c r="N1042" s="5" t="str">
        <f>IFERROR(__xludf.DUMMYFUNCTION("""COMPUTED_VALUE"""),"")</f>
        <v/>
      </c>
      <c r="O1042" s="5" t="str">
        <f>IFERROR(__xludf.DUMMYFUNCTION("""COMPUTED_VALUE"""),"")</f>
        <v/>
      </c>
      <c r="P1042" s="5" t="str">
        <f>IFERROR(__xludf.DUMMYFUNCTION("""COMPUTED_VALUE"""),"")</f>
        <v/>
      </c>
      <c r="Q1042" s="5" t="str">
        <f>IFERROR(__xludf.DUMMYFUNCTION("""COMPUTED_VALUE"""),"")</f>
        <v/>
      </c>
      <c r="R1042" s="5" t="str">
        <f>IFERROR(__xludf.DUMMYFUNCTION("""COMPUTED_VALUE"""),"")</f>
        <v/>
      </c>
      <c r="S1042" s="5" t="str">
        <f>IFERROR(__xludf.DUMMYFUNCTION("""COMPUTED_VALUE"""),"")</f>
        <v/>
      </c>
      <c r="T1042" s="5" t="str">
        <f>IFERROR(__xludf.DUMMYFUNCTION("""COMPUTED_VALUE"""),"")</f>
        <v/>
      </c>
      <c r="U1042" s="5" t="str">
        <f>IFERROR(__xludf.DUMMYFUNCTION("""COMPUTED_VALUE"""),"")</f>
        <v/>
      </c>
      <c r="V1042" s="5" t="str">
        <f>IFERROR(__xludf.DUMMYFUNCTION("""COMPUTED_VALUE"""),"")</f>
        <v/>
      </c>
      <c r="W1042" s="5" t="str">
        <f>IFERROR(__xludf.DUMMYFUNCTION("""COMPUTED_VALUE"""),"")</f>
        <v/>
      </c>
      <c r="X1042" s="5" t="str">
        <f>IFERROR(__xludf.DUMMYFUNCTION("""COMPUTED_VALUE"""),"")</f>
        <v/>
      </c>
      <c r="Y1042" s="5"/>
      <c r="Z1042" s="5"/>
    </row>
    <row r="1043">
      <c r="A1043" s="5"/>
      <c r="B1043" s="5" t="str">
        <f>IFERROR(__xludf.DUMMYFUNCTION("""COMPUTED_VALUE"""),"")</f>
        <v/>
      </c>
      <c r="C1043" s="5" t="str">
        <f>IFERROR(__xludf.DUMMYFUNCTION("""COMPUTED_VALUE"""),"")</f>
        <v/>
      </c>
      <c r="D1043" s="5" t="str">
        <f>IFERROR(__xludf.DUMMYFUNCTION("""COMPUTED_VALUE"""),"")</f>
        <v/>
      </c>
      <c r="E1043" s="5" t="str">
        <f>IFERROR(__xludf.DUMMYFUNCTION("""COMPUTED_VALUE"""),"")</f>
        <v/>
      </c>
      <c r="F1043" s="5" t="str">
        <f>IFERROR(__xludf.DUMMYFUNCTION("""COMPUTED_VALUE"""),"")</f>
        <v/>
      </c>
      <c r="G1043" s="5" t="str">
        <f>IFERROR(__xludf.DUMMYFUNCTION("""COMPUTED_VALUE"""),"")</f>
        <v/>
      </c>
      <c r="H1043" s="5" t="str">
        <f>IFERROR(__xludf.DUMMYFUNCTION("""COMPUTED_VALUE"""),"")</f>
        <v/>
      </c>
      <c r="I1043" s="5" t="str">
        <f>IFERROR(__xludf.DUMMYFUNCTION("""COMPUTED_VALUE"""),"")</f>
        <v/>
      </c>
      <c r="J1043" s="5" t="str">
        <f>IFERROR(__xludf.DUMMYFUNCTION("""COMPUTED_VALUE"""),"")</f>
        <v/>
      </c>
      <c r="K1043" s="5" t="str">
        <f>IFERROR(__xludf.DUMMYFUNCTION("""COMPUTED_VALUE"""),"")</f>
        <v/>
      </c>
      <c r="L1043" s="5" t="str">
        <f>IFERROR(__xludf.DUMMYFUNCTION("""COMPUTED_VALUE"""),"")</f>
        <v/>
      </c>
      <c r="M1043" s="5" t="str">
        <f>IFERROR(__xludf.DUMMYFUNCTION("""COMPUTED_VALUE"""),"")</f>
        <v/>
      </c>
      <c r="N1043" s="5" t="str">
        <f>IFERROR(__xludf.DUMMYFUNCTION("""COMPUTED_VALUE"""),"")</f>
        <v/>
      </c>
      <c r="O1043" s="5" t="str">
        <f>IFERROR(__xludf.DUMMYFUNCTION("""COMPUTED_VALUE"""),"")</f>
        <v/>
      </c>
      <c r="P1043" s="5" t="str">
        <f>IFERROR(__xludf.DUMMYFUNCTION("""COMPUTED_VALUE"""),"")</f>
        <v/>
      </c>
      <c r="Q1043" s="5" t="str">
        <f>IFERROR(__xludf.DUMMYFUNCTION("""COMPUTED_VALUE"""),"")</f>
        <v/>
      </c>
      <c r="R1043" s="5" t="str">
        <f>IFERROR(__xludf.DUMMYFUNCTION("""COMPUTED_VALUE"""),"")</f>
        <v/>
      </c>
      <c r="S1043" s="5" t="str">
        <f>IFERROR(__xludf.DUMMYFUNCTION("""COMPUTED_VALUE"""),"")</f>
        <v/>
      </c>
      <c r="T1043" s="5" t="str">
        <f>IFERROR(__xludf.DUMMYFUNCTION("""COMPUTED_VALUE"""),"")</f>
        <v/>
      </c>
      <c r="U1043" s="5" t="str">
        <f>IFERROR(__xludf.DUMMYFUNCTION("""COMPUTED_VALUE"""),"")</f>
        <v/>
      </c>
      <c r="V1043" s="5" t="str">
        <f>IFERROR(__xludf.DUMMYFUNCTION("""COMPUTED_VALUE"""),"")</f>
        <v/>
      </c>
      <c r="W1043" s="5" t="str">
        <f>IFERROR(__xludf.DUMMYFUNCTION("""COMPUTED_VALUE"""),"")</f>
        <v/>
      </c>
      <c r="X1043" s="5" t="str">
        <f>IFERROR(__xludf.DUMMYFUNCTION("""COMPUTED_VALUE"""),"")</f>
        <v/>
      </c>
      <c r="Y1043" s="5"/>
      <c r="Z1043" s="5"/>
    </row>
    <row r="1044">
      <c r="A1044" s="5"/>
      <c r="B1044" s="5" t="str">
        <f>IFERROR(__xludf.DUMMYFUNCTION("""COMPUTED_VALUE"""),"")</f>
        <v/>
      </c>
      <c r="C1044" s="5" t="str">
        <f>IFERROR(__xludf.DUMMYFUNCTION("""COMPUTED_VALUE"""),"")</f>
        <v/>
      </c>
      <c r="D1044" s="5" t="str">
        <f>IFERROR(__xludf.DUMMYFUNCTION("""COMPUTED_VALUE"""),"")</f>
        <v/>
      </c>
      <c r="E1044" s="5" t="str">
        <f>IFERROR(__xludf.DUMMYFUNCTION("""COMPUTED_VALUE"""),"")</f>
        <v/>
      </c>
      <c r="F1044" s="5" t="str">
        <f>IFERROR(__xludf.DUMMYFUNCTION("""COMPUTED_VALUE"""),"")</f>
        <v/>
      </c>
      <c r="G1044" s="5" t="str">
        <f>IFERROR(__xludf.DUMMYFUNCTION("""COMPUTED_VALUE"""),"")</f>
        <v/>
      </c>
      <c r="H1044" s="5" t="str">
        <f>IFERROR(__xludf.DUMMYFUNCTION("""COMPUTED_VALUE"""),"")</f>
        <v/>
      </c>
      <c r="I1044" s="5" t="str">
        <f>IFERROR(__xludf.DUMMYFUNCTION("""COMPUTED_VALUE"""),"")</f>
        <v/>
      </c>
      <c r="J1044" s="5" t="str">
        <f>IFERROR(__xludf.DUMMYFUNCTION("""COMPUTED_VALUE"""),"")</f>
        <v/>
      </c>
      <c r="K1044" s="5" t="str">
        <f>IFERROR(__xludf.DUMMYFUNCTION("""COMPUTED_VALUE"""),"")</f>
        <v/>
      </c>
      <c r="L1044" s="5" t="str">
        <f>IFERROR(__xludf.DUMMYFUNCTION("""COMPUTED_VALUE"""),"")</f>
        <v/>
      </c>
      <c r="M1044" s="5" t="str">
        <f>IFERROR(__xludf.DUMMYFUNCTION("""COMPUTED_VALUE"""),"")</f>
        <v/>
      </c>
      <c r="N1044" s="5" t="str">
        <f>IFERROR(__xludf.DUMMYFUNCTION("""COMPUTED_VALUE"""),"")</f>
        <v/>
      </c>
      <c r="O1044" s="5" t="str">
        <f>IFERROR(__xludf.DUMMYFUNCTION("""COMPUTED_VALUE"""),"")</f>
        <v/>
      </c>
      <c r="P1044" s="5" t="str">
        <f>IFERROR(__xludf.DUMMYFUNCTION("""COMPUTED_VALUE"""),"")</f>
        <v/>
      </c>
      <c r="Q1044" s="5" t="str">
        <f>IFERROR(__xludf.DUMMYFUNCTION("""COMPUTED_VALUE"""),"")</f>
        <v/>
      </c>
      <c r="R1044" s="5" t="str">
        <f>IFERROR(__xludf.DUMMYFUNCTION("""COMPUTED_VALUE"""),"")</f>
        <v/>
      </c>
      <c r="S1044" s="5" t="str">
        <f>IFERROR(__xludf.DUMMYFUNCTION("""COMPUTED_VALUE"""),"")</f>
        <v/>
      </c>
      <c r="T1044" s="5" t="str">
        <f>IFERROR(__xludf.DUMMYFUNCTION("""COMPUTED_VALUE"""),"")</f>
        <v/>
      </c>
      <c r="U1044" s="5" t="str">
        <f>IFERROR(__xludf.DUMMYFUNCTION("""COMPUTED_VALUE"""),"")</f>
        <v/>
      </c>
      <c r="V1044" s="5" t="str">
        <f>IFERROR(__xludf.DUMMYFUNCTION("""COMPUTED_VALUE"""),"")</f>
        <v/>
      </c>
      <c r="W1044" s="5" t="str">
        <f>IFERROR(__xludf.DUMMYFUNCTION("""COMPUTED_VALUE"""),"")</f>
        <v/>
      </c>
      <c r="X1044" s="5" t="str">
        <f>IFERROR(__xludf.DUMMYFUNCTION("""COMPUTED_VALUE"""),"")</f>
        <v/>
      </c>
      <c r="Y1044" s="5"/>
      <c r="Z1044" s="5"/>
    </row>
    <row r="1045">
      <c r="A1045" s="5"/>
      <c r="B1045" s="5" t="str">
        <f>IFERROR(__xludf.DUMMYFUNCTION("""COMPUTED_VALUE"""),"")</f>
        <v/>
      </c>
      <c r="C1045" s="5" t="str">
        <f>IFERROR(__xludf.DUMMYFUNCTION("""COMPUTED_VALUE"""),"")</f>
        <v/>
      </c>
      <c r="D1045" s="5" t="str">
        <f>IFERROR(__xludf.DUMMYFUNCTION("""COMPUTED_VALUE"""),"")</f>
        <v/>
      </c>
      <c r="E1045" s="5" t="str">
        <f>IFERROR(__xludf.DUMMYFUNCTION("""COMPUTED_VALUE"""),"")</f>
        <v/>
      </c>
      <c r="F1045" s="5" t="str">
        <f>IFERROR(__xludf.DUMMYFUNCTION("""COMPUTED_VALUE"""),"")</f>
        <v/>
      </c>
      <c r="G1045" s="5" t="str">
        <f>IFERROR(__xludf.DUMMYFUNCTION("""COMPUTED_VALUE"""),"")</f>
        <v/>
      </c>
      <c r="H1045" s="5" t="str">
        <f>IFERROR(__xludf.DUMMYFUNCTION("""COMPUTED_VALUE"""),"")</f>
        <v/>
      </c>
      <c r="I1045" s="5" t="str">
        <f>IFERROR(__xludf.DUMMYFUNCTION("""COMPUTED_VALUE"""),"")</f>
        <v/>
      </c>
      <c r="J1045" s="5" t="str">
        <f>IFERROR(__xludf.DUMMYFUNCTION("""COMPUTED_VALUE"""),"")</f>
        <v/>
      </c>
      <c r="K1045" s="5" t="str">
        <f>IFERROR(__xludf.DUMMYFUNCTION("""COMPUTED_VALUE"""),"")</f>
        <v/>
      </c>
      <c r="L1045" s="5" t="str">
        <f>IFERROR(__xludf.DUMMYFUNCTION("""COMPUTED_VALUE"""),"")</f>
        <v/>
      </c>
      <c r="M1045" s="5" t="str">
        <f>IFERROR(__xludf.DUMMYFUNCTION("""COMPUTED_VALUE"""),"")</f>
        <v/>
      </c>
      <c r="N1045" s="5" t="str">
        <f>IFERROR(__xludf.DUMMYFUNCTION("""COMPUTED_VALUE"""),"")</f>
        <v/>
      </c>
      <c r="O1045" s="5" t="str">
        <f>IFERROR(__xludf.DUMMYFUNCTION("""COMPUTED_VALUE"""),"")</f>
        <v/>
      </c>
      <c r="P1045" s="5" t="str">
        <f>IFERROR(__xludf.DUMMYFUNCTION("""COMPUTED_VALUE"""),"")</f>
        <v/>
      </c>
      <c r="Q1045" s="5" t="str">
        <f>IFERROR(__xludf.DUMMYFUNCTION("""COMPUTED_VALUE"""),"")</f>
        <v/>
      </c>
      <c r="R1045" s="5" t="str">
        <f>IFERROR(__xludf.DUMMYFUNCTION("""COMPUTED_VALUE"""),"")</f>
        <v/>
      </c>
      <c r="S1045" s="5" t="str">
        <f>IFERROR(__xludf.DUMMYFUNCTION("""COMPUTED_VALUE"""),"")</f>
        <v/>
      </c>
      <c r="T1045" s="5" t="str">
        <f>IFERROR(__xludf.DUMMYFUNCTION("""COMPUTED_VALUE"""),"")</f>
        <v/>
      </c>
      <c r="U1045" s="5" t="str">
        <f>IFERROR(__xludf.DUMMYFUNCTION("""COMPUTED_VALUE"""),"")</f>
        <v/>
      </c>
      <c r="V1045" s="5" t="str">
        <f>IFERROR(__xludf.DUMMYFUNCTION("""COMPUTED_VALUE"""),"")</f>
        <v/>
      </c>
      <c r="W1045" s="5" t="str">
        <f>IFERROR(__xludf.DUMMYFUNCTION("""COMPUTED_VALUE"""),"")</f>
        <v/>
      </c>
      <c r="X1045" s="5" t="str">
        <f>IFERROR(__xludf.DUMMYFUNCTION("""COMPUTED_VALUE"""),"")</f>
        <v/>
      </c>
      <c r="Y1045" s="5"/>
      <c r="Z1045" s="5"/>
    </row>
    <row r="1046">
      <c r="A1046" s="5"/>
      <c r="B1046" s="5" t="str">
        <f>IFERROR(__xludf.DUMMYFUNCTION("""COMPUTED_VALUE"""),"")</f>
        <v/>
      </c>
      <c r="C1046" s="5" t="str">
        <f>IFERROR(__xludf.DUMMYFUNCTION("""COMPUTED_VALUE"""),"")</f>
        <v/>
      </c>
      <c r="D1046" s="5" t="str">
        <f>IFERROR(__xludf.DUMMYFUNCTION("""COMPUTED_VALUE"""),"")</f>
        <v/>
      </c>
      <c r="E1046" s="5" t="str">
        <f>IFERROR(__xludf.DUMMYFUNCTION("""COMPUTED_VALUE"""),"")</f>
        <v/>
      </c>
      <c r="F1046" s="5" t="str">
        <f>IFERROR(__xludf.DUMMYFUNCTION("""COMPUTED_VALUE"""),"")</f>
        <v/>
      </c>
      <c r="G1046" s="5" t="str">
        <f>IFERROR(__xludf.DUMMYFUNCTION("""COMPUTED_VALUE"""),"")</f>
        <v/>
      </c>
      <c r="H1046" s="5" t="str">
        <f>IFERROR(__xludf.DUMMYFUNCTION("""COMPUTED_VALUE"""),"")</f>
        <v/>
      </c>
      <c r="I1046" s="5" t="str">
        <f>IFERROR(__xludf.DUMMYFUNCTION("""COMPUTED_VALUE"""),"")</f>
        <v/>
      </c>
      <c r="J1046" s="5" t="str">
        <f>IFERROR(__xludf.DUMMYFUNCTION("""COMPUTED_VALUE"""),"")</f>
        <v/>
      </c>
      <c r="K1046" s="5" t="str">
        <f>IFERROR(__xludf.DUMMYFUNCTION("""COMPUTED_VALUE"""),"")</f>
        <v/>
      </c>
      <c r="L1046" s="5" t="str">
        <f>IFERROR(__xludf.DUMMYFUNCTION("""COMPUTED_VALUE"""),"")</f>
        <v/>
      </c>
      <c r="M1046" s="5" t="str">
        <f>IFERROR(__xludf.DUMMYFUNCTION("""COMPUTED_VALUE"""),"")</f>
        <v/>
      </c>
      <c r="N1046" s="5" t="str">
        <f>IFERROR(__xludf.DUMMYFUNCTION("""COMPUTED_VALUE"""),"")</f>
        <v/>
      </c>
      <c r="O1046" s="5" t="str">
        <f>IFERROR(__xludf.DUMMYFUNCTION("""COMPUTED_VALUE"""),"")</f>
        <v/>
      </c>
      <c r="P1046" s="5" t="str">
        <f>IFERROR(__xludf.DUMMYFUNCTION("""COMPUTED_VALUE"""),"")</f>
        <v/>
      </c>
      <c r="Q1046" s="5" t="str">
        <f>IFERROR(__xludf.DUMMYFUNCTION("""COMPUTED_VALUE"""),"")</f>
        <v/>
      </c>
      <c r="R1046" s="5" t="str">
        <f>IFERROR(__xludf.DUMMYFUNCTION("""COMPUTED_VALUE"""),"")</f>
        <v/>
      </c>
      <c r="S1046" s="5" t="str">
        <f>IFERROR(__xludf.DUMMYFUNCTION("""COMPUTED_VALUE"""),"")</f>
        <v/>
      </c>
      <c r="T1046" s="5" t="str">
        <f>IFERROR(__xludf.DUMMYFUNCTION("""COMPUTED_VALUE"""),"")</f>
        <v/>
      </c>
      <c r="U1046" s="5" t="str">
        <f>IFERROR(__xludf.DUMMYFUNCTION("""COMPUTED_VALUE"""),"")</f>
        <v/>
      </c>
      <c r="V1046" s="5" t="str">
        <f>IFERROR(__xludf.DUMMYFUNCTION("""COMPUTED_VALUE"""),"")</f>
        <v/>
      </c>
      <c r="W1046" s="5" t="str">
        <f>IFERROR(__xludf.DUMMYFUNCTION("""COMPUTED_VALUE"""),"")</f>
        <v/>
      </c>
      <c r="X1046" s="5" t="str">
        <f>IFERROR(__xludf.DUMMYFUNCTION("""COMPUTED_VALUE"""),"")</f>
        <v/>
      </c>
      <c r="Y1046" s="5"/>
      <c r="Z1046" s="5"/>
    </row>
    <row r="1047">
      <c r="A1047" s="5"/>
      <c r="B1047" s="5" t="str">
        <f>IFERROR(__xludf.DUMMYFUNCTION("""COMPUTED_VALUE"""),"")</f>
        <v/>
      </c>
      <c r="C1047" s="5" t="str">
        <f>IFERROR(__xludf.DUMMYFUNCTION("""COMPUTED_VALUE"""),"")</f>
        <v/>
      </c>
      <c r="D1047" s="5" t="str">
        <f>IFERROR(__xludf.DUMMYFUNCTION("""COMPUTED_VALUE"""),"")</f>
        <v/>
      </c>
      <c r="E1047" s="5" t="str">
        <f>IFERROR(__xludf.DUMMYFUNCTION("""COMPUTED_VALUE"""),"")</f>
        <v/>
      </c>
      <c r="F1047" s="5" t="str">
        <f>IFERROR(__xludf.DUMMYFUNCTION("""COMPUTED_VALUE"""),"")</f>
        <v/>
      </c>
      <c r="G1047" s="5" t="str">
        <f>IFERROR(__xludf.DUMMYFUNCTION("""COMPUTED_VALUE"""),"")</f>
        <v/>
      </c>
      <c r="H1047" s="5" t="str">
        <f>IFERROR(__xludf.DUMMYFUNCTION("""COMPUTED_VALUE"""),"")</f>
        <v/>
      </c>
      <c r="I1047" s="5" t="str">
        <f>IFERROR(__xludf.DUMMYFUNCTION("""COMPUTED_VALUE"""),"")</f>
        <v/>
      </c>
      <c r="J1047" s="5" t="str">
        <f>IFERROR(__xludf.DUMMYFUNCTION("""COMPUTED_VALUE"""),"")</f>
        <v/>
      </c>
      <c r="K1047" s="5" t="str">
        <f>IFERROR(__xludf.DUMMYFUNCTION("""COMPUTED_VALUE"""),"")</f>
        <v/>
      </c>
      <c r="L1047" s="5" t="str">
        <f>IFERROR(__xludf.DUMMYFUNCTION("""COMPUTED_VALUE"""),"")</f>
        <v/>
      </c>
      <c r="M1047" s="5" t="str">
        <f>IFERROR(__xludf.DUMMYFUNCTION("""COMPUTED_VALUE"""),"")</f>
        <v/>
      </c>
      <c r="N1047" s="5" t="str">
        <f>IFERROR(__xludf.DUMMYFUNCTION("""COMPUTED_VALUE"""),"")</f>
        <v/>
      </c>
      <c r="O1047" s="5" t="str">
        <f>IFERROR(__xludf.DUMMYFUNCTION("""COMPUTED_VALUE"""),"")</f>
        <v/>
      </c>
      <c r="P1047" s="5" t="str">
        <f>IFERROR(__xludf.DUMMYFUNCTION("""COMPUTED_VALUE"""),"")</f>
        <v/>
      </c>
      <c r="Q1047" s="5" t="str">
        <f>IFERROR(__xludf.DUMMYFUNCTION("""COMPUTED_VALUE"""),"")</f>
        <v/>
      </c>
      <c r="R1047" s="5" t="str">
        <f>IFERROR(__xludf.DUMMYFUNCTION("""COMPUTED_VALUE"""),"")</f>
        <v/>
      </c>
      <c r="S1047" s="5" t="str">
        <f>IFERROR(__xludf.DUMMYFUNCTION("""COMPUTED_VALUE"""),"")</f>
        <v/>
      </c>
      <c r="T1047" s="5" t="str">
        <f>IFERROR(__xludf.DUMMYFUNCTION("""COMPUTED_VALUE"""),"")</f>
        <v/>
      </c>
      <c r="U1047" s="5" t="str">
        <f>IFERROR(__xludf.DUMMYFUNCTION("""COMPUTED_VALUE"""),"")</f>
        <v/>
      </c>
      <c r="V1047" s="5" t="str">
        <f>IFERROR(__xludf.DUMMYFUNCTION("""COMPUTED_VALUE"""),"")</f>
        <v/>
      </c>
      <c r="W1047" s="5" t="str">
        <f>IFERROR(__xludf.DUMMYFUNCTION("""COMPUTED_VALUE"""),"")</f>
        <v/>
      </c>
      <c r="X1047" s="5" t="str">
        <f>IFERROR(__xludf.DUMMYFUNCTION("""COMPUTED_VALUE"""),"")</f>
        <v/>
      </c>
      <c r="Y1047" s="5"/>
      <c r="Z1047" s="5"/>
    </row>
    <row r="1048">
      <c r="A1048" s="5"/>
      <c r="B1048" s="5" t="str">
        <f>IFERROR(__xludf.DUMMYFUNCTION("""COMPUTED_VALUE"""),"")</f>
        <v/>
      </c>
      <c r="C1048" s="5" t="str">
        <f>IFERROR(__xludf.DUMMYFUNCTION("""COMPUTED_VALUE"""),"")</f>
        <v/>
      </c>
      <c r="D1048" s="5" t="str">
        <f>IFERROR(__xludf.DUMMYFUNCTION("""COMPUTED_VALUE"""),"")</f>
        <v/>
      </c>
      <c r="E1048" s="5" t="str">
        <f>IFERROR(__xludf.DUMMYFUNCTION("""COMPUTED_VALUE"""),"")</f>
        <v/>
      </c>
      <c r="F1048" s="5" t="str">
        <f>IFERROR(__xludf.DUMMYFUNCTION("""COMPUTED_VALUE"""),"")</f>
        <v/>
      </c>
      <c r="G1048" s="5" t="str">
        <f>IFERROR(__xludf.DUMMYFUNCTION("""COMPUTED_VALUE"""),"")</f>
        <v/>
      </c>
      <c r="H1048" s="5" t="str">
        <f>IFERROR(__xludf.DUMMYFUNCTION("""COMPUTED_VALUE"""),"")</f>
        <v/>
      </c>
      <c r="I1048" s="5" t="str">
        <f>IFERROR(__xludf.DUMMYFUNCTION("""COMPUTED_VALUE"""),"")</f>
        <v/>
      </c>
      <c r="J1048" s="5" t="str">
        <f>IFERROR(__xludf.DUMMYFUNCTION("""COMPUTED_VALUE"""),"")</f>
        <v/>
      </c>
      <c r="K1048" s="5" t="str">
        <f>IFERROR(__xludf.DUMMYFUNCTION("""COMPUTED_VALUE"""),"")</f>
        <v/>
      </c>
      <c r="L1048" s="5" t="str">
        <f>IFERROR(__xludf.DUMMYFUNCTION("""COMPUTED_VALUE"""),"")</f>
        <v/>
      </c>
      <c r="M1048" s="5" t="str">
        <f>IFERROR(__xludf.DUMMYFUNCTION("""COMPUTED_VALUE"""),"")</f>
        <v/>
      </c>
      <c r="N1048" s="5" t="str">
        <f>IFERROR(__xludf.DUMMYFUNCTION("""COMPUTED_VALUE"""),"")</f>
        <v/>
      </c>
      <c r="O1048" s="5" t="str">
        <f>IFERROR(__xludf.DUMMYFUNCTION("""COMPUTED_VALUE"""),"")</f>
        <v/>
      </c>
      <c r="P1048" s="5" t="str">
        <f>IFERROR(__xludf.DUMMYFUNCTION("""COMPUTED_VALUE"""),"")</f>
        <v/>
      </c>
      <c r="Q1048" s="5" t="str">
        <f>IFERROR(__xludf.DUMMYFUNCTION("""COMPUTED_VALUE"""),"")</f>
        <v/>
      </c>
      <c r="R1048" s="5" t="str">
        <f>IFERROR(__xludf.DUMMYFUNCTION("""COMPUTED_VALUE"""),"")</f>
        <v/>
      </c>
      <c r="S1048" s="5" t="str">
        <f>IFERROR(__xludf.DUMMYFUNCTION("""COMPUTED_VALUE"""),"")</f>
        <v/>
      </c>
      <c r="T1048" s="5" t="str">
        <f>IFERROR(__xludf.DUMMYFUNCTION("""COMPUTED_VALUE"""),"")</f>
        <v/>
      </c>
      <c r="U1048" s="5" t="str">
        <f>IFERROR(__xludf.DUMMYFUNCTION("""COMPUTED_VALUE"""),"")</f>
        <v/>
      </c>
      <c r="V1048" s="5" t="str">
        <f>IFERROR(__xludf.DUMMYFUNCTION("""COMPUTED_VALUE"""),"")</f>
        <v/>
      </c>
      <c r="W1048" s="5" t="str">
        <f>IFERROR(__xludf.DUMMYFUNCTION("""COMPUTED_VALUE"""),"")</f>
        <v/>
      </c>
      <c r="X1048" s="5" t="str">
        <f>IFERROR(__xludf.DUMMYFUNCTION("""COMPUTED_VALUE"""),"")</f>
        <v/>
      </c>
      <c r="Y1048" s="5"/>
      <c r="Z1048" s="5"/>
    </row>
    <row r="1049">
      <c r="A1049" s="5"/>
      <c r="B1049" s="5" t="str">
        <f>IFERROR(__xludf.DUMMYFUNCTION("""COMPUTED_VALUE"""),"")</f>
        <v/>
      </c>
      <c r="C1049" s="5" t="str">
        <f>IFERROR(__xludf.DUMMYFUNCTION("""COMPUTED_VALUE"""),"")</f>
        <v/>
      </c>
      <c r="D1049" s="5" t="str">
        <f>IFERROR(__xludf.DUMMYFUNCTION("""COMPUTED_VALUE"""),"")</f>
        <v/>
      </c>
      <c r="E1049" s="5" t="str">
        <f>IFERROR(__xludf.DUMMYFUNCTION("""COMPUTED_VALUE"""),"")</f>
        <v/>
      </c>
      <c r="F1049" s="5" t="str">
        <f>IFERROR(__xludf.DUMMYFUNCTION("""COMPUTED_VALUE"""),"")</f>
        <v/>
      </c>
      <c r="G1049" s="5" t="str">
        <f>IFERROR(__xludf.DUMMYFUNCTION("""COMPUTED_VALUE"""),"")</f>
        <v/>
      </c>
      <c r="H1049" s="5" t="str">
        <f>IFERROR(__xludf.DUMMYFUNCTION("""COMPUTED_VALUE"""),"")</f>
        <v/>
      </c>
      <c r="I1049" s="5" t="str">
        <f>IFERROR(__xludf.DUMMYFUNCTION("""COMPUTED_VALUE"""),"")</f>
        <v/>
      </c>
      <c r="J1049" s="5" t="str">
        <f>IFERROR(__xludf.DUMMYFUNCTION("""COMPUTED_VALUE"""),"")</f>
        <v/>
      </c>
      <c r="K1049" s="5" t="str">
        <f>IFERROR(__xludf.DUMMYFUNCTION("""COMPUTED_VALUE"""),"")</f>
        <v/>
      </c>
      <c r="L1049" s="5" t="str">
        <f>IFERROR(__xludf.DUMMYFUNCTION("""COMPUTED_VALUE"""),"")</f>
        <v/>
      </c>
      <c r="M1049" s="5" t="str">
        <f>IFERROR(__xludf.DUMMYFUNCTION("""COMPUTED_VALUE"""),"")</f>
        <v/>
      </c>
      <c r="N1049" s="5" t="str">
        <f>IFERROR(__xludf.DUMMYFUNCTION("""COMPUTED_VALUE"""),"")</f>
        <v/>
      </c>
      <c r="O1049" s="5" t="str">
        <f>IFERROR(__xludf.DUMMYFUNCTION("""COMPUTED_VALUE"""),"")</f>
        <v/>
      </c>
      <c r="P1049" s="5" t="str">
        <f>IFERROR(__xludf.DUMMYFUNCTION("""COMPUTED_VALUE"""),"")</f>
        <v/>
      </c>
      <c r="Q1049" s="5" t="str">
        <f>IFERROR(__xludf.DUMMYFUNCTION("""COMPUTED_VALUE"""),"")</f>
        <v/>
      </c>
      <c r="R1049" s="5" t="str">
        <f>IFERROR(__xludf.DUMMYFUNCTION("""COMPUTED_VALUE"""),"")</f>
        <v/>
      </c>
      <c r="S1049" s="5" t="str">
        <f>IFERROR(__xludf.DUMMYFUNCTION("""COMPUTED_VALUE"""),"")</f>
        <v/>
      </c>
      <c r="T1049" s="5" t="str">
        <f>IFERROR(__xludf.DUMMYFUNCTION("""COMPUTED_VALUE"""),"")</f>
        <v/>
      </c>
      <c r="U1049" s="5" t="str">
        <f>IFERROR(__xludf.DUMMYFUNCTION("""COMPUTED_VALUE"""),"")</f>
        <v/>
      </c>
      <c r="V1049" s="5" t="str">
        <f>IFERROR(__xludf.DUMMYFUNCTION("""COMPUTED_VALUE"""),"")</f>
        <v/>
      </c>
      <c r="W1049" s="5" t="str">
        <f>IFERROR(__xludf.DUMMYFUNCTION("""COMPUTED_VALUE"""),"")</f>
        <v/>
      </c>
      <c r="X1049" s="5" t="str">
        <f>IFERROR(__xludf.DUMMYFUNCTION("""COMPUTED_VALUE"""),"")</f>
        <v/>
      </c>
      <c r="Y1049" s="5"/>
      <c r="Z1049" s="5"/>
    </row>
    <row r="1050">
      <c r="A1050" s="5"/>
      <c r="B1050" s="5" t="str">
        <f>IFERROR(__xludf.DUMMYFUNCTION("""COMPUTED_VALUE"""),"")</f>
        <v/>
      </c>
      <c r="C1050" s="5" t="str">
        <f>IFERROR(__xludf.DUMMYFUNCTION("""COMPUTED_VALUE"""),"")</f>
        <v/>
      </c>
      <c r="D1050" s="5" t="str">
        <f>IFERROR(__xludf.DUMMYFUNCTION("""COMPUTED_VALUE"""),"")</f>
        <v/>
      </c>
      <c r="E1050" s="5" t="str">
        <f>IFERROR(__xludf.DUMMYFUNCTION("""COMPUTED_VALUE"""),"")</f>
        <v/>
      </c>
      <c r="F1050" s="5" t="str">
        <f>IFERROR(__xludf.DUMMYFUNCTION("""COMPUTED_VALUE"""),"")</f>
        <v/>
      </c>
      <c r="G1050" s="5" t="str">
        <f>IFERROR(__xludf.DUMMYFUNCTION("""COMPUTED_VALUE"""),"")</f>
        <v/>
      </c>
      <c r="H1050" s="5" t="str">
        <f>IFERROR(__xludf.DUMMYFUNCTION("""COMPUTED_VALUE"""),"")</f>
        <v/>
      </c>
      <c r="I1050" s="5" t="str">
        <f>IFERROR(__xludf.DUMMYFUNCTION("""COMPUTED_VALUE"""),"")</f>
        <v/>
      </c>
      <c r="J1050" s="5" t="str">
        <f>IFERROR(__xludf.DUMMYFUNCTION("""COMPUTED_VALUE"""),"")</f>
        <v/>
      </c>
      <c r="K1050" s="5" t="str">
        <f>IFERROR(__xludf.DUMMYFUNCTION("""COMPUTED_VALUE"""),"")</f>
        <v/>
      </c>
      <c r="L1050" s="5" t="str">
        <f>IFERROR(__xludf.DUMMYFUNCTION("""COMPUTED_VALUE"""),"")</f>
        <v/>
      </c>
      <c r="M1050" s="5" t="str">
        <f>IFERROR(__xludf.DUMMYFUNCTION("""COMPUTED_VALUE"""),"")</f>
        <v/>
      </c>
      <c r="N1050" s="5" t="str">
        <f>IFERROR(__xludf.DUMMYFUNCTION("""COMPUTED_VALUE"""),"")</f>
        <v/>
      </c>
      <c r="O1050" s="5" t="str">
        <f>IFERROR(__xludf.DUMMYFUNCTION("""COMPUTED_VALUE"""),"")</f>
        <v/>
      </c>
      <c r="P1050" s="5" t="str">
        <f>IFERROR(__xludf.DUMMYFUNCTION("""COMPUTED_VALUE"""),"")</f>
        <v/>
      </c>
      <c r="Q1050" s="5" t="str">
        <f>IFERROR(__xludf.DUMMYFUNCTION("""COMPUTED_VALUE"""),"")</f>
        <v/>
      </c>
      <c r="R1050" s="5" t="str">
        <f>IFERROR(__xludf.DUMMYFUNCTION("""COMPUTED_VALUE"""),"")</f>
        <v/>
      </c>
      <c r="S1050" s="5" t="str">
        <f>IFERROR(__xludf.DUMMYFUNCTION("""COMPUTED_VALUE"""),"")</f>
        <v/>
      </c>
      <c r="T1050" s="5" t="str">
        <f>IFERROR(__xludf.DUMMYFUNCTION("""COMPUTED_VALUE"""),"")</f>
        <v/>
      </c>
      <c r="U1050" s="5" t="str">
        <f>IFERROR(__xludf.DUMMYFUNCTION("""COMPUTED_VALUE"""),"")</f>
        <v/>
      </c>
      <c r="V1050" s="5" t="str">
        <f>IFERROR(__xludf.DUMMYFUNCTION("""COMPUTED_VALUE"""),"")</f>
        <v/>
      </c>
      <c r="W1050" s="5" t="str">
        <f>IFERROR(__xludf.DUMMYFUNCTION("""COMPUTED_VALUE"""),"")</f>
        <v/>
      </c>
      <c r="X1050" s="5" t="str">
        <f>IFERROR(__xludf.DUMMYFUNCTION("""COMPUTED_VALUE"""),"")</f>
        <v/>
      </c>
      <c r="Y1050" s="5"/>
      <c r="Z1050" s="5"/>
    </row>
    <row r="1051">
      <c r="A1051" s="5"/>
      <c r="B1051" s="5" t="str">
        <f>IFERROR(__xludf.DUMMYFUNCTION("""COMPUTED_VALUE"""),"")</f>
        <v/>
      </c>
      <c r="C1051" s="5" t="str">
        <f>IFERROR(__xludf.DUMMYFUNCTION("""COMPUTED_VALUE"""),"")</f>
        <v/>
      </c>
      <c r="D1051" s="5" t="str">
        <f>IFERROR(__xludf.DUMMYFUNCTION("""COMPUTED_VALUE"""),"")</f>
        <v/>
      </c>
      <c r="E1051" s="5" t="str">
        <f>IFERROR(__xludf.DUMMYFUNCTION("""COMPUTED_VALUE"""),"")</f>
        <v/>
      </c>
      <c r="F1051" s="5" t="str">
        <f>IFERROR(__xludf.DUMMYFUNCTION("""COMPUTED_VALUE"""),"")</f>
        <v/>
      </c>
      <c r="G1051" s="5" t="str">
        <f>IFERROR(__xludf.DUMMYFUNCTION("""COMPUTED_VALUE"""),"")</f>
        <v/>
      </c>
      <c r="H1051" s="5" t="str">
        <f>IFERROR(__xludf.DUMMYFUNCTION("""COMPUTED_VALUE"""),"")</f>
        <v/>
      </c>
      <c r="I1051" s="5" t="str">
        <f>IFERROR(__xludf.DUMMYFUNCTION("""COMPUTED_VALUE"""),"")</f>
        <v/>
      </c>
      <c r="J1051" s="5" t="str">
        <f>IFERROR(__xludf.DUMMYFUNCTION("""COMPUTED_VALUE"""),"")</f>
        <v/>
      </c>
      <c r="K1051" s="5" t="str">
        <f>IFERROR(__xludf.DUMMYFUNCTION("""COMPUTED_VALUE"""),"")</f>
        <v/>
      </c>
      <c r="L1051" s="5" t="str">
        <f>IFERROR(__xludf.DUMMYFUNCTION("""COMPUTED_VALUE"""),"")</f>
        <v/>
      </c>
      <c r="M1051" s="5" t="str">
        <f>IFERROR(__xludf.DUMMYFUNCTION("""COMPUTED_VALUE"""),"")</f>
        <v/>
      </c>
      <c r="N1051" s="5" t="str">
        <f>IFERROR(__xludf.DUMMYFUNCTION("""COMPUTED_VALUE"""),"")</f>
        <v/>
      </c>
      <c r="O1051" s="5" t="str">
        <f>IFERROR(__xludf.DUMMYFUNCTION("""COMPUTED_VALUE"""),"")</f>
        <v/>
      </c>
      <c r="P1051" s="5" t="str">
        <f>IFERROR(__xludf.DUMMYFUNCTION("""COMPUTED_VALUE"""),"")</f>
        <v/>
      </c>
      <c r="Q1051" s="5" t="str">
        <f>IFERROR(__xludf.DUMMYFUNCTION("""COMPUTED_VALUE"""),"")</f>
        <v/>
      </c>
      <c r="R1051" s="5" t="str">
        <f>IFERROR(__xludf.DUMMYFUNCTION("""COMPUTED_VALUE"""),"")</f>
        <v/>
      </c>
      <c r="S1051" s="5" t="str">
        <f>IFERROR(__xludf.DUMMYFUNCTION("""COMPUTED_VALUE"""),"")</f>
        <v/>
      </c>
      <c r="T1051" s="5" t="str">
        <f>IFERROR(__xludf.DUMMYFUNCTION("""COMPUTED_VALUE"""),"")</f>
        <v/>
      </c>
      <c r="U1051" s="5" t="str">
        <f>IFERROR(__xludf.DUMMYFUNCTION("""COMPUTED_VALUE"""),"")</f>
        <v/>
      </c>
      <c r="V1051" s="5" t="str">
        <f>IFERROR(__xludf.DUMMYFUNCTION("""COMPUTED_VALUE"""),"")</f>
        <v/>
      </c>
      <c r="W1051" s="5" t="str">
        <f>IFERROR(__xludf.DUMMYFUNCTION("""COMPUTED_VALUE"""),"")</f>
        <v/>
      </c>
      <c r="X1051" s="5" t="str">
        <f>IFERROR(__xludf.DUMMYFUNCTION("""COMPUTED_VALUE"""),"")</f>
        <v/>
      </c>
      <c r="Y1051" s="5"/>
      <c r="Z1051" s="5"/>
    </row>
    <row r="1052">
      <c r="A1052" s="5"/>
      <c r="B1052" s="5" t="str">
        <f>IFERROR(__xludf.DUMMYFUNCTION("""COMPUTED_VALUE"""),"")</f>
        <v/>
      </c>
      <c r="C1052" s="5" t="str">
        <f>IFERROR(__xludf.DUMMYFUNCTION("""COMPUTED_VALUE"""),"")</f>
        <v/>
      </c>
      <c r="D1052" s="5" t="str">
        <f>IFERROR(__xludf.DUMMYFUNCTION("""COMPUTED_VALUE"""),"")</f>
        <v/>
      </c>
      <c r="E1052" s="5" t="str">
        <f>IFERROR(__xludf.DUMMYFUNCTION("""COMPUTED_VALUE"""),"")</f>
        <v/>
      </c>
      <c r="F1052" s="5" t="str">
        <f>IFERROR(__xludf.DUMMYFUNCTION("""COMPUTED_VALUE"""),"")</f>
        <v/>
      </c>
      <c r="G1052" s="5" t="str">
        <f>IFERROR(__xludf.DUMMYFUNCTION("""COMPUTED_VALUE"""),"")</f>
        <v/>
      </c>
      <c r="H1052" s="5" t="str">
        <f>IFERROR(__xludf.DUMMYFUNCTION("""COMPUTED_VALUE"""),"")</f>
        <v/>
      </c>
      <c r="I1052" s="5" t="str">
        <f>IFERROR(__xludf.DUMMYFUNCTION("""COMPUTED_VALUE"""),"")</f>
        <v/>
      </c>
      <c r="J1052" s="5" t="str">
        <f>IFERROR(__xludf.DUMMYFUNCTION("""COMPUTED_VALUE"""),"")</f>
        <v/>
      </c>
      <c r="K1052" s="5" t="str">
        <f>IFERROR(__xludf.DUMMYFUNCTION("""COMPUTED_VALUE"""),"")</f>
        <v/>
      </c>
      <c r="L1052" s="5" t="str">
        <f>IFERROR(__xludf.DUMMYFUNCTION("""COMPUTED_VALUE"""),"")</f>
        <v/>
      </c>
      <c r="M1052" s="5" t="str">
        <f>IFERROR(__xludf.DUMMYFUNCTION("""COMPUTED_VALUE"""),"")</f>
        <v/>
      </c>
      <c r="N1052" s="5" t="str">
        <f>IFERROR(__xludf.DUMMYFUNCTION("""COMPUTED_VALUE"""),"")</f>
        <v/>
      </c>
      <c r="O1052" s="5" t="str">
        <f>IFERROR(__xludf.DUMMYFUNCTION("""COMPUTED_VALUE"""),"")</f>
        <v/>
      </c>
      <c r="P1052" s="5" t="str">
        <f>IFERROR(__xludf.DUMMYFUNCTION("""COMPUTED_VALUE"""),"")</f>
        <v/>
      </c>
      <c r="Q1052" s="5" t="str">
        <f>IFERROR(__xludf.DUMMYFUNCTION("""COMPUTED_VALUE"""),"")</f>
        <v/>
      </c>
      <c r="R1052" s="5" t="str">
        <f>IFERROR(__xludf.DUMMYFUNCTION("""COMPUTED_VALUE"""),"")</f>
        <v/>
      </c>
      <c r="S1052" s="5" t="str">
        <f>IFERROR(__xludf.DUMMYFUNCTION("""COMPUTED_VALUE"""),"")</f>
        <v/>
      </c>
      <c r="T1052" s="5" t="str">
        <f>IFERROR(__xludf.DUMMYFUNCTION("""COMPUTED_VALUE"""),"")</f>
        <v/>
      </c>
      <c r="U1052" s="5" t="str">
        <f>IFERROR(__xludf.DUMMYFUNCTION("""COMPUTED_VALUE"""),"")</f>
        <v/>
      </c>
      <c r="V1052" s="5" t="str">
        <f>IFERROR(__xludf.DUMMYFUNCTION("""COMPUTED_VALUE"""),"")</f>
        <v/>
      </c>
      <c r="W1052" s="5" t="str">
        <f>IFERROR(__xludf.DUMMYFUNCTION("""COMPUTED_VALUE"""),"")</f>
        <v/>
      </c>
      <c r="X1052" s="5" t="str">
        <f>IFERROR(__xludf.DUMMYFUNCTION("""COMPUTED_VALUE"""),"")</f>
        <v/>
      </c>
      <c r="Y1052" s="5"/>
      <c r="Z1052" s="5"/>
    </row>
    <row r="1053">
      <c r="A1053" s="5"/>
      <c r="B1053" s="5" t="str">
        <f>IFERROR(__xludf.DUMMYFUNCTION("""COMPUTED_VALUE"""),"")</f>
        <v/>
      </c>
      <c r="C1053" s="5" t="str">
        <f>IFERROR(__xludf.DUMMYFUNCTION("""COMPUTED_VALUE"""),"")</f>
        <v/>
      </c>
      <c r="D1053" s="5" t="str">
        <f>IFERROR(__xludf.DUMMYFUNCTION("""COMPUTED_VALUE"""),"")</f>
        <v/>
      </c>
      <c r="E1053" s="5" t="str">
        <f>IFERROR(__xludf.DUMMYFUNCTION("""COMPUTED_VALUE"""),"")</f>
        <v/>
      </c>
      <c r="F1053" s="5" t="str">
        <f>IFERROR(__xludf.DUMMYFUNCTION("""COMPUTED_VALUE"""),"")</f>
        <v/>
      </c>
      <c r="G1053" s="5" t="str">
        <f>IFERROR(__xludf.DUMMYFUNCTION("""COMPUTED_VALUE"""),"")</f>
        <v/>
      </c>
      <c r="H1053" s="5" t="str">
        <f>IFERROR(__xludf.DUMMYFUNCTION("""COMPUTED_VALUE"""),"")</f>
        <v/>
      </c>
      <c r="I1053" s="5" t="str">
        <f>IFERROR(__xludf.DUMMYFUNCTION("""COMPUTED_VALUE"""),"")</f>
        <v/>
      </c>
      <c r="J1053" s="5" t="str">
        <f>IFERROR(__xludf.DUMMYFUNCTION("""COMPUTED_VALUE"""),"")</f>
        <v/>
      </c>
      <c r="K1053" s="5" t="str">
        <f>IFERROR(__xludf.DUMMYFUNCTION("""COMPUTED_VALUE"""),"")</f>
        <v/>
      </c>
      <c r="L1053" s="5" t="str">
        <f>IFERROR(__xludf.DUMMYFUNCTION("""COMPUTED_VALUE"""),"")</f>
        <v/>
      </c>
      <c r="M1053" s="5" t="str">
        <f>IFERROR(__xludf.DUMMYFUNCTION("""COMPUTED_VALUE"""),"")</f>
        <v/>
      </c>
      <c r="N1053" s="5" t="str">
        <f>IFERROR(__xludf.DUMMYFUNCTION("""COMPUTED_VALUE"""),"")</f>
        <v/>
      </c>
      <c r="O1053" s="5" t="str">
        <f>IFERROR(__xludf.DUMMYFUNCTION("""COMPUTED_VALUE"""),"")</f>
        <v/>
      </c>
      <c r="P1053" s="5" t="str">
        <f>IFERROR(__xludf.DUMMYFUNCTION("""COMPUTED_VALUE"""),"")</f>
        <v/>
      </c>
      <c r="Q1053" s="5" t="str">
        <f>IFERROR(__xludf.DUMMYFUNCTION("""COMPUTED_VALUE"""),"")</f>
        <v/>
      </c>
      <c r="R1053" s="5" t="str">
        <f>IFERROR(__xludf.DUMMYFUNCTION("""COMPUTED_VALUE"""),"")</f>
        <v/>
      </c>
      <c r="S1053" s="5" t="str">
        <f>IFERROR(__xludf.DUMMYFUNCTION("""COMPUTED_VALUE"""),"")</f>
        <v/>
      </c>
      <c r="T1053" s="5" t="str">
        <f>IFERROR(__xludf.DUMMYFUNCTION("""COMPUTED_VALUE"""),"")</f>
        <v/>
      </c>
      <c r="U1053" s="5" t="str">
        <f>IFERROR(__xludf.DUMMYFUNCTION("""COMPUTED_VALUE"""),"")</f>
        <v/>
      </c>
      <c r="V1053" s="5" t="str">
        <f>IFERROR(__xludf.DUMMYFUNCTION("""COMPUTED_VALUE"""),"")</f>
        <v/>
      </c>
      <c r="W1053" s="5" t="str">
        <f>IFERROR(__xludf.DUMMYFUNCTION("""COMPUTED_VALUE"""),"")</f>
        <v/>
      </c>
      <c r="X1053" s="5" t="str">
        <f>IFERROR(__xludf.DUMMYFUNCTION("""COMPUTED_VALUE"""),"")</f>
        <v/>
      </c>
      <c r="Y1053" s="5"/>
      <c r="Z1053" s="5"/>
    </row>
    <row r="1054">
      <c r="A1054" s="5"/>
      <c r="B1054" s="5" t="str">
        <f>IFERROR(__xludf.DUMMYFUNCTION("""COMPUTED_VALUE"""),"")</f>
        <v/>
      </c>
      <c r="C1054" s="5" t="str">
        <f>IFERROR(__xludf.DUMMYFUNCTION("""COMPUTED_VALUE"""),"")</f>
        <v/>
      </c>
      <c r="D1054" s="5" t="str">
        <f>IFERROR(__xludf.DUMMYFUNCTION("""COMPUTED_VALUE"""),"")</f>
        <v/>
      </c>
      <c r="E1054" s="5" t="str">
        <f>IFERROR(__xludf.DUMMYFUNCTION("""COMPUTED_VALUE"""),"")</f>
        <v/>
      </c>
      <c r="F1054" s="5" t="str">
        <f>IFERROR(__xludf.DUMMYFUNCTION("""COMPUTED_VALUE"""),"")</f>
        <v/>
      </c>
      <c r="G1054" s="5" t="str">
        <f>IFERROR(__xludf.DUMMYFUNCTION("""COMPUTED_VALUE"""),"")</f>
        <v/>
      </c>
      <c r="H1054" s="5" t="str">
        <f>IFERROR(__xludf.DUMMYFUNCTION("""COMPUTED_VALUE"""),"")</f>
        <v/>
      </c>
      <c r="I1054" s="5" t="str">
        <f>IFERROR(__xludf.DUMMYFUNCTION("""COMPUTED_VALUE"""),"")</f>
        <v/>
      </c>
      <c r="J1054" s="5" t="str">
        <f>IFERROR(__xludf.DUMMYFUNCTION("""COMPUTED_VALUE"""),"")</f>
        <v/>
      </c>
      <c r="K1054" s="5" t="str">
        <f>IFERROR(__xludf.DUMMYFUNCTION("""COMPUTED_VALUE"""),"")</f>
        <v/>
      </c>
      <c r="L1054" s="5" t="str">
        <f>IFERROR(__xludf.DUMMYFUNCTION("""COMPUTED_VALUE"""),"")</f>
        <v/>
      </c>
      <c r="M1054" s="5" t="str">
        <f>IFERROR(__xludf.DUMMYFUNCTION("""COMPUTED_VALUE"""),"")</f>
        <v/>
      </c>
      <c r="N1054" s="5" t="str">
        <f>IFERROR(__xludf.DUMMYFUNCTION("""COMPUTED_VALUE"""),"")</f>
        <v/>
      </c>
      <c r="O1054" s="5" t="str">
        <f>IFERROR(__xludf.DUMMYFUNCTION("""COMPUTED_VALUE"""),"")</f>
        <v/>
      </c>
      <c r="P1054" s="5" t="str">
        <f>IFERROR(__xludf.DUMMYFUNCTION("""COMPUTED_VALUE"""),"")</f>
        <v/>
      </c>
      <c r="Q1054" s="5" t="str">
        <f>IFERROR(__xludf.DUMMYFUNCTION("""COMPUTED_VALUE"""),"")</f>
        <v/>
      </c>
      <c r="R1054" s="5" t="str">
        <f>IFERROR(__xludf.DUMMYFUNCTION("""COMPUTED_VALUE"""),"")</f>
        <v/>
      </c>
      <c r="S1054" s="5" t="str">
        <f>IFERROR(__xludf.DUMMYFUNCTION("""COMPUTED_VALUE"""),"")</f>
        <v/>
      </c>
      <c r="T1054" s="5" t="str">
        <f>IFERROR(__xludf.DUMMYFUNCTION("""COMPUTED_VALUE"""),"")</f>
        <v/>
      </c>
      <c r="U1054" s="5" t="str">
        <f>IFERROR(__xludf.DUMMYFUNCTION("""COMPUTED_VALUE"""),"")</f>
        <v/>
      </c>
      <c r="V1054" s="5" t="str">
        <f>IFERROR(__xludf.DUMMYFUNCTION("""COMPUTED_VALUE"""),"")</f>
        <v/>
      </c>
      <c r="W1054" s="5" t="str">
        <f>IFERROR(__xludf.DUMMYFUNCTION("""COMPUTED_VALUE"""),"")</f>
        <v/>
      </c>
      <c r="X1054" s="5" t="str">
        <f>IFERROR(__xludf.DUMMYFUNCTION("""COMPUTED_VALUE"""),"")</f>
        <v/>
      </c>
      <c r="Y1054" s="5"/>
      <c r="Z1054" s="5"/>
    </row>
    <row r="1055">
      <c r="A1055" s="5"/>
      <c r="B1055" s="5" t="str">
        <f>IFERROR(__xludf.DUMMYFUNCTION("""COMPUTED_VALUE"""),"")</f>
        <v/>
      </c>
      <c r="C1055" s="5" t="str">
        <f>IFERROR(__xludf.DUMMYFUNCTION("""COMPUTED_VALUE"""),"")</f>
        <v/>
      </c>
      <c r="D1055" s="5" t="str">
        <f>IFERROR(__xludf.DUMMYFUNCTION("""COMPUTED_VALUE"""),"")</f>
        <v/>
      </c>
      <c r="E1055" s="5" t="str">
        <f>IFERROR(__xludf.DUMMYFUNCTION("""COMPUTED_VALUE"""),"")</f>
        <v/>
      </c>
      <c r="F1055" s="5" t="str">
        <f>IFERROR(__xludf.DUMMYFUNCTION("""COMPUTED_VALUE"""),"")</f>
        <v/>
      </c>
      <c r="G1055" s="5" t="str">
        <f>IFERROR(__xludf.DUMMYFUNCTION("""COMPUTED_VALUE"""),"")</f>
        <v/>
      </c>
      <c r="H1055" s="5" t="str">
        <f>IFERROR(__xludf.DUMMYFUNCTION("""COMPUTED_VALUE"""),"")</f>
        <v/>
      </c>
      <c r="I1055" s="5" t="str">
        <f>IFERROR(__xludf.DUMMYFUNCTION("""COMPUTED_VALUE"""),"")</f>
        <v/>
      </c>
      <c r="J1055" s="5" t="str">
        <f>IFERROR(__xludf.DUMMYFUNCTION("""COMPUTED_VALUE"""),"")</f>
        <v/>
      </c>
      <c r="K1055" s="5" t="str">
        <f>IFERROR(__xludf.DUMMYFUNCTION("""COMPUTED_VALUE"""),"")</f>
        <v/>
      </c>
      <c r="L1055" s="5" t="str">
        <f>IFERROR(__xludf.DUMMYFUNCTION("""COMPUTED_VALUE"""),"")</f>
        <v/>
      </c>
      <c r="M1055" s="5" t="str">
        <f>IFERROR(__xludf.DUMMYFUNCTION("""COMPUTED_VALUE"""),"")</f>
        <v/>
      </c>
      <c r="N1055" s="5" t="str">
        <f>IFERROR(__xludf.DUMMYFUNCTION("""COMPUTED_VALUE"""),"")</f>
        <v/>
      </c>
      <c r="O1055" s="5" t="str">
        <f>IFERROR(__xludf.DUMMYFUNCTION("""COMPUTED_VALUE"""),"")</f>
        <v/>
      </c>
      <c r="P1055" s="5" t="str">
        <f>IFERROR(__xludf.DUMMYFUNCTION("""COMPUTED_VALUE"""),"")</f>
        <v/>
      </c>
      <c r="Q1055" s="5" t="str">
        <f>IFERROR(__xludf.DUMMYFUNCTION("""COMPUTED_VALUE"""),"")</f>
        <v/>
      </c>
      <c r="R1055" s="5" t="str">
        <f>IFERROR(__xludf.DUMMYFUNCTION("""COMPUTED_VALUE"""),"")</f>
        <v/>
      </c>
      <c r="S1055" s="5" t="str">
        <f>IFERROR(__xludf.DUMMYFUNCTION("""COMPUTED_VALUE"""),"")</f>
        <v/>
      </c>
      <c r="T1055" s="5" t="str">
        <f>IFERROR(__xludf.DUMMYFUNCTION("""COMPUTED_VALUE"""),"")</f>
        <v/>
      </c>
      <c r="U1055" s="5" t="str">
        <f>IFERROR(__xludf.DUMMYFUNCTION("""COMPUTED_VALUE"""),"")</f>
        <v/>
      </c>
      <c r="V1055" s="5" t="str">
        <f>IFERROR(__xludf.DUMMYFUNCTION("""COMPUTED_VALUE"""),"")</f>
        <v/>
      </c>
      <c r="W1055" s="5" t="str">
        <f>IFERROR(__xludf.DUMMYFUNCTION("""COMPUTED_VALUE"""),"")</f>
        <v/>
      </c>
      <c r="X1055" s="5" t="str">
        <f>IFERROR(__xludf.DUMMYFUNCTION("""COMPUTED_VALUE"""),"")</f>
        <v/>
      </c>
      <c r="Y1055" s="5"/>
      <c r="Z1055" s="5"/>
    </row>
    <row r="1056">
      <c r="A1056" s="5"/>
      <c r="B1056" s="5" t="str">
        <f>IFERROR(__xludf.DUMMYFUNCTION("""COMPUTED_VALUE"""),"")</f>
        <v/>
      </c>
      <c r="C1056" s="5" t="str">
        <f>IFERROR(__xludf.DUMMYFUNCTION("""COMPUTED_VALUE"""),"")</f>
        <v/>
      </c>
      <c r="D1056" s="5" t="str">
        <f>IFERROR(__xludf.DUMMYFUNCTION("""COMPUTED_VALUE"""),"")</f>
        <v/>
      </c>
      <c r="E1056" s="5" t="str">
        <f>IFERROR(__xludf.DUMMYFUNCTION("""COMPUTED_VALUE"""),"")</f>
        <v/>
      </c>
      <c r="F1056" s="5" t="str">
        <f>IFERROR(__xludf.DUMMYFUNCTION("""COMPUTED_VALUE"""),"")</f>
        <v/>
      </c>
      <c r="G1056" s="5" t="str">
        <f>IFERROR(__xludf.DUMMYFUNCTION("""COMPUTED_VALUE"""),"")</f>
        <v/>
      </c>
      <c r="H1056" s="5" t="str">
        <f>IFERROR(__xludf.DUMMYFUNCTION("""COMPUTED_VALUE"""),"")</f>
        <v/>
      </c>
      <c r="I1056" s="5" t="str">
        <f>IFERROR(__xludf.DUMMYFUNCTION("""COMPUTED_VALUE"""),"")</f>
        <v/>
      </c>
      <c r="J1056" s="5" t="str">
        <f>IFERROR(__xludf.DUMMYFUNCTION("""COMPUTED_VALUE"""),"")</f>
        <v/>
      </c>
      <c r="K1056" s="5" t="str">
        <f>IFERROR(__xludf.DUMMYFUNCTION("""COMPUTED_VALUE"""),"")</f>
        <v/>
      </c>
      <c r="L1056" s="5" t="str">
        <f>IFERROR(__xludf.DUMMYFUNCTION("""COMPUTED_VALUE"""),"")</f>
        <v/>
      </c>
      <c r="M1056" s="5" t="str">
        <f>IFERROR(__xludf.DUMMYFUNCTION("""COMPUTED_VALUE"""),"")</f>
        <v/>
      </c>
      <c r="N1056" s="5" t="str">
        <f>IFERROR(__xludf.DUMMYFUNCTION("""COMPUTED_VALUE"""),"")</f>
        <v/>
      </c>
      <c r="O1056" s="5" t="str">
        <f>IFERROR(__xludf.DUMMYFUNCTION("""COMPUTED_VALUE"""),"")</f>
        <v/>
      </c>
      <c r="P1056" s="5" t="str">
        <f>IFERROR(__xludf.DUMMYFUNCTION("""COMPUTED_VALUE"""),"")</f>
        <v/>
      </c>
      <c r="Q1056" s="5" t="str">
        <f>IFERROR(__xludf.DUMMYFUNCTION("""COMPUTED_VALUE"""),"")</f>
        <v/>
      </c>
      <c r="R1056" s="5" t="str">
        <f>IFERROR(__xludf.DUMMYFUNCTION("""COMPUTED_VALUE"""),"")</f>
        <v/>
      </c>
      <c r="S1056" s="5" t="str">
        <f>IFERROR(__xludf.DUMMYFUNCTION("""COMPUTED_VALUE"""),"")</f>
        <v/>
      </c>
      <c r="T1056" s="5" t="str">
        <f>IFERROR(__xludf.DUMMYFUNCTION("""COMPUTED_VALUE"""),"")</f>
        <v/>
      </c>
      <c r="U1056" s="5" t="str">
        <f>IFERROR(__xludf.DUMMYFUNCTION("""COMPUTED_VALUE"""),"")</f>
        <v/>
      </c>
      <c r="V1056" s="5" t="str">
        <f>IFERROR(__xludf.DUMMYFUNCTION("""COMPUTED_VALUE"""),"")</f>
        <v/>
      </c>
      <c r="W1056" s="5" t="str">
        <f>IFERROR(__xludf.DUMMYFUNCTION("""COMPUTED_VALUE"""),"")</f>
        <v/>
      </c>
      <c r="X1056" s="5" t="str">
        <f>IFERROR(__xludf.DUMMYFUNCTION("""COMPUTED_VALUE"""),"")</f>
        <v/>
      </c>
      <c r="Y1056" s="5"/>
      <c r="Z1056" s="5"/>
    </row>
    <row r="1057">
      <c r="A1057" s="5"/>
      <c r="B1057" s="5" t="str">
        <f>IFERROR(__xludf.DUMMYFUNCTION("""COMPUTED_VALUE"""),"")</f>
        <v/>
      </c>
      <c r="C1057" s="5" t="str">
        <f>IFERROR(__xludf.DUMMYFUNCTION("""COMPUTED_VALUE"""),"")</f>
        <v/>
      </c>
      <c r="D1057" s="5" t="str">
        <f>IFERROR(__xludf.DUMMYFUNCTION("""COMPUTED_VALUE"""),"")</f>
        <v/>
      </c>
      <c r="E1057" s="5" t="str">
        <f>IFERROR(__xludf.DUMMYFUNCTION("""COMPUTED_VALUE"""),"")</f>
        <v/>
      </c>
      <c r="F1057" s="5" t="str">
        <f>IFERROR(__xludf.DUMMYFUNCTION("""COMPUTED_VALUE"""),"")</f>
        <v/>
      </c>
      <c r="G1057" s="5" t="str">
        <f>IFERROR(__xludf.DUMMYFUNCTION("""COMPUTED_VALUE"""),"")</f>
        <v/>
      </c>
      <c r="H1057" s="5" t="str">
        <f>IFERROR(__xludf.DUMMYFUNCTION("""COMPUTED_VALUE"""),"")</f>
        <v/>
      </c>
      <c r="I1057" s="5" t="str">
        <f>IFERROR(__xludf.DUMMYFUNCTION("""COMPUTED_VALUE"""),"")</f>
        <v/>
      </c>
      <c r="J1057" s="5" t="str">
        <f>IFERROR(__xludf.DUMMYFUNCTION("""COMPUTED_VALUE"""),"")</f>
        <v/>
      </c>
      <c r="K1057" s="5" t="str">
        <f>IFERROR(__xludf.DUMMYFUNCTION("""COMPUTED_VALUE"""),"")</f>
        <v/>
      </c>
      <c r="L1057" s="5" t="str">
        <f>IFERROR(__xludf.DUMMYFUNCTION("""COMPUTED_VALUE"""),"")</f>
        <v/>
      </c>
      <c r="M1057" s="5" t="str">
        <f>IFERROR(__xludf.DUMMYFUNCTION("""COMPUTED_VALUE"""),"")</f>
        <v/>
      </c>
      <c r="N1057" s="5" t="str">
        <f>IFERROR(__xludf.DUMMYFUNCTION("""COMPUTED_VALUE"""),"")</f>
        <v/>
      </c>
      <c r="O1057" s="5" t="str">
        <f>IFERROR(__xludf.DUMMYFUNCTION("""COMPUTED_VALUE"""),"")</f>
        <v/>
      </c>
      <c r="P1057" s="5" t="str">
        <f>IFERROR(__xludf.DUMMYFUNCTION("""COMPUTED_VALUE"""),"")</f>
        <v/>
      </c>
      <c r="Q1057" s="5" t="str">
        <f>IFERROR(__xludf.DUMMYFUNCTION("""COMPUTED_VALUE"""),"")</f>
        <v/>
      </c>
      <c r="R1057" s="5" t="str">
        <f>IFERROR(__xludf.DUMMYFUNCTION("""COMPUTED_VALUE"""),"")</f>
        <v/>
      </c>
      <c r="S1057" s="5" t="str">
        <f>IFERROR(__xludf.DUMMYFUNCTION("""COMPUTED_VALUE"""),"")</f>
        <v/>
      </c>
      <c r="T1057" s="5" t="str">
        <f>IFERROR(__xludf.DUMMYFUNCTION("""COMPUTED_VALUE"""),"")</f>
        <v/>
      </c>
      <c r="U1057" s="5" t="str">
        <f>IFERROR(__xludf.DUMMYFUNCTION("""COMPUTED_VALUE"""),"")</f>
        <v/>
      </c>
      <c r="V1057" s="5" t="str">
        <f>IFERROR(__xludf.DUMMYFUNCTION("""COMPUTED_VALUE"""),"")</f>
        <v/>
      </c>
      <c r="W1057" s="5" t="str">
        <f>IFERROR(__xludf.DUMMYFUNCTION("""COMPUTED_VALUE"""),"")</f>
        <v/>
      </c>
      <c r="X1057" s="5" t="str">
        <f>IFERROR(__xludf.DUMMYFUNCTION("""COMPUTED_VALUE"""),"")</f>
        <v/>
      </c>
      <c r="Y1057" s="5"/>
      <c r="Z1057" s="5"/>
    </row>
    <row r="1058">
      <c r="A1058" s="5"/>
      <c r="B1058" s="5" t="str">
        <f>IFERROR(__xludf.DUMMYFUNCTION("""COMPUTED_VALUE"""),"")</f>
        <v/>
      </c>
      <c r="C1058" s="5" t="str">
        <f>IFERROR(__xludf.DUMMYFUNCTION("""COMPUTED_VALUE"""),"")</f>
        <v/>
      </c>
      <c r="D1058" s="5" t="str">
        <f>IFERROR(__xludf.DUMMYFUNCTION("""COMPUTED_VALUE"""),"")</f>
        <v/>
      </c>
      <c r="E1058" s="5" t="str">
        <f>IFERROR(__xludf.DUMMYFUNCTION("""COMPUTED_VALUE"""),"")</f>
        <v/>
      </c>
      <c r="F1058" s="5" t="str">
        <f>IFERROR(__xludf.DUMMYFUNCTION("""COMPUTED_VALUE"""),"")</f>
        <v/>
      </c>
      <c r="G1058" s="5" t="str">
        <f>IFERROR(__xludf.DUMMYFUNCTION("""COMPUTED_VALUE"""),"")</f>
        <v/>
      </c>
      <c r="H1058" s="5" t="str">
        <f>IFERROR(__xludf.DUMMYFUNCTION("""COMPUTED_VALUE"""),"")</f>
        <v/>
      </c>
      <c r="I1058" s="5" t="str">
        <f>IFERROR(__xludf.DUMMYFUNCTION("""COMPUTED_VALUE"""),"")</f>
        <v/>
      </c>
      <c r="J1058" s="5" t="str">
        <f>IFERROR(__xludf.DUMMYFUNCTION("""COMPUTED_VALUE"""),"")</f>
        <v/>
      </c>
      <c r="K1058" s="5" t="str">
        <f>IFERROR(__xludf.DUMMYFUNCTION("""COMPUTED_VALUE"""),"")</f>
        <v/>
      </c>
      <c r="L1058" s="5" t="str">
        <f>IFERROR(__xludf.DUMMYFUNCTION("""COMPUTED_VALUE"""),"")</f>
        <v/>
      </c>
      <c r="M1058" s="5" t="str">
        <f>IFERROR(__xludf.DUMMYFUNCTION("""COMPUTED_VALUE"""),"")</f>
        <v/>
      </c>
      <c r="N1058" s="5" t="str">
        <f>IFERROR(__xludf.DUMMYFUNCTION("""COMPUTED_VALUE"""),"")</f>
        <v/>
      </c>
      <c r="O1058" s="5" t="str">
        <f>IFERROR(__xludf.DUMMYFUNCTION("""COMPUTED_VALUE"""),"")</f>
        <v/>
      </c>
      <c r="P1058" s="5" t="str">
        <f>IFERROR(__xludf.DUMMYFUNCTION("""COMPUTED_VALUE"""),"")</f>
        <v/>
      </c>
      <c r="Q1058" s="5" t="str">
        <f>IFERROR(__xludf.DUMMYFUNCTION("""COMPUTED_VALUE"""),"")</f>
        <v/>
      </c>
      <c r="R1058" s="5" t="str">
        <f>IFERROR(__xludf.DUMMYFUNCTION("""COMPUTED_VALUE"""),"")</f>
        <v/>
      </c>
      <c r="S1058" s="5" t="str">
        <f>IFERROR(__xludf.DUMMYFUNCTION("""COMPUTED_VALUE"""),"")</f>
        <v/>
      </c>
      <c r="T1058" s="5" t="str">
        <f>IFERROR(__xludf.DUMMYFUNCTION("""COMPUTED_VALUE"""),"")</f>
        <v/>
      </c>
      <c r="U1058" s="5" t="str">
        <f>IFERROR(__xludf.DUMMYFUNCTION("""COMPUTED_VALUE"""),"")</f>
        <v/>
      </c>
      <c r="V1058" s="5" t="str">
        <f>IFERROR(__xludf.DUMMYFUNCTION("""COMPUTED_VALUE"""),"")</f>
        <v/>
      </c>
      <c r="W1058" s="5" t="str">
        <f>IFERROR(__xludf.DUMMYFUNCTION("""COMPUTED_VALUE"""),"")</f>
        <v/>
      </c>
      <c r="X1058" s="5" t="str">
        <f>IFERROR(__xludf.DUMMYFUNCTION("""COMPUTED_VALUE"""),"")</f>
        <v/>
      </c>
      <c r="Y1058" s="5"/>
      <c r="Z1058" s="5"/>
    </row>
    <row r="1059">
      <c r="A1059" s="5"/>
      <c r="B1059" s="5" t="str">
        <f>IFERROR(__xludf.DUMMYFUNCTION("""COMPUTED_VALUE"""),"")</f>
        <v/>
      </c>
      <c r="C1059" s="5" t="str">
        <f>IFERROR(__xludf.DUMMYFUNCTION("""COMPUTED_VALUE"""),"")</f>
        <v/>
      </c>
      <c r="D1059" s="5" t="str">
        <f>IFERROR(__xludf.DUMMYFUNCTION("""COMPUTED_VALUE"""),"")</f>
        <v/>
      </c>
      <c r="E1059" s="5" t="str">
        <f>IFERROR(__xludf.DUMMYFUNCTION("""COMPUTED_VALUE"""),"")</f>
        <v/>
      </c>
      <c r="F1059" s="5" t="str">
        <f>IFERROR(__xludf.DUMMYFUNCTION("""COMPUTED_VALUE"""),"")</f>
        <v/>
      </c>
      <c r="G1059" s="5" t="str">
        <f>IFERROR(__xludf.DUMMYFUNCTION("""COMPUTED_VALUE"""),"")</f>
        <v/>
      </c>
      <c r="H1059" s="5" t="str">
        <f>IFERROR(__xludf.DUMMYFUNCTION("""COMPUTED_VALUE"""),"")</f>
        <v/>
      </c>
      <c r="I1059" s="5" t="str">
        <f>IFERROR(__xludf.DUMMYFUNCTION("""COMPUTED_VALUE"""),"")</f>
        <v/>
      </c>
      <c r="J1059" s="5" t="str">
        <f>IFERROR(__xludf.DUMMYFUNCTION("""COMPUTED_VALUE"""),"")</f>
        <v/>
      </c>
      <c r="K1059" s="5" t="str">
        <f>IFERROR(__xludf.DUMMYFUNCTION("""COMPUTED_VALUE"""),"")</f>
        <v/>
      </c>
      <c r="L1059" s="5" t="str">
        <f>IFERROR(__xludf.DUMMYFUNCTION("""COMPUTED_VALUE"""),"")</f>
        <v/>
      </c>
      <c r="M1059" s="5" t="str">
        <f>IFERROR(__xludf.DUMMYFUNCTION("""COMPUTED_VALUE"""),"")</f>
        <v/>
      </c>
      <c r="N1059" s="5" t="str">
        <f>IFERROR(__xludf.DUMMYFUNCTION("""COMPUTED_VALUE"""),"")</f>
        <v/>
      </c>
      <c r="O1059" s="5" t="str">
        <f>IFERROR(__xludf.DUMMYFUNCTION("""COMPUTED_VALUE"""),"")</f>
        <v/>
      </c>
      <c r="P1059" s="5" t="str">
        <f>IFERROR(__xludf.DUMMYFUNCTION("""COMPUTED_VALUE"""),"")</f>
        <v/>
      </c>
      <c r="Q1059" s="5" t="str">
        <f>IFERROR(__xludf.DUMMYFUNCTION("""COMPUTED_VALUE"""),"")</f>
        <v/>
      </c>
      <c r="R1059" s="5" t="str">
        <f>IFERROR(__xludf.DUMMYFUNCTION("""COMPUTED_VALUE"""),"")</f>
        <v/>
      </c>
      <c r="S1059" s="5" t="str">
        <f>IFERROR(__xludf.DUMMYFUNCTION("""COMPUTED_VALUE"""),"")</f>
        <v/>
      </c>
      <c r="T1059" s="5" t="str">
        <f>IFERROR(__xludf.DUMMYFUNCTION("""COMPUTED_VALUE"""),"")</f>
        <v/>
      </c>
      <c r="U1059" s="5" t="str">
        <f>IFERROR(__xludf.DUMMYFUNCTION("""COMPUTED_VALUE"""),"")</f>
        <v/>
      </c>
      <c r="V1059" s="5" t="str">
        <f>IFERROR(__xludf.DUMMYFUNCTION("""COMPUTED_VALUE"""),"")</f>
        <v/>
      </c>
      <c r="W1059" s="5" t="str">
        <f>IFERROR(__xludf.DUMMYFUNCTION("""COMPUTED_VALUE"""),"")</f>
        <v/>
      </c>
      <c r="X1059" s="5" t="str">
        <f>IFERROR(__xludf.DUMMYFUNCTION("""COMPUTED_VALUE"""),"")</f>
        <v/>
      </c>
      <c r="Y1059" s="5"/>
      <c r="Z1059" s="5"/>
    </row>
    <row r="1060">
      <c r="A1060" s="5"/>
      <c r="B1060" s="5" t="str">
        <f>IFERROR(__xludf.DUMMYFUNCTION("""COMPUTED_VALUE"""),"")</f>
        <v/>
      </c>
      <c r="C1060" s="5" t="str">
        <f>IFERROR(__xludf.DUMMYFUNCTION("""COMPUTED_VALUE"""),"")</f>
        <v/>
      </c>
      <c r="D1060" s="5" t="str">
        <f>IFERROR(__xludf.DUMMYFUNCTION("""COMPUTED_VALUE"""),"")</f>
        <v/>
      </c>
      <c r="E1060" s="5" t="str">
        <f>IFERROR(__xludf.DUMMYFUNCTION("""COMPUTED_VALUE"""),"")</f>
        <v/>
      </c>
      <c r="F1060" s="5" t="str">
        <f>IFERROR(__xludf.DUMMYFUNCTION("""COMPUTED_VALUE"""),"")</f>
        <v/>
      </c>
      <c r="G1060" s="5" t="str">
        <f>IFERROR(__xludf.DUMMYFUNCTION("""COMPUTED_VALUE"""),"")</f>
        <v/>
      </c>
      <c r="H1060" s="5" t="str">
        <f>IFERROR(__xludf.DUMMYFUNCTION("""COMPUTED_VALUE"""),"")</f>
        <v/>
      </c>
      <c r="I1060" s="5" t="str">
        <f>IFERROR(__xludf.DUMMYFUNCTION("""COMPUTED_VALUE"""),"")</f>
        <v/>
      </c>
      <c r="J1060" s="5" t="str">
        <f>IFERROR(__xludf.DUMMYFUNCTION("""COMPUTED_VALUE"""),"")</f>
        <v/>
      </c>
      <c r="K1060" s="5" t="str">
        <f>IFERROR(__xludf.DUMMYFUNCTION("""COMPUTED_VALUE"""),"")</f>
        <v/>
      </c>
      <c r="L1060" s="5" t="str">
        <f>IFERROR(__xludf.DUMMYFUNCTION("""COMPUTED_VALUE"""),"")</f>
        <v/>
      </c>
      <c r="M1060" s="5" t="str">
        <f>IFERROR(__xludf.DUMMYFUNCTION("""COMPUTED_VALUE"""),"")</f>
        <v/>
      </c>
      <c r="N1060" s="5" t="str">
        <f>IFERROR(__xludf.DUMMYFUNCTION("""COMPUTED_VALUE"""),"")</f>
        <v/>
      </c>
      <c r="O1060" s="5" t="str">
        <f>IFERROR(__xludf.DUMMYFUNCTION("""COMPUTED_VALUE"""),"")</f>
        <v/>
      </c>
      <c r="P1060" s="5" t="str">
        <f>IFERROR(__xludf.DUMMYFUNCTION("""COMPUTED_VALUE"""),"")</f>
        <v/>
      </c>
      <c r="Q1060" s="5" t="str">
        <f>IFERROR(__xludf.DUMMYFUNCTION("""COMPUTED_VALUE"""),"")</f>
        <v/>
      </c>
      <c r="R1060" s="5" t="str">
        <f>IFERROR(__xludf.DUMMYFUNCTION("""COMPUTED_VALUE"""),"")</f>
        <v/>
      </c>
      <c r="S1060" s="5" t="str">
        <f>IFERROR(__xludf.DUMMYFUNCTION("""COMPUTED_VALUE"""),"")</f>
        <v/>
      </c>
      <c r="T1060" s="5" t="str">
        <f>IFERROR(__xludf.DUMMYFUNCTION("""COMPUTED_VALUE"""),"")</f>
        <v/>
      </c>
      <c r="U1060" s="5" t="str">
        <f>IFERROR(__xludf.DUMMYFUNCTION("""COMPUTED_VALUE"""),"")</f>
        <v/>
      </c>
      <c r="V1060" s="5" t="str">
        <f>IFERROR(__xludf.DUMMYFUNCTION("""COMPUTED_VALUE"""),"")</f>
        <v/>
      </c>
      <c r="W1060" s="5" t="str">
        <f>IFERROR(__xludf.DUMMYFUNCTION("""COMPUTED_VALUE"""),"")</f>
        <v/>
      </c>
      <c r="X1060" s="5" t="str">
        <f>IFERROR(__xludf.DUMMYFUNCTION("""COMPUTED_VALUE"""),"")</f>
        <v/>
      </c>
      <c r="Y1060" s="5"/>
      <c r="Z1060" s="5"/>
    </row>
    <row r="1061">
      <c r="A1061" s="5"/>
      <c r="B1061" s="5" t="str">
        <f>IFERROR(__xludf.DUMMYFUNCTION("""COMPUTED_VALUE"""),"")</f>
        <v/>
      </c>
      <c r="C1061" s="5" t="str">
        <f>IFERROR(__xludf.DUMMYFUNCTION("""COMPUTED_VALUE"""),"")</f>
        <v/>
      </c>
      <c r="D1061" s="5" t="str">
        <f>IFERROR(__xludf.DUMMYFUNCTION("""COMPUTED_VALUE"""),"")</f>
        <v/>
      </c>
      <c r="E1061" s="5" t="str">
        <f>IFERROR(__xludf.DUMMYFUNCTION("""COMPUTED_VALUE"""),"")</f>
        <v/>
      </c>
      <c r="F1061" s="5" t="str">
        <f>IFERROR(__xludf.DUMMYFUNCTION("""COMPUTED_VALUE"""),"")</f>
        <v/>
      </c>
      <c r="G1061" s="5" t="str">
        <f>IFERROR(__xludf.DUMMYFUNCTION("""COMPUTED_VALUE"""),"")</f>
        <v/>
      </c>
      <c r="H1061" s="5" t="str">
        <f>IFERROR(__xludf.DUMMYFUNCTION("""COMPUTED_VALUE"""),"")</f>
        <v/>
      </c>
      <c r="I1061" s="5" t="str">
        <f>IFERROR(__xludf.DUMMYFUNCTION("""COMPUTED_VALUE"""),"")</f>
        <v/>
      </c>
      <c r="J1061" s="5" t="str">
        <f>IFERROR(__xludf.DUMMYFUNCTION("""COMPUTED_VALUE"""),"")</f>
        <v/>
      </c>
      <c r="K1061" s="5" t="str">
        <f>IFERROR(__xludf.DUMMYFUNCTION("""COMPUTED_VALUE"""),"")</f>
        <v/>
      </c>
      <c r="L1061" s="5" t="str">
        <f>IFERROR(__xludf.DUMMYFUNCTION("""COMPUTED_VALUE"""),"")</f>
        <v/>
      </c>
      <c r="M1061" s="5" t="str">
        <f>IFERROR(__xludf.DUMMYFUNCTION("""COMPUTED_VALUE"""),"")</f>
        <v/>
      </c>
      <c r="N1061" s="5" t="str">
        <f>IFERROR(__xludf.DUMMYFUNCTION("""COMPUTED_VALUE"""),"")</f>
        <v/>
      </c>
      <c r="O1061" s="5" t="str">
        <f>IFERROR(__xludf.DUMMYFUNCTION("""COMPUTED_VALUE"""),"")</f>
        <v/>
      </c>
      <c r="P1061" s="5" t="str">
        <f>IFERROR(__xludf.DUMMYFUNCTION("""COMPUTED_VALUE"""),"")</f>
        <v/>
      </c>
      <c r="Q1061" s="5" t="str">
        <f>IFERROR(__xludf.DUMMYFUNCTION("""COMPUTED_VALUE"""),"")</f>
        <v/>
      </c>
      <c r="R1061" s="5" t="str">
        <f>IFERROR(__xludf.DUMMYFUNCTION("""COMPUTED_VALUE"""),"")</f>
        <v/>
      </c>
      <c r="S1061" s="5" t="str">
        <f>IFERROR(__xludf.DUMMYFUNCTION("""COMPUTED_VALUE"""),"")</f>
        <v/>
      </c>
      <c r="T1061" s="5" t="str">
        <f>IFERROR(__xludf.DUMMYFUNCTION("""COMPUTED_VALUE"""),"")</f>
        <v/>
      </c>
      <c r="U1061" s="5" t="str">
        <f>IFERROR(__xludf.DUMMYFUNCTION("""COMPUTED_VALUE"""),"")</f>
        <v/>
      </c>
      <c r="V1061" s="5" t="str">
        <f>IFERROR(__xludf.DUMMYFUNCTION("""COMPUTED_VALUE"""),"")</f>
        <v/>
      </c>
      <c r="W1061" s="5" t="str">
        <f>IFERROR(__xludf.DUMMYFUNCTION("""COMPUTED_VALUE"""),"")</f>
        <v/>
      </c>
      <c r="X1061" s="5" t="str">
        <f>IFERROR(__xludf.DUMMYFUNCTION("""COMPUTED_VALUE"""),"")</f>
        <v/>
      </c>
      <c r="Y1061" s="5"/>
      <c r="Z1061" s="5"/>
    </row>
    <row r="1062">
      <c r="A1062" s="5"/>
      <c r="B1062" s="5" t="str">
        <f>IFERROR(__xludf.DUMMYFUNCTION("""COMPUTED_VALUE"""),"")</f>
        <v/>
      </c>
      <c r="C1062" s="5" t="str">
        <f>IFERROR(__xludf.DUMMYFUNCTION("""COMPUTED_VALUE"""),"")</f>
        <v/>
      </c>
      <c r="D1062" s="5" t="str">
        <f>IFERROR(__xludf.DUMMYFUNCTION("""COMPUTED_VALUE"""),"")</f>
        <v/>
      </c>
      <c r="E1062" s="5" t="str">
        <f>IFERROR(__xludf.DUMMYFUNCTION("""COMPUTED_VALUE"""),"")</f>
        <v/>
      </c>
      <c r="F1062" s="5" t="str">
        <f>IFERROR(__xludf.DUMMYFUNCTION("""COMPUTED_VALUE"""),"")</f>
        <v/>
      </c>
      <c r="G1062" s="5" t="str">
        <f>IFERROR(__xludf.DUMMYFUNCTION("""COMPUTED_VALUE"""),"")</f>
        <v/>
      </c>
      <c r="H1062" s="5" t="str">
        <f>IFERROR(__xludf.DUMMYFUNCTION("""COMPUTED_VALUE"""),"")</f>
        <v/>
      </c>
      <c r="I1062" s="5" t="str">
        <f>IFERROR(__xludf.DUMMYFUNCTION("""COMPUTED_VALUE"""),"")</f>
        <v/>
      </c>
      <c r="J1062" s="5" t="str">
        <f>IFERROR(__xludf.DUMMYFUNCTION("""COMPUTED_VALUE"""),"")</f>
        <v/>
      </c>
      <c r="K1062" s="5" t="str">
        <f>IFERROR(__xludf.DUMMYFUNCTION("""COMPUTED_VALUE"""),"")</f>
        <v/>
      </c>
      <c r="L1062" s="5" t="str">
        <f>IFERROR(__xludf.DUMMYFUNCTION("""COMPUTED_VALUE"""),"")</f>
        <v/>
      </c>
      <c r="M1062" s="5" t="str">
        <f>IFERROR(__xludf.DUMMYFUNCTION("""COMPUTED_VALUE"""),"")</f>
        <v/>
      </c>
      <c r="N1062" s="5" t="str">
        <f>IFERROR(__xludf.DUMMYFUNCTION("""COMPUTED_VALUE"""),"")</f>
        <v/>
      </c>
      <c r="O1062" s="5" t="str">
        <f>IFERROR(__xludf.DUMMYFUNCTION("""COMPUTED_VALUE"""),"")</f>
        <v/>
      </c>
      <c r="P1062" s="5" t="str">
        <f>IFERROR(__xludf.DUMMYFUNCTION("""COMPUTED_VALUE"""),"")</f>
        <v/>
      </c>
      <c r="Q1062" s="5" t="str">
        <f>IFERROR(__xludf.DUMMYFUNCTION("""COMPUTED_VALUE"""),"")</f>
        <v/>
      </c>
      <c r="R1062" s="5" t="str">
        <f>IFERROR(__xludf.DUMMYFUNCTION("""COMPUTED_VALUE"""),"")</f>
        <v/>
      </c>
      <c r="S1062" s="5" t="str">
        <f>IFERROR(__xludf.DUMMYFUNCTION("""COMPUTED_VALUE"""),"")</f>
        <v/>
      </c>
      <c r="T1062" s="5" t="str">
        <f>IFERROR(__xludf.DUMMYFUNCTION("""COMPUTED_VALUE"""),"")</f>
        <v/>
      </c>
      <c r="U1062" s="5" t="str">
        <f>IFERROR(__xludf.DUMMYFUNCTION("""COMPUTED_VALUE"""),"")</f>
        <v/>
      </c>
      <c r="V1062" s="5" t="str">
        <f>IFERROR(__xludf.DUMMYFUNCTION("""COMPUTED_VALUE"""),"")</f>
        <v/>
      </c>
      <c r="W1062" s="5" t="str">
        <f>IFERROR(__xludf.DUMMYFUNCTION("""COMPUTED_VALUE"""),"")</f>
        <v/>
      </c>
      <c r="X1062" s="5" t="str">
        <f>IFERROR(__xludf.DUMMYFUNCTION("""COMPUTED_VALUE"""),"")</f>
        <v/>
      </c>
      <c r="Y1062" s="5"/>
      <c r="Z1062" s="5"/>
    </row>
    <row r="1063">
      <c r="A1063" s="5"/>
      <c r="B1063" s="5" t="str">
        <f>IFERROR(__xludf.DUMMYFUNCTION("""COMPUTED_VALUE"""),"")</f>
        <v/>
      </c>
      <c r="C1063" s="5" t="str">
        <f>IFERROR(__xludf.DUMMYFUNCTION("""COMPUTED_VALUE"""),"")</f>
        <v/>
      </c>
      <c r="D1063" s="5" t="str">
        <f>IFERROR(__xludf.DUMMYFUNCTION("""COMPUTED_VALUE"""),"")</f>
        <v/>
      </c>
      <c r="E1063" s="5" t="str">
        <f>IFERROR(__xludf.DUMMYFUNCTION("""COMPUTED_VALUE"""),"")</f>
        <v/>
      </c>
      <c r="F1063" s="5" t="str">
        <f>IFERROR(__xludf.DUMMYFUNCTION("""COMPUTED_VALUE"""),"")</f>
        <v/>
      </c>
      <c r="G1063" s="5" t="str">
        <f>IFERROR(__xludf.DUMMYFUNCTION("""COMPUTED_VALUE"""),"")</f>
        <v/>
      </c>
      <c r="H1063" s="5" t="str">
        <f>IFERROR(__xludf.DUMMYFUNCTION("""COMPUTED_VALUE"""),"")</f>
        <v/>
      </c>
      <c r="I1063" s="5" t="str">
        <f>IFERROR(__xludf.DUMMYFUNCTION("""COMPUTED_VALUE"""),"")</f>
        <v/>
      </c>
      <c r="J1063" s="5" t="str">
        <f>IFERROR(__xludf.DUMMYFUNCTION("""COMPUTED_VALUE"""),"")</f>
        <v/>
      </c>
      <c r="K1063" s="5" t="str">
        <f>IFERROR(__xludf.DUMMYFUNCTION("""COMPUTED_VALUE"""),"")</f>
        <v/>
      </c>
      <c r="L1063" s="5" t="str">
        <f>IFERROR(__xludf.DUMMYFUNCTION("""COMPUTED_VALUE"""),"")</f>
        <v/>
      </c>
      <c r="M1063" s="5" t="str">
        <f>IFERROR(__xludf.DUMMYFUNCTION("""COMPUTED_VALUE"""),"")</f>
        <v/>
      </c>
      <c r="N1063" s="5" t="str">
        <f>IFERROR(__xludf.DUMMYFUNCTION("""COMPUTED_VALUE"""),"")</f>
        <v/>
      </c>
      <c r="O1063" s="5" t="str">
        <f>IFERROR(__xludf.DUMMYFUNCTION("""COMPUTED_VALUE"""),"")</f>
        <v/>
      </c>
      <c r="P1063" s="5" t="str">
        <f>IFERROR(__xludf.DUMMYFUNCTION("""COMPUTED_VALUE"""),"")</f>
        <v/>
      </c>
      <c r="Q1063" s="5" t="str">
        <f>IFERROR(__xludf.DUMMYFUNCTION("""COMPUTED_VALUE"""),"")</f>
        <v/>
      </c>
      <c r="R1063" s="5" t="str">
        <f>IFERROR(__xludf.DUMMYFUNCTION("""COMPUTED_VALUE"""),"")</f>
        <v/>
      </c>
      <c r="S1063" s="5" t="str">
        <f>IFERROR(__xludf.DUMMYFUNCTION("""COMPUTED_VALUE"""),"")</f>
        <v/>
      </c>
      <c r="T1063" s="5" t="str">
        <f>IFERROR(__xludf.DUMMYFUNCTION("""COMPUTED_VALUE"""),"")</f>
        <v/>
      </c>
      <c r="U1063" s="5" t="str">
        <f>IFERROR(__xludf.DUMMYFUNCTION("""COMPUTED_VALUE"""),"")</f>
        <v/>
      </c>
      <c r="V1063" s="5" t="str">
        <f>IFERROR(__xludf.DUMMYFUNCTION("""COMPUTED_VALUE"""),"")</f>
        <v/>
      </c>
      <c r="W1063" s="5" t="str">
        <f>IFERROR(__xludf.DUMMYFUNCTION("""COMPUTED_VALUE"""),"")</f>
        <v/>
      </c>
      <c r="X1063" s="5" t="str">
        <f>IFERROR(__xludf.DUMMYFUNCTION("""COMPUTED_VALUE"""),"")</f>
        <v/>
      </c>
      <c r="Y1063" s="5"/>
      <c r="Z1063" s="5"/>
    </row>
    <row r="1064">
      <c r="A1064" s="5"/>
      <c r="B1064" s="5" t="str">
        <f>IFERROR(__xludf.DUMMYFUNCTION("""COMPUTED_VALUE"""),"")</f>
        <v/>
      </c>
      <c r="C1064" s="5" t="str">
        <f>IFERROR(__xludf.DUMMYFUNCTION("""COMPUTED_VALUE"""),"")</f>
        <v/>
      </c>
      <c r="D1064" s="5" t="str">
        <f>IFERROR(__xludf.DUMMYFUNCTION("""COMPUTED_VALUE"""),"")</f>
        <v/>
      </c>
      <c r="E1064" s="5" t="str">
        <f>IFERROR(__xludf.DUMMYFUNCTION("""COMPUTED_VALUE"""),"")</f>
        <v/>
      </c>
      <c r="F1064" s="5" t="str">
        <f>IFERROR(__xludf.DUMMYFUNCTION("""COMPUTED_VALUE"""),"")</f>
        <v/>
      </c>
      <c r="G1064" s="5" t="str">
        <f>IFERROR(__xludf.DUMMYFUNCTION("""COMPUTED_VALUE"""),"")</f>
        <v/>
      </c>
      <c r="H1064" s="5" t="str">
        <f>IFERROR(__xludf.DUMMYFUNCTION("""COMPUTED_VALUE"""),"")</f>
        <v/>
      </c>
      <c r="I1064" s="5" t="str">
        <f>IFERROR(__xludf.DUMMYFUNCTION("""COMPUTED_VALUE"""),"")</f>
        <v/>
      </c>
      <c r="J1064" s="5" t="str">
        <f>IFERROR(__xludf.DUMMYFUNCTION("""COMPUTED_VALUE"""),"")</f>
        <v/>
      </c>
      <c r="K1064" s="5" t="str">
        <f>IFERROR(__xludf.DUMMYFUNCTION("""COMPUTED_VALUE"""),"")</f>
        <v/>
      </c>
      <c r="L1064" s="5" t="str">
        <f>IFERROR(__xludf.DUMMYFUNCTION("""COMPUTED_VALUE"""),"")</f>
        <v/>
      </c>
      <c r="M1064" s="5" t="str">
        <f>IFERROR(__xludf.DUMMYFUNCTION("""COMPUTED_VALUE"""),"")</f>
        <v/>
      </c>
      <c r="N1064" s="5" t="str">
        <f>IFERROR(__xludf.DUMMYFUNCTION("""COMPUTED_VALUE"""),"")</f>
        <v/>
      </c>
      <c r="O1064" s="5" t="str">
        <f>IFERROR(__xludf.DUMMYFUNCTION("""COMPUTED_VALUE"""),"")</f>
        <v/>
      </c>
      <c r="P1064" s="5" t="str">
        <f>IFERROR(__xludf.DUMMYFUNCTION("""COMPUTED_VALUE"""),"")</f>
        <v/>
      </c>
      <c r="Q1064" s="5" t="str">
        <f>IFERROR(__xludf.DUMMYFUNCTION("""COMPUTED_VALUE"""),"")</f>
        <v/>
      </c>
      <c r="R1064" s="5" t="str">
        <f>IFERROR(__xludf.DUMMYFUNCTION("""COMPUTED_VALUE"""),"")</f>
        <v/>
      </c>
      <c r="S1064" s="5" t="str">
        <f>IFERROR(__xludf.DUMMYFUNCTION("""COMPUTED_VALUE"""),"")</f>
        <v/>
      </c>
      <c r="T1064" s="5" t="str">
        <f>IFERROR(__xludf.DUMMYFUNCTION("""COMPUTED_VALUE"""),"")</f>
        <v/>
      </c>
      <c r="U1064" s="5" t="str">
        <f>IFERROR(__xludf.DUMMYFUNCTION("""COMPUTED_VALUE"""),"")</f>
        <v/>
      </c>
      <c r="V1064" s="5" t="str">
        <f>IFERROR(__xludf.DUMMYFUNCTION("""COMPUTED_VALUE"""),"")</f>
        <v/>
      </c>
      <c r="W1064" s="5" t="str">
        <f>IFERROR(__xludf.DUMMYFUNCTION("""COMPUTED_VALUE"""),"")</f>
        <v/>
      </c>
      <c r="X1064" s="5" t="str">
        <f>IFERROR(__xludf.DUMMYFUNCTION("""COMPUTED_VALUE"""),"")</f>
        <v/>
      </c>
      <c r="Y1064" s="5"/>
      <c r="Z1064" s="5"/>
    </row>
    <row r="1065">
      <c r="A1065" s="5"/>
      <c r="B1065" s="5" t="str">
        <f>IFERROR(__xludf.DUMMYFUNCTION("""COMPUTED_VALUE"""),"")</f>
        <v/>
      </c>
      <c r="C1065" s="5" t="str">
        <f>IFERROR(__xludf.DUMMYFUNCTION("""COMPUTED_VALUE"""),"")</f>
        <v/>
      </c>
      <c r="D1065" s="5" t="str">
        <f>IFERROR(__xludf.DUMMYFUNCTION("""COMPUTED_VALUE"""),"")</f>
        <v/>
      </c>
      <c r="E1065" s="5" t="str">
        <f>IFERROR(__xludf.DUMMYFUNCTION("""COMPUTED_VALUE"""),"")</f>
        <v/>
      </c>
      <c r="F1065" s="5" t="str">
        <f>IFERROR(__xludf.DUMMYFUNCTION("""COMPUTED_VALUE"""),"")</f>
        <v/>
      </c>
      <c r="G1065" s="5" t="str">
        <f>IFERROR(__xludf.DUMMYFUNCTION("""COMPUTED_VALUE"""),"")</f>
        <v/>
      </c>
      <c r="H1065" s="5" t="str">
        <f>IFERROR(__xludf.DUMMYFUNCTION("""COMPUTED_VALUE"""),"")</f>
        <v/>
      </c>
      <c r="I1065" s="5" t="str">
        <f>IFERROR(__xludf.DUMMYFUNCTION("""COMPUTED_VALUE"""),"")</f>
        <v/>
      </c>
      <c r="J1065" s="5" t="str">
        <f>IFERROR(__xludf.DUMMYFUNCTION("""COMPUTED_VALUE"""),"")</f>
        <v/>
      </c>
      <c r="K1065" s="5" t="str">
        <f>IFERROR(__xludf.DUMMYFUNCTION("""COMPUTED_VALUE"""),"")</f>
        <v/>
      </c>
      <c r="L1065" s="5" t="str">
        <f>IFERROR(__xludf.DUMMYFUNCTION("""COMPUTED_VALUE"""),"")</f>
        <v/>
      </c>
      <c r="M1065" s="5" t="str">
        <f>IFERROR(__xludf.DUMMYFUNCTION("""COMPUTED_VALUE"""),"")</f>
        <v/>
      </c>
      <c r="N1065" s="5" t="str">
        <f>IFERROR(__xludf.DUMMYFUNCTION("""COMPUTED_VALUE"""),"")</f>
        <v/>
      </c>
      <c r="O1065" s="5" t="str">
        <f>IFERROR(__xludf.DUMMYFUNCTION("""COMPUTED_VALUE"""),"")</f>
        <v/>
      </c>
      <c r="P1065" s="5" t="str">
        <f>IFERROR(__xludf.DUMMYFUNCTION("""COMPUTED_VALUE"""),"")</f>
        <v/>
      </c>
      <c r="Q1065" s="5" t="str">
        <f>IFERROR(__xludf.DUMMYFUNCTION("""COMPUTED_VALUE"""),"")</f>
        <v/>
      </c>
      <c r="R1065" s="5" t="str">
        <f>IFERROR(__xludf.DUMMYFUNCTION("""COMPUTED_VALUE"""),"")</f>
        <v/>
      </c>
      <c r="S1065" s="5" t="str">
        <f>IFERROR(__xludf.DUMMYFUNCTION("""COMPUTED_VALUE"""),"")</f>
        <v/>
      </c>
      <c r="T1065" s="5" t="str">
        <f>IFERROR(__xludf.DUMMYFUNCTION("""COMPUTED_VALUE"""),"")</f>
        <v/>
      </c>
      <c r="U1065" s="5" t="str">
        <f>IFERROR(__xludf.DUMMYFUNCTION("""COMPUTED_VALUE"""),"")</f>
        <v/>
      </c>
      <c r="V1065" s="5" t="str">
        <f>IFERROR(__xludf.DUMMYFUNCTION("""COMPUTED_VALUE"""),"")</f>
        <v/>
      </c>
      <c r="W1065" s="5" t="str">
        <f>IFERROR(__xludf.DUMMYFUNCTION("""COMPUTED_VALUE"""),"")</f>
        <v/>
      </c>
      <c r="X1065" s="5" t="str">
        <f>IFERROR(__xludf.DUMMYFUNCTION("""COMPUTED_VALUE"""),"")</f>
        <v/>
      </c>
      <c r="Y1065" s="5"/>
      <c r="Z1065" s="5"/>
    </row>
    <row r="1066">
      <c r="A1066" s="5"/>
      <c r="B1066" s="5" t="str">
        <f>IFERROR(__xludf.DUMMYFUNCTION("""COMPUTED_VALUE"""),"")</f>
        <v/>
      </c>
      <c r="C1066" s="5" t="str">
        <f>IFERROR(__xludf.DUMMYFUNCTION("""COMPUTED_VALUE"""),"")</f>
        <v/>
      </c>
      <c r="D1066" s="5" t="str">
        <f>IFERROR(__xludf.DUMMYFUNCTION("""COMPUTED_VALUE"""),"")</f>
        <v/>
      </c>
      <c r="E1066" s="5" t="str">
        <f>IFERROR(__xludf.DUMMYFUNCTION("""COMPUTED_VALUE"""),"")</f>
        <v/>
      </c>
      <c r="F1066" s="5" t="str">
        <f>IFERROR(__xludf.DUMMYFUNCTION("""COMPUTED_VALUE"""),"")</f>
        <v/>
      </c>
      <c r="G1066" s="5" t="str">
        <f>IFERROR(__xludf.DUMMYFUNCTION("""COMPUTED_VALUE"""),"")</f>
        <v/>
      </c>
      <c r="H1066" s="5" t="str">
        <f>IFERROR(__xludf.DUMMYFUNCTION("""COMPUTED_VALUE"""),"")</f>
        <v/>
      </c>
      <c r="I1066" s="5" t="str">
        <f>IFERROR(__xludf.DUMMYFUNCTION("""COMPUTED_VALUE"""),"")</f>
        <v/>
      </c>
      <c r="J1066" s="5" t="str">
        <f>IFERROR(__xludf.DUMMYFUNCTION("""COMPUTED_VALUE"""),"")</f>
        <v/>
      </c>
      <c r="K1066" s="5" t="str">
        <f>IFERROR(__xludf.DUMMYFUNCTION("""COMPUTED_VALUE"""),"")</f>
        <v/>
      </c>
      <c r="L1066" s="5" t="str">
        <f>IFERROR(__xludf.DUMMYFUNCTION("""COMPUTED_VALUE"""),"")</f>
        <v/>
      </c>
      <c r="M1066" s="5" t="str">
        <f>IFERROR(__xludf.DUMMYFUNCTION("""COMPUTED_VALUE"""),"")</f>
        <v/>
      </c>
      <c r="N1066" s="5" t="str">
        <f>IFERROR(__xludf.DUMMYFUNCTION("""COMPUTED_VALUE"""),"")</f>
        <v/>
      </c>
      <c r="O1066" s="5" t="str">
        <f>IFERROR(__xludf.DUMMYFUNCTION("""COMPUTED_VALUE"""),"")</f>
        <v/>
      </c>
      <c r="P1066" s="5" t="str">
        <f>IFERROR(__xludf.DUMMYFUNCTION("""COMPUTED_VALUE"""),"")</f>
        <v/>
      </c>
      <c r="Q1066" s="5" t="str">
        <f>IFERROR(__xludf.DUMMYFUNCTION("""COMPUTED_VALUE"""),"")</f>
        <v/>
      </c>
      <c r="R1066" s="5" t="str">
        <f>IFERROR(__xludf.DUMMYFUNCTION("""COMPUTED_VALUE"""),"")</f>
        <v/>
      </c>
      <c r="S1066" s="5" t="str">
        <f>IFERROR(__xludf.DUMMYFUNCTION("""COMPUTED_VALUE"""),"")</f>
        <v/>
      </c>
      <c r="T1066" s="5" t="str">
        <f>IFERROR(__xludf.DUMMYFUNCTION("""COMPUTED_VALUE"""),"")</f>
        <v/>
      </c>
      <c r="U1066" s="5" t="str">
        <f>IFERROR(__xludf.DUMMYFUNCTION("""COMPUTED_VALUE"""),"")</f>
        <v/>
      </c>
      <c r="V1066" s="5" t="str">
        <f>IFERROR(__xludf.DUMMYFUNCTION("""COMPUTED_VALUE"""),"")</f>
        <v/>
      </c>
      <c r="W1066" s="5" t="str">
        <f>IFERROR(__xludf.DUMMYFUNCTION("""COMPUTED_VALUE"""),"")</f>
        <v/>
      </c>
      <c r="X1066" s="5" t="str">
        <f>IFERROR(__xludf.DUMMYFUNCTION("""COMPUTED_VALUE"""),"")</f>
        <v/>
      </c>
      <c r="Y1066" s="5"/>
      <c r="Z1066" s="5"/>
    </row>
    <row r="1067">
      <c r="A1067" s="5"/>
      <c r="B1067" s="5" t="str">
        <f>IFERROR(__xludf.DUMMYFUNCTION("""COMPUTED_VALUE"""),"")</f>
        <v/>
      </c>
      <c r="C1067" s="5" t="str">
        <f>IFERROR(__xludf.DUMMYFUNCTION("""COMPUTED_VALUE"""),"")</f>
        <v/>
      </c>
      <c r="D1067" s="5" t="str">
        <f>IFERROR(__xludf.DUMMYFUNCTION("""COMPUTED_VALUE"""),"")</f>
        <v/>
      </c>
      <c r="E1067" s="5" t="str">
        <f>IFERROR(__xludf.DUMMYFUNCTION("""COMPUTED_VALUE"""),"")</f>
        <v/>
      </c>
      <c r="F1067" s="5" t="str">
        <f>IFERROR(__xludf.DUMMYFUNCTION("""COMPUTED_VALUE"""),"")</f>
        <v/>
      </c>
      <c r="G1067" s="5" t="str">
        <f>IFERROR(__xludf.DUMMYFUNCTION("""COMPUTED_VALUE"""),"")</f>
        <v/>
      </c>
      <c r="H1067" s="5" t="str">
        <f>IFERROR(__xludf.DUMMYFUNCTION("""COMPUTED_VALUE"""),"")</f>
        <v/>
      </c>
      <c r="I1067" s="5" t="str">
        <f>IFERROR(__xludf.DUMMYFUNCTION("""COMPUTED_VALUE"""),"")</f>
        <v/>
      </c>
      <c r="J1067" s="5" t="str">
        <f>IFERROR(__xludf.DUMMYFUNCTION("""COMPUTED_VALUE"""),"")</f>
        <v/>
      </c>
      <c r="K1067" s="5" t="str">
        <f>IFERROR(__xludf.DUMMYFUNCTION("""COMPUTED_VALUE"""),"")</f>
        <v/>
      </c>
      <c r="L1067" s="5" t="str">
        <f>IFERROR(__xludf.DUMMYFUNCTION("""COMPUTED_VALUE"""),"")</f>
        <v/>
      </c>
      <c r="M1067" s="5" t="str">
        <f>IFERROR(__xludf.DUMMYFUNCTION("""COMPUTED_VALUE"""),"")</f>
        <v/>
      </c>
      <c r="N1067" s="5" t="str">
        <f>IFERROR(__xludf.DUMMYFUNCTION("""COMPUTED_VALUE"""),"")</f>
        <v/>
      </c>
      <c r="O1067" s="5" t="str">
        <f>IFERROR(__xludf.DUMMYFUNCTION("""COMPUTED_VALUE"""),"")</f>
        <v/>
      </c>
      <c r="P1067" s="5" t="str">
        <f>IFERROR(__xludf.DUMMYFUNCTION("""COMPUTED_VALUE"""),"")</f>
        <v/>
      </c>
      <c r="Q1067" s="5" t="str">
        <f>IFERROR(__xludf.DUMMYFUNCTION("""COMPUTED_VALUE"""),"")</f>
        <v/>
      </c>
      <c r="R1067" s="5" t="str">
        <f>IFERROR(__xludf.DUMMYFUNCTION("""COMPUTED_VALUE"""),"")</f>
        <v/>
      </c>
      <c r="S1067" s="5" t="str">
        <f>IFERROR(__xludf.DUMMYFUNCTION("""COMPUTED_VALUE"""),"")</f>
        <v/>
      </c>
      <c r="T1067" s="5" t="str">
        <f>IFERROR(__xludf.DUMMYFUNCTION("""COMPUTED_VALUE"""),"")</f>
        <v/>
      </c>
      <c r="U1067" s="5" t="str">
        <f>IFERROR(__xludf.DUMMYFUNCTION("""COMPUTED_VALUE"""),"")</f>
        <v/>
      </c>
      <c r="V1067" s="5" t="str">
        <f>IFERROR(__xludf.DUMMYFUNCTION("""COMPUTED_VALUE"""),"")</f>
        <v/>
      </c>
      <c r="W1067" s="5" t="str">
        <f>IFERROR(__xludf.DUMMYFUNCTION("""COMPUTED_VALUE"""),"")</f>
        <v/>
      </c>
      <c r="X1067" s="5" t="str">
        <f>IFERROR(__xludf.DUMMYFUNCTION("""COMPUTED_VALUE"""),"")</f>
        <v/>
      </c>
      <c r="Y1067" s="5"/>
      <c r="Z1067" s="5"/>
    </row>
    <row r="1068">
      <c r="A1068" s="5"/>
      <c r="B1068" s="5" t="str">
        <f>IFERROR(__xludf.DUMMYFUNCTION("""COMPUTED_VALUE"""),"")</f>
        <v/>
      </c>
      <c r="C1068" s="5" t="str">
        <f>IFERROR(__xludf.DUMMYFUNCTION("""COMPUTED_VALUE"""),"")</f>
        <v/>
      </c>
      <c r="D1068" s="5" t="str">
        <f>IFERROR(__xludf.DUMMYFUNCTION("""COMPUTED_VALUE"""),"")</f>
        <v/>
      </c>
      <c r="E1068" s="5" t="str">
        <f>IFERROR(__xludf.DUMMYFUNCTION("""COMPUTED_VALUE"""),"")</f>
        <v/>
      </c>
      <c r="F1068" s="5" t="str">
        <f>IFERROR(__xludf.DUMMYFUNCTION("""COMPUTED_VALUE"""),"")</f>
        <v/>
      </c>
      <c r="G1068" s="5" t="str">
        <f>IFERROR(__xludf.DUMMYFUNCTION("""COMPUTED_VALUE"""),"")</f>
        <v/>
      </c>
      <c r="H1068" s="5" t="str">
        <f>IFERROR(__xludf.DUMMYFUNCTION("""COMPUTED_VALUE"""),"")</f>
        <v/>
      </c>
      <c r="I1068" s="5" t="str">
        <f>IFERROR(__xludf.DUMMYFUNCTION("""COMPUTED_VALUE"""),"")</f>
        <v/>
      </c>
      <c r="J1068" s="5" t="str">
        <f>IFERROR(__xludf.DUMMYFUNCTION("""COMPUTED_VALUE"""),"")</f>
        <v/>
      </c>
      <c r="K1068" s="5" t="str">
        <f>IFERROR(__xludf.DUMMYFUNCTION("""COMPUTED_VALUE"""),"")</f>
        <v/>
      </c>
      <c r="L1068" s="5" t="str">
        <f>IFERROR(__xludf.DUMMYFUNCTION("""COMPUTED_VALUE"""),"")</f>
        <v/>
      </c>
      <c r="M1068" s="5" t="str">
        <f>IFERROR(__xludf.DUMMYFUNCTION("""COMPUTED_VALUE"""),"")</f>
        <v/>
      </c>
      <c r="N1068" s="5" t="str">
        <f>IFERROR(__xludf.DUMMYFUNCTION("""COMPUTED_VALUE"""),"")</f>
        <v/>
      </c>
      <c r="O1068" s="5" t="str">
        <f>IFERROR(__xludf.DUMMYFUNCTION("""COMPUTED_VALUE"""),"")</f>
        <v/>
      </c>
      <c r="P1068" s="5" t="str">
        <f>IFERROR(__xludf.DUMMYFUNCTION("""COMPUTED_VALUE"""),"")</f>
        <v/>
      </c>
      <c r="Q1068" s="5" t="str">
        <f>IFERROR(__xludf.DUMMYFUNCTION("""COMPUTED_VALUE"""),"")</f>
        <v/>
      </c>
      <c r="R1068" s="5" t="str">
        <f>IFERROR(__xludf.DUMMYFUNCTION("""COMPUTED_VALUE"""),"")</f>
        <v/>
      </c>
      <c r="S1068" s="5" t="str">
        <f>IFERROR(__xludf.DUMMYFUNCTION("""COMPUTED_VALUE"""),"")</f>
        <v/>
      </c>
      <c r="T1068" s="5" t="str">
        <f>IFERROR(__xludf.DUMMYFUNCTION("""COMPUTED_VALUE"""),"")</f>
        <v/>
      </c>
      <c r="U1068" s="5" t="str">
        <f>IFERROR(__xludf.DUMMYFUNCTION("""COMPUTED_VALUE"""),"")</f>
        <v/>
      </c>
      <c r="V1068" s="5" t="str">
        <f>IFERROR(__xludf.DUMMYFUNCTION("""COMPUTED_VALUE"""),"")</f>
        <v/>
      </c>
      <c r="W1068" s="5" t="str">
        <f>IFERROR(__xludf.DUMMYFUNCTION("""COMPUTED_VALUE"""),"")</f>
        <v/>
      </c>
      <c r="X1068" s="5" t="str">
        <f>IFERROR(__xludf.DUMMYFUNCTION("""COMPUTED_VALUE"""),"")</f>
        <v/>
      </c>
      <c r="Y1068" s="5"/>
      <c r="Z1068" s="5"/>
    </row>
    <row r="1069">
      <c r="A1069" s="5"/>
      <c r="B1069" s="5" t="str">
        <f>IFERROR(__xludf.DUMMYFUNCTION("""COMPUTED_VALUE"""),"")</f>
        <v/>
      </c>
      <c r="C1069" s="5" t="str">
        <f>IFERROR(__xludf.DUMMYFUNCTION("""COMPUTED_VALUE"""),"")</f>
        <v/>
      </c>
      <c r="D1069" s="5" t="str">
        <f>IFERROR(__xludf.DUMMYFUNCTION("""COMPUTED_VALUE"""),"")</f>
        <v/>
      </c>
      <c r="E1069" s="5" t="str">
        <f>IFERROR(__xludf.DUMMYFUNCTION("""COMPUTED_VALUE"""),"")</f>
        <v/>
      </c>
      <c r="F1069" s="5" t="str">
        <f>IFERROR(__xludf.DUMMYFUNCTION("""COMPUTED_VALUE"""),"")</f>
        <v/>
      </c>
      <c r="G1069" s="5" t="str">
        <f>IFERROR(__xludf.DUMMYFUNCTION("""COMPUTED_VALUE"""),"")</f>
        <v/>
      </c>
      <c r="H1069" s="5" t="str">
        <f>IFERROR(__xludf.DUMMYFUNCTION("""COMPUTED_VALUE"""),"")</f>
        <v/>
      </c>
      <c r="I1069" s="5" t="str">
        <f>IFERROR(__xludf.DUMMYFUNCTION("""COMPUTED_VALUE"""),"")</f>
        <v/>
      </c>
      <c r="J1069" s="5" t="str">
        <f>IFERROR(__xludf.DUMMYFUNCTION("""COMPUTED_VALUE"""),"")</f>
        <v/>
      </c>
      <c r="K1069" s="5" t="str">
        <f>IFERROR(__xludf.DUMMYFUNCTION("""COMPUTED_VALUE"""),"")</f>
        <v/>
      </c>
      <c r="L1069" s="5" t="str">
        <f>IFERROR(__xludf.DUMMYFUNCTION("""COMPUTED_VALUE"""),"")</f>
        <v/>
      </c>
      <c r="M1069" s="5" t="str">
        <f>IFERROR(__xludf.DUMMYFUNCTION("""COMPUTED_VALUE"""),"")</f>
        <v/>
      </c>
      <c r="N1069" s="5" t="str">
        <f>IFERROR(__xludf.DUMMYFUNCTION("""COMPUTED_VALUE"""),"")</f>
        <v/>
      </c>
      <c r="O1069" s="5" t="str">
        <f>IFERROR(__xludf.DUMMYFUNCTION("""COMPUTED_VALUE"""),"")</f>
        <v/>
      </c>
      <c r="P1069" s="5" t="str">
        <f>IFERROR(__xludf.DUMMYFUNCTION("""COMPUTED_VALUE"""),"")</f>
        <v/>
      </c>
      <c r="Q1069" s="5" t="str">
        <f>IFERROR(__xludf.DUMMYFUNCTION("""COMPUTED_VALUE"""),"")</f>
        <v/>
      </c>
      <c r="R1069" s="5" t="str">
        <f>IFERROR(__xludf.DUMMYFUNCTION("""COMPUTED_VALUE"""),"")</f>
        <v/>
      </c>
      <c r="S1069" s="5" t="str">
        <f>IFERROR(__xludf.DUMMYFUNCTION("""COMPUTED_VALUE"""),"")</f>
        <v/>
      </c>
      <c r="T1069" s="5" t="str">
        <f>IFERROR(__xludf.DUMMYFUNCTION("""COMPUTED_VALUE"""),"")</f>
        <v/>
      </c>
      <c r="U1069" s="5" t="str">
        <f>IFERROR(__xludf.DUMMYFUNCTION("""COMPUTED_VALUE"""),"")</f>
        <v/>
      </c>
      <c r="V1069" s="5" t="str">
        <f>IFERROR(__xludf.DUMMYFUNCTION("""COMPUTED_VALUE"""),"")</f>
        <v/>
      </c>
      <c r="W1069" s="5" t="str">
        <f>IFERROR(__xludf.DUMMYFUNCTION("""COMPUTED_VALUE"""),"")</f>
        <v/>
      </c>
      <c r="X1069" s="5" t="str">
        <f>IFERROR(__xludf.DUMMYFUNCTION("""COMPUTED_VALUE"""),"")</f>
        <v/>
      </c>
      <c r="Y1069" s="5"/>
      <c r="Z1069" s="5"/>
    </row>
    <row r="1070">
      <c r="A1070" s="5"/>
      <c r="B1070" s="5" t="str">
        <f>IFERROR(__xludf.DUMMYFUNCTION("""COMPUTED_VALUE"""),"")</f>
        <v/>
      </c>
      <c r="C1070" s="5" t="str">
        <f>IFERROR(__xludf.DUMMYFUNCTION("""COMPUTED_VALUE"""),"")</f>
        <v/>
      </c>
      <c r="D1070" s="5" t="str">
        <f>IFERROR(__xludf.DUMMYFUNCTION("""COMPUTED_VALUE"""),"")</f>
        <v/>
      </c>
      <c r="E1070" s="5" t="str">
        <f>IFERROR(__xludf.DUMMYFUNCTION("""COMPUTED_VALUE"""),"")</f>
        <v/>
      </c>
      <c r="F1070" s="5" t="str">
        <f>IFERROR(__xludf.DUMMYFUNCTION("""COMPUTED_VALUE"""),"")</f>
        <v/>
      </c>
      <c r="G1070" s="5" t="str">
        <f>IFERROR(__xludf.DUMMYFUNCTION("""COMPUTED_VALUE"""),"")</f>
        <v/>
      </c>
      <c r="H1070" s="5" t="str">
        <f>IFERROR(__xludf.DUMMYFUNCTION("""COMPUTED_VALUE"""),"")</f>
        <v/>
      </c>
      <c r="I1070" s="5" t="str">
        <f>IFERROR(__xludf.DUMMYFUNCTION("""COMPUTED_VALUE"""),"")</f>
        <v/>
      </c>
      <c r="J1070" s="5" t="str">
        <f>IFERROR(__xludf.DUMMYFUNCTION("""COMPUTED_VALUE"""),"")</f>
        <v/>
      </c>
      <c r="K1070" s="5" t="str">
        <f>IFERROR(__xludf.DUMMYFUNCTION("""COMPUTED_VALUE"""),"")</f>
        <v/>
      </c>
      <c r="L1070" s="5" t="str">
        <f>IFERROR(__xludf.DUMMYFUNCTION("""COMPUTED_VALUE"""),"")</f>
        <v/>
      </c>
      <c r="M1070" s="5" t="str">
        <f>IFERROR(__xludf.DUMMYFUNCTION("""COMPUTED_VALUE"""),"")</f>
        <v/>
      </c>
      <c r="N1070" s="5" t="str">
        <f>IFERROR(__xludf.DUMMYFUNCTION("""COMPUTED_VALUE"""),"")</f>
        <v/>
      </c>
      <c r="O1070" s="5" t="str">
        <f>IFERROR(__xludf.DUMMYFUNCTION("""COMPUTED_VALUE"""),"")</f>
        <v/>
      </c>
      <c r="P1070" s="5" t="str">
        <f>IFERROR(__xludf.DUMMYFUNCTION("""COMPUTED_VALUE"""),"")</f>
        <v/>
      </c>
      <c r="Q1070" s="5" t="str">
        <f>IFERROR(__xludf.DUMMYFUNCTION("""COMPUTED_VALUE"""),"")</f>
        <v/>
      </c>
      <c r="R1070" s="5" t="str">
        <f>IFERROR(__xludf.DUMMYFUNCTION("""COMPUTED_VALUE"""),"")</f>
        <v/>
      </c>
      <c r="S1070" s="5" t="str">
        <f>IFERROR(__xludf.DUMMYFUNCTION("""COMPUTED_VALUE"""),"")</f>
        <v/>
      </c>
      <c r="T1070" s="5" t="str">
        <f>IFERROR(__xludf.DUMMYFUNCTION("""COMPUTED_VALUE"""),"")</f>
        <v/>
      </c>
      <c r="U1070" s="5" t="str">
        <f>IFERROR(__xludf.DUMMYFUNCTION("""COMPUTED_VALUE"""),"")</f>
        <v/>
      </c>
      <c r="V1070" s="5" t="str">
        <f>IFERROR(__xludf.DUMMYFUNCTION("""COMPUTED_VALUE"""),"")</f>
        <v/>
      </c>
      <c r="W1070" s="5" t="str">
        <f>IFERROR(__xludf.DUMMYFUNCTION("""COMPUTED_VALUE"""),"")</f>
        <v/>
      </c>
      <c r="X1070" s="5" t="str">
        <f>IFERROR(__xludf.DUMMYFUNCTION("""COMPUTED_VALUE"""),"")</f>
        <v/>
      </c>
      <c r="Y1070" s="5"/>
      <c r="Z1070" s="5"/>
    </row>
    <row r="1071">
      <c r="A1071" s="5"/>
      <c r="B1071" s="5" t="str">
        <f>IFERROR(__xludf.DUMMYFUNCTION("""COMPUTED_VALUE"""),"")</f>
        <v/>
      </c>
      <c r="C1071" s="5" t="str">
        <f>IFERROR(__xludf.DUMMYFUNCTION("""COMPUTED_VALUE"""),"")</f>
        <v/>
      </c>
      <c r="D1071" s="5" t="str">
        <f>IFERROR(__xludf.DUMMYFUNCTION("""COMPUTED_VALUE"""),"")</f>
        <v/>
      </c>
      <c r="E1071" s="5" t="str">
        <f>IFERROR(__xludf.DUMMYFUNCTION("""COMPUTED_VALUE"""),"")</f>
        <v/>
      </c>
      <c r="F1071" s="5" t="str">
        <f>IFERROR(__xludf.DUMMYFUNCTION("""COMPUTED_VALUE"""),"")</f>
        <v/>
      </c>
      <c r="G1071" s="5" t="str">
        <f>IFERROR(__xludf.DUMMYFUNCTION("""COMPUTED_VALUE"""),"")</f>
        <v/>
      </c>
      <c r="H1071" s="5" t="str">
        <f>IFERROR(__xludf.DUMMYFUNCTION("""COMPUTED_VALUE"""),"")</f>
        <v/>
      </c>
      <c r="I1071" s="5" t="str">
        <f>IFERROR(__xludf.DUMMYFUNCTION("""COMPUTED_VALUE"""),"")</f>
        <v/>
      </c>
      <c r="J1071" s="5" t="str">
        <f>IFERROR(__xludf.DUMMYFUNCTION("""COMPUTED_VALUE"""),"")</f>
        <v/>
      </c>
      <c r="K1071" s="5" t="str">
        <f>IFERROR(__xludf.DUMMYFUNCTION("""COMPUTED_VALUE"""),"")</f>
        <v/>
      </c>
      <c r="L1071" s="5" t="str">
        <f>IFERROR(__xludf.DUMMYFUNCTION("""COMPUTED_VALUE"""),"")</f>
        <v/>
      </c>
      <c r="M1071" s="5" t="str">
        <f>IFERROR(__xludf.DUMMYFUNCTION("""COMPUTED_VALUE"""),"")</f>
        <v/>
      </c>
      <c r="N1071" s="5" t="str">
        <f>IFERROR(__xludf.DUMMYFUNCTION("""COMPUTED_VALUE"""),"")</f>
        <v/>
      </c>
      <c r="O1071" s="5" t="str">
        <f>IFERROR(__xludf.DUMMYFUNCTION("""COMPUTED_VALUE"""),"")</f>
        <v/>
      </c>
      <c r="P1071" s="5" t="str">
        <f>IFERROR(__xludf.DUMMYFUNCTION("""COMPUTED_VALUE"""),"")</f>
        <v/>
      </c>
      <c r="Q1071" s="5" t="str">
        <f>IFERROR(__xludf.DUMMYFUNCTION("""COMPUTED_VALUE"""),"")</f>
        <v/>
      </c>
      <c r="R1071" s="5" t="str">
        <f>IFERROR(__xludf.DUMMYFUNCTION("""COMPUTED_VALUE"""),"")</f>
        <v/>
      </c>
      <c r="S1071" s="5" t="str">
        <f>IFERROR(__xludf.DUMMYFUNCTION("""COMPUTED_VALUE"""),"")</f>
        <v/>
      </c>
      <c r="T1071" s="5" t="str">
        <f>IFERROR(__xludf.DUMMYFUNCTION("""COMPUTED_VALUE"""),"")</f>
        <v/>
      </c>
      <c r="U1071" s="5" t="str">
        <f>IFERROR(__xludf.DUMMYFUNCTION("""COMPUTED_VALUE"""),"")</f>
        <v/>
      </c>
      <c r="V1071" s="5" t="str">
        <f>IFERROR(__xludf.DUMMYFUNCTION("""COMPUTED_VALUE"""),"")</f>
        <v/>
      </c>
      <c r="W1071" s="5" t="str">
        <f>IFERROR(__xludf.DUMMYFUNCTION("""COMPUTED_VALUE"""),"")</f>
        <v/>
      </c>
      <c r="X1071" s="5" t="str">
        <f>IFERROR(__xludf.DUMMYFUNCTION("""COMPUTED_VALUE"""),"")</f>
        <v/>
      </c>
      <c r="Y1071" s="5"/>
      <c r="Z1071" s="5"/>
    </row>
    <row r="1072">
      <c r="A1072" s="5"/>
      <c r="B1072" s="5" t="str">
        <f>IFERROR(__xludf.DUMMYFUNCTION("""COMPUTED_VALUE"""),"")</f>
        <v/>
      </c>
      <c r="C1072" s="5" t="str">
        <f>IFERROR(__xludf.DUMMYFUNCTION("""COMPUTED_VALUE"""),"")</f>
        <v/>
      </c>
      <c r="D1072" s="5" t="str">
        <f>IFERROR(__xludf.DUMMYFUNCTION("""COMPUTED_VALUE"""),"")</f>
        <v/>
      </c>
      <c r="E1072" s="5" t="str">
        <f>IFERROR(__xludf.DUMMYFUNCTION("""COMPUTED_VALUE"""),"")</f>
        <v/>
      </c>
      <c r="F1072" s="5" t="str">
        <f>IFERROR(__xludf.DUMMYFUNCTION("""COMPUTED_VALUE"""),"")</f>
        <v/>
      </c>
      <c r="G1072" s="5" t="str">
        <f>IFERROR(__xludf.DUMMYFUNCTION("""COMPUTED_VALUE"""),"")</f>
        <v/>
      </c>
      <c r="H1072" s="5" t="str">
        <f>IFERROR(__xludf.DUMMYFUNCTION("""COMPUTED_VALUE"""),"")</f>
        <v/>
      </c>
      <c r="I1072" s="5" t="str">
        <f>IFERROR(__xludf.DUMMYFUNCTION("""COMPUTED_VALUE"""),"")</f>
        <v/>
      </c>
      <c r="J1072" s="5" t="str">
        <f>IFERROR(__xludf.DUMMYFUNCTION("""COMPUTED_VALUE"""),"")</f>
        <v/>
      </c>
      <c r="K1072" s="5" t="str">
        <f>IFERROR(__xludf.DUMMYFUNCTION("""COMPUTED_VALUE"""),"")</f>
        <v/>
      </c>
      <c r="L1072" s="5" t="str">
        <f>IFERROR(__xludf.DUMMYFUNCTION("""COMPUTED_VALUE"""),"")</f>
        <v/>
      </c>
      <c r="M1072" s="5" t="str">
        <f>IFERROR(__xludf.DUMMYFUNCTION("""COMPUTED_VALUE"""),"")</f>
        <v/>
      </c>
      <c r="N1072" s="5" t="str">
        <f>IFERROR(__xludf.DUMMYFUNCTION("""COMPUTED_VALUE"""),"")</f>
        <v/>
      </c>
      <c r="O1072" s="5" t="str">
        <f>IFERROR(__xludf.DUMMYFUNCTION("""COMPUTED_VALUE"""),"")</f>
        <v/>
      </c>
      <c r="P1072" s="5" t="str">
        <f>IFERROR(__xludf.DUMMYFUNCTION("""COMPUTED_VALUE"""),"")</f>
        <v/>
      </c>
      <c r="Q1072" s="5" t="str">
        <f>IFERROR(__xludf.DUMMYFUNCTION("""COMPUTED_VALUE"""),"")</f>
        <v/>
      </c>
      <c r="R1072" s="5" t="str">
        <f>IFERROR(__xludf.DUMMYFUNCTION("""COMPUTED_VALUE"""),"")</f>
        <v/>
      </c>
      <c r="S1072" s="5" t="str">
        <f>IFERROR(__xludf.DUMMYFUNCTION("""COMPUTED_VALUE"""),"")</f>
        <v/>
      </c>
      <c r="T1072" s="5" t="str">
        <f>IFERROR(__xludf.DUMMYFUNCTION("""COMPUTED_VALUE"""),"")</f>
        <v/>
      </c>
      <c r="U1072" s="5" t="str">
        <f>IFERROR(__xludf.DUMMYFUNCTION("""COMPUTED_VALUE"""),"")</f>
        <v/>
      </c>
      <c r="V1072" s="5" t="str">
        <f>IFERROR(__xludf.DUMMYFUNCTION("""COMPUTED_VALUE"""),"")</f>
        <v/>
      </c>
      <c r="W1072" s="5" t="str">
        <f>IFERROR(__xludf.DUMMYFUNCTION("""COMPUTED_VALUE"""),"")</f>
        <v/>
      </c>
      <c r="X1072" s="5" t="str">
        <f>IFERROR(__xludf.DUMMYFUNCTION("""COMPUTED_VALUE"""),"")</f>
        <v/>
      </c>
      <c r="Y1072" s="5"/>
      <c r="Z1072" s="5"/>
    </row>
    <row r="1073">
      <c r="A1073" s="5"/>
      <c r="B1073" s="5" t="str">
        <f>IFERROR(__xludf.DUMMYFUNCTION("""COMPUTED_VALUE"""),"")</f>
        <v/>
      </c>
      <c r="C1073" s="5" t="str">
        <f>IFERROR(__xludf.DUMMYFUNCTION("""COMPUTED_VALUE"""),"")</f>
        <v/>
      </c>
      <c r="D1073" s="5" t="str">
        <f>IFERROR(__xludf.DUMMYFUNCTION("""COMPUTED_VALUE"""),"")</f>
        <v/>
      </c>
      <c r="E1073" s="5" t="str">
        <f>IFERROR(__xludf.DUMMYFUNCTION("""COMPUTED_VALUE"""),"")</f>
        <v/>
      </c>
      <c r="F1073" s="5" t="str">
        <f>IFERROR(__xludf.DUMMYFUNCTION("""COMPUTED_VALUE"""),"")</f>
        <v/>
      </c>
      <c r="G1073" s="5" t="str">
        <f>IFERROR(__xludf.DUMMYFUNCTION("""COMPUTED_VALUE"""),"")</f>
        <v/>
      </c>
      <c r="H1073" s="5" t="str">
        <f>IFERROR(__xludf.DUMMYFUNCTION("""COMPUTED_VALUE"""),"")</f>
        <v/>
      </c>
      <c r="I1073" s="5" t="str">
        <f>IFERROR(__xludf.DUMMYFUNCTION("""COMPUTED_VALUE"""),"")</f>
        <v/>
      </c>
      <c r="J1073" s="5" t="str">
        <f>IFERROR(__xludf.DUMMYFUNCTION("""COMPUTED_VALUE"""),"")</f>
        <v/>
      </c>
      <c r="K1073" s="5" t="str">
        <f>IFERROR(__xludf.DUMMYFUNCTION("""COMPUTED_VALUE"""),"")</f>
        <v/>
      </c>
      <c r="L1073" s="5" t="str">
        <f>IFERROR(__xludf.DUMMYFUNCTION("""COMPUTED_VALUE"""),"")</f>
        <v/>
      </c>
      <c r="M1073" s="5" t="str">
        <f>IFERROR(__xludf.DUMMYFUNCTION("""COMPUTED_VALUE"""),"")</f>
        <v/>
      </c>
      <c r="N1073" s="5" t="str">
        <f>IFERROR(__xludf.DUMMYFUNCTION("""COMPUTED_VALUE"""),"")</f>
        <v/>
      </c>
      <c r="O1073" s="5" t="str">
        <f>IFERROR(__xludf.DUMMYFUNCTION("""COMPUTED_VALUE"""),"")</f>
        <v/>
      </c>
      <c r="P1073" s="5" t="str">
        <f>IFERROR(__xludf.DUMMYFUNCTION("""COMPUTED_VALUE"""),"")</f>
        <v/>
      </c>
      <c r="Q1073" s="5" t="str">
        <f>IFERROR(__xludf.DUMMYFUNCTION("""COMPUTED_VALUE"""),"")</f>
        <v/>
      </c>
      <c r="R1073" s="5" t="str">
        <f>IFERROR(__xludf.DUMMYFUNCTION("""COMPUTED_VALUE"""),"")</f>
        <v/>
      </c>
      <c r="S1073" s="5" t="str">
        <f>IFERROR(__xludf.DUMMYFUNCTION("""COMPUTED_VALUE"""),"")</f>
        <v/>
      </c>
      <c r="T1073" s="5" t="str">
        <f>IFERROR(__xludf.DUMMYFUNCTION("""COMPUTED_VALUE"""),"")</f>
        <v/>
      </c>
      <c r="U1073" s="5" t="str">
        <f>IFERROR(__xludf.DUMMYFUNCTION("""COMPUTED_VALUE"""),"")</f>
        <v/>
      </c>
      <c r="V1073" s="5" t="str">
        <f>IFERROR(__xludf.DUMMYFUNCTION("""COMPUTED_VALUE"""),"")</f>
        <v/>
      </c>
      <c r="W1073" s="5" t="str">
        <f>IFERROR(__xludf.DUMMYFUNCTION("""COMPUTED_VALUE"""),"")</f>
        <v/>
      </c>
      <c r="X1073" s="5" t="str">
        <f>IFERROR(__xludf.DUMMYFUNCTION("""COMPUTED_VALUE"""),"")</f>
        <v/>
      </c>
      <c r="Y1073" s="5"/>
      <c r="Z1073" s="5"/>
    </row>
    <row r="1074">
      <c r="A1074" s="5"/>
      <c r="B1074" s="5" t="str">
        <f>IFERROR(__xludf.DUMMYFUNCTION("""COMPUTED_VALUE"""),"")</f>
        <v/>
      </c>
      <c r="C1074" s="5" t="str">
        <f>IFERROR(__xludf.DUMMYFUNCTION("""COMPUTED_VALUE"""),"")</f>
        <v/>
      </c>
      <c r="D1074" s="5" t="str">
        <f>IFERROR(__xludf.DUMMYFUNCTION("""COMPUTED_VALUE"""),"")</f>
        <v/>
      </c>
      <c r="E1074" s="5" t="str">
        <f>IFERROR(__xludf.DUMMYFUNCTION("""COMPUTED_VALUE"""),"")</f>
        <v/>
      </c>
      <c r="F1074" s="5" t="str">
        <f>IFERROR(__xludf.DUMMYFUNCTION("""COMPUTED_VALUE"""),"")</f>
        <v/>
      </c>
      <c r="G1074" s="5" t="str">
        <f>IFERROR(__xludf.DUMMYFUNCTION("""COMPUTED_VALUE"""),"")</f>
        <v/>
      </c>
      <c r="H1074" s="5" t="str">
        <f>IFERROR(__xludf.DUMMYFUNCTION("""COMPUTED_VALUE"""),"")</f>
        <v/>
      </c>
      <c r="I1074" s="5" t="str">
        <f>IFERROR(__xludf.DUMMYFUNCTION("""COMPUTED_VALUE"""),"")</f>
        <v/>
      </c>
      <c r="J1074" s="5" t="str">
        <f>IFERROR(__xludf.DUMMYFUNCTION("""COMPUTED_VALUE"""),"")</f>
        <v/>
      </c>
      <c r="K1074" s="5" t="str">
        <f>IFERROR(__xludf.DUMMYFUNCTION("""COMPUTED_VALUE"""),"")</f>
        <v/>
      </c>
      <c r="L1074" s="5" t="str">
        <f>IFERROR(__xludf.DUMMYFUNCTION("""COMPUTED_VALUE"""),"")</f>
        <v/>
      </c>
      <c r="M1074" s="5" t="str">
        <f>IFERROR(__xludf.DUMMYFUNCTION("""COMPUTED_VALUE"""),"")</f>
        <v/>
      </c>
      <c r="N1074" s="5" t="str">
        <f>IFERROR(__xludf.DUMMYFUNCTION("""COMPUTED_VALUE"""),"")</f>
        <v/>
      </c>
      <c r="O1074" s="5" t="str">
        <f>IFERROR(__xludf.DUMMYFUNCTION("""COMPUTED_VALUE"""),"")</f>
        <v/>
      </c>
      <c r="P1074" s="5" t="str">
        <f>IFERROR(__xludf.DUMMYFUNCTION("""COMPUTED_VALUE"""),"")</f>
        <v/>
      </c>
      <c r="Q1074" s="5" t="str">
        <f>IFERROR(__xludf.DUMMYFUNCTION("""COMPUTED_VALUE"""),"")</f>
        <v/>
      </c>
      <c r="R1074" s="5" t="str">
        <f>IFERROR(__xludf.DUMMYFUNCTION("""COMPUTED_VALUE"""),"")</f>
        <v/>
      </c>
      <c r="S1074" s="5" t="str">
        <f>IFERROR(__xludf.DUMMYFUNCTION("""COMPUTED_VALUE"""),"")</f>
        <v/>
      </c>
      <c r="T1074" s="5" t="str">
        <f>IFERROR(__xludf.DUMMYFUNCTION("""COMPUTED_VALUE"""),"")</f>
        <v/>
      </c>
      <c r="U1074" s="5" t="str">
        <f>IFERROR(__xludf.DUMMYFUNCTION("""COMPUTED_VALUE"""),"")</f>
        <v/>
      </c>
      <c r="V1074" s="5" t="str">
        <f>IFERROR(__xludf.DUMMYFUNCTION("""COMPUTED_VALUE"""),"")</f>
        <v/>
      </c>
      <c r="W1074" s="5" t="str">
        <f>IFERROR(__xludf.DUMMYFUNCTION("""COMPUTED_VALUE"""),"")</f>
        <v/>
      </c>
      <c r="X1074" s="5" t="str">
        <f>IFERROR(__xludf.DUMMYFUNCTION("""COMPUTED_VALUE"""),"")</f>
        <v/>
      </c>
      <c r="Y1074" s="5"/>
      <c r="Z1074" s="5"/>
    </row>
    <row r="1075">
      <c r="A1075" s="5"/>
      <c r="B1075" s="5" t="str">
        <f>IFERROR(__xludf.DUMMYFUNCTION("""COMPUTED_VALUE"""),"")</f>
        <v/>
      </c>
      <c r="C1075" s="5" t="str">
        <f>IFERROR(__xludf.DUMMYFUNCTION("""COMPUTED_VALUE"""),"")</f>
        <v/>
      </c>
      <c r="D1075" s="5" t="str">
        <f>IFERROR(__xludf.DUMMYFUNCTION("""COMPUTED_VALUE"""),"")</f>
        <v/>
      </c>
      <c r="E1075" s="5" t="str">
        <f>IFERROR(__xludf.DUMMYFUNCTION("""COMPUTED_VALUE"""),"")</f>
        <v/>
      </c>
      <c r="F1075" s="5" t="str">
        <f>IFERROR(__xludf.DUMMYFUNCTION("""COMPUTED_VALUE"""),"")</f>
        <v/>
      </c>
      <c r="G1075" s="5" t="str">
        <f>IFERROR(__xludf.DUMMYFUNCTION("""COMPUTED_VALUE"""),"")</f>
        <v/>
      </c>
      <c r="H1075" s="5" t="str">
        <f>IFERROR(__xludf.DUMMYFUNCTION("""COMPUTED_VALUE"""),"")</f>
        <v/>
      </c>
      <c r="I1075" s="5" t="str">
        <f>IFERROR(__xludf.DUMMYFUNCTION("""COMPUTED_VALUE"""),"")</f>
        <v/>
      </c>
      <c r="J1075" s="5" t="str">
        <f>IFERROR(__xludf.DUMMYFUNCTION("""COMPUTED_VALUE"""),"")</f>
        <v/>
      </c>
      <c r="K1075" s="5" t="str">
        <f>IFERROR(__xludf.DUMMYFUNCTION("""COMPUTED_VALUE"""),"")</f>
        <v/>
      </c>
      <c r="L1075" s="5" t="str">
        <f>IFERROR(__xludf.DUMMYFUNCTION("""COMPUTED_VALUE"""),"")</f>
        <v/>
      </c>
      <c r="M1075" s="5" t="str">
        <f>IFERROR(__xludf.DUMMYFUNCTION("""COMPUTED_VALUE"""),"")</f>
        <v/>
      </c>
      <c r="N1075" s="5" t="str">
        <f>IFERROR(__xludf.DUMMYFUNCTION("""COMPUTED_VALUE"""),"")</f>
        <v/>
      </c>
      <c r="O1075" s="5" t="str">
        <f>IFERROR(__xludf.DUMMYFUNCTION("""COMPUTED_VALUE"""),"")</f>
        <v/>
      </c>
      <c r="P1075" s="5" t="str">
        <f>IFERROR(__xludf.DUMMYFUNCTION("""COMPUTED_VALUE"""),"")</f>
        <v/>
      </c>
      <c r="Q1075" s="5" t="str">
        <f>IFERROR(__xludf.DUMMYFUNCTION("""COMPUTED_VALUE"""),"")</f>
        <v/>
      </c>
      <c r="R1075" s="5" t="str">
        <f>IFERROR(__xludf.DUMMYFUNCTION("""COMPUTED_VALUE"""),"")</f>
        <v/>
      </c>
      <c r="S1075" s="5" t="str">
        <f>IFERROR(__xludf.DUMMYFUNCTION("""COMPUTED_VALUE"""),"")</f>
        <v/>
      </c>
      <c r="T1075" s="5" t="str">
        <f>IFERROR(__xludf.DUMMYFUNCTION("""COMPUTED_VALUE"""),"")</f>
        <v/>
      </c>
      <c r="U1075" s="5" t="str">
        <f>IFERROR(__xludf.DUMMYFUNCTION("""COMPUTED_VALUE"""),"")</f>
        <v/>
      </c>
      <c r="V1075" s="5" t="str">
        <f>IFERROR(__xludf.DUMMYFUNCTION("""COMPUTED_VALUE"""),"")</f>
        <v/>
      </c>
      <c r="W1075" s="5" t="str">
        <f>IFERROR(__xludf.DUMMYFUNCTION("""COMPUTED_VALUE"""),"")</f>
        <v/>
      </c>
      <c r="X1075" s="5" t="str">
        <f>IFERROR(__xludf.DUMMYFUNCTION("""COMPUTED_VALUE"""),"")</f>
        <v/>
      </c>
      <c r="Y1075" s="5"/>
      <c r="Z1075" s="5"/>
    </row>
    <row r="1076">
      <c r="A1076" s="5"/>
      <c r="B1076" s="5" t="str">
        <f>IFERROR(__xludf.DUMMYFUNCTION("""COMPUTED_VALUE"""),"")</f>
        <v/>
      </c>
      <c r="C1076" s="5" t="str">
        <f>IFERROR(__xludf.DUMMYFUNCTION("""COMPUTED_VALUE"""),"")</f>
        <v/>
      </c>
      <c r="D1076" s="5" t="str">
        <f>IFERROR(__xludf.DUMMYFUNCTION("""COMPUTED_VALUE"""),"")</f>
        <v/>
      </c>
      <c r="E1076" s="5" t="str">
        <f>IFERROR(__xludf.DUMMYFUNCTION("""COMPUTED_VALUE"""),"")</f>
        <v/>
      </c>
      <c r="F1076" s="5" t="str">
        <f>IFERROR(__xludf.DUMMYFUNCTION("""COMPUTED_VALUE"""),"")</f>
        <v/>
      </c>
      <c r="G1076" s="5" t="str">
        <f>IFERROR(__xludf.DUMMYFUNCTION("""COMPUTED_VALUE"""),"")</f>
        <v/>
      </c>
      <c r="H1076" s="5" t="str">
        <f>IFERROR(__xludf.DUMMYFUNCTION("""COMPUTED_VALUE"""),"")</f>
        <v/>
      </c>
      <c r="I1076" s="5" t="str">
        <f>IFERROR(__xludf.DUMMYFUNCTION("""COMPUTED_VALUE"""),"")</f>
        <v/>
      </c>
      <c r="J1076" s="5" t="str">
        <f>IFERROR(__xludf.DUMMYFUNCTION("""COMPUTED_VALUE"""),"")</f>
        <v/>
      </c>
      <c r="K1076" s="5" t="str">
        <f>IFERROR(__xludf.DUMMYFUNCTION("""COMPUTED_VALUE"""),"")</f>
        <v/>
      </c>
      <c r="L1076" s="5" t="str">
        <f>IFERROR(__xludf.DUMMYFUNCTION("""COMPUTED_VALUE"""),"")</f>
        <v/>
      </c>
      <c r="M1076" s="5" t="str">
        <f>IFERROR(__xludf.DUMMYFUNCTION("""COMPUTED_VALUE"""),"")</f>
        <v/>
      </c>
      <c r="N1076" s="5" t="str">
        <f>IFERROR(__xludf.DUMMYFUNCTION("""COMPUTED_VALUE"""),"")</f>
        <v/>
      </c>
      <c r="O1076" s="5" t="str">
        <f>IFERROR(__xludf.DUMMYFUNCTION("""COMPUTED_VALUE"""),"")</f>
        <v/>
      </c>
      <c r="P1076" s="5" t="str">
        <f>IFERROR(__xludf.DUMMYFUNCTION("""COMPUTED_VALUE"""),"")</f>
        <v/>
      </c>
      <c r="Q1076" s="5" t="str">
        <f>IFERROR(__xludf.DUMMYFUNCTION("""COMPUTED_VALUE"""),"")</f>
        <v/>
      </c>
      <c r="R1076" s="5" t="str">
        <f>IFERROR(__xludf.DUMMYFUNCTION("""COMPUTED_VALUE"""),"")</f>
        <v/>
      </c>
      <c r="S1076" s="5" t="str">
        <f>IFERROR(__xludf.DUMMYFUNCTION("""COMPUTED_VALUE"""),"")</f>
        <v/>
      </c>
      <c r="T1076" s="5" t="str">
        <f>IFERROR(__xludf.DUMMYFUNCTION("""COMPUTED_VALUE"""),"")</f>
        <v/>
      </c>
      <c r="U1076" s="5" t="str">
        <f>IFERROR(__xludf.DUMMYFUNCTION("""COMPUTED_VALUE"""),"")</f>
        <v/>
      </c>
      <c r="V1076" s="5" t="str">
        <f>IFERROR(__xludf.DUMMYFUNCTION("""COMPUTED_VALUE"""),"")</f>
        <v/>
      </c>
      <c r="W1076" s="5" t="str">
        <f>IFERROR(__xludf.DUMMYFUNCTION("""COMPUTED_VALUE"""),"")</f>
        <v/>
      </c>
      <c r="X1076" s="5" t="str">
        <f>IFERROR(__xludf.DUMMYFUNCTION("""COMPUTED_VALUE"""),"")</f>
        <v/>
      </c>
      <c r="Y1076" s="5"/>
      <c r="Z1076" s="5"/>
    </row>
    <row r="1077">
      <c r="A1077" s="5"/>
      <c r="B1077" s="5" t="str">
        <f>IFERROR(__xludf.DUMMYFUNCTION("""COMPUTED_VALUE"""),"")</f>
        <v/>
      </c>
      <c r="C1077" s="5" t="str">
        <f>IFERROR(__xludf.DUMMYFUNCTION("""COMPUTED_VALUE"""),"")</f>
        <v/>
      </c>
      <c r="D1077" s="5" t="str">
        <f>IFERROR(__xludf.DUMMYFUNCTION("""COMPUTED_VALUE"""),"")</f>
        <v/>
      </c>
      <c r="E1077" s="5" t="str">
        <f>IFERROR(__xludf.DUMMYFUNCTION("""COMPUTED_VALUE"""),"")</f>
        <v/>
      </c>
      <c r="F1077" s="5" t="str">
        <f>IFERROR(__xludf.DUMMYFUNCTION("""COMPUTED_VALUE"""),"")</f>
        <v/>
      </c>
      <c r="G1077" s="5" t="str">
        <f>IFERROR(__xludf.DUMMYFUNCTION("""COMPUTED_VALUE"""),"")</f>
        <v/>
      </c>
      <c r="H1077" s="5" t="str">
        <f>IFERROR(__xludf.DUMMYFUNCTION("""COMPUTED_VALUE"""),"")</f>
        <v/>
      </c>
      <c r="I1077" s="5" t="str">
        <f>IFERROR(__xludf.DUMMYFUNCTION("""COMPUTED_VALUE"""),"")</f>
        <v/>
      </c>
      <c r="J1077" s="5" t="str">
        <f>IFERROR(__xludf.DUMMYFUNCTION("""COMPUTED_VALUE"""),"")</f>
        <v/>
      </c>
      <c r="K1077" s="5" t="str">
        <f>IFERROR(__xludf.DUMMYFUNCTION("""COMPUTED_VALUE"""),"")</f>
        <v/>
      </c>
      <c r="L1077" s="5" t="str">
        <f>IFERROR(__xludf.DUMMYFUNCTION("""COMPUTED_VALUE"""),"")</f>
        <v/>
      </c>
      <c r="M1077" s="5" t="str">
        <f>IFERROR(__xludf.DUMMYFUNCTION("""COMPUTED_VALUE"""),"")</f>
        <v/>
      </c>
      <c r="N1077" s="5" t="str">
        <f>IFERROR(__xludf.DUMMYFUNCTION("""COMPUTED_VALUE"""),"")</f>
        <v/>
      </c>
      <c r="O1077" s="5" t="str">
        <f>IFERROR(__xludf.DUMMYFUNCTION("""COMPUTED_VALUE"""),"")</f>
        <v/>
      </c>
      <c r="P1077" s="5" t="str">
        <f>IFERROR(__xludf.DUMMYFUNCTION("""COMPUTED_VALUE"""),"")</f>
        <v/>
      </c>
      <c r="Q1077" s="5" t="str">
        <f>IFERROR(__xludf.DUMMYFUNCTION("""COMPUTED_VALUE"""),"")</f>
        <v/>
      </c>
      <c r="R1077" s="5" t="str">
        <f>IFERROR(__xludf.DUMMYFUNCTION("""COMPUTED_VALUE"""),"")</f>
        <v/>
      </c>
      <c r="S1077" s="5" t="str">
        <f>IFERROR(__xludf.DUMMYFUNCTION("""COMPUTED_VALUE"""),"")</f>
        <v/>
      </c>
      <c r="T1077" s="5" t="str">
        <f>IFERROR(__xludf.DUMMYFUNCTION("""COMPUTED_VALUE"""),"")</f>
        <v/>
      </c>
      <c r="U1077" s="5" t="str">
        <f>IFERROR(__xludf.DUMMYFUNCTION("""COMPUTED_VALUE"""),"")</f>
        <v/>
      </c>
      <c r="V1077" s="5" t="str">
        <f>IFERROR(__xludf.DUMMYFUNCTION("""COMPUTED_VALUE"""),"")</f>
        <v/>
      </c>
      <c r="W1077" s="5" t="str">
        <f>IFERROR(__xludf.DUMMYFUNCTION("""COMPUTED_VALUE"""),"")</f>
        <v/>
      </c>
      <c r="X1077" s="5" t="str">
        <f>IFERROR(__xludf.DUMMYFUNCTION("""COMPUTED_VALUE"""),"")</f>
        <v/>
      </c>
      <c r="Y1077" s="5"/>
      <c r="Z1077" s="5"/>
    </row>
    <row r="1078">
      <c r="A1078" s="5"/>
      <c r="B1078" s="5" t="str">
        <f>IFERROR(__xludf.DUMMYFUNCTION("""COMPUTED_VALUE"""),"")</f>
        <v/>
      </c>
      <c r="C1078" s="5" t="str">
        <f>IFERROR(__xludf.DUMMYFUNCTION("""COMPUTED_VALUE"""),"")</f>
        <v/>
      </c>
      <c r="D1078" s="5" t="str">
        <f>IFERROR(__xludf.DUMMYFUNCTION("""COMPUTED_VALUE"""),"")</f>
        <v/>
      </c>
      <c r="E1078" s="5" t="str">
        <f>IFERROR(__xludf.DUMMYFUNCTION("""COMPUTED_VALUE"""),"")</f>
        <v/>
      </c>
      <c r="F1078" s="5" t="str">
        <f>IFERROR(__xludf.DUMMYFUNCTION("""COMPUTED_VALUE"""),"")</f>
        <v/>
      </c>
      <c r="G1078" s="5" t="str">
        <f>IFERROR(__xludf.DUMMYFUNCTION("""COMPUTED_VALUE"""),"")</f>
        <v/>
      </c>
      <c r="H1078" s="5" t="str">
        <f>IFERROR(__xludf.DUMMYFUNCTION("""COMPUTED_VALUE"""),"")</f>
        <v/>
      </c>
      <c r="I1078" s="5" t="str">
        <f>IFERROR(__xludf.DUMMYFUNCTION("""COMPUTED_VALUE"""),"")</f>
        <v/>
      </c>
      <c r="J1078" s="5" t="str">
        <f>IFERROR(__xludf.DUMMYFUNCTION("""COMPUTED_VALUE"""),"")</f>
        <v/>
      </c>
      <c r="K1078" s="5" t="str">
        <f>IFERROR(__xludf.DUMMYFUNCTION("""COMPUTED_VALUE"""),"")</f>
        <v/>
      </c>
      <c r="L1078" s="5" t="str">
        <f>IFERROR(__xludf.DUMMYFUNCTION("""COMPUTED_VALUE"""),"")</f>
        <v/>
      </c>
      <c r="M1078" s="5" t="str">
        <f>IFERROR(__xludf.DUMMYFUNCTION("""COMPUTED_VALUE"""),"")</f>
        <v/>
      </c>
      <c r="N1078" s="5" t="str">
        <f>IFERROR(__xludf.DUMMYFUNCTION("""COMPUTED_VALUE"""),"")</f>
        <v/>
      </c>
      <c r="O1078" s="5" t="str">
        <f>IFERROR(__xludf.DUMMYFUNCTION("""COMPUTED_VALUE"""),"")</f>
        <v/>
      </c>
      <c r="P1078" s="5" t="str">
        <f>IFERROR(__xludf.DUMMYFUNCTION("""COMPUTED_VALUE"""),"")</f>
        <v/>
      </c>
      <c r="Q1078" s="5" t="str">
        <f>IFERROR(__xludf.DUMMYFUNCTION("""COMPUTED_VALUE"""),"")</f>
        <v/>
      </c>
      <c r="R1078" s="5" t="str">
        <f>IFERROR(__xludf.DUMMYFUNCTION("""COMPUTED_VALUE"""),"")</f>
        <v/>
      </c>
      <c r="S1078" s="5" t="str">
        <f>IFERROR(__xludf.DUMMYFUNCTION("""COMPUTED_VALUE"""),"")</f>
        <v/>
      </c>
      <c r="T1078" s="5" t="str">
        <f>IFERROR(__xludf.DUMMYFUNCTION("""COMPUTED_VALUE"""),"")</f>
        <v/>
      </c>
      <c r="U1078" s="5" t="str">
        <f>IFERROR(__xludf.DUMMYFUNCTION("""COMPUTED_VALUE"""),"")</f>
        <v/>
      </c>
      <c r="V1078" s="5" t="str">
        <f>IFERROR(__xludf.DUMMYFUNCTION("""COMPUTED_VALUE"""),"")</f>
        <v/>
      </c>
      <c r="W1078" s="5" t="str">
        <f>IFERROR(__xludf.DUMMYFUNCTION("""COMPUTED_VALUE"""),"")</f>
        <v/>
      </c>
      <c r="X1078" s="5" t="str">
        <f>IFERROR(__xludf.DUMMYFUNCTION("""COMPUTED_VALUE"""),"")</f>
        <v/>
      </c>
      <c r="Y1078" s="5"/>
      <c r="Z1078" s="5"/>
    </row>
    <row r="1079">
      <c r="A1079" s="5"/>
      <c r="B1079" s="5" t="str">
        <f>IFERROR(__xludf.DUMMYFUNCTION("""COMPUTED_VALUE"""),"")</f>
        <v/>
      </c>
      <c r="C1079" s="5" t="str">
        <f>IFERROR(__xludf.DUMMYFUNCTION("""COMPUTED_VALUE"""),"")</f>
        <v/>
      </c>
      <c r="D1079" s="5" t="str">
        <f>IFERROR(__xludf.DUMMYFUNCTION("""COMPUTED_VALUE"""),"")</f>
        <v/>
      </c>
      <c r="E1079" s="5" t="str">
        <f>IFERROR(__xludf.DUMMYFUNCTION("""COMPUTED_VALUE"""),"")</f>
        <v/>
      </c>
      <c r="F1079" s="5" t="str">
        <f>IFERROR(__xludf.DUMMYFUNCTION("""COMPUTED_VALUE"""),"")</f>
        <v/>
      </c>
      <c r="G1079" s="5" t="str">
        <f>IFERROR(__xludf.DUMMYFUNCTION("""COMPUTED_VALUE"""),"")</f>
        <v/>
      </c>
      <c r="H1079" s="5" t="str">
        <f>IFERROR(__xludf.DUMMYFUNCTION("""COMPUTED_VALUE"""),"")</f>
        <v/>
      </c>
      <c r="I1079" s="5" t="str">
        <f>IFERROR(__xludf.DUMMYFUNCTION("""COMPUTED_VALUE"""),"")</f>
        <v/>
      </c>
      <c r="J1079" s="5" t="str">
        <f>IFERROR(__xludf.DUMMYFUNCTION("""COMPUTED_VALUE"""),"")</f>
        <v/>
      </c>
      <c r="K1079" s="5" t="str">
        <f>IFERROR(__xludf.DUMMYFUNCTION("""COMPUTED_VALUE"""),"")</f>
        <v/>
      </c>
      <c r="L1079" s="5" t="str">
        <f>IFERROR(__xludf.DUMMYFUNCTION("""COMPUTED_VALUE"""),"")</f>
        <v/>
      </c>
      <c r="M1079" s="5" t="str">
        <f>IFERROR(__xludf.DUMMYFUNCTION("""COMPUTED_VALUE"""),"")</f>
        <v/>
      </c>
      <c r="N1079" s="5" t="str">
        <f>IFERROR(__xludf.DUMMYFUNCTION("""COMPUTED_VALUE"""),"")</f>
        <v/>
      </c>
      <c r="O1079" s="5" t="str">
        <f>IFERROR(__xludf.DUMMYFUNCTION("""COMPUTED_VALUE"""),"")</f>
        <v/>
      </c>
      <c r="P1079" s="5" t="str">
        <f>IFERROR(__xludf.DUMMYFUNCTION("""COMPUTED_VALUE"""),"")</f>
        <v/>
      </c>
      <c r="Q1079" s="5" t="str">
        <f>IFERROR(__xludf.DUMMYFUNCTION("""COMPUTED_VALUE"""),"")</f>
        <v/>
      </c>
      <c r="R1079" s="5" t="str">
        <f>IFERROR(__xludf.DUMMYFUNCTION("""COMPUTED_VALUE"""),"")</f>
        <v/>
      </c>
      <c r="S1079" s="5" t="str">
        <f>IFERROR(__xludf.DUMMYFUNCTION("""COMPUTED_VALUE"""),"")</f>
        <v/>
      </c>
      <c r="T1079" s="5" t="str">
        <f>IFERROR(__xludf.DUMMYFUNCTION("""COMPUTED_VALUE"""),"")</f>
        <v/>
      </c>
      <c r="U1079" s="5" t="str">
        <f>IFERROR(__xludf.DUMMYFUNCTION("""COMPUTED_VALUE"""),"")</f>
        <v/>
      </c>
      <c r="V1079" s="5" t="str">
        <f>IFERROR(__xludf.DUMMYFUNCTION("""COMPUTED_VALUE"""),"")</f>
        <v/>
      </c>
      <c r="W1079" s="5" t="str">
        <f>IFERROR(__xludf.DUMMYFUNCTION("""COMPUTED_VALUE"""),"")</f>
        <v/>
      </c>
      <c r="X1079" s="5" t="str">
        <f>IFERROR(__xludf.DUMMYFUNCTION("""COMPUTED_VALUE"""),"")</f>
        <v/>
      </c>
      <c r="Y1079" s="5"/>
      <c r="Z1079" s="5"/>
    </row>
    <row r="1080">
      <c r="A1080" s="5"/>
      <c r="B1080" s="5" t="str">
        <f>IFERROR(__xludf.DUMMYFUNCTION("""COMPUTED_VALUE"""),"")</f>
        <v/>
      </c>
      <c r="C1080" s="5" t="str">
        <f>IFERROR(__xludf.DUMMYFUNCTION("""COMPUTED_VALUE"""),"")</f>
        <v/>
      </c>
      <c r="D1080" s="5" t="str">
        <f>IFERROR(__xludf.DUMMYFUNCTION("""COMPUTED_VALUE"""),"")</f>
        <v/>
      </c>
      <c r="E1080" s="5" t="str">
        <f>IFERROR(__xludf.DUMMYFUNCTION("""COMPUTED_VALUE"""),"")</f>
        <v/>
      </c>
      <c r="F1080" s="5" t="str">
        <f>IFERROR(__xludf.DUMMYFUNCTION("""COMPUTED_VALUE"""),"")</f>
        <v/>
      </c>
      <c r="G1080" s="5" t="str">
        <f>IFERROR(__xludf.DUMMYFUNCTION("""COMPUTED_VALUE"""),"")</f>
        <v/>
      </c>
      <c r="H1080" s="5" t="str">
        <f>IFERROR(__xludf.DUMMYFUNCTION("""COMPUTED_VALUE"""),"")</f>
        <v/>
      </c>
      <c r="I1080" s="5" t="str">
        <f>IFERROR(__xludf.DUMMYFUNCTION("""COMPUTED_VALUE"""),"")</f>
        <v/>
      </c>
      <c r="J1080" s="5" t="str">
        <f>IFERROR(__xludf.DUMMYFUNCTION("""COMPUTED_VALUE"""),"")</f>
        <v/>
      </c>
      <c r="K1080" s="5" t="str">
        <f>IFERROR(__xludf.DUMMYFUNCTION("""COMPUTED_VALUE"""),"")</f>
        <v/>
      </c>
      <c r="L1080" s="5" t="str">
        <f>IFERROR(__xludf.DUMMYFUNCTION("""COMPUTED_VALUE"""),"")</f>
        <v/>
      </c>
      <c r="M1080" s="5" t="str">
        <f>IFERROR(__xludf.DUMMYFUNCTION("""COMPUTED_VALUE"""),"")</f>
        <v/>
      </c>
      <c r="N1080" s="5" t="str">
        <f>IFERROR(__xludf.DUMMYFUNCTION("""COMPUTED_VALUE"""),"")</f>
        <v/>
      </c>
      <c r="O1080" s="5" t="str">
        <f>IFERROR(__xludf.DUMMYFUNCTION("""COMPUTED_VALUE"""),"")</f>
        <v/>
      </c>
      <c r="P1080" s="5" t="str">
        <f>IFERROR(__xludf.DUMMYFUNCTION("""COMPUTED_VALUE"""),"")</f>
        <v/>
      </c>
      <c r="Q1080" s="5" t="str">
        <f>IFERROR(__xludf.DUMMYFUNCTION("""COMPUTED_VALUE"""),"")</f>
        <v/>
      </c>
      <c r="R1080" s="5" t="str">
        <f>IFERROR(__xludf.DUMMYFUNCTION("""COMPUTED_VALUE"""),"")</f>
        <v/>
      </c>
      <c r="S1080" s="5" t="str">
        <f>IFERROR(__xludf.DUMMYFUNCTION("""COMPUTED_VALUE"""),"")</f>
        <v/>
      </c>
      <c r="T1080" s="5" t="str">
        <f>IFERROR(__xludf.DUMMYFUNCTION("""COMPUTED_VALUE"""),"")</f>
        <v/>
      </c>
      <c r="U1080" s="5" t="str">
        <f>IFERROR(__xludf.DUMMYFUNCTION("""COMPUTED_VALUE"""),"")</f>
        <v/>
      </c>
      <c r="V1080" s="5" t="str">
        <f>IFERROR(__xludf.DUMMYFUNCTION("""COMPUTED_VALUE"""),"")</f>
        <v/>
      </c>
      <c r="W1080" s="5" t="str">
        <f>IFERROR(__xludf.DUMMYFUNCTION("""COMPUTED_VALUE"""),"")</f>
        <v/>
      </c>
      <c r="X1080" s="5" t="str">
        <f>IFERROR(__xludf.DUMMYFUNCTION("""COMPUTED_VALUE"""),"")</f>
        <v/>
      </c>
      <c r="Y1080" s="5"/>
      <c r="Z1080" s="5"/>
    </row>
    <row r="1081">
      <c r="A1081" s="5"/>
      <c r="B1081" s="5" t="str">
        <f>IFERROR(__xludf.DUMMYFUNCTION("""COMPUTED_VALUE"""),"")</f>
        <v/>
      </c>
      <c r="C1081" s="5" t="str">
        <f>IFERROR(__xludf.DUMMYFUNCTION("""COMPUTED_VALUE"""),"")</f>
        <v/>
      </c>
      <c r="D1081" s="5" t="str">
        <f>IFERROR(__xludf.DUMMYFUNCTION("""COMPUTED_VALUE"""),"")</f>
        <v/>
      </c>
      <c r="E1081" s="5" t="str">
        <f>IFERROR(__xludf.DUMMYFUNCTION("""COMPUTED_VALUE"""),"")</f>
        <v/>
      </c>
      <c r="F1081" s="5" t="str">
        <f>IFERROR(__xludf.DUMMYFUNCTION("""COMPUTED_VALUE"""),"")</f>
        <v/>
      </c>
      <c r="G1081" s="5" t="str">
        <f>IFERROR(__xludf.DUMMYFUNCTION("""COMPUTED_VALUE"""),"")</f>
        <v/>
      </c>
      <c r="H1081" s="5" t="str">
        <f>IFERROR(__xludf.DUMMYFUNCTION("""COMPUTED_VALUE"""),"")</f>
        <v/>
      </c>
      <c r="I1081" s="5" t="str">
        <f>IFERROR(__xludf.DUMMYFUNCTION("""COMPUTED_VALUE"""),"")</f>
        <v/>
      </c>
      <c r="J1081" s="5" t="str">
        <f>IFERROR(__xludf.DUMMYFUNCTION("""COMPUTED_VALUE"""),"")</f>
        <v/>
      </c>
      <c r="K1081" s="5" t="str">
        <f>IFERROR(__xludf.DUMMYFUNCTION("""COMPUTED_VALUE"""),"")</f>
        <v/>
      </c>
      <c r="L1081" s="5" t="str">
        <f>IFERROR(__xludf.DUMMYFUNCTION("""COMPUTED_VALUE"""),"")</f>
        <v/>
      </c>
      <c r="M1081" s="5" t="str">
        <f>IFERROR(__xludf.DUMMYFUNCTION("""COMPUTED_VALUE"""),"")</f>
        <v/>
      </c>
      <c r="N1081" s="5" t="str">
        <f>IFERROR(__xludf.DUMMYFUNCTION("""COMPUTED_VALUE"""),"")</f>
        <v/>
      </c>
      <c r="O1081" s="5" t="str">
        <f>IFERROR(__xludf.DUMMYFUNCTION("""COMPUTED_VALUE"""),"")</f>
        <v/>
      </c>
      <c r="P1081" s="5" t="str">
        <f>IFERROR(__xludf.DUMMYFUNCTION("""COMPUTED_VALUE"""),"")</f>
        <v/>
      </c>
      <c r="Q1081" s="5" t="str">
        <f>IFERROR(__xludf.DUMMYFUNCTION("""COMPUTED_VALUE"""),"")</f>
        <v/>
      </c>
      <c r="R1081" s="5" t="str">
        <f>IFERROR(__xludf.DUMMYFUNCTION("""COMPUTED_VALUE"""),"")</f>
        <v/>
      </c>
      <c r="S1081" s="5" t="str">
        <f>IFERROR(__xludf.DUMMYFUNCTION("""COMPUTED_VALUE"""),"")</f>
        <v/>
      </c>
      <c r="T1081" s="5" t="str">
        <f>IFERROR(__xludf.DUMMYFUNCTION("""COMPUTED_VALUE"""),"")</f>
        <v/>
      </c>
      <c r="U1081" s="5" t="str">
        <f>IFERROR(__xludf.DUMMYFUNCTION("""COMPUTED_VALUE"""),"")</f>
        <v/>
      </c>
      <c r="V1081" s="5" t="str">
        <f>IFERROR(__xludf.DUMMYFUNCTION("""COMPUTED_VALUE"""),"")</f>
        <v/>
      </c>
      <c r="W1081" s="5" t="str">
        <f>IFERROR(__xludf.DUMMYFUNCTION("""COMPUTED_VALUE"""),"")</f>
        <v/>
      </c>
      <c r="X1081" s="5" t="str">
        <f>IFERROR(__xludf.DUMMYFUNCTION("""COMPUTED_VALUE"""),"")</f>
        <v/>
      </c>
      <c r="Y1081" s="5"/>
      <c r="Z1081" s="5"/>
    </row>
    <row r="1082">
      <c r="A1082" s="5"/>
      <c r="B1082" s="5" t="str">
        <f>IFERROR(__xludf.DUMMYFUNCTION("""COMPUTED_VALUE"""),"")</f>
        <v/>
      </c>
      <c r="C1082" s="5" t="str">
        <f>IFERROR(__xludf.DUMMYFUNCTION("""COMPUTED_VALUE"""),"")</f>
        <v/>
      </c>
      <c r="D1082" s="5" t="str">
        <f>IFERROR(__xludf.DUMMYFUNCTION("""COMPUTED_VALUE"""),"")</f>
        <v/>
      </c>
      <c r="E1082" s="5" t="str">
        <f>IFERROR(__xludf.DUMMYFUNCTION("""COMPUTED_VALUE"""),"")</f>
        <v/>
      </c>
      <c r="F1082" s="5" t="str">
        <f>IFERROR(__xludf.DUMMYFUNCTION("""COMPUTED_VALUE"""),"")</f>
        <v/>
      </c>
      <c r="G1082" s="5" t="str">
        <f>IFERROR(__xludf.DUMMYFUNCTION("""COMPUTED_VALUE"""),"")</f>
        <v/>
      </c>
      <c r="H1082" s="5" t="str">
        <f>IFERROR(__xludf.DUMMYFUNCTION("""COMPUTED_VALUE"""),"")</f>
        <v/>
      </c>
      <c r="I1082" s="5" t="str">
        <f>IFERROR(__xludf.DUMMYFUNCTION("""COMPUTED_VALUE"""),"")</f>
        <v/>
      </c>
      <c r="J1082" s="5" t="str">
        <f>IFERROR(__xludf.DUMMYFUNCTION("""COMPUTED_VALUE"""),"")</f>
        <v/>
      </c>
      <c r="K1082" s="5" t="str">
        <f>IFERROR(__xludf.DUMMYFUNCTION("""COMPUTED_VALUE"""),"")</f>
        <v/>
      </c>
      <c r="L1082" s="5" t="str">
        <f>IFERROR(__xludf.DUMMYFUNCTION("""COMPUTED_VALUE"""),"")</f>
        <v/>
      </c>
      <c r="M1082" s="5" t="str">
        <f>IFERROR(__xludf.DUMMYFUNCTION("""COMPUTED_VALUE"""),"")</f>
        <v/>
      </c>
      <c r="N1082" s="5" t="str">
        <f>IFERROR(__xludf.DUMMYFUNCTION("""COMPUTED_VALUE"""),"")</f>
        <v/>
      </c>
      <c r="O1082" s="5" t="str">
        <f>IFERROR(__xludf.DUMMYFUNCTION("""COMPUTED_VALUE"""),"")</f>
        <v/>
      </c>
      <c r="P1082" s="5" t="str">
        <f>IFERROR(__xludf.DUMMYFUNCTION("""COMPUTED_VALUE"""),"")</f>
        <v/>
      </c>
      <c r="Q1082" s="5" t="str">
        <f>IFERROR(__xludf.DUMMYFUNCTION("""COMPUTED_VALUE"""),"")</f>
        <v/>
      </c>
      <c r="R1082" s="5" t="str">
        <f>IFERROR(__xludf.DUMMYFUNCTION("""COMPUTED_VALUE"""),"")</f>
        <v/>
      </c>
      <c r="S1082" s="5" t="str">
        <f>IFERROR(__xludf.DUMMYFUNCTION("""COMPUTED_VALUE"""),"")</f>
        <v/>
      </c>
      <c r="T1082" s="5" t="str">
        <f>IFERROR(__xludf.DUMMYFUNCTION("""COMPUTED_VALUE"""),"")</f>
        <v/>
      </c>
      <c r="U1082" s="5" t="str">
        <f>IFERROR(__xludf.DUMMYFUNCTION("""COMPUTED_VALUE"""),"")</f>
        <v/>
      </c>
      <c r="V1082" s="5" t="str">
        <f>IFERROR(__xludf.DUMMYFUNCTION("""COMPUTED_VALUE"""),"")</f>
        <v/>
      </c>
      <c r="W1082" s="5" t="str">
        <f>IFERROR(__xludf.DUMMYFUNCTION("""COMPUTED_VALUE"""),"")</f>
        <v/>
      </c>
      <c r="X1082" s="5" t="str">
        <f>IFERROR(__xludf.DUMMYFUNCTION("""COMPUTED_VALUE"""),"")</f>
        <v/>
      </c>
      <c r="Y1082" s="5"/>
      <c r="Z1082" s="5"/>
    </row>
    <row r="1083">
      <c r="A1083" s="5"/>
      <c r="B1083" s="5" t="str">
        <f>IFERROR(__xludf.DUMMYFUNCTION("""COMPUTED_VALUE"""),"")</f>
        <v/>
      </c>
      <c r="C1083" s="5" t="str">
        <f>IFERROR(__xludf.DUMMYFUNCTION("""COMPUTED_VALUE"""),"")</f>
        <v/>
      </c>
      <c r="D1083" s="5" t="str">
        <f>IFERROR(__xludf.DUMMYFUNCTION("""COMPUTED_VALUE"""),"")</f>
        <v/>
      </c>
      <c r="E1083" s="5" t="str">
        <f>IFERROR(__xludf.DUMMYFUNCTION("""COMPUTED_VALUE"""),"")</f>
        <v/>
      </c>
      <c r="F1083" s="5" t="str">
        <f>IFERROR(__xludf.DUMMYFUNCTION("""COMPUTED_VALUE"""),"")</f>
        <v/>
      </c>
      <c r="G1083" s="5" t="str">
        <f>IFERROR(__xludf.DUMMYFUNCTION("""COMPUTED_VALUE"""),"")</f>
        <v/>
      </c>
      <c r="H1083" s="5" t="str">
        <f>IFERROR(__xludf.DUMMYFUNCTION("""COMPUTED_VALUE"""),"")</f>
        <v/>
      </c>
      <c r="I1083" s="5" t="str">
        <f>IFERROR(__xludf.DUMMYFUNCTION("""COMPUTED_VALUE"""),"")</f>
        <v/>
      </c>
      <c r="J1083" s="5" t="str">
        <f>IFERROR(__xludf.DUMMYFUNCTION("""COMPUTED_VALUE"""),"")</f>
        <v/>
      </c>
      <c r="K1083" s="5" t="str">
        <f>IFERROR(__xludf.DUMMYFUNCTION("""COMPUTED_VALUE"""),"")</f>
        <v/>
      </c>
      <c r="L1083" s="5" t="str">
        <f>IFERROR(__xludf.DUMMYFUNCTION("""COMPUTED_VALUE"""),"")</f>
        <v/>
      </c>
      <c r="M1083" s="5" t="str">
        <f>IFERROR(__xludf.DUMMYFUNCTION("""COMPUTED_VALUE"""),"")</f>
        <v/>
      </c>
      <c r="N1083" s="5" t="str">
        <f>IFERROR(__xludf.DUMMYFUNCTION("""COMPUTED_VALUE"""),"")</f>
        <v/>
      </c>
      <c r="O1083" s="5" t="str">
        <f>IFERROR(__xludf.DUMMYFUNCTION("""COMPUTED_VALUE"""),"")</f>
        <v/>
      </c>
      <c r="P1083" s="5" t="str">
        <f>IFERROR(__xludf.DUMMYFUNCTION("""COMPUTED_VALUE"""),"")</f>
        <v/>
      </c>
      <c r="Q1083" s="5" t="str">
        <f>IFERROR(__xludf.DUMMYFUNCTION("""COMPUTED_VALUE"""),"")</f>
        <v/>
      </c>
      <c r="R1083" s="5" t="str">
        <f>IFERROR(__xludf.DUMMYFUNCTION("""COMPUTED_VALUE"""),"")</f>
        <v/>
      </c>
      <c r="S1083" s="5" t="str">
        <f>IFERROR(__xludf.DUMMYFUNCTION("""COMPUTED_VALUE"""),"")</f>
        <v/>
      </c>
      <c r="T1083" s="5" t="str">
        <f>IFERROR(__xludf.DUMMYFUNCTION("""COMPUTED_VALUE"""),"")</f>
        <v/>
      </c>
      <c r="U1083" s="5" t="str">
        <f>IFERROR(__xludf.DUMMYFUNCTION("""COMPUTED_VALUE"""),"")</f>
        <v/>
      </c>
      <c r="V1083" s="5" t="str">
        <f>IFERROR(__xludf.DUMMYFUNCTION("""COMPUTED_VALUE"""),"")</f>
        <v/>
      </c>
      <c r="W1083" s="5" t="str">
        <f>IFERROR(__xludf.DUMMYFUNCTION("""COMPUTED_VALUE"""),"")</f>
        <v/>
      </c>
      <c r="X1083" s="5" t="str">
        <f>IFERROR(__xludf.DUMMYFUNCTION("""COMPUTED_VALUE"""),"")</f>
        <v/>
      </c>
      <c r="Y1083" s="5"/>
      <c r="Z1083" s="5"/>
    </row>
    <row r="1084">
      <c r="A1084" s="5"/>
      <c r="B1084" s="5" t="str">
        <f>IFERROR(__xludf.DUMMYFUNCTION("""COMPUTED_VALUE"""),"")</f>
        <v/>
      </c>
      <c r="C1084" s="5" t="str">
        <f>IFERROR(__xludf.DUMMYFUNCTION("""COMPUTED_VALUE"""),"")</f>
        <v/>
      </c>
      <c r="D1084" s="5" t="str">
        <f>IFERROR(__xludf.DUMMYFUNCTION("""COMPUTED_VALUE"""),"")</f>
        <v/>
      </c>
      <c r="E1084" s="5" t="str">
        <f>IFERROR(__xludf.DUMMYFUNCTION("""COMPUTED_VALUE"""),"")</f>
        <v/>
      </c>
      <c r="F1084" s="5" t="str">
        <f>IFERROR(__xludf.DUMMYFUNCTION("""COMPUTED_VALUE"""),"")</f>
        <v/>
      </c>
      <c r="G1084" s="5" t="str">
        <f>IFERROR(__xludf.DUMMYFUNCTION("""COMPUTED_VALUE"""),"")</f>
        <v/>
      </c>
      <c r="H1084" s="5" t="str">
        <f>IFERROR(__xludf.DUMMYFUNCTION("""COMPUTED_VALUE"""),"")</f>
        <v/>
      </c>
      <c r="I1084" s="5" t="str">
        <f>IFERROR(__xludf.DUMMYFUNCTION("""COMPUTED_VALUE"""),"")</f>
        <v/>
      </c>
      <c r="J1084" s="5" t="str">
        <f>IFERROR(__xludf.DUMMYFUNCTION("""COMPUTED_VALUE"""),"")</f>
        <v/>
      </c>
      <c r="K1084" s="5" t="str">
        <f>IFERROR(__xludf.DUMMYFUNCTION("""COMPUTED_VALUE"""),"")</f>
        <v/>
      </c>
      <c r="L1084" s="5" t="str">
        <f>IFERROR(__xludf.DUMMYFUNCTION("""COMPUTED_VALUE"""),"")</f>
        <v/>
      </c>
      <c r="M1084" s="5" t="str">
        <f>IFERROR(__xludf.DUMMYFUNCTION("""COMPUTED_VALUE"""),"")</f>
        <v/>
      </c>
      <c r="N1084" s="5" t="str">
        <f>IFERROR(__xludf.DUMMYFUNCTION("""COMPUTED_VALUE"""),"")</f>
        <v/>
      </c>
      <c r="O1084" s="5" t="str">
        <f>IFERROR(__xludf.DUMMYFUNCTION("""COMPUTED_VALUE"""),"")</f>
        <v/>
      </c>
      <c r="P1084" s="5" t="str">
        <f>IFERROR(__xludf.DUMMYFUNCTION("""COMPUTED_VALUE"""),"")</f>
        <v/>
      </c>
      <c r="Q1084" s="5" t="str">
        <f>IFERROR(__xludf.DUMMYFUNCTION("""COMPUTED_VALUE"""),"")</f>
        <v/>
      </c>
      <c r="R1084" s="5" t="str">
        <f>IFERROR(__xludf.DUMMYFUNCTION("""COMPUTED_VALUE"""),"")</f>
        <v/>
      </c>
      <c r="S1084" s="5" t="str">
        <f>IFERROR(__xludf.DUMMYFUNCTION("""COMPUTED_VALUE"""),"")</f>
        <v/>
      </c>
      <c r="T1084" s="5" t="str">
        <f>IFERROR(__xludf.DUMMYFUNCTION("""COMPUTED_VALUE"""),"")</f>
        <v/>
      </c>
      <c r="U1084" s="5" t="str">
        <f>IFERROR(__xludf.DUMMYFUNCTION("""COMPUTED_VALUE"""),"")</f>
        <v/>
      </c>
      <c r="V1084" s="5" t="str">
        <f>IFERROR(__xludf.DUMMYFUNCTION("""COMPUTED_VALUE"""),"")</f>
        <v/>
      </c>
      <c r="W1084" s="5" t="str">
        <f>IFERROR(__xludf.DUMMYFUNCTION("""COMPUTED_VALUE"""),"")</f>
        <v/>
      </c>
      <c r="X1084" s="5" t="str">
        <f>IFERROR(__xludf.DUMMYFUNCTION("""COMPUTED_VALUE"""),"")</f>
        <v/>
      </c>
      <c r="Y1084" s="5"/>
      <c r="Z1084" s="5"/>
    </row>
    <row r="1085">
      <c r="A1085" s="5"/>
      <c r="B1085" s="5" t="str">
        <f>IFERROR(__xludf.DUMMYFUNCTION("""COMPUTED_VALUE"""),"")</f>
        <v/>
      </c>
      <c r="C1085" s="5" t="str">
        <f>IFERROR(__xludf.DUMMYFUNCTION("""COMPUTED_VALUE"""),"")</f>
        <v/>
      </c>
      <c r="D1085" s="5" t="str">
        <f>IFERROR(__xludf.DUMMYFUNCTION("""COMPUTED_VALUE"""),"")</f>
        <v/>
      </c>
      <c r="E1085" s="5" t="str">
        <f>IFERROR(__xludf.DUMMYFUNCTION("""COMPUTED_VALUE"""),"")</f>
        <v/>
      </c>
      <c r="F1085" s="5" t="str">
        <f>IFERROR(__xludf.DUMMYFUNCTION("""COMPUTED_VALUE"""),"")</f>
        <v/>
      </c>
      <c r="G1085" s="5" t="str">
        <f>IFERROR(__xludf.DUMMYFUNCTION("""COMPUTED_VALUE"""),"")</f>
        <v/>
      </c>
      <c r="H1085" s="5" t="str">
        <f>IFERROR(__xludf.DUMMYFUNCTION("""COMPUTED_VALUE"""),"")</f>
        <v/>
      </c>
      <c r="I1085" s="5" t="str">
        <f>IFERROR(__xludf.DUMMYFUNCTION("""COMPUTED_VALUE"""),"")</f>
        <v/>
      </c>
      <c r="J1085" s="5" t="str">
        <f>IFERROR(__xludf.DUMMYFUNCTION("""COMPUTED_VALUE"""),"")</f>
        <v/>
      </c>
      <c r="K1085" s="5" t="str">
        <f>IFERROR(__xludf.DUMMYFUNCTION("""COMPUTED_VALUE"""),"")</f>
        <v/>
      </c>
      <c r="L1085" s="5" t="str">
        <f>IFERROR(__xludf.DUMMYFUNCTION("""COMPUTED_VALUE"""),"")</f>
        <v/>
      </c>
      <c r="M1085" s="5" t="str">
        <f>IFERROR(__xludf.DUMMYFUNCTION("""COMPUTED_VALUE"""),"")</f>
        <v/>
      </c>
      <c r="N1085" s="5" t="str">
        <f>IFERROR(__xludf.DUMMYFUNCTION("""COMPUTED_VALUE"""),"")</f>
        <v/>
      </c>
      <c r="O1085" s="5" t="str">
        <f>IFERROR(__xludf.DUMMYFUNCTION("""COMPUTED_VALUE"""),"")</f>
        <v/>
      </c>
      <c r="P1085" s="5" t="str">
        <f>IFERROR(__xludf.DUMMYFUNCTION("""COMPUTED_VALUE"""),"")</f>
        <v/>
      </c>
      <c r="Q1085" s="5" t="str">
        <f>IFERROR(__xludf.DUMMYFUNCTION("""COMPUTED_VALUE"""),"")</f>
        <v/>
      </c>
      <c r="R1085" s="5" t="str">
        <f>IFERROR(__xludf.DUMMYFUNCTION("""COMPUTED_VALUE"""),"")</f>
        <v/>
      </c>
      <c r="S1085" s="5" t="str">
        <f>IFERROR(__xludf.DUMMYFUNCTION("""COMPUTED_VALUE"""),"")</f>
        <v/>
      </c>
      <c r="T1085" s="5" t="str">
        <f>IFERROR(__xludf.DUMMYFUNCTION("""COMPUTED_VALUE"""),"")</f>
        <v/>
      </c>
      <c r="U1085" s="5" t="str">
        <f>IFERROR(__xludf.DUMMYFUNCTION("""COMPUTED_VALUE"""),"")</f>
        <v/>
      </c>
      <c r="V1085" s="5" t="str">
        <f>IFERROR(__xludf.DUMMYFUNCTION("""COMPUTED_VALUE"""),"")</f>
        <v/>
      </c>
      <c r="W1085" s="5" t="str">
        <f>IFERROR(__xludf.DUMMYFUNCTION("""COMPUTED_VALUE"""),"")</f>
        <v/>
      </c>
      <c r="X1085" s="5" t="str">
        <f>IFERROR(__xludf.DUMMYFUNCTION("""COMPUTED_VALUE"""),"")</f>
        <v/>
      </c>
      <c r="Y1085" s="5"/>
      <c r="Z1085" s="5"/>
    </row>
    <row r="1086">
      <c r="A1086" s="5"/>
      <c r="B1086" s="5" t="str">
        <f>IFERROR(__xludf.DUMMYFUNCTION("""COMPUTED_VALUE"""),"")</f>
        <v/>
      </c>
      <c r="C1086" s="5" t="str">
        <f>IFERROR(__xludf.DUMMYFUNCTION("""COMPUTED_VALUE"""),"")</f>
        <v/>
      </c>
      <c r="D1086" s="5" t="str">
        <f>IFERROR(__xludf.DUMMYFUNCTION("""COMPUTED_VALUE"""),"")</f>
        <v/>
      </c>
      <c r="E1086" s="5" t="str">
        <f>IFERROR(__xludf.DUMMYFUNCTION("""COMPUTED_VALUE"""),"")</f>
        <v/>
      </c>
      <c r="F1086" s="5" t="str">
        <f>IFERROR(__xludf.DUMMYFUNCTION("""COMPUTED_VALUE"""),"")</f>
        <v/>
      </c>
      <c r="G1086" s="5" t="str">
        <f>IFERROR(__xludf.DUMMYFUNCTION("""COMPUTED_VALUE"""),"")</f>
        <v/>
      </c>
      <c r="H1086" s="5" t="str">
        <f>IFERROR(__xludf.DUMMYFUNCTION("""COMPUTED_VALUE"""),"")</f>
        <v/>
      </c>
      <c r="I1086" s="5" t="str">
        <f>IFERROR(__xludf.DUMMYFUNCTION("""COMPUTED_VALUE"""),"")</f>
        <v/>
      </c>
      <c r="J1086" s="5" t="str">
        <f>IFERROR(__xludf.DUMMYFUNCTION("""COMPUTED_VALUE"""),"")</f>
        <v/>
      </c>
      <c r="K1086" s="5" t="str">
        <f>IFERROR(__xludf.DUMMYFUNCTION("""COMPUTED_VALUE"""),"")</f>
        <v/>
      </c>
      <c r="L1086" s="5" t="str">
        <f>IFERROR(__xludf.DUMMYFUNCTION("""COMPUTED_VALUE"""),"")</f>
        <v/>
      </c>
      <c r="M1086" s="5" t="str">
        <f>IFERROR(__xludf.DUMMYFUNCTION("""COMPUTED_VALUE"""),"")</f>
        <v/>
      </c>
      <c r="N1086" s="5" t="str">
        <f>IFERROR(__xludf.DUMMYFUNCTION("""COMPUTED_VALUE"""),"")</f>
        <v/>
      </c>
      <c r="O1086" s="5" t="str">
        <f>IFERROR(__xludf.DUMMYFUNCTION("""COMPUTED_VALUE"""),"")</f>
        <v/>
      </c>
      <c r="P1086" s="5" t="str">
        <f>IFERROR(__xludf.DUMMYFUNCTION("""COMPUTED_VALUE"""),"")</f>
        <v/>
      </c>
      <c r="Q1086" s="5" t="str">
        <f>IFERROR(__xludf.DUMMYFUNCTION("""COMPUTED_VALUE"""),"")</f>
        <v/>
      </c>
      <c r="R1086" s="5" t="str">
        <f>IFERROR(__xludf.DUMMYFUNCTION("""COMPUTED_VALUE"""),"")</f>
        <v/>
      </c>
      <c r="S1086" s="5" t="str">
        <f>IFERROR(__xludf.DUMMYFUNCTION("""COMPUTED_VALUE"""),"")</f>
        <v/>
      </c>
      <c r="T1086" s="5" t="str">
        <f>IFERROR(__xludf.DUMMYFUNCTION("""COMPUTED_VALUE"""),"")</f>
        <v/>
      </c>
      <c r="U1086" s="5" t="str">
        <f>IFERROR(__xludf.DUMMYFUNCTION("""COMPUTED_VALUE"""),"")</f>
        <v/>
      </c>
      <c r="V1086" s="5" t="str">
        <f>IFERROR(__xludf.DUMMYFUNCTION("""COMPUTED_VALUE"""),"")</f>
        <v/>
      </c>
      <c r="W1086" s="5" t="str">
        <f>IFERROR(__xludf.DUMMYFUNCTION("""COMPUTED_VALUE"""),"")</f>
        <v/>
      </c>
      <c r="X1086" s="5" t="str">
        <f>IFERROR(__xludf.DUMMYFUNCTION("""COMPUTED_VALUE"""),"")</f>
        <v/>
      </c>
      <c r="Y1086" s="5"/>
      <c r="Z1086" s="5"/>
    </row>
    <row r="1087">
      <c r="A1087" s="5"/>
      <c r="B1087" s="5" t="str">
        <f>IFERROR(__xludf.DUMMYFUNCTION("""COMPUTED_VALUE"""),"")</f>
        <v/>
      </c>
      <c r="C1087" s="5" t="str">
        <f>IFERROR(__xludf.DUMMYFUNCTION("""COMPUTED_VALUE"""),"")</f>
        <v/>
      </c>
      <c r="D1087" s="5" t="str">
        <f>IFERROR(__xludf.DUMMYFUNCTION("""COMPUTED_VALUE"""),"")</f>
        <v/>
      </c>
      <c r="E1087" s="5" t="str">
        <f>IFERROR(__xludf.DUMMYFUNCTION("""COMPUTED_VALUE"""),"")</f>
        <v/>
      </c>
      <c r="F1087" s="5" t="str">
        <f>IFERROR(__xludf.DUMMYFUNCTION("""COMPUTED_VALUE"""),"")</f>
        <v/>
      </c>
      <c r="G1087" s="5" t="str">
        <f>IFERROR(__xludf.DUMMYFUNCTION("""COMPUTED_VALUE"""),"")</f>
        <v/>
      </c>
      <c r="H1087" s="5" t="str">
        <f>IFERROR(__xludf.DUMMYFUNCTION("""COMPUTED_VALUE"""),"")</f>
        <v/>
      </c>
      <c r="I1087" s="5" t="str">
        <f>IFERROR(__xludf.DUMMYFUNCTION("""COMPUTED_VALUE"""),"")</f>
        <v/>
      </c>
      <c r="J1087" s="5" t="str">
        <f>IFERROR(__xludf.DUMMYFUNCTION("""COMPUTED_VALUE"""),"")</f>
        <v/>
      </c>
      <c r="K1087" s="5" t="str">
        <f>IFERROR(__xludf.DUMMYFUNCTION("""COMPUTED_VALUE"""),"")</f>
        <v/>
      </c>
      <c r="L1087" s="5" t="str">
        <f>IFERROR(__xludf.DUMMYFUNCTION("""COMPUTED_VALUE"""),"")</f>
        <v/>
      </c>
      <c r="M1087" s="5" t="str">
        <f>IFERROR(__xludf.DUMMYFUNCTION("""COMPUTED_VALUE"""),"")</f>
        <v/>
      </c>
      <c r="N1087" s="5" t="str">
        <f>IFERROR(__xludf.DUMMYFUNCTION("""COMPUTED_VALUE"""),"")</f>
        <v/>
      </c>
      <c r="O1087" s="5" t="str">
        <f>IFERROR(__xludf.DUMMYFUNCTION("""COMPUTED_VALUE"""),"")</f>
        <v/>
      </c>
      <c r="P1087" s="5" t="str">
        <f>IFERROR(__xludf.DUMMYFUNCTION("""COMPUTED_VALUE"""),"")</f>
        <v/>
      </c>
      <c r="Q1087" s="5" t="str">
        <f>IFERROR(__xludf.DUMMYFUNCTION("""COMPUTED_VALUE"""),"")</f>
        <v/>
      </c>
      <c r="R1087" s="5" t="str">
        <f>IFERROR(__xludf.DUMMYFUNCTION("""COMPUTED_VALUE"""),"")</f>
        <v/>
      </c>
      <c r="S1087" s="5" t="str">
        <f>IFERROR(__xludf.DUMMYFUNCTION("""COMPUTED_VALUE"""),"")</f>
        <v/>
      </c>
      <c r="T1087" s="5" t="str">
        <f>IFERROR(__xludf.DUMMYFUNCTION("""COMPUTED_VALUE"""),"")</f>
        <v/>
      </c>
      <c r="U1087" s="5" t="str">
        <f>IFERROR(__xludf.DUMMYFUNCTION("""COMPUTED_VALUE"""),"")</f>
        <v/>
      </c>
      <c r="V1087" s="5" t="str">
        <f>IFERROR(__xludf.DUMMYFUNCTION("""COMPUTED_VALUE"""),"")</f>
        <v/>
      </c>
      <c r="W1087" s="5" t="str">
        <f>IFERROR(__xludf.DUMMYFUNCTION("""COMPUTED_VALUE"""),"")</f>
        <v/>
      </c>
      <c r="X1087" s="5" t="str">
        <f>IFERROR(__xludf.DUMMYFUNCTION("""COMPUTED_VALUE"""),"")</f>
        <v/>
      </c>
      <c r="Y1087" s="5"/>
      <c r="Z1087" s="5"/>
    </row>
    <row r="1088">
      <c r="A1088" s="5"/>
      <c r="B1088" s="5" t="str">
        <f>IFERROR(__xludf.DUMMYFUNCTION("""COMPUTED_VALUE"""),"")</f>
        <v/>
      </c>
      <c r="C1088" s="5" t="str">
        <f>IFERROR(__xludf.DUMMYFUNCTION("""COMPUTED_VALUE"""),"")</f>
        <v/>
      </c>
      <c r="D1088" s="5" t="str">
        <f>IFERROR(__xludf.DUMMYFUNCTION("""COMPUTED_VALUE"""),"")</f>
        <v/>
      </c>
      <c r="E1088" s="5" t="str">
        <f>IFERROR(__xludf.DUMMYFUNCTION("""COMPUTED_VALUE"""),"")</f>
        <v/>
      </c>
      <c r="F1088" s="5" t="str">
        <f>IFERROR(__xludf.DUMMYFUNCTION("""COMPUTED_VALUE"""),"")</f>
        <v/>
      </c>
      <c r="G1088" s="5" t="str">
        <f>IFERROR(__xludf.DUMMYFUNCTION("""COMPUTED_VALUE"""),"")</f>
        <v/>
      </c>
      <c r="H1088" s="5" t="str">
        <f>IFERROR(__xludf.DUMMYFUNCTION("""COMPUTED_VALUE"""),"")</f>
        <v/>
      </c>
      <c r="I1088" s="5" t="str">
        <f>IFERROR(__xludf.DUMMYFUNCTION("""COMPUTED_VALUE"""),"")</f>
        <v/>
      </c>
      <c r="J1088" s="5" t="str">
        <f>IFERROR(__xludf.DUMMYFUNCTION("""COMPUTED_VALUE"""),"")</f>
        <v/>
      </c>
      <c r="K1088" s="5" t="str">
        <f>IFERROR(__xludf.DUMMYFUNCTION("""COMPUTED_VALUE"""),"")</f>
        <v/>
      </c>
      <c r="L1088" s="5" t="str">
        <f>IFERROR(__xludf.DUMMYFUNCTION("""COMPUTED_VALUE"""),"")</f>
        <v/>
      </c>
      <c r="M1088" s="5" t="str">
        <f>IFERROR(__xludf.DUMMYFUNCTION("""COMPUTED_VALUE"""),"")</f>
        <v/>
      </c>
      <c r="N1088" s="5" t="str">
        <f>IFERROR(__xludf.DUMMYFUNCTION("""COMPUTED_VALUE"""),"")</f>
        <v/>
      </c>
      <c r="O1088" s="5" t="str">
        <f>IFERROR(__xludf.DUMMYFUNCTION("""COMPUTED_VALUE"""),"")</f>
        <v/>
      </c>
      <c r="P1088" s="5" t="str">
        <f>IFERROR(__xludf.DUMMYFUNCTION("""COMPUTED_VALUE"""),"")</f>
        <v/>
      </c>
      <c r="Q1088" s="5" t="str">
        <f>IFERROR(__xludf.DUMMYFUNCTION("""COMPUTED_VALUE"""),"")</f>
        <v/>
      </c>
      <c r="R1088" s="5" t="str">
        <f>IFERROR(__xludf.DUMMYFUNCTION("""COMPUTED_VALUE"""),"")</f>
        <v/>
      </c>
      <c r="S1088" s="5" t="str">
        <f>IFERROR(__xludf.DUMMYFUNCTION("""COMPUTED_VALUE"""),"")</f>
        <v/>
      </c>
      <c r="T1088" s="5" t="str">
        <f>IFERROR(__xludf.DUMMYFUNCTION("""COMPUTED_VALUE"""),"")</f>
        <v/>
      </c>
      <c r="U1088" s="5" t="str">
        <f>IFERROR(__xludf.DUMMYFUNCTION("""COMPUTED_VALUE"""),"")</f>
        <v/>
      </c>
      <c r="V1088" s="5" t="str">
        <f>IFERROR(__xludf.DUMMYFUNCTION("""COMPUTED_VALUE"""),"")</f>
        <v/>
      </c>
      <c r="W1088" s="5" t="str">
        <f>IFERROR(__xludf.DUMMYFUNCTION("""COMPUTED_VALUE"""),"")</f>
        <v/>
      </c>
      <c r="X1088" s="5" t="str">
        <f>IFERROR(__xludf.DUMMYFUNCTION("""COMPUTED_VALUE"""),"")</f>
        <v/>
      </c>
      <c r="Y1088" s="5"/>
      <c r="Z1088" s="5"/>
    </row>
    <row r="1089">
      <c r="A1089" s="5"/>
      <c r="B1089" s="5" t="str">
        <f>IFERROR(__xludf.DUMMYFUNCTION("""COMPUTED_VALUE"""),"")</f>
        <v/>
      </c>
      <c r="C1089" s="5" t="str">
        <f>IFERROR(__xludf.DUMMYFUNCTION("""COMPUTED_VALUE"""),"")</f>
        <v/>
      </c>
      <c r="D1089" s="5" t="str">
        <f>IFERROR(__xludf.DUMMYFUNCTION("""COMPUTED_VALUE"""),"")</f>
        <v/>
      </c>
      <c r="E1089" s="5" t="str">
        <f>IFERROR(__xludf.DUMMYFUNCTION("""COMPUTED_VALUE"""),"")</f>
        <v/>
      </c>
      <c r="F1089" s="5" t="str">
        <f>IFERROR(__xludf.DUMMYFUNCTION("""COMPUTED_VALUE"""),"")</f>
        <v/>
      </c>
      <c r="G1089" s="5" t="str">
        <f>IFERROR(__xludf.DUMMYFUNCTION("""COMPUTED_VALUE"""),"")</f>
        <v/>
      </c>
      <c r="H1089" s="5" t="str">
        <f>IFERROR(__xludf.DUMMYFUNCTION("""COMPUTED_VALUE"""),"")</f>
        <v/>
      </c>
      <c r="I1089" s="5" t="str">
        <f>IFERROR(__xludf.DUMMYFUNCTION("""COMPUTED_VALUE"""),"")</f>
        <v/>
      </c>
      <c r="J1089" s="5" t="str">
        <f>IFERROR(__xludf.DUMMYFUNCTION("""COMPUTED_VALUE"""),"")</f>
        <v/>
      </c>
      <c r="K1089" s="5" t="str">
        <f>IFERROR(__xludf.DUMMYFUNCTION("""COMPUTED_VALUE"""),"")</f>
        <v/>
      </c>
      <c r="L1089" s="5" t="str">
        <f>IFERROR(__xludf.DUMMYFUNCTION("""COMPUTED_VALUE"""),"")</f>
        <v/>
      </c>
      <c r="M1089" s="5" t="str">
        <f>IFERROR(__xludf.DUMMYFUNCTION("""COMPUTED_VALUE"""),"")</f>
        <v/>
      </c>
      <c r="N1089" s="5" t="str">
        <f>IFERROR(__xludf.DUMMYFUNCTION("""COMPUTED_VALUE"""),"")</f>
        <v/>
      </c>
      <c r="O1089" s="5" t="str">
        <f>IFERROR(__xludf.DUMMYFUNCTION("""COMPUTED_VALUE"""),"")</f>
        <v/>
      </c>
      <c r="P1089" s="5" t="str">
        <f>IFERROR(__xludf.DUMMYFUNCTION("""COMPUTED_VALUE"""),"")</f>
        <v/>
      </c>
      <c r="Q1089" s="5" t="str">
        <f>IFERROR(__xludf.DUMMYFUNCTION("""COMPUTED_VALUE"""),"")</f>
        <v/>
      </c>
      <c r="R1089" s="5" t="str">
        <f>IFERROR(__xludf.DUMMYFUNCTION("""COMPUTED_VALUE"""),"")</f>
        <v/>
      </c>
      <c r="S1089" s="5" t="str">
        <f>IFERROR(__xludf.DUMMYFUNCTION("""COMPUTED_VALUE"""),"")</f>
        <v/>
      </c>
      <c r="T1089" s="5" t="str">
        <f>IFERROR(__xludf.DUMMYFUNCTION("""COMPUTED_VALUE"""),"")</f>
        <v/>
      </c>
      <c r="U1089" s="5" t="str">
        <f>IFERROR(__xludf.DUMMYFUNCTION("""COMPUTED_VALUE"""),"")</f>
        <v/>
      </c>
      <c r="V1089" s="5" t="str">
        <f>IFERROR(__xludf.DUMMYFUNCTION("""COMPUTED_VALUE"""),"")</f>
        <v/>
      </c>
      <c r="W1089" s="5" t="str">
        <f>IFERROR(__xludf.DUMMYFUNCTION("""COMPUTED_VALUE"""),"")</f>
        <v/>
      </c>
      <c r="X1089" s="5" t="str">
        <f>IFERROR(__xludf.DUMMYFUNCTION("""COMPUTED_VALUE"""),"")</f>
        <v/>
      </c>
      <c r="Y1089" s="5"/>
      <c r="Z1089" s="5"/>
    </row>
    <row r="1090">
      <c r="A1090" s="5"/>
      <c r="B1090" s="5" t="str">
        <f>IFERROR(__xludf.DUMMYFUNCTION("""COMPUTED_VALUE"""),"")</f>
        <v/>
      </c>
      <c r="C1090" s="5" t="str">
        <f>IFERROR(__xludf.DUMMYFUNCTION("""COMPUTED_VALUE"""),"")</f>
        <v/>
      </c>
      <c r="D1090" s="5" t="str">
        <f>IFERROR(__xludf.DUMMYFUNCTION("""COMPUTED_VALUE"""),"")</f>
        <v/>
      </c>
      <c r="E1090" s="5" t="str">
        <f>IFERROR(__xludf.DUMMYFUNCTION("""COMPUTED_VALUE"""),"")</f>
        <v/>
      </c>
      <c r="F1090" s="5" t="str">
        <f>IFERROR(__xludf.DUMMYFUNCTION("""COMPUTED_VALUE"""),"")</f>
        <v/>
      </c>
      <c r="G1090" s="5" t="str">
        <f>IFERROR(__xludf.DUMMYFUNCTION("""COMPUTED_VALUE"""),"")</f>
        <v/>
      </c>
      <c r="H1090" s="5" t="str">
        <f>IFERROR(__xludf.DUMMYFUNCTION("""COMPUTED_VALUE"""),"")</f>
        <v/>
      </c>
      <c r="I1090" s="5" t="str">
        <f>IFERROR(__xludf.DUMMYFUNCTION("""COMPUTED_VALUE"""),"")</f>
        <v/>
      </c>
      <c r="J1090" s="5" t="str">
        <f>IFERROR(__xludf.DUMMYFUNCTION("""COMPUTED_VALUE"""),"")</f>
        <v/>
      </c>
      <c r="K1090" s="5" t="str">
        <f>IFERROR(__xludf.DUMMYFUNCTION("""COMPUTED_VALUE"""),"")</f>
        <v/>
      </c>
      <c r="L1090" s="5" t="str">
        <f>IFERROR(__xludf.DUMMYFUNCTION("""COMPUTED_VALUE"""),"")</f>
        <v/>
      </c>
      <c r="M1090" s="5" t="str">
        <f>IFERROR(__xludf.DUMMYFUNCTION("""COMPUTED_VALUE"""),"")</f>
        <v/>
      </c>
      <c r="N1090" s="5" t="str">
        <f>IFERROR(__xludf.DUMMYFUNCTION("""COMPUTED_VALUE"""),"")</f>
        <v/>
      </c>
      <c r="O1090" s="5" t="str">
        <f>IFERROR(__xludf.DUMMYFUNCTION("""COMPUTED_VALUE"""),"")</f>
        <v/>
      </c>
      <c r="P1090" s="5" t="str">
        <f>IFERROR(__xludf.DUMMYFUNCTION("""COMPUTED_VALUE"""),"")</f>
        <v/>
      </c>
      <c r="Q1090" s="5" t="str">
        <f>IFERROR(__xludf.DUMMYFUNCTION("""COMPUTED_VALUE"""),"")</f>
        <v/>
      </c>
      <c r="R1090" s="5" t="str">
        <f>IFERROR(__xludf.DUMMYFUNCTION("""COMPUTED_VALUE"""),"")</f>
        <v/>
      </c>
      <c r="S1090" s="5" t="str">
        <f>IFERROR(__xludf.DUMMYFUNCTION("""COMPUTED_VALUE"""),"")</f>
        <v/>
      </c>
      <c r="T1090" s="5" t="str">
        <f>IFERROR(__xludf.DUMMYFUNCTION("""COMPUTED_VALUE"""),"")</f>
        <v/>
      </c>
      <c r="U1090" s="5" t="str">
        <f>IFERROR(__xludf.DUMMYFUNCTION("""COMPUTED_VALUE"""),"")</f>
        <v/>
      </c>
      <c r="V1090" s="5" t="str">
        <f>IFERROR(__xludf.DUMMYFUNCTION("""COMPUTED_VALUE"""),"")</f>
        <v/>
      </c>
      <c r="W1090" s="5" t="str">
        <f>IFERROR(__xludf.DUMMYFUNCTION("""COMPUTED_VALUE"""),"")</f>
        <v/>
      </c>
      <c r="X1090" s="5" t="str">
        <f>IFERROR(__xludf.DUMMYFUNCTION("""COMPUTED_VALUE"""),"")</f>
        <v/>
      </c>
      <c r="Y1090" s="5"/>
      <c r="Z1090" s="5"/>
    </row>
    <row r="1091">
      <c r="A1091" s="5"/>
      <c r="B1091" s="5" t="str">
        <f>IFERROR(__xludf.DUMMYFUNCTION("""COMPUTED_VALUE"""),"")</f>
        <v/>
      </c>
      <c r="C1091" s="5" t="str">
        <f>IFERROR(__xludf.DUMMYFUNCTION("""COMPUTED_VALUE"""),"")</f>
        <v/>
      </c>
      <c r="D1091" s="5" t="str">
        <f>IFERROR(__xludf.DUMMYFUNCTION("""COMPUTED_VALUE"""),"")</f>
        <v/>
      </c>
      <c r="E1091" s="5" t="str">
        <f>IFERROR(__xludf.DUMMYFUNCTION("""COMPUTED_VALUE"""),"")</f>
        <v/>
      </c>
      <c r="F1091" s="5" t="str">
        <f>IFERROR(__xludf.DUMMYFUNCTION("""COMPUTED_VALUE"""),"")</f>
        <v/>
      </c>
      <c r="G1091" s="5" t="str">
        <f>IFERROR(__xludf.DUMMYFUNCTION("""COMPUTED_VALUE"""),"")</f>
        <v/>
      </c>
      <c r="H1091" s="5" t="str">
        <f>IFERROR(__xludf.DUMMYFUNCTION("""COMPUTED_VALUE"""),"")</f>
        <v/>
      </c>
      <c r="I1091" s="5" t="str">
        <f>IFERROR(__xludf.DUMMYFUNCTION("""COMPUTED_VALUE"""),"")</f>
        <v/>
      </c>
      <c r="J1091" s="5" t="str">
        <f>IFERROR(__xludf.DUMMYFUNCTION("""COMPUTED_VALUE"""),"")</f>
        <v/>
      </c>
      <c r="K1091" s="5" t="str">
        <f>IFERROR(__xludf.DUMMYFUNCTION("""COMPUTED_VALUE"""),"")</f>
        <v/>
      </c>
      <c r="L1091" s="5" t="str">
        <f>IFERROR(__xludf.DUMMYFUNCTION("""COMPUTED_VALUE"""),"")</f>
        <v/>
      </c>
      <c r="M1091" s="5" t="str">
        <f>IFERROR(__xludf.DUMMYFUNCTION("""COMPUTED_VALUE"""),"")</f>
        <v/>
      </c>
      <c r="N1091" s="5" t="str">
        <f>IFERROR(__xludf.DUMMYFUNCTION("""COMPUTED_VALUE"""),"")</f>
        <v/>
      </c>
      <c r="O1091" s="5" t="str">
        <f>IFERROR(__xludf.DUMMYFUNCTION("""COMPUTED_VALUE"""),"")</f>
        <v/>
      </c>
      <c r="P1091" s="5" t="str">
        <f>IFERROR(__xludf.DUMMYFUNCTION("""COMPUTED_VALUE"""),"")</f>
        <v/>
      </c>
      <c r="Q1091" s="5" t="str">
        <f>IFERROR(__xludf.DUMMYFUNCTION("""COMPUTED_VALUE"""),"")</f>
        <v/>
      </c>
      <c r="R1091" s="5" t="str">
        <f>IFERROR(__xludf.DUMMYFUNCTION("""COMPUTED_VALUE"""),"")</f>
        <v/>
      </c>
      <c r="S1091" s="5" t="str">
        <f>IFERROR(__xludf.DUMMYFUNCTION("""COMPUTED_VALUE"""),"")</f>
        <v/>
      </c>
      <c r="T1091" s="5" t="str">
        <f>IFERROR(__xludf.DUMMYFUNCTION("""COMPUTED_VALUE"""),"")</f>
        <v/>
      </c>
      <c r="U1091" s="5" t="str">
        <f>IFERROR(__xludf.DUMMYFUNCTION("""COMPUTED_VALUE"""),"")</f>
        <v/>
      </c>
      <c r="V1091" s="5" t="str">
        <f>IFERROR(__xludf.DUMMYFUNCTION("""COMPUTED_VALUE"""),"")</f>
        <v/>
      </c>
      <c r="W1091" s="5" t="str">
        <f>IFERROR(__xludf.DUMMYFUNCTION("""COMPUTED_VALUE"""),"")</f>
        <v/>
      </c>
      <c r="X1091" s="5" t="str">
        <f>IFERROR(__xludf.DUMMYFUNCTION("""COMPUTED_VALUE"""),"")</f>
        <v/>
      </c>
      <c r="Y1091" s="5"/>
      <c r="Z1091" s="5"/>
    </row>
    <row r="1092">
      <c r="A1092" s="5"/>
      <c r="B1092" s="5" t="str">
        <f>IFERROR(__xludf.DUMMYFUNCTION("""COMPUTED_VALUE"""),"")</f>
        <v/>
      </c>
      <c r="C1092" s="5" t="str">
        <f>IFERROR(__xludf.DUMMYFUNCTION("""COMPUTED_VALUE"""),"")</f>
        <v/>
      </c>
      <c r="D1092" s="5" t="str">
        <f>IFERROR(__xludf.DUMMYFUNCTION("""COMPUTED_VALUE"""),"")</f>
        <v/>
      </c>
      <c r="E1092" s="5" t="str">
        <f>IFERROR(__xludf.DUMMYFUNCTION("""COMPUTED_VALUE"""),"")</f>
        <v/>
      </c>
      <c r="F1092" s="5" t="str">
        <f>IFERROR(__xludf.DUMMYFUNCTION("""COMPUTED_VALUE"""),"")</f>
        <v/>
      </c>
      <c r="G1092" s="5" t="str">
        <f>IFERROR(__xludf.DUMMYFUNCTION("""COMPUTED_VALUE"""),"")</f>
        <v/>
      </c>
      <c r="H1092" s="5" t="str">
        <f>IFERROR(__xludf.DUMMYFUNCTION("""COMPUTED_VALUE"""),"")</f>
        <v/>
      </c>
      <c r="I1092" s="5" t="str">
        <f>IFERROR(__xludf.DUMMYFUNCTION("""COMPUTED_VALUE"""),"")</f>
        <v/>
      </c>
      <c r="J1092" s="5" t="str">
        <f>IFERROR(__xludf.DUMMYFUNCTION("""COMPUTED_VALUE"""),"")</f>
        <v/>
      </c>
      <c r="K1092" s="5" t="str">
        <f>IFERROR(__xludf.DUMMYFUNCTION("""COMPUTED_VALUE"""),"")</f>
        <v/>
      </c>
      <c r="L1092" s="5" t="str">
        <f>IFERROR(__xludf.DUMMYFUNCTION("""COMPUTED_VALUE"""),"")</f>
        <v/>
      </c>
      <c r="M1092" s="5" t="str">
        <f>IFERROR(__xludf.DUMMYFUNCTION("""COMPUTED_VALUE"""),"")</f>
        <v/>
      </c>
      <c r="N1092" s="5" t="str">
        <f>IFERROR(__xludf.DUMMYFUNCTION("""COMPUTED_VALUE"""),"")</f>
        <v/>
      </c>
      <c r="O1092" s="5" t="str">
        <f>IFERROR(__xludf.DUMMYFUNCTION("""COMPUTED_VALUE"""),"")</f>
        <v/>
      </c>
      <c r="P1092" s="5" t="str">
        <f>IFERROR(__xludf.DUMMYFUNCTION("""COMPUTED_VALUE"""),"")</f>
        <v/>
      </c>
      <c r="Q1092" s="5" t="str">
        <f>IFERROR(__xludf.DUMMYFUNCTION("""COMPUTED_VALUE"""),"")</f>
        <v/>
      </c>
      <c r="R1092" s="5" t="str">
        <f>IFERROR(__xludf.DUMMYFUNCTION("""COMPUTED_VALUE"""),"")</f>
        <v/>
      </c>
      <c r="S1092" s="5" t="str">
        <f>IFERROR(__xludf.DUMMYFUNCTION("""COMPUTED_VALUE"""),"")</f>
        <v/>
      </c>
      <c r="T1092" s="5" t="str">
        <f>IFERROR(__xludf.DUMMYFUNCTION("""COMPUTED_VALUE"""),"")</f>
        <v/>
      </c>
      <c r="U1092" s="5" t="str">
        <f>IFERROR(__xludf.DUMMYFUNCTION("""COMPUTED_VALUE"""),"")</f>
        <v/>
      </c>
      <c r="V1092" s="5" t="str">
        <f>IFERROR(__xludf.DUMMYFUNCTION("""COMPUTED_VALUE"""),"")</f>
        <v/>
      </c>
      <c r="W1092" s="5" t="str">
        <f>IFERROR(__xludf.DUMMYFUNCTION("""COMPUTED_VALUE"""),"")</f>
        <v/>
      </c>
      <c r="X1092" s="5" t="str">
        <f>IFERROR(__xludf.DUMMYFUNCTION("""COMPUTED_VALUE"""),"")</f>
        <v/>
      </c>
      <c r="Y1092" s="5"/>
      <c r="Z1092" s="5"/>
    </row>
    <row r="1093">
      <c r="A1093" s="5"/>
      <c r="B1093" s="5" t="str">
        <f>IFERROR(__xludf.DUMMYFUNCTION("""COMPUTED_VALUE"""),"")</f>
        <v/>
      </c>
      <c r="C1093" s="5" t="str">
        <f>IFERROR(__xludf.DUMMYFUNCTION("""COMPUTED_VALUE"""),"")</f>
        <v/>
      </c>
      <c r="D1093" s="5" t="str">
        <f>IFERROR(__xludf.DUMMYFUNCTION("""COMPUTED_VALUE"""),"")</f>
        <v/>
      </c>
      <c r="E1093" s="5" t="str">
        <f>IFERROR(__xludf.DUMMYFUNCTION("""COMPUTED_VALUE"""),"")</f>
        <v/>
      </c>
      <c r="F1093" s="5" t="str">
        <f>IFERROR(__xludf.DUMMYFUNCTION("""COMPUTED_VALUE"""),"")</f>
        <v/>
      </c>
      <c r="G1093" s="5" t="str">
        <f>IFERROR(__xludf.DUMMYFUNCTION("""COMPUTED_VALUE"""),"")</f>
        <v/>
      </c>
      <c r="H1093" s="5" t="str">
        <f>IFERROR(__xludf.DUMMYFUNCTION("""COMPUTED_VALUE"""),"")</f>
        <v/>
      </c>
      <c r="I1093" s="5" t="str">
        <f>IFERROR(__xludf.DUMMYFUNCTION("""COMPUTED_VALUE"""),"")</f>
        <v/>
      </c>
      <c r="J1093" s="5" t="str">
        <f>IFERROR(__xludf.DUMMYFUNCTION("""COMPUTED_VALUE"""),"")</f>
        <v/>
      </c>
      <c r="K1093" s="5" t="str">
        <f>IFERROR(__xludf.DUMMYFUNCTION("""COMPUTED_VALUE"""),"")</f>
        <v/>
      </c>
      <c r="L1093" s="5" t="str">
        <f>IFERROR(__xludf.DUMMYFUNCTION("""COMPUTED_VALUE"""),"")</f>
        <v/>
      </c>
      <c r="M1093" s="5" t="str">
        <f>IFERROR(__xludf.DUMMYFUNCTION("""COMPUTED_VALUE"""),"")</f>
        <v/>
      </c>
      <c r="N1093" s="5" t="str">
        <f>IFERROR(__xludf.DUMMYFUNCTION("""COMPUTED_VALUE"""),"")</f>
        <v/>
      </c>
      <c r="O1093" s="5" t="str">
        <f>IFERROR(__xludf.DUMMYFUNCTION("""COMPUTED_VALUE"""),"")</f>
        <v/>
      </c>
      <c r="P1093" s="5" t="str">
        <f>IFERROR(__xludf.DUMMYFUNCTION("""COMPUTED_VALUE"""),"")</f>
        <v/>
      </c>
      <c r="Q1093" s="5" t="str">
        <f>IFERROR(__xludf.DUMMYFUNCTION("""COMPUTED_VALUE"""),"")</f>
        <v/>
      </c>
      <c r="R1093" s="5" t="str">
        <f>IFERROR(__xludf.DUMMYFUNCTION("""COMPUTED_VALUE"""),"")</f>
        <v/>
      </c>
      <c r="S1093" s="5" t="str">
        <f>IFERROR(__xludf.DUMMYFUNCTION("""COMPUTED_VALUE"""),"")</f>
        <v/>
      </c>
      <c r="T1093" s="5" t="str">
        <f>IFERROR(__xludf.DUMMYFUNCTION("""COMPUTED_VALUE"""),"")</f>
        <v/>
      </c>
      <c r="U1093" s="5" t="str">
        <f>IFERROR(__xludf.DUMMYFUNCTION("""COMPUTED_VALUE"""),"")</f>
        <v/>
      </c>
      <c r="V1093" s="5" t="str">
        <f>IFERROR(__xludf.DUMMYFUNCTION("""COMPUTED_VALUE"""),"")</f>
        <v/>
      </c>
      <c r="W1093" s="5" t="str">
        <f>IFERROR(__xludf.DUMMYFUNCTION("""COMPUTED_VALUE"""),"")</f>
        <v/>
      </c>
      <c r="X1093" s="5" t="str">
        <f>IFERROR(__xludf.DUMMYFUNCTION("""COMPUTED_VALUE"""),"")</f>
        <v/>
      </c>
      <c r="Y1093" s="5"/>
      <c r="Z1093" s="5"/>
    </row>
    <row r="1094">
      <c r="A1094" s="5"/>
      <c r="B1094" s="5" t="str">
        <f>IFERROR(__xludf.DUMMYFUNCTION("""COMPUTED_VALUE"""),"")</f>
        <v/>
      </c>
      <c r="C1094" s="5" t="str">
        <f>IFERROR(__xludf.DUMMYFUNCTION("""COMPUTED_VALUE"""),"")</f>
        <v/>
      </c>
      <c r="D1094" s="5" t="str">
        <f>IFERROR(__xludf.DUMMYFUNCTION("""COMPUTED_VALUE"""),"")</f>
        <v/>
      </c>
      <c r="E1094" s="5" t="str">
        <f>IFERROR(__xludf.DUMMYFUNCTION("""COMPUTED_VALUE"""),"")</f>
        <v/>
      </c>
      <c r="F1094" s="5" t="str">
        <f>IFERROR(__xludf.DUMMYFUNCTION("""COMPUTED_VALUE"""),"")</f>
        <v/>
      </c>
      <c r="G1094" s="5" t="str">
        <f>IFERROR(__xludf.DUMMYFUNCTION("""COMPUTED_VALUE"""),"")</f>
        <v/>
      </c>
      <c r="H1094" s="5" t="str">
        <f>IFERROR(__xludf.DUMMYFUNCTION("""COMPUTED_VALUE"""),"")</f>
        <v/>
      </c>
      <c r="I1094" s="5" t="str">
        <f>IFERROR(__xludf.DUMMYFUNCTION("""COMPUTED_VALUE"""),"")</f>
        <v/>
      </c>
      <c r="J1094" s="5" t="str">
        <f>IFERROR(__xludf.DUMMYFUNCTION("""COMPUTED_VALUE"""),"")</f>
        <v/>
      </c>
      <c r="K1094" s="5" t="str">
        <f>IFERROR(__xludf.DUMMYFUNCTION("""COMPUTED_VALUE"""),"")</f>
        <v/>
      </c>
      <c r="L1094" s="5" t="str">
        <f>IFERROR(__xludf.DUMMYFUNCTION("""COMPUTED_VALUE"""),"")</f>
        <v/>
      </c>
      <c r="M1094" s="5" t="str">
        <f>IFERROR(__xludf.DUMMYFUNCTION("""COMPUTED_VALUE"""),"")</f>
        <v/>
      </c>
      <c r="N1094" s="5" t="str">
        <f>IFERROR(__xludf.DUMMYFUNCTION("""COMPUTED_VALUE"""),"")</f>
        <v/>
      </c>
      <c r="O1094" s="5" t="str">
        <f>IFERROR(__xludf.DUMMYFUNCTION("""COMPUTED_VALUE"""),"")</f>
        <v/>
      </c>
      <c r="P1094" s="5" t="str">
        <f>IFERROR(__xludf.DUMMYFUNCTION("""COMPUTED_VALUE"""),"")</f>
        <v/>
      </c>
      <c r="Q1094" s="5" t="str">
        <f>IFERROR(__xludf.DUMMYFUNCTION("""COMPUTED_VALUE"""),"")</f>
        <v/>
      </c>
      <c r="R1094" s="5" t="str">
        <f>IFERROR(__xludf.DUMMYFUNCTION("""COMPUTED_VALUE"""),"")</f>
        <v/>
      </c>
      <c r="S1094" s="5" t="str">
        <f>IFERROR(__xludf.DUMMYFUNCTION("""COMPUTED_VALUE"""),"")</f>
        <v/>
      </c>
      <c r="T1094" s="5" t="str">
        <f>IFERROR(__xludf.DUMMYFUNCTION("""COMPUTED_VALUE"""),"")</f>
        <v/>
      </c>
      <c r="U1094" s="5" t="str">
        <f>IFERROR(__xludf.DUMMYFUNCTION("""COMPUTED_VALUE"""),"")</f>
        <v/>
      </c>
      <c r="V1094" s="5" t="str">
        <f>IFERROR(__xludf.DUMMYFUNCTION("""COMPUTED_VALUE"""),"")</f>
        <v/>
      </c>
      <c r="W1094" s="5" t="str">
        <f>IFERROR(__xludf.DUMMYFUNCTION("""COMPUTED_VALUE"""),"")</f>
        <v/>
      </c>
      <c r="X1094" s="5" t="str">
        <f>IFERROR(__xludf.DUMMYFUNCTION("""COMPUTED_VALUE"""),"")</f>
        <v/>
      </c>
      <c r="Y1094" s="5"/>
      <c r="Z1094" s="5"/>
    </row>
    <row r="1095">
      <c r="A1095" s="5"/>
      <c r="B1095" s="5" t="str">
        <f>IFERROR(__xludf.DUMMYFUNCTION("""COMPUTED_VALUE"""),"")</f>
        <v/>
      </c>
      <c r="C1095" s="5" t="str">
        <f>IFERROR(__xludf.DUMMYFUNCTION("""COMPUTED_VALUE"""),"")</f>
        <v/>
      </c>
      <c r="D1095" s="5" t="str">
        <f>IFERROR(__xludf.DUMMYFUNCTION("""COMPUTED_VALUE"""),"")</f>
        <v/>
      </c>
      <c r="E1095" s="5" t="str">
        <f>IFERROR(__xludf.DUMMYFUNCTION("""COMPUTED_VALUE"""),"")</f>
        <v/>
      </c>
      <c r="F1095" s="5" t="str">
        <f>IFERROR(__xludf.DUMMYFUNCTION("""COMPUTED_VALUE"""),"")</f>
        <v/>
      </c>
      <c r="G1095" s="5" t="str">
        <f>IFERROR(__xludf.DUMMYFUNCTION("""COMPUTED_VALUE"""),"")</f>
        <v/>
      </c>
      <c r="H1095" s="5" t="str">
        <f>IFERROR(__xludf.DUMMYFUNCTION("""COMPUTED_VALUE"""),"")</f>
        <v/>
      </c>
      <c r="I1095" s="5" t="str">
        <f>IFERROR(__xludf.DUMMYFUNCTION("""COMPUTED_VALUE"""),"")</f>
        <v/>
      </c>
      <c r="J1095" s="5" t="str">
        <f>IFERROR(__xludf.DUMMYFUNCTION("""COMPUTED_VALUE"""),"")</f>
        <v/>
      </c>
      <c r="K1095" s="5" t="str">
        <f>IFERROR(__xludf.DUMMYFUNCTION("""COMPUTED_VALUE"""),"")</f>
        <v/>
      </c>
      <c r="L1095" s="5" t="str">
        <f>IFERROR(__xludf.DUMMYFUNCTION("""COMPUTED_VALUE"""),"")</f>
        <v/>
      </c>
      <c r="M1095" s="5" t="str">
        <f>IFERROR(__xludf.DUMMYFUNCTION("""COMPUTED_VALUE"""),"")</f>
        <v/>
      </c>
      <c r="N1095" s="5" t="str">
        <f>IFERROR(__xludf.DUMMYFUNCTION("""COMPUTED_VALUE"""),"")</f>
        <v/>
      </c>
      <c r="O1095" s="5" t="str">
        <f>IFERROR(__xludf.DUMMYFUNCTION("""COMPUTED_VALUE"""),"")</f>
        <v/>
      </c>
      <c r="P1095" s="5" t="str">
        <f>IFERROR(__xludf.DUMMYFUNCTION("""COMPUTED_VALUE"""),"")</f>
        <v/>
      </c>
      <c r="Q1095" s="5" t="str">
        <f>IFERROR(__xludf.DUMMYFUNCTION("""COMPUTED_VALUE"""),"")</f>
        <v/>
      </c>
      <c r="R1095" s="5" t="str">
        <f>IFERROR(__xludf.DUMMYFUNCTION("""COMPUTED_VALUE"""),"")</f>
        <v/>
      </c>
      <c r="S1095" s="5" t="str">
        <f>IFERROR(__xludf.DUMMYFUNCTION("""COMPUTED_VALUE"""),"")</f>
        <v/>
      </c>
      <c r="T1095" s="5" t="str">
        <f>IFERROR(__xludf.DUMMYFUNCTION("""COMPUTED_VALUE"""),"")</f>
        <v/>
      </c>
      <c r="U1095" s="5" t="str">
        <f>IFERROR(__xludf.DUMMYFUNCTION("""COMPUTED_VALUE"""),"")</f>
        <v/>
      </c>
      <c r="V1095" s="5" t="str">
        <f>IFERROR(__xludf.DUMMYFUNCTION("""COMPUTED_VALUE"""),"")</f>
        <v/>
      </c>
      <c r="W1095" s="5" t="str">
        <f>IFERROR(__xludf.DUMMYFUNCTION("""COMPUTED_VALUE"""),"")</f>
        <v/>
      </c>
      <c r="X1095" s="5" t="str">
        <f>IFERROR(__xludf.DUMMYFUNCTION("""COMPUTED_VALUE"""),"")</f>
        <v/>
      </c>
      <c r="Y1095" s="5"/>
      <c r="Z1095" s="5"/>
    </row>
    <row r="1096">
      <c r="A1096" s="5"/>
      <c r="B1096" s="5" t="str">
        <f>IFERROR(__xludf.DUMMYFUNCTION("""COMPUTED_VALUE"""),"")</f>
        <v/>
      </c>
      <c r="C1096" s="5" t="str">
        <f>IFERROR(__xludf.DUMMYFUNCTION("""COMPUTED_VALUE"""),"")</f>
        <v/>
      </c>
      <c r="D1096" s="5" t="str">
        <f>IFERROR(__xludf.DUMMYFUNCTION("""COMPUTED_VALUE"""),"")</f>
        <v/>
      </c>
      <c r="E1096" s="5" t="str">
        <f>IFERROR(__xludf.DUMMYFUNCTION("""COMPUTED_VALUE"""),"")</f>
        <v/>
      </c>
      <c r="F1096" s="5" t="str">
        <f>IFERROR(__xludf.DUMMYFUNCTION("""COMPUTED_VALUE"""),"")</f>
        <v/>
      </c>
      <c r="G1096" s="5" t="str">
        <f>IFERROR(__xludf.DUMMYFUNCTION("""COMPUTED_VALUE"""),"")</f>
        <v/>
      </c>
      <c r="H1096" s="5" t="str">
        <f>IFERROR(__xludf.DUMMYFUNCTION("""COMPUTED_VALUE"""),"")</f>
        <v/>
      </c>
      <c r="I1096" s="5" t="str">
        <f>IFERROR(__xludf.DUMMYFUNCTION("""COMPUTED_VALUE"""),"")</f>
        <v/>
      </c>
      <c r="J1096" s="5" t="str">
        <f>IFERROR(__xludf.DUMMYFUNCTION("""COMPUTED_VALUE"""),"")</f>
        <v/>
      </c>
      <c r="K1096" s="5" t="str">
        <f>IFERROR(__xludf.DUMMYFUNCTION("""COMPUTED_VALUE"""),"")</f>
        <v/>
      </c>
      <c r="L1096" s="5" t="str">
        <f>IFERROR(__xludf.DUMMYFUNCTION("""COMPUTED_VALUE"""),"")</f>
        <v/>
      </c>
      <c r="M1096" s="5" t="str">
        <f>IFERROR(__xludf.DUMMYFUNCTION("""COMPUTED_VALUE"""),"")</f>
        <v/>
      </c>
      <c r="N1096" s="5" t="str">
        <f>IFERROR(__xludf.DUMMYFUNCTION("""COMPUTED_VALUE"""),"")</f>
        <v/>
      </c>
      <c r="O1096" s="5" t="str">
        <f>IFERROR(__xludf.DUMMYFUNCTION("""COMPUTED_VALUE"""),"")</f>
        <v/>
      </c>
      <c r="P1096" s="5" t="str">
        <f>IFERROR(__xludf.DUMMYFUNCTION("""COMPUTED_VALUE"""),"")</f>
        <v/>
      </c>
      <c r="Q1096" s="5" t="str">
        <f>IFERROR(__xludf.DUMMYFUNCTION("""COMPUTED_VALUE"""),"")</f>
        <v/>
      </c>
      <c r="R1096" s="5" t="str">
        <f>IFERROR(__xludf.DUMMYFUNCTION("""COMPUTED_VALUE"""),"")</f>
        <v/>
      </c>
      <c r="S1096" s="5" t="str">
        <f>IFERROR(__xludf.DUMMYFUNCTION("""COMPUTED_VALUE"""),"")</f>
        <v/>
      </c>
      <c r="T1096" s="5" t="str">
        <f>IFERROR(__xludf.DUMMYFUNCTION("""COMPUTED_VALUE"""),"")</f>
        <v/>
      </c>
      <c r="U1096" s="5" t="str">
        <f>IFERROR(__xludf.DUMMYFUNCTION("""COMPUTED_VALUE"""),"")</f>
        <v/>
      </c>
      <c r="V1096" s="5" t="str">
        <f>IFERROR(__xludf.DUMMYFUNCTION("""COMPUTED_VALUE"""),"")</f>
        <v/>
      </c>
      <c r="W1096" s="5" t="str">
        <f>IFERROR(__xludf.DUMMYFUNCTION("""COMPUTED_VALUE"""),"")</f>
        <v/>
      </c>
      <c r="X1096" s="5" t="str">
        <f>IFERROR(__xludf.DUMMYFUNCTION("""COMPUTED_VALUE"""),"")</f>
        <v/>
      </c>
      <c r="Y1096" s="5"/>
      <c r="Z1096" s="5"/>
    </row>
    <row r="1097">
      <c r="A1097" s="5"/>
      <c r="B1097" s="5" t="str">
        <f>IFERROR(__xludf.DUMMYFUNCTION("""COMPUTED_VALUE"""),"")</f>
        <v/>
      </c>
      <c r="C1097" s="5" t="str">
        <f>IFERROR(__xludf.DUMMYFUNCTION("""COMPUTED_VALUE"""),"")</f>
        <v/>
      </c>
      <c r="D1097" s="5" t="str">
        <f>IFERROR(__xludf.DUMMYFUNCTION("""COMPUTED_VALUE"""),"")</f>
        <v/>
      </c>
      <c r="E1097" s="5" t="str">
        <f>IFERROR(__xludf.DUMMYFUNCTION("""COMPUTED_VALUE"""),"")</f>
        <v/>
      </c>
      <c r="F1097" s="5" t="str">
        <f>IFERROR(__xludf.DUMMYFUNCTION("""COMPUTED_VALUE"""),"")</f>
        <v/>
      </c>
      <c r="G1097" s="5" t="str">
        <f>IFERROR(__xludf.DUMMYFUNCTION("""COMPUTED_VALUE"""),"")</f>
        <v/>
      </c>
      <c r="H1097" s="5" t="str">
        <f>IFERROR(__xludf.DUMMYFUNCTION("""COMPUTED_VALUE"""),"")</f>
        <v/>
      </c>
      <c r="I1097" s="5" t="str">
        <f>IFERROR(__xludf.DUMMYFUNCTION("""COMPUTED_VALUE"""),"")</f>
        <v/>
      </c>
      <c r="J1097" s="5" t="str">
        <f>IFERROR(__xludf.DUMMYFUNCTION("""COMPUTED_VALUE"""),"")</f>
        <v/>
      </c>
      <c r="K1097" s="5" t="str">
        <f>IFERROR(__xludf.DUMMYFUNCTION("""COMPUTED_VALUE"""),"")</f>
        <v/>
      </c>
      <c r="L1097" s="5" t="str">
        <f>IFERROR(__xludf.DUMMYFUNCTION("""COMPUTED_VALUE"""),"")</f>
        <v/>
      </c>
      <c r="M1097" s="5" t="str">
        <f>IFERROR(__xludf.DUMMYFUNCTION("""COMPUTED_VALUE"""),"")</f>
        <v/>
      </c>
      <c r="N1097" s="5" t="str">
        <f>IFERROR(__xludf.DUMMYFUNCTION("""COMPUTED_VALUE"""),"")</f>
        <v/>
      </c>
      <c r="O1097" s="5" t="str">
        <f>IFERROR(__xludf.DUMMYFUNCTION("""COMPUTED_VALUE"""),"")</f>
        <v/>
      </c>
      <c r="P1097" s="5" t="str">
        <f>IFERROR(__xludf.DUMMYFUNCTION("""COMPUTED_VALUE"""),"")</f>
        <v/>
      </c>
      <c r="Q1097" s="5" t="str">
        <f>IFERROR(__xludf.DUMMYFUNCTION("""COMPUTED_VALUE"""),"")</f>
        <v/>
      </c>
      <c r="R1097" s="5" t="str">
        <f>IFERROR(__xludf.DUMMYFUNCTION("""COMPUTED_VALUE"""),"")</f>
        <v/>
      </c>
      <c r="S1097" s="5" t="str">
        <f>IFERROR(__xludf.DUMMYFUNCTION("""COMPUTED_VALUE"""),"")</f>
        <v/>
      </c>
      <c r="T1097" s="5" t="str">
        <f>IFERROR(__xludf.DUMMYFUNCTION("""COMPUTED_VALUE"""),"")</f>
        <v/>
      </c>
      <c r="U1097" s="5" t="str">
        <f>IFERROR(__xludf.DUMMYFUNCTION("""COMPUTED_VALUE"""),"")</f>
        <v/>
      </c>
      <c r="V1097" s="5" t="str">
        <f>IFERROR(__xludf.DUMMYFUNCTION("""COMPUTED_VALUE"""),"")</f>
        <v/>
      </c>
      <c r="W1097" s="5" t="str">
        <f>IFERROR(__xludf.DUMMYFUNCTION("""COMPUTED_VALUE"""),"")</f>
        <v/>
      </c>
      <c r="X1097" s="5" t="str">
        <f>IFERROR(__xludf.DUMMYFUNCTION("""COMPUTED_VALUE"""),"")</f>
        <v/>
      </c>
      <c r="Y1097" s="5"/>
      <c r="Z1097" s="5"/>
    </row>
    <row r="1098">
      <c r="A1098" s="5"/>
      <c r="B1098" s="5" t="str">
        <f>IFERROR(__xludf.DUMMYFUNCTION("""COMPUTED_VALUE"""),"")</f>
        <v/>
      </c>
      <c r="C1098" s="5" t="str">
        <f>IFERROR(__xludf.DUMMYFUNCTION("""COMPUTED_VALUE"""),"")</f>
        <v/>
      </c>
      <c r="D1098" s="5" t="str">
        <f>IFERROR(__xludf.DUMMYFUNCTION("""COMPUTED_VALUE"""),"")</f>
        <v/>
      </c>
      <c r="E1098" s="5" t="str">
        <f>IFERROR(__xludf.DUMMYFUNCTION("""COMPUTED_VALUE"""),"")</f>
        <v/>
      </c>
      <c r="F1098" s="5" t="str">
        <f>IFERROR(__xludf.DUMMYFUNCTION("""COMPUTED_VALUE"""),"")</f>
        <v/>
      </c>
      <c r="G1098" s="5" t="str">
        <f>IFERROR(__xludf.DUMMYFUNCTION("""COMPUTED_VALUE"""),"")</f>
        <v/>
      </c>
      <c r="H1098" s="5" t="str">
        <f>IFERROR(__xludf.DUMMYFUNCTION("""COMPUTED_VALUE"""),"")</f>
        <v/>
      </c>
      <c r="I1098" s="5" t="str">
        <f>IFERROR(__xludf.DUMMYFUNCTION("""COMPUTED_VALUE"""),"")</f>
        <v/>
      </c>
      <c r="J1098" s="5" t="str">
        <f>IFERROR(__xludf.DUMMYFUNCTION("""COMPUTED_VALUE"""),"")</f>
        <v/>
      </c>
      <c r="K1098" s="5" t="str">
        <f>IFERROR(__xludf.DUMMYFUNCTION("""COMPUTED_VALUE"""),"")</f>
        <v/>
      </c>
      <c r="L1098" s="5" t="str">
        <f>IFERROR(__xludf.DUMMYFUNCTION("""COMPUTED_VALUE"""),"")</f>
        <v/>
      </c>
      <c r="M1098" s="5" t="str">
        <f>IFERROR(__xludf.DUMMYFUNCTION("""COMPUTED_VALUE"""),"")</f>
        <v/>
      </c>
      <c r="N1098" s="5" t="str">
        <f>IFERROR(__xludf.DUMMYFUNCTION("""COMPUTED_VALUE"""),"")</f>
        <v/>
      </c>
      <c r="O1098" s="5" t="str">
        <f>IFERROR(__xludf.DUMMYFUNCTION("""COMPUTED_VALUE"""),"")</f>
        <v/>
      </c>
      <c r="P1098" s="5" t="str">
        <f>IFERROR(__xludf.DUMMYFUNCTION("""COMPUTED_VALUE"""),"")</f>
        <v/>
      </c>
      <c r="Q1098" s="5" t="str">
        <f>IFERROR(__xludf.DUMMYFUNCTION("""COMPUTED_VALUE"""),"")</f>
        <v/>
      </c>
      <c r="R1098" s="5" t="str">
        <f>IFERROR(__xludf.DUMMYFUNCTION("""COMPUTED_VALUE"""),"")</f>
        <v/>
      </c>
      <c r="S1098" s="5" t="str">
        <f>IFERROR(__xludf.DUMMYFUNCTION("""COMPUTED_VALUE"""),"")</f>
        <v/>
      </c>
      <c r="T1098" s="5" t="str">
        <f>IFERROR(__xludf.DUMMYFUNCTION("""COMPUTED_VALUE"""),"")</f>
        <v/>
      </c>
      <c r="U1098" s="5" t="str">
        <f>IFERROR(__xludf.DUMMYFUNCTION("""COMPUTED_VALUE"""),"")</f>
        <v/>
      </c>
      <c r="V1098" s="5" t="str">
        <f>IFERROR(__xludf.DUMMYFUNCTION("""COMPUTED_VALUE"""),"")</f>
        <v/>
      </c>
      <c r="W1098" s="5" t="str">
        <f>IFERROR(__xludf.DUMMYFUNCTION("""COMPUTED_VALUE"""),"")</f>
        <v/>
      </c>
      <c r="X1098" s="5" t="str">
        <f>IFERROR(__xludf.DUMMYFUNCTION("""COMPUTED_VALUE"""),"")</f>
        <v/>
      </c>
      <c r="Y1098" s="5"/>
      <c r="Z1098" s="5"/>
    </row>
    <row r="1099">
      <c r="A1099" s="5"/>
      <c r="B1099" s="5" t="str">
        <f>IFERROR(__xludf.DUMMYFUNCTION("""COMPUTED_VALUE"""),"")</f>
        <v/>
      </c>
      <c r="C1099" s="5" t="str">
        <f>IFERROR(__xludf.DUMMYFUNCTION("""COMPUTED_VALUE"""),"")</f>
        <v/>
      </c>
      <c r="D1099" s="5" t="str">
        <f>IFERROR(__xludf.DUMMYFUNCTION("""COMPUTED_VALUE"""),"")</f>
        <v/>
      </c>
      <c r="E1099" s="5" t="str">
        <f>IFERROR(__xludf.DUMMYFUNCTION("""COMPUTED_VALUE"""),"")</f>
        <v/>
      </c>
      <c r="F1099" s="5" t="str">
        <f>IFERROR(__xludf.DUMMYFUNCTION("""COMPUTED_VALUE"""),"")</f>
        <v/>
      </c>
      <c r="G1099" s="5" t="str">
        <f>IFERROR(__xludf.DUMMYFUNCTION("""COMPUTED_VALUE"""),"")</f>
        <v/>
      </c>
      <c r="H1099" s="5" t="str">
        <f>IFERROR(__xludf.DUMMYFUNCTION("""COMPUTED_VALUE"""),"")</f>
        <v/>
      </c>
      <c r="I1099" s="5" t="str">
        <f>IFERROR(__xludf.DUMMYFUNCTION("""COMPUTED_VALUE"""),"")</f>
        <v/>
      </c>
      <c r="J1099" s="5" t="str">
        <f>IFERROR(__xludf.DUMMYFUNCTION("""COMPUTED_VALUE"""),"")</f>
        <v/>
      </c>
      <c r="K1099" s="5" t="str">
        <f>IFERROR(__xludf.DUMMYFUNCTION("""COMPUTED_VALUE"""),"")</f>
        <v/>
      </c>
      <c r="L1099" s="5" t="str">
        <f>IFERROR(__xludf.DUMMYFUNCTION("""COMPUTED_VALUE"""),"")</f>
        <v/>
      </c>
      <c r="M1099" s="5" t="str">
        <f>IFERROR(__xludf.DUMMYFUNCTION("""COMPUTED_VALUE"""),"")</f>
        <v/>
      </c>
      <c r="N1099" s="5" t="str">
        <f>IFERROR(__xludf.DUMMYFUNCTION("""COMPUTED_VALUE"""),"")</f>
        <v/>
      </c>
      <c r="O1099" s="5" t="str">
        <f>IFERROR(__xludf.DUMMYFUNCTION("""COMPUTED_VALUE"""),"")</f>
        <v/>
      </c>
      <c r="P1099" s="5" t="str">
        <f>IFERROR(__xludf.DUMMYFUNCTION("""COMPUTED_VALUE"""),"")</f>
        <v/>
      </c>
      <c r="Q1099" s="5" t="str">
        <f>IFERROR(__xludf.DUMMYFUNCTION("""COMPUTED_VALUE"""),"")</f>
        <v/>
      </c>
      <c r="R1099" s="5" t="str">
        <f>IFERROR(__xludf.DUMMYFUNCTION("""COMPUTED_VALUE"""),"")</f>
        <v/>
      </c>
      <c r="S1099" s="5" t="str">
        <f>IFERROR(__xludf.DUMMYFUNCTION("""COMPUTED_VALUE"""),"")</f>
        <v/>
      </c>
      <c r="T1099" s="5" t="str">
        <f>IFERROR(__xludf.DUMMYFUNCTION("""COMPUTED_VALUE"""),"")</f>
        <v/>
      </c>
      <c r="U1099" s="5" t="str">
        <f>IFERROR(__xludf.DUMMYFUNCTION("""COMPUTED_VALUE"""),"")</f>
        <v/>
      </c>
      <c r="V1099" s="5" t="str">
        <f>IFERROR(__xludf.DUMMYFUNCTION("""COMPUTED_VALUE"""),"")</f>
        <v/>
      </c>
      <c r="W1099" s="5" t="str">
        <f>IFERROR(__xludf.DUMMYFUNCTION("""COMPUTED_VALUE"""),"")</f>
        <v/>
      </c>
      <c r="X1099" s="5" t="str">
        <f>IFERROR(__xludf.DUMMYFUNCTION("""COMPUTED_VALUE"""),"")</f>
        <v/>
      </c>
      <c r="Y1099" s="5"/>
      <c r="Z1099" s="5"/>
    </row>
    <row r="1100">
      <c r="A1100" s="5"/>
      <c r="B1100" s="5" t="str">
        <f>IFERROR(__xludf.DUMMYFUNCTION("""COMPUTED_VALUE"""),"")</f>
        <v/>
      </c>
      <c r="C1100" s="5" t="str">
        <f>IFERROR(__xludf.DUMMYFUNCTION("""COMPUTED_VALUE"""),"")</f>
        <v/>
      </c>
      <c r="D1100" s="5" t="str">
        <f>IFERROR(__xludf.DUMMYFUNCTION("""COMPUTED_VALUE"""),"")</f>
        <v/>
      </c>
      <c r="E1100" s="5" t="str">
        <f>IFERROR(__xludf.DUMMYFUNCTION("""COMPUTED_VALUE"""),"")</f>
        <v/>
      </c>
      <c r="F1100" s="5" t="str">
        <f>IFERROR(__xludf.DUMMYFUNCTION("""COMPUTED_VALUE"""),"")</f>
        <v/>
      </c>
      <c r="G1100" s="5" t="str">
        <f>IFERROR(__xludf.DUMMYFUNCTION("""COMPUTED_VALUE"""),"")</f>
        <v/>
      </c>
      <c r="H1100" s="5" t="str">
        <f>IFERROR(__xludf.DUMMYFUNCTION("""COMPUTED_VALUE"""),"")</f>
        <v/>
      </c>
      <c r="I1100" s="5" t="str">
        <f>IFERROR(__xludf.DUMMYFUNCTION("""COMPUTED_VALUE"""),"")</f>
        <v/>
      </c>
      <c r="J1100" s="5" t="str">
        <f>IFERROR(__xludf.DUMMYFUNCTION("""COMPUTED_VALUE"""),"")</f>
        <v/>
      </c>
      <c r="K1100" s="5" t="str">
        <f>IFERROR(__xludf.DUMMYFUNCTION("""COMPUTED_VALUE"""),"")</f>
        <v/>
      </c>
      <c r="L1100" s="5" t="str">
        <f>IFERROR(__xludf.DUMMYFUNCTION("""COMPUTED_VALUE"""),"")</f>
        <v/>
      </c>
      <c r="M1100" s="5" t="str">
        <f>IFERROR(__xludf.DUMMYFUNCTION("""COMPUTED_VALUE"""),"")</f>
        <v/>
      </c>
      <c r="N1100" s="5" t="str">
        <f>IFERROR(__xludf.DUMMYFUNCTION("""COMPUTED_VALUE"""),"")</f>
        <v/>
      </c>
      <c r="O1100" s="5" t="str">
        <f>IFERROR(__xludf.DUMMYFUNCTION("""COMPUTED_VALUE"""),"")</f>
        <v/>
      </c>
      <c r="P1100" s="5" t="str">
        <f>IFERROR(__xludf.DUMMYFUNCTION("""COMPUTED_VALUE"""),"")</f>
        <v/>
      </c>
      <c r="Q1100" s="5" t="str">
        <f>IFERROR(__xludf.DUMMYFUNCTION("""COMPUTED_VALUE"""),"")</f>
        <v/>
      </c>
      <c r="R1100" s="5" t="str">
        <f>IFERROR(__xludf.DUMMYFUNCTION("""COMPUTED_VALUE"""),"")</f>
        <v/>
      </c>
      <c r="S1100" s="5" t="str">
        <f>IFERROR(__xludf.DUMMYFUNCTION("""COMPUTED_VALUE"""),"")</f>
        <v/>
      </c>
      <c r="T1100" s="5" t="str">
        <f>IFERROR(__xludf.DUMMYFUNCTION("""COMPUTED_VALUE"""),"")</f>
        <v/>
      </c>
      <c r="U1100" s="5" t="str">
        <f>IFERROR(__xludf.DUMMYFUNCTION("""COMPUTED_VALUE"""),"")</f>
        <v/>
      </c>
      <c r="V1100" s="5" t="str">
        <f>IFERROR(__xludf.DUMMYFUNCTION("""COMPUTED_VALUE"""),"")</f>
        <v/>
      </c>
      <c r="W1100" s="5" t="str">
        <f>IFERROR(__xludf.DUMMYFUNCTION("""COMPUTED_VALUE"""),"")</f>
        <v/>
      </c>
      <c r="X1100" s="5" t="str">
        <f>IFERROR(__xludf.DUMMYFUNCTION("""COMPUTED_VALUE"""),"")</f>
        <v/>
      </c>
      <c r="Y1100" s="5"/>
      <c r="Z1100" s="5"/>
    </row>
    <row r="1101">
      <c r="A1101" s="5"/>
      <c r="B1101" s="5" t="str">
        <f>IFERROR(__xludf.DUMMYFUNCTION("""COMPUTED_VALUE"""),"")</f>
        <v/>
      </c>
      <c r="C1101" s="5" t="str">
        <f>IFERROR(__xludf.DUMMYFUNCTION("""COMPUTED_VALUE"""),"")</f>
        <v/>
      </c>
      <c r="D1101" s="5" t="str">
        <f>IFERROR(__xludf.DUMMYFUNCTION("""COMPUTED_VALUE"""),"")</f>
        <v/>
      </c>
      <c r="E1101" s="5" t="str">
        <f>IFERROR(__xludf.DUMMYFUNCTION("""COMPUTED_VALUE"""),"")</f>
        <v/>
      </c>
      <c r="F1101" s="5" t="str">
        <f>IFERROR(__xludf.DUMMYFUNCTION("""COMPUTED_VALUE"""),"")</f>
        <v/>
      </c>
      <c r="G1101" s="5" t="str">
        <f>IFERROR(__xludf.DUMMYFUNCTION("""COMPUTED_VALUE"""),"")</f>
        <v/>
      </c>
      <c r="H1101" s="5" t="str">
        <f>IFERROR(__xludf.DUMMYFUNCTION("""COMPUTED_VALUE"""),"")</f>
        <v/>
      </c>
      <c r="I1101" s="5" t="str">
        <f>IFERROR(__xludf.DUMMYFUNCTION("""COMPUTED_VALUE"""),"")</f>
        <v/>
      </c>
      <c r="J1101" s="5" t="str">
        <f>IFERROR(__xludf.DUMMYFUNCTION("""COMPUTED_VALUE"""),"")</f>
        <v/>
      </c>
      <c r="K1101" s="5" t="str">
        <f>IFERROR(__xludf.DUMMYFUNCTION("""COMPUTED_VALUE"""),"")</f>
        <v/>
      </c>
      <c r="L1101" s="5" t="str">
        <f>IFERROR(__xludf.DUMMYFUNCTION("""COMPUTED_VALUE"""),"")</f>
        <v/>
      </c>
      <c r="M1101" s="5" t="str">
        <f>IFERROR(__xludf.DUMMYFUNCTION("""COMPUTED_VALUE"""),"")</f>
        <v/>
      </c>
      <c r="N1101" s="5" t="str">
        <f>IFERROR(__xludf.DUMMYFUNCTION("""COMPUTED_VALUE"""),"")</f>
        <v/>
      </c>
      <c r="O1101" s="5" t="str">
        <f>IFERROR(__xludf.DUMMYFUNCTION("""COMPUTED_VALUE"""),"")</f>
        <v/>
      </c>
      <c r="P1101" s="5" t="str">
        <f>IFERROR(__xludf.DUMMYFUNCTION("""COMPUTED_VALUE"""),"")</f>
        <v/>
      </c>
      <c r="Q1101" s="5" t="str">
        <f>IFERROR(__xludf.DUMMYFUNCTION("""COMPUTED_VALUE"""),"")</f>
        <v/>
      </c>
      <c r="R1101" s="5" t="str">
        <f>IFERROR(__xludf.DUMMYFUNCTION("""COMPUTED_VALUE"""),"")</f>
        <v/>
      </c>
      <c r="S1101" s="5" t="str">
        <f>IFERROR(__xludf.DUMMYFUNCTION("""COMPUTED_VALUE"""),"")</f>
        <v/>
      </c>
      <c r="T1101" s="5" t="str">
        <f>IFERROR(__xludf.DUMMYFUNCTION("""COMPUTED_VALUE"""),"")</f>
        <v/>
      </c>
      <c r="U1101" s="5" t="str">
        <f>IFERROR(__xludf.DUMMYFUNCTION("""COMPUTED_VALUE"""),"")</f>
        <v/>
      </c>
      <c r="V1101" s="5" t="str">
        <f>IFERROR(__xludf.DUMMYFUNCTION("""COMPUTED_VALUE"""),"")</f>
        <v/>
      </c>
      <c r="W1101" s="5" t="str">
        <f>IFERROR(__xludf.DUMMYFUNCTION("""COMPUTED_VALUE"""),"")</f>
        <v/>
      </c>
      <c r="X1101" s="5" t="str">
        <f>IFERROR(__xludf.DUMMYFUNCTION("""COMPUTED_VALUE"""),"")</f>
        <v/>
      </c>
      <c r="Y1101" s="5"/>
      <c r="Z1101" s="5"/>
    </row>
    <row r="1102">
      <c r="A1102" s="5"/>
      <c r="B1102" s="5" t="str">
        <f>IFERROR(__xludf.DUMMYFUNCTION("""COMPUTED_VALUE"""),"")</f>
        <v/>
      </c>
      <c r="C1102" s="5" t="str">
        <f>IFERROR(__xludf.DUMMYFUNCTION("""COMPUTED_VALUE"""),"")</f>
        <v/>
      </c>
      <c r="D1102" s="5" t="str">
        <f>IFERROR(__xludf.DUMMYFUNCTION("""COMPUTED_VALUE"""),"")</f>
        <v/>
      </c>
      <c r="E1102" s="5" t="str">
        <f>IFERROR(__xludf.DUMMYFUNCTION("""COMPUTED_VALUE"""),"")</f>
        <v/>
      </c>
      <c r="F1102" s="5" t="str">
        <f>IFERROR(__xludf.DUMMYFUNCTION("""COMPUTED_VALUE"""),"")</f>
        <v/>
      </c>
      <c r="G1102" s="5" t="str">
        <f>IFERROR(__xludf.DUMMYFUNCTION("""COMPUTED_VALUE"""),"")</f>
        <v/>
      </c>
      <c r="H1102" s="5" t="str">
        <f>IFERROR(__xludf.DUMMYFUNCTION("""COMPUTED_VALUE"""),"")</f>
        <v/>
      </c>
      <c r="I1102" s="5" t="str">
        <f>IFERROR(__xludf.DUMMYFUNCTION("""COMPUTED_VALUE"""),"")</f>
        <v/>
      </c>
      <c r="J1102" s="5" t="str">
        <f>IFERROR(__xludf.DUMMYFUNCTION("""COMPUTED_VALUE"""),"")</f>
        <v/>
      </c>
      <c r="K1102" s="5" t="str">
        <f>IFERROR(__xludf.DUMMYFUNCTION("""COMPUTED_VALUE"""),"")</f>
        <v/>
      </c>
      <c r="L1102" s="5" t="str">
        <f>IFERROR(__xludf.DUMMYFUNCTION("""COMPUTED_VALUE"""),"")</f>
        <v/>
      </c>
      <c r="M1102" s="5" t="str">
        <f>IFERROR(__xludf.DUMMYFUNCTION("""COMPUTED_VALUE"""),"")</f>
        <v/>
      </c>
      <c r="N1102" s="5" t="str">
        <f>IFERROR(__xludf.DUMMYFUNCTION("""COMPUTED_VALUE"""),"")</f>
        <v/>
      </c>
      <c r="O1102" s="5" t="str">
        <f>IFERROR(__xludf.DUMMYFUNCTION("""COMPUTED_VALUE"""),"")</f>
        <v/>
      </c>
      <c r="P1102" s="5" t="str">
        <f>IFERROR(__xludf.DUMMYFUNCTION("""COMPUTED_VALUE"""),"")</f>
        <v/>
      </c>
      <c r="Q1102" s="5" t="str">
        <f>IFERROR(__xludf.DUMMYFUNCTION("""COMPUTED_VALUE"""),"")</f>
        <v/>
      </c>
      <c r="R1102" s="5" t="str">
        <f>IFERROR(__xludf.DUMMYFUNCTION("""COMPUTED_VALUE"""),"")</f>
        <v/>
      </c>
      <c r="S1102" s="5" t="str">
        <f>IFERROR(__xludf.DUMMYFUNCTION("""COMPUTED_VALUE"""),"")</f>
        <v/>
      </c>
      <c r="T1102" s="5" t="str">
        <f>IFERROR(__xludf.DUMMYFUNCTION("""COMPUTED_VALUE"""),"")</f>
        <v/>
      </c>
      <c r="U1102" s="5" t="str">
        <f>IFERROR(__xludf.DUMMYFUNCTION("""COMPUTED_VALUE"""),"")</f>
        <v/>
      </c>
      <c r="V1102" s="5" t="str">
        <f>IFERROR(__xludf.DUMMYFUNCTION("""COMPUTED_VALUE"""),"")</f>
        <v/>
      </c>
      <c r="W1102" s="5" t="str">
        <f>IFERROR(__xludf.DUMMYFUNCTION("""COMPUTED_VALUE"""),"")</f>
        <v/>
      </c>
      <c r="X1102" s="5" t="str">
        <f>IFERROR(__xludf.DUMMYFUNCTION("""COMPUTED_VALUE"""),"")</f>
        <v/>
      </c>
      <c r="Y1102" s="5"/>
      <c r="Z1102" s="5"/>
    </row>
    <row r="1103">
      <c r="A1103" s="5"/>
      <c r="B1103" s="5" t="str">
        <f>IFERROR(__xludf.DUMMYFUNCTION("""COMPUTED_VALUE"""),"")</f>
        <v/>
      </c>
      <c r="C1103" s="5" t="str">
        <f>IFERROR(__xludf.DUMMYFUNCTION("""COMPUTED_VALUE"""),"")</f>
        <v/>
      </c>
      <c r="D1103" s="5" t="str">
        <f>IFERROR(__xludf.DUMMYFUNCTION("""COMPUTED_VALUE"""),"")</f>
        <v/>
      </c>
      <c r="E1103" s="5" t="str">
        <f>IFERROR(__xludf.DUMMYFUNCTION("""COMPUTED_VALUE"""),"")</f>
        <v/>
      </c>
      <c r="F1103" s="5" t="str">
        <f>IFERROR(__xludf.DUMMYFUNCTION("""COMPUTED_VALUE"""),"")</f>
        <v/>
      </c>
      <c r="G1103" s="5" t="str">
        <f>IFERROR(__xludf.DUMMYFUNCTION("""COMPUTED_VALUE"""),"")</f>
        <v/>
      </c>
      <c r="H1103" s="5" t="str">
        <f>IFERROR(__xludf.DUMMYFUNCTION("""COMPUTED_VALUE"""),"")</f>
        <v/>
      </c>
      <c r="I1103" s="5" t="str">
        <f>IFERROR(__xludf.DUMMYFUNCTION("""COMPUTED_VALUE"""),"")</f>
        <v/>
      </c>
      <c r="J1103" s="5" t="str">
        <f>IFERROR(__xludf.DUMMYFUNCTION("""COMPUTED_VALUE"""),"")</f>
        <v/>
      </c>
      <c r="K1103" s="5" t="str">
        <f>IFERROR(__xludf.DUMMYFUNCTION("""COMPUTED_VALUE"""),"")</f>
        <v/>
      </c>
      <c r="L1103" s="5" t="str">
        <f>IFERROR(__xludf.DUMMYFUNCTION("""COMPUTED_VALUE"""),"")</f>
        <v/>
      </c>
      <c r="M1103" s="5" t="str">
        <f>IFERROR(__xludf.DUMMYFUNCTION("""COMPUTED_VALUE"""),"")</f>
        <v/>
      </c>
      <c r="N1103" s="5" t="str">
        <f>IFERROR(__xludf.DUMMYFUNCTION("""COMPUTED_VALUE"""),"")</f>
        <v/>
      </c>
      <c r="O1103" s="5" t="str">
        <f>IFERROR(__xludf.DUMMYFUNCTION("""COMPUTED_VALUE"""),"")</f>
        <v/>
      </c>
      <c r="P1103" s="5" t="str">
        <f>IFERROR(__xludf.DUMMYFUNCTION("""COMPUTED_VALUE"""),"")</f>
        <v/>
      </c>
      <c r="Q1103" s="5" t="str">
        <f>IFERROR(__xludf.DUMMYFUNCTION("""COMPUTED_VALUE"""),"")</f>
        <v/>
      </c>
      <c r="R1103" s="5" t="str">
        <f>IFERROR(__xludf.DUMMYFUNCTION("""COMPUTED_VALUE"""),"")</f>
        <v/>
      </c>
      <c r="S1103" s="5" t="str">
        <f>IFERROR(__xludf.DUMMYFUNCTION("""COMPUTED_VALUE"""),"")</f>
        <v/>
      </c>
      <c r="T1103" s="5" t="str">
        <f>IFERROR(__xludf.DUMMYFUNCTION("""COMPUTED_VALUE"""),"")</f>
        <v/>
      </c>
      <c r="U1103" s="5" t="str">
        <f>IFERROR(__xludf.DUMMYFUNCTION("""COMPUTED_VALUE"""),"")</f>
        <v/>
      </c>
      <c r="V1103" s="5" t="str">
        <f>IFERROR(__xludf.DUMMYFUNCTION("""COMPUTED_VALUE"""),"")</f>
        <v/>
      </c>
      <c r="W1103" s="5" t="str">
        <f>IFERROR(__xludf.DUMMYFUNCTION("""COMPUTED_VALUE"""),"")</f>
        <v/>
      </c>
      <c r="X1103" s="5" t="str">
        <f>IFERROR(__xludf.DUMMYFUNCTION("""COMPUTED_VALUE"""),"")</f>
        <v/>
      </c>
      <c r="Y1103" s="5"/>
      <c r="Z1103" s="5"/>
    </row>
    <row r="1104">
      <c r="A1104" s="5"/>
      <c r="B1104" s="5" t="str">
        <f>IFERROR(__xludf.DUMMYFUNCTION("""COMPUTED_VALUE"""),"")</f>
        <v/>
      </c>
      <c r="C1104" s="5" t="str">
        <f>IFERROR(__xludf.DUMMYFUNCTION("""COMPUTED_VALUE"""),"")</f>
        <v/>
      </c>
      <c r="D1104" s="5" t="str">
        <f>IFERROR(__xludf.DUMMYFUNCTION("""COMPUTED_VALUE"""),"")</f>
        <v/>
      </c>
      <c r="E1104" s="5" t="str">
        <f>IFERROR(__xludf.DUMMYFUNCTION("""COMPUTED_VALUE"""),"")</f>
        <v/>
      </c>
      <c r="F1104" s="5" t="str">
        <f>IFERROR(__xludf.DUMMYFUNCTION("""COMPUTED_VALUE"""),"")</f>
        <v/>
      </c>
      <c r="G1104" s="5" t="str">
        <f>IFERROR(__xludf.DUMMYFUNCTION("""COMPUTED_VALUE"""),"")</f>
        <v/>
      </c>
      <c r="H1104" s="5" t="str">
        <f>IFERROR(__xludf.DUMMYFUNCTION("""COMPUTED_VALUE"""),"")</f>
        <v/>
      </c>
      <c r="I1104" s="5" t="str">
        <f>IFERROR(__xludf.DUMMYFUNCTION("""COMPUTED_VALUE"""),"")</f>
        <v/>
      </c>
      <c r="J1104" s="5" t="str">
        <f>IFERROR(__xludf.DUMMYFUNCTION("""COMPUTED_VALUE"""),"")</f>
        <v/>
      </c>
      <c r="K1104" s="5" t="str">
        <f>IFERROR(__xludf.DUMMYFUNCTION("""COMPUTED_VALUE"""),"")</f>
        <v/>
      </c>
      <c r="L1104" s="5" t="str">
        <f>IFERROR(__xludf.DUMMYFUNCTION("""COMPUTED_VALUE"""),"")</f>
        <v/>
      </c>
      <c r="M1104" s="5" t="str">
        <f>IFERROR(__xludf.DUMMYFUNCTION("""COMPUTED_VALUE"""),"")</f>
        <v/>
      </c>
      <c r="N1104" s="5" t="str">
        <f>IFERROR(__xludf.DUMMYFUNCTION("""COMPUTED_VALUE"""),"")</f>
        <v/>
      </c>
      <c r="O1104" s="5" t="str">
        <f>IFERROR(__xludf.DUMMYFUNCTION("""COMPUTED_VALUE"""),"")</f>
        <v/>
      </c>
      <c r="P1104" s="5" t="str">
        <f>IFERROR(__xludf.DUMMYFUNCTION("""COMPUTED_VALUE"""),"")</f>
        <v/>
      </c>
      <c r="Q1104" s="5" t="str">
        <f>IFERROR(__xludf.DUMMYFUNCTION("""COMPUTED_VALUE"""),"")</f>
        <v/>
      </c>
      <c r="R1104" s="5" t="str">
        <f>IFERROR(__xludf.DUMMYFUNCTION("""COMPUTED_VALUE"""),"")</f>
        <v/>
      </c>
      <c r="S1104" s="5" t="str">
        <f>IFERROR(__xludf.DUMMYFUNCTION("""COMPUTED_VALUE"""),"")</f>
        <v/>
      </c>
      <c r="T1104" s="5" t="str">
        <f>IFERROR(__xludf.DUMMYFUNCTION("""COMPUTED_VALUE"""),"")</f>
        <v/>
      </c>
      <c r="U1104" s="5" t="str">
        <f>IFERROR(__xludf.DUMMYFUNCTION("""COMPUTED_VALUE"""),"")</f>
        <v/>
      </c>
      <c r="V1104" s="5" t="str">
        <f>IFERROR(__xludf.DUMMYFUNCTION("""COMPUTED_VALUE"""),"")</f>
        <v/>
      </c>
      <c r="W1104" s="5" t="str">
        <f>IFERROR(__xludf.DUMMYFUNCTION("""COMPUTED_VALUE"""),"")</f>
        <v/>
      </c>
      <c r="X1104" s="5" t="str">
        <f>IFERROR(__xludf.DUMMYFUNCTION("""COMPUTED_VALUE"""),"")</f>
        <v/>
      </c>
      <c r="Y1104" s="5"/>
      <c r="Z1104" s="5"/>
    </row>
    <row r="1105">
      <c r="A1105" s="5"/>
      <c r="B1105" s="5" t="str">
        <f>IFERROR(__xludf.DUMMYFUNCTION("""COMPUTED_VALUE"""),"")</f>
        <v/>
      </c>
      <c r="C1105" s="5" t="str">
        <f>IFERROR(__xludf.DUMMYFUNCTION("""COMPUTED_VALUE"""),"")</f>
        <v/>
      </c>
      <c r="D1105" s="5" t="str">
        <f>IFERROR(__xludf.DUMMYFUNCTION("""COMPUTED_VALUE"""),"")</f>
        <v/>
      </c>
      <c r="E1105" s="5" t="str">
        <f>IFERROR(__xludf.DUMMYFUNCTION("""COMPUTED_VALUE"""),"")</f>
        <v/>
      </c>
      <c r="F1105" s="5" t="str">
        <f>IFERROR(__xludf.DUMMYFUNCTION("""COMPUTED_VALUE"""),"")</f>
        <v/>
      </c>
      <c r="G1105" s="5" t="str">
        <f>IFERROR(__xludf.DUMMYFUNCTION("""COMPUTED_VALUE"""),"")</f>
        <v/>
      </c>
      <c r="H1105" s="5" t="str">
        <f>IFERROR(__xludf.DUMMYFUNCTION("""COMPUTED_VALUE"""),"")</f>
        <v/>
      </c>
      <c r="I1105" s="5" t="str">
        <f>IFERROR(__xludf.DUMMYFUNCTION("""COMPUTED_VALUE"""),"")</f>
        <v/>
      </c>
      <c r="J1105" s="5" t="str">
        <f>IFERROR(__xludf.DUMMYFUNCTION("""COMPUTED_VALUE"""),"")</f>
        <v/>
      </c>
      <c r="K1105" s="5" t="str">
        <f>IFERROR(__xludf.DUMMYFUNCTION("""COMPUTED_VALUE"""),"")</f>
        <v/>
      </c>
      <c r="L1105" s="5" t="str">
        <f>IFERROR(__xludf.DUMMYFUNCTION("""COMPUTED_VALUE"""),"")</f>
        <v/>
      </c>
      <c r="M1105" s="5" t="str">
        <f>IFERROR(__xludf.DUMMYFUNCTION("""COMPUTED_VALUE"""),"")</f>
        <v/>
      </c>
      <c r="N1105" s="5" t="str">
        <f>IFERROR(__xludf.DUMMYFUNCTION("""COMPUTED_VALUE"""),"")</f>
        <v/>
      </c>
      <c r="O1105" s="5" t="str">
        <f>IFERROR(__xludf.DUMMYFUNCTION("""COMPUTED_VALUE"""),"")</f>
        <v/>
      </c>
      <c r="P1105" s="5" t="str">
        <f>IFERROR(__xludf.DUMMYFUNCTION("""COMPUTED_VALUE"""),"")</f>
        <v/>
      </c>
      <c r="Q1105" s="5" t="str">
        <f>IFERROR(__xludf.DUMMYFUNCTION("""COMPUTED_VALUE"""),"")</f>
        <v/>
      </c>
      <c r="R1105" s="5" t="str">
        <f>IFERROR(__xludf.DUMMYFUNCTION("""COMPUTED_VALUE"""),"")</f>
        <v/>
      </c>
      <c r="S1105" s="5" t="str">
        <f>IFERROR(__xludf.DUMMYFUNCTION("""COMPUTED_VALUE"""),"")</f>
        <v/>
      </c>
      <c r="T1105" s="5" t="str">
        <f>IFERROR(__xludf.DUMMYFUNCTION("""COMPUTED_VALUE"""),"")</f>
        <v/>
      </c>
      <c r="U1105" s="5" t="str">
        <f>IFERROR(__xludf.DUMMYFUNCTION("""COMPUTED_VALUE"""),"")</f>
        <v/>
      </c>
      <c r="V1105" s="5" t="str">
        <f>IFERROR(__xludf.DUMMYFUNCTION("""COMPUTED_VALUE"""),"")</f>
        <v/>
      </c>
      <c r="W1105" s="5" t="str">
        <f>IFERROR(__xludf.DUMMYFUNCTION("""COMPUTED_VALUE"""),"")</f>
        <v/>
      </c>
      <c r="X1105" s="5" t="str">
        <f>IFERROR(__xludf.DUMMYFUNCTION("""COMPUTED_VALUE"""),"")</f>
        <v/>
      </c>
      <c r="Y1105" s="5"/>
      <c r="Z1105" s="5"/>
    </row>
    <row r="1106">
      <c r="A1106" s="5"/>
      <c r="B1106" s="5" t="str">
        <f>IFERROR(__xludf.DUMMYFUNCTION("""COMPUTED_VALUE"""),"")</f>
        <v/>
      </c>
      <c r="C1106" s="5" t="str">
        <f>IFERROR(__xludf.DUMMYFUNCTION("""COMPUTED_VALUE"""),"")</f>
        <v/>
      </c>
      <c r="D1106" s="5" t="str">
        <f>IFERROR(__xludf.DUMMYFUNCTION("""COMPUTED_VALUE"""),"")</f>
        <v/>
      </c>
      <c r="E1106" s="5" t="str">
        <f>IFERROR(__xludf.DUMMYFUNCTION("""COMPUTED_VALUE"""),"")</f>
        <v/>
      </c>
      <c r="F1106" s="5" t="str">
        <f>IFERROR(__xludf.DUMMYFUNCTION("""COMPUTED_VALUE"""),"")</f>
        <v/>
      </c>
      <c r="G1106" s="5" t="str">
        <f>IFERROR(__xludf.DUMMYFUNCTION("""COMPUTED_VALUE"""),"")</f>
        <v/>
      </c>
      <c r="H1106" s="5" t="str">
        <f>IFERROR(__xludf.DUMMYFUNCTION("""COMPUTED_VALUE"""),"")</f>
        <v/>
      </c>
      <c r="I1106" s="5" t="str">
        <f>IFERROR(__xludf.DUMMYFUNCTION("""COMPUTED_VALUE"""),"")</f>
        <v/>
      </c>
      <c r="J1106" s="5" t="str">
        <f>IFERROR(__xludf.DUMMYFUNCTION("""COMPUTED_VALUE"""),"")</f>
        <v/>
      </c>
      <c r="K1106" s="5" t="str">
        <f>IFERROR(__xludf.DUMMYFUNCTION("""COMPUTED_VALUE"""),"")</f>
        <v/>
      </c>
      <c r="L1106" s="5" t="str">
        <f>IFERROR(__xludf.DUMMYFUNCTION("""COMPUTED_VALUE"""),"")</f>
        <v/>
      </c>
      <c r="M1106" s="5" t="str">
        <f>IFERROR(__xludf.DUMMYFUNCTION("""COMPUTED_VALUE"""),"")</f>
        <v/>
      </c>
      <c r="N1106" s="5" t="str">
        <f>IFERROR(__xludf.DUMMYFUNCTION("""COMPUTED_VALUE"""),"")</f>
        <v/>
      </c>
      <c r="O1106" s="5" t="str">
        <f>IFERROR(__xludf.DUMMYFUNCTION("""COMPUTED_VALUE"""),"")</f>
        <v/>
      </c>
      <c r="P1106" s="5" t="str">
        <f>IFERROR(__xludf.DUMMYFUNCTION("""COMPUTED_VALUE"""),"")</f>
        <v/>
      </c>
      <c r="Q1106" s="5" t="str">
        <f>IFERROR(__xludf.DUMMYFUNCTION("""COMPUTED_VALUE"""),"")</f>
        <v/>
      </c>
      <c r="R1106" s="5" t="str">
        <f>IFERROR(__xludf.DUMMYFUNCTION("""COMPUTED_VALUE"""),"")</f>
        <v/>
      </c>
      <c r="S1106" s="5" t="str">
        <f>IFERROR(__xludf.DUMMYFUNCTION("""COMPUTED_VALUE"""),"")</f>
        <v/>
      </c>
      <c r="T1106" s="5" t="str">
        <f>IFERROR(__xludf.DUMMYFUNCTION("""COMPUTED_VALUE"""),"")</f>
        <v/>
      </c>
      <c r="U1106" s="5" t="str">
        <f>IFERROR(__xludf.DUMMYFUNCTION("""COMPUTED_VALUE"""),"")</f>
        <v/>
      </c>
      <c r="V1106" s="5" t="str">
        <f>IFERROR(__xludf.DUMMYFUNCTION("""COMPUTED_VALUE"""),"")</f>
        <v/>
      </c>
      <c r="W1106" s="5" t="str">
        <f>IFERROR(__xludf.DUMMYFUNCTION("""COMPUTED_VALUE"""),"")</f>
        <v/>
      </c>
      <c r="X1106" s="5" t="str">
        <f>IFERROR(__xludf.DUMMYFUNCTION("""COMPUTED_VALUE"""),"")</f>
        <v/>
      </c>
      <c r="Y1106" s="5"/>
      <c r="Z1106" s="5"/>
    </row>
    <row r="1107">
      <c r="A1107" s="5"/>
      <c r="B1107" s="5" t="str">
        <f>IFERROR(__xludf.DUMMYFUNCTION("""COMPUTED_VALUE"""),"")</f>
        <v/>
      </c>
      <c r="C1107" s="5" t="str">
        <f>IFERROR(__xludf.DUMMYFUNCTION("""COMPUTED_VALUE"""),"")</f>
        <v/>
      </c>
      <c r="D1107" s="5" t="str">
        <f>IFERROR(__xludf.DUMMYFUNCTION("""COMPUTED_VALUE"""),"")</f>
        <v/>
      </c>
      <c r="E1107" s="5" t="str">
        <f>IFERROR(__xludf.DUMMYFUNCTION("""COMPUTED_VALUE"""),"")</f>
        <v/>
      </c>
      <c r="F1107" s="5" t="str">
        <f>IFERROR(__xludf.DUMMYFUNCTION("""COMPUTED_VALUE"""),"")</f>
        <v/>
      </c>
      <c r="G1107" s="5" t="str">
        <f>IFERROR(__xludf.DUMMYFUNCTION("""COMPUTED_VALUE"""),"")</f>
        <v/>
      </c>
      <c r="H1107" s="5" t="str">
        <f>IFERROR(__xludf.DUMMYFUNCTION("""COMPUTED_VALUE"""),"")</f>
        <v/>
      </c>
      <c r="I1107" s="5" t="str">
        <f>IFERROR(__xludf.DUMMYFUNCTION("""COMPUTED_VALUE"""),"")</f>
        <v/>
      </c>
      <c r="J1107" s="5" t="str">
        <f>IFERROR(__xludf.DUMMYFUNCTION("""COMPUTED_VALUE"""),"")</f>
        <v/>
      </c>
      <c r="K1107" s="5" t="str">
        <f>IFERROR(__xludf.DUMMYFUNCTION("""COMPUTED_VALUE"""),"")</f>
        <v/>
      </c>
      <c r="L1107" s="5" t="str">
        <f>IFERROR(__xludf.DUMMYFUNCTION("""COMPUTED_VALUE"""),"")</f>
        <v/>
      </c>
      <c r="M1107" s="5" t="str">
        <f>IFERROR(__xludf.DUMMYFUNCTION("""COMPUTED_VALUE"""),"")</f>
        <v/>
      </c>
      <c r="N1107" s="5" t="str">
        <f>IFERROR(__xludf.DUMMYFUNCTION("""COMPUTED_VALUE"""),"")</f>
        <v/>
      </c>
      <c r="O1107" s="5" t="str">
        <f>IFERROR(__xludf.DUMMYFUNCTION("""COMPUTED_VALUE"""),"")</f>
        <v/>
      </c>
      <c r="P1107" s="5" t="str">
        <f>IFERROR(__xludf.DUMMYFUNCTION("""COMPUTED_VALUE"""),"")</f>
        <v/>
      </c>
      <c r="Q1107" s="5" t="str">
        <f>IFERROR(__xludf.DUMMYFUNCTION("""COMPUTED_VALUE"""),"")</f>
        <v/>
      </c>
      <c r="R1107" s="5" t="str">
        <f>IFERROR(__xludf.DUMMYFUNCTION("""COMPUTED_VALUE"""),"")</f>
        <v/>
      </c>
      <c r="S1107" s="5" t="str">
        <f>IFERROR(__xludf.DUMMYFUNCTION("""COMPUTED_VALUE"""),"")</f>
        <v/>
      </c>
      <c r="T1107" s="5" t="str">
        <f>IFERROR(__xludf.DUMMYFUNCTION("""COMPUTED_VALUE"""),"")</f>
        <v/>
      </c>
      <c r="U1107" s="5" t="str">
        <f>IFERROR(__xludf.DUMMYFUNCTION("""COMPUTED_VALUE"""),"")</f>
        <v/>
      </c>
      <c r="V1107" s="5" t="str">
        <f>IFERROR(__xludf.DUMMYFUNCTION("""COMPUTED_VALUE"""),"")</f>
        <v/>
      </c>
      <c r="W1107" s="5" t="str">
        <f>IFERROR(__xludf.DUMMYFUNCTION("""COMPUTED_VALUE"""),"")</f>
        <v/>
      </c>
      <c r="X1107" s="5" t="str">
        <f>IFERROR(__xludf.DUMMYFUNCTION("""COMPUTED_VALUE"""),"")</f>
        <v/>
      </c>
      <c r="Y1107" s="5"/>
      <c r="Z1107" s="5"/>
    </row>
    <row r="1108">
      <c r="A1108" s="5"/>
      <c r="B1108" s="5" t="str">
        <f>IFERROR(__xludf.DUMMYFUNCTION("""COMPUTED_VALUE"""),"")</f>
        <v/>
      </c>
      <c r="C1108" s="5" t="str">
        <f>IFERROR(__xludf.DUMMYFUNCTION("""COMPUTED_VALUE"""),"")</f>
        <v/>
      </c>
      <c r="D1108" s="5" t="str">
        <f>IFERROR(__xludf.DUMMYFUNCTION("""COMPUTED_VALUE"""),"")</f>
        <v/>
      </c>
      <c r="E1108" s="5" t="str">
        <f>IFERROR(__xludf.DUMMYFUNCTION("""COMPUTED_VALUE"""),"")</f>
        <v/>
      </c>
      <c r="F1108" s="5" t="str">
        <f>IFERROR(__xludf.DUMMYFUNCTION("""COMPUTED_VALUE"""),"")</f>
        <v/>
      </c>
      <c r="G1108" s="5" t="str">
        <f>IFERROR(__xludf.DUMMYFUNCTION("""COMPUTED_VALUE"""),"")</f>
        <v/>
      </c>
      <c r="H1108" s="5" t="str">
        <f>IFERROR(__xludf.DUMMYFUNCTION("""COMPUTED_VALUE"""),"")</f>
        <v/>
      </c>
      <c r="I1108" s="5" t="str">
        <f>IFERROR(__xludf.DUMMYFUNCTION("""COMPUTED_VALUE"""),"")</f>
        <v/>
      </c>
      <c r="J1108" s="5" t="str">
        <f>IFERROR(__xludf.DUMMYFUNCTION("""COMPUTED_VALUE"""),"")</f>
        <v/>
      </c>
      <c r="K1108" s="5" t="str">
        <f>IFERROR(__xludf.DUMMYFUNCTION("""COMPUTED_VALUE"""),"")</f>
        <v/>
      </c>
      <c r="L1108" s="5" t="str">
        <f>IFERROR(__xludf.DUMMYFUNCTION("""COMPUTED_VALUE"""),"")</f>
        <v/>
      </c>
      <c r="M1108" s="5" t="str">
        <f>IFERROR(__xludf.DUMMYFUNCTION("""COMPUTED_VALUE"""),"")</f>
        <v/>
      </c>
      <c r="N1108" s="5" t="str">
        <f>IFERROR(__xludf.DUMMYFUNCTION("""COMPUTED_VALUE"""),"")</f>
        <v/>
      </c>
      <c r="O1108" s="5" t="str">
        <f>IFERROR(__xludf.DUMMYFUNCTION("""COMPUTED_VALUE"""),"")</f>
        <v/>
      </c>
      <c r="P1108" s="5" t="str">
        <f>IFERROR(__xludf.DUMMYFUNCTION("""COMPUTED_VALUE"""),"")</f>
        <v/>
      </c>
      <c r="Q1108" s="5" t="str">
        <f>IFERROR(__xludf.DUMMYFUNCTION("""COMPUTED_VALUE"""),"")</f>
        <v/>
      </c>
      <c r="R1108" s="5" t="str">
        <f>IFERROR(__xludf.DUMMYFUNCTION("""COMPUTED_VALUE"""),"")</f>
        <v/>
      </c>
      <c r="S1108" s="5" t="str">
        <f>IFERROR(__xludf.DUMMYFUNCTION("""COMPUTED_VALUE"""),"")</f>
        <v/>
      </c>
      <c r="T1108" s="5" t="str">
        <f>IFERROR(__xludf.DUMMYFUNCTION("""COMPUTED_VALUE"""),"")</f>
        <v/>
      </c>
      <c r="U1108" s="5" t="str">
        <f>IFERROR(__xludf.DUMMYFUNCTION("""COMPUTED_VALUE"""),"")</f>
        <v/>
      </c>
      <c r="V1108" s="5" t="str">
        <f>IFERROR(__xludf.DUMMYFUNCTION("""COMPUTED_VALUE"""),"")</f>
        <v/>
      </c>
      <c r="W1108" s="5" t="str">
        <f>IFERROR(__xludf.DUMMYFUNCTION("""COMPUTED_VALUE"""),"")</f>
        <v/>
      </c>
      <c r="X1108" s="5" t="str">
        <f>IFERROR(__xludf.DUMMYFUNCTION("""COMPUTED_VALUE"""),"")</f>
        <v/>
      </c>
      <c r="Y1108" s="5"/>
      <c r="Z1108" s="5"/>
    </row>
    <row r="1109">
      <c r="A1109" s="5"/>
      <c r="B1109" s="5" t="str">
        <f>IFERROR(__xludf.DUMMYFUNCTION("""COMPUTED_VALUE"""),"")</f>
        <v/>
      </c>
      <c r="C1109" s="5" t="str">
        <f>IFERROR(__xludf.DUMMYFUNCTION("""COMPUTED_VALUE"""),"")</f>
        <v/>
      </c>
      <c r="D1109" s="5" t="str">
        <f>IFERROR(__xludf.DUMMYFUNCTION("""COMPUTED_VALUE"""),"")</f>
        <v/>
      </c>
      <c r="E1109" s="5" t="str">
        <f>IFERROR(__xludf.DUMMYFUNCTION("""COMPUTED_VALUE"""),"")</f>
        <v/>
      </c>
      <c r="F1109" s="5" t="str">
        <f>IFERROR(__xludf.DUMMYFUNCTION("""COMPUTED_VALUE"""),"")</f>
        <v/>
      </c>
      <c r="G1109" s="5" t="str">
        <f>IFERROR(__xludf.DUMMYFUNCTION("""COMPUTED_VALUE"""),"")</f>
        <v/>
      </c>
      <c r="H1109" s="5" t="str">
        <f>IFERROR(__xludf.DUMMYFUNCTION("""COMPUTED_VALUE"""),"")</f>
        <v/>
      </c>
      <c r="I1109" s="5" t="str">
        <f>IFERROR(__xludf.DUMMYFUNCTION("""COMPUTED_VALUE"""),"")</f>
        <v/>
      </c>
      <c r="J1109" s="5" t="str">
        <f>IFERROR(__xludf.DUMMYFUNCTION("""COMPUTED_VALUE"""),"")</f>
        <v/>
      </c>
      <c r="K1109" s="5" t="str">
        <f>IFERROR(__xludf.DUMMYFUNCTION("""COMPUTED_VALUE"""),"")</f>
        <v/>
      </c>
      <c r="L1109" s="5" t="str">
        <f>IFERROR(__xludf.DUMMYFUNCTION("""COMPUTED_VALUE"""),"")</f>
        <v/>
      </c>
      <c r="M1109" s="5" t="str">
        <f>IFERROR(__xludf.DUMMYFUNCTION("""COMPUTED_VALUE"""),"")</f>
        <v/>
      </c>
      <c r="N1109" s="5" t="str">
        <f>IFERROR(__xludf.DUMMYFUNCTION("""COMPUTED_VALUE"""),"")</f>
        <v/>
      </c>
      <c r="O1109" s="5" t="str">
        <f>IFERROR(__xludf.DUMMYFUNCTION("""COMPUTED_VALUE"""),"")</f>
        <v/>
      </c>
      <c r="P1109" s="5" t="str">
        <f>IFERROR(__xludf.DUMMYFUNCTION("""COMPUTED_VALUE"""),"")</f>
        <v/>
      </c>
      <c r="Q1109" s="5" t="str">
        <f>IFERROR(__xludf.DUMMYFUNCTION("""COMPUTED_VALUE"""),"")</f>
        <v/>
      </c>
      <c r="R1109" s="5" t="str">
        <f>IFERROR(__xludf.DUMMYFUNCTION("""COMPUTED_VALUE"""),"")</f>
        <v/>
      </c>
      <c r="S1109" s="5" t="str">
        <f>IFERROR(__xludf.DUMMYFUNCTION("""COMPUTED_VALUE"""),"")</f>
        <v/>
      </c>
      <c r="T1109" s="5" t="str">
        <f>IFERROR(__xludf.DUMMYFUNCTION("""COMPUTED_VALUE"""),"")</f>
        <v/>
      </c>
      <c r="U1109" s="5" t="str">
        <f>IFERROR(__xludf.DUMMYFUNCTION("""COMPUTED_VALUE"""),"")</f>
        <v/>
      </c>
      <c r="V1109" s="5" t="str">
        <f>IFERROR(__xludf.DUMMYFUNCTION("""COMPUTED_VALUE"""),"")</f>
        <v/>
      </c>
      <c r="W1109" s="5" t="str">
        <f>IFERROR(__xludf.DUMMYFUNCTION("""COMPUTED_VALUE"""),"")</f>
        <v/>
      </c>
      <c r="X1109" s="5" t="str">
        <f>IFERROR(__xludf.DUMMYFUNCTION("""COMPUTED_VALUE"""),"")</f>
        <v/>
      </c>
      <c r="Y1109" s="5"/>
      <c r="Z1109" s="5"/>
    </row>
    <row r="1110">
      <c r="A1110" s="5"/>
      <c r="B1110" s="5" t="str">
        <f>IFERROR(__xludf.DUMMYFUNCTION("""COMPUTED_VALUE"""),"")</f>
        <v/>
      </c>
      <c r="C1110" s="5" t="str">
        <f>IFERROR(__xludf.DUMMYFUNCTION("""COMPUTED_VALUE"""),"")</f>
        <v/>
      </c>
      <c r="D1110" s="5" t="str">
        <f>IFERROR(__xludf.DUMMYFUNCTION("""COMPUTED_VALUE"""),"")</f>
        <v/>
      </c>
      <c r="E1110" s="5" t="str">
        <f>IFERROR(__xludf.DUMMYFUNCTION("""COMPUTED_VALUE"""),"")</f>
        <v/>
      </c>
      <c r="F1110" s="5" t="str">
        <f>IFERROR(__xludf.DUMMYFUNCTION("""COMPUTED_VALUE"""),"")</f>
        <v/>
      </c>
      <c r="G1110" s="5" t="str">
        <f>IFERROR(__xludf.DUMMYFUNCTION("""COMPUTED_VALUE"""),"")</f>
        <v/>
      </c>
      <c r="H1110" s="5" t="str">
        <f>IFERROR(__xludf.DUMMYFUNCTION("""COMPUTED_VALUE"""),"")</f>
        <v/>
      </c>
      <c r="I1110" s="5" t="str">
        <f>IFERROR(__xludf.DUMMYFUNCTION("""COMPUTED_VALUE"""),"")</f>
        <v/>
      </c>
      <c r="J1110" s="5" t="str">
        <f>IFERROR(__xludf.DUMMYFUNCTION("""COMPUTED_VALUE"""),"")</f>
        <v/>
      </c>
      <c r="K1110" s="5" t="str">
        <f>IFERROR(__xludf.DUMMYFUNCTION("""COMPUTED_VALUE"""),"")</f>
        <v/>
      </c>
      <c r="L1110" s="5" t="str">
        <f>IFERROR(__xludf.DUMMYFUNCTION("""COMPUTED_VALUE"""),"")</f>
        <v/>
      </c>
      <c r="M1110" s="5" t="str">
        <f>IFERROR(__xludf.DUMMYFUNCTION("""COMPUTED_VALUE"""),"")</f>
        <v/>
      </c>
      <c r="N1110" s="5" t="str">
        <f>IFERROR(__xludf.DUMMYFUNCTION("""COMPUTED_VALUE"""),"")</f>
        <v/>
      </c>
      <c r="O1110" s="5" t="str">
        <f>IFERROR(__xludf.DUMMYFUNCTION("""COMPUTED_VALUE"""),"")</f>
        <v/>
      </c>
      <c r="P1110" s="5" t="str">
        <f>IFERROR(__xludf.DUMMYFUNCTION("""COMPUTED_VALUE"""),"")</f>
        <v/>
      </c>
      <c r="Q1110" s="5" t="str">
        <f>IFERROR(__xludf.DUMMYFUNCTION("""COMPUTED_VALUE"""),"")</f>
        <v/>
      </c>
      <c r="R1110" s="5" t="str">
        <f>IFERROR(__xludf.DUMMYFUNCTION("""COMPUTED_VALUE"""),"")</f>
        <v/>
      </c>
      <c r="S1110" s="5" t="str">
        <f>IFERROR(__xludf.DUMMYFUNCTION("""COMPUTED_VALUE"""),"")</f>
        <v/>
      </c>
      <c r="T1110" s="5" t="str">
        <f>IFERROR(__xludf.DUMMYFUNCTION("""COMPUTED_VALUE"""),"")</f>
        <v/>
      </c>
      <c r="U1110" s="5" t="str">
        <f>IFERROR(__xludf.DUMMYFUNCTION("""COMPUTED_VALUE"""),"")</f>
        <v/>
      </c>
      <c r="V1110" s="5" t="str">
        <f>IFERROR(__xludf.DUMMYFUNCTION("""COMPUTED_VALUE"""),"")</f>
        <v/>
      </c>
      <c r="W1110" s="5" t="str">
        <f>IFERROR(__xludf.DUMMYFUNCTION("""COMPUTED_VALUE"""),"")</f>
        <v/>
      </c>
      <c r="X1110" s="5" t="str">
        <f>IFERROR(__xludf.DUMMYFUNCTION("""COMPUTED_VALUE"""),"")</f>
        <v/>
      </c>
      <c r="Y1110" s="5"/>
      <c r="Z1110" s="5"/>
    </row>
    <row r="1111">
      <c r="A1111" s="5"/>
      <c r="B1111" s="5" t="str">
        <f>IFERROR(__xludf.DUMMYFUNCTION("""COMPUTED_VALUE"""),"")</f>
        <v/>
      </c>
      <c r="C1111" s="5" t="str">
        <f>IFERROR(__xludf.DUMMYFUNCTION("""COMPUTED_VALUE"""),"")</f>
        <v/>
      </c>
      <c r="D1111" s="5" t="str">
        <f>IFERROR(__xludf.DUMMYFUNCTION("""COMPUTED_VALUE"""),"")</f>
        <v/>
      </c>
      <c r="E1111" s="5" t="str">
        <f>IFERROR(__xludf.DUMMYFUNCTION("""COMPUTED_VALUE"""),"")</f>
        <v/>
      </c>
      <c r="F1111" s="5" t="str">
        <f>IFERROR(__xludf.DUMMYFUNCTION("""COMPUTED_VALUE"""),"")</f>
        <v/>
      </c>
      <c r="G1111" s="5" t="str">
        <f>IFERROR(__xludf.DUMMYFUNCTION("""COMPUTED_VALUE"""),"")</f>
        <v/>
      </c>
      <c r="H1111" s="5" t="str">
        <f>IFERROR(__xludf.DUMMYFUNCTION("""COMPUTED_VALUE"""),"")</f>
        <v/>
      </c>
      <c r="I1111" s="5" t="str">
        <f>IFERROR(__xludf.DUMMYFUNCTION("""COMPUTED_VALUE"""),"")</f>
        <v/>
      </c>
      <c r="J1111" s="5" t="str">
        <f>IFERROR(__xludf.DUMMYFUNCTION("""COMPUTED_VALUE"""),"")</f>
        <v/>
      </c>
      <c r="K1111" s="5" t="str">
        <f>IFERROR(__xludf.DUMMYFUNCTION("""COMPUTED_VALUE"""),"")</f>
        <v/>
      </c>
      <c r="L1111" s="5" t="str">
        <f>IFERROR(__xludf.DUMMYFUNCTION("""COMPUTED_VALUE"""),"")</f>
        <v/>
      </c>
      <c r="M1111" s="5" t="str">
        <f>IFERROR(__xludf.DUMMYFUNCTION("""COMPUTED_VALUE"""),"")</f>
        <v/>
      </c>
      <c r="N1111" s="5" t="str">
        <f>IFERROR(__xludf.DUMMYFUNCTION("""COMPUTED_VALUE"""),"")</f>
        <v/>
      </c>
      <c r="O1111" s="5" t="str">
        <f>IFERROR(__xludf.DUMMYFUNCTION("""COMPUTED_VALUE"""),"")</f>
        <v/>
      </c>
      <c r="P1111" s="5" t="str">
        <f>IFERROR(__xludf.DUMMYFUNCTION("""COMPUTED_VALUE"""),"")</f>
        <v/>
      </c>
      <c r="Q1111" s="5" t="str">
        <f>IFERROR(__xludf.DUMMYFUNCTION("""COMPUTED_VALUE"""),"")</f>
        <v/>
      </c>
      <c r="R1111" s="5" t="str">
        <f>IFERROR(__xludf.DUMMYFUNCTION("""COMPUTED_VALUE"""),"")</f>
        <v/>
      </c>
      <c r="S1111" s="5" t="str">
        <f>IFERROR(__xludf.DUMMYFUNCTION("""COMPUTED_VALUE"""),"")</f>
        <v/>
      </c>
      <c r="T1111" s="5" t="str">
        <f>IFERROR(__xludf.DUMMYFUNCTION("""COMPUTED_VALUE"""),"")</f>
        <v/>
      </c>
      <c r="U1111" s="5" t="str">
        <f>IFERROR(__xludf.DUMMYFUNCTION("""COMPUTED_VALUE"""),"")</f>
        <v/>
      </c>
      <c r="V1111" s="5" t="str">
        <f>IFERROR(__xludf.DUMMYFUNCTION("""COMPUTED_VALUE"""),"")</f>
        <v/>
      </c>
      <c r="W1111" s="5" t="str">
        <f>IFERROR(__xludf.DUMMYFUNCTION("""COMPUTED_VALUE"""),"")</f>
        <v/>
      </c>
      <c r="X1111" s="5" t="str">
        <f>IFERROR(__xludf.DUMMYFUNCTION("""COMPUTED_VALUE"""),"")</f>
        <v/>
      </c>
      <c r="Y1111" s="5"/>
      <c r="Z1111" s="5"/>
    </row>
    <row r="1112">
      <c r="A1112" s="5"/>
      <c r="B1112" s="5" t="str">
        <f>IFERROR(__xludf.DUMMYFUNCTION("""COMPUTED_VALUE"""),"")</f>
        <v/>
      </c>
      <c r="C1112" s="5" t="str">
        <f>IFERROR(__xludf.DUMMYFUNCTION("""COMPUTED_VALUE"""),"")</f>
        <v/>
      </c>
      <c r="D1112" s="5" t="str">
        <f>IFERROR(__xludf.DUMMYFUNCTION("""COMPUTED_VALUE"""),"")</f>
        <v/>
      </c>
      <c r="E1112" s="5" t="str">
        <f>IFERROR(__xludf.DUMMYFUNCTION("""COMPUTED_VALUE"""),"")</f>
        <v/>
      </c>
      <c r="F1112" s="5" t="str">
        <f>IFERROR(__xludf.DUMMYFUNCTION("""COMPUTED_VALUE"""),"")</f>
        <v/>
      </c>
      <c r="G1112" s="5" t="str">
        <f>IFERROR(__xludf.DUMMYFUNCTION("""COMPUTED_VALUE"""),"")</f>
        <v/>
      </c>
      <c r="H1112" s="5" t="str">
        <f>IFERROR(__xludf.DUMMYFUNCTION("""COMPUTED_VALUE"""),"")</f>
        <v/>
      </c>
      <c r="I1112" s="5" t="str">
        <f>IFERROR(__xludf.DUMMYFUNCTION("""COMPUTED_VALUE"""),"")</f>
        <v/>
      </c>
      <c r="J1112" s="5" t="str">
        <f>IFERROR(__xludf.DUMMYFUNCTION("""COMPUTED_VALUE"""),"")</f>
        <v/>
      </c>
      <c r="K1112" s="5" t="str">
        <f>IFERROR(__xludf.DUMMYFUNCTION("""COMPUTED_VALUE"""),"")</f>
        <v/>
      </c>
      <c r="L1112" s="5" t="str">
        <f>IFERROR(__xludf.DUMMYFUNCTION("""COMPUTED_VALUE"""),"")</f>
        <v/>
      </c>
      <c r="M1112" s="5" t="str">
        <f>IFERROR(__xludf.DUMMYFUNCTION("""COMPUTED_VALUE"""),"")</f>
        <v/>
      </c>
      <c r="N1112" s="5" t="str">
        <f>IFERROR(__xludf.DUMMYFUNCTION("""COMPUTED_VALUE"""),"")</f>
        <v/>
      </c>
      <c r="O1112" s="5" t="str">
        <f>IFERROR(__xludf.DUMMYFUNCTION("""COMPUTED_VALUE"""),"")</f>
        <v/>
      </c>
      <c r="P1112" s="5" t="str">
        <f>IFERROR(__xludf.DUMMYFUNCTION("""COMPUTED_VALUE"""),"")</f>
        <v/>
      </c>
      <c r="Q1112" s="5" t="str">
        <f>IFERROR(__xludf.DUMMYFUNCTION("""COMPUTED_VALUE"""),"")</f>
        <v/>
      </c>
      <c r="R1112" s="5" t="str">
        <f>IFERROR(__xludf.DUMMYFUNCTION("""COMPUTED_VALUE"""),"")</f>
        <v/>
      </c>
      <c r="S1112" s="5" t="str">
        <f>IFERROR(__xludf.DUMMYFUNCTION("""COMPUTED_VALUE"""),"")</f>
        <v/>
      </c>
      <c r="T1112" s="5" t="str">
        <f>IFERROR(__xludf.DUMMYFUNCTION("""COMPUTED_VALUE"""),"")</f>
        <v/>
      </c>
      <c r="U1112" s="5" t="str">
        <f>IFERROR(__xludf.DUMMYFUNCTION("""COMPUTED_VALUE"""),"")</f>
        <v/>
      </c>
      <c r="V1112" s="5" t="str">
        <f>IFERROR(__xludf.DUMMYFUNCTION("""COMPUTED_VALUE"""),"")</f>
        <v/>
      </c>
      <c r="W1112" s="5" t="str">
        <f>IFERROR(__xludf.DUMMYFUNCTION("""COMPUTED_VALUE"""),"")</f>
        <v/>
      </c>
      <c r="X1112" s="5" t="str">
        <f>IFERROR(__xludf.DUMMYFUNCTION("""COMPUTED_VALUE"""),"")</f>
        <v/>
      </c>
      <c r="Y1112" s="5"/>
      <c r="Z1112" s="5"/>
    </row>
    <row r="1113">
      <c r="A1113" s="5"/>
      <c r="B1113" s="5" t="str">
        <f>IFERROR(__xludf.DUMMYFUNCTION("""COMPUTED_VALUE"""),"")</f>
        <v/>
      </c>
      <c r="C1113" s="5" t="str">
        <f>IFERROR(__xludf.DUMMYFUNCTION("""COMPUTED_VALUE"""),"")</f>
        <v/>
      </c>
      <c r="D1113" s="5" t="str">
        <f>IFERROR(__xludf.DUMMYFUNCTION("""COMPUTED_VALUE"""),"")</f>
        <v/>
      </c>
      <c r="E1113" s="5" t="str">
        <f>IFERROR(__xludf.DUMMYFUNCTION("""COMPUTED_VALUE"""),"")</f>
        <v/>
      </c>
      <c r="F1113" s="5" t="str">
        <f>IFERROR(__xludf.DUMMYFUNCTION("""COMPUTED_VALUE"""),"")</f>
        <v/>
      </c>
      <c r="G1113" s="5" t="str">
        <f>IFERROR(__xludf.DUMMYFUNCTION("""COMPUTED_VALUE"""),"")</f>
        <v/>
      </c>
      <c r="H1113" s="5" t="str">
        <f>IFERROR(__xludf.DUMMYFUNCTION("""COMPUTED_VALUE"""),"")</f>
        <v/>
      </c>
      <c r="I1113" s="5" t="str">
        <f>IFERROR(__xludf.DUMMYFUNCTION("""COMPUTED_VALUE"""),"")</f>
        <v/>
      </c>
      <c r="J1113" s="5" t="str">
        <f>IFERROR(__xludf.DUMMYFUNCTION("""COMPUTED_VALUE"""),"")</f>
        <v/>
      </c>
      <c r="K1113" s="5" t="str">
        <f>IFERROR(__xludf.DUMMYFUNCTION("""COMPUTED_VALUE"""),"")</f>
        <v/>
      </c>
      <c r="L1113" s="5" t="str">
        <f>IFERROR(__xludf.DUMMYFUNCTION("""COMPUTED_VALUE"""),"")</f>
        <v/>
      </c>
      <c r="M1113" s="5" t="str">
        <f>IFERROR(__xludf.DUMMYFUNCTION("""COMPUTED_VALUE"""),"")</f>
        <v/>
      </c>
      <c r="N1113" s="5" t="str">
        <f>IFERROR(__xludf.DUMMYFUNCTION("""COMPUTED_VALUE"""),"")</f>
        <v/>
      </c>
      <c r="O1113" s="5" t="str">
        <f>IFERROR(__xludf.DUMMYFUNCTION("""COMPUTED_VALUE"""),"")</f>
        <v/>
      </c>
      <c r="P1113" s="5" t="str">
        <f>IFERROR(__xludf.DUMMYFUNCTION("""COMPUTED_VALUE"""),"")</f>
        <v/>
      </c>
      <c r="Q1113" s="5" t="str">
        <f>IFERROR(__xludf.DUMMYFUNCTION("""COMPUTED_VALUE"""),"")</f>
        <v/>
      </c>
      <c r="R1113" s="5" t="str">
        <f>IFERROR(__xludf.DUMMYFUNCTION("""COMPUTED_VALUE"""),"")</f>
        <v/>
      </c>
      <c r="S1113" s="5" t="str">
        <f>IFERROR(__xludf.DUMMYFUNCTION("""COMPUTED_VALUE"""),"")</f>
        <v/>
      </c>
      <c r="T1113" s="5" t="str">
        <f>IFERROR(__xludf.DUMMYFUNCTION("""COMPUTED_VALUE"""),"")</f>
        <v/>
      </c>
      <c r="U1113" s="5" t="str">
        <f>IFERROR(__xludf.DUMMYFUNCTION("""COMPUTED_VALUE"""),"")</f>
        <v/>
      </c>
      <c r="V1113" s="5" t="str">
        <f>IFERROR(__xludf.DUMMYFUNCTION("""COMPUTED_VALUE"""),"")</f>
        <v/>
      </c>
      <c r="W1113" s="5" t="str">
        <f>IFERROR(__xludf.DUMMYFUNCTION("""COMPUTED_VALUE"""),"")</f>
        <v/>
      </c>
      <c r="X1113" s="5" t="str">
        <f>IFERROR(__xludf.DUMMYFUNCTION("""COMPUTED_VALUE"""),"")</f>
        <v/>
      </c>
      <c r="Y1113" s="5"/>
      <c r="Z1113" s="5"/>
    </row>
    <row r="1114">
      <c r="A1114" s="5"/>
      <c r="B1114" s="5" t="str">
        <f>IFERROR(__xludf.DUMMYFUNCTION("""COMPUTED_VALUE"""),"")</f>
        <v/>
      </c>
      <c r="C1114" s="5" t="str">
        <f>IFERROR(__xludf.DUMMYFUNCTION("""COMPUTED_VALUE"""),"")</f>
        <v/>
      </c>
      <c r="D1114" s="5" t="str">
        <f>IFERROR(__xludf.DUMMYFUNCTION("""COMPUTED_VALUE"""),"")</f>
        <v/>
      </c>
      <c r="E1114" s="5" t="str">
        <f>IFERROR(__xludf.DUMMYFUNCTION("""COMPUTED_VALUE"""),"")</f>
        <v/>
      </c>
      <c r="F1114" s="5" t="str">
        <f>IFERROR(__xludf.DUMMYFUNCTION("""COMPUTED_VALUE"""),"")</f>
        <v/>
      </c>
      <c r="G1114" s="5" t="str">
        <f>IFERROR(__xludf.DUMMYFUNCTION("""COMPUTED_VALUE"""),"")</f>
        <v/>
      </c>
      <c r="H1114" s="5" t="str">
        <f>IFERROR(__xludf.DUMMYFUNCTION("""COMPUTED_VALUE"""),"")</f>
        <v/>
      </c>
      <c r="I1114" s="5" t="str">
        <f>IFERROR(__xludf.DUMMYFUNCTION("""COMPUTED_VALUE"""),"")</f>
        <v/>
      </c>
      <c r="J1114" s="5" t="str">
        <f>IFERROR(__xludf.DUMMYFUNCTION("""COMPUTED_VALUE"""),"")</f>
        <v/>
      </c>
      <c r="K1114" s="5" t="str">
        <f>IFERROR(__xludf.DUMMYFUNCTION("""COMPUTED_VALUE"""),"")</f>
        <v/>
      </c>
      <c r="L1114" s="5" t="str">
        <f>IFERROR(__xludf.DUMMYFUNCTION("""COMPUTED_VALUE"""),"")</f>
        <v/>
      </c>
      <c r="M1114" s="5" t="str">
        <f>IFERROR(__xludf.DUMMYFUNCTION("""COMPUTED_VALUE"""),"")</f>
        <v/>
      </c>
      <c r="N1114" s="5" t="str">
        <f>IFERROR(__xludf.DUMMYFUNCTION("""COMPUTED_VALUE"""),"")</f>
        <v/>
      </c>
      <c r="O1114" s="5" t="str">
        <f>IFERROR(__xludf.DUMMYFUNCTION("""COMPUTED_VALUE"""),"")</f>
        <v/>
      </c>
      <c r="P1114" s="5" t="str">
        <f>IFERROR(__xludf.DUMMYFUNCTION("""COMPUTED_VALUE"""),"")</f>
        <v/>
      </c>
      <c r="Q1114" s="5" t="str">
        <f>IFERROR(__xludf.DUMMYFUNCTION("""COMPUTED_VALUE"""),"")</f>
        <v/>
      </c>
      <c r="R1114" s="5" t="str">
        <f>IFERROR(__xludf.DUMMYFUNCTION("""COMPUTED_VALUE"""),"")</f>
        <v/>
      </c>
      <c r="S1114" s="5" t="str">
        <f>IFERROR(__xludf.DUMMYFUNCTION("""COMPUTED_VALUE"""),"")</f>
        <v/>
      </c>
      <c r="T1114" s="5" t="str">
        <f>IFERROR(__xludf.DUMMYFUNCTION("""COMPUTED_VALUE"""),"")</f>
        <v/>
      </c>
      <c r="U1114" s="5" t="str">
        <f>IFERROR(__xludf.DUMMYFUNCTION("""COMPUTED_VALUE"""),"")</f>
        <v/>
      </c>
      <c r="V1114" s="5" t="str">
        <f>IFERROR(__xludf.DUMMYFUNCTION("""COMPUTED_VALUE"""),"")</f>
        <v/>
      </c>
      <c r="W1114" s="5" t="str">
        <f>IFERROR(__xludf.DUMMYFUNCTION("""COMPUTED_VALUE"""),"")</f>
        <v/>
      </c>
      <c r="X1114" s="5" t="str">
        <f>IFERROR(__xludf.DUMMYFUNCTION("""COMPUTED_VALUE"""),"")</f>
        <v/>
      </c>
      <c r="Y1114" s="5"/>
      <c r="Z1114" s="5"/>
    </row>
    <row r="1115">
      <c r="A1115" s="5"/>
      <c r="B1115" s="5" t="str">
        <f>IFERROR(__xludf.DUMMYFUNCTION("""COMPUTED_VALUE"""),"")</f>
        <v/>
      </c>
      <c r="C1115" s="5" t="str">
        <f>IFERROR(__xludf.DUMMYFUNCTION("""COMPUTED_VALUE"""),"")</f>
        <v/>
      </c>
      <c r="D1115" s="5" t="str">
        <f>IFERROR(__xludf.DUMMYFUNCTION("""COMPUTED_VALUE"""),"")</f>
        <v/>
      </c>
      <c r="E1115" s="5" t="str">
        <f>IFERROR(__xludf.DUMMYFUNCTION("""COMPUTED_VALUE"""),"")</f>
        <v/>
      </c>
      <c r="F1115" s="5" t="str">
        <f>IFERROR(__xludf.DUMMYFUNCTION("""COMPUTED_VALUE"""),"")</f>
        <v/>
      </c>
      <c r="G1115" s="5" t="str">
        <f>IFERROR(__xludf.DUMMYFUNCTION("""COMPUTED_VALUE"""),"")</f>
        <v/>
      </c>
      <c r="H1115" s="5" t="str">
        <f>IFERROR(__xludf.DUMMYFUNCTION("""COMPUTED_VALUE"""),"")</f>
        <v/>
      </c>
      <c r="I1115" s="5" t="str">
        <f>IFERROR(__xludf.DUMMYFUNCTION("""COMPUTED_VALUE"""),"")</f>
        <v/>
      </c>
      <c r="J1115" s="5" t="str">
        <f>IFERROR(__xludf.DUMMYFUNCTION("""COMPUTED_VALUE"""),"")</f>
        <v/>
      </c>
      <c r="K1115" s="5" t="str">
        <f>IFERROR(__xludf.DUMMYFUNCTION("""COMPUTED_VALUE"""),"")</f>
        <v/>
      </c>
      <c r="L1115" s="5" t="str">
        <f>IFERROR(__xludf.DUMMYFUNCTION("""COMPUTED_VALUE"""),"")</f>
        <v/>
      </c>
      <c r="M1115" s="5" t="str">
        <f>IFERROR(__xludf.DUMMYFUNCTION("""COMPUTED_VALUE"""),"")</f>
        <v/>
      </c>
      <c r="N1115" s="5" t="str">
        <f>IFERROR(__xludf.DUMMYFUNCTION("""COMPUTED_VALUE"""),"")</f>
        <v/>
      </c>
      <c r="O1115" s="5" t="str">
        <f>IFERROR(__xludf.DUMMYFUNCTION("""COMPUTED_VALUE"""),"")</f>
        <v/>
      </c>
      <c r="P1115" s="5" t="str">
        <f>IFERROR(__xludf.DUMMYFUNCTION("""COMPUTED_VALUE"""),"")</f>
        <v/>
      </c>
      <c r="Q1115" s="5" t="str">
        <f>IFERROR(__xludf.DUMMYFUNCTION("""COMPUTED_VALUE"""),"")</f>
        <v/>
      </c>
      <c r="R1115" s="5" t="str">
        <f>IFERROR(__xludf.DUMMYFUNCTION("""COMPUTED_VALUE"""),"")</f>
        <v/>
      </c>
      <c r="S1115" s="5" t="str">
        <f>IFERROR(__xludf.DUMMYFUNCTION("""COMPUTED_VALUE"""),"")</f>
        <v/>
      </c>
      <c r="T1115" s="5" t="str">
        <f>IFERROR(__xludf.DUMMYFUNCTION("""COMPUTED_VALUE"""),"")</f>
        <v/>
      </c>
      <c r="U1115" s="5" t="str">
        <f>IFERROR(__xludf.DUMMYFUNCTION("""COMPUTED_VALUE"""),"")</f>
        <v/>
      </c>
      <c r="V1115" s="5" t="str">
        <f>IFERROR(__xludf.DUMMYFUNCTION("""COMPUTED_VALUE"""),"")</f>
        <v/>
      </c>
      <c r="W1115" s="5" t="str">
        <f>IFERROR(__xludf.DUMMYFUNCTION("""COMPUTED_VALUE"""),"")</f>
        <v/>
      </c>
      <c r="X1115" s="5" t="str">
        <f>IFERROR(__xludf.DUMMYFUNCTION("""COMPUTED_VALUE"""),"")</f>
        <v/>
      </c>
      <c r="Y1115" s="5"/>
      <c r="Z1115" s="5"/>
    </row>
    <row r="1116">
      <c r="A1116" s="5"/>
      <c r="B1116" s="5" t="str">
        <f>IFERROR(__xludf.DUMMYFUNCTION("""COMPUTED_VALUE"""),"")</f>
        <v/>
      </c>
      <c r="C1116" s="5" t="str">
        <f>IFERROR(__xludf.DUMMYFUNCTION("""COMPUTED_VALUE"""),"")</f>
        <v/>
      </c>
      <c r="D1116" s="5" t="str">
        <f>IFERROR(__xludf.DUMMYFUNCTION("""COMPUTED_VALUE"""),"")</f>
        <v/>
      </c>
      <c r="E1116" s="5" t="str">
        <f>IFERROR(__xludf.DUMMYFUNCTION("""COMPUTED_VALUE"""),"")</f>
        <v/>
      </c>
      <c r="F1116" s="5" t="str">
        <f>IFERROR(__xludf.DUMMYFUNCTION("""COMPUTED_VALUE"""),"")</f>
        <v/>
      </c>
      <c r="G1116" s="5" t="str">
        <f>IFERROR(__xludf.DUMMYFUNCTION("""COMPUTED_VALUE"""),"")</f>
        <v/>
      </c>
      <c r="H1116" s="5" t="str">
        <f>IFERROR(__xludf.DUMMYFUNCTION("""COMPUTED_VALUE"""),"")</f>
        <v/>
      </c>
      <c r="I1116" s="5" t="str">
        <f>IFERROR(__xludf.DUMMYFUNCTION("""COMPUTED_VALUE"""),"")</f>
        <v/>
      </c>
      <c r="J1116" s="5" t="str">
        <f>IFERROR(__xludf.DUMMYFUNCTION("""COMPUTED_VALUE"""),"")</f>
        <v/>
      </c>
      <c r="K1116" s="5" t="str">
        <f>IFERROR(__xludf.DUMMYFUNCTION("""COMPUTED_VALUE"""),"")</f>
        <v/>
      </c>
      <c r="L1116" s="5" t="str">
        <f>IFERROR(__xludf.DUMMYFUNCTION("""COMPUTED_VALUE"""),"")</f>
        <v/>
      </c>
      <c r="M1116" s="5" t="str">
        <f>IFERROR(__xludf.DUMMYFUNCTION("""COMPUTED_VALUE"""),"")</f>
        <v/>
      </c>
      <c r="N1116" s="5" t="str">
        <f>IFERROR(__xludf.DUMMYFUNCTION("""COMPUTED_VALUE"""),"")</f>
        <v/>
      </c>
      <c r="O1116" s="5" t="str">
        <f>IFERROR(__xludf.DUMMYFUNCTION("""COMPUTED_VALUE"""),"")</f>
        <v/>
      </c>
      <c r="P1116" s="5" t="str">
        <f>IFERROR(__xludf.DUMMYFUNCTION("""COMPUTED_VALUE"""),"")</f>
        <v/>
      </c>
      <c r="Q1116" s="5" t="str">
        <f>IFERROR(__xludf.DUMMYFUNCTION("""COMPUTED_VALUE"""),"")</f>
        <v/>
      </c>
      <c r="R1116" s="5" t="str">
        <f>IFERROR(__xludf.DUMMYFUNCTION("""COMPUTED_VALUE"""),"")</f>
        <v/>
      </c>
      <c r="S1116" s="5" t="str">
        <f>IFERROR(__xludf.DUMMYFUNCTION("""COMPUTED_VALUE"""),"")</f>
        <v/>
      </c>
      <c r="T1116" s="5" t="str">
        <f>IFERROR(__xludf.DUMMYFUNCTION("""COMPUTED_VALUE"""),"")</f>
        <v/>
      </c>
      <c r="U1116" s="5" t="str">
        <f>IFERROR(__xludf.DUMMYFUNCTION("""COMPUTED_VALUE"""),"")</f>
        <v/>
      </c>
      <c r="V1116" s="5" t="str">
        <f>IFERROR(__xludf.DUMMYFUNCTION("""COMPUTED_VALUE"""),"")</f>
        <v/>
      </c>
      <c r="W1116" s="5" t="str">
        <f>IFERROR(__xludf.DUMMYFUNCTION("""COMPUTED_VALUE"""),"")</f>
        <v/>
      </c>
      <c r="X1116" s="5" t="str">
        <f>IFERROR(__xludf.DUMMYFUNCTION("""COMPUTED_VALUE"""),"")</f>
        <v/>
      </c>
      <c r="Y1116" s="5"/>
      <c r="Z1116" s="5"/>
    </row>
    <row r="1117">
      <c r="A1117" s="5"/>
      <c r="B1117" s="5" t="str">
        <f>IFERROR(__xludf.DUMMYFUNCTION("""COMPUTED_VALUE"""),"")</f>
        <v/>
      </c>
      <c r="C1117" s="5" t="str">
        <f>IFERROR(__xludf.DUMMYFUNCTION("""COMPUTED_VALUE"""),"")</f>
        <v/>
      </c>
      <c r="D1117" s="5" t="str">
        <f>IFERROR(__xludf.DUMMYFUNCTION("""COMPUTED_VALUE"""),"")</f>
        <v/>
      </c>
      <c r="E1117" s="5" t="str">
        <f>IFERROR(__xludf.DUMMYFUNCTION("""COMPUTED_VALUE"""),"")</f>
        <v/>
      </c>
      <c r="F1117" s="5" t="str">
        <f>IFERROR(__xludf.DUMMYFUNCTION("""COMPUTED_VALUE"""),"")</f>
        <v/>
      </c>
      <c r="G1117" s="5" t="str">
        <f>IFERROR(__xludf.DUMMYFUNCTION("""COMPUTED_VALUE"""),"")</f>
        <v/>
      </c>
      <c r="H1117" s="5" t="str">
        <f>IFERROR(__xludf.DUMMYFUNCTION("""COMPUTED_VALUE"""),"")</f>
        <v/>
      </c>
      <c r="I1117" s="5" t="str">
        <f>IFERROR(__xludf.DUMMYFUNCTION("""COMPUTED_VALUE"""),"")</f>
        <v/>
      </c>
      <c r="J1117" s="5" t="str">
        <f>IFERROR(__xludf.DUMMYFUNCTION("""COMPUTED_VALUE"""),"")</f>
        <v/>
      </c>
      <c r="K1117" s="5" t="str">
        <f>IFERROR(__xludf.DUMMYFUNCTION("""COMPUTED_VALUE"""),"")</f>
        <v/>
      </c>
      <c r="L1117" s="5" t="str">
        <f>IFERROR(__xludf.DUMMYFUNCTION("""COMPUTED_VALUE"""),"")</f>
        <v/>
      </c>
      <c r="M1117" s="5" t="str">
        <f>IFERROR(__xludf.DUMMYFUNCTION("""COMPUTED_VALUE"""),"")</f>
        <v/>
      </c>
      <c r="N1117" s="5" t="str">
        <f>IFERROR(__xludf.DUMMYFUNCTION("""COMPUTED_VALUE"""),"")</f>
        <v/>
      </c>
      <c r="O1117" s="5" t="str">
        <f>IFERROR(__xludf.DUMMYFUNCTION("""COMPUTED_VALUE"""),"")</f>
        <v/>
      </c>
      <c r="P1117" s="5" t="str">
        <f>IFERROR(__xludf.DUMMYFUNCTION("""COMPUTED_VALUE"""),"")</f>
        <v/>
      </c>
      <c r="Q1117" s="5" t="str">
        <f>IFERROR(__xludf.DUMMYFUNCTION("""COMPUTED_VALUE"""),"")</f>
        <v/>
      </c>
      <c r="R1117" s="5" t="str">
        <f>IFERROR(__xludf.DUMMYFUNCTION("""COMPUTED_VALUE"""),"")</f>
        <v/>
      </c>
      <c r="S1117" s="5" t="str">
        <f>IFERROR(__xludf.DUMMYFUNCTION("""COMPUTED_VALUE"""),"")</f>
        <v/>
      </c>
      <c r="T1117" s="5" t="str">
        <f>IFERROR(__xludf.DUMMYFUNCTION("""COMPUTED_VALUE"""),"")</f>
        <v/>
      </c>
      <c r="U1117" s="5" t="str">
        <f>IFERROR(__xludf.DUMMYFUNCTION("""COMPUTED_VALUE"""),"")</f>
        <v/>
      </c>
      <c r="V1117" s="5" t="str">
        <f>IFERROR(__xludf.DUMMYFUNCTION("""COMPUTED_VALUE"""),"")</f>
        <v/>
      </c>
      <c r="W1117" s="5" t="str">
        <f>IFERROR(__xludf.DUMMYFUNCTION("""COMPUTED_VALUE"""),"")</f>
        <v/>
      </c>
      <c r="X1117" s="5" t="str">
        <f>IFERROR(__xludf.DUMMYFUNCTION("""COMPUTED_VALUE"""),"")</f>
        <v/>
      </c>
      <c r="Y1117" s="5"/>
      <c r="Z1117" s="5"/>
    </row>
    <row r="1118">
      <c r="A1118" s="5"/>
      <c r="B1118" s="5" t="str">
        <f>IFERROR(__xludf.DUMMYFUNCTION("""COMPUTED_VALUE"""),"")</f>
        <v/>
      </c>
      <c r="C1118" s="5" t="str">
        <f>IFERROR(__xludf.DUMMYFUNCTION("""COMPUTED_VALUE"""),"")</f>
        <v/>
      </c>
      <c r="D1118" s="5" t="str">
        <f>IFERROR(__xludf.DUMMYFUNCTION("""COMPUTED_VALUE"""),"")</f>
        <v/>
      </c>
      <c r="E1118" s="5" t="str">
        <f>IFERROR(__xludf.DUMMYFUNCTION("""COMPUTED_VALUE"""),"")</f>
        <v/>
      </c>
      <c r="F1118" s="5" t="str">
        <f>IFERROR(__xludf.DUMMYFUNCTION("""COMPUTED_VALUE"""),"")</f>
        <v/>
      </c>
      <c r="G1118" s="5" t="str">
        <f>IFERROR(__xludf.DUMMYFUNCTION("""COMPUTED_VALUE"""),"")</f>
        <v/>
      </c>
      <c r="H1118" s="5" t="str">
        <f>IFERROR(__xludf.DUMMYFUNCTION("""COMPUTED_VALUE"""),"")</f>
        <v/>
      </c>
      <c r="I1118" s="5" t="str">
        <f>IFERROR(__xludf.DUMMYFUNCTION("""COMPUTED_VALUE"""),"")</f>
        <v/>
      </c>
      <c r="J1118" s="5" t="str">
        <f>IFERROR(__xludf.DUMMYFUNCTION("""COMPUTED_VALUE"""),"")</f>
        <v/>
      </c>
      <c r="K1118" s="5" t="str">
        <f>IFERROR(__xludf.DUMMYFUNCTION("""COMPUTED_VALUE"""),"")</f>
        <v/>
      </c>
      <c r="L1118" s="5" t="str">
        <f>IFERROR(__xludf.DUMMYFUNCTION("""COMPUTED_VALUE"""),"")</f>
        <v/>
      </c>
      <c r="M1118" s="5" t="str">
        <f>IFERROR(__xludf.DUMMYFUNCTION("""COMPUTED_VALUE"""),"")</f>
        <v/>
      </c>
      <c r="N1118" s="5" t="str">
        <f>IFERROR(__xludf.DUMMYFUNCTION("""COMPUTED_VALUE"""),"")</f>
        <v/>
      </c>
      <c r="O1118" s="5" t="str">
        <f>IFERROR(__xludf.DUMMYFUNCTION("""COMPUTED_VALUE"""),"")</f>
        <v/>
      </c>
      <c r="P1118" s="5" t="str">
        <f>IFERROR(__xludf.DUMMYFUNCTION("""COMPUTED_VALUE"""),"")</f>
        <v/>
      </c>
      <c r="Q1118" s="5" t="str">
        <f>IFERROR(__xludf.DUMMYFUNCTION("""COMPUTED_VALUE"""),"")</f>
        <v/>
      </c>
      <c r="R1118" s="5" t="str">
        <f>IFERROR(__xludf.DUMMYFUNCTION("""COMPUTED_VALUE"""),"")</f>
        <v/>
      </c>
      <c r="S1118" s="5" t="str">
        <f>IFERROR(__xludf.DUMMYFUNCTION("""COMPUTED_VALUE"""),"")</f>
        <v/>
      </c>
      <c r="T1118" s="5" t="str">
        <f>IFERROR(__xludf.DUMMYFUNCTION("""COMPUTED_VALUE"""),"")</f>
        <v/>
      </c>
      <c r="U1118" s="5" t="str">
        <f>IFERROR(__xludf.DUMMYFUNCTION("""COMPUTED_VALUE"""),"")</f>
        <v/>
      </c>
      <c r="V1118" s="5" t="str">
        <f>IFERROR(__xludf.DUMMYFUNCTION("""COMPUTED_VALUE"""),"")</f>
        <v/>
      </c>
      <c r="W1118" s="5" t="str">
        <f>IFERROR(__xludf.DUMMYFUNCTION("""COMPUTED_VALUE"""),"")</f>
        <v/>
      </c>
      <c r="X1118" s="5" t="str">
        <f>IFERROR(__xludf.DUMMYFUNCTION("""COMPUTED_VALUE"""),"")</f>
        <v/>
      </c>
      <c r="Y1118" s="5"/>
      <c r="Z1118" s="5"/>
    </row>
    <row r="1119">
      <c r="A1119" s="5"/>
      <c r="B1119" s="5" t="str">
        <f>IFERROR(__xludf.DUMMYFUNCTION("""COMPUTED_VALUE"""),"")</f>
        <v/>
      </c>
      <c r="C1119" s="5" t="str">
        <f>IFERROR(__xludf.DUMMYFUNCTION("""COMPUTED_VALUE"""),"")</f>
        <v/>
      </c>
      <c r="D1119" s="5" t="str">
        <f>IFERROR(__xludf.DUMMYFUNCTION("""COMPUTED_VALUE"""),"")</f>
        <v/>
      </c>
      <c r="E1119" s="5" t="str">
        <f>IFERROR(__xludf.DUMMYFUNCTION("""COMPUTED_VALUE"""),"")</f>
        <v/>
      </c>
      <c r="F1119" s="5" t="str">
        <f>IFERROR(__xludf.DUMMYFUNCTION("""COMPUTED_VALUE"""),"")</f>
        <v/>
      </c>
      <c r="G1119" s="5" t="str">
        <f>IFERROR(__xludf.DUMMYFUNCTION("""COMPUTED_VALUE"""),"")</f>
        <v/>
      </c>
      <c r="H1119" s="5" t="str">
        <f>IFERROR(__xludf.DUMMYFUNCTION("""COMPUTED_VALUE"""),"")</f>
        <v/>
      </c>
      <c r="I1119" s="5" t="str">
        <f>IFERROR(__xludf.DUMMYFUNCTION("""COMPUTED_VALUE"""),"")</f>
        <v/>
      </c>
      <c r="J1119" s="5" t="str">
        <f>IFERROR(__xludf.DUMMYFUNCTION("""COMPUTED_VALUE"""),"")</f>
        <v/>
      </c>
      <c r="K1119" s="5" t="str">
        <f>IFERROR(__xludf.DUMMYFUNCTION("""COMPUTED_VALUE"""),"")</f>
        <v/>
      </c>
      <c r="L1119" s="5" t="str">
        <f>IFERROR(__xludf.DUMMYFUNCTION("""COMPUTED_VALUE"""),"")</f>
        <v/>
      </c>
      <c r="M1119" s="5" t="str">
        <f>IFERROR(__xludf.DUMMYFUNCTION("""COMPUTED_VALUE"""),"")</f>
        <v/>
      </c>
      <c r="N1119" s="5" t="str">
        <f>IFERROR(__xludf.DUMMYFUNCTION("""COMPUTED_VALUE"""),"")</f>
        <v/>
      </c>
      <c r="O1119" s="5" t="str">
        <f>IFERROR(__xludf.DUMMYFUNCTION("""COMPUTED_VALUE"""),"")</f>
        <v/>
      </c>
      <c r="P1119" s="5" t="str">
        <f>IFERROR(__xludf.DUMMYFUNCTION("""COMPUTED_VALUE"""),"")</f>
        <v/>
      </c>
      <c r="Q1119" s="5" t="str">
        <f>IFERROR(__xludf.DUMMYFUNCTION("""COMPUTED_VALUE"""),"")</f>
        <v/>
      </c>
      <c r="R1119" s="5" t="str">
        <f>IFERROR(__xludf.DUMMYFUNCTION("""COMPUTED_VALUE"""),"")</f>
        <v/>
      </c>
      <c r="S1119" s="5" t="str">
        <f>IFERROR(__xludf.DUMMYFUNCTION("""COMPUTED_VALUE"""),"")</f>
        <v/>
      </c>
      <c r="T1119" s="5" t="str">
        <f>IFERROR(__xludf.DUMMYFUNCTION("""COMPUTED_VALUE"""),"")</f>
        <v/>
      </c>
      <c r="U1119" s="5" t="str">
        <f>IFERROR(__xludf.DUMMYFUNCTION("""COMPUTED_VALUE"""),"")</f>
        <v/>
      </c>
      <c r="V1119" s="5" t="str">
        <f>IFERROR(__xludf.DUMMYFUNCTION("""COMPUTED_VALUE"""),"")</f>
        <v/>
      </c>
      <c r="W1119" s="5" t="str">
        <f>IFERROR(__xludf.DUMMYFUNCTION("""COMPUTED_VALUE"""),"")</f>
        <v/>
      </c>
      <c r="X1119" s="5" t="str">
        <f>IFERROR(__xludf.DUMMYFUNCTION("""COMPUTED_VALUE"""),"")</f>
        <v/>
      </c>
      <c r="Y1119" s="5"/>
      <c r="Z1119" s="5"/>
    </row>
    <row r="1120">
      <c r="A1120" s="5"/>
      <c r="B1120" s="5" t="str">
        <f>IFERROR(__xludf.DUMMYFUNCTION("""COMPUTED_VALUE"""),"")</f>
        <v/>
      </c>
      <c r="C1120" s="5" t="str">
        <f>IFERROR(__xludf.DUMMYFUNCTION("""COMPUTED_VALUE"""),"")</f>
        <v/>
      </c>
      <c r="D1120" s="5" t="str">
        <f>IFERROR(__xludf.DUMMYFUNCTION("""COMPUTED_VALUE"""),"")</f>
        <v/>
      </c>
      <c r="E1120" s="5" t="str">
        <f>IFERROR(__xludf.DUMMYFUNCTION("""COMPUTED_VALUE"""),"")</f>
        <v/>
      </c>
      <c r="F1120" s="5" t="str">
        <f>IFERROR(__xludf.DUMMYFUNCTION("""COMPUTED_VALUE"""),"")</f>
        <v/>
      </c>
      <c r="G1120" s="5" t="str">
        <f>IFERROR(__xludf.DUMMYFUNCTION("""COMPUTED_VALUE"""),"")</f>
        <v/>
      </c>
      <c r="H1120" s="5" t="str">
        <f>IFERROR(__xludf.DUMMYFUNCTION("""COMPUTED_VALUE"""),"")</f>
        <v/>
      </c>
      <c r="I1120" s="5" t="str">
        <f>IFERROR(__xludf.DUMMYFUNCTION("""COMPUTED_VALUE"""),"")</f>
        <v/>
      </c>
      <c r="J1120" s="5" t="str">
        <f>IFERROR(__xludf.DUMMYFUNCTION("""COMPUTED_VALUE"""),"")</f>
        <v/>
      </c>
      <c r="K1120" s="5" t="str">
        <f>IFERROR(__xludf.DUMMYFUNCTION("""COMPUTED_VALUE"""),"")</f>
        <v/>
      </c>
      <c r="L1120" s="5" t="str">
        <f>IFERROR(__xludf.DUMMYFUNCTION("""COMPUTED_VALUE"""),"")</f>
        <v/>
      </c>
      <c r="M1120" s="5" t="str">
        <f>IFERROR(__xludf.DUMMYFUNCTION("""COMPUTED_VALUE"""),"")</f>
        <v/>
      </c>
      <c r="N1120" s="5" t="str">
        <f>IFERROR(__xludf.DUMMYFUNCTION("""COMPUTED_VALUE"""),"")</f>
        <v/>
      </c>
      <c r="O1120" s="5" t="str">
        <f>IFERROR(__xludf.DUMMYFUNCTION("""COMPUTED_VALUE"""),"")</f>
        <v/>
      </c>
      <c r="P1120" s="5" t="str">
        <f>IFERROR(__xludf.DUMMYFUNCTION("""COMPUTED_VALUE"""),"")</f>
        <v/>
      </c>
      <c r="Q1120" s="5" t="str">
        <f>IFERROR(__xludf.DUMMYFUNCTION("""COMPUTED_VALUE"""),"")</f>
        <v/>
      </c>
      <c r="R1120" s="5" t="str">
        <f>IFERROR(__xludf.DUMMYFUNCTION("""COMPUTED_VALUE"""),"")</f>
        <v/>
      </c>
      <c r="S1120" s="5" t="str">
        <f>IFERROR(__xludf.DUMMYFUNCTION("""COMPUTED_VALUE"""),"")</f>
        <v/>
      </c>
      <c r="T1120" s="5" t="str">
        <f>IFERROR(__xludf.DUMMYFUNCTION("""COMPUTED_VALUE"""),"")</f>
        <v/>
      </c>
      <c r="U1120" s="5" t="str">
        <f>IFERROR(__xludf.DUMMYFUNCTION("""COMPUTED_VALUE"""),"")</f>
        <v/>
      </c>
      <c r="V1120" s="5" t="str">
        <f>IFERROR(__xludf.DUMMYFUNCTION("""COMPUTED_VALUE"""),"")</f>
        <v/>
      </c>
      <c r="W1120" s="5" t="str">
        <f>IFERROR(__xludf.DUMMYFUNCTION("""COMPUTED_VALUE"""),"")</f>
        <v/>
      </c>
      <c r="X1120" s="5" t="str">
        <f>IFERROR(__xludf.DUMMYFUNCTION("""COMPUTED_VALUE"""),"")</f>
        <v/>
      </c>
      <c r="Y1120" s="5"/>
      <c r="Z1120" s="5"/>
    </row>
    <row r="1121">
      <c r="A1121" s="5"/>
      <c r="B1121" s="5" t="str">
        <f>IFERROR(__xludf.DUMMYFUNCTION("""COMPUTED_VALUE"""),"")</f>
        <v/>
      </c>
      <c r="C1121" s="5" t="str">
        <f>IFERROR(__xludf.DUMMYFUNCTION("""COMPUTED_VALUE"""),"")</f>
        <v/>
      </c>
      <c r="D1121" s="5" t="str">
        <f>IFERROR(__xludf.DUMMYFUNCTION("""COMPUTED_VALUE"""),"")</f>
        <v/>
      </c>
      <c r="E1121" s="5" t="str">
        <f>IFERROR(__xludf.DUMMYFUNCTION("""COMPUTED_VALUE"""),"")</f>
        <v/>
      </c>
      <c r="F1121" s="5" t="str">
        <f>IFERROR(__xludf.DUMMYFUNCTION("""COMPUTED_VALUE"""),"")</f>
        <v/>
      </c>
      <c r="G1121" s="5" t="str">
        <f>IFERROR(__xludf.DUMMYFUNCTION("""COMPUTED_VALUE"""),"")</f>
        <v/>
      </c>
      <c r="H1121" s="5" t="str">
        <f>IFERROR(__xludf.DUMMYFUNCTION("""COMPUTED_VALUE"""),"")</f>
        <v/>
      </c>
      <c r="I1121" s="5" t="str">
        <f>IFERROR(__xludf.DUMMYFUNCTION("""COMPUTED_VALUE"""),"")</f>
        <v/>
      </c>
      <c r="J1121" s="5" t="str">
        <f>IFERROR(__xludf.DUMMYFUNCTION("""COMPUTED_VALUE"""),"")</f>
        <v/>
      </c>
      <c r="K1121" s="5" t="str">
        <f>IFERROR(__xludf.DUMMYFUNCTION("""COMPUTED_VALUE"""),"")</f>
        <v/>
      </c>
      <c r="L1121" s="5" t="str">
        <f>IFERROR(__xludf.DUMMYFUNCTION("""COMPUTED_VALUE"""),"")</f>
        <v/>
      </c>
      <c r="M1121" s="5" t="str">
        <f>IFERROR(__xludf.DUMMYFUNCTION("""COMPUTED_VALUE"""),"")</f>
        <v/>
      </c>
      <c r="N1121" s="5" t="str">
        <f>IFERROR(__xludf.DUMMYFUNCTION("""COMPUTED_VALUE"""),"")</f>
        <v/>
      </c>
      <c r="O1121" s="5" t="str">
        <f>IFERROR(__xludf.DUMMYFUNCTION("""COMPUTED_VALUE"""),"")</f>
        <v/>
      </c>
      <c r="P1121" s="5" t="str">
        <f>IFERROR(__xludf.DUMMYFUNCTION("""COMPUTED_VALUE"""),"")</f>
        <v/>
      </c>
      <c r="Q1121" s="5" t="str">
        <f>IFERROR(__xludf.DUMMYFUNCTION("""COMPUTED_VALUE"""),"")</f>
        <v/>
      </c>
      <c r="R1121" s="5" t="str">
        <f>IFERROR(__xludf.DUMMYFUNCTION("""COMPUTED_VALUE"""),"")</f>
        <v/>
      </c>
      <c r="S1121" s="5" t="str">
        <f>IFERROR(__xludf.DUMMYFUNCTION("""COMPUTED_VALUE"""),"")</f>
        <v/>
      </c>
      <c r="T1121" s="5" t="str">
        <f>IFERROR(__xludf.DUMMYFUNCTION("""COMPUTED_VALUE"""),"")</f>
        <v/>
      </c>
      <c r="U1121" s="5" t="str">
        <f>IFERROR(__xludf.DUMMYFUNCTION("""COMPUTED_VALUE"""),"")</f>
        <v/>
      </c>
      <c r="V1121" s="5" t="str">
        <f>IFERROR(__xludf.DUMMYFUNCTION("""COMPUTED_VALUE"""),"")</f>
        <v/>
      </c>
      <c r="W1121" s="5" t="str">
        <f>IFERROR(__xludf.DUMMYFUNCTION("""COMPUTED_VALUE"""),"")</f>
        <v/>
      </c>
      <c r="X1121" s="5" t="str">
        <f>IFERROR(__xludf.DUMMYFUNCTION("""COMPUTED_VALUE"""),"")</f>
        <v/>
      </c>
      <c r="Y1121" s="5"/>
      <c r="Z1121" s="5"/>
    </row>
    <row r="1122">
      <c r="A1122" s="5"/>
      <c r="B1122" s="5" t="str">
        <f>IFERROR(__xludf.DUMMYFUNCTION("""COMPUTED_VALUE"""),"")</f>
        <v/>
      </c>
      <c r="C1122" s="5" t="str">
        <f>IFERROR(__xludf.DUMMYFUNCTION("""COMPUTED_VALUE"""),"")</f>
        <v/>
      </c>
      <c r="D1122" s="5" t="str">
        <f>IFERROR(__xludf.DUMMYFUNCTION("""COMPUTED_VALUE"""),"")</f>
        <v/>
      </c>
      <c r="E1122" s="5" t="str">
        <f>IFERROR(__xludf.DUMMYFUNCTION("""COMPUTED_VALUE"""),"")</f>
        <v/>
      </c>
      <c r="F1122" s="5" t="str">
        <f>IFERROR(__xludf.DUMMYFUNCTION("""COMPUTED_VALUE"""),"")</f>
        <v/>
      </c>
      <c r="G1122" s="5" t="str">
        <f>IFERROR(__xludf.DUMMYFUNCTION("""COMPUTED_VALUE"""),"")</f>
        <v/>
      </c>
      <c r="H1122" s="5" t="str">
        <f>IFERROR(__xludf.DUMMYFUNCTION("""COMPUTED_VALUE"""),"")</f>
        <v/>
      </c>
      <c r="I1122" s="5" t="str">
        <f>IFERROR(__xludf.DUMMYFUNCTION("""COMPUTED_VALUE"""),"")</f>
        <v/>
      </c>
      <c r="J1122" s="5" t="str">
        <f>IFERROR(__xludf.DUMMYFUNCTION("""COMPUTED_VALUE"""),"")</f>
        <v/>
      </c>
      <c r="K1122" s="5" t="str">
        <f>IFERROR(__xludf.DUMMYFUNCTION("""COMPUTED_VALUE"""),"")</f>
        <v/>
      </c>
      <c r="L1122" s="5" t="str">
        <f>IFERROR(__xludf.DUMMYFUNCTION("""COMPUTED_VALUE"""),"")</f>
        <v/>
      </c>
      <c r="M1122" s="5" t="str">
        <f>IFERROR(__xludf.DUMMYFUNCTION("""COMPUTED_VALUE"""),"")</f>
        <v/>
      </c>
      <c r="N1122" s="5" t="str">
        <f>IFERROR(__xludf.DUMMYFUNCTION("""COMPUTED_VALUE"""),"")</f>
        <v/>
      </c>
      <c r="O1122" s="5" t="str">
        <f>IFERROR(__xludf.DUMMYFUNCTION("""COMPUTED_VALUE"""),"")</f>
        <v/>
      </c>
      <c r="P1122" s="5" t="str">
        <f>IFERROR(__xludf.DUMMYFUNCTION("""COMPUTED_VALUE"""),"")</f>
        <v/>
      </c>
      <c r="Q1122" s="5" t="str">
        <f>IFERROR(__xludf.DUMMYFUNCTION("""COMPUTED_VALUE"""),"")</f>
        <v/>
      </c>
      <c r="R1122" s="5" t="str">
        <f>IFERROR(__xludf.DUMMYFUNCTION("""COMPUTED_VALUE"""),"")</f>
        <v/>
      </c>
      <c r="S1122" s="5" t="str">
        <f>IFERROR(__xludf.DUMMYFUNCTION("""COMPUTED_VALUE"""),"")</f>
        <v/>
      </c>
      <c r="T1122" s="5" t="str">
        <f>IFERROR(__xludf.DUMMYFUNCTION("""COMPUTED_VALUE"""),"")</f>
        <v/>
      </c>
      <c r="U1122" s="5" t="str">
        <f>IFERROR(__xludf.DUMMYFUNCTION("""COMPUTED_VALUE"""),"")</f>
        <v/>
      </c>
      <c r="V1122" s="5" t="str">
        <f>IFERROR(__xludf.DUMMYFUNCTION("""COMPUTED_VALUE"""),"")</f>
        <v/>
      </c>
      <c r="W1122" s="5" t="str">
        <f>IFERROR(__xludf.DUMMYFUNCTION("""COMPUTED_VALUE"""),"")</f>
        <v/>
      </c>
      <c r="X1122" s="5" t="str">
        <f>IFERROR(__xludf.DUMMYFUNCTION("""COMPUTED_VALUE"""),"")</f>
        <v/>
      </c>
      <c r="Y1122" s="5"/>
      <c r="Z1122" s="5"/>
    </row>
    <row r="1123">
      <c r="A1123" s="5"/>
      <c r="B1123" s="5" t="str">
        <f>IFERROR(__xludf.DUMMYFUNCTION("""COMPUTED_VALUE"""),"")</f>
        <v/>
      </c>
      <c r="C1123" s="5" t="str">
        <f>IFERROR(__xludf.DUMMYFUNCTION("""COMPUTED_VALUE"""),"")</f>
        <v/>
      </c>
      <c r="D1123" s="5" t="str">
        <f>IFERROR(__xludf.DUMMYFUNCTION("""COMPUTED_VALUE"""),"")</f>
        <v/>
      </c>
      <c r="E1123" s="5" t="str">
        <f>IFERROR(__xludf.DUMMYFUNCTION("""COMPUTED_VALUE"""),"")</f>
        <v/>
      </c>
      <c r="F1123" s="5" t="str">
        <f>IFERROR(__xludf.DUMMYFUNCTION("""COMPUTED_VALUE"""),"")</f>
        <v/>
      </c>
      <c r="G1123" s="5" t="str">
        <f>IFERROR(__xludf.DUMMYFUNCTION("""COMPUTED_VALUE"""),"")</f>
        <v/>
      </c>
      <c r="H1123" s="5" t="str">
        <f>IFERROR(__xludf.DUMMYFUNCTION("""COMPUTED_VALUE"""),"")</f>
        <v/>
      </c>
      <c r="I1123" s="5" t="str">
        <f>IFERROR(__xludf.DUMMYFUNCTION("""COMPUTED_VALUE"""),"")</f>
        <v/>
      </c>
      <c r="J1123" s="5" t="str">
        <f>IFERROR(__xludf.DUMMYFUNCTION("""COMPUTED_VALUE"""),"")</f>
        <v/>
      </c>
      <c r="K1123" s="5" t="str">
        <f>IFERROR(__xludf.DUMMYFUNCTION("""COMPUTED_VALUE"""),"")</f>
        <v/>
      </c>
      <c r="L1123" s="5" t="str">
        <f>IFERROR(__xludf.DUMMYFUNCTION("""COMPUTED_VALUE"""),"")</f>
        <v/>
      </c>
      <c r="M1123" s="5" t="str">
        <f>IFERROR(__xludf.DUMMYFUNCTION("""COMPUTED_VALUE"""),"")</f>
        <v/>
      </c>
      <c r="N1123" s="5" t="str">
        <f>IFERROR(__xludf.DUMMYFUNCTION("""COMPUTED_VALUE"""),"")</f>
        <v/>
      </c>
      <c r="O1123" s="5" t="str">
        <f>IFERROR(__xludf.DUMMYFUNCTION("""COMPUTED_VALUE"""),"")</f>
        <v/>
      </c>
      <c r="P1123" s="5" t="str">
        <f>IFERROR(__xludf.DUMMYFUNCTION("""COMPUTED_VALUE"""),"")</f>
        <v/>
      </c>
      <c r="Q1123" s="5" t="str">
        <f>IFERROR(__xludf.DUMMYFUNCTION("""COMPUTED_VALUE"""),"")</f>
        <v/>
      </c>
      <c r="R1123" s="5" t="str">
        <f>IFERROR(__xludf.DUMMYFUNCTION("""COMPUTED_VALUE"""),"")</f>
        <v/>
      </c>
      <c r="S1123" s="5" t="str">
        <f>IFERROR(__xludf.DUMMYFUNCTION("""COMPUTED_VALUE"""),"")</f>
        <v/>
      </c>
      <c r="T1123" s="5" t="str">
        <f>IFERROR(__xludf.DUMMYFUNCTION("""COMPUTED_VALUE"""),"")</f>
        <v/>
      </c>
      <c r="U1123" s="5" t="str">
        <f>IFERROR(__xludf.DUMMYFUNCTION("""COMPUTED_VALUE"""),"")</f>
        <v/>
      </c>
      <c r="V1123" s="5" t="str">
        <f>IFERROR(__xludf.DUMMYFUNCTION("""COMPUTED_VALUE"""),"")</f>
        <v/>
      </c>
      <c r="W1123" s="5" t="str">
        <f>IFERROR(__xludf.DUMMYFUNCTION("""COMPUTED_VALUE"""),"")</f>
        <v/>
      </c>
      <c r="X1123" s="5" t="str">
        <f>IFERROR(__xludf.DUMMYFUNCTION("""COMPUTED_VALUE"""),"")</f>
        <v/>
      </c>
      <c r="Y1123" s="5"/>
      <c r="Z1123" s="5"/>
    </row>
    <row r="1124">
      <c r="A1124" s="5"/>
      <c r="B1124" s="5" t="str">
        <f>IFERROR(__xludf.DUMMYFUNCTION("""COMPUTED_VALUE"""),"")</f>
        <v/>
      </c>
      <c r="C1124" s="5" t="str">
        <f>IFERROR(__xludf.DUMMYFUNCTION("""COMPUTED_VALUE"""),"")</f>
        <v/>
      </c>
      <c r="D1124" s="5" t="str">
        <f>IFERROR(__xludf.DUMMYFUNCTION("""COMPUTED_VALUE"""),"")</f>
        <v/>
      </c>
      <c r="E1124" s="5" t="str">
        <f>IFERROR(__xludf.DUMMYFUNCTION("""COMPUTED_VALUE"""),"")</f>
        <v/>
      </c>
      <c r="F1124" s="5" t="str">
        <f>IFERROR(__xludf.DUMMYFUNCTION("""COMPUTED_VALUE"""),"")</f>
        <v/>
      </c>
      <c r="G1124" s="5" t="str">
        <f>IFERROR(__xludf.DUMMYFUNCTION("""COMPUTED_VALUE"""),"")</f>
        <v/>
      </c>
      <c r="H1124" s="5" t="str">
        <f>IFERROR(__xludf.DUMMYFUNCTION("""COMPUTED_VALUE"""),"")</f>
        <v/>
      </c>
      <c r="I1124" s="5" t="str">
        <f>IFERROR(__xludf.DUMMYFUNCTION("""COMPUTED_VALUE"""),"")</f>
        <v/>
      </c>
      <c r="J1124" s="5" t="str">
        <f>IFERROR(__xludf.DUMMYFUNCTION("""COMPUTED_VALUE"""),"")</f>
        <v/>
      </c>
      <c r="K1124" s="5" t="str">
        <f>IFERROR(__xludf.DUMMYFUNCTION("""COMPUTED_VALUE"""),"")</f>
        <v/>
      </c>
      <c r="L1124" s="5" t="str">
        <f>IFERROR(__xludf.DUMMYFUNCTION("""COMPUTED_VALUE"""),"")</f>
        <v/>
      </c>
      <c r="M1124" s="5" t="str">
        <f>IFERROR(__xludf.DUMMYFUNCTION("""COMPUTED_VALUE"""),"")</f>
        <v/>
      </c>
      <c r="N1124" s="5" t="str">
        <f>IFERROR(__xludf.DUMMYFUNCTION("""COMPUTED_VALUE"""),"")</f>
        <v/>
      </c>
      <c r="O1124" s="5" t="str">
        <f>IFERROR(__xludf.DUMMYFUNCTION("""COMPUTED_VALUE"""),"")</f>
        <v/>
      </c>
      <c r="P1124" s="5" t="str">
        <f>IFERROR(__xludf.DUMMYFUNCTION("""COMPUTED_VALUE"""),"")</f>
        <v/>
      </c>
      <c r="Q1124" s="5" t="str">
        <f>IFERROR(__xludf.DUMMYFUNCTION("""COMPUTED_VALUE"""),"")</f>
        <v/>
      </c>
      <c r="R1124" s="5" t="str">
        <f>IFERROR(__xludf.DUMMYFUNCTION("""COMPUTED_VALUE"""),"")</f>
        <v/>
      </c>
      <c r="S1124" s="5" t="str">
        <f>IFERROR(__xludf.DUMMYFUNCTION("""COMPUTED_VALUE"""),"")</f>
        <v/>
      </c>
      <c r="T1124" s="5" t="str">
        <f>IFERROR(__xludf.DUMMYFUNCTION("""COMPUTED_VALUE"""),"")</f>
        <v/>
      </c>
      <c r="U1124" s="5" t="str">
        <f>IFERROR(__xludf.DUMMYFUNCTION("""COMPUTED_VALUE"""),"")</f>
        <v/>
      </c>
      <c r="V1124" s="5" t="str">
        <f>IFERROR(__xludf.DUMMYFUNCTION("""COMPUTED_VALUE"""),"")</f>
        <v/>
      </c>
      <c r="W1124" s="5" t="str">
        <f>IFERROR(__xludf.DUMMYFUNCTION("""COMPUTED_VALUE"""),"")</f>
        <v/>
      </c>
      <c r="X1124" s="5" t="str">
        <f>IFERROR(__xludf.DUMMYFUNCTION("""COMPUTED_VALUE"""),"")</f>
        <v/>
      </c>
      <c r="Y1124" s="5"/>
      <c r="Z1124" s="5"/>
    </row>
    <row r="1125">
      <c r="A1125" s="5"/>
      <c r="B1125" s="5" t="str">
        <f>IFERROR(__xludf.DUMMYFUNCTION("""COMPUTED_VALUE"""),"")</f>
        <v/>
      </c>
      <c r="C1125" s="5" t="str">
        <f>IFERROR(__xludf.DUMMYFUNCTION("""COMPUTED_VALUE"""),"")</f>
        <v/>
      </c>
      <c r="D1125" s="5" t="str">
        <f>IFERROR(__xludf.DUMMYFUNCTION("""COMPUTED_VALUE"""),"")</f>
        <v/>
      </c>
      <c r="E1125" s="5" t="str">
        <f>IFERROR(__xludf.DUMMYFUNCTION("""COMPUTED_VALUE"""),"")</f>
        <v/>
      </c>
      <c r="F1125" s="5" t="str">
        <f>IFERROR(__xludf.DUMMYFUNCTION("""COMPUTED_VALUE"""),"")</f>
        <v/>
      </c>
      <c r="G1125" s="5" t="str">
        <f>IFERROR(__xludf.DUMMYFUNCTION("""COMPUTED_VALUE"""),"")</f>
        <v/>
      </c>
      <c r="H1125" s="5" t="str">
        <f>IFERROR(__xludf.DUMMYFUNCTION("""COMPUTED_VALUE"""),"")</f>
        <v/>
      </c>
      <c r="I1125" s="5" t="str">
        <f>IFERROR(__xludf.DUMMYFUNCTION("""COMPUTED_VALUE"""),"")</f>
        <v/>
      </c>
      <c r="J1125" s="5" t="str">
        <f>IFERROR(__xludf.DUMMYFUNCTION("""COMPUTED_VALUE"""),"")</f>
        <v/>
      </c>
      <c r="K1125" s="5" t="str">
        <f>IFERROR(__xludf.DUMMYFUNCTION("""COMPUTED_VALUE"""),"")</f>
        <v/>
      </c>
      <c r="L1125" s="5" t="str">
        <f>IFERROR(__xludf.DUMMYFUNCTION("""COMPUTED_VALUE"""),"")</f>
        <v/>
      </c>
      <c r="M1125" s="5" t="str">
        <f>IFERROR(__xludf.DUMMYFUNCTION("""COMPUTED_VALUE"""),"")</f>
        <v/>
      </c>
      <c r="N1125" s="5" t="str">
        <f>IFERROR(__xludf.DUMMYFUNCTION("""COMPUTED_VALUE"""),"")</f>
        <v/>
      </c>
      <c r="O1125" s="5" t="str">
        <f>IFERROR(__xludf.DUMMYFUNCTION("""COMPUTED_VALUE"""),"")</f>
        <v/>
      </c>
      <c r="P1125" s="5" t="str">
        <f>IFERROR(__xludf.DUMMYFUNCTION("""COMPUTED_VALUE"""),"")</f>
        <v/>
      </c>
      <c r="Q1125" s="5" t="str">
        <f>IFERROR(__xludf.DUMMYFUNCTION("""COMPUTED_VALUE"""),"")</f>
        <v/>
      </c>
      <c r="R1125" s="5" t="str">
        <f>IFERROR(__xludf.DUMMYFUNCTION("""COMPUTED_VALUE"""),"")</f>
        <v/>
      </c>
      <c r="S1125" s="5" t="str">
        <f>IFERROR(__xludf.DUMMYFUNCTION("""COMPUTED_VALUE"""),"")</f>
        <v/>
      </c>
      <c r="T1125" s="5" t="str">
        <f>IFERROR(__xludf.DUMMYFUNCTION("""COMPUTED_VALUE"""),"")</f>
        <v/>
      </c>
      <c r="U1125" s="5" t="str">
        <f>IFERROR(__xludf.DUMMYFUNCTION("""COMPUTED_VALUE"""),"")</f>
        <v/>
      </c>
      <c r="V1125" s="5" t="str">
        <f>IFERROR(__xludf.DUMMYFUNCTION("""COMPUTED_VALUE"""),"")</f>
        <v/>
      </c>
      <c r="W1125" s="5" t="str">
        <f>IFERROR(__xludf.DUMMYFUNCTION("""COMPUTED_VALUE"""),"")</f>
        <v/>
      </c>
      <c r="X1125" s="5" t="str">
        <f>IFERROR(__xludf.DUMMYFUNCTION("""COMPUTED_VALUE"""),"")</f>
        <v/>
      </c>
      <c r="Y1125" s="5"/>
      <c r="Z1125" s="5"/>
    </row>
    <row r="1126">
      <c r="A1126" s="5"/>
      <c r="B1126" s="5" t="str">
        <f>IFERROR(__xludf.DUMMYFUNCTION("""COMPUTED_VALUE"""),"")</f>
        <v/>
      </c>
      <c r="C1126" s="5" t="str">
        <f>IFERROR(__xludf.DUMMYFUNCTION("""COMPUTED_VALUE"""),"")</f>
        <v/>
      </c>
      <c r="D1126" s="5" t="str">
        <f>IFERROR(__xludf.DUMMYFUNCTION("""COMPUTED_VALUE"""),"")</f>
        <v/>
      </c>
      <c r="E1126" s="5" t="str">
        <f>IFERROR(__xludf.DUMMYFUNCTION("""COMPUTED_VALUE"""),"")</f>
        <v/>
      </c>
      <c r="F1126" s="5" t="str">
        <f>IFERROR(__xludf.DUMMYFUNCTION("""COMPUTED_VALUE"""),"")</f>
        <v/>
      </c>
      <c r="G1126" s="5" t="str">
        <f>IFERROR(__xludf.DUMMYFUNCTION("""COMPUTED_VALUE"""),"")</f>
        <v/>
      </c>
      <c r="H1126" s="5" t="str">
        <f>IFERROR(__xludf.DUMMYFUNCTION("""COMPUTED_VALUE"""),"")</f>
        <v/>
      </c>
      <c r="I1126" s="5" t="str">
        <f>IFERROR(__xludf.DUMMYFUNCTION("""COMPUTED_VALUE"""),"")</f>
        <v/>
      </c>
      <c r="J1126" s="5" t="str">
        <f>IFERROR(__xludf.DUMMYFUNCTION("""COMPUTED_VALUE"""),"")</f>
        <v/>
      </c>
      <c r="K1126" s="5" t="str">
        <f>IFERROR(__xludf.DUMMYFUNCTION("""COMPUTED_VALUE"""),"")</f>
        <v/>
      </c>
      <c r="L1126" s="5" t="str">
        <f>IFERROR(__xludf.DUMMYFUNCTION("""COMPUTED_VALUE"""),"")</f>
        <v/>
      </c>
      <c r="M1126" s="5" t="str">
        <f>IFERROR(__xludf.DUMMYFUNCTION("""COMPUTED_VALUE"""),"")</f>
        <v/>
      </c>
      <c r="N1126" s="5" t="str">
        <f>IFERROR(__xludf.DUMMYFUNCTION("""COMPUTED_VALUE"""),"")</f>
        <v/>
      </c>
      <c r="O1126" s="5" t="str">
        <f>IFERROR(__xludf.DUMMYFUNCTION("""COMPUTED_VALUE"""),"")</f>
        <v/>
      </c>
      <c r="P1126" s="5" t="str">
        <f>IFERROR(__xludf.DUMMYFUNCTION("""COMPUTED_VALUE"""),"")</f>
        <v/>
      </c>
      <c r="Q1126" s="5" t="str">
        <f>IFERROR(__xludf.DUMMYFUNCTION("""COMPUTED_VALUE"""),"")</f>
        <v/>
      </c>
      <c r="R1126" s="5" t="str">
        <f>IFERROR(__xludf.DUMMYFUNCTION("""COMPUTED_VALUE"""),"")</f>
        <v/>
      </c>
      <c r="S1126" s="5" t="str">
        <f>IFERROR(__xludf.DUMMYFUNCTION("""COMPUTED_VALUE"""),"")</f>
        <v/>
      </c>
      <c r="T1126" s="5" t="str">
        <f>IFERROR(__xludf.DUMMYFUNCTION("""COMPUTED_VALUE"""),"")</f>
        <v/>
      </c>
      <c r="U1126" s="5" t="str">
        <f>IFERROR(__xludf.DUMMYFUNCTION("""COMPUTED_VALUE"""),"")</f>
        <v/>
      </c>
      <c r="V1126" s="5" t="str">
        <f>IFERROR(__xludf.DUMMYFUNCTION("""COMPUTED_VALUE"""),"")</f>
        <v/>
      </c>
      <c r="W1126" s="5" t="str">
        <f>IFERROR(__xludf.DUMMYFUNCTION("""COMPUTED_VALUE"""),"")</f>
        <v/>
      </c>
      <c r="X1126" s="5" t="str">
        <f>IFERROR(__xludf.DUMMYFUNCTION("""COMPUTED_VALUE"""),"")</f>
        <v/>
      </c>
      <c r="Y1126" s="5"/>
      <c r="Z1126" s="5"/>
    </row>
    <row r="1127">
      <c r="A1127" s="5"/>
      <c r="B1127" s="5" t="str">
        <f>IFERROR(__xludf.DUMMYFUNCTION("""COMPUTED_VALUE"""),"")</f>
        <v/>
      </c>
      <c r="C1127" s="5" t="str">
        <f>IFERROR(__xludf.DUMMYFUNCTION("""COMPUTED_VALUE"""),"")</f>
        <v/>
      </c>
      <c r="D1127" s="5" t="str">
        <f>IFERROR(__xludf.DUMMYFUNCTION("""COMPUTED_VALUE"""),"")</f>
        <v/>
      </c>
      <c r="E1127" s="5" t="str">
        <f>IFERROR(__xludf.DUMMYFUNCTION("""COMPUTED_VALUE"""),"")</f>
        <v/>
      </c>
      <c r="F1127" s="5" t="str">
        <f>IFERROR(__xludf.DUMMYFUNCTION("""COMPUTED_VALUE"""),"")</f>
        <v/>
      </c>
      <c r="G1127" s="5" t="str">
        <f>IFERROR(__xludf.DUMMYFUNCTION("""COMPUTED_VALUE"""),"")</f>
        <v/>
      </c>
      <c r="H1127" s="5" t="str">
        <f>IFERROR(__xludf.DUMMYFUNCTION("""COMPUTED_VALUE"""),"")</f>
        <v/>
      </c>
      <c r="I1127" s="5" t="str">
        <f>IFERROR(__xludf.DUMMYFUNCTION("""COMPUTED_VALUE"""),"")</f>
        <v/>
      </c>
      <c r="J1127" s="5" t="str">
        <f>IFERROR(__xludf.DUMMYFUNCTION("""COMPUTED_VALUE"""),"")</f>
        <v/>
      </c>
      <c r="K1127" s="5" t="str">
        <f>IFERROR(__xludf.DUMMYFUNCTION("""COMPUTED_VALUE"""),"")</f>
        <v/>
      </c>
      <c r="L1127" s="5" t="str">
        <f>IFERROR(__xludf.DUMMYFUNCTION("""COMPUTED_VALUE"""),"")</f>
        <v/>
      </c>
      <c r="M1127" s="5" t="str">
        <f>IFERROR(__xludf.DUMMYFUNCTION("""COMPUTED_VALUE"""),"")</f>
        <v/>
      </c>
      <c r="N1127" s="5" t="str">
        <f>IFERROR(__xludf.DUMMYFUNCTION("""COMPUTED_VALUE"""),"")</f>
        <v/>
      </c>
      <c r="O1127" s="5" t="str">
        <f>IFERROR(__xludf.DUMMYFUNCTION("""COMPUTED_VALUE"""),"")</f>
        <v/>
      </c>
      <c r="P1127" s="5" t="str">
        <f>IFERROR(__xludf.DUMMYFUNCTION("""COMPUTED_VALUE"""),"")</f>
        <v/>
      </c>
      <c r="Q1127" s="5" t="str">
        <f>IFERROR(__xludf.DUMMYFUNCTION("""COMPUTED_VALUE"""),"")</f>
        <v/>
      </c>
      <c r="R1127" s="5" t="str">
        <f>IFERROR(__xludf.DUMMYFUNCTION("""COMPUTED_VALUE"""),"")</f>
        <v/>
      </c>
      <c r="S1127" s="5" t="str">
        <f>IFERROR(__xludf.DUMMYFUNCTION("""COMPUTED_VALUE"""),"")</f>
        <v/>
      </c>
      <c r="T1127" s="5" t="str">
        <f>IFERROR(__xludf.DUMMYFUNCTION("""COMPUTED_VALUE"""),"")</f>
        <v/>
      </c>
      <c r="U1127" s="5" t="str">
        <f>IFERROR(__xludf.DUMMYFUNCTION("""COMPUTED_VALUE"""),"")</f>
        <v/>
      </c>
      <c r="V1127" s="5" t="str">
        <f>IFERROR(__xludf.DUMMYFUNCTION("""COMPUTED_VALUE"""),"")</f>
        <v/>
      </c>
      <c r="W1127" s="5" t="str">
        <f>IFERROR(__xludf.DUMMYFUNCTION("""COMPUTED_VALUE"""),"")</f>
        <v/>
      </c>
      <c r="X1127" s="5" t="str">
        <f>IFERROR(__xludf.DUMMYFUNCTION("""COMPUTED_VALUE"""),"")</f>
        <v/>
      </c>
      <c r="Y1127" s="5"/>
      <c r="Z1127" s="5"/>
    </row>
    <row r="1128">
      <c r="A1128" s="5"/>
      <c r="B1128" s="5" t="str">
        <f>IFERROR(__xludf.DUMMYFUNCTION("""COMPUTED_VALUE"""),"")</f>
        <v/>
      </c>
      <c r="C1128" s="5" t="str">
        <f>IFERROR(__xludf.DUMMYFUNCTION("""COMPUTED_VALUE"""),"")</f>
        <v/>
      </c>
      <c r="D1128" s="5" t="str">
        <f>IFERROR(__xludf.DUMMYFUNCTION("""COMPUTED_VALUE"""),"")</f>
        <v/>
      </c>
      <c r="E1128" s="5" t="str">
        <f>IFERROR(__xludf.DUMMYFUNCTION("""COMPUTED_VALUE"""),"")</f>
        <v/>
      </c>
      <c r="F1128" s="5" t="str">
        <f>IFERROR(__xludf.DUMMYFUNCTION("""COMPUTED_VALUE"""),"")</f>
        <v/>
      </c>
      <c r="G1128" s="5" t="str">
        <f>IFERROR(__xludf.DUMMYFUNCTION("""COMPUTED_VALUE"""),"")</f>
        <v/>
      </c>
      <c r="H1128" s="5" t="str">
        <f>IFERROR(__xludf.DUMMYFUNCTION("""COMPUTED_VALUE"""),"")</f>
        <v/>
      </c>
      <c r="I1128" s="5" t="str">
        <f>IFERROR(__xludf.DUMMYFUNCTION("""COMPUTED_VALUE"""),"")</f>
        <v/>
      </c>
      <c r="J1128" s="5" t="str">
        <f>IFERROR(__xludf.DUMMYFUNCTION("""COMPUTED_VALUE"""),"")</f>
        <v/>
      </c>
      <c r="K1128" s="5" t="str">
        <f>IFERROR(__xludf.DUMMYFUNCTION("""COMPUTED_VALUE"""),"")</f>
        <v/>
      </c>
      <c r="L1128" s="5" t="str">
        <f>IFERROR(__xludf.DUMMYFUNCTION("""COMPUTED_VALUE"""),"")</f>
        <v/>
      </c>
      <c r="M1128" s="5" t="str">
        <f>IFERROR(__xludf.DUMMYFUNCTION("""COMPUTED_VALUE"""),"")</f>
        <v/>
      </c>
      <c r="N1128" s="5" t="str">
        <f>IFERROR(__xludf.DUMMYFUNCTION("""COMPUTED_VALUE"""),"")</f>
        <v/>
      </c>
      <c r="O1128" s="5" t="str">
        <f>IFERROR(__xludf.DUMMYFUNCTION("""COMPUTED_VALUE"""),"")</f>
        <v/>
      </c>
      <c r="P1128" s="5" t="str">
        <f>IFERROR(__xludf.DUMMYFUNCTION("""COMPUTED_VALUE"""),"")</f>
        <v/>
      </c>
      <c r="Q1128" s="5" t="str">
        <f>IFERROR(__xludf.DUMMYFUNCTION("""COMPUTED_VALUE"""),"")</f>
        <v/>
      </c>
      <c r="R1128" s="5" t="str">
        <f>IFERROR(__xludf.DUMMYFUNCTION("""COMPUTED_VALUE"""),"")</f>
        <v/>
      </c>
      <c r="S1128" s="5" t="str">
        <f>IFERROR(__xludf.DUMMYFUNCTION("""COMPUTED_VALUE"""),"")</f>
        <v/>
      </c>
      <c r="T1128" s="5" t="str">
        <f>IFERROR(__xludf.DUMMYFUNCTION("""COMPUTED_VALUE"""),"")</f>
        <v/>
      </c>
      <c r="U1128" s="5" t="str">
        <f>IFERROR(__xludf.DUMMYFUNCTION("""COMPUTED_VALUE"""),"")</f>
        <v/>
      </c>
      <c r="V1128" s="5" t="str">
        <f>IFERROR(__xludf.DUMMYFUNCTION("""COMPUTED_VALUE"""),"")</f>
        <v/>
      </c>
      <c r="W1128" s="5" t="str">
        <f>IFERROR(__xludf.DUMMYFUNCTION("""COMPUTED_VALUE"""),"")</f>
        <v/>
      </c>
      <c r="X1128" s="5" t="str">
        <f>IFERROR(__xludf.DUMMYFUNCTION("""COMPUTED_VALUE"""),"")</f>
        <v/>
      </c>
      <c r="Y1128" s="5"/>
      <c r="Z1128" s="5"/>
    </row>
    <row r="1129">
      <c r="A1129" s="5"/>
      <c r="B1129" s="5" t="str">
        <f>IFERROR(__xludf.DUMMYFUNCTION("""COMPUTED_VALUE"""),"")</f>
        <v/>
      </c>
      <c r="C1129" s="5" t="str">
        <f>IFERROR(__xludf.DUMMYFUNCTION("""COMPUTED_VALUE"""),"")</f>
        <v/>
      </c>
      <c r="D1129" s="5" t="str">
        <f>IFERROR(__xludf.DUMMYFUNCTION("""COMPUTED_VALUE"""),"")</f>
        <v/>
      </c>
      <c r="E1129" s="5" t="str">
        <f>IFERROR(__xludf.DUMMYFUNCTION("""COMPUTED_VALUE"""),"")</f>
        <v/>
      </c>
      <c r="F1129" s="5" t="str">
        <f>IFERROR(__xludf.DUMMYFUNCTION("""COMPUTED_VALUE"""),"")</f>
        <v/>
      </c>
      <c r="G1129" s="5" t="str">
        <f>IFERROR(__xludf.DUMMYFUNCTION("""COMPUTED_VALUE"""),"")</f>
        <v/>
      </c>
      <c r="H1129" s="5" t="str">
        <f>IFERROR(__xludf.DUMMYFUNCTION("""COMPUTED_VALUE"""),"")</f>
        <v/>
      </c>
      <c r="I1129" s="5" t="str">
        <f>IFERROR(__xludf.DUMMYFUNCTION("""COMPUTED_VALUE"""),"")</f>
        <v/>
      </c>
      <c r="J1129" s="5" t="str">
        <f>IFERROR(__xludf.DUMMYFUNCTION("""COMPUTED_VALUE"""),"")</f>
        <v/>
      </c>
      <c r="K1129" s="5" t="str">
        <f>IFERROR(__xludf.DUMMYFUNCTION("""COMPUTED_VALUE"""),"")</f>
        <v/>
      </c>
      <c r="L1129" s="5" t="str">
        <f>IFERROR(__xludf.DUMMYFUNCTION("""COMPUTED_VALUE"""),"")</f>
        <v/>
      </c>
      <c r="M1129" s="5" t="str">
        <f>IFERROR(__xludf.DUMMYFUNCTION("""COMPUTED_VALUE"""),"")</f>
        <v/>
      </c>
      <c r="N1129" s="5" t="str">
        <f>IFERROR(__xludf.DUMMYFUNCTION("""COMPUTED_VALUE"""),"")</f>
        <v/>
      </c>
      <c r="O1129" s="5" t="str">
        <f>IFERROR(__xludf.DUMMYFUNCTION("""COMPUTED_VALUE"""),"")</f>
        <v/>
      </c>
      <c r="P1129" s="5" t="str">
        <f>IFERROR(__xludf.DUMMYFUNCTION("""COMPUTED_VALUE"""),"")</f>
        <v/>
      </c>
      <c r="Q1129" s="5" t="str">
        <f>IFERROR(__xludf.DUMMYFUNCTION("""COMPUTED_VALUE"""),"")</f>
        <v/>
      </c>
      <c r="R1129" s="5" t="str">
        <f>IFERROR(__xludf.DUMMYFUNCTION("""COMPUTED_VALUE"""),"")</f>
        <v/>
      </c>
      <c r="S1129" s="5" t="str">
        <f>IFERROR(__xludf.DUMMYFUNCTION("""COMPUTED_VALUE"""),"")</f>
        <v/>
      </c>
      <c r="T1129" s="5" t="str">
        <f>IFERROR(__xludf.DUMMYFUNCTION("""COMPUTED_VALUE"""),"")</f>
        <v/>
      </c>
      <c r="U1129" s="5" t="str">
        <f>IFERROR(__xludf.DUMMYFUNCTION("""COMPUTED_VALUE"""),"")</f>
        <v/>
      </c>
      <c r="V1129" s="5" t="str">
        <f>IFERROR(__xludf.DUMMYFUNCTION("""COMPUTED_VALUE"""),"")</f>
        <v/>
      </c>
      <c r="W1129" s="5" t="str">
        <f>IFERROR(__xludf.DUMMYFUNCTION("""COMPUTED_VALUE"""),"")</f>
        <v/>
      </c>
      <c r="X1129" s="5" t="str">
        <f>IFERROR(__xludf.DUMMYFUNCTION("""COMPUTED_VALUE"""),"")</f>
        <v/>
      </c>
      <c r="Y1129" s="5"/>
      <c r="Z1129" s="5"/>
    </row>
    <row r="1130">
      <c r="A1130" s="5"/>
      <c r="B1130" s="5" t="str">
        <f>IFERROR(__xludf.DUMMYFUNCTION("""COMPUTED_VALUE"""),"")</f>
        <v/>
      </c>
      <c r="C1130" s="5" t="str">
        <f>IFERROR(__xludf.DUMMYFUNCTION("""COMPUTED_VALUE"""),"")</f>
        <v/>
      </c>
      <c r="D1130" s="5" t="str">
        <f>IFERROR(__xludf.DUMMYFUNCTION("""COMPUTED_VALUE"""),"")</f>
        <v/>
      </c>
      <c r="E1130" s="5" t="str">
        <f>IFERROR(__xludf.DUMMYFUNCTION("""COMPUTED_VALUE"""),"")</f>
        <v/>
      </c>
      <c r="F1130" s="5" t="str">
        <f>IFERROR(__xludf.DUMMYFUNCTION("""COMPUTED_VALUE"""),"")</f>
        <v/>
      </c>
      <c r="G1130" s="5" t="str">
        <f>IFERROR(__xludf.DUMMYFUNCTION("""COMPUTED_VALUE"""),"")</f>
        <v/>
      </c>
      <c r="H1130" s="5" t="str">
        <f>IFERROR(__xludf.DUMMYFUNCTION("""COMPUTED_VALUE"""),"")</f>
        <v/>
      </c>
      <c r="I1130" s="5" t="str">
        <f>IFERROR(__xludf.DUMMYFUNCTION("""COMPUTED_VALUE"""),"")</f>
        <v/>
      </c>
      <c r="J1130" s="5" t="str">
        <f>IFERROR(__xludf.DUMMYFUNCTION("""COMPUTED_VALUE"""),"")</f>
        <v/>
      </c>
      <c r="K1130" s="5" t="str">
        <f>IFERROR(__xludf.DUMMYFUNCTION("""COMPUTED_VALUE"""),"")</f>
        <v/>
      </c>
      <c r="L1130" s="5" t="str">
        <f>IFERROR(__xludf.DUMMYFUNCTION("""COMPUTED_VALUE"""),"")</f>
        <v/>
      </c>
      <c r="M1130" s="5" t="str">
        <f>IFERROR(__xludf.DUMMYFUNCTION("""COMPUTED_VALUE"""),"")</f>
        <v/>
      </c>
      <c r="N1130" s="5" t="str">
        <f>IFERROR(__xludf.DUMMYFUNCTION("""COMPUTED_VALUE"""),"")</f>
        <v/>
      </c>
      <c r="O1130" s="5" t="str">
        <f>IFERROR(__xludf.DUMMYFUNCTION("""COMPUTED_VALUE"""),"")</f>
        <v/>
      </c>
      <c r="P1130" s="5" t="str">
        <f>IFERROR(__xludf.DUMMYFUNCTION("""COMPUTED_VALUE"""),"")</f>
        <v/>
      </c>
      <c r="Q1130" s="5" t="str">
        <f>IFERROR(__xludf.DUMMYFUNCTION("""COMPUTED_VALUE"""),"")</f>
        <v/>
      </c>
      <c r="R1130" s="5" t="str">
        <f>IFERROR(__xludf.DUMMYFUNCTION("""COMPUTED_VALUE"""),"")</f>
        <v/>
      </c>
      <c r="S1130" s="5" t="str">
        <f>IFERROR(__xludf.DUMMYFUNCTION("""COMPUTED_VALUE"""),"")</f>
        <v/>
      </c>
      <c r="T1130" s="5" t="str">
        <f>IFERROR(__xludf.DUMMYFUNCTION("""COMPUTED_VALUE"""),"")</f>
        <v/>
      </c>
      <c r="U1130" s="5" t="str">
        <f>IFERROR(__xludf.DUMMYFUNCTION("""COMPUTED_VALUE"""),"")</f>
        <v/>
      </c>
      <c r="V1130" s="5" t="str">
        <f>IFERROR(__xludf.DUMMYFUNCTION("""COMPUTED_VALUE"""),"")</f>
        <v/>
      </c>
      <c r="W1130" s="5" t="str">
        <f>IFERROR(__xludf.DUMMYFUNCTION("""COMPUTED_VALUE"""),"")</f>
        <v/>
      </c>
      <c r="X1130" s="5" t="str">
        <f>IFERROR(__xludf.DUMMYFUNCTION("""COMPUTED_VALUE"""),"")</f>
        <v/>
      </c>
      <c r="Y1130" s="5"/>
      <c r="Z1130" s="5"/>
    </row>
    <row r="1131">
      <c r="A1131" s="5"/>
      <c r="B1131" s="5" t="str">
        <f>IFERROR(__xludf.DUMMYFUNCTION("""COMPUTED_VALUE"""),"")</f>
        <v/>
      </c>
      <c r="C1131" s="5" t="str">
        <f>IFERROR(__xludf.DUMMYFUNCTION("""COMPUTED_VALUE"""),"")</f>
        <v/>
      </c>
      <c r="D1131" s="5" t="str">
        <f>IFERROR(__xludf.DUMMYFUNCTION("""COMPUTED_VALUE"""),"")</f>
        <v/>
      </c>
      <c r="E1131" s="5" t="str">
        <f>IFERROR(__xludf.DUMMYFUNCTION("""COMPUTED_VALUE"""),"")</f>
        <v/>
      </c>
      <c r="F1131" s="5" t="str">
        <f>IFERROR(__xludf.DUMMYFUNCTION("""COMPUTED_VALUE"""),"")</f>
        <v/>
      </c>
      <c r="G1131" s="5" t="str">
        <f>IFERROR(__xludf.DUMMYFUNCTION("""COMPUTED_VALUE"""),"")</f>
        <v/>
      </c>
      <c r="H1131" s="5" t="str">
        <f>IFERROR(__xludf.DUMMYFUNCTION("""COMPUTED_VALUE"""),"")</f>
        <v/>
      </c>
      <c r="I1131" s="5" t="str">
        <f>IFERROR(__xludf.DUMMYFUNCTION("""COMPUTED_VALUE"""),"")</f>
        <v/>
      </c>
      <c r="J1131" s="5" t="str">
        <f>IFERROR(__xludf.DUMMYFUNCTION("""COMPUTED_VALUE"""),"")</f>
        <v/>
      </c>
      <c r="K1131" s="5" t="str">
        <f>IFERROR(__xludf.DUMMYFUNCTION("""COMPUTED_VALUE"""),"")</f>
        <v/>
      </c>
      <c r="L1131" s="5" t="str">
        <f>IFERROR(__xludf.DUMMYFUNCTION("""COMPUTED_VALUE"""),"")</f>
        <v/>
      </c>
      <c r="M1131" s="5" t="str">
        <f>IFERROR(__xludf.DUMMYFUNCTION("""COMPUTED_VALUE"""),"")</f>
        <v/>
      </c>
      <c r="N1131" s="5" t="str">
        <f>IFERROR(__xludf.DUMMYFUNCTION("""COMPUTED_VALUE"""),"")</f>
        <v/>
      </c>
      <c r="O1131" s="5" t="str">
        <f>IFERROR(__xludf.DUMMYFUNCTION("""COMPUTED_VALUE"""),"")</f>
        <v/>
      </c>
      <c r="P1131" s="5" t="str">
        <f>IFERROR(__xludf.DUMMYFUNCTION("""COMPUTED_VALUE"""),"")</f>
        <v/>
      </c>
      <c r="Q1131" s="5" t="str">
        <f>IFERROR(__xludf.DUMMYFUNCTION("""COMPUTED_VALUE"""),"")</f>
        <v/>
      </c>
      <c r="R1131" s="5" t="str">
        <f>IFERROR(__xludf.DUMMYFUNCTION("""COMPUTED_VALUE"""),"")</f>
        <v/>
      </c>
      <c r="S1131" s="5" t="str">
        <f>IFERROR(__xludf.DUMMYFUNCTION("""COMPUTED_VALUE"""),"")</f>
        <v/>
      </c>
      <c r="T1131" s="5" t="str">
        <f>IFERROR(__xludf.DUMMYFUNCTION("""COMPUTED_VALUE"""),"")</f>
        <v/>
      </c>
      <c r="U1131" s="5" t="str">
        <f>IFERROR(__xludf.DUMMYFUNCTION("""COMPUTED_VALUE"""),"")</f>
        <v/>
      </c>
      <c r="V1131" s="5" t="str">
        <f>IFERROR(__xludf.DUMMYFUNCTION("""COMPUTED_VALUE"""),"")</f>
        <v/>
      </c>
      <c r="W1131" s="5" t="str">
        <f>IFERROR(__xludf.DUMMYFUNCTION("""COMPUTED_VALUE"""),"")</f>
        <v/>
      </c>
      <c r="X1131" s="5" t="str">
        <f>IFERROR(__xludf.DUMMYFUNCTION("""COMPUTED_VALUE"""),"")</f>
        <v/>
      </c>
      <c r="Y1131" s="5"/>
      <c r="Z1131" s="5"/>
    </row>
    <row r="1132">
      <c r="A1132" s="5"/>
      <c r="B1132" s="5" t="str">
        <f>IFERROR(__xludf.DUMMYFUNCTION("""COMPUTED_VALUE"""),"")</f>
        <v/>
      </c>
      <c r="C1132" s="5" t="str">
        <f>IFERROR(__xludf.DUMMYFUNCTION("""COMPUTED_VALUE"""),"")</f>
        <v/>
      </c>
      <c r="D1132" s="5" t="str">
        <f>IFERROR(__xludf.DUMMYFUNCTION("""COMPUTED_VALUE"""),"")</f>
        <v/>
      </c>
      <c r="E1132" s="5" t="str">
        <f>IFERROR(__xludf.DUMMYFUNCTION("""COMPUTED_VALUE"""),"")</f>
        <v/>
      </c>
      <c r="F1132" s="5" t="str">
        <f>IFERROR(__xludf.DUMMYFUNCTION("""COMPUTED_VALUE"""),"")</f>
        <v/>
      </c>
      <c r="G1132" s="5" t="str">
        <f>IFERROR(__xludf.DUMMYFUNCTION("""COMPUTED_VALUE"""),"")</f>
        <v/>
      </c>
      <c r="H1132" s="5" t="str">
        <f>IFERROR(__xludf.DUMMYFUNCTION("""COMPUTED_VALUE"""),"")</f>
        <v/>
      </c>
      <c r="I1132" s="5" t="str">
        <f>IFERROR(__xludf.DUMMYFUNCTION("""COMPUTED_VALUE"""),"")</f>
        <v/>
      </c>
      <c r="J1132" s="5" t="str">
        <f>IFERROR(__xludf.DUMMYFUNCTION("""COMPUTED_VALUE"""),"")</f>
        <v/>
      </c>
      <c r="K1132" s="5" t="str">
        <f>IFERROR(__xludf.DUMMYFUNCTION("""COMPUTED_VALUE"""),"")</f>
        <v/>
      </c>
      <c r="L1132" s="5" t="str">
        <f>IFERROR(__xludf.DUMMYFUNCTION("""COMPUTED_VALUE"""),"")</f>
        <v/>
      </c>
      <c r="M1132" s="5" t="str">
        <f>IFERROR(__xludf.DUMMYFUNCTION("""COMPUTED_VALUE"""),"")</f>
        <v/>
      </c>
      <c r="N1132" s="5" t="str">
        <f>IFERROR(__xludf.DUMMYFUNCTION("""COMPUTED_VALUE"""),"")</f>
        <v/>
      </c>
      <c r="O1132" s="5" t="str">
        <f>IFERROR(__xludf.DUMMYFUNCTION("""COMPUTED_VALUE"""),"")</f>
        <v/>
      </c>
      <c r="P1132" s="5" t="str">
        <f>IFERROR(__xludf.DUMMYFUNCTION("""COMPUTED_VALUE"""),"")</f>
        <v/>
      </c>
      <c r="Q1132" s="5" t="str">
        <f>IFERROR(__xludf.DUMMYFUNCTION("""COMPUTED_VALUE"""),"")</f>
        <v/>
      </c>
      <c r="R1132" s="5" t="str">
        <f>IFERROR(__xludf.DUMMYFUNCTION("""COMPUTED_VALUE"""),"")</f>
        <v/>
      </c>
      <c r="S1132" s="5" t="str">
        <f>IFERROR(__xludf.DUMMYFUNCTION("""COMPUTED_VALUE"""),"")</f>
        <v/>
      </c>
      <c r="T1132" s="5" t="str">
        <f>IFERROR(__xludf.DUMMYFUNCTION("""COMPUTED_VALUE"""),"")</f>
        <v/>
      </c>
      <c r="U1132" s="5" t="str">
        <f>IFERROR(__xludf.DUMMYFUNCTION("""COMPUTED_VALUE"""),"")</f>
        <v/>
      </c>
      <c r="V1132" s="5" t="str">
        <f>IFERROR(__xludf.DUMMYFUNCTION("""COMPUTED_VALUE"""),"")</f>
        <v/>
      </c>
      <c r="W1132" s="5" t="str">
        <f>IFERROR(__xludf.DUMMYFUNCTION("""COMPUTED_VALUE"""),"")</f>
        <v/>
      </c>
      <c r="X1132" s="5" t="str">
        <f>IFERROR(__xludf.DUMMYFUNCTION("""COMPUTED_VALUE"""),"")</f>
        <v/>
      </c>
      <c r="Y1132" s="5"/>
      <c r="Z1132" s="5"/>
    </row>
    <row r="1133">
      <c r="A1133" s="5"/>
      <c r="B1133" s="5" t="str">
        <f>IFERROR(__xludf.DUMMYFUNCTION("""COMPUTED_VALUE"""),"")</f>
        <v/>
      </c>
      <c r="C1133" s="5" t="str">
        <f>IFERROR(__xludf.DUMMYFUNCTION("""COMPUTED_VALUE"""),"")</f>
        <v/>
      </c>
      <c r="D1133" s="5" t="str">
        <f>IFERROR(__xludf.DUMMYFUNCTION("""COMPUTED_VALUE"""),"")</f>
        <v/>
      </c>
      <c r="E1133" s="5" t="str">
        <f>IFERROR(__xludf.DUMMYFUNCTION("""COMPUTED_VALUE"""),"")</f>
        <v/>
      </c>
      <c r="F1133" s="5" t="str">
        <f>IFERROR(__xludf.DUMMYFUNCTION("""COMPUTED_VALUE"""),"")</f>
        <v/>
      </c>
      <c r="G1133" s="5" t="str">
        <f>IFERROR(__xludf.DUMMYFUNCTION("""COMPUTED_VALUE"""),"")</f>
        <v/>
      </c>
      <c r="H1133" s="5" t="str">
        <f>IFERROR(__xludf.DUMMYFUNCTION("""COMPUTED_VALUE"""),"")</f>
        <v/>
      </c>
      <c r="I1133" s="5" t="str">
        <f>IFERROR(__xludf.DUMMYFUNCTION("""COMPUTED_VALUE"""),"")</f>
        <v/>
      </c>
      <c r="J1133" s="5" t="str">
        <f>IFERROR(__xludf.DUMMYFUNCTION("""COMPUTED_VALUE"""),"")</f>
        <v/>
      </c>
      <c r="K1133" s="5" t="str">
        <f>IFERROR(__xludf.DUMMYFUNCTION("""COMPUTED_VALUE"""),"")</f>
        <v/>
      </c>
      <c r="L1133" s="5" t="str">
        <f>IFERROR(__xludf.DUMMYFUNCTION("""COMPUTED_VALUE"""),"")</f>
        <v/>
      </c>
      <c r="M1133" s="5" t="str">
        <f>IFERROR(__xludf.DUMMYFUNCTION("""COMPUTED_VALUE"""),"")</f>
        <v/>
      </c>
      <c r="N1133" s="5" t="str">
        <f>IFERROR(__xludf.DUMMYFUNCTION("""COMPUTED_VALUE"""),"")</f>
        <v/>
      </c>
      <c r="O1133" s="5" t="str">
        <f>IFERROR(__xludf.DUMMYFUNCTION("""COMPUTED_VALUE"""),"")</f>
        <v/>
      </c>
      <c r="P1133" s="5" t="str">
        <f>IFERROR(__xludf.DUMMYFUNCTION("""COMPUTED_VALUE"""),"")</f>
        <v/>
      </c>
      <c r="Q1133" s="5" t="str">
        <f>IFERROR(__xludf.DUMMYFUNCTION("""COMPUTED_VALUE"""),"")</f>
        <v/>
      </c>
      <c r="R1133" s="5" t="str">
        <f>IFERROR(__xludf.DUMMYFUNCTION("""COMPUTED_VALUE"""),"")</f>
        <v/>
      </c>
      <c r="S1133" s="5" t="str">
        <f>IFERROR(__xludf.DUMMYFUNCTION("""COMPUTED_VALUE"""),"")</f>
        <v/>
      </c>
      <c r="T1133" s="5" t="str">
        <f>IFERROR(__xludf.DUMMYFUNCTION("""COMPUTED_VALUE"""),"")</f>
        <v/>
      </c>
      <c r="U1133" s="5" t="str">
        <f>IFERROR(__xludf.DUMMYFUNCTION("""COMPUTED_VALUE"""),"")</f>
        <v/>
      </c>
      <c r="V1133" s="5" t="str">
        <f>IFERROR(__xludf.DUMMYFUNCTION("""COMPUTED_VALUE"""),"")</f>
        <v/>
      </c>
      <c r="W1133" s="5" t="str">
        <f>IFERROR(__xludf.DUMMYFUNCTION("""COMPUTED_VALUE"""),"")</f>
        <v/>
      </c>
      <c r="X1133" s="5" t="str">
        <f>IFERROR(__xludf.DUMMYFUNCTION("""COMPUTED_VALUE"""),"")</f>
        <v/>
      </c>
      <c r="Y1133" s="5"/>
      <c r="Z1133" s="5"/>
    </row>
    <row r="1134">
      <c r="A1134" s="5"/>
      <c r="B1134" s="5" t="str">
        <f>IFERROR(__xludf.DUMMYFUNCTION("""COMPUTED_VALUE"""),"")</f>
        <v/>
      </c>
      <c r="C1134" s="5" t="str">
        <f>IFERROR(__xludf.DUMMYFUNCTION("""COMPUTED_VALUE"""),"")</f>
        <v/>
      </c>
      <c r="D1134" s="5" t="str">
        <f>IFERROR(__xludf.DUMMYFUNCTION("""COMPUTED_VALUE"""),"")</f>
        <v/>
      </c>
      <c r="E1134" s="5" t="str">
        <f>IFERROR(__xludf.DUMMYFUNCTION("""COMPUTED_VALUE"""),"")</f>
        <v/>
      </c>
      <c r="F1134" s="5" t="str">
        <f>IFERROR(__xludf.DUMMYFUNCTION("""COMPUTED_VALUE"""),"")</f>
        <v/>
      </c>
      <c r="G1134" s="5" t="str">
        <f>IFERROR(__xludf.DUMMYFUNCTION("""COMPUTED_VALUE"""),"")</f>
        <v/>
      </c>
      <c r="H1134" s="5" t="str">
        <f>IFERROR(__xludf.DUMMYFUNCTION("""COMPUTED_VALUE"""),"")</f>
        <v/>
      </c>
      <c r="I1134" s="5" t="str">
        <f>IFERROR(__xludf.DUMMYFUNCTION("""COMPUTED_VALUE"""),"")</f>
        <v/>
      </c>
      <c r="J1134" s="5" t="str">
        <f>IFERROR(__xludf.DUMMYFUNCTION("""COMPUTED_VALUE"""),"")</f>
        <v/>
      </c>
      <c r="K1134" s="5" t="str">
        <f>IFERROR(__xludf.DUMMYFUNCTION("""COMPUTED_VALUE"""),"")</f>
        <v/>
      </c>
      <c r="L1134" s="5" t="str">
        <f>IFERROR(__xludf.DUMMYFUNCTION("""COMPUTED_VALUE"""),"")</f>
        <v/>
      </c>
      <c r="M1134" s="5" t="str">
        <f>IFERROR(__xludf.DUMMYFUNCTION("""COMPUTED_VALUE"""),"")</f>
        <v/>
      </c>
      <c r="N1134" s="5" t="str">
        <f>IFERROR(__xludf.DUMMYFUNCTION("""COMPUTED_VALUE"""),"")</f>
        <v/>
      </c>
      <c r="O1134" s="5" t="str">
        <f>IFERROR(__xludf.DUMMYFUNCTION("""COMPUTED_VALUE"""),"")</f>
        <v/>
      </c>
      <c r="P1134" s="5" t="str">
        <f>IFERROR(__xludf.DUMMYFUNCTION("""COMPUTED_VALUE"""),"")</f>
        <v/>
      </c>
      <c r="Q1134" s="5" t="str">
        <f>IFERROR(__xludf.DUMMYFUNCTION("""COMPUTED_VALUE"""),"")</f>
        <v/>
      </c>
      <c r="R1134" s="5" t="str">
        <f>IFERROR(__xludf.DUMMYFUNCTION("""COMPUTED_VALUE"""),"")</f>
        <v/>
      </c>
      <c r="S1134" s="5" t="str">
        <f>IFERROR(__xludf.DUMMYFUNCTION("""COMPUTED_VALUE"""),"")</f>
        <v/>
      </c>
      <c r="T1134" s="5" t="str">
        <f>IFERROR(__xludf.DUMMYFUNCTION("""COMPUTED_VALUE"""),"")</f>
        <v/>
      </c>
      <c r="U1134" s="5" t="str">
        <f>IFERROR(__xludf.DUMMYFUNCTION("""COMPUTED_VALUE"""),"")</f>
        <v/>
      </c>
      <c r="V1134" s="5" t="str">
        <f>IFERROR(__xludf.DUMMYFUNCTION("""COMPUTED_VALUE"""),"")</f>
        <v/>
      </c>
      <c r="W1134" s="5" t="str">
        <f>IFERROR(__xludf.DUMMYFUNCTION("""COMPUTED_VALUE"""),"")</f>
        <v/>
      </c>
      <c r="X1134" s="5" t="str">
        <f>IFERROR(__xludf.DUMMYFUNCTION("""COMPUTED_VALUE"""),"")</f>
        <v/>
      </c>
      <c r="Y1134" s="5"/>
      <c r="Z1134" s="5"/>
    </row>
    <row r="1135">
      <c r="A1135" s="5"/>
      <c r="B1135" s="5" t="str">
        <f>IFERROR(__xludf.DUMMYFUNCTION("""COMPUTED_VALUE"""),"")</f>
        <v/>
      </c>
      <c r="C1135" s="5" t="str">
        <f>IFERROR(__xludf.DUMMYFUNCTION("""COMPUTED_VALUE"""),"")</f>
        <v/>
      </c>
      <c r="D1135" s="5" t="str">
        <f>IFERROR(__xludf.DUMMYFUNCTION("""COMPUTED_VALUE"""),"")</f>
        <v/>
      </c>
      <c r="E1135" s="5" t="str">
        <f>IFERROR(__xludf.DUMMYFUNCTION("""COMPUTED_VALUE"""),"")</f>
        <v/>
      </c>
      <c r="F1135" s="5" t="str">
        <f>IFERROR(__xludf.DUMMYFUNCTION("""COMPUTED_VALUE"""),"")</f>
        <v/>
      </c>
      <c r="G1135" s="5" t="str">
        <f>IFERROR(__xludf.DUMMYFUNCTION("""COMPUTED_VALUE"""),"")</f>
        <v/>
      </c>
      <c r="H1135" s="5" t="str">
        <f>IFERROR(__xludf.DUMMYFUNCTION("""COMPUTED_VALUE"""),"")</f>
        <v/>
      </c>
      <c r="I1135" s="5" t="str">
        <f>IFERROR(__xludf.DUMMYFUNCTION("""COMPUTED_VALUE"""),"")</f>
        <v/>
      </c>
      <c r="J1135" s="5" t="str">
        <f>IFERROR(__xludf.DUMMYFUNCTION("""COMPUTED_VALUE"""),"")</f>
        <v/>
      </c>
      <c r="K1135" s="5" t="str">
        <f>IFERROR(__xludf.DUMMYFUNCTION("""COMPUTED_VALUE"""),"")</f>
        <v/>
      </c>
      <c r="L1135" s="5" t="str">
        <f>IFERROR(__xludf.DUMMYFUNCTION("""COMPUTED_VALUE"""),"")</f>
        <v/>
      </c>
      <c r="M1135" s="5" t="str">
        <f>IFERROR(__xludf.DUMMYFUNCTION("""COMPUTED_VALUE"""),"")</f>
        <v/>
      </c>
      <c r="N1135" s="5" t="str">
        <f>IFERROR(__xludf.DUMMYFUNCTION("""COMPUTED_VALUE"""),"")</f>
        <v/>
      </c>
      <c r="O1135" s="5" t="str">
        <f>IFERROR(__xludf.DUMMYFUNCTION("""COMPUTED_VALUE"""),"")</f>
        <v/>
      </c>
      <c r="P1135" s="5" t="str">
        <f>IFERROR(__xludf.DUMMYFUNCTION("""COMPUTED_VALUE"""),"")</f>
        <v/>
      </c>
      <c r="Q1135" s="5" t="str">
        <f>IFERROR(__xludf.DUMMYFUNCTION("""COMPUTED_VALUE"""),"")</f>
        <v/>
      </c>
      <c r="R1135" s="5" t="str">
        <f>IFERROR(__xludf.DUMMYFUNCTION("""COMPUTED_VALUE"""),"")</f>
        <v/>
      </c>
      <c r="S1135" s="5" t="str">
        <f>IFERROR(__xludf.DUMMYFUNCTION("""COMPUTED_VALUE"""),"")</f>
        <v/>
      </c>
      <c r="T1135" s="5" t="str">
        <f>IFERROR(__xludf.DUMMYFUNCTION("""COMPUTED_VALUE"""),"")</f>
        <v/>
      </c>
      <c r="U1135" s="5" t="str">
        <f>IFERROR(__xludf.DUMMYFUNCTION("""COMPUTED_VALUE"""),"")</f>
        <v/>
      </c>
      <c r="V1135" s="5" t="str">
        <f>IFERROR(__xludf.DUMMYFUNCTION("""COMPUTED_VALUE"""),"")</f>
        <v/>
      </c>
      <c r="W1135" s="5" t="str">
        <f>IFERROR(__xludf.DUMMYFUNCTION("""COMPUTED_VALUE"""),"")</f>
        <v/>
      </c>
      <c r="X1135" s="5" t="str">
        <f>IFERROR(__xludf.DUMMYFUNCTION("""COMPUTED_VALUE"""),"")</f>
        <v/>
      </c>
      <c r="Y1135" s="5"/>
      <c r="Z1135" s="5"/>
    </row>
    <row r="1136">
      <c r="A1136" s="5"/>
      <c r="B1136" s="5" t="str">
        <f>IFERROR(__xludf.DUMMYFUNCTION("""COMPUTED_VALUE"""),"")</f>
        <v/>
      </c>
      <c r="C1136" s="5" t="str">
        <f>IFERROR(__xludf.DUMMYFUNCTION("""COMPUTED_VALUE"""),"")</f>
        <v/>
      </c>
      <c r="D1136" s="5" t="str">
        <f>IFERROR(__xludf.DUMMYFUNCTION("""COMPUTED_VALUE"""),"")</f>
        <v/>
      </c>
      <c r="E1136" s="5" t="str">
        <f>IFERROR(__xludf.DUMMYFUNCTION("""COMPUTED_VALUE"""),"")</f>
        <v/>
      </c>
      <c r="F1136" s="5" t="str">
        <f>IFERROR(__xludf.DUMMYFUNCTION("""COMPUTED_VALUE"""),"")</f>
        <v/>
      </c>
      <c r="G1136" s="5" t="str">
        <f>IFERROR(__xludf.DUMMYFUNCTION("""COMPUTED_VALUE"""),"")</f>
        <v/>
      </c>
      <c r="H1136" s="5" t="str">
        <f>IFERROR(__xludf.DUMMYFUNCTION("""COMPUTED_VALUE"""),"")</f>
        <v/>
      </c>
      <c r="I1136" s="5" t="str">
        <f>IFERROR(__xludf.DUMMYFUNCTION("""COMPUTED_VALUE"""),"")</f>
        <v/>
      </c>
      <c r="J1136" s="5" t="str">
        <f>IFERROR(__xludf.DUMMYFUNCTION("""COMPUTED_VALUE"""),"")</f>
        <v/>
      </c>
      <c r="K1136" s="5" t="str">
        <f>IFERROR(__xludf.DUMMYFUNCTION("""COMPUTED_VALUE"""),"")</f>
        <v/>
      </c>
      <c r="L1136" s="5" t="str">
        <f>IFERROR(__xludf.DUMMYFUNCTION("""COMPUTED_VALUE"""),"")</f>
        <v/>
      </c>
      <c r="M1136" s="5" t="str">
        <f>IFERROR(__xludf.DUMMYFUNCTION("""COMPUTED_VALUE"""),"")</f>
        <v/>
      </c>
      <c r="N1136" s="5" t="str">
        <f>IFERROR(__xludf.DUMMYFUNCTION("""COMPUTED_VALUE"""),"")</f>
        <v/>
      </c>
      <c r="O1136" s="5" t="str">
        <f>IFERROR(__xludf.DUMMYFUNCTION("""COMPUTED_VALUE"""),"")</f>
        <v/>
      </c>
      <c r="P1136" s="5" t="str">
        <f>IFERROR(__xludf.DUMMYFUNCTION("""COMPUTED_VALUE"""),"")</f>
        <v/>
      </c>
      <c r="Q1136" s="5" t="str">
        <f>IFERROR(__xludf.DUMMYFUNCTION("""COMPUTED_VALUE"""),"")</f>
        <v/>
      </c>
      <c r="R1136" s="5" t="str">
        <f>IFERROR(__xludf.DUMMYFUNCTION("""COMPUTED_VALUE"""),"")</f>
        <v/>
      </c>
      <c r="S1136" s="5" t="str">
        <f>IFERROR(__xludf.DUMMYFUNCTION("""COMPUTED_VALUE"""),"")</f>
        <v/>
      </c>
      <c r="T1136" s="5" t="str">
        <f>IFERROR(__xludf.DUMMYFUNCTION("""COMPUTED_VALUE"""),"")</f>
        <v/>
      </c>
      <c r="U1136" s="5" t="str">
        <f>IFERROR(__xludf.DUMMYFUNCTION("""COMPUTED_VALUE"""),"")</f>
        <v/>
      </c>
      <c r="V1136" s="5" t="str">
        <f>IFERROR(__xludf.DUMMYFUNCTION("""COMPUTED_VALUE"""),"")</f>
        <v/>
      </c>
      <c r="W1136" s="5" t="str">
        <f>IFERROR(__xludf.DUMMYFUNCTION("""COMPUTED_VALUE"""),"")</f>
        <v/>
      </c>
      <c r="X1136" s="5" t="str">
        <f>IFERROR(__xludf.DUMMYFUNCTION("""COMPUTED_VALUE"""),"")</f>
        <v/>
      </c>
      <c r="Y1136" s="5"/>
      <c r="Z1136" s="5"/>
    </row>
    <row r="1137">
      <c r="A1137" s="5"/>
      <c r="B1137" s="5" t="str">
        <f>IFERROR(__xludf.DUMMYFUNCTION("""COMPUTED_VALUE"""),"")</f>
        <v/>
      </c>
      <c r="C1137" s="5" t="str">
        <f>IFERROR(__xludf.DUMMYFUNCTION("""COMPUTED_VALUE"""),"")</f>
        <v/>
      </c>
      <c r="D1137" s="5" t="str">
        <f>IFERROR(__xludf.DUMMYFUNCTION("""COMPUTED_VALUE"""),"")</f>
        <v/>
      </c>
      <c r="E1137" s="5" t="str">
        <f>IFERROR(__xludf.DUMMYFUNCTION("""COMPUTED_VALUE"""),"")</f>
        <v/>
      </c>
      <c r="F1137" s="5" t="str">
        <f>IFERROR(__xludf.DUMMYFUNCTION("""COMPUTED_VALUE"""),"")</f>
        <v/>
      </c>
      <c r="G1137" s="5" t="str">
        <f>IFERROR(__xludf.DUMMYFUNCTION("""COMPUTED_VALUE"""),"")</f>
        <v/>
      </c>
      <c r="H1137" s="5" t="str">
        <f>IFERROR(__xludf.DUMMYFUNCTION("""COMPUTED_VALUE"""),"")</f>
        <v/>
      </c>
      <c r="I1137" s="5" t="str">
        <f>IFERROR(__xludf.DUMMYFUNCTION("""COMPUTED_VALUE"""),"")</f>
        <v/>
      </c>
      <c r="J1137" s="5" t="str">
        <f>IFERROR(__xludf.DUMMYFUNCTION("""COMPUTED_VALUE"""),"")</f>
        <v/>
      </c>
      <c r="K1137" s="5" t="str">
        <f>IFERROR(__xludf.DUMMYFUNCTION("""COMPUTED_VALUE"""),"")</f>
        <v/>
      </c>
      <c r="L1137" s="5" t="str">
        <f>IFERROR(__xludf.DUMMYFUNCTION("""COMPUTED_VALUE"""),"")</f>
        <v/>
      </c>
      <c r="M1137" s="5" t="str">
        <f>IFERROR(__xludf.DUMMYFUNCTION("""COMPUTED_VALUE"""),"")</f>
        <v/>
      </c>
      <c r="N1137" s="5" t="str">
        <f>IFERROR(__xludf.DUMMYFUNCTION("""COMPUTED_VALUE"""),"")</f>
        <v/>
      </c>
      <c r="O1137" s="5" t="str">
        <f>IFERROR(__xludf.DUMMYFUNCTION("""COMPUTED_VALUE"""),"")</f>
        <v/>
      </c>
      <c r="P1137" s="5" t="str">
        <f>IFERROR(__xludf.DUMMYFUNCTION("""COMPUTED_VALUE"""),"")</f>
        <v/>
      </c>
      <c r="Q1137" s="5" t="str">
        <f>IFERROR(__xludf.DUMMYFUNCTION("""COMPUTED_VALUE"""),"")</f>
        <v/>
      </c>
      <c r="R1137" s="5" t="str">
        <f>IFERROR(__xludf.DUMMYFUNCTION("""COMPUTED_VALUE"""),"")</f>
        <v/>
      </c>
      <c r="S1137" s="5" t="str">
        <f>IFERROR(__xludf.DUMMYFUNCTION("""COMPUTED_VALUE"""),"")</f>
        <v/>
      </c>
      <c r="T1137" s="5" t="str">
        <f>IFERROR(__xludf.DUMMYFUNCTION("""COMPUTED_VALUE"""),"")</f>
        <v/>
      </c>
      <c r="U1137" s="5" t="str">
        <f>IFERROR(__xludf.DUMMYFUNCTION("""COMPUTED_VALUE"""),"")</f>
        <v/>
      </c>
      <c r="V1137" s="5" t="str">
        <f>IFERROR(__xludf.DUMMYFUNCTION("""COMPUTED_VALUE"""),"")</f>
        <v/>
      </c>
      <c r="W1137" s="5" t="str">
        <f>IFERROR(__xludf.DUMMYFUNCTION("""COMPUTED_VALUE"""),"")</f>
        <v/>
      </c>
      <c r="X1137" s="5" t="str">
        <f>IFERROR(__xludf.DUMMYFUNCTION("""COMPUTED_VALUE"""),"")</f>
        <v/>
      </c>
      <c r="Y1137" s="5"/>
      <c r="Z1137" s="5"/>
    </row>
    <row r="1138">
      <c r="A1138" s="5"/>
      <c r="B1138" s="5" t="str">
        <f>IFERROR(__xludf.DUMMYFUNCTION("""COMPUTED_VALUE"""),"")</f>
        <v/>
      </c>
      <c r="C1138" s="5" t="str">
        <f>IFERROR(__xludf.DUMMYFUNCTION("""COMPUTED_VALUE"""),"")</f>
        <v/>
      </c>
      <c r="D1138" s="5" t="str">
        <f>IFERROR(__xludf.DUMMYFUNCTION("""COMPUTED_VALUE"""),"")</f>
        <v/>
      </c>
      <c r="E1138" s="5" t="str">
        <f>IFERROR(__xludf.DUMMYFUNCTION("""COMPUTED_VALUE"""),"")</f>
        <v/>
      </c>
      <c r="F1138" s="5" t="str">
        <f>IFERROR(__xludf.DUMMYFUNCTION("""COMPUTED_VALUE"""),"")</f>
        <v/>
      </c>
      <c r="G1138" s="5" t="str">
        <f>IFERROR(__xludf.DUMMYFUNCTION("""COMPUTED_VALUE"""),"")</f>
        <v/>
      </c>
      <c r="H1138" s="5" t="str">
        <f>IFERROR(__xludf.DUMMYFUNCTION("""COMPUTED_VALUE"""),"")</f>
        <v/>
      </c>
      <c r="I1138" s="5" t="str">
        <f>IFERROR(__xludf.DUMMYFUNCTION("""COMPUTED_VALUE"""),"")</f>
        <v/>
      </c>
      <c r="J1138" s="5" t="str">
        <f>IFERROR(__xludf.DUMMYFUNCTION("""COMPUTED_VALUE"""),"")</f>
        <v/>
      </c>
      <c r="K1138" s="5" t="str">
        <f>IFERROR(__xludf.DUMMYFUNCTION("""COMPUTED_VALUE"""),"")</f>
        <v/>
      </c>
      <c r="L1138" s="5" t="str">
        <f>IFERROR(__xludf.DUMMYFUNCTION("""COMPUTED_VALUE"""),"")</f>
        <v/>
      </c>
      <c r="M1138" s="5" t="str">
        <f>IFERROR(__xludf.DUMMYFUNCTION("""COMPUTED_VALUE"""),"")</f>
        <v/>
      </c>
      <c r="N1138" s="5" t="str">
        <f>IFERROR(__xludf.DUMMYFUNCTION("""COMPUTED_VALUE"""),"")</f>
        <v/>
      </c>
      <c r="O1138" s="5" t="str">
        <f>IFERROR(__xludf.DUMMYFUNCTION("""COMPUTED_VALUE"""),"")</f>
        <v/>
      </c>
      <c r="P1138" s="5" t="str">
        <f>IFERROR(__xludf.DUMMYFUNCTION("""COMPUTED_VALUE"""),"")</f>
        <v/>
      </c>
      <c r="Q1138" s="5" t="str">
        <f>IFERROR(__xludf.DUMMYFUNCTION("""COMPUTED_VALUE"""),"")</f>
        <v/>
      </c>
      <c r="R1138" s="5" t="str">
        <f>IFERROR(__xludf.DUMMYFUNCTION("""COMPUTED_VALUE"""),"")</f>
        <v/>
      </c>
      <c r="S1138" s="5" t="str">
        <f>IFERROR(__xludf.DUMMYFUNCTION("""COMPUTED_VALUE"""),"")</f>
        <v/>
      </c>
      <c r="T1138" s="5" t="str">
        <f>IFERROR(__xludf.DUMMYFUNCTION("""COMPUTED_VALUE"""),"")</f>
        <v/>
      </c>
      <c r="U1138" s="5" t="str">
        <f>IFERROR(__xludf.DUMMYFUNCTION("""COMPUTED_VALUE"""),"")</f>
        <v/>
      </c>
      <c r="V1138" s="5" t="str">
        <f>IFERROR(__xludf.DUMMYFUNCTION("""COMPUTED_VALUE"""),"")</f>
        <v/>
      </c>
      <c r="W1138" s="5" t="str">
        <f>IFERROR(__xludf.DUMMYFUNCTION("""COMPUTED_VALUE"""),"")</f>
        <v/>
      </c>
      <c r="X1138" s="5" t="str">
        <f>IFERROR(__xludf.DUMMYFUNCTION("""COMPUTED_VALUE"""),"")</f>
        <v/>
      </c>
      <c r="Y1138" s="5"/>
      <c r="Z1138" s="5"/>
    </row>
    <row r="1139">
      <c r="A1139" s="5"/>
      <c r="B1139" s="5" t="str">
        <f>IFERROR(__xludf.DUMMYFUNCTION("""COMPUTED_VALUE"""),"")</f>
        <v/>
      </c>
      <c r="C1139" s="5" t="str">
        <f>IFERROR(__xludf.DUMMYFUNCTION("""COMPUTED_VALUE"""),"")</f>
        <v/>
      </c>
      <c r="D1139" s="5" t="str">
        <f>IFERROR(__xludf.DUMMYFUNCTION("""COMPUTED_VALUE"""),"")</f>
        <v/>
      </c>
      <c r="E1139" s="5" t="str">
        <f>IFERROR(__xludf.DUMMYFUNCTION("""COMPUTED_VALUE"""),"")</f>
        <v/>
      </c>
      <c r="F1139" s="5" t="str">
        <f>IFERROR(__xludf.DUMMYFUNCTION("""COMPUTED_VALUE"""),"")</f>
        <v/>
      </c>
      <c r="G1139" s="5" t="str">
        <f>IFERROR(__xludf.DUMMYFUNCTION("""COMPUTED_VALUE"""),"")</f>
        <v/>
      </c>
      <c r="H1139" s="5" t="str">
        <f>IFERROR(__xludf.DUMMYFUNCTION("""COMPUTED_VALUE"""),"")</f>
        <v/>
      </c>
      <c r="I1139" s="5" t="str">
        <f>IFERROR(__xludf.DUMMYFUNCTION("""COMPUTED_VALUE"""),"")</f>
        <v/>
      </c>
      <c r="J1139" s="5" t="str">
        <f>IFERROR(__xludf.DUMMYFUNCTION("""COMPUTED_VALUE"""),"")</f>
        <v/>
      </c>
      <c r="K1139" s="5" t="str">
        <f>IFERROR(__xludf.DUMMYFUNCTION("""COMPUTED_VALUE"""),"")</f>
        <v/>
      </c>
      <c r="L1139" s="5" t="str">
        <f>IFERROR(__xludf.DUMMYFUNCTION("""COMPUTED_VALUE"""),"")</f>
        <v/>
      </c>
      <c r="M1139" s="5" t="str">
        <f>IFERROR(__xludf.DUMMYFUNCTION("""COMPUTED_VALUE"""),"")</f>
        <v/>
      </c>
      <c r="N1139" s="5" t="str">
        <f>IFERROR(__xludf.DUMMYFUNCTION("""COMPUTED_VALUE"""),"")</f>
        <v/>
      </c>
      <c r="O1139" s="5" t="str">
        <f>IFERROR(__xludf.DUMMYFUNCTION("""COMPUTED_VALUE"""),"")</f>
        <v/>
      </c>
      <c r="P1139" s="5" t="str">
        <f>IFERROR(__xludf.DUMMYFUNCTION("""COMPUTED_VALUE"""),"")</f>
        <v/>
      </c>
      <c r="Q1139" s="5" t="str">
        <f>IFERROR(__xludf.DUMMYFUNCTION("""COMPUTED_VALUE"""),"")</f>
        <v/>
      </c>
      <c r="R1139" s="5" t="str">
        <f>IFERROR(__xludf.DUMMYFUNCTION("""COMPUTED_VALUE"""),"")</f>
        <v/>
      </c>
      <c r="S1139" s="5" t="str">
        <f>IFERROR(__xludf.DUMMYFUNCTION("""COMPUTED_VALUE"""),"")</f>
        <v/>
      </c>
      <c r="T1139" s="5" t="str">
        <f>IFERROR(__xludf.DUMMYFUNCTION("""COMPUTED_VALUE"""),"")</f>
        <v/>
      </c>
      <c r="U1139" s="5" t="str">
        <f>IFERROR(__xludf.DUMMYFUNCTION("""COMPUTED_VALUE"""),"")</f>
        <v/>
      </c>
      <c r="V1139" s="5" t="str">
        <f>IFERROR(__xludf.DUMMYFUNCTION("""COMPUTED_VALUE"""),"")</f>
        <v/>
      </c>
      <c r="W1139" s="5" t="str">
        <f>IFERROR(__xludf.DUMMYFUNCTION("""COMPUTED_VALUE"""),"")</f>
        <v/>
      </c>
      <c r="X1139" s="5" t="str">
        <f>IFERROR(__xludf.DUMMYFUNCTION("""COMPUTED_VALUE"""),"")</f>
        <v/>
      </c>
      <c r="Y1139" s="5"/>
      <c r="Z1139" s="5"/>
    </row>
    <row r="1140">
      <c r="A1140" s="5"/>
      <c r="B1140" s="5" t="str">
        <f>IFERROR(__xludf.DUMMYFUNCTION("""COMPUTED_VALUE"""),"")</f>
        <v/>
      </c>
      <c r="C1140" s="5" t="str">
        <f>IFERROR(__xludf.DUMMYFUNCTION("""COMPUTED_VALUE"""),"")</f>
        <v/>
      </c>
      <c r="D1140" s="5" t="str">
        <f>IFERROR(__xludf.DUMMYFUNCTION("""COMPUTED_VALUE"""),"")</f>
        <v/>
      </c>
      <c r="E1140" s="5" t="str">
        <f>IFERROR(__xludf.DUMMYFUNCTION("""COMPUTED_VALUE"""),"")</f>
        <v/>
      </c>
      <c r="F1140" s="5" t="str">
        <f>IFERROR(__xludf.DUMMYFUNCTION("""COMPUTED_VALUE"""),"")</f>
        <v/>
      </c>
      <c r="G1140" s="5" t="str">
        <f>IFERROR(__xludf.DUMMYFUNCTION("""COMPUTED_VALUE"""),"")</f>
        <v/>
      </c>
      <c r="H1140" s="5" t="str">
        <f>IFERROR(__xludf.DUMMYFUNCTION("""COMPUTED_VALUE"""),"")</f>
        <v/>
      </c>
      <c r="I1140" s="5" t="str">
        <f>IFERROR(__xludf.DUMMYFUNCTION("""COMPUTED_VALUE"""),"")</f>
        <v/>
      </c>
      <c r="J1140" s="5" t="str">
        <f>IFERROR(__xludf.DUMMYFUNCTION("""COMPUTED_VALUE"""),"")</f>
        <v/>
      </c>
      <c r="K1140" s="5" t="str">
        <f>IFERROR(__xludf.DUMMYFUNCTION("""COMPUTED_VALUE"""),"")</f>
        <v/>
      </c>
      <c r="L1140" s="5" t="str">
        <f>IFERROR(__xludf.DUMMYFUNCTION("""COMPUTED_VALUE"""),"")</f>
        <v/>
      </c>
      <c r="M1140" s="5" t="str">
        <f>IFERROR(__xludf.DUMMYFUNCTION("""COMPUTED_VALUE"""),"")</f>
        <v/>
      </c>
      <c r="N1140" s="5" t="str">
        <f>IFERROR(__xludf.DUMMYFUNCTION("""COMPUTED_VALUE"""),"")</f>
        <v/>
      </c>
      <c r="O1140" s="5" t="str">
        <f>IFERROR(__xludf.DUMMYFUNCTION("""COMPUTED_VALUE"""),"")</f>
        <v/>
      </c>
      <c r="P1140" s="5" t="str">
        <f>IFERROR(__xludf.DUMMYFUNCTION("""COMPUTED_VALUE"""),"")</f>
        <v/>
      </c>
      <c r="Q1140" s="5" t="str">
        <f>IFERROR(__xludf.DUMMYFUNCTION("""COMPUTED_VALUE"""),"")</f>
        <v/>
      </c>
      <c r="R1140" s="5" t="str">
        <f>IFERROR(__xludf.DUMMYFUNCTION("""COMPUTED_VALUE"""),"")</f>
        <v/>
      </c>
      <c r="S1140" s="5" t="str">
        <f>IFERROR(__xludf.DUMMYFUNCTION("""COMPUTED_VALUE"""),"")</f>
        <v/>
      </c>
      <c r="T1140" s="5" t="str">
        <f>IFERROR(__xludf.DUMMYFUNCTION("""COMPUTED_VALUE"""),"")</f>
        <v/>
      </c>
      <c r="U1140" s="5" t="str">
        <f>IFERROR(__xludf.DUMMYFUNCTION("""COMPUTED_VALUE"""),"")</f>
        <v/>
      </c>
      <c r="V1140" s="5" t="str">
        <f>IFERROR(__xludf.DUMMYFUNCTION("""COMPUTED_VALUE"""),"")</f>
        <v/>
      </c>
      <c r="W1140" s="5" t="str">
        <f>IFERROR(__xludf.DUMMYFUNCTION("""COMPUTED_VALUE"""),"")</f>
        <v/>
      </c>
      <c r="X1140" s="5" t="str">
        <f>IFERROR(__xludf.DUMMYFUNCTION("""COMPUTED_VALUE"""),"")</f>
        <v/>
      </c>
      <c r="Y1140" s="5"/>
      <c r="Z1140" s="5"/>
    </row>
    <row r="1141">
      <c r="A1141" s="5"/>
      <c r="B1141" s="5" t="str">
        <f>IFERROR(__xludf.DUMMYFUNCTION("""COMPUTED_VALUE"""),"")</f>
        <v/>
      </c>
      <c r="C1141" s="5" t="str">
        <f>IFERROR(__xludf.DUMMYFUNCTION("""COMPUTED_VALUE"""),"")</f>
        <v/>
      </c>
      <c r="D1141" s="5" t="str">
        <f>IFERROR(__xludf.DUMMYFUNCTION("""COMPUTED_VALUE"""),"")</f>
        <v/>
      </c>
      <c r="E1141" s="5" t="str">
        <f>IFERROR(__xludf.DUMMYFUNCTION("""COMPUTED_VALUE"""),"")</f>
        <v/>
      </c>
      <c r="F1141" s="5" t="str">
        <f>IFERROR(__xludf.DUMMYFUNCTION("""COMPUTED_VALUE"""),"")</f>
        <v/>
      </c>
      <c r="G1141" s="5" t="str">
        <f>IFERROR(__xludf.DUMMYFUNCTION("""COMPUTED_VALUE"""),"")</f>
        <v/>
      </c>
      <c r="H1141" s="5" t="str">
        <f>IFERROR(__xludf.DUMMYFUNCTION("""COMPUTED_VALUE"""),"")</f>
        <v/>
      </c>
      <c r="I1141" s="5" t="str">
        <f>IFERROR(__xludf.DUMMYFUNCTION("""COMPUTED_VALUE"""),"")</f>
        <v/>
      </c>
      <c r="J1141" s="5" t="str">
        <f>IFERROR(__xludf.DUMMYFUNCTION("""COMPUTED_VALUE"""),"")</f>
        <v/>
      </c>
      <c r="K1141" s="5" t="str">
        <f>IFERROR(__xludf.DUMMYFUNCTION("""COMPUTED_VALUE"""),"")</f>
        <v/>
      </c>
      <c r="L1141" s="5" t="str">
        <f>IFERROR(__xludf.DUMMYFUNCTION("""COMPUTED_VALUE"""),"")</f>
        <v/>
      </c>
      <c r="M1141" s="5" t="str">
        <f>IFERROR(__xludf.DUMMYFUNCTION("""COMPUTED_VALUE"""),"")</f>
        <v/>
      </c>
      <c r="N1141" s="5" t="str">
        <f>IFERROR(__xludf.DUMMYFUNCTION("""COMPUTED_VALUE"""),"")</f>
        <v/>
      </c>
      <c r="O1141" s="5" t="str">
        <f>IFERROR(__xludf.DUMMYFUNCTION("""COMPUTED_VALUE"""),"")</f>
        <v/>
      </c>
      <c r="P1141" s="5" t="str">
        <f>IFERROR(__xludf.DUMMYFUNCTION("""COMPUTED_VALUE"""),"")</f>
        <v/>
      </c>
      <c r="Q1141" s="5" t="str">
        <f>IFERROR(__xludf.DUMMYFUNCTION("""COMPUTED_VALUE"""),"")</f>
        <v/>
      </c>
      <c r="R1141" s="5" t="str">
        <f>IFERROR(__xludf.DUMMYFUNCTION("""COMPUTED_VALUE"""),"")</f>
        <v/>
      </c>
      <c r="S1141" s="5" t="str">
        <f>IFERROR(__xludf.DUMMYFUNCTION("""COMPUTED_VALUE"""),"")</f>
        <v/>
      </c>
      <c r="T1141" s="5" t="str">
        <f>IFERROR(__xludf.DUMMYFUNCTION("""COMPUTED_VALUE"""),"")</f>
        <v/>
      </c>
      <c r="U1141" s="5" t="str">
        <f>IFERROR(__xludf.DUMMYFUNCTION("""COMPUTED_VALUE"""),"")</f>
        <v/>
      </c>
      <c r="V1141" s="5" t="str">
        <f>IFERROR(__xludf.DUMMYFUNCTION("""COMPUTED_VALUE"""),"")</f>
        <v/>
      </c>
      <c r="W1141" s="5" t="str">
        <f>IFERROR(__xludf.DUMMYFUNCTION("""COMPUTED_VALUE"""),"")</f>
        <v/>
      </c>
      <c r="X1141" s="5" t="str">
        <f>IFERROR(__xludf.DUMMYFUNCTION("""COMPUTED_VALUE"""),"")</f>
        <v/>
      </c>
      <c r="Y1141" s="5"/>
      <c r="Z1141" s="5"/>
    </row>
    <row r="1142">
      <c r="A1142" s="5"/>
      <c r="B1142" s="5" t="str">
        <f>IFERROR(__xludf.DUMMYFUNCTION("""COMPUTED_VALUE"""),"")</f>
        <v/>
      </c>
      <c r="C1142" s="5" t="str">
        <f>IFERROR(__xludf.DUMMYFUNCTION("""COMPUTED_VALUE"""),"")</f>
        <v/>
      </c>
      <c r="D1142" s="5" t="str">
        <f>IFERROR(__xludf.DUMMYFUNCTION("""COMPUTED_VALUE"""),"")</f>
        <v/>
      </c>
      <c r="E1142" s="5" t="str">
        <f>IFERROR(__xludf.DUMMYFUNCTION("""COMPUTED_VALUE"""),"")</f>
        <v/>
      </c>
      <c r="F1142" s="5" t="str">
        <f>IFERROR(__xludf.DUMMYFUNCTION("""COMPUTED_VALUE"""),"")</f>
        <v/>
      </c>
      <c r="G1142" s="5" t="str">
        <f>IFERROR(__xludf.DUMMYFUNCTION("""COMPUTED_VALUE"""),"")</f>
        <v/>
      </c>
      <c r="H1142" s="5" t="str">
        <f>IFERROR(__xludf.DUMMYFUNCTION("""COMPUTED_VALUE"""),"")</f>
        <v/>
      </c>
      <c r="I1142" s="5" t="str">
        <f>IFERROR(__xludf.DUMMYFUNCTION("""COMPUTED_VALUE"""),"")</f>
        <v/>
      </c>
      <c r="J1142" s="5" t="str">
        <f>IFERROR(__xludf.DUMMYFUNCTION("""COMPUTED_VALUE"""),"")</f>
        <v/>
      </c>
      <c r="K1142" s="5" t="str">
        <f>IFERROR(__xludf.DUMMYFUNCTION("""COMPUTED_VALUE"""),"")</f>
        <v/>
      </c>
      <c r="L1142" s="5" t="str">
        <f>IFERROR(__xludf.DUMMYFUNCTION("""COMPUTED_VALUE"""),"")</f>
        <v/>
      </c>
      <c r="M1142" s="5" t="str">
        <f>IFERROR(__xludf.DUMMYFUNCTION("""COMPUTED_VALUE"""),"")</f>
        <v/>
      </c>
      <c r="N1142" s="5" t="str">
        <f>IFERROR(__xludf.DUMMYFUNCTION("""COMPUTED_VALUE"""),"")</f>
        <v/>
      </c>
      <c r="O1142" s="5" t="str">
        <f>IFERROR(__xludf.DUMMYFUNCTION("""COMPUTED_VALUE"""),"")</f>
        <v/>
      </c>
      <c r="P1142" s="5" t="str">
        <f>IFERROR(__xludf.DUMMYFUNCTION("""COMPUTED_VALUE"""),"")</f>
        <v/>
      </c>
      <c r="Q1142" s="5" t="str">
        <f>IFERROR(__xludf.DUMMYFUNCTION("""COMPUTED_VALUE"""),"")</f>
        <v/>
      </c>
      <c r="R1142" s="5" t="str">
        <f>IFERROR(__xludf.DUMMYFUNCTION("""COMPUTED_VALUE"""),"")</f>
        <v/>
      </c>
      <c r="S1142" s="5" t="str">
        <f>IFERROR(__xludf.DUMMYFUNCTION("""COMPUTED_VALUE"""),"")</f>
        <v/>
      </c>
      <c r="T1142" s="5" t="str">
        <f>IFERROR(__xludf.DUMMYFUNCTION("""COMPUTED_VALUE"""),"")</f>
        <v/>
      </c>
      <c r="U1142" s="5" t="str">
        <f>IFERROR(__xludf.DUMMYFUNCTION("""COMPUTED_VALUE"""),"")</f>
        <v/>
      </c>
      <c r="V1142" s="5" t="str">
        <f>IFERROR(__xludf.DUMMYFUNCTION("""COMPUTED_VALUE"""),"")</f>
        <v/>
      </c>
      <c r="W1142" s="5" t="str">
        <f>IFERROR(__xludf.DUMMYFUNCTION("""COMPUTED_VALUE"""),"")</f>
        <v/>
      </c>
      <c r="X1142" s="5" t="str">
        <f>IFERROR(__xludf.DUMMYFUNCTION("""COMPUTED_VALUE"""),"")</f>
        <v/>
      </c>
      <c r="Y1142" s="5"/>
      <c r="Z1142" s="5"/>
    </row>
    <row r="1143">
      <c r="A1143" s="5"/>
      <c r="B1143" s="5" t="str">
        <f>IFERROR(__xludf.DUMMYFUNCTION("""COMPUTED_VALUE"""),"")</f>
        <v/>
      </c>
      <c r="C1143" s="5" t="str">
        <f>IFERROR(__xludf.DUMMYFUNCTION("""COMPUTED_VALUE"""),"")</f>
        <v/>
      </c>
      <c r="D1143" s="5" t="str">
        <f>IFERROR(__xludf.DUMMYFUNCTION("""COMPUTED_VALUE"""),"")</f>
        <v/>
      </c>
      <c r="E1143" s="5" t="str">
        <f>IFERROR(__xludf.DUMMYFUNCTION("""COMPUTED_VALUE"""),"")</f>
        <v/>
      </c>
      <c r="F1143" s="5" t="str">
        <f>IFERROR(__xludf.DUMMYFUNCTION("""COMPUTED_VALUE"""),"")</f>
        <v/>
      </c>
      <c r="G1143" s="5" t="str">
        <f>IFERROR(__xludf.DUMMYFUNCTION("""COMPUTED_VALUE"""),"")</f>
        <v/>
      </c>
      <c r="H1143" s="5" t="str">
        <f>IFERROR(__xludf.DUMMYFUNCTION("""COMPUTED_VALUE"""),"")</f>
        <v/>
      </c>
      <c r="I1143" s="5" t="str">
        <f>IFERROR(__xludf.DUMMYFUNCTION("""COMPUTED_VALUE"""),"")</f>
        <v/>
      </c>
      <c r="J1143" s="5" t="str">
        <f>IFERROR(__xludf.DUMMYFUNCTION("""COMPUTED_VALUE"""),"")</f>
        <v/>
      </c>
      <c r="K1143" s="5" t="str">
        <f>IFERROR(__xludf.DUMMYFUNCTION("""COMPUTED_VALUE"""),"")</f>
        <v/>
      </c>
      <c r="L1143" s="5" t="str">
        <f>IFERROR(__xludf.DUMMYFUNCTION("""COMPUTED_VALUE"""),"")</f>
        <v/>
      </c>
      <c r="M1143" s="5" t="str">
        <f>IFERROR(__xludf.DUMMYFUNCTION("""COMPUTED_VALUE"""),"")</f>
        <v/>
      </c>
      <c r="N1143" s="5" t="str">
        <f>IFERROR(__xludf.DUMMYFUNCTION("""COMPUTED_VALUE"""),"")</f>
        <v/>
      </c>
      <c r="O1143" s="5" t="str">
        <f>IFERROR(__xludf.DUMMYFUNCTION("""COMPUTED_VALUE"""),"")</f>
        <v/>
      </c>
      <c r="P1143" s="5" t="str">
        <f>IFERROR(__xludf.DUMMYFUNCTION("""COMPUTED_VALUE"""),"")</f>
        <v/>
      </c>
      <c r="Q1143" s="5" t="str">
        <f>IFERROR(__xludf.DUMMYFUNCTION("""COMPUTED_VALUE"""),"")</f>
        <v/>
      </c>
      <c r="R1143" s="5" t="str">
        <f>IFERROR(__xludf.DUMMYFUNCTION("""COMPUTED_VALUE"""),"")</f>
        <v/>
      </c>
      <c r="S1143" s="5" t="str">
        <f>IFERROR(__xludf.DUMMYFUNCTION("""COMPUTED_VALUE"""),"")</f>
        <v/>
      </c>
      <c r="T1143" s="5" t="str">
        <f>IFERROR(__xludf.DUMMYFUNCTION("""COMPUTED_VALUE"""),"")</f>
        <v/>
      </c>
      <c r="U1143" s="5" t="str">
        <f>IFERROR(__xludf.DUMMYFUNCTION("""COMPUTED_VALUE"""),"")</f>
        <v/>
      </c>
      <c r="V1143" s="5" t="str">
        <f>IFERROR(__xludf.DUMMYFUNCTION("""COMPUTED_VALUE"""),"")</f>
        <v/>
      </c>
      <c r="W1143" s="5" t="str">
        <f>IFERROR(__xludf.DUMMYFUNCTION("""COMPUTED_VALUE"""),"")</f>
        <v/>
      </c>
      <c r="X1143" s="5" t="str">
        <f>IFERROR(__xludf.DUMMYFUNCTION("""COMPUTED_VALUE"""),"")</f>
        <v/>
      </c>
      <c r="Y1143" s="5"/>
      <c r="Z1143" s="5"/>
    </row>
    <row r="1144">
      <c r="A1144" s="5"/>
      <c r="B1144" s="5" t="str">
        <f>IFERROR(__xludf.DUMMYFUNCTION("""COMPUTED_VALUE"""),"")</f>
        <v/>
      </c>
      <c r="C1144" s="5" t="str">
        <f>IFERROR(__xludf.DUMMYFUNCTION("""COMPUTED_VALUE"""),"")</f>
        <v/>
      </c>
      <c r="D1144" s="5" t="str">
        <f>IFERROR(__xludf.DUMMYFUNCTION("""COMPUTED_VALUE"""),"")</f>
        <v/>
      </c>
      <c r="E1144" s="5" t="str">
        <f>IFERROR(__xludf.DUMMYFUNCTION("""COMPUTED_VALUE"""),"")</f>
        <v/>
      </c>
      <c r="F1144" s="5" t="str">
        <f>IFERROR(__xludf.DUMMYFUNCTION("""COMPUTED_VALUE"""),"")</f>
        <v/>
      </c>
      <c r="G1144" s="5" t="str">
        <f>IFERROR(__xludf.DUMMYFUNCTION("""COMPUTED_VALUE"""),"")</f>
        <v/>
      </c>
      <c r="H1144" s="5" t="str">
        <f>IFERROR(__xludf.DUMMYFUNCTION("""COMPUTED_VALUE"""),"")</f>
        <v/>
      </c>
      <c r="I1144" s="5" t="str">
        <f>IFERROR(__xludf.DUMMYFUNCTION("""COMPUTED_VALUE"""),"")</f>
        <v/>
      </c>
      <c r="J1144" s="5" t="str">
        <f>IFERROR(__xludf.DUMMYFUNCTION("""COMPUTED_VALUE"""),"")</f>
        <v/>
      </c>
      <c r="K1144" s="5" t="str">
        <f>IFERROR(__xludf.DUMMYFUNCTION("""COMPUTED_VALUE"""),"")</f>
        <v/>
      </c>
      <c r="L1144" s="5" t="str">
        <f>IFERROR(__xludf.DUMMYFUNCTION("""COMPUTED_VALUE"""),"")</f>
        <v/>
      </c>
      <c r="M1144" s="5" t="str">
        <f>IFERROR(__xludf.DUMMYFUNCTION("""COMPUTED_VALUE"""),"")</f>
        <v/>
      </c>
      <c r="N1144" s="5" t="str">
        <f>IFERROR(__xludf.DUMMYFUNCTION("""COMPUTED_VALUE"""),"")</f>
        <v/>
      </c>
      <c r="O1144" s="5" t="str">
        <f>IFERROR(__xludf.DUMMYFUNCTION("""COMPUTED_VALUE"""),"")</f>
        <v/>
      </c>
      <c r="P1144" s="5" t="str">
        <f>IFERROR(__xludf.DUMMYFUNCTION("""COMPUTED_VALUE"""),"")</f>
        <v/>
      </c>
      <c r="Q1144" s="5" t="str">
        <f>IFERROR(__xludf.DUMMYFUNCTION("""COMPUTED_VALUE"""),"")</f>
        <v/>
      </c>
      <c r="R1144" s="5" t="str">
        <f>IFERROR(__xludf.DUMMYFUNCTION("""COMPUTED_VALUE"""),"")</f>
        <v/>
      </c>
      <c r="S1144" s="5" t="str">
        <f>IFERROR(__xludf.DUMMYFUNCTION("""COMPUTED_VALUE"""),"")</f>
        <v/>
      </c>
      <c r="T1144" s="5" t="str">
        <f>IFERROR(__xludf.DUMMYFUNCTION("""COMPUTED_VALUE"""),"")</f>
        <v/>
      </c>
      <c r="U1144" s="5" t="str">
        <f>IFERROR(__xludf.DUMMYFUNCTION("""COMPUTED_VALUE"""),"")</f>
        <v/>
      </c>
      <c r="V1144" s="5" t="str">
        <f>IFERROR(__xludf.DUMMYFUNCTION("""COMPUTED_VALUE"""),"")</f>
        <v/>
      </c>
      <c r="W1144" s="5" t="str">
        <f>IFERROR(__xludf.DUMMYFUNCTION("""COMPUTED_VALUE"""),"")</f>
        <v/>
      </c>
      <c r="X1144" s="5" t="str">
        <f>IFERROR(__xludf.DUMMYFUNCTION("""COMPUTED_VALUE"""),"")</f>
        <v/>
      </c>
      <c r="Y1144" s="5"/>
      <c r="Z1144" s="5"/>
    </row>
    <row r="1145">
      <c r="A1145" s="5"/>
      <c r="B1145" s="5" t="str">
        <f>IFERROR(__xludf.DUMMYFUNCTION("""COMPUTED_VALUE"""),"")</f>
        <v/>
      </c>
      <c r="C1145" s="5" t="str">
        <f>IFERROR(__xludf.DUMMYFUNCTION("""COMPUTED_VALUE"""),"")</f>
        <v/>
      </c>
      <c r="D1145" s="5" t="str">
        <f>IFERROR(__xludf.DUMMYFUNCTION("""COMPUTED_VALUE"""),"")</f>
        <v/>
      </c>
      <c r="E1145" s="5" t="str">
        <f>IFERROR(__xludf.DUMMYFUNCTION("""COMPUTED_VALUE"""),"")</f>
        <v/>
      </c>
      <c r="F1145" s="5" t="str">
        <f>IFERROR(__xludf.DUMMYFUNCTION("""COMPUTED_VALUE"""),"")</f>
        <v/>
      </c>
      <c r="G1145" s="5" t="str">
        <f>IFERROR(__xludf.DUMMYFUNCTION("""COMPUTED_VALUE"""),"")</f>
        <v/>
      </c>
      <c r="H1145" s="5" t="str">
        <f>IFERROR(__xludf.DUMMYFUNCTION("""COMPUTED_VALUE"""),"")</f>
        <v/>
      </c>
      <c r="I1145" s="5" t="str">
        <f>IFERROR(__xludf.DUMMYFUNCTION("""COMPUTED_VALUE"""),"")</f>
        <v/>
      </c>
      <c r="J1145" s="5" t="str">
        <f>IFERROR(__xludf.DUMMYFUNCTION("""COMPUTED_VALUE"""),"")</f>
        <v/>
      </c>
      <c r="K1145" s="5" t="str">
        <f>IFERROR(__xludf.DUMMYFUNCTION("""COMPUTED_VALUE"""),"")</f>
        <v/>
      </c>
      <c r="L1145" s="5" t="str">
        <f>IFERROR(__xludf.DUMMYFUNCTION("""COMPUTED_VALUE"""),"")</f>
        <v/>
      </c>
      <c r="M1145" s="5" t="str">
        <f>IFERROR(__xludf.DUMMYFUNCTION("""COMPUTED_VALUE"""),"")</f>
        <v/>
      </c>
      <c r="N1145" s="5" t="str">
        <f>IFERROR(__xludf.DUMMYFUNCTION("""COMPUTED_VALUE"""),"")</f>
        <v/>
      </c>
      <c r="O1145" s="5" t="str">
        <f>IFERROR(__xludf.DUMMYFUNCTION("""COMPUTED_VALUE"""),"")</f>
        <v/>
      </c>
      <c r="P1145" s="5" t="str">
        <f>IFERROR(__xludf.DUMMYFUNCTION("""COMPUTED_VALUE"""),"")</f>
        <v/>
      </c>
      <c r="Q1145" s="5" t="str">
        <f>IFERROR(__xludf.DUMMYFUNCTION("""COMPUTED_VALUE"""),"")</f>
        <v/>
      </c>
      <c r="R1145" s="5" t="str">
        <f>IFERROR(__xludf.DUMMYFUNCTION("""COMPUTED_VALUE"""),"")</f>
        <v/>
      </c>
      <c r="S1145" s="5" t="str">
        <f>IFERROR(__xludf.DUMMYFUNCTION("""COMPUTED_VALUE"""),"")</f>
        <v/>
      </c>
      <c r="T1145" s="5" t="str">
        <f>IFERROR(__xludf.DUMMYFUNCTION("""COMPUTED_VALUE"""),"")</f>
        <v/>
      </c>
      <c r="U1145" s="5" t="str">
        <f>IFERROR(__xludf.DUMMYFUNCTION("""COMPUTED_VALUE"""),"")</f>
        <v/>
      </c>
      <c r="V1145" s="5" t="str">
        <f>IFERROR(__xludf.DUMMYFUNCTION("""COMPUTED_VALUE"""),"")</f>
        <v/>
      </c>
      <c r="W1145" s="5" t="str">
        <f>IFERROR(__xludf.DUMMYFUNCTION("""COMPUTED_VALUE"""),"")</f>
        <v/>
      </c>
      <c r="X1145" s="5" t="str">
        <f>IFERROR(__xludf.DUMMYFUNCTION("""COMPUTED_VALUE"""),"")</f>
        <v/>
      </c>
      <c r="Y1145" s="5"/>
      <c r="Z1145" s="5"/>
    </row>
    <row r="1146">
      <c r="A1146" s="5"/>
      <c r="B1146" s="5" t="str">
        <f>IFERROR(__xludf.DUMMYFUNCTION("""COMPUTED_VALUE"""),"")</f>
        <v/>
      </c>
      <c r="C1146" s="5" t="str">
        <f>IFERROR(__xludf.DUMMYFUNCTION("""COMPUTED_VALUE"""),"")</f>
        <v/>
      </c>
      <c r="D1146" s="5" t="str">
        <f>IFERROR(__xludf.DUMMYFUNCTION("""COMPUTED_VALUE"""),"")</f>
        <v/>
      </c>
      <c r="E1146" s="5" t="str">
        <f>IFERROR(__xludf.DUMMYFUNCTION("""COMPUTED_VALUE"""),"")</f>
        <v/>
      </c>
      <c r="F1146" s="5" t="str">
        <f>IFERROR(__xludf.DUMMYFUNCTION("""COMPUTED_VALUE"""),"")</f>
        <v/>
      </c>
      <c r="G1146" s="5" t="str">
        <f>IFERROR(__xludf.DUMMYFUNCTION("""COMPUTED_VALUE"""),"")</f>
        <v/>
      </c>
      <c r="H1146" s="5" t="str">
        <f>IFERROR(__xludf.DUMMYFUNCTION("""COMPUTED_VALUE"""),"")</f>
        <v/>
      </c>
      <c r="I1146" s="5" t="str">
        <f>IFERROR(__xludf.DUMMYFUNCTION("""COMPUTED_VALUE"""),"")</f>
        <v/>
      </c>
      <c r="J1146" s="5" t="str">
        <f>IFERROR(__xludf.DUMMYFUNCTION("""COMPUTED_VALUE"""),"")</f>
        <v/>
      </c>
      <c r="K1146" s="5" t="str">
        <f>IFERROR(__xludf.DUMMYFUNCTION("""COMPUTED_VALUE"""),"")</f>
        <v/>
      </c>
      <c r="L1146" s="5" t="str">
        <f>IFERROR(__xludf.DUMMYFUNCTION("""COMPUTED_VALUE"""),"")</f>
        <v/>
      </c>
      <c r="M1146" s="5" t="str">
        <f>IFERROR(__xludf.DUMMYFUNCTION("""COMPUTED_VALUE"""),"")</f>
        <v/>
      </c>
      <c r="N1146" s="5" t="str">
        <f>IFERROR(__xludf.DUMMYFUNCTION("""COMPUTED_VALUE"""),"")</f>
        <v/>
      </c>
      <c r="O1146" s="5" t="str">
        <f>IFERROR(__xludf.DUMMYFUNCTION("""COMPUTED_VALUE"""),"")</f>
        <v/>
      </c>
      <c r="P1146" s="5" t="str">
        <f>IFERROR(__xludf.DUMMYFUNCTION("""COMPUTED_VALUE"""),"")</f>
        <v/>
      </c>
      <c r="Q1146" s="5" t="str">
        <f>IFERROR(__xludf.DUMMYFUNCTION("""COMPUTED_VALUE"""),"")</f>
        <v/>
      </c>
      <c r="R1146" s="5" t="str">
        <f>IFERROR(__xludf.DUMMYFUNCTION("""COMPUTED_VALUE"""),"")</f>
        <v/>
      </c>
      <c r="S1146" s="5" t="str">
        <f>IFERROR(__xludf.DUMMYFUNCTION("""COMPUTED_VALUE"""),"")</f>
        <v/>
      </c>
      <c r="T1146" s="5" t="str">
        <f>IFERROR(__xludf.DUMMYFUNCTION("""COMPUTED_VALUE"""),"")</f>
        <v/>
      </c>
      <c r="U1146" s="5" t="str">
        <f>IFERROR(__xludf.DUMMYFUNCTION("""COMPUTED_VALUE"""),"")</f>
        <v/>
      </c>
      <c r="V1146" s="5" t="str">
        <f>IFERROR(__xludf.DUMMYFUNCTION("""COMPUTED_VALUE"""),"")</f>
        <v/>
      </c>
      <c r="W1146" s="5" t="str">
        <f>IFERROR(__xludf.DUMMYFUNCTION("""COMPUTED_VALUE"""),"")</f>
        <v/>
      </c>
      <c r="X1146" s="5" t="str">
        <f>IFERROR(__xludf.DUMMYFUNCTION("""COMPUTED_VALUE"""),"")</f>
        <v/>
      </c>
      <c r="Y1146" s="5"/>
      <c r="Z1146" s="5"/>
    </row>
    <row r="1147">
      <c r="A1147" s="5"/>
      <c r="B1147" s="5" t="str">
        <f>IFERROR(__xludf.DUMMYFUNCTION("""COMPUTED_VALUE"""),"")</f>
        <v/>
      </c>
      <c r="C1147" s="5" t="str">
        <f>IFERROR(__xludf.DUMMYFUNCTION("""COMPUTED_VALUE"""),"")</f>
        <v/>
      </c>
      <c r="D1147" s="5" t="str">
        <f>IFERROR(__xludf.DUMMYFUNCTION("""COMPUTED_VALUE"""),"")</f>
        <v/>
      </c>
      <c r="E1147" s="5" t="str">
        <f>IFERROR(__xludf.DUMMYFUNCTION("""COMPUTED_VALUE"""),"")</f>
        <v/>
      </c>
      <c r="F1147" s="5" t="str">
        <f>IFERROR(__xludf.DUMMYFUNCTION("""COMPUTED_VALUE"""),"")</f>
        <v/>
      </c>
      <c r="G1147" s="5" t="str">
        <f>IFERROR(__xludf.DUMMYFUNCTION("""COMPUTED_VALUE"""),"")</f>
        <v/>
      </c>
      <c r="H1147" s="5" t="str">
        <f>IFERROR(__xludf.DUMMYFUNCTION("""COMPUTED_VALUE"""),"")</f>
        <v/>
      </c>
      <c r="I1147" s="5" t="str">
        <f>IFERROR(__xludf.DUMMYFUNCTION("""COMPUTED_VALUE"""),"")</f>
        <v/>
      </c>
      <c r="J1147" s="5" t="str">
        <f>IFERROR(__xludf.DUMMYFUNCTION("""COMPUTED_VALUE"""),"")</f>
        <v/>
      </c>
      <c r="K1147" s="5" t="str">
        <f>IFERROR(__xludf.DUMMYFUNCTION("""COMPUTED_VALUE"""),"")</f>
        <v/>
      </c>
      <c r="L1147" s="5" t="str">
        <f>IFERROR(__xludf.DUMMYFUNCTION("""COMPUTED_VALUE"""),"")</f>
        <v/>
      </c>
      <c r="M1147" s="5" t="str">
        <f>IFERROR(__xludf.DUMMYFUNCTION("""COMPUTED_VALUE"""),"")</f>
        <v/>
      </c>
      <c r="N1147" s="5" t="str">
        <f>IFERROR(__xludf.DUMMYFUNCTION("""COMPUTED_VALUE"""),"")</f>
        <v/>
      </c>
      <c r="O1147" s="5" t="str">
        <f>IFERROR(__xludf.DUMMYFUNCTION("""COMPUTED_VALUE"""),"")</f>
        <v/>
      </c>
      <c r="P1147" s="5" t="str">
        <f>IFERROR(__xludf.DUMMYFUNCTION("""COMPUTED_VALUE"""),"")</f>
        <v/>
      </c>
      <c r="Q1147" s="5" t="str">
        <f>IFERROR(__xludf.DUMMYFUNCTION("""COMPUTED_VALUE"""),"")</f>
        <v/>
      </c>
      <c r="R1147" s="5" t="str">
        <f>IFERROR(__xludf.DUMMYFUNCTION("""COMPUTED_VALUE"""),"")</f>
        <v/>
      </c>
      <c r="S1147" s="5" t="str">
        <f>IFERROR(__xludf.DUMMYFUNCTION("""COMPUTED_VALUE"""),"")</f>
        <v/>
      </c>
      <c r="T1147" s="5" t="str">
        <f>IFERROR(__xludf.DUMMYFUNCTION("""COMPUTED_VALUE"""),"")</f>
        <v/>
      </c>
      <c r="U1147" s="5" t="str">
        <f>IFERROR(__xludf.DUMMYFUNCTION("""COMPUTED_VALUE"""),"")</f>
        <v/>
      </c>
      <c r="V1147" s="5" t="str">
        <f>IFERROR(__xludf.DUMMYFUNCTION("""COMPUTED_VALUE"""),"")</f>
        <v/>
      </c>
      <c r="W1147" s="5" t="str">
        <f>IFERROR(__xludf.DUMMYFUNCTION("""COMPUTED_VALUE"""),"")</f>
        <v/>
      </c>
      <c r="X1147" s="5" t="str">
        <f>IFERROR(__xludf.DUMMYFUNCTION("""COMPUTED_VALUE"""),"")</f>
        <v/>
      </c>
      <c r="Y1147" s="5"/>
      <c r="Z1147" s="5"/>
    </row>
    <row r="1148">
      <c r="A1148" s="5"/>
      <c r="B1148" s="5" t="str">
        <f>IFERROR(__xludf.DUMMYFUNCTION("""COMPUTED_VALUE"""),"")</f>
        <v/>
      </c>
      <c r="C1148" s="5" t="str">
        <f>IFERROR(__xludf.DUMMYFUNCTION("""COMPUTED_VALUE"""),"")</f>
        <v/>
      </c>
      <c r="D1148" s="5" t="str">
        <f>IFERROR(__xludf.DUMMYFUNCTION("""COMPUTED_VALUE"""),"")</f>
        <v/>
      </c>
      <c r="E1148" s="5" t="str">
        <f>IFERROR(__xludf.DUMMYFUNCTION("""COMPUTED_VALUE"""),"")</f>
        <v/>
      </c>
      <c r="F1148" s="5" t="str">
        <f>IFERROR(__xludf.DUMMYFUNCTION("""COMPUTED_VALUE"""),"")</f>
        <v/>
      </c>
      <c r="G1148" s="5" t="str">
        <f>IFERROR(__xludf.DUMMYFUNCTION("""COMPUTED_VALUE"""),"")</f>
        <v/>
      </c>
      <c r="H1148" s="5" t="str">
        <f>IFERROR(__xludf.DUMMYFUNCTION("""COMPUTED_VALUE"""),"")</f>
        <v/>
      </c>
      <c r="I1148" s="5" t="str">
        <f>IFERROR(__xludf.DUMMYFUNCTION("""COMPUTED_VALUE"""),"")</f>
        <v/>
      </c>
      <c r="J1148" s="5" t="str">
        <f>IFERROR(__xludf.DUMMYFUNCTION("""COMPUTED_VALUE"""),"")</f>
        <v/>
      </c>
      <c r="K1148" s="5" t="str">
        <f>IFERROR(__xludf.DUMMYFUNCTION("""COMPUTED_VALUE"""),"")</f>
        <v/>
      </c>
      <c r="L1148" s="5" t="str">
        <f>IFERROR(__xludf.DUMMYFUNCTION("""COMPUTED_VALUE"""),"")</f>
        <v/>
      </c>
      <c r="M1148" s="5" t="str">
        <f>IFERROR(__xludf.DUMMYFUNCTION("""COMPUTED_VALUE"""),"")</f>
        <v/>
      </c>
      <c r="N1148" s="5" t="str">
        <f>IFERROR(__xludf.DUMMYFUNCTION("""COMPUTED_VALUE"""),"")</f>
        <v/>
      </c>
      <c r="O1148" s="5" t="str">
        <f>IFERROR(__xludf.DUMMYFUNCTION("""COMPUTED_VALUE"""),"")</f>
        <v/>
      </c>
      <c r="P1148" s="5" t="str">
        <f>IFERROR(__xludf.DUMMYFUNCTION("""COMPUTED_VALUE"""),"")</f>
        <v/>
      </c>
      <c r="Q1148" s="5" t="str">
        <f>IFERROR(__xludf.DUMMYFUNCTION("""COMPUTED_VALUE"""),"")</f>
        <v/>
      </c>
      <c r="R1148" s="5" t="str">
        <f>IFERROR(__xludf.DUMMYFUNCTION("""COMPUTED_VALUE"""),"")</f>
        <v/>
      </c>
      <c r="S1148" s="5" t="str">
        <f>IFERROR(__xludf.DUMMYFUNCTION("""COMPUTED_VALUE"""),"")</f>
        <v/>
      </c>
      <c r="T1148" s="5" t="str">
        <f>IFERROR(__xludf.DUMMYFUNCTION("""COMPUTED_VALUE"""),"")</f>
        <v/>
      </c>
      <c r="U1148" s="5" t="str">
        <f>IFERROR(__xludf.DUMMYFUNCTION("""COMPUTED_VALUE"""),"")</f>
        <v/>
      </c>
      <c r="V1148" s="5" t="str">
        <f>IFERROR(__xludf.DUMMYFUNCTION("""COMPUTED_VALUE"""),"")</f>
        <v/>
      </c>
      <c r="W1148" s="5" t="str">
        <f>IFERROR(__xludf.DUMMYFUNCTION("""COMPUTED_VALUE"""),"")</f>
        <v/>
      </c>
      <c r="X1148" s="5" t="str">
        <f>IFERROR(__xludf.DUMMYFUNCTION("""COMPUTED_VALUE"""),"")</f>
        <v/>
      </c>
      <c r="Y1148" s="5"/>
      <c r="Z1148" s="5"/>
    </row>
    <row r="1149">
      <c r="A1149" s="5"/>
      <c r="B1149" s="5" t="str">
        <f>IFERROR(__xludf.DUMMYFUNCTION("""COMPUTED_VALUE"""),"")</f>
        <v/>
      </c>
      <c r="C1149" s="5" t="str">
        <f>IFERROR(__xludf.DUMMYFUNCTION("""COMPUTED_VALUE"""),"")</f>
        <v/>
      </c>
      <c r="D1149" s="5" t="str">
        <f>IFERROR(__xludf.DUMMYFUNCTION("""COMPUTED_VALUE"""),"")</f>
        <v/>
      </c>
      <c r="E1149" s="5" t="str">
        <f>IFERROR(__xludf.DUMMYFUNCTION("""COMPUTED_VALUE"""),"")</f>
        <v/>
      </c>
      <c r="F1149" s="5" t="str">
        <f>IFERROR(__xludf.DUMMYFUNCTION("""COMPUTED_VALUE"""),"")</f>
        <v/>
      </c>
      <c r="G1149" s="5" t="str">
        <f>IFERROR(__xludf.DUMMYFUNCTION("""COMPUTED_VALUE"""),"")</f>
        <v/>
      </c>
      <c r="H1149" s="5" t="str">
        <f>IFERROR(__xludf.DUMMYFUNCTION("""COMPUTED_VALUE"""),"")</f>
        <v/>
      </c>
      <c r="I1149" s="5" t="str">
        <f>IFERROR(__xludf.DUMMYFUNCTION("""COMPUTED_VALUE"""),"")</f>
        <v/>
      </c>
      <c r="J1149" s="5" t="str">
        <f>IFERROR(__xludf.DUMMYFUNCTION("""COMPUTED_VALUE"""),"")</f>
        <v/>
      </c>
      <c r="K1149" s="5" t="str">
        <f>IFERROR(__xludf.DUMMYFUNCTION("""COMPUTED_VALUE"""),"")</f>
        <v/>
      </c>
      <c r="L1149" s="5" t="str">
        <f>IFERROR(__xludf.DUMMYFUNCTION("""COMPUTED_VALUE"""),"")</f>
        <v/>
      </c>
      <c r="M1149" s="5" t="str">
        <f>IFERROR(__xludf.DUMMYFUNCTION("""COMPUTED_VALUE"""),"")</f>
        <v/>
      </c>
      <c r="N1149" s="5" t="str">
        <f>IFERROR(__xludf.DUMMYFUNCTION("""COMPUTED_VALUE"""),"")</f>
        <v/>
      </c>
      <c r="O1149" s="5" t="str">
        <f>IFERROR(__xludf.DUMMYFUNCTION("""COMPUTED_VALUE"""),"")</f>
        <v/>
      </c>
      <c r="P1149" s="5" t="str">
        <f>IFERROR(__xludf.DUMMYFUNCTION("""COMPUTED_VALUE"""),"")</f>
        <v/>
      </c>
      <c r="Q1149" s="5" t="str">
        <f>IFERROR(__xludf.DUMMYFUNCTION("""COMPUTED_VALUE"""),"")</f>
        <v/>
      </c>
      <c r="R1149" s="5" t="str">
        <f>IFERROR(__xludf.DUMMYFUNCTION("""COMPUTED_VALUE"""),"")</f>
        <v/>
      </c>
      <c r="S1149" s="5" t="str">
        <f>IFERROR(__xludf.DUMMYFUNCTION("""COMPUTED_VALUE"""),"")</f>
        <v/>
      </c>
      <c r="T1149" s="5" t="str">
        <f>IFERROR(__xludf.DUMMYFUNCTION("""COMPUTED_VALUE"""),"")</f>
        <v/>
      </c>
      <c r="U1149" s="5" t="str">
        <f>IFERROR(__xludf.DUMMYFUNCTION("""COMPUTED_VALUE"""),"")</f>
        <v/>
      </c>
      <c r="V1149" s="5" t="str">
        <f>IFERROR(__xludf.DUMMYFUNCTION("""COMPUTED_VALUE"""),"")</f>
        <v/>
      </c>
      <c r="W1149" s="5" t="str">
        <f>IFERROR(__xludf.DUMMYFUNCTION("""COMPUTED_VALUE"""),"")</f>
        <v/>
      </c>
      <c r="X1149" s="5" t="str">
        <f>IFERROR(__xludf.DUMMYFUNCTION("""COMPUTED_VALUE"""),"")</f>
        <v/>
      </c>
      <c r="Y1149" s="5"/>
      <c r="Z1149" s="5"/>
    </row>
    <row r="1150">
      <c r="A1150" s="5"/>
      <c r="B1150" s="5" t="str">
        <f>IFERROR(__xludf.DUMMYFUNCTION("""COMPUTED_VALUE"""),"")</f>
        <v/>
      </c>
      <c r="C1150" s="5" t="str">
        <f>IFERROR(__xludf.DUMMYFUNCTION("""COMPUTED_VALUE"""),"")</f>
        <v/>
      </c>
      <c r="D1150" s="5" t="str">
        <f>IFERROR(__xludf.DUMMYFUNCTION("""COMPUTED_VALUE"""),"")</f>
        <v/>
      </c>
      <c r="E1150" s="5" t="str">
        <f>IFERROR(__xludf.DUMMYFUNCTION("""COMPUTED_VALUE"""),"")</f>
        <v/>
      </c>
      <c r="F1150" s="5" t="str">
        <f>IFERROR(__xludf.DUMMYFUNCTION("""COMPUTED_VALUE"""),"")</f>
        <v/>
      </c>
      <c r="G1150" s="5" t="str">
        <f>IFERROR(__xludf.DUMMYFUNCTION("""COMPUTED_VALUE"""),"")</f>
        <v/>
      </c>
      <c r="H1150" s="5" t="str">
        <f>IFERROR(__xludf.DUMMYFUNCTION("""COMPUTED_VALUE"""),"")</f>
        <v/>
      </c>
      <c r="I1150" s="5" t="str">
        <f>IFERROR(__xludf.DUMMYFUNCTION("""COMPUTED_VALUE"""),"")</f>
        <v/>
      </c>
      <c r="J1150" s="5" t="str">
        <f>IFERROR(__xludf.DUMMYFUNCTION("""COMPUTED_VALUE"""),"")</f>
        <v/>
      </c>
      <c r="K1150" s="5" t="str">
        <f>IFERROR(__xludf.DUMMYFUNCTION("""COMPUTED_VALUE"""),"")</f>
        <v/>
      </c>
      <c r="L1150" s="5" t="str">
        <f>IFERROR(__xludf.DUMMYFUNCTION("""COMPUTED_VALUE"""),"")</f>
        <v/>
      </c>
      <c r="M1150" s="5" t="str">
        <f>IFERROR(__xludf.DUMMYFUNCTION("""COMPUTED_VALUE"""),"")</f>
        <v/>
      </c>
      <c r="N1150" s="5" t="str">
        <f>IFERROR(__xludf.DUMMYFUNCTION("""COMPUTED_VALUE"""),"")</f>
        <v/>
      </c>
      <c r="O1150" s="5" t="str">
        <f>IFERROR(__xludf.DUMMYFUNCTION("""COMPUTED_VALUE"""),"")</f>
        <v/>
      </c>
      <c r="P1150" s="5" t="str">
        <f>IFERROR(__xludf.DUMMYFUNCTION("""COMPUTED_VALUE"""),"")</f>
        <v/>
      </c>
      <c r="Q1150" s="5" t="str">
        <f>IFERROR(__xludf.DUMMYFUNCTION("""COMPUTED_VALUE"""),"")</f>
        <v/>
      </c>
      <c r="R1150" s="5" t="str">
        <f>IFERROR(__xludf.DUMMYFUNCTION("""COMPUTED_VALUE"""),"")</f>
        <v/>
      </c>
      <c r="S1150" s="5" t="str">
        <f>IFERROR(__xludf.DUMMYFUNCTION("""COMPUTED_VALUE"""),"")</f>
        <v/>
      </c>
      <c r="T1150" s="5" t="str">
        <f>IFERROR(__xludf.DUMMYFUNCTION("""COMPUTED_VALUE"""),"")</f>
        <v/>
      </c>
      <c r="U1150" s="5" t="str">
        <f>IFERROR(__xludf.DUMMYFUNCTION("""COMPUTED_VALUE"""),"")</f>
        <v/>
      </c>
      <c r="V1150" s="5" t="str">
        <f>IFERROR(__xludf.DUMMYFUNCTION("""COMPUTED_VALUE"""),"")</f>
        <v/>
      </c>
      <c r="W1150" s="5" t="str">
        <f>IFERROR(__xludf.DUMMYFUNCTION("""COMPUTED_VALUE"""),"")</f>
        <v/>
      </c>
      <c r="X1150" s="5" t="str">
        <f>IFERROR(__xludf.DUMMYFUNCTION("""COMPUTED_VALUE"""),"")</f>
        <v/>
      </c>
      <c r="Y1150" s="5"/>
      <c r="Z1150" s="5"/>
    </row>
    <row r="1151">
      <c r="A1151" s="5"/>
      <c r="B1151" s="5" t="str">
        <f>IFERROR(__xludf.DUMMYFUNCTION("""COMPUTED_VALUE"""),"")</f>
        <v/>
      </c>
      <c r="C1151" s="5" t="str">
        <f>IFERROR(__xludf.DUMMYFUNCTION("""COMPUTED_VALUE"""),"")</f>
        <v/>
      </c>
      <c r="D1151" s="5" t="str">
        <f>IFERROR(__xludf.DUMMYFUNCTION("""COMPUTED_VALUE"""),"")</f>
        <v/>
      </c>
      <c r="E1151" s="5" t="str">
        <f>IFERROR(__xludf.DUMMYFUNCTION("""COMPUTED_VALUE"""),"")</f>
        <v/>
      </c>
      <c r="F1151" s="5" t="str">
        <f>IFERROR(__xludf.DUMMYFUNCTION("""COMPUTED_VALUE"""),"")</f>
        <v/>
      </c>
      <c r="G1151" s="5" t="str">
        <f>IFERROR(__xludf.DUMMYFUNCTION("""COMPUTED_VALUE"""),"")</f>
        <v/>
      </c>
      <c r="H1151" s="5" t="str">
        <f>IFERROR(__xludf.DUMMYFUNCTION("""COMPUTED_VALUE"""),"")</f>
        <v/>
      </c>
      <c r="I1151" s="5" t="str">
        <f>IFERROR(__xludf.DUMMYFUNCTION("""COMPUTED_VALUE"""),"")</f>
        <v/>
      </c>
      <c r="J1151" s="5" t="str">
        <f>IFERROR(__xludf.DUMMYFUNCTION("""COMPUTED_VALUE"""),"")</f>
        <v/>
      </c>
      <c r="K1151" s="5" t="str">
        <f>IFERROR(__xludf.DUMMYFUNCTION("""COMPUTED_VALUE"""),"")</f>
        <v/>
      </c>
      <c r="L1151" s="5" t="str">
        <f>IFERROR(__xludf.DUMMYFUNCTION("""COMPUTED_VALUE"""),"")</f>
        <v/>
      </c>
      <c r="M1151" s="5" t="str">
        <f>IFERROR(__xludf.DUMMYFUNCTION("""COMPUTED_VALUE"""),"")</f>
        <v/>
      </c>
      <c r="N1151" s="5" t="str">
        <f>IFERROR(__xludf.DUMMYFUNCTION("""COMPUTED_VALUE"""),"")</f>
        <v/>
      </c>
      <c r="O1151" s="5" t="str">
        <f>IFERROR(__xludf.DUMMYFUNCTION("""COMPUTED_VALUE"""),"")</f>
        <v/>
      </c>
      <c r="P1151" s="5" t="str">
        <f>IFERROR(__xludf.DUMMYFUNCTION("""COMPUTED_VALUE"""),"")</f>
        <v/>
      </c>
      <c r="Q1151" s="5" t="str">
        <f>IFERROR(__xludf.DUMMYFUNCTION("""COMPUTED_VALUE"""),"")</f>
        <v/>
      </c>
      <c r="R1151" s="5" t="str">
        <f>IFERROR(__xludf.DUMMYFUNCTION("""COMPUTED_VALUE"""),"")</f>
        <v/>
      </c>
      <c r="S1151" s="5" t="str">
        <f>IFERROR(__xludf.DUMMYFUNCTION("""COMPUTED_VALUE"""),"")</f>
        <v/>
      </c>
      <c r="T1151" s="5" t="str">
        <f>IFERROR(__xludf.DUMMYFUNCTION("""COMPUTED_VALUE"""),"")</f>
        <v/>
      </c>
      <c r="U1151" s="5" t="str">
        <f>IFERROR(__xludf.DUMMYFUNCTION("""COMPUTED_VALUE"""),"")</f>
        <v/>
      </c>
      <c r="V1151" s="5" t="str">
        <f>IFERROR(__xludf.DUMMYFUNCTION("""COMPUTED_VALUE"""),"")</f>
        <v/>
      </c>
      <c r="W1151" s="5" t="str">
        <f>IFERROR(__xludf.DUMMYFUNCTION("""COMPUTED_VALUE"""),"")</f>
        <v/>
      </c>
      <c r="X1151" s="5" t="str">
        <f>IFERROR(__xludf.DUMMYFUNCTION("""COMPUTED_VALUE"""),"")</f>
        <v/>
      </c>
      <c r="Y1151" s="5"/>
      <c r="Z1151" s="5"/>
    </row>
    <row r="1152">
      <c r="A1152" s="5"/>
      <c r="B1152" s="5" t="str">
        <f>IFERROR(__xludf.DUMMYFUNCTION("""COMPUTED_VALUE"""),"")</f>
        <v/>
      </c>
      <c r="C1152" s="5" t="str">
        <f>IFERROR(__xludf.DUMMYFUNCTION("""COMPUTED_VALUE"""),"")</f>
        <v/>
      </c>
      <c r="D1152" s="5" t="str">
        <f>IFERROR(__xludf.DUMMYFUNCTION("""COMPUTED_VALUE"""),"")</f>
        <v/>
      </c>
      <c r="E1152" s="5" t="str">
        <f>IFERROR(__xludf.DUMMYFUNCTION("""COMPUTED_VALUE"""),"")</f>
        <v/>
      </c>
      <c r="F1152" s="5" t="str">
        <f>IFERROR(__xludf.DUMMYFUNCTION("""COMPUTED_VALUE"""),"")</f>
        <v/>
      </c>
      <c r="G1152" s="5" t="str">
        <f>IFERROR(__xludf.DUMMYFUNCTION("""COMPUTED_VALUE"""),"")</f>
        <v/>
      </c>
      <c r="H1152" s="5" t="str">
        <f>IFERROR(__xludf.DUMMYFUNCTION("""COMPUTED_VALUE"""),"")</f>
        <v/>
      </c>
      <c r="I1152" s="5" t="str">
        <f>IFERROR(__xludf.DUMMYFUNCTION("""COMPUTED_VALUE"""),"")</f>
        <v/>
      </c>
      <c r="J1152" s="5" t="str">
        <f>IFERROR(__xludf.DUMMYFUNCTION("""COMPUTED_VALUE"""),"")</f>
        <v/>
      </c>
      <c r="K1152" s="5" t="str">
        <f>IFERROR(__xludf.DUMMYFUNCTION("""COMPUTED_VALUE"""),"")</f>
        <v/>
      </c>
      <c r="L1152" s="5" t="str">
        <f>IFERROR(__xludf.DUMMYFUNCTION("""COMPUTED_VALUE"""),"")</f>
        <v/>
      </c>
      <c r="M1152" s="5" t="str">
        <f>IFERROR(__xludf.DUMMYFUNCTION("""COMPUTED_VALUE"""),"")</f>
        <v/>
      </c>
      <c r="N1152" s="5" t="str">
        <f>IFERROR(__xludf.DUMMYFUNCTION("""COMPUTED_VALUE"""),"")</f>
        <v/>
      </c>
      <c r="O1152" s="5" t="str">
        <f>IFERROR(__xludf.DUMMYFUNCTION("""COMPUTED_VALUE"""),"")</f>
        <v/>
      </c>
      <c r="P1152" s="5" t="str">
        <f>IFERROR(__xludf.DUMMYFUNCTION("""COMPUTED_VALUE"""),"")</f>
        <v/>
      </c>
      <c r="Q1152" s="5" t="str">
        <f>IFERROR(__xludf.DUMMYFUNCTION("""COMPUTED_VALUE"""),"")</f>
        <v/>
      </c>
      <c r="R1152" s="5" t="str">
        <f>IFERROR(__xludf.DUMMYFUNCTION("""COMPUTED_VALUE"""),"")</f>
        <v/>
      </c>
      <c r="S1152" s="5" t="str">
        <f>IFERROR(__xludf.DUMMYFUNCTION("""COMPUTED_VALUE"""),"")</f>
        <v/>
      </c>
      <c r="T1152" s="5" t="str">
        <f>IFERROR(__xludf.DUMMYFUNCTION("""COMPUTED_VALUE"""),"")</f>
        <v/>
      </c>
      <c r="U1152" s="5" t="str">
        <f>IFERROR(__xludf.DUMMYFUNCTION("""COMPUTED_VALUE"""),"")</f>
        <v/>
      </c>
      <c r="V1152" s="5" t="str">
        <f>IFERROR(__xludf.DUMMYFUNCTION("""COMPUTED_VALUE"""),"")</f>
        <v/>
      </c>
      <c r="W1152" s="5" t="str">
        <f>IFERROR(__xludf.DUMMYFUNCTION("""COMPUTED_VALUE"""),"")</f>
        <v/>
      </c>
      <c r="X1152" s="5" t="str">
        <f>IFERROR(__xludf.DUMMYFUNCTION("""COMPUTED_VALUE"""),"")</f>
        <v/>
      </c>
      <c r="Y1152" s="5"/>
      <c r="Z1152" s="5"/>
    </row>
    <row r="1153">
      <c r="A1153" s="5"/>
      <c r="B1153" s="5" t="str">
        <f>IFERROR(__xludf.DUMMYFUNCTION("""COMPUTED_VALUE"""),"")</f>
        <v/>
      </c>
      <c r="C1153" s="5" t="str">
        <f>IFERROR(__xludf.DUMMYFUNCTION("""COMPUTED_VALUE"""),"")</f>
        <v/>
      </c>
      <c r="D1153" s="5" t="str">
        <f>IFERROR(__xludf.DUMMYFUNCTION("""COMPUTED_VALUE"""),"")</f>
        <v/>
      </c>
      <c r="E1153" s="5" t="str">
        <f>IFERROR(__xludf.DUMMYFUNCTION("""COMPUTED_VALUE"""),"")</f>
        <v/>
      </c>
      <c r="F1153" s="5" t="str">
        <f>IFERROR(__xludf.DUMMYFUNCTION("""COMPUTED_VALUE"""),"")</f>
        <v/>
      </c>
      <c r="G1153" s="5" t="str">
        <f>IFERROR(__xludf.DUMMYFUNCTION("""COMPUTED_VALUE"""),"")</f>
        <v/>
      </c>
      <c r="H1153" s="5" t="str">
        <f>IFERROR(__xludf.DUMMYFUNCTION("""COMPUTED_VALUE"""),"")</f>
        <v/>
      </c>
      <c r="I1153" s="5" t="str">
        <f>IFERROR(__xludf.DUMMYFUNCTION("""COMPUTED_VALUE"""),"")</f>
        <v/>
      </c>
      <c r="J1153" s="5" t="str">
        <f>IFERROR(__xludf.DUMMYFUNCTION("""COMPUTED_VALUE"""),"")</f>
        <v/>
      </c>
      <c r="K1153" s="5" t="str">
        <f>IFERROR(__xludf.DUMMYFUNCTION("""COMPUTED_VALUE"""),"")</f>
        <v/>
      </c>
      <c r="L1153" s="5" t="str">
        <f>IFERROR(__xludf.DUMMYFUNCTION("""COMPUTED_VALUE"""),"")</f>
        <v/>
      </c>
      <c r="M1153" s="5" t="str">
        <f>IFERROR(__xludf.DUMMYFUNCTION("""COMPUTED_VALUE"""),"")</f>
        <v/>
      </c>
      <c r="N1153" s="5" t="str">
        <f>IFERROR(__xludf.DUMMYFUNCTION("""COMPUTED_VALUE"""),"")</f>
        <v/>
      </c>
      <c r="O1153" s="5" t="str">
        <f>IFERROR(__xludf.DUMMYFUNCTION("""COMPUTED_VALUE"""),"")</f>
        <v/>
      </c>
      <c r="P1153" s="5" t="str">
        <f>IFERROR(__xludf.DUMMYFUNCTION("""COMPUTED_VALUE"""),"")</f>
        <v/>
      </c>
      <c r="Q1153" s="5" t="str">
        <f>IFERROR(__xludf.DUMMYFUNCTION("""COMPUTED_VALUE"""),"")</f>
        <v/>
      </c>
      <c r="R1153" s="5" t="str">
        <f>IFERROR(__xludf.DUMMYFUNCTION("""COMPUTED_VALUE"""),"")</f>
        <v/>
      </c>
      <c r="S1153" s="5" t="str">
        <f>IFERROR(__xludf.DUMMYFUNCTION("""COMPUTED_VALUE"""),"")</f>
        <v/>
      </c>
      <c r="T1153" s="5" t="str">
        <f>IFERROR(__xludf.DUMMYFUNCTION("""COMPUTED_VALUE"""),"")</f>
        <v/>
      </c>
      <c r="U1153" s="5" t="str">
        <f>IFERROR(__xludf.DUMMYFUNCTION("""COMPUTED_VALUE"""),"")</f>
        <v/>
      </c>
      <c r="V1153" s="5" t="str">
        <f>IFERROR(__xludf.DUMMYFUNCTION("""COMPUTED_VALUE"""),"")</f>
        <v/>
      </c>
      <c r="W1153" s="5" t="str">
        <f>IFERROR(__xludf.DUMMYFUNCTION("""COMPUTED_VALUE"""),"")</f>
        <v/>
      </c>
      <c r="X1153" s="5" t="str">
        <f>IFERROR(__xludf.DUMMYFUNCTION("""COMPUTED_VALUE"""),"")</f>
        <v/>
      </c>
      <c r="Y1153" s="5"/>
      <c r="Z1153" s="5"/>
    </row>
    <row r="1154">
      <c r="A1154" s="5"/>
      <c r="B1154" s="5" t="str">
        <f>IFERROR(__xludf.DUMMYFUNCTION("""COMPUTED_VALUE"""),"")</f>
        <v/>
      </c>
      <c r="C1154" s="5" t="str">
        <f>IFERROR(__xludf.DUMMYFUNCTION("""COMPUTED_VALUE"""),"")</f>
        <v/>
      </c>
      <c r="D1154" s="5" t="str">
        <f>IFERROR(__xludf.DUMMYFUNCTION("""COMPUTED_VALUE"""),"")</f>
        <v/>
      </c>
      <c r="E1154" s="5" t="str">
        <f>IFERROR(__xludf.DUMMYFUNCTION("""COMPUTED_VALUE"""),"")</f>
        <v/>
      </c>
      <c r="F1154" s="5" t="str">
        <f>IFERROR(__xludf.DUMMYFUNCTION("""COMPUTED_VALUE"""),"")</f>
        <v/>
      </c>
      <c r="G1154" s="5" t="str">
        <f>IFERROR(__xludf.DUMMYFUNCTION("""COMPUTED_VALUE"""),"")</f>
        <v/>
      </c>
      <c r="H1154" s="5" t="str">
        <f>IFERROR(__xludf.DUMMYFUNCTION("""COMPUTED_VALUE"""),"")</f>
        <v/>
      </c>
      <c r="I1154" s="5" t="str">
        <f>IFERROR(__xludf.DUMMYFUNCTION("""COMPUTED_VALUE"""),"")</f>
        <v/>
      </c>
      <c r="J1154" s="5" t="str">
        <f>IFERROR(__xludf.DUMMYFUNCTION("""COMPUTED_VALUE"""),"")</f>
        <v/>
      </c>
      <c r="K1154" s="5" t="str">
        <f>IFERROR(__xludf.DUMMYFUNCTION("""COMPUTED_VALUE"""),"")</f>
        <v/>
      </c>
      <c r="L1154" s="5" t="str">
        <f>IFERROR(__xludf.DUMMYFUNCTION("""COMPUTED_VALUE"""),"")</f>
        <v/>
      </c>
      <c r="M1154" s="5" t="str">
        <f>IFERROR(__xludf.DUMMYFUNCTION("""COMPUTED_VALUE"""),"")</f>
        <v/>
      </c>
      <c r="N1154" s="5" t="str">
        <f>IFERROR(__xludf.DUMMYFUNCTION("""COMPUTED_VALUE"""),"")</f>
        <v/>
      </c>
      <c r="O1154" s="5" t="str">
        <f>IFERROR(__xludf.DUMMYFUNCTION("""COMPUTED_VALUE"""),"")</f>
        <v/>
      </c>
      <c r="P1154" s="5" t="str">
        <f>IFERROR(__xludf.DUMMYFUNCTION("""COMPUTED_VALUE"""),"")</f>
        <v/>
      </c>
      <c r="Q1154" s="5" t="str">
        <f>IFERROR(__xludf.DUMMYFUNCTION("""COMPUTED_VALUE"""),"")</f>
        <v/>
      </c>
      <c r="R1154" s="5" t="str">
        <f>IFERROR(__xludf.DUMMYFUNCTION("""COMPUTED_VALUE"""),"")</f>
        <v/>
      </c>
      <c r="S1154" s="5" t="str">
        <f>IFERROR(__xludf.DUMMYFUNCTION("""COMPUTED_VALUE"""),"")</f>
        <v/>
      </c>
      <c r="T1154" s="5" t="str">
        <f>IFERROR(__xludf.DUMMYFUNCTION("""COMPUTED_VALUE"""),"")</f>
        <v/>
      </c>
      <c r="U1154" s="5" t="str">
        <f>IFERROR(__xludf.DUMMYFUNCTION("""COMPUTED_VALUE"""),"")</f>
        <v/>
      </c>
      <c r="V1154" s="5" t="str">
        <f>IFERROR(__xludf.DUMMYFUNCTION("""COMPUTED_VALUE"""),"")</f>
        <v/>
      </c>
      <c r="W1154" s="5" t="str">
        <f>IFERROR(__xludf.DUMMYFUNCTION("""COMPUTED_VALUE"""),"")</f>
        <v/>
      </c>
      <c r="X1154" s="5" t="str">
        <f>IFERROR(__xludf.DUMMYFUNCTION("""COMPUTED_VALUE"""),"")</f>
        <v/>
      </c>
      <c r="Y1154" s="5"/>
      <c r="Z1154" s="5"/>
    </row>
    <row r="1155">
      <c r="A1155" s="5"/>
      <c r="B1155" s="5" t="str">
        <f>IFERROR(__xludf.DUMMYFUNCTION("""COMPUTED_VALUE"""),"")</f>
        <v/>
      </c>
      <c r="C1155" s="5" t="str">
        <f>IFERROR(__xludf.DUMMYFUNCTION("""COMPUTED_VALUE"""),"")</f>
        <v/>
      </c>
      <c r="D1155" s="5" t="str">
        <f>IFERROR(__xludf.DUMMYFUNCTION("""COMPUTED_VALUE"""),"")</f>
        <v/>
      </c>
      <c r="E1155" s="5" t="str">
        <f>IFERROR(__xludf.DUMMYFUNCTION("""COMPUTED_VALUE"""),"")</f>
        <v/>
      </c>
      <c r="F1155" s="5" t="str">
        <f>IFERROR(__xludf.DUMMYFUNCTION("""COMPUTED_VALUE"""),"")</f>
        <v/>
      </c>
      <c r="G1155" s="5" t="str">
        <f>IFERROR(__xludf.DUMMYFUNCTION("""COMPUTED_VALUE"""),"")</f>
        <v/>
      </c>
      <c r="H1155" s="5" t="str">
        <f>IFERROR(__xludf.DUMMYFUNCTION("""COMPUTED_VALUE"""),"")</f>
        <v/>
      </c>
      <c r="I1155" s="5" t="str">
        <f>IFERROR(__xludf.DUMMYFUNCTION("""COMPUTED_VALUE"""),"")</f>
        <v/>
      </c>
      <c r="J1155" s="5" t="str">
        <f>IFERROR(__xludf.DUMMYFUNCTION("""COMPUTED_VALUE"""),"")</f>
        <v/>
      </c>
      <c r="K1155" s="5" t="str">
        <f>IFERROR(__xludf.DUMMYFUNCTION("""COMPUTED_VALUE"""),"")</f>
        <v/>
      </c>
      <c r="L1155" s="5" t="str">
        <f>IFERROR(__xludf.DUMMYFUNCTION("""COMPUTED_VALUE"""),"")</f>
        <v/>
      </c>
      <c r="M1155" s="5" t="str">
        <f>IFERROR(__xludf.DUMMYFUNCTION("""COMPUTED_VALUE"""),"")</f>
        <v/>
      </c>
      <c r="N1155" s="5" t="str">
        <f>IFERROR(__xludf.DUMMYFUNCTION("""COMPUTED_VALUE"""),"")</f>
        <v/>
      </c>
      <c r="O1155" s="5" t="str">
        <f>IFERROR(__xludf.DUMMYFUNCTION("""COMPUTED_VALUE"""),"")</f>
        <v/>
      </c>
      <c r="P1155" s="5" t="str">
        <f>IFERROR(__xludf.DUMMYFUNCTION("""COMPUTED_VALUE"""),"")</f>
        <v/>
      </c>
      <c r="Q1155" s="5" t="str">
        <f>IFERROR(__xludf.DUMMYFUNCTION("""COMPUTED_VALUE"""),"")</f>
        <v/>
      </c>
      <c r="R1155" s="5" t="str">
        <f>IFERROR(__xludf.DUMMYFUNCTION("""COMPUTED_VALUE"""),"")</f>
        <v/>
      </c>
      <c r="S1155" s="5" t="str">
        <f>IFERROR(__xludf.DUMMYFUNCTION("""COMPUTED_VALUE"""),"")</f>
        <v/>
      </c>
      <c r="T1155" s="5" t="str">
        <f>IFERROR(__xludf.DUMMYFUNCTION("""COMPUTED_VALUE"""),"")</f>
        <v/>
      </c>
      <c r="U1155" s="5" t="str">
        <f>IFERROR(__xludf.DUMMYFUNCTION("""COMPUTED_VALUE"""),"")</f>
        <v/>
      </c>
      <c r="V1155" s="5" t="str">
        <f>IFERROR(__xludf.DUMMYFUNCTION("""COMPUTED_VALUE"""),"")</f>
        <v/>
      </c>
      <c r="W1155" s="5" t="str">
        <f>IFERROR(__xludf.DUMMYFUNCTION("""COMPUTED_VALUE"""),"")</f>
        <v/>
      </c>
      <c r="X1155" s="5" t="str">
        <f>IFERROR(__xludf.DUMMYFUNCTION("""COMPUTED_VALUE"""),"")</f>
        <v/>
      </c>
      <c r="Y1155" s="5"/>
      <c r="Z1155" s="5"/>
    </row>
    <row r="1156">
      <c r="A1156" s="5"/>
      <c r="B1156" s="5" t="str">
        <f>IFERROR(__xludf.DUMMYFUNCTION("""COMPUTED_VALUE"""),"")</f>
        <v/>
      </c>
      <c r="C1156" s="5" t="str">
        <f>IFERROR(__xludf.DUMMYFUNCTION("""COMPUTED_VALUE"""),"")</f>
        <v/>
      </c>
      <c r="D1156" s="5" t="str">
        <f>IFERROR(__xludf.DUMMYFUNCTION("""COMPUTED_VALUE"""),"")</f>
        <v/>
      </c>
      <c r="E1156" s="5" t="str">
        <f>IFERROR(__xludf.DUMMYFUNCTION("""COMPUTED_VALUE"""),"")</f>
        <v/>
      </c>
      <c r="F1156" s="5" t="str">
        <f>IFERROR(__xludf.DUMMYFUNCTION("""COMPUTED_VALUE"""),"")</f>
        <v/>
      </c>
      <c r="G1156" s="5" t="str">
        <f>IFERROR(__xludf.DUMMYFUNCTION("""COMPUTED_VALUE"""),"")</f>
        <v/>
      </c>
      <c r="H1156" s="5" t="str">
        <f>IFERROR(__xludf.DUMMYFUNCTION("""COMPUTED_VALUE"""),"")</f>
        <v/>
      </c>
      <c r="I1156" s="5" t="str">
        <f>IFERROR(__xludf.DUMMYFUNCTION("""COMPUTED_VALUE"""),"")</f>
        <v/>
      </c>
      <c r="J1156" s="5" t="str">
        <f>IFERROR(__xludf.DUMMYFUNCTION("""COMPUTED_VALUE"""),"")</f>
        <v/>
      </c>
      <c r="K1156" s="5" t="str">
        <f>IFERROR(__xludf.DUMMYFUNCTION("""COMPUTED_VALUE"""),"")</f>
        <v/>
      </c>
      <c r="L1156" s="5" t="str">
        <f>IFERROR(__xludf.DUMMYFUNCTION("""COMPUTED_VALUE"""),"")</f>
        <v/>
      </c>
      <c r="M1156" s="5" t="str">
        <f>IFERROR(__xludf.DUMMYFUNCTION("""COMPUTED_VALUE"""),"")</f>
        <v/>
      </c>
      <c r="N1156" s="5" t="str">
        <f>IFERROR(__xludf.DUMMYFUNCTION("""COMPUTED_VALUE"""),"")</f>
        <v/>
      </c>
      <c r="O1156" s="5" t="str">
        <f>IFERROR(__xludf.DUMMYFUNCTION("""COMPUTED_VALUE"""),"")</f>
        <v/>
      </c>
      <c r="P1156" s="5" t="str">
        <f>IFERROR(__xludf.DUMMYFUNCTION("""COMPUTED_VALUE"""),"")</f>
        <v/>
      </c>
      <c r="Q1156" s="5" t="str">
        <f>IFERROR(__xludf.DUMMYFUNCTION("""COMPUTED_VALUE"""),"")</f>
        <v/>
      </c>
      <c r="R1156" s="5" t="str">
        <f>IFERROR(__xludf.DUMMYFUNCTION("""COMPUTED_VALUE"""),"")</f>
        <v/>
      </c>
      <c r="S1156" s="5" t="str">
        <f>IFERROR(__xludf.DUMMYFUNCTION("""COMPUTED_VALUE"""),"")</f>
        <v/>
      </c>
      <c r="T1156" s="5" t="str">
        <f>IFERROR(__xludf.DUMMYFUNCTION("""COMPUTED_VALUE"""),"")</f>
        <v/>
      </c>
      <c r="U1156" s="5" t="str">
        <f>IFERROR(__xludf.DUMMYFUNCTION("""COMPUTED_VALUE"""),"")</f>
        <v/>
      </c>
      <c r="V1156" s="5" t="str">
        <f>IFERROR(__xludf.DUMMYFUNCTION("""COMPUTED_VALUE"""),"")</f>
        <v/>
      </c>
      <c r="W1156" s="5" t="str">
        <f>IFERROR(__xludf.DUMMYFUNCTION("""COMPUTED_VALUE"""),"")</f>
        <v/>
      </c>
      <c r="X1156" s="5" t="str">
        <f>IFERROR(__xludf.DUMMYFUNCTION("""COMPUTED_VALUE"""),"")</f>
        <v/>
      </c>
      <c r="Y1156" s="5"/>
      <c r="Z1156" s="5"/>
    </row>
    <row r="1157">
      <c r="A1157" s="5"/>
      <c r="B1157" s="5" t="str">
        <f>IFERROR(__xludf.DUMMYFUNCTION("""COMPUTED_VALUE"""),"")</f>
        <v/>
      </c>
      <c r="C1157" s="5" t="str">
        <f>IFERROR(__xludf.DUMMYFUNCTION("""COMPUTED_VALUE"""),"")</f>
        <v/>
      </c>
      <c r="D1157" s="5" t="str">
        <f>IFERROR(__xludf.DUMMYFUNCTION("""COMPUTED_VALUE"""),"")</f>
        <v/>
      </c>
      <c r="E1157" s="5" t="str">
        <f>IFERROR(__xludf.DUMMYFUNCTION("""COMPUTED_VALUE"""),"")</f>
        <v/>
      </c>
      <c r="F1157" s="5" t="str">
        <f>IFERROR(__xludf.DUMMYFUNCTION("""COMPUTED_VALUE"""),"")</f>
        <v/>
      </c>
      <c r="G1157" s="5" t="str">
        <f>IFERROR(__xludf.DUMMYFUNCTION("""COMPUTED_VALUE"""),"")</f>
        <v/>
      </c>
      <c r="H1157" s="5" t="str">
        <f>IFERROR(__xludf.DUMMYFUNCTION("""COMPUTED_VALUE"""),"")</f>
        <v/>
      </c>
      <c r="I1157" s="5" t="str">
        <f>IFERROR(__xludf.DUMMYFUNCTION("""COMPUTED_VALUE"""),"")</f>
        <v/>
      </c>
      <c r="J1157" s="5" t="str">
        <f>IFERROR(__xludf.DUMMYFUNCTION("""COMPUTED_VALUE"""),"")</f>
        <v/>
      </c>
      <c r="K1157" s="5" t="str">
        <f>IFERROR(__xludf.DUMMYFUNCTION("""COMPUTED_VALUE"""),"")</f>
        <v/>
      </c>
      <c r="L1157" s="5" t="str">
        <f>IFERROR(__xludf.DUMMYFUNCTION("""COMPUTED_VALUE"""),"")</f>
        <v/>
      </c>
      <c r="M1157" s="5" t="str">
        <f>IFERROR(__xludf.DUMMYFUNCTION("""COMPUTED_VALUE"""),"")</f>
        <v/>
      </c>
      <c r="N1157" s="5" t="str">
        <f>IFERROR(__xludf.DUMMYFUNCTION("""COMPUTED_VALUE"""),"")</f>
        <v/>
      </c>
      <c r="O1157" s="5" t="str">
        <f>IFERROR(__xludf.DUMMYFUNCTION("""COMPUTED_VALUE"""),"")</f>
        <v/>
      </c>
      <c r="P1157" s="5" t="str">
        <f>IFERROR(__xludf.DUMMYFUNCTION("""COMPUTED_VALUE"""),"")</f>
        <v/>
      </c>
      <c r="Q1157" s="5" t="str">
        <f>IFERROR(__xludf.DUMMYFUNCTION("""COMPUTED_VALUE"""),"")</f>
        <v/>
      </c>
      <c r="R1157" s="5" t="str">
        <f>IFERROR(__xludf.DUMMYFUNCTION("""COMPUTED_VALUE"""),"")</f>
        <v/>
      </c>
      <c r="S1157" s="5" t="str">
        <f>IFERROR(__xludf.DUMMYFUNCTION("""COMPUTED_VALUE"""),"")</f>
        <v/>
      </c>
      <c r="T1157" s="5" t="str">
        <f>IFERROR(__xludf.DUMMYFUNCTION("""COMPUTED_VALUE"""),"")</f>
        <v/>
      </c>
      <c r="U1157" s="5" t="str">
        <f>IFERROR(__xludf.DUMMYFUNCTION("""COMPUTED_VALUE"""),"")</f>
        <v/>
      </c>
      <c r="V1157" s="5" t="str">
        <f>IFERROR(__xludf.DUMMYFUNCTION("""COMPUTED_VALUE"""),"")</f>
        <v/>
      </c>
      <c r="W1157" s="5" t="str">
        <f>IFERROR(__xludf.DUMMYFUNCTION("""COMPUTED_VALUE"""),"")</f>
        <v/>
      </c>
      <c r="X1157" s="5" t="str">
        <f>IFERROR(__xludf.DUMMYFUNCTION("""COMPUTED_VALUE"""),"")</f>
        <v/>
      </c>
      <c r="Y1157" s="5"/>
      <c r="Z1157" s="5"/>
    </row>
    <row r="1158">
      <c r="A1158" s="5"/>
      <c r="B1158" s="5" t="str">
        <f>IFERROR(__xludf.DUMMYFUNCTION("""COMPUTED_VALUE"""),"")</f>
        <v/>
      </c>
      <c r="C1158" s="5" t="str">
        <f>IFERROR(__xludf.DUMMYFUNCTION("""COMPUTED_VALUE"""),"")</f>
        <v/>
      </c>
      <c r="D1158" s="5" t="str">
        <f>IFERROR(__xludf.DUMMYFUNCTION("""COMPUTED_VALUE"""),"")</f>
        <v/>
      </c>
      <c r="E1158" s="5" t="str">
        <f>IFERROR(__xludf.DUMMYFUNCTION("""COMPUTED_VALUE"""),"")</f>
        <v/>
      </c>
      <c r="F1158" s="5" t="str">
        <f>IFERROR(__xludf.DUMMYFUNCTION("""COMPUTED_VALUE"""),"")</f>
        <v/>
      </c>
      <c r="G1158" s="5" t="str">
        <f>IFERROR(__xludf.DUMMYFUNCTION("""COMPUTED_VALUE"""),"")</f>
        <v/>
      </c>
      <c r="H1158" s="5" t="str">
        <f>IFERROR(__xludf.DUMMYFUNCTION("""COMPUTED_VALUE"""),"")</f>
        <v/>
      </c>
      <c r="I1158" s="5" t="str">
        <f>IFERROR(__xludf.DUMMYFUNCTION("""COMPUTED_VALUE"""),"")</f>
        <v/>
      </c>
      <c r="J1158" s="5" t="str">
        <f>IFERROR(__xludf.DUMMYFUNCTION("""COMPUTED_VALUE"""),"")</f>
        <v/>
      </c>
      <c r="K1158" s="5" t="str">
        <f>IFERROR(__xludf.DUMMYFUNCTION("""COMPUTED_VALUE"""),"")</f>
        <v/>
      </c>
      <c r="L1158" s="5" t="str">
        <f>IFERROR(__xludf.DUMMYFUNCTION("""COMPUTED_VALUE"""),"")</f>
        <v/>
      </c>
      <c r="M1158" s="5" t="str">
        <f>IFERROR(__xludf.DUMMYFUNCTION("""COMPUTED_VALUE"""),"")</f>
        <v/>
      </c>
      <c r="N1158" s="5" t="str">
        <f>IFERROR(__xludf.DUMMYFUNCTION("""COMPUTED_VALUE"""),"")</f>
        <v/>
      </c>
      <c r="O1158" s="5" t="str">
        <f>IFERROR(__xludf.DUMMYFUNCTION("""COMPUTED_VALUE"""),"")</f>
        <v/>
      </c>
      <c r="P1158" s="5" t="str">
        <f>IFERROR(__xludf.DUMMYFUNCTION("""COMPUTED_VALUE"""),"")</f>
        <v/>
      </c>
      <c r="Q1158" s="5" t="str">
        <f>IFERROR(__xludf.DUMMYFUNCTION("""COMPUTED_VALUE"""),"")</f>
        <v/>
      </c>
      <c r="R1158" s="5" t="str">
        <f>IFERROR(__xludf.DUMMYFUNCTION("""COMPUTED_VALUE"""),"")</f>
        <v/>
      </c>
      <c r="S1158" s="5" t="str">
        <f>IFERROR(__xludf.DUMMYFUNCTION("""COMPUTED_VALUE"""),"")</f>
        <v/>
      </c>
      <c r="T1158" s="5" t="str">
        <f>IFERROR(__xludf.DUMMYFUNCTION("""COMPUTED_VALUE"""),"")</f>
        <v/>
      </c>
      <c r="U1158" s="5" t="str">
        <f>IFERROR(__xludf.DUMMYFUNCTION("""COMPUTED_VALUE"""),"")</f>
        <v/>
      </c>
      <c r="V1158" s="5" t="str">
        <f>IFERROR(__xludf.DUMMYFUNCTION("""COMPUTED_VALUE"""),"")</f>
        <v/>
      </c>
      <c r="W1158" s="5" t="str">
        <f>IFERROR(__xludf.DUMMYFUNCTION("""COMPUTED_VALUE"""),"")</f>
        <v/>
      </c>
      <c r="X1158" s="5" t="str">
        <f>IFERROR(__xludf.DUMMYFUNCTION("""COMPUTED_VALUE"""),"")</f>
        <v/>
      </c>
      <c r="Y1158" s="5"/>
      <c r="Z1158" s="5"/>
    </row>
    <row r="1159">
      <c r="A1159" s="5"/>
      <c r="B1159" s="5" t="str">
        <f>IFERROR(__xludf.DUMMYFUNCTION("""COMPUTED_VALUE"""),"")</f>
        <v/>
      </c>
      <c r="C1159" s="5" t="str">
        <f>IFERROR(__xludf.DUMMYFUNCTION("""COMPUTED_VALUE"""),"")</f>
        <v/>
      </c>
      <c r="D1159" s="5" t="str">
        <f>IFERROR(__xludf.DUMMYFUNCTION("""COMPUTED_VALUE"""),"")</f>
        <v/>
      </c>
      <c r="E1159" s="5" t="str">
        <f>IFERROR(__xludf.DUMMYFUNCTION("""COMPUTED_VALUE"""),"")</f>
        <v/>
      </c>
      <c r="F1159" s="5" t="str">
        <f>IFERROR(__xludf.DUMMYFUNCTION("""COMPUTED_VALUE"""),"")</f>
        <v/>
      </c>
      <c r="G1159" s="5" t="str">
        <f>IFERROR(__xludf.DUMMYFUNCTION("""COMPUTED_VALUE"""),"")</f>
        <v/>
      </c>
      <c r="H1159" s="5" t="str">
        <f>IFERROR(__xludf.DUMMYFUNCTION("""COMPUTED_VALUE"""),"")</f>
        <v/>
      </c>
      <c r="I1159" s="5" t="str">
        <f>IFERROR(__xludf.DUMMYFUNCTION("""COMPUTED_VALUE"""),"")</f>
        <v/>
      </c>
      <c r="J1159" s="5" t="str">
        <f>IFERROR(__xludf.DUMMYFUNCTION("""COMPUTED_VALUE"""),"")</f>
        <v/>
      </c>
      <c r="K1159" s="5" t="str">
        <f>IFERROR(__xludf.DUMMYFUNCTION("""COMPUTED_VALUE"""),"")</f>
        <v/>
      </c>
      <c r="L1159" s="5" t="str">
        <f>IFERROR(__xludf.DUMMYFUNCTION("""COMPUTED_VALUE"""),"")</f>
        <v/>
      </c>
      <c r="M1159" s="5" t="str">
        <f>IFERROR(__xludf.DUMMYFUNCTION("""COMPUTED_VALUE"""),"")</f>
        <v/>
      </c>
      <c r="N1159" s="5" t="str">
        <f>IFERROR(__xludf.DUMMYFUNCTION("""COMPUTED_VALUE"""),"")</f>
        <v/>
      </c>
      <c r="O1159" s="5" t="str">
        <f>IFERROR(__xludf.DUMMYFUNCTION("""COMPUTED_VALUE"""),"")</f>
        <v/>
      </c>
      <c r="P1159" s="5" t="str">
        <f>IFERROR(__xludf.DUMMYFUNCTION("""COMPUTED_VALUE"""),"")</f>
        <v/>
      </c>
      <c r="Q1159" s="5" t="str">
        <f>IFERROR(__xludf.DUMMYFUNCTION("""COMPUTED_VALUE"""),"")</f>
        <v/>
      </c>
      <c r="R1159" s="5" t="str">
        <f>IFERROR(__xludf.DUMMYFUNCTION("""COMPUTED_VALUE"""),"")</f>
        <v/>
      </c>
      <c r="S1159" s="5" t="str">
        <f>IFERROR(__xludf.DUMMYFUNCTION("""COMPUTED_VALUE"""),"")</f>
        <v/>
      </c>
      <c r="T1159" s="5" t="str">
        <f>IFERROR(__xludf.DUMMYFUNCTION("""COMPUTED_VALUE"""),"")</f>
        <v/>
      </c>
      <c r="U1159" s="5" t="str">
        <f>IFERROR(__xludf.DUMMYFUNCTION("""COMPUTED_VALUE"""),"")</f>
        <v/>
      </c>
      <c r="V1159" s="5" t="str">
        <f>IFERROR(__xludf.DUMMYFUNCTION("""COMPUTED_VALUE"""),"")</f>
        <v/>
      </c>
      <c r="W1159" s="5" t="str">
        <f>IFERROR(__xludf.DUMMYFUNCTION("""COMPUTED_VALUE"""),"")</f>
        <v/>
      </c>
      <c r="X1159" s="5" t="str">
        <f>IFERROR(__xludf.DUMMYFUNCTION("""COMPUTED_VALUE"""),"")</f>
        <v/>
      </c>
      <c r="Y1159" s="5"/>
      <c r="Z1159" s="5"/>
    </row>
    <row r="1160">
      <c r="A1160" s="5"/>
      <c r="B1160" s="5" t="str">
        <f>IFERROR(__xludf.DUMMYFUNCTION("""COMPUTED_VALUE"""),"")</f>
        <v/>
      </c>
      <c r="C1160" s="5" t="str">
        <f>IFERROR(__xludf.DUMMYFUNCTION("""COMPUTED_VALUE"""),"")</f>
        <v/>
      </c>
      <c r="D1160" s="5" t="str">
        <f>IFERROR(__xludf.DUMMYFUNCTION("""COMPUTED_VALUE"""),"")</f>
        <v/>
      </c>
      <c r="E1160" s="5" t="str">
        <f>IFERROR(__xludf.DUMMYFUNCTION("""COMPUTED_VALUE"""),"")</f>
        <v/>
      </c>
      <c r="F1160" s="5" t="str">
        <f>IFERROR(__xludf.DUMMYFUNCTION("""COMPUTED_VALUE"""),"")</f>
        <v/>
      </c>
      <c r="G1160" s="5" t="str">
        <f>IFERROR(__xludf.DUMMYFUNCTION("""COMPUTED_VALUE"""),"")</f>
        <v/>
      </c>
      <c r="H1160" s="5" t="str">
        <f>IFERROR(__xludf.DUMMYFUNCTION("""COMPUTED_VALUE"""),"")</f>
        <v/>
      </c>
      <c r="I1160" s="5" t="str">
        <f>IFERROR(__xludf.DUMMYFUNCTION("""COMPUTED_VALUE"""),"")</f>
        <v/>
      </c>
      <c r="J1160" s="5" t="str">
        <f>IFERROR(__xludf.DUMMYFUNCTION("""COMPUTED_VALUE"""),"")</f>
        <v/>
      </c>
      <c r="K1160" s="5" t="str">
        <f>IFERROR(__xludf.DUMMYFUNCTION("""COMPUTED_VALUE"""),"")</f>
        <v/>
      </c>
      <c r="L1160" s="5" t="str">
        <f>IFERROR(__xludf.DUMMYFUNCTION("""COMPUTED_VALUE"""),"")</f>
        <v/>
      </c>
      <c r="M1160" s="5" t="str">
        <f>IFERROR(__xludf.DUMMYFUNCTION("""COMPUTED_VALUE"""),"")</f>
        <v/>
      </c>
      <c r="N1160" s="5" t="str">
        <f>IFERROR(__xludf.DUMMYFUNCTION("""COMPUTED_VALUE"""),"")</f>
        <v/>
      </c>
      <c r="O1160" s="5" t="str">
        <f>IFERROR(__xludf.DUMMYFUNCTION("""COMPUTED_VALUE"""),"")</f>
        <v/>
      </c>
      <c r="P1160" s="5" t="str">
        <f>IFERROR(__xludf.DUMMYFUNCTION("""COMPUTED_VALUE"""),"")</f>
        <v/>
      </c>
      <c r="Q1160" s="5" t="str">
        <f>IFERROR(__xludf.DUMMYFUNCTION("""COMPUTED_VALUE"""),"")</f>
        <v/>
      </c>
      <c r="R1160" s="5" t="str">
        <f>IFERROR(__xludf.DUMMYFUNCTION("""COMPUTED_VALUE"""),"")</f>
        <v/>
      </c>
      <c r="S1160" s="5" t="str">
        <f>IFERROR(__xludf.DUMMYFUNCTION("""COMPUTED_VALUE"""),"")</f>
        <v/>
      </c>
      <c r="T1160" s="5" t="str">
        <f>IFERROR(__xludf.DUMMYFUNCTION("""COMPUTED_VALUE"""),"")</f>
        <v/>
      </c>
      <c r="U1160" s="5" t="str">
        <f>IFERROR(__xludf.DUMMYFUNCTION("""COMPUTED_VALUE"""),"")</f>
        <v/>
      </c>
      <c r="V1160" s="5" t="str">
        <f>IFERROR(__xludf.DUMMYFUNCTION("""COMPUTED_VALUE"""),"")</f>
        <v/>
      </c>
      <c r="W1160" s="5" t="str">
        <f>IFERROR(__xludf.DUMMYFUNCTION("""COMPUTED_VALUE"""),"")</f>
        <v/>
      </c>
      <c r="X1160" s="5" t="str">
        <f>IFERROR(__xludf.DUMMYFUNCTION("""COMPUTED_VALUE"""),"")</f>
        <v/>
      </c>
      <c r="Y1160" s="5"/>
      <c r="Z1160" s="5"/>
    </row>
    <row r="1161">
      <c r="A1161" s="5"/>
      <c r="B1161" s="5" t="str">
        <f>IFERROR(__xludf.DUMMYFUNCTION("""COMPUTED_VALUE"""),"")</f>
        <v/>
      </c>
      <c r="C1161" s="5" t="str">
        <f>IFERROR(__xludf.DUMMYFUNCTION("""COMPUTED_VALUE"""),"")</f>
        <v/>
      </c>
      <c r="D1161" s="5" t="str">
        <f>IFERROR(__xludf.DUMMYFUNCTION("""COMPUTED_VALUE"""),"")</f>
        <v/>
      </c>
      <c r="E1161" s="5" t="str">
        <f>IFERROR(__xludf.DUMMYFUNCTION("""COMPUTED_VALUE"""),"")</f>
        <v/>
      </c>
      <c r="F1161" s="5" t="str">
        <f>IFERROR(__xludf.DUMMYFUNCTION("""COMPUTED_VALUE"""),"")</f>
        <v/>
      </c>
      <c r="G1161" s="5" t="str">
        <f>IFERROR(__xludf.DUMMYFUNCTION("""COMPUTED_VALUE"""),"")</f>
        <v/>
      </c>
      <c r="H1161" s="5" t="str">
        <f>IFERROR(__xludf.DUMMYFUNCTION("""COMPUTED_VALUE"""),"")</f>
        <v/>
      </c>
      <c r="I1161" s="5" t="str">
        <f>IFERROR(__xludf.DUMMYFUNCTION("""COMPUTED_VALUE"""),"")</f>
        <v/>
      </c>
      <c r="J1161" s="5" t="str">
        <f>IFERROR(__xludf.DUMMYFUNCTION("""COMPUTED_VALUE"""),"")</f>
        <v/>
      </c>
      <c r="K1161" s="5" t="str">
        <f>IFERROR(__xludf.DUMMYFUNCTION("""COMPUTED_VALUE"""),"")</f>
        <v/>
      </c>
      <c r="L1161" s="5" t="str">
        <f>IFERROR(__xludf.DUMMYFUNCTION("""COMPUTED_VALUE"""),"")</f>
        <v/>
      </c>
      <c r="M1161" s="5" t="str">
        <f>IFERROR(__xludf.DUMMYFUNCTION("""COMPUTED_VALUE"""),"")</f>
        <v/>
      </c>
      <c r="N1161" s="5" t="str">
        <f>IFERROR(__xludf.DUMMYFUNCTION("""COMPUTED_VALUE"""),"")</f>
        <v/>
      </c>
      <c r="O1161" s="5" t="str">
        <f>IFERROR(__xludf.DUMMYFUNCTION("""COMPUTED_VALUE"""),"")</f>
        <v/>
      </c>
      <c r="P1161" s="5" t="str">
        <f>IFERROR(__xludf.DUMMYFUNCTION("""COMPUTED_VALUE"""),"")</f>
        <v/>
      </c>
      <c r="Q1161" s="5" t="str">
        <f>IFERROR(__xludf.DUMMYFUNCTION("""COMPUTED_VALUE"""),"")</f>
        <v/>
      </c>
      <c r="R1161" s="5" t="str">
        <f>IFERROR(__xludf.DUMMYFUNCTION("""COMPUTED_VALUE"""),"")</f>
        <v/>
      </c>
      <c r="S1161" s="5" t="str">
        <f>IFERROR(__xludf.DUMMYFUNCTION("""COMPUTED_VALUE"""),"")</f>
        <v/>
      </c>
      <c r="T1161" s="5" t="str">
        <f>IFERROR(__xludf.DUMMYFUNCTION("""COMPUTED_VALUE"""),"")</f>
        <v/>
      </c>
      <c r="U1161" s="5" t="str">
        <f>IFERROR(__xludf.DUMMYFUNCTION("""COMPUTED_VALUE"""),"")</f>
        <v/>
      </c>
      <c r="V1161" s="5" t="str">
        <f>IFERROR(__xludf.DUMMYFUNCTION("""COMPUTED_VALUE"""),"")</f>
        <v/>
      </c>
      <c r="W1161" s="5" t="str">
        <f>IFERROR(__xludf.DUMMYFUNCTION("""COMPUTED_VALUE"""),"")</f>
        <v/>
      </c>
      <c r="X1161" s="5" t="str">
        <f>IFERROR(__xludf.DUMMYFUNCTION("""COMPUTED_VALUE"""),"")</f>
        <v/>
      </c>
      <c r="Y1161" s="5"/>
      <c r="Z1161" s="5"/>
    </row>
    <row r="1162">
      <c r="A1162" s="5"/>
      <c r="B1162" s="5" t="str">
        <f>IFERROR(__xludf.DUMMYFUNCTION("""COMPUTED_VALUE"""),"")</f>
        <v/>
      </c>
      <c r="C1162" s="5" t="str">
        <f>IFERROR(__xludf.DUMMYFUNCTION("""COMPUTED_VALUE"""),"")</f>
        <v/>
      </c>
      <c r="D1162" s="5" t="str">
        <f>IFERROR(__xludf.DUMMYFUNCTION("""COMPUTED_VALUE"""),"")</f>
        <v/>
      </c>
      <c r="E1162" s="5" t="str">
        <f>IFERROR(__xludf.DUMMYFUNCTION("""COMPUTED_VALUE"""),"")</f>
        <v/>
      </c>
      <c r="F1162" s="5" t="str">
        <f>IFERROR(__xludf.DUMMYFUNCTION("""COMPUTED_VALUE"""),"")</f>
        <v/>
      </c>
      <c r="G1162" s="5" t="str">
        <f>IFERROR(__xludf.DUMMYFUNCTION("""COMPUTED_VALUE"""),"")</f>
        <v/>
      </c>
      <c r="H1162" s="5" t="str">
        <f>IFERROR(__xludf.DUMMYFUNCTION("""COMPUTED_VALUE"""),"")</f>
        <v/>
      </c>
      <c r="I1162" s="5" t="str">
        <f>IFERROR(__xludf.DUMMYFUNCTION("""COMPUTED_VALUE"""),"")</f>
        <v/>
      </c>
      <c r="J1162" s="5" t="str">
        <f>IFERROR(__xludf.DUMMYFUNCTION("""COMPUTED_VALUE"""),"")</f>
        <v/>
      </c>
      <c r="K1162" s="5" t="str">
        <f>IFERROR(__xludf.DUMMYFUNCTION("""COMPUTED_VALUE"""),"")</f>
        <v/>
      </c>
      <c r="L1162" s="5" t="str">
        <f>IFERROR(__xludf.DUMMYFUNCTION("""COMPUTED_VALUE"""),"")</f>
        <v/>
      </c>
      <c r="M1162" s="5" t="str">
        <f>IFERROR(__xludf.DUMMYFUNCTION("""COMPUTED_VALUE"""),"")</f>
        <v/>
      </c>
      <c r="N1162" s="5" t="str">
        <f>IFERROR(__xludf.DUMMYFUNCTION("""COMPUTED_VALUE"""),"")</f>
        <v/>
      </c>
      <c r="O1162" s="5" t="str">
        <f>IFERROR(__xludf.DUMMYFUNCTION("""COMPUTED_VALUE"""),"")</f>
        <v/>
      </c>
      <c r="P1162" s="5" t="str">
        <f>IFERROR(__xludf.DUMMYFUNCTION("""COMPUTED_VALUE"""),"")</f>
        <v/>
      </c>
      <c r="Q1162" s="5" t="str">
        <f>IFERROR(__xludf.DUMMYFUNCTION("""COMPUTED_VALUE"""),"")</f>
        <v/>
      </c>
      <c r="R1162" s="5" t="str">
        <f>IFERROR(__xludf.DUMMYFUNCTION("""COMPUTED_VALUE"""),"")</f>
        <v/>
      </c>
      <c r="S1162" s="5" t="str">
        <f>IFERROR(__xludf.DUMMYFUNCTION("""COMPUTED_VALUE"""),"")</f>
        <v/>
      </c>
      <c r="T1162" s="5" t="str">
        <f>IFERROR(__xludf.DUMMYFUNCTION("""COMPUTED_VALUE"""),"")</f>
        <v/>
      </c>
      <c r="U1162" s="5" t="str">
        <f>IFERROR(__xludf.DUMMYFUNCTION("""COMPUTED_VALUE"""),"")</f>
        <v/>
      </c>
      <c r="V1162" s="5" t="str">
        <f>IFERROR(__xludf.DUMMYFUNCTION("""COMPUTED_VALUE"""),"")</f>
        <v/>
      </c>
      <c r="W1162" s="5" t="str">
        <f>IFERROR(__xludf.DUMMYFUNCTION("""COMPUTED_VALUE"""),"")</f>
        <v/>
      </c>
      <c r="X1162" s="5" t="str">
        <f>IFERROR(__xludf.DUMMYFUNCTION("""COMPUTED_VALUE"""),"")</f>
        <v/>
      </c>
      <c r="Y1162" s="5"/>
      <c r="Z1162" s="5"/>
    </row>
    <row r="1163">
      <c r="A1163" s="5"/>
      <c r="B1163" s="5" t="str">
        <f>IFERROR(__xludf.DUMMYFUNCTION("""COMPUTED_VALUE"""),"")</f>
        <v/>
      </c>
      <c r="C1163" s="5" t="str">
        <f>IFERROR(__xludf.DUMMYFUNCTION("""COMPUTED_VALUE"""),"")</f>
        <v/>
      </c>
      <c r="D1163" s="5" t="str">
        <f>IFERROR(__xludf.DUMMYFUNCTION("""COMPUTED_VALUE"""),"")</f>
        <v/>
      </c>
      <c r="E1163" s="5" t="str">
        <f>IFERROR(__xludf.DUMMYFUNCTION("""COMPUTED_VALUE"""),"")</f>
        <v/>
      </c>
      <c r="F1163" s="5" t="str">
        <f>IFERROR(__xludf.DUMMYFUNCTION("""COMPUTED_VALUE"""),"")</f>
        <v/>
      </c>
      <c r="G1163" s="5" t="str">
        <f>IFERROR(__xludf.DUMMYFUNCTION("""COMPUTED_VALUE"""),"")</f>
        <v/>
      </c>
      <c r="H1163" s="5" t="str">
        <f>IFERROR(__xludf.DUMMYFUNCTION("""COMPUTED_VALUE"""),"")</f>
        <v/>
      </c>
      <c r="I1163" s="5" t="str">
        <f>IFERROR(__xludf.DUMMYFUNCTION("""COMPUTED_VALUE"""),"")</f>
        <v/>
      </c>
      <c r="J1163" s="5" t="str">
        <f>IFERROR(__xludf.DUMMYFUNCTION("""COMPUTED_VALUE"""),"")</f>
        <v/>
      </c>
      <c r="K1163" s="5" t="str">
        <f>IFERROR(__xludf.DUMMYFUNCTION("""COMPUTED_VALUE"""),"")</f>
        <v/>
      </c>
      <c r="L1163" s="5" t="str">
        <f>IFERROR(__xludf.DUMMYFUNCTION("""COMPUTED_VALUE"""),"")</f>
        <v/>
      </c>
      <c r="M1163" s="5" t="str">
        <f>IFERROR(__xludf.DUMMYFUNCTION("""COMPUTED_VALUE"""),"")</f>
        <v/>
      </c>
      <c r="N1163" s="5" t="str">
        <f>IFERROR(__xludf.DUMMYFUNCTION("""COMPUTED_VALUE"""),"")</f>
        <v/>
      </c>
      <c r="O1163" s="5" t="str">
        <f>IFERROR(__xludf.DUMMYFUNCTION("""COMPUTED_VALUE"""),"")</f>
        <v/>
      </c>
      <c r="P1163" s="5" t="str">
        <f>IFERROR(__xludf.DUMMYFUNCTION("""COMPUTED_VALUE"""),"")</f>
        <v/>
      </c>
      <c r="Q1163" s="5" t="str">
        <f>IFERROR(__xludf.DUMMYFUNCTION("""COMPUTED_VALUE"""),"")</f>
        <v/>
      </c>
      <c r="R1163" s="5" t="str">
        <f>IFERROR(__xludf.DUMMYFUNCTION("""COMPUTED_VALUE"""),"")</f>
        <v/>
      </c>
      <c r="S1163" s="5" t="str">
        <f>IFERROR(__xludf.DUMMYFUNCTION("""COMPUTED_VALUE"""),"")</f>
        <v/>
      </c>
      <c r="T1163" s="5" t="str">
        <f>IFERROR(__xludf.DUMMYFUNCTION("""COMPUTED_VALUE"""),"")</f>
        <v/>
      </c>
      <c r="U1163" s="5" t="str">
        <f>IFERROR(__xludf.DUMMYFUNCTION("""COMPUTED_VALUE"""),"")</f>
        <v/>
      </c>
      <c r="V1163" s="5" t="str">
        <f>IFERROR(__xludf.DUMMYFUNCTION("""COMPUTED_VALUE"""),"")</f>
        <v/>
      </c>
      <c r="W1163" s="5" t="str">
        <f>IFERROR(__xludf.DUMMYFUNCTION("""COMPUTED_VALUE"""),"")</f>
        <v/>
      </c>
      <c r="X1163" s="5" t="str">
        <f>IFERROR(__xludf.DUMMYFUNCTION("""COMPUTED_VALUE"""),"")</f>
        <v/>
      </c>
      <c r="Y1163" s="5"/>
      <c r="Z1163" s="5"/>
    </row>
    <row r="1164">
      <c r="A1164" s="5"/>
      <c r="B1164" s="5" t="str">
        <f>IFERROR(__xludf.DUMMYFUNCTION("""COMPUTED_VALUE"""),"")</f>
        <v/>
      </c>
      <c r="C1164" s="5" t="str">
        <f>IFERROR(__xludf.DUMMYFUNCTION("""COMPUTED_VALUE"""),"")</f>
        <v/>
      </c>
      <c r="D1164" s="5" t="str">
        <f>IFERROR(__xludf.DUMMYFUNCTION("""COMPUTED_VALUE"""),"")</f>
        <v/>
      </c>
      <c r="E1164" s="5" t="str">
        <f>IFERROR(__xludf.DUMMYFUNCTION("""COMPUTED_VALUE"""),"")</f>
        <v/>
      </c>
      <c r="F1164" s="5" t="str">
        <f>IFERROR(__xludf.DUMMYFUNCTION("""COMPUTED_VALUE"""),"")</f>
        <v/>
      </c>
      <c r="G1164" s="5" t="str">
        <f>IFERROR(__xludf.DUMMYFUNCTION("""COMPUTED_VALUE"""),"")</f>
        <v/>
      </c>
      <c r="H1164" s="5" t="str">
        <f>IFERROR(__xludf.DUMMYFUNCTION("""COMPUTED_VALUE"""),"")</f>
        <v/>
      </c>
      <c r="I1164" s="5" t="str">
        <f>IFERROR(__xludf.DUMMYFUNCTION("""COMPUTED_VALUE"""),"")</f>
        <v/>
      </c>
      <c r="J1164" s="5" t="str">
        <f>IFERROR(__xludf.DUMMYFUNCTION("""COMPUTED_VALUE"""),"")</f>
        <v/>
      </c>
      <c r="K1164" s="5" t="str">
        <f>IFERROR(__xludf.DUMMYFUNCTION("""COMPUTED_VALUE"""),"")</f>
        <v/>
      </c>
      <c r="L1164" s="5" t="str">
        <f>IFERROR(__xludf.DUMMYFUNCTION("""COMPUTED_VALUE"""),"")</f>
        <v/>
      </c>
      <c r="M1164" s="5" t="str">
        <f>IFERROR(__xludf.DUMMYFUNCTION("""COMPUTED_VALUE"""),"")</f>
        <v/>
      </c>
      <c r="N1164" s="5" t="str">
        <f>IFERROR(__xludf.DUMMYFUNCTION("""COMPUTED_VALUE"""),"")</f>
        <v/>
      </c>
      <c r="O1164" s="5" t="str">
        <f>IFERROR(__xludf.DUMMYFUNCTION("""COMPUTED_VALUE"""),"")</f>
        <v/>
      </c>
      <c r="P1164" s="5" t="str">
        <f>IFERROR(__xludf.DUMMYFUNCTION("""COMPUTED_VALUE"""),"")</f>
        <v/>
      </c>
      <c r="Q1164" s="5" t="str">
        <f>IFERROR(__xludf.DUMMYFUNCTION("""COMPUTED_VALUE"""),"")</f>
        <v/>
      </c>
      <c r="R1164" s="5" t="str">
        <f>IFERROR(__xludf.DUMMYFUNCTION("""COMPUTED_VALUE"""),"")</f>
        <v/>
      </c>
      <c r="S1164" s="5" t="str">
        <f>IFERROR(__xludf.DUMMYFUNCTION("""COMPUTED_VALUE"""),"")</f>
        <v/>
      </c>
      <c r="T1164" s="5" t="str">
        <f>IFERROR(__xludf.DUMMYFUNCTION("""COMPUTED_VALUE"""),"")</f>
        <v/>
      </c>
      <c r="U1164" s="5" t="str">
        <f>IFERROR(__xludf.DUMMYFUNCTION("""COMPUTED_VALUE"""),"")</f>
        <v/>
      </c>
      <c r="V1164" s="5" t="str">
        <f>IFERROR(__xludf.DUMMYFUNCTION("""COMPUTED_VALUE"""),"")</f>
        <v/>
      </c>
      <c r="W1164" s="5" t="str">
        <f>IFERROR(__xludf.DUMMYFUNCTION("""COMPUTED_VALUE"""),"")</f>
        <v/>
      </c>
      <c r="X1164" s="5" t="str">
        <f>IFERROR(__xludf.DUMMYFUNCTION("""COMPUTED_VALUE"""),"")</f>
        <v/>
      </c>
      <c r="Y1164" s="5"/>
      <c r="Z1164" s="5"/>
    </row>
    <row r="1165">
      <c r="A1165" s="5"/>
      <c r="B1165" s="5" t="str">
        <f>IFERROR(__xludf.DUMMYFUNCTION("""COMPUTED_VALUE"""),"")</f>
        <v/>
      </c>
      <c r="C1165" s="5" t="str">
        <f>IFERROR(__xludf.DUMMYFUNCTION("""COMPUTED_VALUE"""),"")</f>
        <v/>
      </c>
      <c r="D1165" s="5" t="str">
        <f>IFERROR(__xludf.DUMMYFUNCTION("""COMPUTED_VALUE"""),"")</f>
        <v/>
      </c>
      <c r="E1165" s="5" t="str">
        <f>IFERROR(__xludf.DUMMYFUNCTION("""COMPUTED_VALUE"""),"")</f>
        <v/>
      </c>
      <c r="F1165" s="5" t="str">
        <f>IFERROR(__xludf.DUMMYFUNCTION("""COMPUTED_VALUE"""),"")</f>
        <v/>
      </c>
      <c r="G1165" s="5" t="str">
        <f>IFERROR(__xludf.DUMMYFUNCTION("""COMPUTED_VALUE"""),"")</f>
        <v/>
      </c>
      <c r="H1165" s="5" t="str">
        <f>IFERROR(__xludf.DUMMYFUNCTION("""COMPUTED_VALUE"""),"")</f>
        <v/>
      </c>
      <c r="I1165" s="5" t="str">
        <f>IFERROR(__xludf.DUMMYFUNCTION("""COMPUTED_VALUE"""),"")</f>
        <v/>
      </c>
      <c r="J1165" s="5" t="str">
        <f>IFERROR(__xludf.DUMMYFUNCTION("""COMPUTED_VALUE"""),"")</f>
        <v/>
      </c>
      <c r="K1165" s="5" t="str">
        <f>IFERROR(__xludf.DUMMYFUNCTION("""COMPUTED_VALUE"""),"")</f>
        <v/>
      </c>
      <c r="L1165" s="5" t="str">
        <f>IFERROR(__xludf.DUMMYFUNCTION("""COMPUTED_VALUE"""),"")</f>
        <v/>
      </c>
      <c r="M1165" s="5" t="str">
        <f>IFERROR(__xludf.DUMMYFUNCTION("""COMPUTED_VALUE"""),"")</f>
        <v/>
      </c>
      <c r="N1165" s="5" t="str">
        <f>IFERROR(__xludf.DUMMYFUNCTION("""COMPUTED_VALUE"""),"")</f>
        <v/>
      </c>
      <c r="O1165" s="5" t="str">
        <f>IFERROR(__xludf.DUMMYFUNCTION("""COMPUTED_VALUE"""),"")</f>
        <v/>
      </c>
      <c r="P1165" s="5" t="str">
        <f>IFERROR(__xludf.DUMMYFUNCTION("""COMPUTED_VALUE"""),"")</f>
        <v/>
      </c>
      <c r="Q1165" s="5" t="str">
        <f>IFERROR(__xludf.DUMMYFUNCTION("""COMPUTED_VALUE"""),"")</f>
        <v/>
      </c>
      <c r="R1165" s="5" t="str">
        <f>IFERROR(__xludf.DUMMYFUNCTION("""COMPUTED_VALUE"""),"")</f>
        <v/>
      </c>
      <c r="S1165" s="5" t="str">
        <f>IFERROR(__xludf.DUMMYFUNCTION("""COMPUTED_VALUE"""),"")</f>
        <v/>
      </c>
      <c r="T1165" s="5" t="str">
        <f>IFERROR(__xludf.DUMMYFUNCTION("""COMPUTED_VALUE"""),"")</f>
        <v/>
      </c>
      <c r="U1165" s="5" t="str">
        <f>IFERROR(__xludf.DUMMYFUNCTION("""COMPUTED_VALUE"""),"")</f>
        <v/>
      </c>
      <c r="V1165" s="5" t="str">
        <f>IFERROR(__xludf.DUMMYFUNCTION("""COMPUTED_VALUE"""),"")</f>
        <v/>
      </c>
      <c r="W1165" s="5" t="str">
        <f>IFERROR(__xludf.DUMMYFUNCTION("""COMPUTED_VALUE"""),"")</f>
        <v/>
      </c>
      <c r="X1165" s="5" t="str">
        <f>IFERROR(__xludf.DUMMYFUNCTION("""COMPUTED_VALUE"""),"")</f>
        <v/>
      </c>
      <c r="Y1165" s="5"/>
      <c r="Z1165" s="5"/>
    </row>
    <row r="1166">
      <c r="A1166" s="5"/>
      <c r="B1166" s="5" t="str">
        <f>IFERROR(__xludf.DUMMYFUNCTION("""COMPUTED_VALUE"""),"")</f>
        <v/>
      </c>
      <c r="C1166" s="5" t="str">
        <f>IFERROR(__xludf.DUMMYFUNCTION("""COMPUTED_VALUE"""),"")</f>
        <v/>
      </c>
      <c r="D1166" s="5" t="str">
        <f>IFERROR(__xludf.DUMMYFUNCTION("""COMPUTED_VALUE"""),"")</f>
        <v/>
      </c>
      <c r="E1166" s="5" t="str">
        <f>IFERROR(__xludf.DUMMYFUNCTION("""COMPUTED_VALUE"""),"")</f>
        <v/>
      </c>
      <c r="F1166" s="5" t="str">
        <f>IFERROR(__xludf.DUMMYFUNCTION("""COMPUTED_VALUE"""),"")</f>
        <v/>
      </c>
      <c r="G1166" s="5" t="str">
        <f>IFERROR(__xludf.DUMMYFUNCTION("""COMPUTED_VALUE"""),"")</f>
        <v/>
      </c>
      <c r="H1166" s="5" t="str">
        <f>IFERROR(__xludf.DUMMYFUNCTION("""COMPUTED_VALUE"""),"")</f>
        <v/>
      </c>
      <c r="I1166" s="5" t="str">
        <f>IFERROR(__xludf.DUMMYFUNCTION("""COMPUTED_VALUE"""),"")</f>
        <v/>
      </c>
      <c r="J1166" s="5" t="str">
        <f>IFERROR(__xludf.DUMMYFUNCTION("""COMPUTED_VALUE"""),"")</f>
        <v/>
      </c>
      <c r="K1166" s="5" t="str">
        <f>IFERROR(__xludf.DUMMYFUNCTION("""COMPUTED_VALUE"""),"")</f>
        <v/>
      </c>
      <c r="L1166" s="5" t="str">
        <f>IFERROR(__xludf.DUMMYFUNCTION("""COMPUTED_VALUE"""),"")</f>
        <v/>
      </c>
      <c r="M1166" s="5" t="str">
        <f>IFERROR(__xludf.DUMMYFUNCTION("""COMPUTED_VALUE"""),"")</f>
        <v/>
      </c>
      <c r="N1166" s="5" t="str">
        <f>IFERROR(__xludf.DUMMYFUNCTION("""COMPUTED_VALUE"""),"")</f>
        <v/>
      </c>
      <c r="O1166" s="5" t="str">
        <f>IFERROR(__xludf.DUMMYFUNCTION("""COMPUTED_VALUE"""),"")</f>
        <v/>
      </c>
      <c r="P1166" s="5" t="str">
        <f>IFERROR(__xludf.DUMMYFUNCTION("""COMPUTED_VALUE"""),"")</f>
        <v/>
      </c>
      <c r="Q1166" s="5" t="str">
        <f>IFERROR(__xludf.DUMMYFUNCTION("""COMPUTED_VALUE"""),"")</f>
        <v/>
      </c>
      <c r="R1166" s="5" t="str">
        <f>IFERROR(__xludf.DUMMYFUNCTION("""COMPUTED_VALUE"""),"")</f>
        <v/>
      </c>
      <c r="S1166" s="5" t="str">
        <f>IFERROR(__xludf.DUMMYFUNCTION("""COMPUTED_VALUE"""),"")</f>
        <v/>
      </c>
      <c r="T1166" s="5" t="str">
        <f>IFERROR(__xludf.DUMMYFUNCTION("""COMPUTED_VALUE"""),"")</f>
        <v/>
      </c>
      <c r="U1166" s="5" t="str">
        <f>IFERROR(__xludf.DUMMYFUNCTION("""COMPUTED_VALUE"""),"")</f>
        <v/>
      </c>
      <c r="V1166" s="5" t="str">
        <f>IFERROR(__xludf.DUMMYFUNCTION("""COMPUTED_VALUE"""),"")</f>
        <v/>
      </c>
      <c r="W1166" s="5" t="str">
        <f>IFERROR(__xludf.DUMMYFUNCTION("""COMPUTED_VALUE"""),"")</f>
        <v/>
      </c>
      <c r="X1166" s="5" t="str">
        <f>IFERROR(__xludf.DUMMYFUNCTION("""COMPUTED_VALUE"""),"")</f>
        <v/>
      </c>
      <c r="Y1166" s="5"/>
      <c r="Z1166" s="5"/>
    </row>
    <row r="1167">
      <c r="A1167" s="5"/>
      <c r="B1167" s="5" t="str">
        <f>IFERROR(__xludf.DUMMYFUNCTION("""COMPUTED_VALUE"""),"")</f>
        <v/>
      </c>
      <c r="C1167" s="5" t="str">
        <f>IFERROR(__xludf.DUMMYFUNCTION("""COMPUTED_VALUE"""),"")</f>
        <v/>
      </c>
      <c r="D1167" s="5" t="str">
        <f>IFERROR(__xludf.DUMMYFUNCTION("""COMPUTED_VALUE"""),"")</f>
        <v/>
      </c>
      <c r="E1167" s="5" t="str">
        <f>IFERROR(__xludf.DUMMYFUNCTION("""COMPUTED_VALUE"""),"")</f>
        <v/>
      </c>
      <c r="F1167" s="5" t="str">
        <f>IFERROR(__xludf.DUMMYFUNCTION("""COMPUTED_VALUE"""),"")</f>
        <v/>
      </c>
      <c r="G1167" s="5" t="str">
        <f>IFERROR(__xludf.DUMMYFUNCTION("""COMPUTED_VALUE"""),"")</f>
        <v/>
      </c>
      <c r="H1167" s="5" t="str">
        <f>IFERROR(__xludf.DUMMYFUNCTION("""COMPUTED_VALUE"""),"")</f>
        <v/>
      </c>
      <c r="I1167" s="5" t="str">
        <f>IFERROR(__xludf.DUMMYFUNCTION("""COMPUTED_VALUE"""),"")</f>
        <v/>
      </c>
      <c r="J1167" s="5" t="str">
        <f>IFERROR(__xludf.DUMMYFUNCTION("""COMPUTED_VALUE"""),"")</f>
        <v/>
      </c>
      <c r="K1167" s="5" t="str">
        <f>IFERROR(__xludf.DUMMYFUNCTION("""COMPUTED_VALUE"""),"")</f>
        <v/>
      </c>
      <c r="L1167" s="5" t="str">
        <f>IFERROR(__xludf.DUMMYFUNCTION("""COMPUTED_VALUE"""),"")</f>
        <v/>
      </c>
      <c r="M1167" s="5" t="str">
        <f>IFERROR(__xludf.DUMMYFUNCTION("""COMPUTED_VALUE"""),"")</f>
        <v/>
      </c>
      <c r="N1167" s="5" t="str">
        <f>IFERROR(__xludf.DUMMYFUNCTION("""COMPUTED_VALUE"""),"")</f>
        <v/>
      </c>
      <c r="O1167" s="5" t="str">
        <f>IFERROR(__xludf.DUMMYFUNCTION("""COMPUTED_VALUE"""),"")</f>
        <v/>
      </c>
      <c r="P1167" s="5" t="str">
        <f>IFERROR(__xludf.DUMMYFUNCTION("""COMPUTED_VALUE"""),"")</f>
        <v/>
      </c>
      <c r="Q1167" s="5" t="str">
        <f>IFERROR(__xludf.DUMMYFUNCTION("""COMPUTED_VALUE"""),"")</f>
        <v/>
      </c>
      <c r="R1167" s="5" t="str">
        <f>IFERROR(__xludf.DUMMYFUNCTION("""COMPUTED_VALUE"""),"")</f>
        <v/>
      </c>
      <c r="S1167" s="5" t="str">
        <f>IFERROR(__xludf.DUMMYFUNCTION("""COMPUTED_VALUE"""),"")</f>
        <v/>
      </c>
      <c r="T1167" s="5" t="str">
        <f>IFERROR(__xludf.DUMMYFUNCTION("""COMPUTED_VALUE"""),"")</f>
        <v/>
      </c>
      <c r="U1167" s="5" t="str">
        <f>IFERROR(__xludf.DUMMYFUNCTION("""COMPUTED_VALUE"""),"")</f>
        <v/>
      </c>
      <c r="V1167" s="5" t="str">
        <f>IFERROR(__xludf.DUMMYFUNCTION("""COMPUTED_VALUE"""),"")</f>
        <v/>
      </c>
      <c r="W1167" s="5" t="str">
        <f>IFERROR(__xludf.DUMMYFUNCTION("""COMPUTED_VALUE"""),"")</f>
        <v/>
      </c>
      <c r="X1167" s="5" t="str">
        <f>IFERROR(__xludf.DUMMYFUNCTION("""COMPUTED_VALUE"""),"")</f>
        <v/>
      </c>
      <c r="Y1167" s="5"/>
      <c r="Z1167" s="5"/>
    </row>
    <row r="1168">
      <c r="A1168" s="5"/>
      <c r="B1168" s="5" t="str">
        <f>IFERROR(__xludf.DUMMYFUNCTION("""COMPUTED_VALUE"""),"")</f>
        <v/>
      </c>
      <c r="C1168" s="5" t="str">
        <f>IFERROR(__xludf.DUMMYFUNCTION("""COMPUTED_VALUE"""),"")</f>
        <v/>
      </c>
      <c r="D1168" s="5" t="str">
        <f>IFERROR(__xludf.DUMMYFUNCTION("""COMPUTED_VALUE"""),"")</f>
        <v/>
      </c>
      <c r="E1168" s="5" t="str">
        <f>IFERROR(__xludf.DUMMYFUNCTION("""COMPUTED_VALUE"""),"")</f>
        <v/>
      </c>
      <c r="F1168" s="5" t="str">
        <f>IFERROR(__xludf.DUMMYFUNCTION("""COMPUTED_VALUE"""),"")</f>
        <v/>
      </c>
      <c r="G1168" s="5" t="str">
        <f>IFERROR(__xludf.DUMMYFUNCTION("""COMPUTED_VALUE"""),"")</f>
        <v/>
      </c>
      <c r="H1168" s="5" t="str">
        <f>IFERROR(__xludf.DUMMYFUNCTION("""COMPUTED_VALUE"""),"")</f>
        <v/>
      </c>
      <c r="I1168" s="5" t="str">
        <f>IFERROR(__xludf.DUMMYFUNCTION("""COMPUTED_VALUE"""),"")</f>
        <v/>
      </c>
      <c r="J1168" s="5" t="str">
        <f>IFERROR(__xludf.DUMMYFUNCTION("""COMPUTED_VALUE"""),"")</f>
        <v/>
      </c>
      <c r="K1168" s="5" t="str">
        <f>IFERROR(__xludf.DUMMYFUNCTION("""COMPUTED_VALUE"""),"")</f>
        <v/>
      </c>
      <c r="L1168" s="5" t="str">
        <f>IFERROR(__xludf.DUMMYFUNCTION("""COMPUTED_VALUE"""),"")</f>
        <v/>
      </c>
      <c r="M1168" s="5" t="str">
        <f>IFERROR(__xludf.DUMMYFUNCTION("""COMPUTED_VALUE"""),"")</f>
        <v/>
      </c>
      <c r="N1168" s="5" t="str">
        <f>IFERROR(__xludf.DUMMYFUNCTION("""COMPUTED_VALUE"""),"")</f>
        <v/>
      </c>
      <c r="O1168" s="5" t="str">
        <f>IFERROR(__xludf.DUMMYFUNCTION("""COMPUTED_VALUE"""),"")</f>
        <v/>
      </c>
      <c r="P1168" s="5" t="str">
        <f>IFERROR(__xludf.DUMMYFUNCTION("""COMPUTED_VALUE"""),"")</f>
        <v/>
      </c>
      <c r="Q1168" s="5" t="str">
        <f>IFERROR(__xludf.DUMMYFUNCTION("""COMPUTED_VALUE"""),"")</f>
        <v/>
      </c>
      <c r="R1168" s="5" t="str">
        <f>IFERROR(__xludf.DUMMYFUNCTION("""COMPUTED_VALUE"""),"")</f>
        <v/>
      </c>
      <c r="S1168" s="5" t="str">
        <f>IFERROR(__xludf.DUMMYFUNCTION("""COMPUTED_VALUE"""),"")</f>
        <v/>
      </c>
      <c r="T1168" s="5" t="str">
        <f>IFERROR(__xludf.DUMMYFUNCTION("""COMPUTED_VALUE"""),"")</f>
        <v/>
      </c>
      <c r="U1168" s="5" t="str">
        <f>IFERROR(__xludf.DUMMYFUNCTION("""COMPUTED_VALUE"""),"")</f>
        <v/>
      </c>
      <c r="V1168" s="5" t="str">
        <f>IFERROR(__xludf.DUMMYFUNCTION("""COMPUTED_VALUE"""),"")</f>
        <v/>
      </c>
      <c r="W1168" s="5" t="str">
        <f>IFERROR(__xludf.DUMMYFUNCTION("""COMPUTED_VALUE"""),"")</f>
        <v/>
      </c>
      <c r="X1168" s="5" t="str">
        <f>IFERROR(__xludf.DUMMYFUNCTION("""COMPUTED_VALUE"""),"")</f>
        <v/>
      </c>
      <c r="Y1168" s="5"/>
      <c r="Z1168" s="5"/>
    </row>
    <row r="1169">
      <c r="A1169" s="5"/>
      <c r="B1169" s="5" t="str">
        <f>IFERROR(__xludf.DUMMYFUNCTION("""COMPUTED_VALUE"""),"")</f>
        <v/>
      </c>
      <c r="C1169" s="5" t="str">
        <f>IFERROR(__xludf.DUMMYFUNCTION("""COMPUTED_VALUE"""),"")</f>
        <v/>
      </c>
      <c r="D1169" s="5" t="str">
        <f>IFERROR(__xludf.DUMMYFUNCTION("""COMPUTED_VALUE"""),"")</f>
        <v/>
      </c>
      <c r="E1169" s="5" t="str">
        <f>IFERROR(__xludf.DUMMYFUNCTION("""COMPUTED_VALUE"""),"")</f>
        <v/>
      </c>
      <c r="F1169" s="5" t="str">
        <f>IFERROR(__xludf.DUMMYFUNCTION("""COMPUTED_VALUE"""),"")</f>
        <v/>
      </c>
      <c r="G1169" s="5" t="str">
        <f>IFERROR(__xludf.DUMMYFUNCTION("""COMPUTED_VALUE"""),"")</f>
        <v/>
      </c>
      <c r="H1169" s="5" t="str">
        <f>IFERROR(__xludf.DUMMYFUNCTION("""COMPUTED_VALUE"""),"")</f>
        <v/>
      </c>
      <c r="I1169" s="5" t="str">
        <f>IFERROR(__xludf.DUMMYFUNCTION("""COMPUTED_VALUE"""),"")</f>
        <v/>
      </c>
      <c r="J1169" s="5" t="str">
        <f>IFERROR(__xludf.DUMMYFUNCTION("""COMPUTED_VALUE"""),"")</f>
        <v/>
      </c>
      <c r="K1169" s="5" t="str">
        <f>IFERROR(__xludf.DUMMYFUNCTION("""COMPUTED_VALUE"""),"")</f>
        <v/>
      </c>
      <c r="L1169" s="5" t="str">
        <f>IFERROR(__xludf.DUMMYFUNCTION("""COMPUTED_VALUE"""),"")</f>
        <v/>
      </c>
      <c r="M1169" s="5" t="str">
        <f>IFERROR(__xludf.DUMMYFUNCTION("""COMPUTED_VALUE"""),"")</f>
        <v/>
      </c>
      <c r="N1169" s="5" t="str">
        <f>IFERROR(__xludf.DUMMYFUNCTION("""COMPUTED_VALUE"""),"")</f>
        <v/>
      </c>
      <c r="O1169" s="5" t="str">
        <f>IFERROR(__xludf.DUMMYFUNCTION("""COMPUTED_VALUE"""),"")</f>
        <v/>
      </c>
      <c r="P1169" s="5" t="str">
        <f>IFERROR(__xludf.DUMMYFUNCTION("""COMPUTED_VALUE"""),"")</f>
        <v/>
      </c>
      <c r="Q1169" s="5" t="str">
        <f>IFERROR(__xludf.DUMMYFUNCTION("""COMPUTED_VALUE"""),"")</f>
        <v/>
      </c>
      <c r="R1169" s="5" t="str">
        <f>IFERROR(__xludf.DUMMYFUNCTION("""COMPUTED_VALUE"""),"")</f>
        <v/>
      </c>
      <c r="S1169" s="5" t="str">
        <f>IFERROR(__xludf.DUMMYFUNCTION("""COMPUTED_VALUE"""),"")</f>
        <v/>
      </c>
      <c r="T1169" s="5" t="str">
        <f>IFERROR(__xludf.DUMMYFUNCTION("""COMPUTED_VALUE"""),"")</f>
        <v/>
      </c>
      <c r="U1169" s="5" t="str">
        <f>IFERROR(__xludf.DUMMYFUNCTION("""COMPUTED_VALUE"""),"")</f>
        <v/>
      </c>
      <c r="V1169" s="5" t="str">
        <f>IFERROR(__xludf.DUMMYFUNCTION("""COMPUTED_VALUE"""),"")</f>
        <v/>
      </c>
      <c r="W1169" s="5" t="str">
        <f>IFERROR(__xludf.DUMMYFUNCTION("""COMPUTED_VALUE"""),"")</f>
        <v/>
      </c>
      <c r="X1169" s="5" t="str">
        <f>IFERROR(__xludf.DUMMYFUNCTION("""COMPUTED_VALUE"""),"")</f>
        <v/>
      </c>
      <c r="Y1169" s="5"/>
      <c r="Z1169" s="5"/>
    </row>
    <row r="1170">
      <c r="A1170" s="5"/>
      <c r="B1170" s="5" t="str">
        <f>IFERROR(__xludf.DUMMYFUNCTION("""COMPUTED_VALUE"""),"")</f>
        <v/>
      </c>
      <c r="C1170" s="5" t="str">
        <f>IFERROR(__xludf.DUMMYFUNCTION("""COMPUTED_VALUE"""),"")</f>
        <v/>
      </c>
      <c r="D1170" s="5" t="str">
        <f>IFERROR(__xludf.DUMMYFUNCTION("""COMPUTED_VALUE"""),"")</f>
        <v/>
      </c>
      <c r="E1170" s="5" t="str">
        <f>IFERROR(__xludf.DUMMYFUNCTION("""COMPUTED_VALUE"""),"")</f>
        <v/>
      </c>
      <c r="F1170" s="5" t="str">
        <f>IFERROR(__xludf.DUMMYFUNCTION("""COMPUTED_VALUE"""),"")</f>
        <v/>
      </c>
      <c r="G1170" s="5" t="str">
        <f>IFERROR(__xludf.DUMMYFUNCTION("""COMPUTED_VALUE"""),"")</f>
        <v/>
      </c>
      <c r="H1170" s="5" t="str">
        <f>IFERROR(__xludf.DUMMYFUNCTION("""COMPUTED_VALUE"""),"")</f>
        <v/>
      </c>
      <c r="I1170" s="5" t="str">
        <f>IFERROR(__xludf.DUMMYFUNCTION("""COMPUTED_VALUE"""),"")</f>
        <v/>
      </c>
      <c r="J1170" s="5" t="str">
        <f>IFERROR(__xludf.DUMMYFUNCTION("""COMPUTED_VALUE"""),"")</f>
        <v/>
      </c>
      <c r="K1170" s="5" t="str">
        <f>IFERROR(__xludf.DUMMYFUNCTION("""COMPUTED_VALUE"""),"")</f>
        <v/>
      </c>
      <c r="L1170" s="5" t="str">
        <f>IFERROR(__xludf.DUMMYFUNCTION("""COMPUTED_VALUE"""),"")</f>
        <v/>
      </c>
      <c r="M1170" s="5" t="str">
        <f>IFERROR(__xludf.DUMMYFUNCTION("""COMPUTED_VALUE"""),"")</f>
        <v/>
      </c>
      <c r="N1170" s="5" t="str">
        <f>IFERROR(__xludf.DUMMYFUNCTION("""COMPUTED_VALUE"""),"")</f>
        <v/>
      </c>
      <c r="O1170" s="5" t="str">
        <f>IFERROR(__xludf.DUMMYFUNCTION("""COMPUTED_VALUE"""),"")</f>
        <v/>
      </c>
      <c r="P1170" s="5" t="str">
        <f>IFERROR(__xludf.DUMMYFUNCTION("""COMPUTED_VALUE"""),"")</f>
        <v/>
      </c>
      <c r="Q1170" s="5" t="str">
        <f>IFERROR(__xludf.DUMMYFUNCTION("""COMPUTED_VALUE"""),"")</f>
        <v/>
      </c>
      <c r="R1170" s="5" t="str">
        <f>IFERROR(__xludf.DUMMYFUNCTION("""COMPUTED_VALUE"""),"")</f>
        <v/>
      </c>
      <c r="S1170" s="5" t="str">
        <f>IFERROR(__xludf.DUMMYFUNCTION("""COMPUTED_VALUE"""),"")</f>
        <v/>
      </c>
      <c r="T1170" s="5" t="str">
        <f>IFERROR(__xludf.DUMMYFUNCTION("""COMPUTED_VALUE"""),"")</f>
        <v/>
      </c>
      <c r="U1170" s="5" t="str">
        <f>IFERROR(__xludf.DUMMYFUNCTION("""COMPUTED_VALUE"""),"")</f>
        <v/>
      </c>
      <c r="V1170" s="5" t="str">
        <f>IFERROR(__xludf.DUMMYFUNCTION("""COMPUTED_VALUE"""),"")</f>
        <v/>
      </c>
      <c r="W1170" s="5" t="str">
        <f>IFERROR(__xludf.DUMMYFUNCTION("""COMPUTED_VALUE"""),"")</f>
        <v/>
      </c>
      <c r="X1170" s="5" t="str">
        <f>IFERROR(__xludf.DUMMYFUNCTION("""COMPUTED_VALUE"""),"")</f>
        <v/>
      </c>
      <c r="Y1170" s="5"/>
      <c r="Z1170" s="5"/>
    </row>
    <row r="1171">
      <c r="A1171" s="5"/>
      <c r="B1171" s="5" t="str">
        <f>IFERROR(__xludf.DUMMYFUNCTION("""COMPUTED_VALUE"""),"")</f>
        <v/>
      </c>
      <c r="C1171" s="5" t="str">
        <f>IFERROR(__xludf.DUMMYFUNCTION("""COMPUTED_VALUE"""),"")</f>
        <v/>
      </c>
      <c r="D1171" s="5" t="str">
        <f>IFERROR(__xludf.DUMMYFUNCTION("""COMPUTED_VALUE"""),"")</f>
        <v/>
      </c>
      <c r="E1171" s="5" t="str">
        <f>IFERROR(__xludf.DUMMYFUNCTION("""COMPUTED_VALUE"""),"")</f>
        <v/>
      </c>
      <c r="F1171" s="5" t="str">
        <f>IFERROR(__xludf.DUMMYFUNCTION("""COMPUTED_VALUE"""),"")</f>
        <v/>
      </c>
      <c r="G1171" s="5" t="str">
        <f>IFERROR(__xludf.DUMMYFUNCTION("""COMPUTED_VALUE"""),"")</f>
        <v/>
      </c>
      <c r="H1171" s="5" t="str">
        <f>IFERROR(__xludf.DUMMYFUNCTION("""COMPUTED_VALUE"""),"")</f>
        <v/>
      </c>
      <c r="I1171" s="5" t="str">
        <f>IFERROR(__xludf.DUMMYFUNCTION("""COMPUTED_VALUE"""),"")</f>
        <v/>
      </c>
      <c r="J1171" s="5" t="str">
        <f>IFERROR(__xludf.DUMMYFUNCTION("""COMPUTED_VALUE"""),"")</f>
        <v/>
      </c>
      <c r="K1171" s="5" t="str">
        <f>IFERROR(__xludf.DUMMYFUNCTION("""COMPUTED_VALUE"""),"")</f>
        <v/>
      </c>
      <c r="L1171" s="5" t="str">
        <f>IFERROR(__xludf.DUMMYFUNCTION("""COMPUTED_VALUE"""),"")</f>
        <v/>
      </c>
      <c r="M1171" s="5" t="str">
        <f>IFERROR(__xludf.DUMMYFUNCTION("""COMPUTED_VALUE"""),"")</f>
        <v/>
      </c>
      <c r="N1171" s="5" t="str">
        <f>IFERROR(__xludf.DUMMYFUNCTION("""COMPUTED_VALUE"""),"")</f>
        <v/>
      </c>
      <c r="O1171" s="5" t="str">
        <f>IFERROR(__xludf.DUMMYFUNCTION("""COMPUTED_VALUE"""),"")</f>
        <v/>
      </c>
      <c r="P1171" s="5" t="str">
        <f>IFERROR(__xludf.DUMMYFUNCTION("""COMPUTED_VALUE"""),"")</f>
        <v/>
      </c>
      <c r="Q1171" s="5" t="str">
        <f>IFERROR(__xludf.DUMMYFUNCTION("""COMPUTED_VALUE"""),"")</f>
        <v/>
      </c>
      <c r="R1171" s="5" t="str">
        <f>IFERROR(__xludf.DUMMYFUNCTION("""COMPUTED_VALUE"""),"")</f>
        <v/>
      </c>
      <c r="S1171" s="5" t="str">
        <f>IFERROR(__xludf.DUMMYFUNCTION("""COMPUTED_VALUE"""),"")</f>
        <v/>
      </c>
      <c r="T1171" s="5" t="str">
        <f>IFERROR(__xludf.DUMMYFUNCTION("""COMPUTED_VALUE"""),"")</f>
        <v/>
      </c>
      <c r="U1171" s="5" t="str">
        <f>IFERROR(__xludf.DUMMYFUNCTION("""COMPUTED_VALUE"""),"")</f>
        <v/>
      </c>
      <c r="V1171" s="5" t="str">
        <f>IFERROR(__xludf.DUMMYFUNCTION("""COMPUTED_VALUE"""),"")</f>
        <v/>
      </c>
      <c r="W1171" s="5" t="str">
        <f>IFERROR(__xludf.DUMMYFUNCTION("""COMPUTED_VALUE"""),"")</f>
        <v/>
      </c>
      <c r="X1171" s="5" t="str">
        <f>IFERROR(__xludf.DUMMYFUNCTION("""COMPUTED_VALUE"""),"")</f>
        <v/>
      </c>
      <c r="Y1171" s="5"/>
      <c r="Z1171" s="5"/>
    </row>
    <row r="1172">
      <c r="A1172" s="5"/>
      <c r="B1172" s="5" t="str">
        <f>IFERROR(__xludf.DUMMYFUNCTION("""COMPUTED_VALUE"""),"")</f>
        <v/>
      </c>
      <c r="C1172" s="5" t="str">
        <f>IFERROR(__xludf.DUMMYFUNCTION("""COMPUTED_VALUE"""),"")</f>
        <v/>
      </c>
      <c r="D1172" s="5" t="str">
        <f>IFERROR(__xludf.DUMMYFUNCTION("""COMPUTED_VALUE"""),"")</f>
        <v/>
      </c>
      <c r="E1172" s="5" t="str">
        <f>IFERROR(__xludf.DUMMYFUNCTION("""COMPUTED_VALUE"""),"")</f>
        <v/>
      </c>
      <c r="F1172" s="5" t="str">
        <f>IFERROR(__xludf.DUMMYFUNCTION("""COMPUTED_VALUE"""),"")</f>
        <v/>
      </c>
      <c r="G1172" s="5" t="str">
        <f>IFERROR(__xludf.DUMMYFUNCTION("""COMPUTED_VALUE"""),"")</f>
        <v/>
      </c>
      <c r="H1172" s="5" t="str">
        <f>IFERROR(__xludf.DUMMYFUNCTION("""COMPUTED_VALUE"""),"")</f>
        <v/>
      </c>
      <c r="I1172" s="5" t="str">
        <f>IFERROR(__xludf.DUMMYFUNCTION("""COMPUTED_VALUE"""),"")</f>
        <v/>
      </c>
      <c r="J1172" s="5" t="str">
        <f>IFERROR(__xludf.DUMMYFUNCTION("""COMPUTED_VALUE"""),"")</f>
        <v/>
      </c>
      <c r="K1172" s="5" t="str">
        <f>IFERROR(__xludf.DUMMYFUNCTION("""COMPUTED_VALUE"""),"")</f>
        <v/>
      </c>
      <c r="L1172" s="5" t="str">
        <f>IFERROR(__xludf.DUMMYFUNCTION("""COMPUTED_VALUE"""),"")</f>
        <v/>
      </c>
      <c r="M1172" s="5" t="str">
        <f>IFERROR(__xludf.DUMMYFUNCTION("""COMPUTED_VALUE"""),"")</f>
        <v/>
      </c>
      <c r="N1172" s="5" t="str">
        <f>IFERROR(__xludf.DUMMYFUNCTION("""COMPUTED_VALUE"""),"")</f>
        <v/>
      </c>
      <c r="O1172" s="5" t="str">
        <f>IFERROR(__xludf.DUMMYFUNCTION("""COMPUTED_VALUE"""),"")</f>
        <v/>
      </c>
      <c r="P1172" s="5" t="str">
        <f>IFERROR(__xludf.DUMMYFUNCTION("""COMPUTED_VALUE"""),"")</f>
        <v/>
      </c>
      <c r="Q1172" s="5" t="str">
        <f>IFERROR(__xludf.DUMMYFUNCTION("""COMPUTED_VALUE"""),"")</f>
        <v/>
      </c>
      <c r="R1172" s="5" t="str">
        <f>IFERROR(__xludf.DUMMYFUNCTION("""COMPUTED_VALUE"""),"")</f>
        <v/>
      </c>
      <c r="S1172" s="5" t="str">
        <f>IFERROR(__xludf.DUMMYFUNCTION("""COMPUTED_VALUE"""),"")</f>
        <v/>
      </c>
      <c r="T1172" s="5" t="str">
        <f>IFERROR(__xludf.DUMMYFUNCTION("""COMPUTED_VALUE"""),"")</f>
        <v/>
      </c>
      <c r="U1172" s="5" t="str">
        <f>IFERROR(__xludf.DUMMYFUNCTION("""COMPUTED_VALUE"""),"")</f>
        <v/>
      </c>
      <c r="V1172" s="5" t="str">
        <f>IFERROR(__xludf.DUMMYFUNCTION("""COMPUTED_VALUE"""),"")</f>
        <v/>
      </c>
      <c r="W1172" s="5" t="str">
        <f>IFERROR(__xludf.DUMMYFUNCTION("""COMPUTED_VALUE"""),"")</f>
        <v/>
      </c>
      <c r="X1172" s="5" t="str">
        <f>IFERROR(__xludf.DUMMYFUNCTION("""COMPUTED_VALUE"""),"")</f>
        <v/>
      </c>
      <c r="Y1172" s="5"/>
      <c r="Z1172" s="5"/>
    </row>
    <row r="1173">
      <c r="A1173" s="5"/>
      <c r="B1173" s="5" t="str">
        <f>IFERROR(__xludf.DUMMYFUNCTION("""COMPUTED_VALUE"""),"")</f>
        <v/>
      </c>
      <c r="C1173" s="5" t="str">
        <f>IFERROR(__xludf.DUMMYFUNCTION("""COMPUTED_VALUE"""),"")</f>
        <v/>
      </c>
      <c r="D1173" s="5" t="str">
        <f>IFERROR(__xludf.DUMMYFUNCTION("""COMPUTED_VALUE"""),"")</f>
        <v/>
      </c>
      <c r="E1173" s="5" t="str">
        <f>IFERROR(__xludf.DUMMYFUNCTION("""COMPUTED_VALUE"""),"")</f>
        <v/>
      </c>
      <c r="F1173" s="5" t="str">
        <f>IFERROR(__xludf.DUMMYFUNCTION("""COMPUTED_VALUE"""),"")</f>
        <v/>
      </c>
      <c r="G1173" s="5" t="str">
        <f>IFERROR(__xludf.DUMMYFUNCTION("""COMPUTED_VALUE"""),"")</f>
        <v/>
      </c>
      <c r="H1173" s="5" t="str">
        <f>IFERROR(__xludf.DUMMYFUNCTION("""COMPUTED_VALUE"""),"")</f>
        <v/>
      </c>
      <c r="I1173" s="5" t="str">
        <f>IFERROR(__xludf.DUMMYFUNCTION("""COMPUTED_VALUE"""),"")</f>
        <v/>
      </c>
      <c r="J1173" s="5" t="str">
        <f>IFERROR(__xludf.DUMMYFUNCTION("""COMPUTED_VALUE"""),"")</f>
        <v/>
      </c>
      <c r="K1173" s="5" t="str">
        <f>IFERROR(__xludf.DUMMYFUNCTION("""COMPUTED_VALUE"""),"")</f>
        <v/>
      </c>
      <c r="L1173" s="5" t="str">
        <f>IFERROR(__xludf.DUMMYFUNCTION("""COMPUTED_VALUE"""),"")</f>
        <v/>
      </c>
      <c r="M1173" s="5" t="str">
        <f>IFERROR(__xludf.DUMMYFUNCTION("""COMPUTED_VALUE"""),"")</f>
        <v/>
      </c>
      <c r="N1173" s="5" t="str">
        <f>IFERROR(__xludf.DUMMYFUNCTION("""COMPUTED_VALUE"""),"")</f>
        <v/>
      </c>
      <c r="O1173" s="5" t="str">
        <f>IFERROR(__xludf.DUMMYFUNCTION("""COMPUTED_VALUE"""),"")</f>
        <v/>
      </c>
      <c r="P1173" s="5" t="str">
        <f>IFERROR(__xludf.DUMMYFUNCTION("""COMPUTED_VALUE"""),"")</f>
        <v/>
      </c>
      <c r="Q1173" s="5" t="str">
        <f>IFERROR(__xludf.DUMMYFUNCTION("""COMPUTED_VALUE"""),"")</f>
        <v/>
      </c>
      <c r="R1173" s="5" t="str">
        <f>IFERROR(__xludf.DUMMYFUNCTION("""COMPUTED_VALUE"""),"")</f>
        <v/>
      </c>
      <c r="S1173" s="5" t="str">
        <f>IFERROR(__xludf.DUMMYFUNCTION("""COMPUTED_VALUE"""),"")</f>
        <v/>
      </c>
      <c r="T1173" s="5" t="str">
        <f>IFERROR(__xludf.DUMMYFUNCTION("""COMPUTED_VALUE"""),"")</f>
        <v/>
      </c>
      <c r="U1173" s="5" t="str">
        <f>IFERROR(__xludf.DUMMYFUNCTION("""COMPUTED_VALUE"""),"")</f>
        <v/>
      </c>
      <c r="V1173" s="5" t="str">
        <f>IFERROR(__xludf.DUMMYFUNCTION("""COMPUTED_VALUE"""),"")</f>
        <v/>
      </c>
      <c r="W1173" s="5" t="str">
        <f>IFERROR(__xludf.DUMMYFUNCTION("""COMPUTED_VALUE"""),"")</f>
        <v/>
      </c>
      <c r="X1173" s="5" t="str">
        <f>IFERROR(__xludf.DUMMYFUNCTION("""COMPUTED_VALUE"""),"")</f>
        <v/>
      </c>
      <c r="Y1173" s="5"/>
      <c r="Z1173" s="5"/>
    </row>
    <row r="1174">
      <c r="A1174" s="5"/>
      <c r="B1174" s="5" t="str">
        <f>IFERROR(__xludf.DUMMYFUNCTION("""COMPUTED_VALUE"""),"")</f>
        <v/>
      </c>
      <c r="C1174" s="5" t="str">
        <f>IFERROR(__xludf.DUMMYFUNCTION("""COMPUTED_VALUE"""),"")</f>
        <v/>
      </c>
      <c r="D1174" s="5" t="str">
        <f>IFERROR(__xludf.DUMMYFUNCTION("""COMPUTED_VALUE"""),"")</f>
        <v/>
      </c>
      <c r="E1174" s="5" t="str">
        <f>IFERROR(__xludf.DUMMYFUNCTION("""COMPUTED_VALUE"""),"")</f>
        <v/>
      </c>
      <c r="F1174" s="5" t="str">
        <f>IFERROR(__xludf.DUMMYFUNCTION("""COMPUTED_VALUE"""),"")</f>
        <v/>
      </c>
      <c r="G1174" s="5" t="str">
        <f>IFERROR(__xludf.DUMMYFUNCTION("""COMPUTED_VALUE"""),"")</f>
        <v/>
      </c>
      <c r="H1174" s="5" t="str">
        <f>IFERROR(__xludf.DUMMYFUNCTION("""COMPUTED_VALUE"""),"")</f>
        <v/>
      </c>
      <c r="I1174" s="5" t="str">
        <f>IFERROR(__xludf.DUMMYFUNCTION("""COMPUTED_VALUE"""),"")</f>
        <v/>
      </c>
      <c r="J1174" s="5" t="str">
        <f>IFERROR(__xludf.DUMMYFUNCTION("""COMPUTED_VALUE"""),"")</f>
        <v/>
      </c>
      <c r="K1174" s="5" t="str">
        <f>IFERROR(__xludf.DUMMYFUNCTION("""COMPUTED_VALUE"""),"")</f>
        <v/>
      </c>
      <c r="L1174" s="5" t="str">
        <f>IFERROR(__xludf.DUMMYFUNCTION("""COMPUTED_VALUE"""),"")</f>
        <v/>
      </c>
      <c r="M1174" s="5" t="str">
        <f>IFERROR(__xludf.DUMMYFUNCTION("""COMPUTED_VALUE"""),"")</f>
        <v/>
      </c>
      <c r="N1174" s="5" t="str">
        <f>IFERROR(__xludf.DUMMYFUNCTION("""COMPUTED_VALUE"""),"")</f>
        <v/>
      </c>
      <c r="O1174" s="5" t="str">
        <f>IFERROR(__xludf.DUMMYFUNCTION("""COMPUTED_VALUE"""),"")</f>
        <v/>
      </c>
      <c r="P1174" s="5" t="str">
        <f>IFERROR(__xludf.DUMMYFUNCTION("""COMPUTED_VALUE"""),"")</f>
        <v/>
      </c>
      <c r="Q1174" s="5" t="str">
        <f>IFERROR(__xludf.DUMMYFUNCTION("""COMPUTED_VALUE"""),"")</f>
        <v/>
      </c>
      <c r="R1174" s="5" t="str">
        <f>IFERROR(__xludf.DUMMYFUNCTION("""COMPUTED_VALUE"""),"")</f>
        <v/>
      </c>
      <c r="S1174" s="5" t="str">
        <f>IFERROR(__xludf.DUMMYFUNCTION("""COMPUTED_VALUE"""),"")</f>
        <v/>
      </c>
      <c r="T1174" s="5" t="str">
        <f>IFERROR(__xludf.DUMMYFUNCTION("""COMPUTED_VALUE"""),"")</f>
        <v/>
      </c>
      <c r="U1174" s="5" t="str">
        <f>IFERROR(__xludf.DUMMYFUNCTION("""COMPUTED_VALUE"""),"")</f>
        <v/>
      </c>
      <c r="V1174" s="5" t="str">
        <f>IFERROR(__xludf.DUMMYFUNCTION("""COMPUTED_VALUE"""),"")</f>
        <v/>
      </c>
      <c r="W1174" s="5" t="str">
        <f>IFERROR(__xludf.DUMMYFUNCTION("""COMPUTED_VALUE"""),"")</f>
        <v/>
      </c>
      <c r="X1174" s="5" t="str">
        <f>IFERROR(__xludf.DUMMYFUNCTION("""COMPUTED_VALUE"""),"")</f>
        <v/>
      </c>
      <c r="Y1174" s="5"/>
      <c r="Z1174" s="5"/>
    </row>
    <row r="1175">
      <c r="A1175" s="5"/>
      <c r="B1175" s="5" t="str">
        <f>IFERROR(__xludf.DUMMYFUNCTION("""COMPUTED_VALUE"""),"")</f>
        <v/>
      </c>
      <c r="C1175" s="5" t="str">
        <f>IFERROR(__xludf.DUMMYFUNCTION("""COMPUTED_VALUE"""),"")</f>
        <v/>
      </c>
      <c r="D1175" s="5" t="str">
        <f>IFERROR(__xludf.DUMMYFUNCTION("""COMPUTED_VALUE"""),"")</f>
        <v/>
      </c>
      <c r="E1175" s="5" t="str">
        <f>IFERROR(__xludf.DUMMYFUNCTION("""COMPUTED_VALUE"""),"")</f>
        <v/>
      </c>
      <c r="F1175" s="5" t="str">
        <f>IFERROR(__xludf.DUMMYFUNCTION("""COMPUTED_VALUE"""),"")</f>
        <v/>
      </c>
      <c r="G1175" s="5" t="str">
        <f>IFERROR(__xludf.DUMMYFUNCTION("""COMPUTED_VALUE"""),"")</f>
        <v/>
      </c>
      <c r="H1175" s="5" t="str">
        <f>IFERROR(__xludf.DUMMYFUNCTION("""COMPUTED_VALUE"""),"")</f>
        <v/>
      </c>
      <c r="I1175" s="5" t="str">
        <f>IFERROR(__xludf.DUMMYFUNCTION("""COMPUTED_VALUE"""),"")</f>
        <v/>
      </c>
      <c r="J1175" s="5" t="str">
        <f>IFERROR(__xludf.DUMMYFUNCTION("""COMPUTED_VALUE"""),"")</f>
        <v/>
      </c>
      <c r="K1175" s="5" t="str">
        <f>IFERROR(__xludf.DUMMYFUNCTION("""COMPUTED_VALUE"""),"")</f>
        <v/>
      </c>
      <c r="L1175" s="5" t="str">
        <f>IFERROR(__xludf.DUMMYFUNCTION("""COMPUTED_VALUE"""),"")</f>
        <v/>
      </c>
      <c r="M1175" s="5" t="str">
        <f>IFERROR(__xludf.DUMMYFUNCTION("""COMPUTED_VALUE"""),"")</f>
        <v/>
      </c>
      <c r="N1175" s="5" t="str">
        <f>IFERROR(__xludf.DUMMYFUNCTION("""COMPUTED_VALUE"""),"")</f>
        <v/>
      </c>
      <c r="O1175" s="5" t="str">
        <f>IFERROR(__xludf.DUMMYFUNCTION("""COMPUTED_VALUE"""),"")</f>
        <v/>
      </c>
      <c r="P1175" s="5" t="str">
        <f>IFERROR(__xludf.DUMMYFUNCTION("""COMPUTED_VALUE"""),"")</f>
        <v/>
      </c>
      <c r="Q1175" s="5" t="str">
        <f>IFERROR(__xludf.DUMMYFUNCTION("""COMPUTED_VALUE"""),"")</f>
        <v/>
      </c>
      <c r="R1175" s="5" t="str">
        <f>IFERROR(__xludf.DUMMYFUNCTION("""COMPUTED_VALUE"""),"")</f>
        <v/>
      </c>
      <c r="S1175" s="5" t="str">
        <f>IFERROR(__xludf.DUMMYFUNCTION("""COMPUTED_VALUE"""),"")</f>
        <v/>
      </c>
      <c r="T1175" s="5" t="str">
        <f>IFERROR(__xludf.DUMMYFUNCTION("""COMPUTED_VALUE"""),"")</f>
        <v/>
      </c>
      <c r="U1175" s="5" t="str">
        <f>IFERROR(__xludf.DUMMYFUNCTION("""COMPUTED_VALUE"""),"")</f>
        <v/>
      </c>
      <c r="V1175" s="5" t="str">
        <f>IFERROR(__xludf.DUMMYFUNCTION("""COMPUTED_VALUE"""),"")</f>
        <v/>
      </c>
      <c r="W1175" s="5" t="str">
        <f>IFERROR(__xludf.DUMMYFUNCTION("""COMPUTED_VALUE"""),"")</f>
        <v/>
      </c>
      <c r="X1175" s="5" t="str">
        <f>IFERROR(__xludf.DUMMYFUNCTION("""COMPUTED_VALUE"""),"")</f>
        <v/>
      </c>
      <c r="Y1175" s="5"/>
      <c r="Z1175" s="5"/>
    </row>
    <row r="1176">
      <c r="A1176" s="5"/>
      <c r="B1176" s="5" t="str">
        <f>IFERROR(__xludf.DUMMYFUNCTION("""COMPUTED_VALUE"""),"")</f>
        <v/>
      </c>
      <c r="C1176" s="5" t="str">
        <f>IFERROR(__xludf.DUMMYFUNCTION("""COMPUTED_VALUE"""),"")</f>
        <v/>
      </c>
      <c r="D1176" s="5" t="str">
        <f>IFERROR(__xludf.DUMMYFUNCTION("""COMPUTED_VALUE"""),"")</f>
        <v/>
      </c>
      <c r="E1176" s="5" t="str">
        <f>IFERROR(__xludf.DUMMYFUNCTION("""COMPUTED_VALUE"""),"")</f>
        <v/>
      </c>
      <c r="F1176" s="5" t="str">
        <f>IFERROR(__xludf.DUMMYFUNCTION("""COMPUTED_VALUE"""),"")</f>
        <v/>
      </c>
      <c r="G1176" s="5" t="str">
        <f>IFERROR(__xludf.DUMMYFUNCTION("""COMPUTED_VALUE"""),"")</f>
        <v/>
      </c>
      <c r="H1176" s="5" t="str">
        <f>IFERROR(__xludf.DUMMYFUNCTION("""COMPUTED_VALUE"""),"")</f>
        <v/>
      </c>
      <c r="I1176" s="5" t="str">
        <f>IFERROR(__xludf.DUMMYFUNCTION("""COMPUTED_VALUE"""),"")</f>
        <v/>
      </c>
      <c r="J1176" s="5" t="str">
        <f>IFERROR(__xludf.DUMMYFUNCTION("""COMPUTED_VALUE"""),"")</f>
        <v/>
      </c>
      <c r="K1176" s="5" t="str">
        <f>IFERROR(__xludf.DUMMYFUNCTION("""COMPUTED_VALUE"""),"")</f>
        <v/>
      </c>
      <c r="L1176" s="5" t="str">
        <f>IFERROR(__xludf.DUMMYFUNCTION("""COMPUTED_VALUE"""),"")</f>
        <v/>
      </c>
      <c r="M1176" s="5" t="str">
        <f>IFERROR(__xludf.DUMMYFUNCTION("""COMPUTED_VALUE"""),"")</f>
        <v/>
      </c>
      <c r="N1176" s="5" t="str">
        <f>IFERROR(__xludf.DUMMYFUNCTION("""COMPUTED_VALUE"""),"")</f>
        <v/>
      </c>
      <c r="O1176" s="5" t="str">
        <f>IFERROR(__xludf.DUMMYFUNCTION("""COMPUTED_VALUE"""),"")</f>
        <v/>
      </c>
      <c r="P1176" s="5" t="str">
        <f>IFERROR(__xludf.DUMMYFUNCTION("""COMPUTED_VALUE"""),"")</f>
        <v/>
      </c>
      <c r="Q1176" s="5" t="str">
        <f>IFERROR(__xludf.DUMMYFUNCTION("""COMPUTED_VALUE"""),"")</f>
        <v/>
      </c>
      <c r="R1176" s="5" t="str">
        <f>IFERROR(__xludf.DUMMYFUNCTION("""COMPUTED_VALUE"""),"")</f>
        <v/>
      </c>
      <c r="S1176" s="5" t="str">
        <f>IFERROR(__xludf.DUMMYFUNCTION("""COMPUTED_VALUE"""),"")</f>
        <v/>
      </c>
      <c r="T1176" s="5" t="str">
        <f>IFERROR(__xludf.DUMMYFUNCTION("""COMPUTED_VALUE"""),"")</f>
        <v/>
      </c>
      <c r="U1176" s="5" t="str">
        <f>IFERROR(__xludf.DUMMYFUNCTION("""COMPUTED_VALUE"""),"")</f>
        <v/>
      </c>
      <c r="V1176" s="5" t="str">
        <f>IFERROR(__xludf.DUMMYFUNCTION("""COMPUTED_VALUE"""),"")</f>
        <v/>
      </c>
      <c r="W1176" s="5" t="str">
        <f>IFERROR(__xludf.DUMMYFUNCTION("""COMPUTED_VALUE"""),"")</f>
        <v/>
      </c>
      <c r="X1176" s="5" t="str">
        <f>IFERROR(__xludf.DUMMYFUNCTION("""COMPUTED_VALUE"""),"")</f>
        <v/>
      </c>
      <c r="Y1176" s="5"/>
      <c r="Z1176" s="5"/>
    </row>
    <row r="1177">
      <c r="A1177" s="5"/>
      <c r="B1177" s="5" t="str">
        <f>IFERROR(__xludf.DUMMYFUNCTION("""COMPUTED_VALUE"""),"")</f>
        <v/>
      </c>
      <c r="C1177" s="5" t="str">
        <f>IFERROR(__xludf.DUMMYFUNCTION("""COMPUTED_VALUE"""),"")</f>
        <v/>
      </c>
      <c r="D1177" s="5" t="str">
        <f>IFERROR(__xludf.DUMMYFUNCTION("""COMPUTED_VALUE"""),"")</f>
        <v/>
      </c>
      <c r="E1177" s="5" t="str">
        <f>IFERROR(__xludf.DUMMYFUNCTION("""COMPUTED_VALUE"""),"")</f>
        <v/>
      </c>
      <c r="F1177" s="5" t="str">
        <f>IFERROR(__xludf.DUMMYFUNCTION("""COMPUTED_VALUE"""),"")</f>
        <v/>
      </c>
      <c r="G1177" s="5" t="str">
        <f>IFERROR(__xludf.DUMMYFUNCTION("""COMPUTED_VALUE"""),"")</f>
        <v/>
      </c>
      <c r="H1177" s="5" t="str">
        <f>IFERROR(__xludf.DUMMYFUNCTION("""COMPUTED_VALUE"""),"")</f>
        <v/>
      </c>
      <c r="I1177" s="5" t="str">
        <f>IFERROR(__xludf.DUMMYFUNCTION("""COMPUTED_VALUE"""),"")</f>
        <v/>
      </c>
      <c r="J1177" s="5" t="str">
        <f>IFERROR(__xludf.DUMMYFUNCTION("""COMPUTED_VALUE"""),"")</f>
        <v/>
      </c>
      <c r="K1177" s="5" t="str">
        <f>IFERROR(__xludf.DUMMYFUNCTION("""COMPUTED_VALUE"""),"")</f>
        <v/>
      </c>
      <c r="L1177" s="5" t="str">
        <f>IFERROR(__xludf.DUMMYFUNCTION("""COMPUTED_VALUE"""),"")</f>
        <v/>
      </c>
      <c r="M1177" s="5" t="str">
        <f>IFERROR(__xludf.DUMMYFUNCTION("""COMPUTED_VALUE"""),"")</f>
        <v/>
      </c>
      <c r="N1177" s="5" t="str">
        <f>IFERROR(__xludf.DUMMYFUNCTION("""COMPUTED_VALUE"""),"")</f>
        <v/>
      </c>
      <c r="O1177" s="5" t="str">
        <f>IFERROR(__xludf.DUMMYFUNCTION("""COMPUTED_VALUE"""),"")</f>
        <v/>
      </c>
      <c r="P1177" s="5" t="str">
        <f>IFERROR(__xludf.DUMMYFUNCTION("""COMPUTED_VALUE"""),"")</f>
        <v/>
      </c>
      <c r="Q1177" s="5" t="str">
        <f>IFERROR(__xludf.DUMMYFUNCTION("""COMPUTED_VALUE"""),"")</f>
        <v/>
      </c>
      <c r="R1177" s="5" t="str">
        <f>IFERROR(__xludf.DUMMYFUNCTION("""COMPUTED_VALUE"""),"")</f>
        <v/>
      </c>
      <c r="S1177" s="5" t="str">
        <f>IFERROR(__xludf.DUMMYFUNCTION("""COMPUTED_VALUE"""),"")</f>
        <v/>
      </c>
      <c r="T1177" s="5" t="str">
        <f>IFERROR(__xludf.DUMMYFUNCTION("""COMPUTED_VALUE"""),"")</f>
        <v/>
      </c>
      <c r="U1177" s="5" t="str">
        <f>IFERROR(__xludf.DUMMYFUNCTION("""COMPUTED_VALUE"""),"")</f>
        <v/>
      </c>
      <c r="V1177" s="5" t="str">
        <f>IFERROR(__xludf.DUMMYFUNCTION("""COMPUTED_VALUE"""),"")</f>
        <v/>
      </c>
      <c r="W1177" s="5" t="str">
        <f>IFERROR(__xludf.DUMMYFUNCTION("""COMPUTED_VALUE"""),"")</f>
        <v/>
      </c>
      <c r="X1177" s="5" t="str">
        <f>IFERROR(__xludf.DUMMYFUNCTION("""COMPUTED_VALUE"""),"")</f>
        <v/>
      </c>
      <c r="Y1177" s="5"/>
      <c r="Z1177" s="5"/>
    </row>
    <row r="1178">
      <c r="A1178" s="5"/>
      <c r="B1178" s="5" t="str">
        <f>IFERROR(__xludf.DUMMYFUNCTION("""COMPUTED_VALUE"""),"")</f>
        <v/>
      </c>
      <c r="C1178" s="5" t="str">
        <f>IFERROR(__xludf.DUMMYFUNCTION("""COMPUTED_VALUE"""),"")</f>
        <v/>
      </c>
      <c r="D1178" s="5" t="str">
        <f>IFERROR(__xludf.DUMMYFUNCTION("""COMPUTED_VALUE"""),"")</f>
        <v/>
      </c>
      <c r="E1178" s="5" t="str">
        <f>IFERROR(__xludf.DUMMYFUNCTION("""COMPUTED_VALUE"""),"")</f>
        <v/>
      </c>
      <c r="F1178" s="5" t="str">
        <f>IFERROR(__xludf.DUMMYFUNCTION("""COMPUTED_VALUE"""),"")</f>
        <v/>
      </c>
      <c r="G1178" s="5" t="str">
        <f>IFERROR(__xludf.DUMMYFUNCTION("""COMPUTED_VALUE"""),"")</f>
        <v/>
      </c>
      <c r="H1178" s="5" t="str">
        <f>IFERROR(__xludf.DUMMYFUNCTION("""COMPUTED_VALUE"""),"")</f>
        <v/>
      </c>
      <c r="I1178" s="5" t="str">
        <f>IFERROR(__xludf.DUMMYFUNCTION("""COMPUTED_VALUE"""),"")</f>
        <v/>
      </c>
      <c r="J1178" s="5" t="str">
        <f>IFERROR(__xludf.DUMMYFUNCTION("""COMPUTED_VALUE"""),"")</f>
        <v/>
      </c>
      <c r="K1178" s="5" t="str">
        <f>IFERROR(__xludf.DUMMYFUNCTION("""COMPUTED_VALUE"""),"")</f>
        <v/>
      </c>
      <c r="L1178" s="5" t="str">
        <f>IFERROR(__xludf.DUMMYFUNCTION("""COMPUTED_VALUE"""),"")</f>
        <v/>
      </c>
      <c r="M1178" s="5" t="str">
        <f>IFERROR(__xludf.DUMMYFUNCTION("""COMPUTED_VALUE"""),"")</f>
        <v/>
      </c>
      <c r="N1178" s="5" t="str">
        <f>IFERROR(__xludf.DUMMYFUNCTION("""COMPUTED_VALUE"""),"")</f>
        <v/>
      </c>
      <c r="O1178" s="5" t="str">
        <f>IFERROR(__xludf.DUMMYFUNCTION("""COMPUTED_VALUE"""),"")</f>
        <v/>
      </c>
      <c r="P1178" s="5" t="str">
        <f>IFERROR(__xludf.DUMMYFUNCTION("""COMPUTED_VALUE"""),"")</f>
        <v/>
      </c>
      <c r="Q1178" s="5" t="str">
        <f>IFERROR(__xludf.DUMMYFUNCTION("""COMPUTED_VALUE"""),"")</f>
        <v/>
      </c>
      <c r="R1178" s="5" t="str">
        <f>IFERROR(__xludf.DUMMYFUNCTION("""COMPUTED_VALUE"""),"")</f>
        <v/>
      </c>
      <c r="S1178" s="5" t="str">
        <f>IFERROR(__xludf.DUMMYFUNCTION("""COMPUTED_VALUE"""),"")</f>
        <v/>
      </c>
      <c r="T1178" s="5" t="str">
        <f>IFERROR(__xludf.DUMMYFUNCTION("""COMPUTED_VALUE"""),"")</f>
        <v/>
      </c>
      <c r="U1178" s="5" t="str">
        <f>IFERROR(__xludf.DUMMYFUNCTION("""COMPUTED_VALUE"""),"")</f>
        <v/>
      </c>
      <c r="V1178" s="5" t="str">
        <f>IFERROR(__xludf.DUMMYFUNCTION("""COMPUTED_VALUE"""),"")</f>
        <v/>
      </c>
      <c r="W1178" s="5" t="str">
        <f>IFERROR(__xludf.DUMMYFUNCTION("""COMPUTED_VALUE"""),"")</f>
        <v/>
      </c>
      <c r="X1178" s="5" t="str">
        <f>IFERROR(__xludf.DUMMYFUNCTION("""COMPUTED_VALUE"""),"")</f>
        <v/>
      </c>
      <c r="Y1178" s="5"/>
      <c r="Z1178" s="5"/>
    </row>
    <row r="1179">
      <c r="A1179" s="5"/>
      <c r="B1179" s="5" t="str">
        <f>IFERROR(__xludf.DUMMYFUNCTION("""COMPUTED_VALUE"""),"")</f>
        <v/>
      </c>
      <c r="C1179" s="5" t="str">
        <f>IFERROR(__xludf.DUMMYFUNCTION("""COMPUTED_VALUE"""),"")</f>
        <v/>
      </c>
      <c r="D1179" s="5" t="str">
        <f>IFERROR(__xludf.DUMMYFUNCTION("""COMPUTED_VALUE"""),"")</f>
        <v/>
      </c>
      <c r="E1179" s="5" t="str">
        <f>IFERROR(__xludf.DUMMYFUNCTION("""COMPUTED_VALUE"""),"")</f>
        <v/>
      </c>
      <c r="F1179" s="5" t="str">
        <f>IFERROR(__xludf.DUMMYFUNCTION("""COMPUTED_VALUE"""),"")</f>
        <v/>
      </c>
      <c r="G1179" s="5" t="str">
        <f>IFERROR(__xludf.DUMMYFUNCTION("""COMPUTED_VALUE"""),"")</f>
        <v/>
      </c>
      <c r="H1179" s="5" t="str">
        <f>IFERROR(__xludf.DUMMYFUNCTION("""COMPUTED_VALUE"""),"")</f>
        <v/>
      </c>
      <c r="I1179" s="5" t="str">
        <f>IFERROR(__xludf.DUMMYFUNCTION("""COMPUTED_VALUE"""),"")</f>
        <v/>
      </c>
      <c r="J1179" s="5" t="str">
        <f>IFERROR(__xludf.DUMMYFUNCTION("""COMPUTED_VALUE"""),"")</f>
        <v/>
      </c>
      <c r="K1179" s="5" t="str">
        <f>IFERROR(__xludf.DUMMYFUNCTION("""COMPUTED_VALUE"""),"")</f>
        <v/>
      </c>
      <c r="L1179" s="5" t="str">
        <f>IFERROR(__xludf.DUMMYFUNCTION("""COMPUTED_VALUE"""),"")</f>
        <v/>
      </c>
      <c r="M1179" s="5" t="str">
        <f>IFERROR(__xludf.DUMMYFUNCTION("""COMPUTED_VALUE"""),"")</f>
        <v/>
      </c>
      <c r="N1179" s="5" t="str">
        <f>IFERROR(__xludf.DUMMYFUNCTION("""COMPUTED_VALUE"""),"")</f>
        <v/>
      </c>
      <c r="O1179" s="5" t="str">
        <f>IFERROR(__xludf.DUMMYFUNCTION("""COMPUTED_VALUE"""),"")</f>
        <v/>
      </c>
      <c r="P1179" s="5" t="str">
        <f>IFERROR(__xludf.DUMMYFUNCTION("""COMPUTED_VALUE"""),"")</f>
        <v/>
      </c>
      <c r="Q1179" s="5" t="str">
        <f>IFERROR(__xludf.DUMMYFUNCTION("""COMPUTED_VALUE"""),"")</f>
        <v/>
      </c>
      <c r="R1179" s="5" t="str">
        <f>IFERROR(__xludf.DUMMYFUNCTION("""COMPUTED_VALUE"""),"")</f>
        <v/>
      </c>
      <c r="S1179" s="5" t="str">
        <f>IFERROR(__xludf.DUMMYFUNCTION("""COMPUTED_VALUE"""),"")</f>
        <v/>
      </c>
      <c r="T1179" s="5" t="str">
        <f>IFERROR(__xludf.DUMMYFUNCTION("""COMPUTED_VALUE"""),"")</f>
        <v/>
      </c>
      <c r="U1179" s="5" t="str">
        <f>IFERROR(__xludf.DUMMYFUNCTION("""COMPUTED_VALUE"""),"")</f>
        <v/>
      </c>
      <c r="V1179" s="5" t="str">
        <f>IFERROR(__xludf.DUMMYFUNCTION("""COMPUTED_VALUE"""),"")</f>
        <v/>
      </c>
      <c r="W1179" s="5" t="str">
        <f>IFERROR(__xludf.DUMMYFUNCTION("""COMPUTED_VALUE"""),"")</f>
        <v/>
      </c>
      <c r="X1179" s="5" t="str">
        <f>IFERROR(__xludf.DUMMYFUNCTION("""COMPUTED_VALUE"""),"")</f>
        <v/>
      </c>
      <c r="Y1179" s="5"/>
      <c r="Z1179" s="5"/>
    </row>
    <row r="1180">
      <c r="A1180" s="5"/>
      <c r="B1180" s="5" t="str">
        <f>IFERROR(__xludf.DUMMYFUNCTION("""COMPUTED_VALUE"""),"")</f>
        <v/>
      </c>
      <c r="C1180" s="5" t="str">
        <f>IFERROR(__xludf.DUMMYFUNCTION("""COMPUTED_VALUE"""),"")</f>
        <v/>
      </c>
      <c r="D1180" s="5" t="str">
        <f>IFERROR(__xludf.DUMMYFUNCTION("""COMPUTED_VALUE"""),"")</f>
        <v/>
      </c>
      <c r="E1180" s="5" t="str">
        <f>IFERROR(__xludf.DUMMYFUNCTION("""COMPUTED_VALUE"""),"")</f>
        <v/>
      </c>
      <c r="F1180" s="5" t="str">
        <f>IFERROR(__xludf.DUMMYFUNCTION("""COMPUTED_VALUE"""),"")</f>
        <v/>
      </c>
      <c r="G1180" s="5" t="str">
        <f>IFERROR(__xludf.DUMMYFUNCTION("""COMPUTED_VALUE"""),"")</f>
        <v/>
      </c>
      <c r="H1180" s="5" t="str">
        <f>IFERROR(__xludf.DUMMYFUNCTION("""COMPUTED_VALUE"""),"")</f>
        <v/>
      </c>
      <c r="I1180" s="5" t="str">
        <f>IFERROR(__xludf.DUMMYFUNCTION("""COMPUTED_VALUE"""),"")</f>
        <v/>
      </c>
      <c r="J1180" s="5" t="str">
        <f>IFERROR(__xludf.DUMMYFUNCTION("""COMPUTED_VALUE"""),"")</f>
        <v/>
      </c>
      <c r="K1180" s="5" t="str">
        <f>IFERROR(__xludf.DUMMYFUNCTION("""COMPUTED_VALUE"""),"")</f>
        <v/>
      </c>
      <c r="L1180" s="5" t="str">
        <f>IFERROR(__xludf.DUMMYFUNCTION("""COMPUTED_VALUE"""),"")</f>
        <v/>
      </c>
      <c r="M1180" s="5" t="str">
        <f>IFERROR(__xludf.DUMMYFUNCTION("""COMPUTED_VALUE"""),"")</f>
        <v/>
      </c>
      <c r="N1180" s="5" t="str">
        <f>IFERROR(__xludf.DUMMYFUNCTION("""COMPUTED_VALUE"""),"")</f>
        <v/>
      </c>
      <c r="O1180" s="5" t="str">
        <f>IFERROR(__xludf.DUMMYFUNCTION("""COMPUTED_VALUE"""),"")</f>
        <v/>
      </c>
      <c r="P1180" s="5" t="str">
        <f>IFERROR(__xludf.DUMMYFUNCTION("""COMPUTED_VALUE"""),"")</f>
        <v/>
      </c>
      <c r="Q1180" s="5" t="str">
        <f>IFERROR(__xludf.DUMMYFUNCTION("""COMPUTED_VALUE"""),"")</f>
        <v/>
      </c>
      <c r="R1180" s="5" t="str">
        <f>IFERROR(__xludf.DUMMYFUNCTION("""COMPUTED_VALUE"""),"")</f>
        <v/>
      </c>
      <c r="S1180" s="5" t="str">
        <f>IFERROR(__xludf.DUMMYFUNCTION("""COMPUTED_VALUE"""),"")</f>
        <v/>
      </c>
      <c r="T1180" s="5" t="str">
        <f>IFERROR(__xludf.DUMMYFUNCTION("""COMPUTED_VALUE"""),"")</f>
        <v/>
      </c>
      <c r="U1180" s="5" t="str">
        <f>IFERROR(__xludf.DUMMYFUNCTION("""COMPUTED_VALUE"""),"")</f>
        <v/>
      </c>
      <c r="V1180" s="5" t="str">
        <f>IFERROR(__xludf.DUMMYFUNCTION("""COMPUTED_VALUE"""),"")</f>
        <v/>
      </c>
      <c r="W1180" s="5" t="str">
        <f>IFERROR(__xludf.DUMMYFUNCTION("""COMPUTED_VALUE"""),"")</f>
        <v/>
      </c>
      <c r="X1180" s="5" t="str">
        <f>IFERROR(__xludf.DUMMYFUNCTION("""COMPUTED_VALUE"""),"")</f>
        <v/>
      </c>
      <c r="Y1180" s="5"/>
      <c r="Z1180" s="5"/>
    </row>
    <row r="1181">
      <c r="A1181" s="5"/>
      <c r="B1181" s="5" t="str">
        <f>IFERROR(__xludf.DUMMYFUNCTION("""COMPUTED_VALUE"""),"")</f>
        <v/>
      </c>
      <c r="C1181" s="5" t="str">
        <f>IFERROR(__xludf.DUMMYFUNCTION("""COMPUTED_VALUE"""),"")</f>
        <v/>
      </c>
      <c r="D1181" s="5" t="str">
        <f>IFERROR(__xludf.DUMMYFUNCTION("""COMPUTED_VALUE"""),"")</f>
        <v/>
      </c>
      <c r="E1181" s="5" t="str">
        <f>IFERROR(__xludf.DUMMYFUNCTION("""COMPUTED_VALUE"""),"")</f>
        <v/>
      </c>
      <c r="F1181" s="5" t="str">
        <f>IFERROR(__xludf.DUMMYFUNCTION("""COMPUTED_VALUE"""),"")</f>
        <v/>
      </c>
      <c r="G1181" s="5" t="str">
        <f>IFERROR(__xludf.DUMMYFUNCTION("""COMPUTED_VALUE"""),"")</f>
        <v/>
      </c>
      <c r="H1181" s="5" t="str">
        <f>IFERROR(__xludf.DUMMYFUNCTION("""COMPUTED_VALUE"""),"")</f>
        <v/>
      </c>
      <c r="I1181" s="5" t="str">
        <f>IFERROR(__xludf.DUMMYFUNCTION("""COMPUTED_VALUE"""),"")</f>
        <v/>
      </c>
      <c r="J1181" s="5" t="str">
        <f>IFERROR(__xludf.DUMMYFUNCTION("""COMPUTED_VALUE"""),"")</f>
        <v/>
      </c>
      <c r="K1181" s="5" t="str">
        <f>IFERROR(__xludf.DUMMYFUNCTION("""COMPUTED_VALUE"""),"")</f>
        <v/>
      </c>
      <c r="L1181" s="5" t="str">
        <f>IFERROR(__xludf.DUMMYFUNCTION("""COMPUTED_VALUE"""),"")</f>
        <v/>
      </c>
      <c r="M1181" s="5" t="str">
        <f>IFERROR(__xludf.DUMMYFUNCTION("""COMPUTED_VALUE"""),"")</f>
        <v/>
      </c>
      <c r="N1181" s="5" t="str">
        <f>IFERROR(__xludf.DUMMYFUNCTION("""COMPUTED_VALUE"""),"")</f>
        <v/>
      </c>
      <c r="O1181" s="5" t="str">
        <f>IFERROR(__xludf.DUMMYFUNCTION("""COMPUTED_VALUE"""),"")</f>
        <v/>
      </c>
      <c r="P1181" s="5" t="str">
        <f>IFERROR(__xludf.DUMMYFUNCTION("""COMPUTED_VALUE"""),"")</f>
        <v/>
      </c>
      <c r="Q1181" s="5" t="str">
        <f>IFERROR(__xludf.DUMMYFUNCTION("""COMPUTED_VALUE"""),"")</f>
        <v/>
      </c>
      <c r="R1181" s="5" t="str">
        <f>IFERROR(__xludf.DUMMYFUNCTION("""COMPUTED_VALUE"""),"")</f>
        <v/>
      </c>
      <c r="S1181" s="5" t="str">
        <f>IFERROR(__xludf.DUMMYFUNCTION("""COMPUTED_VALUE"""),"")</f>
        <v/>
      </c>
      <c r="T1181" s="5" t="str">
        <f>IFERROR(__xludf.DUMMYFUNCTION("""COMPUTED_VALUE"""),"")</f>
        <v/>
      </c>
      <c r="U1181" s="5" t="str">
        <f>IFERROR(__xludf.DUMMYFUNCTION("""COMPUTED_VALUE"""),"")</f>
        <v/>
      </c>
      <c r="V1181" s="5" t="str">
        <f>IFERROR(__xludf.DUMMYFUNCTION("""COMPUTED_VALUE"""),"")</f>
        <v/>
      </c>
      <c r="W1181" s="5" t="str">
        <f>IFERROR(__xludf.DUMMYFUNCTION("""COMPUTED_VALUE"""),"")</f>
        <v/>
      </c>
      <c r="X1181" s="5" t="str">
        <f>IFERROR(__xludf.DUMMYFUNCTION("""COMPUTED_VALUE"""),"")</f>
        <v/>
      </c>
      <c r="Y1181" s="5"/>
      <c r="Z1181" s="5"/>
    </row>
    <row r="1182">
      <c r="A1182" s="5"/>
      <c r="B1182" s="5" t="str">
        <f>IFERROR(__xludf.DUMMYFUNCTION("""COMPUTED_VALUE"""),"")</f>
        <v/>
      </c>
      <c r="C1182" s="5" t="str">
        <f>IFERROR(__xludf.DUMMYFUNCTION("""COMPUTED_VALUE"""),"")</f>
        <v/>
      </c>
      <c r="D1182" s="5" t="str">
        <f>IFERROR(__xludf.DUMMYFUNCTION("""COMPUTED_VALUE"""),"")</f>
        <v/>
      </c>
      <c r="E1182" s="5" t="str">
        <f>IFERROR(__xludf.DUMMYFUNCTION("""COMPUTED_VALUE"""),"")</f>
        <v/>
      </c>
      <c r="F1182" s="5" t="str">
        <f>IFERROR(__xludf.DUMMYFUNCTION("""COMPUTED_VALUE"""),"")</f>
        <v/>
      </c>
      <c r="G1182" s="5" t="str">
        <f>IFERROR(__xludf.DUMMYFUNCTION("""COMPUTED_VALUE"""),"")</f>
        <v/>
      </c>
      <c r="H1182" s="5" t="str">
        <f>IFERROR(__xludf.DUMMYFUNCTION("""COMPUTED_VALUE"""),"")</f>
        <v/>
      </c>
      <c r="I1182" s="5" t="str">
        <f>IFERROR(__xludf.DUMMYFUNCTION("""COMPUTED_VALUE"""),"")</f>
        <v/>
      </c>
      <c r="J1182" s="5" t="str">
        <f>IFERROR(__xludf.DUMMYFUNCTION("""COMPUTED_VALUE"""),"")</f>
        <v/>
      </c>
      <c r="K1182" s="5" t="str">
        <f>IFERROR(__xludf.DUMMYFUNCTION("""COMPUTED_VALUE"""),"")</f>
        <v/>
      </c>
      <c r="L1182" s="5" t="str">
        <f>IFERROR(__xludf.DUMMYFUNCTION("""COMPUTED_VALUE"""),"")</f>
        <v/>
      </c>
      <c r="M1182" s="5" t="str">
        <f>IFERROR(__xludf.DUMMYFUNCTION("""COMPUTED_VALUE"""),"")</f>
        <v/>
      </c>
      <c r="N1182" s="5" t="str">
        <f>IFERROR(__xludf.DUMMYFUNCTION("""COMPUTED_VALUE"""),"")</f>
        <v/>
      </c>
      <c r="O1182" s="5" t="str">
        <f>IFERROR(__xludf.DUMMYFUNCTION("""COMPUTED_VALUE"""),"")</f>
        <v/>
      </c>
      <c r="P1182" s="5" t="str">
        <f>IFERROR(__xludf.DUMMYFUNCTION("""COMPUTED_VALUE"""),"")</f>
        <v/>
      </c>
      <c r="Q1182" s="5" t="str">
        <f>IFERROR(__xludf.DUMMYFUNCTION("""COMPUTED_VALUE"""),"")</f>
        <v/>
      </c>
      <c r="R1182" s="5" t="str">
        <f>IFERROR(__xludf.DUMMYFUNCTION("""COMPUTED_VALUE"""),"")</f>
        <v/>
      </c>
      <c r="S1182" s="5" t="str">
        <f>IFERROR(__xludf.DUMMYFUNCTION("""COMPUTED_VALUE"""),"")</f>
        <v/>
      </c>
      <c r="T1182" s="5" t="str">
        <f>IFERROR(__xludf.DUMMYFUNCTION("""COMPUTED_VALUE"""),"")</f>
        <v/>
      </c>
      <c r="U1182" s="5" t="str">
        <f>IFERROR(__xludf.DUMMYFUNCTION("""COMPUTED_VALUE"""),"")</f>
        <v/>
      </c>
      <c r="V1182" s="5" t="str">
        <f>IFERROR(__xludf.DUMMYFUNCTION("""COMPUTED_VALUE"""),"")</f>
        <v/>
      </c>
      <c r="W1182" s="5" t="str">
        <f>IFERROR(__xludf.DUMMYFUNCTION("""COMPUTED_VALUE"""),"")</f>
        <v/>
      </c>
      <c r="X1182" s="5" t="str">
        <f>IFERROR(__xludf.DUMMYFUNCTION("""COMPUTED_VALUE"""),"")</f>
        <v/>
      </c>
      <c r="Y1182" s="5"/>
      <c r="Z1182" s="5"/>
    </row>
    <row r="1183">
      <c r="A1183" s="5"/>
      <c r="B1183" s="5" t="str">
        <f>IFERROR(__xludf.DUMMYFUNCTION("""COMPUTED_VALUE"""),"")</f>
        <v/>
      </c>
      <c r="C1183" s="5" t="str">
        <f>IFERROR(__xludf.DUMMYFUNCTION("""COMPUTED_VALUE"""),"")</f>
        <v/>
      </c>
      <c r="D1183" s="5" t="str">
        <f>IFERROR(__xludf.DUMMYFUNCTION("""COMPUTED_VALUE"""),"")</f>
        <v/>
      </c>
      <c r="E1183" s="5" t="str">
        <f>IFERROR(__xludf.DUMMYFUNCTION("""COMPUTED_VALUE"""),"")</f>
        <v/>
      </c>
      <c r="F1183" s="5" t="str">
        <f>IFERROR(__xludf.DUMMYFUNCTION("""COMPUTED_VALUE"""),"")</f>
        <v/>
      </c>
      <c r="G1183" s="5" t="str">
        <f>IFERROR(__xludf.DUMMYFUNCTION("""COMPUTED_VALUE"""),"")</f>
        <v/>
      </c>
      <c r="H1183" s="5" t="str">
        <f>IFERROR(__xludf.DUMMYFUNCTION("""COMPUTED_VALUE"""),"")</f>
        <v/>
      </c>
      <c r="I1183" s="5" t="str">
        <f>IFERROR(__xludf.DUMMYFUNCTION("""COMPUTED_VALUE"""),"")</f>
        <v/>
      </c>
      <c r="J1183" s="5" t="str">
        <f>IFERROR(__xludf.DUMMYFUNCTION("""COMPUTED_VALUE"""),"")</f>
        <v/>
      </c>
      <c r="K1183" s="5" t="str">
        <f>IFERROR(__xludf.DUMMYFUNCTION("""COMPUTED_VALUE"""),"")</f>
        <v/>
      </c>
      <c r="L1183" s="5" t="str">
        <f>IFERROR(__xludf.DUMMYFUNCTION("""COMPUTED_VALUE"""),"")</f>
        <v/>
      </c>
      <c r="M1183" s="5" t="str">
        <f>IFERROR(__xludf.DUMMYFUNCTION("""COMPUTED_VALUE"""),"")</f>
        <v/>
      </c>
      <c r="N1183" s="5" t="str">
        <f>IFERROR(__xludf.DUMMYFUNCTION("""COMPUTED_VALUE"""),"")</f>
        <v/>
      </c>
      <c r="O1183" s="5" t="str">
        <f>IFERROR(__xludf.DUMMYFUNCTION("""COMPUTED_VALUE"""),"")</f>
        <v/>
      </c>
      <c r="P1183" s="5" t="str">
        <f>IFERROR(__xludf.DUMMYFUNCTION("""COMPUTED_VALUE"""),"")</f>
        <v/>
      </c>
      <c r="Q1183" s="5" t="str">
        <f>IFERROR(__xludf.DUMMYFUNCTION("""COMPUTED_VALUE"""),"")</f>
        <v/>
      </c>
      <c r="R1183" s="5" t="str">
        <f>IFERROR(__xludf.DUMMYFUNCTION("""COMPUTED_VALUE"""),"")</f>
        <v/>
      </c>
      <c r="S1183" s="5" t="str">
        <f>IFERROR(__xludf.DUMMYFUNCTION("""COMPUTED_VALUE"""),"")</f>
        <v/>
      </c>
      <c r="T1183" s="5" t="str">
        <f>IFERROR(__xludf.DUMMYFUNCTION("""COMPUTED_VALUE"""),"")</f>
        <v/>
      </c>
      <c r="U1183" s="5" t="str">
        <f>IFERROR(__xludf.DUMMYFUNCTION("""COMPUTED_VALUE"""),"")</f>
        <v/>
      </c>
      <c r="V1183" s="5" t="str">
        <f>IFERROR(__xludf.DUMMYFUNCTION("""COMPUTED_VALUE"""),"")</f>
        <v/>
      </c>
      <c r="W1183" s="5" t="str">
        <f>IFERROR(__xludf.DUMMYFUNCTION("""COMPUTED_VALUE"""),"")</f>
        <v/>
      </c>
      <c r="X1183" s="5" t="str">
        <f>IFERROR(__xludf.DUMMYFUNCTION("""COMPUTED_VALUE"""),"")</f>
        <v/>
      </c>
      <c r="Y1183" s="5"/>
      <c r="Z1183" s="5"/>
    </row>
    <row r="1184">
      <c r="A1184" s="5"/>
      <c r="B1184" s="5" t="str">
        <f>IFERROR(__xludf.DUMMYFUNCTION("""COMPUTED_VALUE"""),"")</f>
        <v/>
      </c>
      <c r="C1184" s="5" t="str">
        <f>IFERROR(__xludf.DUMMYFUNCTION("""COMPUTED_VALUE"""),"")</f>
        <v/>
      </c>
      <c r="D1184" s="5" t="str">
        <f>IFERROR(__xludf.DUMMYFUNCTION("""COMPUTED_VALUE"""),"")</f>
        <v/>
      </c>
      <c r="E1184" s="5" t="str">
        <f>IFERROR(__xludf.DUMMYFUNCTION("""COMPUTED_VALUE"""),"")</f>
        <v/>
      </c>
      <c r="F1184" s="5" t="str">
        <f>IFERROR(__xludf.DUMMYFUNCTION("""COMPUTED_VALUE"""),"")</f>
        <v/>
      </c>
      <c r="G1184" s="5" t="str">
        <f>IFERROR(__xludf.DUMMYFUNCTION("""COMPUTED_VALUE"""),"")</f>
        <v/>
      </c>
      <c r="H1184" s="5" t="str">
        <f>IFERROR(__xludf.DUMMYFUNCTION("""COMPUTED_VALUE"""),"")</f>
        <v/>
      </c>
      <c r="I1184" s="5" t="str">
        <f>IFERROR(__xludf.DUMMYFUNCTION("""COMPUTED_VALUE"""),"")</f>
        <v/>
      </c>
      <c r="J1184" s="5" t="str">
        <f>IFERROR(__xludf.DUMMYFUNCTION("""COMPUTED_VALUE"""),"")</f>
        <v/>
      </c>
      <c r="K1184" s="5" t="str">
        <f>IFERROR(__xludf.DUMMYFUNCTION("""COMPUTED_VALUE"""),"")</f>
        <v/>
      </c>
      <c r="L1184" s="5" t="str">
        <f>IFERROR(__xludf.DUMMYFUNCTION("""COMPUTED_VALUE"""),"")</f>
        <v/>
      </c>
      <c r="M1184" s="5" t="str">
        <f>IFERROR(__xludf.DUMMYFUNCTION("""COMPUTED_VALUE"""),"")</f>
        <v/>
      </c>
      <c r="N1184" s="5" t="str">
        <f>IFERROR(__xludf.DUMMYFUNCTION("""COMPUTED_VALUE"""),"")</f>
        <v/>
      </c>
      <c r="O1184" s="5" t="str">
        <f>IFERROR(__xludf.DUMMYFUNCTION("""COMPUTED_VALUE"""),"")</f>
        <v/>
      </c>
      <c r="P1184" s="5" t="str">
        <f>IFERROR(__xludf.DUMMYFUNCTION("""COMPUTED_VALUE"""),"")</f>
        <v/>
      </c>
      <c r="Q1184" s="5" t="str">
        <f>IFERROR(__xludf.DUMMYFUNCTION("""COMPUTED_VALUE"""),"")</f>
        <v/>
      </c>
      <c r="R1184" s="5" t="str">
        <f>IFERROR(__xludf.DUMMYFUNCTION("""COMPUTED_VALUE"""),"")</f>
        <v/>
      </c>
      <c r="S1184" s="5" t="str">
        <f>IFERROR(__xludf.DUMMYFUNCTION("""COMPUTED_VALUE"""),"")</f>
        <v/>
      </c>
      <c r="T1184" s="5" t="str">
        <f>IFERROR(__xludf.DUMMYFUNCTION("""COMPUTED_VALUE"""),"")</f>
        <v/>
      </c>
      <c r="U1184" s="5" t="str">
        <f>IFERROR(__xludf.DUMMYFUNCTION("""COMPUTED_VALUE"""),"")</f>
        <v/>
      </c>
      <c r="V1184" s="5" t="str">
        <f>IFERROR(__xludf.DUMMYFUNCTION("""COMPUTED_VALUE"""),"")</f>
        <v/>
      </c>
      <c r="W1184" s="5" t="str">
        <f>IFERROR(__xludf.DUMMYFUNCTION("""COMPUTED_VALUE"""),"")</f>
        <v/>
      </c>
      <c r="X1184" s="5" t="str">
        <f>IFERROR(__xludf.DUMMYFUNCTION("""COMPUTED_VALUE"""),"")</f>
        <v/>
      </c>
      <c r="Y1184" s="5"/>
      <c r="Z1184" s="5"/>
    </row>
    <row r="1185">
      <c r="A1185" s="5"/>
      <c r="B1185" s="5" t="str">
        <f>IFERROR(__xludf.DUMMYFUNCTION("""COMPUTED_VALUE"""),"")</f>
        <v/>
      </c>
      <c r="C1185" s="5" t="str">
        <f>IFERROR(__xludf.DUMMYFUNCTION("""COMPUTED_VALUE"""),"")</f>
        <v/>
      </c>
      <c r="D1185" s="5" t="str">
        <f>IFERROR(__xludf.DUMMYFUNCTION("""COMPUTED_VALUE"""),"")</f>
        <v/>
      </c>
      <c r="E1185" s="5" t="str">
        <f>IFERROR(__xludf.DUMMYFUNCTION("""COMPUTED_VALUE"""),"")</f>
        <v/>
      </c>
      <c r="F1185" s="5" t="str">
        <f>IFERROR(__xludf.DUMMYFUNCTION("""COMPUTED_VALUE"""),"")</f>
        <v/>
      </c>
      <c r="G1185" s="5" t="str">
        <f>IFERROR(__xludf.DUMMYFUNCTION("""COMPUTED_VALUE"""),"")</f>
        <v/>
      </c>
      <c r="H1185" s="5" t="str">
        <f>IFERROR(__xludf.DUMMYFUNCTION("""COMPUTED_VALUE"""),"")</f>
        <v/>
      </c>
      <c r="I1185" s="5" t="str">
        <f>IFERROR(__xludf.DUMMYFUNCTION("""COMPUTED_VALUE"""),"")</f>
        <v/>
      </c>
      <c r="J1185" s="5" t="str">
        <f>IFERROR(__xludf.DUMMYFUNCTION("""COMPUTED_VALUE"""),"")</f>
        <v/>
      </c>
      <c r="K1185" s="5" t="str">
        <f>IFERROR(__xludf.DUMMYFUNCTION("""COMPUTED_VALUE"""),"")</f>
        <v/>
      </c>
      <c r="L1185" s="5" t="str">
        <f>IFERROR(__xludf.DUMMYFUNCTION("""COMPUTED_VALUE"""),"")</f>
        <v/>
      </c>
      <c r="M1185" s="5" t="str">
        <f>IFERROR(__xludf.DUMMYFUNCTION("""COMPUTED_VALUE"""),"")</f>
        <v/>
      </c>
      <c r="N1185" s="5" t="str">
        <f>IFERROR(__xludf.DUMMYFUNCTION("""COMPUTED_VALUE"""),"")</f>
        <v/>
      </c>
      <c r="O1185" s="5" t="str">
        <f>IFERROR(__xludf.DUMMYFUNCTION("""COMPUTED_VALUE"""),"")</f>
        <v/>
      </c>
      <c r="P1185" s="5" t="str">
        <f>IFERROR(__xludf.DUMMYFUNCTION("""COMPUTED_VALUE"""),"")</f>
        <v/>
      </c>
      <c r="Q1185" s="5" t="str">
        <f>IFERROR(__xludf.DUMMYFUNCTION("""COMPUTED_VALUE"""),"")</f>
        <v/>
      </c>
      <c r="R1185" s="5" t="str">
        <f>IFERROR(__xludf.DUMMYFUNCTION("""COMPUTED_VALUE"""),"")</f>
        <v/>
      </c>
      <c r="S1185" s="5" t="str">
        <f>IFERROR(__xludf.DUMMYFUNCTION("""COMPUTED_VALUE"""),"")</f>
        <v/>
      </c>
      <c r="T1185" s="5" t="str">
        <f>IFERROR(__xludf.DUMMYFUNCTION("""COMPUTED_VALUE"""),"")</f>
        <v/>
      </c>
      <c r="U1185" s="5" t="str">
        <f>IFERROR(__xludf.DUMMYFUNCTION("""COMPUTED_VALUE"""),"")</f>
        <v/>
      </c>
      <c r="V1185" s="5" t="str">
        <f>IFERROR(__xludf.DUMMYFUNCTION("""COMPUTED_VALUE"""),"")</f>
        <v/>
      </c>
      <c r="W1185" s="5" t="str">
        <f>IFERROR(__xludf.DUMMYFUNCTION("""COMPUTED_VALUE"""),"")</f>
        <v/>
      </c>
      <c r="X1185" s="5" t="str">
        <f>IFERROR(__xludf.DUMMYFUNCTION("""COMPUTED_VALUE"""),"")</f>
        <v/>
      </c>
      <c r="Y1185" s="5"/>
      <c r="Z1185" s="5"/>
    </row>
    <row r="1186">
      <c r="A1186" s="5"/>
      <c r="B1186" s="5" t="str">
        <f>IFERROR(__xludf.DUMMYFUNCTION("""COMPUTED_VALUE"""),"")</f>
        <v/>
      </c>
      <c r="C1186" s="5" t="str">
        <f>IFERROR(__xludf.DUMMYFUNCTION("""COMPUTED_VALUE"""),"")</f>
        <v/>
      </c>
      <c r="D1186" s="5" t="str">
        <f>IFERROR(__xludf.DUMMYFUNCTION("""COMPUTED_VALUE"""),"")</f>
        <v/>
      </c>
      <c r="E1186" s="5" t="str">
        <f>IFERROR(__xludf.DUMMYFUNCTION("""COMPUTED_VALUE"""),"")</f>
        <v/>
      </c>
      <c r="F1186" s="5" t="str">
        <f>IFERROR(__xludf.DUMMYFUNCTION("""COMPUTED_VALUE"""),"")</f>
        <v/>
      </c>
      <c r="G1186" s="5" t="str">
        <f>IFERROR(__xludf.DUMMYFUNCTION("""COMPUTED_VALUE"""),"")</f>
        <v/>
      </c>
      <c r="H1186" s="5" t="str">
        <f>IFERROR(__xludf.DUMMYFUNCTION("""COMPUTED_VALUE"""),"")</f>
        <v/>
      </c>
      <c r="I1186" s="5" t="str">
        <f>IFERROR(__xludf.DUMMYFUNCTION("""COMPUTED_VALUE"""),"")</f>
        <v/>
      </c>
      <c r="J1186" s="5" t="str">
        <f>IFERROR(__xludf.DUMMYFUNCTION("""COMPUTED_VALUE"""),"")</f>
        <v/>
      </c>
      <c r="K1186" s="5" t="str">
        <f>IFERROR(__xludf.DUMMYFUNCTION("""COMPUTED_VALUE"""),"")</f>
        <v/>
      </c>
      <c r="L1186" s="5" t="str">
        <f>IFERROR(__xludf.DUMMYFUNCTION("""COMPUTED_VALUE"""),"")</f>
        <v/>
      </c>
      <c r="M1186" s="5" t="str">
        <f>IFERROR(__xludf.DUMMYFUNCTION("""COMPUTED_VALUE"""),"")</f>
        <v/>
      </c>
      <c r="N1186" s="5" t="str">
        <f>IFERROR(__xludf.DUMMYFUNCTION("""COMPUTED_VALUE"""),"")</f>
        <v/>
      </c>
      <c r="O1186" s="5" t="str">
        <f>IFERROR(__xludf.DUMMYFUNCTION("""COMPUTED_VALUE"""),"")</f>
        <v/>
      </c>
      <c r="P1186" s="5" t="str">
        <f>IFERROR(__xludf.DUMMYFUNCTION("""COMPUTED_VALUE"""),"")</f>
        <v/>
      </c>
      <c r="Q1186" s="5" t="str">
        <f>IFERROR(__xludf.DUMMYFUNCTION("""COMPUTED_VALUE"""),"")</f>
        <v/>
      </c>
      <c r="R1186" s="5" t="str">
        <f>IFERROR(__xludf.DUMMYFUNCTION("""COMPUTED_VALUE"""),"")</f>
        <v/>
      </c>
      <c r="S1186" s="5" t="str">
        <f>IFERROR(__xludf.DUMMYFUNCTION("""COMPUTED_VALUE"""),"")</f>
        <v/>
      </c>
      <c r="T1186" s="5" t="str">
        <f>IFERROR(__xludf.DUMMYFUNCTION("""COMPUTED_VALUE"""),"")</f>
        <v/>
      </c>
      <c r="U1186" s="5" t="str">
        <f>IFERROR(__xludf.DUMMYFUNCTION("""COMPUTED_VALUE"""),"")</f>
        <v/>
      </c>
      <c r="V1186" s="5" t="str">
        <f>IFERROR(__xludf.DUMMYFUNCTION("""COMPUTED_VALUE"""),"")</f>
        <v/>
      </c>
      <c r="W1186" s="5" t="str">
        <f>IFERROR(__xludf.DUMMYFUNCTION("""COMPUTED_VALUE"""),"")</f>
        <v/>
      </c>
      <c r="X1186" s="5" t="str">
        <f>IFERROR(__xludf.DUMMYFUNCTION("""COMPUTED_VALUE"""),"")</f>
        <v/>
      </c>
      <c r="Y1186" s="5"/>
      <c r="Z1186" s="5"/>
    </row>
    <row r="1187">
      <c r="A1187" s="5"/>
      <c r="B1187" s="5" t="str">
        <f>IFERROR(__xludf.DUMMYFUNCTION("""COMPUTED_VALUE"""),"")</f>
        <v/>
      </c>
      <c r="C1187" s="5" t="str">
        <f>IFERROR(__xludf.DUMMYFUNCTION("""COMPUTED_VALUE"""),"")</f>
        <v/>
      </c>
      <c r="D1187" s="5" t="str">
        <f>IFERROR(__xludf.DUMMYFUNCTION("""COMPUTED_VALUE"""),"")</f>
        <v/>
      </c>
      <c r="E1187" s="5" t="str">
        <f>IFERROR(__xludf.DUMMYFUNCTION("""COMPUTED_VALUE"""),"")</f>
        <v/>
      </c>
      <c r="F1187" s="5" t="str">
        <f>IFERROR(__xludf.DUMMYFUNCTION("""COMPUTED_VALUE"""),"")</f>
        <v/>
      </c>
      <c r="G1187" s="5" t="str">
        <f>IFERROR(__xludf.DUMMYFUNCTION("""COMPUTED_VALUE"""),"")</f>
        <v/>
      </c>
      <c r="H1187" s="5" t="str">
        <f>IFERROR(__xludf.DUMMYFUNCTION("""COMPUTED_VALUE"""),"")</f>
        <v/>
      </c>
      <c r="I1187" s="5" t="str">
        <f>IFERROR(__xludf.DUMMYFUNCTION("""COMPUTED_VALUE"""),"")</f>
        <v/>
      </c>
      <c r="J1187" s="5" t="str">
        <f>IFERROR(__xludf.DUMMYFUNCTION("""COMPUTED_VALUE"""),"")</f>
        <v/>
      </c>
      <c r="K1187" s="5" t="str">
        <f>IFERROR(__xludf.DUMMYFUNCTION("""COMPUTED_VALUE"""),"")</f>
        <v/>
      </c>
      <c r="L1187" s="5" t="str">
        <f>IFERROR(__xludf.DUMMYFUNCTION("""COMPUTED_VALUE"""),"")</f>
        <v/>
      </c>
      <c r="M1187" s="5" t="str">
        <f>IFERROR(__xludf.DUMMYFUNCTION("""COMPUTED_VALUE"""),"")</f>
        <v/>
      </c>
      <c r="N1187" s="5" t="str">
        <f>IFERROR(__xludf.DUMMYFUNCTION("""COMPUTED_VALUE"""),"")</f>
        <v/>
      </c>
      <c r="O1187" s="5" t="str">
        <f>IFERROR(__xludf.DUMMYFUNCTION("""COMPUTED_VALUE"""),"")</f>
        <v/>
      </c>
      <c r="P1187" s="5" t="str">
        <f>IFERROR(__xludf.DUMMYFUNCTION("""COMPUTED_VALUE"""),"")</f>
        <v/>
      </c>
      <c r="Q1187" s="5" t="str">
        <f>IFERROR(__xludf.DUMMYFUNCTION("""COMPUTED_VALUE"""),"")</f>
        <v/>
      </c>
      <c r="R1187" s="5" t="str">
        <f>IFERROR(__xludf.DUMMYFUNCTION("""COMPUTED_VALUE"""),"")</f>
        <v/>
      </c>
      <c r="S1187" s="5" t="str">
        <f>IFERROR(__xludf.DUMMYFUNCTION("""COMPUTED_VALUE"""),"")</f>
        <v/>
      </c>
      <c r="T1187" s="5" t="str">
        <f>IFERROR(__xludf.DUMMYFUNCTION("""COMPUTED_VALUE"""),"")</f>
        <v/>
      </c>
      <c r="U1187" s="5" t="str">
        <f>IFERROR(__xludf.DUMMYFUNCTION("""COMPUTED_VALUE"""),"")</f>
        <v/>
      </c>
      <c r="V1187" s="5" t="str">
        <f>IFERROR(__xludf.DUMMYFUNCTION("""COMPUTED_VALUE"""),"")</f>
        <v/>
      </c>
      <c r="W1187" s="5" t="str">
        <f>IFERROR(__xludf.DUMMYFUNCTION("""COMPUTED_VALUE"""),"")</f>
        <v/>
      </c>
      <c r="X1187" s="5" t="str">
        <f>IFERROR(__xludf.DUMMYFUNCTION("""COMPUTED_VALUE"""),"")</f>
        <v/>
      </c>
      <c r="Y1187" s="5"/>
      <c r="Z1187" s="5"/>
    </row>
    <row r="1188">
      <c r="A1188" s="5"/>
      <c r="B1188" s="5" t="str">
        <f>IFERROR(__xludf.DUMMYFUNCTION("""COMPUTED_VALUE"""),"")</f>
        <v/>
      </c>
      <c r="C1188" s="5" t="str">
        <f>IFERROR(__xludf.DUMMYFUNCTION("""COMPUTED_VALUE"""),"")</f>
        <v/>
      </c>
      <c r="D1188" s="5" t="str">
        <f>IFERROR(__xludf.DUMMYFUNCTION("""COMPUTED_VALUE"""),"")</f>
        <v/>
      </c>
      <c r="E1188" s="5" t="str">
        <f>IFERROR(__xludf.DUMMYFUNCTION("""COMPUTED_VALUE"""),"")</f>
        <v/>
      </c>
      <c r="F1188" s="5" t="str">
        <f>IFERROR(__xludf.DUMMYFUNCTION("""COMPUTED_VALUE"""),"")</f>
        <v/>
      </c>
      <c r="G1188" s="5" t="str">
        <f>IFERROR(__xludf.DUMMYFUNCTION("""COMPUTED_VALUE"""),"")</f>
        <v/>
      </c>
      <c r="H1188" s="5" t="str">
        <f>IFERROR(__xludf.DUMMYFUNCTION("""COMPUTED_VALUE"""),"")</f>
        <v/>
      </c>
      <c r="I1188" s="5" t="str">
        <f>IFERROR(__xludf.DUMMYFUNCTION("""COMPUTED_VALUE"""),"")</f>
        <v/>
      </c>
      <c r="J1188" s="5" t="str">
        <f>IFERROR(__xludf.DUMMYFUNCTION("""COMPUTED_VALUE"""),"")</f>
        <v/>
      </c>
      <c r="K1188" s="5" t="str">
        <f>IFERROR(__xludf.DUMMYFUNCTION("""COMPUTED_VALUE"""),"")</f>
        <v/>
      </c>
      <c r="L1188" s="5" t="str">
        <f>IFERROR(__xludf.DUMMYFUNCTION("""COMPUTED_VALUE"""),"")</f>
        <v/>
      </c>
      <c r="M1188" s="5" t="str">
        <f>IFERROR(__xludf.DUMMYFUNCTION("""COMPUTED_VALUE"""),"")</f>
        <v/>
      </c>
      <c r="N1188" s="5" t="str">
        <f>IFERROR(__xludf.DUMMYFUNCTION("""COMPUTED_VALUE"""),"")</f>
        <v/>
      </c>
      <c r="O1188" s="5" t="str">
        <f>IFERROR(__xludf.DUMMYFUNCTION("""COMPUTED_VALUE"""),"")</f>
        <v/>
      </c>
      <c r="P1188" s="5" t="str">
        <f>IFERROR(__xludf.DUMMYFUNCTION("""COMPUTED_VALUE"""),"")</f>
        <v/>
      </c>
      <c r="Q1188" s="5" t="str">
        <f>IFERROR(__xludf.DUMMYFUNCTION("""COMPUTED_VALUE"""),"")</f>
        <v/>
      </c>
      <c r="R1188" s="5" t="str">
        <f>IFERROR(__xludf.DUMMYFUNCTION("""COMPUTED_VALUE"""),"")</f>
        <v/>
      </c>
      <c r="S1188" s="5" t="str">
        <f>IFERROR(__xludf.DUMMYFUNCTION("""COMPUTED_VALUE"""),"")</f>
        <v/>
      </c>
      <c r="T1188" s="5" t="str">
        <f>IFERROR(__xludf.DUMMYFUNCTION("""COMPUTED_VALUE"""),"")</f>
        <v/>
      </c>
      <c r="U1188" s="5" t="str">
        <f>IFERROR(__xludf.DUMMYFUNCTION("""COMPUTED_VALUE"""),"")</f>
        <v/>
      </c>
      <c r="V1188" s="5" t="str">
        <f>IFERROR(__xludf.DUMMYFUNCTION("""COMPUTED_VALUE"""),"")</f>
        <v/>
      </c>
      <c r="W1188" s="5" t="str">
        <f>IFERROR(__xludf.DUMMYFUNCTION("""COMPUTED_VALUE"""),"")</f>
        <v/>
      </c>
      <c r="X1188" s="5" t="str">
        <f>IFERROR(__xludf.DUMMYFUNCTION("""COMPUTED_VALUE"""),"")</f>
        <v/>
      </c>
      <c r="Y1188" s="5"/>
      <c r="Z1188" s="5"/>
    </row>
    <row r="1189">
      <c r="A1189" s="5"/>
      <c r="B1189" s="5" t="str">
        <f>IFERROR(__xludf.DUMMYFUNCTION("""COMPUTED_VALUE"""),"")</f>
        <v/>
      </c>
      <c r="C1189" s="5" t="str">
        <f>IFERROR(__xludf.DUMMYFUNCTION("""COMPUTED_VALUE"""),"")</f>
        <v/>
      </c>
      <c r="D1189" s="5" t="str">
        <f>IFERROR(__xludf.DUMMYFUNCTION("""COMPUTED_VALUE"""),"")</f>
        <v/>
      </c>
      <c r="E1189" s="5" t="str">
        <f>IFERROR(__xludf.DUMMYFUNCTION("""COMPUTED_VALUE"""),"")</f>
        <v/>
      </c>
      <c r="F1189" s="5" t="str">
        <f>IFERROR(__xludf.DUMMYFUNCTION("""COMPUTED_VALUE"""),"")</f>
        <v/>
      </c>
      <c r="G1189" s="5" t="str">
        <f>IFERROR(__xludf.DUMMYFUNCTION("""COMPUTED_VALUE"""),"")</f>
        <v/>
      </c>
      <c r="H1189" s="5" t="str">
        <f>IFERROR(__xludf.DUMMYFUNCTION("""COMPUTED_VALUE"""),"")</f>
        <v/>
      </c>
      <c r="I1189" s="5" t="str">
        <f>IFERROR(__xludf.DUMMYFUNCTION("""COMPUTED_VALUE"""),"")</f>
        <v/>
      </c>
      <c r="J1189" s="5" t="str">
        <f>IFERROR(__xludf.DUMMYFUNCTION("""COMPUTED_VALUE"""),"")</f>
        <v/>
      </c>
      <c r="K1189" s="5" t="str">
        <f>IFERROR(__xludf.DUMMYFUNCTION("""COMPUTED_VALUE"""),"")</f>
        <v/>
      </c>
      <c r="L1189" s="5" t="str">
        <f>IFERROR(__xludf.DUMMYFUNCTION("""COMPUTED_VALUE"""),"")</f>
        <v/>
      </c>
      <c r="M1189" s="5" t="str">
        <f>IFERROR(__xludf.DUMMYFUNCTION("""COMPUTED_VALUE"""),"")</f>
        <v/>
      </c>
      <c r="N1189" s="5" t="str">
        <f>IFERROR(__xludf.DUMMYFUNCTION("""COMPUTED_VALUE"""),"")</f>
        <v/>
      </c>
      <c r="O1189" s="5" t="str">
        <f>IFERROR(__xludf.DUMMYFUNCTION("""COMPUTED_VALUE"""),"")</f>
        <v/>
      </c>
      <c r="P1189" s="5" t="str">
        <f>IFERROR(__xludf.DUMMYFUNCTION("""COMPUTED_VALUE"""),"")</f>
        <v/>
      </c>
      <c r="Q1189" s="5" t="str">
        <f>IFERROR(__xludf.DUMMYFUNCTION("""COMPUTED_VALUE"""),"")</f>
        <v/>
      </c>
      <c r="R1189" s="5" t="str">
        <f>IFERROR(__xludf.DUMMYFUNCTION("""COMPUTED_VALUE"""),"")</f>
        <v/>
      </c>
      <c r="S1189" s="5" t="str">
        <f>IFERROR(__xludf.DUMMYFUNCTION("""COMPUTED_VALUE"""),"")</f>
        <v/>
      </c>
      <c r="T1189" s="5" t="str">
        <f>IFERROR(__xludf.DUMMYFUNCTION("""COMPUTED_VALUE"""),"")</f>
        <v/>
      </c>
      <c r="U1189" s="5" t="str">
        <f>IFERROR(__xludf.DUMMYFUNCTION("""COMPUTED_VALUE"""),"")</f>
        <v/>
      </c>
      <c r="V1189" s="5" t="str">
        <f>IFERROR(__xludf.DUMMYFUNCTION("""COMPUTED_VALUE"""),"")</f>
        <v/>
      </c>
      <c r="W1189" s="5" t="str">
        <f>IFERROR(__xludf.DUMMYFUNCTION("""COMPUTED_VALUE"""),"")</f>
        <v/>
      </c>
      <c r="X1189" s="5" t="str">
        <f>IFERROR(__xludf.DUMMYFUNCTION("""COMPUTED_VALUE"""),"")</f>
        <v/>
      </c>
      <c r="Y1189" s="5"/>
      <c r="Z1189" s="5"/>
    </row>
    <row r="1190">
      <c r="A1190" s="5"/>
      <c r="B1190" s="5" t="str">
        <f>IFERROR(__xludf.DUMMYFUNCTION("""COMPUTED_VALUE"""),"")</f>
        <v/>
      </c>
      <c r="C1190" s="5" t="str">
        <f>IFERROR(__xludf.DUMMYFUNCTION("""COMPUTED_VALUE"""),"")</f>
        <v/>
      </c>
      <c r="D1190" s="5" t="str">
        <f>IFERROR(__xludf.DUMMYFUNCTION("""COMPUTED_VALUE"""),"")</f>
        <v/>
      </c>
      <c r="E1190" s="5" t="str">
        <f>IFERROR(__xludf.DUMMYFUNCTION("""COMPUTED_VALUE"""),"")</f>
        <v/>
      </c>
      <c r="F1190" s="5" t="str">
        <f>IFERROR(__xludf.DUMMYFUNCTION("""COMPUTED_VALUE"""),"")</f>
        <v/>
      </c>
      <c r="G1190" s="5" t="str">
        <f>IFERROR(__xludf.DUMMYFUNCTION("""COMPUTED_VALUE"""),"")</f>
        <v/>
      </c>
      <c r="H1190" s="5" t="str">
        <f>IFERROR(__xludf.DUMMYFUNCTION("""COMPUTED_VALUE"""),"")</f>
        <v/>
      </c>
      <c r="I1190" s="5" t="str">
        <f>IFERROR(__xludf.DUMMYFUNCTION("""COMPUTED_VALUE"""),"")</f>
        <v/>
      </c>
      <c r="J1190" s="5" t="str">
        <f>IFERROR(__xludf.DUMMYFUNCTION("""COMPUTED_VALUE"""),"")</f>
        <v/>
      </c>
      <c r="K1190" s="5" t="str">
        <f>IFERROR(__xludf.DUMMYFUNCTION("""COMPUTED_VALUE"""),"")</f>
        <v/>
      </c>
      <c r="L1190" s="5" t="str">
        <f>IFERROR(__xludf.DUMMYFUNCTION("""COMPUTED_VALUE"""),"")</f>
        <v/>
      </c>
      <c r="M1190" s="5" t="str">
        <f>IFERROR(__xludf.DUMMYFUNCTION("""COMPUTED_VALUE"""),"")</f>
        <v/>
      </c>
      <c r="N1190" s="5" t="str">
        <f>IFERROR(__xludf.DUMMYFUNCTION("""COMPUTED_VALUE"""),"")</f>
        <v/>
      </c>
      <c r="O1190" s="5" t="str">
        <f>IFERROR(__xludf.DUMMYFUNCTION("""COMPUTED_VALUE"""),"")</f>
        <v/>
      </c>
      <c r="P1190" s="5" t="str">
        <f>IFERROR(__xludf.DUMMYFUNCTION("""COMPUTED_VALUE"""),"")</f>
        <v/>
      </c>
      <c r="Q1190" s="5" t="str">
        <f>IFERROR(__xludf.DUMMYFUNCTION("""COMPUTED_VALUE"""),"")</f>
        <v/>
      </c>
      <c r="R1190" s="5" t="str">
        <f>IFERROR(__xludf.DUMMYFUNCTION("""COMPUTED_VALUE"""),"")</f>
        <v/>
      </c>
      <c r="S1190" s="5" t="str">
        <f>IFERROR(__xludf.DUMMYFUNCTION("""COMPUTED_VALUE"""),"")</f>
        <v/>
      </c>
      <c r="T1190" s="5" t="str">
        <f>IFERROR(__xludf.DUMMYFUNCTION("""COMPUTED_VALUE"""),"")</f>
        <v/>
      </c>
      <c r="U1190" s="5" t="str">
        <f>IFERROR(__xludf.DUMMYFUNCTION("""COMPUTED_VALUE"""),"")</f>
        <v/>
      </c>
      <c r="V1190" s="5" t="str">
        <f>IFERROR(__xludf.DUMMYFUNCTION("""COMPUTED_VALUE"""),"")</f>
        <v/>
      </c>
      <c r="W1190" s="5" t="str">
        <f>IFERROR(__xludf.DUMMYFUNCTION("""COMPUTED_VALUE"""),"")</f>
        <v/>
      </c>
      <c r="X1190" s="5" t="str">
        <f>IFERROR(__xludf.DUMMYFUNCTION("""COMPUTED_VALUE"""),"")</f>
        <v/>
      </c>
      <c r="Y1190" s="5"/>
      <c r="Z1190" s="5"/>
    </row>
    <row r="1191">
      <c r="A1191" s="5"/>
      <c r="B1191" s="5" t="str">
        <f>IFERROR(__xludf.DUMMYFUNCTION("""COMPUTED_VALUE"""),"")</f>
        <v/>
      </c>
      <c r="C1191" s="5" t="str">
        <f>IFERROR(__xludf.DUMMYFUNCTION("""COMPUTED_VALUE"""),"")</f>
        <v/>
      </c>
      <c r="D1191" s="5" t="str">
        <f>IFERROR(__xludf.DUMMYFUNCTION("""COMPUTED_VALUE"""),"")</f>
        <v/>
      </c>
      <c r="E1191" s="5" t="str">
        <f>IFERROR(__xludf.DUMMYFUNCTION("""COMPUTED_VALUE"""),"")</f>
        <v/>
      </c>
      <c r="F1191" s="5" t="str">
        <f>IFERROR(__xludf.DUMMYFUNCTION("""COMPUTED_VALUE"""),"")</f>
        <v/>
      </c>
      <c r="G1191" s="5" t="str">
        <f>IFERROR(__xludf.DUMMYFUNCTION("""COMPUTED_VALUE"""),"")</f>
        <v/>
      </c>
      <c r="H1191" s="5" t="str">
        <f>IFERROR(__xludf.DUMMYFUNCTION("""COMPUTED_VALUE"""),"")</f>
        <v/>
      </c>
      <c r="I1191" s="5" t="str">
        <f>IFERROR(__xludf.DUMMYFUNCTION("""COMPUTED_VALUE"""),"")</f>
        <v/>
      </c>
      <c r="J1191" s="5" t="str">
        <f>IFERROR(__xludf.DUMMYFUNCTION("""COMPUTED_VALUE"""),"")</f>
        <v/>
      </c>
      <c r="K1191" s="5" t="str">
        <f>IFERROR(__xludf.DUMMYFUNCTION("""COMPUTED_VALUE"""),"")</f>
        <v/>
      </c>
      <c r="L1191" s="5" t="str">
        <f>IFERROR(__xludf.DUMMYFUNCTION("""COMPUTED_VALUE"""),"")</f>
        <v/>
      </c>
      <c r="M1191" s="5" t="str">
        <f>IFERROR(__xludf.DUMMYFUNCTION("""COMPUTED_VALUE"""),"")</f>
        <v/>
      </c>
      <c r="N1191" s="5" t="str">
        <f>IFERROR(__xludf.DUMMYFUNCTION("""COMPUTED_VALUE"""),"")</f>
        <v/>
      </c>
      <c r="O1191" s="5" t="str">
        <f>IFERROR(__xludf.DUMMYFUNCTION("""COMPUTED_VALUE"""),"")</f>
        <v/>
      </c>
      <c r="P1191" s="5" t="str">
        <f>IFERROR(__xludf.DUMMYFUNCTION("""COMPUTED_VALUE"""),"")</f>
        <v/>
      </c>
      <c r="Q1191" s="5" t="str">
        <f>IFERROR(__xludf.DUMMYFUNCTION("""COMPUTED_VALUE"""),"")</f>
        <v/>
      </c>
      <c r="R1191" s="5" t="str">
        <f>IFERROR(__xludf.DUMMYFUNCTION("""COMPUTED_VALUE"""),"")</f>
        <v/>
      </c>
      <c r="S1191" s="5" t="str">
        <f>IFERROR(__xludf.DUMMYFUNCTION("""COMPUTED_VALUE"""),"")</f>
        <v/>
      </c>
      <c r="T1191" s="5" t="str">
        <f>IFERROR(__xludf.DUMMYFUNCTION("""COMPUTED_VALUE"""),"")</f>
        <v/>
      </c>
      <c r="U1191" s="5" t="str">
        <f>IFERROR(__xludf.DUMMYFUNCTION("""COMPUTED_VALUE"""),"")</f>
        <v/>
      </c>
      <c r="V1191" s="5" t="str">
        <f>IFERROR(__xludf.DUMMYFUNCTION("""COMPUTED_VALUE"""),"")</f>
        <v/>
      </c>
      <c r="W1191" s="5" t="str">
        <f>IFERROR(__xludf.DUMMYFUNCTION("""COMPUTED_VALUE"""),"")</f>
        <v/>
      </c>
      <c r="X1191" s="5" t="str">
        <f>IFERROR(__xludf.DUMMYFUNCTION("""COMPUTED_VALUE"""),"")</f>
        <v/>
      </c>
      <c r="Y1191" s="5"/>
      <c r="Z1191" s="5"/>
    </row>
    <row r="1192">
      <c r="A1192" s="5"/>
      <c r="B1192" s="5" t="str">
        <f>IFERROR(__xludf.DUMMYFUNCTION("""COMPUTED_VALUE"""),"")</f>
        <v/>
      </c>
      <c r="C1192" s="5" t="str">
        <f>IFERROR(__xludf.DUMMYFUNCTION("""COMPUTED_VALUE"""),"")</f>
        <v/>
      </c>
      <c r="D1192" s="5" t="str">
        <f>IFERROR(__xludf.DUMMYFUNCTION("""COMPUTED_VALUE"""),"")</f>
        <v/>
      </c>
      <c r="E1192" s="5" t="str">
        <f>IFERROR(__xludf.DUMMYFUNCTION("""COMPUTED_VALUE"""),"")</f>
        <v/>
      </c>
      <c r="F1192" s="5" t="str">
        <f>IFERROR(__xludf.DUMMYFUNCTION("""COMPUTED_VALUE"""),"")</f>
        <v/>
      </c>
      <c r="G1192" s="5" t="str">
        <f>IFERROR(__xludf.DUMMYFUNCTION("""COMPUTED_VALUE"""),"")</f>
        <v/>
      </c>
      <c r="H1192" s="5" t="str">
        <f>IFERROR(__xludf.DUMMYFUNCTION("""COMPUTED_VALUE"""),"")</f>
        <v/>
      </c>
      <c r="I1192" s="5" t="str">
        <f>IFERROR(__xludf.DUMMYFUNCTION("""COMPUTED_VALUE"""),"")</f>
        <v/>
      </c>
      <c r="J1192" s="5" t="str">
        <f>IFERROR(__xludf.DUMMYFUNCTION("""COMPUTED_VALUE"""),"")</f>
        <v/>
      </c>
      <c r="K1192" s="5" t="str">
        <f>IFERROR(__xludf.DUMMYFUNCTION("""COMPUTED_VALUE"""),"")</f>
        <v/>
      </c>
      <c r="L1192" s="5" t="str">
        <f>IFERROR(__xludf.DUMMYFUNCTION("""COMPUTED_VALUE"""),"")</f>
        <v/>
      </c>
      <c r="M1192" s="5" t="str">
        <f>IFERROR(__xludf.DUMMYFUNCTION("""COMPUTED_VALUE"""),"")</f>
        <v/>
      </c>
      <c r="N1192" s="5" t="str">
        <f>IFERROR(__xludf.DUMMYFUNCTION("""COMPUTED_VALUE"""),"")</f>
        <v/>
      </c>
      <c r="O1192" s="5" t="str">
        <f>IFERROR(__xludf.DUMMYFUNCTION("""COMPUTED_VALUE"""),"")</f>
        <v/>
      </c>
      <c r="P1192" s="5" t="str">
        <f>IFERROR(__xludf.DUMMYFUNCTION("""COMPUTED_VALUE"""),"")</f>
        <v/>
      </c>
      <c r="Q1192" s="5" t="str">
        <f>IFERROR(__xludf.DUMMYFUNCTION("""COMPUTED_VALUE"""),"")</f>
        <v/>
      </c>
      <c r="R1192" s="5" t="str">
        <f>IFERROR(__xludf.DUMMYFUNCTION("""COMPUTED_VALUE"""),"")</f>
        <v/>
      </c>
      <c r="S1192" s="5" t="str">
        <f>IFERROR(__xludf.DUMMYFUNCTION("""COMPUTED_VALUE"""),"")</f>
        <v/>
      </c>
      <c r="T1192" s="5" t="str">
        <f>IFERROR(__xludf.DUMMYFUNCTION("""COMPUTED_VALUE"""),"")</f>
        <v/>
      </c>
      <c r="U1192" s="5" t="str">
        <f>IFERROR(__xludf.DUMMYFUNCTION("""COMPUTED_VALUE"""),"")</f>
        <v/>
      </c>
      <c r="V1192" s="5" t="str">
        <f>IFERROR(__xludf.DUMMYFUNCTION("""COMPUTED_VALUE"""),"")</f>
        <v/>
      </c>
      <c r="W1192" s="5" t="str">
        <f>IFERROR(__xludf.DUMMYFUNCTION("""COMPUTED_VALUE"""),"")</f>
        <v/>
      </c>
      <c r="X1192" s="5" t="str">
        <f>IFERROR(__xludf.DUMMYFUNCTION("""COMPUTED_VALUE"""),"")</f>
        <v/>
      </c>
      <c r="Y1192" s="5"/>
      <c r="Z1192" s="5"/>
    </row>
    <row r="1193">
      <c r="A1193" s="5"/>
      <c r="B1193" s="5" t="str">
        <f>IFERROR(__xludf.DUMMYFUNCTION("""COMPUTED_VALUE"""),"")</f>
        <v/>
      </c>
      <c r="C1193" s="5" t="str">
        <f>IFERROR(__xludf.DUMMYFUNCTION("""COMPUTED_VALUE"""),"")</f>
        <v/>
      </c>
      <c r="D1193" s="5" t="str">
        <f>IFERROR(__xludf.DUMMYFUNCTION("""COMPUTED_VALUE"""),"")</f>
        <v/>
      </c>
      <c r="E1193" s="5" t="str">
        <f>IFERROR(__xludf.DUMMYFUNCTION("""COMPUTED_VALUE"""),"")</f>
        <v/>
      </c>
      <c r="F1193" s="5" t="str">
        <f>IFERROR(__xludf.DUMMYFUNCTION("""COMPUTED_VALUE"""),"")</f>
        <v/>
      </c>
      <c r="G1193" s="5" t="str">
        <f>IFERROR(__xludf.DUMMYFUNCTION("""COMPUTED_VALUE"""),"")</f>
        <v/>
      </c>
      <c r="H1193" s="5" t="str">
        <f>IFERROR(__xludf.DUMMYFUNCTION("""COMPUTED_VALUE"""),"")</f>
        <v/>
      </c>
      <c r="I1193" s="5" t="str">
        <f>IFERROR(__xludf.DUMMYFUNCTION("""COMPUTED_VALUE"""),"")</f>
        <v/>
      </c>
      <c r="J1193" s="5" t="str">
        <f>IFERROR(__xludf.DUMMYFUNCTION("""COMPUTED_VALUE"""),"")</f>
        <v/>
      </c>
      <c r="K1193" s="5" t="str">
        <f>IFERROR(__xludf.DUMMYFUNCTION("""COMPUTED_VALUE"""),"")</f>
        <v/>
      </c>
      <c r="L1193" s="5" t="str">
        <f>IFERROR(__xludf.DUMMYFUNCTION("""COMPUTED_VALUE"""),"")</f>
        <v/>
      </c>
      <c r="M1193" s="5" t="str">
        <f>IFERROR(__xludf.DUMMYFUNCTION("""COMPUTED_VALUE"""),"")</f>
        <v/>
      </c>
      <c r="N1193" s="5" t="str">
        <f>IFERROR(__xludf.DUMMYFUNCTION("""COMPUTED_VALUE"""),"")</f>
        <v/>
      </c>
      <c r="O1193" s="5" t="str">
        <f>IFERROR(__xludf.DUMMYFUNCTION("""COMPUTED_VALUE"""),"")</f>
        <v/>
      </c>
      <c r="P1193" s="5" t="str">
        <f>IFERROR(__xludf.DUMMYFUNCTION("""COMPUTED_VALUE"""),"")</f>
        <v/>
      </c>
      <c r="Q1193" s="5" t="str">
        <f>IFERROR(__xludf.DUMMYFUNCTION("""COMPUTED_VALUE"""),"")</f>
        <v/>
      </c>
      <c r="R1193" s="5" t="str">
        <f>IFERROR(__xludf.DUMMYFUNCTION("""COMPUTED_VALUE"""),"")</f>
        <v/>
      </c>
      <c r="S1193" s="5" t="str">
        <f>IFERROR(__xludf.DUMMYFUNCTION("""COMPUTED_VALUE"""),"")</f>
        <v/>
      </c>
      <c r="T1193" s="5" t="str">
        <f>IFERROR(__xludf.DUMMYFUNCTION("""COMPUTED_VALUE"""),"")</f>
        <v/>
      </c>
      <c r="U1193" s="5" t="str">
        <f>IFERROR(__xludf.DUMMYFUNCTION("""COMPUTED_VALUE"""),"")</f>
        <v/>
      </c>
      <c r="V1193" s="5" t="str">
        <f>IFERROR(__xludf.DUMMYFUNCTION("""COMPUTED_VALUE"""),"")</f>
        <v/>
      </c>
      <c r="W1193" s="5" t="str">
        <f>IFERROR(__xludf.DUMMYFUNCTION("""COMPUTED_VALUE"""),"")</f>
        <v/>
      </c>
      <c r="X1193" s="5" t="str">
        <f>IFERROR(__xludf.DUMMYFUNCTION("""COMPUTED_VALUE"""),"")</f>
        <v/>
      </c>
      <c r="Y1193" s="5"/>
      <c r="Z1193" s="5"/>
    </row>
    <row r="1194">
      <c r="A1194" s="5"/>
      <c r="B1194" s="5" t="str">
        <f>IFERROR(__xludf.DUMMYFUNCTION("""COMPUTED_VALUE"""),"")</f>
        <v/>
      </c>
      <c r="C1194" s="5" t="str">
        <f>IFERROR(__xludf.DUMMYFUNCTION("""COMPUTED_VALUE"""),"")</f>
        <v/>
      </c>
      <c r="D1194" s="5" t="str">
        <f>IFERROR(__xludf.DUMMYFUNCTION("""COMPUTED_VALUE"""),"")</f>
        <v/>
      </c>
      <c r="E1194" s="5" t="str">
        <f>IFERROR(__xludf.DUMMYFUNCTION("""COMPUTED_VALUE"""),"")</f>
        <v/>
      </c>
      <c r="F1194" s="5" t="str">
        <f>IFERROR(__xludf.DUMMYFUNCTION("""COMPUTED_VALUE"""),"")</f>
        <v/>
      </c>
      <c r="G1194" s="5" t="str">
        <f>IFERROR(__xludf.DUMMYFUNCTION("""COMPUTED_VALUE"""),"")</f>
        <v/>
      </c>
      <c r="H1194" s="5" t="str">
        <f>IFERROR(__xludf.DUMMYFUNCTION("""COMPUTED_VALUE"""),"")</f>
        <v/>
      </c>
      <c r="I1194" s="5" t="str">
        <f>IFERROR(__xludf.DUMMYFUNCTION("""COMPUTED_VALUE"""),"")</f>
        <v/>
      </c>
      <c r="J1194" s="5" t="str">
        <f>IFERROR(__xludf.DUMMYFUNCTION("""COMPUTED_VALUE"""),"")</f>
        <v/>
      </c>
      <c r="K1194" s="5" t="str">
        <f>IFERROR(__xludf.DUMMYFUNCTION("""COMPUTED_VALUE"""),"")</f>
        <v/>
      </c>
      <c r="L1194" s="5" t="str">
        <f>IFERROR(__xludf.DUMMYFUNCTION("""COMPUTED_VALUE"""),"")</f>
        <v/>
      </c>
      <c r="M1194" s="5" t="str">
        <f>IFERROR(__xludf.DUMMYFUNCTION("""COMPUTED_VALUE"""),"")</f>
        <v/>
      </c>
      <c r="N1194" s="5" t="str">
        <f>IFERROR(__xludf.DUMMYFUNCTION("""COMPUTED_VALUE"""),"")</f>
        <v/>
      </c>
      <c r="O1194" s="5" t="str">
        <f>IFERROR(__xludf.DUMMYFUNCTION("""COMPUTED_VALUE"""),"")</f>
        <v/>
      </c>
      <c r="P1194" s="5" t="str">
        <f>IFERROR(__xludf.DUMMYFUNCTION("""COMPUTED_VALUE"""),"")</f>
        <v/>
      </c>
      <c r="Q1194" s="5" t="str">
        <f>IFERROR(__xludf.DUMMYFUNCTION("""COMPUTED_VALUE"""),"")</f>
        <v/>
      </c>
      <c r="R1194" s="5" t="str">
        <f>IFERROR(__xludf.DUMMYFUNCTION("""COMPUTED_VALUE"""),"")</f>
        <v/>
      </c>
      <c r="S1194" s="5" t="str">
        <f>IFERROR(__xludf.DUMMYFUNCTION("""COMPUTED_VALUE"""),"")</f>
        <v/>
      </c>
      <c r="T1194" s="5" t="str">
        <f>IFERROR(__xludf.DUMMYFUNCTION("""COMPUTED_VALUE"""),"")</f>
        <v/>
      </c>
      <c r="U1194" s="5" t="str">
        <f>IFERROR(__xludf.DUMMYFUNCTION("""COMPUTED_VALUE"""),"")</f>
        <v/>
      </c>
      <c r="V1194" s="5" t="str">
        <f>IFERROR(__xludf.DUMMYFUNCTION("""COMPUTED_VALUE"""),"")</f>
        <v/>
      </c>
      <c r="W1194" s="5" t="str">
        <f>IFERROR(__xludf.DUMMYFUNCTION("""COMPUTED_VALUE"""),"")</f>
        <v/>
      </c>
      <c r="X1194" s="5" t="str">
        <f>IFERROR(__xludf.DUMMYFUNCTION("""COMPUTED_VALUE"""),"")</f>
        <v/>
      </c>
      <c r="Y1194" s="5"/>
      <c r="Z1194" s="5"/>
    </row>
    <row r="1195">
      <c r="A1195" s="5"/>
      <c r="B1195" s="5" t="str">
        <f>IFERROR(__xludf.DUMMYFUNCTION("""COMPUTED_VALUE"""),"")</f>
        <v/>
      </c>
      <c r="C1195" s="5" t="str">
        <f>IFERROR(__xludf.DUMMYFUNCTION("""COMPUTED_VALUE"""),"")</f>
        <v/>
      </c>
      <c r="D1195" s="5" t="str">
        <f>IFERROR(__xludf.DUMMYFUNCTION("""COMPUTED_VALUE"""),"")</f>
        <v/>
      </c>
      <c r="E1195" s="5" t="str">
        <f>IFERROR(__xludf.DUMMYFUNCTION("""COMPUTED_VALUE"""),"")</f>
        <v/>
      </c>
      <c r="F1195" s="5" t="str">
        <f>IFERROR(__xludf.DUMMYFUNCTION("""COMPUTED_VALUE"""),"")</f>
        <v/>
      </c>
      <c r="G1195" s="5" t="str">
        <f>IFERROR(__xludf.DUMMYFUNCTION("""COMPUTED_VALUE"""),"")</f>
        <v/>
      </c>
      <c r="H1195" s="5" t="str">
        <f>IFERROR(__xludf.DUMMYFUNCTION("""COMPUTED_VALUE"""),"")</f>
        <v/>
      </c>
      <c r="I1195" s="5" t="str">
        <f>IFERROR(__xludf.DUMMYFUNCTION("""COMPUTED_VALUE"""),"")</f>
        <v/>
      </c>
      <c r="J1195" s="5" t="str">
        <f>IFERROR(__xludf.DUMMYFUNCTION("""COMPUTED_VALUE"""),"")</f>
        <v/>
      </c>
      <c r="K1195" s="5" t="str">
        <f>IFERROR(__xludf.DUMMYFUNCTION("""COMPUTED_VALUE"""),"")</f>
        <v/>
      </c>
      <c r="L1195" s="5" t="str">
        <f>IFERROR(__xludf.DUMMYFUNCTION("""COMPUTED_VALUE"""),"")</f>
        <v/>
      </c>
      <c r="M1195" s="5" t="str">
        <f>IFERROR(__xludf.DUMMYFUNCTION("""COMPUTED_VALUE"""),"")</f>
        <v/>
      </c>
      <c r="N1195" s="5" t="str">
        <f>IFERROR(__xludf.DUMMYFUNCTION("""COMPUTED_VALUE"""),"")</f>
        <v/>
      </c>
      <c r="O1195" s="5" t="str">
        <f>IFERROR(__xludf.DUMMYFUNCTION("""COMPUTED_VALUE"""),"")</f>
        <v/>
      </c>
      <c r="P1195" s="5" t="str">
        <f>IFERROR(__xludf.DUMMYFUNCTION("""COMPUTED_VALUE"""),"")</f>
        <v/>
      </c>
      <c r="Q1195" s="5" t="str">
        <f>IFERROR(__xludf.DUMMYFUNCTION("""COMPUTED_VALUE"""),"")</f>
        <v/>
      </c>
      <c r="R1195" s="5" t="str">
        <f>IFERROR(__xludf.DUMMYFUNCTION("""COMPUTED_VALUE"""),"")</f>
        <v/>
      </c>
      <c r="S1195" s="5" t="str">
        <f>IFERROR(__xludf.DUMMYFUNCTION("""COMPUTED_VALUE"""),"")</f>
        <v/>
      </c>
      <c r="T1195" s="5" t="str">
        <f>IFERROR(__xludf.DUMMYFUNCTION("""COMPUTED_VALUE"""),"")</f>
        <v/>
      </c>
      <c r="U1195" s="5" t="str">
        <f>IFERROR(__xludf.DUMMYFUNCTION("""COMPUTED_VALUE"""),"")</f>
        <v/>
      </c>
      <c r="V1195" s="5" t="str">
        <f>IFERROR(__xludf.DUMMYFUNCTION("""COMPUTED_VALUE"""),"")</f>
        <v/>
      </c>
      <c r="W1195" s="5" t="str">
        <f>IFERROR(__xludf.DUMMYFUNCTION("""COMPUTED_VALUE"""),"")</f>
        <v/>
      </c>
      <c r="X1195" s="5" t="str">
        <f>IFERROR(__xludf.DUMMYFUNCTION("""COMPUTED_VALUE"""),"")</f>
        <v/>
      </c>
      <c r="Y1195" s="5"/>
      <c r="Z1195" s="5"/>
    </row>
    <row r="1196">
      <c r="A1196" s="5"/>
      <c r="B1196" s="5" t="str">
        <f>IFERROR(__xludf.DUMMYFUNCTION("""COMPUTED_VALUE"""),"")</f>
        <v/>
      </c>
      <c r="C1196" s="5" t="str">
        <f>IFERROR(__xludf.DUMMYFUNCTION("""COMPUTED_VALUE"""),"")</f>
        <v/>
      </c>
      <c r="D1196" s="5" t="str">
        <f>IFERROR(__xludf.DUMMYFUNCTION("""COMPUTED_VALUE"""),"")</f>
        <v/>
      </c>
      <c r="E1196" s="5" t="str">
        <f>IFERROR(__xludf.DUMMYFUNCTION("""COMPUTED_VALUE"""),"")</f>
        <v/>
      </c>
      <c r="F1196" s="5" t="str">
        <f>IFERROR(__xludf.DUMMYFUNCTION("""COMPUTED_VALUE"""),"")</f>
        <v/>
      </c>
      <c r="G1196" s="5" t="str">
        <f>IFERROR(__xludf.DUMMYFUNCTION("""COMPUTED_VALUE"""),"")</f>
        <v/>
      </c>
      <c r="H1196" s="5" t="str">
        <f>IFERROR(__xludf.DUMMYFUNCTION("""COMPUTED_VALUE"""),"")</f>
        <v/>
      </c>
      <c r="I1196" s="5" t="str">
        <f>IFERROR(__xludf.DUMMYFUNCTION("""COMPUTED_VALUE"""),"")</f>
        <v/>
      </c>
      <c r="J1196" s="5" t="str">
        <f>IFERROR(__xludf.DUMMYFUNCTION("""COMPUTED_VALUE"""),"")</f>
        <v/>
      </c>
      <c r="K1196" s="5" t="str">
        <f>IFERROR(__xludf.DUMMYFUNCTION("""COMPUTED_VALUE"""),"")</f>
        <v/>
      </c>
      <c r="L1196" s="5" t="str">
        <f>IFERROR(__xludf.DUMMYFUNCTION("""COMPUTED_VALUE"""),"")</f>
        <v/>
      </c>
      <c r="M1196" s="5" t="str">
        <f>IFERROR(__xludf.DUMMYFUNCTION("""COMPUTED_VALUE"""),"")</f>
        <v/>
      </c>
      <c r="N1196" s="5" t="str">
        <f>IFERROR(__xludf.DUMMYFUNCTION("""COMPUTED_VALUE"""),"")</f>
        <v/>
      </c>
      <c r="O1196" s="5" t="str">
        <f>IFERROR(__xludf.DUMMYFUNCTION("""COMPUTED_VALUE"""),"")</f>
        <v/>
      </c>
      <c r="P1196" s="5" t="str">
        <f>IFERROR(__xludf.DUMMYFUNCTION("""COMPUTED_VALUE"""),"")</f>
        <v/>
      </c>
      <c r="Q1196" s="5" t="str">
        <f>IFERROR(__xludf.DUMMYFUNCTION("""COMPUTED_VALUE"""),"")</f>
        <v/>
      </c>
      <c r="R1196" s="5" t="str">
        <f>IFERROR(__xludf.DUMMYFUNCTION("""COMPUTED_VALUE"""),"")</f>
        <v/>
      </c>
      <c r="S1196" s="5" t="str">
        <f>IFERROR(__xludf.DUMMYFUNCTION("""COMPUTED_VALUE"""),"")</f>
        <v/>
      </c>
      <c r="T1196" s="5" t="str">
        <f>IFERROR(__xludf.DUMMYFUNCTION("""COMPUTED_VALUE"""),"")</f>
        <v/>
      </c>
      <c r="U1196" s="5" t="str">
        <f>IFERROR(__xludf.DUMMYFUNCTION("""COMPUTED_VALUE"""),"")</f>
        <v/>
      </c>
      <c r="V1196" s="5" t="str">
        <f>IFERROR(__xludf.DUMMYFUNCTION("""COMPUTED_VALUE"""),"")</f>
        <v/>
      </c>
      <c r="W1196" s="5" t="str">
        <f>IFERROR(__xludf.DUMMYFUNCTION("""COMPUTED_VALUE"""),"")</f>
        <v/>
      </c>
      <c r="X1196" s="5" t="str">
        <f>IFERROR(__xludf.DUMMYFUNCTION("""COMPUTED_VALUE"""),"")</f>
        <v/>
      </c>
      <c r="Y1196" s="5"/>
      <c r="Z1196" s="5"/>
    </row>
    <row r="1197">
      <c r="A1197" s="5"/>
      <c r="B1197" s="5" t="str">
        <f>IFERROR(__xludf.DUMMYFUNCTION("""COMPUTED_VALUE"""),"")</f>
        <v/>
      </c>
      <c r="C1197" s="5" t="str">
        <f>IFERROR(__xludf.DUMMYFUNCTION("""COMPUTED_VALUE"""),"")</f>
        <v/>
      </c>
      <c r="D1197" s="5" t="str">
        <f>IFERROR(__xludf.DUMMYFUNCTION("""COMPUTED_VALUE"""),"")</f>
        <v/>
      </c>
      <c r="E1197" s="5" t="str">
        <f>IFERROR(__xludf.DUMMYFUNCTION("""COMPUTED_VALUE"""),"")</f>
        <v/>
      </c>
      <c r="F1197" s="5" t="str">
        <f>IFERROR(__xludf.DUMMYFUNCTION("""COMPUTED_VALUE"""),"")</f>
        <v/>
      </c>
      <c r="G1197" s="5" t="str">
        <f>IFERROR(__xludf.DUMMYFUNCTION("""COMPUTED_VALUE"""),"")</f>
        <v/>
      </c>
      <c r="H1197" s="5" t="str">
        <f>IFERROR(__xludf.DUMMYFUNCTION("""COMPUTED_VALUE"""),"")</f>
        <v/>
      </c>
      <c r="I1197" s="5" t="str">
        <f>IFERROR(__xludf.DUMMYFUNCTION("""COMPUTED_VALUE"""),"")</f>
        <v/>
      </c>
      <c r="J1197" s="5" t="str">
        <f>IFERROR(__xludf.DUMMYFUNCTION("""COMPUTED_VALUE"""),"")</f>
        <v/>
      </c>
      <c r="K1197" s="5" t="str">
        <f>IFERROR(__xludf.DUMMYFUNCTION("""COMPUTED_VALUE"""),"")</f>
        <v/>
      </c>
      <c r="L1197" s="5" t="str">
        <f>IFERROR(__xludf.DUMMYFUNCTION("""COMPUTED_VALUE"""),"")</f>
        <v/>
      </c>
      <c r="M1197" s="5" t="str">
        <f>IFERROR(__xludf.DUMMYFUNCTION("""COMPUTED_VALUE"""),"")</f>
        <v/>
      </c>
      <c r="N1197" s="5" t="str">
        <f>IFERROR(__xludf.DUMMYFUNCTION("""COMPUTED_VALUE"""),"")</f>
        <v/>
      </c>
      <c r="O1197" s="5" t="str">
        <f>IFERROR(__xludf.DUMMYFUNCTION("""COMPUTED_VALUE"""),"")</f>
        <v/>
      </c>
      <c r="P1197" s="5" t="str">
        <f>IFERROR(__xludf.DUMMYFUNCTION("""COMPUTED_VALUE"""),"")</f>
        <v/>
      </c>
      <c r="Q1197" s="5" t="str">
        <f>IFERROR(__xludf.DUMMYFUNCTION("""COMPUTED_VALUE"""),"")</f>
        <v/>
      </c>
      <c r="R1197" s="5" t="str">
        <f>IFERROR(__xludf.DUMMYFUNCTION("""COMPUTED_VALUE"""),"")</f>
        <v/>
      </c>
      <c r="S1197" s="5" t="str">
        <f>IFERROR(__xludf.DUMMYFUNCTION("""COMPUTED_VALUE"""),"")</f>
        <v/>
      </c>
      <c r="T1197" s="5" t="str">
        <f>IFERROR(__xludf.DUMMYFUNCTION("""COMPUTED_VALUE"""),"")</f>
        <v/>
      </c>
      <c r="U1197" s="5" t="str">
        <f>IFERROR(__xludf.DUMMYFUNCTION("""COMPUTED_VALUE"""),"")</f>
        <v/>
      </c>
      <c r="V1197" s="5" t="str">
        <f>IFERROR(__xludf.DUMMYFUNCTION("""COMPUTED_VALUE"""),"")</f>
        <v/>
      </c>
      <c r="W1197" s="5" t="str">
        <f>IFERROR(__xludf.DUMMYFUNCTION("""COMPUTED_VALUE"""),"")</f>
        <v/>
      </c>
      <c r="X1197" s="5" t="str">
        <f>IFERROR(__xludf.DUMMYFUNCTION("""COMPUTED_VALUE"""),"")</f>
        <v/>
      </c>
      <c r="Y1197" s="5"/>
      <c r="Z1197" s="5"/>
    </row>
    <row r="1198">
      <c r="A1198" s="5"/>
      <c r="B1198" s="5" t="str">
        <f>IFERROR(__xludf.DUMMYFUNCTION("""COMPUTED_VALUE"""),"")</f>
        <v/>
      </c>
      <c r="C1198" s="5" t="str">
        <f>IFERROR(__xludf.DUMMYFUNCTION("""COMPUTED_VALUE"""),"")</f>
        <v/>
      </c>
      <c r="D1198" s="5" t="str">
        <f>IFERROR(__xludf.DUMMYFUNCTION("""COMPUTED_VALUE"""),"")</f>
        <v/>
      </c>
      <c r="E1198" s="5" t="str">
        <f>IFERROR(__xludf.DUMMYFUNCTION("""COMPUTED_VALUE"""),"")</f>
        <v/>
      </c>
      <c r="F1198" s="5" t="str">
        <f>IFERROR(__xludf.DUMMYFUNCTION("""COMPUTED_VALUE"""),"")</f>
        <v/>
      </c>
      <c r="G1198" s="5" t="str">
        <f>IFERROR(__xludf.DUMMYFUNCTION("""COMPUTED_VALUE"""),"")</f>
        <v/>
      </c>
      <c r="H1198" s="5" t="str">
        <f>IFERROR(__xludf.DUMMYFUNCTION("""COMPUTED_VALUE"""),"")</f>
        <v/>
      </c>
      <c r="I1198" s="5" t="str">
        <f>IFERROR(__xludf.DUMMYFUNCTION("""COMPUTED_VALUE"""),"")</f>
        <v/>
      </c>
      <c r="J1198" s="5" t="str">
        <f>IFERROR(__xludf.DUMMYFUNCTION("""COMPUTED_VALUE"""),"")</f>
        <v/>
      </c>
      <c r="K1198" s="5" t="str">
        <f>IFERROR(__xludf.DUMMYFUNCTION("""COMPUTED_VALUE"""),"")</f>
        <v/>
      </c>
      <c r="L1198" s="5" t="str">
        <f>IFERROR(__xludf.DUMMYFUNCTION("""COMPUTED_VALUE"""),"")</f>
        <v/>
      </c>
      <c r="M1198" s="5" t="str">
        <f>IFERROR(__xludf.DUMMYFUNCTION("""COMPUTED_VALUE"""),"")</f>
        <v/>
      </c>
      <c r="N1198" s="5" t="str">
        <f>IFERROR(__xludf.DUMMYFUNCTION("""COMPUTED_VALUE"""),"")</f>
        <v/>
      </c>
      <c r="O1198" s="5" t="str">
        <f>IFERROR(__xludf.DUMMYFUNCTION("""COMPUTED_VALUE"""),"")</f>
        <v/>
      </c>
      <c r="P1198" s="5" t="str">
        <f>IFERROR(__xludf.DUMMYFUNCTION("""COMPUTED_VALUE"""),"")</f>
        <v/>
      </c>
      <c r="Q1198" s="5" t="str">
        <f>IFERROR(__xludf.DUMMYFUNCTION("""COMPUTED_VALUE"""),"")</f>
        <v/>
      </c>
      <c r="R1198" s="5" t="str">
        <f>IFERROR(__xludf.DUMMYFUNCTION("""COMPUTED_VALUE"""),"")</f>
        <v/>
      </c>
      <c r="S1198" s="5" t="str">
        <f>IFERROR(__xludf.DUMMYFUNCTION("""COMPUTED_VALUE"""),"")</f>
        <v/>
      </c>
      <c r="T1198" s="5" t="str">
        <f>IFERROR(__xludf.DUMMYFUNCTION("""COMPUTED_VALUE"""),"")</f>
        <v/>
      </c>
      <c r="U1198" s="5" t="str">
        <f>IFERROR(__xludf.DUMMYFUNCTION("""COMPUTED_VALUE"""),"")</f>
        <v/>
      </c>
      <c r="V1198" s="5" t="str">
        <f>IFERROR(__xludf.DUMMYFUNCTION("""COMPUTED_VALUE"""),"")</f>
        <v/>
      </c>
      <c r="W1198" s="5" t="str">
        <f>IFERROR(__xludf.DUMMYFUNCTION("""COMPUTED_VALUE"""),"")</f>
        <v/>
      </c>
      <c r="X1198" s="5" t="str">
        <f>IFERROR(__xludf.DUMMYFUNCTION("""COMPUTED_VALUE"""),"")</f>
        <v/>
      </c>
      <c r="Y1198" s="5"/>
      <c r="Z1198" s="5"/>
    </row>
    <row r="1199">
      <c r="A1199" s="5"/>
      <c r="B1199" s="5" t="str">
        <f>IFERROR(__xludf.DUMMYFUNCTION("""COMPUTED_VALUE"""),"")</f>
        <v/>
      </c>
      <c r="C1199" s="5" t="str">
        <f>IFERROR(__xludf.DUMMYFUNCTION("""COMPUTED_VALUE"""),"")</f>
        <v/>
      </c>
      <c r="D1199" s="5" t="str">
        <f>IFERROR(__xludf.DUMMYFUNCTION("""COMPUTED_VALUE"""),"")</f>
        <v/>
      </c>
      <c r="E1199" s="5" t="str">
        <f>IFERROR(__xludf.DUMMYFUNCTION("""COMPUTED_VALUE"""),"")</f>
        <v/>
      </c>
      <c r="F1199" s="5" t="str">
        <f>IFERROR(__xludf.DUMMYFUNCTION("""COMPUTED_VALUE"""),"")</f>
        <v/>
      </c>
      <c r="G1199" s="5" t="str">
        <f>IFERROR(__xludf.DUMMYFUNCTION("""COMPUTED_VALUE"""),"")</f>
        <v/>
      </c>
      <c r="H1199" s="5" t="str">
        <f>IFERROR(__xludf.DUMMYFUNCTION("""COMPUTED_VALUE"""),"")</f>
        <v/>
      </c>
      <c r="I1199" s="5" t="str">
        <f>IFERROR(__xludf.DUMMYFUNCTION("""COMPUTED_VALUE"""),"")</f>
        <v/>
      </c>
      <c r="J1199" s="5" t="str">
        <f>IFERROR(__xludf.DUMMYFUNCTION("""COMPUTED_VALUE"""),"")</f>
        <v/>
      </c>
      <c r="K1199" s="5" t="str">
        <f>IFERROR(__xludf.DUMMYFUNCTION("""COMPUTED_VALUE"""),"")</f>
        <v/>
      </c>
      <c r="L1199" s="5" t="str">
        <f>IFERROR(__xludf.DUMMYFUNCTION("""COMPUTED_VALUE"""),"")</f>
        <v/>
      </c>
      <c r="M1199" s="5" t="str">
        <f>IFERROR(__xludf.DUMMYFUNCTION("""COMPUTED_VALUE"""),"")</f>
        <v/>
      </c>
      <c r="N1199" s="5" t="str">
        <f>IFERROR(__xludf.DUMMYFUNCTION("""COMPUTED_VALUE"""),"")</f>
        <v/>
      </c>
      <c r="O1199" s="5" t="str">
        <f>IFERROR(__xludf.DUMMYFUNCTION("""COMPUTED_VALUE"""),"")</f>
        <v/>
      </c>
      <c r="P1199" s="5" t="str">
        <f>IFERROR(__xludf.DUMMYFUNCTION("""COMPUTED_VALUE"""),"")</f>
        <v/>
      </c>
      <c r="Q1199" s="5" t="str">
        <f>IFERROR(__xludf.DUMMYFUNCTION("""COMPUTED_VALUE"""),"")</f>
        <v/>
      </c>
      <c r="R1199" s="5" t="str">
        <f>IFERROR(__xludf.DUMMYFUNCTION("""COMPUTED_VALUE"""),"")</f>
        <v/>
      </c>
      <c r="S1199" s="5" t="str">
        <f>IFERROR(__xludf.DUMMYFUNCTION("""COMPUTED_VALUE"""),"")</f>
        <v/>
      </c>
      <c r="T1199" s="5" t="str">
        <f>IFERROR(__xludf.DUMMYFUNCTION("""COMPUTED_VALUE"""),"")</f>
        <v/>
      </c>
      <c r="U1199" s="5" t="str">
        <f>IFERROR(__xludf.DUMMYFUNCTION("""COMPUTED_VALUE"""),"")</f>
        <v/>
      </c>
      <c r="V1199" s="5" t="str">
        <f>IFERROR(__xludf.DUMMYFUNCTION("""COMPUTED_VALUE"""),"")</f>
        <v/>
      </c>
      <c r="W1199" s="5" t="str">
        <f>IFERROR(__xludf.DUMMYFUNCTION("""COMPUTED_VALUE"""),"")</f>
        <v/>
      </c>
      <c r="X1199" s="5" t="str">
        <f>IFERROR(__xludf.DUMMYFUNCTION("""COMPUTED_VALUE"""),"")</f>
        <v/>
      </c>
      <c r="Y1199" s="5"/>
      <c r="Z1199" s="5"/>
    </row>
    <row r="1200">
      <c r="A1200" s="5"/>
      <c r="B1200" s="5" t="str">
        <f>IFERROR(__xludf.DUMMYFUNCTION("""COMPUTED_VALUE"""),"")</f>
        <v/>
      </c>
      <c r="C1200" s="5" t="str">
        <f>IFERROR(__xludf.DUMMYFUNCTION("""COMPUTED_VALUE"""),"")</f>
        <v/>
      </c>
      <c r="D1200" s="5" t="str">
        <f>IFERROR(__xludf.DUMMYFUNCTION("""COMPUTED_VALUE"""),"")</f>
        <v/>
      </c>
      <c r="E1200" s="5" t="str">
        <f>IFERROR(__xludf.DUMMYFUNCTION("""COMPUTED_VALUE"""),"")</f>
        <v/>
      </c>
      <c r="F1200" s="5" t="str">
        <f>IFERROR(__xludf.DUMMYFUNCTION("""COMPUTED_VALUE"""),"")</f>
        <v/>
      </c>
      <c r="G1200" s="5" t="str">
        <f>IFERROR(__xludf.DUMMYFUNCTION("""COMPUTED_VALUE"""),"")</f>
        <v/>
      </c>
      <c r="H1200" s="5" t="str">
        <f>IFERROR(__xludf.DUMMYFUNCTION("""COMPUTED_VALUE"""),"")</f>
        <v/>
      </c>
      <c r="I1200" s="5" t="str">
        <f>IFERROR(__xludf.DUMMYFUNCTION("""COMPUTED_VALUE"""),"")</f>
        <v/>
      </c>
      <c r="J1200" s="5" t="str">
        <f>IFERROR(__xludf.DUMMYFUNCTION("""COMPUTED_VALUE"""),"")</f>
        <v/>
      </c>
      <c r="K1200" s="5" t="str">
        <f>IFERROR(__xludf.DUMMYFUNCTION("""COMPUTED_VALUE"""),"")</f>
        <v/>
      </c>
      <c r="L1200" s="5" t="str">
        <f>IFERROR(__xludf.DUMMYFUNCTION("""COMPUTED_VALUE"""),"")</f>
        <v/>
      </c>
      <c r="M1200" s="5" t="str">
        <f>IFERROR(__xludf.DUMMYFUNCTION("""COMPUTED_VALUE"""),"")</f>
        <v/>
      </c>
      <c r="N1200" s="5" t="str">
        <f>IFERROR(__xludf.DUMMYFUNCTION("""COMPUTED_VALUE"""),"")</f>
        <v/>
      </c>
      <c r="O1200" s="5" t="str">
        <f>IFERROR(__xludf.DUMMYFUNCTION("""COMPUTED_VALUE"""),"")</f>
        <v/>
      </c>
      <c r="P1200" s="5" t="str">
        <f>IFERROR(__xludf.DUMMYFUNCTION("""COMPUTED_VALUE"""),"")</f>
        <v/>
      </c>
      <c r="Q1200" s="5" t="str">
        <f>IFERROR(__xludf.DUMMYFUNCTION("""COMPUTED_VALUE"""),"")</f>
        <v/>
      </c>
      <c r="R1200" s="5" t="str">
        <f>IFERROR(__xludf.DUMMYFUNCTION("""COMPUTED_VALUE"""),"")</f>
        <v/>
      </c>
      <c r="S1200" s="5" t="str">
        <f>IFERROR(__xludf.DUMMYFUNCTION("""COMPUTED_VALUE"""),"")</f>
        <v/>
      </c>
      <c r="T1200" s="5" t="str">
        <f>IFERROR(__xludf.DUMMYFUNCTION("""COMPUTED_VALUE"""),"")</f>
        <v/>
      </c>
      <c r="U1200" s="5" t="str">
        <f>IFERROR(__xludf.DUMMYFUNCTION("""COMPUTED_VALUE"""),"")</f>
        <v/>
      </c>
      <c r="V1200" s="5" t="str">
        <f>IFERROR(__xludf.DUMMYFUNCTION("""COMPUTED_VALUE"""),"")</f>
        <v/>
      </c>
      <c r="W1200" s="5" t="str">
        <f>IFERROR(__xludf.DUMMYFUNCTION("""COMPUTED_VALUE"""),"")</f>
        <v/>
      </c>
      <c r="X1200" s="5" t="str">
        <f>IFERROR(__xludf.DUMMYFUNCTION("""COMPUTED_VALUE"""),"")</f>
        <v/>
      </c>
      <c r="Y1200" s="5"/>
      <c r="Z1200" s="5"/>
    </row>
    <row r="1201">
      <c r="A1201" s="5"/>
      <c r="B1201" s="5" t="str">
        <f>IFERROR(__xludf.DUMMYFUNCTION("""COMPUTED_VALUE"""),"")</f>
        <v/>
      </c>
      <c r="C1201" s="5" t="str">
        <f>IFERROR(__xludf.DUMMYFUNCTION("""COMPUTED_VALUE"""),"")</f>
        <v/>
      </c>
      <c r="D1201" s="5" t="str">
        <f>IFERROR(__xludf.DUMMYFUNCTION("""COMPUTED_VALUE"""),"")</f>
        <v/>
      </c>
      <c r="E1201" s="5" t="str">
        <f>IFERROR(__xludf.DUMMYFUNCTION("""COMPUTED_VALUE"""),"")</f>
        <v/>
      </c>
      <c r="F1201" s="5" t="str">
        <f>IFERROR(__xludf.DUMMYFUNCTION("""COMPUTED_VALUE"""),"")</f>
        <v/>
      </c>
      <c r="G1201" s="5" t="str">
        <f>IFERROR(__xludf.DUMMYFUNCTION("""COMPUTED_VALUE"""),"")</f>
        <v/>
      </c>
      <c r="H1201" s="5" t="str">
        <f>IFERROR(__xludf.DUMMYFUNCTION("""COMPUTED_VALUE"""),"")</f>
        <v/>
      </c>
      <c r="I1201" s="5" t="str">
        <f>IFERROR(__xludf.DUMMYFUNCTION("""COMPUTED_VALUE"""),"")</f>
        <v/>
      </c>
      <c r="J1201" s="5" t="str">
        <f>IFERROR(__xludf.DUMMYFUNCTION("""COMPUTED_VALUE"""),"")</f>
        <v/>
      </c>
      <c r="K1201" s="5" t="str">
        <f>IFERROR(__xludf.DUMMYFUNCTION("""COMPUTED_VALUE"""),"")</f>
        <v/>
      </c>
      <c r="L1201" s="5" t="str">
        <f>IFERROR(__xludf.DUMMYFUNCTION("""COMPUTED_VALUE"""),"")</f>
        <v/>
      </c>
      <c r="M1201" s="5" t="str">
        <f>IFERROR(__xludf.DUMMYFUNCTION("""COMPUTED_VALUE"""),"")</f>
        <v/>
      </c>
      <c r="N1201" s="5" t="str">
        <f>IFERROR(__xludf.DUMMYFUNCTION("""COMPUTED_VALUE"""),"")</f>
        <v/>
      </c>
      <c r="O1201" s="5" t="str">
        <f>IFERROR(__xludf.DUMMYFUNCTION("""COMPUTED_VALUE"""),"")</f>
        <v/>
      </c>
      <c r="P1201" s="5" t="str">
        <f>IFERROR(__xludf.DUMMYFUNCTION("""COMPUTED_VALUE"""),"")</f>
        <v/>
      </c>
      <c r="Q1201" s="5" t="str">
        <f>IFERROR(__xludf.DUMMYFUNCTION("""COMPUTED_VALUE"""),"")</f>
        <v/>
      </c>
      <c r="R1201" s="5" t="str">
        <f>IFERROR(__xludf.DUMMYFUNCTION("""COMPUTED_VALUE"""),"")</f>
        <v/>
      </c>
      <c r="S1201" s="5" t="str">
        <f>IFERROR(__xludf.DUMMYFUNCTION("""COMPUTED_VALUE"""),"")</f>
        <v/>
      </c>
      <c r="T1201" s="5" t="str">
        <f>IFERROR(__xludf.DUMMYFUNCTION("""COMPUTED_VALUE"""),"")</f>
        <v/>
      </c>
      <c r="U1201" s="5" t="str">
        <f>IFERROR(__xludf.DUMMYFUNCTION("""COMPUTED_VALUE"""),"")</f>
        <v/>
      </c>
      <c r="V1201" s="5" t="str">
        <f>IFERROR(__xludf.DUMMYFUNCTION("""COMPUTED_VALUE"""),"")</f>
        <v/>
      </c>
      <c r="W1201" s="5" t="str">
        <f>IFERROR(__xludf.DUMMYFUNCTION("""COMPUTED_VALUE"""),"")</f>
        <v/>
      </c>
      <c r="X1201" s="5" t="str">
        <f>IFERROR(__xludf.DUMMYFUNCTION("""COMPUTED_VALUE"""),"")</f>
        <v/>
      </c>
      <c r="Y1201" s="5"/>
      <c r="Z1201" s="5"/>
    </row>
    <row r="1202">
      <c r="A1202" s="5"/>
      <c r="B1202" s="5" t="str">
        <f>IFERROR(__xludf.DUMMYFUNCTION("""COMPUTED_VALUE"""),"")</f>
        <v/>
      </c>
      <c r="C1202" s="5" t="str">
        <f>IFERROR(__xludf.DUMMYFUNCTION("""COMPUTED_VALUE"""),"")</f>
        <v/>
      </c>
      <c r="D1202" s="5" t="str">
        <f>IFERROR(__xludf.DUMMYFUNCTION("""COMPUTED_VALUE"""),"")</f>
        <v/>
      </c>
      <c r="E1202" s="5" t="str">
        <f>IFERROR(__xludf.DUMMYFUNCTION("""COMPUTED_VALUE"""),"")</f>
        <v/>
      </c>
      <c r="F1202" s="5" t="str">
        <f>IFERROR(__xludf.DUMMYFUNCTION("""COMPUTED_VALUE"""),"")</f>
        <v/>
      </c>
      <c r="G1202" s="5" t="str">
        <f>IFERROR(__xludf.DUMMYFUNCTION("""COMPUTED_VALUE"""),"")</f>
        <v/>
      </c>
      <c r="H1202" s="5" t="str">
        <f>IFERROR(__xludf.DUMMYFUNCTION("""COMPUTED_VALUE"""),"")</f>
        <v/>
      </c>
      <c r="I1202" s="5" t="str">
        <f>IFERROR(__xludf.DUMMYFUNCTION("""COMPUTED_VALUE"""),"")</f>
        <v/>
      </c>
      <c r="J1202" s="5" t="str">
        <f>IFERROR(__xludf.DUMMYFUNCTION("""COMPUTED_VALUE"""),"")</f>
        <v/>
      </c>
      <c r="K1202" s="5" t="str">
        <f>IFERROR(__xludf.DUMMYFUNCTION("""COMPUTED_VALUE"""),"")</f>
        <v/>
      </c>
      <c r="L1202" s="5" t="str">
        <f>IFERROR(__xludf.DUMMYFUNCTION("""COMPUTED_VALUE"""),"")</f>
        <v/>
      </c>
      <c r="M1202" s="5" t="str">
        <f>IFERROR(__xludf.DUMMYFUNCTION("""COMPUTED_VALUE"""),"")</f>
        <v/>
      </c>
      <c r="N1202" s="5" t="str">
        <f>IFERROR(__xludf.DUMMYFUNCTION("""COMPUTED_VALUE"""),"")</f>
        <v/>
      </c>
      <c r="O1202" s="5" t="str">
        <f>IFERROR(__xludf.DUMMYFUNCTION("""COMPUTED_VALUE"""),"")</f>
        <v/>
      </c>
      <c r="P1202" s="5" t="str">
        <f>IFERROR(__xludf.DUMMYFUNCTION("""COMPUTED_VALUE"""),"")</f>
        <v/>
      </c>
      <c r="Q1202" s="5" t="str">
        <f>IFERROR(__xludf.DUMMYFUNCTION("""COMPUTED_VALUE"""),"")</f>
        <v/>
      </c>
      <c r="R1202" s="5" t="str">
        <f>IFERROR(__xludf.DUMMYFUNCTION("""COMPUTED_VALUE"""),"")</f>
        <v/>
      </c>
      <c r="S1202" s="5" t="str">
        <f>IFERROR(__xludf.DUMMYFUNCTION("""COMPUTED_VALUE"""),"")</f>
        <v/>
      </c>
      <c r="T1202" s="5" t="str">
        <f>IFERROR(__xludf.DUMMYFUNCTION("""COMPUTED_VALUE"""),"")</f>
        <v/>
      </c>
      <c r="U1202" s="5" t="str">
        <f>IFERROR(__xludf.DUMMYFUNCTION("""COMPUTED_VALUE"""),"")</f>
        <v/>
      </c>
      <c r="V1202" s="5" t="str">
        <f>IFERROR(__xludf.DUMMYFUNCTION("""COMPUTED_VALUE"""),"")</f>
        <v/>
      </c>
      <c r="W1202" s="5" t="str">
        <f>IFERROR(__xludf.DUMMYFUNCTION("""COMPUTED_VALUE"""),"")</f>
        <v/>
      </c>
      <c r="X1202" s="5" t="str">
        <f>IFERROR(__xludf.DUMMYFUNCTION("""COMPUTED_VALUE"""),"")</f>
        <v/>
      </c>
      <c r="Y1202" s="5"/>
      <c r="Z1202" s="5"/>
    </row>
    <row r="1203">
      <c r="A1203" s="5"/>
      <c r="B1203" s="5" t="str">
        <f>IFERROR(__xludf.DUMMYFUNCTION("""COMPUTED_VALUE"""),"")</f>
        <v/>
      </c>
      <c r="C1203" s="5" t="str">
        <f>IFERROR(__xludf.DUMMYFUNCTION("""COMPUTED_VALUE"""),"")</f>
        <v/>
      </c>
      <c r="D1203" s="5" t="str">
        <f>IFERROR(__xludf.DUMMYFUNCTION("""COMPUTED_VALUE"""),"")</f>
        <v/>
      </c>
      <c r="E1203" s="5" t="str">
        <f>IFERROR(__xludf.DUMMYFUNCTION("""COMPUTED_VALUE"""),"")</f>
        <v/>
      </c>
      <c r="F1203" s="5" t="str">
        <f>IFERROR(__xludf.DUMMYFUNCTION("""COMPUTED_VALUE"""),"")</f>
        <v/>
      </c>
      <c r="G1203" s="5" t="str">
        <f>IFERROR(__xludf.DUMMYFUNCTION("""COMPUTED_VALUE"""),"")</f>
        <v/>
      </c>
      <c r="H1203" s="5" t="str">
        <f>IFERROR(__xludf.DUMMYFUNCTION("""COMPUTED_VALUE"""),"")</f>
        <v/>
      </c>
      <c r="I1203" s="5" t="str">
        <f>IFERROR(__xludf.DUMMYFUNCTION("""COMPUTED_VALUE"""),"")</f>
        <v/>
      </c>
      <c r="J1203" s="5" t="str">
        <f>IFERROR(__xludf.DUMMYFUNCTION("""COMPUTED_VALUE"""),"")</f>
        <v/>
      </c>
      <c r="K1203" s="5" t="str">
        <f>IFERROR(__xludf.DUMMYFUNCTION("""COMPUTED_VALUE"""),"")</f>
        <v/>
      </c>
      <c r="L1203" s="5" t="str">
        <f>IFERROR(__xludf.DUMMYFUNCTION("""COMPUTED_VALUE"""),"")</f>
        <v/>
      </c>
      <c r="M1203" s="5" t="str">
        <f>IFERROR(__xludf.DUMMYFUNCTION("""COMPUTED_VALUE"""),"")</f>
        <v/>
      </c>
      <c r="N1203" s="5" t="str">
        <f>IFERROR(__xludf.DUMMYFUNCTION("""COMPUTED_VALUE"""),"")</f>
        <v/>
      </c>
      <c r="O1203" s="5" t="str">
        <f>IFERROR(__xludf.DUMMYFUNCTION("""COMPUTED_VALUE"""),"")</f>
        <v/>
      </c>
      <c r="P1203" s="5" t="str">
        <f>IFERROR(__xludf.DUMMYFUNCTION("""COMPUTED_VALUE"""),"")</f>
        <v/>
      </c>
      <c r="Q1203" s="5" t="str">
        <f>IFERROR(__xludf.DUMMYFUNCTION("""COMPUTED_VALUE"""),"")</f>
        <v/>
      </c>
      <c r="R1203" s="5" t="str">
        <f>IFERROR(__xludf.DUMMYFUNCTION("""COMPUTED_VALUE"""),"")</f>
        <v/>
      </c>
      <c r="S1203" s="5" t="str">
        <f>IFERROR(__xludf.DUMMYFUNCTION("""COMPUTED_VALUE"""),"")</f>
        <v/>
      </c>
      <c r="T1203" s="5" t="str">
        <f>IFERROR(__xludf.DUMMYFUNCTION("""COMPUTED_VALUE"""),"")</f>
        <v/>
      </c>
      <c r="U1203" s="5" t="str">
        <f>IFERROR(__xludf.DUMMYFUNCTION("""COMPUTED_VALUE"""),"")</f>
        <v/>
      </c>
      <c r="V1203" s="5" t="str">
        <f>IFERROR(__xludf.DUMMYFUNCTION("""COMPUTED_VALUE"""),"")</f>
        <v/>
      </c>
      <c r="W1203" s="5" t="str">
        <f>IFERROR(__xludf.DUMMYFUNCTION("""COMPUTED_VALUE"""),"")</f>
        <v/>
      </c>
      <c r="X1203" s="5" t="str">
        <f>IFERROR(__xludf.DUMMYFUNCTION("""COMPUTED_VALUE"""),"")</f>
        <v/>
      </c>
      <c r="Y1203" s="5"/>
      <c r="Z1203" s="5"/>
    </row>
    <row r="1204">
      <c r="A1204" s="5"/>
      <c r="B1204" s="5" t="str">
        <f>IFERROR(__xludf.DUMMYFUNCTION("""COMPUTED_VALUE"""),"")</f>
        <v/>
      </c>
      <c r="C1204" s="5" t="str">
        <f>IFERROR(__xludf.DUMMYFUNCTION("""COMPUTED_VALUE"""),"")</f>
        <v/>
      </c>
      <c r="D1204" s="5" t="str">
        <f>IFERROR(__xludf.DUMMYFUNCTION("""COMPUTED_VALUE"""),"")</f>
        <v/>
      </c>
      <c r="E1204" s="5" t="str">
        <f>IFERROR(__xludf.DUMMYFUNCTION("""COMPUTED_VALUE"""),"")</f>
        <v/>
      </c>
      <c r="F1204" s="5" t="str">
        <f>IFERROR(__xludf.DUMMYFUNCTION("""COMPUTED_VALUE"""),"")</f>
        <v/>
      </c>
      <c r="G1204" s="5" t="str">
        <f>IFERROR(__xludf.DUMMYFUNCTION("""COMPUTED_VALUE"""),"")</f>
        <v/>
      </c>
      <c r="H1204" s="5" t="str">
        <f>IFERROR(__xludf.DUMMYFUNCTION("""COMPUTED_VALUE"""),"")</f>
        <v/>
      </c>
      <c r="I1204" s="5" t="str">
        <f>IFERROR(__xludf.DUMMYFUNCTION("""COMPUTED_VALUE"""),"")</f>
        <v/>
      </c>
      <c r="J1204" s="5" t="str">
        <f>IFERROR(__xludf.DUMMYFUNCTION("""COMPUTED_VALUE"""),"")</f>
        <v/>
      </c>
      <c r="K1204" s="5" t="str">
        <f>IFERROR(__xludf.DUMMYFUNCTION("""COMPUTED_VALUE"""),"")</f>
        <v/>
      </c>
      <c r="L1204" s="5" t="str">
        <f>IFERROR(__xludf.DUMMYFUNCTION("""COMPUTED_VALUE"""),"")</f>
        <v/>
      </c>
      <c r="M1204" s="5" t="str">
        <f>IFERROR(__xludf.DUMMYFUNCTION("""COMPUTED_VALUE"""),"")</f>
        <v/>
      </c>
      <c r="N1204" s="5" t="str">
        <f>IFERROR(__xludf.DUMMYFUNCTION("""COMPUTED_VALUE"""),"")</f>
        <v/>
      </c>
      <c r="O1204" s="5" t="str">
        <f>IFERROR(__xludf.DUMMYFUNCTION("""COMPUTED_VALUE"""),"")</f>
        <v/>
      </c>
      <c r="P1204" s="5" t="str">
        <f>IFERROR(__xludf.DUMMYFUNCTION("""COMPUTED_VALUE"""),"")</f>
        <v/>
      </c>
      <c r="Q1204" s="5" t="str">
        <f>IFERROR(__xludf.DUMMYFUNCTION("""COMPUTED_VALUE"""),"")</f>
        <v/>
      </c>
      <c r="R1204" s="5" t="str">
        <f>IFERROR(__xludf.DUMMYFUNCTION("""COMPUTED_VALUE"""),"")</f>
        <v/>
      </c>
      <c r="S1204" s="5" t="str">
        <f>IFERROR(__xludf.DUMMYFUNCTION("""COMPUTED_VALUE"""),"")</f>
        <v/>
      </c>
      <c r="T1204" s="5" t="str">
        <f>IFERROR(__xludf.DUMMYFUNCTION("""COMPUTED_VALUE"""),"")</f>
        <v/>
      </c>
      <c r="U1204" s="5" t="str">
        <f>IFERROR(__xludf.DUMMYFUNCTION("""COMPUTED_VALUE"""),"")</f>
        <v/>
      </c>
      <c r="V1204" s="5" t="str">
        <f>IFERROR(__xludf.DUMMYFUNCTION("""COMPUTED_VALUE"""),"")</f>
        <v/>
      </c>
      <c r="W1204" s="5" t="str">
        <f>IFERROR(__xludf.DUMMYFUNCTION("""COMPUTED_VALUE"""),"")</f>
        <v/>
      </c>
      <c r="X1204" s="5" t="str">
        <f>IFERROR(__xludf.DUMMYFUNCTION("""COMPUTED_VALUE"""),"")</f>
        <v/>
      </c>
      <c r="Y1204" s="5"/>
      <c r="Z1204" s="5"/>
    </row>
    <row r="1205">
      <c r="A1205" s="5"/>
      <c r="B1205" s="5" t="str">
        <f>IFERROR(__xludf.DUMMYFUNCTION("""COMPUTED_VALUE"""),"")</f>
        <v/>
      </c>
      <c r="C1205" s="5" t="str">
        <f>IFERROR(__xludf.DUMMYFUNCTION("""COMPUTED_VALUE"""),"")</f>
        <v/>
      </c>
      <c r="D1205" s="5" t="str">
        <f>IFERROR(__xludf.DUMMYFUNCTION("""COMPUTED_VALUE"""),"")</f>
        <v/>
      </c>
      <c r="E1205" s="5" t="str">
        <f>IFERROR(__xludf.DUMMYFUNCTION("""COMPUTED_VALUE"""),"")</f>
        <v/>
      </c>
      <c r="F1205" s="5" t="str">
        <f>IFERROR(__xludf.DUMMYFUNCTION("""COMPUTED_VALUE"""),"")</f>
        <v/>
      </c>
      <c r="G1205" s="5" t="str">
        <f>IFERROR(__xludf.DUMMYFUNCTION("""COMPUTED_VALUE"""),"")</f>
        <v/>
      </c>
      <c r="H1205" s="5" t="str">
        <f>IFERROR(__xludf.DUMMYFUNCTION("""COMPUTED_VALUE"""),"")</f>
        <v/>
      </c>
      <c r="I1205" s="5" t="str">
        <f>IFERROR(__xludf.DUMMYFUNCTION("""COMPUTED_VALUE"""),"")</f>
        <v/>
      </c>
      <c r="J1205" s="5" t="str">
        <f>IFERROR(__xludf.DUMMYFUNCTION("""COMPUTED_VALUE"""),"")</f>
        <v/>
      </c>
      <c r="K1205" s="5" t="str">
        <f>IFERROR(__xludf.DUMMYFUNCTION("""COMPUTED_VALUE"""),"")</f>
        <v/>
      </c>
      <c r="L1205" s="5" t="str">
        <f>IFERROR(__xludf.DUMMYFUNCTION("""COMPUTED_VALUE"""),"")</f>
        <v/>
      </c>
      <c r="M1205" s="5" t="str">
        <f>IFERROR(__xludf.DUMMYFUNCTION("""COMPUTED_VALUE"""),"")</f>
        <v/>
      </c>
      <c r="N1205" s="5" t="str">
        <f>IFERROR(__xludf.DUMMYFUNCTION("""COMPUTED_VALUE"""),"")</f>
        <v/>
      </c>
      <c r="O1205" s="5" t="str">
        <f>IFERROR(__xludf.DUMMYFUNCTION("""COMPUTED_VALUE"""),"")</f>
        <v/>
      </c>
      <c r="P1205" s="5" t="str">
        <f>IFERROR(__xludf.DUMMYFUNCTION("""COMPUTED_VALUE"""),"")</f>
        <v/>
      </c>
      <c r="Q1205" s="5" t="str">
        <f>IFERROR(__xludf.DUMMYFUNCTION("""COMPUTED_VALUE"""),"")</f>
        <v/>
      </c>
      <c r="R1205" s="5" t="str">
        <f>IFERROR(__xludf.DUMMYFUNCTION("""COMPUTED_VALUE"""),"")</f>
        <v/>
      </c>
      <c r="S1205" s="5" t="str">
        <f>IFERROR(__xludf.DUMMYFUNCTION("""COMPUTED_VALUE"""),"")</f>
        <v/>
      </c>
      <c r="T1205" s="5" t="str">
        <f>IFERROR(__xludf.DUMMYFUNCTION("""COMPUTED_VALUE"""),"")</f>
        <v/>
      </c>
      <c r="U1205" s="5" t="str">
        <f>IFERROR(__xludf.DUMMYFUNCTION("""COMPUTED_VALUE"""),"")</f>
        <v/>
      </c>
      <c r="V1205" s="5" t="str">
        <f>IFERROR(__xludf.DUMMYFUNCTION("""COMPUTED_VALUE"""),"")</f>
        <v/>
      </c>
      <c r="W1205" s="5" t="str">
        <f>IFERROR(__xludf.DUMMYFUNCTION("""COMPUTED_VALUE"""),"")</f>
        <v/>
      </c>
      <c r="X1205" s="5" t="str">
        <f>IFERROR(__xludf.DUMMYFUNCTION("""COMPUTED_VALUE"""),"")</f>
        <v/>
      </c>
      <c r="Y1205" s="5"/>
      <c r="Z1205" s="5"/>
    </row>
    <row r="1206">
      <c r="A1206" s="5"/>
      <c r="B1206" s="5" t="str">
        <f>IFERROR(__xludf.DUMMYFUNCTION("""COMPUTED_VALUE"""),"")</f>
        <v/>
      </c>
      <c r="C1206" s="5" t="str">
        <f>IFERROR(__xludf.DUMMYFUNCTION("""COMPUTED_VALUE"""),"")</f>
        <v/>
      </c>
      <c r="D1206" s="5" t="str">
        <f>IFERROR(__xludf.DUMMYFUNCTION("""COMPUTED_VALUE"""),"")</f>
        <v/>
      </c>
      <c r="E1206" s="5" t="str">
        <f>IFERROR(__xludf.DUMMYFUNCTION("""COMPUTED_VALUE"""),"")</f>
        <v/>
      </c>
      <c r="F1206" s="5" t="str">
        <f>IFERROR(__xludf.DUMMYFUNCTION("""COMPUTED_VALUE"""),"")</f>
        <v/>
      </c>
      <c r="G1206" s="5" t="str">
        <f>IFERROR(__xludf.DUMMYFUNCTION("""COMPUTED_VALUE"""),"")</f>
        <v/>
      </c>
      <c r="H1206" s="5" t="str">
        <f>IFERROR(__xludf.DUMMYFUNCTION("""COMPUTED_VALUE"""),"")</f>
        <v/>
      </c>
      <c r="I1206" s="5" t="str">
        <f>IFERROR(__xludf.DUMMYFUNCTION("""COMPUTED_VALUE"""),"")</f>
        <v/>
      </c>
      <c r="J1206" s="5" t="str">
        <f>IFERROR(__xludf.DUMMYFUNCTION("""COMPUTED_VALUE"""),"")</f>
        <v/>
      </c>
      <c r="K1206" s="5" t="str">
        <f>IFERROR(__xludf.DUMMYFUNCTION("""COMPUTED_VALUE"""),"")</f>
        <v/>
      </c>
      <c r="L1206" s="5" t="str">
        <f>IFERROR(__xludf.DUMMYFUNCTION("""COMPUTED_VALUE"""),"")</f>
        <v/>
      </c>
      <c r="M1206" s="5" t="str">
        <f>IFERROR(__xludf.DUMMYFUNCTION("""COMPUTED_VALUE"""),"")</f>
        <v/>
      </c>
      <c r="N1206" s="5" t="str">
        <f>IFERROR(__xludf.DUMMYFUNCTION("""COMPUTED_VALUE"""),"")</f>
        <v/>
      </c>
      <c r="O1206" s="5" t="str">
        <f>IFERROR(__xludf.DUMMYFUNCTION("""COMPUTED_VALUE"""),"")</f>
        <v/>
      </c>
      <c r="P1206" s="5" t="str">
        <f>IFERROR(__xludf.DUMMYFUNCTION("""COMPUTED_VALUE"""),"")</f>
        <v/>
      </c>
      <c r="Q1206" s="5" t="str">
        <f>IFERROR(__xludf.DUMMYFUNCTION("""COMPUTED_VALUE"""),"")</f>
        <v/>
      </c>
      <c r="R1206" s="5" t="str">
        <f>IFERROR(__xludf.DUMMYFUNCTION("""COMPUTED_VALUE"""),"")</f>
        <v/>
      </c>
      <c r="S1206" s="5" t="str">
        <f>IFERROR(__xludf.DUMMYFUNCTION("""COMPUTED_VALUE"""),"")</f>
        <v/>
      </c>
      <c r="T1206" s="5" t="str">
        <f>IFERROR(__xludf.DUMMYFUNCTION("""COMPUTED_VALUE"""),"")</f>
        <v/>
      </c>
      <c r="U1206" s="5" t="str">
        <f>IFERROR(__xludf.DUMMYFUNCTION("""COMPUTED_VALUE"""),"")</f>
        <v/>
      </c>
      <c r="V1206" s="5" t="str">
        <f>IFERROR(__xludf.DUMMYFUNCTION("""COMPUTED_VALUE"""),"")</f>
        <v/>
      </c>
      <c r="W1206" s="5" t="str">
        <f>IFERROR(__xludf.DUMMYFUNCTION("""COMPUTED_VALUE"""),"")</f>
        <v/>
      </c>
      <c r="X1206" s="5" t="str">
        <f>IFERROR(__xludf.DUMMYFUNCTION("""COMPUTED_VALUE"""),"")</f>
        <v/>
      </c>
      <c r="Y1206" s="5"/>
      <c r="Z1206" s="5"/>
    </row>
    <row r="1207">
      <c r="A1207" s="5"/>
      <c r="B1207" s="5" t="str">
        <f>IFERROR(__xludf.DUMMYFUNCTION("""COMPUTED_VALUE"""),"")</f>
        <v/>
      </c>
      <c r="C1207" s="5" t="str">
        <f>IFERROR(__xludf.DUMMYFUNCTION("""COMPUTED_VALUE"""),"")</f>
        <v/>
      </c>
      <c r="D1207" s="5" t="str">
        <f>IFERROR(__xludf.DUMMYFUNCTION("""COMPUTED_VALUE"""),"")</f>
        <v/>
      </c>
      <c r="E1207" s="5" t="str">
        <f>IFERROR(__xludf.DUMMYFUNCTION("""COMPUTED_VALUE"""),"")</f>
        <v/>
      </c>
      <c r="F1207" s="5" t="str">
        <f>IFERROR(__xludf.DUMMYFUNCTION("""COMPUTED_VALUE"""),"")</f>
        <v/>
      </c>
      <c r="G1207" s="5" t="str">
        <f>IFERROR(__xludf.DUMMYFUNCTION("""COMPUTED_VALUE"""),"")</f>
        <v/>
      </c>
      <c r="H1207" s="5" t="str">
        <f>IFERROR(__xludf.DUMMYFUNCTION("""COMPUTED_VALUE"""),"")</f>
        <v/>
      </c>
      <c r="I1207" s="5" t="str">
        <f>IFERROR(__xludf.DUMMYFUNCTION("""COMPUTED_VALUE"""),"")</f>
        <v/>
      </c>
      <c r="J1207" s="5" t="str">
        <f>IFERROR(__xludf.DUMMYFUNCTION("""COMPUTED_VALUE"""),"")</f>
        <v/>
      </c>
      <c r="K1207" s="5" t="str">
        <f>IFERROR(__xludf.DUMMYFUNCTION("""COMPUTED_VALUE"""),"")</f>
        <v/>
      </c>
      <c r="L1207" s="5" t="str">
        <f>IFERROR(__xludf.DUMMYFUNCTION("""COMPUTED_VALUE"""),"")</f>
        <v/>
      </c>
      <c r="M1207" s="5" t="str">
        <f>IFERROR(__xludf.DUMMYFUNCTION("""COMPUTED_VALUE"""),"")</f>
        <v/>
      </c>
      <c r="N1207" s="5" t="str">
        <f>IFERROR(__xludf.DUMMYFUNCTION("""COMPUTED_VALUE"""),"")</f>
        <v/>
      </c>
      <c r="O1207" s="5" t="str">
        <f>IFERROR(__xludf.DUMMYFUNCTION("""COMPUTED_VALUE"""),"")</f>
        <v/>
      </c>
      <c r="P1207" s="5" t="str">
        <f>IFERROR(__xludf.DUMMYFUNCTION("""COMPUTED_VALUE"""),"")</f>
        <v/>
      </c>
      <c r="Q1207" s="5" t="str">
        <f>IFERROR(__xludf.DUMMYFUNCTION("""COMPUTED_VALUE"""),"")</f>
        <v/>
      </c>
      <c r="R1207" s="5" t="str">
        <f>IFERROR(__xludf.DUMMYFUNCTION("""COMPUTED_VALUE"""),"")</f>
        <v/>
      </c>
      <c r="S1207" s="5" t="str">
        <f>IFERROR(__xludf.DUMMYFUNCTION("""COMPUTED_VALUE"""),"")</f>
        <v/>
      </c>
      <c r="T1207" s="5" t="str">
        <f>IFERROR(__xludf.DUMMYFUNCTION("""COMPUTED_VALUE"""),"")</f>
        <v/>
      </c>
      <c r="U1207" s="5" t="str">
        <f>IFERROR(__xludf.DUMMYFUNCTION("""COMPUTED_VALUE"""),"")</f>
        <v/>
      </c>
      <c r="V1207" s="5" t="str">
        <f>IFERROR(__xludf.DUMMYFUNCTION("""COMPUTED_VALUE"""),"")</f>
        <v/>
      </c>
      <c r="W1207" s="5" t="str">
        <f>IFERROR(__xludf.DUMMYFUNCTION("""COMPUTED_VALUE"""),"")</f>
        <v/>
      </c>
      <c r="X1207" s="5" t="str">
        <f>IFERROR(__xludf.DUMMYFUNCTION("""COMPUTED_VALUE"""),"")</f>
        <v/>
      </c>
      <c r="Y1207" s="5"/>
      <c r="Z1207" s="5"/>
    </row>
    <row r="1208">
      <c r="A1208" s="5"/>
      <c r="B1208" s="5" t="str">
        <f>IFERROR(__xludf.DUMMYFUNCTION("""COMPUTED_VALUE"""),"")</f>
        <v/>
      </c>
      <c r="C1208" s="5" t="str">
        <f>IFERROR(__xludf.DUMMYFUNCTION("""COMPUTED_VALUE"""),"")</f>
        <v/>
      </c>
      <c r="D1208" s="5" t="str">
        <f>IFERROR(__xludf.DUMMYFUNCTION("""COMPUTED_VALUE"""),"")</f>
        <v/>
      </c>
      <c r="E1208" s="5" t="str">
        <f>IFERROR(__xludf.DUMMYFUNCTION("""COMPUTED_VALUE"""),"")</f>
        <v/>
      </c>
      <c r="F1208" s="5" t="str">
        <f>IFERROR(__xludf.DUMMYFUNCTION("""COMPUTED_VALUE"""),"")</f>
        <v/>
      </c>
      <c r="G1208" s="5" t="str">
        <f>IFERROR(__xludf.DUMMYFUNCTION("""COMPUTED_VALUE"""),"")</f>
        <v/>
      </c>
      <c r="H1208" s="5" t="str">
        <f>IFERROR(__xludf.DUMMYFUNCTION("""COMPUTED_VALUE"""),"")</f>
        <v/>
      </c>
      <c r="I1208" s="5" t="str">
        <f>IFERROR(__xludf.DUMMYFUNCTION("""COMPUTED_VALUE"""),"")</f>
        <v/>
      </c>
      <c r="J1208" s="5" t="str">
        <f>IFERROR(__xludf.DUMMYFUNCTION("""COMPUTED_VALUE"""),"")</f>
        <v/>
      </c>
      <c r="K1208" s="5" t="str">
        <f>IFERROR(__xludf.DUMMYFUNCTION("""COMPUTED_VALUE"""),"")</f>
        <v/>
      </c>
      <c r="L1208" s="5" t="str">
        <f>IFERROR(__xludf.DUMMYFUNCTION("""COMPUTED_VALUE"""),"")</f>
        <v/>
      </c>
      <c r="M1208" s="5" t="str">
        <f>IFERROR(__xludf.DUMMYFUNCTION("""COMPUTED_VALUE"""),"")</f>
        <v/>
      </c>
      <c r="N1208" s="5" t="str">
        <f>IFERROR(__xludf.DUMMYFUNCTION("""COMPUTED_VALUE"""),"")</f>
        <v/>
      </c>
      <c r="O1208" s="5" t="str">
        <f>IFERROR(__xludf.DUMMYFUNCTION("""COMPUTED_VALUE"""),"")</f>
        <v/>
      </c>
      <c r="P1208" s="5" t="str">
        <f>IFERROR(__xludf.DUMMYFUNCTION("""COMPUTED_VALUE"""),"")</f>
        <v/>
      </c>
      <c r="Q1208" s="5" t="str">
        <f>IFERROR(__xludf.DUMMYFUNCTION("""COMPUTED_VALUE"""),"")</f>
        <v/>
      </c>
      <c r="R1208" s="5" t="str">
        <f>IFERROR(__xludf.DUMMYFUNCTION("""COMPUTED_VALUE"""),"")</f>
        <v/>
      </c>
      <c r="S1208" s="5" t="str">
        <f>IFERROR(__xludf.DUMMYFUNCTION("""COMPUTED_VALUE"""),"")</f>
        <v/>
      </c>
      <c r="T1208" s="5" t="str">
        <f>IFERROR(__xludf.DUMMYFUNCTION("""COMPUTED_VALUE"""),"")</f>
        <v/>
      </c>
      <c r="U1208" s="5" t="str">
        <f>IFERROR(__xludf.DUMMYFUNCTION("""COMPUTED_VALUE"""),"")</f>
        <v/>
      </c>
      <c r="V1208" s="5" t="str">
        <f>IFERROR(__xludf.DUMMYFUNCTION("""COMPUTED_VALUE"""),"")</f>
        <v/>
      </c>
      <c r="W1208" s="5" t="str">
        <f>IFERROR(__xludf.DUMMYFUNCTION("""COMPUTED_VALUE"""),"")</f>
        <v/>
      </c>
      <c r="X1208" s="5" t="str">
        <f>IFERROR(__xludf.DUMMYFUNCTION("""COMPUTED_VALUE"""),"")</f>
        <v/>
      </c>
      <c r="Y1208" s="5"/>
      <c r="Z1208" s="5"/>
    </row>
    <row r="1209">
      <c r="A1209" s="5"/>
      <c r="B1209" s="5" t="str">
        <f>IFERROR(__xludf.DUMMYFUNCTION("""COMPUTED_VALUE"""),"")</f>
        <v/>
      </c>
      <c r="C1209" s="5" t="str">
        <f>IFERROR(__xludf.DUMMYFUNCTION("""COMPUTED_VALUE"""),"")</f>
        <v/>
      </c>
      <c r="D1209" s="5" t="str">
        <f>IFERROR(__xludf.DUMMYFUNCTION("""COMPUTED_VALUE"""),"")</f>
        <v/>
      </c>
      <c r="E1209" s="5" t="str">
        <f>IFERROR(__xludf.DUMMYFUNCTION("""COMPUTED_VALUE"""),"")</f>
        <v/>
      </c>
      <c r="F1209" s="5" t="str">
        <f>IFERROR(__xludf.DUMMYFUNCTION("""COMPUTED_VALUE"""),"")</f>
        <v/>
      </c>
      <c r="G1209" s="5" t="str">
        <f>IFERROR(__xludf.DUMMYFUNCTION("""COMPUTED_VALUE"""),"")</f>
        <v/>
      </c>
      <c r="H1209" s="5" t="str">
        <f>IFERROR(__xludf.DUMMYFUNCTION("""COMPUTED_VALUE"""),"")</f>
        <v/>
      </c>
      <c r="I1209" s="5" t="str">
        <f>IFERROR(__xludf.DUMMYFUNCTION("""COMPUTED_VALUE"""),"")</f>
        <v/>
      </c>
      <c r="J1209" s="5" t="str">
        <f>IFERROR(__xludf.DUMMYFUNCTION("""COMPUTED_VALUE"""),"")</f>
        <v/>
      </c>
      <c r="K1209" s="5" t="str">
        <f>IFERROR(__xludf.DUMMYFUNCTION("""COMPUTED_VALUE"""),"")</f>
        <v/>
      </c>
      <c r="L1209" s="5" t="str">
        <f>IFERROR(__xludf.DUMMYFUNCTION("""COMPUTED_VALUE"""),"")</f>
        <v/>
      </c>
      <c r="M1209" s="5" t="str">
        <f>IFERROR(__xludf.DUMMYFUNCTION("""COMPUTED_VALUE"""),"")</f>
        <v/>
      </c>
      <c r="N1209" s="5" t="str">
        <f>IFERROR(__xludf.DUMMYFUNCTION("""COMPUTED_VALUE"""),"")</f>
        <v/>
      </c>
      <c r="O1209" s="5" t="str">
        <f>IFERROR(__xludf.DUMMYFUNCTION("""COMPUTED_VALUE"""),"")</f>
        <v/>
      </c>
      <c r="P1209" s="5" t="str">
        <f>IFERROR(__xludf.DUMMYFUNCTION("""COMPUTED_VALUE"""),"")</f>
        <v/>
      </c>
      <c r="Q1209" s="5" t="str">
        <f>IFERROR(__xludf.DUMMYFUNCTION("""COMPUTED_VALUE"""),"")</f>
        <v/>
      </c>
      <c r="R1209" s="5" t="str">
        <f>IFERROR(__xludf.DUMMYFUNCTION("""COMPUTED_VALUE"""),"")</f>
        <v/>
      </c>
      <c r="S1209" s="5" t="str">
        <f>IFERROR(__xludf.DUMMYFUNCTION("""COMPUTED_VALUE"""),"")</f>
        <v/>
      </c>
      <c r="T1209" s="5" t="str">
        <f>IFERROR(__xludf.DUMMYFUNCTION("""COMPUTED_VALUE"""),"")</f>
        <v/>
      </c>
      <c r="U1209" s="5" t="str">
        <f>IFERROR(__xludf.DUMMYFUNCTION("""COMPUTED_VALUE"""),"")</f>
        <v/>
      </c>
      <c r="V1209" s="5" t="str">
        <f>IFERROR(__xludf.DUMMYFUNCTION("""COMPUTED_VALUE"""),"")</f>
        <v/>
      </c>
      <c r="W1209" s="5" t="str">
        <f>IFERROR(__xludf.DUMMYFUNCTION("""COMPUTED_VALUE"""),"")</f>
        <v/>
      </c>
      <c r="X1209" s="5" t="str">
        <f>IFERROR(__xludf.DUMMYFUNCTION("""COMPUTED_VALUE"""),"")</f>
        <v/>
      </c>
      <c r="Y1209" s="5"/>
      <c r="Z1209" s="5"/>
    </row>
    <row r="1210">
      <c r="A1210" s="5"/>
      <c r="B1210" s="5" t="str">
        <f>IFERROR(__xludf.DUMMYFUNCTION("""COMPUTED_VALUE"""),"")</f>
        <v/>
      </c>
      <c r="C1210" s="5" t="str">
        <f>IFERROR(__xludf.DUMMYFUNCTION("""COMPUTED_VALUE"""),"")</f>
        <v/>
      </c>
      <c r="D1210" s="5" t="str">
        <f>IFERROR(__xludf.DUMMYFUNCTION("""COMPUTED_VALUE"""),"")</f>
        <v/>
      </c>
      <c r="E1210" s="5" t="str">
        <f>IFERROR(__xludf.DUMMYFUNCTION("""COMPUTED_VALUE"""),"")</f>
        <v/>
      </c>
      <c r="F1210" s="5" t="str">
        <f>IFERROR(__xludf.DUMMYFUNCTION("""COMPUTED_VALUE"""),"")</f>
        <v/>
      </c>
      <c r="G1210" s="5" t="str">
        <f>IFERROR(__xludf.DUMMYFUNCTION("""COMPUTED_VALUE"""),"")</f>
        <v/>
      </c>
      <c r="H1210" s="5" t="str">
        <f>IFERROR(__xludf.DUMMYFUNCTION("""COMPUTED_VALUE"""),"")</f>
        <v/>
      </c>
      <c r="I1210" s="5" t="str">
        <f>IFERROR(__xludf.DUMMYFUNCTION("""COMPUTED_VALUE"""),"")</f>
        <v/>
      </c>
      <c r="J1210" s="5" t="str">
        <f>IFERROR(__xludf.DUMMYFUNCTION("""COMPUTED_VALUE"""),"")</f>
        <v/>
      </c>
      <c r="K1210" s="5" t="str">
        <f>IFERROR(__xludf.DUMMYFUNCTION("""COMPUTED_VALUE"""),"")</f>
        <v/>
      </c>
      <c r="L1210" s="5" t="str">
        <f>IFERROR(__xludf.DUMMYFUNCTION("""COMPUTED_VALUE"""),"")</f>
        <v/>
      </c>
      <c r="M1210" s="5" t="str">
        <f>IFERROR(__xludf.DUMMYFUNCTION("""COMPUTED_VALUE"""),"")</f>
        <v/>
      </c>
      <c r="N1210" s="5" t="str">
        <f>IFERROR(__xludf.DUMMYFUNCTION("""COMPUTED_VALUE"""),"")</f>
        <v/>
      </c>
      <c r="O1210" s="5" t="str">
        <f>IFERROR(__xludf.DUMMYFUNCTION("""COMPUTED_VALUE"""),"")</f>
        <v/>
      </c>
      <c r="P1210" s="5" t="str">
        <f>IFERROR(__xludf.DUMMYFUNCTION("""COMPUTED_VALUE"""),"")</f>
        <v/>
      </c>
      <c r="Q1210" s="5" t="str">
        <f>IFERROR(__xludf.DUMMYFUNCTION("""COMPUTED_VALUE"""),"")</f>
        <v/>
      </c>
      <c r="R1210" s="5" t="str">
        <f>IFERROR(__xludf.DUMMYFUNCTION("""COMPUTED_VALUE"""),"")</f>
        <v/>
      </c>
      <c r="S1210" s="5" t="str">
        <f>IFERROR(__xludf.DUMMYFUNCTION("""COMPUTED_VALUE"""),"")</f>
        <v/>
      </c>
      <c r="T1210" s="5" t="str">
        <f>IFERROR(__xludf.DUMMYFUNCTION("""COMPUTED_VALUE"""),"")</f>
        <v/>
      </c>
      <c r="U1210" s="5" t="str">
        <f>IFERROR(__xludf.DUMMYFUNCTION("""COMPUTED_VALUE"""),"")</f>
        <v/>
      </c>
      <c r="V1210" s="5" t="str">
        <f>IFERROR(__xludf.DUMMYFUNCTION("""COMPUTED_VALUE"""),"")</f>
        <v/>
      </c>
      <c r="W1210" s="5" t="str">
        <f>IFERROR(__xludf.DUMMYFUNCTION("""COMPUTED_VALUE"""),"")</f>
        <v/>
      </c>
      <c r="X1210" s="5" t="str">
        <f>IFERROR(__xludf.DUMMYFUNCTION("""COMPUTED_VALUE"""),"")</f>
        <v/>
      </c>
      <c r="Y1210" s="5"/>
      <c r="Z1210" s="5"/>
    </row>
    <row r="1211">
      <c r="A1211" s="5"/>
      <c r="B1211" s="5" t="str">
        <f>IFERROR(__xludf.DUMMYFUNCTION("""COMPUTED_VALUE"""),"")</f>
        <v/>
      </c>
      <c r="C1211" s="5" t="str">
        <f>IFERROR(__xludf.DUMMYFUNCTION("""COMPUTED_VALUE"""),"")</f>
        <v/>
      </c>
      <c r="D1211" s="5" t="str">
        <f>IFERROR(__xludf.DUMMYFUNCTION("""COMPUTED_VALUE"""),"")</f>
        <v/>
      </c>
      <c r="E1211" s="5" t="str">
        <f>IFERROR(__xludf.DUMMYFUNCTION("""COMPUTED_VALUE"""),"")</f>
        <v/>
      </c>
      <c r="F1211" s="5" t="str">
        <f>IFERROR(__xludf.DUMMYFUNCTION("""COMPUTED_VALUE"""),"")</f>
        <v/>
      </c>
      <c r="G1211" s="5" t="str">
        <f>IFERROR(__xludf.DUMMYFUNCTION("""COMPUTED_VALUE"""),"")</f>
        <v/>
      </c>
      <c r="H1211" s="5" t="str">
        <f>IFERROR(__xludf.DUMMYFUNCTION("""COMPUTED_VALUE"""),"")</f>
        <v/>
      </c>
      <c r="I1211" s="5" t="str">
        <f>IFERROR(__xludf.DUMMYFUNCTION("""COMPUTED_VALUE"""),"")</f>
        <v/>
      </c>
      <c r="J1211" s="5" t="str">
        <f>IFERROR(__xludf.DUMMYFUNCTION("""COMPUTED_VALUE"""),"")</f>
        <v/>
      </c>
      <c r="K1211" s="5" t="str">
        <f>IFERROR(__xludf.DUMMYFUNCTION("""COMPUTED_VALUE"""),"")</f>
        <v/>
      </c>
      <c r="L1211" s="5" t="str">
        <f>IFERROR(__xludf.DUMMYFUNCTION("""COMPUTED_VALUE"""),"")</f>
        <v/>
      </c>
      <c r="M1211" s="5" t="str">
        <f>IFERROR(__xludf.DUMMYFUNCTION("""COMPUTED_VALUE"""),"")</f>
        <v/>
      </c>
      <c r="N1211" s="5" t="str">
        <f>IFERROR(__xludf.DUMMYFUNCTION("""COMPUTED_VALUE"""),"")</f>
        <v/>
      </c>
      <c r="O1211" s="5" t="str">
        <f>IFERROR(__xludf.DUMMYFUNCTION("""COMPUTED_VALUE"""),"")</f>
        <v/>
      </c>
      <c r="P1211" s="5" t="str">
        <f>IFERROR(__xludf.DUMMYFUNCTION("""COMPUTED_VALUE"""),"")</f>
        <v/>
      </c>
      <c r="Q1211" s="5" t="str">
        <f>IFERROR(__xludf.DUMMYFUNCTION("""COMPUTED_VALUE"""),"")</f>
        <v/>
      </c>
      <c r="R1211" s="5" t="str">
        <f>IFERROR(__xludf.DUMMYFUNCTION("""COMPUTED_VALUE"""),"")</f>
        <v/>
      </c>
      <c r="S1211" s="5" t="str">
        <f>IFERROR(__xludf.DUMMYFUNCTION("""COMPUTED_VALUE"""),"")</f>
        <v/>
      </c>
      <c r="T1211" s="5" t="str">
        <f>IFERROR(__xludf.DUMMYFUNCTION("""COMPUTED_VALUE"""),"")</f>
        <v/>
      </c>
      <c r="U1211" s="5" t="str">
        <f>IFERROR(__xludf.DUMMYFUNCTION("""COMPUTED_VALUE"""),"")</f>
        <v/>
      </c>
      <c r="V1211" s="5" t="str">
        <f>IFERROR(__xludf.DUMMYFUNCTION("""COMPUTED_VALUE"""),"")</f>
        <v/>
      </c>
      <c r="W1211" s="5" t="str">
        <f>IFERROR(__xludf.DUMMYFUNCTION("""COMPUTED_VALUE"""),"")</f>
        <v/>
      </c>
      <c r="X1211" s="5" t="str">
        <f>IFERROR(__xludf.DUMMYFUNCTION("""COMPUTED_VALUE"""),"")</f>
        <v/>
      </c>
      <c r="Y1211" s="5"/>
      <c r="Z1211" s="5"/>
    </row>
    <row r="1212">
      <c r="A1212" s="5"/>
      <c r="B1212" s="5" t="str">
        <f>IFERROR(__xludf.DUMMYFUNCTION("""COMPUTED_VALUE"""),"")</f>
        <v/>
      </c>
      <c r="C1212" s="5" t="str">
        <f>IFERROR(__xludf.DUMMYFUNCTION("""COMPUTED_VALUE"""),"")</f>
        <v/>
      </c>
      <c r="D1212" s="5" t="str">
        <f>IFERROR(__xludf.DUMMYFUNCTION("""COMPUTED_VALUE"""),"")</f>
        <v/>
      </c>
      <c r="E1212" s="5" t="str">
        <f>IFERROR(__xludf.DUMMYFUNCTION("""COMPUTED_VALUE"""),"")</f>
        <v/>
      </c>
      <c r="F1212" s="5" t="str">
        <f>IFERROR(__xludf.DUMMYFUNCTION("""COMPUTED_VALUE"""),"")</f>
        <v/>
      </c>
      <c r="G1212" s="5" t="str">
        <f>IFERROR(__xludf.DUMMYFUNCTION("""COMPUTED_VALUE"""),"")</f>
        <v/>
      </c>
      <c r="H1212" s="5" t="str">
        <f>IFERROR(__xludf.DUMMYFUNCTION("""COMPUTED_VALUE"""),"")</f>
        <v/>
      </c>
      <c r="I1212" s="5" t="str">
        <f>IFERROR(__xludf.DUMMYFUNCTION("""COMPUTED_VALUE"""),"")</f>
        <v/>
      </c>
      <c r="J1212" s="5" t="str">
        <f>IFERROR(__xludf.DUMMYFUNCTION("""COMPUTED_VALUE"""),"")</f>
        <v/>
      </c>
      <c r="K1212" s="5" t="str">
        <f>IFERROR(__xludf.DUMMYFUNCTION("""COMPUTED_VALUE"""),"")</f>
        <v/>
      </c>
      <c r="L1212" s="5" t="str">
        <f>IFERROR(__xludf.DUMMYFUNCTION("""COMPUTED_VALUE"""),"")</f>
        <v/>
      </c>
      <c r="M1212" s="5" t="str">
        <f>IFERROR(__xludf.DUMMYFUNCTION("""COMPUTED_VALUE"""),"")</f>
        <v/>
      </c>
      <c r="N1212" s="5" t="str">
        <f>IFERROR(__xludf.DUMMYFUNCTION("""COMPUTED_VALUE"""),"")</f>
        <v/>
      </c>
      <c r="O1212" s="5" t="str">
        <f>IFERROR(__xludf.DUMMYFUNCTION("""COMPUTED_VALUE"""),"")</f>
        <v/>
      </c>
      <c r="P1212" s="5" t="str">
        <f>IFERROR(__xludf.DUMMYFUNCTION("""COMPUTED_VALUE"""),"")</f>
        <v/>
      </c>
      <c r="Q1212" s="5" t="str">
        <f>IFERROR(__xludf.DUMMYFUNCTION("""COMPUTED_VALUE"""),"")</f>
        <v/>
      </c>
      <c r="R1212" s="5" t="str">
        <f>IFERROR(__xludf.DUMMYFUNCTION("""COMPUTED_VALUE"""),"")</f>
        <v/>
      </c>
      <c r="S1212" s="5" t="str">
        <f>IFERROR(__xludf.DUMMYFUNCTION("""COMPUTED_VALUE"""),"")</f>
        <v/>
      </c>
      <c r="T1212" s="5" t="str">
        <f>IFERROR(__xludf.DUMMYFUNCTION("""COMPUTED_VALUE"""),"")</f>
        <v/>
      </c>
      <c r="U1212" s="5" t="str">
        <f>IFERROR(__xludf.DUMMYFUNCTION("""COMPUTED_VALUE"""),"")</f>
        <v/>
      </c>
      <c r="V1212" s="5" t="str">
        <f>IFERROR(__xludf.DUMMYFUNCTION("""COMPUTED_VALUE"""),"")</f>
        <v/>
      </c>
      <c r="W1212" s="5" t="str">
        <f>IFERROR(__xludf.DUMMYFUNCTION("""COMPUTED_VALUE"""),"")</f>
        <v/>
      </c>
      <c r="X1212" s="5" t="str">
        <f>IFERROR(__xludf.DUMMYFUNCTION("""COMPUTED_VALUE"""),"")</f>
        <v/>
      </c>
      <c r="Y1212" s="5"/>
      <c r="Z1212" s="5"/>
    </row>
    <row r="1213">
      <c r="A1213" s="5"/>
      <c r="B1213" s="5" t="str">
        <f>IFERROR(__xludf.DUMMYFUNCTION("""COMPUTED_VALUE"""),"")</f>
        <v/>
      </c>
      <c r="C1213" s="5" t="str">
        <f>IFERROR(__xludf.DUMMYFUNCTION("""COMPUTED_VALUE"""),"")</f>
        <v/>
      </c>
      <c r="D1213" s="5" t="str">
        <f>IFERROR(__xludf.DUMMYFUNCTION("""COMPUTED_VALUE"""),"")</f>
        <v/>
      </c>
      <c r="E1213" s="5" t="str">
        <f>IFERROR(__xludf.DUMMYFUNCTION("""COMPUTED_VALUE"""),"")</f>
        <v/>
      </c>
      <c r="F1213" s="5" t="str">
        <f>IFERROR(__xludf.DUMMYFUNCTION("""COMPUTED_VALUE"""),"")</f>
        <v/>
      </c>
      <c r="G1213" s="5" t="str">
        <f>IFERROR(__xludf.DUMMYFUNCTION("""COMPUTED_VALUE"""),"")</f>
        <v/>
      </c>
      <c r="H1213" s="5" t="str">
        <f>IFERROR(__xludf.DUMMYFUNCTION("""COMPUTED_VALUE"""),"")</f>
        <v/>
      </c>
      <c r="I1213" s="5" t="str">
        <f>IFERROR(__xludf.DUMMYFUNCTION("""COMPUTED_VALUE"""),"")</f>
        <v/>
      </c>
      <c r="J1213" s="5" t="str">
        <f>IFERROR(__xludf.DUMMYFUNCTION("""COMPUTED_VALUE"""),"")</f>
        <v/>
      </c>
      <c r="K1213" s="5" t="str">
        <f>IFERROR(__xludf.DUMMYFUNCTION("""COMPUTED_VALUE"""),"")</f>
        <v/>
      </c>
      <c r="L1213" s="5" t="str">
        <f>IFERROR(__xludf.DUMMYFUNCTION("""COMPUTED_VALUE"""),"")</f>
        <v/>
      </c>
      <c r="M1213" s="5" t="str">
        <f>IFERROR(__xludf.DUMMYFUNCTION("""COMPUTED_VALUE"""),"")</f>
        <v/>
      </c>
      <c r="N1213" s="5" t="str">
        <f>IFERROR(__xludf.DUMMYFUNCTION("""COMPUTED_VALUE"""),"")</f>
        <v/>
      </c>
      <c r="O1213" s="5" t="str">
        <f>IFERROR(__xludf.DUMMYFUNCTION("""COMPUTED_VALUE"""),"")</f>
        <v/>
      </c>
      <c r="P1213" s="5" t="str">
        <f>IFERROR(__xludf.DUMMYFUNCTION("""COMPUTED_VALUE"""),"")</f>
        <v/>
      </c>
      <c r="Q1213" s="5" t="str">
        <f>IFERROR(__xludf.DUMMYFUNCTION("""COMPUTED_VALUE"""),"")</f>
        <v/>
      </c>
      <c r="R1213" s="5" t="str">
        <f>IFERROR(__xludf.DUMMYFUNCTION("""COMPUTED_VALUE"""),"")</f>
        <v/>
      </c>
      <c r="S1213" s="5" t="str">
        <f>IFERROR(__xludf.DUMMYFUNCTION("""COMPUTED_VALUE"""),"")</f>
        <v/>
      </c>
      <c r="T1213" s="5" t="str">
        <f>IFERROR(__xludf.DUMMYFUNCTION("""COMPUTED_VALUE"""),"")</f>
        <v/>
      </c>
      <c r="U1213" s="5" t="str">
        <f>IFERROR(__xludf.DUMMYFUNCTION("""COMPUTED_VALUE"""),"")</f>
        <v/>
      </c>
      <c r="V1213" s="5" t="str">
        <f>IFERROR(__xludf.DUMMYFUNCTION("""COMPUTED_VALUE"""),"")</f>
        <v/>
      </c>
      <c r="W1213" s="5" t="str">
        <f>IFERROR(__xludf.DUMMYFUNCTION("""COMPUTED_VALUE"""),"")</f>
        <v/>
      </c>
      <c r="X1213" s="5" t="str">
        <f>IFERROR(__xludf.DUMMYFUNCTION("""COMPUTED_VALUE"""),"")</f>
        <v/>
      </c>
      <c r="Y1213" s="5"/>
      <c r="Z1213" s="5"/>
    </row>
    <row r="1214">
      <c r="A1214" s="5"/>
      <c r="B1214" s="5" t="str">
        <f>IFERROR(__xludf.DUMMYFUNCTION("""COMPUTED_VALUE"""),"")</f>
        <v/>
      </c>
      <c r="C1214" s="5" t="str">
        <f>IFERROR(__xludf.DUMMYFUNCTION("""COMPUTED_VALUE"""),"")</f>
        <v/>
      </c>
      <c r="D1214" s="5" t="str">
        <f>IFERROR(__xludf.DUMMYFUNCTION("""COMPUTED_VALUE"""),"")</f>
        <v/>
      </c>
      <c r="E1214" s="5" t="str">
        <f>IFERROR(__xludf.DUMMYFUNCTION("""COMPUTED_VALUE"""),"")</f>
        <v/>
      </c>
      <c r="F1214" s="5" t="str">
        <f>IFERROR(__xludf.DUMMYFUNCTION("""COMPUTED_VALUE"""),"")</f>
        <v/>
      </c>
      <c r="G1214" s="5" t="str">
        <f>IFERROR(__xludf.DUMMYFUNCTION("""COMPUTED_VALUE"""),"")</f>
        <v/>
      </c>
      <c r="H1214" s="5" t="str">
        <f>IFERROR(__xludf.DUMMYFUNCTION("""COMPUTED_VALUE"""),"")</f>
        <v/>
      </c>
      <c r="I1214" s="5" t="str">
        <f>IFERROR(__xludf.DUMMYFUNCTION("""COMPUTED_VALUE"""),"")</f>
        <v/>
      </c>
      <c r="J1214" s="5" t="str">
        <f>IFERROR(__xludf.DUMMYFUNCTION("""COMPUTED_VALUE"""),"")</f>
        <v/>
      </c>
      <c r="K1214" s="5" t="str">
        <f>IFERROR(__xludf.DUMMYFUNCTION("""COMPUTED_VALUE"""),"")</f>
        <v/>
      </c>
      <c r="L1214" s="5" t="str">
        <f>IFERROR(__xludf.DUMMYFUNCTION("""COMPUTED_VALUE"""),"")</f>
        <v/>
      </c>
      <c r="M1214" s="5" t="str">
        <f>IFERROR(__xludf.DUMMYFUNCTION("""COMPUTED_VALUE"""),"")</f>
        <v/>
      </c>
      <c r="N1214" s="5" t="str">
        <f>IFERROR(__xludf.DUMMYFUNCTION("""COMPUTED_VALUE"""),"")</f>
        <v/>
      </c>
      <c r="O1214" s="5" t="str">
        <f>IFERROR(__xludf.DUMMYFUNCTION("""COMPUTED_VALUE"""),"")</f>
        <v/>
      </c>
      <c r="P1214" s="5" t="str">
        <f>IFERROR(__xludf.DUMMYFUNCTION("""COMPUTED_VALUE"""),"")</f>
        <v/>
      </c>
      <c r="Q1214" s="5" t="str">
        <f>IFERROR(__xludf.DUMMYFUNCTION("""COMPUTED_VALUE"""),"")</f>
        <v/>
      </c>
      <c r="R1214" s="5" t="str">
        <f>IFERROR(__xludf.DUMMYFUNCTION("""COMPUTED_VALUE"""),"")</f>
        <v/>
      </c>
      <c r="S1214" s="5" t="str">
        <f>IFERROR(__xludf.DUMMYFUNCTION("""COMPUTED_VALUE"""),"")</f>
        <v/>
      </c>
      <c r="T1214" s="5" t="str">
        <f>IFERROR(__xludf.DUMMYFUNCTION("""COMPUTED_VALUE"""),"")</f>
        <v/>
      </c>
      <c r="U1214" s="5" t="str">
        <f>IFERROR(__xludf.DUMMYFUNCTION("""COMPUTED_VALUE"""),"")</f>
        <v/>
      </c>
      <c r="V1214" s="5" t="str">
        <f>IFERROR(__xludf.DUMMYFUNCTION("""COMPUTED_VALUE"""),"")</f>
        <v/>
      </c>
      <c r="W1214" s="5" t="str">
        <f>IFERROR(__xludf.DUMMYFUNCTION("""COMPUTED_VALUE"""),"")</f>
        <v/>
      </c>
      <c r="X1214" s="5" t="str">
        <f>IFERROR(__xludf.DUMMYFUNCTION("""COMPUTED_VALUE"""),"")</f>
        <v/>
      </c>
      <c r="Y1214" s="5"/>
      <c r="Z1214" s="5"/>
    </row>
    <row r="1215">
      <c r="A1215" s="5"/>
      <c r="B1215" s="5" t="str">
        <f>IFERROR(__xludf.DUMMYFUNCTION("""COMPUTED_VALUE"""),"")</f>
        <v/>
      </c>
      <c r="C1215" s="5" t="str">
        <f>IFERROR(__xludf.DUMMYFUNCTION("""COMPUTED_VALUE"""),"")</f>
        <v/>
      </c>
      <c r="D1215" s="5" t="str">
        <f>IFERROR(__xludf.DUMMYFUNCTION("""COMPUTED_VALUE"""),"")</f>
        <v/>
      </c>
      <c r="E1215" s="5" t="str">
        <f>IFERROR(__xludf.DUMMYFUNCTION("""COMPUTED_VALUE"""),"")</f>
        <v/>
      </c>
      <c r="F1215" s="5" t="str">
        <f>IFERROR(__xludf.DUMMYFUNCTION("""COMPUTED_VALUE"""),"")</f>
        <v/>
      </c>
      <c r="G1215" s="5" t="str">
        <f>IFERROR(__xludf.DUMMYFUNCTION("""COMPUTED_VALUE"""),"")</f>
        <v/>
      </c>
      <c r="H1215" s="5" t="str">
        <f>IFERROR(__xludf.DUMMYFUNCTION("""COMPUTED_VALUE"""),"")</f>
        <v/>
      </c>
      <c r="I1215" s="5" t="str">
        <f>IFERROR(__xludf.DUMMYFUNCTION("""COMPUTED_VALUE"""),"")</f>
        <v/>
      </c>
      <c r="J1215" s="5" t="str">
        <f>IFERROR(__xludf.DUMMYFUNCTION("""COMPUTED_VALUE"""),"")</f>
        <v/>
      </c>
      <c r="K1215" s="5" t="str">
        <f>IFERROR(__xludf.DUMMYFUNCTION("""COMPUTED_VALUE"""),"")</f>
        <v/>
      </c>
      <c r="L1215" s="5" t="str">
        <f>IFERROR(__xludf.DUMMYFUNCTION("""COMPUTED_VALUE"""),"")</f>
        <v/>
      </c>
      <c r="M1215" s="5" t="str">
        <f>IFERROR(__xludf.DUMMYFUNCTION("""COMPUTED_VALUE"""),"")</f>
        <v/>
      </c>
      <c r="N1215" s="5" t="str">
        <f>IFERROR(__xludf.DUMMYFUNCTION("""COMPUTED_VALUE"""),"")</f>
        <v/>
      </c>
      <c r="O1215" s="5" t="str">
        <f>IFERROR(__xludf.DUMMYFUNCTION("""COMPUTED_VALUE"""),"")</f>
        <v/>
      </c>
      <c r="P1215" s="5" t="str">
        <f>IFERROR(__xludf.DUMMYFUNCTION("""COMPUTED_VALUE"""),"")</f>
        <v/>
      </c>
      <c r="Q1215" s="5" t="str">
        <f>IFERROR(__xludf.DUMMYFUNCTION("""COMPUTED_VALUE"""),"")</f>
        <v/>
      </c>
      <c r="R1215" s="5" t="str">
        <f>IFERROR(__xludf.DUMMYFUNCTION("""COMPUTED_VALUE"""),"")</f>
        <v/>
      </c>
      <c r="S1215" s="5" t="str">
        <f>IFERROR(__xludf.DUMMYFUNCTION("""COMPUTED_VALUE"""),"")</f>
        <v/>
      </c>
      <c r="T1215" s="5" t="str">
        <f>IFERROR(__xludf.DUMMYFUNCTION("""COMPUTED_VALUE"""),"")</f>
        <v/>
      </c>
      <c r="U1215" s="5" t="str">
        <f>IFERROR(__xludf.DUMMYFUNCTION("""COMPUTED_VALUE"""),"")</f>
        <v/>
      </c>
      <c r="V1215" s="5" t="str">
        <f>IFERROR(__xludf.DUMMYFUNCTION("""COMPUTED_VALUE"""),"")</f>
        <v/>
      </c>
      <c r="W1215" s="5" t="str">
        <f>IFERROR(__xludf.DUMMYFUNCTION("""COMPUTED_VALUE"""),"")</f>
        <v/>
      </c>
      <c r="X1215" s="5" t="str">
        <f>IFERROR(__xludf.DUMMYFUNCTION("""COMPUTED_VALUE"""),"")</f>
        <v/>
      </c>
      <c r="Y1215" s="5"/>
      <c r="Z1215" s="5"/>
    </row>
    <row r="1216">
      <c r="A1216" s="5"/>
      <c r="B1216" s="5" t="str">
        <f>IFERROR(__xludf.DUMMYFUNCTION("""COMPUTED_VALUE"""),"")</f>
        <v/>
      </c>
      <c r="C1216" s="5" t="str">
        <f>IFERROR(__xludf.DUMMYFUNCTION("""COMPUTED_VALUE"""),"")</f>
        <v/>
      </c>
      <c r="D1216" s="5" t="str">
        <f>IFERROR(__xludf.DUMMYFUNCTION("""COMPUTED_VALUE"""),"")</f>
        <v/>
      </c>
      <c r="E1216" s="5" t="str">
        <f>IFERROR(__xludf.DUMMYFUNCTION("""COMPUTED_VALUE"""),"")</f>
        <v/>
      </c>
      <c r="F1216" s="5" t="str">
        <f>IFERROR(__xludf.DUMMYFUNCTION("""COMPUTED_VALUE"""),"")</f>
        <v/>
      </c>
      <c r="G1216" s="5" t="str">
        <f>IFERROR(__xludf.DUMMYFUNCTION("""COMPUTED_VALUE"""),"")</f>
        <v/>
      </c>
      <c r="H1216" s="5" t="str">
        <f>IFERROR(__xludf.DUMMYFUNCTION("""COMPUTED_VALUE"""),"")</f>
        <v/>
      </c>
      <c r="I1216" s="5" t="str">
        <f>IFERROR(__xludf.DUMMYFUNCTION("""COMPUTED_VALUE"""),"")</f>
        <v/>
      </c>
      <c r="J1216" s="5" t="str">
        <f>IFERROR(__xludf.DUMMYFUNCTION("""COMPUTED_VALUE"""),"")</f>
        <v/>
      </c>
      <c r="K1216" s="5" t="str">
        <f>IFERROR(__xludf.DUMMYFUNCTION("""COMPUTED_VALUE"""),"")</f>
        <v/>
      </c>
      <c r="L1216" s="5" t="str">
        <f>IFERROR(__xludf.DUMMYFUNCTION("""COMPUTED_VALUE"""),"")</f>
        <v/>
      </c>
      <c r="M1216" s="5" t="str">
        <f>IFERROR(__xludf.DUMMYFUNCTION("""COMPUTED_VALUE"""),"")</f>
        <v/>
      </c>
      <c r="N1216" s="5" t="str">
        <f>IFERROR(__xludf.DUMMYFUNCTION("""COMPUTED_VALUE"""),"")</f>
        <v/>
      </c>
      <c r="O1216" s="5" t="str">
        <f>IFERROR(__xludf.DUMMYFUNCTION("""COMPUTED_VALUE"""),"")</f>
        <v/>
      </c>
      <c r="P1216" s="5" t="str">
        <f>IFERROR(__xludf.DUMMYFUNCTION("""COMPUTED_VALUE"""),"")</f>
        <v/>
      </c>
      <c r="Q1216" s="5" t="str">
        <f>IFERROR(__xludf.DUMMYFUNCTION("""COMPUTED_VALUE"""),"")</f>
        <v/>
      </c>
      <c r="R1216" s="5" t="str">
        <f>IFERROR(__xludf.DUMMYFUNCTION("""COMPUTED_VALUE"""),"")</f>
        <v/>
      </c>
      <c r="S1216" s="5" t="str">
        <f>IFERROR(__xludf.DUMMYFUNCTION("""COMPUTED_VALUE"""),"")</f>
        <v/>
      </c>
      <c r="T1216" s="5" t="str">
        <f>IFERROR(__xludf.DUMMYFUNCTION("""COMPUTED_VALUE"""),"")</f>
        <v/>
      </c>
      <c r="U1216" s="5" t="str">
        <f>IFERROR(__xludf.DUMMYFUNCTION("""COMPUTED_VALUE"""),"")</f>
        <v/>
      </c>
      <c r="V1216" s="5" t="str">
        <f>IFERROR(__xludf.DUMMYFUNCTION("""COMPUTED_VALUE"""),"")</f>
        <v/>
      </c>
      <c r="W1216" s="5" t="str">
        <f>IFERROR(__xludf.DUMMYFUNCTION("""COMPUTED_VALUE"""),"")</f>
        <v/>
      </c>
      <c r="X1216" s="5" t="str">
        <f>IFERROR(__xludf.DUMMYFUNCTION("""COMPUTED_VALUE"""),"")</f>
        <v/>
      </c>
      <c r="Y1216" s="5"/>
      <c r="Z1216" s="5"/>
    </row>
    <row r="1217">
      <c r="A1217" s="5"/>
      <c r="B1217" s="5" t="str">
        <f>IFERROR(__xludf.DUMMYFUNCTION("""COMPUTED_VALUE"""),"")</f>
        <v/>
      </c>
      <c r="C1217" s="5" t="str">
        <f>IFERROR(__xludf.DUMMYFUNCTION("""COMPUTED_VALUE"""),"")</f>
        <v/>
      </c>
      <c r="D1217" s="5" t="str">
        <f>IFERROR(__xludf.DUMMYFUNCTION("""COMPUTED_VALUE"""),"")</f>
        <v/>
      </c>
      <c r="E1217" s="5" t="str">
        <f>IFERROR(__xludf.DUMMYFUNCTION("""COMPUTED_VALUE"""),"")</f>
        <v/>
      </c>
      <c r="F1217" s="5" t="str">
        <f>IFERROR(__xludf.DUMMYFUNCTION("""COMPUTED_VALUE"""),"")</f>
        <v/>
      </c>
      <c r="G1217" s="5" t="str">
        <f>IFERROR(__xludf.DUMMYFUNCTION("""COMPUTED_VALUE"""),"")</f>
        <v/>
      </c>
      <c r="H1217" s="5" t="str">
        <f>IFERROR(__xludf.DUMMYFUNCTION("""COMPUTED_VALUE"""),"")</f>
        <v/>
      </c>
      <c r="I1217" s="5" t="str">
        <f>IFERROR(__xludf.DUMMYFUNCTION("""COMPUTED_VALUE"""),"")</f>
        <v/>
      </c>
      <c r="J1217" s="5" t="str">
        <f>IFERROR(__xludf.DUMMYFUNCTION("""COMPUTED_VALUE"""),"")</f>
        <v/>
      </c>
      <c r="K1217" s="5" t="str">
        <f>IFERROR(__xludf.DUMMYFUNCTION("""COMPUTED_VALUE"""),"")</f>
        <v/>
      </c>
      <c r="L1217" s="5" t="str">
        <f>IFERROR(__xludf.DUMMYFUNCTION("""COMPUTED_VALUE"""),"")</f>
        <v/>
      </c>
      <c r="M1217" s="5" t="str">
        <f>IFERROR(__xludf.DUMMYFUNCTION("""COMPUTED_VALUE"""),"")</f>
        <v/>
      </c>
      <c r="N1217" s="5" t="str">
        <f>IFERROR(__xludf.DUMMYFUNCTION("""COMPUTED_VALUE"""),"")</f>
        <v/>
      </c>
      <c r="O1217" s="5" t="str">
        <f>IFERROR(__xludf.DUMMYFUNCTION("""COMPUTED_VALUE"""),"")</f>
        <v/>
      </c>
      <c r="P1217" s="5" t="str">
        <f>IFERROR(__xludf.DUMMYFUNCTION("""COMPUTED_VALUE"""),"")</f>
        <v/>
      </c>
      <c r="Q1217" s="5" t="str">
        <f>IFERROR(__xludf.DUMMYFUNCTION("""COMPUTED_VALUE"""),"")</f>
        <v/>
      </c>
      <c r="R1217" s="5" t="str">
        <f>IFERROR(__xludf.DUMMYFUNCTION("""COMPUTED_VALUE"""),"")</f>
        <v/>
      </c>
      <c r="S1217" s="5" t="str">
        <f>IFERROR(__xludf.DUMMYFUNCTION("""COMPUTED_VALUE"""),"")</f>
        <v/>
      </c>
      <c r="T1217" s="5" t="str">
        <f>IFERROR(__xludf.DUMMYFUNCTION("""COMPUTED_VALUE"""),"")</f>
        <v/>
      </c>
      <c r="U1217" s="5" t="str">
        <f>IFERROR(__xludf.DUMMYFUNCTION("""COMPUTED_VALUE"""),"")</f>
        <v/>
      </c>
      <c r="V1217" s="5" t="str">
        <f>IFERROR(__xludf.DUMMYFUNCTION("""COMPUTED_VALUE"""),"")</f>
        <v/>
      </c>
      <c r="W1217" s="5" t="str">
        <f>IFERROR(__xludf.DUMMYFUNCTION("""COMPUTED_VALUE"""),"")</f>
        <v/>
      </c>
      <c r="X1217" s="5" t="str">
        <f>IFERROR(__xludf.DUMMYFUNCTION("""COMPUTED_VALUE"""),"")</f>
        <v/>
      </c>
      <c r="Y1217" s="5"/>
      <c r="Z1217" s="5"/>
    </row>
    <row r="1218">
      <c r="A1218" s="5"/>
      <c r="B1218" s="5" t="str">
        <f>IFERROR(__xludf.DUMMYFUNCTION("""COMPUTED_VALUE"""),"")</f>
        <v/>
      </c>
      <c r="C1218" s="5" t="str">
        <f>IFERROR(__xludf.DUMMYFUNCTION("""COMPUTED_VALUE"""),"")</f>
        <v/>
      </c>
      <c r="D1218" s="5" t="str">
        <f>IFERROR(__xludf.DUMMYFUNCTION("""COMPUTED_VALUE"""),"")</f>
        <v/>
      </c>
      <c r="E1218" s="5" t="str">
        <f>IFERROR(__xludf.DUMMYFUNCTION("""COMPUTED_VALUE"""),"")</f>
        <v/>
      </c>
      <c r="F1218" s="5" t="str">
        <f>IFERROR(__xludf.DUMMYFUNCTION("""COMPUTED_VALUE"""),"")</f>
        <v/>
      </c>
      <c r="G1218" s="5" t="str">
        <f>IFERROR(__xludf.DUMMYFUNCTION("""COMPUTED_VALUE"""),"")</f>
        <v/>
      </c>
      <c r="H1218" s="5" t="str">
        <f>IFERROR(__xludf.DUMMYFUNCTION("""COMPUTED_VALUE"""),"")</f>
        <v/>
      </c>
      <c r="I1218" s="5" t="str">
        <f>IFERROR(__xludf.DUMMYFUNCTION("""COMPUTED_VALUE"""),"")</f>
        <v/>
      </c>
      <c r="J1218" s="5" t="str">
        <f>IFERROR(__xludf.DUMMYFUNCTION("""COMPUTED_VALUE"""),"")</f>
        <v/>
      </c>
      <c r="K1218" s="5" t="str">
        <f>IFERROR(__xludf.DUMMYFUNCTION("""COMPUTED_VALUE"""),"")</f>
        <v/>
      </c>
      <c r="L1218" s="5" t="str">
        <f>IFERROR(__xludf.DUMMYFUNCTION("""COMPUTED_VALUE"""),"")</f>
        <v/>
      </c>
      <c r="M1218" s="5" t="str">
        <f>IFERROR(__xludf.DUMMYFUNCTION("""COMPUTED_VALUE"""),"")</f>
        <v/>
      </c>
      <c r="N1218" s="5" t="str">
        <f>IFERROR(__xludf.DUMMYFUNCTION("""COMPUTED_VALUE"""),"")</f>
        <v/>
      </c>
      <c r="O1218" s="5" t="str">
        <f>IFERROR(__xludf.DUMMYFUNCTION("""COMPUTED_VALUE"""),"")</f>
        <v/>
      </c>
      <c r="P1218" s="5" t="str">
        <f>IFERROR(__xludf.DUMMYFUNCTION("""COMPUTED_VALUE"""),"")</f>
        <v/>
      </c>
      <c r="Q1218" s="5" t="str">
        <f>IFERROR(__xludf.DUMMYFUNCTION("""COMPUTED_VALUE"""),"")</f>
        <v/>
      </c>
      <c r="R1218" s="5" t="str">
        <f>IFERROR(__xludf.DUMMYFUNCTION("""COMPUTED_VALUE"""),"")</f>
        <v/>
      </c>
      <c r="S1218" s="5" t="str">
        <f>IFERROR(__xludf.DUMMYFUNCTION("""COMPUTED_VALUE"""),"")</f>
        <v/>
      </c>
      <c r="T1218" s="5" t="str">
        <f>IFERROR(__xludf.DUMMYFUNCTION("""COMPUTED_VALUE"""),"")</f>
        <v/>
      </c>
      <c r="U1218" s="5" t="str">
        <f>IFERROR(__xludf.DUMMYFUNCTION("""COMPUTED_VALUE"""),"")</f>
        <v/>
      </c>
      <c r="V1218" s="5" t="str">
        <f>IFERROR(__xludf.DUMMYFUNCTION("""COMPUTED_VALUE"""),"")</f>
        <v/>
      </c>
      <c r="W1218" s="5" t="str">
        <f>IFERROR(__xludf.DUMMYFUNCTION("""COMPUTED_VALUE"""),"")</f>
        <v/>
      </c>
      <c r="X1218" s="5" t="str">
        <f>IFERROR(__xludf.DUMMYFUNCTION("""COMPUTED_VALUE"""),"")</f>
        <v/>
      </c>
      <c r="Y1218" s="5"/>
      <c r="Z1218" s="5"/>
    </row>
    <row r="1219">
      <c r="A1219" s="5"/>
      <c r="B1219" s="5" t="str">
        <f>IFERROR(__xludf.DUMMYFUNCTION("""COMPUTED_VALUE"""),"")</f>
        <v/>
      </c>
      <c r="C1219" s="5" t="str">
        <f>IFERROR(__xludf.DUMMYFUNCTION("""COMPUTED_VALUE"""),"")</f>
        <v/>
      </c>
      <c r="D1219" s="5" t="str">
        <f>IFERROR(__xludf.DUMMYFUNCTION("""COMPUTED_VALUE"""),"")</f>
        <v/>
      </c>
      <c r="E1219" s="5" t="str">
        <f>IFERROR(__xludf.DUMMYFUNCTION("""COMPUTED_VALUE"""),"")</f>
        <v/>
      </c>
      <c r="F1219" s="5" t="str">
        <f>IFERROR(__xludf.DUMMYFUNCTION("""COMPUTED_VALUE"""),"")</f>
        <v/>
      </c>
      <c r="G1219" s="5" t="str">
        <f>IFERROR(__xludf.DUMMYFUNCTION("""COMPUTED_VALUE"""),"")</f>
        <v/>
      </c>
      <c r="H1219" s="5" t="str">
        <f>IFERROR(__xludf.DUMMYFUNCTION("""COMPUTED_VALUE"""),"")</f>
        <v/>
      </c>
      <c r="I1219" s="5" t="str">
        <f>IFERROR(__xludf.DUMMYFUNCTION("""COMPUTED_VALUE"""),"")</f>
        <v/>
      </c>
      <c r="J1219" s="5" t="str">
        <f>IFERROR(__xludf.DUMMYFUNCTION("""COMPUTED_VALUE"""),"")</f>
        <v/>
      </c>
      <c r="K1219" s="5" t="str">
        <f>IFERROR(__xludf.DUMMYFUNCTION("""COMPUTED_VALUE"""),"")</f>
        <v/>
      </c>
      <c r="L1219" s="5" t="str">
        <f>IFERROR(__xludf.DUMMYFUNCTION("""COMPUTED_VALUE"""),"")</f>
        <v/>
      </c>
      <c r="M1219" s="5" t="str">
        <f>IFERROR(__xludf.DUMMYFUNCTION("""COMPUTED_VALUE"""),"")</f>
        <v/>
      </c>
      <c r="N1219" s="5" t="str">
        <f>IFERROR(__xludf.DUMMYFUNCTION("""COMPUTED_VALUE"""),"")</f>
        <v/>
      </c>
      <c r="O1219" s="5" t="str">
        <f>IFERROR(__xludf.DUMMYFUNCTION("""COMPUTED_VALUE"""),"")</f>
        <v/>
      </c>
      <c r="P1219" s="5" t="str">
        <f>IFERROR(__xludf.DUMMYFUNCTION("""COMPUTED_VALUE"""),"")</f>
        <v/>
      </c>
      <c r="Q1219" s="5" t="str">
        <f>IFERROR(__xludf.DUMMYFUNCTION("""COMPUTED_VALUE"""),"")</f>
        <v/>
      </c>
      <c r="R1219" s="5" t="str">
        <f>IFERROR(__xludf.DUMMYFUNCTION("""COMPUTED_VALUE"""),"")</f>
        <v/>
      </c>
      <c r="S1219" s="5" t="str">
        <f>IFERROR(__xludf.DUMMYFUNCTION("""COMPUTED_VALUE"""),"")</f>
        <v/>
      </c>
      <c r="T1219" s="5" t="str">
        <f>IFERROR(__xludf.DUMMYFUNCTION("""COMPUTED_VALUE"""),"")</f>
        <v/>
      </c>
      <c r="U1219" s="5" t="str">
        <f>IFERROR(__xludf.DUMMYFUNCTION("""COMPUTED_VALUE"""),"")</f>
        <v/>
      </c>
      <c r="V1219" s="5" t="str">
        <f>IFERROR(__xludf.DUMMYFUNCTION("""COMPUTED_VALUE"""),"")</f>
        <v/>
      </c>
      <c r="W1219" s="5" t="str">
        <f>IFERROR(__xludf.DUMMYFUNCTION("""COMPUTED_VALUE"""),"")</f>
        <v/>
      </c>
      <c r="X1219" s="5" t="str">
        <f>IFERROR(__xludf.DUMMYFUNCTION("""COMPUTED_VALUE"""),"")</f>
        <v/>
      </c>
      <c r="Y1219" s="5"/>
      <c r="Z1219" s="5"/>
    </row>
    <row r="1220">
      <c r="A1220" s="5"/>
      <c r="B1220" s="5" t="str">
        <f>IFERROR(__xludf.DUMMYFUNCTION("""COMPUTED_VALUE"""),"")</f>
        <v/>
      </c>
      <c r="C1220" s="5" t="str">
        <f>IFERROR(__xludf.DUMMYFUNCTION("""COMPUTED_VALUE"""),"")</f>
        <v/>
      </c>
      <c r="D1220" s="5" t="str">
        <f>IFERROR(__xludf.DUMMYFUNCTION("""COMPUTED_VALUE"""),"")</f>
        <v/>
      </c>
      <c r="E1220" s="5" t="str">
        <f>IFERROR(__xludf.DUMMYFUNCTION("""COMPUTED_VALUE"""),"")</f>
        <v/>
      </c>
      <c r="F1220" s="5" t="str">
        <f>IFERROR(__xludf.DUMMYFUNCTION("""COMPUTED_VALUE"""),"")</f>
        <v/>
      </c>
      <c r="G1220" s="5" t="str">
        <f>IFERROR(__xludf.DUMMYFUNCTION("""COMPUTED_VALUE"""),"")</f>
        <v/>
      </c>
      <c r="H1220" s="5" t="str">
        <f>IFERROR(__xludf.DUMMYFUNCTION("""COMPUTED_VALUE"""),"")</f>
        <v/>
      </c>
      <c r="I1220" s="5" t="str">
        <f>IFERROR(__xludf.DUMMYFUNCTION("""COMPUTED_VALUE"""),"")</f>
        <v/>
      </c>
      <c r="J1220" s="5" t="str">
        <f>IFERROR(__xludf.DUMMYFUNCTION("""COMPUTED_VALUE"""),"")</f>
        <v/>
      </c>
      <c r="K1220" s="5" t="str">
        <f>IFERROR(__xludf.DUMMYFUNCTION("""COMPUTED_VALUE"""),"")</f>
        <v/>
      </c>
      <c r="L1220" s="5" t="str">
        <f>IFERROR(__xludf.DUMMYFUNCTION("""COMPUTED_VALUE"""),"")</f>
        <v/>
      </c>
      <c r="M1220" s="5" t="str">
        <f>IFERROR(__xludf.DUMMYFUNCTION("""COMPUTED_VALUE"""),"")</f>
        <v/>
      </c>
      <c r="N1220" s="5" t="str">
        <f>IFERROR(__xludf.DUMMYFUNCTION("""COMPUTED_VALUE"""),"")</f>
        <v/>
      </c>
      <c r="O1220" s="5" t="str">
        <f>IFERROR(__xludf.DUMMYFUNCTION("""COMPUTED_VALUE"""),"")</f>
        <v/>
      </c>
      <c r="P1220" s="5" t="str">
        <f>IFERROR(__xludf.DUMMYFUNCTION("""COMPUTED_VALUE"""),"")</f>
        <v/>
      </c>
      <c r="Q1220" s="5" t="str">
        <f>IFERROR(__xludf.DUMMYFUNCTION("""COMPUTED_VALUE"""),"")</f>
        <v/>
      </c>
      <c r="R1220" s="5" t="str">
        <f>IFERROR(__xludf.DUMMYFUNCTION("""COMPUTED_VALUE"""),"")</f>
        <v/>
      </c>
      <c r="S1220" s="5" t="str">
        <f>IFERROR(__xludf.DUMMYFUNCTION("""COMPUTED_VALUE"""),"")</f>
        <v/>
      </c>
      <c r="T1220" s="5" t="str">
        <f>IFERROR(__xludf.DUMMYFUNCTION("""COMPUTED_VALUE"""),"")</f>
        <v/>
      </c>
      <c r="U1220" s="5" t="str">
        <f>IFERROR(__xludf.DUMMYFUNCTION("""COMPUTED_VALUE"""),"")</f>
        <v/>
      </c>
      <c r="V1220" s="5" t="str">
        <f>IFERROR(__xludf.DUMMYFUNCTION("""COMPUTED_VALUE"""),"")</f>
        <v/>
      </c>
      <c r="W1220" s="5" t="str">
        <f>IFERROR(__xludf.DUMMYFUNCTION("""COMPUTED_VALUE"""),"")</f>
        <v/>
      </c>
      <c r="X1220" s="5" t="str">
        <f>IFERROR(__xludf.DUMMYFUNCTION("""COMPUTED_VALUE"""),"")</f>
        <v/>
      </c>
      <c r="Y1220" s="5"/>
      <c r="Z1220" s="5"/>
    </row>
    <row r="1221">
      <c r="A1221" s="5"/>
      <c r="B1221" s="5" t="str">
        <f>IFERROR(__xludf.DUMMYFUNCTION("""COMPUTED_VALUE"""),"")</f>
        <v/>
      </c>
      <c r="C1221" s="5" t="str">
        <f>IFERROR(__xludf.DUMMYFUNCTION("""COMPUTED_VALUE"""),"")</f>
        <v/>
      </c>
      <c r="D1221" s="5" t="str">
        <f>IFERROR(__xludf.DUMMYFUNCTION("""COMPUTED_VALUE"""),"")</f>
        <v/>
      </c>
      <c r="E1221" s="5" t="str">
        <f>IFERROR(__xludf.DUMMYFUNCTION("""COMPUTED_VALUE"""),"")</f>
        <v/>
      </c>
      <c r="F1221" s="5" t="str">
        <f>IFERROR(__xludf.DUMMYFUNCTION("""COMPUTED_VALUE"""),"")</f>
        <v/>
      </c>
      <c r="G1221" s="5" t="str">
        <f>IFERROR(__xludf.DUMMYFUNCTION("""COMPUTED_VALUE"""),"")</f>
        <v/>
      </c>
      <c r="H1221" s="5" t="str">
        <f>IFERROR(__xludf.DUMMYFUNCTION("""COMPUTED_VALUE"""),"")</f>
        <v/>
      </c>
      <c r="I1221" s="5" t="str">
        <f>IFERROR(__xludf.DUMMYFUNCTION("""COMPUTED_VALUE"""),"")</f>
        <v/>
      </c>
      <c r="J1221" s="5" t="str">
        <f>IFERROR(__xludf.DUMMYFUNCTION("""COMPUTED_VALUE"""),"")</f>
        <v/>
      </c>
      <c r="K1221" s="5" t="str">
        <f>IFERROR(__xludf.DUMMYFUNCTION("""COMPUTED_VALUE"""),"")</f>
        <v/>
      </c>
      <c r="L1221" s="5" t="str">
        <f>IFERROR(__xludf.DUMMYFUNCTION("""COMPUTED_VALUE"""),"")</f>
        <v/>
      </c>
      <c r="M1221" s="5" t="str">
        <f>IFERROR(__xludf.DUMMYFUNCTION("""COMPUTED_VALUE"""),"")</f>
        <v/>
      </c>
      <c r="N1221" s="5" t="str">
        <f>IFERROR(__xludf.DUMMYFUNCTION("""COMPUTED_VALUE"""),"")</f>
        <v/>
      </c>
      <c r="O1221" s="5" t="str">
        <f>IFERROR(__xludf.DUMMYFUNCTION("""COMPUTED_VALUE"""),"")</f>
        <v/>
      </c>
      <c r="P1221" s="5" t="str">
        <f>IFERROR(__xludf.DUMMYFUNCTION("""COMPUTED_VALUE"""),"")</f>
        <v/>
      </c>
      <c r="Q1221" s="5" t="str">
        <f>IFERROR(__xludf.DUMMYFUNCTION("""COMPUTED_VALUE"""),"")</f>
        <v/>
      </c>
      <c r="R1221" s="5" t="str">
        <f>IFERROR(__xludf.DUMMYFUNCTION("""COMPUTED_VALUE"""),"")</f>
        <v/>
      </c>
      <c r="S1221" s="5" t="str">
        <f>IFERROR(__xludf.DUMMYFUNCTION("""COMPUTED_VALUE"""),"")</f>
        <v/>
      </c>
      <c r="T1221" s="5" t="str">
        <f>IFERROR(__xludf.DUMMYFUNCTION("""COMPUTED_VALUE"""),"")</f>
        <v/>
      </c>
      <c r="U1221" s="5" t="str">
        <f>IFERROR(__xludf.DUMMYFUNCTION("""COMPUTED_VALUE"""),"")</f>
        <v/>
      </c>
      <c r="V1221" s="5" t="str">
        <f>IFERROR(__xludf.DUMMYFUNCTION("""COMPUTED_VALUE"""),"")</f>
        <v/>
      </c>
      <c r="W1221" s="5" t="str">
        <f>IFERROR(__xludf.DUMMYFUNCTION("""COMPUTED_VALUE"""),"")</f>
        <v/>
      </c>
      <c r="X1221" s="5" t="str">
        <f>IFERROR(__xludf.DUMMYFUNCTION("""COMPUTED_VALUE"""),"")</f>
        <v/>
      </c>
      <c r="Y1221" s="5"/>
      <c r="Z1221" s="5"/>
    </row>
    <row r="1222">
      <c r="A1222" s="5"/>
      <c r="B1222" s="5" t="str">
        <f>IFERROR(__xludf.DUMMYFUNCTION("""COMPUTED_VALUE"""),"")</f>
        <v/>
      </c>
      <c r="C1222" s="5" t="str">
        <f>IFERROR(__xludf.DUMMYFUNCTION("""COMPUTED_VALUE"""),"")</f>
        <v/>
      </c>
      <c r="D1222" s="5" t="str">
        <f>IFERROR(__xludf.DUMMYFUNCTION("""COMPUTED_VALUE"""),"")</f>
        <v/>
      </c>
      <c r="E1222" s="5" t="str">
        <f>IFERROR(__xludf.DUMMYFUNCTION("""COMPUTED_VALUE"""),"")</f>
        <v/>
      </c>
      <c r="F1222" s="5" t="str">
        <f>IFERROR(__xludf.DUMMYFUNCTION("""COMPUTED_VALUE"""),"")</f>
        <v/>
      </c>
      <c r="G1222" s="5" t="str">
        <f>IFERROR(__xludf.DUMMYFUNCTION("""COMPUTED_VALUE"""),"")</f>
        <v/>
      </c>
      <c r="H1222" s="5" t="str">
        <f>IFERROR(__xludf.DUMMYFUNCTION("""COMPUTED_VALUE"""),"")</f>
        <v/>
      </c>
      <c r="I1222" s="5" t="str">
        <f>IFERROR(__xludf.DUMMYFUNCTION("""COMPUTED_VALUE"""),"")</f>
        <v/>
      </c>
      <c r="J1222" s="5" t="str">
        <f>IFERROR(__xludf.DUMMYFUNCTION("""COMPUTED_VALUE"""),"")</f>
        <v/>
      </c>
      <c r="K1222" s="5" t="str">
        <f>IFERROR(__xludf.DUMMYFUNCTION("""COMPUTED_VALUE"""),"")</f>
        <v/>
      </c>
      <c r="L1222" s="5" t="str">
        <f>IFERROR(__xludf.DUMMYFUNCTION("""COMPUTED_VALUE"""),"")</f>
        <v/>
      </c>
      <c r="M1222" s="5" t="str">
        <f>IFERROR(__xludf.DUMMYFUNCTION("""COMPUTED_VALUE"""),"")</f>
        <v/>
      </c>
      <c r="N1222" s="5" t="str">
        <f>IFERROR(__xludf.DUMMYFUNCTION("""COMPUTED_VALUE"""),"")</f>
        <v/>
      </c>
      <c r="O1222" s="5" t="str">
        <f>IFERROR(__xludf.DUMMYFUNCTION("""COMPUTED_VALUE"""),"")</f>
        <v/>
      </c>
      <c r="P1222" s="5" t="str">
        <f>IFERROR(__xludf.DUMMYFUNCTION("""COMPUTED_VALUE"""),"")</f>
        <v/>
      </c>
      <c r="Q1222" s="5" t="str">
        <f>IFERROR(__xludf.DUMMYFUNCTION("""COMPUTED_VALUE"""),"")</f>
        <v/>
      </c>
      <c r="R1222" s="5" t="str">
        <f>IFERROR(__xludf.DUMMYFUNCTION("""COMPUTED_VALUE"""),"")</f>
        <v/>
      </c>
      <c r="S1222" s="5" t="str">
        <f>IFERROR(__xludf.DUMMYFUNCTION("""COMPUTED_VALUE"""),"")</f>
        <v/>
      </c>
      <c r="T1222" s="5" t="str">
        <f>IFERROR(__xludf.DUMMYFUNCTION("""COMPUTED_VALUE"""),"")</f>
        <v/>
      </c>
      <c r="U1222" s="5" t="str">
        <f>IFERROR(__xludf.DUMMYFUNCTION("""COMPUTED_VALUE"""),"")</f>
        <v/>
      </c>
      <c r="V1222" s="5" t="str">
        <f>IFERROR(__xludf.DUMMYFUNCTION("""COMPUTED_VALUE"""),"")</f>
        <v/>
      </c>
      <c r="W1222" s="5" t="str">
        <f>IFERROR(__xludf.DUMMYFUNCTION("""COMPUTED_VALUE"""),"")</f>
        <v/>
      </c>
      <c r="X1222" s="5" t="str">
        <f>IFERROR(__xludf.DUMMYFUNCTION("""COMPUTED_VALUE"""),"")</f>
        <v/>
      </c>
      <c r="Y1222" s="5"/>
      <c r="Z1222" s="5"/>
    </row>
    <row r="1223">
      <c r="A1223" s="5"/>
      <c r="B1223" s="5" t="str">
        <f>IFERROR(__xludf.DUMMYFUNCTION("""COMPUTED_VALUE"""),"")</f>
        <v/>
      </c>
      <c r="C1223" s="5" t="str">
        <f>IFERROR(__xludf.DUMMYFUNCTION("""COMPUTED_VALUE"""),"")</f>
        <v/>
      </c>
      <c r="D1223" s="5" t="str">
        <f>IFERROR(__xludf.DUMMYFUNCTION("""COMPUTED_VALUE"""),"")</f>
        <v/>
      </c>
      <c r="E1223" s="5" t="str">
        <f>IFERROR(__xludf.DUMMYFUNCTION("""COMPUTED_VALUE"""),"")</f>
        <v/>
      </c>
      <c r="F1223" s="5" t="str">
        <f>IFERROR(__xludf.DUMMYFUNCTION("""COMPUTED_VALUE"""),"")</f>
        <v/>
      </c>
      <c r="G1223" s="5" t="str">
        <f>IFERROR(__xludf.DUMMYFUNCTION("""COMPUTED_VALUE"""),"")</f>
        <v/>
      </c>
      <c r="H1223" s="5" t="str">
        <f>IFERROR(__xludf.DUMMYFUNCTION("""COMPUTED_VALUE"""),"")</f>
        <v/>
      </c>
      <c r="I1223" s="5" t="str">
        <f>IFERROR(__xludf.DUMMYFUNCTION("""COMPUTED_VALUE"""),"")</f>
        <v/>
      </c>
      <c r="J1223" s="5" t="str">
        <f>IFERROR(__xludf.DUMMYFUNCTION("""COMPUTED_VALUE"""),"")</f>
        <v/>
      </c>
      <c r="K1223" s="5" t="str">
        <f>IFERROR(__xludf.DUMMYFUNCTION("""COMPUTED_VALUE"""),"")</f>
        <v/>
      </c>
      <c r="L1223" s="5" t="str">
        <f>IFERROR(__xludf.DUMMYFUNCTION("""COMPUTED_VALUE"""),"")</f>
        <v/>
      </c>
      <c r="M1223" s="5" t="str">
        <f>IFERROR(__xludf.DUMMYFUNCTION("""COMPUTED_VALUE"""),"")</f>
        <v/>
      </c>
      <c r="N1223" s="5" t="str">
        <f>IFERROR(__xludf.DUMMYFUNCTION("""COMPUTED_VALUE"""),"")</f>
        <v/>
      </c>
      <c r="O1223" s="5" t="str">
        <f>IFERROR(__xludf.DUMMYFUNCTION("""COMPUTED_VALUE"""),"")</f>
        <v/>
      </c>
      <c r="P1223" s="5" t="str">
        <f>IFERROR(__xludf.DUMMYFUNCTION("""COMPUTED_VALUE"""),"")</f>
        <v/>
      </c>
      <c r="Q1223" s="5" t="str">
        <f>IFERROR(__xludf.DUMMYFUNCTION("""COMPUTED_VALUE"""),"")</f>
        <v/>
      </c>
      <c r="R1223" s="5" t="str">
        <f>IFERROR(__xludf.DUMMYFUNCTION("""COMPUTED_VALUE"""),"")</f>
        <v/>
      </c>
      <c r="S1223" s="5" t="str">
        <f>IFERROR(__xludf.DUMMYFUNCTION("""COMPUTED_VALUE"""),"")</f>
        <v/>
      </c>
      <c r="T1223" s="5" t="str">
        <f>IFERROR(__xludf.DUMMYFUNCTION("""COMPUTED_VALUE"""),"")</f>
        <v/>
      </c>
      <c r="U1223" s="5" t="str">
        <f>IFERROR(__xludf.DUMMYFUNCTION("""COMPUTED_VALUE"""),"")</f>
        <v/>
      </c>
      <c r="V1223" s="5" t="str">
        <f>IFERROR(__xludf.DUMMYFUNCTION("""COMPUTED_VALUE"""),"")</f>
        <v/>
      </c>
      <c r="W1223" s="5" t="str">
        <f>IFERROR(__xludf.DUMMYFUNCTION("""COMPUTED_VALUE"""),"")</f>
        <v/>
      </c>
      <c r="X1223" s="5" t="str">
        <f>IFERROR(__xludf.DUMMYFUNCTION("""COMPUTED_VALUE"""),"")</f>
        <v/>
      </c>
      <c r="Y1223" s="5"/>
      <c r="Z1223" s="5"/>
    </row>
    <row r="1224">
      <c r="A1224" s="5"/>
      <c r="B1224" s="5" t="str">
        <f>IFERROR(__xludf.DUMMYFUNCTION("""COMPUTED_VALUE"""),"")</f>
        <v/>
      </c>
      <c r="C1224" s="5" t="str">
        <f>IFERROR(__xludf.DUMMYFUNCTION("""COMPUTED_VALUE"""),"")</f>
        <v/>
      </c>
      <c r="D1224" s="5" t="str">
        <f>IFERROR(__xludf.DUMMYFUNCTION("""COMPUTED_VALUE"""),"")</f>
        <v/>
      </c>
      <c r="E1224" s="5" t="str">
        <f>IFERROR(__xludf.DUMMYFUNCTION("""COMPUTED_VALUE"""),"")</f>
        <v/>
      </c>
      <c r="F1224" s="5" t="str">
        <f>IFERROR(__xludf.DUMMYFUNCTION("""COMPUTED_VALUE"""),"")</f>
        <v/>
      </c>
      <c r="G1224" s="5" t="str">
        <f>IFERROR(__xludf.DUMMYFUNCTION("""COMPUTED_VALUE"""),"")</f>
        <v/>
      </c>
      <c r="H1224" s="5" t="str">
        <f>IFERROR(__xludf.DUMMYFUNCTION("""COMPUTED_VALUE"""),"")</f>
        <v/>
      </c>
      <c r="I1224" s="5" t="str">
        <f>IFERROR(__xludf.DUMMYFUNCTION("""COMPUTED_VALUE"""),"")</f>
        <v/>
      </c>
      <c r="J1224" s="5" t="str">
        <f>IFERROR(__xludf.DUMMYFUNCTION("""COMPUTED_VALUE"""),"")</f>
        <v/>
      </c>
      <c r="K1224" s="5" t="str">
        <f>IFERROR(__xludf.DUMMYFUNCTION("""COMPUTED_VALUE"""),"")</f>
        <v/>
      </c>
      <c r="L1224" s="5" t="str">
        <f>IFERROR(__xludf.DUMMYFUNCTION("""COMPUTED_VALUE"""),"")</f>
        <v/>
      </c>
      <c r="M1224" s="5" t="str">
        <f>IFERROR(__xludf.DUMMYFUNCTION("""COMPUTED_VALUE"""),"")</f>
        <v/>
      </c>
      <c r="N1224" s="5" t="str">
        <f>IFERROR(__xludf.DUMMYFUNCTION("""COMPUTED_VALUE"""),"")</f>
        <v/>
      </c>
      <c r="O1224" s="5" t="str">
        <f>IFERROR(__xludf.DUMMYFUNCTION("""COMPUTED_VALUE"""),"")</f>
        <v/>
      </c>
      <c r="P1224" s="5" t="str">
        <f>IFERROR(__xludf.DUMMYFUNCTION("""COMPUTED_VALUE"""),"")</f>
        <v/>
      </c>
      <c r="Q1224" s="5" t="str">
        <f>IFERROR(__xludf.DUMMYFUNCTION("""COMPUTED_VALUE"""),"")</f>
        <v/>
      </c>
      <c r="R1224" s="5" t="str">
        <f>IFERROR(__xludf.DUMMYFUNCTION("""COMPUTED_VALUE"""),"")</f>
        <v/>
      </c>
      <c r="S1224" s="5" t="str">
        <f>IFERROR(__xludf.DUMMYFUNCTION("""COMPUTED_VALUE"""),"")</f>
        <v/>
      </c>
      <c r="T1224" s="5" t="str">
        <f>IFERROR(__xludf.DUMMYFUNCTION("""COMPUTED_VALUE"""),"")</f>
        <v/>
      </c>
      <c r="U1224" s="5" t="str">
        <f>IFERROR(__xludf.DUMMYFUNCTION("""COMPUTED_VALUE"""),"")</f>
        <v/>
      </c>
      <c r="V1224" s="5" t="str">
        <f>IFERROR(__xludf.DUMMYFUNCTION("""COMPUTED_VALUE"""),"")</f>
        <v/>
      </c>
      <c r="W1224" s="5" t="str">
        <f>IFERROR(__xludf.DUMMYFUNCTION("""COMPUTED_VALUE"""),"")</f>
        <v/>
      </c>
      <c r="X1224" s="5" t="str">
        <f>IFERROR(__xludf.DUMMYFUNCTION("""COMPUTED_VALUE"""),"")</f>
        <v/>
      </c>
      <c r="Y1224" s="5"/>
      <c r="Z1224" s="5"/>
    </row>
    <row r="1225">
      <c r="A1225" s="5"/>
      <c r="B1225" s="5" t="str">
        <f>IFERROR(__xludf.DUMMYFUNCTION("""COMPUTED_VALUE"""),"")</f>
        <v/>
      </c>
      <c r="C1225" s="5" t="str">
        <f>IFERROR(__xludf.DUMMYFUNCTION("""COMPUTED_VALUE"""),"")</f>
        <v/>
      </c>
      <c r="D1225" s="5" t="str">
        <f>IFERROR(__xludf.DUMMYFUNCTION("""COMPUTED_VALUE"""),"")</f>
        <v/>
      </c>
      <c r="E1225" s="5" t="str">
        <f>IFERROR(__xludf.DUMMYFUNCTION("""COMPUTED_VALUE"""),"")</f>
        <v/>
      </c>
      <c r="F1225" s="5" t="str">
        <f>IFERROR(__xludf.DUMMYFUNCTION("""COMPUTED_VALUE"""),"")</f>
        <v/>
      </c>
      <c r="G1225" s="5" t="str">
        <f>IFERROR(__xludf.DUMMYFUNCTION("""COMPUTED_VALUE"""),"")</f>
        <v/>
      </c>
      <c r="H1225" s="5" t="str">
        <f>IFERROR(__xludf.DUMMYFUNCTION("""COMPUTED_VALUE"""),"")</f>
        <v/>
      </c>
      <c r="I1225" s="5" t="str">
        <f>IFERROR(__xludf.DUMMYFUNCTION("""COMPUTED_VALUE"""),"")</f>
        <v/>
      </c>
      <c r="J1225" s="5" t="str">
        <f>IFERROR(__xludf.DUMMYFUNCTION("""COMPUTED_VALUE"""),"")</f>
        <v/>
      </c>
      <c r="K1225" s="5" t="str">
        <f>IFERROR(__xludf.DUMMYFUNCTION("""COMPUTED_VALUE"""),"")</f>
        <v/>
      </c>
      <c r="L1225" s="5" t="str">
        <f>IFERROR(__xludf.DUMMYFUNCTION("""COMPUTED_VALUE"""),"")</f>
        <v/>
      </c>
      <c r="M1225" s="5" t="str">
        <f>IFERROR(__xludf.DUMMYFUNCTION("""COMPUTED_VALUE"""),"")</f>
        <v/>
      </c>
      <c r="N1225" s="5" t="str">
        <f>IFERROR(__xludf.DUMMYFUNCTION("""COMPUTED_VALUE"""),"")</f>
        <v/>
      </c>
      <c r="O1225" s="5" t="str">
        <f>IFERROR(__xludf.DUMMYFUNCTION("""COMPUTED_VALUE"""),"")</f>
        <v/>
      </c>
      <c r="P1225" s="5" t="str">
        <f>IFERROR(__xludf.DUMMYFUNCTION("""COMPUTED_VALUE"""),"")</f>
        <v/>
      </c>
      <c r="Q1225" s="5" t="str">
        <f>IFERROR(__xludf.DUMMYFUNCTION("""COMPUTED_VALUE"""),"")</f>
        <v/>
      </c>
      <c r="R1225" s="5" t="str">
        <f>IFERROR(__xludf.DUMMYFUNCTION("""COMPUTED_VALUE"""),"")</f>
        <v/>
      </c>
      <c r="S1225" s="5" t="str">
        <f>IFERROR(__xludf.DUMMYFUNCTION("""COMPUTED_VALUE"""),"")</f>
        <v/>
      </c>
      <c r="T1225" s="5" t="str">
        <f>IFERROR(__xludf.DUMMYFUNCTION("""COMPUTED_VALUE"""),"")</f>
        <v/>
      </c>
      <c r="U1225" s="5" t="str">
        <f>IFERROR(__xludf.DUMMYFUNCTION("""COMPUTED_VALUE"""),"")</f>
        <v/>
      </c>
      <c r="V1225" s="5" t="str">
        <f>IFERROR(__xludf.DUMMYFUNCTION("""COMPUTED_VALUE"""),"")</f>
        <v/>
      </c>
      <c r="W1225" s="5" t="str">
        <f>IFERROR(__xludf.DUMMYFUNCTION("""COMPUTED_VALUE"""),"")</f>
        <v/>
      </c>
      <c r="X1225" s="5" t="str">
        <f>IFERROR(__xludf.DUMMYFUNCTION("""COMPUTED_VALUE"""),"")</f>
        <v/>
      </c>
      <c r="Y1225" s="5"/>
      <c r="Z1225" s="5"/>
    </row>
    <row r="1226">
      <c r="A1226" s="5"/>
      <c r="B1226" s="5" t="str">
        <f>IFERROR(__xludf.DUMMYFUNCTION("""COMPUTED_VALUE"""),"")</f>
        <v/>
      </c>
      <c r="C1226" s="5" t="str">
        <f>IFERROR(__xludf.DUMMYFUNCTION("""COMPUTED_VALUE"""),"")</f>
        <v/>
      </c>
      <c r="D1226" s="5" t="str">
        <f>IFERROR(__xludf.DUMMYFUNCTION("""COMPUTED_VALUE"""),"")</f>
        <v/>
      </c>
      <c r="E1226" s="5" t="str">
        <f>IFERROR(__xludf.DUMMYFUNCTION("""COMPUTED_VALUE"""),"")</f>
        <v/>
      </c>
      <c r="F1226" s="5" t="str">
        <f>IFERROR(__xludf.DUMMYFUNCTION("""COMPUTED_VALUE"""),"")</f>
        <v/>
      </c>
      <c r="G1226" s="5" t="str">
        <f>IFERROR(__xludf.DUMMYFUNCTION("""COMPUTED_VALUE"""),"")</f>
        <v/>
      </c>
      <c r="H1226" s="5" t="str">
        <f>IFERROR(__xludf.DUMMYFUNCTION("""COMPUTED_VALUE"""),"")</f>
        <v/>
      </c>
      <c r="I1226" s="5" t="str">
        <f>IFERROR(__xludf.DUMMYFUNCTION("""COMPUTED_VALUE"""),"")</f>
        <v/>
      </c>
      <c r="J1226" s="5" t="str">
        <f>IFERROR(__xludf.DUMMYFUNCTION("""COMPUTED_VALUE"""),"")</f>
        <v/>
      </c>
      <c r="K1226" s="5" t="str">
        <f>IFERROR(__xludf.DUMMYFUNCTION("""COMPUTED_VALUE"""),"")</f>
        <v/>
      </c>
      <c r="L1226" s="5" t="str">
        <f>IFERROR(__xludf.DUMMYFUNCTION("""COMPUTED_VALUE"""),"")</f>
        <v/>
      </c>
      <c r="M1226" s="5" t="str">
        <f>IFERROR(__xludf.DUMMYFUNCTION("""COMPUTED_VALUE"""),"")</f>
        <v/>
      </c>
      <c r="N1226" s="5" t="str">
        <f>IFERROR(__xludf.DUMMYFUNCTION("""COMPUTED_VALUE"""),"")</f>
        <v/>
      </c>
      <c r="O1226" s="5" t="str">
        <f>IFERROR(__xludf.DUMMYFUNCTION("""COMPUTED_VALUE"""),"")</f>
        <v/>
      </c>
      <c r="P1226" s="5" t="str">
        <f>IFERROR(__xludf.DUMMYFUNCTION("""COMPUTED_VALUE"""),"")</f>
        <v/>
      </c>
      <c r="Q1226" s="5" t="str">
        <f>IFERROR(__xludf.DUMMYFUNCTION("""COMPUTED_VALUE"""),"")</f>
        <v/>
      </c>
      <c r="R1226" s="5" t="str">
        <f>IFERROR(__xludf.DUMMYFUNCTION("""COMPUTED_VALUE"""),"")</f>
        <v/>
      </c>
      <c r="S1226" s="5" t="str">
        <f>IFERROR(__xludf.DUMMYFUNCTION("""COMPUTED_VALUE"""),"")</f>
        <v/>
      </c>
      <c r="T1226" s="5" t="str">
        <f>IFERROR(__xludf.DUMMYFUNCTION("""COMPUTED_VALUE"""),"")</f>
        <v/>
      </c>
      <c r="U1226" s="5" t="str">
        <f>IFERROR(__xludf.DUMMYFUNCTION("""COMPUTED_VALUE"""),"")</f>
        <v/>
      </c>
      <c r="V1226" s="5" t="str">
        <f>IFERROR(__xludf.DUMMYFUNCTION("""COMPUTED_VALUE"""),"")</f>
        <v/>
      </c>
      <c r="W1226" s="5" t="str">
        <f>IFERROR(__xludf.DUMMYFUNCTION("""COMPUTED_VALUE"""),"")</f>
        <v/>
      </c>
      <c r="X1226" s="5" t="str">
        <f>IFERROR(__xludf.DUMMYFUNCTION("""COMPUTED_VALUE"""),"")</f>
        <v/>
      </c>
      <c r="Y1226" s="5"/>
      <c r="Z1226" s="5"/>
    </row>
    <row r="1227">
      <c r="A1227" s="5"/>
      <c r="B1227" s="5" t="str">
        <f>IFERROR(__xludf.DUMMYFUNCTION("""COMPUTED_VALUE"""),"")</f>
        <v/>
      </c>
      <c r="C1227" s="5" t="str">
        <f>IFERROR(__xludf.DUMMYFUNCTION("""COMPUTED_VALUE"""),"")</f>
        <v/>
      </c>
      <c r="D1227" s="5" t="str">
        <f>IFERROR(__xludf.DUMMYFUNCTION("""COMPUTED_VALUE"""),"")</f>
        <v/>
      </c>
      <c r="E1227" s="5" t="str">
        <f>IFERROR(__xludf.DUMMYFUNCTION("""COMPUTED_VALUE"""),"")</f>
        <v/>
      </c>
      <c r="F1227" s="5" t="str">
        <f>IFERROR(__xludf.DUMMYFUNCTION("""COMPUTED_VALUE"""),"")</f>
        <v/>
      </c>
      <c r="G1227" s="5" t="str">
        <f>IFERROR(__xludf.DUMMYFUNCTION("""COMPUTED_VALUE"""),"")</f>
        <v/>
      </c>
      <c r="H1227" s="5" t="str">
        <f>IFERROR(__xludf.DUMMYFUNCTION("""COMPUTED_VALUE"""),"")</f>
        <v/>
      </c>
      <c r="I1227" s="5" t="str">
        <f>IFERROR(__xludf.DUMMYFUNCTION("""COMPUTED_VALUE"""),"")</f>
        <v/>
      </c>
      <c r="J1227" s="5" t="str">
        <f>IFERROR(__xludf.DUMMYFUNCTION("""COMPUTED_VALUE"""),"")</f>
        <v/>
      </c>
      <c r="K1227" s="5" t="str">
        <f>IFERROR(__xludf.DUMMYFUNCTION("""COMPUTED_VALUE"""),"")</f>
        <v/>
      </c>
      <c r="L1227" s="5" t="str">
        <f>IFERROR(__xludf.DUMMYFUNCTION("""COMPUTED_VALUE"""),"")</f>
        <v/>
      </c>
      <c r="M1227" s="5" t="str">
        <f>IFERROR(__xludf.DUMMYFUNCTION("""COMPUTED_VALUE"""),"")</f>
        <v/>
      </c>
      <c r="N1227" s="5" t="str">
        <f>IFERROR(__xludf.DUMMYFUNCTION("""COMPUTED_VALUE"""),"")</f>
        <v/>
      </c>
      <c r="O1227" s="5" t="str">
        <f>IFERROR(__xludf.DUMMYFUNCTION("""COMPUTED_VALUE"""),"")</f>
        <v/>
      </c>
      <c r="P1227" s="5" t="str">
        <f>IFERROR(__xludf.DUMMYFUNCTION("""COMPUTED_VALUE"""),"")</f>
        <v/>
      </c>
      <c r="Q1227" s="5" t="str">
        <f>IFERROR(__xludf.DUMMYFUNCTION("""COMPUTED_VALUE"""),"")</f>
        <v/>
      </c>
      <c r="R1227" s="5" t="str">
        <f>IFERROR(__xludf.DUMMYFUNCTION("""COMPUTED_VALUE"""),"")</f>
        <v/>
      </c>
      <c r="S1227" s="5" t="str">
        <f>IFERROR(__xludf.DUMMYFUNCTION("""COMPUTED_VALUE"""),"")</f>
        <v/>
      </c>
      <c r="T1227" s="5" t="str">
        <f>IFERROR(__xludf.DUMMYFUNCTION("""COMPUTED_VALUE"""),"")</f>
        <v/>
      </c>
      <c r="U1227" s="5" t="str">
        <f>IFERROR(__xludf.DUMMYFUNCTION("""COMPUTED_VALUE"""),"")</f>
        <v/>
      </c>
      <c r="V1227" s="5" t="str">
        <f>IFERROR(__xludf.DUMMYFUNCTION("""COMPUTED_VALUE"""),"")</f>
        <v/>
      </c>
      <c r="W1227" s="5" t="str">
        <f>IFERROR(__xludf.DUMMYFUNCTION("""COMPUTED_VALUE"""),"")</f>
        <v/>
      </c>
      <c r="X1227" s="5" t="str">
        <f>IFERROR(__xludf.DUMMYFUNCTION("""COMPUTED_VALUE"""),"")</f>
        <v/>
      </c>
      <c r="Y1227" s="5"/>
      <c r="Z1227" s="5"/>
    </row>
    <row r="1228">
      <c r="A1228" s="5"/>
      <c r="B1228" s="5" t="str">
        <f>IFERROR(__xludf.DUMMYFUNCTION("""COMPUTED_VALUE"""),"")</f>
        <v/>
      </c>
      <c r="C1228" s="5" t="str">
        <f>IFERROR(__xludf.DUMMYFUNCTION("""COMPUTED_VALUE"""),"")</f>
        <v/>
      </c>
      <c r="D1228" s="5" t="str">
        <f>IFERROR(__xludf.DUMMYFUNCTION("""COMPUTED_VALUE"""),"")</f>
        <v/>
      </c>
      <c r="E1228" s="5" t="str">
        <f>IFERROR(__xludf.DUMMYFUNCTION("""COMPUTED_VALUE"""),"")</f>
        <v/>
      </c>
      <c r="F1228" s="5" t="str">
        <f>IFERROR(__xludf.DUMMYFUNCTION("""COMPUTED_VALUE"""),"")</f>
        <v/>
      </c>
      <c r="G1228" s="5" t="str">
        <f>IFERROR(__xludf.DUMMYFUNCTION("""COMPUTED_VALUE"""),"")</f>
        <v/>
      </c>
      <c r="H1228" s="5" t="str">
        <f>IFERROR(__xludf.DUMMYFUNCTION("""COMPUTED_VALUE"""),"")</f>
        <v/>
      </c>
      <c r="I1228" s="5" t="str">
        <f>IFERROR(__xludf.DUMMYFUNCTION("""COMPUTED_VALUE"""),"")</f>
        <v/>
      </c>
      <c r="J1228" s="5" t="str">
        <f>IFERROR(__xludf.DUMMYFUNCTION("""COMPUTED_VALUE"""),"")</f>
        <v/>
      </c>
      <c r="K1228" s="5" t="str">
        <f>IFERROR(__xludf.DUMMYFUNCTION("""COMPUTED_VALUE"""),"")</f>
        <v/>
      </c>
      <c r="L1228" s="5" t="str">
        <f>IFERROR(__xludf.DUMMYFUNCTION("""COMPUTED_VALUE"""),"")</f>
        <v/>
      </c>
      <c r="M1228" s="5" t="str">
        <f>IFERROR(__xludf.DUMMYFUNCTION("""COMPUTED_VALUE"""),"")</f>
        <v/>
      </c>
      <c r="N1228" s="5" t="str">
        <f>IFERROR(__xludf.DUMMYFUNCTION("""COMPUTED_VALUE"""),"")</f>
        <v/>
      </c>
      <c r="O1228" s="5" t="str">
        <f>IFERROR(__xludf.DUMMYFUNCTION("""COMPUTED_VALUE"""),"")</f>
        <v/>
      </c>
      <c r="P1228" s="5" t="str">
        <f>IFERROR(__xludf.DUMMYFUNCTION("""COMPUTED_VALUE"""),"")</f>
        <v/>
      </c>
      <c r="Q1228" s="5" t="str">
        <f>IFERROR(__xludf.DUMMYFUNCTION("""COMPUTED_VALUE"""),"")</f>
        <v/>
      </c>
      <c r="R1228" s="5" t="str">
        <f>IFERROR(__xludf.DUMMYFUNCTION("""COMPUTED_VALUE"""),"")</f>
        <v/>
      </c>
      <c r="S1228" s="5" t="str">
        <f>IFERROR(__xludf.DUMMYFUNCTION("""COMPUTED_VALUE"""),"")</f>
        <v/>
      </c>
      <c r="T1228" s="5" t="str">
        <f>IFERROR(__xludf.DUMMYFUNCTION("""COMPUTED_VALUE"""),"")</f>
        <v/>
      </c>
      <c r="U1228" s="5" t="str">
        <f>IFERROR(__xludf.DUMMYFUNCTION("""COMPUTED_VALUE"""),"")</f>
        <v/>
      </c>
      <c r="V1228" s="5" t="str">
        <f>IFERROR(__xludf.DUMMYFUNCTION("""COMPUTED_VALUE"""),"")</f>
        <v/>
      </c>
      <c r="W1228" s="5" t="str">
        <f>IFERROR(__xludf.DUMMYFUNCTION("""COMPUTED_VALUE"""),"")</f>
        <v/>
      </c>
      <c r="X1228" s="5" t="str">
        <f>IFERROR(__xludf.DUMMYFUNCTION("""COMPUTED_VALUE"""),"")</f>
        <v/>
      </c>
      <c r="Y1228" s="5"/>
      <c r="Z1228" s="5"/>
    </row>
    <row r="1229">
      <c r="A1229" s="5"/>
      <c r="B1229" s="5" t="str">
        <f>IFERROR(__xludf.DUMMYFUNCTION("""COMPUTED_VALUE"""),"")</f>
        <v/>
      </c>
      <c r="C1229" s="5" t="str">
        <f>IFERROR(__xludf.DUMMYFUNCTION("""COMPUTED_VALUE"""),"")</f>
        <v/>
      </c>
      <c r="D1229" s="5" t="str">
        <f>IFERROR(__xludf.DUMMYFUNCTION("""COMPUTED_VALUE"""),"")</f>
        <v/>
      </c>
      <c r="E1229" s="5" t="str">
        <f>IFERROR(__xludf.DUMMYFUNCTION("""COMPUTED_VALUE"""),"")</f>
        <v/>
      </c>
      <c r="F1229" s="5" t="str">
        <f>IFERROR(__xludf.DUMMYFUNCTION("""COMPUTED_VALUE"""),"")</f>
        <v/>
      </c>
      <c r="G1229" s="5" t="str">
        <f>IFERROR(__xludf.DUMMYFUNCTION("""COMPUTED_VALUE"""),"")</f>
        <v/>
      </c>
      <c r="H1229" s="5" t="str">
        <f>IFERROR(__xludf.DUMMYFUNCTION("""COMPUTED_VALUE"""),"")</f>
        <v/>
      </c>
      <c r="I1229" s="5" t="str">
        <f>IFERROR(__xludf.DUMMYFUNCTION("""COMPUTED_VALUE"""),"")</f>
        <v/>
      </c>
      <c r="J1229" s="5" t="str">
        <f>IFERROR(__xludf.DUMMYFUNCTION("""COMPUTED_VALUE"""),"")</f>
        <v/>
      </c>
      <c r="K1229" s="5" t="str">
        <f>IFERROR(__xludf.DUMMYFUNCTION("""COMPUTED_VALUE"""),"")</f>
        <v/>
      </c>
      <c r="L1229" s="5" t="str">
        <f>IFERROR(__xludf.DUMMYFUNCTION("""COMPUTED_VALUE"""),"")</f>
        <v/>
      </c>
      <c r="M1229" s="5" t="str">
        <f>IFERROR(__xludf.DUMMYFUNCTION("""COMPUTED_VALUE"""),"")</f>
        <v/>
      </c>
      <c r="N1229" s="5" t="str">
        <f>IFERROR(__xludf.DUMMYFUNCTION("""COMPUTED_VALUE"""),"")</f>
        <v/>
      </c>
      <c r="O1229" s="5" t="str">
        <f>IFERROR(__xludf.DUMMYFUNCTION("""COMPUTED_VALUE"""),"")</f>
        <v/>
      </c>
      <c r="P1229" s="5" t="str">
        <f>IFERROR(__xludf.DUMMYFUNCTION("""COMPUTED_VALUE"""),"")</f>
        <v/>
      </c>
      <c r="Q1229" s="5" t="str">
        <f>IFERROR(__xludf.DUMMYFUNCTION("""COMPUTED_VALUE"""),"")</f>
        <v/>
      </c>
      <c r="R1229" s="5" t="str">
        <f>IFERROR(__xludf.DUMMYFUNCTION("""COMPUTED_VALUE"""),"")</f>
        <v/>
      </c>
      <c r="S1229" s="5" t="str">
        <f>IFERROR(__xludf.DUMMYFUNCTION("""COMPUTED_VALUE"""),"")</f>
        <v/>
      </c>
      <c r="T1229" s="5" t="str">
        <f>IFERROR(__xludf.DUMMYFUNCTION("""COMPUTED_VALUE"""),"")</f>
        <v/>
      </c>
      <c r="U1229" s="5" t="str">
        <f>IFERROR(__xludf.DUMMYFUNCTION("""COMPUTED_VALUE"""),"")</f>
        <v/>
      </c>
      <c r="V1229" s="5" t="str">
        <f>IFERROR(__xludf.DUMMYFUNCTION("""COMPUTED_VALUE"""),"")</f>
        <v/>
      </c>
      <c r="W1229" s="5" t="str">
        <f>IFERROR(__xludf.DUMMYFUNCTION("""COMPUTED_VALUE"""),"")</f>
        <v/>
      </c>
      <c r="X1229" s="5" t="str">
        <f>IFERROR(__xludf.DUMMYFUNCTION("""COMPUTED_VALUE"""),"")</f>
        <v/>
      </c>
      <c r="Y1229" s="5"/>
      <c r="Z1229" s="5"/>
    </row>
    <row r="1230">
      <c r="A1230" s="5"/>
      <c r="B1230" s="5" t="str">
        <f>IFERROR(__xludf.DUMMYFUNCTION("""COMPUTED_VALUE"""),"")</f>
        <v/>
      </c>
      <c r="C1230" s="5" t="str">
        <f>IFERROR(__xludf.DUMMYFUNCTION("""COMPUTED_VALUE"""),"")</f>
        <v/>
      </c>
      <c r="D1230" s="5" t="str">
        <f>IFERROR(__xludf.DUMMYFUNCTION("""COMPUTED_VALUE"""),"")</f>
        <v/>
      </c>
      <c r="E1230" s="5" t="str">
        <f>IFERROR(__xludf.DUMMYFUNCTION("""COMPUTED_VALUE"""),"")</f>
        <v/>
      </c>
      <c r="F1230" s="5" t="str">
        <f>IFERROR(__xludf.DUMMYFUNCTION("""COMPUTED_VALUE"""),"")</f>
        <v/>
      </c>
      <c r="G1230" s="5" t="str">
        <f>IFERROR(__xludf.DUMMYFUNCTION("""COMPUTED_VALUE"""),"")</f>
        <v/>
      </c>
      <c r="H1230" s="5" t="str">
        <f>IFERROR(__xludf.DUMMYFUNCTION("""COMPUTED_VALUE"""),"")</f>
        <v/>
      </c>
      <c r="I1230" s="5" t="str">
        <f>IFERROR(__xludf.DUMMYFUNCTION("""COMPUTED_VALUE"""),"")</f>
        <v/>
      </c>
      <c r="J1230" s="5" t="str">
        <f>IFERROR(__xludf.DUMMYFUNCTION("""COMPUTED_VALUE"""),"")</f>
        <v/>
      </c>
      <c r="K1230" s="5" t="str">
        <f>IFERROR(__xludf.DUMMYFUNCTION("""COMPUTED_VALUE"""),"")</f>
        <v/>
      </c>
      <c r="L1230" s="5" t="str">
        <f>IFERROR(__xludf.DUMMYFUNCTION("""COMPUTED_VALUE"""),"")</f>
        <v/>
      </c>
      <c r="M1230" s="5" t="str">
        <f>IFERROR(__xludf.DUMMYFUNCTION("""COMPUTED_VALUE"""),"")</f>
        <v/>
      </c>
      <c r="N1230" s="5" t="str">
        <f>IFERROR(__xludf.DUMMYFUNCTION("""COMPUTED_VALUE"""),"")</f>
        <v/>
      </c>
      <c r="O1230" s="5" t="str">
        <f>IFERROR(__xludf.DUMMYFUNCTION("""COMPUTED_VALUE"""),"")</f>
        <v/>
      </c>
      <c r="P1230" s="5" t="str">
        <f>IFERROR(__xludf.DUMMYFUNCTION("""COMPUTED_VALUE"""),"")</f>
        <v/>
      </c>
      <c r="Q1230" s="5" t="str">
        <f>IFERROR(__xludf.DUMMYFUNCTION("""COMPUTED_VALUE"""),"")</f>
        <v/>
      </c>
      <c r="R1230" s="5" t="str">
        <f>IFERROR(__xludf.DUMMYFUNCTION("""COMPUTED_VALUE"""),"")</f>
        <v/>
      </c>
      <c r="S1230" s="5" t="str">
        <f>IFERROR(__xludf.DUMMYFUNCTION("""COMPUTED_VALUE"""),"")</f>
        <v/>
      </c>
      <c r="T1230" s="5" t="str">
        <f>IFERROR(__xludf.DUMMYFUNCTION("""COMPUTED_VALUE"""),"")</f>
        <v/>
      </c>
      <c r="U1230" s="5" t="str">
        <f>IFERROR(__xludf.DUMMYFUNCTION("""COMPUTED_VALUE"""),"")</f>
        <v/>
      </c>
      <c r="V1230" s="5" t="str">
        <f>IFERROR(__xludf.DUMMYFUNCTION("""COMPUTED_VALUE"""),"")</f>
        <v/>
      </c>
      <c r="W1230" s="5" t="str">
        <f>IFERROR(__xludf.DUMMYFUNCTION("""COMPUTED_VALUE"""),"")</f>
        <v/>
      </c>
      <c r="X1230" s="5" t="str">
        <f>IFERROR(__xludf.DUMMYFUNCTION("""COMPUTED_VALUE"""),"")</f>
        <v/>
      </c>
      <c r="Y1230" s="5"/>
      <c r="Z1230" s="5"/>
    </row>
    <row r="1231">
      <c r="A1231" s="5"/>
      <c r="B1231" s="5" t="str">
        <f>IFERROR(__xludf.DUMMYFUNCTION("""COMPUTED_VALUE"""),"")</f>
        <v/>
      </c>
      <c r="C1231" s="5" t="str">
        <f>IFERROR(__xludf.DUMMYFUNCTION("""COMPUTED_VALUE"""),"")</f>
        <v/>
      </c>
      <c r="D1231" s="5" t="str">
        <f>IFERROR(__xludf.DUMMYFUNCTION("""COMPUTED_VALUE"""),"")</f>
        <v/>
      </c>
      <c r="E1231" s="5" t="str">
        <f>IFERROR(__xludf.DUMMYFUNCTION("""COMPUTED_VALUE"""),"")</f>
        <v/>
      </c>
      <c r="F1231" s="5" t="str">
        <f>IFERROR(__xludf.DUMMYFUNCTION("""COMPUTED_VALUE"""),"")</f>
        <v/>
      </c>
      <c r="G1231" s="5" t="str">
        <f>IFERROR(__xludf.DUMMYFUNCTION("""COMPUTED_VALUE"""),"")</f>
        <v/>
      </c>
      <c r="H1231" s="5" t="str">
        <f>IFERROR(__xludf.DUMMYFUNCTION("""COMPUTED_VALUE"""),"")</f>
        <v/>
      </c>
      <c r="I1231" s="5" t="str">
        <f>IFERROR(__xludf.DUMMYFUNCTION("""COMPUTED_VALUE"""),"")</f>
        <v/>
      </c>
      <c r="J1231" s="5" t="str">
        <f>IFERROR(__xludf.DUMMYFUNCTION("""COMPUTED_VALUE"""),"")</f>
        <v/>
      </c>
      <c r="K1231" s="5" t="str">
        <f>IFERROR(__xludf.DUMMYFUNCTION("""COMPUTED_VALUE"""),"")</f>
        <v/>
      </c>
      <c r="L1231" s="5" t="str">
        <f>IFERROR(__xludf.DUMMYFUNCTION("""COMPUTED_VALUE"""),"")</f>
        <v/>
      </c>
      <c r="M1231" s="5" t="str">
        <f>IFERROR(__xludf.DUMMYFUNCTION("""COMPUTED_VALUE"""),"")</f>
        <v/>
      </c>
      <c r="N1231" s="5" t="str">
        <f>IFERROR(__xludf.DUMMYFUNCTION("""COMPUTED_VALUE"""),"")</f>
        <v/>
      </c>
      <c r="O1231" s="5" t="str">
        <f>IFERROR(__xludf.DUMMYFUNCTION("""COMPUTED_VALUE"""),"")</f>
        <v/>
      </c>
      <c r="P1231" s="5" t="str">
        <f>IFERROR(__xludf.DUMMYFUNCTION("""COMPUTED_VALUE"""),"")</f>
        <v/>
      </c>
      <c r="Q1231" s="5" t="str">
        <f>IFERROR(__xludf.DUMMYFUNCTION("""COMPUTED_VALUE"""),"")</f>
        <v/>
      </c>
      <c r="R1231" s="5" t="str">
        <f>IFERROR(__xludf.DUMMYFUNCTION("""COMPUTED_VALUE"""),"")</f>
        <v/>
      </c>
      <c r="S1231" s="5" t="str">
        <f>IFERROR(__xludf.DUMMYFUNCTION("""COMPUTED_VALUE"""),"")</f>
        <v/>
      </c>
      <c r="T1231" s="5" t="str">
        <f>IFERROR(__xludf.DUMMYFUNCTION("""COMPUTED_VALUE"""),"")</f>
        <v/>
      </c>
      <c r="U1231" s="5" t="str">
        <f>IFERROR(__xludf.DUMMYFUNCTION("""COMPUTED_VALUE"""),"")</f>
        <v/>
      </c>
      <c r="V1231" s="5" t="str">
        <f>IFERROR(__xludf.DUMMYFUNCTION("""COMPUTED_VALUE"""),"")</f>
        <v/>
      </c>
      <c r="W1231" s="5" t="str">
        <f>IFERROR(__xludf.DUMMYFUNCTION("""COMPUTED_VALUE"""),"")</f>
        <v/>
      </c>
      <c r="X1231" s="5" t="str">
        <f>IFERROR(__xludf.DUMMYFUNCTION("""COMPUTED_VALUE"""),"")</f>
        <v/>
      </c>
      <c r="Y1231" s="5"/>
      <c r="Z1231" s="5"/>
    </row>
    <row r="1232">
      <c r="A1232" s="5"/>
      <c r="B1232" s="5" t="str">
        <f>IFERROR(__xludf.DUMMYFUNCTION("""COMPUTED_VALUE"""),"")</f>
        <v/>
      </c>
      <c r="C1232" s="5" t="str">
        <f>IFERROR(__xludf.DUMMYFUNCTION("""COMPUTED_VALUE"""),"")</f>
        <v/>
      </c>
      <c r="D1232" s="5" t="str">
        <f>IFERROR(__xludf.DUMMYFUNCTION("""COMPUTED_VALUE"""),"")</f>
        <v/>
      </c>
      <c r="E1232" s="5" t="str">
        <f>IFERROR(__xludf.DUMMYFUNCTION("""COMPUTED_VALUE"""),"")</f>
        <v/>
      </c>
      <c r="F1232" s="5" t="str">
        <f>IFERROR(__xludf.DUMMYFUNCTION("""COMPUTED_VALUE"""),"")</f>
        <v/>
      </c>
      <c r="G1232" s="5" t="str">
        <f>IFERROR(__xludf.DUMMYFUNCTION("""COMPUTED_VALUE"""),"")</f>
        <v/>
      </c>
      <c r="H1232" s="5" t="str">
        <f>IFERROR(__xludf.DUMMYFUNCTION("""COMPUTED_VALUE"""),"")</f>
        <v/>
      </c>
      <c r="I1232" s="5" t="str">
        <f>IFERROR(__xludf.DUMMYFUNCTION("""COMPUTED_VALUE"""),"")</f>
        <v/>
      </c>
      <c r="J1232" s="5" t="str">
        <f>IFERROR(__xludf.DUMMYFUNCTION("""COMPUTED_VALUE"""),"")</f>
        <v/>
      </c>
      <c r="K1232" s="5" t="str">
        <f>IFERROR(__xludf.DUMMYFUNCTION("""COMPUTED_VALUE"""),"")</f>
        <v/>
      </c>
      <c r="L1232" s="5" t="str">
        <f>IFERROR(__xludf.DUMMYFUNCTION("""COMPUTED_VALUE"""),"")</f>
        <v/>
      </c>
      <c r="M1232" s="5" t="str">
        <f>IFERROR(__xludf.DUMMYFUNCTION("""COMPUTED_VALUE"""),"")</f>
        <v/>
      </c>
      <c r="N1232" s="5" t="str">
        <f>IFERROR(__xludf.DUMMYFUNCTION("""COMPUTED_VALUE"""),"")</f>
        <v/>
      </c>
      <c r="O1232" s="5" t="str">
        <f>IFERROR(__xludf.DUMMYFUNCTION("""COMPUTED_VALUE"""),"")</f>
        <v/>
      </c>
      <c r="P1232" s="5" t="str">
        <f>IFERROR(__xludf.DUMMYFUNCTION("""COMPUTED_VALUE"""),"")</f>
        <v/>
      </c>
      <c r="Q1232" s="5" t="str">
        <f>IFERROR(__xludf.DUMMYFUNCTION("""COMPUTED_VALUE"""),"")</f>
        <v/>
      </c>
      <c r="R1232" s="5" t="str">
        <f>IFERROR(__xludf.DUMMYFUNCTION("""COMPUTED_VALUE"""),"")</f>
        <v/>
      </c>
      <c r="S1232" s="5" t="str">
        <f>IFERROR(__xludf.DUMMYFUNCTION("""COMPUTED_VALUE"""),"")</f>
        <v/>
      </c>
      <c r="T1232" s="5" t="str">
        <f>IFERROR(__xludf.DUMMYFUNCTION("""COMPUTED_VALUE"""),"")</f>
        <v/>
      </c>
      <c r="U1232" s="5" t="str">
        <f>IFERROR(__xludf.DUMMYFUNCTION("""COMPUTED_VALUE"""),"")</f>
        <v/>
      </c>
      <c r="V1232" s="5" t="str">
        <f>IFERROR(__xludf.DUMMYFUNCTION("""COMPUTED_VALUE"""),"")</f>
        <v/>
      </c>
      <c r="W1232" s="5" t="str">
        <f>IFERROR(__xludf.DUMMYFUNCTION("""COMPUTED_VALUE"""),"")</f>
        <v/>
      </c>
      <c r="X1232" s="5" t="str">
        <f>IFERROR(__xludf.DUMMYFUNCTION("""COMPUTED_VALUE"""),"")</f>
        <v/>
      </c>
      <c r="Y1232" s="5"/>
      <c r="Z1232" s="5"/>
    </row>
    <row r="1233">
      <c r="A1233" s="5"/>
      <c r="B1233" s="5" t="str">
        <f>IFERROR(__xludf.DUMMYFUNCTION("""COMPUTED_VALUE"""),"")</f>
        <v/>
      </c>
      <c r="C1233" s="5" t="str">
        <f>IFERROR(__xludf.DUMMYFUNCTION("""COMPUTED_VALUE"""),"")</f>
        <v/>
      </c>
      <c r="D1233" s="5" t="str">
        <f>IFERROR(__xludf.DUMMYFUNCTION("""COMPUTED_VALUE"""),"")</f>
        <v/>
      </c>
      <c r="E1233" s="5" t="str">
        <f>IFERROR(__xludf.DUMMYFUNCTION("""COMPUTED_VALUE"""),"")</f>
        <v/>
      </c>
      <c r="F1233" s="5" t="str">
        <f>IFERROR(__xludf.DUMMYFUNCTION("""COMPUTED_VALUE"""),"")</f>
        <v/>
      </c>
      <c r="G1233" s="5" t="str">
        <f>IFERROR(__xludf.DUMMYFUNCTION("""COMPUTED_VALUE"""),"")</f>
        <v/>
      </c>
      <c r="H1233" s="5" t="str">
        <f>IFERROR(__xludf.DUMMYFUNCTION("""COMPUTED_VALUE"""),"")</f>
        <v/>
      </c>
      <c r="I1233" s="5" t="str">
        <f>IFERROR(__xludf.DUMMYFUNCTION("""COMPUTED_VALUE"""),"")</f>
        <v/>
      </c>
      <c r="J1233" s="5" t="str">
        <f>IFERROR(__xludf.DUMMYFUNCTION("""COMPUTED_VALUE"""),"")</f>
        <v/>
      </c>
      <c r="K1233" s="5" t="str">
        <f>IFERROR(__xludf.DUMMYFUNCTION("""COMPUTED_VALUE"""),"")</f>
        <v/>
      </c>
      <c r="L1233" s="5" t="str">
        <f>IFERROR(__xludf.DUMMYFUNCTION("""COMPUTED_VALUE"""),"")</f>
        <v/>
      </c>
      <c r="M1233" s="5" t="str">
        <f>IFERROR(__xludf.DUMMYFUNCTION("""COMPUTED_VALUE"""),"")</f>
        <v/>
      </c>
      <c r="N1233" s="5" t="str">
        <f>IFERROR(__xludf.DUMMYFUNCTION("""COMPUTED_VALUE"""),"")</f>
        <v/>
      </c>
      <c r="O1233" s="5" t="str">
        <f>IFERROR(__xludf.DUMMYFUNCTION("""COMPUTED_VALUE"""),"")</f>
        <v/>
      </c>
      <c r="P1233" s="5" t="str">
        <f>IFERROR(__xludf.DUMMYFUNCTION("""COMPUTED_VALUE"""),"")</f>
        <v/>
      </c>
      <c r="Q1233" s="5" t="str">
        <f>IFERROR(__xludf.DUMMYFUNCTION("""COMPUTED_VALUE"""),"")</f>
        <v/>
      </c>
      <c r="R1233" s="5" t="str">
        <f>IFERROR(__xludf.DUMMYFUNCTION("""COMPUTED_VALUE"""),"")</f>
        <v/>
      </c>
      <c r="S1233" s="5" t="str">
        <f>IFERROR(__xludf.DUMMYFUNCTION("""COMPUTED_VALUE"""),"")</f>
        <v/>
      </c>
      <c r="T1233" s="5" t="str">
        <f>IFERROR(__xludf.DUMMYFUNCTION("""COMPUTED_VALUE"""),"")</f>
        <v/>
      </c>
      <c r="U1233" s="5" t="str">
        <f>IFERROR(__xludf.DUMMYFUNCTION("""COMPUTED_VALUE"""),"")</f>
        <v/>
      </c>
      <c r="V1233" s="5" t="str">
        <f>IFERROR(__xludf.DUMMYFUNCTION("""COMPUTED_VALUE"""),"")</f>
        <v/>
      </c>
      <c r="W1233" s="5" t="str">
        <f>IFERROR(__xludf.DUMMYFUNCTION("""COMPUTED_VALUE"""),"")</f>
        <v/>
      </c>
      <c r="X1233" s="5" t="str">
        <f>IFERROR(__xludf.DUMMYFUNCTION("""COMPUTED_VALUE"""),"")</f>
        <v/>
      </c>
      <c r="Y1233" s="5"/>
      <c r="Z1233" s="5"/>
    </row>
    <row r="1234">
      <c r="A1234" s="5"/>
      <c r="B1234" s="5" t="str">
        <f>IFERROR(__xludf.DUMMYFUNCTION("""COMPUTED_VALUE"""),"")</f>
        <v/>
      </c>
      <c r="C1234" s="5" t="str">
        <f>IFERROR(__xludf.DUMMYFUNCTION("""COMPUTED_VALUE"""),"")</f>
        <v/>
      </c>
      <c r="D1234" s="5" t="str">
        <f>IFERROR(__xludf.DUMMYFUNCTION("""COMPUTED_VALUE"""),"")</f>
        <v/>
      </c>
      <c r="E1234" s="5" t="str">
        <f>IFERROR(__xludf.DUMMYFUNCTION("""COMPUTED_VALUE"""),"")</f>
        <v/>
      </c>
      <c r="F1234" s="5" t="str">
        <f>IFERROR(__xludf.DUMMYFUNCTION("""COMPUTED_VALUE"""),"")</f>
        <v/>
      </c>
      <c r="G1234" s="5" t="str">
        <f>IFERROR(__xludf.DUMMYFUNCTION("""COMPUTED_VALUE"""),"")</f>
        <v/>
      </c>
      <c r="H1234" s="5" t="str">
        <f>IFERROR(__xludf.DUMMYFUNCTION("""COMPUTED_VALUE"""),"")</f>
        <v/>
      </c>
      <c r="I1234" s="5" t="str">
        <f>IFERROR(__xludf.DUMMYFUNCTION("""COMPUTED_VALUE"""),"")</f>
        <v/>
      </c>
      <c r="J1234" s="5" t="str">
        <f>IFERROR(__xludf.DUMMYFUNCTION("""COMPUTED_VALUE"""),"")</f>
        <v/>
      </c>
      <c r="K1234" s="5" t="str">
        <f>IFERROR(__xludf.DUMMYFUNCTION("""COMPUTED_VALUE"""),"")</f>
        <v/>
      </c>
      <c r="L1234" s="5" t="str">
        <f>IFERROR(__xludf.DUMMYFUNCTION("""COMPUTED_VALUE"""),"")</f>
        <v/>
      </c>
      <c r="M1234" s="5" t="str">
        <f>IFERROR(__xludf.DUMMYFUNCTION("""COMPUTED_VALUE"""),"")</f>
        <v/>
      </c>
      <c r="N1234" s="5" t="str">
        <f>IFERROR(__xludf.DUMMYFUNCTION("""COMPUTED_VALUE"""),"")</f>
        <v/>
      </c>
      <c r="O1234" s="5" t="str">
        <f>IFERROR(__xludf.DUMMYFUNCTION("""COMPUTED_VALUE"""),"")</f>
        <v/>
      </c>
      <c r="P1234" s="5" t="str">
        <f>IFERROR(__xludf.DUMMYFUNCTION("""COMPUTED_VALUE"""),"")</f>
        <v/>
      </c>
      <c r="Q1234" s="5" t="str">
        <f>IFERROR(__xludf.DUMMYFUNCTION("""COMPUTED_VALUE"""),"")</f>
        <v/>
      </c>
      <c r="R1234" s="5" t="str">
        <f>IFERROR(__xludf.DUMMYFUNCTION("""COMPUTED_VALUE"""),"")</f>
        <v/>
      </c>
      <c r="S1234" s="5" t="str">
        <f>IFERROR(__xludf.DUMMYFUNCTION("""COMPUTED_VALUE"""),"")</f>
        <v/>
      </c>
      <c r="T1234" s="5" t="str">
        <f>IFERROR(__xludf.DUMMYFUNCTION("""COMPUTED_VALUE"""),"")</f>
        <v/>
      </c>
      <c r="U1234" s="5" t="str">
        <f>IFERROR(__xludf.DUMMYFUNCTION("""COMPUTED_VALUE"""),"")</f>
        <v/>
      </c>
      <c r="V1234" s="5" t="str">
        <f>IFERROR(__xludf.DUMMYFUNCTION("""COMPUTED_VALUE"""),"")</f>
        <v/>
      </c>
      <c r="W1234" s="5" t="str">
        <f>IFERROR(__xludf.DUMMYFUNCTION("""COMPUTED_VALUE"""),"")</f>
        <v/>
      </c>
      <c r="X1234" s="5" t="str">
        <f>IFERROR(__xludf.DUMMYFUNCTION("""COMPUTED_VALUE"""),"")</f>
        <v/>
      </c>
      <c r="Y1234" s="5"/>
      <c r="Z1234" s="5"/>
    </row>
    <row r="1235">
      <c r="A1235" s="5"/>
      <c r="B1235" s="5" t="str">
        <f>IFERROR(__xludf.DUMMYFUNCTION("""COMPUTED_VALUE"""),"")</f>
        <v/>
      </c>
      <c r="C1235" s="5" t="str">
        <f>IFERROR(__xludf.DUMMYFUNCTION("""COMPUTED_VALUE"""),"")</f>
        <v/>
      </c>
      <c r="D1235" s="5" t="str">
        <f>IFERROR(__xludf.DUMMYFUNCTION("""COMPUTED_VALUE"""),"")</f>
        <v/>
      </c>
      <c r="E1235" s="5" t="str">
        <f>IFERROR(__xludf.DUMMYFUNCTION("""COMPUTED_VALUE"""),"")</f>
        <v/>
      </c>
      <c r="F1235" s="5" t="str">
        <f>IFERROR(__xludf.DUMMYFUNCTION("""COMPUTED_VALUE"""),"")</f>
        <v/>
      </c>
      <c r="G1235" s="5" t="str">
        <f>IFERROR(__xludf.DUMMYFUNCTION("""COMPUTED_VALUE"""),"")</f>
        <v/>
      </c>
      <c r="H1235" s="5" t="str">
        <f>IFERROR(__xludf.DUMMYFUNCTION("""COMPUTED_VALUE"""),"")</f>
        <v/>
      </c>
      <c r="I1235" s="5" t="str">
        <f>IFERROR(__xludf.DUMMYFUNCTION("""COMPUTED_VALUE"""),"")</f>
        <v/>
      </c>
      <c r="J1235" s="5" t="str">
        <f>IFERROR(__xludf.DUMMYFUNCTION("""COMPUTED_VALUE"""),"")</f>
        <v/>
      </c>
      <c r="K1235" s="5" t="str">
        <f>IFERROR(__xludf.DUMMYFUNCTION("""COMPUTED_VALUE"""),"")</f>
        <v/>
      </c>
      <c r="L1235" s="5" t="str">
        <f>IFERROR(__xludf.DUMMYFUNCTION("""COMPUTED_VALUE"""),"")</f>
        <v/>
      </c>
      <c r="M1235" s="5" t="str">
        <f>IFERROR(__xludf.DUMMYFUNCTION("""COMPUTED_VALUE"""),"")</f>
        <v/>
      </c>
      <c r="N1235" s="5" t="str">
        <f>IFERROR(__xludf.DUMMYFUNCTION("""COMPUTED_VALUE"""),"")</f>
        <v/>
      </c>
      <c r="O1235" s="5" t="str">
        <f>IFERROR(__xludf.DUMMYFUNCTION("""COMPUTED_VALUE"""),"")</f>
        <v/>
      </c>
      <c r="P1235" s="5" t="str">
        <f>IFERROR(__xludf.DUMMYFUNCTION("""COMPUTED_VALUE"""),"")</f>
        <v/>
      </c>
      <c r="Q1235" s="5" t="str">
        <f>IFERROR(__xludf.DUMMYFUNCTION("""COMPUTED_VALUE"""),"")</f>
        <v/>
      </c>
      <c r="R1235" s="5" t="str">
        <f>IFERROR(__xludf.DUMMYFUNCTION("""COMPUTED_VALUE"""),"")</f>
        <v/>
      </c>
      <c r="S1235" s="5" t="str">
        <f>IFERROR(__xludf.DUMMYFUNCTION("""COMPUTED_VALUE"""),"")</f>
        <v/>
      </c>
      <c r="T1235" s="5" t="str">
        <f>IFERROR(__xludf.DUMMYFUNCTION("""COMPUTED_VALUE"""),"")</f>
        <v/>
      </c>
      <c r="U1235" s="5" t="str">
        <f>IFERROR(__xludf.DUMMYFUNCTION("""COMPUTED_VALUE"""),"")</f>
        <v/>
      </c>
      <c r="V1235" s="5" t="str">
        <f>IFERROR(__xludf.DUMMYFUNCTION("""COMPUTED_VALUE"""),"")</f>
        <v/>
      </c>
      <c r="W1235" s="5" t="str">
        <f>IFERROR(__xludf.DUMMYFUNCTION("""COMPUTED_VALUE"""),"")</f>
        <v/>
      </c>
      <c r="X1235" s="5" t="str">
        <f>IFERROR(__xludf.DUMMYFUNCTION("""COMPUTED_VALUE"""),"")</f>
        <v/>
      </c>
      <c r="Y1235" s="5"/>
      <c r="Z1235" s="5"/>
    </row>
    <row r="1236">
      <c r="A1236" s="5"/>
      <c r="B1236" s="5" t="str">
        <f>IFERROR(__xludf.DUMMYFUNCTION("""COMPUTED_VALUE"""),"")</f>
        <v/>
      </c>
      <c r="C1236" s="5" t="str">
        <f>IFERROR(__xludf.DUMMYFUNCTION("""COMPUTED_VALUE"""),"")</f>
        <v/>
      </c>
      <c r="D1236" s="5" t="str">
        <f>IFERROR(__xludf.DUMMYFUNCTION("""COMPUTED_VALUE"""),"")</f>
        <v/>
      </c>
      <c r="E1236" s="5" t="str">
        <f>IFERROR(__xludf.DUMMYFUNCTION("""COMPUTED_VALUE"""),"")</f>
        <v/>
      </c>
      <c r="F1236" s="5" t="str">
        <f>IFERROR(__xludf.DUMMYFUNCTION("""COMPUTED_VALUE"""),"")</f>
        <v/>
      </c>
      <c r="G1236" s="5" t="str">
        <f>IFERROR(__xludf.DUMMYFUNCTION("""COMPUTED_VALUE"""),"")</f>
        <v/>
      </c>
      <c r="H1236" s="5" t="str">
        <f>IFERROR(__xludf.DUMMYFUNCTION("""COMPUTED_VALUE"""),"")</f>
        <v/>
      </c>
      <c r="I1236" s="5" t="str">
        <f>IFERROR(__xludf.DUMMYFUNCTION("""COMPUTED_VALUE"""),"")</f>
        <v/>
      </c>
      <c r="J1236" s="5" t="str">
        <f>IFERROR(__xludf.DUMMYFUNCTION("""COMPUTED_VALUE"""),"")</f>
        <v/>
      </c>
      <c r="K1236" s="5" t="str">
        <f>IFERROR(__xludf.DUMMYFUNCTION("""COMPUTED_VALUE"""),"")</f>
        <v/>
      </c>
      <c r="L1236" s="5" t="str">
        <f>IFERROR(__xludf.DUMMYFUNCTION("""COMPUTED_VALUE"""),"")</f>
        <v/>
      </c>
      <c r="M1236" s="5" t="str">
        <f>IFERROR(__xludf.DUMMYFUNCTION("""COMPUTED_VALUE"""),"")</f>
        <v/>
      </c>
      <c r="N1236" s="5" t="str">
        <f>IFERROR(__xludf.DUMMYFUNCTION("""COMPUTED_VALUE"""),"")</f>
        <v/>
      </c>
      <c r="O1236" s="5" t="str">
        <f>IFERROR(__xludf.DUMMYFUNCTION("""COMPUTED_VALUE"""),"")</f>
        <v/>
      </c>
      <c r="P1236" s="5" t="str">
        <f>IFERROR(__xludf.DUMMYFUNCTION("""COMPUTED_VALUE"""),"")</f>
        <v/>
      </c>
      <c r="Q1236" s="5" t="str">
        <f>IFERROR(__xludf.DUMMYFUNCTION("""COMPUTED_VALUE"""),"")</f>
        <v/>
      </c>
      <c r="R1236" s="5" t="str">
        <f>IFERROR(__xludf.DUMMYFUNCTION("""COMPUTED_VALUE"""),"")</f>
        <v/>
      </c>
      <c r="S1236" s="5" t="str">
        <f>IFERROR(__xludf.DUMMYFUNCTION("""COMPUTED_VALUE"""),"")</f>
        <v/>
      </c>
      <c r="T1236" s="5" t="str">
        <f>IFERROR(__xludf.DUMMYFUNCTION("""COMPUTED_VALUE"""),"")</f>
        <v/>
      </c>
      <c r="U1236" s="5" t="str">
        <f>IFERROR(__xludf.DUMMYFUNCTION("""COMPUTED_VALUE"""),"")</f>
        <v/>
      </c>
      <c r="V1236" s="5" t="str">
        <f>IFERROR(__xludf.DUMMYFUNCTION("""COMPUTED_VALUE"""),"")</f>
        <v/>
      </c>
      <c r="W1236" s="5" t="str">
        <f>IFERROR(__xludf.DUMMYFUNCTION("""COMPUTED_VALUE"""),"")</f>
        <v/>
      </c>
      <c r="X1236" s="5" t="str">
        <f>IFERROR(__xludf.DUMMYFUNCTION("""COMPUTED_VALUE"""),"")</f>
        <v/>
      </c>
      <c r="Y1236" s="5"/>
      <c r="Z1236" s="5"/>
    </row>
    <row r="1237">
      <c r="A1237" s="5"/>
      <c r="B1237" s="5" t="str">
        <f>IFERROR(__xludf.DUMMYFUNCTION("""COMPUTED_VALUE"""),"")</f>
        <v/>
      </c>
      <c r="C1237" s="5" t="str">
        <f>IFERROR(__xludf.DUMMYFUNCTION("""COMPUTED_VALUE"""),"")</f>
        <v/>
      </c>
      <c r="D1237" s="5" t="str">
        <f>IFERROR(__xludf.DUMMYFUNCTION("""COMPUTED_VALUE"""),"")</f>
        <v/>
      </c>
      <c r="E1237" s="5" t="str">
        <f>IFERROR(__xludf.DUMMYFUNCTION("""COMPUTED_VALUE"""),"")</f>
        <v/>
      </c>
      <c r="F1237" s="5" t="str">
        <f>IFERROR(__xludf.DUMMYFUNCTION("""COMPUTED_VALUE"""),"")</f>
        <v/>
      </c>
      <c r="G1237" s="5" t="str">
        <f>IFERROR(__xludf.DUMMYFUNCTION("""COMPUTED_VALUE"""),"")</f>
        <v/>
      </c>
      <c r="H1237" s="5" t="str">
        <f>IFERROR(__xludf.DUMMYFUNCTION("""COMPUTED_VALUE"""),"")</f>
        <v/>
      </c>
      <c r="I1237" s="5" t="str">
        <f>IFERROR(__xludf.DUMMYFUNCTION("""COMPUTED_VALUE"""),"")</f>
        <v/>
      </c>
      <c r="J1237" s="5" t="str">
        <f>IFERROR(__xludf.DUMMYFUNCTION("""COMPUTED_VALUE"""),"")</f>
        <v/>
      </c>
      <c r="K1237" s="5" t="str">
        <f>IFERROR(__xludf.DUMMYFUNCTION("""COMPUTED_VALUE"""),"")</f>
        <v/>
      </c>
      <c r="L1237" s="5" t="str">
        <f>IFERROR(__xludf.DUMMYFUNCTION("""COMPUTED_VALUE"""),"")</f>
        <v/>
      </c>
      <c r="M1237" s="5" t="str">
        <f>IFERROR(__xludf.DUMMYFUNCTION("""COMPUTED_VALUE"""),"")</f>
        <v/>
      </c>
      <c r="N1237" s="5" t="str">
        <f>IFERROR(__xludf.DUMMYFUNCTION("""COMPUTED_VALUE"""),"")</f>
        <v/>
      </c>
      <c r="O1237" s="5" t="str">
        <f>IFERROR(__xludf.DUMMYFUNCTION("""COMPUTED_VALUE"""),"")</f>
        <v/>
      </c>
      <c r="P1237" s="5" t="str">
        <f>IFERROR(__xludf.DUMMYFUNCTION("""COMPUTED_VALUE"""),"")</f>
        <v/>
      </c>
      <c r="Q1237" s="5" t="str">
        <f>IFERROR(__xludf.DUMMYFUNCTION("""COMPUTED_VALUE"""),"")</f>
        <v/>
      </c>
      <c r="R1237" s="5" t="str">
        <f>IFERROR(__xludf.DUMMYFUNCTION("""COMPUTED_VALUE"""),"")</f>
        <v/>
      </c>
      <c r="S1237" s="5" t="str">
        <f>IFERROR(__xludf.DUMMYFUNCTION("""COMPUTED_VALUE"""),"")</f>
        <v/>
      </c>
      <c r="T1237" s="5" t="str">
        <f>IFERROR(__xludf.DUMMYFUNCTION("""COMPUTED_VALUE"""),"")</f>
        <v/>
      </c>
      <c r="U1237" s="5" t="str">
        <f>IFERROR(__xludf.DUMMYFUNCTION("""COMPUTED_VALUE"""),"")</f>
        <v/>
      </c>
      <c r="V1237" s="5" t="str">
        <f>IFERROR(__xludf.DUMMYFUNCTION("""COMPUTED_VALUE"""),"")</f>
        <v/>
      </c>
      <c r="W1237" s="5" t="str">
        <f>IFERROR(__xludf.DUMMYFUNCTION("""COMPUTED_VALUE"""),"")</f>
        <v/>
      </c>
      <c r="X1237" s="5" t="str">
        <f>IFERROR(__xludf.DUMMYFUNCTION("""COMPUTED_VALUE"""),"")</f>
        <v/>
      </c>
      <c r="Y1237" s="5"/>
      <c r="Z1237" s="5"/>
    </row>
    <row r="1238">
      <c r="A1238" s="5"/>
      <c r="B1238" s="5" t="str">
        <f>IFERROR(__xludf.DUMMYFUNCTION("""COMPUTED_VALUE"""),"")</f>
        <v/>
      </c>
      <c r="C1238" s="5" t="str">
        <f>IFERROR(__xludf.DUMMYFUNCTION("""COMPUTED_VALUE"""),"")</f>
        <v/>
      </c>
      <c r="D1238" s="5" t="str">
        <f>IFERROR(__xludf.DUMMYFUNCTION("""COMPUTED_VALUE"""),"")</f>
        <v/>
      </c>
      <c r="E1238" s="5" t="str">
        <f>IFERROR(__xludf.DUMMYFUNCTION("""COMPUTED_VALUE"""),"")</f>
        <v/>
      </c>
      <c r="F1238" s="5" t="str">
        <f>IFERROR(__xludf.DUMMYFUNCTION("""COMPUTED_VALUE"""),"")</f>
        <v/>
      </c>
      <c r="G1238" s="5" t="str">
        <f>IFERROR(__xludf.DUMMYFUNCTION("""COMPUTED_VALUE"""),"")</f>
        <v/>
      </c>
      <c r="H1238" s="5" t="str">
        <f>IFERROR(__xludf.DUMMYFUNCTION("""COMPUTED_VALUE"""),"")</f>
        <v/>
      </c>
      <c r="I1238" s="5" t="str">
        <f>IFERROR(__xludf.DUMMYFUNCTION("""COMPUTED_VALUE"""),"")</f>
        <v/>
      </c>
      <c r="J1238" s="5" t="str">
        <f>IFERROR(__xludf.DUMMYFUNCTION("""COMPUTED_VALUE"""),"")</f>
        <v/>
      </c>
      <c r="K1238" s="5" t="str">
        <f>IFERROR(__xludf.DUMMYFUNCTION("""COMPUTED_VALUE"""),"")</f>
        <v/>
      </c>
      <c r="L1238" s="5" t="str">
        <f>IFERROR(__xludf.DUMMYFUNCTION("""COMPUTED_VALUE"""),"")</f>
        <v/>
      </c>
      <c r="M1238" s="5" t="str">
        <f>IFERROR(__xludf.DUMMYFUNCTION("""COMPUTED_VALUE"""),"")</f>
        <v/>
      </c>
      <c r="N1238" s="5" t="str">
        <f>IFERROR(__xludf.DUMMYFUNCTION("""COMPUTED_VALUE"""),"")</f>
        <v/>
      </c>
      <c r="O1238" s="5" t="str">
        <f>IFERROR(__xludf.DUMMYFUNCTION("""COMPUTED_VALUE"""),"")</f>
        <v/>
      </c>
      <c r="P1238" s="5" t="str">
        <f>IFERROR(__xludf.DUMMYFUNCTION("""COMPUTED_VALUE"""),"")</f>
        <v/>
      </c>
      <c r="Q1238" s="5" t="str">
        <f>IFERROR(__xludf.DUMMYFUNCTION("""COMPUTED_VALUE"""),"")</f>
        <v/>
      </c>
      <c r="R1238" s="5" t="str">
        <f>IFERROR(__xludf.DUMMYFUNCTION("""COMPUTED_VALUE"""),"")</f>
        <v/>
      </c>
      <c r="S1238" s="5" t="str">
        <f>IFERROR(__xludf.DUMMYFUNCTION("""COMPUTED_VALUE"""),"")</f>
        <v/>
      </c>
      <c r="T1238" s="5" t="str">
        <f>IFERROR(__xludf.DUMMYFUNCTION("""COMPUTED_VALUE"""),"")</f>
        <v/>
      </c>
      <c r="U1238" s="5" t="str">
        <f>IFERROR(__xludf.DUMMYFUNCTION("""COMPUTED_VALUE"""),"")</f>
        <v/>
      </c>
      <c r="V1238" s="5" t="str">
        <f>IFERROR(__xludf.DUMMYFUNCTION("""COMPUTED_VALUE"""),"")</f>
        <v/>
      </c>
      <c r="W1238" s="5" t="str">
        <f>IFERROR(__xludf.DUMMYFUNCTION("""COMPUTED_VALUE"""),"")</f>
        <v/>
      </c>
      <c r="X1238" s="5" t="str">
        <f>IFERROR(__xludf.DUMMYFUNCTION("""COMPUTED_VALUE"""),"")</f>
        <v/>
      </c>
      <c r="Y1238" s="5"/>
      <c r="Z1238" s="5"/>
    </row>
    <row r="1239">
      <c r="A1239" s="5"/>
      <c r="B1239" s="5" t="str">
        <f>IFERROR(__xludf.DUMMYFUNCTION("""COMPUTED_VALUE"""),"")</f>
        <v/>
      </c>
      <c r="C1239" s="5" t="str">
        <f>IFERROR(__xludf.DUMMYFUNCTION("""COMPUTED_VALUE"""),"")</f>
        <v/>
      </c>
      <c r="D1239" s="5" t="str">
        <f>IFERROR(__xludf.DUMMYFUNCTION("""COMPUTED_VALUE"""),"")</f>
        <v/>
      </c>
      <c r="E1239" s="5" t="str">
        <f>IFERROR(__xludf.DUMMYFUNCTION("""COMPUTED_VALUE"""),"")</f>
        <v/>
      </c>
      <c r="F1239" s="5" t="str">
        <f>IFERROR(__xludf.DUMMYFUNCTION("""COMPUTED_VALUE"""),"")</f>
        <v/>
      </c>
      <c r="G1239" s="5" t="str">
        <f>IFERROR(__xludf.DUMMYFUNCTION("""COMPUTED_VALUE"""),"")</f>
        <v/>
      </c>
      <c r="H1239" s="5" t="str">
        <f>IFERROR(__xludf.DUMMYFUNCTION("""COMPUTED_VALUE"""),"")</f>
        <v/>
      </c>
      <c r="I1239" s="5" t="str">
        <f>IFERROR(__xludf.DUMMYFUNCTION("""COMPUTED_VALUE"""),"")</f>
        <v/>
      </c>
      <c r="J1239" s="5" t="str">
        <f>IFERROR(__xludf.DUMMYFUNCTION("""COMPUTED_VALUE"""),"")</f>
        <v/>
      </c>
      <c r="K1239" s="5" t="str">
        <f>IFERROR(__xludf.DUMMYFUNCTION("""COMPUTED_VALUE"""),"")</f>
        <v/>
      </c>
      <c r="L1239" s="5" t="str">
        <f>IFERROR(__xludf.DUMMYFUNCTION("""COMPUTED_VALUE"""),"")</f>
        <v/>
      </c>
      <c r="M1239" s="5" t="str">
        <f>IFERROR(__xludf.DUMMYFUNCTION("""COMPUTED_VALUE"""),"")</f>
        <v/>
      </c>
      <c r="N1239" s="5" t="str">
        <f>IFERROR(__xludf.DUMMYFUNCTION("""COMPUTED_VALUE"""),"")</f>
        <v/>
      </c>
      <c r="O1239" s="5" t="str">
        <f>IFERROR(__xludf.DUMMYFUNCTION("""COMPUTED_VALUE"""),"")</f>
        <v/>
      </c>
      <c r="P1239" s="5" t="str">
        <f>IFERROR(__xludf.DUMMYFUNCTION("""COMPUTED_VALUE"""),"")</f>
        <v/>
      </c>
      <c r="Q1239" s="5" t="str">
        <f>IFERROR(__xludf.DUMMYFUNCTION("""COMPUTED_VALUE"""),"")</f>
        <v/>
      </c>
      <c r="R1239" s="5" t="str">
        <f>IFERROR(__xludf.DUMMYFUNCTION("""COMPUTED_VALUE"""),"")</f>
        <v/>
      </c>
      <c r="S1239" s="5" t="str">
        <f>IFERROR(__xludf.DUMMYFUNCTION("""COMPUTED_VALUE"""),"")</f>
        <v/>
      </c>
      <c r="T1239" s="5" t="str">
        <f>IFERROR(__xludf.DUMMYFUNCTION("""COMPUTED_VALUE"""),"")</f>
        <v/>
      </c>
      <c r="U1239" s="5" t="str">
        <f>IFERROR(__xludf.DUMMYFUNCTION("""COMPUTED_VALUE"""),"")</f>
        <v/>
      </c>
      <c r="V1239" s="5" t="str">
        <f>IFERROR(__xludf.DUMMYFUNCTION("""COMPUTED_VALUE"""),"")</f>
        <v/>
      </c>
      <c r="W1239" s="5" t="str">
        <f>IFERROR(__xludf.DUMMYFUNCTION("""COMPUTED_VALUE"""),"")</f>
        <v/>
      </c>
      <c r="X1239" s="5" t="str">
        <f>IFERROR(__xludf.DUMMYFUNCTION("""COMPUTED_VALUE"""),"")</f>
        <v/>
      </c>
      <c r="Y1239" s="5"/>
      <c r="Z1239" s="5"/>
    </row>
    <row r="1240">
      <c r="A1240" s="5"/>
      <c r="B1240" s="5" t="str">
        <f>IFERROR(__xludf.DUMMYFUNCTION("""COMPUTED_VALUE"""),"")</f>
        <v/>
      </c>
      <c r="C1240" s="5" t="str">
        <f>IFERROR(__xludf.DUMMYFUNCTION("""COMPUTED_VALUE"""),"")</f>
        <v/>
      </c>
      <c r="D1240" s="5" t="str">
        <f>IFERROR(__xludf.DUMMYFUNCTION("""COMPUTED_VALUE"""),"")</f>
        <v/>
      </c>
      <c r="E1240" s="5" t="str">
        <f>IFERROR(__xludf.DUMMYFUNCTION("""COMPUTED_VALUE"""),"")</f>
        <v/>
      </c>
      <c r="F1240" s="5" t="str">
        <f>IFERROR(__xludf.DUMMYFUNCTION("""COMPUTED_VALUE"""),"")</f>
        <v/>
      </c>
      <c r="G1240" s="5" t="str">
        <f>IFERROR(__xludf.DUMMYFUNCTION("""COMPUTED_VALUE"""),"")</f>
        <v/>
      </c>
      <c r="H1240" s="5" t="str">
        <f>IFERROR(__xludf.DUMMYFUNCTION("""COMPUTED_VALUE"""),"")</f>
        <v/>
      </c>
      <c r="I1240" s="5" t="str">
        <f>IFERROR(__xludf.DUMMYFUNCTION("""COMPUTED_VALUE"""),"")</f>
        <v/>
      </c>
      <c r="J1240" s="5" t="str">
        <f>IFERROR(__xludf.DUMMYFUNCTION("""COMPUTED_VALUE"""),"")</f>
        <v/>
      </c>
      <c r="K1240" s="5" t="str">
        <f>IFERROR(__xludf.DUMMYFUNCTION("""COMPUTED_VALUE"""),"")</f>
        <v/>
      </c>
      <c r="L1240" s="5" t="str">
        <f>IFERROR(__xludf.DUMMYFUNCTION("""COMPUTED_VALUE"""),"")</f>
        <v/>
      </c>
      <c r="M1240" s="5" t="str">
        <f>IFERROR(__xludf.DUMMYFUNCTION("""COMPUTED_VALUE"""),"")</f>
        <v/>
      </c>
      <c r="N1240" s="5" t="str">
        <f>IFERROR(__xludf.DUMMYFUNCTION("""COMPUTED_VALUE"""),"")</f>
        <v/>
      </c>
      <c r="O1240" s="5" t="str">
        <f>IFERROR(__xludf.DUMMYFUNCTION("""COMPUTED_VALUE"""),"")</f>
        <v/>
      </c>
      <c r="P1240" s="5" t="str">
        <f>IFERROR(__xludf.DUMMYFUNCTION("""COMPUTED_VALUE"""),"")</f>
        <v/>
      </c>
      <c r="Q1240" s="5" t="str">
        <f>IFERROR(__xludf.DUMMYFUNCTION("""COMPUTED_VALUE"""),"")</f>
        <v/>
      </c>
      <c r="R1240" s="5" t="str">
        <f>IFERROR(__xludf.DUMMYFUNCTION("""COMPUTED_VALUE"""),"")</f>
        <v/>
      </c>
      <c r="S1240" s="5" t="str">
        <f>IFERROR(__xludf.DUMMYFUNCTION("""COMPUTED_VALUE"""),"")</f>
        <v/>
      </c>
      <c r="T1240" s="5" t="str">
        <f>IFERROR(__xludf.DUMMYFUNCTION("""COMPUTED_VALUE"""),"")</f>
        <v/>
      </c>
      <c r="U1240" s="5" t="str">
        <f>IFERROR(__xludf.DUMMYFUNCTION("""COMPUTED_VALUE"""),"")</f>
        <v/>
      </c>
      <c r="V1240" s="5" t="str">
        <f>IFERROR(__xludf.DUMMYFUNCTION("""COMPUTED_VALUE"""),"")</f>
        <v/>
      </c>
      <c r="W1240" s="5" t="str">
        <f>IFERROR(__xludf.DUMMYFUNCTION("""COMPUTED_VALUE"""),"")</f>
        <v/>
      </c>
      <c r="X1240" s="5" t="str">
        <f>IFERROR(__xludf.DUMMYFUNCTION("""COMPUTED_VALUE"""),"")</f>
        <v/>
      </c>
      <c r="Y1240" s="5"/>
      <c r="Z1240" s="5"/>
    </row>
    <row r="1241">
      <c r="A1241" s="5"/>
      <c r="B1241" s="5" t="str">
        <f>IFERROR(__xludf.DUMMYFUNCTION("""COMPUTED_VALUE"""),"")</f>
        <v/>
      </c>
      <c r="C1241" s="5" t="str">
        <f>IFERROR(__xludf.DUMMYFUNCTION("""COMPUTED_VALUE"""),"")</f>
        <v/>
      </c>
      <c r="D1241" s="5" t="str">
        <f>IFERROR(__xludf.DUMMYFUNCTION("""COMPUTED_VALUE"""),"")</f>
        <v/>
      </c>
      <c r="E1241" s="5" t="str">
        <f>IFERROR(__xludf.DUMMYFUNCTION("""COMPUTED_VALUE"""),"")</f>
        <v/>
      </c>
      <c r="F1241" s="5" t="str">
        <f>IFERROR(__xludf.DUMMYFUNCTION("""COMPUTED_VALUE"""),"")</f>
        <v/>
      </c>
      <c r="G1241" s="5" t="str">
        <f>IFERROR(__xludf.DUMMYFUNCTION("""COMPUTED_VALUE"""),"")</f>
        <v/>
      </c>
      <c r="H1241" s="5" t="str">
        <f>IFERROR(__xludf.DUMMYFUNCTION("""COMPUTED_VALUE"""),"")</f>
        <v/>
      </c>
      <c r="I1241" s="5" t="str">
        <f>IFERROR(__xludf.DUMMYFUNCTION("""COMPUTED_VALUE"""),"")</f>
        <v/>
      </c>
      <c r="J1241" s="5" t="str">
        <f>IFERROR(__xludf.DUMMYFUNCTION("""COMPUTED_VALUE"""),"")</f>
        <v/>
      </c>
      <c r="K1241" s="5" t="str">
        <f>IFERROR(__xludf.DUMMYFUNCTION("""COMPUTED_VALUE"""),"")</f>
        <v/>
      </c>
      <c r="L1241" s="5" t="str">
        <f>IFERROR(__xludf.DUMMYFUNCTION("""COMPUTED_VALUE"""),"")</f>
        <v/>
      </c>
      <c r="M1241" s="5" t="str">
        <f>IFERROR(__xludf.DUMMYFUNCTION("""COMPUTED_VALUE"""),"")</f>
        <v/>
      </c>
      <c r="N1241" s="5" t="str">
        <f>IFERROR(__xludf.DUMMYFUNCTION("""COMPUTED_VALUE"""),"")</f>
        <v/>
      </c>
      <c r="O1241" s="5" t="str">
        <f>IFERROR(__xludf.DUMMYFUNCTION("""COMPUTED_VALUE"""),"")</f>
        <v/>
      </c>
      <c r="P1241" s="5" t="str">
        <f>IFERROR(__xludf.DUMMYFUNCTION("""COMPUTED_VALUE"""),"")</f>
        <v/>
      </c>
      <c r="Q1241" s="5" t="str">
        <f>IFERROR(__xludf.DUMMYFUNCTION("""COMPUTED_VALUE"""),"")</f>
        <v/>
      </c>
      <c r="R1241" s="5" t="str">
        <f>IFERROR(__xludf.DUMMYFUNCTION("""COMPUTED_VALUE"""),"")</f>
        <v/>
      </c>
      <c r="S1241" s="5" t="str">
        <f>IFERROR(__xludf.DUMMYFUNCTION("""COMPUTED_VALUE"""),"")</f>
        <v/>
      </c>
      <c r="T1241" s="5" t="str">
        <f>IFERROR(__xludf.DUMMYFUNCTION("""COMPUTED_VALUE"""),"")</f>
        <v/>
      </c>
      <c r="U1241" s="5" t="str">
        <f>IFERROR(__xludf.DUMMYFUNCTION("""COMPUTED_VALUE"""),"")</f>
        <v/>
      </c>
      <c r="V1241" s="5" t="str">
        <f>IFERROR(__xludf.DUMMYFUNCTION("""COMPUTED_VALUE"""),"")</f>
        <v/>
      </c>
      <c r="W1241" s="5" t="str">
        <f>IFERROR(__xludf.DUMMYFUNCTION("""COMPUTED_VALUE"""),"")</f>
        <v/>
      </c>
      <c r="X1241" s="5" t="str">
        <f>IFERROR(__xludf.DUMMYFUNCTION("""COMPUTED_VALUE"""),"")</f>
        <v/>
      </c>
      <c r="Y1241" s="5"/>
      <c r="Z1241" s="5"/>
    </row>
    <row r="1242">
      <c r="A1242" s="5"/>
      <c r="B1242" s="5" t="str">
        <f>IFERROR(__xludf.DUMMYFUNCTION("""COMPUTED_VALUE"""),"")</f>
        <v/>
      </c>
      <c r="C1242" s="5" t="str">
        <f>IFERROR(__xludf.DUMMYFUNCTION("""COMPUTED_VALUE"""),"")</f>
        <v/>
      </c>
      <c r="D1242" s="5" t="str">
        <f>IFERROR(__xludf.DUMMYFUNCTION("""COMPUTED_VALUE"""),"")</f>
        <v/>
      </c>
      <c r="E1242" s="5" t="str">
        <f>IFERROR(__xludf.DUMMYFUNCTION("""COMPUTED_VALUE"""),"")</f>
        <v/>
      </c>
      <c r="F1242" s="5" t="str">
        <f>IFERROR(__xludf.DUMMYFUNCTION("""COMPUTED_VALUE"""),"")</f>
        <v/>
      </c>
      <c r="G1242" s="5" t="str">
        <f>IFERROR(__xludf.DUMMYFUNCTION("""COMPUTED_VALUE"""),"")</f>
        <v/>
      </c>
      <c r="H1242" s="5" t="str">
        <f>IFERROR(__xludf.DUMMYFUNCTION("""COMPUTED_VALUE"""),"")</f>
        <v/>
      </c>
      <c r="I1242" s="5" t="str">
        <f>IFERROR(__xludf.DUMMYFUNCTION("""COMPUTED_VALUE"""),"")</f>
        <v/>
      </c>
      <c r="J1242" s="5" t="str">
        <f>IFERROR(__xludf.DUMMYFUNCTION("""COMPUTED_VALUE"""),"")</f>
        <v/>
      </c>
      <c r="K1242" s="5" t="str">
        <f>IFERROR(__xludf.DUMMYFUNCTION("""COMPUTED_VALUE"""),"")</f>
        <v/>
      </c>
      <c r="L1242" s="5" t="str">
        <f>IFERROR(__xludf.DUMMYFUNCTION("""COMPUTED_VALUE"""),"")</f>
        <v/>
      </c>
      <c r="M1242" s="5" t="str">
        <f>IFERROR(__xludf.DUMMYFUNCTION("""COMPUTED_VALUE"""),"")</f>
        <v/>
      </c>
      <c r="N1242" s="5" t="str">
        <f>IFERROR(__xludf.DUMMYFUNCTION("""COMPUTED_VALUE"""),"")</f>
        <v/>
      </c>
      <c r="O1242" s="5" t="str">
        <f>IFERROR(__xludf.DUMMYFUNCTION("""COMPUTED_VALUE"""),"")</f>
        <v/>
      </c>
      <c r="P1242" s="5" t="str">
        <f>IFERROR(__xludf.DUMMYFUNCTION("""COMPUTED_VALUE"""),"")</f>
        <v/>
      </c>
      <c r="Q1242" s="5" t="str">
        <f>IFERROR(__xludf.DUMMYFUNCTION("""COMPUTED_VALUE"""),"")</f>
        <v/>
      </c>
      <c r="R1242" s="5" t="str">
        <f>IFERROR(__xludf.DUMMYFUNCTION("""COMPUTED_VALUE"""),"")</f>
        <v/>
      </c>
      <c r="S1242" s="5" t="str">
        <f>IFERROR(__xludf.DUMMYFUNCTION("""COMPUTED_VALUE"""),"")</f>
        <v/>
      </c>
      <c r="T1242" s="5" t="str">
        <f>IFERROR(__xludf.DUMMYFUNCTION("""COMPUTED_VALUE"""),"")</f>
        <v/>
      </c>
      <c r="U1242" s="5" t="str">
        <f>IFERROR(__xludf.DUMMYFUNCTION("""COMPUTED_VALUE"""),"")</f>
        <v/>
      </c>
      <c r="V1242" s="5" t="str">
        <f>IFERROR(__xludf.DUMMYFUNCTION("""COMPUTED_VALUE"""),"")</f>
        <v/>
      </c>
      <c r="W1242" s="5" t="str">
        <f>IFERROR(__xludf.DUMMYFUNCTION("""COMPUTED_VALUE"""),"")</f>
        <v/>
      </c>
      <c r="X1242" s="5" t="str">
        <f>IFERROR(__xludf.DUMMYFUNCTION("""COMPUTED_VALUE"""),"")</f>
        <v/>
      </c>
      <c r="Y1242" s="5"/>
      <c r="Z1242" s="5"/>
    </row>
    <row r="1243">
      <c r="A1243" s="5"/>
      <c r="B1243" s="5" t="str">
        <f>IFERROR(__xludf.DUMMYFUNCTION("""COMPUTED_VALUE"""),"")</f>
        <v/>
      </c>
      <c r="C1243" s="5" t="str">
        <f>IFERROR(__xludf.DUMMYFUNCTION("""COMPUTED_VALUE"""),"")</f>
        <v/>
      </c>
      <c r="D1243" s="5" t="str">
        <f>IFERROR(__xludf.DUMMYFUNCTION("""COMPUTED_VALUE"""),"")</f>
        <v/>
      </c>
      <c r="E1243" s="5" t="str">
        <f>IFERROR(__xludf.DUMMYFUNCTION("""COMPUTED_VALUE"""),"")</f>
        <v/>
      </c>
      <c r="F1243" s="5" t="str">
        <f>IFERROR(__xludf.DUMMYFUNCTION("""COMPUTED_VALUE"""),"")</f>
        <v/>
      </c>
      <c r="G1243" s="5" t="str">
        <f>IFERROR(__xludf.DUMMYFUNCTION("""COMPUTED_VALUE"""),"")</f>
        <v/>
      </c>
      <c r="H1243" s="5" t="str">
        <f>IFERROR(__xludf.DUMMYFUNCTION("""COMPUTED_VALUE"""),"")</f>
        <v/>
      </c>
      <c r="I1243" s="5" t="str">
        <f>IFERROR(__xludf.DUMMYFUNCTION("""COMPUTED_VALUE"""),"")</f>
        <v/>
      </c>
      <c r="J1243" s="5" t="str">
        <f>IFERROR(__xludf.DUMMYFUNCTION("""COMPUTED_VALUE"""),"")</f>
        <v/>
      </c>
      <c r="K1243" s="5" t="str">
        <f>IFERROR(__xludf.DUMMYFUNCTION("""COMPUTED_VALUE"""),"")</f>
        <v/>
      </c>
      <c r="L1243" s="5" t="str">
        <f>IFERROR(__xludf.DUMMYFUNCTION("""COMPUTED_VALUE"""),"")</f>
        <v/>
      </c>
      <c r="M1243" s="5" t="str">
        <f>IFERROR(__xludf.DUMMYFUNCTION("""COMPUTED_VALUE"""),"")</f>
        <v/>
      </c>
      <c r="N1243" s="5" t="str">
        <f>IFERROR(__xludf.DUMMYFUNCTION("""COMPUTED_VALUE"""),"")</f>
        <v/>
      </c>
      <c r="O1243" s="5" t="str">
        <f>IFERROR(__xludf.DUMMYFUNCTION("""COMPUTED_VALUE"""),"")</f>
        <v/>
      </c>
      <c r="P1243" s="5" t="str">
        <f>IFERROR(__xludf.DUMMYFUNCTION("""COMPUTED_VALUE"""),"")</f>
        <v/>
      </c>
      <c r="Q1243" s="5" t="str">
        <f>IFERROR(__xludf.DUMMYFUNCTION("""COMPUTED_VALUE"""),"")</f>
        <v/>
      </c>
      <c r="R1243" s="5" t="str">
        <f>IFERROR(__xludf.DUMMYFUNCTION("""COMPUTED_VALUE"""),"")</f>
        <v/>
      </c>
      <c r="S1243" s="5" t="str">
        <f>IFERROR(__xludf.DUMMYFUNCTION("""COMPUTED_VALUE"""),"")</f>
        <v/>
      </c>
      <c r="T1243" s="5" t="str">
        <f>IFERROR(__xludf.DUMMYFUNCTION("""COMPUTED_VALUE"""),"")</f>
        <v/>
      </c>
      <c r="U1243" s="5" t="str">
        <f>IFERROR(__xludf.DUMMYFUNCTION("""COMPUTED_VALUE"""),"")</f>
        <v/>
      </c>
      <c r="V1243" s="5" t="str">
        <f>IFERROR(__xludf.DUMMYFUNCTION("""COMPUTED_VALUE"""),"")</f>
        <v/>
      </c>
      <c r="W1243" s="5" t="str">
        <f>IFERROR(__xludf.DUMMYFUNCTION("""COMPUTED_VALUE"""),"")</f>
        <v/>
      </c>
      <c r="X1243" s="5" t="str">
        <f>IFERROR(__xludf.DUMMYFUNCTION("""COMPUTED_VALUE"""),"")</f>
        <v/>
      </c>
      <c r="Y1243" s="5"/>
      <c r="Z1243" s="5"/>
    </row>
    <row r="1244">
      <c r="A1244" s="5"/>
      <c r="B1244" s="5" t="str">
        <f>IFERROR(__xludf.DUMMYFUNCTION("""COMPUTED_VALUE"""),"")</f>
        <v/>
      </c>
      <c r="C1244" s="5" t="str">
        <f>IFERROR(__xludf.DUMMYFUNCTION("""COMPUTED_VALUE"""),"")</f>
        <v/>
      </c>
      <c r="D1244" s="5" t="str">
        <f>IFERROR(__xludf.DUMMYFUNCTION("""COMPUTED_VALUE"""),"")</f>
        <v/>
      </c>
      <c r="E1244" s="5" t="str">
        <f>IFERROR(__xludf.DUMMYFUNCTION("""COMPUTED_VALUE"""),"")</f>
        <v/>
      </c>
      <c r="F1244" s="5" t="str">
        <f>IFERROR(__xludf.DUMMYFUNCTION("""COMPUTED_VALUE"""),"")</f>
        <v/>
      </c>
      <c r="G1244" s="5" t="str">
        <f>IFERROR(__xludf.DUMMYFUNCTION("""COMPUTED_VALUE"""),"")</f>
        <v/>
      </c>
      <c r="H1244" s="5" t="str">
        <f>IFERROR(__xludf.DUMMYFUNCTION("""COMPUTED_VALUE"""),"")</f>
        <v/>
      </c>
      <c r="I1244" s="5" t="str">
        <f>IFERROR(__xludf.DUMMYFUNCTION("""COMPUTED_VALUE"""),"")</f>
        <v/>
      </c>
      <c r="J1244" s="5" t="str">
        <f>IFERROR(__xludf.DUMMYFUNCTION("""COMPUTED_VALUE"""),"")</f>
        <v/>
      </c>
      <c r="K1244" s="5" t="str">
        <f>IFERROR(__xludf.DUMMYFUNCTION("""COMPUTED_VALUE"""),"")</f>
        <v/>
      </c>
      <c r="L1244" s="5" t="str">
        <f>IFERROR(__xludf.DUMMYFUNCTION("""COMPUTED_VALUE"""),"")</f>
        <v/>
      </c>
      <c r="M1244" s="5" t="str">
        <f>IFERROR(__xludf.DUMMYFUNCTION("""COMPUTED_VALUE"""),"")</f>
        <v/>
      </c>
      <c r="N1244" s="5" t="str">
        <f>IFERROR(__xludf.DUMMYFUNCTION("""COMPUTED_VALUE"""),"")</f>
        <v/>
      </c>
      <c r="O1244" s="5" t="str">
        <f>IFERROR(__xludf.DUMMYFUNCTION("""COMPUTED_VALUE"""),"")</f>
        <v/>
      </c>
      <c r="P1244" s="5" t="str">
        <f>IFERROR(__xludf.DUMMYFUNCTION("""COMPUTED_VALUE"""),"")</f>
        <v/>
      </c>
      <c r="Q1244" s="5" t="str">
        <f>IFERROR(__xludf.DUMMYFUNCTION("""COMPUTED_VALUE"""),"")</f>
        <v/>
      </c>
      <c r="R1244" s="5" t="str">
        <f>IFERROR(__xludf.DUMMYFUNCTION("""COMPUTED_VALUE"""),"")</f>
        <v/>
      </c>
      <c r="S1244" s="5" t="str">
        <f>IFERROR(__xludf.DUMMYFUNCTION("""COMPUTED_VALUE"""),"")</f>
        <v/>
      </c>
      <c r="T1244" s="5" t="str">
        <f>IFERROR(__xludf.DUMMYFUNCTION("""COMPUTED_VALUE"""),"")</f>
        <v/>
      </c>
      <c r="U1244" s="5" t="str">
        <f>IFERROR(__xludf.DUMMYFUNCTION("""COMPUTED_VALUE"""),"")</f>
        <v/>
      </c>
      <c r="V1244" s="5" t="str">
        <f>IFERROR(__xludf.DUMMYFUNCTION("""COMPUTED_VALUE"""),"")</f>
        <v/>
      </c>
      <c r="W1244" s="5" t="str">
        <f>IFERROR(__xludf.DUMMYFUNCTION("""COMPUTED_VALUE"""),"")</f>
        <v/>
      </c>
      <c r="X1244" s="5" t="str">
        <f>IFERROR(__xludf.DUMMYFUNCTION("""COMPUTED_VALUE"""),"")</f>
        <v/>
      </c>
      <c r="Y1244" s="5"/>
      <c r="Z1244" s="5"/>
    </row>
    <row r="1245">
      <c r="A1245" s="5"/>
      <c r="B1245" s="5" t="str">
        <f>IFERROR(__xludf.DUMMYFUNCTION("""COMPUTED_VALUE"""),"")</f>
        <v/>
      </c>
      <c r="C1245" s="5" t="str">
        <f>IFERROR(__xludf.DUMMYFUNCTION("""COMPUTED_VALUE"""),"")</f>
        <v/>
      </c>
      <c r="D1245" s="5" t="str">
        <f>IFERROR(__xludf.DUMMYFUNCTION("""COMPUTED_VALUE"""),"")</f>
        <v/>
      </c>
      <c r="E1245" s="5" t="str">
        <f>IFERROR(__xludf.DUMMYFUNCTION("""COMPUTED_VALUE"""),"")</f>
        <v/>
      </c>
      <c r="F1245" s="5" t="str">
        <f>IFERROR(__xludf.DUMMYFUNCTION("""COMPUTED_VALUE"""),"")</f>
        <v/>
      </c>
      <c r="G1245" s="5" t="str">
        <f>IFERROR(__xludf.DUMMYFUNCTION("""COMPUTED_VALUE"""),"")</f>
        <v/>
      </c>
      <c r="H1245" s="5" t="str">
        <f>IFERROR(__xludf.DUMMYFUNCTION("""COMPUTED_VALUE"""),"")</f>
        <v/>
      </c>
      <c r="I1245" s="5" t="str">
        <f>IFERROR(__xludf.DUMMYFUNCTION("""COMPUTED_VALUE"""),"")</f>
        <v/>
      </c>
      <c r="J1245" s="5" t="str">
        <f>IFERROR(__xludf.DUMMYFUNCTION("""COMPUTED_VALUE"""),"")</f>
        <v/>
      </c>
      <c r="K1245" s="5" t="str">
        <f>IFERROR(__xludf.DUMMYFUNCTION("""COMPUTED_VALUE"""),"")</f>
        <v/>
      </c>
      <c r="L1245" s="5" t="str">
        <f>IFERROR(__xludf.DUMMYFUNCTION("""COMPUTED_VALUE"""),"")</f>
        <v/>
      </c>
      <c r="M1245" s="5" t="str">
        <f>IFERROR(__xludf.DUMMYFUNCTION("""COMPUTED_VALUE"""),"")</f>
        <v/>
      </c>
      <c r="N1245" s="5" t="str">
        <f>IFERROR(__xludf.DUMMYFUNCTION("""COMPUTED_VALUE"""),"")</f>
        <v/>
      </c>
      <c r="O1245" s="5" t="str">
        <f>IFERROR(__xludf.DUMMYFUNCTION("""COMPUTED_VALUE"""),"")</f>
        <v/>
      </c>
      <c r="P1245" s="5" t="str">
        <f>IFERROR(__xludf.DUMMYFUNCTION("""COMPUTED_VALUE"""),"")</f>
        <v/>
      </c>
      <c r="Q1245" s="5" t="str">
        <f>IFERROR(__xludf.DUMMYFUNCTION("""COMPUTED_VALUE"""),"")</f>
        <v/>
      </c>
      <c r="R1245" s="5" t="str">
        <f>IFERROR(__xludf.DUMMYFUNCTION("""COMPUTED_VALUE"""),"")</f>
        <v/>
      </c>
      <c r="S1245" s="5" t="str">
        <f>IFERROR(__xludf.DUMMYFUNCTION("""COMPUTED_VALUE"""),"")</f>
        <v/>
      </c>
      <c r="T1245" s="5" t="str">
        <f>IFERROR(__xludf.DUMMYFUNCTION("""COMPUTED_VALUE"""),"")</f>
        <v/>
      </c>
      <c r="U1245" s="5" t="str">
        <f>IFERROR(__xludf.DUMMYFUNCTION("""COMPUTED_VALUE"""),"")</f>
        <v/>
      </c>
      <c r="V1245" s="5" t="str">
        <f>IFERROR(__xludf.DUMMYFUNCTION("""COMPUTED_VALUE"""),"")</f>
        <v/>
      </c>
      <c r="W1245" s="5" t="str">
        <f>IFERROR(__xludf.DUMMYFUNCTION("""COMPUTED_VALUE"""),"")</f>
        <v/>
      </c>
      <c r="X1245" s="5" t="str">
        <f>IFERROR(__xludf.DUMMYFUNCTION("""COMPUTED_VALUE"""),"")</f>
        <v/>
      </c>
      <c r="Y1245" s="5"/>
      <c r="Z1245" s="5"/>
    </row>
    <row r="1246">
      <c r="A1246" s="5"/>
      <c r="B1246" s="5" t="str">
        <f>IFERROR(__xludf.DUMMYFUNCTION("""COMPUTED_VALUE"""),"")</f>
        <v/>
      </c>
      <c r="C1246" s="5" t="str">
        <f>IFERROR(__xludf.DUMMYFUNCTION("""COMPUTED_VALUE"""),"")</f>
        <v/>
      </c>
      <c r="D1246" s="5" t="str">
        <f>IFERROR(__xludf.DUMMYFUNCTION("""COMPUTED_VALUE"""),"")</f>
        <v/>
      </c>
      <c r="E1246" s="5" t="str">
        <f>IFERROR(__xludf.DUMMYFUNCTION("""COMPUTED_VALUE"""),"")</f>
        <v/>
      </c>
      <c r="F1246" s="5" t="str">
        <f>IFERROR(__xludf.DUMMYFUNCTION("""COMPUTED_VALUE"""),"")</f>
        <v/>
      </c>
      <c r="G1246" s="5" t="str">
        <f>IFERROR(__xludf.DUMMYFUNCTION("""COMPUTED_VALUE"""),"")</f>
        <v/>
      </c>
      <c r="H1246" s="5" t="str">
        <f>IFERROR(__xludf.DUMMYFUNCTION("""COMPUTED_VALUE"""),"")</f>
        <v/>
      </c>
      <c r="I1246" s="5" t="str">
        <f>IFERROR(__xludf.DUMMYFUNCTION("""COMPUTED_VALUE"""),"")</f>
        <v/>
      </c>
      <c r="J1246" s="5" t="str">
        <f>IFERROR(__xludf.DUMMYFUNCTION("""COMPUTED_VALUE"""),"")</f>
        <v/>
      </c>
      <c r="K1246" s="5" t="str">
        <f>IFERROR(__xludf.DUMMYFUNCTION("""COMPUTED_VALUE"""),"")</f>
        <v/>
      </c>
      <c r="L1246" s="5" t="str">
        <f>IFERROR(__xludf.DUMMYFUNCTION("""COMPUTED_VALUE"""),"")</f>
        <v/>
      </c>
      <c r="M1246" s="5" t="str">
        <f>IFERROR(__xludf.DUMMYFUNCTION("""COMPUTED_VALUE"""),"")</f>
        <v/>
      </c>
      <c r="N1246" s="5" t="str">
        <f>IFERROR(__xludf.DUMMYFUNCTION("""COMPUTED_VALUE"""),"")</f>
        <v/>
      </c>
      <c r="O1246" s="5" t="str">
        <f>IFERROR(__xludf.DUMMYFUNCTION("""COMPUTED_VALUE"""),"")</f>
        <v/>
      </c>
      <c r="P1246" s="5" t="str">
        <f>IFERROR(__xludf.DUMMYFUNCTION("""COMPUTED_VALUE"""),"")</f>
        <v/>
      </c>
      <c r="Q1246" s="5" t="str">
        <f>IFERROR(__xludf.DUMMYFUNCTION("""COMPUTED_VALUE"""),"")</f>
        <v/>
      </c>
      <c r="R1246" s="5" t="str">
        <f>IFERROR(__xludf.DUMMYFUNCTION("""COMPUTED_VALUE"""),"")</f>
        <v/>
      </c>
      <c r="S1246" s="5" t="str">
        <f>IFERROR(__xludf.DUMMYFUNCTION("""COMPUTED_VALUE"""),"")</f>
        <v/>
      </c>
      <c r="T1246" s="5" t="str">
        <f>IFERROR(__xludf.DUMMYFUNCTION("""COMPUTED_VALUE"""),"")</f>
        <v/>
      </c>
      <c r="U1246" s="5" t="str">
        <f>IFERROR(__xludf.DUMMYFUNCTION("""COMPUTED_VALUE"""),"")</f>
        <v/>
      </c>
      <c r="V1246" s="5" t="str">
        <f>IFERROR(__xludf.DUMMYFUNCTION("""COMPUTED_VALUE"""),"")</f>
        <v/>
      </c>
      <c r="W1246" s="5" t="str">
        <f>IFERROR(__xludf.DUMMYFUNCTION("""COMPUTED_VALUE"""),"")</f>
        <v/>
      </c>
      <c r="X1246" s="5" t="str">
        <f>IFERROR(__xludf.DUMMYFUNCTION("""COMPUTED_VALUE"""),"")</f>
        <v/>
      </c>
      <c r="Y1246" s="5"/>
      <c r="Z1246" s="5"/>
    </row>
    <row r="1247">
      <c r="A1247" s="5"/>
      <c r="B1247" s="5" t="str">
        <f>IFERROR(__xludf.DUMMYFUNCTION("""COMPUTED_VALUE"""),"")</f>
        <v/>
      </c>
      <c r="C1247" s="5" t="str">
        <f>IFERROR(__xludf.DUMMYFUNCTION("""COMPUTED_VALUE"""),"")</f>
        <v/>
      </c>
      <c r="D1247" s="5" t="str">
        <f>IFERROR(__xludf.DUMMYFUNCTION("""COMPUTED_VALUE"""),"")</f>
        <v/>
      </c>
      <c r="E1247" s="5" t="str">
        <f>IFERROR(__xludf.DUMMYFUNCTION("""COMPUTED_VALUE"""),"")</f>
        <v/>
      </c>
      <c r="F1247" s="5" t="str">
        <f>IFERROR(__xludf.DUMMYFUNCTION("""COMPUTED_VALUE"""),"")</f>
        <v/>
      </c>
      <c r="G1247" s="5" t="str">
        <f>IFERROR(__xludf.DUMMYFUNCTION("""COMPUTED_VALUE"""),"")</f>
        <v/>
      </c>
      <c r="H1247" s="5" t="str">
        <f>IFERROR(__xludf.DUMMYFUNCTION("""COMPUTED_VALUE"""),"")</f>
        <v/>
      </c>
      <c r="I1247" s="5" t="str">
        <f>IFERROR(__xludf.DUMMYFUNCTION("""COMPUTED_VALUE"""),"")</f>
        <v/>
      </c>
      <c r="J1247" s="5" t="str">
        <f>IFERROR(__xludf.DUMMYFUNCTION("""COMPUTED_VALUE"""),"")</f>
        <v/>
      </c>
      <c r="K1247" s="5" t="str">
        <f>IFERROR(__xludf.DUMMYFUNCTION("""COMPUTED_VALUE"""),"")</f>
        <v/>
      </c>
      <c r="L1247" s="5" t="str">
        <f>IFERROR(__xludf.DUMMYFUNCTION("""COMPUTED_VALUE"""),"")</f>
        <v/>
      </c>
      <c r="M1247" s="5" t="str">
        <f>IFERROR(__xludf.DUMMYFUNCTION("""COMPUTED_VALUE"""),"")</f>
        <v/>
      </c>
      <c r="N1247" s="5" t="str">
        <f>IFERROR(__xludf.DUMMYFUNCTION("""COMPUTED_VALUE"""),"")</f>
        <v/>
      </c>
      <c r="O1247" s="5" t="str">
        <f>IFERROR(__xludf.DUMMYFUNCTION("""COMPUTED_VALUE"""),"")</f>
        <v/>
      </c>
      <c r="P1247" s="5" t="str">
        <f>IFERROR(__xludf.DUMMYFUNCTION("""COMPUTED_VALUE"""),"")</f>
        <v/>
      </c>
      <c r="Q1247" s="5" t="str">
        <f>IFERROR(__xludf.DUMMYFUNCTION("""COMPUTED_VALUE"""),"")</f>
        <v/>
      </c>
      <c r="R1247" s="5" t="str">
        <f>IFERROR(__xludf.DUMMYFUNCTION("""COMPUTED_VALUE"""),"")</f>
        <v/>
      </c>
      <c r="S1247" s="5" t="str">
        <f>IFERROR(__xludf.DUMMYFUNCTION("""COMPUTED_VALUE"""),"")</f>
        <v/>
      </c>
      <c r="T1247" s="5" t="str">
        <f>IFERROR(__xludf.DUMMYFUNCTION("""COMPUTED_VALUE"""),"")</f>
        <v/>
      </c>
      <c r="U1247" s="5" t="str">
        <f>IFERROR(__xludf.DUMMYFUNCTION("""COMPUTED_VALUE"""),"")</f>
        <v/>
      </c>
      <c r="V1247" s="5" t="str">
        <f>IFERROR(__xludf.DUMMYFUNCTION("""COMPUTED_VALUE"""),"")</f>
        <v/>
      </c>
      <c r="W1247" s="5" t="str">
        <f>IFERROR(__xludf.DUMMYFUNCTION("""COMPUTED_VALUE"""),"")</f>
        <v/>
      </c>
      <c r="X1247" s="5" t="str">
        <f>IFERROR(__xludf.DUMMYFUNCTION("""COMPUTED_VALUE"""),"")</f>
        <v/>
      </c>
      <c r="Y1247" s="5"/>
      <c r="Z1247" s="5"/>
    </row>
    <row r="1248">
      <c r="A1248" s="5"/>
      <c r="B1248" s="5" t="str">
        <f>IFERROR(__xludf.DUMMYFUNCTION("""COMPUTED_VALUE"""),"")</f>
        <v/>
      </c>
      <c r="C1248" s="5" t="str">
        <f>IFERROR(__xludf.DUMMYFUNCTION("""COMPUTED_VALUE"""),"")</f>
        <v/>
      </c>
      <c r="D1248" s="5" t="str">
        <f>IFERROR(__xludf.DUMMYFUNCTION("""COMPUTED_VALUE"""),"")</f>
        <v/>
      </c>
      <c r="E1248" s="5" t="str">
        <f>IFERROR(__xludf.DUMMYFUNCTION("""COMPUTED_VALUE"""),"")</f>
        <v/>
      </c>
      <c r="F1248" s="5" t="str">
        <f>IFERROR(__xludf.DUMMYFUNCTION("""COMPUTED_VALUE"""),"")</f>
        <v/>
      </c>
      <c r="G1248" s="5" t="str">
        <f>IFERROR(__xludf.DUMMYFUNCTION("""COMPUTED_VALUE"""),"")</f>
        <v/>
      </c>
      <c r="H1248" s="5" t="str">
        <f>IFERROR(__xludf.DUMMYFUNCTION("""COMPUTED_VALUE"""),"")</f>
        <v/>
      </c>
      <c r="I1248" s="5" t="str">
        <f>IFERROR(__xludf.DUMMYFUNCTION("""COMPUTED_VALUE"""),"")</f>
        <v/>
      </c>
      <c r="J1248" s="5" t="str">
        <f>IFERROR(__xludf.DUMMYFUNCTION("""COMPUTED_VALUE"""),"")</f>
        <v/>
      </c>
      <c r="K1248" s="5" t="str">
        <f>IFERROR(__xludf.DUMMYFUNCTION("""COMPUTED_VALUE"""),"")</f>
        <v/>
      </c>
      <c r="L1248" s="5" t="str">
        <f>IFERROR(__xludf.DUMMYFUNCTION("""COMPUTED_VALUE"""),"")</f>
        <v/>
      </c>
      <c r="M1248" s="5" t="str">
        <f>IFERROR(__xludf.DUMMYFUNCTION("""COMPUTED_VALUE"""),"")</f>
        <v/>
      </c>
      <c r="N1248" s="5" t="str">
        <f>IFERROR(__xludf.DUMMYFUNCTION("""COMPUTED_VALUE"""),"")</f>
        <v/>
      </c>
      <c r="O1248" s="5" t="str">
        <f>IFERROR(__xludf.DUMMYFUNCTION("""COMPUTED_VALUE"""),"")</f>
        <v/>
      </c>
      <c r="P1248" s="5" t="str">
        <f>IFERROR(__xludf.DUMMYFUNCTION("""COMPUTED_VALUE"""),"")</f>
        <v/>
      </c>
      <c r="Q1248" s="5" t="str">
        <f>IFERROR(__xludf.DUMMYFUNCTION("""COMPUTED_VALUE"""),"")</f>
        <v/>
      </c>
      <c r="R1248" s="5" t="str">
        <f>IFERROR(__xludf.DUMMYFUNCTION("""COMPUTED_VALUE"""),"")</f>
        <v/>
      </c>
      <c r="S1248" s="5" t="str">
        <f>IFERROR(__xludf.DUMMYFUNCTION("""COMPUTED_VALUE"""),"")</f>
        <v/>
      </c>
      <c r="T1248" s="5" t="str">
        <f>IFERROR(__xludf.DUMMYFUNCTION("""COMPUTED_VALUE"""),"")</f>
        <v/>
      </c>
      <c r="U1248" s="5" t="str">
        <f>IFERROR(__xludf.DUMMYFUNCTION("""COMPUTED_VALUE"""),"")</f>
        <v/>
      </c>
      <c r="V1248" s="5" t="str">
        <f>IFERROR(__xludf.DUMMYFUNCTION("""COMPUTED_VALUE"""),"")</f>
        <v/>
      </c>
      <c r="W1248" s="5" t="str">
        <f>IFERROR(__xludf.DUMMYFUNCTION("""COMPUTED_VALUE"""),"")</f>
        <v/>
      </c>
      <c r="X1248" s="5" t="str">
        <f>IFERROR(__xludf.DUMMYFUNCTION("""COMPUTED_VALUE"""),"")</f>
        <v/>
      </c>
      <c r="Y1248" s="5"/>
      <c r="Z1248" s="5"/>
    </row>
    <row r="1249">
      <c r="A1249" s="5"/>
      <c r="B1249" s="5" t="str">
        <f>IFERROR(__xludf.DUMMYFUNCTION("""COMPUTED_VALUE"""),"")</f>
        <v/>
      </c>
      <c r="C1249" s="5" t="str">
        <f>IFERROR(__xludf.DUMMYFUNCTION("""COMPUTED_VALUE"""),"")</f>
        <v/>
      </c>
      <c r="D1249" s="5" t="str">
        <f>IFERROR(__xludf.DUMMYFUNCTION("""COMPUTED_VALUE"""),"")</f>
        <v/>
      </c>
      <c r="E1249" s="5" t="str">
        <f>IFERROR(__xludf.DUMMYFUNCTION("""COMPUTED_VALUE"""),"")</f>
        <v/>
      </c>
      <c r="F1249" s="5" t="str">
        <f>IFERROR(__xludf.DUMMYFUNCTION("""COMPUTED_VALUE"""),"")</f>
        <v/>
      </c>
      <c r="G1249" s="5" t="str">
        <f>IFERROR(__xludf.DUMMYFUNCTION("""COMPUTED_VALUE"""),"")</f>
        <v/>
      </c>
      <c r="H1249" s="5" t="str">
        <f>IFERROR(__xludf.DUMMYFUNCTION("""COMPUTED_VALUE"""),"")</f>
        <v/>
      </c>
      <c r="I1249" s="5" t="str">
        <f>IFERROR(__xludf.DUMMYFUNCTION("""COMPUTED_VALUE"""),"")</f>
        <v/>
      </c>
      <c r="J1249" s="5" t="str">
        <f>IFERROR(__xludf.DUMMYFUNCTION("""COMPUTED_VALUE"""),"")</f>
        <v/>
      </c>
      <c r="K1249" s="5" t="str">
        <f>IFERROR(__xludf.DUMMYFUNCTION("""COMPUTED_VALUE"""),"")</f>
        <v/>
      </c>
      <c r="L1249" s="5" t="str">
        <f>IFERROR(__xludf.DUMMYFUNCTION("""COMPUTED_VALUE"""),"")</f>
        <v/>
      </c>
      <c r="M1249" s="5" t="str">
        <f>IFERROR(__xludf.DUMMYFUNCTION("""COMPUTED_VALUE"""),"")</f>
        <v/>
      </c>
      <c r="N1249" s="5" t="str">
        <f>IFERROR(__xludf.DUMMYFUNCTION("""COMPUTED_VALUE"""),"")</f>
        <v/>
      </c>
      <c r="O1249" s="5" t="str">
        <f>IFERROR(__xludf.DUMMYFUNCTION("""COMPUTED_VALUE"""),"")</f>
        <v/>
      </c>
      <c r="P1249" s="5" t="str">
        <f>IFERROR(__xludf.DUMMYFUNCTION("""COMPUTED_VALUE"""),"")</f>
        <v/>
      </c>
      <c r="Q1249" s="5" t="str">
        <f>IFERROR(__xludf.DUMMYFUNCTION("""COMPUTED_VALUE"""),"")</f>
        <v/>
      </c>
      <c r="R1249" s="5" t="str">
        <f>IFERROR(__xludf.DUMMYFUNCTION("""COMPUTED_VALUE"""),"")</f>
        <v/>
      </c>
      <c r="S1249" s="5" t="str">
        <f>IFERROR(__xludf.DUMMYFUNCTION("""COMPUTED_VALUE"""),"")</f>
        <v/>
      </c>
      <c r="T1249" s="5" t="str">
        <f>IFERROR(__xludf.DUMMYFUNCTION("""COMPUTED_VALUE"""),"")</f>
        <v/>
      </c>
      <c r="U1249" s="5" t="str">
        <f>IFERROR(__xludf.DUMMYFUNCTION("""COMPUTED_VALUE"""),"")</f>
        <v/>
      </c>
      <c r="V1249" s="5" t="str">
        <f>IFERROR(__xludf.DUMMYFUNCTION("""COMPUTED_VALUE"""),"")</f>
        <v/>
      </c>
      <c r="W1249" s="5" t="str">
        <f>IFERROR(__xludf.DUMMYFUNCTION("""COMPUTED_VALUE"""),"")</f>
        <v/>
      </c>
      <c r="X1249" s="5" t="str">
        <f>IFERROR(__xludf.DUMMYFUNCTION("""COMPUTED_VALUE"""),"")</f>
        <v/>
      </c>
      <c r="Y1249" s="5"/>
      <c r="Z1249" s="5"/>
    </row>
    <row r="1250">
      <c r="A1250" s="5"/>
      <c r="B1250" s="5" t="str">
        <f>IFERROR(__xludf.DUMMYFUNCTION("""COMPUTED_VALUE"""),"")</f>
        <v/>
      </c>
      <c r="C1250" s="5" t="str">
        <f>IFERROR(__xludf.DUMMYFUNCTION("""COMPUTED_VALUE"""),"")</f>
        <v/>
      </c>
      <c r="D1250" s="5" t="str">
        <f>IFERROR(__xludf.DUMMYFUNCTION("""COMPUTED_VALUE"""),"")</f>
        <v/>
      </c>
      <c r="E1250" s="5" t="str">
        <f>IFERROR(__xludf.DUMMYFUNCTION("""COMPUTED_VALUE"""),"")</f>
        <v/>
      </c>
      <c r="F1250" s="5" t="str">
        <f>IFERROR(__xludf.DUMMYFUNCTION("""COMPUTED_VALUE"""),"")</f>
        <v/>
      </c>
      <c r="G1250" s="5" t="str">
        <f>IFERROR(__xludf.DUMMYFUNCTION("""COMPUTED_VALUE"""),"")</f>
        <v/>
      </c>
      <c r="H1250" s="5" t="str">
        <f>IFERROR(__xludf.DUMMYFUNCTION("""COMPUTED_VALUE"""),"")</f>
        <v/>
      </c>
      <c r="I1250" s="5" t="str">
        <f>IFERROR(__xludf.DUMMYFUNCTION("""COMPUTED_VALUE"""),"")</f>
        <v/>
      </c>
      <c r="J1250" s="5" t="str">
        <f>IFERROR(__xludf.DUMMYFUNCTION("""COMPUTED_VALUE"""),"")</f>
        <v/>
      </c>
      <c r="K1250" s="5" t="str">
        <f>IFERROR(__xludf.DUMMYFUNCTION("""COMPUTED_VALUE"""),"")</f>
        <v/>
      </c>
      <c r="L1250" s="5" t="str">
        <f>IFERROR(__xludf.DUMMYFUNCTION("""COMPUTED_VALUE"""),"")</f>
        <v/>
      </c>
      <c r="M1250" s="5" t="str">
        <f>IFERROR(__xludf.DUMMYFUNCTION("""COMPUTED_VALUE"""),"")</f>
        <v/>
      </c>
      <c r="N1250" s="5" t="str">
        <f>IFERROR(__xludf.DUMMYFUNCTION("""COMPUTED_VALUE"""),"")</f>
        <v/>
      </c>
      <c r="O1250" s="5" t="str">
        <f>IFERROR(__xludf.DUMMYFUNCTION("""COMPUTED_VALUE"""),"")</f>
        <v/>
      </c>
      <c r="P1250" s="5" t="str">
        <f>IFERROR(__xludf.DUMMYFUNCTION("""COMPUTED_VALUE"""),"")</f>
        <v/>
      </c>
      <c r="Q1250" s="5" t="str">
        <f>IFERROR(__xludf.DUMMYFUNCTION("""COMPUTED_VALUE"""),"")</f>
        <v/>
      </c>
      <c r="R1250" s="5" t="str">
        <f>IFERROR(__xludf.DUMMYFUNCTION("""COMPUTED_VALUE"""),"")</f>
        <v/>
      </c>
      <c r="S1250" s="5" t="str">
        <f>IFERROR(__xludf.DUMMYFUNCTION("""COMPUTED_VALUE"""),"")</f>
        <v/>
      </c>
      <c r="T1250" s="5" t="str">
        <f>IFERROR(__xludf.DUMMYFUNCTION("""COMPUTED_VALUE"""),"")</f>
        <v/>
      </c>
      <c r="U1250" s="5" t="str">
        <f>IFERROR(__xludf.DUMMYFUNCTION("""COMPUTED_VALUE"""),"")</f>
        <v/>
      </c>
      <c r="V1250" s="5" t="str">
        <f>IFERROR(__xludf.DUMMYFUNCTION("""COMPUTED_VALUE"""),"")</f>
        <v/>
      </c>
      <c r="W1250" s="5" t="str">
        <f>IFERROR(__xludf.DUMMYFUNCTION("""COMPUTED_VALUE"""),"")</f>
        <v/>
      </c>
      <c r="X1250" s="5" t="str">
        <f>IFERROR(__xludf.DUMMYFUNCTION("""COMPUTED_VALUE"""),"")</f>
        <v/>
      </c>
      <c r="Y1250" s="5"/>
      <c r="Z1250" s="5"/>
    </row>
    <row r="1251">
      <c r="A1251" s="5"/>
      <c r="B1251" s="5" t="str">
        <f>IFERROR(__xludf.DUMMYFUNCTION("""COMPUTED_VALUE"""),"")</f>
        <v/>
      </c>
      <c r="C1251" s="5" t="str">
        <f>IFERROR(__xludf.DUMMYFUNCTION("""COMPUTED_VALUE"""),"")</f>
        <v/>
      </c>
      <c r="D1251" s="5" t="str">
        <f>IFERROR(__xludf.DUMMYFUNCTION("""COMPUTED_VALUE"""),"")</f>
        <v/>
      </c>
      <c r="E1251" s="5" t="str">
        <f>IFERROR(__xludf.DUMMYFUNCTION("""COMPUTED_VALUE"""),"")</f>
        <v/>
      </c>
      <c r="F1251" s="5" t="str">
        <f>IFERROR(__xludf.DUMMYFUNCTION("""COMPUTED_VALUE"""),"")</f>
        <v/>
      </c>
      <c r="G1251" s="5" t="str">
        <f>IFERROR(__xludf.DUMMYFUNCTION("""COMPUTED_VALUE"""),"")</f>
        <v/>
      </c>
      <c r="H1251" s="5" t="str">
        <f>IFERROR(__xludf.DUMMYFUNCTION("""COMPUTED_VALUE"""),"")</f>
        <v/>
      </c>
      <c r="I1251" s="5" t="str">
        <f>IFERROR(__xludf.DUMMYFUNCTION("""COMPUTED_VALUE"""),"")</f>
        <v/>
      </c>
      <c r="J1251" s="5" t="str">
        <f>IFERROR(__xludf.DUMMYFUNCTION("""COMPUTED_VALUE"""),"")</f>
        <v/>
      </c>
      <c r="K1251" s="5" t="str">
        <f>IFERROR(__xludf.DUMMYFUNCTION("""COMPUTED_VALUE"""),"")</f>
        <v/>
      </c>
      <c r="L1251" s="5" t="str">
        <f>IFERROR(__xludf.DUMMYFUNCTION("""COMPUTED_VALUE"""),"")</f>
        <v/>
      </c>
      <c r="M1251" s="5" t="str">
        <f>IFERROR(__xludf.DUMMYFUNCTION("""COMPUTED_VALUE"""),"")</f>
        <v/>
      </c>
      <c r="N1251" s="5" t="str">
        <f>IFERROR(__xludf.DUMMYFUNCTION("""COMPUTED_VALUE"""),"")</f>
        <v/>
      </c>
      <c r="O1251" s="5" t="str">
        <f>IFERROR(__xludf.DUMMYFUNCTION("""COMPUTED_VALUE"""),"")</f>
        <v/>
      </c>
      <c r="P1251" s="5" t="str">
        <f>IFERROR(__xludf.DUMMYFUNCTION("""COMPUTED_VALUE"""),"")</f>
        <v/>
      </c>
      <c r="Q1251" s="5" t="str">
        <f>IFERROR(__xludf.DUMMYFUNCTION("""COMPUTED_VALUE"""),"")</f>
        <v/>
      </c>
      <c r="R1251" s="5" t="str">
        <f>IFERROR(__xludf.DUMMYFUNCTION("""COMPUTED_VALUE"""),"")</f>
        <v/>
      </c>
      <c r="S1251" s="5" t="str">
        <f>IFERROR(__xludf.DUMMYFUNCTION("""COMPUTED_VALUE"""),"")</f>
        <v/>
      </c>
      <c r="T1251" s="5" t="str">
        <f>IFERROR(__xludf.DUMMYFUNCTION("""COMPUTED_VALUE"""),"")</f>
        <v/>
      </c>
      <c r="U1251" s="5" t="str">
        <f>IFERROR(__xludf.DUMMYFUNCTION("""COMPUTED_VALUE"""),"")</f>
        <v/>
      </c>
      <c r="V1251" s="5" t="str">
        <f>IFERROR(__xludf.DUMMYFUNCTION("""COMPUTED_VALUE"""),"")</f>
        <v/>
      </c>
      <c r="W1251" s="5" t="str">
        <f>IFERROR(__xludf.DUMMYFUNCTION("""COMPUTED_VALUE"""),"")</f>
        <v/>
      </c>
      <c r="X1251" s="5" t="str">
        <f>IFERROR(__xludf.DUMMYFUNCTION("""COMPUTED_VALUE"""),"")</f>
        <v/>
      </c>
      <c r="Y1251" s="5"/>
      <c r="Z1251" s="5"/>
    </row>
    <row r="1252">
      <c r="A1252" s="5"/>
      <c r="B1252" s="5" t="str">
        <f>IFERROR(__xludf.DUMMYFUNCTION("""COMPUTED_VALUE"""),"")</f>
        <v/>
      </c>
      <c r="C1252" s="5" t="str">
        <f>IFERROR(__xludf.DUMMYFUNCTION("""COMPUTED_VALUE"""),"")</f>
        <v/>
      </c>
      <c r="D1252" s="5" t="str">
        <f>IFERROR(__xludf.DUMMYFUNCTION("""COMPUTED_VALUE"""),"")</f>
        <v/>
      </c>
      <c r="E1252" s="5" t="str">
        <f>IFERROR(__xludf.DUMMYFUNCTION("""COMPUTED_VALUE"""),"")</f>
        <v/>
      </c>
      <c r="F1252" s="5" t="str">
        <f>IFERROR(__xludf.DUMMYFUNCTION("""COMPUTED_VALUE"""),"")</f>
        <v/>
      </c>
      <c r="G1252" s="5" t="str">
        <f>IFERROR(__xludf.DUMMYFUNCTION("""COMPUTED_VALUE"""),"")</f>
        <v/>
      </c>
      <c r="H1252" s="5" t="str">
        <f>IFERROR(__xludf.DUMMYFUNCTION("""COMPUTED_VALUE"""),"")</f>
        <v/>
      </c>
      <c r="I1252" s="5" t="str">
        <f>IFERROR(__xludf.DUMMYFUNCTION("""COMPUTED_VALUE"""),"")</f>
        <v/>
      </c>
      <c r="J1252" s="5" t="str">
        <f>IFERROR(__xludf.DUMMYFUNCTION("""COMPUTED_VALUE"""),"")</f>
        <v/>
      </c>
      <c r="K1252" s="5" t="str">
        <f>IFERROR(__xludf.DUMMYFUNCTION("""COMPUTED_VALUE"""),"")</f>
        <v/>
      </c>
      <c r="L1252" s="5" t="str">
        <f>IFERROR(__xludf.DUMMYFUNCTION("""COMPUTED_VALUE"""),"")</f>
        <v/>
      </c>
      <c r="M1252" s="5" t="str">
        <f>IFERROR(__xludf.DUMMYFUNCTION("""COMPUTED_VALUE"""),"")</f>
        <v/>
      </c>
      <c r="N1252" s="5" t="str">
        <f>IFERROR(__xludf.DUMMYFUNCTION("""COMPUTED_VALUE"""),"")</f>
        <v/>
      </c>
      <c r="O1252" s="5" t="str">
        <f>IFERROR(__xludf.DUMMYFUNCTION("""COMPUTED_VALUE"""),"")</f>
        <v/>
      </c>
      <c r="P1252" s="5" t="str">
        <f>IFERROR(__xludf.DUMMYFUNCTION("""COMPUTED_VALUE"""),"")</f>
        <v/>
      </c>
      <c r="Q1252" s="5" t="str">
        <f>IFERROR(__xludf.DUMMYFUNCTION("""COMPUTED_VALUE"""),"")</f>
        <v/>
      </c>
      <c r="R1252" s="5" t="str">
        <f>IFERROR(__xludf.DUMMYFUNCTION("""COMPUTED_VALUE"""),"")</f>
        <v/>
      </c>
      <c r="S1252" s="5" t="str">
        <f>IFERROR(__xludf.DUMMYFUNCTION("""COMPUTED_VALUE"""),"")</f>
        <v/>
      </c>
      <c r="T1252" s="5" t="str">
        <f>IFERROR(__xludf.DUMMYFUNCTION("""COMPUTED_VALUE"""),"")</f>
        <v/>
      </c>
      <c r="U1252" s="5" t="str">
        <f>IFERROR(__xludf.DUMMYFUNCTION("""COMPUTED_VALUE"""),"")</f>
        <v/>
      </c>
      <c r="V1252" s="5" t="str">
        <f>IFERROR(__xludf.DUMMYFUNCTION("""COMPUTED_VALUE"""),"")</f>
        <v/>
      </c>
      <c r="W1252" s="5" t="str">
        <f>IFERROR(__xludf.DUMMYFUNCTION("""COMPUTED_VALUE"""),"")</f>
        <v/>
      </c>
      <c r="X1252" s="5" t="str">
        <f>IFERROR(__xludf.DUMMYFUNCTION("""COMPUTED_VALUE"""),"")</f>
        <v/>
      </c>
      <c r="Y1252" s="5"/>
      <c r="Z1252" s="5"/>
    </row>
    <row r="1253">
      <c r="A1253" s="5"/>
      <c r="B1253" s="5" t="str">
        <f>IFERROR(__xludf.DUMMYFUNCTION("""COMPUTED_VALUE"""),"")</f>
        <v/>
      </c>
      <c r="C1253" s="5" t="str">
        <f>IFERROR(__xludf.DUMMYFUNCTION("""COMPUTED_VALUE"""),"")</f>
        <v/>
      </c>
      <c r="D1253" s="5" t="str">
        <f>IFERROR(__xludf.DUMMYFUNCTION("""COMPUTED_VALUE"""),"")</f>
        <v/>
      </c>
      <c r="E1253" s="5" t="str">
        <f>IFERROR(__xludf.DUMMYFUNCTION("""COMPUTED_VALUE"""),"")</f>
        <v/>
      </c>
      <c r="F1253" s="5" t="str">
        <f>IFERROR(__xludf.DUMMYFUNCTION("""COMPUTED_VALUE"""),"")</f>
        <v/>
      </c>
      <c r="G1253" s="5" t="str">
        <f>IFERROR(__xludf.DUMMYFUNCTION("""COMPUTED_VALUE"""),"")</f>
        <v/>
      </c>
      <c r="H1253" s="5" t="str">
        <f>IFERROR(__xludf.DUMMYFUNCTION("""COMPUTED_VALUE"""),"")</f>
        <v/>
      </c>
      <c r="I1253" s="5" t="str">
        <f>IFERROR(__xludf.DUMMYFUNCTION("""COMPUTED_VALUE"""),"")</f>
        <v/>
      </c>
      <c r="J1253" s="5" t="str">
        <f>IFERROR(__xludf.DUMMYFUNCTION("""COMPUTED_VALUE"""),"")</f>
        <v/>
      </c>
      <c r="K1253" s="5" t="str">
        <f>IFERROR(__xludf.DUMMYFUNCTION("""COMPUTED_VALUE"""),"")</f>
        <v/>
      </c>
      <c r="L1253" s="5" t="str">
        <f>IFERROR(__xludf.DUMMYFUNCTION("""COMPUTED_VALUE"""),"")</f>
        <v/>
      </c>
      <c r="M1253" s="5" t="str">
        <f>IFERROR(__xludf.DUMMYFUNCTION("""COMPUTED_VALUE"""),"")</f>
        <v/>
      </c>
      <c r="N1253" s="5" t="str">
        <f>IFERROR(__xludf.DUMMYFUNCTION("""COMPUTED_VALUE"""),"")</f>
        <v/>
      </c>
      <c r="O1253" s="5" t="str">
        <f>IFERROR(__xludf.DUMMYFUNCTION("""COMPUTED_VALUE"""),"")</f>
        <v/>
      </c>
      <c r="P1253" s="5" t="str">
        <f>IFERROR(__xludf.DUMMYFUNCTION("""COMPUTED_VALUE"""),"")</f>
        <v/>
      </c>
      <c r="Q1253" s="5" t="str">
        <f>IFERROR(__xludf.DUMMYFUNCTION("""COMPUTED_VALUE"""),"")</f>
        <v/>
      </c>
      <c r="R1253" s="5" t="str">
        <f>IFERROR(__xludf.DUMMYFUNCTION("""COMPUTED_VALUE"""),"")</f>
        <v/>
      </c>
      <c r="S1253" s="5" t="str">
        <f>IFERROR(__xludf.DUMMYFUNCTION("""COMPUTED_VALUE"""),"")</f>
        <v/>
      </c>
      <c r="T1253" s="5" t="str">
        <f>IFERROR(__xludf.DUMMYFUNCTION("""COMPUTED_VALUE"""),"")</f>
        <v/>
      </c>
      <c r="U1253" s="5" t="str">
        <f>IFERROR(__xludf.DUMMYFUNCTION("""COMPUTED_VALUE"""),"")</f>
        <v/>
      </c>
      <c r="V1253" s="5" t="str">
        <f>IFERROR(__xludf.DUMMYFUNCTION("""COMPUTED_VALUE"""),"")</f>
        <v/>
      </c>
      <c r="W1253" s="5" t="str">
        <f>IFERROR(__xludf.DUMMYFUNCTION("""COMPUTED_VALUE"""),"")</f>
        <v/>
      </c>
      <c r="X1253" s="5" t="str">
        <f>IFERROR(__xludf.DUMMYFUNCTION("""COMPUTED_VALUE"""),"")</f>
        <v/>
      </c>
      <c r="Y1253" s="5"/>
      <c r="Z1253" s="5"/>
    </row>
    <row r="1254">
      <c r="A1254" s="5"/>
      <c r="B1254" s="5" t="str">
        <f>IFERROR(__xludf.DUMMYFUNCTION("""COMPUTED_VALUE"""),"")</f>
        <v/>
      </c>
      <c r="C1254" s="5" t="str">
        <f>IFERROR(__xludf.DUMMYFUNCTION("""COMPUTED_VALUE"""),"")</f>
        <v/>
      </c>
      <c r="D1254" s="5" t="str">
        <f>IFERROR(__xludf.DUMMYFUNCTION("""COMPUTED_VALUE"""),"")</f>
        <v/>
      </c>
      <c r="E1254" s="5" t="str">
        <f>IFERROR(__xludf.DUMMYFUNCTION("""COMPUTED_VALUE"""),"")</f>
        <v/>
      </c>
      <c r="F1254" s="5" t="str">
        <f>IFERROR(__xludf.DUMMYFUNCTION("""COMPUTED_VALUE"""),"")</f>
        <v/>
      </c>
      <c r="G1254" s="5" t="str">
        <f>IFERROR(__xludf.DUMMYFUNCTION("""COMPUTED_VALUE"""),"")</f>
        <v/>
      </c>
      <c r="H1254" s="5" t="str">
        <f>IFERROR(__xludf.DUMMYFUNCTION("""COMPUTED_VALUE"""),"")</f>
        <v/>
      </c>
      <c r="I1254" s="5" t="str">
        <f>IFERROR(__xludf.DUMMYFUNCTION("""COMPUTED_VALUE"""),"")</f>
        <v/>
      </c>
      <c r="J1254" s="5" t="str">
        <f>IFERROR(__xludf.DUMMYFUNCTION("""COMPUTED_VALUE"""),"")</f>
        <v/>
      </c>
      <c r="K1254" s="5" t="str">
        <f>IFERROR(__xludf.DUMMYFUNCTION("""COMPUTED_VALUE"""),"")</f>
        <v/>
      </c>
      <c r="L1254" s="5" t="str">
        <f>IFERROR(__xludf.DUMMYFUNCTION("""COMPUTED_VALUE"""),"")</f>
        <v/>
      </c>
      <c r="M1254" s="5" t="str">
        <f>IFERROR(__xludf.DUMMYFUNCTION("""COMPUTED_VALUE"""),"")</f>
        <v/>
      </c>
      <c r="N1254" s="5" t="str">
        <f>IFERROR(__xludf.DUMMYFUNCTION("""COMPUTED_VALUE"""),"")</f>
        <v/>
      </c>
      <c r="O1254" s="5" t="str">
        <f>IFERROR(__xludf.DUMMYFUNCTION("""COMPUTED_VALUE"""),"")</f>
        <v/>
      </c>
      <c r="P1254" s="5" t="str">
        <f>IFERROR(__xludf.DUMMYFUNCTION("""COMPUTED_VALUE"""),"")</f>
        <v/>
      </c>
      <c r="Q1254" s="5" t="str">
        <f>IFERROR(__xludf.DUMMYFUNCTION("""COMPUTED_VALUE"""),"")</f>
        <v/>
      </c>
      <c r="R1254" s="5" t="str">
        <f>IFERROR(__xludf.DUMMYFUNCTION("""COMPUTED_VALUE"""),"")</f>
        <v/>
      </c>
      <c r="S1254" s="5" t="str">
        <f>IFERROR(__xludf.DUMMYFUNCTION("""COMPUTED_VALUE"""),"")</f>
        <v/>
      </c>
      <c r="T1254" s="5" t="str">
        <f>IFERROR(__xludf.DUMMYFUNCTION("""COMPUTED_VALUE"""),"")</f>
        <v/>
      </c>
      <c r="U1254" s="5" t="str">
        <f>IFERROR(__xludf.DUMMYFUNCTION("""COMPUTED_VALUE"""),"")</f>
        <v/>
      </c>
      <c r="V1254" s="5" t="str">
        <f>IFERROR(__xludf.DUMMYFUNCTION("""COMPUTED_VALUE"""),"")</f>
        <v/>
      </c>
      <c r="W1254" s="5" t="str">
        <f>IFERROR(__xludf.DUMMYFUNCTION("""COMPUTED_VALUE"""),"")</f>
        <v/>
      </c>
      <c r="X1254" s="5" t="str">
        <f>IFERROR(__xludf.DUMMYFUNCTION("""COMPUTED_VALUE"""),"")</f>
        <v/>
      </c>
      <c r="Y1254" s="5"/>
      <c r="Z1254" s="5"/>
    </row>
    <row r="1255">
      <c r="A1255" s="5"/>
      <c r="B1255" s="5" t="str">
        <f>IFERROR(__xludf.DUMMYFUNCTION("""COMPUTED_VALUE"""),"")</f>
        <v/>
      </c>
      <c r="C1255" s="5" t="str">
        <f>IFERROR(__xludf.DUMMYFUNCTION("""COMPUTED_VALUE"""),"")</f>
        <v/>
      </c>
      <c r="D1255" s="5" t="str">
        <f>IFERROR(__xludf.DUMMYFUNCTION("""COMPUTED_VALUE"""),"")</f>
        <v/>
      </c>
      <c r="E1255" s="5" t="str">
        <f>IFERROR(__xludf.DUMMYFUNCTION("""COMPUTED_VALUE"""),"")</f>
        <v/>
      </c>
      <c r="F1255" s="5" t="str">
        <f>IFERROR(__xludf.DUMMYFUNCTION("""COMPUTED_VALUE"""),"")</f>
        <v/>
      </c>
      <c r="G1255" s="5" t="str">
        <f>IFERROR(__xludf.DUMMYFUNCTION("""COMPUTED_VALUE"""),"")</f>
        <v/>
      </c>
      <c r="H1255" s="5" t="str">
        <f>IFERROR(__xludf.DUMMYFUNCTION("""COMPUTED_VALUE"""),"")</f>
        <v/>
      </c>
      <c r="I1255" s="5" t="str">
        <f>IFERROR(__xludf.DUMMYFUNCTION("""COMPUTED_VALUE"""),"")</f>
        <v/>
      </c>
      <c r="J1255" s="5" t="str">
        <f>IFERROR(__xludf.DUMMYFUNCTION("""COMPUTED_VALUE"""),"")</f>
        <v/>
      </c>
      <c r="K1255" s="5" t="str">
        <f>IFERROR(__xludf.DUMMYFUNCTION("""COMPUTED_VALUE"""),"")</f>
        <v/>
      </c>
      <c r="L1255" s="5" t="str">
        <f>IFERROR(__xludf.DUMMYFUNCTION("""COMPUTED_VALUE"""),"")</f>
        <v/>
      </c>
      <c r="M1255" s="5" t="str">
        <f>IFERROR(__xludf.DUMMYFUNCTION("""COMPUTED_VALUE"""),"")</f>
        <v/>
      </c>
      <c r="N1255" s="5" t="str">
        <f>IFERROR(__xludf.DUMMYFUNCTION("""COMPUTED_VALUE"""),"")</f>
        <v/>
      </c>
      <c r="O1255" s="5" t="str">
        <f>IFERROR(__xludf.DUMMYFUNCTION("""COMPUTED_VALUE"""),"")</f>
        <v/>
      </c>
      <c r="P1255" s="5" t="str">
        <f>IFERROR(__xludf.DUMMYFUNCTION("""COMPUTED_VALUE"""),"")</f>
        <v/>
      </c>
      <c r="Q1255" s="5" t="str">
        <f>IFERROR(__xludf.DUMMYFUNCTION("""COMPUTED_VALUE"""),"")</f>
        <v/>
      </c>
      <c r="R1255" s="5" t="str">
        <f>IFERROR(__xludf.DUMMYFUNCTION("""COMPUTED_VALUE"""),"")</f>
        <v/>
      </c>
      <c r="S1255" s="5" t="str">
        <f>IFERROR(__xludf.DUMMYFUNCTION("""COMPUTED_VALUE"""),"")</f>
        <v/>
      </c>
      <c r="T1255" s="5" t="str">
        <f>IFERROR(__xludf.DUMMYFUNCTION("""COMPUTED_VALUE"""),"")</f>
        <v/>
      </c>
      <c r="U1255" s="5" t="str">
        <f>IFERROR(__xludf.DUMMYFUNCTION("""COMPUTED_VALUE"""),"")</f>
        <v/>
      </c>
      <c r="V1255" s="5" t="str">
        <f>IFERROR(__xludf.DUMMYFUNCTION("""COMPUTED_VALUE"""),"")</f>
        <v/>
      </c>
      <c r="W1255" s="5" t="str">
        <f>IFERROR(__xludf.DUMMYFUNCTION("""COMPUTED_VALUE"""),"")</f>
        <v/>
      </c>
      <c r="X1255" s="5" t="str">
        <f>IFERROR(__xludf.DUMMYFUNCTION("""COMPUTED_VALUE"""),"")</f>
        <v/>
      </c>
      <c r="Y1255" s="5"/>
      <c r="Z1255" s="5"/>
    </row>
    <row r="1256">
      <c r="A1256" s="5"/>
      <c r="B1256" s="5" t="str">
        <f>IFERROR(__xludf.DUMMYFUNCTION("""COMPUTED_VALUE"""),"")</f>
        <v/>
      </c>
      <c r="C1256" s="5" t="str">
        <f>IFERROR(__xludf.DUMMYFUNCTION("""COMPUTED_VALUE"""),"")</f>
        <v/>
      </c>
      <c r="D1256" s="5" t="str">
        <f>IFERROR(__xludf.DUMMYFUNCTION("""COMPUTED_VALUE"""),"")</f>
        <v/>
      </c>
      <c r="E1256" s="5" t="str">
        <f>IFERROR(__xludf.DUMMYFUNCTION("""COMPUTED_VALUE"""),"")</f>
        <v/>
      </c>
      <c r="F1256" s="5" t="str">
        <f>IFERROR(__xludf.DUMMYFUNCTION("""COMPUTED_VALUE"""),"")</f>
        <v/>
      </c>
      <c r="G1256" s="5" t="str">
        <f>IFERROR(__xludf.DUMMYFUNCTION("""COMPUTED_VALUE"""),"")</f>
        <v/>
      </c>
      <c r="H1256" s="5" t="str">
        <f>IFERROR(__xludf.DUMMYFUNCTION("""COMPUTED_VALUE"""),"")</f>
        <v/>
      </c>
      <c r="I1256" s="5" t="str">
        <f>IFERROR(__xludf.DUMMYFUNCTION("""COMPUTED_VALUE"""),"")</f>
        <v/>
      </c>
      <c r="J1256" s="5" t="str">
        <f>IFERROR(__xludf.DUMMYFUNCTION("""COMPUTED_VALUE"""),"")</f>
        <v/>
      </c>
      <c r="K1256" s="5" t="str">
        <f>IFERROR(__xludf.DUMMYFUNCTION("""COMPUTED_VALUE"""),"")</f>
        <v/>
      </c>
      <c r="L1256" s="5" t="str">
        <f>IFERROR(__xludf.DUMMYFUNCTION("""COMPUTED_VALUE"""),"")</f>
        <v/>
      </c>
      <c r="M1256" s="5" t="str">
        <f>IFERROR(__xludf.DUMMYFUNCTION("""COMPUTED_VALUE"""),"")</f>
        <v/>
      </c>
      <c r="N1256" s="5" t="str">
        <f>IFERROR(__xludf.DUMMYFUNCTION("""COMPUTED_VALUE"""),"")</f>
        <v/>
      </c>
      <c r="O1256" s="5" t="str">
        <f>IFERROR(__xludf.DUMMYFUNCTION("""COMPUTED_VALUE"""),"")</f>
        <v/>
      </c>
      <c r="P1256" s="5" t="str">
        <f>IFERROR(__xludf.DUMMYFUNCTION("""COMPUTED_VALUE"""),"")</f>
        <v/>
      </c>
      <c r="Q1256" s="5" t="str">
        <f>IFERROR(__xludf.DUMMYFUNCTION("""COMPUTED_VALUE"""),"")</f>
        <v/>
      </c>
      <c r="R1256" s="5" t="str">
        <f>IFERROR(__xludf.DUMMYFUNCTION("""COMPUTED_VALUE"""),"")</f>
        <v/>
      </c>
      <c r="S1256" s="5" t="str">
        <f>IFERROR(__xludf.DUMMYFUNCTION("""COMPUTED_VALUE"""),"")</f>
        <v/>
      </c>
      <c r="T1256" s="5" t="str">
        <f>IFERROR(__xludf.DUMMYFUNCTION("""COMPUTED_VALUE"""),"")</f>
        <v/>
      </c>
      <c r="U1256" s="5" t="str">
        <f>IFERROR(__xludf.DUMMYFUNCTION("""COMPUTED_VALUE"""),"")</f>
        <v/>
      </c>
      <c r="V1256" s="5" t="str">
        <f>IFERROR(__xludf.DUMMYFUNCTION("""COMPUTED_VALUE"""),"")</f>
        <v/>
      </c>
      <c r="W1256" s="5" t="str">
        <f>IFERROR(__xludf.DUMMYFUNCTION("""COMPUTED_VALUE"""),"")</f>
        <v/>
      </c>
      <c r="X1256" s="5" t="str">
        <f>IFERROR(__xludf.DUMMYFUNCTION("""COMPUTED_VALUE"""),"")</f>
        <v/>
      </c>
      <c r="Y1256" s="5"/>
      <c r="Z1256" s="5"/>
    </row>
    <row r="1257">
      <c r="A1257" s="5"/>
      <c r="B1257" s="5" t="str">
        <f>IFERROR(__xludf.DUMMYFUNCTION("""COMPUTED_VALUE"""),"")</f>
        <v/>
      </c>
      <c r="C1257" s="5" t="str">
        <f>IFERROR(__xludf.DUMMYFUNCTION("""COMPUTED_VALUE"""),"")</f>
        <v/>
      </c>
      <c r="D1257" s="5" t="str">
        <f>IFERROR(__xludf.DUMMYFUNCTION("""COMPUTED_VALUE"""),"")</f>
        <v/>
      </c>
      <c r="E1257" s="5" t="str">
        <f>IFERROR(__xludf.DUMMYFUNCTION("""COMPUTED_VALUE"""),"")</f>
        <v/>
      </c>
      <c r="F1257" s="5" t="str">
        <f>IFERROR(__xludf.DUMMYFUNCTION("""COMPUTED_VALUE"""),"")</f>
        <v/>
      </c>
      <c r="G1257" s="5" t="str">
        <f>IFERROR(__xludf.DUMMYFUNCTION("""COMPUTED_VALUE"""),"")</f>
        <v/>
      </c>
      <c r="H1257" s="5" t="str">
        <f>IFERROR(__xludf.DUMMYFUNCTION("""COMPUTED_VALUE"""),"")</f>
        <v/>
      </c>
      <c r="I1257" s="5" t="str">
        <f>IFERROR(__xludf.DUMMYFUNCTION("""COMPUTED_VALUE"""),"")</f>
        <v/>
      </c>
      <c r="J1257" s="5" t="str">
        <f>IFERROR(__xludf.DUMMYFUNCTION("""COMPUTED_VALUE"""),"")</f>
        <v/>
      </c>
      <c r="K1257" s="5" t="str">
        <f>IFERROR(__xludf.DUMMYFUNCTION("""COMPUTED_VALUE"""),"")</f>
        <v/>
      </c>
      <c r="L1257" s="5" t="str">
        <f>IFERROR(__xludf.DUMMYFUNCTION("""COMPUTED_VALUE"""),"")</f>
        <v/>
      </c>
      <c r="M1257" s="5" t="str">
        <f>IFERROR(__xludf.DUMMYFUNCTION("""COMPUTED_VALUE"""),"")</f>
        <v/>
      </c>
      <c r="N1257" s="5" t="str">
        <f>IFERROR(__xludf.DUMMYFUNCTION("""COMPUTED_VALUE"""),"")</f>
        <v/>
      </c>
      <c r="O1257" s="5" t="str">
        <f>IFERROR(__xludf.DUMMYFUNCTION("""COMPUTED_VALUE"""),"")</f>
        <v/>
      </c>
      <c r="P1257" s="5" t="str">
        <f>IFERROR(__xludf.DUMMYFUNCTION("""COMPUTED_VALUE"""),"")</f>
        <v/>
      </c>
      <c r="Q1257" s="5" t="str">
        <f>IFERROR(__xludf.DUMMYFUNCTION("""COMPUTED_VALUE"""),"")</f>
        <v/>
      </c>
      <c r="R1257" s="5" t="str">
        <f>IFERROR(__xludf.DUMMYFUNCTION("""COMPUTED_VALUE"""),"")</f>
        <v/>
      </c>
      <c r="S1257" s="5" t="str">
        <f>IFERROR(__xludf.DUMMYFUNCTION("""COMPUTED_VALUE"""),"")</f>
        <v/>
      </c>
      <c r="T1257" s="5" t="str">
        <f>IFERROR(__xludf.DUMMYFUNCTION("""COMPUTED_VALUE"""),"")</f>
        <v/>
      </c>
      <c r="U1257" s="5" t="str">
        <f>IFERROR(__xludf.DUMMYFUNCTION("""COMPUTED_VALUE"""),"")</f>
        <v/>
      </c>
      <c r="V1257" s="5" t="str">
        <f>IFERROR(__xludf.DUMMYFUNCTION("""COMPUTED_VALUE"""),"")</f>
        <v/>
      </c>
      <c r="W1257" s="5" t="str">
        <f>IFERROR(__xludf.DUMMYFUNCTION("""COMPUTED_VALUE"""),"")</f>
        <v/>
      </c>
      <c r="X1257" s="5" t="str">
        <f>IFERROR(__xludf.DUMMYFUNCTION("""COMPUTED_VALUE"""),"")</f>
        <v/>
      </c>
      <c r="Y1257" s="5"/>
      <c r="Z1257" s="5"/>
    </row>
    <row r="1258">
      <c r="A1258" s="5"/>
      <c r="B1258" s="5" t="str">
        <f>IFERROR(__xludf.DUMMYFUNCTION("""COMPUTED_VALUE"""),"")</f>
        <v/>
      </c>
      <c r="C1258" s="5" t="str">
        <f>IFERROR(__xludf.DUMMYFUNCTION("""COMPUTED_VALUE"""),"")</f>
        <v/>
      </c>
      <c r="D1258" s="5" t="str">
        <f>IFERROR(__xludf.DUMMYFUNCTION("""COMPUTED_VALUE"""),"")</f>
        <v/>
      </c>
      <c r="E1258" s="5" t="str">
        <f>IFERROR(__xludf.DUMMYFUNCTION("""COMPUTED_VALUE"""),"")</f>
        <v/>
      </c>
      <c r="F1258" s="5" t="str">
        <f>IFERROR(__xludf.DUMMYFUNCTION("""COMPUTED_VALUE"""),"")</f>
        <v/>
      </c>
      <c r="G1258" s="5" t="str">
        <f>IFERROR(__xludf.DUMMYFUNCTION("""COMPUTED_VALUE"""),"")</f>
        <v/>
      </c>
      <c r="H1258" s="5" t="str">
        <f>IFERROR(__xludf.DUMMYFUNCTION("""COMPUTED_VALUE"""),"")</f>
        <v/>
      </c>
      <c r="I1258" s="5" t="str">
        <f>IFERROR(__xludf.DUMMYFUNCTION("""COMPUTED_VALUE"""),"")</f>
        <v/>
      </c>
      <c r="J1258" s="5" t="str">
        <f>IFERROR(__xludf.DUMMYFUNCTION("""COMPUTED_VALUE"""),"")</f>
        <v/>
      </c>
      <c r="K1258" s="5" t="str">
        <f>IFERROR(__xludf.DUMMYFUNCTION("""COMPUTED_VALUE"""),"")</f>
        <v/>
      </c>
      <c r="L1258" s="5" t="str">
        <f>IFERROR(__xludf.DUMMYFUNCTION("""COMPUTED_VALUE"""),"")</f>
        <v/>
      </c>
      <c r="M1258" s="5" t="str">
        <f>IFERROR(__xludf.DUMMYFUNCTION("""COMPUTED_VALUE"""),"")</f>
        <v/>
      </c>
      <c r="N1258" s="5" t="str">
        <f>IFERROR(__xludf.DUMMYFUNCTION("""COMPUTED_VALUE"""),"")</f>
        <v/>
      </c>
      <c r="O1258" s="5" t="str">
        <f>IFERROR(__xludf.DUMMYFUNCTION("""COMPUTED_VALUE"""),"")</f>
        <v/>
      </c>
      <c r="P1258" s="5" t="str">
        <f>IFERROR(__xludf.DUMMYFUNCTION("""COMPUTED_VALUE"""),"")</f>
        <v/>
      </c>
      <c r="Q1258" s="5" t="str">
        <f>IFERROR(__xludf.DUMMYFUNCTION("""COMPUTED_VALUE"""),"")</f>
        <v/>
      </c>
      <c r="R1258" s="5" t="str">
        <f>IFERROR(__xludf.DUMMYFUNCTION("""COMPUTED_VALUE"""),"")</f>
        <v/>
      </c>
      <c r="S1258" s="5" t="str">
        <f>IFERROR(__xludf.DUMMYFUNCTION("""COMPUTED_VALUE"""),"")</f>
        <v/>
      </c>
      <c r="T1258" s="5" t="str">
        <f>IFERROR(__xludf.DUMMYFUNCTION("""COMPUTED_VALUE"""),"")</f>
        <v/>
      </c>
      <c r="U1258" s="5" t="str">
        <f>IFERROR(__xludf.DUMMYFUNCTION("""COMPUTED_VALUE"""),"")</f>
        <v/>
      </c>
      <c r="V1258" s="5" t="str">
        <f>IFERROR(__xludf.DUMMYFUNCTION("""COMPUTED_VALUE"""),"")</f>
        <v/>
      </c>
      <c r="W1258" s="5" t="str">
        <f>IFERROR(__xludf.DUMMYFUNCTION("""COMPUTED_VALUE"""),"")</f>
        <v/>
      </c>
      <c r="X1258" s="5" t="str">
        <f>IFERROR(__xludf.DUMMYFUNCTION("""COMPUTED_VALUE"""),"")</f>
        <v/>
      </c>
      <c r="Y1258" s="5"/>
      <c r="Z1258" s="5"/>
    </row>
    <row r="1259">
      <c r="A1259" s="5"/>
      <c r="B1259" s="5" t="str">
        <f>IFERROR(__xludf.DUMMYFUNCTION("""COMPUTED_VALUE"""),"")</f>
        <v/>
      </c>
      <c r="C1259" s="5" t="str">
        <f>IFERROR(__xludf.DUMMYFUNCTION("""COMPUTED_VALUE"""),"")</f>
        <v/>
      </c>
      <c r="D1259" s="5" t="str">
        <f>IFERROR(__xludf.DUMMYFUNCTION("""COMPUTED_VALUE"""),"")</f>
        <v/>
      </c>
      <c r="E1259" s="5" t="str">
        <f>IFERROR(__xludf.DUMMYFUNCTION("""COMPUTED_VALUE"""),"")</f>
        <v/>
      </c>
      <c r="F1259" s="5" t="str">
        <f>IFERROR(__xludf.DUMMYFUNCTION("""COMPUTED_VALUE"""),"")</f>
        <v/>
      </c>
      <c r="G1259" s="5" t="str">
        <f>IFERROR(__xludf.DUMMYFUNCTION("""COMPUTED_VALUE"""),"")</f>
        <v/>
      </c>
      <c r="H1259" s="5" t="str">
        <f>IFERROR(__xludf.DUMMYFUNCTION("""COMPUTED_VALUE"""),"")</f>
        <v/>
      </c>
      <c r="I1259" s="5" t="str">
        <f>IFERROR(__xludf.DUMMYFUNCTION("""COMPUTED_VALUE"""),"")</f>
        <v/>
      </c>
      <c r="J1259" s="5" t="str">
        <f>IFERROR(__xludf.DUMMYFUNCTION("""COMPUTED_VALUE"""),"")</f>
        <v/>
      </c>
      <c r="K1259" s="5" t="str">
        <f>IFERROR(__xludf.DUMMYFUNCTION("""COMPUTED_VALUE"""),"")</f>
        <v/>
      </c>
      <c r="L1259" s="5" t="str">
        <f>IFERROR(__xludf.DUMMYFUNCTION("""COMPUTED_VALUE"""),"")</f>
        <v/>
      </c>
      <c r="M1259" s="5" t="str">
        <f>IFERROR(__xludf.DUMMYFUNCTION("""COMPUTED_VALUE"""),"")</f>
        <v/>
      </c>
      <c r="N1259" s="5" t="str">
        <f>IFERROR(__xludf.DUMMYFUNCTION("""COMPUTED_VALUE"""),"")</f>
        <v/>
      </c>
      <c r="O1259" s="5" t="str">
        <f>IFERROR(__xludf.DUMMYFUNCTION("""COMPUTED_VALUE"""),"")</f>
        <v/>
      </c>
      <c r="P1259" s="5" t="str">
        <f>IFERROR(__xludf.DUMMYFUNCTION("""COMPUTED_VALUE"""),"")</f>
        <v/>
      </c>
      <c r="Q1259" s="5" t="str">
        <f>IFERROR(__xludf.DUMMYFUNCTION("""COMPUTED_VALUE"""),"")</f>
        <v/>
      </c>
      <c r="R1259" s="5" t="str">
        <f>IFERROR(__xludf.DUMMYFUNCTION("""COMPUTED_VALUE"""),"")</f>
        <v/>
      </c>
      <c r="S1259" s="5" t="str">
        <f>IFERROR(__xludf.DUMMYFUNCTION("""COMPUTED_VALUE"""),"")</f>
        <v/>
      </c>
      <c r="T1259" s="5" t="str">
        <f>IFERROR(__xludf.DUMMYFUNCTION("""COMPUTED_VALUE"""),"")</f>
        <v/>
      </c>
      <c r="U1259" s="5" t="str">
        <f>IFERROR(__xludf.DUMMYFUNCTION("""COMPUTED_VALUE"""),"")</f>
        <v/>
      </c>
      <c r="V1259" s="5" t="str">
        <f>IFERROR(__xludf.DUMMYFUNCTION("""COMPUTED_VALUE"""),"")</f>
        <v/>
      </c>
      <c r="W1259" s="5" t="str">
        <f>IFERROR(__xludf.DUMMYFUNCTION("""COMPUTED_VALUE"""),"")</f>
        <v/>
      </c>
      <c r="X1259" s="5" t="str">
        <f>IFERROR(__xludf.DUMMYFUNCTION("""COMPUTED_VALUE"""),"")</f>
        <v/>
      </c>
      <c r="Y1259" s="5"/>
      <c r="Z1259" s="5"/>
    </row>
    <row r="1260">
      <c r="A1260" s="5"/>
      <c r="B1260" s="5" t="str">
        <f>IFERROR(__xludf.DUMMYFUNCTION("""COMPUTED_VALUE"""),"")</f>
        <v/>
      </c>
      <c r="C1260" s="5" t="str">
        <f>IFERROR(__xludf.DUMMYFUNCTION("""COMPUTED_VALUE"""),"")</f>
        <v/>
      </c>
      <c r="D1260" s="5" t="str">
        <f>IFERROR(__xludf.DUMMYFUNCTION("""COMPUTED_VALUE"""),"")</f>
        <v/>
      </c>
      <c r="E1260" s="5" t="str">
        <f>IFERROR(__xludf.DUMMYFUNCTION("""COMPUTED_VALUE"""),"")</f>
        <v/>
      </c>
      <c r="F1260" s="5" t="str">
        <f>IFERROR(__xludf.DUMMYFUNCTION("""COMPUTED_VALUE"""),"")</f>
        <v/>
      </c>
      <c r="G1260" s="5" t="str">
        <f>IFERROR(__xludf.DUMMYFUNCTION("""COMPUTED_VALUE"""),"")</f>
        <v/>
      </c>
      <c r="H1260" s="5" t="str">
        <f>IFERROR(__xludf.DUMMYFUNCTION("""COMPUTED_VALUE"""),"")</f>
        <v/>
      </c>
      <c r="I1260" s="5" t="str">
        <f>IFERROR(__xludf.DUMMYFUNCTION("""COMPUTED_VALUE"""),"")</f>
        <v/>
      </c>
      <c r="J1260" s="5" t="str">
        <f>IFERROR(__xludf.DUMMYFUNCTION("""COMPUTED_VALUE"""),"")</f>
        <v/>
      </c>
      <c r="K1260" s="5" t="str">
        <f>IFERROR(__xludf.DUMMYFUNCTION("""COMPUTED_VALUE"""),"")</f>
        <v/>
      </c>
      <c r="L1260" s="5" t="str">
        <f>IFERROR(__xludf.DUMMYFUNCTION("""COMPUTED_VALUE"""),"")</f>
        <v/>
      </c>
      <c r="M1260" s="5" t="str">
        <f>IFERROR(__xludf.DUMMYFUNCTION("""COMPUTED_VALUE"""),"")</f>
        <v/>
      </c>
      <c r="N1260" s="5" t="str">
        <f>IFERROR(__xludf.DUMMYFUNCTION("""COMPUTED_VALUE"""),"")</f>
        <v/>
      </c>
      <c r="O1260" s="5" t="str">
        <f>IFERROR(__xludf.DUMMYFUNCTION("""COMPUTED_VALUE"""),"")</f>
        <v/>
      </c>
      <c r="P1260" s="5" t="str">
        <f>IFERROR(__xludf.DUMMYFUNCTION("""COMPUTED_VALUE"""),"")</f>
        <v/>
      </c>
      <c r="Q1260" s="5" t="str">
        <f>IFERROR(__xludf.DUMMYFUNCTION("""COMPUTED_VALUE"""),"")</f>
        <v/>
      </c>
      <c r="R1260" s="5" t="str">
        <f>IFERROR(__xludf.DUMMYFUNCTION("""COMPUTED_VALUE"""),"")</f>
        <v/>
      </c>
      <c r="S1260" s="5" t="str">
        <f>IFERROR(__xludf.DUMMYFUNCTION("""COMPUTED_VALUE"""),"")</f>
        <v/>
      </c>
      <c r="T1260" s="5" t="str">
        <f>IFERROR(__xludf.DUMMYFUNCTION("""COMPUTED_VALUE"""),"")</f>
        <v/>
      </c>
      <c r="U1260" s="5" t="str">
        <f>IFERROR(__xludf.DUMMYFUNCTION("""COMPUTED_VALUE"""),"")</f>
        <v/>
      </c>
      <c r="V1260" s="5" t="str">
        <f>IFERROR(__xludf.DUMMYFUNCTION("""COMPUTED_VALUE"""),"")</f>
        <v/>
      </c>
      <c r="W1260" s="5" t="str">
        <f>IFERROR(__xludf.DUMMYFUNCTION("""COMPUTED_VALUE"""),"")</f>
        <v/>
      </c>
      <c r="X1260" s="5" t="str">
        <f>IFERROR(__xludf.DUMMYFUNCTION("""COMPUTED_VALUE"""),"")</f>
        <v/>
      </c>
      <c r="Y1260" s="5"/>
      <c r="Z1260" s="5"/>
    </row>
    <row r="1261">
      <c r="A1261" s="5"/>
      <c r="B1261" s="5" t="str">
        <f>IFERROR(__xludf.DUMMYFUNCTION("""COMPUTED_VALUE"""),"")</f>
        <v/>
      </c>
      <c r="C1261" s="5" t="str">
        <f>IFERROR(__xludf.DUMMYFUNCTION("""COMPUTED_VALUE"""),"")</f>
        <v/>
      </c>
      <c r="D1261" s="5" t="str">
        <f>IFERROR(__xludf.DUMMYFUNCTION("""COMPUTED_VALUE"""),"")</f>
        <v/>
      </c>
      <c r="E1261" s="5" t="str">
        <f>IFERROR(__xludf.DUMMYFUNCTION("""COMPUTED_VALUE"""),"")</f>
        <v/>
      </c>
      <c r="F1261" s="5" t="str">
        <f>IFERROR(__xludf.DUMMYFUNCTION("""COMPUTED_VALUE"""),"")</f>
        <v/>
      </c>
      <c r="G1261" s="5" t="str">
        <f>IFERROR(__xludf.DUMMYFUNCTION("""COMPUTED_VALUE"""),"")</f>
        <v/>
      </c>
      <c r="H1261" s="5" t="str">
        <f>IFERROR(__xludf.DUMMYFUNCTION("""COMPUTED_VALUE"""),"")</f>
        <v/>
      </c>
      <c r="I1261" s="5" t="str">
        <f>IFERROR(__xludf.DUMMYFUNCTION("""COMPUTED_VALUE"""),"")</f>
        <v/>
      </c>
      <c r="J1261" s="5" t="str">
        <f>IFERROR(__xludf.DUMMYFUNCTION("""COMPUTED_VALUE"""),"")</f>
        <v/>
      </c>
      <c r="K1261" s="5" t="str">
        <f>IFERROR(__xludf.DUMMYFUNCTION("""COMPUTED_VALUE"""),"")</f>
        <v/>
      </c>
      <c r="L1261" s="5" t="str">
        <f>IFERROR(__xludf.DUMMYFUNCTION("""COMPUTED_VALUE"""),"")</f>
        <v/>
      </c>
      <c r="M1261" s="5" t="str">
        <f>IFERROR(__xludf.DUMMYFUNCTION("""COMPUTED_VALUE"""),"")</f>
        <v/>
      </c>
      <c r="N1261" s="5" t="str">
        <f>IFERROR(__xludf.DUMMYFUNCTION("""COMPUTED_VALUE"""),"")</f>
        <v/>
      </c>
      <c r="O1261" s="5" t="str">
        <f>IFERROR(__xludf.DUMMYFUNCTION("""COMPUTED_VALUE"""),"")</f>
        <v/>
      </c>
      <c r="P1261" s="5" t="str">
        <f>IFERROR(__xludf.DUMMYFUNCTION("""COMPUTED_VALUE"""),"")</f>
        <v/>
      </c>
      <c r="Q1261" s="5" t="str">
        <f>IFERROR(__xludf.DUMMYFUNCTION("""COMPUTED_VALUE"""),"")</f>
        <v/>
      </c>
      <c r="R1261" s="5" t="str">
        <f>IFERROR(__xludf.DUMMYFUNCTION("""COMPUTED_VALUE"""),"")</f>
        <v/>
      </c>
      <c r="S1261" s="5" t="str">
        <f>IFERROR(__xludf.DUMMYFUNCTION("""COMPUTED_VALUE"""),"")</f>
        <v/>
      </c>
      <c r="T1261" s="5" t="str">
        <f>IFERROR(__xludf.DUMMYFUNCTION("""COMPUTED_VALUE"""),"")</f>
        <v/>
      </c>
      <c r="U1261" s="5" t="str">
        <f>IFERROR(__xludf.DUMMYFUNCTION("""COMPUTED_VALUE"""),"")</f>
        <v/>
      </c>
      <c r="V1261" s="5" t="str">
        <f>IFERROR(__xludf.DUMMYFUNCTION("""COMPUTED_VALUE"""),"")</f>
        <v/>
      </c>
      <c r="W1261" s="5" t="str">
        <f>IFERROR(__xludf.DUMMYFUNCTION("""COMPUTED_VALUE"""),"")</f>
        <v/>
      </c>
      <c r="X1261" s="5" t="str">
        <f>IFERROR(__xludf.DUMMYFUNCTION("""COMPUTED_VALUE"""),"")</f>
        <v/>
      </c>
      <c r="Y1261" s="5"/>
      <c r="Z1261" s="5"/>
    </row>
    <row r="1262">
      <c r="A1262" s="5"/>
      <c r="B1262" s="5" t="str">
        <f>IFERROR(__xludf.DUMMYFUNCTION("""COMPUTED_VALUE"""),"")</f>
        <v/>
      </c>
      <c r="C1262" s="5" t="str">
        <f>IFERROR(__xludf.DUMMYFUNCTION("""COMPUTED_VALUE"""),"")</f>
        <v/>
      </c>
      <c r="D1262" s="5" t="str">
        <f>IFERROR(__xludf.DUMMYFUNCTION("""COMPUTED_VALUE"""),"")</f>
        <v/>
      </c>
      <c r="E1262" s="5" t="str">
        <f>IFERROR(__xludf.DUMMYFUNCTION("""COMPUTED_VALUE"""),"")</f>
        <v/>
      </c>
      <c r="F1262" s="5" t="str">
        <f>IFERROR(__xludf.DUMMYFUNCTION("""COMPUTED_VALUE"""),"")</f>
        <v/>
      </c>
      <c r="G1262" s="5" t="str">
        <f>IFERROR(__xludf.DUMMYFUNCTION("""COMPUTED_VALUE"""),"")</f>
        <v/>
      </c>
      <c r="H1262" s="5" t="str">
        <f>IFERROR(__xludf.DUMMYFUNCTION("""COMPUTED_VALUE"""),"")</f>
        <v/>
      </c>
      <c r="I1262" s="5" t="str">
        <f>IFERROR(__xludf.DUMMYFUNCTION("""COMPUTED_VALUE"""),"")</f>
        <v/>
      </c>
      <c r="J1262" s="5" t="str">
        <f>IFERROR(__xludf.DUMMYFUNCTION("""COMPUTED_VALUE"""),"")</f>
        <v/>
      </c>
      <c r="K1262" s="5" t="str">
        <f>IFERROR(__xludf.DUMMYFUNCTION("""COMPUTED_VALUE"""),"")</f>
        <v/>
      </c>
      <c r="L1262" s="5" t="str">
        <f>IFERROR(__xludf.DUMMYFUNCTION("""COMPUTED_VALUE"""),"")</f>
        <v/>
      </c>
      <c r="M1262" s="5" t="str">
        <f>IFERROR(__xludf.DUMMYFUNCTION("""COMPUTED_VALUE"""),"")</f>
        <v/>
      </c>
      <c r="N1262" s="5" t="str">
        <f>IFERROR(__xludf.DUMMYFUNCTION("""COMPUTED_VALUE"""),"")</f>
        <v/>
      </c>
      <c r="O1262" s="5" t="str">
        <f>IFERROR(__xludf.DUMMYFUNCTION("""COMPUTED_VALUE"""),"")</f>
        <v/>
      </c>
      <c r="P1262" s="5" t="str">
        <f>IFERROR(__xludf.DUMMYFUNCTION("""COMPUTED_VALUE"""),"")</f>
        <v/>
      </c>
      <c r="Q1262" s="5" t="str">
        <f>IFERROR(__xludf.DUMMYFUNCTION("""COMPUTED_VALUE"""),"")</f>
        <v/>
      </c>
      <c r="R1262" s="5" t="str">
        <f>IFERROR(__xludf.DUMMYFUNCTION("""COMPUTED_VALUE"""),"")</f>
        <v/>
      </c>
      <c r="S1262" s="5" t="str">
        <f>IFERROR(__xludf.DUMMYFUNCTION("""COMPUTED_VALUE"""),"")</f>
        <v/>
      </c>
      <c r="T1262" s="5" t="str">
        <f>IFERROR(__xludf.DUMMYFUNCTION("""COMPUTED_VALUE"""),"")</f>
        <v/>
      </c>
      <c r="U1262" s="5" t="str">
        <f>IFERROR(__xludf.DUMMYFUNCTION("""COMPUTED_VALUE"""),"")</f>
        <v/>
      </c>
      <c r="V1262" s="5" t="str">
        <f>IFERROR(__xludf.DUMMYFUNCTION("""COMPUTED_VALUE"""),"")</f>
        <v/>
      </c>
      <c r="W1262" s="5" t="str">
        <f>IFERROR(__xludf.DUMMYFUNCTION("""COMPUTED_VALUE"""),"")</f>
        <v/>
      </c>
      <c r="X1262" s="5" t="str">
        <f>IFERROR(__xludf.DUMMYFUNCTION("""COMPUTED_VALUE"""),"")</f>
        <v/>
      </c>
      <c r="Y1262" s="5"/>
      <c r="Z1262" s="5"/>
    </row>
    <row r="1263">
      <c r="A1263" s="5"/>
      <c r="B1263" s="5" t="str">
        <f>IFERROR(__xludf.DUMMYFUNCTION("""COMPUTED_VALUE"""),"")</f>
        <v/>
      </c>
      <c r="C1263" s="5" t="str">
        <f>IFERROR(__xludf.DUMMYFUNCTION("""COMPUTED_VALUE"""),"")</f>
        <v/>
      </c>
      <c r="D1263" s="5" t="str">
        <f>IFERROR(__xludf.DUMMYFUNCTION("""COMPUTED_VALUE"""),"")</f>
        <v/>
      </c>
      <c r="E1263" s="5" t="str">
        <f>IFERROR(__xludf.DUMMYFUNCTION("""COMPUTED_VALUE"""),"")</f>
        <v/>
      </c>
      <c r="F1263" s="5" t="str">
        <f>IFERROR(__xludf.DUMMYFUNCTION("""COMPUTED_VALUE"""),"")</f>
        <v/>
      </c>
      <c r="G1263" s="5" t="str">
        <f>IFERROR(__xludf.DUMMYFUNCTION("""COMPUTED_VALUE"""),"")</f>
        <v/>
      </c>
      <c r="H1263" s="5" t="str">
        <f>IFERROR(__xludf.DUMMYFUNCTION("""COMPUTED_VALUE"""),"")</f>
        <v/>
      </c>
      <c r="I1263" s="5" t="str">
        <f>IFERROR(__xludf.DUMMYFUNCTION("""COMPUTED_VALUE"""),"")</f>
        <v/>
      </c>
      <c r="J1263" s="5" t="str">
        <f>IFERROR(__xludf.DUMMYFUNCTION("""COMPUTED_VALUE"""),"")</f>
        <v/>
      </c>
      <c r="K1263" s="5" t="str">
        <f>IFERROR(__xludf.DUMMYFUNCTION("""COMPUTED_VALUE"""),"")</f>
        <v/>
      </c>
      <c r="L1263" s="5" t="str">
        <f>IFERROR(__xludf.DUMMYFUNCTION("""COMPUTED_VALUE"""),"")</f>
        <v/>
      </c>
      <c r="M1263" s="5" t="str">
        <f>IFERROR(__xludf.DUMMYFUNCTION("""COMPUTED_VALUE"""),"")</f>
        <v/>
      </c>
      <c r="N1263" s="5" t="str">
        <f>IFERROR(__xludf.DUMMYFUNCTION("""COMPUTED_VALUE"""),"")</f>
        <v/>
      </c>
      <c r="O1263" s="5" t="str">
        <f>IFERROR(__xludf.DUMMYFUNCTION("""COMPUTED_VALUE"""),"")</f>
        <v/>
      </c>
      <c r="P1263" s="5" t="str">
        <f>IFERROR(__xludf.DUMMYFUNCTION("""COMPUTED_VALUE"""),"")</f>
        <v/>
      </c>
      <c r="Q1263" s="5" t="str">
        <f>IFERROR(__xludf.DUMMYFUNCTION("""COMPUTED_VALUE"""),"")</f>
        <v/>
      </c>
      <c r="R1263" s="5" t="str">
        <f>IFERROR(__xludf.DUMMYFUNCTION("""COMPUTED_VALUE"""),"")</f>
        <v/>
      </c>
      <c r="S1263" s="5" t="str">
        <f>IFERROR(__xludf.DUMMYFUNCTION("""COMPUTED_VALUE"""),"")</f>
        <v/>
      </c>
      <c r="T1263" s="5" t="str">
        <f>IFERROR(__xludf.DUMMYFUNCTION("""COMPUTED_VALUE"""),"")</f>
        <v/>
      </c>
      <c r="U1263" s="5" t="str">
        <f>IFERROR(__xludf.DUMMYFUNCTION("""COMPUTED_VALUE"""),"")</f>
        <v/>
      </c>
      <c r="V1263" s="5" t="str">
        <f>IFERROR(__xludf.DUMMYFUNCTION("""COMPUTED_VALUE"""),"")</f>
        <v/>
      </c>
      <c r="W1263" s="5" t="str">
        <f>IFERROR(__xludf.DUMMYFUNCTION("""COMPUTED_VALUE"""),"")</f>
        <v/>
      </c>
      <c r="X1263" s="5" t="str">
        <f>IFERROR(__xludf.DUMMYFUNCTION("""COMPUTED_VALUE"""),"")</f>
        <v/>
      </c>
      <c r="Y1263" s="5"/>
      <c r="Z1263" s="5"/>
    </row>
    <row r="1264">
      <c r="A1264" s="5"/>
      <c r="B1264" s="5" t="str">
        <f>IFERROR(__xludf.DUMMYFUNCTION("""COMPUTED_VALUE"""),"")</f>
        <v/>
      </c>
      <c r="C1264" s="5" t="str">
        <f>IFERROR(__xludf.DUMMYFUNCTION("""COMPUTED_VALUE"""),"")</f>
        <v/>
      </c>
      <c r="D1264" s="5" t="str">
        <f>IFERROR(__xludf.DUMMYFUNCTION("""COMPUTED_VALUE"""),"")</f>
        <v/>
      </c>
      <c r="E1264" s="5" t="str">
        <f>IFERROR(__xludf.DUMMYFUNCTION("""COMPUTED_VALUE"""),"")</f>
        <v/>
      </c>
      <c r="F1264" s="5" t="str">
        <f>IFERROR(__xludf.DUMMYFUNCTION("""COMPUTED_VALUE"""),"")</f>
        <v/>
      </c>
      <c r="G1264" s="5" t="str">
        <f>IFERROR(__xludf.DUMMYFUNCTION("""COMPUTED_VALUE"""),"")</f>
        <v/>
      </c>
      <c r="H1264" s="5" t="str">
        <f>IFERROR(__xludf.DUMMYFUNCTION("""COMPUTED_VALUE"""),"")</f>
        <v/>
      </c>
      <c r="I1264" s="5" t="str">
        <f>IFERROR(__xludf.DUMMYFUNCTION("""COMPUTED_VALUE"""),"")</f>
        <v/>
      </c>
      <c r="J1264" s="5" t="str">
        <f>IFERROR(__xludf.DUMMYFUNCTION("""COMPUTED_VALUE"""),"")</f>
        <v/>
      </c>
      <c r="K1264" s="5" t="str">
        <f>IFERROR(__xludf.DUMMYFUNCTION("""COMPUTED_VALUE"""),"")</f>
        <v/>
      </c>
      <c r="L1264" s="5" t="str">
        <f>IFERROR(__xludf.DUMMYFUNCTION("""COMPUTED_VALUE"""),"")</f>
        <v/>
      </c>
      <c r="M1264" s="5" t="str">
        <f>IFERROR(__xludf.DUMMYFUNCTION("""COMPUTED_VALUE"""),"")</f>
        <v/>
      </c>
      <c r="N1264" s="5" t="str">
        <f>IFERROR(__xludf.DUMMYFUNCTION("""COMPUTED_VALUE"""),"")</f>
        <v/>
      </c>
      <c r="O1264" s="5" t="str">
        <f>IFERROR(__xludf.DUMMYFUNCTION("""COMPUTED_VALUE"""),"")</f>
        <v/>
      </c>
      <c r="P1264" s="5" t="str">
        <f>IFERROR(__xludf.DUMMYFUNCTION("""COMPUTED_VALUE"""),"")</f>
        <v/>
      </c>
      <c r="Q1264" s="5" t="str">
        <f>IFERROR(__xludf.DUMMYFUNCTION("""COMPUTED_VALUE"""),"")</f>
        <v/>
      </c>
      <c r="R1264" s="5" t="str">
        <f>IFERROR(__xludf.DUMMYFUNCTION("""COMPUTED_VALUE"""),"")</f>
        <v/>
      </c>
      <c r="S1264" s="5" t="str">
        <f>IFERROR(__xludf.DUMMYFUNCTION("""COMPUTED_VALUE"""),"")</f>
        <v/>
      </c>
      <c r="T1264" s="5" t="str">
        <f>IFERROR(__xludf.DUMMYFUNCTION("""COMPUTED_VALUE"""),"")</f>
        <v/>
      </c>
      <c r="U1264" s="5" t="str">
        <f>IFERROR(__xludf.DUMMYFUNCTION("""COMPUTED_VALUE"""),"")</f>
        <v/>
      </c>
      <c r="V1264" s="5" t="str">
        <f>IFERROR(__xludf.DUMMYFUNCTION("""COMPUTED_VALUE"""),"")</f>
        <v/>
      </c>
      <c r="W1264" s="5" t="str">
        <f>IFERROR(__xludf.DUMMYFUNCTION("""COMPUTED_VALUE"""),"")</f>
        <v/>
      </c>
      <c r="X1264" s="5" t="str">
        <f>IFERROR(__xludf.DUMMYFUNCTION("""COMPUTED_VALUE"""),"")</f>
        <v/>
      </c>
      <c r="Y1264" s="5"/>
      <c r="Z1264" s="5"/>
    </row>
    <row r="1265">
      <c r="A1265" s="5"/>
      <c r="B1265" s="5" t="str">
        <f>IFERROR(__xludf.DUMMYFUNCTION("""COMPUTED_VALUE"""),"")</f>
        <v/>
      </c>
      <c r="C1265" s="5" t="str">
        <f>IFERROR(__xludf.DUMMYFUNCTION("""COMPUTED_VALUE"""),"")</f>
        <v/>
      </c>
      <c r="D1265" s="5" t="str">
        <f>IFERROR(__xludf.DUMMYFUNCTION("""COMPUTED_VALUE"""),"")</f>
        <v/>
      </c>
      <c r="E1265" s="5" t="str">
        <f>IFERROR(__xludf.DUMMYFUNCTION("""COMPUTED_VALUE"""),"")</f>
        <v/>
      </c>
      <c r="F1265" s="5" t="str">
        <f>IFERROR(__xludf.DUMMYFUNCTION("""COMPUTED_VALUE"""),"")</f>
        <v/>
      </c>
      <c r="G1265" s="5" t="str">
        <f>IFERROR(__xludf.DUMMYFUNCTION("""COMPUTED_VALUE"""),"")</f>
        <v/>
      </c>
      <c r="H1265" s="5" t="str">
        <f>IFERROR(__xludf.DUMMYFUNCTION("""COMPUTED_VALUE"""),"")</f>
        <v/>
      </c>
      <c r="I1265" s="5" t="str">
        <f>IFERROR(__xludf.DUMMYFUNCTION("""COMPUTED_VALUE"""),"")</f>
        <v/>
      </c>
      <c r="J1265" s="5" t="str">
        <f>IFERROR(__xludf.DUMMYFUNCTION("""COMPUTED_VALUE"""),"")</f>
        <v/>
      </c>
      <c r="K1265" s="5" t="str">
        <f>IFERROR(__xludf.DUMMYFUNCTION("""COMPUTED_VALUE"""),"")</f>
        <v/>
      </c>
      <c r="L1265" s="5" t="str">
        <f>IFERROR(__xludf.DUMMYFUNCTION("""COMPUTED_VALUE"""),"")</f>
        <v/>
      </c>
      <c r="M1265" s="5" t="str">
        <f>IFERROR(__xludf.DUMMYFUNCTION("""COMPUTED_VALUE"""),"")</f>
        <v/>
      </c>
      <c r="N1265" s="5" t="str">
        <f>IFERROR(__xludf.DUMMYFUNCTION("""COMPUTED_VALUE"""),"")</f>
        <v/>
      </c>
      <c r="O1265" s="5" t="str">
        <f>IFERROR(__xludf.DUMMYFUNCTION("""COMPUTED_VALUE"""),"")</f>
        <v/>
      </c>
      <c r="P1265" s="5" t="str">
        <f>IFERROR(__xludf.DUMMYFUNCTION("""COMPUTED_VALUE"""),"")</f>
        <v/>
      </c>
      <c r="Q1265" s="5" t="str">
        <f>IFERROR(__xludf.DUMMYFUNCTION("""COMPUTED_VALUE"""),"")</f>
        <v/>
      </c>
      <c r="R1265" s="5" t="str">
        <f>IFERROR(__xludf.DUMMYFUNCTION("""COMPUTED_VALUE"""),"")</f>
        <v/>
      </c>
      <c r="S1265" s="5" t="str">
        <f>IFERROR(__xludf.DUMMYFUNCTION("""COMPUTED_VALUE"""),"")</f>
        <v/>
      </c>
      <c r="T1265" s="5" t="str">
        <f>IFERROR(__xludf.DUMMYFUNCTION("""COMPUTED_VALUE"""),"")</f>
        <v/>
      </c>
      <c r="U1265" s="5" t="str">
        <f>IFERROR(__xludf.DUMMYFUNCTION("""COMPUTED_VALUE"""),"")</f>
        <v/>
      </c>
      <c r="V1265" s="5" t="str">
        <f>IFERROR(__xludf.DUMMYFUNCTION("""COMPUTED_VALUE"""),"")</f>
        <v/>
      </c>
      <c r="W1265" s="5" t="str">
        <f>IFERROR(__xludf.DUMMYFUNCTION("""COMPUTED_VALUE"""),"")</f>
        <v/>
      </c>
      <c r="X1265" s="5" t="str">
        <f>IFERROR(__xludf.DUMMYFUNCTION("""COMPUTED_VALUE"""),"")</f>
        <v/>
      </c>
      <c r="Y1265" s="5"/>
      <c r="Z1265" s="5"/>
    </row>
    <row r="1266">
      <c r="A1266" s="5"/>
      <c r="B1266" s="5" t="str">
        <f>IFERROR(__xludf.DUMMYFUNCTION("""COMPUTED_VALUE"""),"")</f>
        <v/>
      </c>
      <c r="C1266" s="5" t="str">
        <f>IFERROR(__xludf.DUMMYFUNCTION("""COMPUTED_VALUE"""),"")</f>
        <v/>
      </c>
      <c r="D1266" s="5" t="str">
        <f>IFERROR(__xludf.DUMMYFUNCTION("""COMPUTED_VALUE"""),"")</f>
        <v/>
      </c>
      <c r="E1266" s="5" t="str">
        <f>IFERROR(__xludf.DUMMYFUNCTION("""COMPUTED_VALUE"""),"")</f>
        <v/>
      </c>
      <c r="F1266" s="5" t="str">
        <f>IFERROR(__xludf.DUMMYFUNCTION("""COMPUTED_VALUE"""),"")</f>
        <v/>
      </c>
      <c r="G1266" s="5" t="str">
        <f>IFERROR(__xludf.DUMMYFUNCTION("""COMPUTED_VALUE"""),"")</f>
        <v/>
      </c>
      <c r="H1266" s="5" t="str">
        <f>IFERROR(__xludf.DUMMYFUNCTION("""COMPUTED_VALUE"""),"")</f>
        <v/>
      </c>
      <c r="I1266" s="5" t="str">
        <f>IFERROR(__xludf.DUMMYFUNCTION("""COMPUTED_VALUE"""),"")</f>
        <v/>
      </c>
      <c r="J1266" s="5" t="str">
        <f>IFERROR(__xludf.DUMMYFUNCTION("""COMPUTED_VALUE"""),"")</f>
        <v/>
      </c>
      <c r="K1266" s="5" t="str">
        <f>IFERROR(__xludf.DUMMYFUNCTION("""COMPUTED_VALUE"""),"")</f>
        <v/>
      </c>
      <c r="L1266" s="5" t="str">
        <f>IFERROR(__xludf.DUMMYFUNCTION("""COMPUTED_VALUE"""),"")</f>
        <v/>
      </c>
      <c r="M1266" s="5" t="str">
        <f>IFERROR(__xludf.DUMMYFUNCTION("""COMPUTED_VALUE"""),"")</f>
        <v/>
      </c>
      <c r="N1266" s="5" t="str">
        <f>IFERROR(__xludf.DUMMYFUNCTION("""COMPUTED_VALUE"""),"")</f>
        <v/>
      </c>
      <c r="O1266" s="5" t="str">
        <f>IFERROR(__xludf.DUMMYFUNCTION("""COMPUTED_VALUE"""),"")</f>
        <v/>
      </c>
      <c r="P1266" s="5" t="str">
        <f>IFERROR(__xludf.DUMMYFUNCTION("""COMPUTED_VALUE"""),"")</f>
        <v/>
      </c>
      <c r="Q1266" s="5" t="str">
        <f>IFERROR(__xludf.DUMMYFUNCTION("""COMPUTED_VALUE"""),"")</f>
        <v/>
      </c>
      <c r="R1266" s="5" t="str">
        <f>IFERROR(__xludf.DUMMYFUNCTION("""COMPUTED_VALUE"""),"")</f>
        <v/>
      </c>
      <c r="S1266" s="5" t="str">
        <f>IFERROR(__xludf.DUMMYFUNCTION("""COMPUTED_VALUE"""),"")</f>
        <v/>
      </c>
      <c r="T1266" s="5" t="str">
        <f>IFERROR(__xludf.DUMMYFUNCTION("""COMPUTED_VALUE"""),"")</f>
        <v/>
      </c>
      <c r="U1266" s="5" t="str">
        <f>IFERROR(__xludf.DUMMYFUNCTION("""COMPUTED_VALUE"""),"")</f>
        <v/>
      </c>
      <c r="V1266" s="5" t="str">
        <f>IFERROR(__xludf.DUMMYFUNCTION("""COMPUTED_VALUE"""),"")</f>
        <v/>
      </c>
      <c r="W1266" s="5" t="str">
        <f>IFERROR(__xludf.DUMMYFUNCTION("""COMPUTED_VALUE"""),"")</f>
        <v/>
      </c>
      <c r="X1266" s="5" t="str">
        <f>IFERROR(__xludf.DUMMYFUNCTION("""COMPUTED_VALUE"""),"")</f>
        <v/>
      </c>
      <c r="Y1266" s="5"/>
      <c r="Z1266" s="5"/>
    </row>
    <row r="1267">
      <c r="A1267" s="5"/>
      <c r="B1267" s="5" t="str">
        <f>IFERROR(__xludf.DUMMYFUNCTION("""COMPUTED_VALUE"""),"")</f>
        <v/>
      </c>
      <c r="C1267" s="5" t="str">
        <f>IFERROR(__xludf.DUMMYFUNCTION("""COMPUTED_VALUE"""),"")</f>
        <v/>
      </c>
      <c r="D1267" s="5" t="str">
        <f>IFERROR(__xludf.DUMMYFUNCTION("""COMPUTED_VALUE"""),"")</f>
        <v/>
      </c>
      <c r="E1267" s="5" t="str">
        <f>IFERROR(__xludf.DUMMYFUNCTION("""COMPUTED_VALUE"""),"")</f>
        <v/>
      </c>
      <c r="F1267" s="5" t="str">
        <f>IFERROR(__xludf.DUMMYFUNCTION("""COMPUTED_VALUE"""),"")</f>
        <v/>
      </c>
      <c r="G1267" s="5" t="str">
        <f>IFERROR(__xludf.DUMMYFUNCTION("""COMPUTED_VALUE"""),"")</f>
        <v/>
      </c>
      <c r="H1267" s="5" t="str">
        <f>IFERROR(__xludf.DUMMYFUNCTION("""COMPUTED_VALUE"""),"")</f>
        <v/>
      </c>
      <c r="I1267" s="5" t="str">
        <f>IFERROR(__xludf.DUMMYFUNCTION("""COMPUTED_VALUE"""),"")</f>
        <v/>
      </c>
      <c r="J1267" s="5" t="str">
        <f>IFERROR(__xludf.DUMMYFUNCTION("""COMPUTED_VALUE"""),"")</f>
        <v/>
      </c>
      <c r="K1267" s="5" t="str">
        <f>IFERROR(__xludf.DUMMYFUNCTION("""COMPUTED_VALUE"""),"")</f>
        <v/>
      </c>
      <c r="L1267" s="5" t="str">
        <f>IFERROR(__xludf.DUMMYFUNCTION("""COMPUTED_VALUE"""),"")</f>
        <v/>
      </c>
      <c r="M1267" s="5" t="str">
        <f>IFERROR(__xludf.DUMMYFUNCTION("""COMPUTED_VALUE"""),"")</f>
        <v/>
      </c>
      <c r="N1267" s="5" t="str">
        <f>IFERROR(__xludf.DUMMYFUNCTION("""COMPUTED_VALUE"""),"")</f>
        <v/>
      </c>
      <c r="O1267" s="5" t="str">
        <f>IFERROR(__xludf.DUMMYFUNCTION("""COMPUTED_VALUE"""),"")</f>
        <v/>
      </c>
      <c r="P1267" s="5" t="str">
        <f>IFERROR(__xludf.DUMMYFUNCTION("""COMPUTED_VALUE"""),"")</f>
        <v/>
      </c>
      <c r="Q1267" s="5" t="str">
        <f>IFERROR(__xludf.DUMMYFUNCTION("""COMPUTED_VALUE"""),"")</f>
        <v/>
      </c>
      <c r="R1267" s="5" t="str">
        <f>IFERROR(__xludf.DUMMYFUNCTION("""COMPUTED_VALUE"""),"")</f>
        <v/>
      </c>
      <c r="S1267" s="5" t="str">
        <f>IFERROR(__xludf.DUMMYFUNCTION("""COMPUTED_VALUE"""),"")</f>
        <v/>
      </c>
      <c r="T1267" s="5" t="str">
        <f>IFERROR(__xludf.DUMMYFUNCTION("""COMPUTED_VALUE"""),"")</f>
        <v/>
      </c>
      <c r="U1267" s="5" t="str">
        <f>IFERROR(__xludf.DUMMYFUNCTION("""COMPUTED_VALUE"""),"")</f>
        <v/>
      </c>
      <c r="V1267" s="5" t="str">
        <f>IFERROR(__xludf.DUMMYFUNCTION("""COMPUTED_VALUE"""),"")</f>
        <v/>
      </c>
      <c r="W1267" s="5" t="str">
        <f>IFERROR(__xludf.DUMMYFUNCTION("""COMPUTED_VALUE"""),"")</f>
        <v/>
      </c>
      <c r="X1267" s="5" t="str">
        <f>IFERROR(__xludf.DUMMYFUNCTION("""COMPUTED_VALUE"""),"")</f>
        <v/>
      </c>
      <c r="Y1267" s="5"/>
      <c r="Z1267" s="5"/>
    </row>
    <row r="1268">
      <c r="A1268" s="5"/>
      <c r="B1268" s="5" t="str">
        <f>IFERROR(__xludf.DUMMYFUNCTION("""COMPUTED_VALUE"""),"")</f>
        <v/>
      </c>
      <c r="C1268" s="5" t="str">
        <f>IFERROR(__xludf.DUMMYFUNCTION("""COMPUTED_VALUE"""),"")</f>
        <v/>
      </c>
      <c r="D1268" s="5" t="str">
        <f>IFERROR(__xludf.DUMMYFUNCTION("""COMPUTED_VALUE"""),"")</f>
        <v/>
      </c>
      <c r="E1268" s="5" t="str">
        <f>IFERROR(__xludf.DUMMYFUNCTION("""COMPUTED_VALUE"""),"")</f>
        <v/>
      </c>
      <c r="F1268" s="5" t="str">
        <f>IFERROR(__xludf.DUMMYFUNCTION("""COMPUTED_VALUE"""),"")</f>
        <v/>
      </c>
      <c r="G1268" s="5" t="str">
        <f>IFERROR(__xludf.DUMMYFUNCTION("""COMPUTED_VALUE"""),"")</f>
        <v/>
      </c>
      <c r="H1268" s="5" t="str">
        <f>IFERROR(__xludf.DUMMYFUNCTION("""COMPUTED_VALUE"""),"")</f>
        <v/>
      </c>
      <c r="I1268" s="5" t="str">
        <f>IFERROR(__xludf.DUMMYFUNCTION("""COMPUTED_VALUE"""),"")</f>
        <v/>
      </c>
      <c r="J1268" s="5" t="str">
        <f>IFERROR(__xludf.DUMMYFUNCTION("""COMPUTED_VALUE"""),"")</f>
        <v/>
      </c>
      <c r="K1268" s="5" t="str">
        <f>IFERROR(__xludf.DUMMYFUNCTION("""COMPUTED_VALUE"""),"")</f>
        <v/>
      </c>
      <c r="L1268" s="5" t="str">
        <f>IFERROR(__xludf.DUMMYFUNCTION("""COMPUTED_VALUE"""),"")</f>
        <v/>
      </c>
      <c r="M1268" s="5" t="str">
        <f>IFERROR(__xludf.DUMMYFUNCTION("""COMPUTED_VALUE"""),"")</f>
        <v/>
      </c>
      <c r="N1268" s="5" t="str">
        <f>IFERROR(__xludf.DUMMYFUNCTION("""COMPUTED_VALUE"""),"")</f>
        <v/>
      </c>
      <c r="O1268" s="5" t="str">
        <f>IFERROR(__xludf.DUMMYFUNCTION("""COMPUTED_VALUE"""),"")</f>
        <v/>
      </c>
      <c r="P1268" s="5" t="str">
        <f>IFERROR(__xludf.DUMMYFUNCTION("""COMPUTED_VALUE"""),"")</f>
        <v/>
      </c>
      <c r="Q1268" s="5" t="str">
        <f>IFERROR(__xludf.DUMMYFUNCTION("""COMPUTED_VALUE"""),"")</f>
        <v/>
      </c>
      <c r="R1268" s="5" t="str">
        <f>IFERROR(__xludf.DUMMYFUNCTION("""COMPUTED_VALUE"""),"")</f>
        <v/>
      </c>
      <c r="S1268" s="5" t="str">
        <f>IFERROR(__xludf.DUMMYFUNCTION("""COMPUTED_VALUE"""),"")</f>
        <v/>
      </c>
      <c r="T1268" s="5" t="str">
        <f>IFERROR(__xludf.DUMMYFUNCTION("""COMPUTED_VALUE"""),"")</f>
        <v/>
      </c>
      <c r="U1268" s="5" t="str">
        <f>IFERROR(__xludf.DUMMYFUNCTION("""COMPUTED_VALUE"""),"")</f>
        <v/>
      </c>
      <c r="V1268" s="5" t="str">
        <f>IFERROR(__xludf.DUMMYFUNCTION("""COMPUTED_VALUE"""),"")</f>
        <v/>
      </c>
      <c r="W1268" s="5" t="str">
        <f>IFERROR(__xludf.DUMMYFUNCTION("""COMPUTED_VALUE"""),"")</f>
        <v/>
      </c>
      <c r="X1268" s="5" t="str">
        <f>IFERROR(__xludf.DUMMYFUNCTION("""COMPUTED_VALUE"""),"")</f>
        <v/>
      </c>
      <c r="Y1268" s="5"/>
      <c r="Z1268" s="5"/>
    </row>
    <row r="1269">
      <c r="A1269" s="5"/>
      <c r="B1269" s="5" t="str">
        <f>IFERROR(__xludf.DUMMYFUNCTION("""COMPUTED_VALUE"""),"")</f>
        <v/>
      </c>
      <c r="C1269" s="5" t="str">
        <f>IFERROR(__xludf.DUMMYFUNCTION("""COMPUTED_VALUE"""),"")</f>
        <v/>
      </c>
      <c r="D1269" s="5" t="str">
        <f>IFERROR(__xludf.DUMMYFUNCTION("""COMPUTED_VALUE"""),"")</f>
        <v/>
      </c>
      <c r="E1269" s="5" t="str">
        <f>IFERROR(__xludf.DUMMYFUNCTION("""COMPUTED_VALUE"""),"")</f>
        <v/>
      </c>
      <c r="F1269" s="5" t="str">
        <f>IFERROR(__xludf.DUMMYFUNCTION("""COMPUTED_VALUE"""),"")</f>
        <v/>
      </c>
      <c r="G1269" s="5" t="str">
        <f>IFERROR(__xludf.DUMMYFUNCTION("""COMPUTED_VALUE"""),"")</f>
        <v/>
      </c>
      <c r="H1269" s="5" t="str">
        <f>IFERROR(__xludf.DUMMYFUNCTION("""COMPUTED_VALUE"""),"")</f>
        <v/>
      </c>
      <c r="I1269" s="5" t="str">
        <f>IFERROR(__xludf.DUMMYFUNCTION("""COMPUTED_VALUE"""),"")</f>
        <v/>
      </c>
      <c r="J1269" s="5" t="str">
        <f>IFERROR(__xludf.DUMMYFUNCTION("""COMPUTED_VALUE"""),"")</f>
        <v/>
      </c>
      <c r="K1269" s="5" t="str">
        <f>IFERROR(__xludf.DUMMYFUNCTION("""COMPUTED_VALUE"""),"")</f>
        <v/>
      </c>
      <c r="L1269" s="5" t="str">
        <f>IFERROR(__xludf.DUMMYFUNCTION("""COMPUTED_VALUE"""),"")</f>
        <v/>
      </c>
      <c r="M1269" s="5" t="str">
        <f>IFERROR(__xludf.DUMMYFUNCTION("""COMPUTED_VALUE"""),"")</f>
        <v/>
      </c>
      <c r="N1269" s="5" t="str">
        <f>IFERROR(__xludf.DUMMYFUNCTION("""COMPUTED_VALUE"""),"")</f>
        <v/>
      </c>
      <c r="O1269" s="5" t="str">
        <f>IFERROR(__xludf.DUMMYFUNCTION("""COMPUTED_VALUE"""),"")</f>
        <v/>
      </c>
      <c r="P1269" s="5" t="str">
        <f>IFERROR(__xludf.DUMMYFUNCTION("""COMPUTED_VALUE"""),"")</f>
        <v/>
      </c>
      <c r="Q1269" s="5" t="str">
        <f>IFERROR(__xludf.DUMMYFUNCTION("""COMPUTED_VALUE"""),"")</f>
        <v/>
      </c>
      <c r="R1269" s="5" t="str">
        <f>IFERROR(__xludf.DUMMYFUNCTION("""COMPUTED_VALUE"""),"")</f>
        <v/>
      </c>
      <c r="S1269" s="5" t="str">
        <f>IFERROR(__xludf.DUMMYFUNCTION("""COMPUTED_VALUE"""),"")</f>
        <v/>
      </c>
      <c r="T1269" s="5" t="str">
        <f>IFERROR(__xludf.DUMMYFUNCTION("""COMPUTED_VALUE"""),"")</f>
        <v/>
      </c>
      <c r="U1269" s="5" t="str">
        <f>IFERROR(__xludf.DUMMYFUNCTION("""COMPUTED_VALUE"""),"")</f>
        <v/>
      </c>
      <c r="V1269" s="5" t="str">
        <f>IFERROR(__xludf.DUMMYFUNCTION("""COMPUTED_VALUE"""),"")</f>
        <v/>
      </c>
      <c r="W1269" s="5" t="str">
        <f>IFERROR(__xludf.DUMMYFUNCTION("""COMPUTED_VALUE"""),"")</f>
        <v/>
      </c>
      <c r="X1269" s="5" t="str">
        <f>IFERROR(__xludf.DUMMYFUNCTION("""COMPUTED_VALUE"""),"")</f>
        <v/>
      </c>
      <c r="Y1269" s="5"/>
      <c r="Z1269" s="5"/>
    </row>
    <row r="1270">
      <c r="A1270" s="5"/>
      <c r="B1270" s="5" t="str">
        <f>IFERROR(__xludf.DUMMYFUNCTION("""COMPUTED_VALUE"""),"")</f>
        <v/>
      </c>
      <c r="C1270" s="5" t="str">
        <f>IFERROR(__xludf.DUMMYFUNCTION("""COMPUTED_VALUE"""),"")</f>
        <v/>
      </c>
      <c r="D1270" s="5" t="str">
        <f>IFERROR(__xludf.DUMMYFUNCTION("""COMPUTED_VALUE"""),"")</f>
        <v/>
      </c>
      <c r="E1270" s="5" t="str">
        <f>IFERROR(__xludf.DUMMYFUNCTION("""COMPUTED_VALUE"""),"")</f>
        <v/>
      </c>
      <c r="F1270" s="5" t="str">
        <f>IFERROR(__xludf.DUMMYFUNCTION("""COMPUTED_VALUE"""),"")</f>
        <v/>
      </c>
      <c r="G1270" s="5" t="str">
        <f>IFERROR(__xludf.DUMMYFUNCTION("""COMPUTED_VALUE"""),"")</f>
        <v/>
      </c>
      <c r="H1270" s="5" t="str">
        <f>IFERROR(__xludf.DUMMYFUNCTION("""COMPUTED_VALUE"""),"")</f>
        <v/>
      </c>
      <c r="I1270" s="5" t="str">
        <f>IFERROR(__xludf.DUMMYFUNCTION("""COMPUTED_VALUE"""),"")</f>
        <v/>
      </c>
      <c r="J1270" s="5" t="str">
        <f>IFERROR(__xludf.DUMMYFUNCTION("""COMPUTED_VALUE"""),"")</f>
        <v/>
      </c>
      <c r="K1270" s="5" t="str">
        <f>IFERROR(__xludf.DUMMYFUNCTION("""COMPUTED_VALUE"""),"")</f>
        <v/>
      </c>
      <c r="L1270" s="5" t="str">
        <f>IFERROR(__xludf.DUMMYFUNCTION("""COMPUTED_VALUE"""),"")</f>
        <v/>
      </c>
      <c r="M1270" s="5" t="str">
        <f>IFERROR(__xludf.DUMMYFUNCTION("""COMPUTED_VALUE"""),"")</f>
        <v/>
      </c>
      <c r="N1270" s="5" t="str">
        <f>IFERROR(__xludf.DUMMYFUNCTION("""COMPUTED_VALUE"""),"")</f>
        <v/>
      </c>
      <c r="O1270" s="5" t="str">
        <f>IFERROR(__xludf.DUMMYFUNCTION("""COMPUTED_VALUE"""),"")</f>
        <v/>
      </c>
      <c r="P1270" s="5" t="str">
        <f>IFERROR(__xludf.DUMMYFUNCTION("""COMPUTED_VALUE"""),"")</f>
        <v/>
      </c>
      <c r="Q1270" s="5" t="str">
        <f>IFERROR(__xludf.DUMMYFUNCTION("""COMPUTED_VALUE"""),"")</f>
        <v/>
      </c>
      <c r="R1270" s="5" t="str">
        <f>IFERROR(__xludf.DUMMYFUNCTION("""COMPUTED_VALUE"""),"")</f>
        <v/>
      </c>
      <c r="S1270" s="5" t="str">
        <f>IFERROR(__xludf.DUMMYFUNCTION("""COMPUTED_VALUE"""),"")</f>
        <v/>
      </c>
      <c r="T1270" s="5" t="str">
        <f>IFERROR(__xludf.DUMMYFUNCTION("""COMPUTED_VALUE"""),"")</f>
        <v/>
      </c>
      <c r="U1270" s="5" t="str">
        <f>IFERROR(__xludf.DUMMYFUNCTION("""COMPUTED_VALUE"""),"")</f>
        <v/>
      </c>
      <c r="V1270" s="5" t="str">
        <f>IFERROR(__xludf.DUMMYFUNCTION("""COMPUTED_VALUE"""),"")</f>
        <v/>
      </c>
      <c r="W1270" s="5" t="str">
        <f>IFERROR(__xludf.DUMMYFUNCTION("""COMPUTED_VALUE"""),"")</f>
        <v/>
      </c>
      <c r="X1270" s="5" t="str">
        <f>IFERROR(__xludf.DUMMYFUNCTION("""COMPUTED_VALUE"""),"")</f>
        <v/>
      </c>
      <c r="Y1270" s="5"/>
      <c r="Z1270" s="5"/>
    </row>
    <row r="1271">
      <c r="A1271" s="5"/>
      <c r="B1271" s="5" t="str">
        <f>IFERROR(__xludf.DUMMYFUNCTION("""COMPUTED_VALUE"""),"")</f>
        <v/>
      </c>
      <c r="C1271" s="5" t="str">
        <f>IFERROR(__xludf.DUMMYFUNCTION("""COMPUTED_VALUE"""),"")</f>
        <v/>
      </c>
      <c r="D1271" s="5" t="str">
        <f>IFERROR(__xludf.DUMMYFUNCTION("""COMPUTED_VALUE"""),"")</f>
        <v/>
      </c>
      <c r="E1271" s="5" t="str">
        <f>IFERROR(__xludf.DUMMYFUNCTION("""COMPUTED_VALUE"""),"")</f>
        <v/>
      </c>
      <c r="F1271" s="5" t="str">
        <f>IFERROR(__xludf.DUMMYFUNCTION("""COMPUTED_VALUE"""),"")</f>
        <v/>
      </c>
      <c r="G1271" s="5" t="str">
        <f>IFERROR(__xludf.DUMMYFUNCTION("""COMPUTED_VALUE"""),"")</f>
        <v/>
      </c>
      <c r="H1271" s="5" t="str">
        <f>IFERROR(__xludf.DUMMYFUNCTION("""COMPUTED_VALUE"""),"")</f>
        <v/>
      </c>
      <c r="I1271" s="5" t="str">
        <f>IFERROR(__xludf.DUMMYFUNCTION("""COMPUTED_VALUE"""),"")</f>
        <v/>
      </c>
      <c r="J1271" s="5" t="str">
        <f>IFERROR(__xludf.DUMMYFUNCTION("""COMPUTED_VALUE"""),"")</f>
        <v/>
      </c>
      <c r="K1271" s="5" t="str">
        <f>IFERROR(__xludf.DUMMYFUNCTION("""COMPUTED_VALUE"""),"")</f>
        <v/>
      </c>
      <c r="L1271" s="5" t="str">
        <f>IFERROR(__xludf.DUMMYFUNCTION("""COMPUTED_VALUE"""),"")</f>
        <v/>
      </c>
      <c r="M1271" s="5" t="str">
        <f>IFERROR(__xludf.DUMMYFUNCTION("""COMPUTED_VALUE"""),"")</f>
        <v/>
      </c>
      <c r="N1271" s="5" t="str">
        <f>IFERROR(__xludf.DUMMYFUNCTION("""COMPUTED_VALUE"""),"")</f>
        <v/>
      </c>
      <c r="O1271" s="5" t="str">
        <f>IFERROR(__xludf.DUMMYFUNCTION("""COMPUTED_VALUE"""),"")</f>
        <v/>
      </c>
      <c r="P1271" s="5" t="str">
        <f>IFERROR(__xludf.DUMMYFUNCTION("""COMPUTED_VALUE"""),"")</f>
        <v/>
      </c>
      <c r="Q1271" s="5" t="str">
        <f>IFERROR(__xludf.DUMMYFUNCTION("""COMPUTED_VALUE"""),"")</f>
        <v/>
      </c>
      <c r="R1271" s="5" t="str">
        <f>IFERROR(__xludf.DUMMYFUNCTION("""COMPUTED_VALUE"""),"")</f>
        <v/>
      </c>
      <c r="S1271" s="5" t="str">
        <f>IFERROR(__xludf.DUMMYFUNCTION("""COMPUTED_VALUE"""),"")</f>
        <v/>
      </c>
      <c r="T1271" s="5" t="str">
        <f>IFERROR(__xludf.DUMMYFUNCTION("""COMPUTED_VALUE"""),"")</f>
        <v/>
      </c>
      <c r="U1271" s="5" t="str">
        <f>IFERROR(__xludf.DUMMYFUNCTION("""COMPUTED_VALUE"""),"")</f>
        <v/>
      </c>
      <c r="V1271" s="5" t="str">
        <f>IFERROR(__xludf.DUMMYFUNCTION("""COMPUTED_VALUE"""),"")</f>
        <v/>
      </c>
      <c r="W1271" s="5" t="str">
        <f>IFERROR(__xludf.DUMMYFUNCTION("""COMPUTED_VALUE"""),"")</f>
        <v/>
      </c>
      <c r="X1271" s="5" t="str">
        <f>IFERROR(__xludf.DUMMYFUNCTION("""COMPUTED_VALUE"""),"")</f>
        <v/>
      </c>
      <c r="Y1271" s="5"/>
      <c r="Z1271" s="5"/>
    </row>
    <row r="1272">
      <c r="A1272" s="5"/>
      <c r="B1272" s="5" t="str">
        <f>IFERROR(__xludf.DUMMYFUNCTION("""COMPUTED_VALUE"""),"")</f>
        <v/>
      </c>
      <c r="C1272" s="5" t="str">
        <f>IFERROR(__xludf.DUMMYFUNCTION("""COMPUTED_VALUE"""),"")</f>
        <v/>
      </c>
      <c r="D1272" s="5" t="str">
        <f>IFERROR(__xludf.DUMMYFUNCTION("""COMPUTED_VALUE"""),"")</f>
        <v/>
      </c>
      <c r="E1272" s="5" t="str">
        <f>IFERROR(__xludf.DUMMYFUNCTION("""COMPUTED_VALUE"""),"")</f>
        <v/>
      </c>
      <c r="F1272" s="5" t="str">
        <f>IFERROR(__xludf.DUMMYFUNCTION("""COMPUTED_VALUE"""),"")</f>
        <v/>
      </c>
      <c r="G1272" s="5" t="str">
        <f>IFERROR(__xludf.DUMMYFUNCTION("""COMPUTED_VALUE"""),"")</f>
        <v/>
      </c>
      <c r="H1272" s="5" t="str">
        <f>IFERROR(__xludf.DUMMYFUNCTION("""COMPUTED_VALUE"""),"")</f>
        <v/>
      </c>
      <c r="I1272" s="5" t="str">
        <f>IFERROR(__xludf.DUMMYFUNCTION("""COMPUTED_VALUE"""),"")</f>
        <v/>
      </c>
      <c r="J1272" s="5" t="str">
        <f>IFERROR(__xludf.DUMMYFUNCTION("""COMPUTED_VALUE"""),"")</f>
        <v/>
      </c>
      <c r="K1272" s="5" t="str">
        <f>IFERROR(__xludf.DUMMYFUNCTION("""COMPUTED_VALUE"""),"")</f>
        <v/>
      </c>
      <c r="L1272" s="5" t="str">
        <f>IFERROR(__xludf.DUMMYFUNCTION("""COMPUTED_VALUE"""),"")</f>
        <v/>
      </c>
      <c r="M1272" s="5" t="str">
        <f>IFERROR(__xludf.DUMMYFUNCTION("""COMPUTED_VALUE"""),"")</f>
        <v/>
      </c>
      <c r="N1272" s="5" t="str">
        <f>IFERROR(__xludf.DUMMYFUNCTION("""COMPUTED_VALUE"""),"")</f>
        <v/>
      </c>
      <c r="O1272" s="5" t="str">
        <f>IFERROR(__xludf.DUMMYFUNCTION("""COMPUTED_VALUE"""),"")</f>
        <v/>
      </c>
      <c r="P1272" s="5" t="str">
        <f>IFERROR(__xludf.DUMMYFUNCTION("""COMPUTED_VALUE"""),"")</f>
        <v/>
      </c>
      <c r="Q1272" s="5" t="str">
        <f>IFERROR(__xludf.DUMMYFUNCTION("""COMPUTED_VALUE"""),"")</f>
        <v/>
      </c>
      <c r="R1272" s="5" t="str">
        <f>IFERROR(__xludf.DUMMYFUNCTION("""COMPUTED_VALUE"""),"")</f>
        <v/>
      </c>
      <c r="S1272" s="5" t="str">
        <f>IFERROR(__xludf.DUMMYFUNCTION("""COMPUTED_VALUE"""),"")</f>
        <v/>
      </c>
      <c r="T1272" s="5" t="str">
        <f>IFERROR(__xludf.DUMMYFUNCTION("""COMPUTED_VALUE"""),"")</f>
        <v/>
      </c>
      <c r="U1272" s="5" t="str">
        <f>IFERROR(__xludf.DUMMYFUNCTION("""COMPUTED_VALUE"""),"")</f>
        <v/>
      </c>
      <c r="V1272" s="5" t="str">
        <f>IFERROR(__xludf.DUMMYFUNCTION("""COMPUTED_VALUE"""),"")</f>
        <v/>
      </c>
      <c r="W1272" s="5" t="str">
        <f>IFERROR(__xludf.DUMMYFUNCTION("""COMPUTED_VALUE"""),"")</f>
        <v/>
      </c>
      <c r="X1272" s="5" t="str">
        <f>IFERROR(__xludf.DUMMYFUNCTION("""COMPUTED_VALUE"""),"")</f>
        <v/>
      </c>
      <c r="Y1272" s="5"/>
      <c r="Z1272" s="5"/>
    </row>
    <row r="1273">
      <c r="A1273" s="5"/>
      <c r="B1273" s="5" t="str">
        <f>IFERROR(__xludf.DUMMYFUNCTION("""COMPUTED_VALUE"""),"")</f>
        <v/>
      </c>
      <c r="C1273" s="5" t="str">
        <f>IFERROR(__xludf.DUMMYFUNCTION("""COMPUTED_VALUE"""),"")</f>
        <v/>
      </c>
      <c r="D1273" s="5" t="str">
        <f>IFERROR(__xludf.DUMMYFUNCTION("""COMPUTED_VALUE"""),"")</f>
        <v/>
      </c>
      <c r="E1273" s="5" t="str">
        <f>IFERROR(__xludf.DUMMYFUNCTION("""COMPUTED_VALUE"""),"")</f>
        <v/>
      </c>
      <c r="F1273" s="5" t="str">
        <f>IFERROR(__xludf.DUMMYFUNCTION("""COMPUTED_VALUE"""),"")</f>
        <v/>
      </c>
      <c r="G1273" s="5" t="str">
        <f>IFERROR(__xludf.DUMMYFUNCTION("""COMPUTED_VALUE"""),"")</f>
        <v/>
      </c>
      <c r="H1273" s="5" t="str">
        <f>IFERROR(__xludf.DUMMYFUNCTION("""COMPUTED_VALUE"""),"")</f>
        <v/>
      </c>
      <c r="I1273" s="5" t="str">
        <f>IFERROR(__xludf.DUMMYFUNCTION("""COMPUTED_VALUE"""),"")</f>
        <v/>
      </c>
      <c r="J1273" s="5" t="str">
        <f>IFERROR(__xludf.DUMMYFUNCTION("""COMPUTED_VALUE"""),"")</f>
        <v/>
      </c>
      <c r="K1273" s="5" t="str">
        <f>IFERROR(__xludf.DUMMYFUNCTION("""COMPUTED_VALUE"""),"")</f>
        <v/>
      </c>
      <c r="L1273" s="5" t="str">
        <f>IFERROR(__xludf.DUMMYFUNCTION("""COMPUTED_VALUE"""),"")</f>
        <v/>
      </c>
      <c r="M1273" s="5" t="str">
        <f>IFERROR(__xludf.DUMMYFUNCTION("""COMPUTED_VALUE"""),"")</f>
        <v/>
      </c>
      <c r="N1273" s="5" t="str">
        <f>IFERROR(__xludf.DUMMYFUNCTION("""COMPUTED_VALUE"""),"")</f>
        <v/>
      </c>
      <c r="O1273" s="5" t="str">
        <f>IFERROR(__xludf.DUMMYFUNCTION("""COMPUTED_VALUE"""),"")</f>
        <v/>
      </c>
      <c r="P1273" s="5" t="str">
        <f>IFERROR(__xludf.DUMMYFUNCTION("""COMPUTED_VALUE"""),"")</f>
        <v/>
      </c>
      <c r="Q1273" s="5" t="str">
        <f>IFERROR(__xludf.DUMMYFUNCTION("""COMPUTED_VALUE"""),"")</f>
        <v/>
      </c>
      <c r="R1273" s="5" t="str">
        <f>IFERROR(__xludf.DUMMYFUNCTION("""COMPUTED_VALUE"""),"")</f>
        <v/>
      </c>
      <c r="S1273" s="5" t="str">
        <f>IFERROR(__xludf.DUMMYFUNCTION("""COMPUTED_VALUE"""),"")</f>
        <v/>
      </c>
      <c r="T1273" s="5" t="str">
        <f>IFERROR(__xludf.DUMMYFUNCTION("""COMPUTED_VALUE"""),"")</f>
        <v/>
      </c>
      <c r="U1273" s="5" t="str">
        <f>IFERROR(__xludf.DUMMYFUNCTION("""COMPUTED_VALUE"""),"")</f>
        <v/>
      </c>
      <c r="V1273" s="5" t="str">
        <f>IFERROR(__xludf.DUMMYFUNCTION("""COMPUTED_VALUE"""),"")</f>
        <v/>
      </c>
      <c r="W1273" s="5" t="str">
        <f>IFERROR(__xludf.DUMMYFUNCTION("""COMPUTED_VALUE"""),"")</f>
        <v/>
      </c>
      <c r="X1273" s="5" t="str">
        <f>IFERROR(__xludf.DUMMYFUNCTION("""COMPUTED_VALUE"""),"")</f>
        <v/>
      </c>
      <c r="Y1273" s="5"/>
      <c r="Z1273" s="5"/>
    </row>
    <row r="1274">
      <c r="A1274" s="5"/>
      <c r="B1274" s="5" t="str">
        <f>IFERROR(__xludf.DUMMYFUNCTION("""COMPUTED_VALUE"""),"")</f>
        <v/>
      </c>
      <c r="C1274" s="5" t="str">
        <f>IFERROR(__xludf.DUMMYFUNCTION("""COMPUTED_VALUE"""),"")</f>
        <v/>
      </c>
      <c r="D1274" s="5" t="str">
        <f>IFERROR(__xludf.DUMMYFUNCTION("""COMPUTED_VALUE"""),"")</f>
        <v/>
      </c>
      <c r="E1274" s="5" t="str">
        <f>IFERROR(__xludf.DUMMYFUNCTION("""COMPUTED_VALUE"""),"")</f>
        <v/>
      </c>
      <c r="F1274" s="5" t="str">
        <f>IFERROR(__xludf.DUMMYFUNCTION("""COMPUTED_VALUE"""),"")</f>
        <v/>
      </c>
      <c r="G1274" s="5" t="str">
        <f>IFERROR(__xludf.DUMMYFUNCTION("""COMPUTED_VALUE"""),"")</f>
        <v/>
      </c>
      <c r="H1274" s="5" t="str">
        <f>IFERROR(__xludf.DUMMYFUNCTION("""COMPUTED_VALUE"""),"")</f>
        <v/>
      </c>
      <c r="I1274" s="5" t="str">
        <f>IFERROR(__xludf.DUMMYFUNCTION("""COMPUTED_VALUE"""),"")</f>
        <v/>
      </c>
      <c r="J1274" s="5" t="str">
        <f>IFERROR(__xludf.DUMMYFUNCTION("""COMPUTED_VALUE"""),"")</f>
        <v/>
      </c>
      <c r="K1274" s="5" t="str">
        <f>IFERROR(__xludf.DUMMYFUNCTION("""COMPUTED_VALUE"""),"")</f>
        <v/>
      </c>
      <c r="L1274" s="5" t="str">
        <f>IFERROR(__xludf.DUMMYFUNCTION("""COMPUTED_VALUE"""),"")</f>
        <v/>
      </c>
      <c r="M1274" s="5" t="str">
        <f>IFERROR(__xludf.DUMMYFUNCTION("""COMPUTED_VALUE"""),"")</f>
        <v/>
      </c>
      <c r="N1274" s="5" t="str">
        <f>IFERROR(__xludf.DUMMYFUNCTION("""COMPUTED_VALUE"""),"")</f>
        <v/>
      </c>
      <c r="O1274" s="5" t="str">
        <f>IFERROR(__xludf.DUMMYFUNCTION("""COMPUTED_VALUE"""),"")</f>
        <v/>
      </c>
      <c r="P1274" s="5" t="str">
        <f>IFERROR(__xludf.DUMMYFUNCTION("""COMPUTED_VALUE"""),"")</f>
        <v/>
      </c>
      <c r="Q1274" s="5" t="str">
        <f>IFERROR(__xludf.DUMMYFUNCTION("""COMPUTED_VALUE"""),"")</f>
        <v/>
      </c>
      <c r="R1274" s="5" t="str">
        <f>IFERROR(__xludf.DUMMYFUNCTION("""COMPUTED_VALUE"""),"")</f>
        <v/>
      </c>
      <c r="S1274" s="5" t="str">
        <f>IFERROR(__xludf.DUMMYFUNCTION("""COMPUTED_VALUE"""),"")</f>
        <v/>
      </c>
      <c r="T1274" s="5" t="str">
        <f>IFERROR(__xludf.DUMMYFUNCTION("""COMPUTED_VALUE"""),"")</f>
        <v/>
      </c>
      <c r="U1274" s="5" t="str">
        <f>IFERROR(__xludf.DUMMYFUNCTION("""COMPUTED_VALUE"""),"")</f>
        <v/>
      </c>
      <c r="V1274" s="5" t="str">
        <f>IFERROR(__xludf.DUMMYFUNCTION("""COMPUTED_VALUE"""),"")</f>
        <v/>
      </c>
      <c r="W1274" s="5" t="str">
        <f>IFERROR(__xludf.DUMMYFUNCTION("""COMPUTED_VALUE"""),"")</f>
        <v/>
      </c>
      <c r="X1274" s="5" t="str">
        <f>IFERROR(__xludf.DUMMYFUNCTION("""COMPUTED_VALUE"""),"")</f>
        <v/>
      </c>
      <c r="Y1274" s="5"/>
      <c r="Z1274" s="5"/>
    </row>
    <row r="1275">
      <c r="A1275" s="5"/>
      <c r="B1275" s="5" t="str">
        <f>IFERROR(__xludf.DUMMYFUNCTION("""COMPUTED_VALUE"""),"")</f>
        <v/>
      </c>
      <c r="C1275" s="5" t="str">
        <f>IFERROR(__xludf.DUMMYFUNCTION("""COMPUTED_VALUE"""),"")</f>
        <v/>
      </c>
      <c r="D1275" s="5" t="str">
        <f>IFERROR(__xludf.DUMMYFUNCTION("""COMPUTED_VALUE"""),"")</f>
        <v/>
      </c>
      <c r="E1275" s="5" t="str">
        <f>IFERROR(__xludf.DUMMYFUNCTION("""COMPUTED_VALUE"""),"")</f>
        <v/>
      </c>
      <c r="F1275" s="5" t="str">
        <f>IFERROR(__xludf.DUMMYFUNCTION("""COMPUTED_VALUE"""),"")</f>
        <v/>
      </c>
      <c r="G1275" s="5" t="str">
        <f>IFERROR(__xludf.DUMMYFUNCTION("""COMPUTED_VALUE"""),"")</f>
        <v/>
      </c>
      <c r="H1275" s="5" t="str">
        <f>IFERROR(__xludf.DUMMYFUNCTION("""COMPUTED_VALUE"""),"")</f>
        <v/>
      </c>
      <c r="I1275" s="5" t="str">
        <f>IFERROR(__xludf.DUMMYFUNCTION("""COMPUTED_VALUE"""),"")</f>
        <v/>
      </c>
      <c r="J1275" s="5" t="str">
        <f>IFERROR(__xludf.DUMMYFUNCTION("""COMPUTED_VALUE"""),"")</f>
        <v/>
      </c>
      <c r="K1275" s="5" t="str">
        <f>IFERROR(__xludf.DUMMYFUNCTION("""COMPUTED_VALUE"""),"")</f>
        <v/>
      </c>
      <c r="L1275" s="5" t="str">
        <f>IFERROR(__xludf.DUMMYFUNCTION("""COMPUTED_VALUE"""),"")</f>
        <v/>
      </c>
      <c r="M1275" s="5" t="str">
        <f>IFERROR(__xludf.DUMMYFUNCTION("""COMPUTED_VALUE"""),"")</f>
        <v/>
      </c>
      <c r="N1275" s="5" t="str">
        <f>IFERROR(__xludf.DUMMYFUNCTION("""COMPUTED_VALUE"""),"")</f>
        <v/>
      </c>
      <c r="O1275" s="5" t="str">
        <f>IFERROR(__xludf.DUMMYFUNCTION("""COMPUTED_VALUE"""),"")</f>
        <v/>
      </c>
      <c r="P1275" s="5" t="str">
        <f>IFERROR(__xludf.DUMMYFUNCTION("""COMPUTED_VALUE"""),"")</f>
        <v/>
      </c>
      <c r="Q1275" s="5" t="str">
        <f>IFERROR(__xludf.DUMMYFUNCTION("""COMPUTED_VALUE"""),"")</f>
        <v/>
      </c>
      <c r="R1275" s="5" t="str">
        <f>IFERROR(__xludf.DUMMYFUNCTION("""COMPUTED_VALUE"""),"")</f>
        <v/>
      </c>
      <c r="S1275" s="5" t="str">
        <f>IFERROR(__xludf.DUMMYFUNCTION("""COMPUTED_VALUE"""),"")</f>
        <v/>
      </c>
      <c r="T1275" s="5" t="str">
        <f>IFERROR(__xludf.DUMMYFUNCTION("""COMPUTED_VALUE"""),"")</f>
        <v/>
      </c>
      <c r="U1275" s="5" t="str">
        <f>IFERROR(__xludf.DUMMYFUNCTION("""COMPUTED_VALUE"""),"")</f>
        <v/>
      </c>
      <c r="V1275" s="5" t="str">
        <f>IFERROR(__xludf.DUMMYFUNCTION("""COMPUTED_VALUE"""),"")</f>
        <v/>
      </c>
      <c r="W1275" s="5" t="str">
        <f>IFERROR(__xludf.DUMMYFUNCTION("""COMPUTED_VALUE"""),"")</f>
        <v/>
      </c>
      <c r="X1275" s="5" t="str">
        <f>IFERROR(__xludf.DUMMYFUNCTION("""COMPUTED_VALUE"""),"")</f>
        <v/>
      </c>
      <c r="Y1275" s="5"/>
      <c r="Z1275" s="5"/>
    </row>
    <row r="1276">
      <c r="A1276" s="5"/>
      <c r="B1276" s="5" t="str">
        <f>IFERROR(__xludf.DUMMYFUNCTION("""COMPUTED_VALUE"""),"")</f>
        <v/>
      </c>
      <c r="C1276" s="5" t="str">
        <f>IFERROR(__xludf.DUMMYFUNCTION("""COMPUTED_VALUE"""),"")</f>
        <v/>
      </c>
      <c r="D1276" s="5" t="str">
        <f>IFERROR(__xludf.DUMMYFUNCTION("""COMPUTED_VALUE"""),"")</f>
        <v/>
      </c>
      <c r="E1276" s="5" t="str">
        <f>IFERROR(__xludf.DUMMYFUNCTION("""COMPUTED_VALUE"""),"")</f>
        <v/>
      </c>
      <c r="F1276" s="5" t="str">
        <f>IFERROR(__xludf.DUMMYFUNCTION("""COMPUTED_VALUE"""),"")</f>
        <v/>
      </c>
      <c r="G1276" s="5" t="str">
        <f>IFERROR(__xludf.DUMMYFUNCTION("""COMPUTED_VALUE"""),"")</f>
        <v/>
      </c>
      <c r="H1276" s="5" t="str">
        <f>IFERROR(__xludf.DUMMYFUNCTION("""COMPUTED_VALUE"""),"")</f>
        <v/>
      </c>
      <c r="I1276" s="5" t="str">
        <f>IFERROR(__xludf.DUMMYFUNCTION("""COMPUTED_VALUE"""),"")</f>
        <v/>
      </c>
      <c r="J1276" s="5" t="str">
        <f>IFERROR(__xludf.DUMMYFUNCTION("""COMPUTED_VALUE"""),"")</f>
        <v/>
      </c>
      <c r="K1276" s="5" t="str">
        <f>IFERROR(__xludf.DUMMYFUNCTION("""COMPUTED_VALUE"""),"")</f>
        <v/>
      </c>
      <c r="L1276" s="5" t="str">
        <f>IFERROR(__xludf.DUMMYFUNCTION("""COMPUTED_VALUE"""),"")</f>
        <v/>
      </c>
      <c r="M1276" s="5" t="str">
        <f>IFERROR(__xludf.DUMMYFUNCTION("""COMPUTED_VALUE"""),"")</f>
        <v/>
      </c>
      <c r="N1276" s="5" t="str">
        <f>IFERROR(__xludf.DUMMYFUNCTION("""COMPUTED_VALUE"""),"")</f>
        <v/>
      </c>
      <c r="O1276" s="5" t="str">
        <f>IFERROR(__xludf.DUMMYFUNCTION("""COMPUTED_VALUE"""),"")</f>
        <v/>
      </c>
      <c r="P1276" s="5" t="str">
        <f>IFERROR(__xludf.DUMMYFUNCTION("""COMPUTED_VALUE"""),"")</f>
        <v/>
      </c>
      <c r="Q1276" s="5" t="str">
        <f>IFERROR(__xludf.DUMMYFUNCTION("""COMPUTED_VALUE"""),"")</f>
        <v/>
      </c>
      <c r="R1276" s="5" t="str">
        <f>IFERROR(__xludf.DUMMYFUNCTION("""COMPUTED_VALUE"""),"")</f>
        <v/>
      </c>
      <c r="S1276" s="5" t="str">
        <f>IFERROR(__xludf.DUMMYFUNCTION("""COMPUTED_VALUE"""),"")</f>
        <v/>
      </c>
      <c r="T1276" s="5" t="str">
        <f>IFERROR(__xludf.DUMMYFUNCTION("""COMPUTED_VALUE"""),"")</f>
        <v/>
      </c>
      <c r="U1276" s="5" t="str">
        <f>IFERROR(__xludf.DUMMYFUNCTION("""COMPUTED_VALUE"""),"")</f>
        <v/>
      </c>
      <c r="V1276" s="5" t="str">
        <f>IFERROR(__xludf.DUMMYFUNCTION("""COMPUTED_VALUE"""),"")</f>
        <v/>
      </c>
      <c r="W1276" s="5" t="str">
        <f>IFERROR(__xludf.DUMMYFUNCTION("""COMPUTED_VALUE"""),"")</f>
        <v/>
      </c>
      <c r="X1276" s="5" t="str">
        <f>IFERROR(__xludf.DUMMYFUNCTION("""COMPUTED_VALUE"""),"")</f>
        <v/>
      </c>
      <c r="Y1276" s="5"/>
      <c r="Z1276" s="5"/>
    </row>
    <row r="1277">
      <c r="A1277" s="5"/>
      <c r="B1277" s="5" t="str">
        <f>IFERROR(__xludf.DUMMYFUNCTION("""COMPUTED_VALUE"""),"")</f>
        <v/>
      </c>
      <c r="C1277" s="5" t="str">
        <f>IFERROR(__xludf.DUMMYFUNCTION("""COMPUTED_VALUE"""),"")</f>
        <v/>
      </c>
      <c r="D1277" s="5" t="str">
        <f>IFERROR(__xludf.DUMMYFUNCTION("""COMPUTED_VALUE"""),"")</f>
        <v/>
      </c>
      <c r="E1277" s="5" t="str">
        <f>IFERROR(__xludf.DUMMYFUNCTION("""COMPUTED_VALUE"""),"")</f>
        <v/>
      </c>
      <c r="F1277" s="5" t="str">
        <f>IFERROR(__xludf.DUMMYFUNCTION("""COMPUTED_VALUE"""),"")</f>
        <v/>
      </c>
      <c r="G1277" s="5" t="str">
        <f>IFERROR(__xludf.DUMMYFUNCTION("""COMPUTED_VALUE"""),"")</f>
        <v/>
      </c>
      <c r="H1277" s="5" t="str">
        <f>IFERROR(__xludf.DUMMYFUNCTION("""COMPUTED_VALUE"""),"")</f>
        <v/>
      </c>
      <c r="I1277" s="5" t="str">
        <f>IFERROR(__xludf.DUMMYFUNCTION("""COMPUTED_VALUE"""),"")</f>
        <v/>
      </c>
      <c r="J1277" s="5" t="str">
        <f>IFERROR(__xludf.DUMMYFUNCTION("""COMPUTED_VALUE"""),"")</f>
        <v/>
      </c>
      <c r="K1277" s="5" t="str">
        <f>IFERROR(__xludf.DUMMYFUNCTION("""COMPUTED_VALUE"""),"")</f>
        <v/>
      </c>
      <c r="L1277" s="5" t="str">
        <f>IFERROR(__xludf.DUMMYFUNCTION("""COMPUTED_VALUE"""),"")</f>
        <v/>
      </c>
      <c r="M1277" s="5" t="str">
        <f>IFERROR(__xludf.DUMMYFUNCTION("""COMPUTED_VALUE"""),"")</f>
        <v/>
      </c>
      <c r="N1277" s="5" t="str">
        <f>IFERROR(__xludf.DUMMYFUNCTION("""COMPUTED_VALUE"""),"")</f>
        <v/>
      </c>
      <c r="O1277" s="5" t="str">
        <f>IFERROR(__xludf.DUMMYFUNCTION("""COMPUTED_VALUE"""),"")</f>
        <v/>
      </c>
      <c r="P1277" s="5" t="str">
        <f>IFERROR(__xludf.DUMMYFUNCTION("""COMPUTED_VALUE"""),"")</f>
        <v/>
      </c>
      <c r="Q1277" s="5" t="str">
        <f>IFERROR(__xludf.DUMMYFUNCTION("""COMPUTED_VALUE"""),"")</f>
        <v/>
      </c>
      <c r="R1277" s="5" t="str">
        <f>IFERROR(__xludf.DUMMYFUNCTION("""COMPUTED_VALUE"""),"")</f>
        <v/>
      </c>
      <c r="S1277" s="5" t="str">
        <f>IFERROR(__xludf.DUMMYFUNCTION("""COMPUTED_VALUE"""),"")</f>
        <v/>
      </c>
      <c r="T1277" s="5" t="str">
        <f>IFERROR(__xludf.DUMMYFUNCTION("""COMPUTED_VALUE"""),"")</f>
        <v/>
      </c>
      <c r="U1277" s="5" t="str">
        <f>IFERROR(__xludf.DUMMYFUNCTION("""COMPUTED_VALUE"""),"")</f>
        <v/>
      </c>
      <c r="V1277" s="5" t="str">
        <f>IFERROR(__xludf.DUMMYFUNCTION("""COMPUTED_VALUE"""),"")</f>
        <v/>
      </c>
      <c r="W1277" s="5" t="str">
        <f>IFERROR(__xludf.DUMMYFUNCTION("""COMPUTED_VALUE"""),"")</f>
        <v/>
      </c>
      <c r="X1277" s="5" t="str">
        <f>IFERROR(__xludf.DUMMYFUNCTION("""COMPUTED_VALUE"""),"")</f>
        <v/>
      </c>
      <c r="Y1277" s="5"/>
      <c r="Z1277" s="5"/>
    </row>
    <row r="1278">
      <c r="A1278" s="5"/>
      <c r="B1278" s="5" t="str">
        <f>IFERROR(__xludf.DUMMYFUNCTION("""COMPUTED_VALUE"""),"")</f>
        <v/>
      </c>
      <c r="C1278" s="5" t="str">
        <f>IFERROR(__xludf.DUMMYFUNCTION("""COMPUTED_VALUE"""),"")</f>
        <v/>
      </c>
      <c r="D1278" s="5" t="str">
        <f>IFERROR(__xludf.DUMMYFUNCTION("""COMPUTED_VALUE"""),"")</f>
        <v/>
      </c>
      <c r="E1278" s="5" t="str">
        <f>IFERROR(__xludf.DUMMYFUNCTION("""COMPUTED_VALUE"""),"")</f>
        <v/>
      </c>
      <c r="F1278" s="5" t="str">
        <f>IFERROR(__xludf.DUMMYFUNCTION("""COMPUTED_VALUE"""),"")</f>
        <v/>
      </c>
      <c r="G1278" s="5" t="str">
        <f>IFERROR(__xludf.DUMMYFUNCTION("""COMPUTED_VALUE"""),"")</f>
        <v/>
      </c>
      <c r="H1278" s="5" t="str">
        <f>IFERROR(__xludf.DUMMYFUNCTION("""COMPUTED_VALUE"""),"")</f>
        <v/>
      </c>
      <c r="I1278" s="5" t="str">
        <f>IFERROR(__xludf.DUMMYFUNCTION("""COMPUTED_VALUE"""),"")</f>
        <v/>
      </c>
      <c r="J1278" s="5" t="str">
        <f>IFERROR(__xludf.DUMMYFUNCTION("""COMPUTED_VALUE"""),"")</f>
        <v/>
      </c>
      <c r="K1278" s="5" t="str">
        <f>IFERROR(__xludf.DUMMYFUNCTION("""COMPUTED_VALUE"""),"")</f>
        <v/>
      </c>
      <c r="L1278" s="5" t="str">
        <f>IFERROR(__xludf.DUMMYFUNCTION("""COMPUTED_VALUE"""),"")</f>
        <v/>
      </c>
      <c r="M1278" s="5" t="str">
        <f>IFERROR(__xludf.DUMMYFUNCTION("""COMPUTED_VALUE"""),"")</f>
        <v/>
      </c>
      <c r="N1278" s="5" t="str">
        <f>IFERROR(__xludf.DUMMYFUNCTION("""COMPUTED_VALUE"""),"")</f>
        <v/>
      </c>
      <c r="O1278" s="5" t="str">
        <f>IFERROR(__xludf.DUMMYFUNCTION("""COMPUTED_VALUE"""),"")</f>
        <v/>
      </c>
      <c r="P1278" s="5" t="str">
        <f>IFERROR(__xludf.DUMMYFUNCTION("""COMPUTED_VALUE"""),"")</f>
        <v/>
      </c>
      <c r="Q1278" s="5" t="str">
        <f>IFERROR(__xludf.DUMMYFUNCTION("""COMPUTED_VALUE"""),"")</f>
        <v/>
      </c>
      <c r="R1278" s="5" t="str">
        <f>IFERROR(__xludf.DUMMYFUNCTION("""COMPUTED_VALUE"""),"")</f>
        <v/>
      </c>
      <c r="S1278" s="5" t="str">
        <f>IFERROR(__xludf.DUMMYFUNCTION("""COMPUTED_VALUE"""),"")</f>
        <v/>
      </c>
      <c r="T1278" s="5" t="str">
        <f>IFERROR(__xludf.DUMMYFUNCTION("""COMPUTED_VALUE"""),"")</f>
        <v/>
      </c>
      <c r="U1278" s="5" t="str">
        <f>IFERROR(__xludf.DUMMYFUNCTION("""COMPUTED_VALUE"""),"")</f>
        <v/>
      </c>
      <c r="V1278" s="5" t="str">
        <f>IFERROR(__xludf.DUMMYFUNCTION("""COMPUTED_VALUE"""),"")</f>
        <v/>
      </c>
      <c r="W1278" s="5" t="str">
        <f>IFERROR(__xludf.DUMMYFUNCTION("""COMPUTED_VALUE"""),"")</f>
        <v/>
      </c>
      <c r="X1278" s="5" t="str">
        <f>IFERROR(__xludf.DUMMYFUNCTION("""COMPUTED_VALUE"""),"")</f>
        <v/>
      </c>
      <c r="Y1278" s="5"/>
      <c r="Z1278" s="5"/>
    </row>
    <row r="1279">
      <c r="A1279" s="5"/>
      <c r="B1279" s="5" t="str">
        <f>IFERROR(__xludf.DUMMYFUNCTION("""COMPUTED_VALUE"""),"")</f>
        <v/>
      </c>
      <c r="C1279" s="5" t="str">
        <f>IFERROR(__xludf.DUMMYFUNCTION("""COMPUTED_VALUE"""),"")</f>
        <v/>
      </c>
      <c r="D1279" s="5" t="str">
        <f>IFERROR(__xludf.DUMMYFUNCTION("""COMPUTED_VALUE"""),"")</f>
        <v/>
      </c>
      <c r="E1279" s="5" t="str">
        <f>IFERROR(__xludf.DUMMYFUNCTION("""COMPUTED_VALUE"""),"")</f>
        <v/>
      </c>
      <c r="F1279" s="5" t="str">
        <f>IFERROR(__xludf.DUMMYFUNCTION("""COMPUTED_VALUE"""),"")</f>
        <v/>
      </c>
      <c r="G1279" s="5" t="str">
        <f>IFERROR(__xludf.DUMMYFUNCTION("""COMPUTED_VALUE"""),"")</f>
        <v/>
      </c>
      <c r="H1279" s="5" t="str">
        <f>IFERROR(__xludf.DUMMYFUNCTION("""COMPUTED_VALUE"""),"")</f>
        <v/>
      </c>
      <c r="I1279" s="5" t="str">
        <f>IFERROR(__xludf.DUMMYFUNCTION("""COMPUTED_VALUE"""),"")</f>
        <v/>
      </c>
      <c r="J1279" s="5" t="str">
        <f>IFERROR(__xludf.DUMMYFUNCTION("""COMPUTED_VALUE"""),"")</f>
        <v/>
      </c>
      <c r="K1279" s="5" t="str">
        <f>IFERROR(__xludf.DUMMYFUNCTION("""COMPUTED_VALUE"""),"")</f>
        <v/>
      </c>
      <c r="L1279" s="5" t="str">
        <f>IFERROR(__xludf.DUMMYFUNCTION("""COMPUTED_VALUE"""),"")</f>
        <v/>
      </c>
      <c r="M1279" s="5" t="str">
        <f>IFERROR(__xludf.DUMMYFUNCTION("""COMPUTED_VALUE"""),"")</f>
        <v/>
      </c>
      <c r="N1279" s="5" t="str">
        <f>IFERROR(__xludf.DUMMYFUNCTION("""COMPUTED_VALUE"""),"")</f>
        <v/>
      </c>
      <c r="O1279" s="5" t="str">
        <f>IFERROR(__xludf.DUMMYFUNCTION("""COMPUTED_VALUE"""),"")</f>
        <v/>
      </c>
      <c r="P1279" s="5" t="str">
        <f>IFERROR(__xludf.DUMMYFUNCTION("""COMPUTED_VALUE"""),"")</f>
        <v/>
      </c>
      <c r="Q1279" s="5" t="str">
        <f>IFERROR(__xludf.DUMMYFUNCTION("""COMPUTED_VALUE"""),"")</f>
        <v/>
      </c>
      <c r="R1279" s="5" t="str">
        <f>IFERROR(__xludf.DUMMYFUNCTION("""COMPUTED_VALUE"""),"")</f>
        <v/>
      </c>
      <c r="S1279" s="5" t="str">
        <f>IFERROR(__xludf.DUMMYFUNCTION("""COMPUTED_VALUE"""),"")</f>
        <v/>
      </c>
      <c r="T1279" s="5" t="str">
        <f>IFERROR(__xludf.DUMMYFUNCTION("""COMPUTED_VALUE"""),"")</f>
        <v/>
      </c>
      <c r="U1279" s="5" t="str">
        <f>IFERROR(__xludf.DUMMYFUNCTION("""COMPUTED_VALUE"""),"")</f>
        <v/>
      </c>
      <c r="V1279" s="5" t="str">
        <f>IFERROR(__xludf.DUMMYFUNCTION("""COMPUTED_VALUE"""),"")</f>
        <v/>
      </c>
      <c r="W1279" s="5" t="str">
        <f>IFERROR(__xludf.DUMMYFUNCTION("""COMPUTED_VALUE"""),"")</f>
        <v/>
      </c>
      <c r="X1279" s="5" t="str">
        <f>IFERROR(__xludf.DUMMYFUNCTION("""COMPUTED_VALUE"""),"")</f>
        <v/>
      </c>
      <c r="Y1279" s="5"/>
      <c r="Z1279" s="5"/>
    </row>
    <row r="1280">
      <c r="A1280" s="5"/>
      <c r="B1280" s="5" t="str">
        <f>IFERROR(__xludf.DUMMYFUNCTION("""COMPUTED_VALUE"""),"")</f>
        <v/>
      </c>
      <c r="C1280" s="5" t="str">
        <f>IFERROR(__xludf.DUMMYFUNCTION("""COMPUTED_VALUE"""),"")</f>
        <v/>
      </c>
      <c r="D1280" s="5" t="str">
        <f>IFERROR(__xludf.DUMMYFUNCTION("""COMPUTED_VALUE"""),"")</f>
        <v/>
      </c>
      <c r="E1280" s="5" t="str">
        <f>IFERROR(__xludf.DUMMYFUNCTION("""COMPUTED_VALUE"""),"")</f>
        <v/>
      </c>
      <c r="F1280" s="5" t="str">
        <f>IFERROR(__xludf.DUMMYFUNCTION("""COMPUTED_VALUE"""),"")</f>
        <v/>
      </c>
      <c r="G1280" s="5" t="str">
        <f>IFERROR(__xludf.DUMMYFUNCTION("""COMPUTED_VALUE"""),"")</f>
        <v/>
      </c>
      <c r="H1280" s="5" t="str">
        <f>IFERROR(__xludf.DUMMYFUNCTION("""COMPUTED_VALUE"""),"")</f>
        <v/>
      </c>
      <c r="I1280" s="5" t="str">
        <f>IFERROR(__xludf.DUMMYFUNCTION("""COMPUTED_VALUE"""),"")</f>
        <v/>
      </c>
      <c r="J1280" s="5" t="str">
        <f>IFERROR(__xludf.DUMMYFUNCTION("""COMPUTED_VALUE"""),"")</f>
        <v/>
      </c>
      <c r="K1280" s="5" t="str">
        <f>IFERROR(__xludf.DUMMYFUNCTION("""COMPUTED_VALUE"""),"")</f>
        <v/>
      </c>
      <c r="L1280" s="5" t="str">
        <f>IFERROR(__xludf.DUMMYFUNCTION("""COMPUTED_VALUE"""),"")</f>
        <v/>
      </c>
      <c r="M1280" s="5" t="str">
        <f>IFERROR(__xludf.DUMMYFUNCTION("""COMPUTED_VALUE"""),"")</f>
        <v/>
      </c>
      <c r="N1280" s="5" t="str">
        <f>IFERROR(__xludf.DUMMYFUNCTION("""COMPUTED_VALUE"""),"")</f>
        <v/>
      </c>
      <c r="O1280" s="5" t="str">
        <f>IFERROR(__xludf.DUMMYFUNCTION("""COMPUTED_VALUE"""),"")</f>
        <v/>
      </c>
      <c r="P1280" s="5" t="str">
        <f>IFERROR(__xludf.DUMMYFUNCTION("""COMPUTED_VALUE"""),"")</f>
        <v/>
      </c>
      <c r="Q1280" s="5" t="str">
        <f>IFERROR(__xludf.DUMMYFUNCTION("""COMPUTED_VALUE"""),"")</f>
        <v/>
      </c>
      <c r="R1280" s="5" t="str">
        <f>IFERROR(__xludf.DUMMYFUNCTION("""COMPUTED_VALUE"""),"")</f>
        <v/>
      </c>
      <c r="S1280" s="5" t="str">
        <f>IFERROR(__xludf.DUMMYFUNCTION("""COMPUTED_VALUE"""),"")</f>
        <v/>
      </c>
      <c r="T1280" s="5" t="str">
        <f>IFERROR(__xludf.DUMMYFUNCTION("""COMPUTED_VALUE"""),"")</f>
        <v/>
      </c>
      <c r="U1280" s="5" t="str">
        <f>IFERROR(__xludf.DUMMYFUNCTION("""COMPUTED_VALUE"""),"")</f>
        <v/>
      </c>
      <c r="V1280" s="5" t="str">
        <f>IFERROR(__xludf.DUMMYFUNCTION("""COMPUTED_VALUE"""),"")</f>
        <v/>
      </c>
      <c r="W1280" s="5" t="str">
        <f>IFERROR(__xludf.DUMMYFUNCTION("""COMPUTED_VALUE"""),"")</f>
        <v/>
      </c>
      <c r="X1280" s="5" t="str">
        <f>IFERROR(__xludf.DUMMYFUNCTION("""COMPUTED_VALUE"""),"")</f>
        <v/>
      </c>
      <c r="Y1280" s="5"/>
      <c r="Z1280" s="5"/>
    </row>
    <row r="1281">
      <c r="A1281" s="5"/>
      <c r="B1281" s="5" t="str">
        <f>IFERROR(__xludf.DUMMYFUNCTION("""COMPUTED_VALUE"""),"")</f>
        <v/>
      </c>
      <c r="C1281" s="5" t="str">
        <f>IFERROR(__xludf.DUMMYFUNCTION("""COMPUTED_VALUE"""),"")</f>
        <v/>
      </c>
      <c r="D1281" s="5" t="str">
        <f>IFERROR(__xludf.DUMMYFUNCTION("""COMPUTED_VALUE"""),"")</f>
        <v/>
      </c>
      <c r="E1281" s="5" t="str">
        <f>IFERROR(__xludf.DUMMYFUNCTION("""COMPUTED_VALUE"""),"")</f>
        <v/>
      </c>
      <c r="F1281" s="5" t="str">
        <f>IFERROR(__xludf.DUMMYFUNCTION("""COMPUTED_VALUE"""),"")</f>
        <v/>
      </c>
      <c r="G1281" s="5" t="str">
        <f>IFERROR(__xludf.DUMMYFUNCTION("""COMPUTED_VALUE"""),"")</f>
        <v/>
      </c>
      <c r="H1281" s="5" t="str">
        <f>IFERROR(__xludf.DUMMYFUNCTION("""COMPUTED_VALUE"""),"")</f>
        <v/>
      </c>
      <c r="I1281" s="5" t="str">
        <f>IFERROR(__xludf.DUMMYFUNCTION("""COMPUTED_VALUE"""),"")</f>
        <v/>
      </c>
      <c r="J1281" s="5" t="str">
        <f>IFERROR(__xludf.DUMMYFUNCTION("""COMPUTED_VALUE"""),"")</f>
        <v/>
      </c>
      <c r="K1281" s="5" t="str">
        <f>IFERROR(__xludf.DUMMYFUNCTION("""COMPUTED_VALUE"""),"")</f>
        <v/>
      </c>
      <c r="L1281" s="5" t="str">
        <f>IFERROR(__xludf.DUMMYFUNCTION("""COMPUTED_VALUE"""),"")</f>
        <v/>
      </c>
      <c r="M1281" s="5" t="str">
        <f>IFERROR(__xludf.DUMMYFUNCTION("""COMPUTED_VALUE"""),"")</f>
        <v/>
      </c>
      <c r="N1281" s="5" t="str">
        <f>IFERROR(__xludf.DUMMYFUNCTION("""COMPUTED_VALUE"""),"")</f>
        <v/>
      </c>
      <c r="O1281" s="5" t="str">
        <f>IFERROR(__xludf.DUMMYFUNCTION("""COMPUTED_VALUE"""),"")</f>
        <v/>
      </c>
      <c r="P1281" s="5" t="str">
        <f>IFERROR(__xludf.DUMMYFUNCTION("""COMPUTED_VALUE"""),"")</f>
        <v/>
      </c>
      <c r="Q1281" s="5" t="str">
        <f>IFERROR(__xludf.DUMMYFUNCTION("""COMPUTED_VALUE"""),"")</f>
        <v/>
      </c>
      <c r="R1281" s="5" t="str">
        <f>IFERROR(__xludf.DUMMYFUNCTION("""COMPUTED_VALUE"""),"")</f>
        <v/>
      </c>
      <c r="S1281" s="5" t="str">
        <f>IFERROR(__xludf.DUMMYFUNCTION("""COMPUTED_VALUE"""),"")</f>
        <v/>
      </c>
      <c r="T1281" s="5" t="str">
        <f>IFERROR(__xludf.DUMMYFUNCTION("""COMPUTED_VALUE"""),"")</f>
        <v/>
      </c>
      <c r="U1281" s="5" t="str">
        <f>IFERROR(__xludf.DUMMYFUNCTION("""COMPUTED_VALUE"""),"")</f>
        <v/>
      </c>
      <c r="V1281" s="5" t="str">
        <f>IFERROR(__xludf.DUMMYFUNCTION("""COMPUTED_VALUE"""),"")</f>
        <v/>
      </c>
      <c r="W1281" s="5" t="str">
        <f>IFERROR(__xludf.DUMMYFUNCTION("""COMPUTED_VALUE"""),"")</f>
        <v/>
      </c>
      <c r="X1281" s="5" t="str">
        <f>IFERROR(__xludf.DUMMYFUNCTION("""COMPUTED_VALUE"""),"")</f>
        <v/>
      </c>
      <c r="Y1281" s="5"/>
      <c r="Z1281" s="5"/>
    </row>
    <row r="1282">
      <c r="A1282" s="5"/>
      <c r="B1282" s="5" t="str">
        <f>IFERROR(__xludf.DUMMYFUNCTION("""COMPUTED_VALUE"""),"")</f>
        <v/>
      </c>
      <c r="C1282" s="5" t="str">
        <f>IFERROR(__xludf.DUMMYFUNCTION("""COMPUTED_VALUE"""),"")</f>
        <v/>
      </c>
      <c r="D1282" s="5" t="str">
        <f>IFERROR(__xludf.DUMMYFUNCTION("""COMPUTED_VALUE"""),"")</f>
        <v/>
      </c>
      <c r="E1282" s="5" t="str">
        <f>IFERROR(__xludf.DUMMYFUNCTION("""COMPUTED_VALUE"""),"")</f>
        <v/>
      </c>
      <c r="F1282" s="5" t="str">
        <f>IFERROR(__xludf.DUMMYFUNCTION("""COMPUTED_VALUE"""),"")</f>
        <v/>
      </c>
      <c r="G1282" s="5" t="str">
        <f>IFERROR(__xludf.DUMMYFUNCTION("""COMPUTED_VALUE"""),"")</f>
        <v/>
      </c>
      <c r="H1282" s="5" t="str">
        <f>IFERROR(__xludf.DUMMYFUNCTION("""COMPUTED_VALUE"""),"")</f>
        <v/>
      </c>
      <c r="I1282" s="5" t="str">
        <f>IFERROR(__xludf.DUMMYFUNCTION("""COMPUTED_VALUE"""),"")</f>
        <v/>
      </c>
      <c r="J1282" s="5" t="str">
        <f>IFERROR(__xludf.DUMMYFUNCTION("""COMPUTED_VALUE"""),"")</f>
        <v/>
      </c>
      <c r="K1282" s="5" t="str">
        <f>IFERROR(__xludf.DUMMYFUNCTION("""COMPUTED_VALUE"""),"")</f>
        <v/>
      </c>
      <c r="L1282" s="5" t="str">
        <f>IFERROR(__xludf.DUMMYFUNCTION("""COMPUTED_VALUE"""),"")</f>
        <v/>
      </c>
      <c r="M1282" s="5" t="str">
        <f>IFERROR(__xludf.DUMMYFUNCTION("""COMPUTED_VALUE"""),"")</f>
        <v/>
      </c>
      <c r="N1282" s="5" t="str">
        <f>IFERROR(__xludf.DUMMYFUNCTION("""COMPUTED_VALUE"""),"")</f>
        <v/>
      </c>
      <c r="O1282" s="5" t="str">
        <f>IFERROR(__xludf.DUMMYFUNCTION("""COMPUTED_VALUE"""),"")</f>
        <v/>
      </c>
      <c r="P1282" s="5" t="str">
        <f>IFERROR(__xludf.DUMMYFUNCTION("""COMPUTED_VALUE"""),"")</f>
        <v/>
      </c>
      <c r="Q1282" s="5" t="str">
        <f>IFERROR(__xludf.DUMMYFUNCTION("""COMPUTED_VALUE"""),"")</f>
        <v/>
      </c>
      <c r="R1282" s="5" t="str">
        <f>IFERROR(__xludf.DUMMYFUNCTION("""COMPUTED_VALUE"""),"")</f>
        <v/>
      </c>
      <c r="S1282" s="5" t="str">
        <f>IFERROR(__xludf.DUMMYFUNCTION("""COMPUTED_VALUE"""),"")</f>
        <v/>
      </c>
      <c r="T1282" s="5" t="str">
        <f>IFERROR(__xludf.DUMMYFUNCTION("""COMPUTED_VALUE"""),"")</f>
        <v/>
      </c>
      <c r="U1282" s="5" t="str">
        <f>IFERROR(__xludf.DUMMYFUNCTION("""COMPUTED_VALUE"""),"")</f>
        <v/>
      </c>
      <c r="V1282" s="5" t="str">
        <f>IFERROR(__xludf.DUMMYFUNCTION("""COMPUTED_VALUE"""),"")</f>
        <v/>
      </c>
      <c r="W1282" s="5" t="str">
        <f>IFERROR(__xludf.DUMMYFUNCTION("""COMPUTED_VALUE"""),"")</f>
        <v/>
      </c>
      <c r="X1282" s="5" t="str">
        <f>IFERROR(__xludf.DUMMYFUNCTION("""COMPUTED_VALUE"""),"")</f>
        <v/>
      </c>
      <c r="Y1282" s="5"/>
      <c r="Z1282" s="5"/>
    </row>
    <row r="1283">
      <c r="A1283" s="5"/>
      <c r="B1283" s="5" t="str">
        <f>IFERROR(__xludf.DUMMYFUNCTION("""COMPUTED_VALUE"""),"")</f>
        <v/>
      </c>
      <c r="C1283" s="5" t="str">
        <f>IFERROR(__xludf.DUMMYFUNCTION("""COMPUTED_VALUE"""),"")</f>
        <v/>
      </c>
      <c r="D1283" s="5" t="str">
        <f>IFERROR(__xludf.DUMMYFUNCTION("""COMPUTED_VALUE"""),"")</f>
        <v/>
      </c>
      <c r="E1283" s="5" t="str">
        <f>IFERROR(__xludf.DUMMYFUNCTION("""COMPUTED_VALUE"""),"")</f>
        <v/>
      </c>
      <c r="F1283" s="5" t="str">
        <f>IFERROR(__xludf.DUMMYFUNCTION("""COMPUTED_VALUE"""),"")</f>
        <v/>
      </c>
      <c r="G1283" s="5" t="str">
        <f>IFERROR(__xludf.DUMMYFUNCTION("""COMPUTED_VALUE"""),"")</f>
        <v/>
      </c>
      <c r="H1283" s="5" t="str">
        <f>IFERROR(__xludf.DUMMYFUNCTION("""COMPUTED_VALUE"""),"")</f>
        <v/>
      </c>
      <c r="I1283" s="5" t="str">
        <f>IFERROR(__xludf.DUMMYFUNCTION("""COMPUTED_VALUE"""),"")</f>
        <v/>
      </c>
      <c r="J1283" s="5" t="str">
        <f>IFERROR(__xludf.DUMMYFUNCTION("""COMPUTED_VALUE"""),"")</f>
        <v/>
      </c>
      <c r="K1283" s="5" t="str">
        <f>IFERROR(__xludf.DUMMYFUNCTION("""COMPUTED_VALUE"""),"")</f>
        <v/>
      </c>
      <c r="L1283" s="5" t="str">
        <f>IFERROR(__xludf.DUMMYFUNCTION("""COMPUTED_VALUE"""),"")</f>
        <v/>
      </c>
      <c r="M1283" s="5" t="str">
        <f>IFERROR(__xludf.DUMMYFUNCTION("""COMPUTED_VALUE"""),"")</f>
        <v/>
      </c>
      <c r="N1283" s="5" t="str">
        <f>IFERROR(__xludf.DUMMYFUNCTION("""COMPUTED_VALUE"""),"")</f>
        <v/>
      </c>
      <c r="O1283" s="5" t="str">
        <f>IFERROR(__xludf.DUMMYFUNCTION("""COMPUTED_VALUE"""),"")</f>
        <v/>
      </c>
      <c r="P1283" s="5" t="str">
        <f>IFERROR(__xludf.DUMMYFUNCTION("""COMPUTED_VALUE"""),"")</f>
        <v/>
      </c>
      <c r="Q1283" s="5" t="str">
        <f>IFERROR(__xludf.DUMMYFUNCTION("""COMPUTED_VALUE"""),"")</f>
        <v/>
      </c>
      <c r="R1283" s="5" t="str">
        <f>IFERROR(__xludf.DUMMYFUNCTION("""COMPUTED_VALUE"""),"")</f>
        <v/>
      </c>
      <c r="S1283" s="5" t="str">
        <f>IFERROR(__xludf.DUMMYFUNCTION("""COMPUTED_VALUE"""),"")</f>
        <v/>
      </c>
      <c r="T1283" s="5" t="str">
        <f>IFERROR(__xludf.DUMMYFUNCTION("""COMPUTED_VALUE"""),"")</f>
        <v/>
      </c>
      <c r="U1283" s="5" t="str">
        <f>IFERROR(__xludf.DUMMYFUNCTION("""COMPUTED_VALUE"""),"")</f>
        <v/>
      </c>
      <c r="V1283" s="5" t="str">
        <f>IFERROR(__xludf.DUMMYFUNCTION("""COMPUTED_VALUE"""),"")</f>
        <v/>
      </c>
      <c r="W1283" s="5" t="str">
        <f>IFERROR(__xludf.DUMMYFUNCTION("""COMPUTED_VALUE"""),"")</f>
        <v/>
      </c>
      <c r="X1283" s="5" t="str">
        <f>IFERROR(__xludf.DUMMYFUNCTION("""COMPUTED_VALUE"""),"")</f>
        <v/>
      </c>
      <c r="Y1283" s="5"/>
      <c r="Z1283" s="5"/>
    </row>
    <row r="1284">
      <c r="A1284" s="5"/>
      <c r="B1284" s="5" t="str">
        <f>IFERROR(__xludf.DUMMYFUNCTION("""COMPUTED_VALUE"""),"")</f>
        <v/>
      </c>
      <c r="C1284" s="5" t="str">
        <f>IFERROR(__xludf.DUMMYFUNCTION("""COMPUTED_VALUE"""),"")</f>
        <v/>
      </c>
      <c r="D1284" s="5" t="str">
        <f>IFERROR(__xludf.DUMMYFUNCTION("""COMPUTED_VALUE"""),"")</f>
        <v/>
      </c>
      <c r="E1284" s="5" t="str">
        <f>IFERROR(__xludf.DUMMYFUNCTION("""COMPUTED_VALUE"""),"")</f>
        <v/>
      </c>
      <c r="F1284" s="5" t="str">
        <f>IFERROR(__xludf.DUMMYFUNCTION("""COMPUTED_VALUE"""),"")</f>
        <v/>
      </c>
      <c r="G1284" s="5" t="str">
        <f>IFERROR(__xludf.DUMMYFUNCTION("""COMPUTED_VALUE"""),"")</f>
        <v/>
      </c>
      <c r="H1284" s="5" t="str">
        <f>IFERROR(__xludf.DUMMYFUNCTION("""COMPUTED_VALUE"""),"")</f>
        <v/>
      </c>
      <c r="I1284" s="5" t="str">
        <f>IFERROR(__xludf.DUMMYFUNCTION("""COMPUTED_VALUE"""),"")</f>
        <v/>
      </c>
      <c r="J1284" s="5" t="str">
        <f>IFERROR(__xludf.DUMMYFUNCTION("""COMPUTED_VALUE"""),"")</f>
        <v/>
      </c>
      <c r="K1284" s="5" t="str">
        <f>IFERROR(__xludf.DUMMYFUNCTION("""COMPUTED_VALUE"""),"")</f>
        <v/>
      </c>
      <c r="L1284" s="5" t="str">
        <f>IFERROR(__xludf.DUMMYFUNCTION("""COMPUTED_VALUE"""),"")</f>
        <v/>
      </c>
      <c r="M1284" s="5" t="str">
        <f>IFERROR(__xludf.DUMMYFUNCTION("""COMPUTED_VALUE"""),"")</f>
        <v/>
      </c>
      <c r="N1284" s="5" t="str">
        <f>IFERROR(__xludf.DUMMYFUNCTION("""COMPUTED_VALUE"""),"")</f>
        <v/>
      </c>
      <c r="O1284" s="5" t="str">
        <f>IFERROR(__xludf.DUMMYFUNCTION("""COMPUTED_VALUE"""),"")</f>
        <v/>
      </c>
      <c r="P1284" s="5" t="str">
        <f>IFERROR(__xludf.DUMMYFUNCTION("""COMPUTED_VALUE"""),"")</f>
        <v/>
      </c>
      <c r="Q1284" s="5" t="str">
        <f>IFERROR(__xludf.DUMMYFUNCTION("""COMPUTED_VALUE"""),"")</f>
        <v/>
      </c>
      <c r="R1284" s="5" t="str">
        <f>IFERROR(__xludf.DUMMYFUNCTION("""COMPUTED_VALUE"""),"")</f>
        <v/>
      </c>
      <c r="S1284" s="5" t="str">
        <f>IFERROR(__xludf.DUMMYFUNCTION("""COMPUTED_VALUE"""),"")</f>
        <v/>
      </c>
      <c r="T1284" s="5" t="str">
        <f>IFERROR(__xludf.DUMMYFUNCTION("""COMPUTED_VALUE"""),"")</f>
        <v/>
      </c>
      <c r="U1284" s="5" t="str">
        <f>IFERROR(__xludf.DUMMYFUNCTION("""COMPUTED_VALUE"""),"")</f>
        <v/>
      </c>
      <c r="V1284" s="5" t="str">
        <f>IFERROR(__xludf.DUMMYFUNCTION("""COMPUTED_VALUE"""),"")</f>
        <v/>
      </c>
      <c r="W1284" s="5" t="str">
        <f>IFERROR(__xludf.DUMMYFUNCTION("""COMPUTED_VALUE"""),"")</f>
        <v/>
      </c>
      <c r="X1284" s="5" t="str">
        <f>IFERROR(__xludf.DUMMYFUNCTION("""COMPUTED_VALUE"""),"")</f>
        <v/>
      </c>
      <c r="Y1284" s="5"/>
      <c r="Z1284" s="5"/>
    </row>
    <row r="1285">
      <c r="A1285" s="5"/>
      <c r="B1285" s="5" t="str">
        <f>IFERROR(__xludf.DUMMYFUNCTION("""COMPUTED_VALUE"""),"")</f>
        <v/>
      </c>
      <c r="C1285" s="5" t="str">
        <f>IFERROR(__xludf.DUMMYFUNCTION("""COMPUTED_VALUE"""),"")</f>
        <v/>
      </c>
      <c r="D1285" s="5" t="str">
        <f>IFERROR(__xludf.DUMMYFUNCTION("""COMPUTED_VALUE"""),"")</f>
        <v/>
      </c>
      <c r="E1285" s="5" t="str">
        <f>IFERROR(__xludf.DUMMYFUNCTION("""COMPUTED_VALUE"""),"")</f>
        <v/>
      </c>
      <c r="F1285" s="5" t="str">
        <f>IFERROR(__xludf.DUMMYFUNCTION("""COMPUTED_VALUE"""),"")</f>
        <v/>
      </c>
      <c r="G1285" s="5" t="str">
        <f>IFERROR(__xludf.DUMMYFUNCTION("""COMPUTED_VALUE"""),"")</f>
        <v/>
      </c>
      <c r="H1285" s="5" t="str">
        <f>IFERROR(__xludf.DUMMYFUNCTION("""COMPUTED_VALUE"""),"")</f>
        <v/>
      </c>
      <c r="I1285" s="5" t="str">
        <f>IFERROR(__xludf.DUMMYFUNCTION("""COMPUTED_VALUE"""),"")</f>
        <v/>
      </c>
      <c r="J1285" s="5" t="str">
        <f>IFERROR(__xludf.DUMMYFUNCTION("""COMPUTED_VALUE"""),"")</f>
        <v/>
      </c>
      <c r="K1285" s="5" t="str">
        <f>IFERROR(__xludf.DUMMYFUNCTION("""COMPUTED_VALUE"""),"")</f>
        <v/>
      </c>
      <c r="L1285" s="5" t="str">
        <f>IFERROR(__xludf.DUMMYFUNCTION("""COMPUTED_VALUE"""),"")</f>
        <v/>
      </c>
      <c r="M1285" s="5" t="str">
        <f>IFERROR(__xludf.DUMMYFUNCTION("""COMPUTED_VALUE"""),"")</f>
        <v/>
      </c>
      <c r="N1285" s="5" t="str">
        <f>IFERROR(__xludf.DUMMYFUNCTION("""COMPUTED_VALUE"""),"")</f>
        <v/>
      </c>
      <c r="O1285" s="5" t="str">
        <f>IFERROR(__xludf.DUMMYFUNCTION("""COMPUTED_VALUE"""),"")</f>
        <v/>
      </c>
      <c r="P1285" s="5" t="str">
        <f>IFERROR(__xludf.DUMMYFUNCTION("""COMPUTED_VALUE"""),"")</f>
        <v/>
      </c>
      <c r="Q1285" s="5" t="str">
        <f>IFERROR(__xludf.DUMMYFUNCTION("""COMPUTED_VALUE"""),"")</f>
        <v/>
      </c>
      <c r="R1285" s="5" t="str">
        <f>IFERROR(__xludf.DUMMYFUNCTION("""COMPUTED_VALUE"""),"")</f>
        <v/>
      </c>
      <c r="S1285" s="5" t="str">
        <f>IFERROR(__xludf.DUMMYFUNCTION("""COMPUTED_VALUE"""),"")</f>
        <v/>
      </c>
      <c r="T1285" s="5" t="str">
        <f>IFERROR(__xludf.DUMMYFUNCTION("""COMPUTED_VALUE"""),"")</f>
        <v/>
      </c>
      <c r="U1285" s="5" t="str">
        <f>IFERROR(__xludf.DUMMYFUNCTION("""COMPUTED_VALUE"""),"")</f>
        <v/>
      </c>
      <c r="V1285" s="5" t="str">
        <f>IFERROR(__xludf.DUMMYFUNCTION("""COMPUTED_VALUE"""),"")</f>
        <v/>
      </c>
      <c r="W1285" s="5" t="str">
        <f>IFERROR(__xludf.DUMMYFUNCTION("""COMPUTED_VALUE"""),"")</f>
        <v/>
      </c>
      <c r="X1285" s="5" t="str">
        <f>IFERROR(__xludf.DUMMYFUNCTION("""COMPUTED_VALUE"""),"")</f>
        <v/>
      </c>
      <c r="Y1285" s="5"/>
      <c r="Z1285" s="5"/>
    </row>
    <row r="1286">
      <c r="A1286" s="5"/>
      <c r="B1286" s="5" t="str">
        <f>IFERROR(__xludf.DUMMYFUNCTION("""COMPUTED_VALUE"""),"")</f>
        <v/>
      </c>
      <c r="C1286" s="5" t="str">
        <f>IFERROR(__xludf.DUMMYFUNCTION("""COMPUTED_VALUE"""),"")</f>
        <v/>
      </c>
      <c r="D1286" s="5" t="str">
        <f>IFERROR(__xludf.DUMMYFUNCTION("""COMPUTED_VALUE"""),"")</f>
        <v/>
      </c>
      <c r="E1286" s="5" t="str">
        <f>IFERROR(__xludf.DUMMYFUNCTION("""COMPUTED_VALUE"""),"")</f>
        <v/>
      </c>
      <c r="F1286" s="5" t="str">
        <f>IFERROR(__xludf.DUMMYFUNCTION("""COMPUTED_VALUE"""),"")</f>
        <v/>
      </c>
      <c r="G1286" s="5" t="str">
        <f>IFERROR(__xludf.DUMMYFUNCTION("""COMPUTED_VALUE"""),"")</f>
        <v/>
      </c>
      <c r="H1286" s="5" t="str">
        <f>IFERROR(__xludf.DUMMYFUNCTION("""COMPUTED_VALUE"""),"")</f>
        <v/>
      </c>
      <c r="I1286" s="5" t="str">
        <f>IFERROR(__xludf.DUMMYFUNCTION("""COMPUTED_VALUE"""),"")</f>
        <v/>
      </c>
      <c r="J1286" s="5" t="str">
        <f>IFERROR(__xludf.DUMMYFUNCTION("""COMPUTED_VALUE"""),"")</f>
        <v/>
      </c>
      <c r="K1286" s="5" t="str">
        <f>IFERROR(__xludf.DUMMYFUNCTION("""COMPUTED_VALUE"""),"")</f>
        <v/>
      </c>
      <c r="L1286" s="5" t="str">
        <f>IFERROR(__xludf.DUMMYFUNCTION("""COMPUTED_VALUE"""),"")</f>
        <v/>
      </c>
      <c r="M1286" s="5" t="str">
        <f>IFERROR(__xludf.DUMMYFUNCTION("""COMPUTED_VALUE"""),"")</f>
        <v/>
      </c>
      <c r="N1286" s="5" t="str">
        <f>IFERROR(__xludf.DUMMYFUNCTION("""COMPUTED_VALUE"""),"")</f>
        <v/>
      </c>
      <c r="O1286" s="5" t="str">
        <f>IFERROR(__xludf.DUMMYFUNCTION("""COMPUTED_VALUE"""),"")</f>
        <v/>
      </c>
      <c r="P1286" s="5" t="str">
        <f>IFERROR(__xludf.DUMMYFUNCTION("""COMPUTED_VALUE"""),"")</f>
        <v/>
      </c>
      <c r="Q1286" s="5" t="str">
        <f>IFERROR(__xludf.DUMMYFUNCTION("""COMPUTED_VALUE"""),"")</f>
        <v/>
      </c>
      <c r="R1286" s="5" t="str">
        <f>IFERROR(__xludf.DUMMYFUNCTION("""COMPUTED_VALUE"""),"")</f>
        <v/>
      </c>
      <c r="S1286" s="5" t="str">
        <f>IFERROR(__xludf.DUMMYFUNCTION("""COMPUTED_VALUE"""),"")</f>
        <v/>
      </c>
      <c r="T1286" s="5" t="str">
        <f>IFERROR(__xludf.DUMMYFUNCTION("""COMPUTED_VALUE"""),"")</f>
        <v/>
      </c>
      <c r="U1286" s="5" t="str">
        <f>IFERROR(__xludf.DUMMYFUNCTION("""COMPUTED_VALUE"""),"")</f>
        <v/>
      </c>
      <c r="V1286" s="5" t="str">
        <f>IFERROR(__xludf.DUMMYFUNCTION("""COMPUTED_VALUE"""),"")</f>
        <v/>
      </c>
      <c r="W1286" s="5" t="str">
        <f>IFERROR(__xludf.DUMMYFUNCTION("""COMPUTED_VALUE"""),"")</f>
        <v/>
      </c>
      <c r="X1286" s="5" t="str">
        <f>IFERROR(__xludf.DUMMYFUNCTION("""COMPUTED_VALUE"""),"")</f>
        <v/>
      </c>
      <c r="Y1286" s="5"/>
      <c r="Z1286" s="5"/>
    </row>
    <row r="1287">
      <c r="A1287" s="5"/>
      <c r="B1287" s="5" t="str">
        <f>IFERROR(__xludf.DUMMYFUNCTION("""COMPUTED_VALUE"""),"")</f>
        <v/>
      </c>
      <c r="C1287" s="5" t="str">
        <f>IFERROR(__xludf.DUMMYFUNCTION("""COMPUTED_VALUE"""),"")</f>
        <v/>
      </c>
      <c r="D1287" s="5" t="str">
        <f>IFERROR(__xludf.DUMMYFUNCTION("""COMPUTED_VALUE"""),"")</f>
        <v/>
      </c>
      <c r="E1287" s="5" t="str">
        <f>IFERROR(__xludf.DUMMYFUNCTION("""COMPUTED_VALUE"""),"")</f>
        <v/>
      </c>
      <c r="F1287" s="5" t="str">
        <f>IFERROR(__xludf.DUMMYFUNCTION("""COMPUTED_VALUE"""),"")</f>
        <v/>
      </c>
      <c r="G1287" s="5" t="str">
        <f>IFERROR(__xludf.DUMMYFUNCTION("""COMPUTED_VALUE"""),"")</f>
        <v/>
      </c>
      <c r="H1287" s="5" t="str">
        <f>IFERROR(__xludf.DUMMYFUNCTION("""COMPUTED_VALUE"""),"")</f>
        <v/>
      </c>
      <c r="I1287" s="5" t="str">
        <f>IFERROR(__xludf.DUMMYFUNCTION("""COMPUTED_VALUE"""),"")</f>
        <v/>
      </c>
      <c r="J1287" s="5" t="str">
        <f>IFERROR(__xludf.DUMMYFUNCTION("""COMPUTED_VALUE"""),"")</f>
        <v/>
      </c>
      <c r="K1287" s="5" t="str">
        <f>IFERROR(__xludf.DUMMYFUNCTION("""COMPUTED_VALUE"""),"")</f>
        <v/>
      </c>
      <c r="L1287" s="5" t="str">
        <f>IFERROR(__xludf.DUMMYFUNCTION("""COMPUTED_VALUE"""),"")</f>
        <v/>
      </c>
      <c r="M1287" s="5" t="str">
        <f>IFERROR(__xludf.DUMMYFUNCTION("""COMPUTED_VALUE"""),"")</f>
        <v/>
      </c>
      <c r="N1287" s="5" t="str">
        <f>IFERROR(__xludf.DUMMYFUNCTION("""COMPUTED_VALUE"""),"")</f>
        <v/>
      </c>
      <c r="O1287" s="5" t="str">
        <f>IFERROR(__xludf.DUMMYFUNCTION("""COMPUTED_VALUE"""),"")</f>
        <v/>
      </c>
      <c r="P1287" s="5" t="str">
        <f>IFERROR(__xludf.DUMMYFUNCTION("""COMPUTED_VALUE"""),"")</f>
        <v/>
      </c>
      <c r="Q1287" s="5" t="str">
        <f>IFERROR(__xludf.DUMMYFUNCTION("""COMPUTED_VALUE"""),"")</f>
        <v/>
      </c>
      <c r="R1287" s="5" t="str">
        <f>IFERROR(__xludf.DUMMYFUNCTION("""COMPUTED_VALUE"""),"")</f>
        <v/>
      </c>
      <c r="S1287" s="5" t="str">
        <f>IFERROR(__xludf.DUMMYFUNCTION("""COMPUTED_VALUE"""),"")</f>
        <v/>
      </c>
      <c r="T1287" s="5" t="str">
        <f>IFERROR(__xludf.DUMMYFUNCTION("""COMPUTED_VALUE"""),"")</f>
        <v/>
      </c>
      <c r="U1287" s="5" t="str">
        <f>IFERROR(__xludf.DUMMYFUNCTION("""COMPUTED_VALUE"""),"")</f>
        <v/>
      </c>
      <c r="V1287" s="5" t="str">
        <f>IFERROR(__xludf.DUMMYFUNCTION("""COMPUTED_VALUE"""),"")</f>
        <v/>
      </c>
      <c r="W1287" s="5" t="str">
        <f>IFERROR(__xludf.DUMMYFUNCTION("""COMPUTED_VALUE"""),"")</f>
        <v/>
      </c>
      <c r="X1287" s="5" t="str">
        <f>IFERROR(__xludf.DUMMYFUNCTION("""COMPUTED_VALUE"""),"")</f>
        <v/>
      </c>
      <c r="Y1287" s="5"/>
      <c r="Z1287" s="5"/>
    </row>
    <row r="1288">
      <c r="A1288" s="5"/>
      <c r="B1288" s="5" t="str">
        <f>IFERROR(__xludf.DUMMYFUNCTION("""COMPUTED_VALUE"""),"")</f>
        <v/>
      </c>
      <c r="C1288" s="5" t="str">
        <f>IFERROR(__xludf.DUMMYFUNCTION("""COMPUTED_VALUE"""),"")</f>
        <v/>
      </c>
      <c r="D1288" s="5" t="str">
        <f>IFERROR(__xludf.DUMMYFUNCTION("""COMPUTED_VALUE"""),"")</f>
        <v/>
      </c>
      <c r="E1288" s="5" t="str">
        <f>IFERROR(__xludf.DUMMYFUNCTION("""COMPUTED_VALUE"""),"")</f>
        <v/>
      </c>
      <c r="F1288" s="5" t="str">
        <f>IFERROR(__xludf.DUMMYFUNCTION("""COMPUTED_VALUE"""),"")</f>
        <v/>
      </c>
      <c r="G1288" s="5" t="str">
        <f>IFERROR(__xludf.DUMMYFUNCTION("""COMPUTED_VALUE"""),"")</f>
        <v/>
      </c>
      <c r="H1288" s="5" t="str">
        <f>IFERROR(__xludf.DUMMYFUNCTION("""COMPUTED_VALUE"""),"")</f>
        <v/>
      </c>
      <c r="I1288" s="5" t="str">
        <f>IFERROR(__xludf.DUMMYFUNCTION("""COMPUTED_VALUE"""),"")</f>
        <v/>
      </c>
      <c r="J1288" s="5" t="str">
        <f>IFERROR(__xludf.DUMMYFUNCTION("""COMPUTED_VALUE"""),"")</f>
        <v/>
      </c>
      <c r="K1288" s="5" t="str">
        <f>IFERROR(__xludf.DUMMYFUNCTION("""COMPUTED_VALUE"""),"")</f>
        <v/>
      </c>
      <c r="L1288" s="5" t="str">
        <f>IFERROR(__xludf.DUMMYFUNCTION("""COMPUTED_VALUE"""),"")</f>
        <v/>
      </c>
      <c r="M1288" s="5" t="str">
        <f>IFERROR(__xludf.DUMMYFUNCTION("""COMPUTED_VALUE"""),"")</f>
        <v/>
      </c>
      <c r="N1288" s="5" t="str">
        <f>IFERROR(__xludf.DUMMYFUNCTION("""COMPUTED_VALUE"""),"")</f>
        <v/>
      </c>
      <c r="O1288" s="5" t="str">
        <f>IFERROR(__xludf.DUMMYFUNCTION("""COMPUTED_VALUE"""),"")</f>
        <v/>
      </c>
      <c r="P1288" s="5" t="str">
        <f>IFERROR(__xludf.DUMMYFUNCTION("""COMPUTED_VALUE"""),"")</f>
        <v/>
      </c>
      <c r="Q1288" s="5" t="str">
        <f>IFERROR(__xludf.DUMMYFUNCTION("""COMPUTED_VALUE"""),"")</f>
        <v/>
      </c>
      <c r="R1288" s="5" t="str">
        <f>IFERROR(__xludf.DUMMYFUNCTION("""COMPUTED_VALUE"""),"")</f>
        <v/>
      </c>
      <c r="S1288" s="5" t="str">
        <f>IFERROR(__xludf.DUMMYFUNCTION("""COMPUTED_VALUE"""),"")</f>
        <v/>
      </c>
      <c r="T1288" s="5" t="str">
        <f>IFERROR(__xludf.DUMMYFUNCTION("""COMPUTED_VALUE"""),"")</f>
        <v/>
      </c>
      <c r="U1288" s="5" t="str">
        <f>IFERROR(__xludf.DUMMYFUNCTION("""COMPUTED_VALUE"""),"")</f>
        <v/>
      </c>
      <c r="V1288" s="5" t="str">
        <f>IFERROR(__xludf.DUMMYFUNCTION("""COMPUTED_VALUE"""),"")</f>
        <v/>
      </c>
      <c r="W1288" s="5" t="str">
        <f>IFERROR(__xludf.DUMMYFUNCTION("""COMPUTED_VALUE"""),"")</f>
        <v/>
      </c>
      <c r="X1288" s="5" t="str">
        <f>IFERROR(__xludf.DUMMYFUNCTION("""COMPUTED_VALUE"""),"")</f>
        <v/>
      </c>
      <c r="Y1288" s="5"/>
      <c r="Z1288" s="5"/>
    </row>
    <row r="1289">
      <c r="A1289" s="5"/>
      <c r="B1289" s="5" t="str">
        <f>IFERROR(__xludf.DUMMYFUNCTION("""COMPUTED_VALUE"""),"")</f>
        <v/>
      </c>
      <c r="C1289" s="5" t="str">
        <f>IFERROR(__xludf.DUMMYFUNCTION("""COMPUTED_VALUE"""),"")</f>
        <v/>
      </c>
      <c r="D1289" s="5" t="str">
        <f>IFERROR(__xludf.DUMMYFUNCTION("""COMPUTED_VALUE"""),"")</f>
        <v/>
      </c>
      <c r="E1289" s="5" t="str">
        <f>IFERROR(__xludf.DUMMYFUNCTION("""COMPUTED_VALUE"""),"")</f>
        <v/>
      </c>
      <c r="F1289" s="5" t="str">
        <f>IFERROR(__xludf.DUMMYFUNCTION("""COMPUTED_VALUE"""),"")</f>
        <v/>
      </c>
      <c r="G1289" s="5" t="str">
        <f>IFERROR(__xludf.DUMMYFUNCTION("""COMPUTED_VALUE"""),"")</f>
        <v/>
      </c>
      <c r="H1289" s="5" t="str">
        <f>IFERROR(__xludf.DUMMYFUNCTION("""COMPUTED_VALUE"""),"")</f>
        <v/>
      </c>
      <c r="I1289" s="5" t="str">
        <f>IFERROR(__xludf.DUMMYFUNCTION("""COMPUTED_VALUE"""),"")</f>
        <v/>
      </c>
      <c r="J1289" s="5" t="str">
        <f>IFERROR(__xludf.DUMMYFUNCTION("""COMPUTED_VALUE"""),"")</f>
        <v/>
      </c>
      <c r="K1289" s="5" t="str">
        <f>IFERROR(__xludf.DUMMYFUNCTION("""COMPUTED_VALUE"""),"")</f>
        <v/>
      </c>
      <c r="L1289" s="5" t="str">
        <f>IFERROR(__xludf.DUMMYFUNCTION("""COMPUTED_VALUE"""),"")</f>
        <v/>
      </c>
      <c r="M1289" s="5" t="str">
        <f>IFERROR(__xludf.DUMMYFUNCTION("""COMPUTED_VALUE"""),"")</f>
        <v/>
      </c>
      <c r="N1289" s="5" t="str">
        <f>IFERROR(__xludf.DUMMYFUNCTION("""COMPUTED_VALUE"""),"")</f>
        <v/>
      </c>
      <c r="O1289" s="5" t="str">
        <f>IFERROR(__xludf.DUMMYFUNCTION("""COMPUTED_VALUE"""),"")</f>
        <v/>
      </c>
      <c r="P1289" s="5" t="str">
        <f>IFERROR(__xludf.DUMMYFUNCTION("""COMPUTED_VALUE"""),"")</f>
        <v/>
      </c>
      <c r="Q1289" s="5" t="str">
        <f>IFERROR(__xludf.DUMMYFUNCTION("""COMPUTED_VALUE"""),"")</f>
        <v/>
      </c>
      <c r="R1289" s="5" t="str">
        <f>IFERROR(__xludf.DUMMYFUNCTION("""COMPUTED_VALUE"""),"")</f>
        <v/>
      </c>
      <c r="S1289" s="5" t="str">
        <f>IFERROR(__xludf.DUMMYFUNCTION("""COMPUTED_VALUE"""),"")</f>
        <v/>
      </c>
      <c r="T1289" s="5" t="str">
        <f>IFERROR(__xludf.DUMMYFUNCTION("""COMPUTED_VALUE"""),"")</f>
        <v/>
      </c>
      <c r="U1289" s="5" t="str">
        <f>IFERROR(__xludf.DUMMYFUNCTION("""COMPUTED_VALUE"""),"")</f>
        <v/>
      </c>
      <c r="V1289" s="5" t="str">
        <f>IFERROR(__xludf.DUMMYFUNCTION("""COMPUTED_VALUE"""),"")</f>
        <v/>
      </c>
      <c r="W1289" s="5" t="str">
        <f>IFERROR(__xludf.DUMMYFUNCTION("""COMPUTED_VALUE"""),"")</f>
        <v/>
      </c>
      <c r="X1289" s="5" t="str">
        <f>IFERROR(__xludf.DUMMYFUNCTION("""COMPUTED_VALUE"""),"")</f>
        <v/>
      </c>
      <c r="Y1289" s="5"/>
      <c r="Z1289" s="5"/>
    </row>
    <row r="1290">
      <c r="A1290" s="5"/>
      <c r="B1290" s="5" t="str">
        <f>IFERROR(__xludf.DUMMYFUNCTION("""COMPUTED_VALUE"""),"")</f>
        <v/>
      </c>
      <c r="C1290" s="5" t="str">
        <f>IFERROR(__xludf.DUMMYFUNCTION("""COMPUTED_VALUE"""),"")</f>
        <v/>
      </c>
      <c r="D1290" s="5" t="str">
        <f>IFERROR(__xludf.DUMMYFUNCTION("""COMPUTED_VALUE"""),"")</f>
        <v/>
      </c>
      <c r="E1290" s="5" t="str">
        <f>IFERROR(__xludf.DUMMYFUNCTION("""COMPUTED_VALUE"""),"")</f>
        <v/>
      </c>
      <c r="F1290" s="5" t="str">
        <f>IFERROR(__xludf.DUMMYFUNCTION("""COMPUTED_VALUE"""),"")</f>
        <v/>
      </c>
      <c r="G1290" s="5" t="str">
        <f>IFERROR(__xludf.DUMMYFUNCTION("""COMPUTED_VALUE"""),"")</f>
        <v/>
      </c>
      <c r="H1290" s="5" t="str">
        <f>IFERROR(__xludf.DUMMYFUNCTION("""COMPUTED_VALUE"""),"")</f>
        <v/>
      </c>
      <c r="I1290" s="5" t="str">
        <f>IFERROR(__xludf.DUMMYFUNCTION("""COMPUTED_VALUE"""),"")</f>
        <v/>
      </c>
      <c r="J1290" s="5" t="str">
        <f>IFERROR(__xludf.DUMMYFUNCTION("""COMPUTED_VALUE"""),"")</f>
        <v/>
      </c>
      <c r="K1290" s="5" t="str">
        <f>IFERROR(__xludf.DUMMYFUNCTION("""COMPUTED_VALUE"""),"")</f>
        <v/>
      </c>
      <c r="L1290" s="5" t="str">
        <f>IFERROR(__xludf.DUMMYFUNCTION("""COMPUTED_VALUE"""),"")</f>
        <v/>
      </c>
      <c r="M1290" s="5" t="str">
        <f>IFERROR(__xludf.DUMMYFUNCTION("""COMPUTED_VALUE"""),"")</f>
        <v/>
      </c>
      <c r="N1290" s="5" t="str">
        <f>IFERROR(__xludf.DUMMYFUNCTION("""COMPUTED_VALUE"""),"")</f>
        <v/>
      </c>
      <c r="O1290" s="5" t="str">
        <f>IFERROR(__xludf.DUMMYFUNCTION("""COMPUTED_VALUE"""),"")</f>
        <v/>
      </c>
      <c r="P1290" s="5" t="str">
        <f>IFERROR(__xludf.DUMMYFUNCTION("""COMPUTED_VALUE"""),"")</f>
        <v/>
      </c>
      <c r="Q1290" s="5" t="str">
        <f>IFERROR(__xludf.DUMMYFUNCTION("""COMPUTED_VALUE"""),"")</f>
        <v/>
      </c>
      <c r="R1290" s="5" t="str">
        <f>IFERROR(__xludf.DUMMYFUNCTION("""COMPUTED_VALUE"""),"")</f>
        <v/>
      </c>
      <c r="S1290" s="5" t="str">
        <f>IFERROR(__xludf.DUMMYFUNCTION("""COMPUTED_VALUE"""),"")</f>
        <v/>
      </c>
      <c r="T1290" s="5" t="str">
        <f>IFERROR(__xludf.DUMMYFUNCTION("""COMPUTED_VALUE"""),"")</f>
        <v/>
      </c>
      <c r="U1290" s="5" t="str">
        <f>IFERROR(__xludf.DUMMYFUNCTION("""COMPUTED_VALUE"""),"")</f>
        <v/>
      </c>
      <c r="V1290" s="5" t="str">
        <f>IFERROR(__xludf.DUMMYFUNCTION("""COMPUTED_VALUE"""),"")</f>
        <v/>
      </c>
      <c r="W1290" s="5" t="str">
        <f>IFERROR(__xludf.DUMMYFUNCTION("""COMPUTED_VALUE"""),"")</f>
        <v/>
      </c>
      <c r="X1290" s="5" t="str">
        <f>IFERROR(__xludf.DUMMYFUNCTION("""COMPUTED_VALUE"""),"")</f>
        <v/>
      </c>
      <c r="Y1290" s="5"/>
      <c r="Z1290" s="5"/>
    </row>
    <row r="1291">
      <c r="A1291" s="5"/>
      <c r="B1291" s="5" t="str">
        <f>IFERROR(__xludf.DUMMYFUNCTION("""COMPUTED_VALUE"""),"")</f>
        <v/>
      </c>
      <c r="C1291" s="5" t="str">
        <f>IFERROR(__xludf.DUMMYFUNCTION("""COMPUTED_VALUE"""),"")</f>
        <v/>
      </c>
      <c r="D1291" s="5" t="str">
        <f>IFERROR(__xludf.DUMMYFUNCTION("""COMPUTED_VALUE"""),"")</f>
        <v/>
      </c>
      <c r="E1291" s="5" t="str">
        <f>IFERROR(__xludf.DUMMYFUNCTION("""COMPUTED_VALUE"""),"")</f>
        <v/>
      </c>
      <c r="F1291" s="5" t="str">
        <f>IFERROR(__xludf.DUMMYFUNCTION("""COMPUTED_VALUE"""),"")</f>
        <v/>
      </c>
      <c r="G1291" s="5" t="str">
        <f>IFERROR(__xludf.DUMMYFUNCTION("""COMPUTED_VALUE"""),"")</f>
        <v/>
      </c>
      <c r="H1291" s="5" t="str">
        <f>IFERROR(__xludf.DUMMYFUNCTION("""COMPUTED_VALUE"""),"")</f>
        <v/>
      </c>
      <c r="I1291" s="5" t="str">
        <f>IFERROR(__xludf.DUMMYFUNCTION("""COMPUTED_VALUE"""),"")</f>
        <v/>
      </c>
      <c r="J1291" s="5" t="str">
        <f>IFERROR(__xludf.DUMMYFUNCTION("""COMPUTED_VALUE"""),"")</f>
        <v/>
      </c>
      <c r="K1291" s="5" t="str">
        <f>IFERROR(__xludf.DUMMYFUNCTION("""COMPUTED_VALUE"""),"")</f>
        <v/>
      </c>
      <c r="L1291" s="5" t="str">
        <f>IFERROR(__xludf.DUMMYFUNCTION("""COMPUTED_VALUE"""),"")</f>
        <v/>
      </c>
      <c r="M1291" s="5" t="str">
        <f>IFERROR(__xludf.DUMMYFUNCTION("""COMPUTED_VALUE"""),"")</f>
        <v/>
      </c>
      <c r="N1291" s="5" t="str">
        <f>IFERROR(__xludf.DUMMYFUNCTION("""COMPUTED_VALUE"""),"")</f>
        <v/>
      </c>
      <c r="O1291" s="5" t="str">
        <f>IFERROR(__xludf.DUMMYFUNCTION("""COMPUTED_VALUE"""),"")</f>
        <v/>
      </c>
      <c r="P1291" s="5" t="str">
        <f>IFERROR(__xludf.DUMMYFUNCTION("""COMPUTED_VALUE"""),"")</f>
        <v/>
      </c>
      <c r="Q1291" s="5" t="str">
        <f>IFERROR(__xludf.DUMMYFUNCTION("""COMPUTED_VALUE"""),"")</f>
        <v/>
      </c>
      <c r="R1291" s="5" t="str">
        <f>IFERROR(__xludf.DUMMYFUNCTION("""COMPUTED_VALUE"""),"")</f>
        <v/>
      </c>
      <c r="S1291" s="5" t="str">
        <f>IFERROR(__xludf.DUMMYFUNCTION("""COMPUTED_VALUE"""),"")</f>
        <v/>
      </c>
      <c r="T1291" s="5" t="str">
        <f>IFERROR(__xludf.DUMMYFUNCTION("""COMPUTED_VALUE"""),"")</f>
        <v/>
      </c>
      <c r="U1291" s="5" t="str">
        <f>IFERROR(__xludf.DUMMYFUNCTION("""COMPUTED_VALUE"""),"")</f>
        <v/>
      </c>
      <c r="V1291" s="5" t="str">
        <f>IFERROR(__xludf.DUMMYFUNCTION("""COMPUTED_VALUE"""),"")</f>
        <v/>
      </c>
      <c r="W1291" s="5" t="str">
        <f>IFERROR(__xludf.DUMMYFUNCTION("""COMPUTED_VALUE"""),"")</f>
        <v/>
      </c>
      <c r="X1291" s="5" t="str">
        <f>IFERROR(__xludf.DUMMYFUNCTION("""COMPUTED_VALUE"""),"")</f>
        <v/>
      </c>
      <c r="Y1291" s="5"/>
      <c r="Z1291" s="5"/>
    </row>
    <row r="1292">
      <c r="A1292" s="5"/>
      <c r="B1292" s="5" t="str">
        <f>IFERROR(__xludf.DUMMYFUNCTION("""COMPUTED_VALUE"""),"")</f>
        <v/>
      </c>
      <c r="C1292" s="5" t="str">
        <f>IFERROR(__xludf.DUMMYFUNCTION("""COMPUTED_VALUE"""),"")</f>
        <v/>
      </c>
      <c r="D1292" s="5" t="str">
        <f>IFERROR(__xludf.DUMMYFUNCTION("""COMPUTED_VALUE"""),"")</f>
        <v/>
      </c>
      <c r="E1292" s="5" t="str">
        <f>IFERROR(__xludf.DUMMYFUNCTION("""COMPUTED_VALUE"""),"")</f>
        <v/>
      </c>
      <c r="F1292" s="5" t="str">
        <f>IFERROR(__xludf.DUMMYFUNCTION("""COMPUTED_VALUE"""),"")</f>
        <v/>
      </c>
      <c r="G1292" s="5" t="str">
        <f>IFERROR(__xludf.DUMMYFUNCTION("""COMPUTED_VALUE"""),"")</f>
        <v/>
      </c>
      <c r="H1292" s="5" t="str">
        <f>IFERROR(__xludf.DUMMYFUNCTION("""COMPUTED_VALUE"""),"")</f>
        <v/>
      </c>
      <c r="I1292" s="5" t="str">
        <f>IFERROR(__xludf.DUMMYFUNCTION("""COMPUTED_VALUE"""),"")</f>
        <v/>
      </c>
      <c r="J1292" s="5" t="str">
        <f>IFERROR(__xludf.DUMMYFUNCTION("""COMPUTED_VALUE"""),"")</f>
        <v/>
      </c>
      <c r="K1292" s="5" t="str">
        <f>IFERROR(__xludf.DUMMYFUNCTION("""COMPUTED_VALUE"""),"")</f>
        <v/>
      </c>
      <c r="L1292" s="5" t="str">
        <f>IFERROR(__xludf.DUMMYFUNCTION("""COMPUTED_VALUE"""),"")</f>
        <v/>
      </c>
      <c r="M1292" s="5" t="str">
        <f>IFERROR(__xludf.DUMMYFUNCTION("""COMPUTED_VALUE"""),"")</f>
        <v/>
      </c>
      <c r="N1292" s="5" t="str">
        <f>IFERROR(__xludf.DUMMYFUNCTION("""COMPUTED_VALUE"""),"")</f>
        <v/>
      </c>
      <c r="O1292" s="5" t="str">
        <f>IFERROR(__xludf.DUMMYFUNCTION("""COMPUTED_VALUE"""),"")</f>
        <v/>
      </c>
      <c r="P1292" s="5" t="str">
        <f>IFERROR(__xludf.DUMMYFUNCTION("""COMPUTED_VALUE"""),"")</f>
        <v/>
      </c>
      <c r="Q1292" s="5" t="str">
        <f>IFERROR(__xludf.DUMMYFUNCTION("""COMPUTED_VALUE"""),"")</f>
        <v/>
      </c>
      <c r="R1292" s="5" t="str">
        <f>IFERROR(__xludf.DUMMYFUNCTION("""COMPUTED_VALUE"""),"")</f>
        <v/>
      </c>
      <c r="S1292" s="5" t="str">
        <f>IFERROR(__xludf.DUMMYFUNCTION("""COMPUTED_VALUE"""),"")</f>
        <v/>
      </c>
      <c r="T1292" s="5" t="str">
        <f>IFERROR(__xludf.DUMMYFUNCTION("""COMPUTED_VALUE"""),"")</f>
        <v/>
      </c>
      <c r="U1292" s="5" t="str">
        <f>IFERROR(__xludf.DUMMYFUNCTION("""COMPUTED_VALUE"""),"")</f>
        <v/>
      </c>
      <c r="V1292" s="5" t="str">
        <f>IFERROR(__xludf.DUMMYFUNCTION("""COMPUTED_VALUE"""),"")</f>
        <v/>
      </c>
      <c r="W1292" s="5" t="str">
        <f>IFERROR(__xludf.DUMMYFUNCTION("""COMPUTED_VALUE"""),"")</f>
        <v/>
      </c>
      <c r="X1292" s="5" t="str">
        <f>IFERROR(__xludf.DUMMYFUNCTION("""COMPUTED_VALUE"""),"")</f>
        <v/>
      </c>
      <c r="Y1292" s="5"/>
      <c r="Z1292" s="5"/>
    </row>
    <row r="1293">
      <c r="A1293" s="5"/>
      <c r="B1293" s="5" t="str">
        <f>IFERROR(__xludf.DUMMYFUNCTION("""COMPUTED_VALUE"""),"")</f>
        <v/>
      </c>
      <c r="C1293" s="5" t="str">
        <f>IFERROR(__xludf.DUMMYFUNCTION("""COMPUTED_VALUE"""),"")</f>
        <v/>
      </c>
      <c r="D1293" s="5" t="str">
        <f>IFERROR(__xludf.DUMMYFUNCTION("""COMPUTED_VALUE"""),"")</f>
        <v/>
      </c>
      <c r="E1293" s="5" t="str">
        <f>IFERROR(__xludf.DUMMYFUNCTION("""COMPUTED_VALUE"""),"")</f>
        <v/>
      </c>
      <c r="F1293" s="5" t="str">
        <f>IFERROR(__xludf.DUMMYFUNCTION("""COMPUTED_VALUE"""),"")</f>
        <v/>
      </c>
      <c r="G1293" s="5" t="str">
        <f>IFERROR(__xludf.DUMMYFUNCTION("""COMPUTED_VALUE"""),"")</f>
        <v/>
      </c>
      <c r="H1293" s="5" t="str">
        <f>IFERROR(__xludf.DUMMYFUNCTION("""COMPUTED_VALUE"""),"")</f>
        <v/>
      </c>
      <c r="I1293" s="5" t="str">
        <f>IFERROR(__xludf.DUMMYFUNCTION("""COMPUTED_VALUE"""),"")</f>
        <v/>
      </c>
      <c r="J1293" s="5" t="str">
        <f>IFERROR(__xludf.DUMMYFUNCTION("""COMPUTED_VALUE"""),"")</f>
        <v/>
      </c>
      <c r="K1293" s="5" t="str">
        <f>IFERROR(__xludf.DUMMYFUNCTION("""COMPUTED_VALUE"""),"")</f>
        <v/>
      </c>
      <c r="L1293" s="5" t="str">
        <f>IFERROR(__xludf.DUMMYFUNCTION("""COMPUTED_VALUE"""),"")</f>
        <v/>
      </c>
      <c r="M1293" s="5" t="str">
        <f>IFERROR(__xludf.DUMMYFUNCTION("""COMPUTED_VALUE"""),"")</f>
        <v/>
      </c>
      <c r="N1293" s="5" t="str">
        <f>IFERROR(__xludf.DUMMYFUNCTION("""COMPUTED_VALUE"""),"")</f>
        <v/>
      </c>
      <c r="O1293" s="5" t="str">
        <f>IFERROR(__xludf.DUMMYFUNCTION("""COMPUTED_VALUE"""),"")</f>
        <v/>
      </c>
      <c r="P1293" s="5" t="str">
        <f>IFERROR(__xludf.DUMMYFUNCTION("""COMPUTED_VALUE"""),"")</f>
        <v/>
      </c>
      <c r="Q1293" s="5" t="str">
        <f>IFERROR(__xludf.DUMMYFUNCTION("""COMPUTED_VALUE"""),"")</f>
        <v/>
      </c>
      <c r="R1293" s="5" t="str">
        <f>IFERROR(__xludf.DUMMYFUNCTION("""COMPUTED_VALUE"""),"")</f>
        <v/>
      </c>
      <c r="S1293" s="5" t="str">
        <f>IFERROR(__xludf.DUMMYFUNCTION("""COMPUTED_VALUE"""),"")</f>
        <v/>
      </c>
      <c r="T1293" s="5" t="str">
        <f>IFERROR(__xludf.DUMMYFUNCTION("""COMPUTED_VALUE"""),"")</f>
        <v/>
      </c>
      <c r="U1293" s="5" t="str">
        <f>IFERROR(__xludf.DUMMYFUNCTION("""COMPUTED_VALUE"""),"")</f>
        <v/>
      </c>
      <c r="V1293" s="5" t="str">
        <f>IFERROR(__xludf.DUMMYFUNCTION("""COMPUTED_VALUE"""),"")</f>
        <v/>
      </c>
      <c r="W1293" s="5" t="str">
        <f>IFERROR(__xludf.DUMMYFUNCTION("""COMPUTED_VALUE"""),"")</f>
        <v/>
      </c>
      <c r="X1293" s="5" t="str">
        <f>IFERROR(__xludf.DUMMYFUNCTION("""COMPUTED_VALUE"""),"")</f>
        <v/>
      </c>
      <c r="Y1293" s="5"/>
      <c r="Z1293" s="5"/>
    </row>
    <row r="1294">
      <c r="A1294" s="5"/>
      <c r="B1294" s="5" t="str">
        <f>IFERROR(__xludf.DUMMYFUNCTION("""COMPUTED_VALUE"""),"")</f>
        <v/>
      </c>
      <c r="C1294" s="5" t="str">
        <f>IFERROR(__xludf.DUMMYFUNCTION("""COMPUTED_VALUE"""),"")</f>
        <v/>
      </c>
      <c r="D1294" s="5" t="str">
        <f>IFERROR(__xludf.DUMMYFUNCTION("""COMPUTED_VALUE"""),"")</f>
        <v/>
      </c>
      <c r="E1294" s="5" t="str">
        <f>IFERROR(__xludf.DUMMYFUNCTION("""COMPUTED_VALUE"""),"")</f>
        <v/>
      </c>
      <c r="F1294" s="5" t="str">
        <f>IFERROR(__xludf.DUMMYFUNCTION("""COMPUTED_VALUE"""),"")</f>
        <v/>
      </c>
      <c r="G1294" s="5" t="str">
        <f>IFERROR(__xludf.DUMMYFUNCTION("""COMPUTED_VALUE"""),"")</f>
        <v/>
      </c>
      <c r="H1294" s="5" t="str">
        <f>IFERROR(__xludf.DUMMYFUNCTION("""COMPUTED_VALUE"""),"")</f>
        <v/>
      </c>
      <c r="I1294" s="5" t="str">
        <f>IFERROR(__xludf.DUMMYFUNCTION("""COMPUTED_VALUE"""),"")</f>
        <v/>
      </c>
      <c r="J1294" s="5" t="str">
        <f>IFERROR(__xludf.DUMMYFUNCTION("""COMPUTED_VALUE"""),"")</f>
        <v/>
      </c>
      <c r="K1294" s="5" t="str">
        <f>IFERROR(__xludf.DUMMYFUNCTION("""COMPUTED_VALUE"""),"")</f>
        <v/>
      </c>
      <c r="L1294" s="5" t="str">
        <f>IFERROR(__xludf.DUMMYFUNCTION("""COMPUTED_VALUE"""),"")</f>
        <v/>
      </c>
      <c r="M1294" s="5" t="str">
        <f>IFERROR(__xludf.DUMMYFUNCTION("""COMPUTED_VALUE"""),"")</f>
        <v/>
      </c>
      <c r="N1294" s="5" t="str">
        <f>IFERROR(__xludf.DUMMYFUNCTION("""COMPUTED_VALUE"""),"")</f>
        <v/>
      </c>
      <c r="O1294" s="5" t="str">
        <f>IFERROR(__xludf.DUMMYFUNCTION("""COMPUTED_VALUE"""),"")</f>
        <v/>
      </c>
      <c r="P1294" s="5" t="str">
        <f>IFERROR(__xludf.DUMMYFUNCTION("""COMPUTED_VALUE"""),"")</f>
        <v/>
      </c>
      <c r="Q1294" s="5" t="str">
        <f>IFERROR(__xludf.DUMMYFUNCTION("""COMPUTED_VALUE"""),"")</f>
        <v/>
      </c>
      <c r="R1294" s="5" t="str">
        <f>IFERROR(__xludf.DUMMYFUNCTION("""COMPUTED_VALUE"""),"")</f>
        <v/>
      </c>
      <c r="S1294" s="5" t="str">
        <f>IFERROR(__xludf.DUMMYFUNCTION("""COMPUTED_VALUE"""),"")</f>
        <v/>
      </c>
      <c r="T1294" s="5" t="str">
        <f>IFERROR(__xludf.DUMMYFUNCTION("""COMPUTED_VALUE"""),"")</f>
        <v/>
      </c>
      <c r="U1294" s="5" t="str">
        <f>IFERROR(__xludf.DUMMYFUNCTION("""COMPUTED_VALUE"""),"")</f>
        <v/>
      </c>
      <c r="V1294" s="5" t="str">
        <f>IFERROR(__xludf.DUMMYFUNCTION("""COMPUTED_VALUE"""),"")</f>
        <v/>
      </c>
      <c r="W1294" s="5" t="str">
        <f>IFERROR(__xludf.DUMMYFUNCTION("""COMPUTED_VALUE"""),"")</f>
        <v/>
      </c>
      <c r="X1294" s="5" t="str">
        <f>IFERROR(__xludf.DUMMYFUNCTION("""COMPUTED_VALUE"""),"")</f>
        <v/>
      </c>
      <c r="Y1294" s="5"/>
      <c r="Z1294" s="5"/>
    </row>
    <row r="1295">
      <c r="A1295" s="5"/>
      <c r="B1295" s="5" t="str">
        <f>IFERROR(__xludf.DUMMYFUNCTION("""COMPUTED_VALUE"""),"")</f>
        <v/>
      </c>
      <c r="C1295" s="5" t="str">
        <f>IFERROR(__xludf.DUMMYFUNCTION("""COMPUTED_VALUE"""),"")</f>
        <v/>
      </c>
      <c r="D1295" s="5" t="str">
        <f>IFERROR(__xludf.DUMMYFUNCTION("""COMPUTED_VALUE"""),"")</f>
        <v/>
      </c>
      <c r="E1295" s="5" t="str">
        <f>IFERROR(__xludf.DUMMYFUNCTION("""COMPUTED_VALUE"""),"")</f>
        <v/>
      </c>
      <c r="F1295" s="5" t="str">
        <f>IFERROR(__xludf.DUMMYFUNCTION("""COMPUTED_VALUE"""),"")</f>
        <v/>
      </c>
      <c r="G1295" s="5" t="str">
        <f>IFERROR(__xludf.DUMMYFUNCTION("""COMPUTED_VALUE"""),"")</f>
        <v/>
      </c>
      <c r="H1295" s="5" t="str">
        <f>IFERROR(__xludf.DUMMYFUNCTION("""COMPUTED_VALUE"""),"")</f>
        <v/>
      </c>
      <c r="I1295" s="5" t="str">
        <f>IFERROR(__xludf.DUMMYFUNCTION("""COMPUTED_VALUE"""),"")</f>
        <v/>
      </c>
      <c r="J1295" s="5" t="str">
        <f>IFERROR(__xludf.DUMMYFUNCTION("""COMPUTED_VALUE"""),"")</f>
        <v/>
      </c>
      <c r="K1295" s="5" t="str">
        <f>IFERROR(__xludf.DUMMYFUNCTION("""COMPUTED_VALUE"""),"")</f>
        <v/>
      </c>
      <c r="L1295" s="5" t="str">
        <f>IFERROR(__xludf.DUMMYFUNCTION("""COMPUTED_VALUE"""),"")</f>
        <v/>
      </c>
      <c r="M1295" s="5" t="str">
        <f>IFERROR(__xludf.DUMMYFUNCTION("""COMPUTED_VALUE"""),"")</f>
        <v/>
      </c>
      <c r="N1295" s="5" t="str">
        <f>IFERROR(__xludf.DUMMYFUNCTION("""COMPUTED_VALUE"""),"")</f>
        <v/>
      </c>
      <c r="O1295" s="5" t="str">
        <f>IFERROR(__xludf.DUMMYFUNCTION("""COMPUTED_VALUE"""),"")</f>
        <v/>
      </c>
      <c r="P1295" s="5" t="str">
        <f>IFERROR(__xludf.DUMMYFUNCTION("""COMPUTED_VALUE"""),"")</f>
        <v/>
      </c>
      <c r="Q1295" s="5" t="str">
        <f>IFERROR(__xludf.DUMMYFUNCTION("""COMPUTED_VALUE"""),"")</f>
        <v/>
      </c>
      <c r="R1295" s="5" t="str">
        <f>IFERROR(__xludf.DUMMYFUNCTION("""COMPUTED_VALUE"""),"")</f>
        <v/>
      </c>
      <c r="S1295" s="5" t="str">
        <f>IFERROR(__xludf.DUMMYFUNCTION("""COMPUTED_VALUE"""),"")</f>
        <v/>
      </c>
      <c r="T1295" s="5" t="str">
        <f>IFERROR(__xludf.DUMMYFUNCTION("""COMPUTED_VALUE"""),"")</f>
        <v/>
      </c>
      <c r="U1295" s="5" t="str">
        <f>IFERROR(__xludf.DUMMYFUNCTION("""COMPUTED_VALUE"""),"")</f>
        <v/>
      </c>
      <c r="V1295" s="5" t="str">
        <f>IFERROR(__xludf.DUMMYFUNCTION("""COMPUTED_VALUE"""),"")</f>
        <v/>
      </c>
      <c r="W1295" s="5" t="str">
        <f>IFERROR(__xludf.DUMMYFUNCTION("""COMPUTED_VALUE"""),"")</f>
        <v/>
      </c>
      <c r="X1295" s="5" t="str">
        <f>IFERROR(__xludf.DUMMYFUNCTION("""COMPUTED_VALUE"""),"")</f>
        <v/>
      </c>
      <c r="Y1295" s="5"/>
      <c r="Z1295" s="5"/>
    </row>
    <row r="1296">
      <c r="A1296" s="5"/>
      <c r="B1296" s="5" t="str">
        <f>IFERROR(__xludf.DUMMYFUNCTION("""COMPUTED_VALUE"""),"")</f>
        <v/>
      </c>
      <c r="C1296" s="5" t="str">
        <f>IFERROR(__xludf.DUMMYFUNCTION("""COMPUTED_VALUE"""),"")</f>
        <v/>
      </c>
      <c r="D1296" s="5" t="str">
        <f>IFERROR(__xludf.DUMMYFUNCTION("""COMPUTED_VALUE"""),"")</f>
        <v/>
      </c>
      <c r="E1296" s="5" t="str">
        <f>IFERROR(__xludf.DUMMYFUNCTION("""COMPUTED_VALUE"""),"")</f>
        <v/>
      </c>
      <c r="F1296" s="5" t="str">
        <f>IFERROR(__xludf.DUMMYFUNCTION("""COMPUTED_VALUE"""),"")</f>
        <v/>
      </c>
      <c r="G1296" s="5" t="str">
        <f>IFERROR(__xludf.DUMMYFUNCTION("""COMPUTED_VALUE"""),"")</f>
        <v/>
      </c>
      <c r="H1296" s="5" t="str">
        <f>IFERROR(__xludf.DUMMYFUNCTION("""COMPUTED_VALUE"""),"")</f>
        <v/>
      </c>
      <c r="I1296" s="5" t="str">
        <f>IFERROR(__xludf.DUMMYFUNCTION("""COMPUTED_VALUE"""),"")</f>
        <v/>
      </c>
      <c r="J1296" s="5" t="str">
        <f>IFERROR(__xludf.DUMMYFUNCTION("""COMPUTED_VALUE"""),"")</f>
        <v/>
      </c>
      <c r="K1296" s="5" t="str">
        <f>IFERROR(__xludf.DUMMYFUNCTION("""COMPUTED_VALUE"""),"")</f>
        <v/>
      </c>
      <c r="L1296" s="5" t="str">
        <f>IFERROR(__xludf.DUMMYFUNCTION("""COMPUTED_VALUE"""),"")</f>
        <v/>
      </c>
      <c r="M1296" s="5" t="str">
        <f>IFERROR(__xludf.DUMMYFUNCTION("""COMPUTED_VALUE"""),"")</f>
        <v/>
      </c>
      <c r="N1296" s="5" t="str">
        <f>IFERROR(__xludf.DUMMYFUNCTION("""COMPUTED_VALUE"""),"")</f>
        <v/>
      </c>
      <c r="O1296" s="5" t="str">
        <f>IFERROR(__xludf.DUMMYFUNCTION("""COMPUTED_VALUE"""),"")</f>
        <v/>
      </c>
      <c r="P1296" s="5" t="str">
        <f>IFERROR(__xludf.DUMMYFUNCTION("""COMPUTED_VALUE"""),"")</f>
        <v/>
      </c>
      <c r="Q1296" s="5" t="str">
        <f>IFERROR(__xludf.DUMMYFUNCTION("""COMPUTED_VALUE"""),"")</f>
        <v/>
      </c>
      <c r="R1296" s="5" t="str">
        <f>IFERROR(__xludf.DUMMYFUNCTION("""COMPUTED_VALUE"""),"")</f>
        <v/>
      </c>
      <c r="S1296" s="5" t="str">
        <f>IFERROR(__xludf.DUMMYFUNCTION("""COMPUTED_VALUE"""),"")</f>
        <v/>
      </c>
      <c r="T1296" s="5" t="str">
        <f>IFERROR(__xludf.DUMMYFUNCTION("""COMPUTED_VALUE"""),"")</f>
        <v/>
      </c>
      <c r="U1296" s="5" t="str">
        <f>IFERROR(__xludf.DUMMYFUNCTION("""COMPUTED_VALUE"""),"")</f>
        <v/>
      </c>
      <c r="V1296" s="5" t="str">
        <f>IFERROR(__xludf.DUMMYFUNCTION("""COMPUTED_VALUE"""),"")</f>
        <v/>
      </c>
      <c r="W1296" s="5" t="str">
        <f>IFERROR(__xludf.DUMMYFUNCTION("""COMPUTED_VALUE"""),"")</f>
        <v/>
      </c>
      <c r="X1296" s="5" t="str">
        <f>IFERROR(__xludf.DUMMYFUNCTION("""COMPUTED_VALUE"""),"")</f>
        <v/>
      </c>
      <c r="Y1296" s="5"/>
      <c r="Z1296" s="5"/>
    </row>
    <row r="1297">
      <c r="A1297" s="5"/>
      <c r="B1297" s="5" t="str">
        <f>IFERROR(__xludf.DUMMYFUNCTION("""COMPUTED_VALUE"""),"")</f>
        <v/>
      </c>
      <c r="C1297" s="5" t="str">
        <f>IFERROR(__xludf.DUMMYFUNCTION("""COMPUTED_VALUE"""),"")</f>
        <v/>
      </c>
      <c r="D1297" s="5" t="str">
        <f>IFERROR(__xludf.DUMMYFUNCTION("""COMPUTED_VALUE"""),"")</f>
        <v/>
      </c>
      <c r="E1297" s="5" t="str">
        <f>IFERROR(__xludf.DUMMYFUNCTION("""COMPUTED_VALUE"""),"")</f>
        <v/>
      </c>
      <c r="F1297" s="5" t="str">
        <f>IFERROR(__xludf.DUMMYFUNCTION("""COMPUTED_VALUE"""),"")</f>
        <v/>
      </c>
      <c r="G1297" s="5" t="str">
        <f>IFERROR(__xludf.DUMMYFUNCTION("""COMPUTED_VALUE"""),"")</f>
        <v/>
      </c>
      <c r="H1297" s="5" t="str">
        <f>IFERROR(__xludf.DUMMYFUNCTION("""COMPUTED_VALUE"""),"")</f>
        <v/>
      </c>
      <c r="I1297" s="5" t="str">
        <f>IFERROR(__xludf.DUMMYFUNCTION("""COMPUTED_VALUE"""),"")</f>
        <v/>
      </c>
      <c r="J1297" s="5" t="str">
        <f>IFERROR(__xludf.DUMMYFUNCTION("""COMPUTED_VALUE"""),"")</f>
        <v/>
      </c>
      <c r="K1297" s="5" t="str">
        <f>IFERROR(__xludf.DUMMYFUNCTION("""COMPUTED_VALUE"""),"")</f>
        <v/>
      </c>
      <c r="L1297" s="5" t="str">
        <f>IFERROR(__xludf.DUMMYFUNCTION("""COMPUTED_VALUE"""),"")</f>
        <v/>
      </c>
      <c r="M1297" s="5" t="str">
        <f>IFERROR(__xludf.DUMMYFUNCTION("""COMPUTED_VALUE"""),"")</f>
        <v/>
      </c>
      <c r="N1297" s="5" t="str">
        <f>IFERROR(__xludf.DUMMYFUNCTION("""COMPUTED_VALUE"""),"")</f>
        <v/>
      </c>
      <c r="O1297" s="5" t="str">
        <f>IFERROR(__xludf.DUMMYFUNCTION("""COMPUTED_VALUE"""),"")</f>
        <v/>
      </c>
      <c r="P1297" s="5" t="str">
        <f>IFERROR(__xludf.DUMMYFUNCTION("""COMPUTED_VALUE"""),"")</f>
        <v/>
      </c>
      <c r="Q1297" s="5" t="str">
        <f>IFERROR(__xludf.DUMMYFUNCTION("""COMPUTED_VALUE"""),"")</f>
        <v/>
      </c>
      <c r="R1297" s="5" t="str">
        <f>IFERROR(__xludf.DUMMYFUNCTION("""COMPUTED_VALUE"""),"")</f>
        <v/>
      </c>
      <c r="S1297" s="5" t="str">
        <f>IFERROR(__xludf.DUMMYFUNCTION("""COMPUTED_VALUE"""),"")</f>
        <v/>
      </c>
      <c r="T1297" s="5" t="str">
        <f>IFERROR(__xludf.DUMMYFUNCTION("""COMPUTED_VALUE"""),"")</f>
        <v/>
      </c>
      <c r="U1297" s="5" t="str">
        <f>IFERROR(__xludf.DUMMYFUNCTION("""COMPUTED_VALUE"""),"")</f>
        <v/>
      </c>
      <c r="V1297" s="5" t="str">
        <f>IFERROR(__xludf.DUMMYFUNCTION("""COMPUTED_VALUE"""),"")</f>
        <v/>
      </c>
      <c r="W1297" s="5" t="str">
        <f>IFERROR(__xludf.DUMMYFUNCTION("""COMPUTED_VALUE"""),"")</f>
        <v/>
      </c>
      <c r="X1297" s="5" t="str">
        <f>IFERROR(__xludf.DUMMYFUNCTION("""COMPUTED_VALUE"""),"")</f>
        <v/>
      </c>
      <c r="Y1297" s="5"/>
      <c r="Z1297" s="5"/>
    </row>
    <row r="1298">
      <c r="A1298" s="5"/>
      <c r="B1298" s="5" t="str">
        <f>IFERROR(__xludf.DUMMYFUNCTION("""COMPUTED_VALUE"""),"")</f>
        <v/>
      </c>
      <c r="C1298" s="5" t="str">
        <f>IFERROR(__xludf.DUMMYFUNCTION("""COMPUTED_VALUE"""),"")</f>
        <v/>
      </c>
      <c r="D1298" s="5" t="str">
        <f>IFERROR(__xludf.DUMMYFUNCTION("""COMPUTED_VALUE"""),"")</f>
        <v/>
      </c>
      <c r="E1298" s="5" t="str">
        <f>IFERROR(__xludf.DUMMYFUNCTION("""COMPUTED_VALUE"""),"")</f>
        <v/>
      </c>
      <c r="F1298" s="5" t="str">
        <f>IFERROR(__xludf.DUMMYFUNCTION("""COMPUTED_VALUE"""),"")</f>
        <v/>
      </c>
      <c r="G1298" s="5" t="str">
        <f>IFERROR(__xludf.DUMMYFUNCTION("""COMPUTED_VALUE"""),"")</f>
        <v/>
      </c>
      <c r="H1298" s="5" t="str">
        <f>IFERROR(__xludf.DUMMYFUNCTION("""COMPUTED_VALUE"""),"")</f>
        <v/>
      </c>
      <c r="I1298" s="5" t="str">
        <f>IFERROR(__xludf.DUMMYFUNCTION("""COMPUTED_VALUE"""),"")</f>
        <v/>
      </c>
      <c r="J1298" s="5" t="str">
        <f>IFERROR(__xludf.DUMMYFUNCTION("""COMPUTED_VALUE"""),"")</f>
        <v/>
      </c>
      <c r="K1298" s="5" t="str">
        <f>IFERROR(__xludf.DUMMYFUNCTION("""COMPUTED_VALUE"""),"")</f>
        <v/>
      </c>
      <c r="L1298" s="5" t="str">
        <f>IFERROR(__xludf.DUMMYFUNCTION("""COMPUTED_VALUE"""),"")</f>
        <v/>
      </c>
      <c r="M1298" s="5" t="str">
        <f>IFERROR(__xludf.DUMMYFUNCTION("""COMPUTED_VALUE"""),"")</f>
        <v/>
      </c>
      <c r="N1298" s="5" t="str">
        <f>IFERROR(__xludf.DUMMYFUNCTION("""COMPUTED_VALUE"""),"")</f>
        <v/>
      </c>
      <c r="O1298" s="5" t="str">
        <f>IFERROR(__xludf.DUMMYFUNCTION("""COMPUTED_VALUE"""),"")</f>
        <v/>
      </c>
      <c r="P1298" s="5" t="str">
        <f>IFERROR(__xludf.DUMMYFUNCTION("""COMPUTED_VALUE"""),"")</f>
        <v/>
      </c>
      <c r="Q1298" s="5" t="str">
        <f>IFERROR(__xludf.DUMMYFUNCTION("""COMPUTED_VALUE"""),"")</f>
        <v/>
      </c>
      <c r="R1298" s="5" t="str">
        <f>IFERROR(__xludf.DUMMYFUNCTION("""COMPUTED_VALUE"""),"")</f>
        <v/>
      </c>
      <c r="S1298" s="5" t="str">
        <f>IFERROR(__xludf.DUMMYFUNCTION("""COMPUTED_VALUE"""),"")</f>
        <v/>
      </c>
      <c r="T1298" s="5" t="str">
        <f>IFERROR(__xludf.DUMMYFUNCTION("""COMPUTED_VALUE"""),"")</f>
        <v/>
      </c>
      <c r="U1298" s="5" t="str">
        <f>IFERROR(__xludf.DUMMYFUNCTION("""COMPUTED_VALUE"""),"")</f>
        <v/>
      </c>
      <c r="V1298" s="5" t="str">
        <f>IFERROR(__xludf.DUMMYFUNCTION("""COMPUTED_VALUE"""),"")</f>
        <v/>
      </c>
      <c r="W1298" s="5" t="str">
        <f>IFERROR(__xludf.DUMMYFUNCTION("""COMPUTED_VALUE"""),"")</f>
        <v/>
      </c>
      <c r="X1298" s="5" t="str">
        <f>IFERROR(__xludf.DUMMYFUNCTION("""COMPUTED_VALUE"""),"")</f>
        <v/>
      </c>
      <c r="Y1298" s="5"/>
      <c r="Z1298" s="5"/>
    </row>
    <row r="1299">
      <c r="A1299" s="5"/>
      <c r="B1299" s="5" t="str">
        <f>IFERROR(__xludf.DUMMYFUNCTION("""COMPUTED_VALUE"""),"")</f>
        <v/>
      </c>
      <c r="C1299" s="5" t="str">
        <f>IFERROR(__xludf.DUMMYFUNCTION("""COMPUTED_VALUE"""),"")</f>
        <v/>
      </c>
      <c r="D1299" s="5" t="str">
        <f>IFERROR(__xludf.DUMMYFUNCTION("""COMPUTED_VALUE"""),"")</f>
        <v/>
      </c>
      <c r="E1299" s="5" t="str">
        <f>IFERROR(__xludf.DUMMYFUNCTION("""COMPUTED_VALUE"""),"")</f>
        <v/>
      </c>
      <c r="F1299" s="5" t="str">
        <f>IFERROR(__xludf.DUMMYFUNCTION("""COMPUTED_VALUE"""),"")</f>
        <v/>
      </c>
      <c r="G1299" s="5" t="str">
        <f>IFERROR(__xludf.DUMMYFUNCTION("""COMPUTED_VALUE"""),"")</f>
        <v/>
      </c>
      <c r="H1299" s="5" t="str">
        <f>IFERROR(__xludf.DUMMYFUNCTION("""COMPUTED_VALUE"""),"")</f>
        <v/>
      </c>
      <c r="I1299" s="5" t="str">
        <f>IFERROR(__xludf.DUMMYFUNCTION("""COMPUTED_VALUE"""),"")</f>
        <v/>
      </c>
      <c r="J1299" s="5" t="str">
        <f>IFERROR(__xludf.DUMMYFUNCTION("""COMPUTED_VALUE"""),"")</f>
        <v/>
      </c>
      <c r="K1299" s="5" t="str">
        <f>IFERROR(__xludf.DUMMYFUNCTION("""COMPUTED_VALUE"""),"")</f>
        <v/>
      </c>
      <c r="L1299" s="5" t="str">
        <f>IFERROR(__xludf.DUMMYFUNCTION("""COMPUTED_VALUE"""),"")</f>
        <v/>
      </c>
      <c r="M1299" s="5" t="str">
        <f>IFERROR(__xludf.DUMMYFUNCTION("""COMPUTED_VALUE"""),"")</f>
        <v/>
      </c>
      <c r="N1299" s="5" t="str">
        <f>IFERROR(__xludf.DUMMYFUNCTION("""COMPUTED_VALUE"""),"")</f>
        <v/>
      </c>
      <c r="O1299" s="5" t="str">
        <f>IFERROR(__xludf.DUMMYFUNCTION("""COMPUTED_VALUE"""),"")</f>
        <v/>
      </c>
      <c r="P1299" s="5" t="str">
        <f>IFERROR(__xludf.DUMMYFUNCTION("""COMPUTED_VALUE"""),"")</f>
        <v/>
      </c>
      <c r="Q1299" s="5" t="str">
        <f>IFERROR(__xludf.DUMMYFUNCTION("""COMPUTED_VALUE"""),"")</f>
        <v/>
      </c>
      <c r="R1299" s="5" t="str">
        <f>IFERROR(__xludf.DUMMYFUNCTION("""COMPUTED_VALUE"""),"")</f>
        <v/>
      </c>
      <c r="S1299" s="5" t="str">
        <f>IFERROR(__xludf.DUMMYFUNCTION("""COMPUTED_VALUE"""),"")</f>
        <v/>
      </c>
      <c r="T1299" s="5" t="str">
        <f>IFERROR(__xludf.DUMMYFUNCTION("""COMPUTED_VALUE"""),"")</f>
        <v/>
      </c>
      <c r="U1299" s="5" t="str">
        <f>IFERROR(__xludf.DUMMYFUNCTION("""COMPUTED_VALUE"""),"")</f>
        <v/>
      </c>
      <c r="V1299" s="5" t="str">
        <f>IFERROR(__xludf.DUMMYFUNCTION("""COMPUTED_VALUE"""),"")</f>
        <v/>
      </c>
      <c r="W1299" s="5" t="str">
        <f>IFERROR(__xludf.DUMMYFUNCTION("""COMPUTED_VALUE"""),"")</f>
        <v/>
      </c>
      <c r="X1299" s="5" t="str">
        <f>IFERROR(__xludf.DUMMYFUNCTION("""COMPUTED_VALUE"""),"")</f>
        <v/>
      </c>
      <c r="Y1299" s="5"/>
      <c r="Z1299" s="5"/>
    </row>
    <row r="1300">
      <c r="A1300" s="5"/>
      <c r="B1300" s="5" t="str">
        <f>IFERROR(__xludf.DUMMYFUNCTION("""COMPUTED_VALUE"""),"")</f>
        <v/>
      </c>
      <c r="C1300" s="5" t="str">
        <f>IFERROR(__xludf.DUMMYFUNCTION("""COMPUTED_VALUE"""),"")</f>
        <v/>
      </c>
      <c r="D1300" s="5" t="str">
        <f>IFERROR(__xludf.DUMMYFUNCTION("""COMPUTED_VALUE"""),"")</f>
        <v/>
      </c>
      <c r="E1300" s="5" t="str">
        <f>IFERROR(__xludf.DUMMYFUNCTION("""COMPUTED_VALUE"""),"")</f>
        <v/>
      </c>
      <c r="F1300" s="5" t="str">
        <f>IFERROR(__xludf.DUMMYFUNCTION("""COMPUTED_VALUE"""),"")</f>
        <v/>
      </c>
      <c r="G1300" s="5" t="str">
        <f>IFERROR(__xludf.DUMMYFUNCTION("""COMPUTED_VALUE"""),"")</f>
        <v/>
      </c>
      <c r="H1300" s="5" t="str">
        <f>IFERROR(__xludf.DUMMYFUNCTION("""COMPUTED_VALUE"""),"")</f>
        <v/>
      </c>
      <c r="I1300" s="5" t="str">
        <f>IFERROR(__xludf.DUMMYFUNCTION("""COMPUTED_VALUE"""),"")</f>
        <v/>
      </c>
      <c r="J1300" s="5" t="str">
        <f>IFERROR(__xludf.DUMMYFUNCTION("""COMPUTED_VALUE"""),"")</f>
        <v/>
      </c>
      <c r="K1300" s="5" t="str">
        <f>IFERROR(__xludf.DUMMYFUNCTION("""COMPUTED_VALUE"""),"")</f>
        <v/>
      </c>
      <c r="L1300" s="5" t="str">
        <f>IFERROR(__xludf.DUMMYFUNCTION("""COMPUTED_VALUE"""),"")</f>
        <v/>
      </c>
      <c r="M1300" s="5" t="str">
        <f>IFERROR(__xludf.DUMMYFUNCTION("""COMPUTED_VALUE"""),"")</f>
        <v/>
      </c>
      <c r="N1300" s="5" t="str">
        <f>IFERROR(__xludf.DUMMYFUNCTION("""COMPUTED_VALUE"""),"")</f>
        <v/>
      </c>
      <c r="O1300" s="5" t="str">
        <f>IFERROR(__xludf.DUMMYFUNCTION("""COMPUTED_VALUE"""),"")</f>
        <v/>
      </c>
      <c r="P1300" s="5" t="str">
        <f>IFERROR(__xludf.DUMMYFUNCTION("""COMPUTED_VALUE"""),"")</f>
        <v/>
      </c>
      <c r="Q1300" s="5" t="str">
        <f>IFERROR(__xludf.DUMMYFUNCTION("""COMPUTED_VALUE"""),"")</f>
        <v/>
      </c>
      <c r="R1300" s="5" t="str">
        <f>IFERROR(__xludf.DUMMYFUNCTION("""COMPUTED_VALUE"""),"")</f>
        <v/>
      </c>
      <c r="S1300" s="5" t="str">
        <f>IFERROR(__xludf.DUMMYFUNCTION("""COMPUTED_VALUE"""),"")</f>
        <v/>
      </c>
      <c r="T1300" s="5" t="str">
        <f>IFERROR(__xludf.DUMMYFUNCTION("""COMPUTED_VALUE"""),"")</f>
        <v/>
      </c>
      <c r="U1300" s="5" t="str">
        <f>IFERROR(__xludf.DUMMYFUNCTION("""COMPUTED_VALUE"""),"")</f>
        <v/>
      </c>
      <c r="V1300" s="5" t="str">
        <f>IFERROR(__xludf.DUMMYFUNCTION("""COMPUTED_VALUE"""),"")</f>
        <v/>
      </c>
      <c r="W1300" s="5" t="str">
        <f>IFERROR(__xludf.DUMMYFUNCTION("""COMPUTED_VALUE"""),"")</f>
        <v/>
      </c>
      <c r="X1300" s="5" t="str">
        <f>IFERROR(__xludf.DUMMYFUNCTION("""COMPUTED_VALUE"""),"")</f>
        <v/>
      </c>
      <c r="Y1300" s="5"/>
      <c r="Z1300" s="5"/>
    </row>
    <row r="1301">
      <c r="A1301" s="5"/>
      <c r="B1301" s="5" t="str">
        <f>IFERROR(__xludf.DUMMYFUNCTION("""COMPUTED_VALUE"""),"")</f>
        <v/>
      </c>
      <c r="C1301" s="5" t="str">
        <f>IFERROR(__xludf.DUMMYFUNCTION("""COMPUTED_VALUE"""),"")</f>
        <v/>
      </c>
      <c r="D1301" s="5" t="str">
        <f>IFERROR(__xludf.DUMMYFUNCTION("""COMPUTED_VALUE"""),"")</f>
        <v/>
      </c>
      <c r="E1301" s="5" t="str">
        <f>IFERROR(__xludf.DUMMYFUNCTION("""COMPUTED_VALUE"""),"")</f>
        <v/>
      </c>
      <c r="F1301" s="5" t="str">
        <f>IFERROR(__xludf.DUMMYFUNCTION("""COMPUTED_VALUE"""),"")</f>
        <v/>
      </c>
      <c r="G1301" s="5" t="str">
        <f>IFERROR(__xludf.DUMMYFUNCTION("""COMPUTED_VALUE"""),"")</f>
        <v/>
      </c>
      <c r="H1301" s="5" t="str">
        <f>IFERROR(__xludf.DUMMYFUNCTION("""COMPUTED_VALUE"""),"")</f>
        <v/>
      </c>
      <c r="I1301" s="5" t="str">
        <f>IFERROR(__xludf.DUMMYFUNCTION("""COMPUTED_VALUE"""),"")</f>
        <v/>
      </c>
      <c r="J1301" s="5" t="str">
        <f>IFERROR(__xludf.DUMMYFUNCTION("""COMPUTED_VALUE"""),"")</f>
        <v/>
      </c>
      <c r="K1301" s="5" t="str">
        <f>IFERROR(__xludf.DUMMYFUNCTION("""COMPUTED_VALUE"""),"")</f>
        <v/>
      </c>
      <c r="L1301" s="5" t="str">
        <f>IFERROR(__xludf.DUMMYFUNCTION("""COMPUTED_VALUE"""),"")</f>
        <v/>
      </c>
      <c r="M1301" s="5" t="str">
        <f>IFERROR(__xludf.DUMMYFUNCTION("""COMPUTED_VALUE"""),"")</f>
        <v/>
      </c>
      <c r="N1301" s="5" t="str">
        <f>IFERROR(__xludf.DUMMYFUNCTION("""COMPUTED_VALUE"""),"")</f>
        <v/>
      </c>
      <c r="O1301" s="5" t="str">
        <f>IFERROR(__xludf.DUMMYFUNCTION("""COMPUTED_VALUE"""),"")</f>
        <v/>
      </c>
      <c r="P1301" s="5" t="str">
        <f>IFERROR(__xludf.DUMMYFUNCTION("""COMPUTED_VALUE"""),"")</f>
        <v/>
      </c>
      <c r="Q1301" s="5" t="str">
        <f>IFERROR(__xludf.DUMMYFUNCTION("""COMPUTED_VALUE"""),"")</f>
        <v/>
      </c>
      <c r="R1301" s="5" t="str">
        <f>IFERROR(__xludf.DUMMYFUNCTION("""COMPUTED_VALUE"""),"")</f>
        <v/>
      </c>
      <c r="S1301" s="5" t="str">
        <f>IFERROR(__xludf.DUMMYFUNCTION("""COMPUTED_VALUE"""),"")</f>
        <v/>
      </c>
      <c r="T1301" s="5" t="str">
        <f>IFERROR(__xludf.DUMMYFUNCTION("""COMPUTED_VALUE"""),"")</f>
        <v/>
      </c>
      <c r="U1301" s="5" t="str">
        <f>IFERROR(__xludf.DUMMYFUNCTION("""COMPUTED_VALUE"""),"")</f>
        <v/>
      </c>
      <c r="V1301" s="5" t="str">
        <f>IFERROR(__xludf.DUMMYFUNCTION("""COMPUTED_VALUE"""),"")</f>
        <v/>
      </c>
      <c r="W1301" s="5" t="str">
        <f>IFERROR(__xludf.DUMMYFUNCTION("""COMPUTED_VALUE"""),"")</f>
        <v/>
      </c>
      <c r="X1301" s="5" t="str">
        <f>IFERROR(__xludf.DUMMYFUNCTION("""COMPUTED_VALUE"""),"")</f>
        <v/>
      </c>
      <c r="Y1301" s="5"/>
      <c r="Z1301" s="5"/>
    </row>
    <row r="1302">
      <c r="A1302" s="5"/>
      <c r="B1302" s="5" t="str">
        <f>IFERROR(__xludf.DUMMYFUNCTION("""COMPUTED_VALUE"""),"")</f>
        <v/>
      </c>
      <c r="C1302" s="5" t="str">
        <f>IFERROR(__xludf.DUMMYFUNCTION("""COMPUTED_VALUE"""),"")</f>
        <v/>
      </c>
      <c r="D1302" s="5" t="str">
        <f>IFERROR(__xludf.DUMMYFUNCTION("""COMPUTED_VALUE"""),"")</f>
        <v/>
      </c>
      <c r="E1302" s="5" t="str">
        <f>IFERROR(__xludf.DUMMYFUNCTION("""COMPUTED_VALUE"""),"")</f>
        <v/>
      </c>
      <c r="F1302" s="5" t="str">
        <f>IFERROR(__xludf.DUMMYFUNCTION("""COMPUTED_VALUE"""),"")</f>
        <v/>
      </c>
      <c r="G1302" s="5" t="str">
        <f>IFERROR(__xludf.DUMMYFUNCTION("""COMPUTED_VALUE"""),"")</f>
        <v/>
      </c>
      <c r="H1302" s="5" t="str">
        <f>IFERROR(__xludf.DUMMYFUNCTION("""COMPUTED_VALUE"""),"")</f>
        <v/>
      </c>
      <c r="I1302" s="5" t="str">
        <f>IFERROR(__xludf.DUMMYFUNCTION("""COMPUTED_VALUE"""),"")</f>
        <v/>
      </c>
      <c r="J1302" s="5" t="str">
        <f>IFERROR(__xludf.DUMMYFUNCTION("""COMPUTED_VALUE"""),"")</f>
        <v/>
      </c>
      <c r="K1302" s="5" t="str">
        <f>IFERROR(__xludf.DUMMYFUNCTION("""COMPUTED_VALUE"""),"")</f>
        <v/>
      </c>
      <c r="L1302" s="5" t="str">
        <f>IFERROR(__xludf.DUMMYFUNCTION("""COMPUTED_VALUE"""),"")</f>
        <v/>
      </c>
      <c r="M1302" s="5" t="str">
        <f>IFERROR(__xludf.DUMMYFUNCTION("""COMPUTED_VALUE"""),"")</f>
        <v/>
      </c>
      <c r="N1302" s="5" t="str">
        <f>IFERROR(__xludf.DUMMYFUNCTION("""COMPUTED_VALUE"""),"")</f>
        <v/>
      </c>
      <c r="O1302" s="5" t="str">
        <f>IFERROR(__xludf.DUMMYFUNCTION("""COMPUTED_VALUE"""),"")</f>
        <v/>
      </c>
      <c r="P1302" s="5" t="str">
        <f>IFERROR(__xludf.DUMMYFUNCTION("""COMPUTED_VALUE"""),"")</f>
        <v/>
      </c>
      <c r="Q1302" s="5" t="str">
        <f>IFERROR(__xludf.DUMMYFUNCTION("""COMPUTED_VALUE"""),"")</f>
        <v/>
      </c>
      <c r="R1302" s="5" t="str">
        <f>IFERROR(__xludf.DUMMYFUNCTION("""COMPUTED_VALUE"""),"")</f>
        <v/>
      </c>
      <c r="S1302" s="5" t="str">
        <f>IFERROR(__xludf.DUMMYFUNCTION("""COMPUTED_VALUE"""),"")</f>
        <v/>
      </c>
      <c r="T1302" s="5" t="str">
        <f>IFERROR(__xludf.DUMMYFUNCTION("""COMPUTED_VALUE"""),"")</f>
        <v/>
      </c>
      <c r="U1302" s="5" t="str">
        <f>IFERROR(__xludf.DUMMYFUNCTION("""COMPUTED_VALUE"""),"")</f>
        <v/>
      </c>
      <c r="V1302" s="5" t="str">
        <f>IFERROR(__xludf.DUMMYFUNCTION("""COMPUTED_VALUE"""),"")</f>
        <v/>
      </c>
      <c r="W1302" s="5" t="str">
        <f>IFERROR(__xludf.DUMMYFUNCTION("""COMPUTED_VALUE"""),"")</f>
        <v/>
      </c>
      <c r="X1302" s="5" t="str">
        <f>IFERROR(__xludf.DUMMYFUNCTION("""COMPUTED_VALUE"""),"")</f>
        <v/>
      </c>
      <c r="Y1302" s="5"/>
      <c r="Z1302" s="5"/>
    </row>
    <row r="1303">
      <c r="A1303" s="5"/>
      <c r="B1303" s="5" t="str">
        <f>IFERROR(__xludf.DUMMYFUNCTION("""COMPUTED_VALUE"""),"")</f>
        <v/>
      </c>
      <c r="C1303" s="5" t="str">
        <f>IFERROR(__xludf.DUMMYFUNCTION("""COMPUTED_VALUE"""),"")</f>
        <v/>
      </c>
      <c r="D1303" s="5" t="str">
        <f>IFERROR(__xludf.DUMMYFUNCTION("""COMPUTED_VALUE"""),"")</f>
        <v/>
      </c>
      <c r="E1303" s="5" t="str">
        <f>IFERROR(__xludf.DUMMYFUNCTION("""COMPUTED_VALUE"""),"")</f>
        <v/>
      </c>
      <c r="F1303" s="5" t="str">
        <f>IFERROR(__xludf.DUMMYFUNCTION("""COMPUTED_VALUE"""),"")</f>
        <v/>
      </c>
      <c r="G1303" s="5" t="str">
        <f>IFERROR(__xludf.DUMMYFUNCTION("""COMPUTED_VALUE"""),"")</f>
        <v/>
      </c>
      <c r="H1303" s="5" t="str">
        <f>IFERROR(__xludf.DUMMYFUNCTION("""COMPUTED_VALUE"""),"")</f>
        <v/>
      </c>
      <c r="I1303" s="5" t="str">
        <f>IFERROR(__xludf.DUMMYFUNCTION("""COMPUTED_VALUE"""),"")</f>
        <v/>
      </c>
      <c r="J1303" s="5" t="str">
        <f>IFERROR(__xludf.DUMMYFUNCTION("""COMPUTED_VALUE"""),"")</f>
        <v/>
      </c>
      <c r="K1303" s="5" t="str">
        <f>IFERROR(__xludf.DUMMYFUNCTION("""COMPUTED_VALUE"""),"")</f>
        <v/>
      </c>
      <c r="L1303" s="5" t="str">
        <f>IFERROR(__xludf.DUMMYFUNCTION("""COMPUTED_VALUE"""),"")</f>
        <v/>
      </c>
      <c r="M1303" s="5" t="str">
        <f>IFERROR(__xludf.DUMMYFUNCTION("""COMPUTED_VALUE"""),"")</f>
        <v/>
      </c>
      <c r="N1303" s="5" t="str">
        <f>IFERROR(__xludf.DUMMYFUNCTION("""COMPUTED_VALUE"""),"")</f>
        <v/>
      </c>
      <c r="O1303" s="5" t="str">
        <f>IFERROR(__xludf.DUMMYFUNCTION("""COMPUTED_VALUE"""),"")</f>
        <v/>
      </c>
      <c r="P1303" s="5" t="str">
        <f>IFERROR(__xludf.DUMMYFUNCTION("""COMPUTED_VALUE"""),"")</f>
        <v/>
      </c>
      <c r="Q1303" s="5" t="str">
        <f>IFERROR(__xludf.DUMMYFUNCTION("""COMPUTED_VALUE"""),"")</f>
        <v/>
      </c>
      <c r="R1303" s="5" t="str">
        <f>IFERROR(__xludf.DUMMYFUNCTION("""COMPUTED_VALUE"""),"")</f>
        <v/>
      </c>
      <c r="S1303" s="5" t="str">
        <f>IFERROR(__xludf.DUMMYFUNCTION("""COMPUTED_VALUE"""),"")</f>
        <v/>
      </c>
      <c r="T1303" s="5" t="str">
        <f>IFERROR(__xludf.DUMMYFUNCTION("""COMPUTED_VALUE"""),"")</f>
        <v/>
      </c>
      <c r="U1303" s="5" t="str">
        <f>IFERROR(__xludf.DUMMYFUNCTION("""COMPUTED_VALUE"""),"")</f>
        <v/>
      </c>
      <c r="V1303" s="5" t="str">
        <f>IFERROR(__xludf.DUMMYFUNCTION("""COMPUTED_VALUE"""),"")</f>
        <v/>
      </c>
      <c r="W1303" s="5" t="str">
        <f>IFERROR(__xludf.DUMMYFUNCTION("""COMPUTED_VALUE"""),"")</f>
        <v/>
      </c>
      <c r="X1303" s="5" t="str">
        <f>IFERROR(__xludf.DUMMYFUNCTION("""COMPUTED_VALUE"""),"")</f>
        <v/>
      </c>
      <c r="Y1303" s="5"/>
      <c r="Z1303" s="5"/>
    </row>
    <row r="1304">
      <c r="A1304" s="5"/>
      <c r="B1304" s="5" t="str">
        <f>IFERROR(__xludf.DUMMYFUNCTION("""COMPUTED_VALUE"""),"")</f>
        <v/>
      </c>
      <c r="C1304" s="5" t="str">
        <f>IFERROR(__xludf.DUMMYFUNCTION("""COMPUTED_VALUE"""),"")</f>
        <v/>
      </c>
      <c r="D1304" s="5" t="str">
        <f>IFERROR(__xludf.DUMMYFUNCTION("""COMPUTED_VALUE"""),"")</f>
        <v/>
      </c>
      <c r="E1304" s="5" t="str">
        <f>IFERROR(__xludf.DUMMYFUNCTION("""COMPUTED_VALUE"""),"")</f>
        <v/>
      </c>
      <c r="F1304" s="5" t="str">
        <f>IFERROR(__xludf.DUMMYFUNCTION("""COMPUTED_VALUE"""),"")</f>
        <v/>
      </c>
      <c r="G1304" s="5" t="str">
        <f>IFERROR(__xludf.DUMMYFUNCTION("""COMPUTED_VALUE"""),"")</f>
        <v/>
      </c>
      <c r="H1304" s="5" t="str">
        <f>IFERROR(__xludf.DUMMYFUNCTION("""COMPUTED_VALUE"""),"")</f>
        <v/>
      </c>
      <c r="I1304" s="5" t="str">
        <f>IFERROR(__xludf.DUMMYFUNCTION("""COMPUTED_VALUE"""),"")</f>
        <v/>
      </c>
      <c r="J1304" s="5" t="str">
        <f>IFERROR(__xludf.DUMMYFUNCTION("""COMPUTED_VALUE"""),"")</f>
        <v/>
      </c>
      <c r="K1304" s="5" t="str">
        <f>IFERROR(__xludf.DUMMYFUNCTION("""COMPUTED_VALUE"""),"")</f>
        <v/>
      </c>
      <c r="L1304" s="5" t="str">
        <f>IFERROR(__xludf.DUMMYFUNCTION("""COMPUTED_VALUE"""),"")</f>
        <v/>
      </c>
      <c r="M1304" s="5" t="str">
        <f>IFERROR(__xludf.DUMMYFUNCTION("""COMPUTED_VALUE"""),"")</f>
        <v/>
      </c>
      <c r="N1304" s="5" t="str">
        <f>IFERROR(__xludf.DUMMYFUNCTION("""COMPUTED_VALUE"""),"")</f>
        <v/>
      </c>
      <c r="O1304" s="5" t="str">
        <f>IFERROR(__xludf.DUMMYFUNCTION("""COMPUTED_VALUE"""),"")</f>
        <v/>
      </c>
      <c r="P1304" s="5" t="str">
        <f>IFERROR(__xludf.DUMMYFUNCTION("""COMPUTED_VALUE"""),"")</f>
        <v/>
      </c>
      <c r="Q1304" s="5" t="str">
        <f>IFERROR(__xludf.DUMMYFUNCTION("""COMPUTED_VALUE"""),"")</f>
        <v/>
      </c>
      <c r="R1304" s="5" t="str">
        <f>IFERROR(__xludf.DUMMYFUNCTION("""COMPUTED_VALUE"""),"")</f>
        <v/>
      </c>
      <c r="S1304" s="5" t="str">
        <f>IFERROR(__xludf.DUMMYFUNCTION("""COMPUTED_VALUE"""),"")</f>
        <v/>
      </c>
      <c r="T1304" s="5" t="str">
        <f>IFERROR(__xludf.DUMMYFUNCTION("""COMPUTED_VALUE"""),"")</f>
        <v/>
      </c>
      <c r="U1304" s="5" t="str">
        <f>IFERROR(__xludf.DUMMYFUNCTION("""COMPUTED_VALUE"""),"")</f>
        <v/>
      </c>
      <c r="V1304" s="5" t="str">
        <f>IFERROR(__xludf.DUMMYFUNCTION("""COMPUTED_VALUE"""),"")</f>
        <v/>
      </c>
      <c r="W1304" s="5" t="str">
        <f>IFERROR(__xludf.DUMMYFUNCTION("""COMPUTED_VALUE"""),"")</f>
        <v/>
      </c>
      <c r="X1304" s="5" t="str">
        <f>IFERROR(__xludf.DUMMYFUNCTION("""COMPUTED_VALUE"""),"")</f>
        <v/>
      </c>
      <c r="Y1304" s="5"/>
      <c r="Z1304" s="5"/>
    </row>
    <row r="1305">
      <c r="A1305" s="5"/>
      <c r="B1305" s="5" t="str">
        <f>IFERROR(__xludf.DUMMYFUNCTION("""COMPUTED_VALUE"""),"")</f>
        <v/>
      </c>
      <c r="C1305" s="5" t="str">
        <f>IFERROR(__xludf.DUMMYFUNCTION("""COMPUTED_VALUE"""),"")</f>
        <v/>
      </c>
      <c r="D1305" s="5" t="str">
        <f>IFERROR(__xludf.DUMMYFUNCTION("""COMPUTED_VALUE"""),"")</f>
        <v/>
      </c>
      <c r="E1305" s="5" t="str">
        <f>IFERROR(__xludf.DUMMYFUNCTION("""COMPUTED_VALUE"""),"")</f>
        <v/>
      </c>
      <c r="F1305" s="5" t="str">
        <f>IFERROR(__xludf.DUMMYFUNCTION("""COMPUTED_VALUE"""),"")</f>
        <v/>
      </c>
      <c r="G1305" s="5" t="str">
        <f>IFERROR(__xludf.DUMMYFUNCTION("""COMPUTED_VALUE"""),"")</f>
        <v/>
      </c>
      <c r="H1305" s="5" t="str">
        <f>IFERROR(__xludf.DUMMYFUNCTION("""COMPUTED_VALUE"""),"")</f>
        <v/>
      </c>
      <c r="I1305" s="5" t="str">
        <f>IFERROR(__xludf.DUMMYFUNCTION("""COMPUTED_VALUE"""),"")</f>
        <v/>
      </c>
      <c r="J1305" s="5" t="str">
        <f>IFERROR(__xludf.DUMMYFUNCTION("""COMPUTED_VALUE"""),"")</f>
        <v/>
      </c>
      <c r="K1305" s="5" t="str">
        <f>IFERROR(__xludf.DUMMYFUNCTION("""COMPUTED_VALUE"""),"")</f>
        <v/>
      </c>
      <c r="L1305" s="5" t="str">
        <f>IFERROR(__xludf.DUMMYFUNCTION("""COMPUTED_VALUE"""),"")</f>
        <v/>
      </c>
      <c r="M1305" s="5" t="str">
        <f>IFERROR(__xludf.DUMMYFUNCTION("""COMPUTED_VALUE"""),"")</f>
        <v/>
      </c>
      <c r="N1305" s="5" t="str">
        <f>IFERROR(__xludf.DUMMYFUNCTION("""COMPUTED_VALUE"""),"")</f>
        <v/>
      </c>
      <c r="O1305" s="5" t="str">
        <f>IFERROR(__xludf.DUMMYFUNCTION("""COMPUTED_VALUE"""),"")</f>
        <v/>
      </c>
      <c r="P1305" s="5" t="str">
        <f>IFERROR(__xludf.DUMMYFUNCTION("""COMPUTED_VALUE"""),"")</f>
        <v/>
      </c>
      <c r="Q1305" s="5" t="str">
        <f>IFERROR(__xludf.DUMMYFUNCTION("""COMPUTED_VALUE"""),"")</f>
        <v/>
      </c>
      <c r="R1305" s="5" t="str">
        <f>IFERROR(__xludf.DUMMYFUNCTION("""COMPUTED_VALUE"""),"")</f>
        <v/>
      </c>
      <c r="S1305" s="5" t="str">
        <f>IFERROR(__xludf.DUMMYFUNCTION("""COMPUTED_VALUE"""),"")</f>
        <v/>
      </c>
      <c r="T1305" s="5" t="str">
        <f>IFERROR(__xludf.DUMMYFUNCTION("""COMPUTED_VALUE"""),"")</f>
        <v/>
      </c>
      <c r="U1305" s="5" t="str">
        <f>IFERROR(__xludf.DUMMYFUNCTION("""COMPUTED_VALUE"""),"")</f>
        <v/>
      </c>
      <c r="V1305" s="5" t="str">
        <f>IFERROR(__xludf.DUMMYFUNCTION("""COMPUTED_VALUE"""),"")</f>
        <v/>
      </c>
      <c r="W1305" s="5" t="str">
        <f>IFERROR(__xludf.DUMMYFUNCTION("""COMPUTED_VALUE"""),"")</f>
        <v/>
      </c>
      <c r="X1305" s="5" t="str">
        <f>IFERROR(__xludf.DUMMYFUNCTION("""COMPUTED_VALUE"""),"")</f>
        <v/>
      </c>
      <c r="Y1305" s="5"/>
      <c r="Z1305" s="5"/>
    </row>
    <row r="1306">
      <c r="A1306" s="5"/>
      <c r="B1306" s="5" t="str">
        <f>IFERROR(__xludf.DUMMYFUNCTION("""COMPUTED_VALUE"""),"")</f>
        <v/>
      </c>
      <c r="C1306" s="5" t="str">
        <f>IFERROR(__xludf.DUMMYFUNCTION("""COMPUTED_VALUE"""),"")</f>
        <v/>
      </c>
      <c r="D1306" s="5" t="str">
        <f>IFERROR(__xludf.DUMMYFUNCTION("""COMPUTED_VALUE"""),"")</f>
        <v/>
      </c>
      <c r="E1306" s="5" t="str">
        <f>IFERROR(__xludf.DUMMYFUNCTION("""COMPUTED_VALUE"""),"")</f>
        <v/>
      </c>
      <c r="F1306" s="5" t="str">
        <f>IFERROR(__xludf.DUMMYFUNCTION("""COMPUTED_VALUE"""),"")</f>
        <v/>
      </c>
      <c r="G1306" s="5" t="str">
        <f>IFERROR(__xludf.DUMMYFUNCTION("""COMPUTED_VALUE"""),"")</f>
        <v/>
      </c>
      <c r="H1306" s="5" t="str">
        <f>IFERROR(__xludf.DUMMYFUNCTION("""COMPUTED_VALUE"""),"")</f>
        <v/>
      </c>
      <c r="I1306" s="5" t="str">
        <f>IFERROR(__xludf.DUMMYFUNCTION("""COMPUTED_VALUE"""),"")</f>
        <v/>
      </c>
      <c r="J1306" s="5" t="str">
        <f>IFERROR(__xludf.DUMMYFUNCTION("""COMPUTED_VALUE"""),"")</f>
        <v/>
      </c>
      <c r="K1306" s="5" t="str">
        <f>IFERROR(__xludf.DUMMYFUNCTION("""COMPUTED_VALUE"""),"")</f>
        <v/>
      </c>
      <c r="L1306" s="5" t="str">
        <f>IFERROR(__xludf.DUMMYFUNCTION("""COMPUTED_VALUE"""),"")</f>
        <v/>
      </c>
      <c r="M1306" s="5" t="str">
        <f>IFERROR(__xludf.DUMMYFUNCTION("""COMPUTED_VALUE"""),"")</f>
        <v/>
      </c>
      <c r="N1306" s="5" t="str">
        <f>IFERROR(__xludf.DUMMYFUNCTION("""COMPUTED_VALUE"""),"")</f>
        <v/>
      </c>
      <c r="O1306" s="5" t="str">
        <f>IFERROR(__xludf.DUMMYFUNCTION("""COMPUTED_VALUE"""),"")</f>
        <v/>
      </c>
      <c r="P1306" s="5" t="str">
        <f>IFERROR(__xludf.DUMMYFUNCTION("""COMPUTED_VALUE"""),"")</f>
        <v/>
      </c>
      <c r="Q1306" s="5" t="str">
        <f>IFERROR(__xludf.DUMMYFUNCTION("""COMPUTED_VALUE"""),"")</f>
        <v/>
      </c>
      <c r="R1306" s="5" t="str">
        <f>IFERROR(__xludf.DUMMYFUNCTION("""COMPUTED_VALUE"""),"")</f>
        <v/>
      </c>
      <c r="S1306" s="5" t="str">
        <f>IFERROR(__xludf.DUMMYFUNCTION("""COMPUTED_VALUE"""),"")</f>
        <v/>
      </c>
      <c r="T1306" s="5" t="str">
        <f>IFERROR(__xludf.DUMMYFUNCTION("""COMPUTED_VALUE"""),"")</f>
        <v/>
      </c>
      <c r="U1306" s="5" t="str">
        <f>IFERROR(__xludf.DUMMYFUNCTION("""COMPUTED_VALUE"""),"")</f>
        <v/>
      </c>
      <c r="V1306" s="5" t="str">
        <f>IFERROR(__xludf.DUMMYFUNCTION("""COMPUTED_VALUE"""),"")</f>
        <v/>
      </c>
      <c r="W1306" s="5" t="str">
        <f>IFERROR(__xludf.DUMMYFUNCTION("""COMPUTED_VALUE"""),"")</f>
        <v/>
      </c>
      <c r="X1306" s="5" t="str">
        <f>IFERROR(__xludf.DUMMYFUNCTION("""COMPUTED_VALUE"""),"")</f>
        <v/>
      </c>
      <c r="Y1306" s="5"/>
      <c r="Z1306" s="5"/>
    </row>
    <row r="1307">
      <c r="A1307" s="5"/>
      <c r="B1307" s="5" t="str">
        <f>IFERROR(__xludf.DUMMYFUNCTION("""COMPUTED_VALUE"""),"")</f>
        <v/>
      </c>
      <c r="C1307" s="5" t="str">
        <f>IFERROR(__xludf.DUMMYFUNCTION("""COMPUTED_VALUE"""),"")</f>
        <v/>
      </c>
      <c r="D1307" s="5" t="str">
        <f>IFERROR(__xludf.DUMMYFUNCTION("""COMPUTED_VALUE"""),"")</f>
        <v/>
      </c>
      <c r="E1307" s="5" t="str">
        <f>IFERROR(__xludf.DUMMYFUNCTION("""COMPUTED_VALUE"""),"")</f>
        <v/>
      </c>
      <c r="F1307" s="5" t="str">
        <f>IFERROR(__xludf.DUMMYFUNCTION("""COMPUTED_VALUE"""),"")</f>
        <v/>
      </c>
      <c r="G1307" s="5" t="str">
        <f>IFERROR(__xludf.DUMMYFUNCTION("""COMPUTED_VALUE"""),"")</f>
        <v/>
      </c>
      <c r="H1307" s="5" t="str">
        <f>IFERROR(__xludf.DUMMYFUNCTION("""COMPUTED_VALUE"""),"")</f>
        <v/>
      </c>
      <c r="I1307" s="5" t="str">
        <f>IFERROR(__xludf.DUMMYFUNCTION("""COMPUTED_VALUE"""),"")</f>
        <v/>
      </c>
      <c r="J1307" s="5" t="str">
        <f>IFERROR(__xludf.DUMMYFUNCTION("""COMPUTED_VALUE"""),"")</f>
        <v/>
      </c>
      <c r="K1307" s="5" t="str">
        <f>IFERROR(__xludf.DUMMYFUNCTION("""COMPUTED_VALUE"""),"")</f>
        <v/>
      </c>
      <c r="L1307" s="5" t="str">
        <f>IFERROR(__xludf.DUMMYFUNCTION("""COMPUTED_VALUE"""),"")</f>
        <v/>
      </c>
      <c r="M1307" s="5" t="str">
        <f>IFERROR(__xludf.DUMMYFUNCTION("""COMPUTED_VALUE"""),"")</f>
        <v/>
      </c>
      <c r="N1307" s="5" t="str">
        <f>IFERROR(__xludf.DUMMYFUNCTION("""COMPUTED_VALUE"""),"")</f>
        <v/>
      </c>
      <c r="O1307" s="5" t="str">
        <f>IFERROR(__xludf.DUMMYFUNCTION("""COMPUTED_VALUE"""),"")</f>
        <v/>
      </c>
      <c r="P1307" s="5" t="str">
        <f>IFERROR(__xludf.DUMMYFUNCTION("""COMPUTED_VALUE"""),"")</f>
        <v/>
      </c>
      <c r="Q1307" s="5" t="str">
        <f>IFERROR(__xludf.DUMMYFUNCTION("""COMPUTED_VALUE"""),"")</f>
        <v/>
      </c>
      <c r="R1307" s="5" t="str">
        <f>IFERROR(__xludf.DUMMYFUNCTION("""COMPUTED_VALUE"""),"")</f>
        <v/>
      </c>
      <c r="S1307" s="5" t="str">
        <f>IFERROR(__xludf.DUMMYFUNCTION("""COMPUTED_VALUE"""),"")</f>
        <v/>
      </c>
      <c r="T1307" s="5" t="str">
        <f>IFERROR(__xludf.DUMMYFUNCTION("""COMPUTED_VALUE"""),"")</f>
        <v/>
      </c>
      <c r="U1307" s="5" t="str">
        <f>IFERROR(__xludf.DUMMYFUNCTION("""COMPUTED_VALUE"""),"")</f>
        <v/>
      </c>
      <c r="V1307" s="5" t="str">
        <f>IFERROR(__xludf.DUMMYFUNCTION("""COMPUTED_VALUE"""),"")</f>
        <v/>
      </c>
      <c r="W1307" s="5" t="str">
        <f>IFERROR(__xludf.DUMMYFUNCTION("""COMPUTED_VALUE"""),"")</f>
        <v/>
      </c>
      <c r="X1307" s="5" t="str">
        <f>IFERROR(__xludf.DUMMYFUNCTION("""COMPUTED_VALUE"""),"")</f>
        <v/>
      </c>
      <c r="Y1307" s="5"/>
      <c r="Z1307" s="5"/>
    </row>
    <row r="1308">
      <c r="A1308" s="5"/>
      <c r="B1308" s="5" t="str">
        <f>IFERROR(__xludf.DUMMYFUNCTION("""COMPUTED_VALUE"""),"")</f>
        <v/>
      </c>
      <c r="C1308" s="5" t="str">
        <f>IFERROR(__xludf.DUMMYFUNCTION("""COMPUTED_VALUE"""),"")</f>
        <v/>
      </c>
      <c r="D1308" s="5" t="str">
        <f>IFERROR(__xludf.DUMMYFUNCTION("""COMPUTED_VALUE"""),"")</f>
        <v/>
      </c>
      <c r="E1308" s="5" t="str">
        <f>IFERROR(__xludf.DUMMYFUNCTION("""COMPUTED_VALUE"""),"")</f>
        <v/>
      </c>
      <c r="F1308" s="5" t="str">
        <f>IFERROR(__xludf.DUMMYFUNCTION("""COMPUTED_VALUE"""),"")</f>
        <v/>
      </c>
      <c r="G1308" s="5" t="str">
        <f>IFERROR(__xludf.DUMMYFUNCTION("""COMPUTED_VALUE"""),"")</f>
        <v/>
      </c>
      <c r="H1308" s="5" t="str">
        <f>IFERROR(__xludf.DUMMYFUNCTION("""COMPUTED_VALUE"""),"")</f>
        <v/>
      </c>
      <c r="I1308" s="5" t="str">
        <f>IFERROR(__xludf.DUMMYFUNCTION("""COMPUTED_VALUE"""),"")</f>
        <v/>
      </c>
      <c r="J1308" s="5" t="str">
        <f>IFERROR(__xludf.DUMMYFUNCTION("""COMPUTED_VALUE"""),"")</f>
        <v/>
      </c>
      <c r="K1308" s="5" t="str">
        <f>IFERROR(__xludf.DUMMYFUNCTION("""COMPUTED_VALUE"""),"")</f>
        <v/>
      </c>
      <c r="L1308" s="5" t="str">
        <f>IFERROR(__xludf.DUMMYFUNCTION("""COMPUTED_VALUE"""),"")</f>
        <v/>
      </c>
      <c r="M1308" s="5" t="str">
        <f>IFERROR(__xludf.DUMMYFUNCTION("""COMPUTED_VALUE"""),"")</f>
        <v/>
      </c>
      <c r="N1308" s="5" t="str">
        <f>IFERROR(__xludf.DUMMYFUNCTION("""COMPUTED_VALUE"""),"")</f>
        <v/>
      </c>
      <c r="O1308" s="5" t="str">
        <f>IFERROR(__xludf.DUMMYFUNCTION("""COMPUTED_VALUE"""),"")</f>
        <v/>
      </c>
      <c r="P1308" s="5" t="str">
        <f>IFERROR(__xludf.DUMMYFUNCTION("""COMPUTED_VALUE"""),"")</f>
        <v/>
      </c>
      <c r="Q1308" s="5" t="str">
        <f>IFERROR(__xludf.DUMMYFUNCTION("""COMPUTED_VALUE"""),"")</f>
        <v/>
      </c>
      <c r="R1308" s="5" t="str">
        <f>IFERROR(__xludf.DUMMYFUNCTION("""COMPUTED_VALUE"""),"")</f>
        <v/>
      </c>
      <c r="S1308" s="5" t="str">
        <f>IFERROR(__xludf.DUMMYFUNCTION("""COMPUTED_VALUE"""),"")</f>
        <v/>
      </c>
      <c r="T1308" s="5" t="str">
        <f>IFERROR(__xludf.DUMMYFUNCTION("""COMPUTED_VALUE"""),"")</f>
        <v/>
      </c>
      <c r="U1308" s="5" t="str">
        <f>IFERROR(__xludf.DUMMYFUNCTION("""COMPUTED_VALUE"""),"")</f>
        <v/>
      </c>
      <c r="V1308" s="5" t="str">
        <f>IFERROR(__xludf.DUMMYFUNCTION("""COMPUTED_VALUE"""),"")</f>
        <v/>
      </c>
      <c r="W1308" s="5" t="str">
        <f>IFERROR(__xludf.DUMMYFUNCTION("""COMPUTED_VALUE"""),"")</f>
        <v/>
      </c>
      <c r="X1308" s="5" t="str">
        <f>IFERROR(__xludf.DUMMYFUNCTION("""COMPUTED_VALUE"""),"")</f>
        <v/>
      </c>
      <c r="Y1308" s="5"/>
      <c r="Z1308" s="5"/>
    </row>
    <row r="1309">
      <c r="A1309" s="5"/>
      <c r="B1309" s="5" t="str">
        <f>IFERROR(__xludf.DUMMYFUNCTION("""COMPUTED_VALUE"""),"")</f>
        <v/>
      </c>
      <c r="C1309" s="5" t="str">
        <f>IFERROR(__xludf.DUMMYFUNCTION("""COMPUTED_VALUE"""),"")</f>
        <v/>
      </c>
      <c r="D1309" s="5" t="str">
        <f>IFERROR(__xludf.DUMMYFUNCTION("""COMPUTED_VALUE"""),"")</f>
        <v/>
      </c>
      <c r="E1309" s="5" t="str">
        <f>IFERROR(__xludf.DUMMYFUNCTION("""COMPUTED_VALUE"""),"")</f>
        <v/>
      </c>
      <c r="F1309" s="5" t="str">
        <f>IFERROR(__xludf.DUMMYFUNCTION("""COMPUTED_VALUE"""),"")</f>
        <v/>
      </c>
      <c r="G1309" s="5" t="str">
        <f>IFERROR(__xludf.DUMMYFUNCTION("""COMPUTED_VALUE"""),"")</f>
        <v/>
      </c>
      <c r="H1309" s="5" t="str">
        <f>IFERROR(__xludf.DUMMYFUNCTION("""COMPUTED_VALUE"""),"")</f>
        <v/>
      </c>
      <c r="I1309" s="5" t="str">
        <f>IFERROR(__xludf.DUMMYFUNCTION("""COMPUTED_VALUE"""),"")</f>
        <v/>
      </c>
      <c r="J1309" s="5" t="str">
        <f>IFERROR(__xludf.DUMMYFUNCTION("""COMPUTED_VALUE"""),"")</f>
        <v/>
      </c>
      <c r="K1309" s="5" t="str">
        <f>IFERROR(__xludf.DUMMYFUNCTION("""COMPUTED_VALUE"""),"")</f>
        <v/>
      </c>
      <c r="L1309" s="5" t="str">
        <f>IFERROR(__xludf.DUMMYFUNCTION("""COMPUTED_VALUE"""),"")</f>
        <v/>
      </c>
      <c r="M1309" s="5" t="str">
        <f>IFERROR(__xludf.DUMMYFUNCTION("""COMPUTED_VALUE"""),"")</f>
        <v/>
      </c>
      <c r="N1309" s="5" t="str">
        <f>IFERROR(__xludf.DUMMYFUNCTION("""COMPUTED_VALUE"""),"")</f>
        <v/>
      </c>
      <c r="O1309" s="5" t="str">
        <f>IFERROR(__xludf.DUMMYFUNCTION("""COMPUTED_VALUE"""),"")</f>
        <v/>
      </c>
      <c r="P1309" s="5" t="str">
        <f>IFERROR(__xludf.DUMMYFUNCTION("""COMPUTED_VALUE"""),"")</f>
        <v/>
      </c>
      <c r="Q1309" s="5" t="str">
        <f>IFERROR(__xludf.DUMMYFUNCTION("""COMPUTED_VALUE"""),"")</f>
        <v/>
      </c>
      <c r="R1309" s="5" t="str">
        <f>IFERROR(__xludf.DUMMYFUNCTION("""COMPUTED_VALUE"""),"")</f>
        <v/>
      </c>
      <c r="S1309" s="5" t="str">
        <f>IFERROR(__xludf.DUMMYFUNCTION("""COMPUTED_VALUE"""),"")</f>
        <v/>
      </c>
      <c r="T1309" s="5" t="str">
        <f>IFERROR(__xludf.DUMMYFUNCTION("""COMPUTED_VALUE"""),"")</f>
        <v/>
      </c>
      <c r="U1309" s="5" t="str">
        <f>IFERROR(__xludf.DUMMYFUNCTION("""COMPUTED_VALUE"""),"")</f>
        <v/>
      </c>
      <c r="V1309" s="5" t="str">
        <f>IFERROR(__xludf.DUMMYFUNCTION("""COMPUTED_VALUE"""),"")</f>
        <v/>
      </c>
      <c r="W1309" s="5" t="str">
        <f>IFERROR(__xludf.DUMMYFUNCTION("""COMPUTED_VALUE"""),"")</f>
        <v/>
      </c>
      <c r="X1309" s="5" t="str">
        <f>IFERROR(__xludf.DUMMYFUNCTION("""COMPUTED_VALUE"""),"")</f>
        <v/>
      </c>
      <c r="Y1309" s="5"/>
      <c r="Z1309" s="5"/>
    </row>
    <row r="1310">
      <c r="A1310" s="5"/>
      <c r="B1310" s="5" t="str">
        <f>IFERROR(__xludf.DUMMYFUNCTION("""COMPUTED_VALUE"""),"")</f>
        <v/>
      </c>
      <c r="C1310" s="5" t="str">
        <f>IFERROR(__xludf.DUMMYFUNCTION("""COMPUTED_VALUE"""),"")</f>
        <v/>
      </c>
      <c r="D1310" s="5" t="str">
        <f>IFERROR(__xludf.DUMMYFUNCTION("""COMPUTED_VALUE"""),"")</f>
        <v/>
      </c>
      <c r="E1310" s="5" t="str">
        <f>IFERROR(__xludf.DUMMYFUNCTION("""COMPUTED_VALUE"""),"")</f>
        <v/>
      </c>
      <c r="F1310" s="5" t="str">
        <f>IFERROR(__xludf.DUMMYFUNCTION("""COMPUTED_VALUE"""),"")</f>
        <v/>
      </c>
      <c r="G1310" s="5" t="str">
        <f>IFERROR(__xludf.DUMMYFUNCTION("""COMPUTED_VALUE"""),"")</f>
        <v/>
      </c>
      <c r="H1310" s="5" t="str">
        <f>IFERROR(__xludf.DUMMYFUNCTION("""COMPUTED_VALUE"""),"")</f>
        <v/>
      </c>
      <c r="I1310" s="5" t="str">
        <f>IFERROR(__xludf.DUMMYFUNCTION("""COMPUTED_VALUE"""),"")</f>
        <v/>
      </c>
      <c r="J1310" s="5" t="str">
        <f>IFERROR(__xludf.DUMMYFUNCTION("""COMPUTED_VALUE"""),"")</f>
        <v/>
      </c>
      <c r="K1310" s="5" t="str">
        <f>IFERROR(__xludf.DUMMYFUNCTION("""COMPUTED_VALUE"""),"")</f>
        <v/>
      </c>
      <c r="L1310" s="5" t="str">
        <f>IFERROR(__xludf.DUMMYFUNCTION("""COMPUTED_VALUE"""),"")</f>
        <v/>
      </c>
      <c r="M1310" s="5" t="str">
        <f>IFERROR(__xludf.DUMMYFUNCTION("""COMPUTED_VALUE"""),"")</f>
        <v/>
      </c>
      <c r="N1310" s="5" t="str">
        <f>IFERROR(__xludf.DUMMYFUNCTION("""COMPUTED_VALUE"""),"")</f>
        <v/>
      </c>
      <c r="O1310" s="5" t="str">
        <f>IFERROR(__xludf.DUMMYFUNCTION("""COMPUTED_VALUE"""),"")</f>
        <v/>
      </c>
      <c r="P1310" s="5" t="str">
        <f>IFERROR(__xludf.DUMMYFUNCTION("""COMPUTED_VALUE"""),"")</f>
        <v/>
      </c>
      <c r="Q1310" s="5" t="str">
        <f>IFERROR(__xludf.DUMMYFUNCTION("""COMPUTED_VALUE"""),"")</f>
        <v/>
      </c>
      <c r="R1310" s="5" t="str">
        <f>IFERROR(__xludf.DUMMYFUNCTION("""COMPUTED_VALUE"""),"")</f>
        <v/>
      </c>
      <c r="S1310" s="5" t="str">
        <f>IFERROR(__xludf.DUMMYFUNCTION("""COMPUTED_VALUE"""),"")</f>
        <v/>
      </c>
      <c r="T1310" s="5" t="str">
        <f>IFERROR(__xludf.DUMMYFUNCTION("""COMPUTED_VALUE"""),"")</f>
        <v/>
      </c>
      <c r="U1310" s="5" t="str">
        <f>IFERROR(__xludf.DUMMYFUNCTION("""COMPUTED_VALUE"""),"")</f>
        <v/>
      </c>
      <c r="V1310" s="5" t="str">
        <f>IFERROR(__xludf.DUMMYFUNCTION("""COMPUTED_VALUE"""),"")</f>
        <v/>
      </c>
      <c r="W1310" s="5" t="str">
        <f>IFERROR(__xludf.DUMMYFUNCTION("""COMPUTED_VALUE"""),"")</f>
        <v/>
      </c>
      <c r="X1310" s="5" t="str">
        <f>IFERROR(__xludf.DUMMYFUNCTION("""COMPUTED_VALUE"""),"")</f>
        <v/>
      </c>
      <c r="Y1310" s="5"/>
      <c r="Z1310" s="5"/>
    </row>
    <row r="1311">
      <c r="A1311" s="5"/>
      <c r="B1311" s="5" t="str">
        <f>IFERROR(__xludf.DUMMYFUNCTION("""COMPUTED_VALUE"""),"")</f>
        <v/>
      </c>
      <c r="C1311" s="5" t="str">
        <f>IFERROR(__xludf.DUMMYFUNCTION("""COMPUTED_VALUE"""),"")</f>
        <v/>
      </c>
      <c r="D1311" s="5" t="str">
        <f>IFERROR(__xludf.DUMMYFUNCTION("""COMPUTED_VALUE"""),"")</f>
        <v/>
      </c>
      <c r="E1311" s="5" t="str">
        <f>IFERROR(__xludf.DUMMYFUNCTION("""COMPUTED_VALUE"""),"")</f>
        <v/>
      </c>
      <c r="F1311" s="5" t="str">
        <f>IFERROR(__xludf.DUMMYFUNCTION("""COMPUTED_VALUE"""),"")</f>
        <v/>
      </c>
      <c r="G1311" s="5" t="str">
        <f>IFERROR(__xludf.DUMMYFUNCTION("""COMPUTED_VALUE"""),"")</f>
        <v/>
      </c>
      <c r="H1311" s="5" t="str">
        <f>IFERROR(__xludf.DUMMYFUNCTION("""COMPUTED_VALUE"""),"")</f>
        <v/>
      </c>
      <c r="I1311" s="5" t="str">
        <f>IFERROR(__xludf.DUMMYFUNCTION("""COMPUTED_VALUE"""),"")</f>
        <v/>
      </c>
      <c r="J1311" s="5" t="str">
        <f>IFERROR(__xludf.DUMMYFUNCTION("""COMPUTED_VALUE"""),"")</f>
        <v/>
      </c>
      <c r="K1311" s="5" t="str">
        <f>IFERROR(__xludf.DUMMYFUNCTION("""COMPUTED_VALUE"""),"")</f>
        <v/>
      </c>
      <c r="L1311" s="5" t="str">
        <f>IFERROR(__xludf.DUMMYFUNCTION("""COMPUTED_VALUE"""),"")</f>
        <v/>
      </c>
      <c r="M1311" s="5" t="str">
        <f>IFERROR(__xludf.DUMMYFUNCTION("""COMPUTED_VALUE"""),"")</f>
        <v/>
      </c>
      <c r="N1311" s="5" t="str">
        <f>IFERROR(__xludf.DUMMYFUNCTION("""COMPUTED_VALUE"""),"")</f>
        <v/>
      </c>
      <c r="O1311" s="5" t="str">
        <f>IFERROR(__xludf.DUMMYFUNCTION("""COMPUTED_VALUE"""),"")</f>
        <v/>
      </c>
      <c r="P1311" s="5" t="str">
        <f>IFERROR(__xludf.DUMMYFUNCTION("""COMPUTED_VALUE"""),"")</f>
        <v/>
      </c>
      <c r="Q1311" s="5" t="str">
        <f>IFERROR(__xludf.DUMMYFUNCTION("""COMPUTED_VALUE"""),"")</f>
        <v/>
      </c>
      <c r="R1311" s="5" t="str">
        <f>IFERROR(__xludf.DUMMYFUNCTION("""COMPUTED_VALUE"""),"")</f>
        <v/>
      </c>
      <c r="S1311" s="5" t="str">
        <f>IFERROR(__xludf.DUMMYFUNCTION("""COMPUTED_VALUE"""),"")</f>
        <v/>
      </c>
      <c r="T1311" s="5" t="str">
        <f>IFERROR(__xludf.DUMMYFUNCTION("""COMPUTED_VALUE"""),"")</f>
        <v/>
      </c>
      <c r="U1311" s="5" t="str">
        <f>IFERROR(__xludf.DUMMYFUNCTION("""COMPUTED_VALUE"""),"")</f>
        <v/>
      </c>
      <c r="V1311" s="5" t="str">
        <f>IFERROR(__xludf.DUMMYFUNCTION("""COMPUTED_VALUE"""),"")</f>
        <v/>
      </c>
      <c r="W1311" s="5" t="str">
        <f>IFERROR(__xludf.DUMMYFUNCTION("""COMPUTED_VALUE"""),"")</f>
        <v/>
      </c>
      <c r="X1311" s="5" t="str">
        <f>IFERROR(__xludf.DUMMYFUNCTION("""COMPUTED_VALUE"""),"")</f>
        <v/>
      </c>
      <c r="Y1311" s="5"/>
      <c r="Z1311" s="5"/>
    </row>
    <row r="1312">
      <c r="A1312" s="5"/>
      <c r="B1312" s="5" t="str">
        <f>IFERROR(__xludf.DUMMYFUNCTION("""COMPUTED_VALUE"""),"")</f>
        <v/>
      </c>
      <c r="C1312" s="5" t="str">
        <f>IFERROR(__xludf.DUMMYFUNCTION("""COMPUTED_VALUE"""),"")</f>
        <v/>
      </c>
      <c r="D1312" s="5" t="str">
        <f>IFERROR(__xludf.DUMMYFUNCTION("""COMPUTED_VALUE"""),"")</f>
        <v/>
      </c>
      <c r="E1312" s="5" t="str">
        <f>IFERROR(__xludf.DUMMYFUNCTION("""COMPUTED_VALUE"""),"")</f>
        <v/>
      </c>
      <c r="F1312" s="5" t="str">
        <f>IFERROR(__xludf.DUMMYFUNCTION("""COMPUTED_VALUE"""),"")</f>
        <v/>
      </c>
      <c r="G1312" s="5" t="str">
        <f>IFERROR(__xludf.DUMMYFUNCTION("""COMPUTED_VALUE"""),"")</f>
        <v/>
      </c>
      <c r="H1312" s="5" t="str">
        <f>IFERROR(__xludf.DUMMYFUNCTION("""COMPUTED_VALUE"""),"")</f>
        <v/>
      </c>
      <c r="I1312" s="5" t="str">
        <f>IFERROR(__xludf.DUMMYFUNCTION("""COMPUTED_VALUE"""),"")</f>
        <v/>
      </c>
      <c r="J1312" s="5" t="str">
        <f>IFERROR(__xludf.DUMMYFUNCTION("""COMPUTED_VALUE"""),"")</f>
        <v/>
      </c>
      <c r="K1312" s="5" t="str">
        <f>IFERROR(__xludf.DUMMYFUNCTION("""COMPUTED_VALUE"""),"")</f>
        <v/>
      </c>
      <c r="L1312" s="5" t="str">
        <f>IFERROR(__xludf.DUMMYFUNCTION("""COMPUTED_VALUE"""),"")</f>
        <v/>
      </c>
      <c r="M1312" s="5" t="str">
        <f>IFERROR(__xludf.DUMMYFUNCTION("""COMPUTED_VALUE"""),"")</f>
        <v/>
      </c>
      <c r="N1312" s="5" t="str">
        <f>IFERROR(__xludf.DUMMYFUNCTION("""COMPUTED_VALUE"""),"")</f>
        <v/>
      </c>
      <c r="O1312" s="5" t="str">
        <f>IFERROR(__xludf.DUMMYFUNCTION("""COMPUTED_VALUE"""),"")</f>
        <v/>
      </c>
      <c r="P1312" s="5" t="str">
        <f>IFERROR(__xludf.DUMMYFUNCTION("""COMPUTED_VALUE"""),"")</f>
        <v/>
      </c>
      <c r="Q1312" s="5" t="str">
        <f>IFERROR(__xludf.DUMMYFUNCTION("""COMPUTED_VALUE"""),"")</f>
        <v/>
      </c>
      <c r="R1312" s="5" t="str">
        <f>IFERROR(__xludf.DUMMYFUNCTION("""COMPUTED_VALUE"""),"")</f>
        <v/>
      </c>
      <c r="S1312" s="5" t="str">
        <f>IFERROR(__xludf.DUMMYFUNCTION("""COMPUTED_VALUE"""),"")</f>
        <v/>
      </c>
      <c r="T1312" s="5" t="str">
        <f>IFERROR(__xludf.DUMMYFUNCTION("""COMPUTED_VALUE"""),"")</f>
        <v/>
      </c>
      <c r="U1312" s="5" t="str">
        <f>IFERROR(__xludf.DUMMYFUNCTION("""COMPUTED_VALUE"""),"")</f>
        <v/>
      </c>
      <c r="V1312" s="5" t="str">
        <f>IFERROR(__xludf.DUMMYFUNCTION("""COMPUTED_VALUE"""),"")</f>
        <v/>
      </c>
      <c r="W1312" s="5" t="str">
        <f>IFERROR(__xludf.DUMMYFUNCTION("""COMPUTED_VALUE"""),"")</f>
        <v/>
      </c>
      <c r="X1312" s="5" t="str">
        <f>IFERROR(__xludf.DUMMYFUNCTION("""COMPUTED_VALUE"""),"")</f>
        <v/>
      </c>
      <c r="Y1312" s="5"/>
      <c r="Z1312" s="5"/>
    </row>
    <row r="1313">
      <c r="A1313" s="5"/>
      <c r="B1313" s="5" t="str">
        <f>IFERROR(__xludf.DUMMYFUNCTION("""COMPUTED_VALUE"""),"")</f>
        <v/>
      </c>
      <c r="C1313" s="5" t="str">
        <f>IFERROR(__xludf.DUMMYFUNCTION("""COMPUTED_VALUE"""),"")</f>
        <v/>
      </c>
      <c r="D1313" s="5" t="str">
        <f>IFERROR(__xludf.DUMMYFUNCTION("""COMPUTED_VALUE"""),"")</f>
        <v/>
      </c>
      <c r="E1313" s="5" t="str">
        <f>IFERROR(__xludf.DUMMYFUNCTION("""COMPUTED_VALUE"""),"")</f>
        <v/>
      </c>
      <c r="F1313" s="5" t="str">
        <f>IFERROR(__xludf.DUMMYFUNCTION("""COMPUTED_VALUE"""),"")</f>
        <v/>
      </c>
      <c r="G1313" s="5" t="str">
        <f>IFERROR(__xludf.DUMMYFUNCTION("""COMPUTED_VALUE"""),"")</f>
        <v/>
      </c>
      <c r="H1313" s="5" t="str">
        <f>IFERROR(__xludf.DUMMYFUNCTION("""COMPUTED_VALUE"""),"")</f>
        <v/>
      </c>
      <c r="I1313" s="5" t="str">
        <f>IFERROR(__xludf.DUMMYFUNCTION("""COMPUTED_VALUE"""),"")</f>
        <v/>
      </c>
      <c r="J1313" s="5" t="str">
        <f>IFERROR(__xludf.DUMMYFUNCTION("""COMPUTED_VALUE"""),"")</f>
        <v/>
      </c>
      <c r="K1313" s="5" t="str">
        <f>IFERROR(__xludf.DUMMYFUNCTION("""COMPUTED_VALUE"""),"")</f>
        <v/>
      </c>
      <c r="L1313" s="5" t="str">
        <f>IFERROR(__xludf.DUMMYFUNCTION("""COMPUTED_VALUE"""),"")</f>
        <v/>
      </c>
      <c r="M1313" s="5" t="str">
        <f>IFERROR(__xludf.DUMMYFUNCTION("""COMPUTED_VALUE"""),"")</f>
        <v/>
      </c>
      <c r="N1313" s="5" t="str">
        <f>IFERROR(__xludf.DUMMYFUNCTION("""COMPUTED_VALUE"""),"")</f>
        <v/>
      </c>
      <c r="O1313" s="5" t="str">
        <f>IFERROR(__xludf.DUMMYFUNCTION("""COMPUTED_VALUE"""),"")</f>
        <v/>
      </c>
      <c r="P1313" s="5" t="str">
        <f>IFERROR(__xludf.DUMMYFUNCTION("""COMPUTED_VALUE"""),"")</f>
        <v/>
      </c>
      <c r="Q1313" s="5" t="str">
        <f>IFERROR(__xludf.DUMMYFUNCTION("""COMPUTED_VALUE"""),"")</f>
        <v/>
      </c>
      <c r="R1313" s="5" t="str">
        <f>IFERROR(__xludf.DUMMYFUNCTION("""COMPUTED_VALUE"""),"")</f>
        <v/>
      </c>
      <c r="S1313" s="5" t="str">
        <f>IFERROR(__xludf.DUMMYFUNCTION("""COMPUTED_VALUE"""),"")</f>
        <v/>
      </c>
      <c r="T1313" s="5" t="str">
        <f>IFERROR(__xludf.DUMMYFUNCTION("""COMPUTED_VALUE"""),"")</f>
        <v/>
      </c>
      <c r="U1313" s="5" t="str">
        <f>IFERROR(__xludf.DUMMYFUNCTION("""COMPUTED_VALUE"""),"")</f>
        <v/>
      </c>
      <c r="V1313" s="5" t="str">
        <f>IFERROR(__xludf.DUMMYFUNCTION("""COMPUTED_VALUE"""),"")</f>
        <v/>
      </c>
      <c r="W1313" s="5" t="str">
        <f>IFERROR(__xludf.DUMMYFUNCTION("""COMPUTED_VALUE"""),"")</f>
        <v/>
      </c>
      <c r="X1313" s="5" t="str">
        <f>IFERROR(__xludf.DUMMYFUNCTION("""COMPUTED_VALUE"""),"")</f>
        <v/>
      </c>
      <c r="Y1313" s="5"/>
      <c r="Z1313" s="5"/>
    </row>
    <row r="1314">
      <c r="A1314" s="5"/>
      <c r="B1314" s="5" t="str">
        <f>IFERROR(__xludf.DUMMYFUNCTION("""COMPUTED_VALUE"""),"")</f>
        <v/>
      </c>
      <c r="C1314" s="5" t="str">
        <f>IFERROR(__xludf.DUMMYFUNCTION("""COMPUTED_VALUE"""),"")</f>
        <v/>
      </c>
      <c r="D1314" s="5" t="str">
        <f>IFERROR(__xludf.DUMMYFUNCTION("""COMPUTED_VALUE"""),"")</f>
        <v/>
      </c>
      <c r="E1314" s="5" t="str">
        <f>IFERROR(__xludf.DUMMYFUNCTION("""COMPUTED_VALUE"""),"")</f>
        <v/>
      </c>
      <c r="F1314" s="5" t="str">
        <f>IFERROR(__xludf.DUMMYFUNCTION("""COMPUTED_VALUE"""),"")</f>
        <v/>
      </c>
      <c r="G1314" s="5" t="str">
        <f>IFERROR(__xludf.DUMMYFUNCTION("""COMPUTED_VALUE"""),"")</f>
        <v/>
      </c>
      <c r="H1314" s="5" t="str">
        <f>IFERROR(__xludf.DUMMYFUNCTION("""COMPUTED_VALUE"""),"")</f>
        <v/>
      </c>
      <c r="I1314" s="5" t="str">
        <f>IFERROR(__xludf.DUMMYFUNCTION("""COMPUTED_VALUE"""),"")</f>
        <v/>
      </c>
      <c r="J1314" s="5" t="str">
        <f>IFERROR(__xludf.DUMMYFUNCTION("""COMPUTED_VALUE"""),"")</f>
        <v/>
      </c>
      <c r="K1314" s="5" t="str">
        <f>IFERROR(__xludf.DUMMYFUNCTION("""COMPUTED_VALUE"""),"")</f>
        <v/>
      </c>
      <c r="L1314" s="5" t="str">
        <f>IFERROR(__xludf.DUMMYFUNCTION("""COMPUTED_VALUE"""),"")</f>
        <v/>
      </c>
      <c r="M1314" s="5" t="str">
        <f>IFERROR(__xludf.DUMMYFUNCTION("""COMPUTED_VALUE"""),"")</f>
        <v/>
      </c>
      <c r="N1314" s="5" t="str">
        <f>IFERROR(__xludf.DUMMYFUNCTION("""COMPUTED_VALUE"""),"")</f>
        <v/>
      </c>
      <c r="O1314" s="5" t="str">
        <f>IFERROR(__xludf.DUMMYFUNCTION("""COMPUTED_VALUE"""),"")</f>
        <v/>
      </c>
      <c r="P1314" s="5" t="str">
        <f>IFERROR(__xludf.DUMMYFUNCTION("""COMPUTED_VALUE"""),"")</f>
        <v/>
      </c>
      <c r="Q1314" s="5" t="str">
        <f>IFERROR(__xludf.DUMMYFUNCTION("""COMPUTED_VALUE"""),"")</f>
        <v/>
      </c>
      <c r="R1314" s="5" t="str">
        <f>IFERROR(__xludf.DUMMYFUNCTION("""COMPUTED_VALUE"""),"")</f>
        <v/>
      </c>
      <c r="S1314" s="5" t="str">
        <f>IFERROR(__xludf.DUMMYFUNCTION("""COMPUTED_VALUE"""),"")</f>
        <v/>
      </c>
      <c r="T1314" s="5" t="str">
        <f>IFERROR(__xludf.DUMMYFUNCTION("""COMPUTED_VALUE"""),"")</f>
        <v/>
      </c>
      <c r="U1314" s="5" t="str">
        <f>IFERROR(__xludf.DUMMYFUNCTION("""COMPUTED_VALUE"""),"")</f>
        <v/>
      </c>
      <c r="V1314" s="5" t="str">
        <f>IFERROR(__xludf.DUMMYFUNCTION("""COMPUTED_VALUE"""),"")</f>
        <v/>
      </c>
      <c r="W1314" s="5" t="str">
        <f>IFERROR(__xludf.DUMMYFUNCTION("""COMPUTED_VALUE"""),"")</f>
        <v/>
      </c>
      <c r="X1314" s="5" t="str">
        <f>IFERROR(__xludf.DUMMYFUNCTION("""COMPUTED_VALUE"""),"")</f>
        <v/>
      </c>
      <c r="Y1314" s="5"/>
      <c r="Z1314" s="5"/>
    </row>
    <row r="1315">
      <c r="A1315" s="5"/>
      <c r="B1315" s="5" t="str">
        <f>IFERROR(__xludf.DUMMYFUNCTION("""COMPUTED_VALUE"""),"")</f>
        <v/>
      </c>
      <c r="C1315" s="5" t="str">
        <f>IFERROR(__xludf.DUMMYFUNCTION("""COMPUTED_VALUE"""),"")</f>
        <v/>
      </c>
      <c r="D1315" s="5" t="str">
        <f>IFERROR(__xludf.DUMMYFUNCTION("""COMPUTED_VALUE"""),"")</f>
        <v/>
      </c>
      <c r="E1315" s="5" t="str">
        <f>IFERROR(__xludf.DUMMYFUNCTION("""COMPUTED_VALUE"""),"")</f>
        <v/>
      </c>
      <c r="F1315" s="5" t="str">
        <f>IFERROR(__xludf.DUMMYFUNCTION("""COMPUTED_VALUE"""),"")</f>
        <v/>
      </c>
      <c r="G1315" s="5" t="str">
        <f>IFERROR(__xludf.DUMMYFUNCTION("""COMPUTED_VALUE"""),"")</f>
        <v/>
      </c>
      <c r="H1315" s="5" t="str">
        <f>IFERROR(__xludf.DUMMYFUNCTION("""COMPUTED_VALUE"""),"")</f>
        <v/>
      </c>
      <c r="I1315" s="5" t="str">
        <f>IFERROR(__xludf.DUMMYFUNCTION("""COMPUTED_VALUE"""),"")</f>
        <v/>
      </c>
      <c r="J1315" s="5" t="str">
        <f>IFERROR(__xludf.DUMMYFUNCTION("""COMPUTED_VALUE"""),"")</f>
        <v/>
      </c>
      <c r="K1315" s="5" t="str">
        <f>IFERROR(__xludf.DUMMYFUNCTION("""COMPUTED_VALUE"""),"")</f>
        <v/>
      </c>
      <c r="L1315" s="5" t="str">
        <f>IFERROR(__xludf.DUMMYFUNCTION("""COMPUTED_VALUE"""),"")</f>
        <v/>
      </c>
      <c r="M1315" s="5" t="str">
        <f>IFERROR(__xludf.DUMMYFUNCTION("""COMPUTED_VALUE"""),"")</f>
        <v/>
      </c>
      <c r="N1315" s="5" t="str">
        <f>IFERROR(__xludf.DUMMYFUNCTION("""COMPUTED_VALUE"""),"")</f>
        <v/>
      </c>
      <c r="O1315" s="5" t="str">
        <f>IFERROR(__xludf.DUMMYFUNCTION("""COMPUTED_VALUE"""),"")</f>
        <v/>
      </c>
      <c r="P1315" s="5" t="str">
        <f>IFERROR(__xludf.DUMMYFUNCTION("""COMPUTED_VALUE"""),"")</f>
        <v/>
      </c>
      <c r="Q1315" s="5" t="str">
        <f>IFERROR(__xludf.DUMMYFUNCTION("""COMPUTED_VALUE"""),"")</f>
        <v/>
      </c>
      <c r="R1315" s="5" t="str">
        <f>IFERROR(__xludf.DUMMYFUNCTION("""COMPUTED_VALUE"""),"")</f>
        <v/>
      </c>
      <c r="S1315" s="5" t="str">
        <f>IFERROR(__xludf.DUMMYFUNCTION("""COMPUTED_VALUE"""),"")</f>
        <v/>
      </c>
      <c r="T1315" s="5" t="str">
        <f>IFERROR(__xludf.DUMMYFUNCTION("""COMPUTED_VALUE"""),"")</f>
        <v/>
      </c>
      <c r="U1315" s="5" t="str">
        <f>IFERROR(__xludf.DUMMYFUNCTION("""COMPUTED_VALUE"""),"")</f>
        <v/>
      </c>
      <c r="V1315" s="5" t="str">
        <f>IFERROR(__xludf.DUMMYFUNCTION("""COMPUTED_VALUE"""),"")</f>
        <v/>
      </c>
      <c r="W1315" s="5" t="str">
        <f>IFERROR(__xludf.DUMMYFUNCTION("""COMPUTED_VALUE"""),"")</f>
        <v/>
      </c>
      <c r="X1315" s="5" t="str">
        <f>IFERROR(__xludf.DUMMYFUNCTION("""COMPUTED_VALUE"""),"")</f>
        <v/>
      </c>
      <c r="Y1315" s="5"/>
      <c r="Z1315" s="5"/>
    </row>
    <row r="1316">
      <c r="A1316" s="5"/>
      <c r="B1316" s="5" t="str">
        <f>IFERROR(__xludf.DUMMYFUNCTION("""COMPUTED_VALUE"""),"")</f>
        <v/>
      </c>
      <c r="C1316" s="5" t="str">
        <f>IFERROR(__xludf.DUMMYFUNCTION("""COMPUTED_VALUE"""),"")</f>
        <v/>
      </c>
      <c r="D1316" s="5" t="str">
        <f>IFERROR(__xludf.DUMMYFUNCTION("""COMPUTED_VALUE"""),"")</f>
        <v/>
      </c>
      <c r="E1316" s="5" t="str">
        <f>IFERROR(__xludf.DUMMYFUNCTION("""COMPUTED_VALUE"""),"")</f>
        <v/>
      </c>
      <c r="F1316" s="5" t="str">
        <f>IFERROR(__xludf.DUMMYFUNCTION("""COMPUTED_VALUE"""),"")</f>
        <v/>
      </c>
      <c r="G1316" s="5" t="str">
        <f>IFERROR(__xludf.DUMMYFUNCTION("""COMPUTED_VALUE"""),"")</f>
        <v/>
      </c>
      <c r="H1316" s="5" t="str">
        <f>IFERROR(__xludf.DUMMYFUNCTION("""COMPUTED_VALUE"""),"")</f>
        <v/>
      </c>
      <c r="I1316" s="5" t="str">
        <f>IFERROR(__xludf.DUMMYFUNCTION("""COMPUTED_VALUE"""),"")</f>
        <v/>
      </c>
      <c r="J1316" s="5" t="str">
        <f>IFERROR(__xludf.DUMMYFUNCTION("""COMPUTED_VALUE"""),"")</f>
        <v/>
      </c>
      <c r="K1316" s="5" t="str">
        <f>IFERROR(__xludf.DUMMYFUNCTION("""COMPUTED_VALUE"""),"")</f>
        <v/>
      </c>
      <c r="L1316" s="5" t="str">
        <f>IFERROR(__xludf.DUMMYFUNCTION("""COMPUTED_VALUE"""),"")</f>
        <v/>
      </c>
      <c r="M1316" s="5" t="str">
        <f>IFERROR(__xludf.DUMMYFUNCTION("""COMPUTED_VALUE"""),"")</f>
        <v/>
      </c>
      <c r="N1316" s="5" t="str">
        <f>IFERROR(__xludf.DUMMYFUNCTION("""COMPUTED_VALUE"""),"")</f>
        <v/>
      </c>
      <c r="O1316" s="5" t="str">
        <f>IFERROR(__xludf.DUMMYFUNCTION("""COMPUTED_VALUE"""),"")</f>
        <v/>
      </c>
      <c r="P1316" s="5" t="str">
        <f>IFERROR(__xludf.DUMMYFUNCTION("""COMPUTED_VALUE"""),"")</f>
        <v/>
      </c>
      <c r="Q1316" s="5" t="str">
        <f>IFERROR(__xludf.DUMMYFUNCTION("""COMPUTED_VALUE"""),"")</f>
        <v/>
      </c>
      <c r="R1316" s="5" t="str">
        <f>IFERROR(__xludf.DUMMYFUNCTION("""COMPUTED_VALUE"""),"")</f>
        <v/>
      </c>
      <c r="S1316" s="5" t="str">
        <f>IFERROR(__xludf.DUMMYFUNCTION("""COMPUTED_VALUE"""),"")</f>
        <v/>
      </c>
      <c r="T1316" s="5" t="str">
        <f>IFERROR(__xludf.DUMMYFUNCTION("""COMPUTED_VALUE"""),"")</f>
        <v/>
      </c>
      <c r="U1316" s="5" t="str">
        <f>IFERROR(__xludf.DUMMYFUNCTION("""COMPUTED_VALUE"""),"")</f>
        <v/>
      </c>
      <c r="V1316" s="5" t="str">
        <f>IFERROR(__xludf.DUMMYFUNCTION("""COMPUTED_VALUE"""),"")</f>
        <v/>
      </c>
      <c r="W1316" s="5" t="str">
        <f>IFERROR(__xludf.DUMMYFUNCTION("""COMPUTED_VALUE"""),"")</f>
        <v/>
      </c>
      <c r="X1316" s="5" t="str">
        <f>IFERROR(__xludf.DUMMYFUNCTION("""COMPUTED_VALUE"""),"")</f>
        <v/>
      </c>
      <c r="Y1316" s="5"/>
      <c r="Z1316" s="5"/>
    </row>
    <row r="1317">
      <c r="A1317" s="5"/>
      <c r="B1317" s="5" t="str">
        <f>IFERROR(__xludf.DUMMYFUNCTION("""COMPUTED_VALUE"""),"")</f>
        <v/>
      </c>
      <c r="C1317" s="5" t="str">
        <f>IFERROR(__xludf.DUMMYFUNCTION("""COMPUTED_VALUE"""),"")</f>
        <v/>
      </c>
      <c r="D1317" s="5" t="str">
        <f>IFERROR(__xludf.DUMMYFUNCTION("""COMPUTED_VALUE"""),"")</f>
        <v/>
      </c>
      <c r="E1317" s="5" t="str">
        <f>IFERROR(__xludf.DUMMYFUNCTION("""COMPUTED_VALUE"""),"")</f>
        <v/>
      </c>
      <c r="F1317" s="5" t="str">
        <f>IFERROR(__xludf.DUMMYFUNCTION("""COMPUTED_VALUE"""),"")</f>
        <v/>
      </c>
      <c r="G1317" s="5" t="str">
        <f>IFERROR(__xludf.DUMMYFUNCTION("""COMPUTED_VALUE"""),"")</f>
        <v/>
      </c>
      <c r="H1317" s="5" t="str">
        <f>IFERROR(__xludf.DUMMYFUNCTION("""COMPUTED_VALUE"""),"")</f>
        <v/>
      </c>
      <c r="I1317" s="5" t="str">
        <f>IFERROR(__xludf.DUMMYFUNCTION("""COMPUTED_VALUE"""),"")</f>
        <v/>
      </c>
      <c r="J1317" s="5" t="str">
        <f>IFERROR(__xludf.DUMMYFUNCTION("""COMPUTED_VALUE"""),"")</f>
        <v/>
      </c>
      <c r="K1317" s="5" t="str">
        <f>IFERROR(__xludf.DUMMYFUNCTION("""COMPUTED_VALUE"""),"")</f>
        <v/>
      </c>
      <c r="L1317" s="5" t="str">
        <f>IFERROR(__xludf.DUMMYFUNCTION("""COMPUTED_VALUE"""),"")</f>
        <v/>
      </c>
      <c r="M1317" s="5" t="str">
        <f>IFERROR(__xludf.DUMMYFUNCTION("""COMPUTED_VALUE"""),"")</f>
        <v/>
      </c>
      <c r="N1317" s="5" t="str">
        <f>IFERROR(__xludf.DUMMYFUNCTION("""COMPUTED_VALUE"""),"")</f>
        <v/>
      </c>
      <c r="O1317" s="5" t="str">
        <f>IFERROR(__xludf.DUMMYFUNCTION("""COMPUTED_VALUE"""),"")</f>
        <v/>
      </c>
      <c r="P1317" s="5" t="str">
        <f>IFERROR(__xludf.DUMMYFUNCTION("""COMPUTED_VALUE"""),"")</f>
        <v/>
      </c>
      <c r="Q1317" s="5" t="str">
        <f>IFERROR(__xludf.DUMMYFUNCTION("""COMPUTED_VALUE"""),"")</f>
        <v/>
      </c>
      <c r="R1317" s="5" t="str">
        <f>IFERROR(__xludf.DUMMYFUNCTION("""COMPUTED_VALUE"""),"")</f>
        <v/>
      </c>
      <c r="S1317" s="5" t="str">
        <f>IFERROR(__xludf.DUMMYFUNCTION("""COMPUTED_VALUE"""),"")</f>
        <v/>
      </c>
      <c r="T1317" s="5" t="str">
        <f>IFERROR(__xludf.DUMMYFUNCTION("""COMPUTED_VALUE"""),"")</f>
        <v/>
      </c>
      <c r="U1317" s="5" t="str">
        <f>IFERROR(__xludf.DUMMYFUNCTION("""COMPUTED_VALUE"""),"")</f>
        <v/>
      </c>
      <c r="V1317" s="5" t="str">
        <f>IFERROR(__xludf.DUMMYFUNCTION("""COMPUTED_VALUE"""),"")</f>
        <v/>
      </c>
      <c r="W1317" s="5" t="str">
        <f>IFERROR(__xludf.DUMMYFUNCTION("""COMPUTED_VALUE"""),"")</f>
        <v/>
      </c>
      <c r="X1317" s="5" t="str">
        <f>IFERROR(__xludf.DUMMYFUNCTION("""COMPUTED_VALUE"""),"")</f>
        <v/>
      </c>
      <c r="Y1317" s="5"/>
      <c r="Z1317" s="5"/>
    </row>
    <row r="1318">
      <c r="A1318" s="5"/>
      <c r="B1318" s="5" t="str">
        <f>IFERROR(__xludf.DUMMYFUNCTION("""COMPUTED_VALUE"""),"")</f>
        <v/>
      </c>
      <c r="C1318" s="5" t="str">
        <f>IFERROR(__xludf.DUMMYFUNCTION("""COMPUTED_VALUE"""),"")</f>
        <v/>
      </c>
      <c r="D1318" s="5" t="str">
        <f>IFERROR(__xludf.DUMMYFUNCTION("""COMPUTED_VALUE"""),"")</f>
        <v/>
      </c>
      <c r="E1318" s="5" t="str">
        <f>IFERROR(__xludf.DUMMYFUNCTION("""COMPUTED_VALUE"""),"")</f>
        <v/>
      </c>
      <c r="F1318" s="5" t="str">
        <f>IFERROR(__xludf.DUMMYFUNCTION("""COMPUTED_VALUE"""),"")</f>
        <v/>
      </c>
      <c r="G1318" s="5" t="str">
        <f>IFERROR(__xludf.DUMMYFUNCTION("""COMPUTED_VALUE"""),"")</f>
        <v/>
      </c>
      <c r="H1318" s="5" t="str">
        <f>IFERROR(__xludf.DUMMYFUNCTION("""COMPUTED_VALUE"""),"")</f>
        <v/>
      </c>
      <c r="I1318" s="5" t="str">
        <f>IFERROR(__xludf.DUMMYFUNCTION("""COMPUTED_VALUE"""),"")</f>
        <v/>
      </c>
      <c r="J1318" s="5" t="str">
        <f>IFERROR(__xludf.DUMMYFUNCTION("""COMPUTED_VALUE"""),"")</f>
        <v/>
      </c>
      <c r="K1318" s="5" t="str">
        <f>IFERROR(__xludf.DUMMYFUNCTION("""COMPUTED_VALUE"""),"")</f>
        <v/>
      </c>
      <c r="L1318" s="5" t="str">
        <f>IFERROR(__xludf.DUMMYFUNCTION("""COMPUTED_VALUE"""),"")</f>
        <v/>
      </c>
      <c r="M1318" s="5" t="str">
        <f>IFERROR(__xludf.DUMMYFUNCTION("""COMPUTED_VALUE"""),"")</f>
        <v/>
      </c>
      <c r="N1318" s="5" t="str">
        <f>IFERROR(__xludf.DUMMYFUNCTION("""COMPUTED_VALUE"""),"")</f>
        <v/>
      </c>
      <c r="O1318" s="5" t="str">
        <f>IFERROR(__xludf.DUMMYFUNCTION("""COMPUTED_VALUE"""),"")</f>
        <v/>
      </c>
      <c r="P1318" s="5" t="str">
        <f>IFERROR(__xludf.DUMMYFUNCTION("""COMPUTED_VALUE"""),"")</f>
        <v/>
      </c>
      <c r="Q1318" s="5" t="str">
        <f>IFERROR(__xludf.DUMMYFUNCTION("""COMPUTED_VALUE"""),"")</f>
        <v/>
      </c>
      <c r="R1318" s="5" t="str">
        <f>IFERROR(__xludf.DUMMYFUNCTION("""COMPUTED_VALUE"""),"")</f>
        <v/>
      </c>
      <c r="S1318" s="5" t="str">
        <f>IFERROR(__xludf.DUMMYFUNCTION("""COMPUTED_VALUE"""),"")</f>
        <v/>
      </c>
      <c r="T1318" s="5" t="str">
        <f>IFERROR(__xludf.DUMMYFUNCTION("""COMPUTED_VALUE"""),"")</f>
        <v/>
      </c>
      <c r="U1318" s="5" t="str">
        <f>IFERROR(__xludf.DUMMYFUNCTION("""COMPUTED_VALUE"""),"")</f>
        <v/>
      </c>
      <c r="V1318" s="5" t="str">
        <f>IFERROR(__xludf.DUMMYFUNCTION("""COMPUTED_VALUE"""),"")</f>
        <v/>
      </c>
      <c r="W1318" s="5" t="str">
        <f>IFERROR(__xludf.DUMMYFUNCTION("""COMPUTED_VALUE"""),"")</f>
        <v/>
      </c>
      <c r="X1318" s="5" t="str">
        <f>IFERROR(__xludf.DUMMYFUNCTION("""COMPUTED_VALUE"""),"")</f>
        <v/>
      </c>
      <c r="Y1318" s="5"/>
      <c r="Z1318" s="5"/>
    </row>
    <row r="1319">
      <c r="A1319" s="5"/>
      <c r="B1319" s="5" t="str">
        <f>IFERROR(__xludf.DUMMYFUNCTION("""COMPUTED_VALUE"""),"")</f>
        <v/>
      </c>
      <c r="C1319" s="5" t="str">
        <f>IFERROR(__xludf.DUMMYFUNCTION("""COMPUTED_VALUE"""),"")</f>
        <v/>
      </c>
      <c r="D1319" s="5" t="str">
        <f>IFERROR(__xludf.DUMMYFUNCTION("""COMPUTED_VALUE"""),"")</f>
        <v/>
      </c>
      <c r="E1319" s="5" t="str">
        <f>IFERROR(__xludf.DUMMYFUNCTION("""COMPUTED_VALUE"""),"")</f>
        <v/>
      </c>
      <c r="F1319" s="5" t="str">
        <f>IFERROR(__xludf.DUMMYFUNCTION("""COMPUTED_VALUE"""),"")</f>
        <v/>
      </c>
      <c r="G1319" s="5" t="str">
        <f>IFERROR(__xludf.DUMMYFUNCTION("""COMPUTED_VALUE"""),"")</f>
        <v/>
      </c>
      <c r="H1319" s="5" t="str">
        <f>IFERROR(__xludf.DUMMYFUNCTION("""COMPUTED_VALUE"""),"")</f>
        <v/>
      </c>
      <c r="I1319" s="5" t="str">
        <f>IFERROR(__xludf.DUMMYFUNCTION("""COMPUTED_VALUE"""),"")</f>
        <v/>
      </c>
      <c r="J1319" s="5" t="str">
        <f>IFERROR(__xludf.DUMMYFUNCTION("""COMPUTED_VALUE"""),"")</f>
        <v/>
      </c>
      <c r="K1319" s="5" t="str">
        <f>IFERROR(__xludf.DUMMYFUNCTION("""COMPUTED_VALUE"""),"")</f>
        <v/>
      </c>
      <c r="L1319" s="5" t="str">
        <f>IFERROR(__xludf.DUMMYFUNCTION("""COMPUTED_VALUE"""),"")</f>
        <v/>
      </c>
      <c r="M1319" s="5" t="str">
        <f>IFERROR(__xludf.DUMMYFUNCTION("""COMPUTED_VALUE"""),"")</f>
        <v/>
      </c>
      <c r="N1319" s="5" t="str">
        <f>IFERROR(__xludf.DUMMYFUNCTION("""COMPUTED_VALUE"""),"")</f>
        <v/>
      </c>
      <c r="O1319" s="5" t="str">
        <f>IFERROR(__xludf.DUMMYFUNCTION("""COMPUTED_VALUE"""),"")</f>
        <v/>
      </c>
      <c r="P1319" s="5" t="str">
        <f>IFERROR(__xludf.DUMMYFUNCTION("""COMPUTED_VALUE"""),"")</f>
        <v/>
      </c>
      <c r="Q1319" s="5" t="str">
        <f>IFERROR(__xludf.DUMMYFUNCTION("""COMPUTED_VALUE"""),"")</f>
        <v/>
      </c>
      <c r="R1319" s="5" t="str">
        <f>IFERROR(__xludf.DUMMYFUNCTION("""COMPUTED_VALUE"""),"")</f>
        <v/>
      </c>
      <c r="S1319" s="5" t="str">
        <f>IFERROR(__xludf.DUMMYFUNCTION("""COMPUTED_VALUE"""),"")</f>
        <v/>
      </c>
      <c r="T1319" s="5" t="str">
        <f>IFERROR(__xludf.DUMMYFUNCTION("""COMPUTED_VALUE"""),"")</f>
        <v/>
      </c>
      <c r="U1319" s="5" t="str">
        <f>IFERROR(__xludf.DUMMYFUNCTION("""COMPUTED_VALUE"""),"")</f>
        <v/>
      </c>
      <c r="V1319" s="5" t="str">
        <f>IFERROR(__xludf.DUMMYFUNCTION("""COMPUTED_VALUE"""),"")</f>
        <v/>
      </c>
      <c r="W1319" s="5" t="str">
        <f>IFERROR(__xludf.DUMMYFUNCTION("""COMPUTED_VALUE"""),"")</f>
        <v/>
      </c>
      <c r="X1319" s="5" t="str">
        <f>IFERROR(__xludf.DUMMYFUNCTION("""COMPUTED_VALUE"""),"")</f>
        <v/>
      </c>
      <c r="Y1319" s="5"/>
      <c r="Z1319" s="5"/>
    </row>
    <row r="1320">
      <c r="A1320" s="5"/>
      <c r="B1320" s="5" t="str">
        <f>IFERROR(__xludf.DUMMYFUNCTION("""COMPUTED_VALUE"""),"")</f>
        <v/>
      </c>
      <c r="C1320" s="5" t="str">
        <f>IFERROR(__xludf.DUMMYFUNCTION("""COMPUTED_VALUE"""),"")</f>
        <v/>
      </c>
      <c r="D1320" s="5" t="str">
        <f>IFERROR(__xludf.DUMMYFUNCTION("""COMPUTED_VALUE"""),"")</f>
        <v/>
      </c>
      <c r="E1320" s="5" t="str">
        <f>IFERROR(__xludf.DUMMYFUNCTION("""COMPUTED_VALUE"""),"")</f>
        <v/>
      </c>
      <c r="F1320" s="5" t="str">
        <f>IFERROR(__xludf.DUMMYFUNCTION("""COMPUTED_VALUE"""),"")</f>
        <v/>
      </c>
      <c r="G1320" s="5" t="str">
        <f>IFERROR(__xludf.DUMMYFUNCTION("""COMPUTED_VALUE"""),"")</f>
        <v/>
      </c>
      <c r="H1320" s="5" t="str">
        <f>IFERROR(__xludf.DUMMYFUNCTION("""COMPUTED_VALUE"""),"")</f>
        <v/>
      </c>
      <c r="I1320" s="5" t="str">
        <f>IFERROR(__xludf.DUMMYFUNCTION("""COMPUTED_VALUE"""),"")</f>
        <v/>
      </c>
      <c r="J1320" s="5" t="str">
        <f>IFERROR(__xludf.DUMMYFUNCTION("""COMPUTED_VALUE"""),"")</f>
        <v/>
      </c>
      <c r="K1320" s="5" t="str">
        <f>IFERROR(__xludf.DUMMYFUNCTION("""COMPUTED_VALUE"""),"")</f>
        <v/>
      </c>
      <c r="L1320" s="5" t="str">
        <f>IFERROR(__xludf.DUMMYFUNCTION("""COMPUTED_VALUE"""),"")</f>
        <v/>
      </c>
      <c r="M1320" s="5" t="str">
        <f>IFERROR(__xludf.DUMMYFUNCTION("""COMPUTED_VALUE"""),"")</f>
        <v/>
      </c>
      <c r="N1320" s="5" t="str">
        <f>IFERROR(__xludf.DUMMYFUNCTION("""COMPUTED_VALUE"""),"")</f>
        <v/>
      </c>
      <c r="O1320" s="5" t="str">
        <f>IFERROR(__xludf.DUMMYFUNCTION("""COMPUTED_VALUE"""),"")</f>
        <v/>
      </c>
      <c r="P1320" s="5" t="str">
        <f>IFERROR(__xludf.DUMMYFUNCTION("""COMPUTED_VALUE"""),"")</f>
        <v/>
      </c>
      <c r="Q1320" s="5" t="str">
        <f>IFERROR(__xludf.DUMMYFUNCTION("""COMPUTED_VALUE"""),"")</f>
        <v/>
      </c>
      <c r="R1320" s="5" t="str">
        <f>IFERROR(__xludf.DUMMYFUNCTION("""COMPUTED_VALUE"""),"")</f>
        <v/>
      </c>
      <c r="S1320" s="5" t="str">
        <f>IFERROR(__xludf.DUMMYFUNCTION("""COMPUTED_VALUE"""),"")</f>
        <v/>
      </c>
      <c r="T1320" s="5" t="str">
        <f>IFERROR(__xludf.DUMMYFUNCTION("""COMPUTED_VALUE"""),"")</f>
        <v/>
      </c>
      <c r="U1320" s="5" t="str">
        <f>IFERROR(__xludf.DUMMYFUNCTION("""COMPUTED_VALUE"""),"")</f>
        <v/>
      </c>
      <c r="V1320" s="5" t="str">
        <f>IFERROR(__xludf.DUMMYFUNCTION("""COMPUTED_VALUE"""),"")</f>
        <v/>
      </c>
      <c r="W1320" s="5" t="str">
        <f>IFERROR(__xludf.DUMMYFUNCTION("""COMPUTED_VALUE"""),"")</f>
        <v/>
      </c>
      <c r="X1320" s="5" t="str">
        <f>IFERROR(__xludf.DUMMYFUNCTION("""COMPUTED_VALUE"""),"")</f>
        <v/>
      </c>
      <c r="Y1320" s="5"/>
      <c r="Z1320" s="5"/>
    </row>
    <row r="1321">
      <c r="A1321" s="5"/>
      <c r="B1321" s="5" t="str">
        <f>IFERROR(__xludf.DUMMYFUNCTION("""COMPUTED_VALUE"""),"")</f>
        <v/>
      </c>
      <c r="C1321" s="5" t="str">
        <f>IFERROR(__xludf.DUMMYFUNCTION("""COMPUTED_VALUE"""),"")</f>
        <v/>
      </c>
      <c r="D1321" s="5" t="str">
        <f>IFERROR(__xludf.DUMMYFUNCTION("""COMPUTED_VALUE"""),"")</f>
        <v/>
      </c>
      <c r="E1321" s="5" t="str">
        <f>IFERROR(__xludf.DUMMYFUNCTION("""COMPUTED_VALUE"""),"")</f>
        <v/>
      </c>
      <c r="F1321" s="5" t="str">
        <f>IFERROR(__xludf.DUMMYFUNCTION("""COMPUTED_VALUE"""),"")</f>
        <v/>
      </c>
      <c r="G1321" s="5" t="str">
        <f>IFERROR(__xludf.DUMMYFUNCTION("""COMPUTED_VALUE"""),"")</f>
        <v/>
      </c>
      <c r="H1321" s="5" t="str">
        <f>IFERROR(__xludf.DUMMYFUNCTION("""COMPUTED_VALUE"""),"")</f>
        <v/>
      </c>
      <c r="I1321" s="5" t="str">
        <f>IFERROR(__xludf.DUMMYFUNCTION("""COMPUTED_VALUE"""),"")</f>
        <v/>
      </c>
      <c r="J1321" s="5" t="str">
        <f>IFERROR(__xludf.DUMMYFUNCTION("""COMPUTED_VALUE"""),"")</f>
        <v/>
      </c>
      <c r="K1321" s="5" t="str">
        <f>IFERROR(__xludf.DUMMYFUNCTION("""COMPUTED_VALUE"""),"")</f>
        <v/>
      </c>
      <c r="L1321" s="5" t="str">
        <f>IFERROR(__xludf.DUMMYFUNCTION("""COMPUTED_VALUE"""),"")</f>
        <v/>
      </c>
      <c r="M1321" s="5" t="str">
        <f>IFERROR(__xludf.DUMMYFUNCTION("""COMPUTED_VALUE"""),"")</f>
        <v/>
      </c>
      <c r="N1321" s="5" t="str">
        <f>IFERROR(__xludf.DUMMYFUNCTION("""COMPUTED_VALUE"""),"")</f>
        <v/>
      </c>
      <c r="O1321" s="5" t="str">
        <f>IFERROR(__xludf.DUMMYFUNCTION("""COMPUTED_VALUE"""),"")</f>
        <v/>
      </c>
      <c r="P1321" s="5" t="str">
        <f>IFERROR(__xludf.DUMMYFUNCTION("""COMPUTED_VALUE"""),"")</f>
        <v/>
      </c>
      <c r="Q1321" s="5" t="str">
        <f>IFERROR(__xludf.DUMMYFUNCTION("""COMPUTED_VALUE"""),"")</f>
        <v/>
      </c>
      <c r="R1321" s="5" t="str">
        <f>IFERROR(__xludf.DUMMYFUNCTION("""COMPUTED_VALUE"""),"")</f>
        <v/>
      </c>
      <c r="S1321" s="5" t="str">
        <f>IFERROR(__xludf.DUMMYFUNCTION("""COMPUTED_VALUE"""),"")</f>
        <v/>
      </c>
      <c r="T1321" s="5" t="str">
        <f>IFERROR(__xludf.DUMMYFUNCTION("""COMPUTED_VALUE"""),"")</f>
        <v/>
      </c>
      <c r="U1321" s="5" t="str">
        <f>IFERROR(__xludf.DUMMYFUNCTION("""COMPUTED_VALUE"""),"")</f>
        <v/>
      </c>
      <c r="V1321" s="5" t="str">
        <f>IFERROR(__xludf.DUMMYFUNCTION("""COMPUTED_VALUE"""),"")</f>
        <v/>
      </c>
      <c r="W1321" s="5" t="str">
        <f>IFERROR(__xludf.DUMMYFUNCTION("""COMPUTED_VALUE"""),"")</f>
        <v/>
      </c>
      <c r="X1321" s="5" t="str">
        <f>IFERROR(__xludf.DUMMYFUNCTION("""COMPUTED_VALUE"""),"")</f>
        <v/>
      </c>
      <c r="Y1321" s="5"/>
      <c r="Z1321" s="5"/>
    </row>
    <row r="1322">
      <c r="A1322" s="5"/>
      <c r="B1322" s="5" t="str">
        <f>IFERROR(__xludf.DUMMYFUNCTION("""COMPUTED_VALUE"""),"")</f>
        <v/>
      </c>
      <c r="C1322" s="5" t="str">
        <f>IFERROR(__xludf.DUMMYFUNCTION("""COMPUTED_VALUE"""),"")</f>
        <v/>
      </c>
      <c r="D1322" s="5" t="str">
        <f>IFERROR(__xludf.DUMMYFUNCTION("""COMPUTED_VALUE"""),"")</f>
        <v/>
      </c>
      <c r="E1322" s="5" t="str">
        <f>IFERROR(__xludf.DUMMYFUNCTION("""COMPUTED_VALUE"""),"")</f>
        <v/>
      </c>
      <c r="F1322" s="5" t="str">
        <f>IFERROR(__xludf.DUMMYFUNCTION("""COMPUTED_VALUE"""),"")</f>
        <v/>
      </c>
      <c r="G1322" s="5" t="str">
        <f>IFERROR(__xludf.DUMMYFUNCTION("""COMPUTED_VALUE"""),"")</f>
        <v/>
      </c>
      <c r="H1322" s="5" t="str">
        <f>IFERROR(__xludf.DUMMYFUNCTION("""COMPUTED_VALUE"""),"")</f>
        <v/>
      </c>
      <c r="I1322" s="5" t="str">
        <f>IFERROR(__xludf.DUMMYFUNCTION("""COMPUTED_VALUE"""),"")</f>
        <v/>
      </c>
      <c r="J1322" s="5" t="str">
        <f>IFERROR(__xludf.DUMMYFUNCTION("""COMPUTED_VALUE"""),"")</f>
        <v/>
      </c>
      <c r="K1322" s="5" t="str">
        <f>IFERROR(__xludf.DUMMYFUNCTION("""COMPUTED_VALUE"""),"")</f>
        <v/>
      </c>
      <c r="L1322" s="5" t="str">
        <f>IFERROR(__xludf.DUMMYFUNCTION("""COMPUTED_VALUE"""),"")</f>
        <v/>
      </c>
      <c r="M1322" s="5" t="str">
        <f>IFERROR(__xludf.DUMMYFUNCTION("""COMPUTED_VALUE"""),"")</f>
        <v/>
      </c>
      <c r="N1322" s="5" t="str">
        <f>IFERROR(__xludf.DUMMYFUNCTION("""COMPUTED_VALUE"""),"")</f>
        <v/>
      </c>
      <c r="O1322" s="5" t="str">
        <f>IFERROR(__xludf.DUMMYFUNCTION("""COMPUTED_VALUE"""),"")</f>
        <v/>
      </c>
      <c r="P1322" s="5" t="str">
        <f>IFERROR(__xludf.DUMMYFUNCTION("""COMPUTED_VALUE"""),"")</f>
        <v/>
      </c>
      <c r="Q1322" s="5" t="str">
        <f>IFERROR(__xludf.DUMMYFUNCTION("""COMPUTED_VALUE"""),"")</f>
        <v/>
      </c>
      <c r="R1322" s="5" t="str">
        <f>IFERROR(__xludf.DUMMYFUNCTION("""COMPUTED_VALUE"""),"")</f>
        <v/>
      </c>
      <c r="S1322" s="5" t="str">
        <f>IFERROR(__xludf.DUMMYFUNCTION("""COMPUTED_VALUE"""),"")</f>
        <v/>
      </c>
      <c r="T1322" s="5" t="str">
        <f>IFERROR(__xludf.DUMMYFUNCTION("""COMPUTED_VALUE"""),"")</f>
        <v/>
      </c>
      <c r="U1322" s="5" t="str">
        <f>IFERROR(__xludf.DUMMYFUNCTION("""COMPUTED_VALUE"""),"")</f>
        <v/>
      </c>
      <c r="V1322" s="5" t="str">
        <f>IFERROR(__xludf.DUMMYFUNCTION("""COMPUTED_VALUE"""),"")</f>
        <v/>
      </c>
      <c r="W1322" s="5" t="str">
        <f>IFERROR(__xludf.DUMMYFUNCTION("""COMPUTED_VALUE"""),"")</f>
        <v/>
      </c>
      <c r="X1322" s="5" t="str">
        <f>IFERROR(__xludf.DUMMYFUNCTION("""COMPUTED_VALUE"""),"")</f>
        <v/>
      </c>
      <c r="Y1322" s="5"/>
      <c r="Z1322" s="5"/>
    </row>
    <row r="1323">
      <c r="A1323" s="5"/>
      <c r="B1323" s="5" t="str">
        <f>IFERROR(__xludf.DUMMYFUNCTION("""COMPUTED_VALUE"""),"")</f>
        <v/>
      </c>
      <c r="C1323" s="5" t="str">
        <f>IFERROR(__xludf.DUMMYFUNCTION("""COMPUTED_VALUE"""),"")</f>
        <v/>
      </c>
      <c r="D1323" s="5" t="str">
        <f>IFERROR(__xludf.DUMMYFUNCTION("""COMPUTED_VALUE"""),"")</f>
        <v/>
      </c>
      <c r="E1323" s="5" t="str">
        <f>IFERROR(__xludf.DUMMYFUNCTION("""COMPUTED_VALUE"""),"")</f>
        <v/>
      </c>
      <c r="F1323" s="5" t="str">
        <f>IFERROR(__xludf.DUMMYFUNCTION("""COMPUTED_VALUE"""),"")</f>
        <v/>
      </c>
      <c r="G1323" s="5" t="str">
        <f>IFERROR(__xludf.DUMMYFUNCTION("""COMPUTED_VALUE"""),"")</f>
        <v/>
      </c>
      <c r="H1323" s="5" t="str">
        <f>IFERROR(__xludf.DUMMYFUNCTION("""COMPUTED_VALUE"""),"")</f>
        <v/>
      </c>
      <c r="I1323" s="5" t="str">
        <f>IFERROR(__xludf.DUMMYFUNCTION("""COMPUTED_VALUE"""),"")</f>
        <v/>
      </c>
      <c r="J1323" s="5" t="str">
        <f>IFERROR(__xludf.DUMMYFUNCTION("""COMPUTED_VALUE"""),"")</f>
        <v/>
      </c>
      <c r="K1323" s="5" t="str">
        <f>IFERROR(__xludf.DUMMYFUNCTION("""COMPUTED_VALUE"""),"")</f>
        <v/>
      </c>
      <c r="L1323" s="5" t="str">
        <f>IFERROR(__xludf.DUMMYFUNCTION("""COMPUTED_VALUE"""),"")</f>
        <v/>
      </c>
      <c r="M1323" s="5" t="str">
        <f>IFERROR(__xludf.DUMMYFUNCTION("""COMPUTED_VALUE"""),"")</f>
        <v/>
      </c>
      <c r="N1323" s="5" t="str">
        <f>IFERROR(__xludf.DUMMYFUNCTION("""COMPUTED_VALUE"""),"")</f>
        <v/>
      </c>
      <c r="O1323" s="5" t="str">
        <f>IFERROR(__xludf.DUMMYFUNCTION("""COMPUTED_VALUE"""),"")</f>
        <v/>
      </c>
      <c r="P1323" s="5" t="str">
        <f>IFERROR(__xludf.DUMMYFUNCTION("""COMPUTED_VALUE"""),"")</f>
        <v/>
      </c>
      <c r="Q1323" s="5" t="str">
        <f>IFERROR(__xludf.DUMMYFUNCTION("""COMPUTED_VALUE"""),"")</f>
        <v/>
      </c>
      <c r="R1323" s="5" t="str">
        <f>IFERROR(__xludf.DUMMYFUNCTION("""COMPUTED_VALUE"""),"")</f>
        <v/>
      </c>
      <c r="S1323" s="5" t="str">
        <f>IFERROR(__xludf.DUMMYFUNCTION("""COMPUTED_VALUE"""),"")</f>
        <v/>
      </c>
      <c r="T1323" s="5" t="str">
        <f>IFERROR(__xludf.DUMMYFUNCTION("""COMPUTED_VALUE"""),"")</f>
        <v/>
      </c>
      <c r="U1323" s="5" t="str">
        <f>IFERROR(__xludf.DUMMYFUNCTION("""COMPUTED_VALUE"""),"")</f>
        <v/>
      </c>
      <c r="V1323" s="5" t="str">
        <f>IFERROR(__xludf.DUMMYFUNCTION("""COMPUTED_VALUE"""),"")</f>
        <v/>
      </c>
      <c r="W1323" s="5" t="str">
        <f>IFERROR(__xludf.DUMMYFUNCTION("""COMPUTED_VALUE"""),"")</f>
        <v/>
      </c>
      <c r="X1323" s="5" t="str">
        <f>IFERROR(__xludf.DUMMYFUNCTION("""COMPUTED_VALUE"""),"")</f>
        <v/>
      </c>
      <c r="Y1323" s="5"/>
      <c r="Z1323" s="5"/>
    </row>
    <row r="1324">
      <c r="A1324" s="5"/>
      <c r="B1324" s="5" t="str">
        <f>IFERROR(__xludf.DUMMYFUNCTION("""COMPUTED_VALUE"""),"")</f>
        <v/>
      </c>
      <c r="C1324" s="5" t="str">
        <f>IFERROR(__xludf.DUMMYFUNCTION("""COMPUTED_VALUE"""),"")</f>
        <v/>
      </c>
      <c r="D1324" s="5" t="str">
        <f>IFERROR(__xludf.DUMMYFUNCTION("""COMPUTED_VALUE"""),"")</f>
        <v/>
      </c>
      <c r="E1324" s="5" t="str">
        <f>IFERROR(__xludf.DUMMYFUNCTION("""COMPUTED_VALUE"""),"")</f>
        <v/>
      </c>
      <c r="F1324" s="5" t="str">
        <f>IFERROR(__xludf.DUMMYFUNCTION("""COMPUTED_VALUE"""),"")</f>
        <v/>
      </c>
      <c r="G1324" s="5" t="str">
        <f>IFERROR(__xludf.DUMMYFUNCTION("""COMPUTED_VALUE"""),"")</f>
        <v/>
      </c>
      <c r="H1324" s="5" t="str">
        <f>IFERROR(__xludf.DUMMYFUNCTION("""COMPUTED_VALUE"""),"")</f>
        <v/>
      </c>
      <c r="I1324" s="5" t="str">
        <f>IFERROR(__xludf.DUMMYFUNCTION("""COMPUTED_VALUE"""),"")</f>
        <v/>
      </c>
      <c r="J1324" s="5" t="str">
        <f>IFERROR(__xludf.DUMMYFUNCTION("""COMPUTED_VALUE"""),"")</f>
        <v/>
      </c>
      <c r="K1324" s="5" t="str">
        <f>IFERROR(__xludf.DUMMYFUNCTION("""COMPUTED_VALUE"""),"")</f>
        <v/>
      </c>
      <c r="L1324" s="5" t="str">
        <f>IFERROR(__xludf.DUMMYFUNCTION("""COMPUTED_VALUE"""),"")</f>
        <v/>
      </c>
      <c r="M1324" s="5" t="str">
        <f>IFERROR(__xludf.DUMMYFUNCTION("""COMPUTED_VALUE"""),"")</f>
        <v/>
      </c>
      <c r="N1324" s="5" t="str">
        <f>IFERROR(__xludf.DUMMYFUNCTION("""COMPUTED_VALUE"""),"")</f>
        <v/>
      </c>
      <c r="O1324" s="5" t="str">
        <f>IFERROR(__xludf.DUMMYFUNCTION("""COMPUTED_VALUE"""),"")</f>
        <v/>
      </c>
      <c r="P1324" s="5" t="str">
        <f>IFERROR(__xludf.DUMMYFUNCTION("""COMPUTED_VALUE"""),"")</f>
        <v/>
      </c>
      <c r="Q1324" s="5" t="str">
        <f>IFERROR(__xludf.DUMMYFUNCTION("""COMPUTED_VALUE"""),"")</f>
        <v/>
      </c>
      <c r="R1324" s="5" t="str">
        <f>IFERROR(__xludf.DUMMYFUNCTION("""COMPUTED_VALUE"""),"")</f>
        <v/>
      </c>
      <c r="S1324" s="5" t="str">
        <f>IFERROR(__xludf.DUMMYFUNCTION("""COMPUTED_VALUE"""),"")</f>
        <v/>
      </c>
      <c r="T1324" s="5" t="str">
        <f>IFERROR(__xludf.DUMMYFUNCTION("""COMPUTED_VALUE"""),"")</f>
        <v/>
      </c>
      <c r="U1324" s="5" t="str">
        <f>IFERROR(__xludf.DUMMYFUNCTION("""COMPUTED_VALUE"""),"")</f>
        <v/>
      </c>
      <c r="V1324" s="5" t="str">
        <f>IFERROR(__xludf.DUMMYFUNCTION("""COMPUTED_VALUE"""),"")</f>
        <v/>
      </c>
      <c r="W1324" s="5" t="str">
        <f>IFERROR(__xludf.DUMMYFUNCTION("""COMPUTED_VALUE"""),"")</f>
        <v/>
      </c>
      <c r="X1324" s="5" t="str">
        <f>IFERROR(__xludf.DUMMYFUNCTION("""COMPUTED_VALUE"""),"")</f>
        <v/>
      </c>
      <c r="Y1324" s="5"/>
      <c r="Z1324" s="5"/>
    </row>
    <row r="1325">
      <c r="A1325" s="5"/>
      <c r="B1325" s="5" t="str">
        <f>IFERROR(__xludf.DUMMYFUNCTION("""COMPUTED_VALUE"""),"")</f>
        <v/>
      </c>
      <c r="C1325" s="5" t="str">
        <f>IFERROR(__xludf.DUMMYFUNCTION("""COMPUTED_VALUE"""),"")</f>
        <v/>
      </c>
      <c r="D1325" s="5" t="str">
        <f>IFERROR(__xludf.DUMMYFUNCTION("""COMPUTED_VALUE"""),"")</f>
        <v/>
      </c>
      <c r="E1325" s="5" t="str">
        <f>IFERROR(__xludf.DUMMYFUNCTION("""COMPUTED_VALUE"""),"")</f>
        <v/>
      </c>
      <c r="F1325" s="5" t="str">
        <f>IFERROR(__xludf.DUMMYFUNCTION("""COMPUTED_VALUE"""),"")</f>
        <v/>
      </c>
      <c r="G1325" s="5" t="str">
        <f>IFERROR(__xludf.DUMMYFUNCTION("""COMPUTED_VALUE"""),"")</f>
        <v/>
      </c>
      <c r="H1325" s="5" t="str">
        <f>IFERROR(__xludf.DUMMYFUNCTION("""COMPUTED_VALUE"""),"")</f>
        <v/>
      </c>
      <c r="I1325" s="5" t="str">
        <f>IFERROR(__xludf.DUMMYFUNCTION("""COMPUTED_VALUE"""),"")</f>
        <v/>
      </c>
      <c r="J1325" s="5" t="str">
        <f>IFERROR(__xludf.DUMMYFUNCTION("""COMPUTED_VALUE"""),"")</f>
        <v/>
      </c>
      <c r="K1325" s="5" t="str">
        <f>IFERROR(__xludf.DUMMYFUNCTION("""COMPUTED_VALUE"""),"")</f>
        <v/>
      </c>
      <c r="L1325" s="5" t="str">
        <f>IFERROR(__xludf.DUMMYFUNCTION("""COMPUTED_VALUE"""),"")</f>
        <v/>
      </c>
      <c r="M1325" s="5" t="str">
        <f>IFERROR(__xludf.DUMMYFUNCTION("""COMPUTED_VALUE"""),"")</f>
        <v/>
      </c>
      <c r="N1325" s="5" t="str">
        <f>IFERROR(__xludf.DUMMYFUNCTION("""COMPUTED_VALUE"""),"")</f>
        <v/>
      </c>
      <c r="O1325" s="5" t="str">
        <f>IFERROR(__xludf.DUMMYFUNCTION("""COMPUTED_VALUE"""),"")</f>
        <v/>
      </c>
      <c r="P1325" s="5" t="str">
        <f>IFERROR(__xludf.DUMMYFUNCTION("""COMPUTED_VALUE"""),"")</f>
        <v/>
      </c>
      <c r="Q1325" s="5" t="str">
        <f>IFERROR(__xludf.DUMMYFUNCTION("""COMPUTED_VALUE"""),"")</f>
        <v/>
      </c>
      <c r="R1325" s="5" t="str">
        <f>IFERROR(__xludf.DUMMYFUNCTION("""COMPUTED_VALUE"""),"")</f>
        <v/>
      </c>
      <c r="S1325" s="5" t="str">
        <f>IFERROR(__xludf.DUMMYFUNCTION("""COMPUTED_VALUE"""),"")</f>
        <v/>
      </c>
      <c r="T1325" s="5" t="str">
        <f>IFERROR(__xludf.DUMMYFUNCTION("""COMPUTED_VALUE"""),"")</f>
        <v/>
      </c>
      <c r="U1325" s="5" t="str">
        <f>IFERROR(__xludf.DUMMYFUNCTION("""COMPUTED_VALUE"""),"")</f>
        <v/>
      </c>
      <c r="V1325" s="5" t="str">
        <f>IFERROR(__xludf.DUMMYFUNCTION("""COMPUTED_VALUE"""),"")</f>
        <v/>
      </c>
      <c r="W1325" s="5" t="str">
        <f>IFERROR(__xludf.DUMMYFUNCTION("""COMPUTED_VALUE"""),"")</f>
        <v/>
      </c>
      <c r="X1325" s="5" t="str">
        <f>IFERROR(__xludf.DUMMYFUNCTION("""COMPUTED_VALUE"""),"")</f>
        <v/>
      </c>
      <c r="Y1325" s="5"/>
      <c r="Z1325" s="5"/>
    </row>
    <row r="1326">
      <c r="A1326" s="5"/>
      <c r="B1326" s="5" t="str">
        <f>IFERROR(__xludf.DUMMYFUNCTION("""COMPUTED_VALUE"""),"")</f>
        <v/>
      </c>
      <c r="C1326" s="5" t="str">
        <f>IFERROR(__xludf.DUMMYFUNCTION("""COMPUTED_VALUE"""),"")</f>
        <v/>
      </c>
      <c r="D1326" s="5" t="str">
        <f>IFERROR(__xludf.DUMMYFUNCTION("""COMPUTED_VALUE"""),"")</f>
        <v/>
      </c>
      <c r="E1326" s="5" t="str">
        <f>IFERROR(__xludf.DUMMYFUNCTION("""COMPUTED_VALUE"""),"")</f>
        <v/>
      </c>
      <c r="F1326" s="5" t="str">
        <f>IFERROR(__xludf.DUMMYFUNCTION("""COMPUTED_VALUE"""),"")</f>
        <v/>
      </c>
      <c r="G1326" s="5" t="str">
        <f>IFERROR(__xludf.DUMMYFUNCTION("""COMPUTED_VALUE"""),"")</f>
        <v/>
      </c>
      <c r="H1326" s="5" t="str">
        <f>IFERROR(__xludf.DUMMYFUNCTION("""COMPUTED_VALUE"""),"")</f>
        <v/>
      </c>
      <c r="I1326" s="5" t="str">
        <f>IFERROR(__xludf.DUMMYFUNCTION("""COMPUTED_VALUE"""),"")</f>
        <v/>
      </c>
      <c r="J1326" s="5" t="str">
        <f>IFERROR(__xludf.DUMMYFUNCTION("""COMPUTED_VALUE"""),"")</f>
        <v/>
      </c>
      <c r="K1326" s="5" t="str">
        <f>IFERROR(__xludf.DUMMYFUNCTION("""COMPUTED_VALUE"""),"")</f>
        <v/>
      </c>
      <c r="L1326" s="5" t="str">
        <f>IFERROR(__xludf.DUMMYFUNCTION("""COMPUTED_VALUE"""),"")</f>
        <v/>
      </c>
      <c r="M1326" s="5" t="str">
        <f>IFERROR(__xludf.DUMMYFUNCTION("""COMPUTED_VALUE"""),"")</f>
        <v/>
      </c>
      <c r="N1326" s="5" t="str">
        <f>IFERROR(__xludf.DUMMYFUNCTION("""COMPUTED_VALUE"""),"")</f>
        <v/>
      </c>
      <c r="O1326" s="5" t="str">
        <f>IFERROR(__xludf.DUMMYFUNCTION("""COMPUTED_VALUE"""),"")</f>
        <v/>
      </c>
      <c r="P1326" s="5" t="str">
        <f>IFERROR(__xludf.DUMMYFUNCTION("""COMPUTED_VALUE"""),"")</f>
        <v/>
      </c>
      <c r="Q1326" s="5" t="str">
        <f>IFERROR(__xludf.DUMMYFUNCTION("""COMPUTED_VALUE"""),"")</f>
        <v/>
      </c>
      <c r="R1326" s="5" t="str">
        <f>IFERROR(__xludf.DUMMYFUNCTION("""COMPUTED_VALUE"""),"")</f>
        <v/>
      </c>
      <c r="S1326" s="5" t="str">
        <f>IFERROR(__xludf.DUMMYFUNCTION("""COMPUTED_VALUE"""),"")</f>
        <v/>
      </c>
      <c r="T1326" s="5" t="str">
        <f>IFERROR(__xludf.DUMMYFUNCTION("""COMPUTED_VALUE"""),"")</f>
        <v/>
      </c>
      <c r="U1326" s="5" t="str">
        <f>IFERROR(__xludf.DUMMYFUNCTION("""COMPUTED_VALUE"""),"")</f>
        <v/>
      </c>
      <c r="V1326" s="5" t="str">
        <f>IFERROR(__xludf.DUMMYFUNCTION("""COMPUTED_VALUE"""),"")</f>
        <v/>
      </c>
      <c r="W1326" s="5" t="str">
        <f>IFERROR(__xludf.DUMMYFUNCTION("""COMPUTED_VALUE"""),"")</f>
        <v/>
      </c>
      <c r="X1326" s="5" t="str">
        <f>IFERROR(__xludf.DUMMYFUNCTION("""COMPUTED_VALUE"""),"")</f>
        <v/>
      </c>
      <c r="Y1326" s="5"/>
      <c r="Z1326" s="5"/>
    </row>
    <row r="1327">
      <c r="A1327" s="5"/>
      <c r="B1327" s="5" t="str">
        <f>IFERROR(__xludf.DUMMYFUNCTION("""COMPUTED_VALUE"""),"")</f>
        <v/>
      </c>
      <c r="C1327" s="5" t="str">
        <f>IFERROR(__xludf.DUMMYFUNCTION("""COMPUTED_VALUE"""),"")</f>
        <v/>
      </c>
      <c r="D1327" s="5" t="str">
        <f>IFERROR(__xludf.DUMMYFUNCTION("""COMPUTED_VALUE"""),"")</f>
        <v/>
      </c>
      <c r="E1327" s="5" t="str">
        <f>IFERROR(__xludf.DUMMYFUNCTION("""COMPUTED_VALUE"""),"")</f>
        <v/>
      </c>
      <c r="F1327" s="5" t="str">
        <f>IFERROR(__xludf.DUMMYFUNCTION("""COMPUTED_VALUE"""),"")</f>
        <v/>
      </c>
      <c r="G1327" s="5" t="str">
        <f>IFERROR(__xludf.DUMMYFUNCTION("""COMPUTED_VALUE"""),"")</f>
        <v/>
      </c>
      <c r="H1327" s="5" t="str">
        <f>IFERROR(__xludf.DUMMYFUNCTION("""COMPUTED_VALUE"""),"")</f>
        <v/>
      </c>
      <c r="I1327" s="5" t="str">
        <f>IFERROR(__xludf.DUMMYFUNCTION("""COMPUTED_VALUE"""),"")</f>
        <v/>
      </c>
      <c r="J1327" s="5" t="str">
        <f>IFERROR(__xludf.DUMMYFUNCTION("""COMPUTED_VALUE"""),"")</f>
        <v/>
      </c>
      <c r="K1327" s="5" t="str">
        <f>IFERROR(__xludf.DUMMYFUNCTION("""COMPUTED_VALUE"""),"")</f>
        <v/>
      </c>
      <c r="L1327" s="5" t="str">
        <f>IFERROR(__xludf.DUMMYFUNCTION("""COMPUTED_VALUE"""),"")</f>
        <v/>
      </c>
      <c r="M1327" s="5" t="str">
        <f>IFERROR(__xludf.DUMMYFUNCTION("""COMPUTED_VALUE"""),"")</f>
        <v/>
      </c>
      <c r="N1327" s="5" t="str">
        <f>IFERROR(__xludf.DUMMYFUNCTION("""COMPUTED_VALUE"""),"")</f>
        <v/>
      </c>
      <c r="O1327" s="5" t="str">
        <f>IFERROR(__xludf.DUMMYFUNCTION("""COMPUTED_VALUE"""),"")</f>
        <v/>
      </c>
      <c r="P1327" s="5" t="str">
        <f>IFERROR(__xludf.DUMMYFUNCTION("""COMPUTED_VALUE"""),"")</f>
        <v/>
      </c>
      <c r="Q1327" s="5" t="str">
        <f>IFERROR(__xludf.DUMMYFUNCTION("""COMPUTED_VALUE"""),"")</f>
        <v/>
      </c>
      <c r="R1327" s="5" t="str">
        <f>IFERROR(__xludf.DUMMYFUNCTION("""COMPUTED_VALUE"""),"")</f>
        <v/>
      </c>
      <c r="S1327" s="5" t="str">
        <f>IFERROR(__xludf.DUMMYFUNCTION("""COMPUTED_VALUE"""),"")</f>
        <v/>
      </c>
      <c r="T1327" s="5" t="str">
        <f>IFERROR(__xludf.DUMMYFUNCTION("""COMPUTED_VALUE"""),"")</f>
        <v/>
      </c>
      <c r="U1327" s="5" t="str">
        <f>IFERROR(__xludf.DUMMYFUNCTION("""COMPUTED_VALUE"""),"")</f>
        <v/>
      </c>
      <c r="V1327" s="5" t="str">
        <f>IFERROR(__xludf.DUMMYFUNCTION("""COMPUTED_VALUE"""),"")</f>
        <v/>
      </c>
      <c r="W1327" s="5" t="str">
        <f>IFERROR(__xludf.DUMMYFUNCTION("""COMPUTED_VALUE"""),"")</f>
        <v/>
      </c>
      <c r="X1327" s="5" t="str">
        <f>IFERROR(__xludf.DUMMYFUNCTION("""COMPUTED_VALUE"""),"")</f>
        <v/>
      </c>
      <c r="Y1327" s="5"/>
      <c r="Z1327" s="5"/>
    </row>
    <row r="1328">
      <c r="A1328" s="5"/>
      <c r="B1328" s="5" t="str">
        <f>IFERROR(__xludf.DUMMYFUNCTION("""COMPUTED_VALUE"""),"")</f>
        <v/>
      </c>
      <c r="C1328" s="5" t="str">
        <f>IFERROR(__xludf.DUMMYFUNCTION("""COMPUTED_VALUE"""),"")</f>
        <v/>
      </c>
      <c r="D1328" s="5" t="str">
        <f>IFERROR(__xludf.DUMMYFUNCTION("""COMPUTED_VALUE"""),"")</f>
        <v/>
      </c>
      <c r="E1328" s="5" t="str">
        <f>IFERROR(__xludf.DUMMYFUNCTION("""COMPUTED_VALUE"""),"")</f>
        <v/>
      </c>
      <c r="F1328" s="5" t="str">
        <f>IFERROR(__xludf.DUMMYFUNCTION("""COMPUTED_VALUE"""),"")</f>
        <v/>
      </c>
      <c r="G1328" s="5" t="str">
        <f>IFERROR(__xludf.DUMMYFUNCTION("""COMPUTED_VALUE"""),"")</f>
        <v/>
      </c>
      <c r="H1328" s="5" t="str">
        <f>IFERROR(__xludf.DUMMYFUNCTION("""COMPUTED_VALUE"""),"")</f>
        <v/>
      </c>
      <c r="I1328" s="5" t="str">
        <f>IFERROR(__xludf.DUMMYFUNCTION("""COMPUTED_VALUE"""),"")</f>
        <v/>
      </c>
      <c r="J1328" s="5" t="str">
        <f>IFERROR(__xludf.DUMMYFUNCTION("""COMPUTED_VALUE"""),"")</f>
        <v/>
      </c>
      <c r="K1328" s="5" t="str">
        <f>IFERROR(__xludf.DUMMYFUNCTION("""COMPUTED_VALUE"""),"")</f>
        <v/>
      </c>
      <c r="L1328" s="5" t="str">
        <f>IFERROR(__xludf.DUMMYFUNCTION("""COMPUTED_VALUE"""),"")</f>
        <v/>
      </c>
      <c r="M1328" s="5" t="str">
        <f>IFERROR(__xludf.DUMMYFUNCTION("""COMPUTED_VALUE"""),"")</f>
        <v/>
      </c>
      <c r="N1328" s="5" t="str">
        <f>IFERROR(__xludf.DUMMYFUNCTION("""COMPUTED_VALUE"""),"")</f>
        <v/>
      </c>
      <c r="O1328" s="5" t="str">
        <f>IFERROR(__xludf.DUMMYFUNCTION("""COMPUTED_VALUE"""),"")</f>
        <v/>
      </c>
      <c r="P1328" s="5" t="str">
        <f>IFERROR(__xludf.DUMMYFUNCTION("""COMPUTED_VALUE"""),"")</f>
        <v/>
      </c>
      <c r="Q1328" s="5" t="str">
        <f>IFERROR(__xludf.DUMMYFUNCTION("""COMPUTED_VALUE"""),"")</f>
        <v/>
      </c>
      <c r="R1328" s="5" t="str">
        <f>IFERROR(__xludf.DUMMYFUNCTION("""COMPUTED_VALUE"""),"")</f>
        <v/>
      </c>
      <c r="S1328" s="5" t="str">
        <f>IFERROR(__xludf.DUMMYFUNCTION("""COMPUTED_VALUE"""),"")</f>
        <v/>
      </c>
      <c r="T1328" s="5" t="str">
        <f>IFERROR(__xludf.DUMMYFUNCTION("""COMPUTED_VALUE"""),"")</f>
        <v/>
      </c>
      <c r="U1328" s="5" t="str">
        <f>IFERROR(__xludf.DUMMYFUNCTION("""COMPUTED_VALUE"""),"")</f>
        <v/>
      </c>
      <c r="V1328" s="5" t="str">
        <f>IFERROR(__xludf.DUMMYFUNCTION("""COMPUTED_VALUE"""),"")</f>
        <v/>
      </c>
      <c r="W1328" s="5" t="str">
        <f>IFERROR(__xludf.DUMMYFUNCTION("""COMPUTED_VALUE"""),"")</f>
        <v/>
      </c>
      <c r="X1328" s="5" t="str">
        <f>IFERROR(__xludf.DUMMYFUNCTION("""COMPUTED_VALUE"""),"")</f>
        <v/>
      </c>
      <c r="Y1328" s="5"/>
      <c r="Z1328" s="5"/>
    </row>
    <row r="1329">
      <c r="A1329" s="5"/>
      <c r="B1329" s="5" t="str">
        <f>IFERROR(__xludf.DUMMYFUNCTION("""COMPUTED_VALUE"""),"")</f>
        <v/>
      </c>
      <c r="C1329" s="5" t="str">
        <f>IFERROR(__xludf.DUMMYFUNCTION("""COMPUTED_VALUE"""),"")</f>
        <v/>
      </c>
      <c r="D1329" s="5" t="str">
        <f>IFERROR(__xludf.DUMMYFUNCTION("""COMPUTED_VALUE"""),"")</f>
        <v/>
      </c>
      <c r="E1329" s="5" t="str">
        <f>IFERROR(__xludf.DUMMYFUNCTION("""COMPUTED_VALUE"""),"")</f>
        <v/>
      </c>
      <c r="F1329" s="5" t="str">
        <f>IFERROR(__xludf.DUMMYFUNCTION("""COMPUTED_VALUE"""),"")</f>
        <v/>
      </c>
      <c r="G1329" s="5" t="str">
        <f>IFERROR(__xludf.DUMMYFUNCTION("""COMPUTED_VALUE"""),"")</f>
        <v/>
      </c>
      <c r="H1329" s="5" t="str">
        <f>IFERROR(__xludf.DUMMYFUNCTION("""COMPUTED_VALUE"""),"")</f>
        <v/>
      </c>
      <c r="I1329" s="5" t="str">
        <f>IFERROR(__xludf.DUMMYFUNCTION("""COMPUTED_VALUE"""),"")</f>
        <v/>
      </c>
      <c r="J1329" s="5" t="str">
        <f>IFERROR(__xludf.DUMMYFUNCTION("""COMPUTED_VALUE"""),"")</f>
        <v/>
      </c>
      <c r="K1329" s="5" t="str">
        <f>IFERROR(__xludf.DUMMYFUNCTION("""COMPUTED_VALUE"""),"")</f>
        <v/>
      </c>
      <c r="L1329" s="5" t="str">
        <f>IFERROR(__xludf.DUMMYFUNCTION("""COMPUTED_VALUE"""),"")</f>
        <v/>
      </c>
      <c r="M1329" s="5" t="str">
        <f>IFERROR(__xludf.DUMMYFUNCTION("""COMPUTED_VALUE"""),"")</f>
        <v/>
      </c>
      <c r="N1329" s="5" t="str">
        <f>IFERROR(__xludf.DUMMYFUNCTION("""COMPUTED_VALUE"""),"")</f>
        <v/>
      </c>
      <c r="O1329" s="5" t="str">
        <f>IFERROR(__xludf.DUMMYFUNCTION("""COMPUTED_VALUE"""),"")</f>
        <v/>
      </c>
      <c r="P1329" s="5" t="str">
        <f>IFERROR(__xludf.DUMMYFUNCTION("""COMPUTED_VALUE"""),"")</f>
        <v/>
      </c>
      <c r="Q1329" s="5" t="str">
        <f>IFERROR(__xludf.DUMMYFUNCTION("""COMPUTED_VALUE"""),"")</f>
        <v/>
      </c>
      <c r="R1329" s="5" t="str">
        <f>IFERROR(__xludf.DUMMYFUNCTION("""COMPUTED_VALUE"""),"")</f>
        <v/>
      </c>
      <c r="S1329" s="5" t="str">
        <f>IFERROR(__xludf.DUMMYFUNCTION("""COMPUTED_VALUE"""),"")</f>
        <v/>
      </c>
      <c r="T1329" s="5" t="str">
        <f>IFERROR(__xludf.DUMMYFUNCTION("""COMPUTED_VALUE"""),"")</f>
        <v/>
      </c>
      <c r="U1329" s="5" t="str">
        <f>IFERROR(__xludf.DUMMYFUNCTION("""COMPUTED_VALUE"""),"")</f>
        <v/>
      </c>
      <c r="V1329" s="5" t="str">
        <f>IFERROR(__xludf.DUMMYFUNCTION("""COMPUTED_VALUE"""),"")</f>
        <v/>
      </c>
      <c r="W1329" s="5" t="str">
        <f>IFERROR(__xludf.DUMMYFUNCTION("""COMPUTED_VALUE"""),"")</f>
        <v/>
      </c>
      <c r="X1329" s="5" t="str">
        <f>IFERROR(__xludf.DUMMYFUNCTION("""COMPUTED_VALUE"""),"")</f>
        <v/>
      </c>
      <c r="Y1329" s="5"/>
      <c r="Z1329" s="5"/>
    </row>
    <row r="1330">
      <c r="A1330" s="5"/>
      <c r="B1330" s="5" t="str">
        <f>IFERROR(__xludf.DUMMYFUNCTION("""COMPUTED_VALUE"""),"")</f>
        <v/>
      </c>
      <c r="C1330" s="5" t="str">
        <f>IFERROR(__xludf.DUMMYFUNCTION("""COMPUTED_VALUE"""),"")</f>
        <v/>
      </c>
      <c r="D1330" s="5" t="str">
        <f>IFERROR(__xludf.DUMMYFUNCTION("""COMPUTED_VALUE"""),"")</f>
        <v/>
      </c>
      <c r="E1330" s="5" t="str">
        <f>IFERROR(__xludf.DUMMYFUNCTION("""COMPUTED_VALUE"""),"")</f>
        <v/>
      </c>
      <c r="F1330" s="5" t="str">
        <f>IFERROR(__xludf.DUMMYFUNCTION("""COMPUTED_VALUE"""),"")</f>
        <v/>
      </c>
      <c r="G1330" s="5" t="str">
        <f>IFERROR(__xludf.DUMMYFUNCTION("""COMPUTED_VALUE"""),"")</f>
        <v/>
      </c>
      <c r="H1330" s="5" t="str">
        <f>IFERROR(__xludf.DUMMYFUNCTION("""COMPUTED_VALUE"""),"")</f>
        <v/>
      </c>
      <c r="I1330" s="5" t="str">
        <f>IFERROR(__xludf.DUMMYFUNCTION("""COMPUTED_VALUE"""),"")</f>
        <v/>
      </c>
      <c r="J1330" s="5" t="str">
        <f>IFERROR(__xludf.DUMMYFUNCTION("""COMPUTED_VALUE"""),"")</f>
        <v/>
      </c>
      <c r="K1330" s="5" t="str">
        <f>IFERROR(__xludf.DUMMYFUNCTION("""COMPUTED_VALUE"""),"")</f>
        <v/>
      </c>
      <c r="L1330" s="5" t="str">
        <f>IFERROR(__xludf.DUMMYFUNCTION("""COMPUTED_VALUE"""),"")</f>
        <v/>
      </c>
      <c r="M1330" s="5" t="str">
        <f>IFERROR(__xludf.DUMMYFUNCTION("""COMPUTED_VALUE"""),"")</f>
        <v/>
      </c>
      <c r="N1330" s="5" t="str">
        <f>IFERROR(__xludf.DUMMYFUNCTION("""COMPUTED_VALUE"""),"")</f>
        <v/>
      </c>
      <c r="O1330" s="5" t="str">
        <f>IFERROR(__xludf.DUMMYFUNCTION("""COMPUTED_VALUE"""),"")</f>
        <v/>
      </c>
      <c r="P1330" s="5" t="str">
        <f>IFERROR(__xludf.DUMMYFUNCTION("""COMPUTED_VALUE"""),"")</f>
        <v/>
      </c>
      <c r="Q1330" s="5" t="str">
        <f>IFERROR(__xludf.DUMMYFUNCTION("""COMPUTED_VALUE"""),"")</f>
        <v/>
      </c>
      <c r="R1330" s="5" t="str">
        <f>IFERROR(__xludf.DUMMYFUNCTION("""COMPUTED_VALUE"""),"")</f>
        <v/>
      </c>
      <c r="S1330" s="5" t="str">
        <f>IFERROR(__xludf.DUMMYFUNCTION("""COMPUTED_VALUE"""),"")</f>
        <v/>
      </c>
      <c r="T1330" s="5" t="str">
        <f>IFERROR(__xludf.DUMMYFUNCTION("""COMPUTED_VALUE"""),"")</f>
        <v/>
      </c>
      <c r="U1330" s="5" t="str">
        <f>IFERROR(__xludf.DUMMYFUNCTION("""COMPUTED_VALUE"""),"")</f>
        <v/>
      </c>
      <c r="V1330" s="5" t="str">
        <f>IFERROR(__xludf.DUMMYFUNCTION("""COMPUTED_VALUE"""),"")</f>
        <v/>
      </c>
      <c r="W1330" s="5" t="str">
        <f>IFERROR(__xludf.DUMMYFUNCTION("""COMPUTED_VALUE"""),"")</f>
        <v/>
      </c>
      <c r="X1330" s="5" t="str">
        <f>IFERROR(__xludf.DUMMYFUNCTION("""COMPUTED_VALUE"""),"")</f>
        <v/>
      </c>
      <c r="Y1330" s="5"/>
      <c r="Z1330" s="5"/>
    </row>
    <row r="1331">
      <c r="A1331" s="5"/>
      <c r="B1331" s="5" t="str">
        <f>IFERROR(__xludf.DUMMYFUNCTION("""COMPUTED_VALUE"""),"")</f>
        <v/>
      </c>
      <c r="C1331" s="5" t="str">
        <f>IFERROR(__xludf.DUMMYFUNCTION("""COMPUTED_VALUE"""),"")</f>
        <v/>
      </c>
      <c r="D1331" s="5" t="str">
        <f>IFERROR(__xludf.DUMMYFUNCTION("""COMPUTED_VALUE"""),"")</f>
        <v/>
      </c>
      <c r="E1331" s="5" t="str">
        <f>IFERROR(__xludf.DUMMYFUNCTION("""COMPUTED_VALUE"""),"")</f>
        <v/>
      </c>
      <c r="F1331" s="5" t="str">
        <f>IFERROR(__xludf.DUMMYFUNCTION("""COMPUTED_VALUE"""),"")</f>
        <v/>
      </c>
      <c r="G1331" s="5" t="str">
        <f>IFERROR(__xludf.DUMMYFUNCTION("""COMPUTED_VALUE"""),"")</f>
        <v/>
      </c>
      <c r="H1331" s="5" t="str">
        <f>IFERROR(__xludf.DUMMYFUNCTION("""COMPUTED_VALUE"""),"")</f>
        <v/>
      </c>
      <c r="I1331" s="5" t="str">
        <f>IFERROR(__xludf.DUMMYFUNCTION("""COMPUTED_VALUE"""),"")</f>
        <v/>
      </c>
      <c r="J1331" s="5" t="str">
        <f>IFERROR(__xludf.DUMMYFUNCTION("""COMPUTED_VALUE"""),"")</f>
        <v/>
      </c>
      <c r="K1331" s="5" t="str">
        <f>IFERROR(__xludf.DUMMYFUNCTION("""COMPUTED_VALUE"""),"")</f>
        <v/>
      </c>
      <c r="L1331" s="5" t="str">
        <f>IFERROR(__xludf.DUMMYFUNCTION("""COMPUTED_VALUE"""),"")</f>
        <v/>
      </c>
      <c r="M1331" s="5" t="str">
        <f>IFERROR(__xludf.DUMMYFUNCTION("""COMPUTED_VALUE"""),"")</f>
        <v/>
      </c>
      <c r="N1331" s="5" t="str">
        <f>IFERROR(__xludf.DUMMYFUNCTION("""COMPUTED_VALUE"""),"")</f>
        <v/>
      </c>
      <c r="O1331" s="5" t="str">
        <f>IFERROR(__xludf.DUMMYFUNCTION("""COMPUTED_VALUE"""),"")</f>
        <v/>
      </c>
      <c r="P1331" s="5" t="str">
        <f>IFERROR(__xludf.DUMMYFUNCTION("""COMPUTED_VALUE"""),"")</f>
        <v/>
      </c>
      <c r="Q1331" s="5" t="str">
        <f>IFERROR(__xludf.DUMMYFUNCTION("""COMPUTED_VALUE"""),"")</f>
        <v/>
      </c>
      <c r="R1331" s="5" t="str">
        <f>IFERROR(__xludf.DUMMYFUNCTION("""COMPUTED_VALUE"""),"")</f>
        <v/>
      </c>
      <c r="S1331" s="5" t="str">
        <f>IFERROR(__xludf.DUMMYFUNCTION("""COMPUTED_VALUE"""),"")</f>
        <v/>
      </c>
      <c r="T1331" s="5" t="str">
        <f>IFERROR(__xludf.DUMMYFUNCTION("""COMPUTED_VALUE"""),"")</f>
        <v/>
      </c>
      <c r="U1331" s="5" t="str">
        <f>IFERROR(__xludf.DUMMYFUNCTION("""COMPUTED_VALUE"""),"")</f>
        <v/>
      </c>
      <c r="V1331" s="5" t="str">
        <f>IFERROR(__xludf.DUMMYFUNCTION("""COMPUTED_VALUE"""),"")</f>
        <v/>
      </c>
      <c r="W1331" s="5" t="str">
        <f>IFERROR(__xludf.DUMMYFUNCTION("""COMPUTED_VALUE"""),"")</f>
        <v/>
      </c>
      <c r="X1331" s="5" t="str">
        <f>IFERROR(__xludf.DUMMYFUNCTION("""COMPUTED_VALUE"""),"")</f>
        <v/>
      </c>
      <c r="Y1331" s="5"/>
      <c r="Z1331" s="5"/>
    </row>
    <row r="1332">
      <c r="A1332" s="5"/>
      <c r="B1332" s="5" t="str">
        <f>IFERROR(__xludf.DUMMYFUNCTION("""COMPUTED_VALUE"""),"")</f>
        <v/>
      </c>
      <c r="C1332" s="5" t="str">
        <f>IFERROR(__xludf.DUMMYFUNCTION("""COMPUTED_VALUE"""),"")</f>
        <v/>
      </c>
      <c r="D1332" s="5" t="str">
        <f>IFERROR(__xludf.DUMMYFUNCTION("""COMPUTED_VALUE"""),"")</f>
        <v/>
      </c>
      <c r="E1332" s="5" t="str">
        <f>IFERROR(__xludf.DUMMYFUNCTION("""COMPUTED_VALUE"""),"")</f>
        <v/>
      </c>
      <c r="F1332" s="5" t="str">
        <f>IFERROR(__xludf.DUMMYFUNCTION("""COMPUTED_VALUE"""),"")</f>
        <v/>
      </c>
      <c r="G1332" s="5" t="str">
        <f>IFERROR(__xludf.DUMMYFUNCTION("""COMPUTED_VALUE"""),"")</f>
        <v/>
      </c>
      <c r="H1332" s="5" t="str">
        <f>IFERROR(__xludf.DUMMYFUNCTION("""COMPUTED_VALUE"""),"")</f>
        <v/>
      </c>
      <c r="I1332" s="5" t="str">
        <f>IFERROR(__xludf.DUMMYFUNCTION("""COMPUTED_VALUE"""),"")</f>
        <v/>
      </c>
      <c r="J1332" s="5" t="str">
        <f>IFERROR(__xludf.DUMMYFUNCTION("""COMPUTED_VALUE"""),"")</f>
        <v/>
      </c>
      <c r="K1332" s="5" t="str">
        <f>IFERROR(__xludf.DUMMYFUNCTION("""COMPUTED_VALUE"""),"")</f>
        <v/>
      </c>
      <c r="L1332" s="5" t="str">
        <f>IFERROR(__xludf.DUMMYFUNCTION("""COMPUTED_VALUE"""),"")</f>
        <v/>
      </c>
      <c r="M1332" s="5" t="str">
        <f>IFERROR(__xludf.DUMMYFUNCTION("""COMPUTED_VALUE"""),"")</f>
        <v/>
      </c>
      <c r="N1332" s="5" t="str">
        <f>IFERROR(__xludf.DUMMYFUNCTION("""COMPUTED_VALUE"""),"")</f>
        <v/>
      </c>
      <c r="O1332" s="5" t="str">
        <f>IFERROR(__xludf.DUMMYFUNCTION("""COMPUTED_VALUE"""),"")</f>
        <v/>
      </c>
      <c r="P1332" s="5" t="str">
        <f>IFERROR(__xludf.DUMMYFUNCTION("""COMPUTED_VALUE"""),"")</f>
        <v/>
      </c>
      <c r="Q1332" s="5" t="str">
        <f>IFERROR(__xludf.DUMMYFUNCTION("""COMPUTED_VALUE"""),"")</f>
        <v/>
      </c>
      <c r="R1332" s="5" t="str">
        <f>IFERROR(__xludf.DUMMYFUNCTION("""COMPUTED_VALUE"""),"")</f>
        <v/>
      </c>
      <c r="S1332" s="5" t="str">
        <f>IFERROR(__xludf.DUMMYFUNCTION("""COMPUTED_VALUE"""),"")</f>
        <v/>
      </c>
      <c r="T1332" s="5" t="str">
        <f>IFERROR(__xludf.DUMMYFUNCTION("""COMPUTED_VALUE"""),"")</f>
        <v/>
      </c>
      <c r="U1332" s="5" t="str">
        <f>IFERROR(__xludf.DUMMYFUNCTION("""COMPUTED_VALUE"""),"")</f>
        <v/>
      </c>
      <c r="V1332" s="5" t="str">
        <f>IFERROR(__xludf.DUMMYFUNCTION("""COMPUTED_VALUE"""),"")</f>
        <v/>
      </c>
      <c r="W1332" s="5" t="str">
        <f>IFERROR(__xludf.DUMMYFUNCTION("""COMPUTED_VALUE"""),"")</f>
        <v/>
      </c>
      <c r="X1332" s="5" t="str">
        <f>IFERROR(__xludf.DUMMYFUNCTION("""COMPUTED_VALUE"""),"")</f>
        <v/>
      </c>
      <c r="Y1332" s="5"/>
      <c r="Z1332" s="5"/>
    </row>
    <row r="1333">
      <c r="A1333" s="5"/>
      <c r="B1333" s="5" t="str">
        <f>IFERROR(__xludf.DUMMYFUNCTION("""COMPUTED_VALUE"""),"")</f>
        <v/>
      </c>
      <c r="C1333" s="5" t="str">
        <f>IFERROR(__xludf.DUMMYFUNCTION("""COMPUTED_VALUE"""),"")</f>
        <v/>
      </c>
      <c r="D1333" s="5" t="str">
        <f>IFERROR(__xludf.DUMMYFUNCTION("""COMPUTED_VALUE"""),"")</f>
        <v/>
      </c>
      <c r="E1333" s="5" t="str">
        <f>IFERROR(__xludf.DUMMYFUNCTION("""COMPUTED_VALUE"""),"")</f>
        <v/>
      </c>
      <c r="F1333" s="5" t="str">
        <f>IFERROR(__xludf.DUMMYFUNCTION("""COMPUTED_VALUE"""),"")</f>
        <v/>
      </c>
      <c r="G1333" s="5" t="str">
        <f>IFERROR(__xludf.DUMMYFUNCTION("""COMPUTED_VALUE"""),"")</f>
        <v/>
      </c>
      <c r="H1333" s="5" t="str">
        <f>IFERROR(__xludf.DUMMYFUNCTION("""COMPUTED_VALUE"""),"")</f>
        <v/>
      </c>
      <c r="I1333" s="5" t="str">
        <f>IFERROR(__xludf.DUMMYFUNCTION("""COMPUTED_VALUE"""),"")</f>
        <v/>
      </c>
      <c r="J1333" s="5" t="str">
        <f>IFERROR(__xludf.DUMMYFUNCTION("""COMPUTED_VALUE"""),"")</f>
        <v/>
      </c>
      <c r="K1333" s="5" t="str">
        <f>IFERROR(__xludf.DUMMYFUNCTION("""COMPUTED_VALUE"""),"")</f>
        <v/>
      </c>
      <c r="L1333" s="5" t="str">
        <f>IFERROR(__xludf.DUMMYFUNCTION("""COMPUTED_VALUE"""),"")</f>
        <v/>
      </c>
      <c r="M1333" s="5" t="str">
        <f>IFERROR(__xludf.DUMMYFUNCTION("""COMPUTED_VALUE"""),"")</f>
        <v/>
      </c>
      <c r="N1333" s="5" t="str">
        <f>IFERROR(__xludf.DUMMYFUNCTION("""COMPUTED_VALUE"""),"")</f>
        <v/>
      </c>
      <c r="O1333" s="5" t="str">
        <f>IFERROR(__xludf.DUMMYFUNCTION("""COMPUTED_VALUE"""),"")</f>
        <v/>
      </c>
      <c r="P1333" s="5" t="str">
        <f>IFERROR(__xludf.DUMMYFUNCTION("""COMPUTED_VALUE"""),"")</f>
        <v/>
      </c>
      <c r="Q1333" s="5" t="str">
        <f>IFERROR(__xludf.DUMMYFUNCTION("""COMPUTED_VALUE"""),"")</f>
        <v/>
      </c>
      <c r="R1333" s="5" t="str">
        <f>IFERROR(__xludf.DUMMYFUNCTION("""COMPUTED_VALUE"""),"")</f>
        <v/>
      </c>
      <c r="S1333" s="5" t="str">
        <f>IFERROR(__xludf.DUMMYFUNCTION("""COMPUTED_VALUE"""),"")</f>
        <v/>
      </c>
      <c r="T1333" s="5" t="str">
        <f>IFERROR(__xludf.DUMMYFUNCTION("""COMPUTED_VALUE"""),"")</f>
        <v/>
      </c>
      <c r="U1333" s="5" t="str">
        <f>IFERROR(__xludf.DUMMYFUNCTION("""COMPUTED_VALUE"""),"")</f>
        <v/>
      </c>
      <c r="V1333" s="5" t="str">
        <f>IFERROR(__xludf.DUMMYFUNCTION("""COMPUTED_VALUE"""),"")</f>
        <v/>
      </c>
      <c r="W1333" s="5" t="str">
        <f>IFERROR(__xludf.DUMMYFUNCTION("""COMPUTED_VALUE"""),"")</f>
        <v/>
      </c>
      <c r="X1333" s="5" t="str">
        <f>IFERROR(__xludf.DUMMYFUNCTION("""COMPUTED_VALUE"""),"")</f>
        <v/>
      </c>
      <c r="Y1333" s="5"/>
      <c r="Z1333" s="5"/>
    </row>
    <row r="1334">
      <c r="A1334" s="5"/>
      <c r="B1334" s="5" t="str">
        <f>IFERROR(__xludf.DUMMYFUNCTION("""COMPUTED_VALUE"""),"")</f>
        <v/>
      </c>
      <c r="C1334" s="5" t="str">
        <f>IFERROR(__xludf.DUMMYFUNCTION("""COMPUTED_VALUE"""),"")</f>
        <v/>
      </c>
      <c r="D1334" s="5" t="str">
        <f>IFERROR(__xludf.DUMMYFUNCTION("""COMPUTED_VALUE"""),"")</f>
        <v/>
      </c>
      <c r="E1334" s="5" t="str">
        <f>IFERROR(__xludf.DUMMYFUNCTION("""COMPUTED_VALUE"""),"")</f>
        <v/>
      </c>
      <c r="F1334" s="5" t="str">
        <f>IFERROR(__xludf.DUMMYFUNCTION("""COMPUTED_VALUE"""),"")</f>
        <v/>
      </c>
      <c r="G1334" s="5" t="str">
        <f>IFERROR(__xludf.DUMMYFUNCTION("""COMPUTED_VALUE"""),"")</f>
        <v/>
      </c>
      <c r="H1334" s="5" t="str">
        <f>IFERROR(__xludf.DUMMYFUNCTION("""COMPUTED_VALUE"""),"")</f>
        <v/>
      </c>
      <c r="I1334" s="5" t="str">
        <f>IFERROR(__xludf.DUMMYFUNCTION("""COMPUTED_VALUE"""),"")</f>
        <v/>
      </c>
      <c r="J1334" s="5" t="str">
        <f>IFERROR(__xludf.DUMMYFUNCTION("""COMPUTED_VALUE"""),"")</f>
        <v/>
      </c>
      <c r="K1334" s="5" t="str">
        <f>IFERROR(__xludf.DUMMYFUNCTION("""COMPUTED_VALUE"""),"")</f>
        <v/>
      </c>
      <c r="L1334" s="5" t="str">
        <f>IFERROR(__xludf.DUMMYFUNCTION("""COMPUTED_VALUE"""),"")</f>
        <v/>
      </c>
      <c r="M1334" s="5" t="str">
        <f>IFERROR(__xludf.DUMMYFUNCTION("""COMPUTED_VALUE"""),"")</f>
        <v/>
      </c>
      <c r="N1334" s="5" t="str">
        <f>IFERROR(__xludf.DUMMYFUNCTION("""COMPUTED_VALUE"""),"")</f>
        <v/>
      </c>
      <c r="O1334" s="5" t="str">
        <f>IFERROR(__xludf.DUMMYFUNCTION("""COMPUTED_VALUE"""),"")</f>
        <v/>
      </c>
      <c r="P1334" s="5" t="str">
        <f>IFERROR(__xludf.DUMMYFUNCTION("""COMPUTED_VALUE"""),"")</f>
        <v/>
      </c>
      <c r="Q1334" s="5" t="str">
        <f>IFERROR(__xludf.DUMMYFUNCTION("""COMPUTED_VALUE"""),"")</f>
        <v/>
      </c>
      <c r="R1334" s="5" t="str">
        <f>IFERROR(__xludf.DUMMYFUNCTION("""COMPUTED_VALUE"""),"")</f>
        <v/>
      </c>
      <c r="S1334" s="5" t="str">
        <f>IFERROR(__xludf.DUMMYFUNCTION("""COMPUTED_VALUE"""),"")</f>
        <v/>
      </c>
      <c r="T1334" s="5" t="str">
        <f>IFERROR(__xludf.DUMMYFUNCTION("""COMPUTED_VALUE"""),"")</f>
        <v/>
      </c>
      <c r="U1334" s="5" t="str">
        <f>IFERROR(__xludf.DUMMYFUNCTION("""COMPUTED_VALUE"""),"")</f>
        <v/>
      </c>
      <c r="V1334" s="5" t="str">
        <f>IFERROR(__xludf.DUMMYFUNCTION("""COMPUTED_VALUE"""),"")</f>
        <v/>
      </c>
      <c r="W1334" s="5" t="str">
        <f>IFERROR(__xludf.DUMMYFUNCTION("""COMPUTED_VALUE"""),"")</f>
        <v/>
      </c>
      <c r="X1334" s="5" t="str">
        <f>IFERROR(__xludf.DUMMYFUNCTION("""COMPUTED_VALUE"""),"")</f>
        <v/>
      </c>
      <c r="Y1334" s="5"/>
      <c r="Z1334" s="5"/>
    </row>
    <row r="1335">
      <c r="A1335" s="5"/>
      <c r="B1335" s="5" t="str">
        <f>IFERROR(__xludf.DUMMYFUNCTION("""COMPUTED_VALUE"""),"")</f>
        <v/>
      </c>
      <c r="C1335" s="5" t="str">
        <f>IFERROR(__xludf.DUMMYFUNCTION("""COMPUTED_VALUE"""),"")</f>
        <v/>
      </c>
      <c r="D1335" s="5" t="str">
        <f>IFERROR(__xludf.DUMMYFUNCTION("""COMPUTED_VALUE"""),"")</f>
        <v/>
      </c>
      <c r="E1335" s="5" t="str">
        <f>IFERROR(__xludf.DUMMYFUNCTION("""COMPUTED_VALUE"""),"")</f>
        <v/>
      </c>
      <c r="F1335" s="5" t="str">
        <f>IFERROR(__xludf.DUMMYFUNCTION("""COMPUTED_VALUE"""),"")</f>
        <v/>
      </c>
      <c r="G1335" s="5" t="str">
        <f>IFERROR(__xludf.DUMMYFUNCTION("""COMPUTED_VALUE"""),"")</f>
        <v/>
      </c>
      <c r="H1335" s="5" t="str">
        <f>IFERROR(__xludf.DUMMYFUNCTION("""COMPUTED_VALUE"""),"")</f>
        <v/>
      </c>
      <c r="I1335" s="5" t="str">
        <f>IFERROR(__xludf.DUMMYFUNCTION("""COMPUTED_VALUE"""),"")</f>
        <v/>
      </c>
      <c r="J1335" s="5" t="str">
        <f>IFERROR(__xludf.DUMMYFUNCTION("""COMPUTED_VALUE"""),"")</f>
        <v/>
      </c>
      <c r="K1335" s="5" t="str">
        <f>IFERROR(__xludf.DUMMYFUNCTION("""COMPUTED_VALUE"""),"")</f>
        <v/>
      </c>
      <c r="L1335" s="5" t="str">
        <f>IFERROR(__xludf.DUMMYFUNCTION("""COMPUTED_VALUE"""),"")</f>
        <v/>
      </c>
      <c r="M1335" s="5" t="str">
        <f>IFERROR(__xludf.DUMMYFUNCTION("""COMPUTED_VALUE"""),"")</f>
        <v/>
      </c>
      <c r="N1335" s="5" t="str">
        <f>IFERROR(__xludf.DUMMYFUNCTION("""COMPUTED_VALUE"""),"")</f>
        <v/>
      </c>
      <c r="O1335" s="5" t="str">
        <f>IFERROR(__xludf.DUMMYFUNCTION("""COMPUTED_VALUE"""),"")</f>
        <v/>
      </c>
      <c r="P1335" s="5" t="str">
        <f>IFERROR(__xludf.DUMMYFUNCTION("""COMPUTED_VALUE"""),"")</f>
        <v/>
      </c>
      <c r="Q1335" s="5" t="str">
        <f>IFERROR(__xludf.DUMMYFUNCTION("""COMPUTED_VALUE"""),"")</f>
        <v/>
      </c>
      <c r="R1335" s="5" t="str">
        <f>IFERROR(__xludf.DUMMYFUNCTION("""COMPUTED_VALUE"""),"")</f>
        <v/>
      </c>
      <c r="S1335" s="5" t="str">
        <f>IFERROR(__xludf.DUMMYFUNCTION("""COMPUTED_VALUE"""),"")</f>
        <v/>
      </c>
      <c r="T1335" s="5" t="str">
        <f>IFERROR(__xludf.DUMMYFUNCTION("""COMPUTED_VALUE"""),"")</f>
        <v/>
      </c>
      <c r="U1335" s="5" t="str">
        <f>IFERROR(__xludf.DUMMYFUNCTION("""COMPUTED_VALUE"""),"")</f>
        <v/>
      </c>
      <c r="V1335" s="5" t="str">
        <f>IFERROR(__xludf.DUMMYFUNCTION("""COMPUTED_VALUE"""),"")</f>
        <v/>
      </c>
      <c r="W1335" s="5" t="str">
        <f>IFERROR(__xludf.DUMMYFUNCTION("""COMPUTED_VALUE"""),"")</f>
        <v/>
      </c>
      <c r="X1335" s="5" t="str">
        <f>IFERROR(__xludf.DUMMYFUNCTION("""COMPUTED_VALUE"""),"")</f>
        <v/>
      </c>
      <c r="Y1335" s="5"/>
      <c r="Z1335" s="5"/>
    </row>
    <row r="1336">
      <c r="A1336" s="5"/>
      <c r="B1336" s="5" t="str">
        <f>IFERROR(__xludf.DUMMYFUNCTION("""COMPUTED_VALUE"""),"")</f>
        <v/>
      </c>
      <c r="C1336" s="5" t="str">
        <f>IFERROR(__xludf.DUMMYFUNCTION("""COMPUTED_VALUE"""),"")</f>
        <v/>
      </c>
      <c r="D1336" s="5" t="str">
        <f>IFERROR(__xludf.DUMMYFUNCTION("""COMPUTED_VALUE"""),"")</f>
        <v/>
      </c>
      <c r="E1336" s="5" t="str">
        <f>IFERROR(__xludf.DUMMYFUNCTION("""COMPUTED_VALUE"""),"")</f>
        <v/>
      </c>
      <c r="F1336" s="5" t="str">
        <f>IFERROR(__xludf.DUMMYFUNCTION("""COMPUTED_VALUE"""),"")</f>
        <v/>
      </c>
      <c r="G1336" s="5" t="str">
        <f>IFERROR(__xludf.DUMMYFUNCTION("""COMPUTED_VALUE"""),"")</f>
        <v/>
      </c>
      <c r="H1336" s="5" t="str">
        <f>IFERROR(__xludf.DUMMYFUNCTION("""COMPUTED_VALUE"""),"")</f>
        <v/>
      </c>
      <c r="I1336" s="5" t="str">
        <f>IFERROR(__xludf.DUMMYFUNCTION("""COMPUTED_VALUE"""),"")</f>
        <v/>
      </c>
      <c r="J1336" s="5" t="str">
        <f>IFERROR(__xludf.DUMMYFUNCTION("""COMPUTED_VALUE"""),"")</f>
        <v/>
      </c>
      <c r="K1336" s="5" t="str">
        <f>IFERROR(__xludf.DUMMYFUNCTION("""COMPUTED_VALUE"""),"")</f>
        <v/>
      </c>
      <c r="L1336" s="5" t="str">
        <f>IFERROR(__xludf.DUMMYFUNCTION("""COMPUTED_VALUE"""),"")</f>
        <v/>
      </c>
      <c r="M1336" s="5" t="str">
        <f>IFERROR(__xludf.DUMMYFUNCTION("""COMPUTED_VALUE"""),"")</f>
        <v/>
      </c>
      <c r="N1336" s="5" t="str">
        <f>IFERROR(__xludf.DUMMYFUNCTION("""COMPUTED_VALUE"""),"")</f>
        <v/>
      </c>
      <c r="O1336" s="5" t="str">
        <f>IFERROR(__xludf.DUMMYFUNCTION("""COMPUTED_VALUE"""),"")</f>
        <v/>
      </c>
      <c r="P1336" s="5" t="str">
        <f>IFERROR(__xludf.DUMMYFUNCTION("""COMPUTED_VALUE"""),"")</f>
        <v/>
      </c>
      <c r="Q1336" s="5" t="str">
        <f>IFERROR(__xludf.DUMMYFUNCTION("""COMPUTED_VALUE"""),"")</f>
        <v/>
      </c>
      <c r="R1336" s="5" t="str">
        <f>IFERROR(__xludf.DUMMYFUNCTION("""COMPUTED_VALUE"""),"")</f>
        <v/>
      </c>
      <c r="S1336" s="5" t="str">
        <f>IFERROR(__xludf.DUMMYFUNCTION("""COMPUTED_VALUE"""),"")</f>
        <v/>
      </c>
      <c r="T1336" s="5" t="str">
        <f>IFERROR(__xludf.DUMMYFUNCTION("""COMPUTED_VALUE"""),"")</f>
        <v/>
      </c>
      <c r="U1336" s="5" t="str">
        <f>IFERROR(__xludf.DUMMYFUNCTION("""COMPUTED_VALUE"""),"")</f>
        <v/>
      </c>
      <c r="V1336" s="5" t="str">
        <f>IFERROR(__xludf.DUMMYFUNCTION("""COMPUTED_VALUE"""),"")</f>
        <v/>
      </c>
      <c r="W1336" s="5" t="str">
        <f>IFERROR(__xludf.DUMMYFUNCTION("""COMPUTED_VALUE"""),"")</f>
        <v/>
      </c>
      <c r="X1336" s="5" t="str">
        <f>IFERROR(__xludf.DUMMYFUNCTION("""COMPUTED_VALUE"""),"")</f>
        <v/>
      </c>
      <c r="Y1336" s="5"/>
      <c r="Z1336" s="5"/>
    </row>
    <row r="1337">
      <c r="A1337" s="5"/>
      <c r="B1337" s="5" t="str">
        <f>IFERROR(__xludf.DUMMYFUNCTION("""COMPUTED_VALUE"""),"")</f>
        <v/>
      </c>
      <c r="C1337" s="5" t="str">
        <f>IFERROR(__xludf.DUMMYFUNCTION("""COMPUTED_VALUE"""),"")</f>
        <v/>
      </c>
      <c r="D1337" s="5" t="str">
        <f>IFERROR(__xludf.DUMMYFUNCTION("""COMPUTED_VALUE"""),"")</f>
        <v/>
      </c>
      <c r="E1337" s="5" t="str">
        <f>IFERROR(__xludf.DUMMYFUNCTION("""COMPUTED_VALUE"""),"")</f>
        <v/>
      </c>
      <c r="F1337" s="5" t="str">
        <f>IFERROR(__xludf.DUMMYFUNCTION("""COMPUTED_VALUE"""),"")</f>
        <v/>
      </c>
      <c r="G1337" s="5" t="str">
        <f>IFERROR(__xludf.DUMMYFUNCTION("""COMPUTED_VALUE"""),"")</f>
        <v/>
      </c>
      <c r="H1337" s="5" t="str">
        <f>IFERROR(__xludf.DUMMYFUNCTION("""COMPUTED_VALUE"""),"")</f>
        <v/>
      </c>
      <c r="I1337" s="5" t="str">
        <f>IFERROR(__xludf.DUMMYFUNCTION("""COMPUTED_VALUE"""),"")</f>
        <v/>
      </c>
      <c r="J1337" s="5" t="str">
        <f>IFERROR(__xludf.DUMMYFUNCTION("""COMPUTED_VALUE"""),"")</f>
        <v/>
      </c>
      <c r="K1337" s="5" t="str">
        <f>IFERROR(__xludf.DUMMYFUNCTION("""COMPUTED_VALUE"""),"")</f>
        <v/>
      </c>
      <c r="L1337" s="5" t="str">
        <f>IFERROR(__xludf.DUMMYFUNCTION("""COMPUTED_VALUE"""),"")</f>
        <v/>
      </c>
      <c r="M1337" s="5" t="str">
        <f>IFERROR(__xludf.DUMMYFUNCTION("""COMPUTED_VALUE"""),"")</f>
        <v/>
      </c>
      <c r="N1337" s="5" t="str">
        <f>IFERROR(__xludf.DUMMYFUNCTION("""COMPUTED_VALUE"""),"")</f>
        <v/>
      </c>
      <c r="O1337" s="5" t="str">
        <f>IFERROR(__xludf.DUMMYFUNCTION("""COMPUTED_VALUE"""),"")</f>
        <v/>
      </c>
      <c r="P1337" s="5" t="str">
        <f>IFERROR(__xludf.DUMMYFUNCTION("""COMPUTED_VALUE"""),"")</f>
        <v/>
      </c>
      <c r="Q1337" s="5" t="str">
        <f>IFERROR(__xludf.DUMMYFUNCTION("""COMPUTED_VALUE"""),"")</f>
        <v/>
      </c>
      <c r="R1337" s="5" t="str">
        <f>IFERROR(__xludf.DUMMYFUNCTION("""COMPUTED_VALUE"""),"")</f>
        <v/>
      </c>
      <c r="S1337" s="5" t="str">
        <f>IFERROR(__xludf.DUMMYFUNCTION("""COMPUTED_VALUE"""),"")</f>
        <v/>
      </c>
      <c r="T1337" s="5" t="str">
        <f>IFERROR(__xludf.DUMMYFUNCTION("""COMPUTED_VALUE"""),"")</f>
        <v/>
      </c>
      <c r="U1337" s="5" t="str">
        <f>IFERROR(__xludf.DUMMYFUNCTION("""COMPUTED_VALUE"""),"")</f>
        <v/>
      </c>
      <c r="V1337" s="5" t="str">
        <f>IFERROR(__xludf.DUMMYFUNCTION("""COMPUTED_VALUE"""),"")</f>
        <v/>
      </c>
      <c r="W1337" s="5" t="str">
        <f>IFERROR(__xludf.DUMMYFUNCTION("""COMPUTED_VALUE"""),"")</f>
        <v/>
      </c>
      <c r="X1337" s="5" t="str">
        <f>IFERROR(__xludf.DUMMYFUNCTION("""COMPUTED_VALUE"""),"")</f>
        <v/>
      </c>
      <c r="Y1337" s="5"/>
      <c r="Z1337" s="5"/>
    </row>
    <row r="1338">
      <c r="A1338" s="5"/>
      <c r="B1338" s="5" t="str">
        <f>IFERROR(__xludf.DUMMYFUNCTION("""COMPUTED_VALUE"""),"")</f>
        <v/>
      </c>
      <c r="C1338" s="5" t="str">
        <f>IFERROR(__xludf.DUMMYFUNCTION("""COMPUTED_VALUE"""),"")</f>
        <v/>
      </c>
      <c r="D1338" s="5" t="str">
        <f>IFERROR(__xludf.DUMMYFUNCTION("""COMPUTED_VALUE"""),"")</f>
        <v/>
      </c>
      <c r="E1338" s="5" t="str">
        <f>IFERROR(__xludf.DUMMYFUNCTION("""COMPUTED_VALUE"""),"")</f>
        <v/>
      </c>
      <c r="F1338" s="5" t="str">
        <f>IFERROR(__xludf.DUMMYFUNCTION("""COMPUTED_VALUE"""),"")</f>
        <v/>
      </c>
      <c r="G1338" s="5" t="str">
        <f>IFERROR(__xludf.DUMMYFUNCTION("""COMPUTED_VALUE"""),"")</f>
        <v/>
      </c>
      <c r="H1338" s="5" t="str">
        <f>IFERROR(__xludf.DUMMYFUNCTION("""COMPUTED_VALUE"""),"")</f>
        <v/>
      </c>
      <c r="I1338" s="5" t="str">
        <f>IFERROR(__xludf.DUMMYFUNCTION("""COMPUTED_VALUE"""),"")</f>
        <v/>
      </c>
      <c r="J1338" s="5" t="str">
        <f>IFERROR(__xludf.DUMMYFUNCTION("""COMPUTED_VALUE"""),"")</f>
        <v/>
      </c>
      <c r="K1338" s="5" t="str">
        <f>IFERROR(__xludf.DUMMYFUNCTION("""COMPUTED_VALUE"""),"")</f>
        <v/>
      </c>
      <c r="L1338" s="5" t="str">
        <f>IFERROR(__xludf.DUMMYFUNCTION("""COMPUTED_VALUE"""),"")</f>
        <v/>
      </c>
      <c r="M1338" s="5" t="str">
        <f>IFERROR(__xludf.DUMMYFUNCTION("""COMPUTED_VALUE"""),"")</f>
        <v/>
      </c>
      <c r="N1338" s="5" t="str">
        <f>IFERROR(__xludf.DUMMYFUNCTION("""COMPUTED_VALUE"""),"")</f>
        <v/>
      </c>
      <c r="O1338" s="5" t="str">
        <f>IFERROR(__xludf.DUMMYFUNCTION("""COMPUTED_VALUE"""),"")</f>
        <v/>
      </c>
      <c r="P1338" s="5" t="str">
        <f>IFERROR(__xludf.DUMMYFUNCTION("""COMPUTED_VALUE"""),"")</f>
        <v/>
      </c>
      <c r="Q1338" s="5" t="str">
        <f>IFERROR(__xludf.DUMMYFUNCTION("""COMPUTED_VALUE"""),"")</f>
        <v/>
      </c>
      <c r="R1338" s="5" t="str">
        <f>IFERROR(__xludf.DUMMYFUNCTION("""COMPUTED_VALUE"""),"")</f>
        <v/>
      </c>
      <c r="S1338" s="5" t="str">
        <f>IFERROR(__xludf.DUMMYFUNCTION("""COMPUTED_VALUE"""),"")</f>
        <v/>
      </c>
      <c r="T1338" s="5" t="str">
        <f>IFERROR(__xludf.DUMMYFUNCTION("""COMPUTED_VALUE"""),"")</f>
        <v/>
      </c>
      <c r="U1338" s="5" t="str">
        <f>IFERROR(__xludf.DUMMYFUNCTION("""COMPUTED_VALUE"""),"")</f>
        <v/>
      </c>
      <c r="V1338" s="5" t="str">
        <f>IFERROR(__xludf.DUMMYFUNCTION("""COMPUTED_VALUE"""),"")</f>
        <v/>
      </c>
      <c r="W1338" s="5" t="str">
        <f>IFERROR(__xludf.DUMMYFUNCTION("""COMPUTED_VALUE"""),"")</f>
        <v/>
      </c>
      <c r="X1338" s="5" t="str">
        <f>IFERROR(__xludf.DUMMYFUNCTION("""COMPUTED_VALUE"""),"")</f>
        <v/>
      </c>
      <c r="Y1338" s="5"/>
      <c r="Z1338" s="5"/>
    </row>
    <row r="1339">
      <c r="A1339" s="5"/>
      <c r="B1339" s="5" t="str">
        <f>IFERROR(__xludf.DUMMYFUNCTION("""COMPUTED_VALUE"""),"")</f>
        <v/>
      </c>
      <c r="C1339" s="5" t="str">
        <f>IFERROR(__xludf.DUMMYFUNCTION("""COMPUTED_VALUE"""),"")</f>
        <v/>
      </c>
      <c r="D1339" s="5" t="str">
        <f>IFERROR(__xludf.DUMMYFUNCTION("""COMPUTED_VALUE"""),"")</f>
        <v/>
      </c>
      <c r="E1339" s="5" t="str">
        <f>IFERROR(__xludf.DUMMYFUNCTION("""COMPUTED_VALUE"""),"")</f>
        <v/>
      </c>
      <c r="F1339" s="5" t="str">
        <f>IFERROR(__xludf.DUMMYFUNCTION("""COMPUTED_VALUE"""),"")</f>
        <v/>
      </c>
      <c r="G1339" s="5" t="str">
        <f>IFERROR(__xludf.DUMMYFUNCTION("""COMPUTED_VALUE"""),"")</f>
        <v/>
      </c>
      <c r="H1339" s="5" t="str">
        <f>IFERROR(__xludf.DUMMYFUNCTION("""COMPUTED_VALUE"""),"")</f>
        <v/>
      </c>
      <c r="I1339" s="5" t="str">
        <f>IFERROR(__xludf.DUMMYFUNCTION("""COMPUTED_VALUE"""),"")</f>
        <v/>
      </c>
      <c r="J1339" s="5" t="str">
        <f>IFERROR(__xludf.DUMMYFUNCTION("""COMPUTED_VALUE"""),"")</f>
        <v/>
      </c>
      <c r="K1339" s="5" t="str">
        <f>IFERROR(__xludf.DUMMYFUNCTION("""COMPUTED_VALUE"""),"")</f>
        <v/>
      </c>
      <c r="L1339" s="5" t="str">
        <f>IFERROR(__xludf.DUMMYFUNCTION("""COMPUTED_VALUE"""),"")</f>
        <v/>
      </c>
      <c r="M1339" s="5" t="str">
        <f>IFERROR(__xludf.DUMMYFUNCTION("""COMPUTED_VALUE"""),"")</f>
        <v/>
      </c>
      <c r="N1339" s="5" t="str">
        <f>IFERROR(__xludf.DUMMYFUNCTION("""COMPUTED_VALUE"""),"")</f>
        <v/>
      </c>
      <c r="O1339" s="5" t="str">
        <f>IFERROR(__xludf.DUMMYFUNCTION("""COMPUTED_VALUE"""),"")</f>
        <v/>
      </c>
      <c r="P1339" s="5" t="str">
        <f>IFERROR(__xludf.DUMMYFUNCTION("""COMPUTED_VALUE"""),"")</f>
        <v/>
      </c>
      <c r="Q1339" s="5" t="str">
        <f>IFERROR(__xludf.DUMMYFUNCTION("""COMPUTED_VALUE"""),"")</f>
        <v/>
      </c>
      <c r="R1339" s="5" t="str">
        <f>IFERROR(__xludf.DUMMYFUNCTION("""COMPUTED_VALUE"""),"")</f>
        <v/>
      </c>
      <c r="S1339" s="5" t="str">
        <f>IFERROR(__xludf.DUMMYFUNCTION("""COMPUTED_VALUE"""),"")</f>
        <v/>
      </c>
      <c r="T1339" s="5" t="str">
        <f>IFERROR(__xludf.DUMMYFUNCTION("""COMPUTED_VALUE"""),"")</f>
        <v/>
      </c>
      <c r="U1339" s="5" t="str">
        <f>IFERROR(__xludf.DUMMYFUNCTION("""COMPUTED_VALUE"""),"")</f>
        <v/>
      </c>
      <c r="V1339" s="5" t="str">
        <f>IFERROR(__xludf.DUMMYFUNCTION("""COMPUTED_VALUE"""),"")</f>
        <v/>
      </c>
      <c r="W1339" s="5" t="str">
        <f>IFERROR(__xludf.DUMMYFUNCTION("""COMPUTED_VALUE"""),"")</f>
        <v/>
      </c>
      <c r="X1339" s="5" t="str">
        <f>IFERROR(__xludf.DUMMYFUNCTION("""COMPUTED_VALUE"""),"")</f>
        <v/>
      </c>
      <c r="Y1339" s="5"/>
      <c r="Z1339" s="5"/>
    </row>
    <row r="1340">
      <c r="A1340" s="5"/>
      <c r="B1340" s="5" t="str">
        <f>IFERROR(__xludf.DUMMYFUNCTION("""COMPUTED_VALUE"""),"")</f>
        <v/>
      </c>
      <c r="C1340" s="5" t="str">
        <f>IFERROR(__xludf.DUMMYFUNCTION("""COMPUTED_VALUE"""),"")</f>
        <v/>
      </c>
      <c r="D1340" s="5" t="str">
        <f>IFERROR(__xludf.DUMMYFUNCTION("""COMPUTED_VALUE"""),"")</f>
        <v/>
      </c>
      <c r="E1340" s="5" t="str">
        <f>IFERROR(__xludf.DUMMYFUNCTION("""COMPUTED_VALUE"""),"")</f>
        <v/>
      </c>
      <c r="F1340" s="5" t="str">
        <f>IFERROR(__xludf.DUMMYFUNCTION("""COMPUTED_VALUE"""),"")</f>
        <v/>
      </c>
      <c r="G1340" s="5" t="str">
        <f>IFERROR(__xludf.DUMMYFUNCTION("""COMPUTED_VALUE"""),"")</f>
        <v/>
      </c>
      <c r="H1340" s="5" t="str">
        <f>IFERROR(__xludf.DUMMYFUNCTION("""COMPUTED_VALUE"""),"")</f>
        <v/>
      </c>
      <c r="I1340" s="5" t="str">
        <f>IFERROR(__xludf.DUMMYFUNCTION("""COMPUTED_VALUE"""),"")</f>
        <v/>
      </c>
      <c r="J1340" s="5" t="str">
        <f>IFERROR(__xludf.DUMMYFUNCTION("""COMPUTED_VALUE"""),"")</f>
        <v/>
      </c>
      <c r="K1340" s="5" t="str">
        <f>IFERROR(__xludf.DUMMYFUNCTION("""COMPUTED_VALUE"""),"")</f>
        <v/>
      </c>
      <c r="L1340" s="5" t="str">
        <f>IFERROR(__xludf.DUMMYFUNCTION("""COMPUTED_VALUE"""),"")</f>
        <v/>
      </c>
      <c r="M1340" s="5" t="str">
        <f>IFERROR(__xludf.DUMMYFUNCTION("""COMPUTED_VALUE"""),"")</f>
        <v/>
      </c>
      <c r="N1340" s="5" t="str">
        <f>IFERROR(__xludf.DUMMYFUNCTION("""COMPUTED_VALUE"""),"")</f>
        <v/>
      </c>
      <c r="O1340" s="5" t="str">
        <f>IFERROR(__xludf.DUMMYFUNCTION("""COMPUTED_VALUE"""),"")</f>
        <v/>
      </c>
      <c r="P1340" s="5" t="str">
        <f>IFERROR(__xludf.DUMMYFUNCTION("""COMPUTED_VALUE"""),"")</f>
        <v/>
      </c>
      <c r="Q1340" s="5" t="str">
        <f>IFERROR(__xludf.DUMMYFUNCTION("""COMPUTED_VALUE"""),"")</f>
        <v/>
      </c>
      <c r="R1340" s="5" t="str">
        <f>IFERROR(__xludf.DUMMYFUNCTION("""COMPUTED_VALUE"""),"")</f>
        <v/>
      </c>
      <c r="S1340" s="5" t="str">
        <f>IFERROR(__xludf.DUMMYFUNCTION("""COMPUTED_VALUE"""),"")</f>
        <v/>
      </c>
      <c r="T1340" s="5" t="str">
        <f>IFERROR(__xludf.DUMMYFUNCTION("""COMPUTED_VALUE"""),"")</f>
        <v/>
      </c>
      <c r="U1340" s="5" t="str">
        <f>IFERROR(__xludf.DUMMYFUNCTION("""COMPUTED_VALUE"""),"")</f>
        <v/>
      </c>
      <c r="V1340" s="5" t="str">
        <f>IFERROR(__xludf.DUMMYFUNCTION("""COMPUTED_VALUE"""),"")</f>
        <v/>
      </c>
      <c r="W1340" s="5" t="str">
        <f>IFERROR(__xludf.DUMMYFUNCTION("""COMPUTED_VALUE"""),"")</f>
        <v/>
      </c>
      <c r="X1340" s="5" t="str">
        <f>IFERROR(__xludf.DUMMYFUNCTION("""COMPUTED_VALUE"""),"")</f>
        <v/>
      </c>
      <c r="Y1340" s="5"/>
      <c r="Z1340" s="5"/>
    </row>
    <row r="1341">
      <c r="A1341" s="5"/>
      <c r="B1341" s="5" t="str">
        <f>IFERROR(__xludf.DUMMYFUNCTION("""COMPUTED_VALUE"""),"")</f>
        <v/>
      </c>
      <c r="C1341" s="5" t="str">
        <f>IFERROR(__xludf.DUMMYFUNCTION("""COMPUTED_VALUE"""),"")</f>
        <v/>
      </c>
      <c r="D1341" s="5" t="str">
        <f>IFERROR(__xludf.DUMMYFUNCTION("""COMPUTED_VALUE"""),"")</f>
        <v/>
      </c>
      <c r="E1341" s="5" t="str">
        <f>IFERROR(__xludf.DUMMYFUNCTION("""COMPUTED_VALUE"""),"")</f>
        <v/>
      </c>
      <c r="F1341" s="5" t="str">
        <f>IFERROR(__xludf.DUMMYFUNCTION("""COMPUTED_VALUE"""),"")</f>
        <v/>
      </c>
      <c r="G1341" s="5" t="str">
        <f>IFERROR(__xludf.DUMMYFUNCTION("""COMPUTED_VALUE"""),"")</f>
        <v/>
      </c>
      <c r="H1341" s="5" t="str">
        <f>IFERROR(__xludf.DUMMYFUNCTION("""COMPUTED_VALUE"""),"")</f>
        <v/>
      </c>
      <c r="I1341" s="5" t="str">
        <f>IFERROR(__xludf.DUMMYFUNCTION("""COMPUTED_VALUE"""),"")</f>
        <v/>
      </c>
      <c r="J1341" s="5" t="str">
        <f>IFERROR(__xludf.DUMMYFUNCTION("""COMPUTED_VALUE"""),"")</f>
        <v/>
      </c>
      <c r="K1341" s="5" t="str">
        <f>IFERROR(__xludf.DUMMYFUNCTION("""COMPUTED_VALUE"""),"")</f>
        <v/>
      </c>
      <c r="L1341" s="5" t="str">
        <f>IFERROR(__xludf.DUMMYFUNCTION("""COMPUTED_VALUE"""),"")</f>
        <v/>
      </c>
      <c r="M1341" s="5" t="str">
        <f>IFERROR(__xludf.DUMMYFUNCTION("""COMPUTED_VALUE"""),"")</f>
        <v/>
      </c>
      <c r="N1341" s="5" t="str">
        <f>IFERROR(__xludf.DUMMYFUNCTION("""COMPUTED_VALUE"""),"")</f>
        <v/>
      </c>
      <c r="O1341" s="5" t="str">
        <f>IFERROR(__xludf.DUMMYFUNCTION("""COMPUTED_VALUE"""),"")</f>
        <v/>
      </c>
      <c r="P1341" s="5" t="str">
        <f>IFERROR(__xludf.DUMMYFUNCTION("""COMPUTED_VALUE"""),"")</f>
        <v/>
      </c>
      <c r="Q1341" s="5" t="str">
        <f>IFERROR(__xludf.DUMMYFUNCTION("""COMPUTED_VALUE"""),"")</f>
        <v/>
      </c>
      <c r="R1341" s="5" t="str">
        <f>IFERROR(__xludf.DUMMYFUNCTION("""COMPUTED_VALUE"""),"")</f>
        <v/>
      </c>
      <c r="S1341" s="5" t="str">
        <f>IFERROR(__xludf.DUMMYFUNCTION("""COMPUTED_VALUE"""),"")</f>
        <v/>
      </c>
      <c r="T1341" s="5" t="str">
        <f>IFERROR(__xludf.DUMMYFUNCTION("""COMPUTED_VALUE"""),"")</f>
        <v/>
      </c>
      <c r="U1341" s="5" t="str">
        <f>IFERROR(__xludf.DUMMYFUNCTION("""COMPUTED_VALUE"""),"")</f>
        <v/>
      </c>
      <c r="V1341" s="5" t="str">
        <f>IFERROR(__xludf.DUMMYFUNCTION("""COMPUTED_VALUE"""),"")</f>
        <v/>
      </c>
      <c r="W1341" s="5" t="str">
        <f>IFERROR(__xludf.DUMMYFUNCTION("""COMPUTED_VALUE"""),"")</f>
        <v/>
      </c>
      <c r="X1341" s="5" t="str">
        <f>IFERROR(__xludf.DUMMYFUNCTION("""COMPUTED_VALUE"""),"")</f>
        <v/>
      </c>
      <c r="Y1341" s="5"/>
      <c r="Z1341" s="5"/>
    </row>
    <row r="1342">
      <c r="A1342" s="5"/>
      <c r="B1342" s="5" t="str">
        <f>IFERROR(__xludf.DUMMYFUNCTION("""COMPUTED_VALUE"""),"")</f>
        <v/>
      </c>
      <c r="C1342" s="5" t="str">
        <f>IFERROR(__xludf.DUMMYFUNCTION("""COMPUTED_VALUE"""),"")</f>
        <v/>
      </c>
      <c r="D1342" s="5" t="str">
        <f>IFERROR(__xludf.DUMMYFUNCTION("""COMPUTED_VALUE"""),"")</f>
        <v/>
      </c>
      <c r="E1342" s="5" t="str">
        <f>IFERROR(__xludf.DUMMYFUNCTION("""COMPUTED_VALUE"""),"")</f>
        <v/>
      </c>
      <c r="F1342" s="5" t="str">
        <f>IFERROR(__xludf.DUMMYFUNCTION("""COMPUTED_VALUE"""),"")</f>
        <v/>
      </c>
      <c r="G1342" s="5" t="str">
        <f>IFERROR(__xludf.DUMMYFUNCTION("""COMPUTED_VALUE"""),"")</f>
        <v/>
      </c>
      <c r="H1342" s="5" t="str">
        <f>IFERROR(__xludf.DUMMYFUNCTION("""COMPUTED_VALUE"""),"")</f>
        <v/>
      </c>
      <c r="I1342" s="5" t="str">
        <f>IFERROR(__xludf.DUMMYFUNCTION("""COMPUTED_VALUE"""),"")</f>
        <v/>
      </c>
      <c r="J1342" s="5" t="str">
        <f>IFERROR(__xludf.DUMMYFUNCTION("""COMPUTED_VALUE"""),"")</f>
        <v/>
      </c>
      <c r="K1342" s="5" t="str">
        <f>IFERROR(__xludf.DUMMYFUNCTION("""COMPUTED_VALUE"""),"")</f>
        <v/>
      </c>
      <c r="L1342" s="5" t="str">
        <f>IFERROR(__xludf.DUMMYFUNCTION("""COMPUTED_VALUE"""),"")</f>
        <v/>
      </c>
      <c r="M1342" s="5" t="str">
        <f>IFERROR(__xludf.DUMMYFUNCTION("""COMPUTED_VALUE"""),"")</f>
        <v/>
      </c>
      <c r="N1342" s="5" t="str">
        <f>IFERROR(__xludf.DUMMYFUNCTION("""COMPUTED_VALUE"""),"")</f>
        <v/>
      </c>
      <c r="O1342" s="5" t="str">
        <f>IFERROR(__xludf.DUMMYFUNCTION("""COMPUTED_VALUE"""),"")</f>
        <v/>
      </c>
      <c r="P1342" s="5" t="str">
        <f>IFERROR(__xludf.DUMMYFUNCTION("""COMPUTED_VALUE"""),"")</f>
        <v/>
      </c>
      <c r="Q1342" s="5" t="str">
        <f>IFERROR(__xludf.DUMMYFUNCTION("""COMPUTED_VALUE"""),"")</f>
        <v/>
      </c>
      <c r="R1342" s="5" t="str">
        <f>IFERROR(__xludf.DUMMYFUNCTION("""COMPUTED_VALUE"""),"")</f>
        <v/>
      </c>
      <c r="S1342" s="5" t="str">
        <f>IFERROR(__xludf.DUMMYFUNCTION("""COMPUTED_VALUE"""),"")</f>
        <v/>
      </c>
      <c r="T1342" s="5" t="str">
        <f>IFERROR(__xludf.DUMMYFUNCTION("""COMPUTED_VALUE"""),"")</f>
        <v/>
      </c>
      <c r="U1342" s="5" t="str">
        <f>IFERROR(__xludf.DUMMYFUNCTION("""COMPUTED_VALUE"""),"")</f>
        <v/>
      </c>
      <c r="V1342" s="5" t="str">
        <f>IFERROR(__xludf.DUMMYFUNCTION("""COMPUTED_VALUE"""),"")</f>
        <v/>
      </c>
      <c r="W1342" s="5" t="str">
        <f>IFERROR(__xludf.DUMMYFUNCTION("""COMPUTED_VALUE"""),"")</f>
        <v/>
      </c>
      <c r="X1342" s="5" t="str">
        <f>IFERROR(__xludf.DUMMYFUNCTION("""COMPUTED_VALUE"""),"")</f>
        <v/>
      </c>
      <c r="Y1342" s="5"/>
      <c r="Z1342" s="5"/>
    </row>
    <row r="1343">
      <c r="A1343" s="5"/>
      <c r="B1343" s="5" t="str">
        <f>IFERROR(__xludf.DUMMYFUNCTION("""COMPUTED_VALUE"""),"")</f>
        <v/>
      </c>
      <c r="C1343" s="5" t="str">
        <f>IFERROR(__xludf.DUMMYFUNCTION("""COMPUTED_VALUE"""),"")</f>
        <v/>
      </c>
      <c r="D1343" s="5" t="str">
        <f>IFERROR(__xludf.DUMMYFUNCTION("""COMPUTED_VALUE"""),"")</f>
        <v/>
      </c>
      <c r="E1343" s="5" t="str">
        <f>IFERROR(__xludf.DUMMYFUNCTION("""COMPUTED_VALUE"""),"")</f>
        <v/>
      </c>
      <c r="F1343" s="5" t="str">
        <f>IFERROR(__xludf.DUMMYFUNCTION("""COMPUTED_VALUE"""),"")</f>
        <v/>
      </c>
      <c r="G1343" s="5" t="str">
        <f>IFERROR(__xludf.DUMMYFUNCTION("""COMPUTED_VALUE"""),"")</f>
        <v/>
      </c>
      <c r="H1343" s="5" t="str">
        <f>IFERROR(__xludf.DUMMYFUNCTION("""COMPUTED_VALUE"""),"")</f>
        <v/>
      </c>
      <c r="I1343" s="5" t="str">
        <f>IFERROR(__xludf.DUMMYFUNCTION("""COMPUTED_VALUE"""),"")</f>
        <v/>
      </c>
      <c r="J1343" s="5" t="str">
        <f>IFERROR(__xludf.DUMMYFUNCTION("""COMPUTED_VALUE"""),"")</f>
        <v/>
      </c>
      <c r="K1343" s="5" t="str">
        <f>IFERROR(__xludf.DUMMYFUNCTION("""COMPUTED_VALUE"""),"")</f>
        <v/>
      </c>
      <c r="L1343" s="5" t="str">
        <f>IFERROR(__xludf.DUMMYFUNCTION("""COMPUTED_VALUE"""),"")</f>
        <v/>
      </c>
      <c r="M1343" s="5" t="str">
        <f>IFERROR(__xludf.DUMMYFUNCTION("""COMPUTED_VALUE"""),"")</f>
        <v/>
      </c>
      <c r="N1343" s="5" t="str">
        <f>IFERROR(__xludf.DUMMYFUNCTION("""COMPUTED_VALUE"""),"")</f>
        <v/>
      </c>
      <c r="O1343" s="5" t="str">
        <f>IFERROR(__xludf.DUMMYFUNCTION("""COMPUTED_VALUE"""),"")</f>
        <v/>
      </c>
      <c r="P1343" s="5" t="str">
        <f>IFERROR(__xludf.DUMMYFUNCTION("""COMPUTED_VALUE"""),"")</f>
        <v/>
      </c>
      <c r="Q1343" s="5" t="str">
        <f>IFERROR(__xludf.DUMMYFUNCTION("""COMPUTED_VALUE"""),"")</f>
        <v/>
      </c>
      <c r="R1343" s="5" t="str">
        <f>IFERROR(__xludf.DUMMYFUNCTION("""COMPUTED_VALUE"""),"")</f>
        <v/>
      </c>
      <c r="S1343" s="5" t="str">
        <f>IFERROR(__xludf.DUMMYFUNCTION("""COMPUTED_VALUE"""),"")</f>
        <v/>
      </c>
      <c r="T1343" s="5" t="str">
        <f>IFERROR(__xludf.DUMMYFUNCTION("""COMPUTED_VALUE"""),"")</f>
        <v/>
      </c>
      <c r="U1343" s="5" t="str">
        <f>IFERROR(__xludf.DUMMYFUNCTION("""COMPUTED_VALUE"""),"")</f>
        <v/>
      </c>
      <c r="V1343" s="5" t="str">
        <f>IFERROR(__xludf.DUMMYFUNCTION("""COMPUTED_VALUE"""),"")</f>
        <v/>
      </c>
      <c r="W1343" s="5" t="str">
        <f>IFERROR(__xludf.DUMMYFUNCTION("""COMPUTED_VALUE"""),"")</f>
        <v/>
      </c>
      <c r="X1343" s="5" t="str">
        <f>IFERROR(__xludf.DUMMYFUNCTION("""COMPUTED_VALUE"""),"")</f>
        <v/>
      </c>
      <c r="Y1343" s="5"/>
      <c r="Z1343" s="5"/>
    </row>
    <row r="1344">
      <c r="A1344" s="5"/>
      <c r="B1344" s="5" t="str">
        <f>IFERROR(__xludf.DUMMYFUNCTION("""COMPUTED_VALUE"""),"")</f>
        <v/>
      </c>
      <c r="C1344" s="5" t="str">
        <f>IFERROR(__xludf.DUMMYFUNCTION("""COMPUTED_VALUE"""),"")</f>
        <v/>
      </c>
      <c r="D1344" s="5" t="str">
        <f>IFERROR(__xludf.DUMMYFUNCTION("""COMPUTED_VALUE"""),"")</f>
        <v/>
      </c>
      <c r="E1344" s="5" t="str">
        <f>IFERROR(__xludf.DUMMYFUNCTION("""COMPUTED_VALUE"""),"")</f>
        <v/>
      </c>
      <c r="F1344" s="5" t="str">
        <f>IFERROR(__xludf.DUMMYFUNCTION("""COMPUTED_VALUE"""),"")</f>
        <v/>
      </c>
      <c r="G1344" s="5" t="str">
        <f>IFERROR(__xludf.DUMMYFUNCTION("""COMPUTED_VALUE"""),"")</f>
        <v/>
      </c>
      <c r="H1344" s="5" t="str">
        <f>IFERROR(__xludf.DUMMYFUNCTION("""COMPUTED_VALUE"""),"")</f>
        <v/>
      </c>
      <c r="I1344" s="5" t="str">
        <f>IFERROR(__xludf.DUMMYFUNCTION("""COMPUTED_VALUE"""),"")</f>
        <v/>
      </c>
      <c r="J1344" s="5" t="str">
        <f>IFERROR(__xludf.DUMMYFUNCTION("""COMPUTED_VALUE"""),"")</f>
        <v/>
      </c>
      <c r="K1344" s="5" t="str">
        <f>IFERROR(__xludf.DUMMYFUNCTION("""COMPUTED_VALUE"""),"")</f>
        <v/>
      </c>
      <c r="L1344" s="5" t="str">
        <f>IFERROR(__xludf.DUMMYFUNCTION("""COMPUTED_VALUE"""),"")</f>
        <v/>
      </c>
      <c r="M1344" s="5" t="str">
        <f>IFERROR(__xludf.DUMMYFUNCTION("""COMPUTED_VALUE"""),"")</f>
        <v/>
      </c>
      <c r="N1344" s="5" t="str">
        <f>IFERROR(__xludf.DUMMYFUNCTION("""COMPUTED_VALUE"""),"")</f>
        <v/>
      </c>
      <c r="O1344" s="5" t="str">
        <f>IFERROR(__xludf.DUMMYFUNCTION("""COMPUTED_VALUE"""),"")</f>
        <v/>
      </c>
      <c r="P1344" s="5" t="str">
        <f>IFERROR(__xludf.DUMMYFUNCTION("""COMPUTED_VALUE"""),"")</f>
        <v/>
      </c>
      <c r="Q1344" s="5" t="str">
        <f>IFERROR(__xludf.DUMMYFUNCTION("""COMPUTED_VALUE"""),"")</f>
        <v/>
      </c>
      <c r="R1344" s="5" t="str">
        <f>IFERROR(__xludf.DUMMYFUNCTION("""COMPUTED_VALUE"""),"")</f>
        <v/>
      </c>
      <c r="S1344" s="5" t="str">
        <f>IFERROR(__xludf.DUMMYFUNCTION("""COMPUTED_VALUE"""),"")</f>
        <v/>
      </c>
      <c r="T1344" s="5" t="str">
        <f>IFERROR(__xludf.DUMMYFUNCTION("""COMPUTED_VALUE"""),"")</f>
        <v/>
      </c>
      <c r="U1344" s="5" t="str">
        <f>IFERROR(__xludf.DUMMYFUNCTION("""COMPUTED_VALUE"""),"")</f>
        <v/>
      </c>
      <c r="V1344" s="5" t="str">
        <f>IFERROR(__xludf.DUMMYFUNCTION("""COMPUTED_VALUE"""),"")</f>
        <v/>
      </c>
      <c r="W1344" s="5" t="str">
        <f>IFERROR(__xludf.DUMMYFUNCTION("""COMPUTED_VALUE"""),"")</f>
        <v/>
      </c>
      <c r="X1344" s="5" t="str">
        <f>IFERROR(__xludf.DUMMYFUNCTION("""COMPUTED_VALUE"""),"")</f>
        <v/>
      </c>
      <c r="Y1344" s="5"/>
      <c r="Z1344" s="5"/>
    </row>
    <row r="1345">
      <c r="A1345" s="5"/>
      <c r="B1345" s="5" t="str">
        <f>IFERROR(__xludf.DUMMYFUNCTION("""COMPUTED_VALUE"""),"")</f>
        <v/>
      </c>
      <c r="C1345" s="5" t="str">
        <f>IFERROR(__xludf.DUMMYFUNCTION("""COMPUTED_VALUE"""),"")</f>
        <v/>
      </c>
      <c r="D1345" s="5" t="str">
        <f>IFERROR(__xludf.DUMMYFUNCTION("""COMPUTED_VALUE"""),"")</f>
        <v/>
      </c>
      <c r="E1345" s="5" t="str">
        <f>IFERROR(__xludf.DUMMYFUNCTION("""COMPUTED_VALUE"""),"")</f>
        <v/>
      </c>
      <c r="F1345" s="5" t="str">
        <f>IFERROR(__xludf.DUMMYFUNCTION("""COMPUTED_VALUE"""),"")</f>
        <v/>
      </c>
      <c r="G1345" s="5" t="str">
        <f>IFERROR(__xludf.DUMMYFUNCTION("""COMPUTED_VALUE"""),"")</f>
        <v/>
      </c>
      <c r="H1345" s="5" t="str">
        <f>IFERROR(__xludf.DUMMYFUNCTION("""COMPUTED_VALUE"""),"")</f>
        <v/>
      </c>
      <c r="I1345" s="5" t="str">
        <f>IFERROR(__xludf.DUMMYFUNCTION("""COMPUTED_VALUE"""),"")</f>
        <v/>
      </c>
      <c r="J1345" s="5" t="str">
        <f>IFERROR(__xludf.DUMMYFUNCTION("""COMPUTED_VALUE"""),"")</f>
        <v/>
      </c>
      <c r="K1345" s="5" t="str">
        <f>IFERROR(__xludf.DUMMYFUNCTION("""COMPUTED_VALUE"""),"")</f>
        <v/>
      </c>
      <c r="L1345" s="5" t="str">
        <f>IFERROR(__xludf.DUMMYFUNCTION("""COMPUTED_VALUE"""),"")</f>
        <v/>
      </c>
      <c r="M1345" s="5" t="str">
        <f>IFERROR(__xludf.DUMMYFUNCTION("""COMPUTED_VALUE"""),"")</f>
        <v/>
      </c>
      <c r="N1345" s="5" t="str">
        <f>IFERROR(__xludf.DUMMYFUNCTION("""COMPUTED_VALUE"""),"")</f>
        <v/>
      </c>
      <c r="O1345" s="5" t="str">
        <f>IFERROR(__xludf.DUMMYFUNCTION("""COMPUTED_VALUE"""),"")</f>
        <v/>
      </c>
      <c r="P1345" s="5" t="str">
        <f>IFERROR(__xludf.DUMMYFUNCTION("""COMPUTED_VALUE"""),"")</f>
        <v/>
      </c>
      <c r="Q1345" s="5" t="str">
        <f>IFERROR(__xludf.DUMMYFUNCTION("""COMPUTED_VALUE"""),"")</f>
        <v/>
      </c>
      <c r="R1345" s="5" t="str">
        <f>IFERROR(__xludf.DUMMYFUNCTION("""COMPUTED_VALUE"""),"")</f>
        <v/>
      </c>
      <c r="S1345" s="5" t="str">
        <f>IFERROR(__xludf.DUMMYFUNCTION("""COMPUTED_VALUE"""),"")</f>
        <v/>
      </c>
      <c r="T1345" s="5" t="str">
        <f>IFERROR(__xludf.DUMMYFUNCTION("""COMPUTED_VALUE"""),"")</f>
        <v/>
      </c>
      <c r="U1345" s="5" t="str">
        <f>IFERROR(__xludf.DUMMYFUNCTION("""COMPUTED_VALUE"""),"")</f>
        <v/>
      </c>
      <c r="V1345" s="5" t="str">
        <f>IFERROR(__xludf.DUMMYFUNCTION("""COMPUTED_VALUE"""),"")</f>
        <v/>
      </c>
      <c r="W1345" s="5" t="str">
        <f>IFERROR(__xludf.DUMMYFUNCTION("""COMPUTED_VALUE"""),"")</f>
        <v/>
      </c>
      <c r="X1345" s="5" t="str">
        <f>IFERROR(__xludf.DUMMYFUNCTION("""COMPUTED_VALUE"""),"")</f>
        <v/>
      </c>
      <c r="Y1345" s="5"/>
      <c r="Z1345" s="5"/>
    </row>
    <row r="1346">
      <c r="A1346" s="5"/>
      <c r="B1346" s="5" t="str">
        <f>IFERROR(__xludf.DUMMYFUNCTION("""COMPUTED_VALUE"""),"")</f>
        <v/>
      </c>
      <c r="C1346" s="5" t="str">
        <f>IFERROR(__xludf.DUMMYFUNCTION("""COMPUTED_VALUE"""),"")</f>
        <v/>
      </c>
      <c r="D1346" s="5" t="str">
        <f>IFERROR(__xludf.DUMMYFUNCTION("""COMPUTED_VALUE"""),"")</f>
        <v/>
      </c>
      <c r="E1346" s="5" t="str">
        <f>IFERROR(__xludf.DUMMYFUNCTION("""COMPUTED_VALUE"""),"")</f>
        <v/>
      </c>
      <c r="F1346" s="5" t="str">
        <f>IFERROR(__xludf.DUMMYFUNCTION("""COMPUTED_VALUE"""),"")</f>
        <v/>
      </c>
      <c r="G1346" s="5" t="str">
        <f>IFERROR(__xludf.DUMMYFUNCTION("""COMPUTED_VALUE"""),"")</f>
        <v/>
      </c>
      <c r="H1346" s="5" t="str">
        <f>IFERROR(__xludf.DUMMYFUNCTION("""COMPUTED_VALUE"""),"")</f>
        <v/>
      </c>
      <c r="I1346" s="5" t="str">
        <f>IFERROR(__xludf.DUMMYFUNCTION("""COMPUTED_VALUE"""),"")</f>
        <v/>
      </c>
      <c r="J1346" s="5" t="str">
        <f>IFERROR(__xludf.DUMMYFUNCTION("""COMPUTED_VALUE"""),"")</f>
        <v/>
      </c>
      <c r="K1346" s="5" t="str">
        <f>IFERROR(__xludf.DUMMYFUNCTION("""COMPUTED_VALUE"""),"")</f>
        <v/>
      </c>
      <c r="L1346" s="5" t="str">
        <f>IFERROR(__xludf.DUMMYFUNCTION("""COMPUTED_VALUE"""),"")</f>
        <v/>
      </c>
      <c r="M1346" s="5" t="str">
        <f>IFERROR(__xludf.DUMMYFUNCTION("""COMPUTED_VALUE"""),"")</f>
        <v/>
      </c>
      <c r="N1346" s="5" t="str">
        <f>IFERROR(__xludf.DUMMYFUNCTION("""COMPUTED_VALUE"""),"")</f>
        <v/>
      </c>
      <c r="O1346" s="5" t="str">
        <f>IFERROR(__xludf.DUMMYFUNCTION("""COMPUTED_VALUE"""),"")</f>
        <v/>
      </c>
      <c r="P1346" s="5" t="str">
        <f>IFERROR(__xludf.DUMMYFUNCTION("""COMPUTED_VALUE"""),"")</f>
        <v/>
      </c>
      <c r="Q1346" s="5" t="str">
        <f>IFERROR(__xludf.DUMMYFUNCTION("""COMPUTED_VALUE"""),"")</f>
        <v/>
      </c>
      <c r="R1346" s="5" t="str">
        <f>IFERROR(__xludf.DUMMYFUNCTION("""COMPUTED_VALUE"""),"")</f>
        <v/>
      </c>
      <c r="S1346" s="5" t="str">
        <f>IFERROR(__xludf.DUMMYFUNCTION("""COMPUTED_VALUE"""),"")</f>
        <v/>
      </c>
      <c r="T1346" s="5" t="str">
        <f>IFERROR(__xludf.DUMMYFUNCTION("""COMPUTED_VALUE"""),"")</f>
        <v/>
      </c>
      <c r="U1346" s="5" t="str">
        <f>IFERROR(__xludf.DUMMYFUNCTION("""COMPUTED_VALUE"""),"")</f>
        <v/>
      </c>
      <c r="V1346" s="5" t="str">
        <f>IFERROR(__xludf.DUMMYFUNCTION("""COMPUTED_VALUE"""),"")</f>
        <v/>
      </c>
      <c r="W1346" s="5" t="str">
        <f>IFERROR(__xludf.DUMMYFUNCTION("""COMPUTED_VALUE"""),"")</f>
        <v/>
      </c>
      <c r="X1346" s="5" t="str">
        <f>IFERROR(__xludf.DUMMYFUNCTION("""COMPUTED_VALUE"""),"")</f>
        <v/>
      </c>
      <c r="Y1346" s="5"/>
      <c r="Z1346" s="5"/>
    </row>
    <row r="1347">
      <c r="A1347" s="5"/>
      <c r="B1347" s="5" t="str">
        <f>IFERROR(__xludf.DUMMYFUNCTION("""COMPUTED_VALUE"""),"")</f>
        <v/>
      </c>
      <c r="C1347" s="5" t="str">
        <f>IFERROR(__xludf.DUMMYFUNCTION("""COMPUTED_VALUE"""),"")</f>
        <v/>
      </c>
      <c r="D1347" s="5" t="str">
        <f>IFERROR(__xludf.DUMMYFUNCTION("""COMPUTED_VALUE"""),"")</f>
        <v/>
      </c>
      <c r="E1347" s="5" t="str">
        <f>IFERROR(__xludf.DUMMYFUNCTION("""COMPUTED_VALUE"""),"")</f>
        <v/>
      </c>
      <c r="F1347" s="5" t="str">
        <f>IFERROR(__xludf.DUMMYFUNCTION("""COMPUTED_VALUE"""),"")</f>
        <v/>
      </c>
      <c r="G1347" s="5" t="str">
        <f>IFERROR(__xludf.DUMMYFUNCTION("""COMPUTED_VALUE"""),"")</f>
        <v/>
      </c>
      <c r="H1347" s="5" t="str">
        <f>IFERROR(__xludf.DUMMYFUNCTION("""COMPUTED_VALUE"""),"")</f>
        <v/>
      </c>
      <c r="I1347" s="5" t="str">
        <f>IFERROR(__xludf.DUMMYFUNCTION("""COMPUTED_VALUE"""),"")</f>
        <v/>
      </c>
      <c r="J1347" s="5" t="str">
        <f>IFERROR(__xludf.DUMMYFUNCTION("""COMPUTED_VALUE"""),"")</f>
        <v/>
      </c>
      <c r="K1347" s="5" t="str">
        <f>IFERROR(__xludf.DUMMYFUNCTION("""COMPUTED_VALUE"""),"")</f>
        <v/>
      </c>
      <c r="L1347" s="5" t="str">
        <f>IFERROR(__xludf.DUMMYFUNCTION("""COMPUTED_VALUE"""),"")</f>
        <v/>
      </c>
      <c r="M1347" s="5" t="str">
        <f>IFERROR(__xludf.DUMMYFUNCTION("""COMPUTED_VALUE"""),"")</f>
        <v/>
      </c>
      <c r="N1347" s="5" t="str">
        <f>IFERROR(__xludf.DUMMYFUNCTION("""COMPUTED_VALUE"""),"")</f>
        <v/>
      </c>
      <c r="O1347" s="5" t="str">
        <f>IFERROR(__xludf.DUMMYFUNCTION("""COMPUTED_VALUE"""),"")</f>
        <v/>
      </c>
      <c r="P1347" s="5" t="str">
        <f>IFERROR(__xludf.DUMMYFUNCTION("""COMPUTED_VALUE"""),"")</f>
        <v/>
      </c>
      <c r="Q1347" s="5" t="str">
        <f>IFERROR(__xludf.DUMMYFUNCTION("""COMPUTED_VALUE"""),"")</f>
        <v/>
      </c>
      <c r="R1347" s="5" t="str">
        <f>IFERROR(__xludf.DUMMYFUNCTION("""COMPUTED_VALUE"""),"")</f>
        <v/>
      </c>
      <c r="S1347" s="5" t="str">
        <f>IFERROR(__xludf.DUMMYFUNCTION("""COMPUTED_VALUE"""),"")</f>
        <v/>
      </c>
      <c r="T1347" s="5" t="str">
        <f>IFERROR(__xludf.DUMMYFUNCTION("""COMPUTED_VALUE"""),"")</f>
        <v/>
      </c>
      <c r="U1347" s="5" t="str">
        <f>IFERROR(__xludf.DUMMYFUNCTION("""COMPUTED_VALUE"""),"")</f>
        <v/>
      </c>
      <c r="V1347" s="5" t="str">
        <f>IFERROR(__xludf.DUMMYFUNCTION("""COMPUTED_VALUE"""),"")</f>
        <v/>
      </c>
      <c r="W1347" s="5" t="str">
        <f>IFERROR(__xludf.DUMMYFUNCTION("""COMPUTED_VALUE"""),"")</f>
        <v/>
      </c>
      <c r="X1347" s="5" t="str">
        <f>IFERROR(__xludf.DUMMYFUNCTION("""COMPUTED_VALUE"""),"")</f>
        <v/>
      </c>
      <c r="Y1347" s="5"/>
      <c r="Z1347" s="5"/>
    </row>
    <row r="1348">
      <c r="A1348" s="5"/>
      <c r="B1348" s="5" t="str">
        <f>IFERROR(__xludf.DUMMYFUNCTION("""COMPUTED_VALUE"""),"")</f>
        <v/>
      </c>
      <c r="C1348" s="5" t="str">
        <f>IFERROR(__xludf.DUMMYFUNCTION("""COMPUTED_VALUE"""),"")</f>
        <v/>
      </c>
      <c r="D1348" s="5" t="str">
        <f>IFERROR(__xludf.DUMMYFUNCTION("""COMPUTED_VALUE"""),"")</f>
        <v/>
      </c>
      <c r="E1348" s="5" t="str">
        <f>IFERROR(__xludf.DUMMYFUNCTION("""COMPUTED_VALUE"""),"")</f>
        <v/>
      </c>
      <c r="F1348" s="5" t="str">
        <f>IFERROR(__xludf.DUMMYFUNCTION("""COMPUTED_VALUE"""),"")</f>
        <v/>
      </c>
      <c r="G1348" s="5" t="str">
        <f>IFERROR(__xludf.DUMMYFUNCTION("""COMPUTED_VALUE"""),"")</f>
        <v/>
      </c>
      <c r="H1348" s="5" t="str">
        <f>IFERROR(__xludf.DUMMYFUNCTION("""COMPUTED_VALUE"""),"")</f>
        <v/>
      </c>
      <c r="I1348" s="5" t="str">
        <f>IFERROR(__xludf.DUMMYFUNCTION("""COMPUTED_VALUE"""),"")</f>
        <v/>
      </c>
      <c r="J1348" s="5" t="str">
        <f>IFERROR(__xludf.DUMMYFUNCTION("""COMPUTED_VALUE"""),"")</f>
        <v/>
      </c>
      <c r="K1348" s="5" t="str">
        <f>IFERROR(__xludf.DUMMYFUNCTION("""COMPUTED_VALUE"""),"")</f>
        <v/>
      </c>
      <c r="L1348" s="5" t="str">
        <f>IFERROR(__xludf.DUMMYFUNCTION("""COMPUTED_VALUE"""),"")</f>
        <v/>
      </c>
      <c r="M1348" s="5" t="str">
        <f>IFERROR(__xludf.DUMMYFUNCTION("""COMPUTED_VALUE"""),"")</f>
        <v/>
      </c>
      <c r="N1348" s="5" t="str">
        <f>IFERROR(__xludf.DUMMYFUNCTION("""COMPUTED_VALUE"""),"")</f>
        <v/>
      </c>
      <c r="O1348" s="5" t="str">
        <f>IFERROR(__xludf.DUMMYFUNCTION("""COMPUTED_VALUE"""),"")</f>
        <v/>
      </c>
      <c r="P1348" s="5" t="str">
        <f>IFERROR(__xludf.DUMMYFUNCTION("""COMPUTED_VALUE"""),"")</f>
        <v/>
      </c>
      <c r="Q1348" s="5" t="str">
        <f>IFERROR(__xludf.DUMMYFUNCTION("""COMPUTED_VALUE"""),"")</f>
        <v/>
      </c>
      <c r="R1348" s="5" t="str">
        <f>IFERROR(__xludf.DUMMYFUNCTION("""COMPUTED_VALUE"""),"")</f>
        <v/>
      </c>
      <c r="S1348" s="5" t="str">
        <f>IFERROR(__xludf.DUMMYFUNCTION("""COMPUTED_VALUE"""),"")</f>
        <v/>
      </c>
      <c r="T1348" s="5" t="str">
        <f>IFERROR(__xludf.DUMMYFUNCTION("""COMPUTED_VALUE"""),"")</f>
        <v/>
      </c>
      <c r="U1348" s="5" t="str">
        <f>IFERROR(__xludf.DUMMYFUNCTION("""COMPUTED_VALUE"""),"")</f>
        <v/>
      </c>
      <c r="V1348" s="5" t="str">
        <f>IFERROR(__xludf.DUMMYFUNCTION("""COMPUTED_VALUE"""),"")</f>
        <v/>
      </c>
      <c r="W1348" s="5" t="str">
        <f>IFERROR(__xludf.DUMMYFUNCTION("""COMPUTED_VALUE"""),"")</f>
        <v/>
      </c>
      <c r="X1348" s="5" t="str">
        <f>IFERROR(__xludf.DUMMYFUNCTION("""COMPUTED_VALUE"""),"")</f>
        <v/>
      </c>
      <c r="Y1348" s="5"/>
      <c r="Z1348" s="5"/>
    </row>
    <row r="1349">
      <c r="A1349" s="5"/>
      <c r="B1349" s="5" t="str">
        <f>IFERROR(__xludf.DUMMYFUNCTION("""COMPUTED_VALUE"""),"")</f>
        <v/>
      </c>
      <c r="C1349" s="5" t="str">
        <f>IFERROR(__xludf.DUMMYFUNCTION("""COMPUTED_VALUE"""),"")</f>
        <v/>
      </c>
      <c r="D1349" s="5" t="str">
        <f>IFERROR(__xludf.DUMMYFUNCTION("""COMPUTED_VALUE"""),"")</f>
        <v/>
      </c>
      <c r="E1349" s="5" t="str">
        <f>IFERROR(__xludf.DUMMYFUNCTION("""COMPUTED_VALUE"""),"")</f>
        <v/>
      </c>
      <c r="F1349" s="5" t="str">
        <f>IFERROR(__xludf.DUMMYFUNCTION("""COMPUTED_VALUE"""),"")</f>
        <v/>
      </c>
      <c r="G1349" s="5" t="str">
        <f>IFERROR(__xludf.DUMMYFUNCTION("""COMPUTED_VALUE"""),"")</f>
        <v/>
      </c>
      <c r="H1349" s="5" t="str">
        <f>IFERROR(__xludf.DUMMYFUNCTION("""COMPUTED_VALUE"""),"")</f>
        <v/>
      </c>
      <c r="I1349" s="5" t="str">
        <f>IFERROR(__xludf.DUMMYFUNCTION("""COMPUTED_VALUE"""),"")</f>
        <v/>
      </c>
      <c r="J1349" s="5" t="str">
        <f>IFERROR(__xludf.DUMMYFUNCTION("""COMPUTED_VALUE"""),"")</f>
        <v/>
      </c>
      <c r="K1349" s="5" t="str">
        <f>IFERROR(__xludf.DUMMYFUNCTION("""COMPUTED_VALUE"""),"")</f>
        <v/>
      </c>
      <c r="L1349" s="5" t="str">
        <f>IFERROR(__xludf.DUMMYFUNCTION("""COMPUTED_VALUE"""),"")</f>
        <v/>
      </c>
      <c r="M1349" s="5" t="str">
        <f>IFERROR(__xludf.DUMMYFUNCTION("""COMPUTED_VALUE"""),"")</f>
        <v/>
      </c>
      <c r="N1349" s="5" t="str">
        <f>IFERROR(__xludf.DUMMYFUNCTION("""COMPUTED_VALUE"""),"")</f>
        <v/>
      </c>
      <c r="O1349" s="5" t="str">
        <f>IFERROR(__xludf.DUMMYFUNCTION("""COMPUTED_VALUE"""),"")</f>
        <v/>
      </c>
      <c r="P1349" s="5" t="str">
        <f>IFERROR(__xludf.DUMMYFUNCTION("""COMPUTED_VALUE"""),"")</f>
        <v/>
      </c>
      <c r="Q1349" s="5" t="str">
        <f>IFERROR(__xludf.DUMMYFUNCTION("""COMPUTED_VALUE"""),"")</f>
        <v/>
      </c>
      <c r="R1349" s="5" t="str">
        <f>IFERROR(__xludf.DUMMYFUNCTION("""COMPUTED_VALUE"""),"")</f>
        <v/>
      </c>
      <c r="S1349" s="5" t="str">
        <f>IFERROR(__xludf.DUMMYFUNCTION("""COMPUTED_VALUE"""),"")</f>
        <v/>
      </c>
      <c r="T1349" s="5" t="str">
        <f>IFERROR(__xludf.DUMMYFUNCTION("""COMPUTED_VALUE"""),"")</f>
        <v/>
      </c>
      <c r="U1349" s="5" t="str">
        <f>IFERROR(__xludf.DUMMYFUNCTION("""COMPUTED_VALUE"""),"")</f>
        <v/>
      </c>
      <c r="V1349" s="5" t="str">
        <f>IFERROR(__xludf.DUMMYFUNCTION("""COMPUTED_VALUE"""),"")</f>
        <v/>
      </c>
      <c r="W1349" s="5" t="str">
        <f>IFERROR(__xludf.DUMMYFUNCTION("""COMPUTED_VALUE"""),"")</f>
        <v/>
      </c>
      <c r="X1349" s="5" t="str">
        <f>IFERROR(__xludf.DUMMYFUNCTION("""COMPUTED_VALUE"""),"")</f>
        <v/>
      </c>
      <c r="Y1349" s="5"/>
      <c r="Z1349" s="5"/>
    </row>
    <row r="1350">
      <c r="A1350" s="5"/>
      <c r="B1350" s="5" t="str">
        <f>IFERROR(__xludf.DUMMYFUNCTION("""COMPUTED_VALUE"""),"")</f>
        <v/>
      </c>
      <c r="C1350" s="5" t="str">
        <f>IFERROR(__xludf.DUMMYFUNCTION("""COMPUTED_VALUE"""),"")</f>
        <v/>
      </c>
      <c r="D1350" s="5" t="str">
        <f>IFERROR(__xludf.DUMMYFUNCTION("""COMPUTED_VALUE"""),"")</f>
        <v/>
      </c>
      <c r="E1350" s="5" t="str">
        <f>IFERROR(__xludf.DUMMYFUNCTION("""COMPUTED_VALUE"""),"")</f>
        <v/>
      </c>
      <c r="F1350" s="5" t="str">
        <f>IFERROR(__xludf.DUMMYFUNCTION("""COMPUTED_VALUE"""),"")</f>
        <v/>
      </c>
      <c r="G1350" s="5" t="str">
        <f>IFERROR(__xludf.DUMMYFUNCTION("""COMPUTED_VALUE"""),"")</f>
        <v/>
      </c>
      <c r="H1350" s="5" t="str">
        <f>IFERROR(__xludf.DUMMYFUNCTION("""COMPUTED_VALUE"""),"")</f>
        <v/>
      </c>
      <c r="I1350" s="5" t="str">
        <f>IFERROR(__xludf.DUMMYFUNCTION("""COMPUTED_VALUE"""),"")</f>
        <v/>
      </c>
      <c r="J1350" s="5" t="str">
        <f>IFERROR(__xludf.DUMMYFUNCTION("""COMPUTED_VALUE"""),"")</f>
        <v/>
      </c>
      <c r="K1350" s="5" t="str">
        <f>IFERROR(__xludf.DUMMYFUNCTION("""COMPUTED_VALUE"""),"")</f>
        <v/>
      </c>
      <c r="L1350" s="5" t="str">
        <f>IFERROR(__xludf.DUMMYFUNCTION("""COMPUTED_VALUE"""),"")</f>
        <v/>
      </c>
      <c r="M1350" s="5" t="str">
        <f>IFERROR(__xludf.DUMMYFUNCTION("""COMPUTED_VALUE"""),"")</f>
        <v/>
      </c>
      <c r="N1350" s="5" t="str">
        <f>IFERROR(__xludf.DUMMYFUNCTION("""COMPUTED_VALUE"""),"")</f>
        <v/>
      </c>
      <c r="O1350" s="5" t="str">
        <f>IFERROR(__xludf.DUMMYFUNCTION("""COMPUTED_VALUE"""),"")</f>
        <v/>
      </c>
      <c r="P1350" s="5" t="str">
        <f>IFERROR(__xludf.DUMMYFUNCTION("""COMPUTED_VALUE"""),"")</f>
        <v/>
      </c>
      <c r="Q1350" s="5" t="str">
        <f>IFERROR(__xludf.DUMMYFUNCTION("""COMPUTED_VALUE"""),"")</f>
        <v/>
      </c>
      <c r="R1350" s="5" t="str">
        <f>IFERROR(__xludf.DUMMYFUNCTION("""COMPUTED_VALUE"""),"")</f>
        <v/>
      </c>
      <c r="S1350" s="5" t="str">
        <f>IFERROR(__xludf.DUMMYFUNCTION("""COMPUTED_VALUE"""),"")</f>
        <v/>
      </c>
      <c r="T1350" s="5" t="str">
        <f>IFERROR(__xludf.DUMMYFUNCTION("""COMPUTED_VALUE"""),"")</f>
        <v/>
      </c>
      <c r="U1350" s="5" t="str">
        <f>IFERROR(__xludf.DUMMYFUNCTION("""COMPUTED_VALUE"""),"")</f>
        <v/>
      </c>
      <c r="V1350" s="5" t="str">
        <f>IFERROR(__xludf.DUMMYFUNCTION("""COMPUTED_VALUE"""),"")</f>
        <v/>
      </c>
      <c r="W1350" s="5" t="str">
        <f>IFERROR(__xludf.DUMMYFUNCTION("""COMPUTED_VALUE"""),"")</f>
        <v/>
      </c>
      <c r="X1350" s="5" t="str">
        <f>IFERROR(__xludf.DUMMYFUNCTION("""COMPUTED_VALUE"""),"")</f>
        <v/>
      </c>
      <c r="Y1350" s="5"/>
      <c r="Z1350" s="5"/>
    </row>
    <row r="1351">
      <c r="A1351" s="5"/>
      <c r="B1351" s="5" t="str">
        <f>IFERROR(__xludf.DUMMYFUNCTION("""COMPUTED_VALUE"""),"")</f>
        <v/>
      </c>
      <c r="C1351" s="5" t="str">
        <f>IFERROR(__xludf.DUMMYFUNCTION("""COMPUTED_VALUE"""),"")</f>
        <v/>
      </c>
      <c r="D1351" s="5" t="str">
        <f>IFERROR(__xludf.DUMMYFUNCTION("""COMPUTED_VALUE"""),"")</f>
        <v/>
      </c>
      <c r="E1351" s="5" t="str">
        <f>IFERROR(__xludf.DUMMYFUNCTION("""COMPUTED_VALUE"""),"")</f>
        <v/>
      </c>
      <c r="F1351" s="5" t="str">
        <f>IFERROR(__xludf.DUMMYFUNCTION("""COMPUTED_VALUE"""),"")</f>
        <v/>
      </c>
      <c r="G1351" s="5" t="str">
        <f>IFERROR(__xludf.DUMMYFUNCTION("""COMPUTED_VALUE"""),"")</f>
        <v/>
      </c>
      <c r="H1351" s="5" t="str">
        <f>IFERROR(__xludf.DUMMYFUNCTION("""COMPUTED_VALUE"""),"")</f>
        <v/>
      </c>
      <c r="I1351" s="5" t="str">
        <f>IFERROR(__xludf.DUMMYFUNCTION("""COMPUTED_VALUE"""),"")</f>
        <v/>
      </c>
      <c r="J1351" s="5" t="str">
        <f>IFERROR(__xludf.DUMMYFUNCTION("""COMPUTED_VALUE"""),"")</f>
        <v/>
      </c>
      <c r="K1351" s="5" t="str">
        <f>IFERROR(__xludf.DUMMYFUNCTION("""COMPUTED_VALUE"""),"")</f>
        <v/>
      </c>
      <c r="L1351" s="5" t="str">
        <f>IFERROR(__xludf.DUMMYFUNCTION("""COMPUTED_VALUE"""),"")</f>
        <v/>
      </c>
      <c r="M1351" s="5" t="str">
        <f>IFERROR(__xludf.DUMMYFUNCTION("""COMPUTED_VALUE"""),"")</f>
        <v/>
      </c>
      <c r="N1351" s="5" t="str">
        <f>IFERROR(__xludf.DUMMYFUNCTION("""COMPUTED_VALUE"""),"")</f>
        <v/>
      </c>
      <c r="O1351" s="5" t="str">
        <f>IFERROR(__xludf.DUMMYFUNCTION("""COMPUTED_VALUE"""),"")</f>
        <v/>
      </c>
      <c r="P1351" s="5" t="str">
        <f>IFERROR(__xludf.DUMMYFUNCTION("""COMPUTED_VALUE"""),"")</f>
        <v/>
      </c>
      <c r="Q1351" s="5" t="str">
        <f>IFERROR(__xludf.DUMMYFUNCTION("""COMPUTED_VALUE"""),"")</f>
        <v/>
      </c>
      <c r="R1351" s="5" t="str">
        <f>IFERROR(__xludf.DUMMYFUNCTION("""COMPUTED_VALUE"""),"")</f>
        <v/>
      </c>
      <c r="S1351" s="5" t="str">
        <f>IFERROR(__xludf.DUMMYFUNCTION("""COMPUTED_VALUE"""),"")</f>
        <v/>
      </c>
      <c r="T1351" s="5" t="str">
        <f>IFERROR(__xludf.DUMMYFUNCTION("""COMPUTED_VALUE"""),"")</f>
        <v/>
      </c>
      <c r="U1351" s="5" t="str">
        <f>IFERROR(__xludf.DUMMYFUNCTION("""COMPUTED_VALUE"""),"")</f>
        <v/>
      </c>
      <c r="V1351" s="5" t="str">
        <f>IFERROR(__xludf.DUMMYFUNCTION("""COMPUTED_VALUE"""),"")</f>
        <v/>
      </c>
      <c r="W1351" s="5" t="str">
        <f>IFERROR(__xludf.DUMMYFUNCTION("""COMPUTED_VALUE"""),"")</f>
        <v/>
      </c>
      <c r="X1351" s="5" t="str">
        <f>IFERROR(__xludf.DUMMYFUNCTION("""COMPUTED_VALUE"""),"")</f>
        <v/>
      </c>
      <c r="Y1351" s="5"/>
      <c r="Z1351" s="5"/>
    </row>
    <row r="1352">
      <c r="A1352" s="5"/>
      <c r="B1352" s="5" t="str">
        <f>IFERROR(__xludf.DUMMYFUNCTION("""COMPUTED_VALUE"""),"")</f>
        <v/>
      </c>
      <c r="C1352" s="5" t="str">
        <f>IFERROR(__xludf.DUMMYFUNCTION("""COMPUTED_VALUE"""),"")</f>
        <v/>
      </c>
      <c r="D1352" s="5" t="str">
        <f>IFERROR(__xludf.DUMMYFUNCTION("""COMPUTED_VALUE"""),"")</f>
        <v/>
      </c>
      <c r="E1352" s="5" t="str">
        <f>IFERROR(__xludf.DUMMYFUNCTION("""COMPUTED_VALUE"""),"")</f>
        <v/>
      </c>
      <c r="F1352" s="5" t="str">
        <f>IFERROR(__xludf.DUMMYFUNCTION("""COMPUTED_VALUE"""),"")</f>
        <v/>
      </c>
      <c r="G1352" s="5" t="str">
        <f>IFERROR(__xludf.DUMMYFUNCTION("""COMPUTED_VALUE"""),"")</f>
        <v/>
      </c>
      <c r="H1352" s="5" t="str">
        <f>IFERROR(__xludf.DUMMYFUNCTION("""COMPUTED_VALUE"""),"")</f>
        <v/>
      </c>
      <c r="I1352" s="5" t="str">
        <f>IFERROR(__xludf.DUMMYFUNCTION("""COMPUTED_VALUE"""),"")</f>
        <v/>
      </c>
      <c r="J1352" s="5" t="str">
        <f>IFERROR(__xludf.DUMMYFUNCTION("""COMPUTED_VALUE"""),"")</f>
        <v/>
      </c>
      <c r="K1352" s="5" t="str">
        <f>IFERROR(__xludf.DUMMYFUNCTION("""COMPUTED_VALUE"""),"")</f>
        <v/>
      </c>
      <c r="L1352" s="5" t="str">
        <f>IFERROR(__xludf.DUMMYFUNCTION("""COMPUTED_VALUE"""),"")</f>
        <v/>
      </c>
      <c r="M1352" s="5" t="str">
        <f>IFERROR(__xludf.DUMMYFUNCTION("""COMPUTED_VALUE"""),"")</f>
        <v/>
      </c>
      <c r="N1352" s="5" t="str">
        <f>IFERROR(__xludf.DUMMYFUNCTION("""COMPUTED_VALUE"""),"")</f>
        <v/>
      </c>
      <c r="O1352" s="5" t="str">
        <f>IFERROR(__xludf.DUMMYFUNCTION("""COMPUTED_VALUE"""),"")</f>
        <v/>
      </c>
      <c r="P1352" s="5" t="str">
        <f>IFERROR(__xludf.DUMMYFUNCTION("""COMPUTED_VALUE"""),"")</f>
        <v/>
      </c>
      <c r="Q1352" s="5" t="str">
        <f>IFERROR(__xludf.DUMMYFUNCTION("""COMPUTED_VALUE"""),"")</f>
        <v/>
      </c>
      <c r="R1352" s="5" t="str">
        <f>IFERROR(__xludf.DUMMYFUNCTION("""COMPUTED_VALUE"""),"")</f>
        <v/>
      </c>
      <c r="S1352" s="5" t="str">
        <f>IFERROR(__xludf.DUMMYFUNCTION("""COMPUTED_VALUE"""),"")</f>
        <v/>
      </c>
      <c r="T1352" s="5" t="str">
        <f>IFERROR(__xludf.DUMMYFUNCTION("""COMPUTED_VALUE"""),"")</f>
        <v/>
      </c>
      <c r="U1352" s="5" t="str">
        <f>IFERROR(__xludf.DUMMYFUNCTION("""COMPUTED_VALUE"""),"")</f>
        <v/>
      </c>
      <c r="V1352" s="5" t="str">
        <f>IFERROR(__xludf.DUMMYFUNCTION("""COMPUTED_VALUE"""),"")</f>
        <v/>
      </c>
      <c r="W1352" s="5" t="str">
        <f>IFERROR(__xludf.DUMMYFUNCTION("""COMPUTED_VALUE"""),"")</f>
        <v/>
      </c>
      <c r="X1352" s="5" t="str">
        <f>IFERROR(__xludf.DUMMYFUNCTION("""COMPUTED_VALUE"""),"")</f>
        <v/>
      </c>
      <c r="Y1352" s="5"/>
      <c r="Z1352" s="5"/>
    </row>
    <row r="1353">
      <c r="A1353" s="5"/>
      <c r="B1353" s="5" t="str">
        <f>IFERROR(__xludf.DUMMYFUNCTION("""COMPUTED_VALUE"""),"")</f>
        <v/>
      </c>
      <c r="C1353" s="5" t="str">
        <f>IFERROR(__xludf.DUMMYFUNCTION("""COMPUTED_VALUE"""),"")</f>
        <v/>
      </c>
      <c r="D1353" s="5" t="str">
        <f>IFERROR(__xludf.DUMMYFUNCTION("""COMPUTED_VALUE"""),"")</f>
        <v/>
      </c>
      <c r="E1353" s="5" t="str">
        <f>IFERROR(__xludf.DUMMYFUNCTION("""COMPUTED_VALUE"""),"")</f>
        <v/>
      </c>
      <c r="F1353" s="5" t="str">
        <f>IFERROR(__xludf.DUMMYFUNCTION("""COMPUTED_VALUE"""),"")</f>
        <v/>
      </c>
      <c r="G1353" s="5" t="str">
        <f>IFERROR(__xludf.DUMMYFUNCTION("""COMPUTED_VALUE"""),"")</f>
        <v/>
      </c>
      <c r="H1353" s="5" t="str">
        <f>IFERROR(__xludf.DUMMYFUNCTION("""COMPUTED_VALUE"""),"")</f>
        <v/>
      </c>
      <c r="I1353" s="5" t="str">
        <f>IFERROR(__xludf.DUMMYFUNCTION("""COMPUTED_VALUE"""),"")</f>
        <v/>
      </c>
      <c r="J1353" s="5" t="str">
        <f>IFERROR(__xludf.DUMMYFUNCTION("""COMPUTED_VALUE"""),"")</f>
        <v/>
      </c>
      <c r="K1353" s="5" t="str">
        <f>IFERROR(__xludf.DUMMYFUNCTION("""COMPUTED_VALUE"""),"")</f>
        <v/>
      </c>
      <c r="L1353" s="5" t="str">
        <f>IFERROR(__xludf.DUMMYFUNCTION("""COMPUTED_VALUE"""),"")</f>
        <v/>
      </c>
      <c r="M1353" s="5" t="str">
        <f>IFERROR(__xludf.DUMMYFUNCTION("""COMPUTED_VALUE"""),"")</f>
        <v/>
      </c>
      <c r="N1353" s="5" t="str">
        <f>IFERROR(__xludf.DUMMYFUNCTION("""COMPUTED_VALUE"""),"")</f>
        <v/>
      </c>
      <c r="O1353" s="5" t="str">
        <f>IFERROR(__xludf.DUMMYFUNCTION("""COMPUTED_VALUE"""),"")</f>
        <v/>
      </c>
      <c r="P1353" s="5" t="str">
        <f>IFERROR(__xludf.DUMMYFUNCTION("""COMPUTED_VALUE"""),"")</f>
        <v/>
      </c>
      <c r="Q1353" s="5" t="str">
        <f>IFERROR(__xludf.DUMMYFUNCTION("""COMPUTED_VALUE"""),"")</f>
        <v/>
      </c>
      <c r="R1353" s="5" t="str">
        <f>IFERROR(__xludf.DUMMYFUNCTION("""COMPUTED_VALUE"""),"")</f>
        <v/>
      </c>
      <c r="S1353" s="5" t="str">
        <f>IFERROR(__xludf.DUMMYFUNCTION("""COMPUTED_VALUE"""),"")</f>
        <v/>
      </c>
      <c r="T1353" s="5" t="str">
        <f>IFERROR(__xludf.DUMMYFUNCTION("""COMPUTED_VALUE"""),"")</f>
        <v/>
      </c>
      <c r="U1353" s="5" t="str">
        <f>IFERROR(__xludf.DUMMYFUNCTION("""COMPUTED_VALUE"""),"")</f>
        <v/>
      </c>
      <c r="V1353" s="5" t="str">
        <f>IFERROR(__xludf.DUMMYFUNCTION("""COMPUTED_VALUE"""),"")</f>
        <v/>
      </c>
      <c r="W1353" s="5" t="str">
        <f>IFERROR(__xludf.DUMMYFUNCTION("""COMPUTED_VALUE"""),"")</f>
        <v/>
      </c>
      <c r="X1353" s="5" t="str">
        <f>IFERROR(__xludf.DUMMYFUNCTION("""COMPUTED_VALUE"""),"")</f>
        <v/>
      </c>
      <c r="Y1353" s="5"/>
      <c r="Z1353" s="5"/>
    </row>
    <row r="1354">
      <c r="A1354" s="5"/>
      <c r="B1354" s="5" t="str">
        <f>IFERROR(__xludf.DUMMYFUNCTION("""COMPUTED_VALUE"""),"")</f>
        <v/>
      </c>
      <c r="C1354" s="5" t="str">
        <f>IFERROR(__xludf.DUMMYFUNCTION("""COMPUTED_VALUE"""),"")</f>
        <v/>
      </c>
      <c r="D1354" s="5" t="str">
        <f>IFERROR(__xludf.DUMMYFUNCTION("""COMPUTED_VALUE"""),"")</f>
        <v/>
      </c>
      <c r="E1354" s="5" t="str">
        <f>IFERROR(__xludf.DUMMYFUNCTION("""COMPUTED_VALUE"""),"")</f>
        <v/>
      </c>
      <c r="F1354" s="5" t="str">
        <f>IFERROR(__xludf.DUMMYFUNCTION("""COMPUTED_VALUE"""),"")</f>
        <v/>
      </c>
      <c r="G1354" s="5" t="str">
        <f>IFERROR(__xludf.DUMMYFUNCTION("""COMPUTED_VALUE"""),"")</f>
        <v/>
      </c>
      <c r="H1354" s="5" t="str">
        <f>IFERROR(__xludf.DUMMYFUNCTION("""COMPUTED_VALUE"""),"")</f>
        <v/>
      </c>
      <c r="I1354" s="5" t="str">
        <f>IFERROR(__xludf.DUMMYFUNCTION("""COMPUTED_VALUE"""),"")</f>
        <v/>
      </c>
      <c r="J1354" s="5" t="str">
        <f>IFERROR(__xludf.DUMMYFUNCTION("""COMPUTED_VALUE"""),"")</f>
        <v/>
      </c>
      <c r="K1354" s="5" t="str">
        <f>IFERROR(__xludf.DUMMYFUNCTION("""COMPUTED_VALUE"""),"")</f>
        <v/>
      </c>
      <c r="L1354" s="5" t="str">
        <f>IFERROR(__xludf.DUMMYFUNCTION("""COMPUTED_VALUE"""),"")</f>
        <v/>
      </c>
      <c r="M1354" s="5" t="str">
        <f>IFERROR(__xludf.DUMMYFUNCTION("""COMPUTED_VALUE"""),"")</f>
        <v/>
      </c>
      <c r="N1354" s="5" t="str">
        <f>IFERROR(__xludf.DUMMYFUNCTION("""COMPUTED_VALUE"""),"")</f>
        <v/>
      </c>
      <c r="O1354" s="5" t="str">
        <f>IFERROR(__xludf.DUMMYFUNCTION("""COMPUTED_VALUE"""),"")</f>
        <v/>
      </c>
      <c r="P1354" s="5" t="str">
        <f>IFERROR(__xludf.DUMMYFUNCTION("""COMPUTED_VALUE"""),"")</f>
        <v/>
      </c>
      <c r="Q1354" s="5" t="str">
        <f>IFERROR(__xludf.DUMMYFUNCTION("""COMPUTED_VALUE"""),"")</f>
        <v/>
      </c>
      <c r="R1354" s="5" t="str">
        <f>IFERROR(__xludf.DUMMYFUNCTION("""COMPUTED_VALUE"""),"")</f>
        <v/>
      </c>
      <c r="S1354" s="5" t="str">
        <f>IFERROR(__xludf.DUMMYFUNCTION("""COMPUTED_VALUE"""),"")</f>
        <v/>
      </c>
      <c r="T1354" s="5" t="str">
        <f>IFERROR(__xludf.DUMMYFUNCTION("""COMPUTED_VALUE"""),"")</f>
        <v/>
      </c>
      <c r="U1354" s="5" t="str">
        <f>IFERROR(__xludf.DUMMYFUNCTION("""COMPUTED_VALUE"""),"")</f>
        <v/>
      </c>
      <c r="V1354" s="5" t="str">
        <f>IFERROR(__xludf.DUMMYFUNCTION("""COMPUTED_VALUE"""),"")</f>
        <v/>
      </c>
      <c r="W1354" s="5" t="str">
        <f>IFERROR(__xludf.DUMMYFUNCTION("""COMPUTED_VALUE"""),"")</f>
        <v/>
      </c>
      <c r="X1354" s="5" t="str">
        <f>IFERROR(__xludf.DUMMYFUNCTION("""COMPUTED_VALUE"""),"")</f>
        <v/>
      </c>
      <c r="Y1354" s="5"/>
      <c r="Z1354" s="5"/>
    </row>
    <row r="1355">
      <c r="A1355" s="5"/>
      <c r="B1355" s="5" t="str">
        <f>IFERROR(__xludf.DUMMYFUNCTION("""COMPUTED_VALUE"""),"")</f>
        <v/>
      </c>
      <c r="C1355" s="5" t="str">
        <f>IFERROR(__xludf.DUMMYFUNCTION("""COMPUTED_VALUE"""),"")</f>
        <v/>
      </c>
      <c r="D1355" s="5" t="str">
        <f>IFERROR(__xludf.DUMMYFUNCTION("""COMPUTED_VALUE"""),"")</f>
        <v/>
      </c>
      <c r="E1355" s="5" t="str">
        <f>IFERROR(__xludf.DUMMYFUNCTION("""COMPUTED_VALUE"""),"")</f>
        <v/>
      </c>
      <c r="F1355" s="5" t="str">
        <f>IFERROR(__xludf.DUMMYFUNCTION("""COMPUTED_VALUE"""),"")</f>
        <v/>
      </c>
      <c r="G1355" s="5" t="str">
        <f>IFERROR(__xludf.DUMMYFUNCTION("""COMPUTED_VALUE"""),"")</f>
        <v/>
      </c>
      <c r="H1355" s="5" t="str">
        <f>IFERROR(__xludf.DUMMYFUNCTION("""COMPUTED_VALUE"""),"")</f>
        <v/>
      </c>
      <c r="I1355" s="5" t="str">
        <f>IFERROR(__xludf.DUMMYFUNCTION("""COMPUTED_VALUE"""),"")</f>
        <v/>
      </c>
      <c r="J1355" s="5" t="str">
        <f>IFERROR(__xludf.DUMMYFUNCTION("""COMPUTED_VALUE"""),"")</f>
        <v/>
      </c>
      <c r="K1355" s="5" t="str">
        <f>IFERROR(__xludf.DUMMYFUNCTION("""COMPUTED_VALUE"""),"")</f>
        <v/>
      </c>
      <c r="L1355" s="5" t="str">
        <f>IFERROR(__xludf.DUMMYFUNCTION("""COMPUTED_VALUE"""),"")</f>
        <v/>
      </c>
      <c r="M1355" s="5" t="str">
        <f>IFERROR(__xludf.DUMMYFUNCTION("""COMPUTED_VALUE"""),"")</f>
        <v/>
      </c>
      <c r="N1355" s="5" t="str">
        <f>IFERROR(__xludf.DUMMYFUNCTION("""COMPUTED_VALUE"""),"")</f>
        <v/>
      </c>
      <c r="O1355" s="5" t="str">
        <f>IFERROR(__xludf.DUMMYFUNCTION("""COMPUTED_VALUE"""),"")</f>
        <v/>
      </c>
      <c r="P1355" s="5" t="str">
        <f>IFERROR(__xludf.DUMMYFUNCTION("""COMPUTED_VALUE"""),"")</f>
        <v/>
      </c>
      <c r="Q1355" s="5" t="str">
        <f>IFERROR(__xludf.DUMMYFUNCTION("""COMPUTED_VALUE"""),"")</f>
        <v/>
      </c>
      <c r="R1355" s="5" t="str">
        <f>IFERROR(__xludf.DUMMYFUNCTION("""COMPUTED_VALUE"""),"")</f>
        <v/>
      </c>
      <c r="S1355" s="5" t="str">
        <f>IFERROR(__xludf.DUMMYFUNCTION("""COMPUTED_VALUE"""),"")</f>
        <v/>
      </c>
      <c r="T1355" s="5" t="str">
        <f>IFERROR(__xludf.DUMMYFUNCTION("""COMPUTED_VALUE"""),"")</f>
        <v/>
      </c>
      <c r="U1355" s="5" t="str">
        <f>IFERROR(__xludf.DUMMYFUNCTION("""COMPUTED_VALUE"""),"")</f>
        <v/>
      </c>
      <c r="V1355" s="5" t="str">
        <f>IFERROR(__xludf.DUMMYFUNCTION("""COMPUTED_VALUE"""),"")</f>
        <v/>
      </c>
      <c r="W1355" s="5" t="str">
        <f>IFERROR(__xludf.DUMMYFUNCTION("""COMPUTED_VALUE"""),"")</f>
        <v/>
      </c>
      <c r="X1355" s="5" t="str">
        <f>IFERROR(__xludf.DUMMYFUNCTION("""COMPUTED_VALUE"""),"")</f>
        <v/>
      </c>
      <c r="Y1355" s="5"/>
      <c r="Z1355" s="5"/>
    </row>
    <row r="1356">
      <c r="A1356" s="5"/>
      <c r="B1356" s="5" t="str">
        <f>IFERROR(__xludf.DUMMYFUNCTION("""COMPUTED_VALUE"""),"")</f>
        <v/>
      </c>
      <c r="C1356" s="5" t="str">
        <f>IFERROR(__xludf.DUMMYFUNCTION("""COMPUTED_VALUE"""),"")</f>
        <v/>
      </c>
      <c r="D1356" s="5" t="str">
        <f>IFERROR(__xludf.DUMMYFUNCTION("""COMPUTED_VALUE"""),"")</f>
        <v/>
      </c>
      <c r="E1356" s="5" t="str">
        <f>IFERROR(__xludf.DUMMYFUNCTION("""COMPUTED_VALUE"""),"")</f>
        <v/>
      </c>
      <c r="F1356" s="5" t="str">
        <f>IFERROR(__xludf.DUMMYFUNCTION("""COMPUTED_VALUE"""),"")</f>
        <v/>
      </c>
      <c r="G1356" s="5" t="str">
        <f>IFERROR(__xludf.DUMMYFUNCTION("""COMPUTED_VALUE"""),"")</f>
        <v/>
      </c>
      <c r="H1356" s="5" t="str">
        <f>IFERROR(__xludf.DUMMYFUNCTION("""COMPUTED_VALUE"""),"")</f>
        <v/>
      </c>
      <c r="I1356" s="5" t="str">
        <f>IFERROR(__xludf.DUMMYFUNCTION("""COMPUTED_VALUE"""),"")</f>
        <v/>
      </c>
      <c r="J1356" s="5" t="str">
        <f>IFERROR(__xludf.DUMMYFUNCTION("""COMPUTED_VALUE"""),"")</f>
        <v/>
      </c>
      <c r="K1356" s="5" t="str">
        <f>IFERROR(__xludf.DUMMYFUNCTION("""COMPUTED_VALUE"""),"")</f>
        <v/>
      </c>
      <c r="L1356" s="5" t="str">
        <f>IFERROR(__xludf.DUMMYFUNCTION("""COMPUTED_VALUE"""),"")</f>
        <v/>
      </c>
      <c r="M1356" s="5" t="str">
        <f>IFERROR(__xludf.DUMMYFUNCTION("""COMPUTED_VALUE"""),"")</f>
        <v/>
      </c>
      <c r="N1356" s="5" t="str">
        <f>IFERROR(__xludf.DUMMYFUNCTION("""COMPUTED_VALUE"""),"")</f>
        <v/>
      </c>
      <c r="O1356" s="5" t="str">
        <f>IFERROR(__xludf.DUMMYFUNCTION("""COMPUTED_VALUE"""),"")</f>
        <v/>
      </c>
      <c r="P1356" s="5" t="str">
        <f>IFERROR(__xludf.DUMMYFUNCTION("""COMPUTED_VALUE"""),"")</f>
        <v/>
      </c>
      <c r="Q1356" s="5" t="str">
        <f>IFERROR(__xludf.DUMMYFUNCTION("""COMPUTED_VALUE"""),"")</f>
        <v/>
      </c>
      <c r="R1356" s="5" t="str">
        <f>IFERROR(__xludf.DUMMYFUNCTION("""COMPUTED_VALUE"""),"")</f>
        <v/>
      </c>
      <c r="S1356" s="5" t="str">
        <f>IFERROR(__xludf.DUMMYFUNCTION("""COMPUTED_VALUE"""),"")</f>
        <v/>
      </c>
      <c r="T1356" s="5" t="str">
        <f>IFERROR(__xludf.DUMMYFUNCTION("""COMPUTED_VALUE"""),"")</f>
        <v/>
      </c>
      <c r="U1356" s="5" t="str">
        <f>IFERROR(__xludf.DUMMYFUNCTION("""COMPUTED_VALUE"""),"")</f>
        <v/>
      </c>
      <c r="V1356" s="5" t="str">
        <f>IFERROR(__xludf.DUMMYFUNCTION("""COMPUTED_VALUE"""),"")</f>
        <v/>
      </c>
      <c r="W1356" s="5" t="str">
        <f>IFERROR(__xludf.DUMMYFUNCTION("""COMPUTED_VALUE"""),"")</f>
        <v/>
      </c>
      <c r="X1356" s="5" t="str">
        <f>IFERROR(__xludf.DUMMYFUNCTION("""COMPUTED_VALUE"""),"")</f>
        <v/>
      </c>
      <c r="Y1356" s="5"/>
      <c r="Z1356" s="5"/>
    </row>
    <row r="1357">
      <c r="A1357" s="5"/>
      <c r="B1357" s="5" t="str">
        <f>IFERROR(__xludf.DUMMYFUNCTION("""COMPUTED_VALUE"""),"")</f>
        <v/>
      </c>
      <c r="C1357" s="5" t="str">
        <f>IFERROR(__xludf.DUMMYFUNCTION("""COMPUTED_VALUE"""),"")</f>
        <v/>
      </c>
      <c r="D1357" s="5" t="str">
        <f>IFERROR(__xludf.DUMMYFUNCTION("""COMPUTED_VALUE"""),"")</f>
        <v/>
      </c>
      <c r="E1357" s="5" t="str">
        <f>IFERROR(__xludf.DUMMYFUNCTION("""COMPUTED_VALUE"""),"")</f>
        <v/>
      </c>
      <c r="F1357" s="5" t="str">
        <f>IFERROR(__xludf.DUMMYFUNCTION("""COMPUTED_VALUE"""),"")</f>
        <v/>
      </c>
      <c r="G1357" s="5" t="str">
        <f>IFERROR(__xludf.DUMMYFUNCTION("""COMPUTED_VALUE"""),"")</f>
        <v/>
      </c>
      <c r="H1357" s="5" t="str">
        <f>IFERROR(__xludf.DUMMYFUNCTION("""COMPUTED_VALUE"""),"")</f>
        <v/>
      </c>
      <c r="I1357" s="5" t="str">
        <f>IFERROR(__xludf.DUMMYFUNCTION("""COMPUTED_VALUE"""),"")</f>
        <v/>
      </c>
      <c r="J1357" s="5" t="str">
        <f>IFERROR(__xludf.DUMMYFUNCTION("""COMPUTED_VALUE"""),"")</f>
        <v/>
      </c>
      <c r="K1357" s="5" t="str">
        <f>IFERROR(__xludf.DUMMYFUNCTION("""COMPUTED_VALUE"""),"")</f>
        <v/>
      </c>
      <c r="L1357" s="5" t="str">
        <f>IFERROR(__xludf.DUMMYFUNCTION("""COMPUTED_VALUE"""),"")</f>
        <v/>
      </c>
      <c r="M1357" s="5" t="str">
        <f>IFERROR(__xludf.DUMMYFUNCTION("""COMPUTED_VALUE"""),"")</f>
        <v/>
      </c>
      <c r="N1357" s="5" t="str">
        <f>IFERROR(__xludf.DUMMYFUNCTION("""COMPUTED_VALUE"""),"")</f>
        <v/>
      </c>
      <c r="O1357" s="5" t="str">
        <f>IFERROR(__xludf.DUMMYFUNCTION("""COMPUTED_VALUE"""),"")</f>
        <v/>
      </c>
      <c r="P1357" s="5" t="str">
        <f>IFERROR(__xludf.DUMMYFUNCTION("""COMPUTED_VALUE"""),"")</f>
        <v/>
      </c>
      <c r="Q1357" s="5" t="str">
        <f>IFERROR(__xludf.DUMMYFUNCTION("""COMPUTED_VALUE"""),"")</f>
        <v/>
      </c>
      <c r="R1357" s="5" t="str">
        <f>IFERROR(__xludf.DUMMYFUNCTION("""COMPUTED_VALUE"""),"")</f>
        <v/>
      </c>
      <c r="S1357" s="5" t="str">
        <f>IFERROR(__xludf.DUMMYFUNCTION("""COMPUTED_VALUE"""),"")</f>
        <v/>
      </c>
      <c r="T1357" s="5" t="str">
        <f>IFERROR(__xludf.DUMMYFUNCTION("""COMPUTED_VALUE"""),"")</f>
        <v/>
      </c>
      <c r="U1357" s="5" t="str">
        <f>IFERROR(__xludf.DUMMYFUNCTION("""COMPUTED_VALUE"""),"")</f>
        <v/>
      </c>
      <c r="V1357" s="5" t="str">
        <f>IFERROR(__xludf.DUMMYFUNCTION("""COMPUTED_VALUE"""),"")</f>
        <v/>
      </c>
      <c r="W1357" s="5" t="str">
        <f>IFERROR(__xludf.DUMMYFUNCTION("""COMPUTED_VALUE"""),"")</f>
        <v/>
      </c>
      <c r="X1357" s="5" t="str">
        <f>IFERROR(__xludf.DUMMYFUNCTION("""COMPUTED_VALUE"""),"")</f>
        <v/>
      </c>
      <c r="Y1357" s="5"/>
      <c r="Z1357" s="5"/>
    </row>
    <row r="1358">
      <c r="A1358" s="5"/>
      <c r="B1358" s="5" t="str">
        <f>IFERROR(__xludf.DUMMYFUNCTION("""COMPUTED_VALUE"""),"")</f>
        <v/>
      </c>
      <c r="C1358" s="5" t="str">
        <f>IFERROR(__xludf.DUMMYFUNCTION("""COMPUTED_VALUE"""),"")</f>
        <v/>
      </c>
      <c r="D1358" s="5" t="str">
        <f>IFERROR(__xludf.DUMMYFUNCTION("""COMPUTED_VALUE"""),"")</f>
        <v/>
      </c>
      <c r="E1358" s="5" t="str">
        <f>IFERROR(__xludf.DUMMYFUNCTION("""COMPUTED_VALUE"""),"")</f>
        <v/>
      </c>
      <c r="F1358" s="5" t="str">
        <f>IFERROR(__xludf.DUMMYFUNCTION("""COMPUTED_VALUE"""),"")</f>
        <v/>
      </c>
      <c r="G1358" s="5" t="str">
        <f>IFERROR(__xludf.DUMMYFUNCTION("""COMPUTED_VALUE"""),"")</f>
        <v/>
      </c>
      <c r="H1358" s="5" t="str">
        <f>IFERROR(__xludf.DUMMYFUNCTION("""COMPUTED_VALUE"""),"")</f>
        <v/>
      </c>
      <c r="I1358" s="5" t="str">
        <f>IFERROR(__xludf.DUMMYFUNCTION("""COMPUTED_VALUE"""),"")</f>
        <v/>
      </c>
      <c r="J1358" s="5" t="str">
        <f>IFERROR(__xludf.DUMMYFUNCTION("""COMPUTED_VALUE"""),"")</f>
        <v/>
      </c>
      <c r="K1358" s="5" t="str">
        <f>IFERROR(__xludf.DUMMYFUNCTION("""COMPUTED_VALUE"""),"")</f>
        <v/>
      </c>
      <c r="L1358" s="5" t="str">
        <f>IFERROR(__xludf.DUMMYFUNCTION("""COMPUTED_VALUE"""),"")</f>
        <v/>
      </c>
      <c r="M1358" s="5" t="str">
        <f>IFERROR(__xludf.DUMMYFUNCTION("""COMPUTED_VALUE"""),"")</f>
        <v/>
      </c>
      <c r="N1358" s="5" t="str">
        <f>IFERROR(__xludf.DUMMYFUNCTION("""COMPUTED_VALUE"""),"")</f>
        <v/>
      </c>
      <c r="O1358" s="5" t="str">
        <f>IFERROR(__xludf.DUMMYFUNCTION("""COMPUTED_VALUE"""),"")</f>
        <v/>
      </c>
      <c r="P1358" s="5" t="str">
        <f>IFERROR(__xludf.DUMMYFUNCTION("""COMPUTED_VALUE"""),"")</f>
        <v/>
      </c>
      <c r="Q1358" s="5" t="str">
        <f>IFERROR(__xludf.DUMMYFUNCTION("""COMPUTED_VALUE"""),"")</f>
        <v/>
      </c>
      <c r="R1358" s="5" t="str">
        <f>IFERROR(__xludf.DUMMYFUNCTION("""COMPUTED_VALUE"""),"")</f>
        <v/>
      </c>
      <c r="S1358" s="5" t="str">
        <f>IFERROR(__xludf.DUMMYFUNCTION("""COMPUTED_VALUE"""),"")</f>
        <v/>
      </c>
      <c r="T1358" s="5" t="str">
        <f>IFERROR(__xludf.DUMMYFUNCTION("""COMPUTED_VALUE"""),"")</f>
        <v/>
      </c>
      <c r="U1358" s="5" t="str">
        <f>IFERROR(__xludf.DUMMYFUNCTION("""COMPUTED_VALUE"""),"")</f>
        <v/>
      </c>
      <c r="V1358" s="5" t="str">
        <f>IFERROR(__xludf.DUMMYFUNCTION("""COMPUTED_VALUE"""),"")</f>
        <v/>
      </c>
      <c r="W1358" s="5" t="str">
        <f>IFERROR(__xludf.DUMMYFUNCTION("""COMPUTED_VALUE"""),"")</f>
        <v/>
      </c>
      <c r="X1358" s="5" t="str">
        <f>IFERROR(__xludf.DUMMYFUNCTION("""COMPUTED_VALUE"""),"")</f>
        <v/>
      </c>
      <c r="Y1358" s="5"/>
      <c r="Z1358" s="5"/>
    </row>
    <row r="1359">
      <c r="A1359" s="5"/>
      <c r="B1359" s="5" t="str">
        <f>IFERROR(__xludf.DUMMYFUNCTION("""COMPUTED_VALUE"""),"")</f>
        <v/>
      </c>
      <c r="C1359" s="5" t="str">
        <f>IFERROR(__xludf.DUMMYFUNCTION("""COMPUTED_VALUE"""),"")</f>
        <v/>
      </c>
      <c r="D1359" s="5" t="str">
        <f>IFERROR(__xludf.DUMMYFUNCTION("""COMPUTED_VALUE"""),"")</f>
        <v/>
      </c>
      <c r="E1359" s="5" t="str">
        <f>IFERROR(__xludf.DUMMYFUNCTION("""COMPUTED_VALUE"""),"")</f>
        <v/>
      </c>
      <c r="F1359" s="5" t="str">
        <f>IFERROR(__xludf.DUMMYFUNCTION("""COMPUTED_VALUE"""),"")</f>
        <v/>
      </c>
      <c r="G1359" s="5" t="str">
        <f>IFERROR(__xludf.DUMMYFUNCTION("""COMPUTED_VALUE"""),"")</f>
        <v/>
      </c>
      <c r="H1359" s="5" t="str">
        <f>IFERROR(__xludf.DUMMYFUNCTION("""COMPUTED_VALUE"""),"")</f>
        <v/>
      </c>
      <c r="I1359" s="5" t="str">
        <f>IFERROR(__xludf.DUMMYFUNCTION("""COMPUTED_VALUE"""),"")</f>
        <v/>
      </c>
      <c r="J1359" s="5" t="str">
        <f>IFERROR(__xludf.DUMMYFUNCTION("""COMPUTED_VALUE"""),"")</f>
        <v/>
      </c>
      <c r="K1359" s="5" t="str">
        <f>IFERROR(__xludf.DUMMYFUNCTION("""COMPUTED_VALUE"""),"")</f>
        <v/>
      </c>
      <c r="L1359" s="5" t="str">
        <f>IFERROR(__xludf.DUMMYFUNCTION("""COMPUTED_VALUE"""),"")</f>
        <v/>
      </c>
      <c r="M1359" s="5" t="str">
        <f>IFERROR(__xludf.DUMMYFUNCTION("""COMPUTED_VALUE"""),"")</f>
        <v/>
      </c>
      <c r="N1359" s="5" t="str">
        <f>IFERROR(__xludf.DUMMYFUNCTION("""COMPUTED_VALUE"""),"")</f>
        <v/>
      </c>
      <c r="O1359" s="5" t="str">
        <f>IFERROR(__xludf.DUMMYFUNCTION("""COMPUTED_VALUE"""),"")</f>
        <v/>
      </c>
      <c r="P1359" s="5" t="str">
        <f>IFERROR(__xludf.DUMMYFUNCTION("""COMPUTED_VALUE"""),"")</f>
        <v/>
      </c>
      <c r="Q1359" s="5" t="str">
        <f>IFERROR(__xludf.DUMMYFUNCTION("""COMPUTED_VALUE"""),"")</f>
        <v/>
      </c>
      <c r="R1359" s="5" t="str">
        <f>IFERROR(__xludf.DUMMYFUNCTION("""COMPUTED_VALUE"""),"")</f>
        <v/>
      </c>
      <c r="S1359" s="5" t="str">
        <f>IFERROR(__xludf.DUMMYFUNCTION("""COMPUTED_VALUE"""),"")</f>
        <v/>
      </c>
      <c r="T1359" s="5" t="str">
        <f>IFERROR(__xludf.DUMMYFUNCTION("""COMPUTED_VALUE"""),"")</f>
        <v/>
      </c>
      <c r="U1359" s="5" t="str">
        <f>IFERROR(__xludf.DUMMYFUNCTION("""COMPUTED_VALUE"""),"")</f>
        <v/>
      </c>
      <c r="V1359" s="5" t="str">
        <f>IFERROR(__xludf.DUMMYFUNCTION("""COMPUTED_VALUE"""),"")</f>
        <v/>
      </c>
      <c r="W1359" s="5" t="str">
        <f>IFERROR(__xludf.DUMMYFUNCTION("""COMPUTED_VALUE"""),"")</f>
        <v/>
      </c>
      <c r="X1359" s="5" t="str">
        <f>IFERROR(__xludf.DUMMYFUNCTION("""COMPUTED_VALUE"""),"")</f>
        <v/>
      </c>
      <c r="Y1359" s="5"/>
      <c r="Z1359" s="5"/>
    </row>
    <row r="1360">
      <c r="A1360" s="5"/>
      <c r="B1360" s="5" t="str">
        <f>IFERROR(__xludf.DUMMYFUNCTION("""COMPUTED_VALUE"""),"")</f>
        <v/>
      </c>
      <c r="C1360" s="5" t="str">
        <f>IFERROR(__xludf.DUMMYFUNCTION("""COMPUTED_VALUE"""),"")</f>
        <v/>
      </c>
      <c r="D1360" s="5" t="str">
        <f>IFERROR(__xludf.DUMMYFUNCTION("""COMPUTED_VALUE"""),"")</f>
        <v/>
      </c>
      <c r="E1360" s="5" t="str">
        <f>IFERROR(__xludf.DUMMYFUNCTION("""COMPUTED_VALUE"""),"")</f>
        <v/>
      </c>
      <c r="F1360" s="5" t="str">
        <f>IFERROR(__xludf.DUMMYFUNCTION("""COMPUTED_VALUE"""),"")</f>
        <v/>
      </c>
      <c r="G1360" s="5" t="str">
        <f>IFERROR(__xludf.DUMMYFUNCTION("""COMPUTED_VALUE"""),"")</f>
        <v/>
      </c>
      <c r="H1360" s="5" t="str">
        <f>IFERROR(__xludf.DUMMYFUNCTION("""COMPUTED_VALUE"""),"")</f>
        <v/>
      </c>
      <c r="I1360" s="5" t="str">
        <f>IFERROR(__xludf.DUMMYFUNCTION("""COMPUTED_VALUE"""),"")</f>
        <v/>
      </c>
      <c r="J1360" s="5" t="str">
        <f>IFERROR(__xludf.DUMMYFUNCTION("""COMPUTED_VALUE"""),"")</f>
        <v/>
      </c>
      <c r="K1360" s="5" t="str">
        <f>IFERROR(__xludf.DUMMYFUNCTION("""COMPUTED_VALUE"""),"")</f>
        <v/>
      </c>
      <c r="L1360" s="5" t="str">
        <f>IFERROR(__xludf.DUMMYFUNCTION("""COMPUTED_VALUE"""),"")</f>
        <v/>
      </c>
      <c r="M1360" s="5" t="str">
        <f>IFERROR(__xludf.DUMMYFUNCTION("""COMPUTED_VALUE"""),"")</f>
        <v/>
      </c>
      <c r="N1360" s="5" t="str">
        <f>IFERROR(__xludf.DUMMYFUNCTION("""COMPUTED_VALUE"""),"")</f>
        <v/>
      </c>
      <c r="O1360" s="5" t="str">
        <f>IFERROR(__xludf.DUMMYFUNCTION("""COMPUTED_VALUE"""),"")</f>
        <v/>
      </c>
      <c r="P1360" s="5" t="str">
        <f>IFERROR(__xludf.DUMMYFUNCTION("""COMPUTED_VALUE"""),"")</f>
        <v/>
      </c>
      <c r="Q1360" s="5" t="str">
        <f>IFERROR(__xludf.DUMMYFUNCTION("""COMPUTED_VALUE"""),"")</f>
        <v/>
      </c>
      <c r="R1360" s="5" t="str">
        <f>IFERROR(__xludf.DUMMYFUNCTION("""COMPUTED_VALUE"""),"")</f>
        <v/>
      </c>
      <c r="S1360" s="5" t="str">
        <f>IFERROR(__xludf.DUMMYFUNCTION("""COMPUTED_VALUE"""),"")</f>
        <v/>
      </c>
      <c r="T1360" s="5" t="str">
        <f>IFERROR(__xludf.DUMMYFUNCTION("""COMPUTED_VALUE"""),"")</f>
        <v/>
      </c>
      <c r="U1360" s="5" t="str">
        <f>IFERROR(__xludf.DUMMYFUNCTION("""COMPUTED_VALUE"""),"")</f>
        <v/>
      </c>
      <c r="V1360" s="5" t="str">
        <f>IFERROR(__xludf.DUMMYFUNCTION("""COMPUTED_VALUE"""),"")</f>
        <v/>
      </c>
      <c r="W1360" s="5" t="str">
        <f>IFERROR(__xludf.DUMMYFUNCTION("""COMPUTED_VALUE"""),"")</f>
        <v/>
      </c>
      <c r="X1360" s="5" t="str">
        <f>IFERROR(__xludf.DUMMYFUNCTION("""COMPUTED_VALUE"""),"")</f>
        <v/>
      </c>
      <c r="Y1360" s="5"/>
      <c r="Z1360" s="5"/>
    </row>
    <row r="1361">
      <c r="A1361" s="5"/>
      <c r="B1361" s="5" t="str">
        <f>IFERROR(__xludf.DUMMYFUNCTION("""COMPUTED_VALUE"""),"")</f>
        <v/>
      </c>
      <c r="C1361" s="5" t="str">
        <f>IFERROR(__xludf.DUMMYFUNCTION("""COMPUTED_VALUE"""),"")</f>
        <v/>
      </c>
      <c r="D1361" s="5" t="str">
        <f>IFERROR(__xludf.DUMMYFUNCTION("""COMPUTED_VALUE"""),"")</f>
        <v/>
      </c>
      <c r="E1361" s="5" t="str">
        <f>IFERROR(__xludf.DUMMYFUNCTION("""COMPUTED_VALUE"""),"")</f>
        <v/>
      </c>
      <c r="F1361" s="5" t="str">
        <f>IFERROR(__xludf.DUMMYFUNCTION("""COMPUTED_VALUE"""),"")</f>
        <v/>
      </c>
      <c r="G1361" s="5" t="str">
        <f>IFERROR(__xludf.DUMMYFUNCTION("""COMPUTED_VALUE"""),"")</f>
        <v/>
      </c>
      <c r="H1361" s="5" t="str">
        <f>IFERROR(__xludf.DUMMYFUNCTION("""COMPUTED_VALUE"""),"")</f>
        <v/>
      </c>
      <c r="I1361" s="5" t="str">
        <f>IFERROR(__xludf.DUMMYFUNCTION("""COMPUTED_VALUE"""),"")</f>
        <v/>
      </c>
      <c r="J1361" s="5" t="str">
        <f>IFERROR(__xludf.DUMMYFUNCTION("""COMPUTED_VALUE"""),"")</f>
        <v/>
      </c>
      <c r="K1361" s="5" t="str">
        <f>IFERROR(__xludf.DUMMYFUNCTION("""COMPUTED_VALUE"""),"")</f>
        <v/>
      </c>
      <c r="L1361" s="5" t="str">
        <f>IFERROR(__xludf.DUMMYFUNCTION("""COMPUTED_VALUE"""),"")</f>
        <v/>
      </c>
      <c r="M1361" s="5" t="str">
        <f>IFERROR(__xludf.DUMMYFUNCTION("""COMPUTED_VALUE"""),"")</f>
        <v/>
      </c>
      <c r="N1361" s="5" t="str">
        <f>IFERROR(__xludf.DUMMYFUNCTION("""COMPUTED_VALUE"""),"")</f>
        <v/>
      </c>
      <c r="O1361" s="5" t="str">
        <f>IFERROR(__xludf.DUMMYFUNCTION("""COMPUTED_VALUE"""),"")</f>
        <v/>
      </c>
      <c r="P1361" s="5" t="str">
        <f>IFERROR(__xludf.DUMMYFUNCTION("""COMPUTED_VALUE"""),"")</f>
        <v/>
      </c>
      <c r="Q1361" s="5" t="str">
        <f>IFERROR(__xludf.DUMMYFUNCTION("""COMPUTED_VALUE"""),"")</f>
        <v/>
      </c>
      <c r="R1361" s="5" t="str">
        <f>IFERROR(__xludf.DUMMYFUNCTION("""COMPUTED_VALUE"""),"")</f>
        <v/>
      </c>
      <c r="S1361" s="5" t="str">
        <f>IFERROR(__xludf.DUMMYFUNCTION("""COMPUTED_VALUE"""),"")</f>
        <v/>
      </c>
      <c r="T1361" s="5" t="str">
        <f>IFERROR(__xludf.DUMMYFUNCTION("""COMPUTED_VALUE"""),"")</f>
        <v/>
      </c>
      <c r="U1361" s="5" t="str">
        <f>IFERROR(__xludf.DUMMYFUNCTION("""COMPUTED_VALUE"""),"")</f>
        <v/>
      </c>
      <c r="V1361" s="5" t="str">
        <f>IFERROR(__xludf.DUMMYFUNCTION("""COMPUTED_VALUE"""),"")</f>
        <v/>
      </c>
      <c r="W1361" s="5" t="str">
        <f>IFERROR(__xludf.DUMMYFUNCTION("""COMPUTED_VALUE"""),"")</f>
        <v/>
      </c>
      <c r="X1361" s="5" t="str">
        <f>IFERROR(__xludf.DUMMYFUNCTION("""COMPUTED_VALUE"""),"")</f>
        <v/>
      </c>
      <c r="Y1361" s="5"/>
      <c r="Z1361" s="5"/>
    </row>
    <row r="1362">
      <c r="A1362" s="5"/>
      <c r="B1362" s="5" t="str">
        <f>IFERROR(__xludf.DUMMYFUNCTION("""COMPUTED_VALUE"""),"")</f>
        <v/>
      </c>
      <c r="C1362" s="5" t="str">
        <f>IFERROR(__xludf.DUMMYFUNCTION("""COMPUTED_VALUE"""),"")</f>
        <v/>
      </c>
      <c r="D1362" s="5" t="str">
        <f>IFERROR(__xludf.DUMMYFUNCTION("""COMPUTED_VALUE"""),"")</f>
        <v/>
      </c>
      <c r="E1362" s="5" t="str">
        <f>IFERROR(__xludf.DUMMYFUNCTION("""COMPUTED_VALUE"""),"")</f>
        <v/>
      </c>
      <c r="F1362" s="5" t="str">
        <f>IFERROR(__xludf.DUMMYFUNCTION("""COMPUTED_VALUE"""),"")</f>
        <v/>
      </c>
      <c r="G1362" s="5" t="str">
        <f>IFERROR(__xludf.DUMMYFUNCTION("""COMPUTED_VALUE"""),"")</f>
        <v/>
      </c>
      <c r="H1362" s="5" t="str">
        <f>IFERROR(__xludf.DUMMYFUNCTION("""COMPUTED_VALUE"""),"")</f>
        <v/>
      </c>
      <c r="I1362" s="5" t="str">
        <f>IFERROR(__xludf.DUMMYFUNCTION("""COMPUTED_VALUE"""),"")</f>
        <v/>
      </c>
      <c r="J1362" s="5" t="str">
        <f>IFERROR(__xludf.DUMMYFUNCTION("""COMPUTED_VALUE"""),"")</f>
        <v/>
      </c>
      <c r="K1362" s="5" t="str">
        <f>IFERROR(__xludf.DUMMYFUNCTION("""COMPUTED_VALUE"""),"")</f>
        <v/>
      </c>
      <c r="L1362" s="5" t="str">
        <f>IFERROR(__xludf.DUMMYFUNCTION("""COMPUTED_VALUE"""),"")</f>
        <v/>
      </c>
      <c r="M1362" s="5" t="str">
        <f>IFERROR(__xludf.DUMMYFUNCTION("""COMPUTED_VALUE"""),"")</f>
        <v/>
      </c>
      <c r="N1362" s="5" t="str">
        <f>IFERROR(__xludf.DUMMYFUNCTION("""COMPUTED_VALUE"""),"")</f>
        <v/>
      </c>
      <c r="O1362" s="5" t="str">
        <f>IFERROR(__xludf.DUMMYFUNCTION("""COMPUTED_VALUE"""),"")</f>
        <v/>
      </c>
      <c r="P1362" s="5" t="str">
        <f>IFERROR(__xludf.DUMMYFUNCTION("""COMPUTED_VALUE"""),"")</f>
        <v/>
      </c>
      <c r="Q1362" s="5" t="str">
        <f>IFERROR(__xludf.DUMMYFUNCTION("""COMPUTED_VALUE"""),"")</f>
        <v/>
      </c>
      <c r="R1362" s="5" t="str">
        <f>IFERROR(__xludf.DUMMYFUNCTION("""COMPUTED_VALUE"""),"")</f>
        <v/>
      </c>
      <c r="S1362" s="5" t="str">
        <f>IFERROR(__xludf.DUMMYFUNCTION("""COMPUTED_VALUE"""),"")</f>
        <v/>
      </c>
      <c r="T1362" s="5" t="str">
        <f>IFERROR(__xludf.DUMMYFUNCTION("""COMPUTED_VALUE"""),"")</f>
        <v/>
      </c>
      <c r="U1362" s="5" t="str">
        <f>IFERROR(__xludf.DUMMYFUNCTION("""COMPUTED_VALUE"""),"")</f>
        <v/>
      </c>
      <c r="V1362" s="5" t="str">
        <f>IFERROR(__xludf.DUMMYFUNCTION("""COMPUTED_VALUE"""),"")</f>
        <v/>
      </c>
      <c r="W1362" s="5" t="str">
        <f>IFERROR(__xludf.DUMMYFUNCTION("""COMPUTED_VALUE"""),"")</f>
        <v/>
      </c>
      <c r="X1362" s="5" t="str">
        <f>IFERROR(__xludf.DUMMYFUNCTION("""COMPUTED_VALUE"""),"")</f>
        <v/>
      </c>
      <c r="Y1362" s="5"/>
      <c r="Z1362" s="5"/>
    </row>
    <row r="1363">
      <c r="A1363" s="5"/>
      <c r="B1363" s="5" t="str">
        <f>IFERROR(__xludf.DUMMYFUNCTION("""COMPUTED_VALUE"""),"")</f>
        <v/>
      </c>
      <c r="C1363" s="5" t="str">
        <f>IFERROR(__xludf.DUMMYFUNCTION("""COMPUTED_VALUE"""),"")</f>
        <v/>
      </c>
      <c r="D1363" s="5" t="str">
        <f>IFERROR(__xludf.DUMMYFUNCTION("""COMPUTED_VALUE"""),"")</f>
        <v/>
      </c>
      <c r="E1363" s="5" t="str">
        <f>IFERROR(__xludf.DUMMYFUNCTION("""COMPUTED_VALUE"""),"")</f>
        <v/>
      </c>
      <c r="F1363" s="5" t="str">
        <f>IFERROR(__xludf.DUMMYFUNCTION("""COMPUTED_VALUE"""),"")</f>
        <v/>
      </c>
      <c r="G1363" s="5" t="str">
        <f>IFERROR(__xludf.DUMMYFUNCTION("""COMPUTED_VALUE"""),"")</f>
        <v/>
      </c>
      <c r="H1363" s="5" t="str">
        <f>IFERROR(__xludf.DUMMYFUNCTION("""COMPUTED_VALUE"""),"")</f>
        <v/>
      </c>
      <c r="I1363" s="5" t="str">
        <f>IFERROR(__xludf.DUMMYFUNCTION("""COMPUTED_VALUE"""),"")</f>
        <v/>
      </c>
      <c r="J1363" s="5" t="str">
        <f>IFERROR(__xludf.DUMMYFUNCTION("""COMPUTED_VALUE"""),"")</f>
        <v/>
      </c>
      <c r="K1363" s="5" t="str">
        <f>IFERROR(__xludf.DUMMYFUNCTION("""COMPUTED_VALUE"""),"")</f>
        <v/>
      </c>
      <c r="L1363" s="5" t="str">
        <f>IFERROR(__xludf.DUMMYFUNCTION("""COMPUTED_VALUE"""),"")</f>
        <v/>
      </c>
      <c r="M1363" s="5" t="str">
        <f>IFERROR(__xludf.DUMMYFUNCTION("""COMPUTED_VALUE"""),"")</f>
        <v/>
      </c>
      <c r="N1363" s="5" t="str">
        <f>IFERROR(__xludf.DUMMYFUNCTION("""COMPUTED_VALUE"""),"")</f>
        <v/>
      </c>
      <c r="O1363" s="5" t="str">
        <f>IFERROR(__xludf.DUMMYFUNCTION("""COMPUTED_VALUE"""),"")</f>
        <v/>
      </c>
      <c r="P1363" s="5" t="str">
        <f>IFERROR(__xludf.DUMMYFUNCTION("""COMPUTED_VALUE"""),"")</f>
        <v/>
      </c>
      <c r="Q1363" s="5" t="str">
        <f>IFERROR(__xludf.DUMMYFUNCTION("""COMPUTED_VALUE"""),"")</f>
        <v/>
      </c>
      <c r="R1363" s="5" t="str">
        <f>IFERROR(__xludf.DUMMYFUNCTION("""COMPUTED_VALUE"""),"")</f>
        <v/>
      </c>
      <c r="S1363" s="5" t="str">
        <f>IFERROR(__xludf.DUMMYFUNCTION("""COMPUTED_VALUE"""),"")</f>
        <v/>
      </c>
      <c r="T1363" s="5" t="str">
        <f>IFERROR(__xludf.DUMMYFUNCTION("""COMPUTED_VALUE"""),"")</f>
        <v/>
      </c>
      <c r="U1363" s="5" t="str">
        <f>IFERROR(__xludf.DUMMYFUNCTION("""COMPUTED_VALUE"""),"")</f>
        <v/>
      </c>
      <c r="V1363" s="5" t="str">
        <f>IFERROR(__xludf.DUMMYFUNCTION("""COMPUTED_VALUE"""),"")</f>
        <v/>
      </c>
      <c r="W1363" s="5" t="str">
        <f>IFERROR(__xludf.DUMMYFUNCTION("""COMPUTED_VALUE"""),"")</f>
        <v/>
      </c>
      <c r="X1363" s="5" t="str">
        <f>IFERROR(__xludf.DUMMYFUNCTION("""COMPUTED_VALUE"""),"")</f>
        <v/>
      </c>
      <c r="Y1363" s="5"/>
      <c r="Z1363" s="5"/>
    </row>
    <row r="1364">
      <c r="A1364" s="5"/>
      <c r="B1364" s="5" t="str">
        <f>IFERROR(__xludf.DUMMYFUNCTION("""COMPUTED_VALUE"""),"")</f>
        <v/>
      </c>
      <c r="C1364" s="5" t="str">
        <f>IFERROR(__xludf.DUMMYFUNCTION("""COMPUTED_VALUE"""),"")</f>
        <v/>
      </c>
      <c r="D1364" s="5" t="str">
        <f>IFERROR(__xludf.DUMMYFUNCTION("""COMPUTED_VALUE"""),"")</f>
        <v/>
      </c>
      <c r="E1364" s="5" t="str">
        <f>IFERROR(__xludf.DUMMYFUNCTION("""COMPUTED_VALUE"""),"")</f>
        <v/>
      </c>
      <c r="F1364" s="5" t="str">
        <f>IFERROR(__xludf.DUMMYFUNCTION("""COMPUTED_VALUE"""),"")</f>
        <v/>
      </c>
      <c r="G1364" s="5" t="str">
        <f>IFERROR(__xludf.DUMMYFUNCTION("""COMPUTED_VALUE"""),"")</f>
        <v/>
      </c>
      <c r="H1364" s="5" t="str">
        <f>IFERROR(__xludf.DUMMYFUNCTION("""COMPUTED_VALUE"""),"")</f>
        <v/>
      </c>
      <c r="I1364" s="5" t="str">
        <f>IFERROR(__xludf.DUMMYFUNCTION("""COMPUTED_VALUE"""),"")</f>
        <v/>
      </c>
      <c r="J1364" s="5" t="str">
        <f>IFERROR(__xludf.DUMMYFUNCTION("""COMPUTED_VALUE"""),"")</f>
        <v/>
      </c>
      <c r="K1364" s="5" t="str">
        <f>IFERROR(__xludf.DUMMYFUNCTION("""COMPUTED_VALUE"""),"")</f>
        <v/>
      </c>
      <c r="L1364" s="5" t="str">
        <f>IFERROR(__xludf.DUMMYFUNCTION("""COMPUTED_VALUE"""),"")</f>
        <v/>
      </c>
      <c r="M1364" s="5" t="str">
        <f>IFERROR(__xludf.DUMMYFUNCTION("""COMPUTED_VALUE"""),"")</f>
        <v/>
      </c>
      <c r="N1364" s="5" t="str">
        <f>IFERROR(__xludf.DUMMYFUNCTION("""COMPUTED_VALUE"""),"")</f>
        <v/>
      </c>
      <c r="O1364" s="5" t="str">
        <f>IFERROR(__xludf.DUMMYFUNCTION("""COMPUTED_VALUE"""),"")</f>
        <v/>
      </c>
      <c r="P1364" s="5" t="str">
        <f>IFERROR(__xludf.DUMMYFUNCTION("""COMPUTED_VALUE"""),"")</f>
        <v/>
      </c>
      <c r="Q1364" s="5" t="str">
        <f>IFERROR(__xludf.DUMMYFUNCTION("""COMPUTED_VALUE"""),"")</f>
        <v/>
      </c>
      <c r="R1364" s="5" t="str">
        <f>IFERROR(__xludf.DUMMYFUNCTION("""COMPUTED_VALUE"""),"")</f>
        <v/>
      </c>
      <c r="S1364" s="5" t="str">
        <f>IFERROR(__xludf.DUMMYFUNCTION("""COMPUTED_VALUE"""),"")</f>
        <v/>
      </c>
      <c r="T1364" s="5" t="str">
        <f>IFERROR(__xludf.DUMMYFUNCTION("""COMPUTED_VALUE"""),"")</f>
        <v/>
      </c>
      <c r="U1364" s="5" t="str">
        <f>IFERROR(__xludf.DUMMYFUNCTION("""COMPUTED_VALUE"""),"")</f>
        <v/>
      </c>
      <c r="V1364" s="5" t="str">
        <f>IFERROR(__xludf.DUMMYFUNCTION("""COMPUTED_VALUE"""),"")</f>
        <v/>
      </c>
      <c r="W1364" s="5" t="str">
        <f>IFERROR(__xludf.DUMMYFUNCTION("""COMPUTED_VALUE"""),"")</f>
        <v/>
      </c>
      <c r="X1364" s="5" t="str">
        <f>IFERROR(__xludf.DUMMYFUNCTION("""COMPUTED_VALUE"""),"")</f>
        <v/>
      </c>
      <c r="Y1364" s="5"/>
      <c r="Z1364" s="5"/>
    </row>
    <row r="1365">
      <c r="A1365" s="5"/>
      <c r="B1365" s="5" t="str">
        <f>IFERROR(__xludf.DUMMYFUNCTION("""COMPUTED_VALUE"""),"")</f>
        <v/>
      </c>
      <c r="C1365" s="5" t="str">
        <f>IFERROR(__xludf.DUMMYFUNCTION("""COMPUTED_VALUE"""),"")</f>
        <v/>
      </c>
      <c r="D1365" s="5" t="str">
        <f>IFERROR(__xludf.DUMMYFUNCTION("""COMPUTED_VALUE"""),"")</f>
        <v/>
      </c>
      <c r="E1365" s="5" t="str">
        <f>IFERROR(__xludf.DUMMYFUNCTION("""COMPUTED_VALUE"""),"")</f>
        <v/>
      </c>
      <c r="F1365" s="5" t="str">
        <f>IFERROR(__xludf.DUMMYFUNCTION("""COMPUTED_VALUE"""),"")</f>
        <v/>
      </c>
      <c r="G1365" s="5" t="str">
        <f>IFERROR(__xludf.DUMMYFUNCTION("""COMPUTED_VALUE"""),"")</f>
        <v/>
      </c>
      <c r="H1365" s="5" t="str">
        <f>IFERROR(__xludf.DUMMYFUNCTION("""COMPUTED_VALUE"""),"")</f>
        <v/>
      </c>
      <c r="I1365" s="5" t="str">
        <f>IFERROR(__xludf.DUMMYFUNCTION("""COMPUTED_VALUE"""),"")</f>
        <v/>
      </c>
      <c r="J1365" s="5" t="str">
        <f>IFERROR(__xludf.DUMMYFUNCTION("""COMPUTED_VALUE"""),"")</f>
        <v/>
      </c>
      <c r="K1365" s="5" t="str">
        <f>IFERROR(__xludf.DUMMYFUNCTION("""COMPUTED_VALUE"""),"")</f>
        <v/>
      </c>
      <c r="L1365" s="5" t="str">
        <f>IFERROR(__xludf.DUMMYFUNCTION("""COMPUTED_VALUE"""),"")</f>
        <v/>
      </c>
      <c r="M1365" s="5" t="str">
        <f>IFERROR(__xludf.DUMMYFUNCTION("""COMPUTED_VALUE"""),"")</f>
        <v/>
      </c>
      <c r="N1365" s="5" t="str">
        <f>IFERROR(__xludf.DUMMYFUNCTION("""COMPUTED_VALUE"""),"")</f>
        <v/>
      </c>
      <c r="O1365" s="5" t="str">
        <f>IFERROR(__xludf.DUMMYFUNCTION("""COMPUTED_VALUE"""),"")</f>
        <v/>
      </c>
      <c r="P1365" s="5" t="str">
        <f>IFERROR(__xludf.DUMMYFUNCTION("""COMPUTED_VALUE"""),"")</f>
        <v/>
      </c>
      <c r="Q1365" s="5" t="str">
        <f>IFERROR(__xludf.DUMMYFUNCTION("""COMPUTED_VALUE"""),"")</f>
        <v/>
      </c>
      <c r="R1365" s="5" t="str">
        <f>IFERROR(__xludf.DUMMYFUNCTION("""COMPUTED_VALUE"""),"")</f>
        <v/>
      </c>
      <c r="S1365" s="5" t="str">
        <f>IFERROR(__xludf.DUMMYFUNCTION("""COMPUTED_VALUE"""),"")</f>
        <v/>
      </c>
      <c r="T1365" s="5" t="str">
        <f>IFERROR(__xludf.DUMMYFUNCTION("""COMPUTED_VALUE"""),"")</f>
        <v/>
      </c>
      <c r="U1365" s="5" t="str">
        <f>IFERROR(__xludf.DUMMYFUNCTION("""COMPUTED_VALUE"""),"")</f>
        <v/>
      </c>
      <c r="V1365" s="5" t="str">
        <f>IFERROR(__xludf.DUMMYFUNCTION("""COMPUTED_VALUE"""),"")</f>
        <v/>
      </c>
      <c r="W1365" s="5" t="str">
        <f>IFERROR(__xludf.DUMMYFUNCTION("""COMPUTED_VALUE"""),"")</f>
        <v/>
      </c>
      <c r="X1365" s="5" t="str">
        <f>IFERROR(__xludf.DUMMYFUNCTION("""COMPUTED_VALUE"""),"")</f>
        <v/>
      </c>
      <c r="Y1365" s="5"/>
      <c r="Z1365" s="5"/>
    </row>
    <row r="1366">
      <c r="A1366" s="5"/>
      <c r="B1366" s="5" t="str">
        <f>IFERROR(__xludf.DUMMYFUNCTION("""COMPUTED_VALUE"""),"")</f>
        <v/>
      </c>
      <c r="C1366" s="5" t="str">
        <f>IFERROR(__xludf.DUMMYFUNCTION("""COMPUTED_VALUE"""),"")</f>
        <v/>
      </c>
      <c r="D1366" s="5" t="str">
        <f>IFERROR(__xludf.DUMMYFUNCTION("""COMPUTED_VALUE"""),"")</f>
        <v/>
      </c>
      <c r="E1366" s="5" t="str">
        <f>IFERROR(__xludf.DUMMYFUNCTION("""COMPUTED_VALUE"""),"")</f>
        <v/>
      </c>
      <c r="F1366" s="5" t="str">
        <f>IFERROR(__xludf.DUMMYFUNCTION("""COMPUTED_VALUE"""),"")</f>
        <v/>
      </c>
      <c r="G1366" s="5" t="str">
        <f>IFERROR(__xludf.DUMMYFUNCTION("""COMPUTED_VALUE"""),"")</f>
        <v/>
      </c>
      <c r="H1366" s="5" t="str">
        <f>IFERROR(__xludf.DUMMYFUNCTION("""COMPUTED_VALUE"""),"")</f>
        <v/>
      </c>
      <c r="I1366" s="5" t="str">
        <f>IFERROR(__xludf.DUMMYFUNCTION("""COMPUTED_VALUE"""),"")</f>
        <v/>
      </c>
      <c r="J1366" s="5" t="str">
        <f>IFERROR(__xludf.DUMMYFUNCTION("""COMPUTED_VALUE"""),"")</f>
        <v/>
      </c>
      <c r="K1366" s="5" t="str">
        <f>IFERROR(__xludf.DUMMYFUNCTION("""COMPUTED_VALUE"""),"")</f>
        <v/>
      </c>
      <c r="L1366" s="5" t="str">
        <f>IFERROR(__xludf.DUMMYFUNCTION("""COMPUTED_VALUE"""),"")</f>
        <v/>
      </c>
      <c r="M1366" s="5" t="str">
        <f>IFERROR(__xludf.DUMMYFUNCTION("""COMPUTED_VALUE"""),"")</f>
        <v/>
      </c>
      <c r="N1366" s="5" t="str">
        <f>IFERROR(__xludf.DUMMYFUNCTION("""COMPUTED_VALUE"""),"")</f>
        <v/>
      </c>
      <c r="O1366" s="5" t="str">
        <f>IFERROR(__xludf.DUMMYFUNCTION("""COMPUTED_VALUE"""),"")</f>
        <v/>
      </c>
      <c r="P1366" s="5" t="str">
        <f>IFERROR(__xludf.DUMMYFUNCTION("""COMPUTED_VALUE"""),"")</f>
        <v/>
      </c>
      <c r="Q1366" s="5" t="str">
        <f>IFERROR(__xludf.DUMMYFUNCTION("""COMPUTED_VALUE"""),"")</f>
        <v/>
      </c>
      <c r="R1366" s="5" t="str">
        <f>IFERROR(__xludf.DUMMYFUNCTION("""COMPUTED_VALUE"""),"")</f>
        <v/>
      </c>
      <c r="S1366" s="5" t="str">
        <f>IFERROR(__xludf.DUMMYFUNCTION("""COMPUTED_VALUE"""),"")</f>
        <v/>
      </c>
      <c r="T1366" s="5" t="str">
        <f>IFERROR(__xludf.DUMMYFUNCTION("""COMPUTED_VALUE"""),"")</f>
        <v/>
      </c>
      <c r="U1366" s="5" t="str">
        <f>IFERROR(__xludf.DUMMYFUNCTION("""COMPUTED_VALUE"""),"")</f>
        <v/>
      </c>
      <c r="V1366" s="5" t="str">
        <f>IFERROR(__xludf.DUMMYFUNCTION("""COMPUTED_VALUE"""),"")</f>
        <v/>
      </c>
      <c r="W1366" s="5" t="str">
        <f>IFERROR(__xludf.DUMMYFUNCTION("""COMPUTED_VALUE"""),"")</f>
        <v/>
      </c>
      <c r="X1366" s="5" t="str">
        <f>IFERROR(__xludf.DUMMYFUNCTION("""COMPUTED_VALUE"""),"")</f>
        <v/>
      </c>
      <c r="Y1366" s="5"/>
      <c r="Z1366" s="5"/>
    </row>
    <row r="1367">
      <c r="A1367" s="5"/>
      <c r="B1367" s="5" t="str">
        <f>IFERROR(__xludf.DUMMYFUNCTION("""COMPUTED_VALUE"""),"")</f>
        <v/>
      </c>
      <c r="C1367" s="5" t="str">
        <f>IFERROR(__xludf.DUMMYFUNCTION("""COMPUTED_VALUE"""),"")</f>
        <v/>
      </c>
      <c r="D1367" s="5" t="str">
        <f>IFERROR(__xludf.DUMMYFUNCTION("""COMPUTED_VALUE"""),"")</f>
        <v/>
      </c>
      <c r="E1367" s="5" t="str">
        <f>IFERROR(__xludf.DUMMYFUNCTION("""COMPUTED_VALUE"""),"")</f>
        <v/>
      </c>
      <c r="F1367" s="5" t="str">
        <f>IFERROR(__xludf.DUMMYFUNCTION("""COMPUTED_VALUE"""),"")</f>
        <v/>
      </c>
      <c r="G1367" s="5" t="str">
        <f>IFERROR(__xludf.DUMMYFUNCTION("""COMPUTED_VALUE"""),"")</f>
        <v/>
      </c>
      <c r="H1367" s="5" t="str">
        <f>IFERROR(__xludf.DUMMYFUNCTION("""COMPUTED_VALUE"""),"")</f>
        <v/>
      </c>
      <c r="I1367" s="5" t="str">
        <f>IFERROR(__xludf.DUMMYFUNCTION("""COMPUTED_VALUE"""),"")</f>
        <v/>
      </c>
      <c r="J1367" s="5" t="str">
        <f>IFERROR(__xludf.DUMMYFUNCTION("""COMPUTED_VALUE"""),"")</f>
        <v/>
      </c>
      <c r="K1367" s="5" t="str">
        <f>IFERROR(__xludf.DUMMYFUNCTION("""COMPUTED_VALUE"""),"")</f>
        <v/>
      </c>
      <c r="L1367" s="5" t="str">
        <f>IFERROR(__xludf.DUMMYFUNCTION("""COMPUTED_VALUE"""),"")</f>
        <v/>
      </c>
      <c r="M1367" s="5" t="str">
        <f>IFERROR(__xludf.DUMMYFUNCTION("""COMPUTED_VALUE"""),"")</f>
        <v/>
      </c>
      <c r="N1367" s="5" t="str">
        <f>IFERROR(__xludf.DUMMYFUNCTION("""COMPUTED_VALUE"""),"")</f>
        <v/>
      </c>
      <c r="O1367" s="5" t="str">
        <f>IFERROR(__xludf.DUMMYFUNCTION("""COMPUTED_VALUE"""),"")</f>
        <v/>
      </c>
      <c r="P1367" s="5" t="str">
        <f>IFERROR(__xludf.DUMMYFUNCTION("""COMPUTED_VALUE"""),"")</f>
        <v/>
      </c>
      <c r="Q1367" s="5" t="str">
        <f>IFERROR(__xludf.DUMMYFUNCTION("""COMPUTED_VALUE"""),"")</f>
        <v/>
      </c>
      <c r="R1367" s="5" t="str">
        <f>IFERROR(__xludf.DUMMYFUNCTION("""COMPUTED_VALUE"""),"")</f>
        <v/>
      </c>
      <c r="S1367" s="5" t="str">
        <f>IFERROR(__xludf.DUMMYFUNCTION("""COMPUTED_VALUE"""),"")</f>
        <v/>
      </c>
      <c r="T1367" s="5" t="str">
        <f>IFERROR(__xludf.DUMMYFUNCTION("""COMPUTED_VALUE"""),"")</f>
        <v/>
      </c>
      <c r="U1367" s="5" t="str">
        <f>IFERROR(__xludf.DUMMYFUNCTION("""COMPUTED_VALUE"""),"")</f>
        <v/>
      </c>
      <c r="V1367" s="5" t="str">
        <f>IFERROR(__xludf.DUMMYFUNCTION("""COMPUTED_VALUE"""),"")</f>
        <v/>
      </c>
      <c r="W1367" s="5" t="str">
        <f>IFERROR(__xludf.DUMMYFUNCTION("""COMPUTED_VALUE"""),"")</f>
        <v/>
      </c>
      <c r="X1367" s="5" t="str">
        <f>IFERROR(__xludf.DUMMYFUNCTION("""COMPUTED_VALUE"""),"")</f>
        <v/>
      </c>
      <c r="Y1367" s="5"/>
      <c r="Z1367" s="5"/>
    </row>
    <row r="1368">
      <c r="A1368" s="5"/>
      <c r="B1368" s="5" t="str">
        <f>IFERROR(__xludf.DUMMYFUNCTION("""COMPUTED_VALUE"""),"")</f>
        <v/>
      </c>
      <c r="C1368" s="5" t="str">
        <f>IFERROR(__xludf.DUMMYFUNCTION("""COMPUTED_VALUE"""),"")</f>
        <v/>
      </c>
      <c r="D1368" s="5" t="str">
        <f>IFERROR(__xludf.DUMMYFUNCTION("""COMPUTED_VALUE"""),"")</f>
        <v/>
      </c>
      <c r="E1368" s="5" t="str">
        <f>IFERROR(__xludf.DUMMYFUNCTION("""COMPUTED_VALUE"""),"")</f>
        <v/>
      </c>
      <c r="F1368" s="5" t="str">
        <f>IFERROR(__xludf.DUMMYFUNCTION("""COMPUTED_VALUE"""),"")</f>
        <v/>
      </c>
      <c r="G1368" s="5" t="str">
        <f>IFERROR(__xludf.DUMMYFUNCTION("""COMPUTED_VALUE"""),"")</f>
        <v/>
      </c>
      <c r="H1368" s="5" t="str">
        <f>IFERROR(__xludf.DUMMYFUNCTION("""COMPUTED_VALUE"""),"")</f>
        <v/>
      </c>
      <c r="I1368" s="5" t="str">
        <f>IFERROR(__xludf.DUMMYFUNCTION("""COMPUTED_VALUE"""),"")</f>
        <v/>
      </c>
      <c r="J1368" s="5" t="str">
        <f>IFERROR(__xludf.DUMMYFUNCTION("""COMPUTED_VALUE"""),"")</f>
        <v/>
      </c>
      <c r="K1368" s="5" t="str">
        <f>IFERROR(__xludf.DUMMYFUNCTION("""COMPUTED_VALUE"""),"")</f>
        <v/>
      </c>
      <c r="L1368" s="5" t="str">
        <f>IFERROR(__xludf.DUMMYFUNCTION("""COMPUTED_VALUE"""),"")</f>
        <v/>
      </c>
      <c r="M1368" s="5" t="str">
        <f>IFERROR(__xludf.DUMMYFUNCTION("""COMPUTED_VALUE"""),"")</f>
        <v/>
      </c>
      <c r="N1368" s="5" t="str">
        <f>IFERROR(__xludf.DUMMYFUNCTION("""COMPUTED_VALUE"""),"")</f>
        <v/>
      </c>
      <c r="O1368" s="5" t="str">
        <f>IFERROR(__xludf.DUMMYFUNCTION("""COMPUTED_VALUE"""),"")</f>
        <v/>
      </c>
      <c r="P1368" s="5" t="str">
        <f>IFERROR(__xludf.DUMMYFUNCTION("""COMPUTED_VALUE"""),"")</f>
        <v/>
      </c>
      <c r="Q1368" s="5" t="str">
        <f>IFERROR(__xludf.DUMMYFUNCTION("""COMPUTED_VALUE"""),"")</f>
        <v/>
      </c>
      <c r="R1368" s="5" t="str">
        <f>IFERROR(__xludf.DUMMYFUNCTION("""COMPUTED_VALUE"""),"")</f>
        <v/>
      </c>
      <c r="S1368" s="5" t="str">
        <f>IFERROR(__xludf.DUMMYFUNCTION("""COMPUTED_VALUE"""),"")</f>
        <v/>
      </c>
      <c r="T1368" s="5" t="str">
        <f>IFERROR(__xludf.DUMMYFUNCTION("""COMPUTED_VALUE"""),"")</f>
        <v/>
      </c>
      <c r="U1368" s="5" t="str">
        <f>IFERROR(__xludf.DUMMYFUNCTION("""COMPUTED_VALUE"""),"")</f>
        <v/>
      </c>
      <c r="V1368" s="5" t="str">
        <f>IFERROR(__xludf.DUMMYFUNCTION("""COMPUTED_VALUE"""),"")</f>
        <v/>
      </c>
      <c r="W1368" s="5" t="str">
        <f>IFERROR(__xludf.DUMMYFUNCTION("""COMPUTED_VALUE"""),"")</f>
        <v/>
      </c>
      <c r="X1368" s="5" t="str">
        <f>IFERROR(__xludf.DUMMYFUNCTION("""COMPUTED_VALUE"""),"")</f>
        <v/>
      </c>
      <c r="Y1368" s="5"/>
      <c r="Z1368" s="5"/>
    </row>
    <row r="1369">
      <c r="A1369" s="5"/>
      <c r="B1369" s="5" t="str">
        <f>IFERROR(__xludf.DUMMYFUNCTION("""COMPUTED_VALUE"""),"")</f>
        <v/>
      </c>
      <c r="C1369" s="5" t="str">
        <f>IFERROR(__xludf.DUMMYFUNCTION("""COMPUTED_VALUE"""),"")</f>
        <v/>
      </c>
      <c r="D1369" s="5" t="str">
        <f>IFERROR(__xludf.DUMMYFUNCTION("""COMPUTED_VALUE"""),"")</f>
        <v/>
      </c>
      <c r="E1369" s="5" t="str">
        <f>IFERROR(__xludf.DUMMYFUNCTION("""COMPUTED_VALUE"""),"")</f>
        <v/>
      </c>
      <c r="F1369" s="5" t="str">
        <f>IFERROR(__xludf.DUMMYFUNCTION("""COMPUTED_VALUE"""),"")</f>
        <v/>
      </c>
      <c r="G1369" s="5" t="str">
        <f>IFERROR(__xludf.DUMMYFUNCTION("""COMPUTED_VALUE"""),"")</f>
        <v/>
      </c>
      <c r="H1369" s="5" t="str">
        <f>IFERROR(__xludf.DUMMYFUNCTION("""COMPUTED_VALUE"""),"")</f>
        <v/>
      </c>
      <c r="I1369" s="5" t="str">
        <f>IFERROR(__xludf.DUMMYFUNCTION("""COMPUTED_VALUE"""),"")</f>
        <v/>
      </c>
      <c r="J1369" s="5" t="str">
        <f>IFERROR(__xludf.DUMMYFUNCTION("""COMPUTED_VALUE"""),"")</f>
        <v/>
      </c>
      <c r="K1369" s="5" t="str">
        <f>IFERROR(__xludf.DUMMYFUNCTION("""COMPUTED_VALUE"""),"")</f>
        <v/>
      </c>
      <c r="L1369" s="5" t="str">
        <f>IFERROR(__xludf.DUMMYFUNCTION("""COMPUTED_VALUE"""),"")</f>
        <v/>
      </c>
      <c r="M1369" s="5" t="str">
        <f>IFERROR(__xludf.DUMMYFUNCTION("""COMPUTED_VALUE"""),"")</f>
        <v/>
      </c>
      <c r="N1369" s="5" t="str">
        <f>IFERROR(__xludf.DUMMYFUNCTION("""COMPUTED_VALUE"""),"")</f>
        <v/>
      </c>
      <c r="O1369" s="5" t="str">
        <f>IFERROR(__xludf.DUMMYFUNCTION("""COMPUTED_VALUE"""),"")</f>
        <v/>
      </c>
      <c r="P1369" s="5" t="str">
        <f>IFERROR(__xludf.DUMMYFUNCTION("""COMPUTED_VALUE"""),"")</f>
        <v/>
      </c>
      <c r="Q1369" s="5" t="str">
        <f>IFERROR(__xludf.DUMMYFUNCTION("""COMPUTED_VALUE"""),"")</f>
        <v/>
      </c>
      <c r="R1369" s="5" t="str">
        <f>IFERROR(__xludf.DUMMYFUNCTION("""COMPUTED_VALUE"""),"")</f>
        <v/>
      </c>
      <c r="S1369" s="5" t="str">
        <f>IFERROR(__xludf.DUMMYFUNCTION("""COMPUTED_VALUE"""),"")</f>
        <v/>
      </c>
      <c r="T1369" s="5" t="str">
        <f>IFERROR(__xludf.DUMMYFUNCTION("""COMPUTED_VALUE"""),"")</f>
        <v/>
      </c>
      <c r="U1369" s="5" t="str">
        <f>IFERROR(__xludf.DUMMYFUNCTION("""COMPUTED_VALUE"""),"")</f>
        <v/>
      </c>
      <c r="V1369" s="5" t="str">
        <f>IFERROR(__xludf.DUMMYFUNCTION("""COMPUTED_VALUE"""),"")</f>
        <v/>
      </c>
      <c r="W1369" s="5" t="str">
        <f>IFERROR(__xludf.DUMMYFUNCTION("""COMPUTED_VALUE"""),"")</f>
        <v/>
      </c>
      <c r="X1369" s="5" t="str">
        <f>IFERROR(__xludf.DUMMYFUNCTION("""COMPUTED_VALUE"""),"")</f>
        <v/>
      </c>
      <c r="Y1369" s="5"/>
      <c r="Z1369" s="5"/>
    </row>
    <row r="1370">
      <c r="A1370" s="5"/>
      <c r="B1370" s="5" t="str">
        <f>IFERROR(__xludf.DUMMYFUNCTION("""COMPUTED_VALUE"""),"")</f>
        <v/>
      </c>
      <c r="C1370" s="5" t="str">
        <f>IFERROR(__xludf.DUMMYFUNCTION("""COMPUTED_VALUE"""),"")</f>
        <v/>
      </c>
      <c r="D1370" s="5" t="str">
        <f>IFERROR(__xludf.DUMMYFUNCTION("""COMPUTED_VALUE"""),"")</f>
        <v/>
      </c>
      <c r="E1370" s="5" t="str">
        <f>IFERROR(__xludf.DUMMYFUNCTION("""COMPUTED_VALUE"""),"")</f>
        <v/>
      </c>
      <c r="F1370" s="5" t="str">
        <f>IFERROR(__xludf.DUMMYFUNCTION("""COMPUTED_VALUE"""),"")</f>
        <v/>
      </c>
      <c r="G1370" s="5" t="str">
        <f>IFERROR(__xludf.DUMMYFUNCTION("""COMPUTED_VALUE"""),"")</f>
        <v/>
      </c>
      <c r="H1370" s="5" t="str">
        <f>IFERROR(__xludf.DUMMYFUNCTION("""COMPUTED_VALUE"""),"")</f>
        <v/>
      </c>
      <c r="I1370" s="5" t="str">
        <f>IFERROR(__xludf.DUMMYFUNCTION("""COMPUTED_VALUE"""),"")</f>
        <v/>
      </c>
      <c r="J1370" s="5" t="str">
        <f>IFERROR(__xludf.DUMMYFUNCTION("""COMPUTED_VALUE"""),"")</f>
        <v/>
      </c>
      <c r="K1370" s="5" t="str">
        <f>IFERROR(__xludf.DUMMYFUNCTION("""COMPUTED_VALUE"""),"")</f>
        <v/>
      </c>
      <c r="L1370" s="5" t="str">
        <f>IFERROR(__xludf.DUMMYFUNCTION("""COMPUTED_VALUE"""),"")</f>
        <v/>
      </c>
      <c r="M1370" s="5" t="str">
        <f>IFERROR(__xludf.DUMMYFUNCTION("""COMPUTED_VALUE"""),"")</f>
        <v/>
      </c>
      <c r="N1370" s="5" t="str">
        <f>IFERROR(__xludf.DUMMYFUNCTION("""COMPUTED_VALUE"""),"")</f>
        <v/>
      </c>
      <c r="O1370" s="5" t="str">
        <f>IFERROR(__xludf.DUMMYFUNCTION("""COMPUTED_VALUE"""),"")</f>
        <v/>
      </c>
      <c r="P1370" s="5" t="str">
        <f>IFERROR(__xludf.DUMMYFUNCTION("""COMPUTED_VALUE"""),"")</f>
        <v/>
      </c>
      <c r="Q1370" s="5" t="str">
        <f>IFERROR(__xludf.DUMMYFUNCTION("""COMPUTED_VALUE"""),"")</f>
        <v/>
      </c>
      <c r="R1370" s="5" t="str">
        <f>IFERROR(__xludf.DUMMYFUNCTION("""COMPUTED_VALUE"""),"")</f>
        <v/>
      </c>
      <c r="S1370" s="5" t="str">
        <f>IFERROR(__xludf.DUMMYFUNCTION("""COMPUTED_VALUE"""),"")</f>
        <v/>
      </c>
      <c r="T1370" s="5" t="str">
        <f>IFERROR(__xludf.DUMMYFUNCTION("""COMPUTED_VALUE"""),"")</f>
        <v/>
      </c>
      <c r="U1370" s="5" t="str">
        <f>IFERROR(__xludf.DUMMYFUNCTION("""COMPUTED_VALUE"""),"")</f>
        <v/>
      </c>
      <c r="V1370" s="5" t="str">
        <f>IFERROR(__xludf.DUMMYFUNCTION("""COMPUTED_VALUE"""),"")</f>
        <v/>
      </c>
      <c r="W1370" s="5" t="str">
        <f>IFERROR(__xludf.DUMMYFUNCTION("""COMPUTED_VALUE"""),"")</f>
        <v/>
      </c>
      <c r="X1370" s="5" t="str">
        <f>IFERROR(__xludf.DUMMYFUNCTION("""COMPUTED_VALUE"""),"")</f>
        <v/>
      </c>
      <c r="Y1370" s="5"/>
      <c r="Z1370" s="5"/>
    </row>
    <row r="1371">
      <c r="A1371" s="5"/>
      <c r="B1371" s="5" t="str">
        <f>IFERROR(__xludf.DUMMYFUNCTION("""COMPUTED_VALUE"""),"")</f>
        <v/>
      </c>
      <c r="C1371" s="5" t="str">
        <f>IFERROR(__xludf.DUMMYFUNCTION("""COMPUTED_VALUE"""),"")</f>
        <v/>
      </c>
      <c r="D1371" s="5" t="str">
        <f>IFERROR(__xludf.DUMMYFUNCTION("""COMPUTED_VALUE"""),"")</f>
        <v/>
      </c>
      <c r="E1371" s="5" t="str">
        <f>IFERROR(__xludf.DUMMYFUNCTION("""COMPUTED_VALUE"""),"")</f>
        <v/>
      </c>
      <c r="F1371" s="5" t="str">
        <f>IFERROR(__xludf.DUMMYFUNCTION("""COMPUTED_VALUE"""),"")</f>
        <v/>
      </c>
      <c r="G1371" s="5" t="str">
        <f>IFERROR(__xludf.DUMMYFUNCTION("""COMPUTED_VALUE"""),"")</f>
        <v/>
      </c>
      <c r="H1371" s="5" t="str">
        <f>IFERROR(__xludf.DUMMYFUNCTION("""COMPUTED_VALUE"""),"")</f>
        <v/>
      </c>
      <c r="I1371" s="5" t="str">
        <f>IFERROR(__xludf.DUMMYFUNCTION("""COMPUTED_VALUE"""),"")</f>
        <v/>
      </c>
      <c r="J1371" s="5" t="str">
        <f>IFERROR(__xludf.DUMMYFUNCTION("""COMPUTED_VALUE"""),"")</f>
        <v/>
      </c>
      <c r="K1371" s="5" t="str">
        <f>IFERROR(__xludf.DUMMYFUNCTION("""COMPUTED_VALUE"""),"")</f>
        <v/>
      </c>
      <c r="L1371" s="5" t="str">
        <f>IFERROR(__xludf.DUMMYFUNCTION("""COMPUTED_VALUE"""),"")</f>
        <v/>
      </c>
      <c r="M1371" s="5" t="str">
        <f>IFERROR(__xludf.DUMMYFUNCTION("""COMPUTED_VALUE"""),"")</f>
        <v/>
      </c>
      <c r="N1371" s="5" t="str">
        <f>IFERROR(__xludf.DUMMYFUNCTION("""COMPUTED_VALUE"""),"")</f>
        <v/>
      </c>
      <c r="O1371" s="5" t="str">
        <f>IFERROR(__xludf.DUMMYFUNCTION("""COMPUTED_VALUE"""),"")</f>
        <v/>
      </c>
      <c r="P1371" s="5" t="str">
        <f>IFERROR(__xludf.DUMMYFUNCTION("""COMPUTED_VALUE"""),"")</f>
        <v/>
      </c>
      <c r="Q1371" s="5" t="str">
        <f>IFERROR(__xludf.DUMMYFUNCTION("""COMPUTED_VALUE"""),"")</f>
        <v/>
      </c>
      <c r="R1371" s="5" t="str">
        <f>IFERROR(__xludf.DUMMYFUNCTION("""COMPUTED_VALUE"""),"")</f>
        <v/>
      </c>
      <c r="S1371" s="5" t="str">
        <f>IFERROR(__xludf.DUMMYFUNCTION("""COMPUTED_VALUE"""),"")</f>
        <v/>
      </c>
      <c r="T1371" s="5" t="str">
        <f>IFERROR(__xludf.DUMMYFUNCTION("""COMPUTED_VALUE"""),"")</f>
        <v/>
      </c>
      <c r="U1371" s="5" t="str">
        <f>IFERROR(__xludf.DUMMYFUNCTION("""COMPUTED_VALUE"""),"")</f>
        <v/>
      </c>
      <c r="V1371" s="5" t="str">
        <f>IFERROR(__xludf.DUMMYFUNCTION("""COMPUTED_VALUE"""),"")</f>
        <v/>
      </c>
      <c r="W1371" s="5" t="str">
        <f>IFERROR(__xludf.DUMMYFUNCTION("""COMPUTED_VALUE"""),"")</f>
        <v/>
      </c>
      <c r="X1371" s="5" t="str">
        <f>IFERROR(__xludf.DUMMYFUNCTION("""COMPUTED_VALUE"""),"")</f>
        <v/>
      </c>
      <c r="Y1371" s="5"/>
      <c r="Z1371" s="5"/>
    </row>
    <row r="1372">
      <c r="A1372" s="5"/>
      <c r="B1372" s="5" t="str">
        <f>IFERROR(__xludf.DUMMYFUNCTION("""COMPUTED_VALUE"""),"")</f>
        <v/>
      </c>
      <c r="C1372" s="5" t="str">
        <f>IFERROR(__xludf.DUMMYFUNCTION("""COMPUTED_VALUE"""),"")</f>
        <v/>
      </c>
      <c r="D1372" s="5" t="str">
        <f>IFERROR(__xludf.DUMMYFUNCTION("""COMPUTED_VALUE"""),"")</f>
        <v/>
      </c>
      <c r="E1372" s="5" t="str">
        <f>IFERROR(__xludf.DUMMYFUNCTION("""COMPUTED_VALUE"""),"")</f>
        <v/>
      </c>
      <c r="F1372" s="5" t="str">
        <f>IFERROR(__xludf.DUMMYFUNCTION("""COMPUTED_VALUE"""),"")</f>
        <v/>
      </c>
      <c r="G1372" s="5" t="str">
        <f>IFERROR(__xludf.DUMMYFUNCTION("""COMPUTED_VALUE"""),"")</f>
        <v/>
      </c>
      <c r="H1372" s="5" t="str">
        <f>IFERROR(__xludf.DUMMYFUNCTION("""COMPUTED_VALUE"""),"")</f>
        <v/>
      </c>
      <c r="I1372" s="5" t="str">
        <f>IFERROR(__xludf.DUMMYFUNCTION("""COMPUTED_VALUE"""),"")</f>
        <v/>
      </c>
      <c r="J1372" s="5" t="str">
        <f>IFERROR(__xludf.DUMMYFUNCTION("""COMPUTED_VALUE"""),"")</f>
        <v/>
      </c>
      <c r="K1372" s="5" t="str">
        <f>IFERROR(__xludf.DUMMYFUNCTION("""COMPUTED_VALUE"""),"")</f>
        <v/>
      </c>
      <c r="L1372" s="5" t="str">
        <f>IFERROR(__xludf.DUMMYFUNCTION("""COMPUTED_VALUE"""),"")</f>
        <v/>
      </c>
      <c r="M1372" s="5" t="str">
        <f>IFERROR(__xludf.DUMMYFUNCTION("""COMPUTED_VALUE"""),"")</f>
        <v/>
      </c>
      <c r="N1372" s="5" t="str">
        <f>IFERROR(__xludf.DUMMYFUNCTION("""COMPUTED_VALUE"""),"")</f>
        <v/>
      </c>
      <c r="O1372" s="5" t="str">
        <f>IFERROR(__xludf.DUMMYFUNCTION("""COMPUTED_VALUE"""),"")</f>
        <v/>
      </c>
      <c r="P1372" s="5" t="str">
        <f>IFERROR(__xludf.DUMMYFUNCTION("""COMPUTED_VALUE"""),"")</f>
        <v/>
      </c>
      <c r="Q1372" s="5" t="str">
        <f>IFERROR(__xludf.DUMMYFUNCTION("""COMPUTED_VALUE"""),"")</f>
        <v/>
      </c>
      <c r="R1372" s="5" t="str">
        <f>IFERROR(__xludf.DUMMYFUNCTION("""COMPUTED_VALUE"""),"")</f>
        <v/>
      </c>
      <c r="S1372" s="5" t="str">
        <f>IFERROR(__xludf.DUMMYFUNCTION("""COMPUTED_VALUE"""),"")</f>
        <v/>
      </c>
      <c r="T1372" s="5" t="str">
        <f>IFERROR(__xludf.DUMMYFUNCTION("""COMPUTED_VALUE"""),"")</f>
        <v/>
      </c>
      <c r="U1372" s="5" t="str">
        <f>IFERROR(__xludf.DUMMYFUNCTION("""COMPUTED_VALUE"""),"")</f>
        <v/>
      </c>
      <c r="V1372" s="5" t="str">
        <f>IFERROR(__xludf.DUMMYFUNCTION("""COMPUTED_VALUE"""),"")</f>
        <v/>
      </c>
      <c r="W1372" s="5" t="str">
        <f>IFERROR(__xludf.DUMMYFUNCTION("""COMPUTED_VALUE"""),"")</f>
        <v/>
      </c>
      <c r="X1372" s="5" t="str">
        <f>IFERROR(__xludf.DUMMYFUNCTION("""COMPUTED_VALUE"""),"")</f>
        <v/>
      </c>
      <c r="Y1372" s="5"/>
      <c r="Z1372" s="5"/>
    </row>
    <row r="1373">
      <c r="A1373" s="5"/>
      <c r="B1373" s="5" t="str">
        <f>IFERROR(__xludf.DUMMYFUNCTION("""COMPUTED_VALUE"""),"")</f>
        <v/>
      </c>
      <c r="C1373" s="5" t="str">
        <f>IFERROR(__xludf.DUMMYFUNCTION("""COMPUTED_VALUE"""),"")</f>
        <v/>
      </c>
      <c r="D1373" s="5" t="str">
        <f>IFERROR(__xludf.DUMMYFUNCTION("""COMPUTED_VALUE"""),"")</f>
        <v/>
      </c>
      <c r="E1373" s="5" t="str">
        <f>IFERROR(__xludf.DUMMYFUNCTION("""COMPUTED_VALUE"""),"")</f>
        <v/>
      </c>
      <c r="F1373" s="5" t="str">
        <f>IFERROR(__xludf.DUMMYFUNCTION("""COMPUTED_VALUE"""),"")</f>
        <v/>
      </c>
      <c r="G1373" s="5" t="str">
        <f>IFERROR(__xludf.DUMMYFUNCTION("""COMPUTED_VALUE"""),"")</f>
        <v/>
      </c>
      <c r="H1373" s="5" t="str">
        <f>IFERROR(__xludf.DUMMYFUNCTION("""COMPUTED_VALUE"""),"")</f>
        <v/>
      </c>
      <c r="I1373" s="5" t="str">
        <f>IFERROR(__xludf.DUMMYFUNCTION("""COMPUTED_VALUE"""),"")</f>
        <v/>
      </c>
      <c r="J1373" s="5" t="str">
        <f>IFERROR(__xludf.DUMMYFUNCTION("""COMPUTED_VALUE"""),"")</f>
        <v/>
      </c>
      <c r="K1373" s="5" t="str">
        <f>IFERROR(__xludf.DUMMYFUNCTION("""COMPUTED_VALUE"""),"")</f>
        <v/>
      </c>
      <c r="L1373" s="5" t="str">
        <f>IFERROR(__xludf.DUMMYFUNCTION("""COMPUTED_VALUE"""),"")</f>
        <v/>
      </c>
      <c r="M1373" s="5" t="str">
        <f>IFERROR(__xludf.DUMMYFUNCTION("""COMPUTED_VALUE"""),"")</f>
        <v/>
      </c>
      <c r="N1373" s="5" t="str">
        <f>IFERROR(__xludf.DUMMYFUNCTION("""COMPUTED_VALUE"""),"")</f>
        <v/>
      </c>
      <c r="O1373" s="5" t="str">
        <f>IFERROR(__xludf.DUMMYFUNCTION("""COMPUTED_VALUE"""),"")</f>
        <v/>
      </c>
      <c r="P1373" s="5" t="str">
        <f>IFERROR(__xludf.DUMMYFUNCTION("""COMPUTED_VALUE"""),"")</f>
        <v/>
      </c>
      <c r="Q1373" s="5" t="str">
        <f>IFERROR(__xludf.DUMMYFUNCTION("""COMPUTED_VALUE"""),"")</f>
        <v/>
      </c>
      <c r="R1373" s="5" t="str">
        <f>IFERROR(__xludf.DUMMYFUNCTION("""COMPUTED_VALUE"""),"")</f>
        <v/>
      </c>
      <c r="S1373" s="5" t="str">
        <f>IFERROR(__xludf.DUMMYFUNCTION("""COMPUTED_VALUE"""),"")</f>
        <v/>
      </c>
      <c r="T1373" s="5" t="str">
        <f>IFERROR(__xludf.DUMMYFUNCTION("""COMPUTED_VALUE"""),"")</f>
        <v/>
      </c>
      <c r="U1373" s="5" t="str">
        <f>IFERROR(__xludf.DUMMYFUNCTION("""COMPUTED_VALUE"""),"")</f>
        <v/>
      </c>
      <c r="V1373" s="5" t="str">
        <f>IFERROR(__xludf.DUMMYFUNCTION("""COMPUTED_VALUE"""),"")</f>
        <v/>
      </c>
      <c r="W1373" s="5" t="str">
        <f>IFERROR(__xludf.DUMMYFUNCTION("""COMPUTED_VALUE"""),"")</f>
        <v/>
      </c>
      <c r="X1373" s="5" t="str">
        <f>IFERROR(__xludf.DUMMYFUNCTION("""COMPUTED_VALUE"""),"")</f>
        <v/>
      </c>
      <c r="Y1373" s="5"/>
      <c r="Z1373" s="5"/>
    </row>
    <row r="1374">
      <c r="A1374" s="5"/>
      <c r="B1374" s="5" t="str">
        <f>IFERROR(__xludf.DUMMYFUNCTION("""COMPUTED_VALUE"""),"")</f>
        <v/>
      </c>
      <c r="C1374" s="5" t="str">
        <f>IFERROR(__xludf.DUMMYFUNCTION("""COMPUTED_VALUE"""),"")</f>
        <v/>
      </c>
      <c r="D1374" s="5" t="str">
        <f>IFERROR(__xludf.DUMMYFUNCTION("""COMPUTED_VALUE"""),"")</f>
        <v/>
      </c>
      <c r="E1374" s="5" t="str">
        <f>IFERROR(__xludf.DUMMYFUNCTION("""COMPUTED_VALUE"""),"")</f>
        <v/>
      </c>
      <c r="F1374" s="5" t="str">
        <f>IFERROR(__xludf.DUMMYFUNCTION("""COMPUTED_VALUE"""),"")</f>
        <v/>
      </c>
      <c r="G1374" s="5" t="str">
        <f>IFERROR(__xludf.DUMMYFUNCTION("""COMPUTED_VALUE"""),"")</f>
        <v/>
      </c>
      <c r="H1374" s="5" t="str">
        <f>IFERROR(__xludf.DUMMYFUNCTION("""COMPUTED_VALUE"""),"")</f>
        <v/>
      </c>
      <c r="I1374" s="5" t="str">
        <f>IFERROR(__xludf.DUMMYFUNCTION("""COMPUTED_VALUE"""),"")</f>
        <v/>
      </c>
      <c r="J1374" s="5" t="str">
        <f>IFERROR(__xludf.DUMMYFUNCTION("""COMPUTED_VALUE"""),"")</f>
        <v/>
      </c>
      <c r="K1374" s="5" t="str">
        <f>IFERROR(__xludf.DUMMYFUNCTION("""COMPUTED_VALUE"""),"")</f>
        <v/>
      </c>
      <c r="L1374" s="5" t="str">
        <f>IFERROR(__xludf.DUMMYFUNCTION("""COMPUTED_VALUE"""),"")</f>
        <v/>
      </c>
      <c r="M1374" s="5" t="str">
        <f>IFERROR(__xludf.DUMMYFUNCTION("""COMPUTED_VALUE"""),"")</f>
        <v/>
      </c>
      <c r="N1374" s="5" t="str">
        <f>IFERROR(__xludf.DUMMYFUNCTION("""COMPUTED_VALUE"""),"")</f>
        <v/>
      </c>
      <c r="O1374" s="5" t="str">
        <f>IFERROR(__xludf.DUMMYFUNCTION("""COMPUTED_VALUE"""),"")</f>
        <v/>
      </c>
      <c r="P1374" s="5" t="str">
        <f>IFERROR(__xludf.DUMMYFUNCTION("""COMPUTED_VALUE"""),"")</f>
        <v/>
      </c>
      <c r="Q1374" s="5" t="str">
        <f>IFERROR(__xludf.DUMMYFUNCTION("""COMPUTED_VALUE"""),"")</f>
        <v/>
      </c>
      <c r="R1374" s="5" t="str">
        <f>IFERROR(__xludf.DUMMYFUNCTION("""COMPUTED_VALUE"""),"")</f>
        <v/>
      </c>
      <c r="S1374" s="5" t="str">
        <f>IFERROR(__xludf.DUMMYFUNCTION("""COMPUTED_VALUE"""),"")</f>
        <v/>
      </c>
      <c r="T1374" s="5" t="str">
        <f>IFERROR(__xludf.DUMMYFUNCTION("""COMPUTED_VALUE"""),"")</f>
        <v/>
      </c>
      <c r="U1374" s="5" t="str">
        <f>IFERROR(__xludf.DUMMYFUNCTION("""COMPUTED_VALUE"""),"")</f>
        <v/>
      </c>
      <c r="V1374" s="5" t="str">
        <f>IFERROR(__xludf.DUMMYFUNCTION("""COMPUTED_VALUE"""),"")</f>
        <v/>
      </c>
      <c r="W1374" s="5" t="str">
        <f>IFERROR(__xludf.DUMMYFUNCTION("""COMPUTED_VALUE"""),"")</f>
        <v/>
      </c>
      <c r="X1374" s="5" t="str">
        <f>IFERROR(__xludf.DUMMYFUNCTION("""COMPUTED_VALUE"""),"")</f>
        <v/>
      </c>
      <c r="Y1374" s="5"/>
      <c r="Z1374" s="5"/>
    </row>
    <row r="1375">
      <c r="A1375" s="5"/>
      <c r="B1375" s="5" t="str">
        <f>IFERROR(__xludf.DUMMYFUNCTION("""COMPUTED_VALUE"""),"")</f>
        <v/>
      </c>
      <c r="C1375" s="5" t="str">
        <f>IFERROR(__xludf.DUMMYFUNCTION("""COMPUTED_VALUE"""),"")</f>
        <v/>
      </c>
      <c r="D1375" s="5" t="str">
        <f>IFERROR(__xludf.DUMMYFUNCTION("""COMPUTED_VALUE"""),"")</f>
        <v/>
      </c>
      <c r="E1375" s="5" t="str">
        <f>IFERROR(__xludf.DUMMYFUNCTION("""COMPUTED_VALUE"""),"")</f>
        <v/>
      </c>
      <c r="F1375" s="5" t="str">
        <f>IFERROR(__xludf.DUMMYFUNCTION("""COMPUTED_VALUE"""),"")</f>
        <v/>
      </c>
      <c r="G1375" s="5" t="str">
        <f>IFERROR(__xludf.DUMMYFUNCTION("""COMPUTED_VALUE"""),"")</f>
        <v/>
      </c>
      <c r="H1375" s="5" t="str">
        <f>IFERROR(__xludf.DUMMYFUNCTION("""COMPUTED_VALUE"""),"")</f>
        <v/>
      </c>
      <c r="I1375" s="5" t="str">
        <f>IFERROR(__xludf.DUMMYFUNCTION("""COMPUTED_VALUE"""),"")</f>
        <v/>
      </c>
      <c r="J1375" s="5" t="str">
        <f>IFERROR(__xludf.DUMMYFUNCTION("""COMPUTED_VALUE"""),"")</f>
        <v/>
      </c>
      <c r="K1375" s="5" t="str">
        <f>IFERROR(__xludf.DUMMYFUNCTION("""COMPUTED_VALUE"""),"")</f>
        <v/>
      </c>
      <c r="L1375" s="5" t="str">
        <f>IFERROR(__xludf.DUMMYFUNCTION("""COMPUTED_VALUE"""),"")</f>
        <v/>
      </c>
      <c r="M1375" s="5" t="str">
        <f>IFERROR(__xludf.DUMMYFUNCTION("""COMPUTED_VALUE"""),"")</f>
        <v/>
      </c>
      <c r="N1375" s="5" t="str">
        <f>IFERROR(__xludf.DUMMYFUNCTION("""COMPUTED_VALUE"""),"")</f>
        <v/>
      </c>
      <c r="O1375" s="5" t="str">
        <f>IFERROR(__xludf.DUMMYFUNCTION("""COMPUTED_VALUE"""),"")</f>
        <v/>
      </c>
      <c r="P1375" s="5" t="str">
        <f>IFERROR(__xludf.DUMMYFUNCTION("""COMPUTED_VALUE"""),"")</f>
        <v/>
      </c>
      <c r="Q1375" s="5" t="str">
        <f>IFERROR(__xludf.DUMMYFUNCTION("""COMPUTED_VALUE"""),"")</f>
        <v/>
      </c>
      <c r="R1375" s="5" t="str">
        <f>IFERROR(__xludf.DUMMYFUNCTION("""COMPUTED_VALUE"""),"")</f>
        <v/>
      </c>
      <c r="S1375" s="5" t="str">
        <f>IFERROR(__xludf.DUMMYFUNCTION("""COMPUTED_VALUE"""),"")</f>
        <v/>
      </c>
      <c r="T1375" s="5" t="str">
        <f>IFERROR(__xludf.DUMMYFUNCTION("""COMPUTED_VALUE"""),"")</f>
        <v/>
      </c>
      <c r="U1375" s="5" t="str">
        <f>IFERROR(__xludf.DUMMYFUNCTION("""COMPUTED_VALUE"""),"")</f>
        <v/>
      </c>
      <c r="V1375" s="5" t="str">
        <f>IFERROR(__xludf.DUMMYFUNCTION("""COMPUTED_VALUE"""),"")</f>
        <v/>
      </c>
      <c r="W1375" s="5" t="str">
        <f>IFERROR(__xludf.DUMMYFUNCTION("""COMPUTED_VALUE"""),"")</f>
        <v/>
      </c>
      <c r="X1375" s="5" t="str">
        <f>IFERROR(__xludf.DUMMYFUNCTION("""COMPUTED_VALUE"""),"")</f>
        <v/>
      </c>
      <c r="Y1375" s="5"/>
      <c r="Z1375" s="5"/>
    </row>
    <row r="1376">
      <c r="A1376" s="5"/>
      <c r="B1376" s="5" t="str">
        <f>IFERROR(__xludf.DUMMYFUNCTION("""COMPUTED_VALUE"""),"")</f>
        <v/>
      </c>
      <c r="C1376" s="5" t="str">
        <f>IFERROR(__xludf.DUMMYFUNCTION("""COMPUTED_VALUE"""),"")</f>
        <v/>
      </c>
      <c r="D1376" s="5" t="str">
        <f>IFERROR(__xludf.DUMMYFUNCTION("""COMPUTED_VALUE"""),"")</f>
        <v/>
      </c>
      <c r="E1376" s="5" t="str">
        <f>IFERROR(__xludf.DUMMYFUNCTION("""COMPUTED_VALUE"""),"")</f>
        <v/>
      </c>
      <c r="F1376" s="5" t="str">
        <f>IFERROR(__xludf.DUMMYFUNCTION("""COMPUTED_VALUE"""),"")</f>
        <v/>
      </c>
      <c r="G1376" s="5" t="str">
        <f>IFERROR(__xludf.DUMMYFUNCTION("""COMPUTED_VALUE"""),"")</f>
        <v/>
      </c>
      <c r="H1376" s="5" t="str">
        <f>IFERROR(__xludf.DUMMYFUNCTION("""COMPUTED_VALUE"""),"")</f>
        <v/>
      </c>
      <c r="I1376" s="5" t="str">
        <f>IFERROR(__xludf.DUMMYFUNCTION("""COMPUTED_VALUE"""),"")</f>
        <v/>
      </c>
      <c r="J1376" s="5" t="str">
        <f>IFERROR(__xludf.DUMMYFUNCTION("""COMPUTED_VALUE"""),"")</f>
        <v/>
      </c>
      <c r="K1376" s="5" t="str">
        <f>IFERROR(__xludf.DUMMYFUNCTION("""COMPUTED_VALUE"""),"")</f>
        <v/>
      </c>
      <c r="L1376" s="5" t="str">
        <f>IFERROR(__xludf.DUMMYFUNCTION("""COMPUTED_VALUE"""),"")</f>
        <v/>
      </c>
      <c r="M1376" s="5" t="str">
        <f>IFERROR(__xludf.DUMMYFUNCTION("""COMPUTED_VALUE"""),"")</f>
        <v/>
      </c>
      <c r="N1376" s="5" t="str">
        <f>IFERROR(__xludf.DUMMYFUNCTION("""COMPUTED_VALUE"""),"")</f>
        <v/>
      </c>
      <c r="O1376" s="5" t="str">
        <f>IFERROR(__xludf.DUMMYFUNCTION("""COMPUTED_VALUE"""),"")</f>
        <v/>
      </c>
      <c r="P1376" s="5" t="str">
        <f>IFERROR(__xludf.DUMMYFUNCTION("""COMPUTED_VALUE"""),"")</f>
        <v/>
      </c>
      <c r="Q1376" s="5" t="str">
        <f>IFERROR(__xludf.DUMMYFUNCTION("""COMPUTED_VALUE"""),"")</f>
        <v/>
      </c>
      <c r="R1376" s="5" t="str">
        <f>IFERROR(__xludf.DUMMYFUNCTION("""COMPUTED_VALUE"""),"")</f>
        <v/>
      </c>
      <c r="S1376" s="5" t="str">
        <f>IFERROR(__xludf.DUMMYFUNCTION("""COMPUTED_VALUE"""),"")</f>
        <v/>
      </c>
      <c r="T1376" s="5" t="str">
        <f>IFERROR(__xludf.DUMMYFUNCTION("""COMPUTED_VALUE"""),"")</f>
        <v/>
      </c>
      <c r="U1376" s="5" t="str">
        <f>IFERROR(__xludf.DUMMYFUNCTION("""COMPUTED_VALUE"""),"")</f>
        <v/>
      </c>
      <c r="V1376" s="5" t="str">
        <f>IFERROR(__xludf.DUMMYFUNCTION("""COMPUTED_VALUE"""),"")</f>
        <v/>
      </c>
      <c r="W1376" s="5" t="str">
        <f>IFERROR(__xludf.DUMMYFUNCTION("""COMPUTED_VALUE"""),"")</f>
        <v/>
      </c>
      <c r="X1376" s="5" t="str">
        <f>IFERROR(__xludf.DUMMYFUNCTION("""COMPUTED_VALUE"""),"")</f>
        <v/>
      </c>
      <c r="Y1376" s="5"/>
      <c r="Z1376" s="5"/>
    </row>
    <row r="1377">
      <c r="A1377" s="5"/>
      <c r="B1377" s="5" t="str">
        <f>IFERROR(__xludf.DUMMYFUNCTION("""COMPUTED_VALUE"""),"")</f>
        <v/>
      </c>
      <c r="C1377" s="5" t="str">
        <f>IFERROR(__xludf.DUMMYFUNCTION("""COMPUTED_VALUE"""),"")</f>
        <v/>
      </c>
      <c r="D1377" s="5" t="str">
        <f>IFERROR(__xludf.DUMMYFUNCTION("""COMPUTED_VALUE"""),"")</f>
        <v/>
      </c>
      <c r="E1377" s="5" t="str">
        <f>IFERROR(__xludf.DUMMYFUNCTION("""COMPUTED_VALUE"""),"")</f>
        <v/>
      </c>
      <c r="F1377" s="5" t="str">
        <f>IFERROR(__xludf.DUMMYFUNCTION("""COMPUTED_VALUE"""),"")</f>
        <v/>
      </c>
      <c r="G1377" s="5" t="str">
        <f>IFERROR(__xludf.DUMMYFUNCTION("""COMPUTED_VALUE"""),"")</f>
        <v/>
      </c>
      <c r="H1377" s="5" t="str">
        <f>IFERROR(__xludf.DUMMYFUNCTION("""COMPUTED_VALUE"""),"")</f>
        <v/>
      </c>
      <c r="I1377" s="5" t="str">
        <f>IFERROR(__xludf.DUMMYFUNCTION("""COMPUTED_VALUE"""),"")</f>
        <v/>
      </c>
      <c r="J1377" s="5" t="str">
        <f>IFERROR(__xludf.DUMMYFUNCTION("""COMPUTED_VALUE"""),"")</f>
        <v/>
      </c>
      <c r="K1377" s="5" t="str">
        <f>IFERROR(__xludf.DUMMYFUNCTION("""COMPUTED_VALUE"""),"")</f>
        <v/>
      </c>
      <c r="L1377" s="5" t="str">
        <f>IFERROR(__xludf.DUMMYFUNCTION("""COMPUTED_VALUE"""),"")</f>
        <v/>
      </c>
      <c r="M1377" s="5" t="str">
        <f>IFERROR(__xludf.DUMMYFUNCTION("""COMPUTED_VALUE"""),"")</f>
        <v/>
      </c>
      <c r="N1377" s="5" t="str">
        <f>IFERROR(__xludf.DUMMYFUNCTION("""COMPUTED_VALUE"""),"")</f>
        <v/>
      </c>
      <c r="O1377" s="5" t="str">
        <f>IFERROR(__xludf.DUMMYFUNCTION("""COMPUTED_VALUE"""),"")</f>
        <v/>
      </c>
      <c r="P1377" s="5" t="str">
        <f>IFERROR(__xludf.DUMMYFUNCTION("""COMPUTED_VALUE"""),"")</f>
        <v/>
      </c>
      <c r="Q1377" s="5" t="str">
        <f>IFERROR(__xludf.DUMMYFUNCTION("""COMPUTED_VALUE"""),"")</f>
        <v/>
      </c>
      <c r="R1377" s="5" t="str">
        <f>IFERROR(__xludf.DUMMYFUNCTION("""COMPUTED_VALUE"""),"")</f>
        <v/>
      </c>
      <c r="S1377" s="5" t="str">
        <f>IFERROR(__xludf.DUMMYFUNCTION("""COMPUTED_VALUE"""),"")</f>
        <v/>
      </c>
      <c r="T1377" s="5" t="str">
        <f>IFERROR(__xludf.DUMMYFUNCTION("""COMPUTED_VALUE"""),"")</f>
        <v/>
      </c>
      <c r="U1377" s="5" t="str">
        <f>IFERROR(__xludf.DUMMYFUNCTION("""COMPUTED_VALUE"""),"")</f>
        <v/>
      </c>
      <c r="V1377" s="5" t="str">
        <f>IFERROR(__xludf.DUMMYFUNCTION("""COMPUTED_VALUE"""),"")</f>
        <v/>
      </c>
      <c r="W1377" s="5" t="str">
        <f>IFERROR(__xludf.DUMMYFUNCTION("""COMPUTED_VALUE"""),"")</f>
        <v/>
      </c>
      <c r="X1377" s="5" t="str">
        <f>IFERROR(__xludf.DUMMYFUNCTION("""COMPUTED_VALUE"""),"")</f>
        <v/>
      </c>
      <c r="Y1377" s="5"/>
      <c r="Z1377" s="5"/>
    </row>
    <row r="1378">
      <c r="A1378" s="5"/>
      <c r="B1378" s="5" t="str">
        <f>IFERROR(__xludf.DUMMYFUNCTION("""COMPUTED_VALUE"""),"")</f>
        <v/>
      </c>
      <c r="C1378" s="5" t="str">
        <f>IFERROR(__xludf.DUMMYFUNCTION("""COMPUTED_VALUE"""),"")</f>
        <v/>
      </c>
      <c r="D1378" s="5" t="str">
        <f>IFERROR(__xludf.DUMMYFUNCTION("""COMPUTED_VALUE"""),"")</f>
        <v/>
      </c>
      <c r="E1378" s="5" t="str">
        <f>IFERROR(__xludf.DUMMYFUNCTION("""COMPUTED_VALUE"""),"")</f>
        <v/>
      </c>
      <c r="F1378" s="5" t="str">
        <f>IFERROR(__xludf.DUMMYFUNCTION("""COMPUTED_VALUE"""),"")</f>
        <v/>
      </c>
      <c r="G1378" s="5" t="str">
        <f>IFERROR(__xludf.DUMMYFUNCTION("""COMPUTED_VALUE"""),"")</f>
        <v/>
      </c>
      <c r="H1378" s="5" t="str">
        <f>IFERROR(__xludf.DUMMYFUNCTION("""COMPUTED_VALUE"""),"")</f>
        <v/>
      </c>
      <c r="I1378" s="5" t="str">
        <f>IFERROR(__xludf.DUMMYFUNCTION("""COMPUTED_VALUE"""),"")</f>
        <v/>
      </c>
      <c r="J1378" s="5" t="str">
        <f>IFERROR(__xludf.DUMMYFUNCTION("""COMPUTED_VALUE"""),"")</f>
        <v/>
      </c>
      <c r="K1378" s="5" t="str">
        <f>IFERROR(__xludf.DUMMYFUNCTION("""COMPUTED_VALUE"""),"")</f>
        <v/>
      </c>
      <c r="L1378" s="5" t="str">
        <f>IFERROR(__xludf.DUMMYFUNCTION("""COMPUTED_VALUE"""),"")</f>
        <v/>
      </c>
      <c r="M1378" s="5" t="str">
        <f>IFERROR(__xludf.DUMMYFUNCTION("""COMPUTED_VALUE"""),"")</f>
        <v/>
      </c>
      <c r="N1378" s="5" t="str">
        <f>IFERROR(__xludf.DUMMYFUNCTION("""COMPUTED_VALUE"""),"")</f>
        <v/>
      </c>
      <c r="O1378" s="5" t="str">
        <f>IFERROR(__xludf.DUMMYFUNCTION("""COMPUTED_VALUE"""),"")</f>
        <v/>
      </c>
      <c r="P1378" s="5" t="str">
        <f>IFERROR(__xludf.DUMMYFUNCTION("""COMPUTED_VALUE"""),"")</f>
        <v/>
      </c>
      <c r="Q1378" s="5" t="str">
        <f>IFERROR(__xludf.DUMMYFUNCTION("""COMPUTED_VALUE"""),"")</f>
        <v/>
      </c>
      <c r="R1378" s="5" t="str">
        <f>IFERROR(__xludf.DUMMYFUNCTION("""COMPUTED_VALUE"""),"")</f>
        <v/>
      </c>
      <c r="S1378" s="5" t="str">
        <f>IFERROR(__xludf.DUMMYFUNCTION("""COMPUTED_VALUE"""),"")</f>
        <v/>
      </c>
      <c r="T1378" s="5" t="str">
        <f>IFERROR(__xludf.DUMMYFUNCTION("""COMPUTED_VALUE"""),"")</f>
        <v/>
      </c>
      <c r="U1378" s="5" t="str">
        <f>IFERROR(__xludf.DUMMYFUNCTION("""COMPUTED_VALUE"""),"")</f>
        <v/>
      </c>
      <c r="V1378" s="5" t="str">
        <f>IFERROR(__xludf.DUMMYFUNCTION("""COMPUTED_VALUE"""),"")</f>
        <v/>
      </c>
      <c r="W1378" s="5" t="str">
        <f>IFERROR(__xludf.DUMMYFUNCTION("""COMPUTED_VALUE"""),"")</f>
        <v/>
      </c>
      <c r="X1378" s="5" t="str">
        <f>IFERROR(__xludf.DUMMYFUNCTION("""COMPUTED_VALUE"""),"")</f>
        <v/>
      </c>
      <c r="Y1378" s="5"/>
      <c r="Z1378" s="5"/>
    </row>
    <row r="1379">
      <c r="A1379" s="5"/>
      <c r="B1379" s="5" t="str">
        <f>IFERROR(__xludf.DUMMYFUNCTION("""COMPUTED_VALUE"""),"")</f>
        <v/>
      </c>
      <c r="C1379" s="5" t="str">
        <f>IFERROR(__xludf.DUMMYFUNCTION("""COMPUTED_VALUE"""),"")</f>
        <v/>
      </c>
      <c r="D1379" s="5" t="str">
        <f>IFERROR(__xludf.DUMMYFUNCTION("""COMPUTED_VALUE"""),"")</f>
        <v/>
      </c>
      <c r="E1379" s="5" t="str">
        <f>IFERROR(__xludf.DUMMYFUNCTION("""COMPUTED_VALUE"""),"")</f>
        <v/>
      </c>
      <c r="F1379" s="5" t="str">
        <f>IFERROR(__xludf.DUMMYFUNCTION("""COMPUTED_VALUE"""),"")</f>
        <v/>
      </c>
      <c r="G1379" s="5" t="str">
        <f>IFERROR(__xludf.DUMMYFUNCTION("""COMPUTED_VALUE"""),"")</f>
        <v/>
      </c>
      <c r="H1379" s="5" t="str">
        <f>IFERROR(__xludf.DUMMYFUNCTION("""COMPUTED_VALUE"""),"")</f>
        <v/>
      </c>
      <c r="I1379" s="5" t="str">
        <f>IFERROR(__xludf.DUMMYFUNCTION("""COMPUTED_VALUE"""),"")</f>
        <v/>
      </c>
      <c r="J1379" s="5" t="str">
        <f>IFERROR(__xludf.DUMMYFUNCTION("""COMPUTED_VALUE"""),"")</f>
        <v/>
      </c>
      <c r="K1379" s="5" t="str">
        <f>IFERROR(__xludf.DUMMYFUNCTION("""COMPUTED_VALUE"""),"")</f>
        <v/>
      </c>
      <c r="L1379" s="5" t="str">
        <f>IFERROR(__xludf.DUMMYFUNCTION("""COMPUTED_VALUE"""),"")</f>
        <v/>
      </c>
      <c r="M1379" s="5" t="str">
        <f>IFERROR(__xludf.DUMMYFUNCTION("""COMPUTED_VALUE"""),"")</f>
        <v/>
      </c>
      <c r="N1379" s="5" t="str">
        <f>IFERROR(__xludf.DUMMYFUNCTION("""COMPUTED_VALUE"""),"")</f>
        <v/>
      </c>
      <c r="O1379" s="5" t="str">
        <f>IFERROR(__xludf.DUMMYFUNCTION("""COMPUTED_VALUE"""),"")</f>
        <v/>
      </c>
      <c r="P1379" s="5" t="str">
        <f>IFERROR(__xludf.DUMMYFUNCTION("""COMPUTED_VALUE"""),"")</f>
        <v/>
      </c>
      <c r="Q1379" s="5" t="str">
        <f>IFERROR(__xludf.DUMMYFUNCTION("""COMPUTED_VALUE"""),"")</f>
        <v/>
      </c>
      <c r="R1379" s="5" t="str">
        <f>IFERROR(__xludf.DUMMYFUNCTION("""COMPUTED_VALUE"""),"")</f>
        <v/>
      </c>
      <c r="S1379" s="5" t="str">
        <f>IFERROR(__xludf.DUMMYFUNCTION("""COMPUTED_VALUE"""),"")</f>
        <v/>
      </c>
      <c r="T1379" s="5" t="str">
        <f>IFERROR(__xludf.DUMMYFUNCTION("""COMPUTED_VALUE"""),"")</f>
        <v/>
      </c>
      <c r="U1379" s="5" t="str">
        <f>IFERROR(__xludf.DUMMYFUNCTION("""COMPUTED_VALUE"""),"")</f>
        <v/>
      </c>
      <c r="V1379" s="5" t="str">
        <f>IFERROR(__xludf.DUMMYFUNCTION("""COMPUTED_VALUE"""),"")</f>
        <v/>
      </c>
      <c r="W1379" s="5" t="str">
        <f>IFERROR(__xludf.DUMMYFUNCTION("""COMPUTED_VALUE"""),"")</f>
        <v/>
      </c>
      <c r="X1379" s="5" t="str">
        <f>IFERROR(__xludf.DUMMYFUNCTION("""COMPUTED_VALUE"""),"")</f>
        <v/>
      </c>
      <c r="Y1379" s="5"/>
      <c r="Z1379" s="5"/>
    </row>
    <row r="1380">
      <c r="A1380" s="5"/>
      <c r="B1380" s="5" t="str">
        <f>IFERROR(__xludf.DUMMYFUNCTION("""COMPUTED_VALUE"""),"")</f>
        <v/>
      </c>
      <c r="C1380" s="5" t="str">
        <f>IFERROR(__xludf.DUMMYFUNCTION("""COMPUTED_VALUE"""),"")</f>
        <v/>
      </c>
      <c r="D1380" s="5" t="str">
        <f>IFERROR(__xludf.DUMMYFUNCTION("""COMPUTED_VALUE"""),"")</f>
        <v/>
      </c>
      <c r="E1380" s="5" t="str">
        <f>IFERROR(__xludf.DUMMYFUNCTION("""COMPUTED_VALUE"""),"")</f>
        <v/>
      </c>
      <c r="F1380" s="5" t="str">
        <f>IFERROR(__xludf.DUMMYFUNCTION("""COMPUTED_VALUE"""),"")</f>
        <v/>
      </c>
      <c r="G1380" s="5" t="str">
        <f>IFERROR(__xludf.DUMMYFUNCTION("""COMPUTED_VALUE"""),"")</f>
        <v/>
      </c>
      <c r="H1380" s="5" t="str">
        <f>IFERROR(__xludf.DUMMYFUNCTION("""COMPUTED_VALUE"""),"")</f>
        <v/>
      </c>
      <c r="I1380" s="5" t="str">
        <f>IFERROR(__xludf.DUMMYFUNCTION("""COMPUTED_VALUE"""),"")</f>
        <v/>
      </c>
      <c r="J1380" s="5" t="str">
        <f>IFERROR(__xludf.DUMMYFUNCTION("""COMPUTED_VALUE"""),"")</f>
        <v/>
      </c>
      <c r="K1380" s="5" t="str">
        <f>IFERROR(__xludf.DUMMYFUNCTION("""COMPUTED_VALUE"""),"")</f>
        <v/>
      </c>
      <c r="L1380" s="5" t="str">
        <f>IFERROR(__xludf.DUMMYFUNCTION("""COMPUTED_VALUE"""),"")</f>
        <v/>
      </c>
      <c r="M1380" s="5" t="str">
        <f>IFERROR(__xludf.DUMMYFUNCTION("""COMPUTED_VALUE"""),"")</f>
        <v/>
      </c>
      <c r="N1380" s="5" t="str">
        <f>IFERROR(__xludf.DUMMYFUNCTION("""COMPUTED_VALUE"""),"")</f>
        <v/>
      </c>
      <c r="O1380" s="5" t="str">
        <f>IFERROR(__xludf.DUMMYFUNCTION("""COMPUTED_VALUE"""),"")</f>
        <v/>
      </c>
      <c r="P1380" s="5" t="str">
        <f>IFERROR(__xludf.DUMMYFUNCTION("""COMPUTED_VALUE"""),"")</f>
        <v/>
      </c>
      <c r="Q1380" s="5" t="str">
        <f>IFERROR(__xludf.DUMMYFUNCTION("""COMPUTED_VALUE"""),"")</f>
        <v/>
      </c>
      <c r="R1380" s="5" t="str">
        <f>IFERROR(__xludf.DUMMYFUNCTION("""COMPUTED_VALUE"""),"")</f>
        <v/>
      </c>
      <c r="S1380" s="5" t="str">
        <f>IFERROR(__xludf.DUMMYFUNCTION("""COMPUTED_VALUE"""),"")</f>
        <v/>
      </c>
      <c r="T1380" s="5" t="str">
        <f>IFERROR(__xludf.DUMMYFUNCTION("""COMPUTED_VALUE"""),"")</f>
        <v/>
      </c>
      <c r="U1380" s="5" t="str">
        <f>IFERROR(__xludf.DUMMYFUNCTION("""COMPUTED_VALUE"""),"")</f>
        <v/>
      </c>
      <c r="V1380" s="5" t="str">
        <f>IFERROR(__xludf.DUMMYFUNCTION("""COMPUTED_VALUE"""),"")</f>
        <v/>
      </c>
      <c r="W1380" s="5" t="str">
        <f>IFERROR(__xludf.DUMMYFUNCTION("""COMPUTED_VALUE"""),"")</f>
        <v/>
      </c>
      <c r="X1380" s="5" t="str">
        <f>IFERROR(__xludf.DUMMYFUNCTION("""COMPUTED_VALUE"""),"")</f>
        <v/>
      </c>
      <c r="Y1380" s="5"/>
      <c r="Z1380" s="5"/>
    </row>
    <row r="1381">
      <c r="A1381" s="5"/>
      <c r="B1381" s="5" t="str">
        <f>IFERROR(__xludf.DUMMYFUNCTION("""COMPUTED_VALUE"""),"")</f>
        <v/>
      </c>
      <c r="C1381" s="5" t="str">
        <f>IFERROR(__xludf.DUMMYFUNCTION("""COMPUTED_VALUE"""),"")</f>
        <v/>
      </c>
      <c r="D1381" s="5" t="str">
        <f>IFERROR(__xludf.DUMMYFUNCTION("""COMPUTED_VALUE"""),"")</f>
        <v/>
      </c>
      <c r="E1381" s="5" t="str">
        <f>IFERROR(__xludf.DUMMYFUNCTION("""COMPUTED_VALUE"""),"")</f>
        <v/>
      </c>
      <c r="F1381" s="5" t="str">
        <f>IFERROR(__xludf.DUMMYFUNCTION("""COMPUTED_VALUE"""),"")</f>
        <v/>
      </c>
      <c r="G1381" s="5" t="str">
        <f>IFERROR(__xludf.DUMMYFUNCTION("""COMPUTED_VALUE"""),"")</f>
        <v/>
      </c>
      <c r="H1381" s="5" t="str">
        <f>IFERROR(__xludf.DUMMYFUNCTION("""COMPUTED_VALUE"""),"")</f>
        <v/>
      </c>
      <c r="I1381" s="5" t="str">
        <f>IFERROR(__xludf.DUMMYFUNCTION("""COMPUTED_VALUE"""),"")</f>
        <v/>
      </c>
      <c r="J1381" s="5" t="str">
        <f>IFERROR(__xludf.DUMMYFUNCTION("""COMPUTED_VALUE"""),"")</f>
        <v/>
      </c>
      <c r="K1381" s="5" t="str">
        <f>IFERROR(__xludf.DUMMYFUNCTION("""COMPUTED_VALUE"""),"")</f>
        <v/>
      </c>
      <c r="L1381" s="5" t="str">
        <f>IFERROR(__xludf.DUMMYFUNCTION("""COMPUTED_VALUE"""),"")</f>
        <v/>
      </c>
      <c r="M1381" s="5" t="str">
        <f>IFERROR(__xludf.DUMMYFUNCTION("""COMPUTED_VALUE"""),"")</f>
        <v/>
      </c>
      <c r="N1381" s="5" t="str">
        <f>IFERROR(__xludf.DUMMYFUNCTION("""COMPUTED_VALUE"""),"")</f>
        <v/>
      </c>
      <c r="O1381" s="5" t="str">
        <f>IFERROR(__xludf.DUMMYFUNCTION("""COMPUTED_VALUE"""),"")</f>
        <v/>
      </c>
      <c r="P1381" s="5" t="str">
        <f>IFERROR(__xludf.DUMMYFUNCTION("""COMPUTED_VALUE"""),"")</f>
        <v/>
      </c>
      <c r="Q1381" s="5" t="str">
        <f>IFERROR(__xludf.DUMMYFUNCTION("""COMPUTED_VALUE"""),"")</f>
        <v/>
      </c>
      <c r="R1381" s="5" t="str">
        <f>IFERROR(__xludf.DUMMYFUNCTION("""COMPUTED_VALUE"""),"")</f>
        <v/>
      </c>
      <c r="S1381" s="5" t="str">
        <f>IFERROR(__xludf.DUMMYFUNCTION("""COMPUTED_VALUE"""),"")</f>
        <v/>
      </c>
      <c r="T1381" s="5" t="str">
        <f>IFERROR(__xludf.DUMMYFUNCTION("""COMPUTED_VALUE"""),"")</f>
        <v/>
      </c>
      <c r="U1381" s="5" t="str">
        <f>IFERROR(__xludf.DUMMYFUNCTION("""COMPUTED_VALUE"""),"")</f>
        <v/>
      </c>
      <c r="V1381" s="5" t="str">
        <f>IFERROR(__xludf.DUMMYFUNCTION("""COMPUTED_VALUE"""),"")</f>
        <v/>
      </c>
      <c r="W1381" s="5" t="str">
        <f>IFERROR(__xludf.DUMMYFUNCTION("""COMPUTED_VALUE"""),"")</f>
        <v/>
      </c>
      <c r="X1381" s="5" t="str">
        <f>IFERROR(__xludf.DUMMYFUNCTION("""COMPUTED_VALUE"""),"")</f>
        <v/>
      </c>
      <c r="Y1381" s="5"/>
      <c r="Z1381" s="5"/>
    </row>
    <row r="1382">
      <c r="A1382" s="5"/>
      <c r="B1382" s="5" t="str">
        <f>IFERROR(__xludf.DUMMYFUNCTION("""COMPUTED_VALUE"""),"")</f>
        <v/>
      </c>
      <c r="C1382" s="5" t="str">
        <f>IFERROR(__xludf.DUMMYFUNCTION("""COMPUTED_VALUE"""),"")</f>
        <v/>
      </c>
      <c r="D1382" s="5" t="str">
        <f>IFERROR(__xludf.DUMMYFUNCTION("""COMPUTED_VALUE"""),"")</f>
        <v/>
      </c>
      <c r="E1382" s="5" t="str">
        <f>IFERROR(__xludf.DUMMYFUNCTION("""COMPUTED_VALUE"""),"")</f>
        <v/>
      </c>
      <c r="F1382" s="5" t="str">
        <f>IFERROR(__xludf.DUMMYFUNCTION("""COMPUTED_VALUE"""),"")</f>
        <v/>
      </c>
      <c r="G1382" s="5" t="str">
        <f>IFERROR(__xludf.DUMMYFUNCTION("""COMPUTED_VALUE"""),"")</f>
        <v/>
      </c>
      <c r="H1382" s="5" t="str">
        <f>IFERROR(__xludf.DUMMYFUNCTION("""COMPUTED_VALUE"""),"")</f>
        <v/>
      </c>
      <c r="I1382" s="5" t="str">
        <f>IFERROR(__xludf.DUMMYFUNCTION("""COMPUTED_VALUE"""),"")</f>
        <v/>
      </c>
      <c r="J1382" s="5" t="str">
        <f>IFERROR(__xludf.DUMMYFUNCTION("""COMPUTED_VALUE"""),"")</f>
        <v/>
      </c>
      <c r="K1382" s="5" t="str">
        <f>IFERROR(__xludf.DUMMYFUNCTION("""COMPUTED_VALUE"""),"")</f>
        <v/>
      </c>
      <c r="L1382" s="5" t="str">
        <f>IFERROR(__xludf.DUMMYFUNCTION("""COMPUTED_VALUE"""),"")</f>
        <v/>
      </c>
      <c r="M1382" s="5" t="str">
        <f>IFERROR(__xludf.DUMMYFUNCTION("""COMPUTED_VALUE"""),"")</f>
        <v/>
      </c>
      <c r="N1382" s="5" t="str">
        <f>IFERROR(__xludf.DUMMYFUNCTION("""COMPUTED_VALUE"""),"")</f>
        <v/>
      </c>
      <c r="O1382" s="5" t="str">
        <f>IFERROR(__xludf.DUMMYFUNCTION("""COMPUTED_VALUE"""),"")</f>
        <v/>
      </c>
      <c r="P1382" s="5" t="str">
        <f>IFERROR(__xludf.DUMMYFUNCTION("""COMPUTED_VALUE"""),"")</f>
        <v/>
      </c>
      <c r="Q1382" s="5" t="str">
        <f>IFERROR(__xludf.DUMMYFUNCTION("""COMPUTED_VALUE"""),"")</f>
        <v/>
      </c>
      <c r="R1382" s="5" t="str">
        <f>IFERROR(__xludf.DUMMYFUNCTION("""COMPUTED_VALUE"""),"")</f>
        <v/>
      </c>
      <c r="S1382" s="5" t="str">
        <f>IFERROR(__xludf.DUMMYFUNCTION("""COMPUTED_VALUE"""),"")</f>
        <v/>
      </c>
      <c r="T1382" s="5" t="str">
        <f>IFERROR(__xludf.DUMMYFUNCTION("""COMPUTED_VALUE"""),"")</f>
        <v/>
      </c>
      <c r="U1382" s="5" t="str">
        <f>IFERROR(__xludf.DUMMYFUNCTION("""COMPUTED_VALUE"""),"")</f>
        <v/>
      </c>
      <c r="V1382" s="5" t="str">
        <f>IFERROR(__xludf.DUMMYFUNCTION("""COMPUTED_VALUE"""),"")</f>
        <v/>
      </c>
      <c r="W1382" s="5" t="str">
        <f>IFERROR(__xludf.DUMMYFUNCTION("""COMPUTED_VALUE"""),"")</f>
        <v/>
      </c>
      <c r="X1382" s="5" t="str">
        <f>IFERROR(__xludf.DUMMYFUNCTION("""COMPUTED_VALUE"""),"")</f>
        <v/>
      </c>
      <c r="Y1382" s="5"/>
      <c r="Z1382" s="5"/>
    </row>
    <row r="1383">
      <c r="A1383" s="5"/>
      <c r="B1383" s="5" t="str">
        <f>IFERROR(__xludf.DUMMYFUNCTION("""COMPUTED_VALUE"""),"")</f>
        <v/>
      </c>
      <c r="C1383" s="5" t="str">
        <f>IFERROR(__xludf.DUMMYFUNCTION("""COMPUTED_VALUE"""),"")</f>
        <v/>
      </c>
      <c r="D1383" s="5" t="str">
        <f>IFERROR(__xludf.DUMMYFUNCTION("""COMPUTED_VALUE"""),"")</f>
        <v/>
      </c>
      <c r="E1383" s="5" t="str">
        <f>IFERROR(__xludf.DUMMYFUNCTION("""COMPUTED_VALUE"""),"")</f>
        <v/>
      </c>
      <c r="F1383" s="5" t="str">
        <f>IFERROR(__xludf.DUMMYFUNCTION("""COMPUTED_VALUE"""),"")</f>
        <v/>
      </c>
      <c r="G1383" s="5" t="str">
        <f>IFERROR(__xludf.DUMMYFUNCTION("""COMPUTED_VALUE"""),"")</f>
        <v/>
      </c>
      <c r="H1383" s="5" t="str">
        <f>IFERROR(__xludf.DUMMYFUNCTION("""COMPUTED_VALUE"""),"")</f>
        <v/>
      </c>
      <c r="I1383" s="5" t="str">
        <f>IFERROR(__xludf.DUMMYFUNCTION("""COMPUTED_VALUE"""),"")</f>
        <v/>
      </c>
      <c r="J1383" s="5" t="str">
        <f>IFERROR(__xludf.DUMMYFUNCTION("""COMPUTED_VALUE"""),"")</f>
        <v/>
      </c>
      <c r="K1383" s="5" t="str">
        <f>IFERROR(__xludf.DUMMYFUNCTION("""COMPUTED_VALUE"""),"")</f>
        <v/>
      </c>
      <c r="L1383" s="5" t="str">
        <f>IFERROR(__xludf.DUMMYFUNCTION("""COMPUTED_VALUE"""),"")</f>
        <v/>
      </c>
      <c r="M1383" s="5" t="str">
        <f>IFERROR(__xludf.DUMMYFUNCTION("""COMPUTED_VALUE"""),"")</f>
        <v/>
      </c>
      <c r="N1383" s="5" t="str">
        <f>IFERROR(__xludf.DUMMYFUNCTION("""COMPUTED_VALUE"""),"")</f>
        <v/>
      </c>
      <c r="O1383" s="5" t="str">
        <f>IFERROR(__xludf.DUMMYFUNCTION("""COMPUTED_VALUE"""),"")</f>
        <v/>
      </c>
      <c r="P1383" s="5" t="str">
        <f>IFERROR(__xludf.DUMMYFUNCTION("""COMPUTED_VALUE"""),"")</f>
        <v/>
      </c>
      <c r="Q1383" s="5" t="str">
        <f>IFERROR(__xludf.DUMMYFUNCTION("""COMPUTED_VALUE"""),"")</f>
        <v/>
      </c>
      <c r="R1383" s="5" t="str">
        <f>IFERROR(__xludf.DUMMYFUNCTION("""COMPUTED_VALUE"""),"")</f>
        <v/>
      </c>
      <c r="S1383" s="5" t="str">
        <f>IFERROR(__xludf.DUMMYFUNCTION("""COMPUTED_VALUE"""),"")</f>
        <v/>
      </c>
      <c r="T1383" s="5" t="str">
        <f>IFERROR(__xludf.DUMMYFUNCTION("""COMPUTED_VALUE"""),"")</f>
        <v/>
      </c>
      <c r="U1383" s="5" t="str">
        <f>IFERROR(__xludf.DUMMYFUNCTION("""COMPUTED_VALUE"""),"")</f>
        <v/>
      </c>
      <c r="V1383" s="5" t="str">
        <f>IFERROR(__xludf.DUMMYFUNCTION("""COMPUTED_VALUE"""),"")</f>
        <v/>
      </c>
      <c r="W1383" s="5" t="str">
        <f>IFERROR(__xludf.DUMMYFUNCTION("""COMPUTED_VALUE"""),"")</f>
        <v/>
      </c>
      <c r="X1383" s="5" t="str">
        <f>IFERROR(__xludf.DUMMYFUNCTION("""COMPUTED_VALUE"""),"")</f>
        <v/>
      </c>
      <c r="Y1383" s="5"/>
      <c r="Z1383" s="5"/>
    </row>
    <row r="1384">
      <c r="A1384" s="5"/>
      <c r="B1384" s="5" t="str">
        <f>IFERROR(__xludf.DUMMYFUNCTION("""COMPUTED_VALUE"""),"")</f>
        <v/>
      </c>
      <c r="C1384" s="5" t="str">
        <f>IFERROR(__xludf.DUMMYFUNCTION("""COMPUTED_VALUE"""),"")</f>
        <v/>
      </c>
      <c r="D1384" s="5" t="str">
        <f>IFERROR(__xludf.DUMMYFUNCTION("""COMPUTED_VALUE"""),"")</f>
        <v/>
      </c>
      <c r="E1384" s="5" t="str">
        <f>IFERROR(__xludf.DUMMYFUNCTION("""COMPUTED_VALUE"""),"")</f>
        <v/>
      </c>
      <c r="F1384" s="5" t="str">
        <f>IFERROR(__xludf.DUMMYFUNCTION("""COMPUTED_VALUE"""),"")</f>
        <v/>
      </c>
      <c r="G1384" s="5" t="str">
        <f>IFERROR(__xludf.DUMMYFUNCTION("""COMPUTED_VALUE"""),"")</f>
        <v/>
      </c>
      <c r="H1384" s="5" t="str">
        <f>IFERROR(__xludf.DUMMYFUNCTION("""COMPUTED_VALUE"""),"")</f>
        <v/>
      </c>
      <c r="I1384" s="5" t="str">
        <f>IFERROR(__xludf.DUMMYFUNCTION("""COMPUTED_VALUE"""),"")</f>
        <v/>
      </c>
      <c r="J1384" s="5" t="str">
        <f>IFERROR(__xludf.DUMMYFUNCTION("""COMPUTED_VALUE"""),"")</f>
        <v/>
      </c>
      <c r="K1384" s="5" t="str">
        <f>IFERROR(__xludf.DUMMYFUNCTION("""COMPUTED_VALUE"""),"")</f>
        <v/>
      </c>
      <c r="L1384" s="5" t="str">
        <f>IFERROR(__xludf.DUMMYFUNCTION("""COMPUTED_VALUE"""),"")</f>
        <v/>
      </c>
      <c r="M1384" s="5" t="str">
        <f>IFERROR(__xludf.DUMMYFUNCTION("""COMPUTED_VALUE"""),"")</f>
        <v/>
      </c>
      <c r="N1384" s="5" t="str">
        <f>IFERROR(__xludf.DUMMYFUNCTION("""COMPUTED_VALUE"""),"")</f>
        <v/>
      </c>
      <c r="O1384" s="5" t="str">
        <f>IFERROR(__xludf.DUMMYFUNCTION("""COMPUTED_VALUE"""),"")</f>
        <v/>
      </c>
      <c r="P1384" s="5" t="str">
        <f>IFERROR(__xludf.DUMMYFUNCTION("""COMPUTED_VALUE"""),"")</f>
        <v/>
      </c>
      <c r="Q1384" s="5" t="str">
        <f>IFERROR(__xludf.DUMMYFUNCTION("""COMPUTED_VALUE"""),"")</f>
        <v/>
      </c>
      <c r="R1384" s="5" t="str">
        <f>IFERROR(__xludf.DUMMYFUNCTION("""COMPUTED_VALUE"""),"")</f>
        <v/>
      </c>
      <c r="S1384" s="5" t="str">
        <f>IFERROR(__xludf.DUMMYFUNCTION("""COMPUTED_VALUE"""),"")</f>
        <v/>
      </c>
      <c r="T1384" s="5" t="str">
        <f>IFERROR(__xludf.DUMMYFUNCTION("""COMPUTED_VALUE"""),"")</f>
        <v/>
      </c>
      <c r="U1384" s="5" t="str">
        <f>IFERROR(__xludf.DUMMYFUNCTION("""COMPUTED_VALUE"""),"")</f>
        <v/>
      </c>
      <c r="V1384" s="5" t="str">
        <f>IFERROR(__xludf.DUMMYFUNCTION("""COMPUTED_VALUE"""),"")</f>
        <v/>
      </c>
      <c r="W1384" s="5" t="str">
        <f>IFERROR(__xludf.DUMMYFUNCTION("""COMPUTED_VALUE"""),"")</f>
        <v/>
      </c>
      <c r="X1384" s="5" t="str">
        <f>IFERROR(__xludf.DUMMYFUNCTION("""COMPUTED_VALUE"""),"")</f>
        <v/>
      </c>
      <c r="Y1384" s="5"/>
      <c r="Z1384" s="5"/>
    </row>
    <row r="1385">
      <c r="A1385" s="5"/>
      <c r="B1385" s="5" t="str">
        <f>IFERROR(__xludf.DUMMYFUNCTION("""COMPUTED_VALUE"""),"")</f>
        <v/>
      </c>
      <c r="C1385" s="5" t="str">
        <f>IFERROR(__xludf.DUMMYFUNCTION("""COMPUTED_VALUE"""),"")</f>
        <v/>
      </c>
      <c r="D1385" s="5" t="str">
        <f>IFERROR(__xludf.DUMMYFUNCTION("""COMPUTED_VALUE"""),"")</f>
        <v/>
      </c>
      <c r="E1385" s="5" t="str">
        <f>IFERROR(__xludf.DUMMYFUNCTION("""COMPUTED_VALUE"""),"")</f>
        <v/>
      </c>
      <c r="F1385" s="5" t="str">
        <f>IFERROR(__xludf.DUMMYFUNCTION("""COMPUTED_VALUE"""),"")</f>
        <v/>
      </c>
      <c r="G1385" s="5" t="str">
        <f>IFERROR(__xludf.DUMMYFUNCTION("""COMPUTED_VALUE"""),"")</f>
        <v/>
      </c>
      <c r="H1385" s="5" t="str">
        <f>IFERROR(__xludf.DUMMYFUNCTION("""COMPUTED_VALUE"""),"")</f>
        <v/>
      </c>
      <c r="I1385" s="5" t="str">
        <f>IFERROR(__xludf.DUMMYFUNCTION("""COMPUTED_VALUE"""),"")</f>
        <v/>
      </c>
      <c r="J1385" s="5" t="str">
        <f>IFERROR(__xludf.DUMMYFUNCTION("""COMPUTED_VALUE"""),"")</f>
        <v/>
      </c>
      <c r="K1385" s="5" t="str">
        <f>IFERROR(__xludf.DUMMYFUNCTION("""COMPUTED_VALUE"""),"")</f>
        <v/>
      </c>
      <c r="L1385" s="5" t="str">
        <f>IFERROR(__xludf.DUMMYFUNCTION("""COMPUTED_VALUE"""),"")</f>
        <v/>
      </c>
      <c r="M1385" s="5" t="str">
        <f>IFERROR(__xludf.DUMMYFUNCTION("""COMPUTED_VALUE"""),"")</f>
        <v/>
      </c>
      <c r="N1385" s="5" t="str">
        <f>IFERROR(__xludf.DUMMYFUNCTION("""COMPUTED_VALUE"""),"")</f>
        <v/>
      </c>
      <c r="O1385" s="5" t="str">
        <f>IFERROR(__xludf.DUMMYFUNCTION("""COMPUTED_VALUE"""),"")</f>
        <v/>
      </c>
      <c r="P1385" s="5" t="str">
        <f>IFERROR(__xludf.DUMMYFUNCTION("""COMPUTED_VALUE"""),"")</f>
        <v/>
      </c>
      <c r="Q1385" s="5" t="str">
        <f>IFERROR(__xludf.DUMMYFUNCTION("""COMPUTED_VALUE"""),"")</f>
        <v/>
      </c>
      <c r="R1385" s="5" t="str">
        <f>IFERROR(__xludf.DUMMYFUNCTION("""COMPUTED_VALUE"""),"")</f>
        <v/>
      </c>
      <c r="S1385" s="5" t="str">
        <f>IFERROR(__xludf.DUMMYFUNCTION("""COMPUTED_VALUE"""),"")</f>
        <v/>
      </c>
      <c r="T1385" s="5" t="str">
        <f>IFERROR(__xludf.DUMMYFUNCTION("""COMPUTED_VALUE"""),"")</f>
        <v/>
      </c>
      <c r="U1385" s="5" t="str">
        <f>IFERROR(__xludf.DUMMYFUNCTION("""COMPUTED_VALUE"""),"")</f>
        <v/>
      </c>
      <c r="V1385" s="5" t="str">
        <f>IFERROR(__xludf.DUMMYFUNCTION("""COMPUTED_VALUE"""),"")</f>
        <v/>
      </c>
      <c r="W1385" s="5" t="str">
        <f>IFERROR(__xludf.DUMMYFUNCTION("""COMPUTED_VALUE"""),"")</f>
        <v/>
      </c>
      <c r="X1385" s="5" t="str">
        <f>IFERROR(__xludf.DUMMYFUNCTION("""COMPUTED_VALUE"""),"")</f>
        <v/>
      </c>
      <c r="Y1385" s="5"/>
      <c r="Z1385" s="5"/>
    </row>
    <row r="1386">
      <c r="A1386" s="5"/>
      <c r="B1386" s="5" t="str">
        <f>IFERROR(__xludf.DUMMYFUNCTION("""COMPUTED_VALUE"""),"")</f>
        <v/>
      </c>
      <c r="C1386" s="5" t="str">
        <f>IFERROR(__xludf.DUMMYFUNCTION("""COMPUTED_VALUE"""),"")</f>
        <v/>
      </c>
      <c r="D1386" s="5" t="str">
        <f>IFERROR(__xludf.DUMMYFUNCTION("""COMPUTED_VALUE"""),"")</f>
        <v/>
      </c>
      <c r="E1386" s="5" t="str">
        <f>IFERROR(__xludf.DUMMYFUNCTION("""COMPUTED_VALUE"""),"")</f>
        <v/>
      </c>
      <c r="F1386" s="5" t="str">
        <f>IFERROR(__xludf.DUMMYFUNCTION("""COMPUTED_VALUE"""),"")</f>
        <v/>
      </c>
      <c r="G1386" s="5" t="str">
        <f>IFERROR(__xludf.DUMMYFUNCTION("""COMPUTED_VALUE"""),"")</f>
        <v/>
      </c>
      <c r="H1386" s="5" t="str">
        <f>IFERROR(__xludf.DUMMYFUNCTION("""COMPUTED_VALUE"""),"")</f>
        <v/>
      </c>
      <c r="I1386" s="5" t="str">
        <f>IFERROR(__xludf.DUMMYFUNCTION("""COMPUTED_VALUE"""),"")</f>
        <v/>
      </c>
      <c r="J1386" s="5" t="str">
        <f>IFERROR(__xludf.DUMMYFUNCTION("""COMPUTED_VALUE"""),"")</f>
        <v/>
      </c>
      <c r="K1386" s="5" t="str">
        <f>IFERROR(__xludf.DUMMYFUNCTION("""COMPUTED_VALUE"""),"")</f>
        <v/>
      </c>
      <c r="L1386" s="5" t="str">
        <f>IFERROR(__xludf.DUMMYFUNCTION("""COMPUTED_VALUE"""),"")</f>
        <v/>
      </c>
      <c r="M1386" s="5" t="str">
        <f>IFERROR(__xludf.DUMMYFUNCTION("""COMPUTED_VALUE"""),"")</f>
        <v/>
      </c>
      <c r="N1386" s="5" t="str">
        <f>IFERROR(__xludf.DUMMYFUNCTION("""COMPUTED_VALUE"""),"")</f>
        <v/>
      </c>
      <c r="O1386" s="5" t="str">
        <f>IFERROR(__xludf.DUMMYFUNCTION("""COMPUTED_VALUE"""),"")</f>
        <v/>
      </c>
      <c r="P1386" s="5" t="str">
        <f>IFERROR(__xludf.DUMMYFUNCTION("""COMPUTED_VALUE"""),"")</f>
        <v/>
      </c>
      <c r="Q1386" s="5" t="str">
        <f>IFERROR(__xludf.DUMMYFUNCTION("""COMPUTED_VALUE"""),"")</f>
        <v/>
      </c>
      <c r="R1386" s="5" t="str">
        <f>IFERROR(__xludf.DUMMYFUNCTION("""COMPUTED_VALUE"""),"")</f>
        <v/>
      </c>
      <c r="S1386" s="5" t="str">
        <f>IFERROR(__xludf.DUMMYFUNCTION("""COMPUTED_VALUE"""),"")</f>
        <v/>
      </c>
      <c r="T1386" s="5" t="str">
        <f>IFERROR(__xludf.DUMMYFUNCTION("""COMPUTED_VALUE"""),"")</f>
        <v/>
      </c>
      <c r="U1386" s="5" t="str">
        <f>IFERROR(__xludf.DUMMYFUNCTION("""COMPUTED_VALUE"""),"")</f>
        <v/>
      </c>
      <c r="V1386" s="5" t="str">
        <f>IFERROR(__xludf.DUMMYFUNCTION("""COMPUTED_VALUE"""),"")</f>
        <v/>
      </c>
      <c r="W1386" s="5" t="str">
        <f>IFERROR(__xludf.DUMMYFUNCTION("""COMPUTED_VALUE"""),"")</f>
        <v/>
      </c>
      <c r="X1386" s="5" t="str">
        <f>IFERROR(__xludf.DUMMYFUNCTION("""COMPUTED_VALUE"""),"")</f>
        <v/>
      </c>
      <c r="Y1386" s="5"/>
      <c r="Z1386" s="5"/>
    </row>
    <row r="1387">
      <c r="A1387" s="5"/>
      <c r="B1387" s="5" t="str">
        <f>IFERROR(__xludf.DUMMYFUNCTION("""COMPUTED_VALUE"""),"")</f>
        <v/>
      </c>
      <c r="C1387" s="5" t="str">
        <f>IFERROR(__xludf.DUMMYFUNCTION("""COMPUTED_VALUE"""),"")</f>
        <v/>
      </c>
      <c r="D1387" s="5" t="str">
        <f>IFERROR(__xludf.DUMMYFUNCTION("""COMPUTED_VALUE"""),"")</f>
        <v/>
      </c>
      <c r="E1387" s="5" t="str">
        <f>IFERROR(__xludf.DUMMYFUNCTION("""COMPUTED_VALUE"""),"")</f>
        <v/>
      </c>
      <c r="F1387" s="5" t="str">
        <f>IFERROR(__xludf.DUMMYFUNCTION("""COMPUTED_VALUE"""),"")</f>
        <v/>
      </c>
      <c r="G1387" s="5" t="str">
        <f>IFERROR(__xludf.DUMMYFUNCTION("""COMPUTED_VALUE"""),"")</f>
        <v/>
      </c>
      <c r="H1387" s="5" t="str">
        <f>IFERROR(__xludf.DUMMYFUNCTION("""COMPUTED_VALUE"""),"")</f>
        <v/>
      </c>
      <c r="I1387" s="5" t="str">
        <f>IFERROR(__xludf.DUMMYFUNCTION("""COMPUTED_VALUE"""),"")</f>
        <v/>
      </c>
      <c r="J1387" s="5" t="str">
        <f>IFERROR(__xludf.DUMMYFUNCTION("""COMPUTED_VALUE"""),"")</f>
        <v/>
      </c>
      <c r="K1387" s="5" t="str">
        <f>IFERROR(__xludf.DUMMYFUNCTION("""COMPUTED_VALUE"""),"")</f>
        <v/>
      </c>
      <c r="L1387" s="5" t="str">
        <f>IFERROR(__xludf.DUMMYFUNCTION("""COMPUTED_VALUE"""),"")</f>
        <v/>
      </c>
      <c r="M1387" s="5" t="str">
        <f>IFERROR(__xludf.DUMMYFUNCTION("""COMPUTED_VALUE"""),"")</f>
        <v/>
      </c>
      <c r="N1387" s="5" t="str">
        <f>IFERROR(__xludf.DUMMYFUNCTION("""COMPUTED_VALUE"""),"")</f>
        <v/>
      </c>
      <c r="O1387" s="5" t="str">
        <f>IFERROR(__xludf.DUMMYFUNCTION("""COMPUTED_VALUE"""),"")</f>
        <v/>
      </c>
      <c r="P1387" s="5" t="str">
        <f>IFERROR(__xludf.DUMMYFUNCTION("""COMPUTED_VALUE"""),"")</f>
        <v/>
      </c>
      <c r="Q1387" s="5" t="str">
        <f>IFERROR(__xludf.DUMMYFUNCTION("""COMPUTED_VALUE"""),"")</f>
        <v/>
      </c>
      <c r="R1387" s="5" t="str">
        <f>IFERROR(__xludf.DUMMYFUNCTION("""COMPUTED_VALUE"""),"")</f>
        <v/>
      </c>
      <c r="S1387" s="5" t="str">
        <f>IFERROR(__xludf.DUMMYFUNCTION("""COMPUTED_VALUE"""),"")</f>
        <v/>
      </c>
      <c r="T1387" s="5" t="str">
        <f>IFERROR(__xludf.DUMMYFUNCTION("""COMPUTED_VALUE"""),"")</f>
        <v/>
      </c>
      <c r="U1387" s="5" t="str">
        <f>IFERROR(__xludf.DUMMYFUNCTION("""COMPUTED_VALUE"""),"")</f>
        <v/>
      </c>
      <c r="V1387" s="5" t="str">
        <f>IFERROR(__xludf.DUMMYFUNCTION("""COMPUTED_VALUE"""),"")</f>
        <v/>
      </c>
      <c r="W1387" s="5" t="str">
        <f>IFERROR(__xludf.DUMMYFUNCTION("""COMPUTED_VALUE"""),"")</f>
        <v/>
      </c>
      <c r="X1387" s="5" t="str">
        <f>IFERROR(__xludf.DUMMYFUNCTION("""COMPUTED_VALUE"""),"")</f>
        <v/>
      </c>
      <c r="Y1387" s="5"/>
      <c r="Z1387" s="5"/>
    </row>
    <row r="1388">
      <c r="A1388" s="5"/>
      <c r="B1388" s="5" t="str">
        <f>IFERROR(__xludf.DUMMYFUNCTION("""COMPUTED_VALUE"""),"")</f>
        <v/>
      </c>
      <c r="C1388" s="5" t="str">
        <f>IFERROR(__xludf.DUMMYFUNCTION("""COMPUTED_VALUE"""),"")</f>
        <v/>
      </c>
      <c r="D1388" s="5" t="str">
        <f>IFERROR(__xludf.DUMMYFUNCTION("""COMPUTED_VALUE"""),"")</f>
        <v/>
      </c>
      <c r="E1388" s="5" t="str">
        <f>IFERROR(__xludf.DUMMYFUNCTION("""COMPUTED_VALUE"""),"")</f>
        <v/>
      </c>
      <c r="F1388" s="5" t="str">
        <f>IFERROR(__xludf.DUMMYFUNCTION("""COMPUTED_VALUE"""),"")</f>
        <v/>
      </c>
      <c r="G1388" s="5" t="str">
        <f>IFERROR(__xludf.DUMMYFUNCTION("""COMPUTED_VALUE"""),"")</f>
        <v/>
      </c>
      <c r="H1388" s="5" t="str">
        <f>IFERROR(__xludf.DUMMYFUNCTION("""COMPUTED_VALUE"""),"")</f>
        <v/>
      </c>
      <c r="I1388" s="5" t="str">
        <f>IFERROR(__xludf.DUMMYFUNCTION("""COMPUTED_VALUE"""),"")</f>
        <v/>
      </c>
      <c r="J1388" s="5" t="str">
        <f>IFERROR(__xludf.DUMMYFUNCTION("""COMPUTED_VALUE"""),"")</f>
        <v/>
      </c>
      <c r="K1388" s="5" t="str">
        <f>IFERROR(__xludf.DUMMYFUNCTION("""COMPUTED_VALUE"""),"")</f>
        <v/>
      </c>
      <c r="L1388" s="5" t="str">
        <f>IFERROR(__xludf.DUMMYFUNCTION("""COMPUTED_VALUE"""),"")</f>
        <v/>
      </c>
      <c r="M1388" s="5" t="str">
        <f>IFERROR(__xludf.DUMMYFUNCTION("""COMPUTED_VALUE"""),"")</f>
        <v/>
      </c>
      <c r="N1388" s="5" t="str">
        <f>IFERROR(__xludf.DUMMYFUNCTION("""COMPUTED_VALUE"""),"")</f>
        <v/>
      </c>
      <c r="O1388" s="5" t="str">
        <f>IFERROR(__xludf.DUMMYFUNCTION("""COMPUTED_VALUE"""),"")</f>
        <v/>
      </c>
      <c r="P1388" s="5" t="str">
        <f>IFERROR(__xludf.DUMMYFUNCTION("""COMPUTED_VALUE"""),"")</f>
        <v/>
      </c>
      <c r="Q1388" s="5" t="str">
        <f>IFERROR(__xludf.DUMMYFUNCTION("""COMPUTED_VALUE"""),"")</f>
        <v/>
      </c>
      <c r="R1388" s="5" t="str">
        <f>IFERROR(__xludf.DUMMYFUNCTION("""COMPUTED_VALUE"""),"")</f>
        <v/>
      </c>
      <c r="S1388" s="5" t="str">
        <f>IFERROR(__xludf.DUMMYFUNCTION("""COMPUTED_VALUE"""),"")</f>
        <v/>
      </c>
      <c r="T1388" s="5" t="str">
        <f>IFERROR(__xludf.DUMMYFUNCTION("""COMPUTED_VALUE"""),"")</f>
        <v/>
      </c>
      <c r="U1388" s="5" t="str">
        <f>IFERROR(__xludf.DUMMYFUNCTION("""COMPUTED_VALUE"""),"")</f>
        <v/>
      </c>
      <c r="V1388" s="5" t="str">
        <f>IFERROR(__xludf.DUMMYFUNCTION("""COMPUTED_VALUE"""),"")</f>
        <v/>
      </c>
      <c r="W1388" s="5" t="str">
        <f>IFERROR(__xludf.DUMMYFUNCTION("""COMPUTED_VALUE"""),"")</f>
        <v/>
      </c>
      <c r="X1388" s="5" t="str">
        <f>IFERROR(__xludf.DUMMYFUNCTION("""COMPUTED_VALUE"""),"")</f>
        <v/>
      </c>
      <c r="Y1388" s="5"/>
      <c r="Z1388" s="5"/>
    </row>
    <row r="1389">
      <c r="A1389" s="5"/>
      <c r="B1389" s="5" t="str">
        <f>IFERROR(__xludf.DUMMYFUNCTION("""COMPUTED_VALUE"""),"")</f>
        <v/>
      </c>
      <c r="C1389" s="5" t="str">
        <f>IFERROR(__xludf.DUMMYFUNCTION("""COMPUTED_VALUE"""),"")</f>
        <v/>
      </c>
      <c r="D1389" s="5" t="str">
        <f>IFERROR(__xludf.DUMMYFUNCTION("""COMPUTED_VALUE"""),"")</f>
        <v/>
      </c>
      <c r="E1389" s="5" t="str">
        <f>IFERROR(__xludf.DUMMYFUNCTION("""COMPUTED_VALUE"""),"")</f>
        <v/>
      </c>
      <c r="F1389" s="5" t="str">
        <f>IFERROR(__xludf.DUMMYFUNCTION("""COMPUTED_VALUE"""),"")</f>
        <v/>
      </c>
      <c r="G1389" s="5" t="str">
        <f>IFERROR(__xludf.DUMMYFUNCTION("""COMPUTED_VALUE"""),"")</f>
        <v/>
      </c>
      <c r="H1389" s="5" t="str">
        <f>IFERROR(__xludf.DUMMYFUNCTION("""COMPUTED_VALUE"""),"")</f>
        <v/>
      </c>
      <c r="I1389" s="5" t="str">
        <f>IFERROR(__xludf.DUMMYFUNCTION("""COMPUTED_VALUE"""),"")</f>
        <v/>
      </c>
      <c r="J1389" s="5" t="str">
        <f>IFERROR(__xludf.DUMMYFUNCTION("""COMPUTED_VALUE"""),"")</f>
        <v/>
      </c>
      <c r="K1389" s="5" t="str">
        <f>IFERROR(__xludf.DUMMYFUNCTION("""COMPUTED_VALUE"""),"")</f>
        <v/>
      </c>
      <c r="L1389" s="5" t="str">
        <f>IFERROR(__xludf.DUMMYFUNCTION("""COMPUTED_VALUE"""),"")</f>
        <v/>
      </c>
      <c r="M1389" s="5" t="str">
        <f>IFERROR(__xludf.DUMMYFUNCTION("""COMPUTED_VALUE"""),"")</f>
        <v/>
      </c>
      <c r="N1389" s="5" t="str">
        <f>IFERROR(__xludf.DUMMYFUNCTION("""COMPUTED_VALUE"""),"")</f>
        <v/>
      </c>
      <c r="O1389" s="5" t="str">
        <f>IFERROR(__xludf.DUMMYFUNCTION("""COMPUTED_VALUE"""),"")</f>
        <v/>
      </c>
      <c r="P1389" s="5" t="str">
        <f>IFERROR(__xludf.DUMMYFUNCTION("""COMPUTED_VALUE"""),"")</f>
        <v/>
      </c>
      <c r="Q1389" s="5" t="str">
        <f>IFERROR(__xludf.DUMMYFUNCTION("""COMPUTED_VALUE"""),"")</f>
        <v/>
      </c>
      <c r="R1389" s="5" t="str">
        <f>IFERROR(__xludf.DUMMYFUNCTION("""COMPUTED_VALUE"""),"")</f>
        <v/>
      </c>
      <c r="S1389" s="5" t="str">
        <f>IFERROR(__xludf.DUMMYFUNCTION("""COMPUTED_VALUE"""),"")</f>
        <v/>
      </c>
      <c r="T1389" s="5" t="str">
        <f>IFERROR(__xludf.DUMMYFUNCTION("""COMPUTED_VALUE"""),"")</f>
        <v/>
      </c>
      <c r="U1389" s="5" t="str">
        <f>IFERROR(__xludf.DUMMYFUNCTION("""COMPUTED_VALUE"""),"")</f>
        <v/>
      </c>
      <c r="V1389" s="5" t="str">
        <f>IFERROR(__xludf.DUMMYFUNCTION("""COMPUTED_VALUE"""),"")</f>
        <v/>
      </c>
      <c r="W1389" s="5" t="str">
        <f>IFERROR(__xludf.DUMMYFUNCTION("""COMPUTED_VALUE"""),"")</f>
        <v/>
      </c>
      <c r="X1389" s="5" t="str">
        <f>IFERROR(__xludf.DUMMYFUNCTION("""COMPUTED_VALUE"""),"")</f>
        <v/>
      </c>
      <c r="Y1389" s="5"/>
      <c r="Z1389" s="5"/>
    </row>
    <row r="1390">
      <c r="A1390" s="5"/>
      <c r="B1390" s="5" t="str">
        <f>IFERROR(__xludf.DUMMYFUNCTION("""COMPUTED_VALUE"""),"")</f>
        <v/>
      </c>
      <c r="C1390" s="5" t="str">
        <f>IFERROR(__xludf.DUMMYFUNCTION("""COMPUTED_VALUE"""),"")</f>
        <v/>
      </c>
      <c r="D1390" s="5" t="str">
        <f>IFERROR(__xludf.DUMMYFUNCTION("""COMPUTED_VALUE"""),"")</f>
        <v/>
      </c>
      <c r="E1390" s="5" t="str">
        <f>IFERROR(__xludf.DUMMYFUNCTION("""COMPUTED_VALUE"""),"")</f>
        <v/>
      </c>
      <c r="F1390" s="5" t="str">
        <f>IFERROR(__xludf.DUMMYFUNCTION("""COMPUTED_VALUE"""),"")</f>
        <v/>
      </c>
      <c r="G1390" s="5" t="str">
        <f>IFERROR(__xludf.DUMMYFUNCTION("""COMPUTED_VALUE"""),"")</f>
        <v/>
      </c>
      <c r="H1390" s="5" t="str">
        <f>IFERROR(__xludf.DUMMYFUNCTION("""COMPUTED_VALUE"""),"")</f>
        <v/>
      </c>
      <c r="I1390" s="5" t="str">
        <f>IFERROR(__xludf.DUMMYFUNCTION("""COMPUTED_VALUE"""),"")</f>
        <v/>
      </c>
      <c r="J1390" s="5" t="str">
        <f>IFERROR(__xludf.DUMMYFUNCTION("""COMPUTED_VALUE"""),"")</f>
        <v/>
      </c>
      <c r="K1390" s="5" t="str">
        <f>IFERROR(__xludf.DUMMYFUNCTION("""COMPUTED_VALUE"""),"")</f>
        <v/>
      </c>
      <c r="L1390" s="5" t="str">
        <f>IFERROR(__xludf.DUMMYFUNCTION("""COMPUTED_VALUE"""),"")</f>
        <v/>
      </c>
      <c r="M1390" s="5" t="str">
        <f>IFERROR(__xludf.DUMMYFUNCTION("""COMPUTED_VALUE"""),"")</f>
        <v/>
      </c>
      <c r="N1390" s="5" t="str">
        <f>IFERROR(__xludf.DUMMYFUNCTION("""COMPUTED_VALUE"""),"")</f>
        <v/>
      </c>
      <c r="O1390" s="5" t="str">
        <f>IFERROR(__xludf.DUMMYFUNCTION("""COMPUTED_VALUE"""),"")</f>
        <v/>
      </c>
      <c r="P1390" s="5" t="str">
        <f>IFERROR(__xludf.DUMMYFUNCTION("""COMPUTED_VALUE"""),"")</f>
        <v/>
      </c>
      <c r="Q1390" s="5" t="str">
        <f>IFERROR(__xludf.DUMMYFUNCTION("""COMPUTED_VALUE"""),"")</f>
        <v/>
      </c>
      <c r="R1390" s="5" t="str">
        <f>IFERROR(__xludf.DUMMYFUNCTION("""COMPUTED_VALUE"""),"")</f>
        <v/>
      </c>
      <c r="S1390" s="5" t="str">
        <f>IFERROR(__xludf.DUMMYFUNCTION("""COMPUTED_VALUE"""),"")</f>
        <v/>
      </c>
      <c r="T1390" s="5" t="str">
        <f>IFERROR(__xludf.DUMMYFUNCTION("""COMPUTED_VALUE"""),"")</f>
        <v/>
      </c>
      <c r="U1390" s="5" t="str">
        <f>IFERROR(__xludf.DUMMYFUNCTION("""COMPUTED_VALUE"""),"")</f>
        <v/>
      </c>
      <c r="V1390" s="5" t="str">
        <f>IFERROR(__xludf.DUMMYFUNCTION("""COMPUTED_VALUE"""),"")</f>
        <v/>
      </c>
      <c r="W1390" s="5" t="str">
        <f>IFERROR(__xludf.DUMMYFUNCTION("""COMPUTED_VALUE"""),"")</f>
        <v/>
      </c>
      <c r="X1390" s="5" t="str">
        <f>IFERROR(__xludf.DUMMYFUNCTION("""COMPUTED_VALUE"""),"")</f>
        <v/>
      </c>
      <c r="Y1390" s="5"/>
      <c r="Z1390" s="5"/>
    </row>
    <row r="1391">
      <c r="A1391" s="5"/>
      <c r="B1391" s="5" t="str">
        <f>IFERROR(__xludf.DUMMYFUNCTION("""COMPUTED_VALUE"""),"")</f>
        <v/>
      </c>
      <c r="C1391" s="5" t="str">
        <f>IFERROR(__xludf.DUMMYFUNCTION("""COMPUTED_VALUE"""),"")</f>
        <v/>
      </c>
      <c r="D1391" s="5" t="str">
        <f>IFERROR(__xludf.DUMMYFUNCTION("""COMPUTED_VALUE"""),"")</f>
        <v/>
      </c>
      <c r="E1391" s="5" t="str">
        <f>IFERROR(__xludf.DUMMYFUNCTION("""COMPUTED_VALUE"""),"")</f>
        <v/>
      </c>
      <c r="F1391" s="5" t="str">
        <f>IFERROR(__xludf.DUMMYFUNCTION("""COMPUTED_VALUE"""),"")</f>
        <v/>
      </c>
      <c r="G1391" s="5" t="str">
        <f>IFERROR(__xludf.DUMMYFUNCTION("""COMPUTED_VALUE"""),"")</f>
        <v/>
      </c>
      <c r="H1391" s="5" t="str">
        <f>IFERROR(__xludf.DUMMYFUNCTION("""COMPUTED_VALUE"""),"")</f>
        <v/>
      </c>
      <c r="I1391" s="5" t="str">
        <f>IFERROR(__xludf.DUMMYFUNCTION("""COMPUTED_VALUE"""),"")</f>
        <v/>
      </c>
      <c r="J1391" s="5" t="str">
        <f>IFERROR(__xludf.DUMMYFUNCTION("""COMPUTED_VALUE"""),"")</f>
        <v/>
      </c>
      <c r="K1391" s="5" t="str">
        <f>IFERROR(__xludf.DUMMYFUNCTION("""COMPUTED_VALUE"""),"")</f>
        <v/>
      </c>
      <c r="L1391" s="5" t="str">
        <f>IFERROR(__xludf.DUMMYFUNCTION("""COMPUTED_VALUE"""),"")</f>
        <v/>
      </c>
      <c r="M1391" s="5" t="str">
        <f>IFERROR(__xludf.DUMMYFUNCTION("""COMPUTED_VALUE"""),"")</f>
        <v/>
      </c>
      <c r="N1391" s="5" t="str">
        <f>IFERROR(__xludf.DUMMYFUNCTION("""COMPUTED_VALUE"""),"")</f>
        <v/>
      </c>
      <c r="O1391" s="5" t="str">
        <f>IFERROR(__xludf.DUMMYFUNCTION("""COMPUTED_VALUE"""),"")</f>
        <v/>
      </c>
      <c r="P1391" s="5" t="str">
        <f>IFERROR(__xludf.DUMMYFUNCTION("""COMPUTED_VALUE"""),"")</f>
        <v/>
      </c>
      <c r="Q1391" s="5" t="str">
        <f>IFERROR(__xludf.DUMMYFUNCTION("""COMPUTED_VALUE"""),"")</f>
        <v/>
      </c>
      <c r="R1391" s="5" t="str">
        <f>IFERROR(__xludf.DUMMYFUNCTION("""COMPUTED_VALUE"""),"")</f>
        <v/>
      </c>
      <c r="S1391" s="5" t="str">
        <f>IFERROR(__xludf.DUMMYFUNCTION("""COMPUTED_VALUE"""),"")</f>
        <v/>
      </c>
      <c r="T1391" s="5" t="str">
        <f>IFERROR(__xludf.DUMMYFUNCTION("""COMPUTED_VALUE"""),"")</f>
        <v/>
      </c>
      <c r="U1391" s="5" t="str">
        <f>IFERROR(__xludf.DUMMYFUNCTION("""COMPUTED_VALUE"""),"")</f>
        <v/>
      </c>
      <c r="V1391" s="5" t="str">
        <f>IFERROR(__xludf.DUMMYFUNCTION("""COMPUTED_VALUE"""),"")</f>
        <v/>
      </c>
      <c r="W1391" s="5" t="str">
        <f>IFERROR(__xludf.DUMMYFUNCTION("""COMPUTED_VALUE"""),"")</f>
        <v/>
      </c>
      <c r="X1391" s="5" t="str">
        <f>IFERROR(__xludf.DUMMYFUNCTION("""COMPUTED_VALUE"""),"")</f>
        <v/>
      </c>
      <c r="Y1391" s="5"/>
      <c r="Z1391" s="5"/>
    </row>
    <row r="1392">
      <c r="A1392" s="5"/>
      <c r="B1392" s="5" t="str">
        <f>IFERROR(__xludf.DUMMYFUNCTION("""COMPUTED_VALUE"""),"")</f>
        <v/>
      </c>
      <c r="C1392" s="5" t="str">
        <f>IFERROR(__xludf.DUMMYFUNCTION("""COMPUTED_VALUE"""),"")</f>
        <v/>
      </c>
      <c r="D1392" s="5" t="str">
        <f>IFERROR(__xludf.DUMMYFUNCTION("""COMPUTED_VALUE"""),"")</f>
        <v/>
      </c>
      <c r="E1392" s="5" t="str">
        <f>IFERROR(__xludf.DUMMYFUNCTION("""COMPUTED_VALUE"""),"")</f>
        <v/>
      </c>
      <c r="F1392" s="5" t="str">
        <f>IFERROR(__xludf.DUMMYFUNCTION("""COMPUTED_VALUE"""),"")</f>
        <v/>
      </c>
      <c r="G1392" s="5" t="str">
        <f>IFERROR(__xludf.DUMMYFUNCTION("""COMPUTED_VALUE"""),"")</f>
        <v/>
      </c>
      <c r="H1392" s="5" t="str">
        <f>IFERROR(__xludf.DUMMYFUNCTION("""COMPUTED_VALUE"""),"")</f>
        <v/>
      </c>
      <c r="I1392" s="5" t="str">
        <f>IFERROR(__xludf.DUMMYFUNCTION("""COMPUTED_VALUE"""),"")</f>
        <v/>
      </c>
      <c r="J1392" s="5" t="str">
        <f>IFERROR(__xludf.DUMMYFUNCTION("""COMPUTED_VALUE"""),"")</f>
        <v/>
      </c>
      <c r="K1392" s="5" t="str">
        <f>IFERROR(__xludf.DUMMYFUNCTION("""COMPUTED_VALUE"""),"")</f>
        <v/>
      </c>
      <c r="L1392" s="5" t="str">
        <f>IFERROR(__xludf.DUMMYFUNCTION("""COMPUTED_VALUE"""),"")</f>
        <v/>
      </c>
      <c r="M1392" s="5" t="str">
        <f>IFERROR(__xludf.DUMMYFUNCTION("""COMPUTED_VALUE"""),"")</f>
        <v/>
      </c>
      <c r="N1392" s="5" t="str">
        <f>IFERROR(__xludf.DUMMYFUNCTION("""COMPUTED_VALUE"""),"")</f>
        <v/>
      </c>
      <c r="O1392" s="5" t="str">
        <f>IFERROR(__xludf.DUMMYFUNCTION("""COMPUTED_VALUE"""),"")</f>
        <v/>
      </c>
      <c r="P1392" s="5" t="str">
        <f>IFERROR(__xludf.DUMMYFUNCTION("""COMPUTED_VALUE"""),"")</f>
        <v/>
      </c>
      <c r="Q1392" s="5" t="str">
        <f>IFERROR(__xludf.DUMMYFUNCTION("""COMPUTED_VALUE"""),"")</f>
        <v/>
      </c>
      <c r="R1392" s="5" t="str">
        <f>IFERROR(__xludf.DUMMYFUNCTION("""COMPUTED_VALUE"""),"")</f>
        <v/>
      </c>
      <c r="S1392" s="5" t="str">
        <f>IFERROR(__xludf.DUMMYFUNCTION("""COMPUTED_VALUE"""),"")</f>
        <v/>
      </c>
      <c r="T1392" s="5" t="str">
        <f>IFERROR(__xludf.DUMMYFUNCTION("""COMPUTED_VALUE"""),"")</f>
        <v/>
      </c>
      <c r="U1392" s="5" t="str">
        <f>IFERROR(__xludf.DUMMYFUNCTION("""COMPUTED_VALUE"""),"")</f>
        <v/>
      </c>
      <c r="V1392" s="5" t="str">
        <f>IFERROR(__xludf.DUMMYFUNCTION("""COMPUTED_VALUE"""),"")</f>
        <v/>
      </c>
      <c r="W1392" s="5" t="str">
        <f>IFERROR(__xludf.DUMMYFUNCTION("""COMPUTED_VALUE"""),"")</f>
        <v/>
      </c>
      <c r="X1392" s="5" t="str">
        <f>IFERROR(__xludf.DUMMYFUNCTION("""COMPUTED_VALUE"""),"")</f>
        <v/>
      </c>
      <c r="Y1392" s="5"/>
      <c r="Z1392" s="5"/>
    </row>
    <row r="1393">
      <c r="A1393" s="5"/>
      <c r="B1393" s="5" t="str">
        <f>IFERROR(__xludf.DUMMYFUNCTION("""COMPUTED_VALUE"""),"")</f>
        <v/>
      </c>
      <c r="C1393" s="5" t="str">
        <f>IFERROR(__xludf.DUMMYFUNCTION("""COMPUTED_VALUE"""),"")</f>
        <v/>
      </c>
      <c r="D1393" s="5" t="str">
        <f>IFERROR(__xludf.DUMMYFUNCTION("""COMPUTED_VALUE"""),"")</f>
        <v/>
      </c>
      <c r="E1393" s="5" t="str">
        <f>IFERROR(__xludf.DUMMYFUNCTION("""COMPUTED_VALUE"""),"")</f>
        <v/>
      </c>
      <c r="F1393" s="5" t="str">
        <f>IFERROR(__xludf.DUMMYFUNCTION("""COMPUTED_VALUE"""),"")</f>
        <v/>
      </c>
      <c r="G1393" s="5" t="str">
        <f>IFERROR(__xludf.DUMMYFUNCTION("""COMPUTED_VALUE"""),"")</f>
        <v/>
      </c>
      <c r="H1393" s="5" t="str">
        <f>IFERROR(__xludf.DUMMYFUNCTION("""COMPUTED_VALUE"""),"")</f>
        <v/>
      </c>
      <c r="I1393" s="5" t="str">
        <f>IFERROR(__xludf.DUMMYFUNCTION("""COMPUTED_VALUE"""),"")</f>
        <v/>
      </c>
      <c r="J1393" s="5" t="str">
        <f>IFERROR(__xludf.DUMMYFUNCTION("""COMPUTED_VALUE"""),"")</f>
        <v/>
      </c>
      <c r="K1393" s="5" t="str">
        <f>IFERROR(__xludf.DUMMYFUNCTION("""COMPUTED_VALUE"""),"")</f>
        <v/>
      </c>
      <c r="L1393" s="5" t="str">
        <f>IFERROR(__xludf.DUMMYFUNCTION("""COMPUTED_VALUE"""),"")</f>
        <v/>
      </c>
      <c r="M1393" s="5" t="str">
        <f>IFERROR(__xludf.DUMMYFUNCTION("""COMPUTED_VALUE"""),"")</f>
        <v/>
      </c>
      <c r="N1393" s="5" t="str">
        <f>IFERROR(__xludf.DUMMYFUNCTION("""COMPUTED_VALUE"""),"")</f>
        <v/>
      </c>
      <c r="O1393" s="5" t="str">
        <f>IFERROR(__xludf.DUMMYFUNCTION("""COMPUTED_VALUE"""),"")</f>
        <v/>
      </c>
      <c r="P1393" s="5" t="str">
        <f>IFERROR(__xludf.DUMMYFUNCTION("""COMPUTED_VALUE"""),"")</f>
        <v/>
      </c>
      <c r="Q1393" s="5" t="str">
        <f>IFERROR(__xludf.DUMMYFUNCTION("""COMPUTED_VALUE"""),"")</f>
        <v/>
      </c>
      <c r="R1393" s="5" t="str">
        <f>IFERROR(__xludf.DUMMYFUNCTION("""COMPUTED_VALUE"""),"")</f>
        <v/>
      </c>
      <c r="S1393" s="5" t="str">
        <f>IFERROR(__xludf.DUMMYFUNCTION("""COMPUTED_VALUE"""),"")</f>
        <v/>
      </c>
      <c r="T1393" s="5" t="str">
        <f>IFERROR(__xludf.DUMMYFUNCTION("""COMPUTED_VALUE"""),"")</f>
        <v/>
      </c>
      <c r="U1393" s="5" t="str">
        <f>IFERROR(__xludf.DUMMYFUNCTION("""COMPUTED_VALUE"""),"")</f>
        <v/>
      </c>
      <c r="V1393" s="5" t="str">
        <f>IFERROR(__xludf.DUMMYFUNCTION("""COMPUTED_VALUE"""),"")</f>
        <v/>
      </c>
      <c r="W1393" s="5" t="str">
        <f>IFERROR(__xludf.DUMMYFUNCTION("""COMPUTED_VALUE"""),"")</f>
        <v/>
      </c>
      <c r="X1393" s="5" t="str">
        <f>IFERROR(__xludf.DUMMYFUNCTION("""COMPUTED_VALUE"""),"")</f>
        <v/>
      </c>
      <c r="Y1393" s="5"/>
      <c r="Z1393" s="5"/>
    </row>
    <row r="1394">
      <c r="A1394" s="5"/>
      <c r="B1394" s="5" t="str">
        <f>IFERROR(__xludf.DUMMYFUNCTION("""COMPUTED_VALUE"""),"")</f>
        <v/>
      </c>
      <c r="C1394" s="5" t="str">
        <f>IFERROR(__xludf.DUMMYFUNCTION("""COMPUTED_VALUE"""),"")</f>
        <v/>
      </c>
      <c r="D1394" s="5" t="str">
        <f>IFERROR(__xludf.DUMMYFUNCTION("""COMPUTED_VALUE"""),"")</f>
        <v/>
      </c>
      <c r="E1394" s="5" t="str">
        <f>IFERROR(__xludf.DUMMYFUNCTION("""COMPUTED_VALUE"""),"")</f>
        <v/>
      </c>
      <c r="F1394" s="5" t="str">
        <f>IFERROR(__xludf.DUMMYFUNCTION("""COMPUTED_VALUE"""),"")</f>
        <v/>
      </c>
      <c r="G1394" s="5" t="str">
        <f>IFERROR(__xludf.DUMMYFUNCTION("""COMPUTED_VALUE"""),"")</f>
        <v/>
      </c>
      <c r="H1394" s="5" t="str">
        <f>IFERROR(__xludf.DUMMYFUNCTION("""COMPUTED_VALUE"""),"")</f>
        <v/>
      </c>
      <c r="I1394" s="5" t="str">
        <f>IFERROR(__xludf.DUMMYFUNCTION("""COMPUTED_VALUE"""),"")</f>
        <v/>
      </c>
      <c r="J1394" s="5" t="str">
        <f>IFERROR(__xludf.DUMMYFUNCTION("""COMPUTED_VALUE"""),"")</f>
        <v/>
      </c>
      <c r="K1394" s="5" t="str">
        <f>IFERROR(__xludf.DUMMYFUNCTION("""COMPUTED_VALUE"""),"")</f>
        <v/>
      </c>
      <c r="L1394" s="5" t="str">
        <f>IFERROR(__xludf.DUMMYFUNCTION("""COMPUTED_VALUE"""),"")</f>
        <v/>
      </c>
      <c r="M1394" s="5" t="str">
        <f>IFERROR(__xludf.DUMMYFUNCTION("""COMPUTED_VALUE"""),"")</f>
        <v/>
      </c>
      <c r="N1394" s="5" t="str">
        <f>IFERROR(__xludf.DUMMYFUNCTION("""COMPUTED_VALUE"""),"")</f>
        <v/>
      </c>
      <c r="O1394" s="5" t="str">
        <f>IFERROR(__xludf.DUMMYFUNCTION("""COMPUTED_VALUE"""),"")</f>
        <v/>
      </c>
      <c r="P1394" s="5" t="str">
        <f>IFERROR(__xludf.DUMMYFUNCTION("""COMPUTED_VALUE"""),"")</f>
        <v/>
      </c>
      <c r="Q1394" s="5" t="str">
        <f>IFERROR(__xludf.DUMMYFUNCTION("""COMPUTED_VALUE"""),"")</f>
        <v/>
      </c>
      <c r="R1394" s="5" t="str">
        <f>IFERROR(__xludf.DUMMYFUNCTION("""COMPUTED_VALUE"""),"")</f>
        <v/>
      </c>
      <c r="S1394" s="5" t="str">
        <f>IFERROR(__xludf.DUMMYFUNCTION("""COMPUTED_VALUE"""),"")</f>
        <v/>
      </c>
      <c r="T1394" s="5" t="str">
        <f>IFERROR(__xludf.DUMMYFUNCTION("""COMPUTED_VALUE"""),"")</f>
        <v/>
      </c>
      <c r="U1394" s="5" t="str">
        <f>IFERROR(__xludf.DUMMYFUNCTION("""COMPUTED_VALUE"""),"")</f>
        <v/>
      </c>
      <c r="V1394" s="5" t="str">
        <f>IFERROR(__xludf.DUMMYFUNCTION("""COMPUTED_VALUE"""),"")</f>
        <v/>
      </c>
      <c r="W1394" s="5" t="str">
        <f>IFERROR(__xludf.DUMMYFUNCTION("""COMPUTED_VALUE"""),"")</f>
        <v/>
      </c>
      <c r="X1394" s="5" t="str">
        <f>IFERROR(__xludf.DUMMYFUNCTION("""COMPUTED_VALUE"""),"")</f>
        <v/>
      </c>
      <c r="Y1394" s="5"/>
      <c r="Z1394" s="5"/>
    </row>
    <row r="1395">
      <c r="A1395" s="5"/>
      <c r="B1395" s="5" t="str">
        <f>IFERROR(__xludf.DUMMYFUNCTION("""COMPUTED_VALUE"""),"")</f>
        <v/>
      </c>
      <c r="C1395" s="5" t="str">
        <f>IFERROR(__xludf.DUMMYFUNCTION("""COMPUTED_VALUE"""),"")</f>
        <v/>
      </c>
      <c r="D1395" s="5" t="str">
        <f>IFERROR(__xludf.DUMMYFUNCTION("""COMPUTED_VALUE"""),"")</f>
        <v/>
      </c>
      <c r="E1395" s="5" t="str">
        <f>IFERROR(__xludf.DUMMYFUNCTION("""COMPUTED_VALUE"""),"")</f>
        <v/>
      </c>
      <c r="F1395" s="5" t="str">
        <f>IFERROR(__xludf.DUMMYFUNCTION("""COMPUTED_VALUE"""),"")</f>
        <v/>
      </c>
      <c r="G1395" s="5" t="str">
        <f>IFERROR(__xludf.DUMMYFUNCTION("""COMPUTED_VALUE"""),"")</f>
        <v/>
      </c>
      <c r="H1395" s="5" t="str">
        <f>IFERROR(__xludf.DUMMYFUNCTION("""COMPUTED_VALUE"""),"")</f>
        <v/>
      </c>
      <c r="I1395" s="5" t="str">
        <f>IFERROR(__xludf.DUMMYFUNCTION("""COMPUTED_VALUE"""),"")</f>
        <v/>
      </c>
      <c r="J1395" s="5" t="str">
        <f>IFERROR(__xludf.DUMMYFUNCTION("""COMPUTED_VALUE"""),"")</f>
        <v/>
      </c>
      <c r="K1395" s="5" t="str">
        <f>IFERROR(__xludf.DUMMYFUNCTION("""COMPUTED_VALUE"""),"")</f>
        <v/>
      </c>
      <c r="L1395" s="5" t="str">
        <f>IFERROR(__xludf.DUMMYFUNCTION("""COMPUTED_VALUE"""),"")</f>
        <v/>
      </c>
      <c r="M1395" s="5" t="str">
        <f>IFERROR(__xludf.DUMMYFUNCTION("""COMPUTED_VALUE"""),"")</f>
        <v/>
      </c>
      <c r="N1395" s="5" t="str">
        <f>IFERROR(__xludf.DUMMYFUNCTION("""COMPUTED_VALUE"""),"")</f>
        <v/>
      </c>
      <c r="O1395" s="5" t="str">
        <f>IFERROR(__xludf.DUMMYFUNCTION("""COMPUTED_VALUE"""),"")</f>
        <v/>
      </c>
      <c r="P1395" s="5" t="str">
        <f>IFERROR(__xludf.DUMMYFUNCTION("""COMPUTED_VALUE"""),"")</f>
        <v/>
      </c>
      <c r="Q1395" s="5" t="str">
        <f>IFERROR(__xludf.DUMMYFUNCTION("""COMPUTED_VALUE"""),"")</f>
        <v/>
      </c>
      <c r="R1395" s="5" t="str">
        <f>IFERROR(__xludf.DUMMYFUNCTION("""COMPUTED_VALUE"""),"")</f>
        <v/>
      </c>
      <c r="S1395" s="5" t="str">
        <f>IFERROR(__xludf.DUMMYFUNCTION("""COMPUTED_VALUE"""),"")</f>
        <v/>
      </c>
      <c r="T1395" s="5" t="str">
        <f>IFERROR(__xludf.DUMMYFUNCTION("""COMPUTED_VALUE"""),"")</f>
        <v/>
      </c>
      <c r="U1395" s="5" t="str">
        <f>IFERROR(__xludf.DUMMYFUNCTION("""COMPUTED_VALUE"""),"")</f>
        <v/>
      </c>
      <c r="V1395" s="5" t="str">
        <f>IFERROR(__xludf.DUMMYFUNCTION("""COMPUTED_VALUE"""),"")</f>
        <v/>
      </c>
      <c r="W1395" s="5" t="str">
        <f>IFERROR(__xludf.DUMMYFUNCTION("""COMPUTED_VALUE"""),"")</f>
        <v/>
      </c>
      <c r="X1395" s="5" t="str">
        <f>IFERROR(__xludf.DUMMYFUNCTION("""COMPUTED_VALUE"""),"")</f>
        <v/>
      </c>
      <c r="Y1395" s="5"/>
      <c r="Z1395" s="5"/>
    </row>
    <row r="1396">
      <c r="A1396" s="5"/>
      <c r="B1396" s="5" t="str">
        <f>IFERROR(__xludf.DUMMYFUNCTION("""COMPUTED_VALUE"""),"")</f>
        <v/>
      </c>
      <c r="C1396" s="5" t="str">
        <f>IFERROR(__xludf.DUMMYFUNCTION("""COMPUTED_VALUE"""),"")</f>
        <v/>
      </c>
      <c r="D1396" s="5" t="str">
        <f>IFERROR(__xludf.DUMMYFUNCTION("""COMPUTED_VALUE"""),"")</f>
        <v/>
      </c>
      <c r="E1396" s="5" t="str">
        <f>IFERROR(__xludf.DUMMYFUNCTION("""COMPUTED_VALUE"""),"")</f>
        <v/>
      </c>
      <c r="F1396" s="5" t="str">
        <f>IFERROR(__xludf.DUMMYFUNCTION("""COMPUTED_VALUE"""),"")</f>
        <v/>
      </c>
      <c r="G1396" s="5" t="str">
        <f>IFERROR(__xludf.DUMMYFUNCTION("""COMPUTED_VALUE"""),"")</f>
        <v/>
      </c>
      <c r="H1396" s="5" t="str">
        <f>IFERROR(__xludf.DUMMYFUNCTION("""COMPUTED_VALUE"""),"")</f>
        <v/>
      </c>
      <c r="I1396" s="5" t="str">
        <f>IFERROR(__xludf.DUMMYFUNCTION("""COMPUTED_VALUE"""),"")</f>
        <v/>
      </c>
      <c r="J1396" s="5" t="str">
        <f>IFERROR(__xludf.DUMMYFUNCTION("""COMPUTED_VALUE"""),"")</f>
        <v/>
      </c>
      <c r="K1396" s="5" t="str">
        <f>IFERROR(__xludf.DUMMYFUNCTION("""COMPUTED_VALUE"""),"")</f>
        <v/>
      </c>
      <c r="L1396" s="5" t="str">
        <f>IFERROR(__xludf.DUMMYFUNCTION("""COMPUTED_VALUE"""),"")</f>
        <v/>
      </c>
      <c r="M1396" s="5" t="str">
        <f>IFERROR(__xludf.DUMMYFUNCTION("""COMPUTED_VALUE"""),"")</f>
        <v/>
      </c>
      <c r="N1396" s="5" t="str">
        <f>IFERROR(__xludf.DUMMYFUNCTION("""COMPUTED_VALUE"""),"")</f>
        <v/>
      </c>
      <c r="O1396" s="5" t="str">
        <f>IFERROR(__xludf.DUMMYFUNCTION("""COMPUTED_VALUE"""),"")</f>
        <v/>
      </c>
      <c r="P1396" s="5" t="str">
        <f>IFERROR(__xludf.DUMMYFUNCTION("""COMPUTED_VALUE"""),"")</f>
        <v/>
      </c>
      <c r="Q1396" s="5" t="str">
        <f>IFERROR(__xludf.DUMMYFUNCTION("""COMPUTED_VALUE"""),"")</f>
        <v/>
      </c>
      <c r="R1396" s="5" t="str">
        <f>IFERROR(__xludf.DUMMYFUNCTION("""COMPUTED_VALUE"""),"")</f>
        <v/>
      </c>
      <c r="S1396" s="5" t="str">
        <f>IFERROR(__xludf.DUMMYFUNCTION("""COMPUTED_VALUE"""),"")</f>
        <v/>
      </c>
      <c r="T1396" s="5" t="str">
        <f>IFERROR(__xludf.DUMMYFUNCTION("""COMPUTED_VALUE"""),"")</f>
        <v/>
      </c>
      <c r="U1396" s="5" t="str">
        <f>IFERROR(__xludf.DUMMYFUNCTION("""COMPUTED_VALUE"""),"")</f>
        <v/>
      </c>
      <c r="V1396" s="5" t="str">
        <f>IFERROR(__xludf.DUMMYFUNCTION("""COMPUTED_VALUE"""),"")</f>
        <v/>
      </c>
      <c r="W1396" s="5" t="str">
        <f>IFERROR(__xludf.DUMMYFUNCTION("""COMPUTED_VALUE"""),"")</f>
        <v/>
      </c>
      <c r="X1396" s="5" t="str">
        <f>IFERROR(__xludf.DUMMYFUNCTION("""COMPUTED_VALUE"""),"")</f>
        <v/>
      </c>
      <c r="Y1396" s="5"/>
      <c r="Z1396" s="5"/>
    </row>
    <row r="1397">
      <c r="A1397" s="5"/>
      <c r="B1397" s="5" t="str">
        <f>IFERROR(__xludf.DUMMYFUNCTION("""COMPUTED_VALUE"""),"")</f>
        <v/>
      </c>
      <c r="C1397" s="5" t="str">
        <f>IFERROR(__xludf.DUMMYFUNCTION("""COMPUTED_VALUE"""),"")</f>
        <v/>
      </c>
      <c r="D1397" s="5" t="str">
        <f>IFERROR(__xludf.DUMMYFUNCTION("""COMPUTED_VALUE"""),"")</f>
        <v/>
      </c>
      <c r="E1397" s="5" t="str">
        <f>IFERROR(__xludf.DUMMYFUNCTION("""COMPUTED_VALUE"""),"")</f>
        <v/>
      </c>
      <c r="F1397" s="5" t="str">
        <f>IFERROR(__xludf.DUMMYFUNCTION("""COMPUTED_VALUE"""),"")</f>
        <v/>
      </c>
      <c r="G1397" s="5" t="str">
        <f>IFERROR(__xludf.DUMMYFUNCTION("""COMPUTED_VALUE"""),"")</f>
        <v/>
      </c>
      <c r="H1397" s="5" t="str">
        <f>IFERROR(__xludf.DUMMYFUNCTION("""COMPUTED_VALUE"""),"")</f>
        <v/>
      </c>
      <c r="I1397" s="5" t="str">
        <f>IFERROR(__xludf.DUMMYFUNCTION("""COMPUTED_VALUE"""),"")</f>
        <v/>
      </c>
      <c r="J1397" s="5" t="str">
        <f>IFERROR(__xludf.DUMMYFUNCTION("""COMPUTED_VALUE"""),"")</f>
        <v/>
      </c>
      <c r="K1397" s="5" t="str">
        <f>IFERROR(__xludf.DUMMYFUNCTION("""COMPUTED_VALUE"""),"")</f>
        <v/>
      </c>
      <c r="L1397" s="5" t="str">
        <f>IFERROR(__xludf.DUMMYFUNCTION("""COMPUTED_VALUE"""),"")</f>
        <v/>
      </c>
      <c r="M1397" s="5" t="str">
        <f>IFERROR(__xludf.DUMMYFUNCTION("""COMPUTED_VALUE"""),"")</f>
        <v/>
      </c>
      <c r="N1397" s="5" t="str">
        <f>IFERROR(__xludf.DUMMYFUNCTION("""COMPUTED_VALUE"""),"")</f>
        <v/>
      </c>
      <c r="O1397" s="5" t="str">
        <f>IFERROR(__xludf.DUMMYFUNCTION("""COMPUTED_VALUE"""),"")</f>
        <v/>
      </c>
      <c r="P1397" s="5" t="str">
        <f>IFERROR(__xludf.DUMMYFUNCTION("""COMPUTED_VALUE"""),"")</f>
        <v/>
      </c>
      <c r="Q1397" s="5" t="str">
        <f>IFERROR(__xludf.DUMMYFUNCTION("""COMPUTED_VALUE"""),"")</f>
        <v/>
      </c>
      <c r="R1397" s="5" t="str">
        <f>IFERROR(__xludf.DUMMYFUNCTION("""COMPUTED_VALUE"""),"")</f>
        <v/>
      </c>
      <c r="S1397" s="5" t="str">
        <f>IFERROR(__xludf.DUMMYFUNCTION("""COMPUTED_VALUE"""),"")</f>
        <v/>
      </c>
      <c r="T1397" s="5" t="str">
        <f>IFERROR(__xludf.DUMMYFUNCTION("""COMPUTED_VALUE"""),"")</f>
        <v/>
      </c>
      <c r="U1397" s="5" t="str">
        <f>IFERROR(__xludf.DUMMYFUNCTION("""COMPUTED_VALUE"""),"")</f>
        <v/>
      </c>
      <c r="V1397" s="5" t="str">
        <f>IFERROR(__xludf.DUMMYFUNCTION("""COMPUTED_VALUE"""),"")</f>
        <v/>
      </c>
      <c r="W1397" s="5" t="str">
        <f>IFERROR(__xludf.DUMMYFUNCTION("""COMPUTED_VALUE"""),"")</f>
        <v/>
      </c>
      <c r="X1397" s="5" t="str">
        <f>IFERROR(__xludf.DUMMYFUNCTION("""COMPUTED_VALUE"""),"")</f>
        <v/>
      </c>
      <c r="Y1397" s="5"/>
      <c r="Z1397" s="5"/>
    </row>
    <row r="1398">
      <c r="A1398" s="5"/>
      <c r="B1398" s="5" t="str">
        <f>IFERROR(__xludf.DUMMYFUNCTION("""COMPUTED_VALUE"""),"")</f>
        <v/>
      </c>
      <c r="C1398" s="5" t="str">
        <f>IFERROR(__xludf.DUMMYFUNCTION("""COMPUTED_VALUE"""),"")</f>
        <v/>
      </c>
      <c r="D1398" s="5" t="str">
        <f>IFERROR(__xludf.DUMMYFUNCTION("""COMPUTED_VALUE"""),"")</f>
        <v/>
      </c>
      <c r="E1398" s="5" t="str">
        <f>IFERROR(__xludf.DUMMYFUNCTION("""COMPUTED_VALUE"""),"")</f>
        <v/>
      </c>
      <c r="F1398" s="5" t="str">
        <f>IFERROR(__xludf.DUMMYFUNCTION("""COMPUTED_VALUE"""),"")</f>
        <v/>
      </c>
      <c r="G1398" s="5" t="str">
        <f>IFERROR(__xludf.DUMMYFUNCTION("""COMPUTED_VALUE"""),"")</f>
        <v/>
      </c>
      <c r="H1398" s="5" t="str">
        <f>IFERROR(__xludf.DUMMYFUNCTION("""COMPUTED_VALUE"""),"")</f>
        <v/>
      </c>
      <c r="I1398" s="5" t="str">
        <f>IFERROR(__xludf.DUMMYFUNCTION("""COMPUTED_VALUE"""),"")</f>
        <v/>
      </c>
      <c r="J1398" s="5" t="str">
        <f>IFERROR(__xludf.DUMMYFUNCTION("""COMPUTED_VALUE"""),"")</f>
        <v/>
      </c>
      <c r="K1398" s="5" t="str">
        <f>IFERROR(__xludf.DUMMYFUNCTION("""COMPUTED_VALUE"""),"")</f>
        <v/>
      </c>
      <c r="L1398" s="5" t="str">
        <f>IFERROR(__xludf.DUMMYFUNCTION("""COMPUTED_VALUE"""),"")</f>
        <v/>
      </c>
      <c r="M1398" s="5" t="str">
        <f>IFERROR(__xludf.DUMMYFUNCTION("""COMPUTED_VALUE"""),"")</f>
        <v/>
      </c>
      <c r="N1398" s="5" t="str">
        <f>IFERROR(__xludf.DUMMYFUNCTION("""COMPUTED_VALUE"""),"")</f>
        <v/>
      </c>
      <c r="O1398" s="5" t="str">
        <f>IFERROR(__xludf.DUMMYFUNCTION("""COMPUTED_VALUE"""),"")</f>
        <v/>
      </c>
      <c r="P1398" s="5" t="str">
        <f>IFERROR(__xludf.DUMMYFUNCTION("""COMPUTED_VALUE"""),"")</f>
        <v/>
      </c>
      <c r="Q1398" s="5" t="str">
        <f>IFERROR(__xludf.DUMMYFUNCTION("""COMPUTED_VALUE"""),"")</f>
        <v/>
      </c>
      <c r="R1398" s="5" t="str">
        <f>IFERROR(__xludf.DUMMYFUNCTION("""COMPUTED_VALUE"""),"")</f>
        <v/>
      </c>
      <c r="S1398" s="5" t="str">
        <f>IFERROR(__xludf.DUMMYFUNCTION("""COMPUTED_VALUE"""),"")</f>
        <v/>
      </c>
      <c r="T1398" s="5" t="str">
        <f>IFERROR(__xludf.DUMMYFUNCTION("""COMPUTED_VALUE"""),"")</f>
        <v/>
      </c>
      <c r="U1398" s="5" t="str">
        <f>IFERROR(__xludf.DUMMYFUNCTION("""COMPUTED_VALUE"""),"")</f>
        <v/>
      </c>
      <c r="V1398" s="5" t="str">
        <f>IFERROR(__xludf.DUMMYFUNCTION("""COMPUTED_VALUE"""),"")</f>
        <v/>
      </c>
      <c r="W1398" s="5" t="str">
        <f>IFERROR(__xludf.DUMMYFUNCTION("""COMPUTED_VALUE"""),"")</f>
        <v/>
      </c>
      <c r="X1398" s="5" t="str">
        <f>IFERROR(__xludf.DUMMYFUNCTION("""COMPUTED_VALUE"""),"")</f>
        <v/>
      </c>
      <c r="Y1398" s="5"/>
      <c r="Z1398" s="5"/>
    </row>
    <row r="1399">
      <c r="A1399" s="5"/>
      <c r="B1399" s="5" t="str">
        <f>IFERROR(__xludf.DUMMYFUNCTION("""COMPUTED_VALUE"""),"")</f>
        <v/>
      </c>
      <c r="C1399" s="5" t="str">
        <f>IFERROR(__xludf.DUMMYFUNCTION("""COMPUTED_VALUE"""),"")</f>
        <v/>
      </c>
      <c r="D1399" s="5" t="str">
        <f>IFERROR(__xludf.DUMMYFUNCTION("""COMPUTED_VALUE"""),"")</f>
        <v/>
      </c>
      <c r="E1399" s="5" t="str">
        <f>IFERROR(__xludf.DUMMYFUNCTION("""COMPUTED_VALUE"""),"")</f>
        <v/>
      </c>
      <c r="F1399" s="5" t="str">
        <f>IFERROR(__xludf.DUMMYFUNCTION("""COMPUTED_VALUE"""),"")</f>
        <v/>
      </c>
      <c r="G1399" s="5" t="str">
        <f>IFERROR(__xludf.DUMMYFUNCTION("""COMPUTED_VALUE"""),"")</f>
        <v/>
      </c>
      <c r="H1399" s="5" t="str">
        <f>IFERROR(__xludf.DUMMYFUNCTION("""COMPUTED_VALUE"""),"")</f>
        <v/>
      </c>
      <c r="I1399" s="5" t="str">
        <f>IFERROR(__xludf.DUMMYFUNCTION("""COMPUTED_VALUE"""),"")</f>
        <v/>
      </c>
      <c r="J1399" s="5" t="str">
        <f>IFERROR(__xludf.DUMMYFUNCTION("""COMPUTED_VALUE"""),"")</f>
        <v/>
      </c>
      <c r="K1399" s="5" t="str">
        <f>IFERROR(__xludf.DUMMYFUNCTION("""COMPUTED_VALUE"""),"")</f>
        <v/>
      </c>
      <c r="L1399" s="5" t="str">
        <f>IFERROR(__xludf.DUMMYFUNCTION("""COMPUTED_VALUE"""),"")</f>
        <v/>
      </c>
      <c r="M1399" s="5" t="str">
        <f>IFERROR(__xludf.DUMMYFUNCTION("""COMPUTED_VALUE"""),"")</f>
        <v/>
      </c>
      <c r="N1399" s="5" t="str">
        <f>IFERROR(__xludf.DUMMYFUNCTION("""COMPUTED_VALUE"""),"")</f>
        <v/>
      </c>
      <c r="O1399" s="5" t="str">
        <f>IFERROR(__xludf.DUMMYFUNCTION("""COMPUTED_VALUE"""),"")</f>
        <v/>
      </c>
      <c r="P1399" s="5" t="str">
        <f>IFERROR(__xludf.DUMMYFUNCTION("""COMPUTED_VALUE"""),"")</f>
        <v/>
      </c>
      <c r="Q1399" s="5" t="str">
        <f>IFERROR(__xludf.DUMMYFUNCTION("""COMPUTED_VALUE"""),"")</f>
        <v/>
      </c>
      <c r="R1399" s="5" t="str">
        <f>IFERROR(__xludf.DUMMYFUNCTION("""COMPUTED_VALUE"""),"")</f>
        <v/>
      </c>
      <c r="S1399" s="5" t="str">
        <f>IFERROR(__xludf.DUMMYFUNCTION("""COMPUTED_VALUE"""),"")</f>
        <v/>
      </c>
      <c r="T1399" s="5" t="str">
        <f>IFERROR(__xludf.DUMMYFUNCTION("""COMPUTED_VALUE"""),"")</f>
        <v/>
      </c>
      <c r="U1399" s="5" t="str">
        <f>IFERROR(__xludf.DUMMYFUNCTION("""COMPUTED_VALUE"""),"")</f>
        <v/>
      </c>
      <c r="V1399" s="5" t="str">
        <f>IFERROR(__xludf.DUMMYFUNCTION("""COMPUTED_VALUE"""),"")</f>
        <v/>
      </c>
      <c r="W1399" s="5" t="str">
        <f>IFERROR(__xludf.DUMMYFUNCTION("""COMPUTED_VALUE"""),"")</f>
        <v/>
      </c>
      <c r="X1399" s="5" t="str">
        <f>IFERROR(__xludf.DUMMYFUNCTION("""COMPUTED_VALUE"""),"")</f>
        <v/>
      </c>
      <c r="Y1399" s="5"/>
      <c r="Z1399" s="5"/>
    </row>
    <row r="1400">
      <c r="A1400" s="5"/>
      <c r="B1400" s="5" t="str">
        <f>IFERROR(__xludf.DUMMYFUNCTION("""COMPUTED_VALUE"""),"")</f>
        <v/>
      </c>
      <c r="C1400" s="5" t="str">
        <f>IFERROR(__xludf.DUMMYFUNCTION("""COMPUTED_VALUE"""),"")</f>
        <v/>
      </c>
      <c r="D1400" s="5" t="str">
        <f>IFERROR(__xludf.DUMMYFUNCTION("""COMPUTED_VALUE"""),"")</f>
        <v/>
      </c>
      <c r="E1400" s="5" t="str">
        <f>IFERROR(__xludf.DUMMYFUNCTION("""COMPUTED_VALUE"""),"")</f>
        <v/>
      </c>
      <c r="F1400" s="5" t="str">
        <f>IFERROR(__xludf.DUMMYFUNCTION("""COMPUTED_VALUE"""),"")</f>
        <v/>
      </c>
      <c r="G1400" s="5" t="str">
        <f>IFERROR(__xludf.DUMMYFUNCTION("""COMPUTED_VALUE"""),"")</f>
        <v/>
      </c>
      <c r="H1400" s="5" t="str">
        <f>IFERROR(__xludf.DUMMYFUNCTION("""COMPUTED_VALUE"""),"")</f>
        <v/>
      </c>
      <c r="I1400" s="5" t="str">
        <f>IFERROR(__xludf.DUMMYFUNCTION("""COMPUTED_VALUE"""),"")</f>
        <v/>
      </c>
      <c r="J1400" s="5" t="str">
        <f>IFERROR(__xludf.DUMMYFUNCTION("""COMPUTED_VALUE"""),"")</f>
        <v/>
      </c>
      <c r="K1400" s="5" t="str">
        <f>IFERROR(__xludf.DUMMYFUNCTION("""COMPUTED_VALUE"""),"")</f>
        <v/>
      </c>
      <c r="L1400" s="5" t="str">
        <f>IFERROR(__xludf.DUMMYFUNCTION("""COMPUTED_VALUE"""),"")</f>
        <v/>
      </c>
      <c r="M1400" s="5" t="str">
        <f>IFERROR(__xludf.DUMMYFUNCTION("""COMPUTED_VALUE"""),"")</f>
        <v/>
      </c>
      <c r="N1400" s="5" t="str">
        <f>IFERROR(__xludf.DUMMYFUNCTION("""COMPUTED_VALUE"""),"")</f>
        <v/>
      </c>
      <c r="O1400" s="5" t="str">
        <f>IFERROR(__xludf.DUMMYFUNCTION("""COMPUTED_VALUE"""),"")</f>
        <v/>
      </c>
      <c r="P1400" s="5" t="str">
        <f>IFERROR(__xludf.DUMMYFUNCTION("""COMPUTED_VALUE"""),"")</f>
        <v/>
      </c>
      <c r="Q1400" s="5" t="str">
        <f>IFERROR(__xludf.DUMMYFUNCTION("""COMPUTED_VALUE"""),"")</f>
        <v/>
      </c>
      <c r="R1400" s="5" t="str">
        <f>IFERROR(__xludf.DUMMYFUNCTION("""COMPUTED_VALUE"""),"")</f>
        <v/>
      </c>
      <c r="S1400" s="5" t="str">
        <f>IFERROR(__xludf.DUMMYFUNCTION("""COMPUTED_VALUE"""),"")</f>
        <v/>
      </c>
      <c r="T1400" s="5" t="str">
        <f>IFERROR(__xludf.DUMMYFUNCTION("""COMPUTED_VALUE"""),"")</f>
        <v/>
      </c>
      <c r="U1400" s="5" t="str">
        <f>IFERROR(__xludf.DUMMYFUNCTION("""COMPUTED_VALUE"""),"")</f>
        <v/>
      </c>
      <c r="V1400" s="5" t="str">
        <f>IFERROR(__xludf.DUMMYFUNCTION("""COMPUTED_VALUE"""),"")</f>
        <v/>
      </c>
      <c r="W1400" s="5" t="str">
        <f>IFERROR(__xludf.DUMMYFUNCTION("""COMPUTED_VALUE"""),"")</f>
        <v/>
      </c>
      <c r="X1400" s="5" t="str">
        <f>IFERROR(__xludf.DUMMYFUNCTION("""COMPUTED_VALUE"""),"")</f>
        <v/>
      </c>
      <c r="Y1400" s="5"/>
      <c r="Z1400" s="5"/>
    </row>
    <row r="1401">
      <c r="A1401" s="5"/>
      <c r="B1401" s="5" t="str">
        <f>IFERROR(__xludf.DUMMYFUNCTION("""COMPUTED_VALUE"""),"")</f>
        <v/>
      </c>
      <c r="C1401" s="5" t="str">
        <f>IFERROR(__xludf.DUMMYFUNCTION("""COMPUTED_VALUE"""),"")</f>
        <v/>
      </c>
      <c r="D1401" s="5" t="str">
        <f>IFERROR(__xludf.DUMMYFUNCTION("""COMPUTED_VALUE"""),"")</f>
        <v/>
      </c>
      <c r="E1401" s="5" t="str">
        <f>IFERROR(__xludf.DUMMYFUNCTION("""COMPUTED_VALUE"""),"")</f>
        <v/>
      </c>
      <c r="F1401" s="5" t="str">
        <f>IFERROR(__xludf.DUMMYFUNCTION("""COMPUTED_VALUE"""),"")</f>
        <v/>
      </c>
      <c r="G1401" s="5" t="str">
        <f>IFERROR(__xludf.DUMMYFUNCTION("""COMPUTED_VALUE"""),"")</f>
        <v/>
      </c>
      <c r="H1401" s="5" t="str">
        <f>IFERROR(__xludf.DUMMYFUNCTION("""COMPUTED_VALUE"""),"")</f>
        <v/>
      </c>
      <c r="I1401" s="5" t="str">
        <f>IFERROR(__xludf.DUMMYFUNCTION("""COMPUTED_VALUE"""),"")</f>
        <v/>
      </c>
      <c r="J1401" s="5" t="str">
        <f>IFERROR(__xludf.DUMMYFUNCTION("""COMPUTED_VALUE"""),"")</f>
        <v/>
      </c>
      <c r="K1401" s="5" t="str">
        <f>IFERROR(__xludf.DUMMYFUNCTION("""COMPUTED_VALUE"""),"")</f>
        <v/>
      </c>
      <c r="L1401" s="5" t="str">
        <f>IFERROR(__xludf.DUMMYFUNCTION("""COMPUTED_VALUE"""),"")</f>
        <v/>
      </c>
      <c r="M1401" s="5" t="str">
        <f>IFERROR(__xludf.DUMMYFUNCTION("""COMPUTED_VALUE"""),"")</f>
        <v/>
      </c>
      <c r="N1401" s="5" t="str">
        <f>IFERROR(__xludf.DUMMYFUNCTION("""COMPUTED_VALUE"""),"")</f>
        <v/>
      </c>
      <c r="O1401" s="5" t="str">
        <f>IFERROR(__xludf.DUMMYFUNCTION("""COMPUTED_VALUE"""),"")</f>
        <v/>
      </c>
      <c r="P1401" s="5" t="str">
        <f>IFERROR(__xludf.DUMMYFUNCTION("""COMPUTED_VALUE"""),"")</f>
        <v/>
      </c>
      <c r="Q1401" s="5" t="str">
        <f>IFERROR(__xludf.DUMMYFUNCTION("""COMPUTED_VALUE"""),"")</f>
        <v/>
      </c>
      <c r="R1401" s="5" t="str">
        <f>IFERROR(__xludf.DUMMYFUNCTION("""COMPUTED_VALUE"""),"")</f>
        <v/>
      </c>
      <c r="S1401" s="5" t="str">
        <f>IFERROR(__xludf.DUMMYFUNCTION("""COMPUTED_VALUE"""),"")</f>
        <v/>
      </c>
      <c r="T1401" s="5" t="str">
        <f>IFERROR(__xludf.DUMMYFUNCTION("""COMPUTED_VALUE"""),"")</f>
        <v/>
      </c>
      <c r="U1401" s="5" t="str">
        <f>IFERROR(__xludf.DUMMYFUNCTION("""COMPUTED_VALUE"""),"")</f>
        <v/>
      </c>
      <c r="V1401" s="5" t="str">
        <f>IFERROR(__xludf.DUMMYFUNCTION("""COMPUTED_VALUE"""),"")</f>
        <v/>
      </c>
      <c r="W1401" s="5" t="str">
        <f>IFERROR(__xludf.DUMMYFUNCTION("""COMPUTED_VALUE"""),"")</f>
        <v/>
      </c>
      <c r="X1401" s="5" t="str">
        <f>IFERROR(__xludf.DUMMYFUNCTION("""COMPUTED_VALUE"""),"")</f>
        <v/>
      </c>
      <c r="Y1401" s="5"/>
      <c r="Z1401" s="5"/>
    </row>
    <row r="1402">
      <c r="A1402" s="5"/>
      <c r="B1402" s="5" t="str">
        <f>IFERROR(__xludf.DUMMYFUNCTION("""COMPUTED_VALUE"""),"")</f>
        <v/>
      </c>
      <c r="C1402" s="5" t="str">
        <f>IFERROR(__xludf.DUMMYFUNCTION("""COMPUTED_VALUE"""),"")</f>
        <v/>
      </c>
      <c r="D1402" s="5" t="str">
        <f>IFERROR(__xludf.DUMMYFUNCTION("""COMPUTED_VALUE"""),"")</f>
        <v/>
      </c>
      <c r="E1402" s="5" t="str">
        <f>IFERROR(__xludf.DUMMYFUNCTION("""COMPUTED_VALUE"""),"")</f>
        <v/>
      </c>
      <c r="F1402" s="5" t="str">
        <f>IFERROR(__xludf.DUMMYFUNCTION("""COMPUTED_VALUE"""),"")</f>
        <v/>
      </c>
      <c r="G1402" s="5" t="str">
        <f>IFERROR(__xludf.DUMMYFUNCTION("""COMPUTED_VALUE"""),"")</f>
        <v/>
      </c>
      <c r="H1402" s="5" t="str">
        <f>IFERROR(__xludf.DUMMYFUNCTION("""COMPUTED_VALUE"""),"")</f>
        <v/>
      </c>
      <c r="I1402" s="5" t="str">
        <f>IFERROR(__xludf.DUMMYFUNCTION("""COMPUTED_VALUE"""),"")</f>
        <v/>
      </c>
      <c r="J1402" s="5" t="str">
        <f>IFERROR(__xludf.DUMMYFUNCTION("""COMPUTED_VALUE"""),"")</f>
        <v/>
      </c>
      <c r="K1402" s="5" t="str">
        <f>IFERROR(__xludf.DUMMYFUNCTION("""COMPUTED_VALUE"""),"")</f>
        <v/>
      </c>
      <c r="L1402" s="5" t="str">
        <f>IFERROR(__xludf.DUMMYFUNCTION("""COMPUTED_VALUE"""),"")</f>
        <v/>
      </c>
      <c r="M1402" s="5" t="str">
        <f>IFERROR(__xludf.DUMMYFUNCTION("""COMPUTED_VALUE"""),"")</f>
        <v/>
      </c>
      <c r="N1402" s="5" t="str">
        <f>IFERROR(__xludf.DUMMYFUNCTION("""COMPUTED_VALUE"""),"")</f>
        <v/>
      </c>
      <c r="O1402" s="5" t="str">
        <f>IFERROR(__xludf.DUMMYFUNCTION("""COMPUTED_VALUE"""),"")</f>
        <v/>
      </c>
      <c r="P1402" s="5" t="str">
        <f>IFERROR(__xludf.DUMMYFUNCTION("""COMPUTED_VALUE"""),"")</f>
        <v/>
      </c>
      <c r="Q1402" s="5" t="str">
        <f>IFERROR(__xludf.DUMMYFUNCTION("""COMPUTED_VALUE"""),"")</f>
        <v/>
      </c>
      <c r="R1402" s="5" t="str">
        <f>IFERROR(__xludf.DUMMYFUNCTION("""COMPUTED_VALUE"""),"")</f>
        <v/>
      </c>
      <c r="S1402" s="5" t="str">
        <f>IFERROR(__xludf.DUMMYFUNCTION("""COMPUTED_VALUE"""),"")</f>
        <v/>
      </c>
      <c r="T1402" s="5" t="str">
        <f>IFERROR(__xludf.DUMMYFUNCTION("""COMPUTED_VALUE"""),"")</f>
        <v/>
      </c>
      <c r="U1402" s="5" t="str">
        <f>IFERROR(__xludf.DUMMYFUNCTION("""COMPUTED_VALUE"""),"")</f>
        <v/>
      </c>
      <c r="V1402" s="5" t="str">
        <f>IFERROR(__xludf.DUMMYFUNCTION("""COMPUTED_VALUE"""),"")</f>
        <v/>
      </c>
      <c r="W1402" s="5" t="str">
        <f>IFERROR(__xludf.DUMMYFUNCTION("""COMPUTED_VALUE"""),"")</f>
        <v/>
      </c>
      <c r="X1402" s="5" t="str">
        <f>IFERROR(__xludf.DUMMYFUNCTION("""COMPUTED_VALUE"""),"")</f>
        <v/>
      </c>
      <c r="Y1402" s="5"/>
      <c r="Z1402" s="5"/>
    </row>
    <row r="1403">
      <c r="A1403" s="5"/>
      <c r="B1403" s="5" t="str">
        <f>IFERROR(__xludf.DUMMYFUNCTION("""COMPUTED_VALUE"""),"")</f>
        <v/>
      </c>
      <c r="C1403" s="5" t="str">
        <f>IFERROR(__xludf.DUMMYFUNCTION("""COMPUTED_VALUE"""),"")</f>
        <v/>
      </c>
      <c r="D1403" s="5" t="str">
        <f>IFERROR(__xludf.DUMMYFUNCTION("""COMPUTED_VALUE"""),"")</f>
        <v/>
      </c>
      <c r="E1403" s="5" t="str">
        <f>IFERROR(__xludf.DUMMYFUNCTION("""COMPUTED_VALUE"""),"")</f>
        <v/>
      </c>
      <c r="F1403" s="5" t="str">
        <f>IFERROR(__xludf.DUMMYFUNCTION("""COMPUTED_VALUE"""),"")</f>
        <v/>
      </c>
      <c r="G1403" s="5" t="str">
        <f>IFERROR(__xludf.DUMMYFUNCTION("""COMPUTED_VALUE"""),"")</f>
        <v/>
      </c>
      <c r="H1403" s="5" t="str">
        <f>IFERROR(__xludf.DUMMYFUNCTION("""COMPUTED_VALUE"""),"")</f>
        <v/>
      </c>
      <c r="I1403" s="5" t="str">
        <f>IFERROR(__xludf.DUMMYFUNCTION("""COMPUTED_VALUE"""),"")</f>
        <v/>
      </c>
      <c r="J1403" s="5" t="str">
        <f>IFERROR(__xludf.DUMMYFUNCTION("""COMPUTED_VALUE"""),"")</f>
        <v/>
      </c>
      <c r="K1403" s="5" t="str">
        <f>IFERROR(__xludf.DUMMYFUNCTION("""COMPUTED_VALUE"""),"")</f>
        <v/>
      </c>
      <c r="L1403" s="5" t="str">
        <f>IFERROR(__xludf.DUMMYFUNCTION("""COMPUTED_VALUE"""),"")</f>
        <v/>
      </c>
      <c r="M1403" s="5" t="str">
        <f>IFERROR(__xludf.DUMMYFUNCTION("""COMPUTED_VALUE"""),"")</f>
        <v/>
      </c>
      <c r="N1403" s="5" t="str">
        <f>IFERROR(__xludf.DUMMYFUNCTION("""COMPUTED_VALUE"""),"")</f>
        <v/>
      </c>
      <c r="O1403" s="5" t="str">
        <f>IFERROR(__xludf.DUMMYFUNCTION("""COMPUTED_VALUE"""),"")</f>
        <v/>
      </c>
      <c r="P1403" s="5" t="str">
        <f>IFERROR(__xludf.DUMMYFUNCTION("""COMPUTED_VALUE"""),"")</f>
        <v/>
      </c>
      <c r="Q1403" s="5" t="str">
        <f>IFERROR(__xludf.DUMMYFUNCTION("""COMPUTED_VALUE"""),"")</f>
        <v/>
      </c>
      <c r="R1403" s="5" t="str">
        <f>IFERROR(__xludf.DUMMYFUNCTION("""COMPUTED_VALUE"""),"")</f>
        <v/>
      </c>
      <c r="S1403" s="5" t="str">
        <f>IFERROR(__xludf.DUMMYFUNCTION("""COMPUTED_VALUE"""),"")</f>
        <v/>
      </c>
      <c r="T1403" s="5" t="str">
        <f>IFERROR(__xludf.DUMMYFUNCTION("""COMPUTED_VALUE"""),"")</f>
        <v/>
      </c>
      <c r="U1403" s="5" t="str">
        <f>IFERROR(__xludf.DUMMYFUNCTION("""COMPUTED_VALUE"""),"")</f>
        <v/>
      </c>
      <c r="V1403" s="5" t="str">
        <f>IFERROR(__xludf.DUMMYFUNCTION("""COMPUTED_VALUE"""),"")</f>
        <v/>
      </c>
      <c r="W1403" s="5" t="str">
        <f>IFERROR(__xludf.DUMMYFUNCTION("""COMPUTED_VALUE"""),"")</f>
        <v/>
      </c>
      <c r="X1403" s="5" t="str">
        <f>IFERROR(__xludf.DUMMYFUNCTION("""COMPUTED_VALUE"""),"")</f>
        <v/>
      </c>
      <c r="Y1403" s="5"/>
      <c r="Z1403" s="5"/>
    </row>
    <row r="1404">
      <c r="A1404" s="5"/>
      <c r="B1404" s="5" t="str">
        <f>IFERROR(__xludf.DUMMYFUNCTION("""COMPUTED_VALUE"""),"")</f>
        <v/>
      </c>
      <c r="C1404" s="5" t="str">
        <f>IFERROR(__xludf.DUMMYFUNCTION("""COMPUTED_VALUE"""),"")</f>
        <v/>
      </c>
      <c r="D1404" s="5" t="str">
        <f>IFERROR(__xludf.DUMMYFUNCTION("""COMPUTED_VALUE"""),"")</f>
        <v/>
      </c>
      <c r="E1404" s="5" t="str">
        <f>IFERROR(__xludf.DUMMYFUNCTION("""COMPUTED_VALUE"""),"")</f>
        <v/>
      </c>
      <c r="F1404" s="5" t="str">
        <f>IFERROR(__xludf.DUMMYFUNCTION("""COMPUTED_VALUE"""),"")</f>
        <v/>
      </c>
      <c r="G1404" s="5" t="str">
        <f>IFERROR(__xludf.DUMMYFUNCTION("""COMPUTED_VALUE"""),"")</f>
        <v/>
      </c>
      <c r="H1404" s="5" t="str">
        <f>IFERROR(__xludf.DUMMYFUNCTION("""COMPUTED_VALUE"""),"")</f>
        <v/>
      </c>
      <c r="I1404" s="5" t="str">
        <f>IFERROR(__xludf.DUMMYFUNCTION("""COMPUTED_VALUE"""),"")</f>
        <v/>
      </c>
      <c r="J1404" s="5" t="str">
        <f>IFERROR(__xludf.DUMMYFUNCTION("""COMPUTED_VALUE"""),"")</f>
        <v/>
      </c>
      <c r="K1404" s="5" t="str">
        <f>IFERROR(__xludf.DUMMYFUNCTION("""COMPUTED_VALUE"""),"")</f>
        <v/>
      </c>
      <c r="L1404" s="5" t="str">
        <f>IFERROR(__xludf.DUMMYFUNCTION("""COMPUTED_VALUE"""),"")</f>
        <v/>
      </c>
      <c r="M1404" s="5" t="str">
        <f>IFERROR(__xludf.DUMMYFUNCTION("""COMPUTED_VALUE"""),"")</f>
        <v/>
      </c>
      <c r="N1404" s="5" t="str">
        <f>IFERROR(__xludf.DUMMYFUNCTION("""COMPUTED_VALUE"""),"")</f>
        <v/>
      </c>
      <c r="O1404" s="5" t="str">
        <f>IFERROR(__xludf.DUMMYFUNCTION("""COMPUTED_VALUE"""),"")</f>
        <v/>
      </c>
      <c r="P1404" s="5" t="str">
        <f>IFERROR(__xludf.DUMMYFUNCTION("""COMPUTED_VALUE"""),"")</f>
        <v/>
      </c>
      <c r="Q1404" s="5" t="str">
        <f>IFERROR(__xludf.DUMMYFUNCTION("""COMPUTED_VALUE"""),"")</f>
        <v/>
      </c>
      <c r="R1404" s="5" t="str">
        <f>IFERROR(__xludf.DUMMYFUNCTION("""COMPUTED_VALUE"""),"")</f>
        <v/>
      </c>
      <c r="S1404" s="5" t="str">
        <f>IFERROR(__xludf.DUMMYFUNCTION("""COMPUTED_VALUE"""),"")</f>
        <v/>
      </c>
      <c r="T1404" s="5" t="str">
        <f>IFERROR(__xludf.DUMMYFUNCTION("""COMPUTED_VALUE"""),"")</f>
        <v/>
      </c>
      <c r="U1404" s="5" t="str">
        <f>IFERROR(__xludf.DUMMYFUNCTION("""COMPUTED_VALUE"""),"")</f>
        <v/>
      </c>
      <c r="V1404" s="5" t="str">
        <f>IFERROR(__xludf.DUMMYFUNCTION("""COMPUTED_VALUE"""),"")</f>
        <v/>
      </c>
      <c r="W1404" s="5" t="str">
        <f>IFERROR(__xludf.DUMMYFUNCTION("""COMPUTED_VALUE"""),"")</f>
        <v/>
      </c>
      <c r="X1404" s="5" t="str">
        <f>IFERROR(__xludf.DUMMYFUNCTION("""COMPUTED_VALUE"""),"")</f>
        <v/>
      </c>
      <c r="Y1404" s="5"/>
      <c r="Z1404" s="5"/>
    </row>
    <row r="1405">
      <c r="A1405" s="5"/>
      <c r="B1405" s="5" t="str">
        <f>IFERROR(__xludf.DUMMYFUNCTION("""COMPUTED_VALUE"""),"")</f>
        <v/>
      </c>
      <c r="C1405" s="5" t="str">
        <f>IFERROR(__xludf.DUMMYFUNCTION("""COMPUTED_VALUE"""),"")</f>
        <v/>
      </c>
      <c r="D1405" s="5" t="str">
        <f>IFERROR(__xludf.DUMMYFUNCTION("""COMPUTED_VALUE"""),"")</f>
        <v/>
      </c>
      <c r="E1405" s="5" t="str">
        <f>IFERROR(__xludf.DUMMYFUNCTION("""COMPUTED_VALUE"""),"")</f>
        <v/>
      </c>
      <c r="F1405" s="5" t="str">
        <f>IFERROR(__xludf.DUMMYFUNCTION("""COMPUTED_VALUE"""),"")</f>
        <v/>
      </c>
      <c r="G1405" s="5" t="str">
        <f>IFERROR(__xludf.DUMMYFUNCTION("""COMPUTED_VALUE"""),"")</f>
        <v/>
      </c>
      <c r="H1405" s="5" t="str">
        <f>IFERROR(__xludf.DUMMYFUNCTION("""COMPUTED_VALUE"""),"")</f>
        <v/>
      </c>
      <c r="I1405" s="5" t="str">
        <f>IFERROR(__xludf.DUMMYFUNCTION("""COMPUTED_VALUE"""),"")</f>
        <v/>
      </c>
      <c r="J1405" s="5" t="str">
        <f>IFERROR(__xludf.DUMMYFUNCTION("""COMPUTED_VALUE"""),"")</f>
        <v/>
      </c>
      <c r="K1405" s="5" t="str">
        <f>IFERROR(__xludf.DUMMYFUNCTION("""COMPUTED_VALUE"""),"")</f>
        <v/>
      </c>
      <c r="L1405" s="5" t="str">
        <f>IFERROR(__xludf.DUMMYFUNCTION("""COMPUTED_VALUE"""),"")</f>
        <v/>
      </c>
      <c r="M1405" s="5" t="str">
        <f>IFERROR(__xludf.DUMMYFUNCTION("""COMPUTED_VALUE"""),"")</f>
        <v/>
      </c>
      <c r="N1405" s="5" t="str">
        <f>IFERROR(__xludf.DUMMYFUNCTION("""COMPUTED_VALUE"""),"")</f>
        <v/>
      </c>
      <c r="O1405" s="5" t="str">
        <f>IFERROR(__xludf.DUMMYFUNCTION("""COMPUTED_VALUE"""),"")</f>
        <v/>
      </c>
      <c r="P1405" s="5" t="str">
        <f>IFERROR(__xludf.DUMMYFUNCTION("""COMPUTED_VALUE"""),"")</f>
        <v/>
      </c>
      <c r="Q1405" s="5" t="str">
        <f>IFERROR(__xludf.DUMMYFUNCTION("""COMPUTED_VALUE"""),"")</f>
        <v/>
      </c>
      <c r="R1405" s="5" t="str">
        <f>IFERROR(__xludf.DUMMYFUNCTION("""COMPUTED_VALUE"""),"")</f>
        <v/>
      </c>
      <c r="S1405" s="5" t="str">
        <f>IFERROR(__xludf.DUMMYFUNCTION("""COMPUTED_VALUE"""),"")</f>
        <v/>
      </c>
      <c r="T1405" s="5" t="str">
        <f>IFERROR(__xludf.DUMMYFUNCTION("""COMPUTED_VALUE"""),"")</f>
        <v/>
      </c>
      <c r="U1405" s="5" t="str">
        <f>IFERROR(__xludf.DUMMYFUNCTION("""COMPUTED_VALUE"""),"")</f>
        <v/>
      </c>
      <c r="V1405" s="5" t="str">
        <f>IFERROR(__xludf.DUMMYFUNCTION("""COMPUTED_VALUE"""),"")</f>
        <v/>
      </c>
      <c r="W1405" s="5" t="str">
        <f>IFERROR(__xludf.DUMMYFUNCTION("""COMPUTED_VALUE"""),"")</f>
        <v/>
      </c>
      <c r="X1405" s="5" t="str">
        <f>IFERROR(__xludf.DUMMYFUNCTION("""COMPUTED_VALUE"""),"")</f>
        <v/>
      </c>
      <c r="Y1405" s="5"/>
      <c r="Z1405" s="5"/>
    </row>
    <row r="1406">
      <c r="A1406" s="5"/>
      <c r="B1406" s="5" t="str">
        <f>IFERROR(__xludf.DUMMYFUNCTION("""COMPUTED_VALUE"""),"")</f>
        <v/>
      </c>
      <c r="C1406" s="5" t="str">
        <f>IFERROR(__xludf.DUMMYFUNCTION("""COMPUTED_VALUE"""),"")</f>
        <v/>
      </c>
      <c r="D1406" s="5" t="str">
        <f>IFERROR(__xludf.DUMMYFUNCTION("""COMPUTED_VALUE"""),"")</f>
        <v/>
      </c>
      <c r="E1406" s="5" t="str">
        <f>IFERROR(__xludf.DUMMYFUNCTION("""COMPUTED_VALUE"""),"")</f>
        <v/>
      </c>
      <c r="F1406" s="5" t="str">
        <f>IFERROR(__xludf.DUMMYFUNCTION("""COMPUTED_VALUE"""),"")</f>
        <v/>
      </c>
      <c r="G1406" s="5" t="str">
        <f>IFERROR(__xludf.DUMMYFUNCTION("""COMPUTED_VALUE"""),"")</f>
        <v/>
      </c>
      <c r="H1406" s="5" t="str">
        <f>IFERROR(__xludf.DUMMYFUNCTION("""COMPUTED_VALUE"""),"")</f>
        <v/>
      </c>
      <c r="I1406" s="5" t="str">
        <f>IFERROR(__xludf.DUMMYFUNCTION("""COMPUTED_VALUE"""),"")</f>
        <v/>
      </c>
      <c r="J1406" s="5" t="str">
        <f>IFERROR(__xludf.DUMMYFUNCTION("""COMPUTED_VALUE"""),"")</f>
        <v/>
      </c>
      <c r="K1406" s="5" t="str">
        <f>IFERROR(__xludf.DUMMYFUNCTION("""COMPUTED_VALUE"""),"")</f>
        <v/>
      </c>
      <c r="L1406" s="5" t="str">
        <f>IFERROR(__xludf.DUMMYFUNCTION("""COMPUTED_VALUE"""),"")</f>
        <v/>
      </c>
      <c r="M1406" s="5" t="str">
        <f>IFERROR(__xludf.DUMMYFUNCTION("""COMPUTED_VALUE"""),"")</f>
        <v/>
      </c>
      <c r="N1406" s="5" t="str">
        <f>IFERROR(__xludf.DUMMYFUNCTION("""COMPUTED_VALUE"""),"")</f>
        <v/>
      </c>
      <c r="O1406" s="5" t="str">
        <f>IFERROR(__xludf.DUMMYFUNCTION("""COMPUTED_VALUE"""),"")</f>
        <v/>
      </c>
      <c r="P1406" s="5" t="str">
        <f>IFERROR(__xludf.DUMMYFUNCTION("""COMPUTED_VALUE"""),"")</f>
        <v/>
      </c>
      <c r="Q1406" s="5" t="str">
        <f>IFERROR(__xludf.DUMMYFUNCTION("""COMPUTED_VALUE"""),"")</f>
        <v/>
      </c>
      <c r="R1406" s="5" t="str">
        <f>IFERROR(__xludf.DUMMYFUNCTION("""COMPUTED_VALUE"""),"")</f>
        <v/>
      </c>
      <c r="S1406" s="5" t="str">
        <f>IFERROR(__xludf.DUMMYFUNCTION("""COMPUTED_VALUE"""),"")</f>
        <v/>
      </c>
      <c r="T1406" s="5" t="str">
        <f>IFERROR(__xludf.DUMMYFUNCTION("""COMPUTED_VALUE"""),"")</f>
        <v/>
      </c>
      <c r="U1406" s="5" t="str">
        <f>IFERROR(__xludf.DUMMYFUNCTION("""COMPUTED_VALUE"""),"")</f>
        <v/>
      </c>
      <c r="V1406" s="5" t="str">
        <f>IFERROR(__xludf.DUMMYFUNCTION("""COMPUTED_VALUE"""),"")</f>
        <v/>
      </c>
      <c r="W1406" s="5" t="str">
        <f>IFERROR(__xludf.DUMMYFUNCTION("""COMPUTED_VALUE"""),"")</f>
        <v/>
      </c>
      <c r="X1406" s="5" t="str">
        <f>IFERROR(__xludf.DUMMYFUNCTION("""COMPUTED_VALUE"""),"")</f>
        <v/>
      </c>
      <c r="Y1406" s="5"/>
      <c r="Z1406" s="5"/>
    </row>
    <row r="1407">
      <c r="A1407" s="5"/>
      <c r="B1407" s="5" t="str">
        <f>IFERROR(__xludf.DUMMYFUNCTION("""COMPUTED_VALUE"""),"")</f>
        <v/>
      </c>
      <c r="C1407" s="5" t="str">
        <f>IFERROR(__xludf.DUMMYFUNCTION("""COMPUTED_VALUE"""),"")</f>
        <v/>
      </c>
      <c r="D1407" s="5" t="str">
        <f>IFERROR(__xludf.DUMMYFUNCTION("""COMPUTED_VALUE"""),"")</f>
        <v/>
      </c>
      <c r="E1407" s="5" t="str">
        <f>IFERROR(__xludf.DUMMYFUNCTION("""COMPUTED_VALUE"""),"")</f>
        <v/>
      </c>
      <c r="F1407" s="5" t="str">
        <f>IFERROR(__xludf.DUMMYFUNCTION("""COMPUTED_VALUE"""),"")</f>
        <v/>
      </c>
      <c r="G1407" s="5" t="str">
        <f>IFERROR(__xludf.DUMMYFUNCTION("""COMPUTED_VALUE"""),"")</f>
        <v/>
      </c>
      <c r="H1407" s="5" t="str">
        <f>IFERROR(__xludf.DUMMYFUNCTION("""COMPUTED_VALUE"""),"")</f>
        <v/>
      </c>
      <c r="I1407" s="5" t="str">
        <f>IFERROR(__xludf.DUMMYFUNCTION("""COMPUTED_VALUE"""),"")</f>
        <v/>
      </c>
      <c r="J1407" s="5" t="str">
        <f>IFERROR(__xludf.DUMMYFUNCTION("""COMPUTED_VALUE"""),"")</f>
        <v/>
      </c>
      <c r="K1407" s="5" t="str">
        <f>IFERROR(__xludf.DUMMYFUNCTION("""COMPUTED_VALUE"""),"")</f>
        <v/>
      </c>
      <c r="L1407" s="5" t="str">
        <f>IFERROR(__xludf.DUMMYFUNCTION("""COMPUTED_VALUE"""),"")</f>
        <v/>
      </c>
      <c r="M1407" s="5" t="str">
        <f>IFERROR(__xludf.DUMMYFUNCTION("""COMPUTED_VALUE"""),"")</f>
        <v/>
      </c>
      <c r="N1407" s="5" t="str">
        <f>IFERROR(__xludf.DUMMYFUNCTION("""COMPUTED_VALUE"""),"")</f>
        <v/>
      </c>
      <c r="O1407" s="5" t="str">
        <f>IFERROR(__xludf.DUMMYFUNCTION("""COMPUTED_VALUE"""),"")</f>
        <v/>
      </c>
      <c r="P1407" s="5" t="str">
        <f>IFERROR(__xludf.DUMMYFUNCTION("""COMPUTED_VALUE"""),"")</f>
        <v/>
      </c>
      <c r="Q1407" s="5" t="str">
        <f>IFERROR(__xludf.DUMMYFUNCTION("""COMPUTED_VALUE"""),"")</f>
        <v/>
      </c>
      <c r="R1407" s="5" t="str">
        <f>IFERROR(__xludf.DUMMYFUNCTION("""COMPUTED_VALUE"""),"")</f>
        <v/>
      </c>
      <c r="S1407" s="5" t="str">
        <f>IFERROR(__xludf.DUMMYFUNCTION("""COMPUTED_VALUE"""),"")</f>
        <v/>
      </c>
      <c r="T1407" s="5" t="str">
        <f>IFERROR(__xludf.DUMMYFUNCTION("""COMPUTED_VALUE"""),"")</f>
        <v/>
      </c>
      <c r="U1407" s="5" t="str">
        <f>IFERROR(__xludf.DUMMYFUNCTION("""COMPUTED_VALUE"""),"")</f>
        <v/>
      </c>
      <c r="V1407" s="5" t="str">
        <f>IFERROR(__xludf.DUMMYFUNCTION("""COMPUTED_VALUE"""),"")</f>
        <v/>
      </c>
      <c r="W1407" s="5" t="str">
        <f>IFERROR(__xludf.DUMMYFUNCTION("""COMPUTED_VALUE"""),"")</f>
        <v/>
      </c>
      <c r="X1407" s="5" t="str">
        <f>IFERROR(__xludf.DUMMYFUNCTION("""COMPUTED_VALUE"""),"")</f>
        <v/>
      </c>
      <c r="Y1407" s="5"/>
      <c r="Z1407" s="5"/>
    </row>
    <row r="1408">
      <c r="A1408" s="5"/>
      <c r="B1408" s="5" t="str">
        <f>IFERROR(__xludf.DUMMYFUNCTION("""COMPUTED_VALUE"""),"")</f>
        <v/>
      </c>
      <c r="C1408" s="5" t="str">
        <f>IFERROR(__xludf.DUMMYFUNCTION("""COMPUTED_VALUE"""),"")</f>
        <v/>
      </c>
      <c r="D1408" s="5" t="str">
        <f>IFERROR(__xludf.DUMMYFUNCTION("""COMPUTED_VALUE"""),"")</f>
        <v/>
      </c>
      <c r="E1408" s="5" t="str">
        <f>IFERROR(__xludf.DUMMYFUNCTION("""COMPUTED_VALUE"""),"")</f>
        <v/>
      </c>
      <c r="F1408" s="5" t="str">
        <f>IFERROR(__xludf.DUMMYFUNCTION("""COMPUTED_VALUE"""),"")</f>
        <v/>
      </c>
      <c r="G1408" s="5" t="str">
        <f>IFERROR(__xludf.DUMMYFUNCTION("""COMPUTED_VALUE"""),"")</f>
        <v/>
      </c>
      <c r="H1408" s="5" t="str">
        <f>IFERROR(__xludf.DUMMYFUNCTION("""COMPUTED_VALUE"""),"")</f>
        <v/>
      </c>
      <c r="I1408" s="5" t="str">
        <f>IFERROR(__xludf.DUMMYFUNCTION("""COMPUTED_VALUE"""),"")</f>
        <v/>
      </c>
      <c r="J1408" s="5" t="str">
        <f>IFERROR(__xludf.DUMMYFUNCTION("""COMPUTED_VALUE"""),"")</f>
        <v/>
      </c>
      <c r="K1408" s="5" t="str">
        <f>IFERROR(__xludf.DUMMYFUNCTION("""COMPUTED_VALUE"""),"")</f>
        <v/>
      </c>
      <c r="L1408" s="5" t="str">
        <f>IFERROR(__xludf.DUMMYFUNCTION("""COMPUTED_VALUE"""),"")</f>
        <v/>
      </c>
      <c r="M1408" s="5" t="str">
        <f>IFERROR(__xludf.DUMMYFUNCTION("""COMPUTED_VALUE"""),"")</f>
        <v/>
      </c>
      <c r="N1408" s="5" t="str">
        <f>IFERROR(__xludf.DUMMYFUNCTION("""COMPUTED_VALUE"""),"")</f>
        <v/>
      </c>
      <c r="O1408" s="5" t="str">
        <f>IFERROR(__xludf.DUMMYFUNCTION("""COMPUTED_VALUE"""),"")</f>
        <v/>
      </c>
      <c r="P1408" s="5" t="str">
        <f>IFERROR(__xludf.DUMMYFUNCTION("""COMPUTED_VALUE"""),"")</f>
        <v/>
      </c>
      <c r="Q1408" s="5" t="str">
        <f>IFERROR(__xludf.DUMMYFUNCTION("""COMPUTED_VALUE"""),"")</f>
        <v/>
      </c>
      <c r="R1408" s="5" t="str">
        <f>IFERROR(__xludf.DUMMYFUNCTION("""COMPUTED_VALUE"""),"")</f>
        <v/>
      </c>
      <c r="S1408" s="5" t="str">
        <f>IFERROR(__xludf.DUMMYFUNCTION("""COMPUTED_VALUE"""),"")</f>
        <v/>
      </c>
      <c r="T1408" s="5" t="str">
        <f>IFERROR(__xludf.DUMMYFUNCTION("""COMPUTED_VALUE"""),"")</f>
        <v/>
      </c>
      <c r="U1408" s="5" t="str">
        <f>IFERROR(__xludf.DUMMYFUNCTION("""COMPUTED_VALUE"""),"")</f>
        <v/>
      </c>
      <c r="V1408" s="5" t="str">
        <f>IFERROR(__xludf.DUMMYFUNCTION("""COMPUTED_VALUE"""),"")</f>
        <v/>
      </c>
      <c r="W1408" s="5" t="str">
        <f>IFERROR(__xludf.DUMMYFUNCTION("""COMPUTED_VALUE"""),"")</f>
        <v/>
      </c>
      <c r="X1408" s="5" t="str">
        <f>IFERROR(__xludf.DUMMYFUNCTION("""COMPUTED_VALUE"""),"")</f>
        <v/>
      </c>
      <c r="Y1408" s="5"/>
      <c r="Z1408" s="5"/>
    </row>
    <row r="1409">
      <c r="A1409" s="5"/>
      <c r="B1409" s="5" t="str">
        <f>IFERROR(__xludf.DUMMYFUNCTION("""COMPUTED_VALUE"""),"")</f>
        <v/>
      </c>
      <c r="C1409" s="5" t="str">
        <f>IFERROR(__xludf.DUMMYFUNCTION("""COMPUTED_VALUE"""),"")</f>
        <v/>
      </c>
      <c r="D1409" s="5" t="str">
        <f>IFERROR(__xludf.DUMMYFUNCTION("""COMPUTED_VALUE"""),"")</f>
        <v/>
      </c>
      <c r="E1409" s="5" t="str">
        <f>IFERROR(__xludf.DUMMYFUNCTION("""COMPUTED_VALUE"""),"")</f>
        <v/>
      </c>
      <c r="F1409" s="5" t="str">
        <f>IFERROR(__xludf.DUMMYFUNCTION("""COMPUTED_VALUE"""),"")</f>
        <v/>
      </c>
      <c r="G1409" s="5" t="str">
        <f>IFERROR(__xludf.DUMMYFUNCTION("""COMPUTED_VALUE"""),"")</f>
        <v/>
      </c>
      <c r="H1409" s="5" t="str">
        <f>IFERROR(__xludf.DUMMYFUNCTION("""COMPUTED_VALUE"""),"")</f>
        <v/>
      </c>
      <c r="I1409" s="5" t="str">
        <f>IFERROR(__xludf.DUMMYFUNCTION("""COMPUTED_VALUE"""),"")</f>
        <v/>
      </c>
      <c r="J1409" s="5" t="str">
        <f>IFERROR(__xludf.DUMMYFUNCTION("""COMPUTED_VALUE"""),"")</f>
        <v/>
      </c>
      <c r="K1409" s="5" t="str">
        <f>IFERROR(__xludf.DUMMYFUNCTION("""COMPUTED_VALUE"""),"")</f>
        <v/>
      </c>
      <c r="L1409" s="5" t="str">
        <f>IFERROR(__xludf.DUMMYFUNCTION("""COMPUTED_VALUE"""),"")</f>
        <v/>
      </c>
      <c r="M1409" s="5" t="str">
        <f>IFERROR(__xludf.DUMMYFUNCTION("""COMPUTED_VALUE"""),"")</f>
        <v/>
      </c>
      <c r="N1409" s="5" t="str">
        <f>IFERROR(__xludf.DUMMYFUNCTION("""COMPUTED_VALUE"""),"")</f>
        <v/>
      </c>
      <c r="O1409" s="5" t="str">
        <f>IFERROR(__xludf.DUMMYFUNCTION("""COMPUTED_VALUE"""),"")</f>
        <v/>
      </c>
      <c r="P1409" s="5" t="str">
        <f>IFERROR(__xludf.DUMMYFUNCTION("""COMPUTED_VALUE"""),"")</f>
        <v/>
      </c>
      <c r="Q1409" s="5" t="str">
        <f>IFERROR(__xludf.DUMMYFUNCTION("""COMPUTED_VALUE"""),"")</f>
        <v/>
      </c>
      <c r="R1409" s="5" t="str">
        <f>IFERROR(__xludf.DUMMYFUNCTION("""COMPUTED_VALUE"""),"")</f>
        <v/>
      </c>
      <c r="S1409" s="5" t="str">
        <f>IFERROR(__xludf.DUMMYFUNCTION("""COMPUTED_VALUE"""),"")</f>
        <v/>
      </c>
      <c r="T1409" s="5" t="str">
        <f>IFERROR(__xludf.DUMMYFUNCTION("""COMPUTED_VALUE"""),"")</f>
        <v/>
      </c>
      <c r="U1409" s="5" t="str">
        <f>IFERROR(__xludf.DUMMYFUNCTION("""COMPUTED_VALUE"""),"")</f>
        <v/>
      </c>
      <c r="V1409" s="5" t="str">
        <f>IFERROR(__xludf.DUMMYFUNCTION("""COMPUTED_VALUE"""),"")</f>
        <v/>
      </c>
      <c r="W1409" s="5" t="str">
        <f>IFERROR(__xludf.DUMMYFUNCTION("""COMPUTED_VALUE"""),"")</f>
        <v/>
      </c>
      <c r="X1409" s="5" t="str">
        <f>IFERROR(__xludf.DUMMYFUNCTION("""COMPUTED_VALUE"""),"")</f>
        <v/>
      </c>
      <c r="Y1409" s="5"/>
      <c r="Z1409" s="5"/>
    </row>
    <row r="1410">
      <c r="A1410" s="5"/>
      <c r="B1410" s="5" t="str">
        <f>IFERROR(__xludf.DUMMYFUNCTION("""COMPUTED_VALUE"""),"")</f>
        <v/>
      </c>
      <c r="C1410" s="5" t="str">
        <f>IFERROR(__xludf.DUMMYFUNCTION("""COMPUTED_VALUE"""),"")</f>
        <v/>
      </c>
      <c r="D1410" s="5" t="str">
        <f>IFERROR(__xludf.DUMMYFUNCTION("""COMPUTED_VALUE"""),"")</f>
        <v/>
      </c>
      <c r="E1410" s="5" t="str">
        <f>IFERROR(__xludf.DUMMYFUNCTION("""COMPUTED_VALUE"""),"")</f>
        <v/>
      </c>
      <c r="F1410" s="5" t="str">
        <f>IFERROR(__xludf.DUMMYFUNCTION("""COMPUTED_VALUE"""),"")</f>
        <v/>
      </c>
      <c r="G1410" s="5" t="str">
        <f>IFERROR(__xludf.DUMMYFUNCTION("""COMPUTED_VALUE"""),"")</f>
        <v/>
      </c>
      <c r="H1410" s="5" t="str">
        <f>IFERROR(__xludf.DUMMYFUNCTION("""COMPUTED_VALUE"""),"")</f>
        <v/>
      </c>
      <c r="I1410" s="5" t="str">
        <f>IFERROR(__xludf.DUMMYFUNCTION("""COMPUTED_VALUE"""),"")</f>
        <v/>
      </c>
      <c r="J1410" s="5" t="str">
        <f>IFERROR(__xludf.DUMMYFUNCTION("""COMPUTED_VALUE"""),"")</f>
        <v/>
      </c>
      <c r="K1410" s="5" t="str">
        <f>IFERROR(__xludf.DUMMYFUNCTION("""COMPUTED_VALUE"""),"")</f>
        <v/>
      </c>
      <c r="L1410" s="5" t="str">
        <f>IFERROR(__xludf.DUMMYFUNCTION("""COMPUTED_VALUE"""),"")</f>
        <v/>
      </c>
      <c r="M1410" s="5" t="str">
        <f>IFERROR(__xludf.DUMMYFUNCTION("""COMPUTED_VALUE"""),"")</f>
        <v/>
      </c>
      <c r="N1410" s="5" t="str">
        <f>IFERROR(__xludf.DUMMYFUNCTION("""COMPUTED_VALUE"""),"")</f>
        <v/>
      </c>
      <c r="O1410" s="5" t="str">
        <f>IFERROR(__xludf.DUMMYFUNCTION("""COMPUTED_VALUE"""),"")</f>
        <v/>
      </c>
      <c r="P1410" s="5" t="str">
        <f>IFERROR(__xludf.DUMMYFUNCTION("""COMPUTED_VALUE"""),"")</f>
        <v/>
      </c>
      <c r="Q1410" s="5" t="str">
        <f>IFERROR(__xludf.DUMMYFUNCTION("""COMPUTED_VALUE"""),"")</f>
        <v/>
      </c>
      <c r="R1410" s="5" t="str">
        <f>IFERROR(__xludf.DUMMYFUNCTION("""COMPUTED_VALUE"""),"")</f>
        <v/>
      </c>
      <c r="S1410" s="5" t="str">
        <f>IFERROR(__xludf.DUMMYFUNCTION("""COMPUTED_VALUE"""),"")</f>
        <v/>
      </c>
      <c r="T1410" s="5" t="str">
        <f>IFERROR(__xludf.DUMMYFUNCTION("""COMPUTED_VALUE"""),"")</f>
        <v/>
      </c>
      <c r="U1410" s="5" t="str">
        <f>IFERROR(__xludf.DUMMYFUNCTION("""COMPUTED_VALUE"""),"")</f>
        <v/>
      </c>
      <c r="V1410" s="5" t="str">
        <f>IFERROR(__xludf.DUMMYFUNCTION("""COMPUTED_VALUE"""),"")</f>
        <v/>
      </c>
      <c r="W1410" s="5" t="str">
        <f>IFERROR(__xludf.DUMMYFUNCTION("""COMPUTED_VALUE"""),"")</f>
        <v/>
      </c>
      <c r="X1410" s="5" t="str">
        <f>IFERROR(__xludf.DUMMYFUNCTION("""COMPUTED_VALUE"""),"")</f>
        <v/>
      </c>
      <c r="Y1410" s="5"/>
      <c r="Z1410" s="5"/>
    </row>
    <row r="1411">
      <c r="A1411" s="5"/>
      <c r="B1411" s="5" t="str">
        <f>IFERROR(__xludf.DUMMYFUNCTION("""COMPUTED_VALUE"""),"")</f>
        <v/>
      </c>
      <c r="C1411" s="5" t="str">
        <f>IFERROR(__xludf.DUMMYFUNCTION("""COMPUTED_VALUE"""),"")</f>
        <v/>
      </c>
      <c r="D1411" s="5" t="str">
        <f>IFERROR(__xludf.DUMMYFUNCTION("""COMPUTED_VALUE"""),"")</f>
        <v/>
      </c>
      <c r="E1411" s="5" t="str">
        <f>IFERROR(__xludf.DUMMYFUNCTION("""COMPUTED_VALUE"""),"")</f>
        <v/>
      </c>
      <c r="F1411" s="5" t="str">
        <f>IFERROR(__xludf.DUMMYFUNCTION("""COMPUTED_VALUE"""),"")</f>
        <v/>
      </c>
      <c r="G1411" s="5" t="str">
        <f>IFERROR(__xludf.DUMMYFUNCTION("""COMPUTED_VALUE"""),"")</f>
        <v/>
      </c>
      <c r="H1411" s="5" t="str">
        <f>IFERROR(__xludf.DUMMYFUNCTION("""COMPUTED_VALUE"""),"")</f>
        <v/>
      </c>
      <c r="I1411" s="5" t="str">
        <f>IFERROR(__xludf.DUMMYFUNCTION("""COMPUTED_VALUE"""),"")</f>
        <v/>
      </c>
      <c r="J1411" s="5" t="str">
        <f>IFERROR(__xludf.DUMMYFUNCTION("""COMPUTED_VALUE"""),"")</f>
        <v/>
      </c>
      <c r="K1411" s="5" t="str">
        <f>IFERROR(__xludf.DUMMYFUNCTION("""COMPUTED_VALUE"""),"")</f>
        <v/>
      </c>
      <c r="L1411" s="5" t="str">
        <f>IFERROR(__xludf.DUMMYFUNCTION("""COMPUTED_VALUE"""),"")</f>
        <v/>
      </c>
      <c r="M1411" s="5" t="str">
        <f>IFERROR(__xludf.DUMMYFUNCTION("""COMPUTED_VALUE"""),"")</f>
        <v/>
      </c>
      <c r="N1411" s="5" t="str">
        <f>IFERROR(__xludf.DUMMYFUNCTION("""COMPUTED_VALUE"""),"")</f>
        <v/>
      </c>
      <c r="O1411" s="5" t="str">
        <f>IFERROR(__xludf.DUMMYFUNCTION("""COMPUTED_VALUE"""),"")</f>
        <v/>
      </c>
      <c r="P1411" s="5" t="str">
        <f>IFERROR(__xludf.DUMMYFUNCTION("""COMPUTED_VALUE"""),"")</f>
        <v/>
      </c>
      <c r="Q1411" s="5" t="str">
        <f>IFERROR(__xludf.DUMMYFUNCTION("""COMPUTED_VALUE"""),"")</f>
        <v/>
      </c>
      <c r="R1411" s="5" t="str">
        <f>IFERROR(__xludf.DUMMYFUNCTION("""COMPUTED_VALUE"""),"")</f>
        <v/>
      </c>
      <c r="S1411" s="5" t="str">
        <f>IFERROR(__xludf.DUMMYFUNCTION("""COMPUTED_VALUE"""),"")</f>
        <v/>
      </c>
      <c r="T1411" s="5" t="str">
        <f>IFERROR(__xludf.DUMMYFUNCTION("""COMPUTED_VALUE"""),"")</f>
        <v/>
      </c>
      <c r="U1411" s="5" t="str">
        <f>IFERROR(__xludf.DUMMYFUNCTION("""COMPUTED_VALUE"""),"")</f>
        <v/>
      </c>
      <c r="V1411" s="5" t="str">
        <f>IFERROR(__xludf.DUMMYFUNCTION("""COMPUTED_VALUE"""),"")</f>
        <v/>
      </c>
      <c r="W1411" s="5" t="str">
        <f>IFERROR(__xludf.DUMMYFUNCTION("""COMPUTED_VALUE"""),"")</f>
        <v/>
      </c>
      <c r="X1411" s="5" t="str">
        <f>IFERROR(__xludf.DUMMYFUNCTION("""COMPUTED_VALUE"""),"")</f>
        <v/>
      </c>
      <c r="Y1411" s="5"/>
      <c r="Z1411" s="5"/>
    </row>
    <row r="1412">
      <c r="A1412" s="5"/>
      <c r="B1412" s="5" t="str">
        <f>IFERROR(__xludf.DUMMYFUNCTION("""COMPUTED_VALUE"""),"")</f>
        <v/>
      </c>
      <c r="C1412" s="5" t="str">
        <f>IFERROR(__xludf.DUMMYFUNCTION("""COMPUTED_VALUE"""),"")</f>
        <v/>
      </c>
      <c r="D1412" s="5" t="str">
        <f>IFERROR(__xludf.DUMMYFUNCTION("""COMPUTED_VALUE"""),"")</f>
        <v/>
      </c>
      <c r="E1412" s="5" t="str">
        <f>IFERROR(__xludf.DUMMYFUNCTION("""COMPUTED_VALUE"""),"")</f>
        <v/>
      </c>
      <c r="F1412" s="5" t="str">
        <f>IFERROR(__xludf.DUMMYFUNCTION("""COMPUTED_VALUE"""),"")</f>
        <v/>
      </c>
      <c r="G1412" s="5" t="str">
        <f>IFERROR(__xludf.DUMMYFUNCTION("""COMPUTED_VALUE"""),"")</f>
        <v/>
      </c>
      <c r="H1412" s="5" t="str">
        <f>IFERROR(__xludf.DUMMYFUNCTION("""COMPUTED_VALUE"""),"")</f>
        <v/>
      </c>
      <c r="I1412" s="5" t="str">
        <f>IFERROR(__xludf.DUMMYFUNCTION("""COMPUTED_VALUE"""),"")</f>
        <v/>
      </c>
      <c r="J1412" s="5" t="str">
        <f>IFERROR(__xludf.DUMMYFUNCTION("""COMPUTED_VALUE"""),"")</f>
        <v/>
      </c>
      <c r="K1412" s="5" t="str">
        <f>IFERROR(__xludf.DUMMYFUNCTION("""COMPUTED_VALUE"""),"")</f>
        <v/>
      </c>
      <c r="L1412" s="5" t="str">
        <f>IFERROR(__xludf.DUMMYFUNCTION("""COMPUTED_VALUE"""),"")</f>
        <v/>
      </c>
      <c r="M1412" s="5" t="str">
        <f>IFERROR(__xludf.DUMMYFUNCTION("""COMPUTED_VALUE"""),"")</f>
        <v/>
      </c>
      <c r="N1412" s="5" t="str">
        <f>IFERROR(__xludf.DUMMYFUNCTION("""COMPUTED_VALUE"""),"")</f>
        <v/>
      </c>
      <c r="O1412" s="5" t="str">
        <f>IFERROR(__xludf.DUMMYFUNCTION("""COMPUTED_VALUE"""),"")</f>
        <v/>
      </c>
      <c r="P1412" s="5" t="str">
        <f>IFERROR(__xludf.DUMMYFUNCTION("""COMPUTED_VALUE"""),"")</f>
        <v/>
      </c>
      <c r="Q1412" s="5" t="str">
        <f>IFERROR(__xludf.DUMMYFUNCTION("""COMPUTED_VALUE"""),"")</f>
        <v/>
      </c>
      <c r="R1412" s="5" t="str">
        <f>IFERROR(__xludf.DUMMYFUNCTION("""COMPUTED_VALUE"""),"")</f>
        <v/>
      </c>
      <c r="S1412" s="5" t="str">
        <f>IFERROR(__xludf.DUMMYFUNCTION("""COMPUTED_VALUE"""),"")</f>
        <v/>
      </c>
      <c r="T1412" s="5" t="str">
        <f>IFERROR(__xludf.DUMMYFUNCTION("""COMPUTED_VALUE"""),"")</f>
        <v/>
      </c>
      <c r="U1412" s="5" t="str">
        <f>IFERROR(__xludf.DUMMYFUNCTION("""COMPUTED_VALUE"""),"")</f>
        <v/>
      </c>
      <c r="V1412" s="5" t="str">
        <f>IFERROR(__xludf.DUMMYFUNCTION("""COMPUTED_VALUE"""),"")</f>
        <v/>
      </c>
      <c r="W1412" s="5" t="str">
        <f>IFERROR(__xludf.DUMMYFUNCTION("""COMPUTED_VALUE"""),"")</f>
        <v/>
      </c>
      <c r="X1412" s="5" t="str">
        <f>IFERROR(__xludf.DUMMYFUNCTION("""COMPUTED_VALUE"""),"")</f>
        <v/>
      </c>
      <c r="Y1412" s="5"/>
      <c r="Z1412" s="5"/>
    </row>
    <row r="1413">
      <c r="A1413" s="5"/>
      <c r="B1413" s="5" t="str">
        <f>IFERROR(__xludf.DUMMYFUNCTION("""COMPUTED_VALUE"""),"")</f>
        <v/>
      </c>
      <c r="C1413" s="5" t="str">
        <f>IFERROR(__xludf.DUMMYFUNCTION("""COMPUTED_VALUE"""),"")</f>
        <v/>
      </c>
      <c r="D1413" s="5" t="str">
        <f>IFERROR(__xludf.DUMMYFUNCTION("""COMPUTED_VALUE"""),"")</f>
        <v/>
      </c>
      <c r="E1413" s="5" t="str">
        <f>IFERROR(__xludf.DUMMYFUNCTION("""COMPUTED_VALUE"""),"")</f>
        <v/>
      </c>
      <c r="F1413" s="5" t="str">
        <f>IFERROR(__xludf.DUMMYFUNCTION("""COMPUTED_VALUE"""),"")</f>
        <v/>
      </c>
      <c r="G1413" s="5" t="str">
        <f>IFERROR(__xludf.DUMMYFUNCTION("""COMPUTED_VALUE"""),"")</f>
        <v/>
      </c>
      <c r="H1413" s="5" t="str">
        <f>IFERROR(__xludf.DUMMYFUNCTION("""COMPUTED_VALUE"""),"")</f>
        <v/>
      </c>
      <c r="I1413" s="5" t="str">
        <f>IFERROR(__xludf.DUMMYFUNCTION("""COMPUTED_VALUE"""),"")</f>
        <v/>
      </c>
      <c r="J1413" s="5" t="str">
        <f>IFERROR(__xludf.DUMMYFUNCTION("""COMPUTED_VALUE"""),"")</f>
        <v/>
      </c>
      <c r="K1413" s="5" t="str">
        <f>IFERROR(__xludf.DUMMYFUNCTION("""COMPUTED_VALUE"""),"")</f>
        <v/>
      </c>
      <c r="L1413" s="5" t="str">
        <f>IFERROR(__xludf.DUMMYFUNCTION("""COMPUTED_VALUE"""),"")</f>
        <v/>
      </c>
      <c r="M1413" s="5" t="str">
        <f>IFERROR(__xludf.DUMMYFUNCTION("""COMPUTED_VALUE"""),"")</f>
        <v/>
      </c>
      <c r="N1413" s="5" t="str">
        <f>IFERROR(__xludf.DUMMYFUNCTION("""COMPUTED_VALUE"""),"")</f>
        <v/>
      </c>
      <c r="O1413" s="5" t="str">
        <f>IFERROR(__xludf.DUMMYFUNCTION("""COMPUTED_VALUE"""),"")</f>
        <v/>
      </c>
      <c r="P1413" s="5" t="str">
        <f>IFERROR(__xludf.DUMMYFUNCTION("""COMPUTED_VALUE"""),"")</f>
        <v/>
      </c>
      <c r="Q1413" s="5" t="str">
        <f>IFERROR(__xludf.DUMMYFUNCTION("""COMPUTED_VALUE"""),"")</f>
        <v/>
      </c>
      <c r="R1413" s="5" t="str">
        <f>IFERROR(__xludf.DUMMYFUNCTION("""COMPUTED_VALUE"""),"")</f>
        <v/>
      </c>
      <c r="S1413" s="5" t="str">
        <f>IFERROR(__xludf.DUMMYFUNCTION("""COMPUTED_VALUE"""),"")</f>
        <v/>
      </c>
      <c r="T1413" s="5" t="str">
        <f>IFERROR(__xludf.DUMMYFUNCTION("""COMPUTED_VALUE"""),"")</f>
        <v/>
      </c>
      <c r="U1413" s="5" t="str">
        <f>IFERROR(__xludf.DUMMYFUNCTION("""COMPUTED_VALUE"""),"")</f>
        <v/>
      </c>
      <c r="V1413" s="5" t="str">
        <f>IFERROR(__xludf.DUMMYFUNCTION("""COMPUTED_VALUE"""),"")</f>
        <v/>
      </c>
      <c r="W1413" s="5" t="str">
        <f>IFERROR(__xludf.DUMMYFUNCTION("""COMPUTED_VALUE"""),"")</f>
        <v/>
      </c>
      <c r="X1413" s="5" t="str">
        <f>IFERROR(__xludf.DUMMYFUNCTION("""COMPUTED_VALUE"""),"")</f>
        <v/>
      </c>
      <c r="Y1413" s="5"/>
      <c r="Z1413" s="5"/>
    </row>
    <row r="1414">
      <c r="A1414" s="5"/>
      <c r="B1414" s="5" t="str">
        <f>IFERROR(__xludf.DUMMYFUNCTION("""COMPUTED_VALUE"""),"")</f>
        <v/>
      </c>
      <c r="C1414" s="5" t="str">
        <f>IFERROR(__xludf.DUMMYFUNCTION("""COMPUTED_VALUE"""),"")</f>
        <v/>
      </c>
      <c r="D1414" s="5" t="str">
        <f>IFERROR(__xludf.DUMMYFUNCTION("""COMPUTED_VALUE"""),"")</f>
        <v/>
      </c>
      <c r="E1414" s="5" t="str">
        <f>IFERROR(__xludf.DUMMYFUNCTION("""COMPUTED_VALUE"""),"")</f>
        <v/>
      </c>
      <c r="F1414" s="5" t="str">
        <f>IFERROR(__xludf.DUMMYFUNCTION("""COMPUTED_VALUE"""),"")</f>
        <v/>
      </c>
      <c r="G1414" s="5" t="str">
        <f>IFERROR(__xludf.DUMMYFUNCTION("""COMPUTED_VALUE"""),"")</f>
        <v/>
      </c>
      <c r="H1414" s="5" t="str">
        <f>IFERROR(__xludf.DUMMYFUNCTION("""COMPUTED_VALUE"""),"")</f>
        <v/>
      </c>
      <c r="I1414" s="5" t="str">
        <f>IFERROR(__xludf.DUMMYFUNCTION("""COMPUTED_VALUE"""),"")</f>
        <v/>
      </c>
      <c r="J1414" s="5" t="str">
        <f>IFERROR(__xludf.DUMMYFUNCTION("""COMPUTED_VALUE"""),"")</f>
        <v/>
      </c>
      <c r="K1414" s="5" t="str">
        <f>IFERROR(__xludf.DUMMYFUNCTION("""COMPUTED_VALUE"""),"")</f>
        <v/>
      </c>
      <c r="L1414" s="5" t="str">
        <f>IFERROR(__xludf.DUMMYFUNCTION("""COMPUTED_VALUE"""),"")</f>
        <v/>
      </c>
      <c r="M1414" s="5" t="str">
        <f>IFERROR(__xludf.DUMMYFUNCTION("""COMPUTED_VALUE"""),"")</f>
        <v/>
      </c>
      <c r="N1414" s="5" t="str">
        <f>IFERROR(__xludf.DUMMYFUNCTION("""COMPUTED_VALUE"""),"")</f>
        <v/>
      </c>
      <c r="O1414" s="5" t="str">
        <f>IFERROR(__xludf.DUMMYFUNCTION("""COMPUTED_VALUE"""),"")</f>
        <v/>
      </c>
      <c r="P1414" s="5" t="str">
        <f>IFERROR(__xludf.DUMMYFUNCTION("""COMPUTED_VALUE"""),"")</f>
        <v/>
      </c>
      <c r="Q1414" s="5" t="str">
        <f>IFERROR(__xludf.DUMMYFUNCTION("""COMPUTED_VALUE"""),"")</f>
        <v/>
      </c>
      <c r="R1414" s="5" t="str">
        <f>IFERROR(__xludf.DUMMYFUNCTION("""COMPUTED_VALUE"""),"")</f>
        <v/>
      </c>
      <c r="S1414" s="5" t="str">
        <f>IFERROR(__xludf.DUMMYFUNCTION("""COMPUTED_VALUE"""),"")</f>
        <v/>
      </c>
      <c r="T1414" s="5" t="str">
        <f>IFERROR(__xludf.DUMMYFUNCTION("""COMPUTED_VALUE"""),"")</f>
        <v/>
      </c>
      <c r="U1414" s="5" t="str">
        <f>IFERROR(__xludf.DUMMYFUNCTION("""COMPUTED_VALUE"""),"")</f>
        <v/>
      </c>
      <c r="V1414" s="5" t="str">
        <f>IFERROR(__xludf.DUMMYFUNCTION("""COMPUTED_VALUE"""),"")</f>
        <v/>
      </c>
      <c r="W1414" s="5" t="str">
        <f>IFERROR(__xludf.DUMMYFUNCTION("""COMPUTED_VALUE"""),"")</f>
        <v/>
      </c>
      <c r="X1414" s="5" t="str">
        <f>IFERROR(__xludf.DUMMYFUNCTION("""COMPUTED_VALUE"""),"")</f>
        <v/>
      </c>
      <c r="Y1414" s="5"/>
      <c r="Z1414" s="5"/>
    </row>
    <row r="1415">
      <c r="A1415" s="5"/>
      <c r="B1415" s="5" t="str">
        <f>IFERROR(__xludf.DUMMYFUNCTION("""COMPUTED_VALUE"""),"")</f>
        <v/>
      </c>
      <c r="C1415" s="5" t="str">
        <f>IFERROR(__xludf.DUMMYFUNCTION("""COMPUTED_VALUE"""),"")</f>
        <v/>
      </c>
      <c r="D1415" s="5" t="str">
        <f>IFERROR(__xludf.DUMMYFUNCTION("""COMPUTED_VALUE"""),"")</f>
        <v/>
      </c>
      <c r="E1415" s="5" t="str">
        <f>IFERROR(__xludf.DUMMYFUNCTION("""COMPUTED_VALUE"""),"")</f>
        <v/>
      </c>
      <c r="F1415" s="5" t="str">
        <f>IFERROR(__xludf.DUMMYFUNCTION("""COMPUTED_VALUE"""),"")</f>
        <v/>
      </c>
      <c r="G1415" s="5" t="str">
        <f>IFERROR(__xludf.DUMMYFUNCTION("""COMPUTED_VALUE"""),"")</f>
        <v/>
      </c>
      <c r="H1415" s="5" t="str">
        <f>IFERROR(__xludf.DUMMYFUNCTION("""COMPUTED_VALUE"""),"")</f>
        <v/>
      </c>
      <c r="I1415" s="5" t="str">
        <f>IFERROR(__xludf.DUMMYFUNCTION("""COMPUTED_VALUE"""),"")</f>
        <v/>
      </c>
      <c r="J1415" s="5" t="str">
        <f>IFERROR(__xludf.DUMMYFUNCTION("""COMPUTED_VALUE"""),"")</f>
        <v/>
      </c>
      <c r="K1415" s="5" t="str">
        <f>IFERROR(__xludf.DUMMYFUNCTION("""COMPUTED_VALUE"""),"")</f>
        <v/>
      </c>
      <c r="L1415" s="5" t="str">
        <f>IFERROR(__xludf.DUMMYFUNCTION("""COMPUTED_VALUE"""),"")</f>
        <v/>
      </c>
      <c r="M1415" s="5" t="str">
        <f>IFERROR(__xludf.DUMMYFUNCTION("""COMPUTED_VALUE"""),"")</f>
        <v/>
      </c>
      <c r="N1415" s="5" t="str">
        <f>IFERROR(__xludf.DUMMYFUNCTION("""COMPUTED_VALUE"""),"")</f>
        <v/>
      </c>
      <c r="O1415" s="5" t="str">
        <f>IFERROR(__xludf.DUMMYFUNCTION("""COMPUTED_VALUE"""),"")</f>
        <v/>
      </c>
      <c r="P1415" s="5" t="str">
        <f>IFERROR(__xludf.DUMMYFUNCTION("""COMPUTED_VALUE"""),"")</f>
        <v/>
      </c>
      <c r="Q1415" s="5" t="str">
        <f>IFERROR(__xludf.DUMMYFUNCTION("""COMPUTED_VALUE"""),"")</f>
        <v/>
      </c>
      <c r="R1415" s="5" t="str">
        <f>IFERROR(__xludf.DUMMYFUNCTION("""COMPUTED_VALUE"""),"")</f>
        <v/>
      </c>
      <c r="S1415" s="5" t="str">
        <f>IFERROR(__xludf.DUMMYFUNCTION("""COMPUTED_VALUE"""),"")</f>
        <v/>
      </c>
      <c r="T1415" s="5" t="str">
        <f>IFERROR(__xludf.DUMMYFUNCTION("""COMPUTED_VALUE"""),"")</f>
        <v/>
      </c>
      <c r="U1415" s="5" t="str">
        <f>IFERROR(__xludf.DUMMYFUNCTION("""COMPUTED_VALUE"""),"")</f>
        <v/>
      </c>
      <c r="V1415" s="5" t="str">
        <f>IFERROR(__xludf.DUMMYFUNCTION("""COMPUTED_VALUE"""),"")</f>
        <v/>
      </c>
      <c r="W1415" s="5" t="str">
        <f>IFERROR(__xludf.DUMMYFUNCTION("""COMPUTED_VALUE"""),"")</f>
        <v/>
      </c>
      <c r="X1415" s="5" t="str">
        <f>IFERROR(__xludf.DUMMYFUNCTION("""COMPUTED_VALUE"""),"")</f>
        <v/>
      </c>
      <c r="Y1415" s="5"/>
      <c r="Z1415" s="5"/>
    </row>
    <row r="1416">
      <c r="A1416" s="5"/>
      <c r="B1416" s="5" t="str">
        <f>IFERROR(__xludf.DUMMYFUNCTION("""COMPUTED_VALUE"""),"")</f>
        <v/>
      </c>
      <c r="C1416" s="5" t="str">
        <f>IFERROR(__xludf.DUMMYFUNCTION("""COMPUTED_VALUE"""),"")</f>
        <v/>
      </c>
      <c r="D1416" s="5" t="str">
        <f>IFERROR(__xludf.DUMMYFUNCTION("""COMPUTED_VALUE"""),"")</f>
        <v/>
      </c>
      <c r="E1416" s="5" t="str">
        <f>IFERROR(__xludf.DUMMYFUNCTION("""COMPUTED_VALUE"""),"")</f>
        <v/>
      </c>
      <c r="F1416" s="5" t="str">
        <f>IFERROR(__xludf.DUMMYFUNCTION("""COMPUTED_VALUE"""),"")</f>
        <v/>
      </c>
      <c r="G1416" s="5" t="str">
        <f>IFERROR(__xludf.DUMMYFUNCTION("""COMPUTED_VALUE"""),"")</f>
        <v/>
      </c>
      <c r="H1416" s="5" t="str">
        <f>IFERROR(__xludf.DUMMYFUNCTION("""COMPUTED_VALUE"""),"")</f>
        <v/>
      </c>
      <c r="I1416" s="5" t="str">
        <f>IFERROR(__xludf.DUMMYFUNCTION("""COMPUTED_VALUE"""),"")</f>
        <v/>
      </c>
      <c r="J1416" s="5" t="str">
        <f>IFERROR(__xludf.DUMMYFUNCTION("""COMPUTED_VALUE"""),"")</f>
        <v/>
      </c>
      <c r="K1416" s="5" t="str">
        <f>IFERROR(__xludf.DUMMYFUNCTION("""COMPUTED_VALUE"""),"")</f>
        <v/>
      </c>
      <c r="L1416" s="5" t="str">
        <f>IFERROR(__xludf.DUMMYFUNCTION("""COMPUTED_VALUE"""),"")</f>
        <v/>
      </c>
      <c r="M1416" s="5" t="str">
        <f>IFERROR(__xludf.DUMMYFUNCTION("""COMPUTED_VALUE"""),"")</f>
        <v/>
      </c>
      <c r="N1416" s="5" t="str">
        <f>IFERROR(__xludf.DUMMYFUNCTION("""COMPUTED_VALUE"""),"")</f>
        <v/>
      </c>
      <c r="O1416" s="5" t="str">
        <f>IFERROR(__xludf.DUMMYFUNCTION("""COMPUTED_VALUE"""),"")</f>
        <v/>
      </c>
      <c r="P1416" s="5" t="str">
        <f>IFERROR(__xludf.DUMMYFUNCTION("""COMPUTED_VALUE"""),"")</f>
        <v/>
      </c>
      <c r="Q1416" s="5" t="str">
        <f>IFERROR(__xludf.DUMMYFUNCTION("""COMPUTED_VALUE"""),"")</f>
        <v/>
      </c>
      <c r="R1416" s="5" t="str">
        <f>IFERROR(__xludf.DUMMYFUNCTION("""COMPUTED_VALUE"""),"")</f>
        <v/>
      </c>
      <c r="S1416" s="5" t="str">
        <f>IFERROR(__xludf.DUMMYFUNCTION("""COMPUTED_VALUE"""),"")</f>
        <v/>
      </c>
      <c r="T1416" s="5" t="str">
        <f>IFERROR(__xludf.DUMMYFUNCTION("""COMPUTED_VALUE"""),"")</f>
        <v/>
      </c>
      <c r="U1416" s="5" t="str">
        <f>IFERROR(__xludf.DUMMYFUNCTION("""COMPUTED_VALUE"""),"")</f>
        <v/>
      </c>
      <c r="V1416" s="5" t="str">
        <f>IFERROR(__xludf.DUMMYFUNCTION("""COMPUTED_VALUE"""),"")</f>
        <v/>
      </c>
      <c r="W1416" s="5" t="str">
        <f>IFERROR(__xludf.DUMMYFUNCTION("""COMPUTED_VALUE"""),"")</f>
        <v/>
      </c>
      <c r="X1416" s="5" t="str">
        <f>IFERROR(__xludf.DUMMYFUNCTION("""COMPUTED_VALUE"""),"")</f>
        <v/>
      </c>
      <c r="Y1416" s="5"/>
      <c r="Z1416" s="5"/>
    </row>
    <row r="1417">
      <c r="A1417" s="5"/>
      <c r="B1417" s="5" t="str">
        <f>IFERROR(__xludf.DUMMYFUNCTION("""COMPUTED_VALUE"""),"")</f>
        <v/>
      </c>
      <c r="C1417" s="5" t="str">
        <f>IFERROR(__xludf.DUMMYFUNCTION("""COMPUTED_VALUE"""),"")</f>
        <v/>
      </c>
      <c r="D1417" s="5" t="str">
        <f>IFERROR(__xludf.DUMMYFUNCTION("""COMPUTED_VALUE"""),"")</f>
        <v/>
      </c>
      <c r="E1417" s="5" t="str">
        <f>IFERROR(__xludf.DUMMYFUNCTION("""COMPUTED_VALUE"""),"")</f>
        <v/>
      </c>
      <c r="F1417" s="5" t="str">
        <f>IFERROR(__xludf.DUMMYFUNCTION("""COMPUTED_VALUE"""),"")</f>
        <v/>
      </c>
      <c r="G1417" s="5" t="str">
        <f>IFERROR(__xludf.DUMMYFUNCTION("""COMPUTED_VALUE"""),"")</f>
        <v/>
      </c>
      <c r="H1417" s="5" t="str">
        <f>IFERROR(__xludf.DUMMYFUNCTION("""COMPUTED_VALUE"""),"")</f>
        <v/>
      </c>
      <c r="I1417" s="5" t="str">
        <f>IFERROR(__xludf.DUMMYFUNCTION("""COMPUTED_VALUE"""),"")</f>
        <v/>
      </c>
      <c r="J1417" s="5" t="str">
        <f>IFERROR(__xludf.DUMMYFUNCTION("""COMPUTED_VALUE"""),"")</f>
        <v/>
      </c>
      <c r="K1417" s="5" t="str">
        <f>IFERROR(__xludf.DUMMYFUNCTION("""COMPUTED_VALUE"""),"")</f>
        <v/>
      </c>
      <c r="L1417" s="5" t="str">
        <f>IFERROR(__xludf.DUMMYFUNCTION("""COMPUTED_VALUE"""),"")</f>
        <v/>
      </c>
      <c r="M1417" s="5" t="str">
        <f>IFERROR(__xludf.DUMMYFUNCTION("""COMPUTED_VALUE"""),"")</f>
        <v/>
      </c>
      <c r="N1417" s="5" t="str">
        <f>IFERROR(__xludf.DUMMYFUNCTION("""COMPUTED_VALUE"""),"")</f>
        <v/>
      </c>
      <c r="O1417" s="5" t="str">
        <f>IFERROR(__xludf.DUMMYFUNCTION("""COMPUTED_VALUE"""),"")</f>
        <v/>
      </c>
      <c r="P1417" s="5" t="str">
        <f>IFERROR(__xludf.DUMMYFUNCTION("""COMPUTED_VALUE"""),"")</f>
        <v/>
      </c>
      <c r="Q1417" s="5" t="str">
        <f>IFERROR(__xludf.DUMMYFUNCTION("""COMPUTED_VALUE"""),"")</f>
        <v/>
      </c>
      <c r="R1417" s="5" t="str">
        <f>IFERROR(__xludf.DUMMYFUNCTION("""COMPUTED_VALUE"""),"")</f>
        <v/>
      </c>
      <c r="S1417" s="5" t="str">
        <f>IFERROR(__xludf.DUMMYFUNCTION("""COMPUTED_VALUE"""),"")</f>
        <v/>
      </c>
      <c r="T1417" s="5" t="str">
        <f>IFERROR(__xludf.DUMMYFUNCTION("""COMPUTED_VALUE"""),"")</f>
        <v/>
      </c>
      <c r="U1417" s="5" t="str">
        <f>IFERROR(__xludf.DUMMYFUNCTION("""COMPUTED_VALUE"""),"")</f>
        <v/>
      </c>
      <c r="V1417" s="5" t="str">
        <f>IFERROR(__xludf.DUMMYFUNCTION("""COMPUTED_VALUE"""),"")</f>
        <v/>
      </c>
      <c r="W1417" s="5" t="str">
        <f>IFERROR(__xludf.DUMMYFUNCTION("""COMPUTED_VALUE"""),"")</f>
        <v/>
      </c>
      <c r="X1417" s="5" t="str">
        <f>IFERROR(__xludf.DUMMYFUNCTION("""COMPUTED_VALUE"""),"")</f>
        <v/>
      </c>
      <c r="Y1417" s="5"/>
      <c r="Z1417" s="5"/>
    </row>
    <row r="1418">
      <c r="A1418" s="5"/>
      <c r="B1418" s="5" t="str">
        <f>IFERROR(__xludf.DUMMYFUNCTION("""COMPUTED_VALUE"""),"")</f>
        <v/>
      </c>
      <c r="C1418" s="5" t="str">
        <f>IFERROR(__xludf.DUMMYFUNCTION("""COMPUTED_VALUE"""),"")</f>
        <v/>
      </c>
      <c r="D1418" s="5" t="str">
        <f>IFERROR(__xludf.DUMMYFUNCTION("""COMPUTED_VALUE"""),"")</f>
        <v/>
      </c>
      <c r="E1418" s="5" t="str">
        <f>IFERROR(__xludf.DUMMYFUNCTION("""COMPUTED_VALUE"""),"")</f>
        <v/>
      </c>
      <c r="F1418" s="5" t="str">
        <f>IFERROR(__xludf.DUMMYFUNCTION("""COMPUTED_VALUE"""),"")</f>
        <v/>
      </c>
      <c r="G1418" s="5" t="str">
        <f>IFERROR(__xludf.DUMMYFUNCTION("""COMPUTED_VALUE"""),"")</f>
        <v/>
      </c>
      <c r="H1418" s="5" t="str">
        <f>IFERROR(__xludf.DUMMYFUNCTION("""COMPUTED_VALUE"""),"")</f>
        <v/>
      </c>
      <c r="I1418" s="5" t="str">
        <f>IFERROR(__xludf.DUMMYFUNCTION("""COMPUTED_VALUE"""),"")</f>
        <v/>
      </c>
      <c r="J1418" s="5" t="str">
        <f>IFERROR(__xludf.DUMMYFUNCTION("""COMPUTED_VALUE"""),"")</f>
        <v/>
      </c>
      <c r="K1418" s="5" t="str">
        <f>IFERROR(__xludf.DUMMYFUNCTION("""COMPUTED_VALUE"""),"")</f>
        <v/>
      </c>
      <c r="L1418" s="5" t="str">
        <f>IFERROR(__xludf.DUMMYFUNCTION("""COMPUTED_VALUE"""),"")</f>
        <v/>
      </c>
      <c r="M1418" s="5" t="str">
        <f>IFERROR(__xludf.DUMMYFUNCTION("""COMPUTED_VALUE"""),"")</f>
        <v/>
      </c>
      <c r="N1418" s="5" t="str">
        <f>IFERROR(__xludf.DUMMYFUNCTION("""COMPUTED_VALUE"""),"")</f>
        <v/>
      </c>
      <c r="O1418" s="5" t="str">
        <f>IFERROR(__xludf.DUMMYFUNCTION("""COMPUTED_VALUE"""),"")</f>
        <v/>
      </c>
      <c r="P1418" s="5" t="str">
        <f>IFERROR(__xludf.DUMMYFUNCTION("""COMPUTED_VALUE"""),"")</f>
        <v/>
      </c>
      <c r="Q1418" s="5" t="str">
        <f>IFERROR(__xludf.DUMMYFUNCTION("""COMPUTED_VALUE"""),"")</f>
        <v/>
      </c>
      <c r="R1418" s="5" t="str">
        <f>IFERROR(__xludf.DUMMYFUNCTION("""COMPUTED_VALUE"""),"")</f>
        <v/>
      </c>
      <c r="S1418" s="5" t="str">
        <f>IFERROR(__xludf.DUMMYFUNCTION("""COMPUTED_VALUE"""),"")</f>
        <v/>
      </c>
      <c r="T1418" s="5" t="str">
        <f>IFERROR(__xludf.DUMMYFUNCTION("""COMPUTED_VALUE"""),"")</f>
        <v/>
      </c>
      <c r="U1418" s="5" t="str">
        <f>IFERROR(__xludf.DUMMYFUNCTION("""COMPUTED_VALUE"""),"")</f>
        <v/>
      </c>
      <c r="V1418" s="5" t="str">
        <f>IFERROR(__xludf.DUMMYFUNCTION("""COMPUTED_VALUE"""),"")</f>
        <v/>
      </c>
      <c r="W1418" s="5" t="str">
        <f>IFERROR(__xludf.DUMMYFUNCTION("""COMPUTED_VALUE"""),"")</f>
        <v/>
      </c>
      <c r="X1418" s="5" t="str">
        <f>IFERROR(__xludf.DUMMYFUNCTION("""COMPUTED_VALUE"""),"")</f>
        <v/>
      </c>
      <c r="Y1418" s="5"/>
      <c r="Z1418" s="5"/>
    </row>
    <row r="1419">
      <c r="A1419" s="5"/>
      <c r="B1419" s="5" t="str">
        <f>IFERROR(__xludf.DUMMYFUNCTION("""COMPUTED_VALUE"""),"")</f>
        <v/>
      </c>
      <c r="C1419" s="5" t="str">
        <f>IFERROR(__xludf.DUMMYFUNCTION("""COMPUTED_VALUE"""),"")</f>
        <v/>
      </c>
      <c r="D1419" s="5" t="str">
        <f>IFERROR(__xludf.DUMMYFUNCTION("""COMPUTED_VALUE"""),"")</f>
        <v/>
      </c>
      <c r="E1419" s="5" t="str">
        <f>IFERROR(__xludf.DUMMYFUNCTION("""COMPUTED_VALUE"""),"")</f>
        <v/>
      </c>
      <c r="F1419" s="5" t="str">
        <f>IFERROR(__xludf.DUMMYFUNCTION("""COMPUTED_VALUE"""),"")</f>
        <v/>
      </c>
      <c r="G1419" s="5" t="str">
        <f>IFERROR(__xludf.DUMMYFUNCTION("""COMPUTED_VALUE"""),"")</f>
        <v/>
      </c>
      <c r="H1419" s="5" t="str">
        <f>IFERROR(__xludf.DUMMYFUNCTION("""COMPUTED_VALUE"""),"")</f>
        <v/>
      </c>
      <c r="I1419" s="5" t="str">
        <f>IFERROR(__xludf.DUMMYFUNCTION("""COMPUTED_VALUE"""),"")</f>
        <v/>
      </c>
      <c r="J1419" s="5" t="str">
        <f>IFERROR(__xludf.DUMMYFUNCTION("""COMPUTED_VALUE"""),"")</f>
        <v/>
      </c>
      <c r="K1419" s="5" t="str">
        <f>IFERROR(__xludf.DUMMYFUNCTION("""COMPUTED_VALUE"""),"")</f>
        <v/>
      </c>
      <c r="L1419" s="5" t="str">
        <f>IFERROR(__xludf.DUMMYFUNCTION("""COMPUTED_VALUE"""),"")</f>
        <v/>
      </c>
      <c r="M1419" s="5" t="str">
        <f>IFERROR(__xludf.DUMMYFUNCTION("""COMPUTED_VALUE"""),"")</f>
        <v/>
      </c>
      <c r="N1419" s="5" t="str">
        <f>IFERROR(__xludf.DUMMYFUNCTION("""COMPUTED_VALUE"""),"")</f>
        <v/>
      </c>
      <c r="O1419" s="5" t="str">
        <f>IFERROR(__xludf.DUMMYFUNCTION("""COMPUTED_VALUE"""),"")</f>
        <v/>
      </c>
      <c r="P1419" s="5" t="str">
        <f>IFERROR(__xludf.DUMMYFUNCTION("""COMPUTED_VALUE"""),"")</f>
        <v/>
      </c>
      <c r="Q1419" s="5" t="str">
        <f>IFERROR(__xludf.DUMMYFUNCTION("""COMPUTED_VALUE"""),"")</f>
        <v/>
      </c>
      <c r="R1419" s="5" t="str">
        <f>IFERROR(__xludf.DUMMYFUNCTION("""COMPUTED_VALUE"""),"")</f>
        <v/>
      </c>
      <c r="S1419" s="5" t="str">
        <f>IFERROR(__xludf.DUMMYFUNCTION("""COMPUTED_VALUE"""),"")</f>
        <v/>
      </c>
      <c r="T1419" s="5" t="str">
        <f>IFERROR(__xludf.DUMMYFUNCTION("""COMPUTED_VALUE"""),"")</f>
        <v/>
      </c>
      <c r="U1419" s="5" t="str">
        <f>IFERROR(__xludf.DUMMYFUNCTION("""COMPUTED_VALUE"""),"")</f>
        <v/>
      </c>
      <c r="V1419" s="5" t="str">
        <f>IFERROR(__xludf.DUMMYFUNCTION("""COMPUTED_VALUE"""),"")</f>
        <v/>
      </c>
      <c r="W1419" s="5" t="str">
        <f>IFERROR(__xludf.DUMMYFUNCTION("""COMPUTED_VALUE"""),"")</f>
        <v/>
      </c>
      <c r="X1419" s="5" t="str">
        <f>IFERROR(__xludf.DUMMYFUNCTION("""COMPUTED_VALUE"""),"")</f>
        <v/>
      </c>
      <c r="Y1419" s="5"/>
      <c r="Z1419" s="5"/>
    </row>
    <row r="1420">
      <c r="A1420" s="5"/>
      <c r="B1420" s="5" t="str">
        <f>IFERROR(__xludf.DUMMYFUNCTION("""COMPUTED_VALUE"""),"")</f>
        <v/>
      </c>
      <c r="C1420" s="5" t="str">
        <f>IFERROR(__xludf.DUMMYFUNCTION("""COMPUTED_VALUE"""),"")</f>
        <v/>
      </c>
      <c r="D1420" s="5" t="str">
        <f>IFERROR(__xludf.DUMMYFUNCTION("""COMPUTED_VALUE"""),"")</f>
        <v/>
      </c>
      <c r="E1420" s="5" t="str">
        <f>IFERROR(__xludf.DUMMYFUNCTION("""COMPUTED_VALUE"""),"")</f>
        <v/>
      </c>
      <c r="F1420" s="5" t="str">
        <f>IFERROR(__xludf.DUMMYFUNCTION("""COMPUTED_VALUE"""),"")</f>
        <v/>
      </c>
      <c r="G1420" s="5" t="str">
        <f>IFERROR(__xludf.DUMMYFUNCTION("""COMPUTED_VALUE"""),"")</f>
        <v/>
      </c>
      <c r="H1420" s="5" t="str">
        <f>IFERROR(__xludf.DUMMYFUNCTION("""COMPUTED_VALUE"""),"")</f>
        <v/>
      </c>
      <c r="I1420" s="5" t="str">
        <f>IFERROR(__xludf.DUMMYFUNCTION("""COMPUTED_VALUE"""),"")</f>
        <v/>
      </c>
      <c r="J1420" s="5" t="str">
        <f>IFERROR(__xludf.DUMMYFUNCTION("""COMPUTED_VALUE"""),"")</f>
        <v/>
      </c>
      <c r="K1420" s="5" t="str">
        <f>IFERROR(__xludf.DUMMYFUNCTION("""COMPUTED_VALUE"""),"")</f>
        <v/>
      </c>
      <c r="L1420" s="5" t="str">
        <f>IFERROR(__xludf.DUMMYFUNCTION("""COMPUTED_VALUE"""),"")</f>
        <v/>
      </c>
      <c r="M1420" s="5" t="str">
        <f>IFERROR(__xludf.DUMMYFUNCTION("""COMPUTED_VALUE"""),"")</f>
        <v/>
      </c>
      <c r="N1420" s="5" t="str">
        <f>IFERROR(__xludf.DUMMYFUNCTION("""COMPUTED_VALUE"""),"")</f>
        <v/>
      </c>
      <c r="O1420" s="5" t="str">
        <f>IFERROR(__xludf.DUMMYFUNCTION("""COMPUTED_VALUE"""),"")</f>
        <v/>
      </c>
      <c r="P1420" s="5" t="str">
        <f>IFERROR(__xludf.DUMMYFUNCTION("""COMPUTED_VALUE"""),"")</f>
        <v/>
      </c>
      <c r="Q1420" s="5" t="str">
        <f>IFERROR(__xludf.DUMMYFUNCTION("""COMPUTED_VALUE"""),"")</f>
        <v/>
      </c>
      <c r="R1420" s="5" t="str">
        <f>IFERROR(__xludf.DUMMYFUNCTION("""COMPUTED_VALUE"""),"")</f>
        <v/>
      </c>
      <c r="S1420" s="5" t="str">
        <f>IFERROR(__xludf.DUMMYFUNCTION("""COMPUTED_VALUE"""),"")</f>
        <v/>
      </c>
      <c r="T1420" s="5" t="str">
        <f>IFERROR(__xludf.DUMMYFUNCTION("""COMPUTED_VALUE"""),"")</f>
        <v/>
      </c>
      <c r="U1420" s="5" t="str">
        <f>IFERROR(__xludf.DUMMYFUNCTION("""COMPUTED_VALUE"""),"")</f>
        <v/>
      </c>
      <c r="V1420" s="5" t="str">
        <f>IFERROR(__xludf.DUMMYFUNCTION("""COMPUTED_VALUE"""),"")</f>
        <v/>
      </c>
      <c r="W1420" s="5" t="str">
        <f>IFERROR(__xludf.DUMMYFUNCTION("""COMPUTED_VALUE"""),"")</f>
        <v/>
      </c>
      <c r="X1420" s="5" t="str">
        <f>IFERROR(__xludf.DUMMYFUNCTION("""COMPUTED_VALUE"""),"")</f>
        <v/>
      </c>
      <c r="Y1420" s="5"/>
      <c r="Z1420" s="5"/>
    </row>
    <row r="1421">
      <c r="A1421" s="5"/>
      <c r="B1421" s="5" t="str">
        <f>IFERROR(__xludf.DUMMYFUNCTION("""COMPUTED_VALUE"""),"")</f>
        <v/>
      </c>
      <c r="C1421" s="5" t="str">
        <f>IFERROR(__xludf.DUMMYFUNCTION("""COMPUTED_VALUE"""),"")</f>
        <v/>
      </c>
      <c r="D1421" s="5" t="str">
        <f>IFERROR(__xludf.DUMMYFUNCTION("""COMPUTED_VALUE"""),"")</f>
        <v/>
      </c>
      <c r="E1421" s="5" t="str">
        <f>IFERROR(__xludf.DUMMYFUNCTION("""COMPUTED_VALUE"""),"")</f>
        <v/>
      </c>
      <c r="F1421" s="5" t="str">
        <f>IFERROR(__xludf.DUMMYFUNCTION("""COMPUTED_VALUE"""),"")</f>
        <v/>
      </c>
      <c r="G1421" s="5" t="str">
        <f>IFERROR(__xludf.DUMMYFUNCTION("""COMPUTED_VALUE"""),"")</f>
        <v/>
      </c>
      <c r="H1421" s="5" t="str">
        <f>IFERROR(__xludf.DUMMYFUNCTION("""COMPUTED_VALUE"""),"")</f>
        <v/>
      </c>
      <c r="I1421" s="5" t="str">
        <f>IFERROR(__xludf.DUMMYFUNCTION("""COMPUTED_VALUE"""),"")</f>
        <v/>
      </c>
      <c r="J1421" s="5" t="str">
        <f>IFERROR(__xludf.DUMMYFUNCTION("""COMPUTED_VALUE"""),"")</f>
        <v/>
      </c>
      <c r="K1421" s="5" t="str">
        <f>IFERROR(__xludf.DUMMYFUNCTION("""COMPUTED_VALUE"""),"")</f>
        <v/>
      </c>
      <c r="L1421" s="5" t="str">
        <f>IFERROR(__xludf.DUMMYFUNCTION("""COMPUTED_VALUE"""),"")</f>
        <v/>
      </c>
      <c r="M1421" s="5" t="str">
        <f>IFERROR(__xludf.DUMMYFUNCTION("""COMPUTED_VALUE"""),"")</f>
        <v/>
      </c>
      <c r="N1421" s="5" t="str">
        <f>IFERROR(__xludf.DUMMYFUNCTION("""COMPUTED_VALUE"""),"")</f>
        <v/>
      </c>
      <c r="O1421" s="5" t="str">
        <f>IFERROR(__xludf.DUMMYFUNCTION("""COMPUTED_VALUE"""),"")</f>
        <v/>
      </c>
      <c r="P1421" s="5" t="str">
        <f>IFERROR(__xludf.DUMMYFUNCTION("""COMPUTED_VALUE"""),"")</f>
        <v/>
      </c>
      <c r="Q1421" s="5" t="str">
        <f>IFERROR(__xludf.DUMMYFUNCTION("""COMPUTED_VALUE"""),"")</f>
        <v/>
      </c>
      <c r="R1421" s="5" t="str">
        <f>IFERROR(__xludf.DUMMYFUNCTION("""COMPUTED_VALUE"""),"")</f>
        <v/>
      </c>
      <c r="S1421" s="5" t="str">
        <f>IFERROR(__xludf.DUMMYFUNCTION("""COMPUTED_VALUE"""),"")</f>
        <v/>
      </c>
      <c r="T1421" s="5" t="str">
        <f>IFERROR(__xludf.DUMMYFUNCTION("""COMPUTED_VALUE"""),"")</f>
        <v/>
      </c>
      <c r="U1421" s="5" t="str">
        <f>IFERROR(__xludf.DUMMYFUNCTION("""COMPUTED_VALUE"""),"")</f>
        <v/>
      </c>
      <c r="V1421" s="5" t="str">
        <f>IFERROR(__xludf.DUMMYFUNCTION("""COMPUTED_VALUE"""),"")</f>
        <v/>
      </c>
      <c r="W1421" s="5" t="str">
        <f>IFERROR(__xludf.DUMMYFUNCTION("""COMPUTED_VALUE"""),"")</f>
        <v/>
      </c>
      <c r="X1421" s="5" t="str">
        <f>IFERROR(__xludf.DUMMYFUNCTION("""COMPUTED_VALUE"""),"")</f>
        <v/>
      </c>
      <c r="Y1421" s="5"/>
      <c r="Z1421" s="5"/>
    </row>
    <row r="1422">
      <c r="A1422" s="5"/>
      <c r="B1422" s="5" t="str">
        <f>IFERROR(__xludf.DUMMYFUNCTION("""COMPUTED_VALUE"""),"")</f>
        <v/>
      </c>
      <c r="C1422" s="5" t="str">
        <f>IFERROR(__xludf.DUMMYFUNCTION("""COMPUTED_VALUE"""),"")</f>
        <v/>
      </c>
      <c r="D1422" s="5" t="str">
        <f>IFERROR(__xludf.DUMMYFUNCTION("""COMPUTED_VALUE"""),"")</f>
        <v/>
      </c>
      <c r="E1422" s="5" t="str">
        <f>IFERROR(__xludf.DUMMYFUNCTION("""COMPUTED_VALUE"""),"")</f>
        <v/>
      </c>
      <c r="F1422" s="5" t="str">
        <f>IFERROR(__xludf.DUMMYFUNCTION("""COMPUTED_VALUE"""),"")</f>
        <v/>
      </c>
      <c r="G1422" s="5" t="str">
        <f>IFERROR(__xludf.DUMMYFUNCTION("""COMPUTED_VALUE"""),"")</f>
        <v/>
      </c>
      <c r="H1422" s="5" t="str">
        <f>IFERROR(__xludf.DUMMYFUNCTION("""COMPUTED_VALUE"""),"")</f>
        <v/>
      </c>
      <c r="I1422" s="5" t="str">
        <f>IFERROR(__xludf.DUMMYFUNCTION("""COMPUTED_VALUE"""),"")</f>
        <v/>
      </c>
      <c r="J1422" s="5" t="str">
        <f>IFERROR(__xludf.DUMMYFUNCTION("""COMPUTED_VALUE"""),"")</f>
        <v/>
      </c>
      <c r="K1422" s="5" t="str">
        <f>IFERROR(__xludf.DUMMYFUNCTION("""COMPUTED_VALUE"""),"")</f>
        <v/>
      </c>
      <c r="L1422" s="5" t="str">
        <f>IFERROR(__xludf.DUMMYFUNCTION("""COMPUTED_VALUE"""),"")</f>
        <v/>
      </c>
      <c r="M1422" s="5" t="str">
        <f>IFERROR(__xludf.DUMMYFUNCTION("""COMPUTED_VALUE"""),"")</f>
        <v/>
      </c>
      <c r="N1422" s="5" t="str">
        <f>IFERROR(__xludf.DUMMYFUNCTION("""COMPUTED_VALUE"""),"")</f>
        <v/>
      </c>
      <c r="O1422" s="5" t="str">
        <f>IFERROR(__xludf.DUMMYFUNCTION("""COMPUTED_VALUE"""),"")</f>
        <v/>
      </c>
      <c r="P1422" s="5" t="str">
        <f>IFERROR(__xludf.DUMMYFUNCTION("""COMPUTED_VALUE"""),"")</f>
        <v/>
      </c>
      <c r="Q1422" s="5" t="str">
        <f>IFERROR(__xludf.DUMMYFUNCTION("""COMPUTED_VALUE"""),"")</f>
        <v/>
      </c>
      <c r="R1422" s="5" t="str">
        <f>IFERROR(__xludf.DUMMYFUNCTION("""COMPUTED_VALUE"""),"")</f>
        <v/>
      </c>
      <c r="S1422" s="5" t="str">
        <f>IFERROR(__xludf.DUMMYFUNCTION("""COMPUTED_VALUE"""),"")</f>
        <v/>
      </c>
      <c r="T1422" s="5" t="str">
        <f>IFERROR(__xludf.DUMMYFUNCTION("""COMPUTED_VALUE"""),"")</f>
        <v/>
      </c>
      <c r="U1422" s="5" t="str">
        <f>IFERROR(__xludf.DUMMYFUNCTION("""COMPUTED_VALUE"""),"")</f>
        <v/>
      </c>
      <c r="V1422" s="5" t="str">
        <f>IFERROR(__xludf.DUMMYFUNCTION("""COMPUTED_VALUE"""),"")</f>
        <v/>
      </c>
      <c r="W1422" s="5" t="str">
        <f>IFERROR(__xludf.DUMMYFUNCTION("""COMPUTED_VALUE"""),"")</f>
        <v/>
      </c>
      <c r="X1422" s="5" t="str">
        <f>IFERROR(__xludf.DUMMYFUNCTION("""COMPUTED_VALUE"""),"")</f>
        <v/>
      </c>
      <c r="Y1422" s="5"/>
      <c r="Z1422" s="5"/>
    </row>
    <row r="1423">
      <c r="A1423" s="5"/>
      <c r="B1423" s="5" t="str">
        <f>IFERROR(__xludf.DUMMYFUNCTION("""COMPUTED_VALUE"""),"")</f>
        <v/>
      </c>
      <c r="C1423" s="5" t="str">
        <f>IFERROR(__xludf.DUMMYFUNCTION("""COMPUTED_VALUE"""),"")</f>
        <v/>
      </c>
      <c r="D1423" s="5" t="str">
        <f>IFERROR(__xludf.DUMMYFUNCTION("""COMPUTED_VALUE"""),"")</f>
        <v/>
      </c>
      <c r="E1423" s="5" t="str">
        <f>IFERROR(__xludf.DUMMYFUNCTION("""COMPUTED_VALUE"""),"")</f>
        <v/>
      </c>
      <c r="F1423" s="5" t="str">
        <f>IFERROR(__xludf.DUMMYFUNCTION("""COMPUTED_VALUE"""),"")</f>
        <v/>
      </c>
      <c r="G1423" s="5" t="str">
        <f>IFERROR(__xludf.DUMMYFUNCTION("""COMPUTED_VALUE"""),"")</f>
        <v/>
      </c>
      <c r="H1423" s="5" t="str">
        <f>IFERROR(__xludf.DUMMYFUNCTION("""COMPUTED_VALUE"""),"")</f>
        <v/>
      </c>
      <c r="I1423" s="5" t="str">
        <f>IFERROR(__xludf.DUMMYFUNCTION("""COMPUTED_VALUE"""),"")</f>
        <v/>
      </c>
      <c r="J1423" s="5" t="str">
        <f>IFERROR(__xludf.DUMMYFUNCTION("""COMPUTED_VALUE"""),"")</f>
        <v/>
      </c>
      <c r="K1423" s="5" t="str">
        <f>IFERROR(__xludf.DUMMYFUNCTION("""COMPUTED_VALUE"""),"")</f>
        <v/>
      </c>
      <c r="L1423" s="5" t="str">
        <f>IFERROR(__xludf.DUMMYFUNCTION("""COMPUTED_VALUE"""),"")</f>
        <v/>
      </c>
      <c r="M1423" s="5" t="str">
        <f>IFERROR(__xludf.DUMMYFUNCTION("""COMPUTED_VALUE"""),"")</f>
        <v/>
      </c>
      <c r="N1423" s="5" t="str">
        <f>IFERROR(__xludf.DUMMYFUNCTION("""COMPUTED_VALUE"""),"")</f>
        <v/>
      </c>
      <c r="O1423" s="5" t="str">
        <f>IFERROR(__xludf.DUMMYFUNCTION("""COMPUTED_VALUE"""),"")</f>
        <v/>
      </c>
      <c r="P1423" s="5" t="str">
        <f>IFERROR(__xludf.DUMMYFUNCTION("""COMPUTED_VALUE"""),"")</f>
        <v/>
      </c>
      <c r="Q1423" s="5" t="str">
        <f>IFERROR(__xludf.DUMMYFUNCTION("""COMPUTED_VALUE"""),"")</f>
        <v/>
      </c>
      <c r="R1423" s="5" t="str">
        <f>IFERROR(__xludf.DUMMYFUNCTION("""COMPUTED_VALUE"""),"")</f>
        <v/>
      </c>
      <c r="S1423" s="5" t="str">
        <f>IFERROR(__xludf.DUMMYFUNCTION("""COMPUTED_VALUE"""),"")</f>
        <v/>
      </c>
      <c r="T1423" s="5" t="str">
        <f>IFERROR(__xludf.DUMMYFUNCTION("""COMPUTED_VALUE"""),"")</f>
        <v/>
      </c>
      <c r="U1423" s="5" t="str">
        <f>IFERROR(__xludf.DUMMYFUNCTION("""COMPUTED_VALUE"""),"")</f>
        <v/>
      </c>
      <c r="V1423" s="5" t="str">
        <f>IFERROR(__xludf.DUMMYFUNCTION("""COMPUTED_VALUE"""),"")</f>
        <v/>
      </c>
      <c r="W1423" s="5" t="str">
        <f>IFERROR(__xludf.DUMMYFUNCTION("""COMPUTED_VALUE"""),"")</f>
        <v/>
      </c>
      <c r="X1423" s="5" t="str">
        <f>IFERROR(__xludf.DUMMYFUNCTION("""COMPUTED_VALUE"""),"")</f>
        <v/>
      </c>
      <c r="Y1423" s="5"/>
      <c r="Z1423" s="5"/>
    </row>
    <row r="1424">
      <c r="A1424" s="5"/>
      <c r="B1424" s="5" t="str">
        <f>IFERROR(__xludf.DUMMYFUNCTION("""COMPUTED_VALUE"""),"")</f>
        <v/>
      </c>
      <c r="C1424" s="5" t="str">
        <f>IFERROR(__xludf.DUMMYFUNCTION("""COMPUTED_VALUE"""),"")</f>
        <v/>
      </c>
      <c r="D1424" s="5" t="str">
        <f>IFERROR(__xludf.DUMMYFUNCTION("""COMPUTED_VALUE"""),"")</f>
        <v/>
      </c>
      <c r="E1424" s="5" t="str">
        <f>IFERROR(__xludf.DUMMYFUNCTION("""COMPUTED_VALUE"""),"")</f>
        <v/>
      </c>
      <c r="F1424" s="5" t="str">
        <f>IFERROR(__xludf.DUMMYFUNCTION("""COMPUTED_VALUE"""),"")</f>
        <v/>
      </c>
      <c r="G1424" s="5" t="str">
        <f>IFERROR(__xludf.DUMMYFUNCTION("""COMPUTED_VALUE"""),"")</f>
        <v/>
      </c>
      <c r="H1424" s="5" t="str">
        <f>IFERROR(__xludf.DUMMYFUNCTION("""COMPUTED_VALUE"""),"")</f>
        <v/>
      </c>
      <c r="I1424" s="5" t="str">
        <f>IFERROR(__xludf.DUMMYFUNCTION("""COMPUTED_VALUE"""),"")</f>
        <v/>
      </c>
      <c r="J1424" s="5" t="str">
        <f>IFERROR(__xludf.DUMMYFUNCTION("""COMPUTED_VALUE"""),"")</f>
        <v/>
      </c>
      <c r="K1424" s="5" t="str">
        <f>IFERROR(__xludf.DUMMYFUNCTION("""COMPUTED_VALUE"""),"")</f>
        <v/>
      </c>
      <c r="L1424" s="5" t="str">
        <f>IFERROR(__xludf.DUMMYFUNCTION("""COMPUTED_VALUE"""),"")</f>
        <v/>
      </c>
      <c r="M1424" s="5" t="str">
        <f>IFERROR(__xludf.DUMMYFUNCTION("""COMPUTED_VALUE"""),"")</f>
        <v/>
      </c>
      <c r="N1424" s="5" t="str">
        <f>IFERROR(__xludf.DUMMYFUNCTION("""COMPUTED_VALUE"""),"")</f>
        <v/>
      </c>
      <c r="O1424" s="5" t="str">
        <f>IFERROR(__xludf.DUMMYFUNCTION("""COMPUTED_VALUE"""),"")</f>
        <v/>
      </c>
      <c r="P1424" s="5" t="str">
        <f>IFERROR(__xludf.DUMMYFUNCTION("""COMPUTED_VALUE"""),"")</f>
        <v/>
      </c>
      <c r="Q1424" s="5" t="str">
        <f>IFERROR(__xludf.DUMMYFUNCTION("""COMPUTED_VALUE"""),"")</f>
        <v/>
      </c>
      <c r="R1424" s="5" t="str">
        <f>IFERROR(__xludf.DUMMYFUNCTION("""COMPUTED_VALUE"""),"")</f>
        <v/>
      </c>
      <c r="S1424" s="5" t="str">
        <f>IFERROR(__xludf.DUMMYFUNCTION("""COMPUTED_VALUE"""),"")</f>
        <v/>
      </c>
      <c r="T1424" s="5" t="str">
        <f>IFERROR(__xludf.DUMMYFUNCTION("""COMPUTED_VALUE"""),"")</f>
        <v/>
      </c>
      <c r="U1424" s="5" t="str">
        <f>IFERROR(__xludf.DUMMYFUNCTION("""COMPUTED_VALUE"""),"")</f>
        <v/>
      </c>
      <c r="V1424" s="5" t="str">
        <f>IFERROR(__xludf.DUMMYFUNCTION("""COMPUTED_VALUE"""),"")</f>
        <v/>
      </c>
      <c r="W1424" s="5" t="str">
        <f>IFERROR(__xludf.DUMMYFUNCTION("""COMPUTED_VALUE"""),"")</f>
        <v/>
      </c>
      <c r="X1424" s="5" t="str">
        <f>IFERROR(__xludf.DUMMYFUNCTION("""COMPUTED_VALUE"""),"")</f>
        <v/>
      </c>
      <c r="Y1424" s="5"/>
      <c r="Z1424" s="5"/>
    </row>
    <row r="1425">
      <c r="A1425" s="5"/>
      <c r="B1425" s="5" t="str">
        <f>IFERROR(__xludf.DUMMYFUNCTION("""COMPUTED_VALUE"""),"")</f>
        <v/>
      </c>
      <c r="C1425" s="5" t="str">
        <f>IFERROR(__xludf.DUMMYFUNCTION("""COMPUTED_VALUE"""),"")</f>
        <v/>
      </c>
      <c r="D1425" s="5" t="str">
        <f>IFERROR(__xludf.DUMMYFUNCTION("""COMPUTED_VALUE"""),"")</f>
        <v/>
      </c>
      <c r="E1425" s="5" t="str">
        <f>IFERROR(__xludf.DUMMYFUNCTION("""COMPUTED_VALUE"""),"")</f>
        <v/>
      </c>
      <c r="F1425" s="5" t="str">
        <f>IFERROR(__xludf.DUMMYFUNCTION("""COMPUTED_VALUE"""),"")</f>
        <v/>
      </c>
      <c r="G1425" s="5" t="str">
        <f>IFERROR(__xludf.DUMMYFUNCTION("""COMPUTED_VALUE"""),"")</f>
        <v/>
      </c>
      <c r="H1425" s="5" t="str">
        <f>IFERROR(__xludf.DUMMYFUNCTION("""COMPUTED_VALUE"""),"")</f>
        <v/>
      </c>
      <c r="I1425" s="5" t="str">
        <f>IFERROR(__xludf.DUMMYFUNCTION("""COMPUTED_VALUE"""),"")</f>
        <v/>
      </c>
      <c r="J1425" s="5" t="str">
        <f>IFERROR(__xludf.DUMMYFUNCTION("""COMPUTED_VALUE"""),"")</f>
        <v/>
      </c>
      <c r="K1425" s="5" t="str">
        <f>IFERROR(__xludf.DUMMYFUNCTION("""COMPUTED_VALUE"""),"")</f>
        <v/>
      </c>
      <c r="L1425" s="5" t="str">
        <f>IFERROR(__xludf.DUMMYFUNCTION("""COMPUTED_VALUE"""),"")</f>
        <v/>
      </c>
      <c r="M1425" s="5" t="str">
        <f>IFERROR(__xludf.DUMMYFUNCTION("""COMPUTED_VALUE"""),"")</f>
        <v/>
      </c>
      <c r="N1425" s="5" t="str">
        <f>IFERROR(__xludf.DUMMYFUNCTION("""COMPUTED_VALUE"""),"")</f>
        <v/>
      </c>
      <c r="O1425" s="5" t="str">
        <f>IFERROR(__xludf.DUMMYFUNCTION("""COMPUTED_VALUE"""),"")</f>
        <v/>
      </c>
      <c r="P1425" s="5" t="str">
        <f>IFERROR(__xludf.DUMMYFUNCTION("""COMPUTED_VALUE"""),"")</f>
        <v/>
      </c>
      <c r="Q1425" s="5" t="str">
        <f>IFERROR(__xludf.DUMMYFUNCTION("""COMPUTED_VALUE"""),"")</f>
        <v/>
      </c>
      <c r="R1425" s="5" t="str">
        <f>IFERROR(__xludf.DUMMYFUNCTION("""COMPUTED_VALUE"""),"")</f>
        <v/>
      </c>
      <c r="S1425" s="5" t="str">
        <f>IFERROR(__xludf.DUMMYFUNCTION("""COMPUTED_VALUE"""),"")</f>
        <v/>
      </c>
      <c r="T1425" s="5" t="str">
        <f>IFERROR(__xludf.DUMMYFUNCTION("""COMPUTED_VALUE"""),"")</f>
        <v/>
      </c>
      <c r="U1425" s="5" t="str">
        <f>IFERROR(__xludf.DUMMYFUNCTION("""COMPUTED_VALUE"""),"")</f>
        <v/>
      </c>
      <c r="V1425" s="5" t="str">
        <f>IFERROR(__xludf.DUMMYFUNCTION("""COMPUTED_VALUE"""),"")</f>
        <v/>
      </c>
      <c r="W1425" s="5" t="str">
        <f>IFERROR(__xludf.DUMMYFUNCTION("""COMPUTED_VALUE"""),"")</f>
        <v/>
      </c>
      <c r="X1425" s="5" t="str">
        <f>IFERROR(__xludf.DUMMYFUNCTION("""COMPUTED_VALUE"""),"")</f>
        <v/>
      </c>
      <c r="Y1425" s="5"/>
      <c r="Z1425" s="5"/>
    </row>
    <row r="1426">
      <c r="A1426" s="5"/>
      <c r="B1426" s="5" t="str">
        <f>IFERROR(__xludf.DUMMYFUNCTION("""COMPUTED_VALUE"""),"")</f>
        <v/>
      </c>
      <c r="C1426" s="5" t="str">
        <f>IFERROR(__xludf.DUMMYFUNCTION("""COMPUTED_VALUE"""),"")</f>
        <v/>
      </c>
      <c r="D1426" s="5" t="str">
        <f>IFERROR(__xludf.DUMMYFUNCTION("""COMPUTED_VALUE"""),"")</f>
        <v/>
      </c>
      <c r="E1426" s="5" t="str">
        <f>IFERROR(__xludf.DUMMYFUNCTION("""COMPUTED_VALUE"""),"")</f>
        <v/>
      </c>
      <c r="F1426" s="5" t="str">
        <f>IFERROR(__xludf.DUMMYFUNCTION("""COMPUTED_VALUE"""),"")</f>
        <v/>
      </c>
      <c r="G1426" s="5" t="str">
        <f>IFERROR(__xludf.DUMMYFUNCTION("""COMPUTED_VALUE"""),"")</f>
        <v/>
      </c>
      <c r="H1426" s="5" t="str">
        <f>IFERROR(__xludf.DUMMYFUNCTION("""COMPUTED_VALUE"""),"")</f>
        <v/>
      </c>
      <c r="I1426" s="5" t="str">
        <f>IFERROR(__xludf.DUMMYFUNCTION("""COMPUTED_VALUE"""),"")</f>
        <v/>
      </c>
      <c r="J1426" s="5" t="str">
        <f>IFERROR(__xludf.DUMMYFUNCTION("""COMPUTED_VALUE"""),"")</f>
        <v/>
      </c>
      <c r="K1426" s="5" t="str">
        <f>IFERROR(__xludf.DUMMYFUNCTION("""COMPUTED_VALUE"""),"")</f>
        <v/>
      </c>
      <c r="L1426" s="5" t="str">
        <f>IFERROR(__xludf.DUMMYFUNCTION("""COMPUTED_VALUE"""),"")</f>
        <v/>
      </c>
      <c r="M1426" s="5" t="str">
        <f>IFERROR(__xludf.DUMMYFUNCTION("""COMPUTED_VALUE"""),"")</f>
        <v/>
      </c>
      <c r="N1426" s="5" t="str">
        <f>IFERROR(__xludf.DUMMYFUNCTION("""COMPUTED_VALUE"""),"")</f>
        <v/>
      </c>
      <c r="O1426" s="5" t="str">
        <f>IFERROR(__xludf.DUMMYFUNCTION("""COMPUTED_VALUE"""),"")</f>
        <v/>
      </c>
      <c r="P1426" s="5" t="str">
        <f>IFERROR(__xludf.DUMMYFUNCTION("""COMPUTED_VALUE"""),"")</f>
        <v/>
      </c>
      <c r="Q1426" s="5" t="str">
        <f>IFERROR(__xludf.DUMMYFUNCTION("""COMPUTED_VALUE"""),"")</f>
        <v/>
      </c>
      <c r="R1426" s="5" t="str">
        <f>IFERROR(__xludf.DUMMYFUNCTION("""COMPUTED_VALUE"""),"")</f>
        <v/>
      </c>
      <c r="S1426" s="5" t="str">
        <f>IFERROR(__xludf.DUMMYFUNCTION("""COMPUTED_VALUE"""),"")</f>
        <v/>
      </c>
      <c r="T1426" s="5" t="str">
        <f>IFERROR(__xludf.DUMMYFUNCTION("""COMPUTED_VALUE"""),"")</f>
        <v/>
      </c>
      <c r="U1426" s="5" t="str">
        <f>IFERROR(__xludf.DUMMYFUNCTION("""COMPUTED_VALUE"""),"")</f>
        <v/>
      </c>
      <c r="V1426" s="5" t="str">
        <f>IFERROR(__xludf.DUMMYFUNCTION("""COMPUTED_VALUE"""),"")</f>
        <v/>
      </c>
      <c r="W1426" s="5" t="str">
        <f>IFERROR(__xludf.DUMMYFUNCTION("""COMPUTED_VALUE"""),"")</f>
        <v/>
      </c>
      <c r="X1426" s="5" t="str">
        <f>IFERROR(__xludf.DUMMYFUNCTION("""COMPUTED_VALUE"""),"")</f>
        <v/>
      </c>
      <c r="Y1426" s="5"/>
      <c r="Z1426" s="5"/>
    </row>
    <row r="1427">
      <c r="A1427" s="5"/>
      <c r="B1427" s="5" t="str">
        <f>IFERROR(__xludf.DUMMYFUNCTION("""COMPUTED_VALUE"""),"")</f>
        <v/>
      </c>
      <c r="C1427" s="5" t="str">
        <f>IFERROR(__xludf.DUMMYFUNCTION("""COMPUTED_VALUE"""),"")</f>
        <v/>
      </c>
      <c r="D1427" s="5" t="str">
        <f>IFERROR(__xludf.DUMMYFUNCTION("""COMPUTED_VALUE"""),"")</f>
        <v/>
      </c>
      <c r="E1427" s="5" t="str">
        <f>IFERROR(__xludf.DUMMYFUNCTION("""COMPUTED_VALUE"""),"")</f>
        <v/>
      </c>
      <c r="F1427" s="5" t="str">
        <f>IFERROR(__xludf.DUMMYFUNCTION("""COMPUTED_VALUE"""),"")</f>
        <v/>
      </c>
      <c r="G1427" s="5" t="str">
        <f>IFERROR(__xludf.DUMMYFUNCTION("""COMPUTED_VALUE"""),"")</f>
        <v/>
      </c>
      <c r="H1427" s="5" t="str">
        <f>IFERROR(__xludf.DUMMYFUNCTION("""COMPUTED_VALUE"""),"")</f>
        <v/>
      </c>
      <c r="I1427" s="5" t="str">
        <f>IFERROR(__xludf.DUMMYFUNCTION("""COMPUTED_VALUE"""),"")</f>
        <v/>
      </c>
      <c r="J1427" s="5" t="str">
        <f>IFERROR(__xludf.DUMMYFUNCTION("""COMPUTED_VALUE"""),"")</f>
        <v/>
      </c>
      <c r="K1427" s="5" t="str">
        <f>IFERROR(__xludf.DUMMYFUNCTION("""COMPUTED_VALUE"""),"")</f>
        <v/>
      </c>
      <c r="L1427" s="5" t="str">
        <f>IFERROR(__xludf.DUMMYFUNCTION("""COMPUTED_VALUE"""),"")</f>
        <v/>
      </c>
      <c r="M1427" s="5" t="str">
        <f>IFERROR(__xludf.DUMMYFUNCTION("""COMPUTED_VALUE"""),"")</f>
        <v/>
      </c>
      <c r="N1427" s="5" t="str">
        <f>IFERROR(__xludf.DUMMYFUNCTION("""COMPUTED_VALUE"""),"")</f>
        <v/>
      </c>
      <c r="O1427" s="5" t="str">
        <f>IFERROR(__xludf.DUMMYFUNCTION("""COMPUTED_VALUE"""),"")</f>
        <v/>
      </c>
      <c r="P1427" s="5" t="str">
        <f>IFERROR(__xludf.DUMMYFUNCTION("""COMPUTED_VALUE"""),"")</f>
        <v/>
      </c>
      <c r="Q1427" s="5" t="str">
        <f>IFERROR(__xludf.DUMMYFUNCTION("""COMPUTED_VALUE"""),"")</f>
        <v/>
      </c>
      <c r="R1427" s="5" t="str">
        <f>IFERROR(__xludf.DUMMYFUNCTION("""COMPUTED_VALUE"""),"")</f>
        <v/>
      </c>
      <c r="S1427" s="5" t="str">
        <f>IFERROR(__xludf.DUMMYFUNCTION("""COMPUTED_VALUE"""),"")</f>
        <v/>
      </c>
      <c r="T1427" s="5" t="str">
        <f>IFERROR(__xludf.DUMMYFUNCTION("""COMPUTED_VALUE"""),"")</f>
        <v/>
      </c>
      <c r="U1427" s="5" t="str">
        <f>IFERROR(__xludf.DUMMYFUNCTION("""COMPUTED_VALUE"""),"")</f>
        <v/>
      </c>
      <c r="V1427" s="5" t="str">
        <f>IFERROR(__xludf.DUMMYFUNCTION("""COMPUTED_VALUE"""),"")</f>
        <v/>
      </c>
      <c r="W1427" s="5" t="str">
        <f>IFERROR(__xludf.DUMMYFUNCTION("""COMPUTED_VALUE"""),"")</f>
        <v/>
      </c>
      <c r="X1427" s="5" t="str">
        <f>IFERROR(__xludf.DUMMYFUNCTION("""COMPUTED_VALUE"""),"")</f>
        <v/>
      </c>
      <c r="Y1427" s="5"/>
      <c r="Z1427" s="5"/>
    </row>
    <row r="1428">
      <c r="A1428" s="5"/>
      <c r="B1428" s="5" t="str">
        <f>IFERROR(__xludf.DUMMYFUNCTION("""COMPUTED_VALUE"""),"")</f>
        <v/>
      </c>
      <c r="C1428" s="5" t="str">
        <f>IFERROR(__xludf.DUMMYFUNCTION("""COMPUTED_VALUE"""),"")</f>
        <v/>
      </c>
      <c r="D1428" s="5" t="str">
        <f>IFERROR(__xludf.DUMMYFUNCTION("""COMPUTED_VALUE"""),"")</f>
        <v/>
      </c>
      <c r="E1428" s="5" t="str">
        <f>IFERROR(__xludf.DUMMYFUNCTION("""COMPUTED_VALUE"""),"")</f>
        <v/>
      </c>
      <c r="F1428" s="5" t="str">
        <f>IFERROR(__xludf.DUMMYFUNCTION("""COMPUTED_VALUE"""),"")</f>
        <v/>
      </c>
      <c r="G1428" s="5" t="str">
        <f>IFERROR(__xludf.DUMMYFUNCTION("""COMPUTED_VALUE"""),"")</f>
        <v/>
      </c>
      <c r="H1428" s="5" t="str">
        <f>IFERROR(__xludf.DUMMYFUNCTION("""COMPUTED_VALUE"""),"")</f>
        <v/>
      </c>
      <c r="I1428" s="5" t="str">
        <f>IFERROR(__xludf.DUMMYFUNCTION("""COMPUTED_VALUE"""),"")</f>
        <v/>
      </c>
      <c r="J1428" s="5" t="str">
        <f>IFERROR(__xludf.DUMMYFUNCTION("""COMPUTED_VALUE"""),"")</f>
        <v/>
      </c>
      <c r="K1428" s="5" t="str">
        <f>IFERROR(__xludf.DUMMYFUNCTION("""COMPUTED_VALUE"""),"")</f>
        <v/>
      </c>
      <c r="L1428" s="5" t="str">
        <f>IFERROR(__xludf.DUMMYFUNCTION("""COMPUTED_VALUE"""),"")</f>
        <v/>
      </c>
      <c r="M1428" s="5" t="str">
        <f>IFERROR(__xludf.DUMMYFUNCTION("""COMPUTED_VALUE"""),"")</f>
        <v/>
      </c>
      <c r="N1428" s="5" t="str">
        <f>IFERROR(__xludf.DUMMYFUNCTION("""COMPUTED_VALUE"""),"")</f>
        <v/>
      </c>
      <c r="O1428" s="5" t="str">
        <f>IFERROR(__xludf.DUMMYFUNCTION("""COMPUTED_VALUE"""),"")</f>
        <v/>
      </c>
      <c r="P1428" s="5" t="str">
        <f>IFERROR(__xludf.DUMMYFUNCTION("""COMPUTED_VALUE"""),"")</f>
        <v/>
      </c>
      <c r="Q1428" s="5" t="str">
        <f>IFERROR(__xludf.DUMMYFUNCTION("""COMPUTED_VALUE"""),"")</f>
        <v/>
      </c>
      <c r="R1428" s="5" t="str">
        <f>IFERROR(__xludf.DUMMYFUNCTION("""COMPUTED_VALUE"""),"")</f>
        <v/>
      </c>
      <c r="S1428" s="5" t="str">
        <f>IFERROR(__xludf.DUMMYFUNCTION("""COMPUTED_VALUE"""),"")</f>
        <v/>
      </c>
      <c r="T1428" s="5" t="str">
        <f>IFERROR(__xludf.DUMMYFUNCTION("""COMPUTED_VALUE"""),"")</f>
        <v/>
      </c>
      <c r="U1428" s="5" t="str">
        <f>IFERROR(__xludf.DUMMYFUNCTION("""COMPUTED_VALUE"""),"")</f>
        <v/>
      </c>
      <c r="V1428" s="5" t="str">
        <f>IFERROR(__xludf.DUMMYFUNCTION("""COMPUTED_VALUE"""),"")</f>
        <v/>
      </c>
      <c r="W1428" s="5" t="str">
        <f>IFERROR(__xludf.DUMMYFUNCTION("""COMPUTED_VALUE"""),"")</f>
        <v/>
      </c>
      <c r="X1428" s="5" t="str">
        <f>IFERROR(__xludf.DUMMYFUNCTION("""COMPUTED_VALUE"""),"")</f>
        <v/>
      </c>
      <c r="Y1428" s="5"/>
      <c r="Z1428" s="5"/>
    </row>
    <row r="1429">
      <c r="A1429" s="5"/>
      <c r="B1429" s="5" t="str">
        <f>IFERROR(__xludf.DUMMYFUNCTION("""COMPUTED_VALUE"""),"")</f>
        <v/>
      </c>
      <c r="C1429" s="5" t="str">
        <f>IFERROR(__xludf.DUMMYFUNCTION("""COMPUTED_VALUE"""),"")</f>
        <v/>
      </c>
      <c r="D1429" s="5" t="str">
        <f>IFERROR(__xludf.DUMMYFUNCTION("""COMPUTED_VALUE"""),"")</f>
        <v/>
      </c>
      <c r="E1429" s="5" t="str">
        <f>IFERROR(__xludf.DUMMYFUNCTION("""COMPUTED_VALUE"""),"")</f>
        <v/>
      </c>
      <c r="F1429" s="5" t="str">
        <f>IFERROR(__xludf.DUMMYFUNCTION("""COMPUTED_VALUE"""),"")</f>
        <v/>
      </c>
      <c r="G1429" s="5" t="str">
        <f>IFERROR(__xludf.DUMMYFUNCTION("""COMPUTED_VALUE"""),"")</f>
        <v/>
      </c>
      <c r="H1429" s="5" t="str">
        <f>IFERROR(__xludf.DUMMYFUNCTION("""COMPUTED_VALUE"""),"")</f>
        <v/>
      </c>
      <c r="I1429" s="5" t="str">
        <f>IFERROR(__xludf.DUMMYFUNCTION("""COMPUTED_VALUE"""),"")</f>
        <v/>
      </c>
      <c r="J1429" s="5" t="str">
        <f>IFERROR(__xludf.DUMMYFUNCTION("""COMPUTED_VALUE"""),"")</f>
        <v/>
      </c>
      <c r="K1429" s="5" t="str">
        <f>IFERROR(__xludf.DUMMYFUNCTION("""COMPUTED_VALUE"""),"")</f>
        <v/>
      </c>
      <c r="L1429" s="5" t="str">
        <f>IFERROR(__xludf.DUMMYFUNCTION("""COMPUTED_VALUE"""),"")</f>
        <v/>
      </c>
      <c r="M1429" s="5" t="str">
        <f>IFERROR(__xludf.DUMMYFUNCTION("""COMPUTED_VALUE"""),"")</f>
        <v/>
      </c>
      <c r="N1429" s="5" t="str">
        <f>IFERROR(__xludf.DUMMYFUNCTION("""COMPUTED_VALUE"""),"")</f>
        <v/>
      </c>
      <c r="O1429" s="5" t="str">
        <f>IFERROR(__xludf.DUMMYFUNCTION("""COMPUTED_VALUE"""),"")</f>
        <v/>
      </c>
      <c r="P1429" s="5" t="str">
        <f>IFERROR(__xludf.DUMMYFUNCTION("""COMPUTED_VALUE"""),"")</f>
        <v/>
      </c>
      <c r="Q1429" s="5" t="str">
        <f>IFERROR(__xludf.DUMMYFUNCTION("""COMPUTED_VALUE"""),"")</f>
        <v/>
      </c>
      <c r="R1429" s="5" t="str">
        <f>IFERROR(__xludf.DUMMYFUNCTION("""COMPUTED_VALUE"""),"")</f>
        <v/>
      </c>
      <c r="S1429" s="5" t="str">
        <f>IFERROR(__xludf.DUMMYFUNCTION("""COMPUTED_VALUE"""),"")</f>
        <v/>
      </c>
      <c r="T1429" s="5" t="str">
        <f>IFERROR(__xludf.DUMMYFUNCTION("""COMPUTED_VALUE"""),"")</f>
        <v/>
      </c>
      <c r="U1429" s="5" t="str">
        <f>IFERROR(__xludf.DUMMYFUNCTION("""COMPUTED_VALUE"""),"")</f>
        <v/>
      </c>
      <c r="V1429" s="5" t="str">
        <f>IFERROR(__xludf.DUMMYFUNCTION("""COMPUTED_VALUE"""),"")</f>
        <v/>
      </c>
      <c r="W1429" s="5" t="str">
        <f>IFERROR(__xludf.DUMMYFUNCTION("""COMPUTED_VALUE"""),"")</f>
        <v/>
      </c>
      <c r="X1429" s="5" t="str">
        <f>IFERROR(__xludf.DUMMYFUNCTION("""COMPUTED_VALUE"""),"")</f>
        <v/>
      </c>
      <c r="Y1429" s="5"/>
      <c r="Z1429" s="5"/>
    </row>
    <row r="1430">
      <c r="A1430" s="5"/>
      <c r="B1430" s="5" t="str">
        <f>IFERROR(__xludf.DUMMYFUNCTION("""COMPUTED_VALUE"""),"")</f>
        <v/>
      </c>
      <c r="C1430" s="5" t="str">
        <f>IFERROR(__xludf.DUMMYFUNCTION("""COMPUTED_VALUE"""),"")</f>
        <v/>
      </c>
      <c r="D1430" s="5" t="str">
        <f>IFERROR(__xludf.DUMMYFUNCTION("""COMPUTED_VALUE"""),"")</f>
        <v/>
      </c>
      <c r="E1430" s="5" t="str">
        <f>IFERROR(__xludf.DUMMYFUNCTION("""COMPUTED_VALUE"""),"")</f>
        <v/>
      </c>
      <c r="F1430" s="5" t="str">
        <f>IFERROR(__xludf.DUMMYFUNCTION("""COMPUTED_VALUE"""),"")</f>
        <v/>
      </c>
      <c r="G1430" s="5" t="str">
        <f>IFERROR(__xludf.DUMMYFUNCTION("""COMPUTED_VALUE"""),"")</f>
        <v/>
      </c>
      <c r="H1430" s="5" t="str">
        <f>IFERROR(__xludf.DUMMYFUNCTION("""COMPUTED_VALUE"""),"")</f>
        <v/>
      </c>
      <c r="I1430" s="5" t="str">
        <f>IFERROR(__xludf.DUMMYFUNCTION("""COMPUTED_VALUE"""),"")</f>
        <v/>
      </c>
      <c r="J1430" s="5" t="str">
        <f>IFERROR(__xludf.DUMMYFUNCTION("""COMPUTED_VALUE"""),"")</f>
        <v/>
      </c>
      <c r="K1430" s="5" t="str">
        <f>IFERROR(__xludf.DUMMYFUNCTION("""COMPUTED_VALUE"""),"")</f>
        <v/>
      </c>
      <c r="L1430" s="5" t="str">
        <f>IFERROR(__xludf.DUMMYFUNCTION("""COMPUTED_VALUE"""),"")</f>
        <v/>
      </c>
      <c r="M1430" s="5" t="str">
        <f>IFERROR(__xludf.DUMMYFUNCTION("""COMPUTED_VALUE"""),"")</f>
        <v/>
      </c>
      <c r="N1430" s="5" t="str">
        <f>IFERROR(__xludf.DUMMYFUNCTION("""COMPUTED_VALUE"""),"")</f>
        <v/>
      </c>
      <c r="O1430" s="5" t="str">
        <f>IFERROR(__xludf.DUMMYFUNCTION("""COMPUTED_VALUE"""),"")</f>
        <v/>
      </c>
      <c r="P1430" s="5" t="str">
        <f>IFERROR(__xludf.DUMMYFUNCTION("""COMPUTED_VALUE"""),"")</f>
        <v/>
      </c>
      <c r="Q1430" s="5" t="str">
        <f>IFERROR(__xludf.DUMMYFUNCTION("""COMPUTED_VALUE"""),"")</f>
        <v/>
      </c>
      <c r="R1430" s="5" t="str">
        <f>IFERROR(__xludf.DUMMYFUNCTION("""COMPUTED_VALUE"""),"")</f>
        <v/>
      </c>
      <c r="S1430" s="5" t="str">
        <f>IFERROR(__xludf.DUMMYFUNCTION("""COMPUTED_VALUE"""),"")</f>
        <v/>
      </c>
      <c r="T1430" s="5" t="str">
        <f>IFERROR(__xludf.DUMMYFUNCTION("""COMPUTED_VALUE"""),"")</f>
        <v/>
      </c>
      <c r="U1430" s="5" t="str">
        <f>IFERROR(__xludf.DUMMYFUNCTION("""COMPUTED_VALUE"""),"")</f>
        <v/>
      </c>
      <c r="V1430" s="5" t="str">
        <f>IFERROR(__xludf.DUMMYFUNCTION("""COMPUTED_VALUE"""),"")</f>
        <v/>
      </c>
      <c r="W1430" s="5" t="str">
        <f>IFERROR(__xludf.DUMMYFUNCTION("""COMPUTED_VALUE"""),"")</f>
        <v/>
      </c>
      <c r="X1430" s="5" t="str">
        <f>IFERROR(__xludf.DUMMYFUNCTION("""COMPUTED_VALUE"""),"")</f>
        <v/>
      </c>
      <c r="Y1430" s="5"/>
      <c r="Z1430" s="5"/>
    </row>
    <row r="1431">
      <c r="A1431" s="5"/>
      <c r="B1431" s="5" t="str">
        <f>IFERROR(__xludf.DUMMYFUNCTION("""COMPUTED_VALUE"""),"")</f>
        <v/>
      </c>
      <c r="C1431" s="5" t="str">
        <f>IFERROR(__xludf.DUMMYFUNCTION("""COMPUTED_VALUE"""),"")</f>
        <v/>
      </c>
      <c r="D1431" s="5" t="str">
        <f>IFERROR(__xludf.DUMMYFUNCTION("""COMPUTED_VALUE"""),"")</f>
        <v/>
      </c>
      <c r="E1431" s="5" t="str">
        <f>IFERROR(__xludf.DUMMYFUNCTION("""COMPUTED_VALUE"""),"")</f>
        <v/>
      </c>
      <c r="F1431" s="5" t="str">
        <f>IFERROR(__xludf.DUMMYFUNCTION("""COMPUTED_VALUE"""),"")</f>
        <v/>
      </c>
      <c r="G1431" s="5" t="str">
        <f>IFERROR(__xludf.DUMMYFUNCTION("""COMPUTED_VALUE"""),"")</f>
        <v/>
      </c>
      <c r="H1431" s="5" t="str">
        <f>IFERROR(__xludf.DUMMYFUNCTION("""COMPUTED_VALUE"""),"")</f>
        <v/>
      </c>
      <c r="I1431" s="5" t="str">
        <f>IFERROR(__xludf.DUMMYFUNCTION("""COMPUTED_VALUE"""),"")</f>
        <v/>
      </c>
      <c r="J1431" s="5" t="str">
        <f>IFERROR(__xludf.DUMMYFUNCTION("""COMPUTED_VALUE"""),"")</f>
        <v/>
      </c>
      <c r="K1431" s="5" t="str">
        <f>IFERROR(__xludf.DUMMYFUNCTION("""COMPUTED_VALUE"""),"")</f>
        <v/>
      </c>
      <c r="L1431" s="5" t="str">
        <f>IFERROR(__xludf.DUMMYFUNCTION("""COMPUTED_VALUE"""),"")</f>
        <v/>
      </c>
      <c r="M1431" s="5" t="str">
        <f>IFERROR(__xludf.DUMMYFUNCTION("""COMPUTED_VALUE"""),"")</f>
        <v/>
      </c>
      <c r="N1431" s="5" t="str">
        <f>IFERROR(__xludf.DUMMYFUNCTION("""COMPUTED_VALUE"""),"")</f>
        <v/>
      </c>
      <c r="O1431" s="5" t="str">
        <f>IFERROR(__xludf.DUMMYFUNCTION("""COMPUTED_VALUE"""),"")</f>
        <v/>
      </c>
      <c r="P1431" s="5" t="str">
        <f>IFERROR(__xludf.DUMMYFUNCTION("""COMPUTED_VALUE"""),"")</f>
        <v/>
      </c>
      <c r="Q1431" s="5" t="str">
        <f>IFERROR(__xludf.DUMMYFUNCTION("""COMPUTED_VALUE"""),"")</f>
        <v/>
      </c>
      <c r="R1431" s="5" t="str">
        <f>IFERROR(__xludf.DUMMYFUNCTION("""COMPUTED_VALUE"""),"")</f>
        <v/>
      </c>
      <c r="S1431" s="5" t="str">
        <f>IFERROR(__xludf.DUMMYFUNCTION("""COMPUTED_VALUE"""),"")</f>
        <v/>
      </c>
      <c r="T1431" s="5" t="str">
        <f>IFERROR(__xludf.DUMMYFUNCTION("""COMPUTED_VALUE"""),"")</f>
        <v/>
      </c>
      <c r="U1431" s="5" t="str">
        <f>IFERROR(__xludf.DUMMYFUNCTION("""COMPUTED_VALUE"""),"")</f>
        <v/>
      </c>
      <c r="V1431" s="5" t="str">
        <f>IFERROR(__xludf.DUMMYFUNCTION("""COMPUTED_VALUE"""),"")</f>
        <v/>
      </c>
      <c r="W1431" s="5" t="str">
        <f>IFERROR(__xludf.DUMMYFUNCTION("""COMPUTED_VALUE"""),"")</f>
        <v/>
      </c>
      <c r="X1431" s="5" t="str">
        <f>IFERROR(__xludf.DUMMYFUNCTION("""COMPUTED_VALUE"""),"")</f>
        <v/>
      </c>
      <c r="Y1431" s="5"/>
      <c r="Z1431" s="5"/>
    </row>
    <row r="1432">
      <c r="A1432" s="5"/>
      <c r="B1432" s="5" t="str">
        <f>IFERROR(__xludf.DUMMYFUNCTION("""COMPUTED_VALUE"""),"")</f>
        <v/>
      </c>
      <c r="C1432" s="5" t="str">
        <f>IFERROR(__xludf.DUMMYFUNCTION("""COMPUTED_VALUE"""),"")</f>
        <v/>
      </c>
      <c r="D1432" s="5" t="str">
        <f>IFERROR(__xludf.DUMMYFUNCTION("""COMPUTED_VALUE"""),"")</f>
        <v/>
      </c>
      <c r="E1432" s="5" t="str">
        <f>IFERROR(__xludf.DUMMYFUNCTION("""COMPUTED_VALUE"""),"")</f>
        <v/>
      </c>
      <c r="F1432" s="5" t="str">
        <f>IFERROR(__xludf.DUMMYFUNCTION("""COMPUTED_VALUE"""),"")</f>
        <v/>
      </c>
      <c r="G1432" s="5" t="str">
        <f>IFERROR(__xludf.DUMMYFUNCTION("""COMPUTED_VALUE"""),"")</f>
        <v/>
      </c>
      <c r="H1432" s="5" t="str">
        <f>IFERROR(__xludf.DUMMYFUNCTION("""COMPUTED_VALUE"""),"")</f>
        <v/>
      </c>
      <c r="I1432" s="5" t="str">
        <f>IFERROR(__xludf.DUMMYFUNCTION("""COMPUTED_VALUE"""),"")</f>
        <v/>
      </c>
      <c r="J1432" s="5" t="str">
        <f>IFERROR(__xludf.DUMMYFUNCTION("""COMPUTED_VALUE"""),"")</f>
        <v/>
      </c>
      <c r="K1432" s="5" t="str">
        <f>IFERROR(__xludf.DUMMYFUNCTION("""COMPUTED_VALUE"""),"")</f>
        <v/>
      </c>
      <c r="L1432" s="5" t="str">
        <f>IFERROR(__xludf.DUMMYFUNCTION("""COMPUTED_VALUE"""),"")</f>
        <v/>
      </c>
      <c r="M1432" s="5" t="str">
        <f>IFERROR(__xludf.DUMMYFUNCTION("""COMPUTED_VALUE"""),"")</f>
        <v/>
      </c>
      <c r="N1432" s="5" t="str">
        <f>IFERROR(__xludf.DUMMYFUNCTION("""COMPUTED_VALUE"""),"")</f>
        <v/>
      </c>
      <c r="O1432" s="5" t="str">
        <f>IFERROR(__xludf.DUMMYFUNCTION("""COMPUTED_VALUE"""),"")</f>
        <v/>
      </c>
      <c r="P1432" s="5" t="str">
        <f>IFERROR(__xludf.DUMMYFUNCTION("""COMPUTED_VALUE"""),"")</f>
        <v/>
      </c>
      <c r="Q1432" s="5" t="str">
        <f>IFERROR(__xludf.DUMMYFUNCTION("""COMPUTED_VALUE"""),"")</f>
        <v/>
      </c>
      <c r="R1432" s="5" t="str">
        <f>IFERROR(__xludf.DUMMYFUNCTION("""COMPUTED_VALUE"""),"")</f>
        <v/>
      </c>
      <c r="S1432" s="5" t="str">
        <f>IFERROR(__xludf.DUMMYFUNCTION("""COMPUTED_VALUE"""),"")</f>
        <v/>
      </c>
      <c r="T1432" s="5" t="str">
        <f>IFERROR(__xludf.DUMMYFUNCTION("""COMPUTED_VALUE"""),"")</f>
        <v/>
      </c>
      <c r="U1432" s="5" t="str">
        <f>IFERROR(__xludf.DUMMYFUNCTION("""COMPUTED_VALUE"""),"")</f>
        <v/>
      </c>
      <c r="V1432" s="5" t="str">
        <f>IFERROR(__xludf.DUMMYFUNCTION("""COMPUTED_VALUE"""),"")</f>
        <v/>
      </c>
      <c r="W1432" s="5" t="str">
        <f>IFERROR(__xludf.DUMMYFUNCTION("""COMPUTED_VALUE"""),"")</f>
        <v/>
      </c>
      <c r="X1432" s="5" t="str">
        <f>IFERROR(__xludf.DUMMYFUNCTION("""COMPUTED_VALUE"""),"")</f>
        <v/>
      </c>
      <c r="Y1432" s="5"/>
      <c r="Z1432" s="5"/>
    </row>
    <row r="1433">
      <c r="A1433" s="5"/>
      <c r="B1433" s="5" t="str">
        <f>IFERROR(__xludf.DUMMYFUNCTION("""COMPUTED_VALUE"""),"")</f>
        <v/>
      </c>
      <c r="C1433" s="5" t="str">
        <f>IFERROR(__xludf.DUMMYFUNCTION("""COMPUTED_VALUE"""),"")</f>
        <v/>
      </c>
      <c r="D1433" s="5" t="str">
        <f>IFERROR(__xludf.DUMMYFUNCTION("""COMPUTED_VALUE"""),"")</f>
        <v/>
      </c>
      <c r="E1433" s="5" t="str">
        <f>IFERROR(__xludf.DUMMYFUNCTION("""COMPUTED_VALUE"""),"")</f>
        <v/>
      </c>
      <c r="F1433" s="5" t="str">
        <f>IFERROR(__xludf.DUMMYFUNCTION("""COMPUTED_VALUE"""),"")</f>
        <v/>
      </c>
      <c r="G1433" s="5" t="str">
        <f>IFERROR(__xludf.DUMMYFUNCTION("""COMPUTED_VALUE"""),"")</f>
        <v/>
      </c>
      <c r="H1433" s="5" t="str">
        <f>IFERROR(__xludf.DUMMYFUNCTION("""COMPUTED_VALUE"""),"")</f>
        <v/>
      </c>
      <c r="I1433" s="5" t="str">
        <f>IFERROR(__xludf.DUMMYFUNCTION("""COMPUTED_VALUE"""),"")</f>
        <v/>
      </c>
      <c r="J1433" s="5" t="str">
        <f>IFERROR(__xludf.DUMMYFUNCTION("""COMPUTED_VALUE"""),"")</f>
        <v/>
      </c>
      <c r="K1433" s="5" t="str">
        <f>IFERROR(__xludf.DUMMYFUNCTION("""COMPUTED_VALUE"""),"")</f>
        <v/>
      </c>
      <c r="L1433" s="5" t="str">
        <f>IFERROR(__xludf.DUMMYFUNCTION("""COMPUTED_VALUE"""),"")</f>
        <v/>
      </c>
      <c r="M1433" s="5" t="str">
        <f>IFERROR(__xludf.DUMMYFUNCTION("""COMPUTED_VALUE"""),"")</f>
        <v/>
      </c>
      <c r="N1433" s="5" t="str">
        <f>IFERROR(__xludf.DUMMYFUNCTION("""COMPUTED_VALUE"""),"")</f>
        <v/>
      </c>
      <c r="O1433" s="5" t="str">
        <f>IFERROR(__xludf.DUMMYFUNCTION("""COMPUTED_VALUE"""),"")</f>
        <v/>
      </c>
      <c r="P1433" s="5" t="str">
        <f>IFERROR(__xludf.DUMMYFUNCTION("""COMPUTED_VALUE"""),"")</f>
        <v/>
      </c>
      <c r="Q1433" s="5" t="str">
        <f>IFERROR(__xludf.DUMMYFUNCTION("""COMPUTED_VALUE"""),"")</f>
        <v/>
      </c>
      <c r="R1433" s="5" t="str">
        <f>IFERROR(__xludf.DUMMYFUNCTION("""COMPUTED_VALUE"""),"")</f>
        <v/>
      </c>
      <c r="S1433" s="5" t="str">
        <f>IFERROR(__xludf.DUMMYFUNCTION("""COMPUTED_VALUE"""),"")</f>
        <v/>
      </c>
      <c r="T1433" s="5" t="str">
        <f>IFERROR(__xludf.DUMMYFUNCTION("""COMPUTED_VALUE"""),"")</f>
        <v/>
      </c>
      <c r="U1433" s="5" t="str">
        <f>IFERROR(__xludf.DUMMYFUNCTION("""COMPUTED_VALUE"""),"")</f>
        <v/>
      </c>
      <c r="V1433" s="5" t="str">
        <f>IFERROR(__xludf.DUMMYFUNCTION("""COMPUTED_VALUE"""),"")</f>
        <v/>
      </c>
      <c r="W1433" s="5" t="str">
        <f>IFERROR(__xludf.DUMMYFUNCTION("""COMPUTED_VALUE"""),"")</f>
        <v/>
      </c>
      <c r="X1433" s="5" t="str">
        <f>IFERROR(__xludf.DUMMYFUNCTION("""COMPUTED_VALUE"""),"")</f>
        <v/>
      </c>
      <c r="Y1433" s="5"/>
      <c r="Z1433" s="5"/>
    </row>
    <row r="1434">
      <c r="A1434" s="5"/>
      <c r="B1434" s="5" t="str">
        <f>IFERROR(__xludf.DUMMYFUNCTION("""COMPUTED_VALUE"""),"")</f>
        <v/>
      </c>
      <c r="C1434" s="5" t="str">
        <f>IFERROR(__xludf.DUMMYFUNCTION("""COMPUTED_VALUE"""),"")</f>
        <v/>
      </c>
      <c r="D1434" s="5" t="str">
        <f>IFERROR(__xludf.DUMMYFUNCTION("""COMPUTED_VALUE"""),"")</f>
        <v/>
      </c>
      <c r="E1434" s="5" t="str">
        <f>IFERROR(__xludf.DUMMYFUNCTION("""COMPUTED_VALUE"""),"")</f>
        <v/>
      </c>
      <c r="F1434" s="5" t="str">
        <f>IFERROR(__xludf.DUMMYFUNCTION("""COMPUTED_VALUE"""),"")</f>
        <v/>
      </c>
      <c r="G1434" s="5" t="str">
        <f>IFERROR(__xludf.DUMMYFUNCTION("""COMPUTED_VALUE"""),"")</f>
        <v/>
      </c>
      <c r="H1434" s="5" t="str">
        <f>IFERROR(__xludf.DUMMYFUNCTION("""COMPUTED_VALUE"""),"")</f>
        <v/>
      </c>
      <c r="I1434" s="5" t="str">
        <f>IFERROR(__xludf.DUMMYFUNCTION("""COMPUTED_VALUE"""),"")</f>
        <v/>
      </c>
      <c r="J1434" s="5" t="str">
        <f>IFERROR(__xludf.DUMMYFUNCTION("""COMPUTED_VALUE"""),"")</f>
        <v/>
      </c>
      <c r="K1434" s="5" t="str">
        <f>IFERROR(__xludf.DUMMYFUNCTION("""COMPUTED_VALUE"""),"")</f>
        <v/>
      </c>
      <c r="L1434" s="5" t="str">
        <f>IFERROR(__xludf.DUMMYFUNCTION("""COMPUTED_VALUE"""),"")</f>
        <v/>
      </c>
      <c r="M1434" s="5" t="str">
        <f>IFERROR(__xludf.DUMMYFUNCTION("""COMPUTED_VALUE"""),"")</f>
        <v/>
      </c>
      <c r="N1434" s="5" t="str">
        <f>IFERROR(__xludf.DUMMYFUNCTION("""COMPUTED_VALUE"""),"")</f>
        <v/>
      </c>
      <c r="O1434" s="5" t="str">
        <f>IFERROR(__xludf.DUMMYFUNCTION("""COMPUTED_VALUE"""),"")</f>
        <v/>
      </c>
      <c r="P1434" s="5" t="str">
        <f>IFERROR(__xludf.DUMMYFUNCTION("""COMPUTED_VALUE"""),"")</f>
        <v/>
      </c>
      <c r="Q1434" s="5" t="str">
        <f>IFERROR(__xludf.DUMMYFUNCTION("""COMPUTED_VALUE"""),"")</f>
        <v/>
      </c>
      <c r="R1434" s="5" t="str">
        <f>IFERROR(__xludf.DUMMYFUNCTION("""COMPUTED_VALUE"""),"")</f>
        <v/>
      </c>
      <c r="S1434" s="5" t="str">
        <f>IFERROR(__xludf.DUMMYFUNCTION("""COMPUTED_VALUE"""),"")</f>
        <v/>
      </c>
      <c r="T1434" s="5" t="str">
        <f>IFERROR(__xludf.DUMMYFUNCTION("""COMPUTED_VALUE"""),"")</f>
        <v/>
      </c>
      <c r="U1434" s="5" t="str">
        <f>IFERROR(__xludf.DUMMYFUNCTION("""COMPUTED_VALUE"""),"")</f>
        <v/>
      </c>
      <c r="V1434" s="5" t="str">
        <f>IFERROR(__xludf.DUMMYFUNCTION("""COMPUTED_VALUE"""),"")</f>
        <v/>
      </c>
      <c r="W1434" s="5" t="str">
        <f>IFERROR(__xludf.DUMMYFUNCTION("""COMPUTED_VALUE"""),"")</f>
        <v/>
      </c>
      <c r="X1434" s="5" t="str">
        <f>IFERROR(__xludf.DUMMYFUNCTION("""COMPUTED_VALUE"""),"")</f>
        <v/>
      </c>
      <c r="Y1434" s="5"/>
      <c r="Z1434" s="5"/>
    </row>
    <row r="1435">
      <c r="A1435" s="5"/>
      <c r="B1435" s="5" t="str">
        <f>IFERROR(__xludf.DUMMYFUNCTION("""COMPUTED_VALUE"""),"")</f>
        <v/>
      </c>
      <c r="C1435" s="5" t="str">
        <f>IFERROR(__xludf.DUMMYFUNCTION("""COMPUTED_VALUE"""),"")</f>
        <v/>
      </c>
      <c r="D1435" s="5" t="str">
        <f>IFERROR(__xludf.DUMMYFUNCTION("""COMPUTED_VALUE"""),"")</f>
        <v/>
      </c>
      <c r="E1435" s="5" t="str">
        <f>IFERROR(__xludf.DUMMYFUNCTION("""COMPUTED_VALUE"""),"")</f>
        <v/>
      </c>
      <c r="F1435" s="5" t="str">
        <f>IFERROR(__xludf.DUMMYFUNCTION("""COMPUTED_VALUE"""),"")</f>
        <v/>
      </c>
      <c r="G1435" s="5" t="str">
        <f>IFERROR(__xludf.DUMMYFUNCTION("""COMPUTED_VALUE"""),"")</f>
        <v/>
      </c>
      <c r="H1435" s="5" t="str">
        <f>IFERROR(__xludf.DUMMYFUNCTION("""COMPUTED_VALUE"""),"")</f>
        <v/>
      </c>
      <c r="I1435" s="5" t="str">
        <f>IFERROR(__xludf.DUMMYFUNCTION("""COMPUTED_VALUE"""),"")</f>
        <v/>
      </c>
      <c r="J1435" s="5" t="str">
        <f>IFERROR(__xludf.DUMMYFUNCTION("""COMPUTED_VALUE"""),"")</f>
        <v/>
      </c>
      <c r="K1435" s="5" t="str">
        <f>IFERROR(__xludf.DUMMYFUNCTION("""COMPUTED_VALUE"""),"")</f>
        <v/>
      </c>
      <c r="L1435" s="5" t="str">
        <f>IFERROR(__xludf.DUMMYFUNCTION("""COMPUTED_VALUE"""),"")</f>
        <v/>
      </c>
      <c r="M1435" s="5" t="str">
        <f>IFERROR(__xludf.DUMMYFUNCTION("""COMPUTED_VALUE"""),"")</f>
        <v/>
      </c>
      <c r="N1435" s="5" t="str">
        <f>IFERROR(__xludf.DUMMYFUNCTION("""COMPUTED_VALUE"""),"")</f>
        <v/>
      </c>
      <c r="O1435" s="5" t="str">
        <f>IFERROR(__xludf.DUMMYFUNCTION("""COMPUTED_VALUE"""),"")</f>
        <v/>
      </c>
      <c r="P1435" s="5" t="str">
        <f>IFERROR(__xludf.DUMMYFUNCTION("""COMPUTED_VALUE"""),"")</f>
        <v/>
      </c>
      <c r="Q1435" s="5" t="str">
        <f>IFERROR(__xludf.DUMMYFUNCTION("""COMPUTED_VALUE"""),"")</f>
        <v/>
      </c>
      <c r="R1435" s="5" t="str">
        <f>IFERROR(__xludf.DUMMYFUNCTION("""COMPUTED_VALUE"""),"")</f>
        <v/>
      </c>
      <c r="S1435" s="5" t="str">
        <f>IFERROR(__xludf.DUMMYFUNCTION("""COMPUTED_VALUE"""),"")</f>
        <v/>
      </c>
      <c r="T1435" s="5" t="str">
        <f>IFERROR(__xludf.DUMMYFUNCTION("""COMPUTED_VALUE"""),"")</f>
        <v/>
      </c>
      <c r="U1435" s="5" t="str">
        <f>IFERROR(__xludf.DUMMYFUNCTION("""COMPUTED_VALUE"""),"")</f>
        <v/>
      </c>
      <c r="V1435" s="5" t="str">
        <f>IFERROR(__xludf.DUMMYFUNCTION("""COMPUTED_VALUE"""),"")</f>
        <v/>
      </c>
      <c r="W1435" s="5" t="str">
        <f>IFERROR(__xludf.DUMMYFUNCTION("""COMPUTED_VALUE"""),"")</f>
        <v/>
      </c>
      <c r="X1435" s="5" t="str">
        <f>IFERROR(__xludf.DUMMYFUNCTION("""COMPUTED_VALUE"""),"")</f>
        <v/>
      </c>
      <c r="Y1435" s="5"/>
      <c r="Z1435" s="5"/>
    </row>
    <row r="1436">
      <c r="A1436" s="5"/>
      <c r="B1436" s="5" t="str">
        <f>IFERROR(__xludf.DUMMYFUNCTION("""COMPUTED_VALUE"""),"")</f>
        <v/>
      </c>
      <c r="C1436" s="5" t="str">
        <f>IFERROR(__xludf.DUMMYFUNCTION("""COMPUTED_VALUE"""),"")</f>
        <v/>
      </c>
      <c r="D1436" s="5" t="str">
        <f>IFERROR(__xludf.DUMMYFUNCTION("""COMPUTED_VALUE"""),"")</f>
        <v/>
      </c>
      <c r="E1436" s="5" t="str">
        <f>IFERROR(__xludf.DUMMYFUNCTION("""COMPUTED_VALUE"""),"")</f>
        <v/>
      </c>
      <c r="F1436" s="5" t="str">
        <f>IFERROR(__xludf.DUMMYFUNCTION("""COMPUTED_VALUE"""),"")</f>
        <v/>
      </c>
      <c r="G1436" s="5" t="str">
        <f>IFERROR(__xludf.DUMMYFUNCTION("""COMPUTED_VALUE"""),"")</f>
        <v/>
      </c>
      <c r="H1436" s="5" t="str">
        <f>IFERROR(__xludf.DUMMYFUNCTION("""COMPUTED_VALUE"""),"")</f>
        <v/>
      </c>
      <c r="I1436" s="5" t="str">
        <f>IFERROR(__xludf.DUMMYFUNCTION("""COMPUTED_VALUE"""),"")</f>
        <v/>
      </c>
      <c r="J1436" s="5" t="str">
        <f>IFERROR(__xludf.DUMMYFUNCTION("""COMPUTED_VALUE"""),"")</f>
        <v/>
      </c>
      <c r="K1436" s="5" t="str">
        <f>IFERROR(__xludf.DUMMYFUNCTION("""COMPUTED_VALUE"""),"")</f>
        <v/>
      </c>
      <c r="L1436" s="5" t="str">
        <f>IFERROR(__xludf.DUMMYFUNCTION("""COMPUTED_VALUE"""),"")</f>
        <v/>
      </c>
      <c r="M1436" s="5" t="str">
        <f>IFERROR(__xludf.DUMMYFUNCTION("""COMPUTED_VALUE"""),"")</f>
        <v/>
      </c>
      <c r="N1436" s="5" t="str">
        <f>IFERROR(__xludf.DUMMYFUNCTION("""COMPUTED_VALUE"""),"")</f>
        <v/>
      </c>
      <c r="O1436" s="5" t="str">
        <f>IFERROR(__xludf.DUMMYFUNCTION("""COMPUTED_VALUE"""),"")</f>
        <v/>
      </c>
      <c r="P1436" s="5" t="str">
        <f>IFERROR(__xludf.DUMMYFUNCTION("""COMPUTED_VALUE"""),"")</f>
        <v/>
      </c>
      <c r="Q1436" s="5" t="str">
        <f>IFERROR(__xludf.DUMMYFUNCTION("""COMPUTED_VALUE"""),"")</f>
        <v/>
      </c>
      <c r="R1436" s="5" t="str">
        <f>IFERROR(__xludf.DUMMYFUNCTION("""COMPUTED_VALUE"""),"")</f>
        <v/>
      </c>
      <c r="S1436" s="5" t="str">
        <f>IFERROR(__xludf.DUMMYFUNCTION("""COMPUTED_VALUE"""),"")</f>
        <v/>
      </c>
      <c r="T1436" s="5" t="str">
        <f>IFERROR(__xludf.DUMMYFUNCTION("""COMPUTED_VALUE"""),"")</f>
        <v/>
      </c>
      <c r="U1436" s="5" t="str">
        <f>IFERROR(__xludf.DUMMYFUNCTION("""COMPUTED_VALUE"""),"")</f>
        <v/>
      </c>
      <c r="V1436" s="5" t="str">
        <f>IFERROR(__xludf.DUMMYFUNCTION("""COMPUTED_VALUE"""),"")</f>
        <v/>
      </c>
      <c r="W1436" s="5" t="str">
        <f>IFERROR(__xludf.DUMMYFUNCTION("""COMPUTED_VALUE"""),"")</f>
        <v/>
      </c>
      <c r="X1436" s="5" t="str">
        <f>IFERROR(__xludf.DUMMYFUNCTION("""COMPUTED_VALUE"""),"")</f>
        <v/>
      </c>
      <c r="Y1436" s="5"/>
      <c r="Z1436" s="5"/>
    </row>
    <row r="1437">
      <c r="A1437" s="5"/>
      <c r="B1437" s="5" t="str">
        <f>IFERROR(__xludf.DUMMYFUNCTION("""COMPUTED_VALUE"""),"")</f>
        <v/>
      </c>
      <c r="C1437" s="5" t="str">
        <f>IFERROR(__xludf.DUMMYFUNCTION("""COMPUTED_VALUE"""),"")</f>
        <v/>
      </c>
      <c r="D1437" s="5" t="str">
        <f>IFERROR(__xludf.DUMMYFUNCTION("""COMPUTED_VALUE"""),"")</f>
        <v/>
      </c>
      <c r="E1437" s="5" t="str">
        <f>IFERROR(__xludf.DUMMYFUNCTION("""COMPUTED_VALUE"""),"")</f>
        <v/>
      </c>
      <c r="F1437" s="5" t="str">
        <f>IFERROR(__xludf.DUMMYFUNCTION("""COMPUTED_VALUE"""),"")</f>
        <v/>
      </c>
      <c r="G1437" s="5" t="str">
        <f>IFERROR(__xludf.DUMMYFUNCTION("""COMPUTED_VALUE"""),"")</f>
        <v/>
      </c>
      <c r="H1437" s="5" t="str">
        <f>IFERROR(__xludf.DUMMYFUNCTION("""COMPUTED_VALUE"""),"")</f>
        <v/>
      </c>
      <c r="I1437" s="5" t="str">
        <f>IFERROR(__xludf.DUMMYFUNCTION("""COMPUTED_VALUE"""),"")</f>
        <v/>
      </c>
      <c r="J1437" s="5" t="str">
        <f>IFERROR(__xludf.DUMMYFUNCTION("""COMPUTED_VALUE"""),"")</f>
        <v/>
      </c>
      <c r="K1437" s="5" t="str">
        <f>IFERROR(__xludf.DUMMYFUNCTION("""COMPUTED_VALUE"""),"")</f>
        <v/>
      </c>
      <c r="L1437" s="5" t="str">
        <f>IFERROR(__xludf.DUMMYFUNCTION("""COMPUTED_VALUE"""),"")</f>
        <v/>
      </c>
      <c r="M1437" s="5" t="str">
        <f>IFERROR(__xludf.DUMMYFUNCTION("""COMPUTED_VALUE"""),"")</f>
        <v/>
      </c>
      <c r="N1437" s="5" t="str">
        <f>IFERROR(__xludf.DUMMYFUNCTION("""COMPUTED_VALUE"""),"")</f>
        <v/>
      </c>
      <c r="O1437" s="5" t="str">
        <f>IFERROR(__xludf.DUMMYFUNCTION("""COMPUTED_VALUE"""),"")</f>
        <v/>
      </c>
      <c r="P1437" s="5" t="str">
        <f>IFERROR(__xludf.DUMMYFUNCTION("""COMPUTED_VALUE"""),"")</f>
        <v/>
      </c>
      <c r="Q1437" s="5" t="str">
        <f>IFERROR(__xludf.DUMMYFUNCTION("""COMPUTED_VALUE"""),"")</f>
        <v/>
      </c>
      <c r="R1437" s="5" t="str">
        <f>IFERROR(__xludf.DUMMYFUNCTION("""COMPUTED_VALUE"""),"")</f>
        <v/>
      </c>
      <c r="S1437" s="5" t="str">
        <f>IFERROR(__xludf.DUMMYFUNCTION("""COMPUTED_VALUE"""),"")</f>
        <v/>
      </c>
      <c r="T1437" s="5" t="str">
        <f>IFERROR(__xludf.DUMMYFUNCTION("""COMPUTED_VALUE"""),"")</f>
        <v/>
      </c>
      <c r="U1437" s="5" t="str">
        <f>IFERROR(__xludf.DUMMYFUNCTION("""COMPUTED_VALUE"""),"")</f>
        <v/>
      </c>
      <c r="V1437" s="5" t="str">
        <f>IFERROR(__xludf.DUMMYFUNCTION("""COMPUTED_VALUE"""),"")</f>
        <v/>
      </c>
      <c r="W1437" s="5" t="str">
        <f>IFERROR(__xludf.DUMMYFUNCTION("""COMPUTED_VALUE"""),"")</f>
        <v/>
      </c>
      <c r="X1437" s="5" t="str">
        <f>IFERROR(__xludf.DUMMYFUNCTION("""COMPUTED_VALUE"""),"")</f>
        <v/>
      </c>
      <c r="Y1437" s="5"/>
      <c r="Z1437" s="5"/>
    </row>
    <row r="1438">
      <c r="A1438" s="5"/>
      <c r="B1438" s="5" t="str">
        <f>IFERROR(__xludf.DUMMYFUNCTION("""COMPUTED_VALUE"""),"")</f>
        <v/>
      </c>
      <c r="C1438" s="5" t="str">
        <f>IFERROR(__xludf.DUMMYFUNCTION("""COMPUTED_VALUE"""),"")</f>
        <v/>
      </c>
      <c r="D1438" s="5" t="str">
        <f>IFERROR(__xludf.DUMMYFUNCTION("""COMPUTED_VALUE"""),"")</f>
        <v/>
      </c>
      <c r="E1438" s="5" t="str">
        <f>IFERROR(__xludf.DUMMYFUNCTION("""COMPUTED_VALUE"""),"")</f>
        <v/>
      </c>
      <c r="F1438" s="5" t="str">
        <f>IFERROR(__xludf.DUMMYFUNCTION("""COMPUTED_VALUE"""),"")</f>
        <v/>
      </c>
      <c r="G1438" s="5" t="str">
        <f>IFERROR(__xludf.DUMMYFUNCTION("""COMPUTED_VALUE"""),"")</f>
        <v/>
      </c>
      <c r="H1438" s="5" t="str">
        <f>IFERROR(__xludf.DUMMYFUNCTION("""COMPUTED_VALUE"""),"")</f>
        <v/>
      </c>
      <c r="I1438" s="5" t="str">
        <f>IFERROR(__xludf.DUMMYFUNCTION("""COMPUTED_VALUE"""),"")</f>
        <v/>
      </c>
      <c r="J1438" s="5" t="str">
        <f>IFERROR(__xludf.DUMMYFUNCTION("""COMPUTED_VALUE"""),"")</f>
        <v/>
      </c>
      <c r="K1438" s="5" t="str">
        <f>IFERROR(__xludf.DUMMYFUNCTION("""COMPUTED_VALUE"""),"")</f>
        <v/>
      </c>
      <c r="L1438" s="5" t="str">
        <f>IFERROR(__xludf.DUMMYFUNCTION("""COMPUTED_VALUE"""),"")</f>
        <v/>
      </c>
      <c r="M1438" s="5" t="str">
        <f>IFERROR(__xludf.DUMMYFUNCTION("""COMPUTED_VALUE"""),"")</f>
        <v/>
      </c>
      <c r="N1438" s="5" t="str">
        <f>IFERROR(__xludf.DUMMYFUNCTION("""COMPUTED_VALUE"""),"")</f>
        <v/>
      </c>
      <c r="O1438" s="5" t="str">
        <f>IFERROR(__xludf.DUMMYFUNCTION("""COMPUTED_VALUE"""),"")</f>
        <v/>
      </c>
      <c r="P1438" s="5" t="str">
        <f>IFERROR(__xludf.DUMMYFUNCTION("""COMPUTED_VALUE"""),"")</f>
        <v/>
      </c>
      <c r="Q1438" s="5" t="str">
        <f>IFERROR(__xludf.DUMMYFUNCTION("""COMPUTED_VALUE"""),"")</f>
        <v/>
      </c>
      <c r="R1438" s="5" t="str">
        <f>IFERROR(__xludf.DUMMYFUNCTION("""COMPUTED_VALUE"""),"")</f>
        <v/>
      </c>
      <c r="S1438" s="5" t="str">
        <f>IFERROR(__xludf.DUMMYFUNCTION("""COMPUTED_VALUE"""),"")</f>
        <v/>
      </c>
      <c r="T1438" s="5" t="str">
        <f>IFERROR(__xludf.DUMMYFUNCTION("""COMPUTED_VALUE"""),"")</f>
        <v/>
      </c>
      <c r="U1438" s="5" t="str">
        <f>IFERROR(__xludf.DUMMYFUNCTION("""COMPUTED_VALUE"""),"")</f>
        <v/>
      </c>
      <c r="V1438" s="5" t="str">
        <f>IFERROR(__xludf.DUMMYFUNCTION("""COMPUTED_VALUE"""),"")</f>
        <v/>
      </c>
      <c r="W1438" s="5" t="str">
        <f>IFERROR(__xludf.DUMMYFUNCTION("""COMPUTED_VALUE"""),"")</f>
        <v/>
      </c>
      <c r="X1438" s="5" t="str">
        <f>IFERROR(__xludf.DUMMYFUNCTION("""COMPUTED_VALUE"""),"")</f>
        <v/>
      </c>
      <c r="Y1438" s="5"/>
      <c r="Z1438" s="5"/>
    </row>
    <row r="1439">
      <c r="A1439" s="5"/>
      <c r="B1439" s="5" t="str">
        <f>IFERROR(__xludf.DUMMYFUNCTION("""COMPUTED_VALUE"""),"")</f>
        <v/>
      </c>
      <c r="C1439" s="5" t="str">
        <f>IFERROR(__xludf.DUMMYFUNCTION("""COMPUTED_VALUE"""),"")</f>
        <v/>
      </c>
      <c r="D1439" s="5" t="str">
        <f>IFERROR(__xludf.DUMMYFUNCTION("""COMPUTED_VALUE"""),"")</f>
        <v/>
      </c>
      <c r="E1439" s="5" t="str">
        <f>IFERROR(__xludf.DUMMYFUNCTION("""COMPUTED_VALUE"""),"")</f>
        <v/>
      </c>
      <c r="F1439" s="5" t="str">
        <f>IFERROR(__xludf.DUMMYFUNCTION("""COMPUTED_VALUE"""),"")</f>
        <v/>
      </c>
      <c r="G1439" s="5" t="str">
        <f>IFERROR(__xludf.DUMMYFUNCTION("""COMPUTED_VALUE"""),"")</f>
        <v/>
      </c>
      <c r="H1439" s="5" t="str">
        <f>IFERROR(__xludf.DUMMYFUNCTION("""COMPUTED_VALUE"""),"")</f>
        <v/>
      </c>
      <c r="I1439" s="5" t="str">
        <f>IFERROR(__xludf.DUMMYFUNCTION("""COMPUTED_VALUE"""),"")</f>
        <v/>
      </c>
      <c r="J1439" s="5" t="str">
        <f>IFERROR(__xludf.DUMMYFUNCTION("""COMPUTED_VALUE"""),"")</f>
        <v/>
      </c>
      <c r="K1439" s="5" t="str">
        <f>IFERROR(__xludf.DUMMYFUNCTION("""COMPUTED_VALUE"""),"")</f>
        <v/>
      </c>
      <c r="L1439" s="5" t="str">
        <f>IFERROR(__xludf.DUMMYFUNCTION("""COMPUTED_VALUE"""),"")</f>
        <v/>
      </c>
      <c r="M1439" s="5" t="str">
        <f>IFERROR(__xludf.DUMMYFUNCTION("""COMPUTED_VALUE"""),"")</f>
        <v/>
      </c>
      <c r="N1439" s="5" t="str">
        <f>IFERROR(__xludf.DUMMYFUNCTION("""COMPUTED_VALUE"""),"")</f>
        <v/>
      </c>
      <c r="O1439" s="5" t="str">
        <f>IFERROR(__xludf.DUMMYFUNCTION("""COMPUTED_VALUE"""),"")</f>
        <v/>
      </c>
      <c r="P1439" s="5" t="str">
        <f>IFERROR(__xludf.DUMMYFUNCTION("""COMPUTED_VALUE"""),"")</f>
        <v/>
      </c>
      <c r="Q1439" s="5" t="str">
        <f>IFERROR(__xludf.DUMMYFUNCTION("""COMPUTED_VALUE"""),"")</f>
        <v/>
      </c>
      <c r="R1439" s="5" t="str">
        <f>IFERROR(__xludf.DUMMYFUNCTION("""COMPUTED_VALUE"""),"")</f>
        <v/>
      </c>
      <c r="S1439" s="5" t="str">
        <f>IFERROR(__xludf.DUMMYFUNCTION("""COMPUTED_VALUE"""),"")</f>
        <v/>
      </c>
      <c r="T1439" s="5" t="str">
        <f>IFERROR(__xludf.DUMMYFUNCTION("""COMPUTED_VALUE"""),"")</f>
        <v/>
      </c>
      <c r="U1439" s="5" t="str">
        <f>IFERROR(__xludf.DUMMYFUNCTION("""COMPUTED_VALUE"""),"")</f>
        <v/>
      </c>
      <c r="V1439" s="5" t="str">
        <f>IFERROR(__xludf.DUMMYFUNCTION("""COMPUTED_VALUE"""),"")</f>
        <v/>
      </c>
      <c r="W1439" s="5" t="str">
        <f>IFERROR(__xludf.DUMMYFUNCTION("""COMPUTED_VALUE"""),"")</f>
        <v/>
      </c>
      <c r="X1439" s="5" t="str">
        <f>IFERROR(__xludf.DUMMYFUNCTION("""COMPUTED_VALUE"""),"")</f>
        <v/>
      </c>
      <c r="Y1439" s="5"/>
      <c r="Z1439" s="5"/>
    </row>
    <row r="1440">
      <c r="A1440" s="5"/>
      <c r="B1440" s="5" t="str">
        <f>IFERROR(__xludf.DUMMYFUNCTION("""COMPUTED_VALUE"""),"")</f>
        <v/>
      </c>
      <c r="C1440" s="5" t="str">
        <f>IFERROR(__xludf.DUMMYFUNCTION("""COMPUTED_VALUE"""),"")</f>
        <v/>
      </c>
      <c r="D1440" s="5" t="str">
        <f>IFERROR(__xludf.DUMMYFUNCTION("""COMPUTED_VALUE"""),"")</f>
        <v/>
      </c>
      <c r="E1440" s="5" t="str">
        <f>IFERROR(__xludf.DUMMYFUNCTION("""COMPUTED_VALUE"""),"")</f>
        <v/>
      </c>
      <c r="F1440" s="5" t="str">
        <f>IFERROR(__xludf.DUMMYFUNCTION("""COMPUTED_VALUE"""),"")</f>
        <v/>
      </c>
      <c r="G1440" s="5" t="str">
        <f>IFERROR(__xludf.DUMMYFUNCTION("""COMPUTED_VALUE"""),"")</f>
        <v/>
      </c>
      <c r="H1440" s="5" t="str">
        <f>IFERROR(__xludf.DUMMYFUNCTION("""COMPUTED_VALUE"""),"")</f>
        <v/>
      </c>
      <c r="I1440" s="5" t="str">
        <f>IFERROR(__xludf.DUMMYFUNCTION("""COMPUTED_VALUE"""),"")</f>
        <v/>
      </c>
      <c r="J1440" s="5" t="str">
        <f>IFERROR(__xludf.DUMMYFUNCTION("""COMPUTED_VALUE"""),"")</f>
        <v/>
      </c>
      <c r="K1440" s="5" t="str">
        <f>IFERROR(__xludf.DUMMYFUNCTION("""COMPUTED_VALUE"""),"")</f>
        <v/>
      </c>
      <c r="L1440" s="5" t="str">
        <f>IFERROR(__xludf.DUMMYFUNCTION("""COMPUTED_VALUE"""),"")</f>
        <v/>
      </c>
      <c r="M1440" s="5" t="str">
        <f>IFERROR(__xludf.DUMMYFUNCTION("""COMPUTED_VALUE"""),"")</f>
        <v/>
      </c>
      <c r="N1440" s="5" t="str">
        <f>IFERROR(__xludf.DUMMYFUNCTION("""COMPUTED_VALUE"""),"")</f>
        <v/>
      </c>
      <c r="O1440" s="5" t="str">
        <f>IFERROR(__xludf.DUMMYFUNCTION("""COMPUTED_VALUE"""),"")</f>
        <v/>
      </c>
      <c r="P1440" s="5" t="str">
        <f>IFERROR(__xludf.DUMMYFUNCTION("""COMPUTED_VALUE"""),"")</f>
        <v/>
      </c>
      <c r="Q1440" s="5" t="str">
        <f>IFERROR(__xludf.DUMMYFUNCTION("""COMPUTED_VALUE"""),"")</f>
        <v/>
      </c>
      <c r="R1440" s="5" t="str">
        <f>IFERROR(__xludf.DUMMYFUNCTION("""COMPUTED_VALUE"""),"")</f>
        <v/>
      </c>
      <c r="S1440" s="5" t="str">
        <f>IFERROR(__xludf.DUMMYFUNCTION("""COMPUTED_VALUE"""),"")</f>
        <v/>
      </c>
      <c r="T1440" s="5" t="str">
        <f>IFERROR(__xludf.DUMMYFUNCTION("""COMPUTED_VALUE"""),"")</f>
        <v/>
      </c>
      <c r="U1440" s="5" t="str">
        <f>IFERROR(__xludf.DUMMYFUNCTION("""COMPUTED_VALUE"""),"")</f>
        <v/>
      </c>
      <c r="V1440" s="5" t="str">
        <f>IFERROR(__xludf.DUMMYFUNCTION("""COMPUTED_VALUE"""),"")</f>
        <v/>
      </c>
      <c r="W1440" s="5" t="str">
        <f>IFERROR(__xludf.DUMMYFUNCTION("""COMPUTED_VALUE"""),"")</f>
        <v/>
      </c>
      <c r="X1440" s="5" t="str">
        <f>IFERROR(__xludf.DUMMYFUNCTION("""COMPUTED_VALUE"""),"")</f>
        <v/>
      </c>
      <c r="Y1440" s="5"/>
      <c r="Z1440" s="5"/>
    </row>
    <row r="1441">
      <c r="A1441" s="5"/>
      <c r="B1441" s="5" t="str">
        <f>IFERROR(__xludf.DUMMYFUNCTION("""COMPUTED_VALUE"""),"")</f>
        <v/>
      </c>
      <c r="C1441" s="5" t="str">
        <f>IFERROR(__xludf.DUMMYFUNCTION("""COMPUTED_VALUE"""),"")</f>
        <v/>
      </c>
      <c r="D1441" s="5" t="str">
        <f>IFERROR(__xludf.DUMMYFUNCTION("""COMPUTED_VALUE"""),"")</f>
        <v/>
      </c>
      <c r="E1441" s="5" t="str">
        <f>IFERROR(__xludf.DUMMYFUNCTION("""COMPUTED_VALUE"""),"")</f>
        <v/>
      </c>
      <c r="F1441" s="5" t="str">
        <f>IFERROR(__xludf.DUMMYFUNCTION("""COMPUTED_VALUE"""),"")</f>
        <v/>
      </c>
      <c r="G1441" s="5" t="str">
        <f>IFERROR(__xludf.DUMMYFUNCTION("""COMPUTED_VALUE"""),"")</f>
        <v/>
      </c>
      <c r="H1441" s="5" t="str">
        <f>IFERROR(__xludf.DUMMYFUNCTION("""COMPUTED_VALUE"""),"")</f>
        <v/>
      </c>
      <c r="I1441" s="5" t="str">
        <f>IFERROR(__xludf.DUMMYFUNCTION("""COMPUTED_VALUE"""),"")</f>
        <v/>
      </c>
      <c r="J1441" s="5" t="str">
        <f>IFERROR(__xludf.DUMMYFUNCTION("""COMPUTED_VALUE"""),"")</f>
        <v/>
      </c>
      <c r="K1441" s="5" t="str">
        <f>IFERROR(__xludf.DUMMYFUNCTION("""COMPUTED_VALUE"""),"")</f>
        <v/>
      </c>
      <c r="L1441" s="5" t="str">
        <f>IFERROR(__xludf.DUMMYFUNCTION("""COMPUTED_VALUE"""),"")</f>
        <v/>
      </c>
      <c r="M1441" s="5" t="str">
        <f>IFERROR(__xludf.DUMMYFUNCTION("""COMPUTED_VALUE"""),"")</f>
        <v/>
      </c>
      <c r="N1441" s="5" t="str">
        <f>IFERROR(__xludf.DUMMYFUNCTION("""COMPUTED_VALUE"""),"")</f>
        <v/>
      </c>
      <c r="O1441" s="5" t="str">
        <f>IFERROR(__xludf.DUMMYFUNCTION("""COMPUTED_VALUE"""),"")</f>
        <v/>
      </c>
      <c r="P1441" s="5" t="str">
        <f>IFERROR(__xludf.DUMMYFUNCTION("""COMPUTED_VALUE"""),"")</f>
        <v/>
      </c>
      <c r="Q1441" s="5" t="str">
        <f>IFERROR(__xludf.DUMMYFUNCTION("""COMPUTED_VALUE"""),"")</f>
        <v/>
      </c>
      <c r="R1441" s="5" t="str">
        <f>IFERROR(__xludf.DUMMYFUNCTION("""COMPUTED_VALUE"""),"")</f>
        <v/>
      </c>
      <c r="S1441" s="5" t="str">
        <f>IFERROR(__xludf.DUMMYFUNCTION("""COMPUTED_VALUE"""),"")</f>
        <v/>
      </c>
      <c r="T1441" s="5" t="str">
        <f>IFERROR(__xludf.DUMMYFUNCTION("""COMPUTED_VALUE"""),"")</f>
        <v/>
      </c>
      <c r="U1441" s="5" t="str">
        <f>IFERROR(__xludf.DUMMYFUNCTION("""COMPUTED_VALUE"""),"")</f>
        <v/>
      </c>
      <c r="V1441" s="5" t="str">
        <f>IFERROR(__xludf.DUMMYFUNCTION("""COMPUTED_VALUE"""),"")</f>
        <v/>
      </c>
      <c r="W1441" s="5" t="str">
        <f>IFERROR(__xludf.DUMMYFUNCTION("""COMPUTED_VALUE"""),"")</f>
        <v/>
      </c>
      <c r="X1441" s="5" t="str">
        <f>IFERROR(__xludf.DUMMYFUNCTION("""COMPUTED_VALUE"""),"")</f>
        <v/>
      </c>
      <c r="Y1441" s="5"/>
      <c r="Z1441" s="5"/>
    </row>
    <row r="1442">
      <c r="A1442" s="5"/>
      <c r="B1442" s="5" t="str">
        <f>IFERROR(__xludf.DUMMYFUNCTION("""COMPUTED_VALUE"""),"")</f>
        <v/>
      </c>
      <c r="C1442" s="5" t="str">
        <f>IFERROR(__xludf.DUMMYFUNCTION("""COMPUTED_VALUE"""),"")</f>
        <v/>
      </c>
      <c r="D1442" s="5" t="str">
        <f>IFERROR(__xludf.DUMMYFUNCTION("""COMPUTED_VALUE"""),"")</f>
        <v/>
      </c>
      <c r="E1442" s="5" t="str">
        <f>IFERROR(__xludf.DUMMYFUNCTION("""COMPUTED_VALUE"""),"")</f>
        <v/>
      </c>
      <c r="F1442" s="5" t="str">
        <f>IFERROR(__xludf.DUMMYFUNCTION("""COMPUTED_VALUE"""),"")</f>
        <v/>
      </c>
      <c r="G1442" s="5" t="str">
        <f>IFERROR(__xludf.DUMMYFUNCTION("""COMPUTED_VALUE"""),"")</f>
        <v/>
      </c>
      <c r="H1442" s="5" t="str">
        <f>IFERROR(__xludf.DUMMYFUNCTION("""COMPUTED_VALUE"""),"")</f>
        <v/>
      </c>
      <c r="I1442" s="5" t="str">
        <f>IFERROR(__xludf.DUMMYFUNCTION("""COMPUTED_VALUE"""),"")</f>
        <v/>
      </c>
      <c r="J1442" s="5" t="str">
        <f>IFERROR(__xludf.DUMMYFUNCTION("""COMPUTED_VALUE"""),"")</f>
        <v/>
      </c>
      <c r="K1442" s="5" t="str">
        <f>IFERROR(__xludf.DUMMYFUNCTION("""COMPUTED_VALUE"""),"")</f>
        <v/>
      </c>
      <c r="L1442" s="5" t="str">
        <f>IFERROR(__xludf.DUMMYFUNCTION("""COMPUTED_VALUE"""),"")</f>
        <v/>
      </c>
      <c r="M1442" s="5" t="str">
        <f>IFERROR(__xludf.DUMMYFUNCTION("""COMPUTED_VALUE"""),"")</f>
        <v/>
      </c>
      <c r="N1442" s="5" t="str">
        <f>IFERROR(__xludf.DUMMYFUNCTION("""COMPUTED_VALUE"""),"")</f>
        <v/>
      </c>
      <c r="O1442" s="5" t="str">
        <f>IFERROR(__xludf.DUMMYFUNCTION("""COMPUTED_VALUE"""),"")</f>
        <v/>
      </c>
      <c r="P1442" s="5" t="str">
        <f>IFERROR(__xludf.DUMMYFUNCTION("""COMPUTED_VALUE"""),"")</f>
        <v/>
      </c>
      <c r="Q1442" s="5" t="str">
        <f>IFERROR(__xludf.DUMMYFUNCTION("""COMPUTED_VALUE"""),"")</f>
        <v/>
      </c>
      <c r="R1442" s="5" t="str">
        <f>IFERROR(__xludf.DUMMYFUNCTION("""COMPUTED_VALUE"""),"")</f>
        <v/>
      </c>
      <c r="S1442" s="5" t="str">
        <f>IFERROR(__xludf.DUMMYFUNCTION("""COMPUTED_VALUE"""),"")</f>
        <v/>
      </c>
      <c r="T1442" s="5" t="str">
        <f>IFERROR(__xludf.DUMMYFUNCTION("""COMPUTED_VALUE"""),"")</f>
        <v/>
      </c>
      <c r="U1442" s="5" t="str">
        <f>IFERROR(__xludf.DUMMYFUNCTION("""COMPUTED_VALUE"""),"")</f>
        <v/>
      </c>
      <c r="V1442" s="5" t="str">
        <f>IFERROR(__xludf.DUMMYFUNCTION("""COMPUTED_VALUE"""),"")</f>
        <v/>
      </c>
      <c r="W1442" s="5" t="str">
        <f>IFERROR(__xludf.DUMMYFUNCTION("""COMPUTED_VALUE"""),"")</f>
        <v/>
      </c>
      <c r="X1442" s="5" t="str">
        <f>IFERROR(__xludf.DUMMYFUNCTION("""COMPUTED_VALUE"""),"")</f>
        <v/>
      </c>
      <c r="Y1442" s="5"/>
      <c r="Z1442" s="5"/>
    </row>
    <row r="1443">
      <c r="A1443" s="5"/>
      <c r="B1443" s="5" t="str">
        <f>IFERROR(__xludf.DUMMYFUNCTION("""COMPUTED_VALUE"""),"")</f>
        <v/>
      </c>
      <c r="C1443" s="5" t="str">
        <f>IFERROR(__xludf.DUMMYFUNCTION("""COMPUTED_VALUE"""),"")</f>
        <v/>
      </c>
      <c r="D1443" s="5" t="str">
        <f>IFERROR(__xludf.DUMMYFUNCTION("""COMPUTED_VALUE"""),"")</f>
        <v/>
      </c>
      <c r="E1443" s="5" t="str">
        <f>IFERROR(__xludf.DUMMYFUNCTION("""COMPUTED_VALUE"""),"")</f>
        <v/>
      </c>
      <c r="F1443" s="5" t="str">
        <f>IFERROR(__xludf.DUMMYFUNCTION("""COMPUTED_VALUE"""),"")</f>
        <v/>
      </c>
      <c r="G1443" s="5" t="str">
        <f>IFERROR(__xludf.DUMMYFUNCTION("""COMPUTED_VALUE"""),"")</f>
        <v/>
      </c>
      <c r="H1443" s="5" t="str">
        <f>IFERROR(__xludf.DUMMYFUNCTION("""COMPUTED_VALUE"""),"")</f>
        <v/>
      </c>
      <c r="I1443" s="5" t="str">
        <f>IFERROR(__xludf.DUMMYFUNCTION("""COMPUTED_VALUE"""),"")</f>
        <v/>
      </c>
      <c r="J1443" s="5" t="str">
        <f>IFERROR(__xludf.DUMMYFUNCTION("""COMPUTED_VALUE"""),"")</f>
        <v/>
      </c>
      <c r="K1443" s="5" t="str">
        <f>IFERROR(__xludf.DUMMYFUNCTION("""COMPUTED_VALUE"""),"")</f>
        <v/>
      </c>
      <c r="L1443" s="5" t="str">
        <f>IFERROR(__xludf.DUMMYFUNCTION("""COMPUTED_VALUE"""),"")</f>
        <v/>
      </c>
      <c r="M1443" s="5" t="str">
        <f>IFERROR(__xludf.DUMMYFUNCTION("""COMPUTED_VALUE"""),"")</f>
        <v/>
      </c>
      <c r="N1443" s="5" t="str">
        <f>IFERROR(__xludf.DUMMYFUNCTION("""COMPUTED_VALUE"""),"")</f>
        <v/>
      </c>
      <c r="O1443" s="5" t="str">
        <f>IFERROR(__xludf.DUMMYFUNCTION("""COMPUTED_VALUE"""),"")</f>
        <v/>
      </c>
      <c r="P1443" s="5" t="str">
        <f>IFERROR(__xludf.DUMMYFUNCTION("""COMPUTED_VALUE"""),"")</f>
        <v/>
      </c>
      <c r="Q1443" s="5" t="str">
        <f>IFERROR(__xludf.DUMMYFUNCTION("""COMPUTED_VALUE"""),"")</f>
        <v/>
      </c>
      <c r="R1443" s="5" t="str">
        <f>IFERROR(__xludf.DUMMYFUNCTION("""COMPUTED_VALUE"""),"")</f>
        <v/>
      </c>
      <c r="S1443" s="5" t="str">
        <f>IFERROR(__xludf.DUMMYFUNCTION("""COMPUTED_VALUE"""),"")</f>
        <v/>
      </c>
      <c r="T1443" s="5" t="str">
        <f>IFERROR(__xludf.DUMMYFUNCTION("""COMPUTED_VALUE"""),"")</f>
        <v/>
      </c>
      <c r="U1443" s="5" t="str">
        <f>IFERROR(__xludf.DUMMYFUNCTION("""COMPUTED_VALUE"""),"")</f>
        <v/>
      </c>
      <c r="V1443" s="5" t="str">
        <f>IFERROR(__xludf.DUMMYFUNCTION("""COMPUTED_VALUE"""),"")</f>
        <v/>
      </c>
      <c r="W1443" s="5" t="str">
        <f>IFERROR(__xludf.DUMMYFUNCTION("""COMPUTED_VALUE"""),"")</f>
        <v/>
      </c>
      <c r="X1443" s="5" t="str">
        <f>IFERROR(__xludf.DUMMYFUNCTION("""COMPUTED_VALUE"""),"")</f>
        <v/>
      </c>
      <c r="Y1443" s="5"/>
      <c r="Z1443" s="5"/>
    </row>
    <row r="1444">
      <c r="A1444" s="5"/>
      <c r="B1444" s="5" t="str">
        <f>IFERROR(__xludf.DUMMYFUNCTION("""COMPUTED_VALUE"""),"")</f>
        <v/>
      </c>
      <c r="C1444" s="5" t="str">
        <f>IFERROR(__xludf.DUMMYFUNCTION("""COMPUTED_VALUE"""),"")</f>
        <v/>
      </c>
      <c r="D1444" s="5" t="str">
        <f>IFERROR(__xludf.DUMMYFUNCTION("""COMPUTED_VALUE"""),"")</f>
        <v/>
      </c>
      <c r="E1444" s="5" t="str">
        <f>IFERROR(__xludf.DUMMYFUNCTION("""COMPUTED_VALUE"""),"")</f>
        <v/>
      </c>
      <c r="F1444" s="5" t="str">
        <f>IFERROR(__xludf.DUMMYFUNCTION("""COMPUTED_VALUE"""),"")</f>
        <v/>
      </c>
      <c r="G1444" s="5" t="str">
        <f>IFERROR(__xludf.DUMMYFUNCTION("""COMPUTED_VALUE"""),"")</f>
        <v/>
      </c>
      <c r="H1444" s="5" t="str">
        <f>IFERROR(__xludf.DUMMYFUNCTION("""COMPUTED_VALUE"""),"")</f>
        <v/>
      </c>
      <c r="I1444" s="5" t="str">
        <f>IFERROR(__xludf.DUMMYFUNCTION("""COMPUTED_VALUE"""),"")</f>
        <v/>
      </c>
      <c r="J1444" s="5" t="str">
        <f>IFERROR(__xludf.DUMMYFUNCTION("""COMPUTED_VALUE"""),"")</f>
        <v/>
      </c>
      <c r="K1444" s="5" t="str">
        <f>IFERROR(__xludf.DUMMYFUNCTION("""COMPUTED_VALUE"""),"")</f>
        <v/>
      </c>
      <c r="L1444" s="5" t="str">
        <f>IFERROR(__xludf.DUMMYFUNCTION("""COMPUTED_VALUE"""),"")</f>
        <v/>
      </c>
      <c r="M1444" s="5" t="str">
        <f>IFERROR(__xludf.DUMMYFUNCTION("""COMPUTED_VALUE"""),"")</f>
        <v/>
      </c>
      <c r="N1444" s="5" t="str">
        <f>IFERROR(__xludf.DUMMYFUNCTION("""COMPUTED_VALUE"""),"")</f>
        <v/>
      </c>
      <c r="O1444" s="5" t="str">
        <f>IFERROR(__xludf.DUMMYFUNCTION("""COMPUTED_VALUE"""),"")</f>
        <v/>
      </c>
      <c r="P1444" s="5" t="str">
        <f>IFERROR(__xludf.DUMMYFUNCTION("""COMPUTED_VALUE"""),"")</f>
        <v/>
      </c>
      <c r="Q1444" s="5" t="str">
        <f>IFERROR(__xludf.DUMMYFUNCTION("""COMPUTED_VALUE"""),"")</f>
        <v/>
      </c>
      <c r="R1444" s="5" t="str">
        <f>IFERROR(__xludf.DUMMYFUNCTION("""COMPUTED_VALUE"""),"")</f>
        <v/>
      </c>
      <c r="S1444" s="5" t="str">
        <f>IFERROR(__xludf.DUMMYFUNCTION("""COMPUTED_VALUE"""),"")</f>
        <v/>
      </c>
      <c r="T1444" s="5" t="str">
        <f>IFERROR(__xludf.DUMMYFUNCTION("""COMPUTED_VALUE"""),"")</f>
        <v/>
      </c>
      <c r="U1444" s="5" t="str">
        <f>IFERROR(__xludf.DUMMYFUNCTION("""COMPUTED_VALUE"""),"")</f>
        <v/>
      </c>
      <c r="V1444" s="5" t="str">
        <f>IFERROR(__xludf.DUMMYFUNCTION("""COMPUTED_VALUE"""),"")</f>
        <v/>
      </c>
      <c r="W1444" s="5" t="str">
        <f>IFERROR(__xludf.DUMMYFUNCTION("""COMPUTED_VALUE"""),"")</f>
        <v/>
      </c>
      <c r="X1444" s="5" t="str">
        <f>IFERROR(__xludf.DUMMYFUNCTION("""COMPUTED_VALUE"""),"")</f>
        <v/>
      </c>
      <c r="Y1444" s="5"/>
      <c r="Z1444" s="5"/>
    </row>
    <row r="1445">
      <c r="A1445" s="5"/>
      <c r="B1445" s="5" t="str">
        <f>IFERROR(__xludf.DUMMYFUNCTION("""COMPUTED_VALUE"""),"")</f>
        <v/>
      </c>
      <c r="C1445" s="5" t="str">
        <f>IFERROR(__xludf.DUMMYFUNCTION("""COMPUTED_VALUE"""),"")</f>
        <v/>
      </c>
      <c r="D1445" s="5" t="str">
        <f>IFERROR(__xludf.DUMMYFUNCTION("""COMPUTED_VALUE"""),"")</f>
        <v/>
      </c>
      <c r="E1445" s="5" t="str">
        <f>IFERROR(__xludf.DUMMYFUNCTION("""COMPUTED_VALUE"""),"")</f>
        <v/>
      </c>
      <c r="F1445" s="5" t="str">
        <f>IFERROR(__xludf.DUMMYFUNCTION("""COMPUTED_VALUE"""),"")</f>
        <v/>
      </c>
      <c r="G1445" s="5" t="str">
        <f>IFERROR(__xludf.DUMMYFUNCTION("""COMPUTED_VALUE"""),"")</f>
        <v/>
      </c>
      <c r="H1445" s="5" t="str">
        <f>IFERROR(__xludf.DUMMYFUNCTION("""COMPUTED_VALUE"""),"")</f>
        <v/>
      </c>
      <c r="I1445" s="5" t="str">
        <f>IFERROR(__xludf.DUMMYFUNCTION("""COMPUTED_VALUE"""),"")</f>
        <v/>
      </c>
      <c r="J1445" s="5" t="str">
        <f>IFERROR(__xludf.DUMMYFUNCTION("""COMPUTED_VALUE"""),"")</f>
        <v/>
      </c>
      <c r="K1445" s="5" t="str">
        <f>IFERROR(__xludf.DUMMYFUNCTION("""COMPUTED_VALUE"""),"")</f>
        <v/>
      </c>
      <c r="L1445" s="5" t="str">
        <f>IFERROR(__xludf.DUMMYFUNCTION("""COMPUTED_VALUE"""),"")</f>
        <v/>
      </c>
      <c r="M1445" s="5" t="str">
        <f>IFERROR(__xludf.DUMMYFUNCTION("""COMPUTED_VALUE"""),"")</f>
        <v/>
      </c>
      <c r="N1445" s="5" t="str">
        <f>IFERROR(__xludf.DUMMYFUNCTION("""COMPUTED_VALUE"""),"")</f>
        <v/>
      </c>
      <c r="O1445" s="5" t="str">
        <f>IFERROR(__xludf.DUMMYFUNCTION("""COMPUTED_VALUE"""),"")</f>
        <v/>
      </c>
      <c r="P1445" s="5" t="str">
        <f>IFERROR(__xludf.DUMMYFUNCTION("""COMPUTED_VALUE"""),"")</f>
        <v/>
      </c>
      <c r="Q1445" s="5" t="str">
        <f>IFERROR(__xludf.DUMMYFUNCTION("""COMPUTED_VALUE"""),"")</f>
        <v/>
      </c>
      <c r="R1445" s="5" t="str">
        <f>IFERROR(__xludf.DUMMYFUNCTION("""COMPUTED_VALUE"""),"")</f>
        <v/>
      </c>
      <c r="S1445" s="5" t="str">
        <f>IFERROR(__xludf.DUMMYFUNCTION("""COMPUTED_VALUE"""),"")</f>
        <v/>
      </c>
      <c r="T1445" s="5" t="str">
        <f>IFERROR(__xludf.DUMMYFUNCTION("""COMPUTED_VALUE"""),"")</f>
        <v/>
      </c>
      <c r="U1445" s="5" t="str">
        <f>IFERROR(__xludf.DUMMYFUNCTION("""COMPUTED_VALUE"""),"")</f>
        <v/>
      </c>
      <c r="V1445" s="5" t="str">
        <f>IFERROR(__xludf.DUMMYFUNCTION("""COMPUTED_VALUE"""),"")</f>
        <v/>
      </c>
      <c r="W1445" s="5" t="str">
        <f>IFERROR(__xludf.DUMMYFUNCTION("""COMPUTED_VALUE"""),"")</f>
        <v/>
      </c>
      <c r="X1445" s="5" t="str">
        <f>IFERROR(__xludf.DUMMYFUNCTION("""COMPUTED_VALUE"""),"")</f>
        <v/>
      </c>
      <c r="Y1445" s="5"/>
      <c r="Z1445" s="5"/>
    </row>
    <row r="1446">
      <c r="A1446" s="5"/>
      <c r="B1446" s="5" t="str">
        <f>IFERROR(__xludf.DUMMYFUNCTION("""COMPUTED_VALUE"""),"")</f>
        <v/>
      </c>
      <c r="C1446" s="5" t="str">
        <f>IFERROR(__xludf.DUMMYFUNCTION("""COMPUTED_VALUE"""),"")</f>
        <v/>
      </c>
      <c r="D1446" s="5" t="str">
        <f>IFERROR(__xludf.DUMMYFUNCTION("""COMPUTED_VALUE"""),"")</f>
        <v/>
      </c>
      <c r="E1446" s="5" t="str">
        <f>IFERROR(__xludf.DUMMYFUNCTION("""COMPUTED_VALUE"""),"")</f>
        <v/>
      </c>
      <c r="F1446" s="5" t="str">
        <f>IFERROR(__xludf.DUMMYFUNCTION("""COMPUTED_VALUE"""),"")</f>
        <v/>
      </c>
      <c r="G1446" s="5" t="str">
        <f>IFERROR(__xludf.DUMMYFUNCTION("""COMPUTED_VALUE"""),"")</f>
        <v/>
      </c>
      <c r="H1446" s="5" t="str">
        <f>IFERROR(__xludf.DUMMYFUNCTION("""COMPUTED_VALUE"""),"")</f>
        <v/>
      </c>
      <c r="I1446" s="5" t="str">
        <f>IFERROR(__xludf.DUMMYFUNCTION("""COMPUTED_VALUE"""),"")</f>
        <v/>
      </c>
      <c r="J1446" s="5" t="str">
        <f>IFERROR(__xludf.DUMMYFUNCTION("""COMPUTED_VALUE"""),"")</f>
        <v/>
      </c>
      <c r="K1446" s="5" t="str">
        <f>IFERROR(__xludf.DUMMYFUNCTION("""COMPUTED_VALUE"""),"")</f>
        <v/>
      </c>
      <c r="L1446" s="5" t="str">
        <f>IFERROR(__xludf.DUMMYFUNCTION("""COMPUTED_VALUE"""),"")</f>
        <v/>
      </c>
      <c r="M1446" s="5" t="str">
        <f>IFERROR(__xludf.DUMMYFUNCTION("""COMPUTED_VALUE"""),"")</f>
        <v/>
      </c>
      <c r="N1446" s="5" t="str">
        <f>IFERROR(__xludf.DUMMYFUNCTION("""COMPUTED_VALUE"""),"")</f>
        <v/>
      </c>
      <c r="O1446" s="5" t="str">
        <f>IFERROR(__xludf.DUMMYFUNCTION("""COMPUTED_VALUE"""),"")</f>
        <v/>
      </c>
      <c r="P1446" s="5" t="str">
        <f>IFERROR(__xludf.DUMMYFUNCTION("""COMPUTED_VALUE"""),"")</f>
        <v/>
      </c>
      <c r="Q1446" s="5" t="str">
        <f>IFERROR(__xludf.DUMMYFUNCTION("""COMPUTED_VALUE"""),"")</f>
        <v/>
      </c>
      <c r="R1446" s="5" t="str">
        <f>IFERROR(__xludf.DUMMYFUNCTION("""COMPUTED_VALUE"""),"")</f>
        <v/>
      </c>
      <c r="S1446" s="5" t="str">
        <f>IFERROR(__xludf.DUMMYFUNCTION("""COMPUTED_VALUE"""),"")</f>
        <v/>
      </c>
      <c r="T1446" s="5" t="str">
        <f>IFERROR(__xludf.DUMMYFUNCTION("""COMPUTED_VALUE"""),"")</f>
        <v/>
      </c>
      <c r="U1446" s="5" t="str">
        <f>IFERROR(__xludf.DUMMYFUNCTION("""COMPUTED_VALUE"""),"")</f>
        <v/>
      </c>
      <c r="V1446" s="5" t="str">
        <f>IFERROR(__xludf.DUMMYFUNCTION("""COMPUTED_VALUE"""),"")</f>
        <v/>
      </c>
      <c r="W1446" s="5" t="str">
        <f>IFERROR(__xludf.DUMMYFUNCTION("""COMPUTED_VALUE"""),"")</f>
        <v/>
      </c>
      <c r="X1446" s="5" t="str">
        <f>IFERROR(__xludf.DUMMYFUNCTION("""COMPUTED_VALUE"""),"")</f>
        <v/>
      </c>
      <c r="Y1446" s="5"/>
      <c r="Z1446" s="5"/>
    </row>
    <row r="1447">
      <c r="A1447" s="5"/>
      <c r="B1447" s="5" t="str">
        <f>IFERROR(__xludf.DUMMYFUNCTION("""COMPUTED_VALUE"""),"")</f>
        <v/>
      </c>
      <c r="C1447" s="5" t="str">
        <f>IFERROR(__xludf.DUMMYFUNCTION("""COMPUTED_VALUE"""),"")</f>
        <v/>
      </c>
      <c r="D1447" s="5" t="str">
        <f>IFERROR(__xludf.DUMMYFUNCTION("""COMPUTED_VALUE"""),"")</f>
        <v/>
      </c>
      <c r="E1447" s="5" t="str">
        <f>IFERROR(__xludf.DUMMYFUNCTION("""COMPUTED_VALUE"""),"")</f>
        <v/>
      </c>
      <c r="F1447" s="5" t="str">
        <f>IFERROR(__xludf.DUMMYFUNCTION("""COMPUTED_VALUE"""),"")</f>
        <v/>
      </c>
      <c r="G1447" s="5" t="str">
        <f>IFERROR(__xludf.DUMMYFUNCTION("""COMPUTED_VALUE"""),"")</f>
        <v/>
      </c>
      <c r="H1447" s="5" t="str">
        <f>IFERROR(__xludf.DUMMYFUNCTION("""COMPUTED_VALUE"""),"")</f>
        <v/>
      </c>
      <c r="I1447" s="5" t="str">
        <f>IFERROR(__xludf.DUMMYFUNCTION("""COMPUTED_VALUE"""),"")</f>
        <v/>
      </c>
      <c r="J1447" s="5" t="str">
        <f>IFERROR(__xludf.DUMMYFUNCTION("""COMPUTED_VALUE"""),"")</f>
        <v/>
      </c>
      <c r="K1447" s="5" t="str">
        <f>IFERROR(__xludf.DUMMYFUNCTION("""COMPUTED_VALUE"""),"")</f>
        <v/>
      </c>
      <c r="L1447" s="5" t="str">
        <f>IFERROR(__xludf.DUMMYFUNCTION("""COMPUTED_VALUE"""),"")</f>
        <v/>
      </c>
      <c r="M1447" s="5" t="str">
        <f>IFERROR(__xludf.DUMMYFUNCTION("""COMPUTED_VALUE"""),"")</f>
        <v/>
      </c>
      <c r="N1447" s="5" t="str">
        <f>IFERROR(__xludf.DUMMYFUNCTION("""COMPUTED_VALUE"""),"")</f>
        <v/>
      </c>
      <c r="O1447" s="5" t="str">
        <f>IFERROR(__xludf.DUMMYFUNCTION("""COMPUTED_VALUE"""),"")</f>
        <v/>
      </c>
      <c r="P1447" s="5" t="str">
        <f>IFERROR(__xludf.DUMMYFUNCTION("""COMPUTED_VALUE"""),"")</f>
        <v/>
      </c>
      <c r="Q1447" s="5" t="str">
        <f>IFERROR(__xludf.DUMMYFUNCTION("""COMPUTED_VALUE"""),"")</f>
        <v/>
      </c>
      <c r="R1447" s="5" t="str">
        <f>IFERROR(__xludf.DUMMYFUNCTION("""COMPUTED_VALUE"""),"")</f>
        <v/>
      </c>
      <c r="S1447" s="5" t="str">
        <f>IFERROR(__xludf.DUMMYFUNCTION("""COMPUTED_VALUE"""),"")</f>
        <v/>
      </c>
      <c r="T1447" s="5" t="str">
        <f>IFERROR(__xludf.DUMMYFUNCTION("""COMPUTED_VALUE"""),"")</f>
        <v/>
      </c>
      <c r="U1447" s="5" t="str">
        <f>IFERROR(__xludf.DUMMYFUNCTION("""COMPUTED_VALUE"""),"")</f>
        <v/>
      </c>
      <c r="V1447" s="5" t="str">
        <f>IFERROR(__xludf.DUMMYFUNCTION("""COMPUTED_VALUE"""),"")</f>
        <v/>
      </c>
      <c r="W1447" s="5" t="str">
        <f>IFERROR(__xludf.DUMMYFUNCTION("""COMPUTED_VALUE"""),"")</f>
        <v/>
      </c>
      <c r="X1447" s="5" t="str">
        <f>IFERROR(__xludf.DUMMYFUNCTION("""COMPUTED_VALUE"""),"")</f>
        <v/>
      </c>
      <c r="Y1447" s="5"/>
      <c r="Z1447" s="5"/>
    </row>
    <row r="1448">
      <c r="A1448" s="5"/>
      <c r="B1448" s="5" t="str">
        <f>IFERROR(__xludf.DUMMYFUNCTION("""COMPUTED_VALUE"""),"")</f>
        <v/>
      </c>
      <c r="C1448" s="5" t="str">
        <f>IFERROR(__xludf.DUMMYFUNCTION("""COMPUTED_VALUE"""),"")</f>
        <v/>
      </c>
      <c r="D1448" s="5" t="str">
        <f>IFERROR(__xludf.DUMMYFUNCTION("""COMPUTED_VALUE"""),"")</f>
        <v/>
      </c>
      <c r="E1448" s="5" t="str">
        <f>IFERROR(__xludf.DUMMYFUNCTION("""COMPUTED_VALUE"""),"")</f>
        <v/>
      </c>
      <c r="F1448" s="5" t="str">
        <f>IFERROR(__xludf.DUMMYFUNCTION("""COMPUTED_VALUE"""),"")</f>
        <v/>
      </c>
      <c r="G1448" s="5" t="str">
        <f>IFERROR(__xludf.DUMMYFUNCTION("""COMPUTED_VALUE"""),"")</f>
        <v/>
      </c>
      <c r="H1448" s="5" t="str">
        <f>IFERROR(__xludf.DUMMYFUNCTION("""COMPUTED_VALUE"""),"")</f>
        <v/>
      </c>
      <c r="I1448" s="5" t="str">
        <f>IFERROR(__xludf.DUMMYFUNCTION("""COMPUTED_VALUE"""),"")</f>
        <v/>
      </c>
      <c r="J1448" s="5" t="str">
        <f>IFERROR(__xludf.DUMMYFUNCTION("""COMPUTED_VALUE"""),"")</f>
        <v/>
      </c>
      <c r="K1448" s="5" t="str">
        <f>IFERROR(__xludf.DUMMYFUNCTION("""COMPUTED_VALUE"""),"")</f>
        <v/>
      </c>
      <c r="L1448" s="5" t="str">
        <f>IFERROR(__xludf.DUMMYFUNCTION("""COMPUTED_VALUE"""),"")</f>
        <v/>
      </c>
      <c r="M1448" s="5" t="str">
        <f>IFERROR(__xludf.DUMMYFUNCTION("""COMPUTED_VALUE"""),"")</f>
        <v/>
      </c>
      <c r="N1448" s="5" t="str">
        <f>IFERROR(__xludf.DUMMYFUNCTION("""COMPUTED_VALUE"""),"")</f>
        <v/>
      </c>
      <c r="O1448" s="5" t="str">
        <f>IFERROR(__xludf.DUMMYFUNCTION("""COMPUTED_VALUE"""),"")</f>
        <v/>
      </c>
      <c r="P1448" s="5" t="str">
        <f>IFERROR(__xludf.DUMMYFUNCTION("""COMPUTED_VALUE"""),"")</f>
        <v/>
      </c>
      <c r="Q1448" s="5" t="str">
        <f>IFERROR(__xludf.DUMMYFUNCTION("""COMPUTED_VALUE"""),"")</f>
        <v/>
      </c>
      <c r="R1448" s="5" t="str">
        <f>IFERROR(__xludf.DUMMYFUNCTION("""COMPUTED_VALUE"""),"")</f>
        <v/>
      </c>
      <c r="S1448" s="5" t="str">
        <f>IFERROR(__xludf.DUMMYFUNCTION("""COMPUTED_VALUE"""),"")</f>
        <v/>
      </c>
      <c r="T1448" s="5" t="str">
        <f>IFERROR(__xludf.DUMMYFUNCTION("""COMPUTED_VALUE"""),"")</f>
        <v/>
      </c>
      <c r="U1448" s="5" t="str">
        <f>IFERROR(__xludf.DUMMYFUNCTION("""COMPUTED_VALUE"""),"")</f>
        <v/>
      </c>
      <c r="V1448" s="5" t="str">
        <f>IFERROR(__xludf.DUMMYFUNCTION("""COMPUTED_VALUE"""),"")</f>
        <v/>
      </c>
      <c r="W1448" s="5" t="str">
        <f>IFERROR(__xludf.DUMMYFUNCTION("""COMPUTED_VALUE"""),"")</f>
        <v/>
      </c>
      <c r="X1448" s="5" t="str">
        <f>IFERROR(__xludf.DUMMYFUNCTION("""COMPUTED_VALUE"""),"")</f>
        <v/>
      </c>
      <c r="Y1448" s="5"/>
      <c r="Z1448" s="5"/>
    </row>
    <row r="1449">
      <c r="A1449" s="5"/>
      <c r="B1449" s="5" t="str">
        <f>IFERROR(__xludf.DUMMYFUNCTION("""COMPUTED_VALUE"""),"")</f>
        <v/>
      </c>
      <c r="C1449" s="5" t="str">
        <f>IFERROR(__xludf.DUMMYFUNCTION("""COMPUTED_VALUE"""),"")</f>
        <v/>
      </c>
      <c r="D1449" s="5" t="str">
        <f>IFERROR(__xludf.DUMMYFUNCTION("""COMPUTED_VALUE"""),"")</f>
        <v/>
      </c>
      <c r="E1449" s="5" t="str">
        <f>IFERROR(__xludf.DUMMYFUNCTION("""COMPUTED_VALUE"""),"")</f>
        <v/>
      </c>
      <c r="F1449" s="5" t="str">
        <f>IFERROR(__xludf.DUMMYFUNCTION("""COMPUTED_VALUE"""),"")</f>
        <v/>
      </c>
      <c r="G1449" s="5" t="str">
        <f>IFERROR(__xludf.DUMMYFUNCTION("""COMPUTED_VALUE"""),"")</f>
        <v/>
      </c>
      <c r="H1449" s="5" t="str">
        <f>IFERROR(__xludf.DUMMYFUNCTION("""COMPUTED_VALUE"""),"")</f>
        <v/>
      </c>
      <c r="I1449" s="5" t="str">
        <f>IFERROR(__xludf.DUMMYFUNCTION("""COMPUTED_VALUE"""),"")</f>
        <v/>
      </c>
      <c r="J1449" s="5" t="str">
        <f>IFERROR(__xludf.DUMMYFUNCTION("""COMPUTED_VALUE"""),"")</f>
        <v/>
      </c>
      <c r="K1449" s="5" t="str">
        <f>IFERROR(__xludf.DUMMYFUNCTION("""COMPUTED_VALUE"""),"")</f>
        <v/>
      </c>
      <c r="L1449" s="5" t="str">
        <f>IFERROR(__xludf.DUMMYFUNCTION("""COMPUTED_VALUE"""),"")</f>
        <v/>
      </c>
      <c r="M1449" s="5" t="str">
        <f>IFERROR(__xludf.DUMMYFUNCTION("""COMPUTED_VALUE"""),"")</f>
        <v/>
      </c>
      <c r="N1449" s="5" t="str">
        <f>IFERROR(__xludf.DUMMYFUNCTION("""COMPUTED_VALUE"""),"")</f>
        <v/>
      </c>
      <c r="O1449" s="5" t="str">
        <f>IFERROR(__xludf.DUMMYFUNCTION("""COMPUTED_VALUE"""),"")</f>
        <v/>
      </c>
      <c r="P1449" s="5" t="str">
        <f>IFERROR(__xludf.DUMMYFUNCTION("""COMPUTED_VALUE"""),"")</f>
        <v/>
      </c>
      <c r="Q1449" s="5" t="str">
        <f>IFERROR(__xludf.DUMMYFUNCTION("""COMPUTED_VALUE"""),"")</f>
        <v/>
      </c>
      <c r="R1449" s="5" t="str">
        <f>IFERROR(__xludf.DUMMYFUNCTION("""COMPUTED_VALUE"""),"")</f>
        <v/>
      </c>
      <c r="S1449" s="5" t="str">
        <f>IFERROR(__xludf.DUMMYFUNCTION("""COMPUTED_VALUE"""),"")</f>
        <v/>
      </c>
      <c r="T1449" s="5" t="str">
        <f>IFERROR(__xludf.DUMMYFUNCTION("""COMPUTED_VALUE"""),"")</f>
        <v/>
      </c>
      <c r="U1449" s="5" t="str">
        <f>IFERROR(__xludf.DUMMYFUNCTION("""COMPUTED_VALUE"""),"")</f>
        <v/>
      </c>
      <c r="V1449" s="5" t="str">
        <f>IFERROR(__xludf.DUMMYFUNCTION("""COMPUTED_VALUE"""),"")</f>
        <v/>
      </c>
      <c r="W1449" s="5" t="str">
        <f>IFERROR(__xludf.DUMMYFUNCTION("""COMPUTED_VALUE"""),"")</f>
        <v/>
      </c>
      <c r="X1449" s="5" t="str">
        <f>IFERROR(__xludf.DUMMYFUNCTION("""COMPUTED_VALUE"""),"")</f>
        <v/>
      </c>
      <c r="Y1449" s="5"/>
      <c r="Z1449" s="5"/>
    </row>
    <row r="1450">
      <c r="A1450" s="5"/>
      <c r="B1450" s="5" t="str">
        <f>IFERROR(__xludf.DUMMYFUNCTION("""COMPUTED_VALUE"""),"")</f>
        <v/>
      </c>
      <c r="C1450" s="5" t="str">
        <f>IFERROR(__xludf.DUMMYFUNCTION("""COMPUTED_VALUE"""),"")</f>
        <v/>
      </c>
      <c r="D1450" s="5" t="str">
        <f>IFERROR(__xludf.DUMMYFUNCTION("""COMPUTED_VALUE"""),"")</f>
        <v/>
      </c>
      <c r="E1450" s="5" t="str">
        <f>IFERROR(__xludf.DUMMYFUNCTION("""COMPUTED_VALUE"""),"")</f>
        <v/>
      </c>
      <c r="F1450" s="5" t="str">
        <f>IFERROR(__xludf.DUMMYFUNCTION("""COMPUTED_VALUE"""),"")</f>
        <v/>
      </c>
      <c r="G1450" s="5" t="str">
        <f>IFERROR(__xludf.DUMMYFUNCTION("""COMPUTED_VALUE"""),"")</f>
        <v/>
      </c>
      <c r="H1450" s="5" t="str">
        <f>IFERROR(__xludf.DUMMYFUNCTION("""COMPUTED_VALUE"""),"")</f>
        <v/>
      </c>
      <c r="I1450" s="5" t="str">
        <f>IFERROR(__xludf.DUMMYFUNCTION("""COMPUTED_VALUE"""),"")</f>
        <v/>
      </c>
      <c r="J1450" s="5" t="str">
        <f>IFERROR(__xludf.DUMMYFUNCTION("""COMPUTED_VALUE"""),"")</f>
        <v/>
      </c>
      <c r="K1450" s="5" t="str">
        <f>IFERROR(__xludf.DUMMYFUNCTION("""COMPUTED_VALUE"""),"")</f>
        <v/>
      </c>
      <c r="L1450" s="5" t="str">
        <f>IFERROR(__xludf.DUMMYFUNCTION("""COMPUTED_VALUE"""),"")</f>
        <v/>
      </c>
      <c r="M1450" s="5" t="str">
        <f>IFERROR(__xludf.DUMMYFUNCTION("""COMPUTED_VALUE"""),"")</f>
        <v/>
      </c>
      <c r="N1450" s="5" t="str">
        <f>IFERROR(__xludf.DUMMYFUNCTION("""COMPUTED_VALUE"""),"")</f>
        <v/>
      </c>
      <c r="O1450" s="5" t="str">
        <f>IFERROR(__xludf.DUMMYFUNCTION("""COMPUTED_VALUE"""),"")</f>
        <v/>
      </c>
      <c r="P1450" s="5" t="str">
        <f>IFERROR(__xludf.DUMMYFUNCTION("""COMPUTED_VALUE"""),"")</f>
        <v/>
      </c>
      <c r="Q1450" s="5" t="str">
        <f>IFERROR(__xludf.DUMMYFUNCTION("""COMPUTED_VALUE"""),"")</f>
        <v/>
      </c>
      <c r="R1450" s="5" t="str">
        <f>IFERROR(__xludf.DUMMYFUNCTION("""COMPUTED_VALUE"""),"")</f>
        <v/>
      </c>
      <c r="S1450" s="5" t="str">
        <f>IFERROR(__xludf.DUMMYFUNCTION("""COMPUTED_VALUE"""),"")</f>
        <v/>
      </c>
      <c r="T1450" s="5" t="str">
        <f>IFERROR(__xludf.DUMMYFUNCTION("""COMPUTED_VALUE"""),"")</f>
        <v/>
      </c>
      <c r="U1450" s="5" t="str">
        <f>IFERROR(__xludf.DUMMYFUNCTION("""COMPUTED_VALUE"""),"")</f>
        <v/>
      </c>
      <c r="V1450" s="5" t="str">
        <f>IFERROR(__xludf.DUMMYFUNCTION("""COMPUTED_VALUE"""),"")</f>
        <v/>
      </c>
      <c r="W1450" s="5" t="str">
        <f>IFERROR(__xludf.DUMMYFUNCTION("""COMPUTED_VALUE"""),"")</f>
        <v/>
      </c>
      <c r="X1450" s="5" t="str">
        <f>IFERROR(__xludf.DUMMYFUNCTION("""COMPUTED_VALUE"""),"")</f>
        <v/>
      </c>
      <c r="Y1450" s="5"/>
      <c r="Z1450" s="5"/>
    </row>
    <row r="1451">
      <c r="A1451" s="5"/>
      <c r="B1451" s="5" t="str">
        <f>IFERROR(__xludf.DUMMYFUNCTION("""COMPUTED_VALUE"""),"")</f>
        <v/>
      </c>
      <c r="C1451" s="5" t="str">
        <f>IFERROR(__xludf.DUMMYFUNCTION("""COMPUTED_VALUE"""),"")</f>
        <v/>
      </c>
      <c r="D1451" s="5" t="str">
        <f>IFERROR(__xludf.DUMMYFUNCTION("""COMPUTED_VALUE"""),"")</f>
        <v/>
      </c>
      <c r="E1451" s="5" t="str">
        <f>IFERROR(__xludf.DUMMYFUNCTION("""COMPUTED_VALUE"""),"")</f>
        <v/>
      </c>
      <c r="F1451" s="5" t="str">
        <f>IFERROR(__xludf.DUMMYFUNCTION("""COMPUTED_VALUE"""),"")</f>
        <v/>
      </c>
      <c r="G1451" s="5" t="str">
        <f>IFERROR(__xludf.DUMMYFUNCTION("""COMPUTED_VALUE"""),"")</f>
        <v/>
      </c>
      <c r="H1451" s="5" t="str">
        <f>IFERROR(__xludf.DUMMYFUNCTION("""COMPUTED_VALUE"""),"")</f>
        <v/>
      </c>
      <c r="I1451" s="5" t="str">
        <f>IFERROR(__xludf.DUMMYFUNCTION("""COMPUTED_VALUE"""),"")</f>
        <v/>
      </c>
      <c r="J1451" s="5" t="str">
        <f>IFERROR(__xludf.DUMMYFUNCTION("""COMPUTED_VALUE"""),"")</f>
        <v/>
      </c>
      <c r="K1451" s="5" t="str">
        <f>IFERROR(__xludf.DUMMYFUNCTION("""COMPUTED_VALUE"""),"")</f>
        <v/>
      </c>
      <c r="L1451" s="5" t="str">
        <f>IFERROR(__xludf.DUMMYFUNCTION("""COMPUTED_VALUE"""),"")</f>
        <v/>
      </c>
      <c r="M1451" s="5" t="str">
        <f>IFERROR(__xludf.DUMMYFUNCTION("""COMPUTED_VALUE"""),"")</f>
        <v/>
      </c>
      <c r="N1451" s="5" t="str">
        <f>IFERROR(__xludf.DUMMYFUNCTION("""COMPUTED_VALUE"""),"")</f>
        <v/>
      </c>
      <c r="O1451" s="5" t="str">
        <f>IFERROR(__xludf.DUMMYFUNCTION("""COMPUTED_VALUE"""),"")</f>
        <v/>
      </c>
      <c r="P1451" s="5" t="str">
        <f>IFERROR(__xludf.DUMMYFUNCTION("""COMPUTED_VALUE"""),"")</f>
        <v/>
      </c>
      <c r="Q1451" s="5" t="str">
        <f>IFERROR(__xludf.DUMMYFUNCTION("""COMPUTED_VALUE"""),"")</f>
        <v/>
      </c>
      <c r="R1451" s="5" t="str">
        <f>IFERROR(__xludf.DUMMYFUNCTION("""COMPUTED_VALUE"""),"")</f>
        <v/>
      </c>
      <c r="S1451" s="5" t="str">
        <f>IFERROR(__xludf.DUMMYFUNCTION("""COMPUTED_VALUE"""),"")</f>
        <v/>
      </c>
      <c r="T1451" s="5" t="str">
        <f>IFERROR(__xludf.DUMMYFUNCTION("""COMPUTED_VALUE"""),"")</f>
        <v/>
      </c>
      <c r="U1451" s="5" t="str">
        <f>IFERROR(__xludf.DUMMYFUNCTION("""COMPUTED_VALUE"""),"")</f>
        <v/>
      </c>
      <c r="V1451" s="5" t="str">
        <f>IFERROR(__xludf.DUMMYFUNCTION("""COMPUTED_VALUE"""),"")</f>
        <v/>
      </c>
      <c r="W1451" s="5" t="str">
        <f>IFERROR(__xludf.DUMMYFUNCTION("""COMPUTED_VALUE"""),"")</f>
        <v/>
      </c>
      <c r="X1451" s="5" t="str">
        <f>IFERROR(__xludf.DUMMYFUNCTION("""COMPUTED_VALUE"""),"")</f>
        <v/>
      </c>
      <c r="Y1451" s="5"/>
      <c r="Z1451" s="5"/>
    </row>
    <row r="1452">
      <c r="A1452" s="5"/>
      <c r="B1452" s="5" t="str">
        <f>IFERROR(__xludf.DUMMYFUNCTION("""COMPUTED_VALUE"""),"")</f>
        <v/>
      </c>
      <c r="C1452" s="5" t="str">
        <f>IFERROR(__xludf.DUMMYFUNCTION("""COMPUTED_VALUE"""),"")</f>
        <v/>
      </c>
      <c r="D1452" s="5" t="str">
        <f>IFERROR(__xludf.DUMMYFUNCTION("""COMPUTED_VALUE"""),"")</f>
        <v/>
      </c>
      <c r="E1452" s="5" t="str">
        <f>IFERROR(__xludf.DUMMYFUNCTION("""COMPUTED_VALUE"""),"")</f>
        <v/>
      </c>
      <c r="F1452" s="5" t="str">
        <f>IFERROR(__xludf.DUMMYFUNCTION("""COMPUTED_VALUE"""),"")</f>
        <v/>
      </c>
      <c r="G1452" s="5" t="str">
        <f>IFERROR(__xludf.DUMMYFUNCTION("""COMPUTED_VALUE"""),"")</f>
        <v/>
      </c>
      <c r="H1452" s="5" t="str">
        <f>IFERROR(__xludf.DUMMYFUNCTION("""COMPUTED_VALUE"""),"")</f>
        <v/>
      </c>
      <c r="I1452" s="5" t="str">
        <f>IFERROR(__xludf.DUMMYFUNCTION("""COMPUTED_VALUE"""),"")</f>
        <v/>
      </c>
      <c r="J1452" s="5" t="str">
        <f>IFERROR(__xludf.DUMMYFUNCTION("""COMPUTED_VALUE"""),"")</f>
        <v/>
      </c>
      <c r="K1452" s="5" t="str">
        <f>IFERROR(__xludf.DUMMYFUNCTION("""COMPUTED_VALUE"""),"")</f>
        <v/>
      </c>
      <c r="L1452" s="5" t="str">
        <f>IFERROR(__xludf.DUMMYFUNCTION("""COMPUTED_VALUE"""),"")</f>
        <v/>
      </c>
      <c r="M1452" s="5" t="str">
        <f>IFERROR(__xludf.DUMMYFUNCTION("""COMPUTED_VALUE"""),"")</f>
        <v/>
      </c>
      <c r="N1452" s="5" t="str">
        <f>IFERROR(__xludf.DUMMYFUNCTION("""COMPUTED_VALUE"""),"")</f>
        <v/>
      </c>
      <c r="O1452" s="5" t="str">
        <f>IFERROR(__xludf.DUMMYFUNCTION("""COMPUTED_VALUE"""),"")</f>
        <v/>
      </c>
      <c r="P1452" s="5" t="str">
        <f>IFERROR(__xludf.DUMMYFUNCTION("""COMPUTED_VALUE"""),"")</f>
        <v/>
      </c>
      <c r="Q1452" s="5" t="str">
        <f>IFERROR(__xludf.DUMMYFUNCTION("""COMPUTED_VALUE"""),"")</f>
        <v/>
      </c>
      <c r="R1452" s="5" t="str">
        <f>IFERROR(__xludf.DUMMYFUNCTION("""COMPUTED_VALUE"""),"")</f>
        <v/>
      </c>
      <c r="S1452" s="5" t="str">
        <f>IFERROR(__xludf.DUMMYFUNCTION("""COMPUTED_VALUE"""),"")</f>
        <v/>
      </c>
      <c r="T1452" s="5" t="str">
        <f>IFERROR(__xludf.DUMMYFUNCTION("""COMPUTED_VALUE"""),"")</f>
        <v/>
      </c>
      <c r="U1452" s="5" t="str">
        <f>IFERROR(__xludf.DUMMYFUNCTION("""COMPUTED_VALUE"""),"")</f>
        <v/>
      </c>
      <c r="V1452" s="5" t="str">
        <f>IFERROR(__xludf.DUMMYFUNCTION("""COMPUTED_VALUE"""),"")</f>
        <v/>
      </c>
      <c r="W1452" s="5" t="str">
        <f>IFERROR(__xludf.DUMMYFUNCTION("""COMPUTED_VALUE"""),"")</f>
        <v/>
      </c>
      <c r="X1452" s="5" t="str">
        <f>IFERROR(__xludf.DUMMYFUNCTION("""COMPUTED_VALUE"""),"")</f>
        <v/>
      </c>
      <c r="Y1452" s="5"/>
      <c r="Z1452" s="5"/>
    </row>
    <row r="1453">
      <c r="A1453" s="5"/>
      <c r="B1453" s="5" t="str">
        <f>IFERROR(__xludf.DUMMYFUNCTION("""COMPUTED_VALUE"""),"")</f>
        <v/>
      </c>
      <c r="C1453" s="5" t="str">
        <f>IFERROR(__xludf.DUMMYFUNCTION("""COMPUTED_VALUE"""),"")</f>
        <v/>
      </c>
      <c r="D1453" s="5" t="str">
        <f>IFERROR(__xludf.DUMMYFUNCTION("""COMPUTED_VALUE"""),"")</f>
        <v/>
      </c>
      <c r="E1453" s="5" t="str">
        <f>IFERROR(__xludf.DUMMYFUNCTION("""COMPUTED_VALUE"""),"")</f>
        <v/>
      </c>
      <c r="F1453" s="5" t="str">
        <f>IFERROR(__xludf.DUMMYFUNCTION("""COMPUTED_VALUE"""),"")</f>
        <v/>
      </c>
      <c r="G1453" s="5" t="str">
        <f>IFERROR(__xludf.DUMMYFUNCTION("""COMPUTED_VALUE"""),"")</f>
        <v/>
      </c>
      <c r="H1453" s="5" t="str">
        <f>IFERROR(__xludf.DUMMYFUNCTION("""COMPUTED_VALUE"""),"")</f>
        <v/>
      </c>
      <c r="I1453" s="5" t="str">
        <f>IFERROR(__xludf.DUMMYFUNCTION("""COMPUTED_VALUE"""),"")</f>
        <v/>
      </c>
      <c r="J1453" s="5" t="str">
        <f>IFERROR(__xludf.DUMMYFUNCTION("""COMPUTED_VALUE"""),"")</f>
        <v/>
      </c>
      <c r="K1453" s="5" t="str">
        <f>IFERROR(__xludf.DUMMYFUNCTION("""COMPUTED_VALUE"""),"")</f>
        <v/>
      </c>
      <c r="L1453" s="5" t="str">
        <f>IFERROR(__xludf.DUMMYFUNCTION("""COMPUTED_VALUE"""),"")</f>
        <v/>
      </c>
      <c r="M1453" s="5" t="str">
        <f>IFERROR(__xludf.DUMMYFUNCTION("""COMPUTED_VALUE"""),"")</f>
        <v/>
      </c>
      <c r="N1453" s="5" t="str">
        <f>IFERROR(__xludf.DUMMYFUNCTION("""COMPUTED_VALUE"""),"")</f>
        <v/>
      </c>
      <c r="O1453" s="5" t="str">
        <f>IFERROR(__xludf.DUMMYFUNCTION("""COMPUTED_VALUE"""),"")</f>
        <v/>
      </c>
      <c r="P1453" s="5" t="str">
        <f>IFERROR(__xludf.DUMMYFUNCTION("""COMPUTED_VALUE"""),"")</f>
        <v/>
      </c>
      <c r="Q1453" s="5" t="str">
        <f>IFERROR(__xludf.DUMMYFUNCTION("""COMPUTED_VALUE"""),"")</f>
        <v/>
      </c>
      <c r="R1453" s="5" t="str">
        <f>IFERROR(__xludf.DUMMYFUNCTION("""COMPUTED_VALUE"""),"")</f>
        <v/>
      </c>
      <c r="S1453" s="5" t="str">
        <f>IFERROR(__xludf.DUMMYFUNCTION("""COMPUTED_VALUE"""),"")</f>
        <v/>
      </c>
      <c r="T1453" s="5" t="str">
        <f>IFERROR(__xludf.DUMMYFUNCTION("""COMPUTED_VALUE"""),"")</f>
        <v/>
      </c>
      <c r="U1453" s="5" t="str">
        <f>IFERROR(__xludf.DUMMYFUNCTION("""COMPUTED_VALUE"""),"")</f>
        <v/>
      </c>
      <c r="V1453" s="5" t="str">
        <f>IFERROR(__xludf.DUMMYFUNCTION("""COMPUTED_VALUE"""),"")</f>
        <v/>
      </c>
      <c r="W1453" s="5" t="str">
        <f>IFERROR(__xludf.DUMMYFUNCTION("""COMPUTED_VALUE"""),"")</f>
        <v/>
      </c>
      <c r="X1453" s="5" t="str">
        <f>IFERROR(__xludf.DUMMYFUNCTION("""COMPUTED_VALUE"""),"")</f>
        <v/>
      </c>
      <c r="Y1453" s="5"/>
      <c r="Z1453" s="5"/>
    </row>
    <row r="1454">
      <c r="A1454" s="5"/>
      <c r="B1454" s="5" t="str">
        <f>IFERROR(__xludf.DUMMYFUNCTION("""COMPUTED_VALUE"""),"")</f>
        <v/>
      </c>
      <c r="C1454" s="5" t="str">
        <f>IFERROR(__xludf.DUMMYFUNCTION("""COMPUTED_VALUE"""),"")</f>
        <v/>
      </c>
      <c r="D1454" s="5" t="str">
        <f>IFERROR(__xludf.DUMMYFUNCTION("""COMPUTED_VALUE"""),"")</f>
        <v/>
      </c>
      <c r="E1454" s="5" t="str">
        <f>IFERROR(__xludf.DUMMYFUNCTION("""COMPUTED_VALUE"""),"")</f>
        <v/>
      </c>
      <c r="F1454" s="5" t="str">
        <f>IFERROR(__xludf.DUMMYFUNCTION("""COMPUTED_VALUE"""),"")</f>
        <v/>
      </c>
      <c r="G1454" s="5" t="str">
        <f>IFERROR(__xludf.DUMMYFUNCTION("""COMPUTED_VALUE"""),"")</f>
        <v/>
      </c>
      <c r="H1454" s="5" t="str">
        <f>IFERROR(__xludf.DUMMYFUNCTION("""COMPUTED_VALUE"""),"")</f>
        <v/>
      </c>
      <c r="I1454" s="5" t="str">
        <f>IFERROR(__xludf.DUMMYFUNCTION("""COMPUTED_VALUE"""),"")</f>
        <v/>
      </c>
      <c r="J1454" s="5" t="str">
        <f>IFERROR(__xludf.DUMMYFUNCTION("""COMPUTED_VALUE"""),"")</f>
        <v/>
      </c>
      <c r="K1454" s="5" t="str">
        <f>IFERROR(__xludf.DUMMYFUNCTION("""COMPUTED_VALUE"""),"")</f>
        <v/>
      </c>
      <c r="L1454" s="5" t="str">
        <f>IFERROR(__xludf.DUMMYFUNCTION("""COMPUTED_VALUE"""),"")</f>
        <v/>
      </c>
      <c r="M1454" s="5" t="str">
        <f>IFERROR(__xludf.DUMMYFUNCTION("""COMPUTED_VALUE"""),"")</f>
        <v/>
      </c>
      <c r="N1454" s="5" t="str">
        <f>IFERROR(__xludf.DUMMYFUNCTION("""COMPUTED_VALUE"""),"")</f>
        <v/>
      </c>
      <c r="O1454" s="5" t="str">
        <f>IFERROR(__xludf.DUMMYFUNCTION("""COMPUTED_VALUE"""),"")</f>
        <v/>
      </c>
      <c r="P1454" s="5" t="str">
        <f>IFERROR(__xludf.DUMMYFUNCTION("""COMPUTED_VALUE"""),"")</f>
        <v/>
      </c>
      <c r="Q1454" s="5" t="str">
        <f>IFERROR(__xludf.DUMMYFUNCTION("""COMPUTED_VALUE"""),"")</f>
        <v/>
      </c>
      <c r="R1454" s="5" t="str">
        <f>IFERROR(__xludf.DUMMYFUNCTION("""COMPUTED_VALUE"""),"")</f>
        <v/>
      </c>
      <c r="S1454" s="5" t="str">
        <f>IFERROR(__xludf.DUMMYFUNCTION("""COMPUTED_VALUE"""),"")</f>
        <v/>
      </c>
      <c r="T1454" s="5" t="str">
        <f>IFERROR(__xludf.DUMMYFUNCTION("""COMPUTED_VALUE"""),"")</f>
        <v/>
      </c>
      <c r="U1454" s="5" t="str">
        <f>IFERROR(__xludf.DUMMYFUNCTION("""COMPUTED_VALUE"""),"")</f>
        <v/>
      </c>
      <c r="V1454" s="5" t="str">
        <f>IFERROR(__xludf.DUMMYFUNCTION("""COMPUTED_VALUE"""),"")</f>
        <v/>
      </c>
      <c r="W1454" s="5" t="str">
        <f>IFERROR(__xludf.DUMMYFUNCTION("""COMPUTED_VALUE"""),"")</f>
        <v/>
      </c>
      <c r="X1454" s="5" t="str">
        <f>IFERROR(__xludf.DUMMYFUNCTION("""COMPUTED_VALUE"""),"")</f>
        <v/>
      </c>
      <c r="Y1454" s="5"/>
      <c r="Z1454" s="5"/>
    </row>
    <row r="1455">
      <c r="A1455" s="5"/>
      <c r="B1455" s="5" t="str">
        <f>IFERROR(__xludf.DUMMYFUNCTION("""COMPUTED_VALUE"""),"")</f>
        <v/>
      </c>
      <c r="C1455" s="5" t="str">
        <f>IFERROR(__xludf.DUMMYFUNCTION("""COMPUTED_VALUE"""),"")</f>
        <v/>
      </c>
      <c r="D1455" s="5" t="str">
        <f>IFERROR(__xludf.DUMMYFUNCTION("""COMPUTED_VALUE"""),"")</f>
        <v/>
      </c>
      <c r="E1455" s="5" t="str">
        <f>IFERROR(__xludf.DUMMYFUNCTION("""COMPUTED_VALUE"""),"")</f>
        <v/>
      </c>
      <c r="F1455" s="5" t="str">
        <f>IFERROR(__xludf.DUMMYFUNCTION("""COMPUTED_VALUE"""),"")</f>
        <v/>
      </c>
      <c r="G1455" s="5" t="str">
        <f>IFERROR(__xludf.DUMMYFUNCTION("""COMPUTED_VALUE"""),"")</f>
        <v/>
      </c>
      <c r="H1455" s="5" t="str">
        <f>IFERROR(__xludf.DUMMYFUNCTION("""COMPUTED_VALUE"""),"")</f>
        <v/>
      </c>
      <c r="I1455" s="5" t="str">
        <f>IFERROR(__xludf.DUMMYFUNCTION("""COMPUTED_VALUE"""),"")</f>
        <v/>
      </c>
      <c r="J1455" s="5" t="str">
        <f>IFERROR(__xludf.DUMMYFUNCTION("""COMPUTED_VALUE"""),"")</f>
        <v/>
      </c>
      <c r="K1455" s="5" t="str">
        <f>IFERROR(__xludf.DUMMYFUNCTION("""COMPUTED_VALUE"""),"")</f>
        <v/>
      </c>
      <c r="L1455" s="5" t="str">
        <f>IFERROR(__xludf.DUMMYFUNCTION("""COMPUTED_VALUE"""),"")</f>
        <v/>
      </c>
      <c r="M1455" s="5" t="str">
        <f>IFERROR(__xludf.DUMMYFUNCTION("""COMPUTED_VALUE"""),"")</f>
        <v/>
      </c>
      <c r="N1455" s="5" t="str">
        <f>IFERROR(__xludf.DUMMYFUNCTION("""COMPUTED_VALUE"""),"")</f>
        <v/>
      </c>
      <c r="O1455" s="5" t="str">
        <f>IFERROR(__xludf.DUMMYFUNCTION("""COMPUTED_VALUE"""),"")</f>
        <v/>
      </c>
      <c r="P1455" s="5" t="str">
        <f>IFERROR(__xludf.DUMMYFUNCTION("""COMPUTED_VALUE"""),"")</f>
        <v/>
      </c>
      <c r="Q1455" s="5" t="str">
        <f>IFERROR(__xludf.DUMMYFUNCTION("""COMPUTED_VALUE"""),"")</f>
        <v/>
      </c>
      <c r="R1455" s="5" t="str">
        <f>IFERROR(__xludf.DUMMYFUNCTION("""COMPUTED_VALUE"""),"")</f>
        <v/>
      </c>
      <c r="S1455" s="5" t="str">
        <f>IFERROR(__xludf.DUMMYFUNCTION("""COMPUTED_VALUE"""),"")</f>
        <v/>
      </c>
      <c r="T1455" s="5" t="str">
        <f>IFERROR(__xludf.DUMMYFUNCTION("""COMPUTED_VALUE"""),"")</f>
        <v/>
      </c>
      <c r="U1455" s="5" t="str">
        <f>IFERROR(__xludf.DUMMYFUNCTION("""COMPUTED_VALUE"""),"")</f>
        <v/>
      </c>
      <c r="V1455" s="5" t="str">
        <f>IFERROR(__xludf.DUMMYFUNCTION("""COMPUTED_VALUE"""),"")</f>
        <v/>
      </c>
      <c r="W1455" s="5" t="str">
        <f>IFERROR(__xludf.DUMMYFUNCTION("""COMPUTED_VALUE"""),"")</f>
        <v/>
      </c>
      <c r="X1455" s="5" t="str">
        <f>IFERROR(__xludf.DUMMYFUNCTION("""COMPUTED_VALUE"""),"")</f>
        <v/>
      </c>
      <c r="Y1455" s="5"/>
      <c r="Z1455" s="5"/>
    </row>
    <row r="1456">
      <c r="A1456" s="5"/>
      <c r="B1456" s="5" t="str">
        <f>IFERROR(__xludf.DUMMYFUNCTION("""COMPUTED_VALUE"""),"")</f>
        <v/>
      </c>
      <c r="C1456" s="5" t="str">
        <f>IFERROR(__xludf.DUMMYFUNCTION("""COMPUTED_VALUE"""),"")</f>
        <v/>
      </c>
      <c r="D1456" s="5" t="str">
        <f>IFERROR(__xludf.DUMMYFUNCTION("""COMPUTED_VALUE"""),"")</f>
        <v/>
      </c>
      <c r="E1456" s="5" t="str">
        <f>IFERROR(__xludf.DUMMYFUNCTION("""COMPUTED_VALUE"""),"")</f>
        <v/>
      </c>
      <c r="F1456" s="5" t="str">
        <f>IFERROR(__xludf.DUMMYFUNCTION("""COMPUTED_VALUE"""),"")</f>
        <v/>
      </c>
      <c r="G1456" s="5" t="str">
        <f>IFERROR(__xludf.DUMMYFUNCTION("""COMPUTED_VALUE"""),"")</f>
        <v/>
      </c>
      <c r="H1456" s="5" t="str">
        <f>IFERROR(__xludf.DUMMYFUNCTION("""COMPUTED_VALUE"""),"")</f>
        <v/>
      </c>
      <c r="I1456" s="5" t="str">
        <f>IFERROR(__xludf.DUMMYFUNCTION("""COMPUTED_VALUE"""),"")</f>
        <v/>
      </c>
      <c r="J1456" s="5" t="str">
        <f>IFERROR(__xludf.DUMMYFUNCTION("""COMPUTED_VALUE"""),"")</f>
        <v/>
      </c>
      <c r="K1456" s="5" t="str">
        <f>IFERROR(__xludf.DUMMYFUNCTION("""COMPUTED_VALUE"""),"")</f>
        <v/>
      </c>
      <c r="L1456" s="5" t="str">
        <f>IFERROR(__xludf.DUMMYFUNCTION("""COMPUTED_VALUE"""),"")</f>
        <v/>
      </c>
      <c r="M1456" s="5" t="str">
        <f>IFERROR(__xludf.DUMMYFUNCTION("""COMPUTED_VALUE"""),"")</f>
        <v/>
      </c>
      <c r="N1456" s="5" t="str">
        <f>IFERROR(__xludf.DUMMYFUNCTION("""COMPUTED_VALUE"""),"")</f>
        <v/>
      </c>
      <c r="O1456" s="5" t="str">
        <f>IFERROR(__xludf.DUMMYFUNCTION("""COMPUTED_VALUE"""),"")</f>
        <v/>
      </c>
      <c r="P1456" s="5" t="str">
        <f>IFERROR(__xludf.DUMMYFUNCTION("""COMPUTED_VALUE"""),"")</f>
        <v/>
      </c>
      <c r="Q1456" s="5" t="str">
        <f>IFERROR(__xludf.DUMMYFUNCTION("""COMPUTED_VALUE"""),"")</f>
        <v/>
      </c>
      <c r="R1456" s="5" t="str">
        <f>IFERROR(__xludf.DUMMYFUNCTION("""COMPUTED_VALUE"""),"")</f>
        <v/>
      </c>
      <c r="S1456" s="5" t="str">
        <f>IFERROR(__xludf.DUMMYFUNCTION("""COMPUTED_VALUE"""),"")</f>
        <v/>
      </c>
      <c r="T1456" s="5" t="str">
        <f>IFERROR(__xludf.DUMMYFUNCTION("""COMPUTED_VALUE"""),"")</f>
        <v/>
      </c>
      <c r="U1456" s="5" t="str">
        <f>IFERROR(__xludf.DUMMYFUNCTION("""COMPUTED_VALUE"""),"")</f>
        <v/>
      </c>
      <c r="V1456" s="5" t="str">
        <f>IFERROR(__xludf.DUMMYFUNCTION("""COMPUTED_VALUE"""),"")</f>
        <v/>
      </c>
      <c r="W1456" s="5" t="str">
        <f>IFERROR(__xludf.DUMMYFUNCTION("""COMPUTED_VALUE"""),"")</f>
        <v/>
      </c>
      <c r="X1456" s="5" t="str">
        <f>IFERROR(__xludf.DUMMYFUNCTION("""COMPUTED_VALUE"""),"")</f>
        <v/>
      </c>
      <c r="Y1456" s="5"/>
      <c r="Z1456" s="5"/>
    </row>
    <row r="1457">
      <c r="A1457" s="5"/>
      <c r="B1457" s="5" t="str">
        <f>IFERROR(__xludf.DUMMYFUNCTION("""COMPUTED_VALUE"""),"")</f>
        <v/>
      </c>
      <c r="C1457" s="5" t="str">
        <f>IFERROR(__xludf.DUMMYFUNCTION("""COMPUTED_VALUE"""),"")</f>
        <v/>
      </c>
      <c r="D1457" s="5" t="str">
        <f>IFERROR(__xludf.DUMMYFUNCTION("""COMPUTED_VALUE"""),"")</f>
        <v/>
      </c>
      <c r="E1457" s="5" t="str">
        <f>IFERROR(__xludf.DUMMYFUNCTION("""COMPUTED_VALUE"""),"")</f>
        <v/>
      </c>
      <c r="F1457" s="5" t="str">
        <f>IFERROR(__xludf.DUMMYFUNCTION("""COMPUTED_VALUE"""),"")</f>
        <v/>
      </c>
      <c r="G1457" s="5" t="str">
        <f>IFERROR(__xludf.DUMMYFUNCTION("""COMPUTED_VALUE"""),"")</f>
        <v/>
      </c>
      <c r="H1457" s="5" t="str">
        <f>IFERROR(__xludf.DUMMYFUNCTION("""COMPUTED_VALUE"""),"")</f>
        <v/>
      </c>
      <c r="I1457" s="5" t="str">
        <f>IFERROR(__xludf.DUMMYFUNCTION("""COMPUTED_VALUE"""),"")</f>
        <v/>
      </c>
      <c r="J1457" s="5" t="str">
        <f>IFERROR(__xludf.DUMMYFUNCTION("""COMPUTED_VALUE"""),"")</f>
        <v/>
      </c>
      <c r="K1457" s="5" t="str">
        <f>IFERROR(__xludf.DUMMYFUNCTION("""COMPUTED_VALUE"""),"")</f>
        <v/>
      </c>
      <c r="L1457" s="5" t="str">
        <f>IFERROR(__xludf.DUMMYFUNCTION("""COMPUTED_VALUE"""),"")</f>
        <v/>
      </c>
      <c r="M1457" s="5" t="str">
        <f>IFERROR(__xludf.DUMMYFUNCTION("""COMPUTED_VALUE"""),"")</f>
        <v/>
      </c>
      <c r="N1457" s="5" t="str">
        <f>IFERROR(__xludf.DUMMYFUNCTION("""COMPUTED_VALUE"""),"")</f>
        <v/>
      </c>
      <c r="O1457" s="5" t="str">
        <f>IFERROR(__xludf.DUMMYFUNCTION("""COMPUTED_VALUE"""),"")</f>
        <v/>
      </c>
      <c r="P1457" s="5" t="str">
        <f>IFERROR(__xludf.DUMMYFUNCTION("""COMPUTED_VALUE"""),"")</f>
        <v/>
      </c>
      <c r="Q1457" s="5" t="str">
        <f>IFERROR(__xludf.DUMMYFUNCTION("""COMPUTED_VALUE"""),"")</f>
        <v/>
      </c>
      <c r="R1457" s="5" t="str">
        <f>IFERROR(__xludf.DUMMYFUNCTION("""COMPUTED_VALUE"""),"")</f>
        <v/>
      </c>
      <c r="S1457" s="5" t="str">
        <f>IFERROR(__xludf.DUMMYFUNCTION("""COMPUTED_VALUE"""),"")</f>
        <v/>
      </c>
      <c r="T1457" s="5" t="str">
        <f>IFERROR(__xludf.DUMMYFUNCTION("""COMPUTED_VALUE"""),"")</f>
        <v/>
      </c>
      <c r="U1457" s="5" t="str">
        <f>IFERROR(__xludf.DUMMYFUNCTION("""COMPUTED_VALUE"""),"")</f>
        <v/>
      </c>
      <c r="V1457" s="5" t="str">
        <f>IFERROR(__xludf.DUMMYFUNCTION("""COMPUTED_VALUE"""),"")</f>
        <v/>
      </c>
      <c r="W1457" s="5" t="str">
        <f>IFERROR(__xludf.DUMMYFUNCTION("""COMPUTED_VALUE"""),"")</f>
        <v/>
      </c>
      <c r="X1457" s="5" t="str">
        <f>IFERROR(__xludf.DUMMYFUNCTION("""COMPUTED_VALUE"""),"")</f>
        <v/>
      </c>
      <c r="Y1457" s="5"/>
      <c r="Z1457" s="5"/>
    </row>
    <row r="1458">
      <c r="A1458" s="5"/>
      <c r="B1458" s="5" t="str">
        <f>IFERROR(__xludf.DUMMYFUNCTION("""COMPUTED_VALUE"""),"")</f>
        <v/>
      </c>
      <c r="C1458" s="5" t="str">
        <f>IFERROR(__xludf.DUMMYFUNCTION("""COMPUTED_VALUE"""),"")</f>
        <v/>
      </c>
      <c r="D1458" s="5" t="str">
        <f>IFERROR(__xludf.DUMMYFUNCTION("""COMPUTED_VALUE"""),"")</f>
        <v/>
      </c>
      <c r="E1458" s="5" t="str">
        <f>IFERROR(__xludf.DUMMYFUNCTION("""COMPUTED_VALUE"""),"")</f>
        <v/>
      </c>
      <c r="F1458" s="5" t="str">
        <f>IFERROR(__xludf.DUMMYFUNCTION("""COMPUTED_VALUE"""),"")</f>
        <v/>
      </c>
      <c r="G1458" s="5" t="str">
        <f>IFERROR(__xludf.DUMMYFUNCTION("""COMPUTED_VALUE"""),"")</f>
        <v/>
      </c>
      <c r="H1458" s="5" t="str">
        <f>IFERROR(__xludf.DUMMYFUNCTION("""COMPUTED_VALUE"""),"")</f>
        <v/>
      </c>
      <c r="I1458" s="5" t="str">
        <f>IFERROR(__xludf.DUMMYFUNCTION("""COMPUTED_VALUE"""),"")</f>
        <v/>
      </c>
      <c r="J1458" s="5" t="str">
        <f>IFERROR(__xludf.DUMMYFUNCTION("""COMPUTED_VALUE"""),"")</f>
        <v/>
      </c>
      <c r="K1458" s="5" t="str">
        <f>IFERROR(__xludf.DUMMYFUNCTION("""COMPUTED_VALUE"""),"")</f>
        <v/>
      </c>
      <c r="L1458" s="5" t="str">
        <f>IFERROR(__xludf.DUMMYFUNCTION("""COMPUTED_VALUE"""),"")</f>
        <v/>
      </c>
      <c r="M1458" s="5" t="str">
        <f>IFERROR(__xludf.DUMMYFUNCTION("""COMPUTED_VALUE"""),"")</f>
        <v/>
      </c>
      <c r="N1458" s="5" t="str">
        <f>IFERROR(__xludf.DUMMYFUNCTION("""COMPUTED_VALUE"""),"")</f>
        <v/>
      </c>
      <c r="O1458" s="5" t="str">
        <f>IFERROR(__xludf.DUMMYFUNCTION("""COMPUTED_VALUE"""),"")</f>
        <v/>
      </c>
      <c r="P1458" s="5" t="str">
        <f>IFERROR(__xludf.DUMMYFUNCTION("""COMPUTED_VALUE"""),"")</f>
        <v/>
      </c>
      <c r="Q1458" s="5" t="str">
        <f>IFERROR(__xludf.DUMMYFUNCTION("""COMPUTED_VALUE"""),"")</f>
        <v/>
      </c>
      <c r="R1458" s="5" t="str">
        <f>IFERROR(__xludf.DUMMYFUNCTION("""COMPUTED_VALUE"""),"")</f>
        <v/>
      </c>
      <c r="S1458" s="5" t="str">
        <f>IFERROR(__xludf.DUMMYFUNCTION("""COMPUTED_VALUE"""),"")</f>
        <v/>
      </c>
      <c r="T1458" s="5" t="str">
        <f>IFERROR(__xludf.DUMMYFUNCTION("""COMPUTED_VALUE"""),"")</f>
        <v/>
      </c>
      <c r="U1458" s="5" t="str">
        <f>IFERROR(__xludf.DUMMYFUNCTION("""COMPUTED_VALUE"""),"")</f>
        <v/>
      </c>
      <c r="V1458" s="5" t="str">
        <f>IFERROR(__xludf.DUMMYFUNCTION("""COMPUTED_VALUE"""),"")</f>
        <v/>
      </c>
      <c r="W1458" s="5" t="str">
        <f>IFERROR(__xludf.DUMMYFUNCTION("""COMPUTED_VALUE"""),"")</f>
        <v/>
      </c>
      <c r="X1458" s="5" t="str">
        <f>IFERROR(__xludf.DUMMYFUNCTION("""COMPUTED_VALUE"""),"")</f>
        <v/>
      </c>
      <c r="Y1458" s="5"/>
      <c r="Z1458" s="5"/>
    </row>
    <row r="1459">
      <c r="A1459" s="5"/>
      <c r="B1459" s="5" t="str">
        <f>IFERROR(__xludf.DUMMYFUNCTION("""COMPUTED_VALUE"""),"")</f>
        <v/>
      </c>
      <c r="C1459" s="5" t="str">
        <f>IFERROR(__xludf.DUMMYFUNCTION("""COMPUTED_VALUE"""),"")</f>
        <v/>
      </c>
      <c r="D1459" s="5" t="str">
        <f>IFERROR(__xludf.DUMMYFUNCTION("""COMPUTED_VALUE"""),"")</f>
        <v/>
      </c>
      <c r="E1459" s="5" t="str">
        <f>IFERROR(__xludf.DUMMYFUNCTION("""COMPUTED_VALUE"""),"")</f>
        <v/>
      </c>
      <c r="F1459" s="5" t="str">
        <f>IFERROR(__xludf.DUMMYFUNCTION("""COMPUTED_VALUE"""),"")</f>
        <v/>
      </c>
      <c r="G1459" s="5" t="str">
        <f>IFERROR(__xludf.DUMMYFUNCTION("""COMPUTED_VALUE"""),"")</f>
        <v/>
      </c>
      <c r="H1459" s="5" t="str">
        <f>IFERROR(__xludf.DUMMYFUNCTION("""COMPUTED_VALUE"""),"")</f>
        <v/>
      </c>
      <c r="I1459" s="5" t="str">
        <f>IFERROR(__xludf.DUMMYFUNCTION("""COMPUTED_VALUE"""),"")</f>
        <v/>
      </c>
      <c r="J1459" s="5" t="str">
        <f>IFERROR(__xludf.DUMMYFUNCTION("""COMPUTED_VALUE"""),"")</f>
        <v/>
      </c>
      <c r="K1459" s="5" t="str">
        <f>IFERROR(__xludf.DUMMYFUNCTION("""COMPUTED_VALUE"""),"")</f>
        <v/>
      </c>
      <c r="L1459" s="5" t="str">
        <f>IFERROR(__xludf.DUMMYFUNCTION("""COMPUTED_VALUE"""),"")</f>
        <v/>
      </c>
      <c r="M1459" s="5" t="str">
        <f>IFERROR(__xludf.DUMMYFUNCTION("""COMPUTED_VALUE"""),"")</f>
        <v/>
      </c>
      <c r="N1459" s="5" t="str">
        <f>IFERROR(__xludf.DUMMYFUNCTION("""COMPUTED_VALUE"""),"")</f>
        <v/>
      </c>
      <c r="O1459" s="5" t="str">
        <f>IFERROR(__xludf.DUMMYFUNCTION("""COMPUTED_VALUE"""),"")</f>
        <v/>
      </c>
      <c r="P1459" s="5" t="str">
        <f>IFERROR(__xludf.DUMMYFUNCTION("""COMPUTED_VALUE"""),"")</f>
        <v/>
      </c>
      <c r="Q1459" s="5" t="str">
        <f>IFERROR(__xludf.DUMMYFUNCTION("""COMPUTED_VALUE"""),"")</f>
        <v/>
      </c>
      <c r="R1459" s="5" t="str">
        <f>IFERROR(__xludf.DUMMYFUNCTION("""COMPUTED_VALUE"""),"")</f>
        <v/>
      </c>
      <c r="S1459" s="5" t="str">
        <f>IFERROR(__xludf.DUMMYFUNCTION("""COMPUTED_VALUE"""),"")</f>
        <v/>
      </c>
      <c r="T1459" s="5" t="str">
        <f>IFERROR(__xludf.DUMMYFUNCTION("""COMPUTED_VALUE"""),"")</f>
        <v/>
      </c>
      <c r="U1459" s="5" t="str">
        <f>IFERROR(__xludf.DUMMYFUNCTION("""COMPUTED_VALUE"""),"")</f>
        <v/>
      </c>
      <c r="V1459" s="5" t="str">
        <f>IFERROR(__xludf.DUMMYFUNCTION("""COMPUTED_VALUE"""),"")</f>
        <v/>
      </c>
      <c r="W1459" s="5" t="str">
        <f>IFERROR(__xludf.DUMMYFUNCTION("""COMPUTED_VALUE"""),"")</f>
        <v/>
      </c>
      <c r="X1459" s="5" t="str">
        <f>IFERROR(__xludf.DUMMYFUNCTION("""COMPUTED_VALUE"""),"")</f>
        <v/>
      </c>
      <c r="Y1459" s="5"/>
      <c r="Z1459" s="5"/>
    </row>
    <row r="1460">
      <c r="A1460" s="5"/>
      <c r="B1460" s="5" t="str">
        <f>IFERROR(__xludf.DUMMYFUNCTION("""COMPUTED_VALUE"""),"")</f>
        <v/>
      </c>
      <c r="C1460" s="5" t="str">
        <f>IFERROR(__xludf.DUMMYFUNCTION("""COMPUTED_VALUE"""),"")</f>
        <v/>
      </c>
      <c r="D1460" s="5" t="str">
        <f>IFERROR(__xludf.DUMMYFUNCTION("""COMPUTED_VALUE"""),"")</f>
        <v/>
      </c>
      <c r="E1460" s="5" t="str">
        <f>IFERROR(__xludf.DUMMYFUNCTION("""COMPUTED_VALUE"""),"")</f>
        <v/>
      </c>
      <c r="F1460" s="5" t="str">
        <f>IFERROR(__xludf.DUMMYFUNCTION("""COMPUTED_VALUE"""),"")</f>
        <v/>
      </c>
      <c r="G1460" s="5" t="str">
        <f>IFERROR(__xludf.DUMMYFUNCTION("""COMPUTED_VALUE"""),"")</f>
        <v/>
      </c>
      <c r="H1460" s="5" t="str">
        <f>IFERROR(__xludf.DUMMYFUNCTION("""COMPUTED_VALUE"""),"")</f>
        <v/>
      </c>
      <c r="I1460" s="5" t="str">
        <f>IFERROR(__xludf.DUMMYFUNCTION("""COMPUTED_VALUE"""),"")</f>
        <v/>
      </c>
      <c r="J1460" s="5" t="str">
        <f>IFERROR(__xludf.DUMMYFUNCTION("""COMPUTED_VALUE"""),"")</f>
        <v/>
      </c>
      <c r="K1460" s="5" t="str">
        <f>IFERROR(__xludf.DUMMYFUNCTION("""COMPUTED_VALUE"""),"")</f>
        <v/>
      </c>
      <c r="L1460" s="5" t="str">
        <f>IFERROR(__xludf.DUMMYFUNCTION("""COMPUTED_VALUE"""),"")</f>
        <v/>
      </c>
      <c r="M1460" s="5" t="str">
        <f>IFERROR(__xludf.DUMMYFUNCTION("""COMPUTED_VALUE"""),"")</f>
        <v/>
      </c>
      <c r="N1460" s="5" t="str">
        <f>IFERROR(__xludf.DUMMYFUNCTION("""COMPUTED_VALUE"""),"")</f>
        <v/>
      </c>
      <c r="O1460" s="5" t="str">
        <f>IFERROR(__xludf.DUMMYFUNCTION("""COMPUTED_VALUE"""),"")</f>
        <v/>
      </c>
      <c r="P1460" s="5" t="str">
        <f>IFERROR(__xludf.DUMMYFUNCTION("""COMPUTED_VALUE"""),"")</f>
        <v/>
      </c>
      <c r="Q1460" s="5" t="str">
        <f>IFERROR(__xludf.DUMMYFUNCTION("""COMPUTED_VALUE"""),"")</f>
        <v/>
      </c>
      <c r="R1460" s="5" t="str">
        <f>IFERROR(__xludf.DUMMYFUNCTION("""COMPUTED_VALUE"""),"")</f>
        <v/>
      </c>
      <c r="S1460" s="5" t="str">
        <f>IFERROR(__xludf.DUMMYFUNCTION("""COMPUTED_VALUE"""),"")</f>
        <v/>
      </c>
      <c r="T1460" s="5" t="str">
        <f>IFERROR(__xludf.DUMMYFUNCTION("""COMPUTED_VALUE"""),"")</f>
        <v/>
      </c>
      <c r="U1460" s="5" t="str">
        <f>IFERROR(__xludf.DUMMYFUNCTION("""COMPUTED_VALUE"""),"")</f>
        <v/>
      </c>
      <c r="V1460" s="5" t="str">
        <f>IFERROR(__xludf.DUMMYFUNCTION("""COMPUTED_VALUE"""),"")</f>
        <v/>
      </c>
      <c r="W1460" s="5" t="str">
        <f>IFERROR(__xludf.DUMMYFUNCTION("""COMPUTED_VALUE"""),"")</f>
        <v/>
      </c>
      <c r="X1460" s="5" t="str">
        <f>IFERROR(__xludf.DUMMYFUNCTION("""COMPUTED_VALUE"""),"")</f>
        <v/>
      </c>
      <c r="Y1460" s="5"/>
      <c r="Z1460" s="5"/>
    </row>
    <row r="1461">
      <c r="A1461" s="5"/>
      <c r="B1461" s="5" t="str">
        <f>IFERROR(__xludf.DUMMYFUNCTION("""COMPUTED_VALUE"""),"")</f>
        <v/>
      </c>
      <c r="C1461" s="5" t="str">
        <f>IFERROR(__xludf.DUMMYFUNCTION("""COMPUTED_VALUE"""),"")</f>
        <v/>
      </c>
      <c r="D1461" s="5" t="str">
        <f>IFERROR(__xludf.DUMMYFUNCTION("""COMPUTED_VALUE"""),"")</f>
        <v/>
      </c>
      <c r="E1461" s="5" t="str">
        <f>IFERROR(__xludf.DUMMYFUNCTION("""COMPUTED_VALUE"""),"")</f>
        <v/>
      </c>
      <c r="F1461" s="5" t="str">
        <f>IFERROR(__xludf.DUMMYFUNCTION("""COMPUTED_VALUE"""),"")</f>
        <v/>
      </c>
      <c r="G1461" s="5" t="str">
        <f>IFERROR(__xludf.DUMMYFUNCTION("""COMPUTED_VALUE"""),"")</f>
        <v/>
      </c>
      <c r="H1461" s="5" t="str">
        <f>IFERROR(__xludf.DUMMYFUNCTION("""COMPUTED_VALUE"""),"")</f>
        <v/>
      </c>
      <c r="I1461" s="5" t="str">
        <f>IFERROR(__xludf.DUMMYFUNCTION("""COMPUTED_VALUE"""),"")</f>
        <v/>
      </c>
      <c r="J1461" s="5" t="str">
        <f>IFERROR(__xludf.DUMMYFUNCTION("""COMPUTED_VALUE"""),"")</f>
        <v/>
      </c>
      <c r="K1461" s="5" t="str">
        <f>IFERROR(__xludf.DUMMYFUNCTION("""COMPUTED_VALUE"""),"")</f>
        <v/>
      </c>
      <c r="L1461" s="5" t="str">
        <f>IFERROR(__xludf.DUMMYFUNCTION("""COMPUTED_VALUE"""),"")</f>
        <v/>
      </c>
      <c r="M1461" s="5" t="str">
        <f>IFERROR(__xludf.DUMMYFUNCTION("""COMPUTED_VALUE"""),"")</f>
        <v/>
      </c>
      <c r="N1461" s="5" t="str">
        <f>IFERROR(__xludf.DUMMYFUNCTION("""COMPUTED_VALUE"""),"")</f>
        <v/>
      </c>
      <c r="O1461" s="5" t="str">
        <f>IFERROR(__xludf.DUMMYFUNCTION("""COMPUTED_VALUE"""),"")</f>
        <v/>
      </c>
      <c r="P1461" s="5" t="str">
        <f>IFERROR(__xludf.DUMMYFUNCTION("""COMPUTED_VALUE"""),"")</f>
        <v/>
      </c>
      <c r="Q1461" s="5" t="str">
        <f>IFERROR(__xludf.DUMMYFUNCTION("""COMPUTED_VALUE"""),"")</f>
        <v/>
      </c>
      <c r="R1461" s="5" t="str">
        <f>IFERROR(__xludf.DUMMYFUNCTION("""COMPUTED_VALUE"""),"")</f>
        <v/>
      </c>
      <c r="S1461" s="5" t="str">
        <f>IFERROR(__xludf.DUMMYFUNCTION("""COMPUTED_VALUE"""),"")</f>
        <v/>
      </c>
      <c r="T1461" s="5" t="str">
        <f>IFERROR(__xludf.DUMMYFUNCTION("""COMPUTED_VALUE"""),"")</f>
        <v/>
      </c>
      <c r="U1461" s="5" t="str">
        <f>IFERROR(__xludf.DUMMYFUNCTION("""COMPUTED_VALUE"""),"")</f>
        <v/>
      </c>
      <c r="V1461" s="5" t="str">
        <f>IFERROR(__xludf.DUMMYFUNCTION("""COMPUTED_VALUE"""),"")</f>
        <v/>
      </c>
      <c r="W1461" s="5" t="str">
        <f>IFERROR(__xludf.DUMMYFUNCTION("""COMPUTED_VALUE"""),"")</f>
        <v/>
      </c>
      <c r="X1461" s="5" t="str">
        <f>IFERROR(__xludf.DUMMYFUNCTION("""COMPUTED_VALUE"""),"")</f>
        <v/>
      </c>
      <c r="Y1461" s="5"/>
      <c r="Z1461" s="5"/>
    </row>
    <row r="1462">
      <c r="A1462" s="5"/>
      <c r="B1462" s="5" t="str">
        <f>IFERROR(__xludf.DUMMYFUNCTION("""COMPUTED_VALUE"""),"")</f>
        <v/>
      </c>
      <c r="C1462" s="5" t="str">
        <f>IFERROR(__xludf.DUMMYFUNCTION("""COMPUTED_VALUE"""),"")</f>
        <v/>
      </c>
      <c r="D1462" s="5" t="str">
        <f>IFERROR(__xludf.DUMMYFUNCTION("""COMPUTED_VALUE"""),"")</f>
        <v/>
      </c>
      <c r="E1462" s="5" t="str">
        <f>IFERROR(__xludf.DUMMYFUNCTION("""COMPUTED_VALUE"""),"")</f>
        <v/>
      </c>
      <c r="F1462" s="5" t="str">
        <f>IFERROR(__xludf.DUMMYFUNCTION("""COMPUTED_VALUE"""),"")</f>
        <v/>
      </c>
      <c r="G1462" s="5" t="str">
        <f>IFERROR(__xludf.DUMMYFUNCTION("""COMPUTED_VALUE"""),"")</f>
        <v/>
      </c>
      <c r="H1462" s="5" t="str">
        <f>IFERROR(__xludf.DUMMYFUNCTION("""COMPUTED_VALUE"""),"")</f>
        <v/>
      </c>
      <c r="I1462" s="5" t="str">
        <f>IFERROR(__xludf.DUMMYFUNCTION("""COMPUTED_VALUE"""),"")</f>
        <v/>
      </c>
      <c r="J1462" s="5" t="str">
        <f>IFERROR(__xludf.DUMMYFUNCTION("""COMPUTED_VALUE"""),"")</f>
        <v/>
      </c>
      <c r="K1462" s="5" t="str">
        <f>IFERROR(__xludf.DUMMYFUNCTION("""COMPUTED_VALUE"""),"")</f>
        <v/>
      </c>
      <c r="L1462" s="5" t="str">
        <f>IFERROR(__xludf.DUMMYFUNCTION("""COMPUTED_VALUE"""),"")</f>
        <v/>
      </c>
      <c r="M1462" s="5" t="str">
        <f>IFERROR(__xludf.DUMMYFUNCTION("""COMPUTED_VALUE"""),"")</f>
        <v/>
      </c>
      <c r="N1462" s="5" t="str">
        <f>IFERROR(__xludf.DUMMYFUNCTION("""COMPUTED_VALUE"""),"")</f>
        <v/>
      </c>
      <c r="O1462" s="5" t="str">
        <f>IFERROR(__xludf.DUMMYFUNCTION("""COMPUTED_VALUE"""),"")</f>
        <v/>
      </c>
      <c r="P1462" s="5" t="str">
        <f>IFERROR(__xludf.DUMMYFUNCTION("""COMPUTED_VALUE"""),"")</f>
        <v/>
      </c>
      <c r="Q1462" s="5" t="str">
        <f>IFERROR(__xludf.DUMMYFUNCTION("""COMPUTED_VALUE"""),"")</f>
        <v/>
      </c>
      <c r="R1462" s="5" t="str">
        <f>IFERROR(__xludf.DUMMYFUNCTION("""COMPUTED_VALUE"""),"")</f>
        <v/>
      </c>
      <c r="S1462" s="5" t="str">
        <f>IFERROR(__xludf.DUMMYFUNCTION("""COMPUTED_VALUE"""),"")</f>
        <v/>
      </c>
      <c r="T1462" s="5" t="str">
        <f>IFERROR(__xludf.DUMMYFUNCTION("""COMPUTED_VALUE"""),"")</f>
        <v/>
      </c>
      <c r="U1462" s="5" t="str">
        <f>IFERROR(__xludf.DUMMYFUNCTION("""COMPUTED_VALUE"""),"")</f>
        <v/>
      </c>
      <c r="V1462" s="5" t="str">
        <f>IFERROR(__xludf.DUMMYFUNCTION("""COMPUTED_VALUE"""),"")</f>
        <v/>
      </c>
      <c r="W1462" s="5" t="str">
        <f>IFERROR(__xludf.DUMMYFUNCTION("""COMPUTED_VALUE"""),"")</f>
        <v/>
      </c>
      <c r="X1462" s="5" t="str">
        <f>IFERROR(__xludf.DUMMYFUNCTION("""COMPUTED_VALUE"""),"")</f>
        <v/>
      </c>
      <c r="Y1462" s="5"/>
      <c r="Z1462" s="5"/>
    </row>
    <row r="1463">
      <c r="A1463" s="5"/>
      <c r="B1463" s="5" t="str">
        <f>IFERROR(__xludf.DUMMYFUNCTION("""COMPUTED_VALUE"""),"")</f>
        <v/>
      </c>
      <c r="C1463" s="5" t="str">
        <f>IFERROR(__xludf.DUMMYFUNCTION("""COMPUTED_VALUE"""),"")</f>
        <v/>
      </c>
      <c r="D1463" s="5" t="str">
        <f>IFERROR(__xludf.DUMMYFUNCTION("""COMPUTED_VALUE"""),"")</f>
        <v/>
      </c>
      <c r="E1463" s="5" t="str">
        <f>IFERROR(__xludf.DUMMYFUNCTION("""COMPUTED_VALUE"""),"")</f>
        <v/>
      </c>
      <c r="F1463" s="5" t="str">
        <f>IFERROR(__xludf.DUMMYFUNCTION("""COMPUTED_VALUE"""),"")</f>
        <v/>
      </c>
      <c r="G1463" s="5" t="str">
        <f>IFERROR(__xludf.DUMMYFUNCTION("""COMPUTED_VALUE"""),"")</f>
        <v/>
      </c>
      <c r="H1463" s="5" t="str">
        <f>IFERROR(__xludf.DUMMYFUNCTION("""COMPUTED_VALUE"""),"")</f>
        <v/>
      </c>
      <c r="I1463" s="5" t="str">
        <f>IFERROR(__xludf.DUMMYFUNCTION("""COMPUTED_VALUE"""),"")</f>
        <v/>
      </c>
      <c r="J1463" s="5" t="str">
        <f>IFERROR(__xludf.DUMMYFUNCTION("""COMPUTED_VALUE"""),"")</f>
        <v/>
      </c>
      <c r="K1463" s="5" t="str">
        <f>IFERROR(__xludf.DUMMYFUNCTION("""COMPUTED_VALUE"""),"")</f>
        <v/>
      </c>
      <c r="L1463" s="5" t="str">
        <f>IFERROR(__xludf.DUMMYFUNCTION("""COMPUTED_VALUE"""),"")</f>
        <v/>
      </c>
      <c r="M1463" s="5" t="str">
        <f>IFERROR(__xludf.DUMMYFUNCTION("""COMPUTED_VALUE"""),"")</f>
        <v/>
      </c>
      <c r="N1463" s="5" t="str">
        <f>IFERROR(__xludf.DUMMYFUNCTION("""COMPUTED_VALUE"""),"")</f>
        <v/>
      </c>
      <c r="O1463" s="5" t="str">
        <f>IFERROR(__xludf.DUMMYFUNCTION("""COMPUTED_VALUE"""),"")</f>
        <v/>
      </c>
      <c r="P1463" s="5" t="str">
        <f>IFERROR(__xludf.DUMMYFUNCTION("""COMPUTED_VALUE"""),"")</f>
        <v/>
      </c>
      <c r="Q1463" s="5" t="str">
        <f>IFERROR(__xludf.DUMMYFUNCTION("""COMPUTED_VALUE"""),"")</f>
        <v/>
      </c>
      <c r="R1463" s="5" t="str">
        <f>IFERROR(__xludf.DUMMYFUNCTION("""COMPUTED_VALUE"""),"")</f>
        <v/>
      </c>
      <c r="S1463" s="5" t="str">
        <f>IFERROR(__xludf.DUMMYFUNCTION("""COMPUTED_VALUE"""),"")</f>
        <v/>
      </c>
      <c r="T1463" s="5" t="str">
        <f>IFERROR(__xludf.DUMMYFUNCTION("""COMPUTED_VALUE"""),"")</f>
        <v/>
      </c>
      <c r="U1463" s="5" t="str">
        <f>IFERROR(__xludf.DUMMYFUNCTION("""COMPUTED_VALUE"""),"")</f>
        <v/>
      </c>
      <c r="V1463" s="5" t="str">
        <f>IFERROR(__xludf.DUMMYFUNCTION("""COMPUTED_VALUE"""),"")</f>
        <v/>
      </c>
      <c r="W1463" s="5" t="str">
        <f>IFERROR(__xludf.DUMMYFUNCTION("""COMPUTED_VALUE"""),"")</f>
        <v/>
      </c>
      <c r="X1463" s="5" t="str">
        <f>IFERROR(__xludf.DUMMYFUNCTION("""COMPUTED_VALUE"""),"")</f>
        <v/>
      </c>
      <c r="Y1463" s="5"/>
      <c r="Z1463" s="5"/>
    </row>
    <row r="1464">
      <c r="A1464" s="5"/>
      <c r="B1464" s="5" t="str">
        <f>IFERROR(__xludf.DUMMYFUNCTION("""COMPUTED_VALUE"""),"")</f>
        <v/>
      </c>
      <c r="C1464" s="5" t="str">
        <f>IFERROR(__xludf.DUMMYFUNCTION("""COMPUTED_VALUE"""),"")</f>
        <v/>
      </c>
      <c r="D1464" s="5" t="str">
        <f>IFERROR(__xludf.DUMMYFUNCTION("""COMPUTED_VALUE"""),"")</f>
        <v/>
      </c>
      <c r="E1464" s="5" t="str">
        <f>IFERROR(__xludf.DUMMYFUNCTION("""COMPUTED_VALUE"""),"")</f>
        <v/>
      </c>
      <c r="F1464" s="5" t="str">
        <f>IFERROR(__xludf.DUMMYFUNCTION("""COMPUTED_VALUE"""),"")</f>
        <v/>
      </c>
      <c r="G1464" s="5" t="str">
        <f>IFERROR(__xludf.DUMMYFUNCTION("""COMPUTED_VALUE"""),"")</f>
        <v/>
      </c>
      <c r="H1464" s="5" t="str">
        <f>IFERROR(__xludf.DUMMYFUNCTION("""COMPUTED_VALUE"""),"")</f>
        <v/>
      </c>
      <c r="I1464" s="5" t="str">
        <f>IFERROR(__xludf.DUMMYFUNCTION("""COMPUTED_VALUE"""),"")</f>
        <v/>
      </c>
      <c r="J1464" s="5" t="str">
        <f>IFERROR(__xludf.DUMMYFUNCTION("""COMPUTED_VALUE"""),"")</f>
        <v/>
      </c>
      <c r="K1464" s="5" t="str">
        <f>IFERROR(__xludf.DUMMYFUNCTION("""COMPUTED_VALUE"""),"")</f>
        <v/>
      </c>
      <c r="L1464" s="5" t="str">
        <f>IFERROR(__xludf.DUMMYFUNCTION("""COMPUTED_VALUE"""),"")</f>
        <v/>
      </c>
      <c r="M1464" s="5" t="str">
        <f>IFERROR(__xludf.DUMMYFUNCTION("""COMPUTED_VALUE"""),"")</f>
        <v/>
      </c>
      <c r="N1464" s="5" t="str">
        <f>IFERROR(__xludf.DUMMYFUNCTION("""COMPUTED_VALUE"""),"")</f>
        <v/>
      </c>
      <c r="O1464" s="5" t="str">
        <f>IFERROR(__xludf.DUMMYFUNCTION("""COMPUTED_VALUE"""),"")</f>
        <v/>
      </c>
      <c r="P1464" s="5" t="str">
        <f>IFERROR(__xludf.DUMMYFUNCTION("""COMPUTED_VALUE"""),"")</f>
        <v/>
      </c>
      <c r="Q1464" s="5" t="str">
        <f>IFERROR(__xludf.DUMMYFUNCTION("""COMPUTED_VALUE"""),"")</f>
        <v/>
      </c>
      <c r="R1464" s="5" t="str">
        <f>IFERROR(__xludf.DUMMYFUNCTION("""COMPUTED_VALUE"""),"")</f>
        <v/>
      </c>
      <c r="S1464" s="5" t="str">
        <f>IFERROR(__xludf.DUMMYFUNCTION("""COMPUTED_VALUE"""),"")</f>
        <v/>
      </c>
      <c r="T1464" s="5" t="str">
        <f>IFERROR(__xludf.DUMMYFUNCTION("""COMPUTED_VALUE"""),"")</f>
        <v/>
      </c>
      <c r="U1464" s="5" t="str">
        <f>IFERROR(__xludf.DUMMYFUNCTION("""COMPUTED_VALUE"""),"")</f>
        <v/>
      </c>
      <c r="V1464" s="5" t="str">
        <f>IFERROR(__xludf.DUMMYFUNCTION("""COMPUTED_VALUE"""),"")</f>
        <v/>
      </c>
      <c r="W1464" s="5" t="str">
        <f>IFERROR(__xludf.DUMMYFUNCTION("""COMPUTED_VALUE"""),"")</f>
        <v/>
      </c>
      <c r="X1464" s="5" t="str">
        <f>IFERROR(__xludf.DUMMYFUNCTION("""COMPUTED_VALUE"""),"")</f>
        <v/>
      </c>
      <c r="Y1464" s="5"/>
      <c r="Z1464" s="5"/>
    </row>
    <row r="1465">
      <c r="A1465" s="5"/>
      <c r="B1465" s="5" t="str">
        <f>IFERROR(__xludf.DUMMYFUNCTION("""COMPUTED_VALUE"""),"")</f>
        <v/>
      </c>
      <c r="C1465" s="5" t="str">
        <f>IFERROR(__xludf.DUMMYFUNCTION("""COMPUTED_VALUE"""),"")</f>
        <v/>
      </c>
      <c r="D1465" s="5" t="str">
        <f>IFERROR(__xludf.DUMMYFUNCTION("""COMPUTED_VALUE"""),"")</f>
        <v/>
      </c>
      <c r="E1465" s="5" t="str">
        <f>IFERROR(__xludf.DUMMYFUNCTION("""COMPUTED_VALUE"""),"")</f>
        <v/>
      </c>
      <c r="F1465" s="5" t="str">
        <f>IFERROR(__xludf.DUMMYFUNCTION("""COMPUTED_VALUE"""),"")</f>
        <v/>
      </c>
      <c r="G1465" s="5" t="str">
        <f>IFERROR(__xludf.DUMMYFUNCTION("""COMPUTED_VALUE"""),"")</f>
        <v/>
      </c>
      <c r="H1465" s="5" t="str">
        <f>IFERROR(__xludf.DUMMYFUNCTION("""COMPUTED_VALUE"""),"")</f>
        <v/>
      </c>
      <c r="I1465" s="5" t="str">
        <f>IFERROR(__xludf.DUMMYFUNCTION("""COMPUTED_VALUE"""),"")</f>
        <v/>
      </c>
      <c r="J1465" s="5" t="str">
        <f>IFERROR(__xludf.DUMMYFUNCTION("""COMPUTED_VALUE"""),"")</f>
        <v/>
      </c>
      <c r="K1465" s="5" t="str">
        <f>IFERROR(__xludf.DUMMYFUNCTION("""COMPUTED_VALUE"""),"")</f>
        <v/>
      </c>
      <c r="L1465" s="5" t="str">
        <f>IFERROR(__xludf.DUMMYFUNCTION("""COMPUTED_VALUE"""),"")</f>
        <v/>
      </c>
      <c r="M1465" s="5" t="str">
        <f>IFERROR(__xludf.DUMMYFUNCTION("""COMPUTED_VALUE"""),"")</f>
        <v/>
      </c>
      <c r="N1465" s="5" t="str">
        <f>IFERROR(__xludf.DUMMYFUNCTION("""COMPUTED_VALUE"""),"")</f>
        <v/>
      </c>
      <c r="O1465" s="5" t="str">
        <f>IFERROR(__xludf.DUMMYFUNCTION("""COMPUTED_VALUE"""),"")</f>
        <v/>
      </c>
      <c r="P1465" s="5" t="str">
        <f>IFERROR(__xludf.DUMMYFUNCTION("""COMPUTED_VALUE"""),"")</f>
        <v/>
      </c>
      <c r="Q1465" s="5" t="str">
        <f>IFERROR(__xludf.DUMMYFUNCTION("""COMPUTED_VALUE"""),"")</f>
        <v/>
      </c>
      <c r="R1465" s="5" t="str">
        <f>IFERROR(__xludf.DUMMYFUNCTION("""COMPUTED_VALUE"""),"")</f>
        <v/>
      </c>
      <c r="S1465" s="5" t="str">
        <f>IFERROR(__xludf.DUMMYFUNCTION("""COMPUTED_VALUE"""),"")</f>
        <v/>
      </c>
      <c r="T1465" s="5" t="str">
        <f>IFERROR(__xludf.DUMMYFUNCTION("""COMPUTED_VALUE"""),"")</f>
        <v/>
      </c>
      <c r="U1465" s="5" t="str">
        <f>IFERROR(__xludf.DUMMYFUNCTION("""COMPUTED_VALUE"""),"")</f>
        <v/>
      </c>
      <c r="V1465" s="5" t="str">
        <f>IFERROR(__xludf.DUMMYFUNCTION("""COMPUTED_VALUE"""),"")</f>
        <v/>
      </c>
      <c r="W1465" s="5" t="str">
        <f>IFERROR(__xludf.DUMMYFUNCTION("""COMPUTED_VALUE"""),"")</f>
        <v/>
      </c>
      <c r="X1465" s="5" t="str">
        <f>IFERROR(__xludf.DUMMYFUNCTION("""COMPUTED_VALUE"""),"")</f>
        <v/>
      </c>
      <c r="Y1465" s="5"/>
      <c r="Z1465" s="5"/>
    </row>
    <row r="1466">
      <c r="A1466" s="5"/>
      <c r="B1466" s="5" t="str">
        <f>IFERROR(__xludf.DUMMYFUNCTION("""COMPUTED_VALUE"""),"")</f>
        <v/>
      </c>
      <c r="C1466" s="5" t="str">
        <f>IFERROR(__xludf.DUMMYFUNCTION("""COMPUTED_VALUE"""),"")</f>
        <v/>
      </c>
      <c r="D1466" s="5" t="str">
        <f>IFERROR(__xludf.DUMMYFUNCTION("""COMPUTED_VALUE"""),"")</f>
        <v/>
      </c>
      <c r="E1466" s="5" t="str">
        <f>IFERROR(__xludf.DUMMYFUNCTION("""COMPUTED_VALUE"""),"")</f>
        <v/>
      </c>
      <c r="F1466" s="5" t="str">
        <f>IFERROR(__xludf.DUMMYFUNCTION("""COMPUTED_VALUE"""),"")</f>
        <v/>
      </c>
      <c r="G1466" s="5" t="str">
        <f>IFERROR(__xludf.DUMMYFUNCTION("""COMPUTED_VALUE"""),"")</f>
        <v/>
      </c>
      <c r="H1466" s="5" t="str">
        <f>IFERROR(__xludf.DUMMYFUNCTION("""COMPUTED_VALUE"""),"")</f>
        <v/>
      </c>
      <c r="I1466" s="5" t="str">
        <f>IFERROR(__xludf.DUMMYFUNCTION("""COMPUTED_VALUE"""),"")</f>
        <v/>
      </c>
      <c r="J1466" s="5" t="str">
        <f>IFERROR(__xludf.DUMMYFUNCTION("""COMPUTED_VALUE"""),"")</f>
        <v/>
      </c>
      <c r="K1466" s="5" t="str">
        <f>IFERROR(__xludf.DUMMYFUNCTION("""COMPUTED_VALUE"""),"")</f>
        <v/>
      </c>
      <c r="L1466" s="5" t="str">
        <f>IFERROR(__xludf.DUMMYFUNCTION("""COMPUTED_VALUE"""),"")</f>
        <v/>
      </c>
      <c r="M1466" s="5" t="str">
        <f>IFERROR(__xludf.DUMMYFUNCTION("""COMPUTED_VALUE"""),"")</f>
        <v/>
      </c>
      <c r="N1466" s="5" t="str">
        <f>IFERROR(__xludf.DUMMYFUNCTION("""COMPUTED_VALUE"""),"")</f>
        <v/>
      </c>
      <c r="O1466" s="5" t="str">
        <f>IFERROR(__xludf.DUMMYFUNCTION("""COMPUTED_VALUE"""),"")</f>
        <v/>
      </c>
      <c r="P1466" s="5" t="str">
        <f>IFERROR(__xludf.DUMMYFUNCTION("""COMPUTED_VALUE"""),"")</f>
        <v/>
      </c>
      <c r="Q1466" s="5" t="str">
        <f>IFERROR(__xludf.DUMMYFUNCTION("""COMPUTED_VALUE"""),"")</f>
        <v/>
      </c>
      <c r="R1466" s="5" t="str">
        <f>IFERROR(__xludf.DUMMYFUNCTION("""COMPUTED_VALUE"""),"")</f>
        <v/>
      </c>
      <c r="S1466" s="5" t="str">
        <f>IFERROR(__xludf.DUMMYFUNCTION("""COMPUTED_VALUE"""),"")</f>
        <v/>
      </c>
      <c r="T1466" s="5" t="str">
        <f>IFERROR(__xludf.DUMMYFUNCTION("""COMPUTED_VALUE"""),"")</f>
        <v/>
      </c>
      <c r="U1466" s="5" t="str">
        <f>IFERROR(__xludf.DUMMYFUNCTION("""COMPUTED_VALUE"""),"")</f>
        <v/>
      </c>
      <c r="V1466" s="5" t="str">
        <f>IFERROR(__xludf.DUMMYFUNCTION("""COMPUTED_VALUE"""),"")</f>
        <v/>
      </c>
      <c r="W1466" s="5" t="str">
        <f>IFERROR(__xludf.DUMMYFUNCTION("""COMPUTED_VALUE"""),"")</f>
        <v/>
      </c>
      <c r="X1466" s="5" t="str">
        <f>IFERROR(__xludf.DUMMYFUNCTION("""COMPUTED_VALUE"""),"")</f>
        <v/>
      </c>
      <c r="Y1466" s="5"/>
      <c r="Z1466" s="5"/>
    </row>
    <row r="1467">
      <c r="A1467" s="5"/>
      <c r="B1467" s="5" t="str">
        <f>IFERROR(__xludf.DUMMYFUNCTION("""COMPUTED_VALUE"""),"")</f>
        <v/>
      </c>
      <c r="C1467" s="5" t="str">
        <f>IFERROR(__xludf.DUMMYFUNCTION("""COMPUTED_VALUE"""),"")</f>
        <v/>
      </c>
      <c r="D1467" s="5" t="str">
        <f>IFERROR(__xludf.DUMMYFUNCTION("""COMPUTED_VALUE"""),"")</f>
        <v/>
      </c>
      <c r="E1467" s="5" t="str">
        <f>IFERROR(__xludf.DUMMYFUNCTION("""COMPUTED_VALUE"""),"")</f>
        <v/>
      </c>
      <c r="F1467" s="5" t="str">
        <f>IFERROR(__xludf.DUMMYFUNCTION("""COMPUTED_VALUE"""),"")</f>
        <v/>
      </c>
      <c r="G1467" s="5" t="str">
        <f>IFERROR(__xludf.DUMMYFUNCTION("""COMPUTED_VALUE"""),"")</f>
        <v/>
      </c>
      <c r="H1467" s="5" t="str">
        <f>IFERROR(__xludf.DUMMYFUNCTION("""COMPUTED_VALUE"""),"")</f>
        <v/>
      </c>
      <c r="I1467" s="5" t="str">
        <f>IFERROR(__xludf.DUMMYFUNCTION("""COMPUTED_VALUE"""),"")</f>
        <v/>
      </c>
      <c r="J1467" s="5" t="str">
        <f>IFERROR(__xludf.DUMMYFUNCTION("""COMPUTED_VALUE"""),"")</f>
        <v/>
      </c>
      <c r="K1467" s="5" t="str">
        <f>IFERROR(__xludf.DUMMYFUNCTION("""COMPUTED_VALUE"""),"")</f>
        <v/>
      </c>
      <c r="L1467" s="5" t="str">
        <f>IFERROR(__xludf.DUMMYFUNCTION("""COMPUTED_VALUE"""),"")</f>
        <v/>
      </c>
      <c r="M1467" s="5" t="str">
        <f>IFERROR(__xludf.DUMMYFUNCTION("""COMPUTED_VALUE"""),"")</f>
        <v/>
      </c>
      <c r="N1467" s="5" t="str">
        <f>IFERROR(__xludf.DUMMYFUNCTION("""COMPUTED_VALUE"""),"")</f>
        <v/>
      </c>
      <c r="O1467" s="5" t="str">
        <f>IFERROR(__xludf.DUMMYFUNCTION("""COMPUTED_VALUE"""),"")</f>
        <v/>
      </c>
      <c r="P1467" s="5" t="str">
        <f>IFERROR(__xludf.DUMMYFUNCTION("""COMPUTED_VALUE"""),"")</f>
        <v/>
      </c>
      <c r="Q1467" s="5" t="str">
        <f>IFERROR(__xludf.DUMMYFUNCTION("""COMPUTED_VALUE"""),"")</f>
        <v/>
      </c>
      <c r="R1467" s="5" t="str">
        <f>IFERROR(__xludf.DUMMYFUNCTION("""COMPUTED_VALUE"""),"")</f>
        <v/>
      </c>
      <c r="S1467" s="5" t="str">
        <f>IFERROR(__xludf.DUMMYFUNCTION("""COMPUTED_VALUE"""),"")</f>
        <v/>
      </c>
      <c r="T1467" s="5" t="str">
        <f>IFERROR(__xludf.DUMMYFUNCTION("""COMPUTED_VALUE"""),"")</f>
        <v/>
      </c>
      <c r="U1467" s="5" t="str">
        <f>IFERROR(__xludf.DUMMYFUNCTION("""COMPUTED_VALUE"""),"")</f>
        <v/>
      </c>
      <c r="V1467" s="5" t="str">
        <f>IFERROR(__xludf.DUMMYFUNCTION("""COMPUTED_VALUE"""),"")</f>
        <v/>
      </c>
      <c r="W1467" s="5" t="str">
        <f>IFERROR(__xludf.DUMMYFUNCTION("""COMPUTED_VALUE"""),"")</f>
        <v/>
      </c>
      <c r="X1467" s="5" t="str">
        <f>IFERROR(__xludf.DUMMYFUNCTION("""COMPUTED_VALUE"""),"")</f>
        <v/>
      </c>
      <c r="Y1467" s="5"/>
      <c r="Z1467" s="5"/>
    </row>
    <row r="1468">
      <c r="A1468" s="5"/>
      <c r="B1468" s="5" t="str">
        <f>IFERROR(__xludf.DUMMYFUNCTION("""COMPUTED_VALUE"""),"")</f>
        <v/>
      </c>
      <c r="C1468" s="5" t="str">
        <f>IFERROR(__xludf.DUMMYFUNCTION("""COMPUTED_VALUE"""),"")</f>
        <v/>
      </c>
      <c r="D1468" s="5" t="str">
        <f>IFERROR(__xludf.DUMMYFUNCTION("""COMPUTED_VALUE"""),"")</f>
        <v/>
      </c>
      <c r="E1468" s="5" t="str">
        <f>IFERROR(__xludf.DUMMYFUNCTION("""COMPUTED_VALUE"""),"")</f>
        <v/>
      </c>
      <c r="F1468" s="5" t="str">
        <f>IFERROR(__xludf.DUMMYFUNCTION("""COMPUTED_VALUE"""),"")</f>
        <v/>
      </c>
      <c r="G1468" s="5" t="str">
        <f>IFERROR(__xludf.DUMMYFUNCTION("""COMPUTED_VALUE"""),"")</f>
        <v/>
      </c>
      <c r="H1468" s="5" t="str">
        <f>IFERROR(__xludf.DUMMYFUNCTION("""COMPUTED_VALUE"""),"")</f>
        <v/>
      </c>
      <c r="I1468" s="5" t="str">
        <f>IFERROR(__xludf.DUMMYFUNCTION("""COMPUTED_VALUE"""),"")</f>
        <v/>
      </c>
      <c r="J1468" s="5" t="str">
        <f>IFERROR(__xludf.DUMMYFUNCTION("""COMPUTED_VALUE"""),"")</f>
        <v/>
      </c>
      <c r="K1468" s="5" t="str">
        <f>IFERROR(__xludf.DUMMYFUNCTION("""COMPUTED_VALUE"""),"")</f>
        <v/>
      </c>
      <c r="L1468" s="5" t="str">
        <f>IFERROR(__xludf.DUMMYFUNCTION("""COMPUTED_VALUE"""),"")</f>
        <v/>
      </c>
      <c r="M1468" s="5" t="str">
        <f>IFERROR(__xludf.DUMMYFUNCTION("""COMPUTED_VALUE"""),"")</f>
        <v/>
      </c>
      <c r="N1468" s="5" t="str">
        <f>IFERROR(__xludf.DUMMYFUNCTION("""COMPUTED_VALUE"""),"")</f>
        <v/>
      </c>
      <c r="O1468" s="5" t="str">
        <f>IFERROR(__xludf.DUMMYFUNCTION("""COMPUTED_VALUE"""),"")</f>
        <v/>
      </c>
      <c r="P1468" s="5" t="str">
        <f>IFERROR(__xludf.DUMMYFUNCTION("""COMPUTED_VALUE"""),"")</f>
        <v/>
      </c>
      <c r="Q1468" s="5" t="str">
        <f>IFERROR(__xludf.DUMMYFUNCTION("""COMPUTED_VALUE"""),"")</f>
        <v/>
      </c>
      <c r="R1468" s="5" t="str">
        <f>IFERROR(__xludf.DUMMYFUNCTION("""COMPUTED_VALUE"""),"")</f>
        <v/>
      </c>
      <c r="S1468" s="5" t="str">
        <f>IFERROR(__xludf.DUMMYFUNCTION("""COMPUTED_VALUE"""),"")</f>
        <v/>
      </c>
      <c r="T1468" s="5" t="str">
        <f>IFERROR(__xludf.DUMMYFUNCTION("""COMPUTED_VALUE"""),"")</f>
        <v/>
      </c>
      <c r="U1468" s="5" t="str">
        <f>IFERROR(__xludf.DUMMYFUNCTION("""COMPUTED_VALUE"""),"")</f>
        <v/>
      </c>
      <c r="V1468" s="5" t="str">
        <f>IFERROR(__xludf.DUMMYFUNCTION("""COMPUTED_VALUE"""),"")</f>
        <v/>
      </c>
      <c r="W1468" s="5" t="str">
        <f>IFERROR(__xludf.DUMMYFUNCTION("""COMPUTED_VALUE"""),"")</f>
        <v/>
      </c>
      <c r="X1468" s="5" t="str">
        <f>IFERROR(__xludf.DUMMYFUNCTION("""COMPUTED_VALUE"""),"")</f>
        <v/>
      </c>
      <c r="Y1468" s="5"/>
      <c r="Z1468" s="5"/>
    </row>
    <row r="1469">
      <c r="A1469" s="5"/>
      <c r="B1469" s="5" t="str">
        <f>IFERROR(__xludf.DUMMYFUNCTION("""COMPUTED_VALUE"""),"")</f>
        <v/>
      </c>
      <c r="C1469" s="5" t="str">
        <f>IFERROR(__xludf.DUMMYFUNCTION("""COMPUTED_VALUE"""),"")</f>
        <v/>
      </c>
      <c r="D1469" s="5" t="str">
        <f>IFERROR(__xludf.DUMMYFUNCTION("""COMPUTED_VALUE"""),"")</f>
        <v/>
      </c>
      <c r="E1469" s="5" t="str">
        <f>IFERROR(__xludf.DUMMYFUNCTION("""COMPUTED_VALUE"""),"")</f>
        <v/>
      </c>
      <c r="F1469" s="5" t="str">
        <f>IFERROR(__xludf.DUMMYFUNCTION("""COMPUTED_VALUE"""),"")</f>
        <v/>
      </c>
      <c r="G1469" s="5" t="str">
        <f>IFERROR(__xludf.DUMMYFUNCTION("""COMPUTED_VALUE"""),"")</f>
        <v/>
      </c>
      <c r="H1469" s="5" t="str">
        <f>IFERROR(__xludf.DUMMYFUNCTION("""COMPUTED_VALUE"""),"")</f>
        <v/>
      </c>
      <c r="I1469" s="5" t="str">
        <f>IFERROR(__xludf.DUMMYFUNCTION("""COMPUTED_VALUE"""),"")</f>
        <v/>
      </c>
      <c r="J1469" s="5" t="str">
        <f>IFERROR(__xludf.DUMMYFUNCTION("""COMPUTED_VALUE"""),"")</f>
        <v/>
      </c>
      <c r="K1469" s="5" t="str">
        <f>IFERROR(__xludf.DUMMYFUNCTION("""COMPUTED_VALUE"""),"")</f>
        <v/>
      </c>
      <c r="L1469" s="5" t="str">
        <f>IFERROR(__xludf.DUMMYFUNCTION("""COMPUTED_VALUE"""),"")</f>
        <v/>
      </c>
      <c r="M1469" s="5" t="str">
        <f>IFERROR(__xludf.DUMMYFUNCTION("""COMPUTED_VALUE"""),"")</f>
        <v/>
      </c>
      <c r="N1469" s="5" t="str">
        <f>IFERROR(__xludf.DUMMYFUNCTION("""COMPUTED_VALUE"""),"")</f>
        <v/>
      </c>
      <c r="O1469" s="5" t="str">
        <f>IFERROR(__xludf.DUMMYFUNCTION("""COMPUTED_VALUE"""),"")</f>
        <v/>
      </c>
      <c r="P1469" s="5" t="str">
        <f>IFERROR(__xludf.DUMMYFUNCTION("""COMPUTED_VALUE"""),"")</f>
        <v/>
      </c>
      <c r="Q1469" s="5" t="str">
        <f>IFERROR(__xludf.DUMMYFUNCTION("""COMPUTED_VALUE"""),"")</f>
        <v/>
      </c>
      <c r="R1469" s="5" t="str">
        <f>IFERROR(__xludf.DUMMYFUNCTION("""COMPUTED_VALUE"""),"")</f>
        <v/>
      </c>
      <c r="S1469" s="5" t="str">
        <f>IFERROR(__xludf.DUMMYFUNCTION("""COMPUTED_VALUE"""),"")</f>
        <v/>
      </c>
      <c r="T1469" s="5" t="str">
        <f>IFERROR(__xludf.DUMMYFUNCTION("""COMPUTED_VALUE"""),"")</f>
        <v/>
      </c>
      <c r="U1469" s="5" t="str">
        <f>IFERROR(__xludf.DUMMYFUNCTION("""COMPUTED_VALUE"""),"")</f>
        <v/>
      </c>
      <c r="V1469" s="5" t="str">
        <f>IFERROR(__xludf.DUMMYFUNCTION("""COMPUTED_VALUE"""),"")</f>
        <v/>
      </c>
      <c r="W1469" s="5" t="str">
        <f>IFERROR(__xludf.DUMMYFUNCTION("""COMPUTED_VALUE"""),"")</f>
        <v/>
      </c>
      <c r="X1469" s="5" t="str">
        <f>IFERROR(__xludf.DUMMYFUNCTION("""COMPUTED_VALUE"""),"")</f>
        <v/>
      </c>
      <c r="Y1469" s="5"/>
      <c r="Z1469" s="5"/>
    </row>
    <row r="1470">
      <c r="A1470" s="5"/>
      <c r="B1470" s="5" t="str">
        <f>IFERROR(__xludf.DUMMYFUNCTION("""COMPUTED_VALUE"""),"")</f>
        <v/>
      </c>
      <c r="C1470" s="5" t="str">
        <f>IFERROR(__xludf.DUMMYFUNCTION("""COMPUTED_VALUE"""),"")</f>
        <v/>
      </c>
      <c r="D1470" s="5" t="str">
        <f>IFERROR(__xludf.DUMMYFUNCTION("""COMPUTED_VALUE"""),"")</f>
        <v/>
      </c>
      <c r="E1470" s="5" t="str">
        <f>IFERROR(__xludf.DUMMYFUNCTION("""COMPUTED_VALUE"""),"")</f>
        <v/>
      </c>
      <c r="F1470" s="5" t="str">
        <f>IFERROR(__xludf.DUMMYFUNCTION("""COMPUTED_VALUE"""),"")</f>
        <v/>
      </c>
      <c r="G1470" s="5" t="str">
        <f>IFERROR(__xludf.DUMMYFUNCTION("""COMPUTED_VALUE"""),"")</f>
        <v/>
      </c>
      <c r="H1470" s="5" t="str">
        <f>IFERROR(__xludf.DUMMYFUNCTION("""COMPUTED_VALUE"""),"")</f>
        <v/>
      </c>
      <c r="I1470" s="5" t="str">
        <f>IFERROR(__xludf.DUMMYFUNCTION("""COMPUTED_VALUE"""),"")</f>
        <v/>
      </c>
      <c r="J1470" s="5" t="str">
        <f>IFERROR(__xludf.DUMMYFUNCTION("""COMPUTED_VALUE"""),"")</f>
        <v/>
      </c>
      <c r="K1470" s="5" t="str">
        <f>IFERROR(__xludf.DUMMYFUNCTION("""COMPUTED_VALUE"""),"")</f>
        <v/>
      </c>
      <c r="L1470" s="5" t="str">
        <f>IFERROR(__xludf.DUMMYFUNCTION("""COMPUTED_VALUE"""),"")</f>
        <v/>
      </c>
      <c r="M1470" s="5" t="str">
        <f>IFERROR(__xludf.DUMMYFUNCTION("""COMPUTED_VALUE"""),"")</f>
        <v/>
      </c>
      <c r="N1470" s="5" t="str">
        <f>IFERROR(__xludf.DUMMYFUNCTION("""COMPUTED_VALUE"""),"")</f>
        <v/>
      </c>
      <c r="O1470" s="5" t="str">
        <f>IFERROR(__xludf.DUMMYFUNCTION("""COMPUTED_VALUE"""),"")</f>
        <v/>
      </c>
      <c r="P1470" s="5" t="str">
        <f>IFERROR(__xludf.DUMMYFUNCTION("""COMPUTED_VALUE"""),"")</f>
        <v/>
      </c>
      <c r="Q1470" s="5" t="str">
        <f>IFERROR(__xludf.DUMMYFUNCTION("""COMPUTED_VALUE"""),"")</f>
        <v/>
      </c>
      <c r="R1470" s="5" t="str">
        <f>IFERROR(__xludf.DUMMYFUNCTION("""COMPUTED_VALUE"""),"")</f>
        <v/>
      </c>
      <c r="S1470" s="5" t="str">
        <f>IFERROR(__xludf.DUMMYFUNCTION("""COMPUTED_VALUE"""),"")</f>
        <v/>
      </c>
      <c r="T1470" s="5" t="str">
        <f>IFERROR(__xludf.DUMMYFUNCTION("""COMPUTED_VALUE"""),"")</f>
        <v/>
      </c>
      <c r="U1470" s="5" t="str">
        <f>IFERROR(__xludf.DUMMYFUNCTION("""COMPUTED_VALUE"""),"")</f>
        <v/>
      </c>
      <c r="V1470" s="5" t="str">
        <f>IFERROR(__xludf.DUMMYFUNCTION("""COMPUTED_VALUE"""),"")</f>
        <v/>
      </c>
      <c r="W1470" s="5" t="str">
        <f>IFERROR(__xludf.DUMMYFUNCTION("""COMPUTED_VALUE"""),"")</f>
        <v/>
      </c>
      <c r="X1470" s="5" t="str">
        <f>IFERROR(__xludf.DUMMYFUNCTION("""COMPUTED_VALUE"""),"")</f>
        <v/>
      </c>
      <c r="Y1470" s="5"/>
      <c r="Z1470" s="5"/>
    </row>
    <row r="1471">
      <c r="A1471" s="5"/>
      <c r="B1471" s="5" t="str">
        <f>IFERROR(__xludf.DUMMYFUNCTION("""COMPUTED_VALUE"""),"")</f>
        <v/>
      </c>
      <c r="C1471" s="5" t="str">
        <f>IFERROR(__xludf.DUMMYFUNCTION("""COMPUTED_VALUE"""),"")</f>
        <v/>
      </c>
      <c r="D1471" s="5" t="str">
        <f>IFERROR(__xludf.DUMMYFUNCTION("""COMPUTED_VALUE"""),"")</f>
        <v/>
      </c>
      <c r="E1471" s="5" t="str">
        <f>IFERROR(__xludf.DUMMYFUNCTION("""COMPUTED_VALUE"""),"")</f>
        <v/>
      </c>
      <c r="F1471" s="5" t="str">
        <f>IFERROR(__xludf.DUMMYFUNCTION("""COMPUTED_VALUE"""),"")</f>
        <v/>
      </c>
      <c r="G1471" s="5" t="str">
        <f>IFERROR(__xludf.DUMMYFUNCTION("""COMPUTED_VALUE"""),"")</f>
        <v/>
      </c>
      <c r="H1471" s="5" t="str">
        <f>IFERROR(__xludf.DUMMYFUNCTION("""COMPUTED_VALUE"""),"")</f>
        <v/>
      </c>
      <c r="I1471" s="5" t="str">
        <f>IFERROR(__xludf.DUMMYFUNCTION("""COMPUTED_VALUE"""),"")</f>
        <v/>
      </c>
      <c r="J1471" s="5" t="str">
        <f>IFERROR(__xludf.DUMMYFUNCTION("""COMPUTED_VALUE"""),"")</f>
        <v/>
      </c>
      <c r="K1471" s="5" t="str">
        <f>IFERROR(__xludf.DUMMYFUNCTION("""COMPUTED_VALUE"""),"")</f>
        <v/>
      </c>
      <c r="L1471" s="5" t="str">
        <f>IFERROR(__xludf.DUMMYFUNCTION("""COMPUTED_VALUE"""),"")</f>
        <v/>
      </c>
      <c r="M1471" s="5" t="str">
        <f>IFERROR(__xludf.DUMMYFUNCTION("""COMPUTED_VALUE"""),"")</f>
        <v/>
      </c>
      <c r="N1471" s="5" t="str">
        <f>IFERROR(__xludf.DUMMYFUNCTION("""COMPUTED_VALUE"""),"")</f>
        <v/>
      </c>
      <c r="O1471" s="5" t="str">
        <f>IFERROR(__xludf.DUMMYFUNCTION("""COMPUTED_VALUE"""),"")</f>
        <v/>
      </c>
      <c r="P1471" s="5" t="str">
        <f>IFERROR(__xludf.DUMMYFUNCTION("""COMPUTED_VALUE"""),"")</f>
        <v/>
      </c>
      <c r="Q1471" s="5" t="str">
        <f>IFERROR(__xludf.DUMMYFUNCTION("""COMPUTED_VALUE"""),"")</f>
        <v/>
      </c>
      <c r="R1471" s="5" t="str">
        <f>IFERROR(__xludf.DUMMYFUNCTION("""COMPUTED_VALUE"""),"")</f>
        <v/>
      </c>
      <c r="S1471" s="5" t="str">
        <f>IFERROR(__xludf.DUMMYFUNCTION("""COMPUTED_VALUE"""),"")</f>
        <v/>
      </c>
      <c r="T1471" s="5" t="str">
        <f>IFERROR(__xludf.DUMMYFUNCTION("""COMPUTED_VALUE"""),"")</f>
        <v/>
      </c>
      <c r="U1471" s="5" t="str">
        <f>IFERROR(__xludf.DUMMYFUNCTION("""COMPUTED_VALUE"""),"")</f>
        <v/>
      </c>
      <c r="V1471" s="5" t="str">
        <f>IFERROR(__xludf.DUMMYFUNCTION("""COMPUTED_VALUE"""),"")</f>
        <v/>
      </c>
      <c r="W1471" s="5" t="str">
        <f>IFERROR(__xludf.DUMMYFUNCTION("""COMPUTED_VALUE"""),"")</f>
        <v/>
      </c>
      <c r="X1471" s="5" t="str">
        <f>IFERROR(__xludf.DUMMYFUNCTION("""COMPUTED_VALUE"""),"")</f>
        <v/>
      </c>
      <c r="Y1471" s="5"/>
      <c r="Z1471" s="5"/>
    </row>
    <row r="1472">
      <c r="A1472" s="5"/>
      <c r="B1472" s="5" t="str">
        <f>IFERROR(__xludf.DUMMYFUNCTION("""COMPUTED_VALUE"""),"")</f>
        <v/>
      </c>
      <c r="C1472" s="5" t="str">
        <f>IFERROR(__xludf.DUMMYFUNCTION("""COMPUTED_VALUE"""),"")</f>
        <v/>
      </c>
      <c r="D1472" s="5" t="str">
        <f>IFERROR(__xludf.DUMMYFUNCTION("""COMPUTED_VALUE"""),"")</f>
        <v/>
      </c>
      <c r="E1472" s="5" t="str">
        <f>IFERROR(__xludf.DUMMYFUNCTION("""COMPUTED_VALUE"""),"")</f>
        <v/>
      </c>
      <c r="F1472" s="5" t="str">
        <f>IFERROR(__xludf.DUMMYFUNCTION("""COMPUTED_VALUE"""),"")</f>
        <v/>
      </c>
      <c r="G1472" s="5" t="str">
        <f>IFERROR(__xludf.DUMMYFUNCTION("""COMPUTED_VALUE"""),"")</f>
        <v/>
      </c>
      <c r="H1472" s="5" t="str">
        <f>IFERROR(__xludf.DUMMYFUNCTION("""COMPUTED_VALUE"""),"")</f>
        <v/>
      </c>
      <c r="I1472" s="5" t="str">
        <f>IFERROR(__xludf.DUMMYFUNCTION("""COMPUTED_VALUE"""),"")</f>
        <v/>
      </c>
      <c r="J1472" s="5" t="str">
        <f>IFERROR(__xludf.DUMMYFUNCTION("""COMPUTED_VALUE"""),"")</f>
        <v/>
      </c>
      <c r="K1472" s="5" t="str">
        <f>IFERROR(__xludf.DUMMYFUNCTION("""COMPUTED_VALUE"""),"")</f>
        <v/>
      </c>
      <c r="L1472" s="5" t="str">
        <f>IFERROR(__xludf.DUMMYFUNCTION("""COMPUTED_VALUE"""),"")</f>
        <v/>
      </c>
      <c r="M1472" s="5" t="str">
        <f>IFERROR(__xludf.DUMMYFUNCTION("""COMPUTED_VALUE"""),"")</f>
        <v/>
      </c>
      <c r="N1472" s="5" t="str">
        <f>IFERROR(__xludf.DUMMYFUNCTION("""COMPUTED_VALUE"""),"")</f>
        <v/>
      </c>
      <c r="O1472" s="5" t="str">
        <f>IFERROR(__xludf.DUMMYFUNCTION("""COMPUTED_VALUE"""),"")</f>
        <v/>
      </c>
      <c r="P1472" s="5" t="str">
        <f>IFERROR(__xludf.DUMMYFUNCTION("""COMPUTED_VALUE"""),"")</f>
        <v/>
      </c>
      <c r="Q1472" s="5" t="str">
        <f>IFERROR(__xludf.DUMMYFUNCTION("""COMPUTED_VALUE"""),"")</f>
        <v/>
      </c>
      <c r="R1472" s="5" t="str">
        <f>IFERROR(__xludf.DUMMYFUNCTION("""COMPUTED_VALUE"""),"")</f>
        <v/>
      </c>
      <c r="S1472" s="5" t="str">
        <f>IFERROR(__xludf.DUMMYFUNCTION("""COMPUTED_VALUE"""),"")</f>
        <v/>
      </c>
      <c r="T1472" s="5" t="str">
        <f>IFERROR(__xludf.DUMMYFUNCTION("""COMPUTED_VALUE"""),"")</f>
        <v/>
      </c>
      <c r="U1472" s="5" t="str">
        <f>IFERROR(__xludf.DUMMYFUNCTION("""COMPUTED_VALUE"""),"")</f>
        <v/>
      </c>
      <c r="V1472" s="5" t="str">
        <f>IFERROR(__xludf.DUMMYFUNCTION("""COMPUTED_VALUE"""),"")</f>
        <v/>
      </c>
      <c r="W1472" s="5" t="str">
        <f>IFERROR(__xludf.DUMMYFUNCTION("""COMPUTED_VALUE"""),"")</f>
        <v/>
      </c>
      <c r="X1472" s="5" t="str">
        <f>IFERROR(__xludf.DUMMYFUNCTION("""COMPUTED_VALUE"""),"")</f>
        <v/>
      </c>
      <c r="Y1472" s="5"/>
      <c r="Z1472" s="5"/>
    </row>
    <row r="1473">
      <c r="A1473" s="5"/>
      <c r="B1473" s="5" t="str">
        <f>IFERROR(__xludf.DUMMYFUNCTION("""COMPUTED_VALUE"""),"")</f>
        <v/>
      </c>
      <c r="C1473" s="5" t="str">
        <f>IFERROR(__xludf.DUMMYFUNCTION("""COMPUTED_VALUE"""),"")</f>
        <v/>
      </c>
      <c r="D1473" s="5" t="str">
        <f>IFERROR(__xludf.DUMMYFUNCTION("""COMPUTED_VALUE"""),"")</f>
        <v/>
      </c>
      <c r="E1473" s="5" t="str">
        <f>IFERROR(__xludf.DUMMYFUNCTION("""COMPUTED_VALUE"""),"")</f>
        <v/>
      </c>
      <c r="F1473" s="5" t="str">
        <f>IFERROR(__xludf.DUMMYFUNCTION("""COMPUTED_VALUE"""),"")</f>
        <v/>
      </c>
      <c r="G1473" s="5" t="str">
        <f>IFERROR(__xludf.DUMMYFUNCTION("""COMPUTED_VALUE"""),"")</f>
        <v/>
      </c>
      <c r="H1473" s="5" t="str">
        <f>IFERROR(__xludf.DUMMYFUNCTION("""COMPUTED_VALUE"""),"")</f>
        <v/>
      </c>
      <c r="I1473" s="5" t="str">
        <f>IFERROR(__xludf.DUMMYFUNCTION("""COMPUTED_VALUE"""),"")</f>
        <v/>
      </c>
      <c r="J1473" s="5" t="str">
        <f>IFERROR(__xludf.DUMMYFUNCTION("""COMPUTED_VALUE"""),"")</f>
        <v/>
      </c>
      <c r="K1473" s="5" t="str">
        <f>IFERROR(__xludf.DUMMYFUNCTION("""COMPUTED_VALUE"""),"")</f>
        <v/>
      </c>
      <c r="L1473" s="5" t="str">
        <f>IFERROR(__xludf.DUMMYFUNCTION("""COMPUTED_VALUE"""),"")</f>
        <v/>
      </c>
      <c r="M1473" s="5" t="str">
        <f>IFERROR(__xludf.DUMMYFUNCTION("""COMPUTED_VALUE"""),"")</f>
        <v/>
      </c>
      <c r="N1473" s="5" t="str">
        <f>IFERROR(__xludf.DUMMYFUNCTION("""COMPUTED_VALUE"""),"")</f>
        <v/>
      </c>
      <c r="O1473" s="5" t="str">
        <f>IFERROR(__xludf.DUMMYFUNCTION("""COMPUTED_VALUE"""),"")</f>
        <v/>
      </c>
      <c r="P1473" s="5" t="str">
        <f>IFERROR(__xludf.DUMMYFUNCTION("""COMPUTED_VALUE"""),"")</f>
        <v/>
      </c>
      <c r="Q1473" s="5" t="str">
        <f>IFERROR(__xludf.DUMMYFUNCTION("""COMPUTED_VALUE"""),"")</f>
        <v/>
      </c>
      <c r="R1473" s="5" t="str">
        <f>IFERROR(__xludf.DUMMYFUNCTION("""COMPUTED_VALUE"""),"")</f>
        <v/>
      </c>
      <c r="S1473" s="5" t="str">
        <f>IFERROR(__xludf.DUMMYFUNCTION("""COMPUTED_VALUE"""),"")</f>
        <v/>
      </c>
      <c r="T1473" s="5" t="str">
        <f>IFERROR(__xludf.DUMMYFUNCTION("""COMPUTED_VALUE"""),"")</f>
        <v/>
      </c>
      <c r="U1473" s="5" t="str">
        <f>IFERROR(__xludf.DUMMYFUNCTION("""COMPUTED_VALUE"""),"")</f>
        <v/>
      </c>
      <c r="V1473" s="5" t="str">
        <f>IFERROR(__xludf.DUMMYFUNCTION("""COMPUTED_VALUE"""),"")</f>
        <v/>
      </c>
      <c r="W1473" s="5" t="str">
        <f>IFERROR(__xludf.DUMMYFUNCTION("""COMPUTED_VALUE"""),"")</f>
        <v/>
      </c>
      <c r="X1473" s="5" t="str">
        <f>IFERROR(__xludf.DUMMYFUNCTION("""COMPUTED_VALUE"""),"")</f>
        <v/>
      </c>
      <c r="Y1473" s="5"/>
      <c r="Z1473" s="5"/>
    </row>
    <row r="1474">
      <c r="A1474" s="5"/>
      <c r="B1474" s="5" t="str">
        <f>IFERROR(__xludf.DUMMYFUNCTION("""COMPUTED_VALUE"""),"")</f>
        <v/>
      </c>
      <c r="C1474" s="5" t="str">
        <f>IFERROR(__xludf.DUMMYFUNCTION("""COMPUTED_VALUE"""),"")</f>
        <v/>
      </c>
      <c r="D1474" s="5" t="str">
        <f>IFERROR(__xludf.DUMMYFUNCTION("""COMPUTED_VALUE"""),"")</f>
        <v/>
      </c>
      <c r="E1474" s="5" t="str">
        <f>IFERROR(__xludf.DUMMYFUNCTION("""COMPUTED_VALUE"""),"")</f>
        <v/>
      </c>
      <c r="F1474" s="5" t="str">
        <f>IFERROR(__xludf.DUMMYFUNCTION("""COMPUTED_VALUE"""),"")</f>
        <v/>
      </c>
      <c r="G1474" s="5" t="str">
        <f>IFERROR(__xludf.DUMMYFUNCTION("""COMPUTED_VALUE"""),"")</f>
        <v/>
      </c>
      <c r="H1474" s="5" t="str">
        <f>IFERROR(__xludf.DUMMYFUNCTION("""COMPUTED_VALUE"""),"")</f>
        <v/>
      </c>
      <c r="I1474" s="5" t="str">
        <f>IFERROR(__xludf.DUMMYFUNCTION("""COMPUTED_VALUE"""),"")</f>
        <v/>
      </c>
      <c r="J1474" s="5" t="str">
        <f>IFERROR(__xludf.DUMMYFUNCTION("""COMPUTED_VALUE"""),"")</f>
        <v/>
      </c>
      <c r="K1474" s="5" t="str">
        <f>IFERROR(__xludf.DUMMYFUNCTION("""COMPUTED_VALUE"""),"")</f>
        <v/>
      </c>
      <c r="L1474" s="5" t="str">
        <f>IFERROR(__xludf.DUMMYFUNCTION("""COMPUTED_VALUE"""),"")</f>
        <v/>
      </c>
      <c r="M1474" s="5" t="str">
        <f>IFERROR(__xludf.DUMMYFUNCTION("""COMPUTED_VALUE"""),"")</f>
        <v/>
      </c>
      <c r="N1474" s="5" t="str">
        <f>IFERROR(__xludf.DUMMYFUNCTION("""COMPUTED_VALUE"""),"")</f>
        <v/>
      </c>
      <c r="O1474" s="5" t="str">
        <f>IFERROR(__xludf.DUMMYFUNCTION("""COMPUTED_VALUE"""),"")</f>
        <v/>
      </c>
      <c r="P1474" s="5" t="str">
        <f>IFERROR(__xludf.DUMMYFUNCTION("""COMPUTED_VALUE"""),"")</f>
        <v/>
      </c>
      <c r="Q1474" s="5" t="str">
        <f>IFERROR(__xludf.DUMMYFUNCTION("""COMPUTED_VALUE"""),"")</f>
        <v/>
      </c>
      <c r="R1474" s="5" t="str">
        <f>IFERROR(__xludf.DUMMYFUNCTION("""COMPUTED_VALUE"""),"")</f>
        <v/>
      </c>
      <c r="S1474" s="5" t="str">
        <f>IFERROR(__xludf.DUMMYFUNCTION("""COMPUTED_VALUE"""),"")</f>
        <v/>
      </c>
      <c r="T1474" s="5" t="str">
        <f>IFERROR(__xludf.DUMMYFUNCTION("""COMPUTED_VALUE"""),"")</f>
        <v/>
      </c>
      <c r="U1474" s="5" t="str">
        <f>IFERROR(__xludf.DUMMYFUNCTION("""COMPUTED_VALUE"""),"")</f>
        <v/>
      </c>
      <c r="V1474" s="5" t="str">
        <f>IFERROR(__xludf.DUMMYFUNCTION("""COMPUTED_VALUE"""),"")</f>
        <v/>
      </c>
      <c r="W1474" s="5" t="str">
        <f>IFERROR(__xludf.DUMMYFUNCTION("""COMPUTED_VALUE"""),"")</f>
        <v/>
      </c>
      <c r="X1474" s="5" t="str">
        <f>IFERROR(__xludf.DUMMYFUNCTION("""COMPUTED_VALUE"""),"")</f>
        <v/>
      </c>
      <c r="Y1474" s="5"/>
      <c r="Z1474" s="5"/>
    </row>
    <row r="1475">
      <c r="A1475" s="5"/>
      <c r="B1475" s="5" t="str">
        <f>IFERROR(__xludf.DUMMYFUNCTION("""COMPUTED_VALUE"""),"")</f>
        <v/>
      </c>
      <c r="C1475" s="5" t="str">
        <f>IFERROR(__xludf.DUMMYFUNCTION("""COMPUTED_VALUE"""),"")</f>
        <v/>
      </c>
      <c r="D1475" s="5" t="str">
        <f>IFERROR(__xludf.DUMMYFUNCTION("""COMPUTED_VALUE"""),"")</f>
        <v/>
      </c>
      <c r="E1475" s="5" t="str">
        <f>IFERROR(__xludf.DUMMYFUNCTION("""COMPUTED_VALUE"""),"")</f>
        <v/>
      </c>
      <c r="F1475" s="5" t="str">
        <f>IFERROR(__xludf.DUMMYFUNCTION("""COMPUTED_VALUE"""),"")</f>
        <v/>
      </c>
      <c r="G1475" s="5" t="str">
        <f>IFERROR(__xludf.DUMMYFUNCTION("""COMPUTED_VALUE"""),"")</f>
        <v/>
      </c>
      <c r="H1475" s="5" t="str">
        <f>IFERROR(__xludf.DUMMYFUNCTION("""COMPUTED_VALUE"""),"")</f>
        <v/>
      </c>
      <c r="I1475" s="5" t="str">
        <f>IFERROR(__xludf.DUMMYFUNCTION("""COMPUTED_VALUE"""),"")</f>
        <v/>
      </c>
      <c r="J1475" s="5" t="str">
        <f>IFERROR(__xludf.DUMMYFUNCTION("""COMPUTED_VALUE"""),"")</f>
        <v/>
      </c>
      <c r="K1475" s="5" t="str">
        <f>IFERROR(__xludf.DUMMYFUNCTION("""COMPUTED_VALUE"""),"")</f>
        <v/>
      </c>
      <c r="L1475" s="5" t="str">
        <f>IFERROR(__xludf.DUMMYFUNCTION("""COMPUTED_VALUE"""),"")</f>
        <v/>
      </c>
      <c r="M1475" s="5" t="str">
        <f>IFERROR(__xludf.DUMMYFUNCTION("""COMPUTED_VALUE"""),"")</f>
        <v/>
      </c>
      <c r="N1475" s="5" t="str">
        <f>IFERROR(__xludf.DUMMYFUNCTION("""COMPUTED_VALUE"""),"")</f>
        <v/>
      </c>
      <c r="O1475" s="5" t="str">
        <f>IFERROR(__xludf.DUMMYFUNCTION("""COMPUTED_VALUE"""),"")</f>
        <v/>
      </c>
      <c r="P1475" s="5" t="str">
        <f>IFERROR(__xludf.DUMMYFUNCTION("""COMPUTED_VALUE"""),"")</f>
        <v/>
      </c>
      <c r="Q1475" s="5" t="str">
        <f>IFERROR(__xludf.DUMMYFUNCTION("""COMPUTED_VALUE"""),"")</f>
        <v/>
      </c>
      <c r="R1475" s="5" t="str">
        <f>IFERROR(__xludf.DUMMYFUNCTION("""COMPUTED_VALUE"""),"")</f>
        <v/>
      </c>
      <c r="S1475" s="5" t="str">
        <f>IFERROR(__xludf.DUMMYFUNCTION("""COMPUTED_VALUE"""),"")</f>
        <v/>
      </c>
      <c r="T1475" s="5" t="str">
        <f>IFERROR(__xludf.DUMMYFUNCTION("""COMPUTED_VALUE"""),"")</f>
        <v/>
      </c>
      <c r="U1475" s="5" t="str">
        <f>IFERROR(__xludf.DUMMYFUNCTION("""COMPUTED_VALUE"""),"")</f>
        <v/>
      </c>
      <c r="V1475" s="5" t="str">
        <f>IFERROR(__xludf.DUMMYFUNCTION("""COMPUTED_VALUE"""),"")</f>
        <v/>
      </c>
      <c r="W1475" s="5" t="str">
        <f>IFERROR(__xludf.DUMMYFUNCTION("""COMPUTED_VALUE"""),"")</f>
        <v/>
      </c>
      <c r="X1475" s="5" t="str">
        <f>IFERROR(__xludf.DUMMYFUNCTION("""COMPUTED_VALUE"""),"")</f>
        <v/>
      </c>
      <c r="Y1475" s="5"/>
      <c r="Z1475" s="5"/>
    </row>
    <row r="1476">
      <c r="A1476" s="5"/>
      <c r="B1476" s="5" t="str">
        <f>IFERROR(__xludf.DUMMYFUNCTION("""COMPUTED_VALUE"""),"")</f>
        <v/>
      </c>
      <c r="C1476" s="5" t="str">
        <f>IFERROR(__xludf.DUMMYFUNCTION("""COMPUTED_VALUE"""),"")</f>
        <v/>
      </c>
      <c r="D1476" s="5" t="str">
        <f>IFERROR(__xludf.DUMMYFUNCTION("""COMPUTED_VALUE"""),"")</f>
        <v/>
      </c>
      <c r="E1476" s="5" t="str">
        <f>IFERROR(__xludf.DUMMYFUNCTION("""COMPUTED_VALUE"""),"")</f>
        <v/>
      </c>
      <c r="F1476" s="5" t="str">
        <f>IFERROR(__xludf.DUMMYFUNCTION("""COMPUTED_VALUE"""),"")</f>
        <v/>
      </c>
      <c r="G1476" s="5" t="str">
        <f>IFERROR(__xludf.DUMMYFUNCTION("""COMPUTED_VALUE"""),"")</f>
        <v/>
      </c>
      <c r="H1476" s="5" t="str">
        <f>IFERROR(__xludf.DUMMYFUNCTION("""COMPUTED_VALUE"""),"")</f>
        <v/>
      </c>
      <c r="I1476" s="5" t="str">
        <f>IFERROR(__xludf.DUMMYFUNCTION("""COMPUTED_VALUE"""),"")</f>
        <v/>
      </c>
      <c r="J1476" s="5" t="str">
        <f>IFERROR(__xludf.DUMMYFUNCTION("""COMPUTED_VALUE"""),"")</f>
        <v/>
      </c>
      <c r="K1476" s="5" t="str">
        <f>IFERROR(__xludf.DUMMYFUNCTION("""COMPUTED_VALUE"""),"")</f>
        <v/>
      </c>
      <c r="L1476" s="5" t="str">
        <f>IFERROR(__xludf.DUMMYFUNCTION("""COMPUTED_VALUE"""),"")</f>
        <v/>
      </c>
      <c r="M1476" s="5" t="str">
        <f>IFERROR(__xludf.DUMMYFUNCTION("""COMPUTED_VALUE"""),"")</f>
        <v/>
      </c>
      <c r="N1476" s="5" t="str">
        <f>IFERROR(__xludf.DUMMYFUNCTION("""COMPUTED_VALUE"""),"")</f>
        <v/>
      </c>
      <c r="O1476" s="5" t="str">
        <f>IFERROR(__xludf.DUMMYFUNCTION("""COMPUTED_VALUE"""),"")</f>
        <v/>
      </c>
      <c r="P1476" s="5" t="str">
        <f>IFERROR(__xludf.DUMMYFUNCTION("""COMPUTED_VALUE"""),"")</f>
        <v/>
      </c>
      <c r="Q1476" s="5" t="str">
        <f>IFERROR(__xludf.DUMMYFUNCTION("""COMPUTED_VALUE"""),"")</f>
        <v/>
      </c>
      <c r="R1476" s="5" t="str">
        <f>IFERROR(__xludf.DUMMYFUNCTION("""COMPUTED_VALUE"""),"")</f>
        <v/>
      </c>
      <c r="S1476" s="5" t="str">
        <f>IFERROR(__xludf.DUMMYFUNCTION("""COMPUTED_VALUE"""),"")</f>
        <v/>
      </c>
      <c r="T1476" s="5" t="str">
        <f>IFERROR(__xludf.DUMMYFUNCTION("""COMPUTED_VALUE"""),"")</f>
        <v/>
      </c>
      <c r="U1476" s="5" t="str">
        <f>IFERROR(__xludf.DUMMYFUNCTION("""COMPUTED_VALUE"""),"")</f>
        <v/>
      </c>
      <c r="V1476" s="5" t="str">
        <f>IFERROR(__xludf.DUMMYFUNCTION("""COMPUTED_VALUE"""),"")</f>
        <v/>
      </c>
      <c r="W1476" s="5" t="str">
        <f>IFERROR(__xludf.DUMMYFUNCTION("""COMPUTED_VALUE"""),"")</f>
        <v/>
      </c>
      <c r="X1476" s="5" t="str">
        <f>IFERROR(__xludf.DUMMYFUNCTION("""COMPUTED_VALUE"""),"")</f>
        <v/>
      </c>
      <c r="Y1476" s="5"/>
      <c r="Z1476" s="5"/>
    </row>
    <row r="1477">
      <c r="A1477" s="5"/>
      <c r="B1477" s="5" t="str">
        <f>IFERROR(__xludf.DUMMYFUNCTION("""COMPUTED_VALUE"""),"")</f>
        <v/>
      </c>
      <c r="C1477" s="5" t="str">
        <f>IFERROR(__xludf.DUMMYFUNCTION("""COMPUTED_VALUE"""),"")</f>
        <v/>
      </c>
      <c r="D1477" s="5" t="str">
        <f>IFERROR(__xludf.DUMMYFUNCTION("""COMPUTED_VALUE"""),"")</f>
        <v/>
      </c>
      <c r="E1477" s="5" t="str">
        <f>IFERROR(__xludf.DUMMYFUNCTION("""COMPUTED_VALUE"""),"")</f>
        <v/>
      </c>
      <c r="F1477" s="5" t="str">
        <f>IFERROR(__xludf.DUMMYFUNCTION("""COMPUTED_VALUE"""),"")</f>
        <v/>
      </c>
      <c r="G1477" s="5" t="str">
        <f>IFERROR(__xludf.DUMMYFUNCTION("""COMPUTED_VALUE"""),"")</f>
        <v/>
      </c>
      <c r="H1477" s="5" t="str">
        <f>IFERROR(__xludf.DUMMYFUNCTION("""COMPUTED_VALUE"""),"")</f>
        <v/>
      </c>
      <c r="I1477" s="5" t="str">
        <f>IFERROR(__xludf.DUMMYFUNCTION("""COMPUTED_VALUE"""),"")</f>
        <v/>
      </c>
      <c r="J1477" s="5" t="str">
        <f>IFERROR(__xludf.DUMMYFUNCTION("""COMPUTED_VALUE"""),"")</f>
        <v/>
      </c>
      <c r="K1477" s="5" t="str">
        <f>IFERROR(__xludf.DUMMYFUNCTION("""COMPUTED_VALUE"""),"")</f>
        <v/>
      </c>
      <c r="L1477" s="5" t="str">
        <f>IFERROR(__xludf.DUMMYFUNCTION("""COMPUTED_VALUE"""),"")</f>
        <v/>
      </c>
      <c r="M1477" s="5" t="str">
        <f>IFERROR(__xludf.DUMMYFUNCTION("""COMPUTED_VALUE"""),"")</f>
        <v/>
      </c>
      <c r="N1477" s="5" t="str">
        <f>IFERROR(__xludf.DUMMYFUNCTION("""COMPUTED_VALUE"""),"")</f>
        <v/>
      </c>
      <c r="O1477" s="5" t="str">
        <f>IFERROR(__xludf.DUMMYFUNCTION("""COMPUTED_VALUE"""),"")</f>
        <v/>
      </c>
      <c r="P1477" s="5" t="str">
        <f>IFERROR(__xludf.DUMMYFUNCTION("""COMPUTED_VALUE"""),"")</f>
        <v/>
      </c>
      <c r="Q1477" s="5" t="str">
        <f>IFERROR(__xludf.DUMMYFUNCTION("""COMPUTED_VALUE"""),"")</f>
        <v/>
      </c>
      <c r="R1477" s="5" t="str">
        <f>IFERROR(__xludf.DUMMYFUNCTION("""COMPUTED_VALUE"""),"")</f>
        <v/>
      </c>
      <c r="S1477" s="5" t="str">
        <f>IFERROR(__xludf.DUMMYFUNCTION("""COMPUTED_VALUE"""),"")</f>
        <v/>
      </c>
      <c r="T1477" s="5" t="str">
        <f>IFERROR(__xludf.DUMMYFUNCTION("""COMPUTED_VALUE"""),"")</f>
        <v/>
      </c>
      <c r="U1477" s="5" t="str">
        <f>IFERROR(__xludf.DUMMYFUNCTION("""COMPUTED_VALUE"""),"")</f>
        <v/>
      </c>
      <c r="V1477" s="5" t="str">
        <f>IFERROR(__xludf.DUMMYFUNCTION("""COMPUTED_VALUE"""),"")</f>
        <v/>
      </c>
      <c r="W1477" s="5" t="str">
        <f>IFERROR(__xludf.DUMMYFUNCTION("""COMPUTED_VALUE"""),"")</f>
        <v/>
      </c>
      <c r="X1477" s="5" t="str">
        <f>IFERROR(__xludf.DUMMYFUNCTION("""COMPUTED_VALUE"""),"")</f>
        <v/>
      </c>
      <c r="Y1477" s="5"/>
      <c r="Z1477" s="5"/>
    </row>
    <row r="1478">
      <c r="A1478" s="5"/>
      <c r="B1478" s="5" t="str">
        <f>IFERROR(__xludf.DUMMYFUNCTION("""COMPUTED_VALUE"""),"")</f>
        <v/>
      </c>
      <c r="C1478" s="5" t="str">
        <f>IFERROR(__xludf.DUMMYFUNCTION("""COMPUTED_VALUE"""),"")</f>
        <v/>
      </c>
      <c r="D1478" s="5" t="str">
        <f>IFERROR(__xludf.DUMMYFUNCTION("""COMPUTED_VALUE"""),"")</f>
        <v/>
      </c>
      <c r="E1478" s="5" t="str">
        <f>IFERROR(__xludf.DUMMYFUNCTION("""COMPUTED_VALUE"""),"")</f>
        <v/>
      </c>
      <c r="F1478" s="5" t="str">
        <f>IFERROR(__xludf.DUMMYFUNCTION("""COMPUTED_VALUE"""),"")</f>
        <v/>
      </c>
      <c r="G1478" s="5" t="str">
        <f>IFERROR(__xludf.DUMMYFUNCTION("""COMPUTED_VALUE"""),"")</f>
        <v/>
      </c>
      <c r="H1478" s="5" t="str">
        <f>IFERROR(__xludf.DUMMYFUNCTION("""COMPUTED_VALUE"""),"")</f>
        <v/>
      </c>
      <c r="I1478" s="5" t="str">
        <f>IFERROR(__xludf.DUMMYFUNCTION("""COMPUTED_VALUE"""),"")</f>
        <v/>
      </c>
      <c r="J1478" s="5" t="str">
        <f>IFERROR(__xludf.DUMMYFUNCTION("""COMPUTED_VALUE"""),"")</f>
        <v/>
      </c>
      <c r="K1478" s="5" t="str">
        <f>IFERROR(__xludf.DUMMYFUNCTION("""COMPUTED_VALUE"""),"")</f>
        <v/>
      </c>
      <c r="L1478" s="5" t="str">
        <f>IFERROR(__xludf.DUMMYFUNCTION("""COMPUTED_VALUE"""),"")</f>
        <v/>
      </c>
      <c r="M1478" s="5" t="str">
        <f>IFERROR(__xludf.DUMMYFUNCTION("""COMPUTED_VALUE"""),"")</f>
        <v/>
      </c>
      <c r="N1478" s="5" t="str">
        <f>IFERROR(__xludf.DUMMYFUNCTION("""COMPUTED_VALUE"""),"")</f>
        <v/>
      </c>
      <c r="O1478" s="5" t="str">
        <f>IFERROR(__xludf.DUMMYFUNCTION("""COMPUTED_VALUE"""),"")</f>
        <v/>
      </c>
      <c r="P1478" s="5" t="str">
        <f>IFERROR(__xludf.DUMMYFUNCTION("""COMPUTED_VALUE"""),"")</f>
        <v/>
      </c>
      <c r="Q1478" s="5" t="str">
        <f>IFERROR(__xludf.DUMMYFUNCTION("""COMPUTED_VALUE"""),"")</f>
        <v/>
      </c>
      <c r="R1478" s="5" t="str">
        <f>IFERROR(__xludf.DUMMYFUNCTION("""COMPUTED_VALUE"""),"")</f>
        <v/>
      </c>
      <c r="S1478" s="5" t="str">
        <f>IFERROR(__xludf.DUMMYFUNCTION("""COMPUTED_VALUE"""),"")</f>
        <v/>
      </c>
      <c r="T1478" s="5" t="str">
        <f>IFERROR(__xludf.DUMMYFUNCTION("""COMPUTED_VALUE"""),"")</f>
        <v/>
      </c>
      <c r="U1478" s="5" t="str">
        <f>IFERROR(__xludf.DUMMYFUNCTION("""COMPUTED_VALUE"""),"")</f>
        <v/>
      </c>
      <c r="V1478" s="5" t="str">
        <f>IFERROR(__xludf.DUMMYFUNCTION("""COMPUTED_VALUE"""),"")</f>
        <v/>
      </c>
      <c r="W1478" s="5" t="str">
        <f>IFERROR(__xludf.DUMMYFUNCTION("""COMPUTED_VALUE"""),"")</f>
        <v/>
      </c>
      <c r="X1478" s="5" t="str">
        <f>IFERROR(__xludf.DUMMYFUNCTION("""COMPUTED_VALUE"""),"")</f>
        <v/>
      </c>
      <c r="Y1478" s="5"/>
      <c r="Z1478" s="5"/>
    </row>
    <row r="1479">
      <c r="A1479" s="5"/>
      <c r="B1479" s="5" t="str">
        <f>IFERROR(__xludf.DUMMYFUNCTION("""COMPUTED_VALUE"""),"")</f>
        <v/>
      </c>
      <c r="C1479" s="5" t="str">
        <f>IFERROR(__xludf.DUMMYFUNCTION("""COMPUTED_VALUE"""),"")</f>
        <v/>
      </c>
      <c r="D1479" s="5" t="str">
        <f>IFERROR(__xludf.DUMMYFUNCTION("""COMPUTED_VALUE"""),"")</f>
        <v/>
      </c>
      <c r="E1479" s="5" t="str">
        <f>IFERROR(__xludf.DUMMYFUNCTION("""COMPUTED_VALUE"""),"")</f>
        <v/>
      </c>
      <c r="F1479" s="5" t="str">
        <f>IFERROR(__xludf.DUMMYFUNCTION("""COMPUTED_VALUE"""),"")</f>
        <v/>
      </c>
      <c r="G1479" s="5" t="str">
        <f>IFERROR(__xludf.DUMMYFUNCTION("""COMPUTED_VALUE"""),"")</f>
        <v/>
      </c>
      <c r="H1479" s="5" t="str">
        <f>IFERROR(__xludf.DUMMYFUNCTION("""COMPUTED_VALUE"""),"")</f>
        <v/>
      </c>
      <c r="I1479" s="5" t="str">
        <f>IFERROR(__xludf.DUMMYFUNCTION("""COMPUTED_VALUE"""),"")</f>
        <v/>
      </c>
      <c r="J1479" s="5" t="str">
        <f>IFERROR(__xludf.DUMMYFUNCTION("""COMPUTED_VALUE"""),"")</f>
        <v/>
      </c>
      <c r="K1479" s="5" t="str">
        <f>IFERROR(__xludf.DUMMYFUNCTION("""COMPUTED_VALUE"""),"")</f>
        <v/>
      </c>
      <c r="L1479" s="5" t="str">
        <f>IFERROR(__xludf.DUMMYFUNCTION("""COMPUTED_VALUE"""),"")</f>
        <v/>
      </c>
      <c r="M1479" s="5" t="str">
        <f>IFERROR(__xludf.DUMMYFUNCTION("""COMPUTED_VALUE"""),"")</f>
        <v/>
      </c>
      <c r="N1479" s="5" t="str">
        <f>IFERROR(__xludf.DUMMYFUNCTION("""COMPUTED_VALUE"""),"")</f>
        <v/>
      </c>
      <c r="O1479" s="5" t="str">
        <f>IFERROR(__xludf.DUMMYFUNCTION("""COMPUTED_VALUE"""),"")</f>
        <v/>
      </c>
      <c r="P1479" s="5" t="str">
        <f>IFERROR(__xludf.DUMMYFUNCTION("""COMPUTED_VALUE"""),"")</f>
        <v/>
      </c>
      <c r="Q1479" s="5" t="str">
        <f>IFERROR(__xludf.DUMMYFUNCTION("""COMPUTED_VALUE"""),"")</f>
        <v/>
      </c>
      <c r="R1479" s="5" t="str">
        <f>IFERROR(__xludf.DUMMYFUNCTION("""COMPUTED_VALUE"""),"")</f>
        <v/>
      </c>
      <c r="S1479" s="5" t="str">
        <f>IFERROR(__xludf.DUMMYFUNCTION("""COMPUTED_VALUE"""),"")</f>
        <v/>
      </c>
      <c r="T1479" s="5" t="str">
        <f>IFERROR(__xludf.DUMMYFUNCTION("""COMPUTED_VALUE"""),"")</f>
        <v/>
      </c>
      <c r="U1479" s="5" t="str">
        <f>IFERROR(__xludf.DUMMYFUNCTION("""COMPUTED_VALUE"""),"")</f>
        <v/>
      </c>
      <c r="V1479" s="5" t="str">
        <f>IFERROR(__xludf.DUMMYFUNCTION("""COMPUTED_VALUE"""),"")</f>
        <v/>
      </c>
      <c r="W1479" s="5" t="str">
        <f>IFERROR(__xludf.DUMMYFUNCTION("""COMPUTED_VALUE"""),"")</f>
        <v/>
      </c>
      <c r="X1479" s="5" t="str">
        <f>IFERROR(__xludf.DUMMYFUNCTION("""COMPUTED_VALUE"""),"")</f>
        <v/>
      </c>
      <c r="Y1479" s="5"/>
      <c r="Z1479" s="5"/>
    </row>
    <row r="1480">
      <c r="A1480" s="5"/>
      <c r="B1480" s="5" t="str">
        <f>IFERROR(__xludf.DUMMYFUNCTION("""COMPUTED_VALUE"""),"")</f>
        <v/>
      </c>
      <c r="C1480" s="5" t="str">
        <f>IFERROR(__xludf.DUMMYFUNCTION("""COMPUTED_VALUE"""),"")</f>
        <v/>
      </c>
      <c r="D1480" s="5" t="str">
        <f>IFERROR(__xludf.DUMMYFUNCTION("""COMPUTED_VALUE"""),"")</f>
        <v/>
      </c>
      <c r="E1480" s="5" t="str">
        <f>IFERROR(__xludf.DUMMYFUNCTION("""COMPUTED_VALUE"""),"")</f>
        <v/>
      </c>
      <c r="F1480" s="5" t="str">
        <f>IFERROR(__xludf.DUMMYFUNCTION("""COMPUTED_VALUE"""),"")</f>
        <v/>
      </c>
      <c r="G1480" s="5" t="str">
        <f>IFERROR(__xludf.DUMMYFUNCTION("""COMPUTED_VALUE"""),"")</f>
        <v/>
      </c>
      <c r="H1480" s="5" t="str">
        <f>IFERROR(__xludf.DUMMYFUNCTION("""COMPUTED_VALUE"""),"")</f>
        <v/>
      </c>
      <c r="I1480" s="5" t="str">
        <f>IFERROR(__xludf.DUMMYFUNCTION("""COMPUTED_VALUE"""),"")</f>
        <v/>
      </c>
      <c r="J1480" s="5" t="str">
        <f>IFERROR(__xludf.DUMMYFUNCTION("""COMPUTED_VALUE"""),"")</f>
        <v/>
      </c>
      <c r="K1480" s="5" t="str">
        <f>IFERROR(__xludf.DUMMYFUNCTION("""COMPUTED_VALUE"""),"")</f>
        <v/>
      </c>
      <c r="L1480" s="5" t="str">
        <f>IFERROR(__xludf.DUMMYFUNCTION("""COMPUTED_VALUE"""),"")</f>
        <v/>
      </c>
      <c r="M1480" s="5" t="str">
        <f>IFERROR(__xludf.DUMMYFUNCTION("""COMPUTED_VALUE"""),"")</f>
        <v/>
      </c>
      <c r="N1480" s="5" t="str">
        <f>IFERROR(__xludf.DUMMYFUNCTION("""COMPUTED_VALUE"""),"")</f>
        <v/>
      </c>
      <c r="O1480" s="5" t="str">
        <f>IFERROR(__xludf.DUMMYFUNCTION("""COMPUTED_VALUE"""),"")</f>
        <v/>
      </c>
      <c r="P1480" s="5" t="str">
        <f>IFERROR(__xludf.DUMMYFUNCTION("""COMPUTED_VALUE"""),"")</f>
        <v/>
      </c>
      <c r="Q1480" s="5" t="str">
        <f>IFERROR(__xludf.DUMMYFUNCTION("""COMPUTED_VALUE"""),"")</f>
        <v/>
      </c>
      <c r="R1480" s="5" t="str">
        <f>IFERROR(__xludf.DUMMYFUNCTION("""COMPUTED_VALUE"""),"")</f>
        <v/>
      </c>
      <c r="S1480" s="5" t="str">
        <f>IFERROR(__xludf.DUMMYFUNCTION("""COMPUTED_VALUE"""),"")</f>
        <v/>
      </c>
      <c r="T1480" s="5" t="str">
        <f>IFERROR(__xludf.DUMMYFUNCTION("""COMPUTED_VALUE"""),"")</f>
        <v/>
      </c>
      <c r="U1480" s="5" t="str">
        <f>IFERROR(__xludf.DUMMYFUNCTION("""COMPUTED_VALUE"""),"")</f>
        <v/>
      </c>
      <c r="V1480" s="5" t="str">
        <f>IFERROR(__xludf.DUMMYFUNCTION("""COMPUTED_VALUE"""),"")</f>
        <v/>
      </c>
      <c r="W1480" s="5" t="str">
        <f>IFERROR(__xludf.DUMMYFUNCTION("""COMPUTED_VALUE"""),"")</f>
        <v/>
      </c>
      <c r="X1480" s="5" t="str">
        <f>IFERROR(__xludf.DUMMYFUNCTION("""COMPUTED_VALUE"""),"")</f>
        <v/>
      </c>
      <c r="Y1480" s="5"/>
      <c r="Z1480" s="5"/>
    </row>
    <row r="1481">
      <c r="A1481" s="5"/>
      <c r="B1481" s="5" t="str">
        <f>IFERROR(__xludf.DUMMYFUNCTION("""COMPUTED_VALUE"""),"")</f>
        <v/>
      </c>
      <c r="C1481" s="5" t="str">
        <f>IFERROR(__xludf.DUMMYFUNCTION("""COMPUTED_VALUE"""),"")</f>
        <v/>
      </c>
      <c r="D1481" s="5" t="str">
        <f>IFERROR(__xludf.DUMMYFUNCTION("""COMPUTED_VALUE"""),"")</f>
        <v/>
      </c>
      <c r="E1481" s="5" t="str">
        <f>IFERROR(__xludf.DUMMYFUNCTION("""COMPUTED_VALUE"""),"")</f>
        <v/>
      </c>
      <c r="F1481" s="5" t="str">
        <f>IFERROR(__xludf.DUMMYFUNCTION("""COMPUTED_VALUE"""),"")</f>
        <v/>
      </c>
      <c r="G1481" s="5" t="str">
        <f>IFERROR(__xludf.DUMMYFUNCTION("""COMPUTED_VALUE"""),"")</f>
        <v/>
      </c>
      <c r="H1481" s="5" t="str">
        <f>IFERROR(__xludf.DUMMYFUNCTION("""COMPUTED_VALUE"""),"")</f>
        <v/>
      </c>
      <c r="I1481" s="5" t="str">
        <f>IFERROR(__xludf.DUMMYFUNCTION("""COMPUTED_VALUE"""),"")</f>
        <v/>
      </c>
      <c r="J1481" s="5" t="str">
        <f>IFERROR(__xludf.DUMMYFUNCTION("""COMPUTED_VALUE"""),"")</f>
        <v/>
      </c>
      <c r="K1481" s="5" t="str">
        <f>IFERROR(__xludf.DUMMYFUNCTION("""COMPUTED_VALUE"""),"")</f>
        <v/>
      </c>
      <c r="L1481" s="5" t="str">
        <f>IFERROR(__xludf.DUMMYFUNCTION("""COMPUTED_VALUE"""),"")</f>
        <v/>
      </c>
      <c r="M1481" s="5" t="str">
        <f>IFERROR(__xludf.DUMMYFUNCTION("""COMPUTED_VALUE"""),"")</f>
        <v/>
      </c>
      <c r="N1481" s="5" t="str">
        <f>IFERROR(__xludf.DUMMYFUNCTION("""COMPUTED_VALUE"""),"")</f>
        <v/>
      </c>
      <c r="O1481" s="5" t="str">
        <f>IFERROR(__xludf.DUMMYFUNCTION("""COMPUTED_VALUE"""),"")</f>
        <v/>
      </c>
      <c r="P1481" s="5" t="str">
        <f>IFERROR(__xludf.DUMMYFUNCTION("""COMPUTED_VALUE"""),"")</f>
        <v/>
      </c>
      <c r="Q1481" s="5" t="str">
        <f>IFERROR(__xludf.DUMMYFUNCTION("""COMPUTED_VALUE"""),"")</f>
        <v/>
      </c>
      <c r="R1481" s="5" t="str">
        <f>IFERROR(__xludf.DUMMYFUNCTION("""COMPUTED_VALUE"""),"")</f>
        <v/>
      </c>
      <c r="S1481" s="5" t="str">
        <f>IFERROR(__xludf.DUMMYFUNCTION("""COMPUTED_VALUE"""),"")</f>
        <v/>
      </c>
      <c r="T1481" s="5" t="str">
        <f>IFERROR(__xludf.DUMMYFUNCTION("""COMPUTED_VALUE"""),"")</f>
        <v/>
      </c>
      <c r="U1481" s="5" t="str">
        <f>IFERROR(__xludf.DUMMYFUNCTION("""COMPUTED_VALUE"""),"")</f>
        <v/>
      </c>
      <c r="V1481" s="5" t="str">
        <f>IFERROR(__xludf.DUMMYFUNCTION("""COMPUTED_VALUE"""),"")</f>
        <v/>
      </c>
      <c r="W1481" s="5" t="str">
        <f>IFERROR(__xludf.DUMMYFUNCTION("""COMPUTED_VALUE"""),"")</f>
        <v/>
      </c>
      <c r="X1481" s="5" t="str">
        <f>IFERROR(__xludf.DUMMYFUNCTION("""COMPUTED_VALUE"""),"")</f>
        <v/>
      </c>
      <c r="Y1481" s="5"/>
      <c r="Z1481" s="5"/>
    </row>
    <row r="1482">
      <c r="A1482" s="5"/>
      <c r="B1482" s="5" t="str">
        <f>IFERROR(__xludf.DUMMYFUNCTION("""COMPUTED_VALUE"""),"")</f>
        <v/>
      </c>
      <c r="C1482" s="5" t="str">
        <f>IFERROR(__xludf.DUMMYFUNCTION("""COMPUTED_VALUE"""),"")</f>
        <v/>
      </c>
      <c r="D1482" s="5" t="str">
        <f>IFERROR(__xludf.DUMMYFUNCTION("""COMPUTED_VALUE"""),"")</f>
        <v/>
      </c>
      <c r="E1482" s="5" t="str">
        <f>IFERROR(__xludf.DUMMYFUNCTION("""COMPUTED_VALUE"""),"")</f>
        <v/>
      </c>
      <c r="F1482" s="5" t="str">
        <f>IFERROR(__xludf.DUMMYFUNCTION("""COMPUTED_VALUE"""),"")</f>
        <v/>
      </c>
      <c r="G1482" s="5" t="str">
        <f>IFERROR(__xludf.DUMMYFUNCTION("""COMPUTED_VALUE"""),"")</f>
        <v/>
      </c>
      <c r="H1482" s="5" t="str">
        <f>IFERROR(__xludf.DUMMYFUNCTION("""COMPUTED_VALUE"""),"")</f>
        <v/>
      </c>
      <c r="I1482" s="5" t="str">
        <f>IFERROR(__xludf.DUMMYFUNCTION("""COMPUTED_VALUE"""),"")</f>
        <v/>
      </c>
      <c r="J1482" s="5" t="str">
        <f>IFERROR(__xludf.DUMMYFUNCTION("""COMPUTED_VALUE"""),"")</f>
        <v/>
      </c>
      <c r="K1482" s="5" t="str">
        <f>IFERROR(__xludf.DUMMYFUNCTION("""COMPUTED_VALUE"""),"")</f>
        <v/>
      </c>
      <c r="L1482" s="5" t="str">
        <f>IFERROR(__xludf.DUMMYFUNCTION("""COMPUTED_VALUE"""),"")</f>
        <v/>
      </c>
      <c r="M1482" s="5" t="str">
        <f>IFERROR(__xludf.DUMMYFUNCTION("""COMPUTED_VALUE"""),"")</f>
        <v/>
      </c>
      <c r="N1482" s="5" t="str">
        <f>IFERROR(__xludf.DUMMYFUNCTION("""COMPUTED_VALUE"""),"")</f>
        <v/>
      </c>
      <c r="O1482" s="5" t="str">
        <f>IFERROR(__xludf.DUMMYFUNCTION("""COMPUTED_VALUE"""),"")</f>
        <v/>
      </c>
      <c r="P1482" s="5" t="str">
        <f>IFERROR(__xludf.DUMMYFUNCTION("""COMPUTED_VALUE"""),"")</f>
        <v/>
      </c>
      <c r="Q1482" s="5" t="str">
        <f>IFERROR(__xludf.DUMMYFUNCTION("""COMPUTED_VALUE"""),"")</f>
        <v/>
      </c>
      <c r="R1482" s="5" t="str">
        <f>IFERROR(__xludf.DUMMYFUNCTION("""COMPUTED_VALUE"""),"")</f>
        <v/>
      </c>
      <c r="S1482" s="5" t="str">
        <f>IFERROR(__xludf.DUMMYFUNCTION("""COMPUTED_VALUE"""),"")</f>
        <v/>
      </c>
      <c r="T1482" s="5" t="str">
        <f>IFERROR(__xludf.DUMMYFUNCTION("""COMPUTED_VALUE"""),"")</f>
        <v/>
      </c>
      <c r="U1482" s="5" t="str">
        <f>IFERROR(__xludf.DUMMYFUNCTION("""COMPUTED_VALUE"""),"")</f>
        <v/>
      </c>
      <c r="V1482" s="5" t="str">
        <f>IFERROR(__xludf.DUMMYFUNCTION("""COMPUTED_VALUE"""),"")</f>
        <v/>
      </c>
      <c r="W1482" s="5" t="str">
        <f>IFERROR(__xludf.DUMMYFUNCTION("""COMPUTED_VALUE"""),"")</f>
        <v/>
      </c>
      <c r="X1482" s="5" t="str">
        <f>IFERROR(__xludf.DUMMYFUNCTION("""COMPUTED_VALUE"""),"")</f>
        <v/>
      </c>
      <c r="Y1482" s="5"/>
      <c r="Z1482" s="5"/>
    </row>
    <row r="1483">
      <c r="A1483" s="5"/>
      <c r="B1483" s="5" t="str">
        <f>IFERROR(__xludf.DUMMYFUNCTION("""COMPUTED_VALUE"""),"")</f>
        <v/>
      </c>
      <c r="C1483" s="5" t="str">
        <f>IFERROR(__xludf.DUMMYFUNCTION("""COMPUTED_VALUE"""),"")</f>
        <v/>
      </c>
      <c r="D1483" s="5" t="str">
        <f>IFERROR(__xludf.DUMMYFUNCTION("""COMPUTED_VALUE"""),"")</f>
        <v/>
      </c>
      <c r="E1483" s="5" t="str">
        <f>IFERROR(__xludf.DUMMYFUNCTION("""COMPUTED_VALUE"""),"")</f>
        <v/>
      </c>
      <c r="F1483" s="5" t="str">
        <f>IFERROR(__xludf.DUMMYFUNCTION("""COMPUTED_VALUE"""),"")</f>
        <v/>
      </c>
      <c r="G1483" s="5" t="str">
        <f>IFERROR(__xludf.DUMMYFUNCTION("""COMPUTED_VALUE"""),"")</f>
        <v/>
      </c>
      <c r="H1483" s="5" t="str">
        <f>IFERROR(__xludf.DUMMYFUNCTION("""COMPUTED_VALUE"""),"")</f>
        <v/>
      </c>
      <c r="I1483" s="5" t="str">
        <f>IFERROR(__xludf.DUMMYFUNCTION("""COMPUTED_VALUE"""),"")</f>
        <v/>
      </c>
      <c r="J1483" s="5" t="str">
        <f>IFERROR(__xludf.DUMMYFUNCTION("""COMPUTED_VALUE"""),"")</f>
        <v/>
      </c>
      <c r="K1483" s="5" t="str">
        <f>IFERROR(__xludf.DUMMYFUNCTION("""COMPUTED_VALUE"""),"")</f>
        <v/>
      </c>
      <c r="L1483" s="5" t="str">
        <f>IFERROR(__xludf.DUMMYFUNCTION("""COMPUTED_VALUE"""),"")</f>
        <v/>
      </c>
      <c r="M1483" s="5" t="str">
        <f>IFERROR(__xludf.DUMMYFUNCTION("""COMPUTED_VALUE"""),"")</f>
        <v/>
      </c>
      <c r="N1483" s="5" t="str">
        <f>IFERROR(__xludf.DUMMYFUNCTION("""COMPUTED_VALUE"""),"")</f>
        <v/>
      </c>
      <c r="O1483" s="5" t="str">
        <f>IFERROR(__xludf.DUMMYFUNCTION("""COMPUTED_VALUE"""),"")</f>
        <v/>
      </c>
      <c r="P1483" s="5" t="str">
        <f>IFERROR(__xludf.DUMMYFUNCTION("""COMPUTED_VALUE"""),"")</f>
        <v/>
      </c>
      <c r="Q1483" s="5" t="str">
        <f>IFERROR(__xludf.DUMMYFUNCTION("""COMPUTED_VALUE"""),"")</f>
        <v/>
      </c>
      <c r="R1483" s="5" t="str">
        <f>IFERROR(__xludf.DUMMYFUNCTION("""COMPUTED_VALUE"""),"")</f>
        <v/>
      </c>
      <c r="S1483" s="5" t="str">
        <f>IFERROR(__xludf.DUMMYFUNCTION("""COMPUTED_VALUE"""),"")</f>
        <v/>
      </c>
      <c r="T1483" s="5" t="str">
        <f>IFERROR(__xludf.DUMMYFUNCTION("""COMPUTED_VALUE"""),"")</f>
        <v/>
      </c>
      <c r="U1483" s="5" t="str">
        <f>IFERROR(__xludf.DUMMYFUNCTION("""COMPUTED_VALUE"""),"")</f>
        <v/>
      </c>
      <c r="V1483" s="5" t="str">
        <f>IFERROR(__xludf.DUMMYFUNCTION("""COMPUTED_VALUE"""),"")</f>
        <v/>
      </c>
      <c r="W1483" s="5" t="str">
        <f>IFERROR(__xludf.DUMMYFUNCTION("""COMPUTED_VALUE"""),"")</f>
        <v/>
      </c>
      <c r="X1483" s="5" t="str">
        <f>IFERROR(__xludf.DUMMYFUNCTION("""COMPUTED_VALUE"""),"")</f>
        <v/>
      </c>
      <c r="Y1483" s="5"/>
      <c r="Z1483" s="5"/>
    </row>
    <row r="1484">
      <c r="A1484" s="5"/>
      <c r="B1484" s="5" t="str">
        <f>IFERROR(__xludf.DUMMYFUNCTION("""COMPUTED_VALUE"""),"")</f>
        <v/>
      </c>
      <c r="C1484" s="5" t="str">
        <f>IFERROR(__xludf.DUMMYFUNCTION("""COMPUTED_VALUE"""),"")</f>
        <v/>
      </c>
      <c r="D1484" s="5" t="str">
        <f>IFERROR(__xludf.DUMMYFUNCTION("""COMPUTED_VALUE"""),"")</f>
        <v/>
      </c>
      <c r="E1484" s="5" t="str">
        <f>IFERROR(__xludf.DUMMYFUNCTION("""COMPUTED_VALUE"""),"")</f>
        <v/>
      </c>
      <c r="F1484" s="5" t="str">
        <f>IFERROR(__xludf.DUMMYFUNCTION("""COMPUTED_VALUE"""),"")</f>
        <v/>
      </c>
      <c r="G1484" s="5" t="str">
        <f>IFERROR(__xludf.DUMMYFUNCTION("""COMPUTED_VALUE"""),"")</f>
        <v/>
      </c>
      <c r="H1484" s="5" t="str">
        <f>IFERROR(__xludf.DUMMYFUNCTION("""COMPUTED_VALUE"""),"")</f>
        <v/>
      </c>
      <c r="I1484" s="5" t="str">
        <f>IFERROR(__xludf.DUMMYFUNCTION("""COMPUTED_VALUE"""),"")</f>
        <v/>
      </c>
      <c r="J1484" s="5" t="str">
        <f>IFERROR(__xludf.DUMMYFUNCTION("""COMPUTED_VALUE"""),"")</f>
        <v/>
      </c>
      <c r="K1484" s="5" t="str">
        <f>IFERROR(__xludf.DUMMYFUNCTION("""COMPUTED_VALUE"""),"")</f>
        <v/>
      </c>
      <c r="L1484" s="5" t="str">
        <f>IFERROR(__xludf.DUMMYFUNCTION("""COMPUTED_VALUE"""),"")</f>
        <v/>
      </c>
      <c r="M1484" s="5" t="str">
        <f>IFERROR(__xludf.DUMMYFUNCTION("""COMPUTED_VALUE"""),"")</f>
        <v/>
      </c>
      <c r="N1484" s="5" t="str">
        <f>IFERROR(__xludf.DUMMYFUNCTION("""COMPUTED_VALUE"""),"")</f>
        <v/>
      </c>
      <c r="O1484" s="5" t="str">
        <f>IFERROR(__xludf.DUMMYFUNCTION("""COMPUTED_VALUE"""),"")</f>
        <v/>
      </c>
      <c r="P1484" s="5" t="str">
        <f>IFERROR(__xludf.DUMMYFUNCTION("""COMPUTED_VALUE"""),"")</f>
        <v/>
      </c>
      <c r="Q1484" s="5" t="str">
        <f>IFERROR(__xludf.DUMMYFUNCTION("""COMPUTED_VALUE"""),"")</f>
        <v/>
      </c>
      <c r="R1484" s="5" t="str">
        <f>IFERROR(__xludf.DUMMYFUNCTION("""COMPUTED_VALUE"""),"")</f>
        <v/>
      </c>
      <c r="S1484" s="5" t="str">
        <f>IFERROR(__xludf.DUMMYFUNCTION("""COMPUTED_VALUE"""),"")</f>
        <v/>
      </c>
      <c r="T1484" s="5" t="str">
        <f>IFERROR(__xludf.DUMMYFUNCTION("""COMPUTED_VALUE"""),"")</f>
        <v/>
      </c>
      <c r="U1484" s="5" t="str">
        <f>IFERROR(__xludf.DUMMYFUNCTION("""COMPUTED_VALUE"""),"")</f>
        <v/>
      </c>
      <c r="V1484" s="5" t="str">
        <f>IFERROR(__xludf.DUMMYFUNCTION("""COMPUTED_VALUE"""),"")</f>
        <v/>
      </c>
      <c r="W1484" s="5" t="str">
        <f>IFERROR(__xludf.DUMMYFUNCTION("""COMPUTED_VALUE"""),"")</f>
        <v/>
      </c>
      <c r="X1484" s="5" t="str">
        <f>IFERROR(__xludf.DUMMYFUNCTION("""COMPUTED_VALUE"""),"")</f>
        <v/>
      </c>
      <c r="Y1484" s="5"/>
      <c r="Z1484" s="5"/>
    </row>
    <row r="1485">
      <c r="A1485" s="5"/>
      <c r="B1485" s="5" t="str">
        <f>IFERROR(__xludf.DUMMYFUNCTION("""COMPUTED_VALUE"""),"")</f>
        <v/>
      </c>
      <c r="C1485" s="5" t="str">
        <f>IFERROR(__xludf.DUMMYFUNCTION("""COMPUTED_VALUE"""),"")</f>
        <v/>
      </c>
      <c r="D1485" s="5" t="str">
        <f>IFERROR(__xludf.DUMMYFUNCTION("""COMPUTED_VALUE"""),"")</f>
        <v/>
      </c>
      <c r="E1485" s="5" t="str">
        <f>IFERROR(__xludf.DUMMYFUNCTION("""COMPUTED_VALUE"""),"")</f>
        <v/>
      </c>
      <c r="F1485" s="5" t="str">
        <f>IFERROR(__xludf.DUMMYFUNCTION("""COMPUTED_VALUE"""),"")</f>
        <v/>
      </c>
      <c r="G1485" s="5" t="str">
        <f>IFERROR(__xludf.DUMMYFUNCTION("""COMPUTED_VALUE"""),"")</f>
        <v/>
      </c>
      <c r="H1485" s="5" t="str">
        <f>IFERROR(__xludf.DUMMYFUNCTION("""COMPUTED_VALUE"""),"")</f>
        <v/>
      </c>
      <c r="I1485" s="5" t="str">
        <f>IFERROR(__xludf.DUMMYFUNCTION("""COMPUTED_VALUE"""),"")</f>
        <v/>
      </c>
      <c r="J1485" s="5" t="str">
        <f>IFERROR(__xludf.DUMMYFUNCTION("""COMPUTED_VALUE"""),"")</f>
        <v/>
      </c>
      <c r="K1485" s="5" t="str">
        <f>IFERROR(__xludf.DUMMYFUNCTION("""COMPUTED_VALUE"""),"")</f>
        <v/>
      </c>
      <c r="L1485" s="5" t="str">
        <f>IFERROR(__xludf.DUMMYFUNCTION("""COMPUTED_VALUE"""),"")</f>
        <v/>
      </c>
      <c r="M1485" s="5" t="str">
        <f>IFERROR(__xludf.DUMMYFUNCTION("""COMPUTED_VALUE"""),"")</f>
        <v/>
      </c>
      <c r="N1485" s="5" t="str">
        <f>IFERROR(__xludf.DUMMYFUNCTION("""COMPUTED_VALUE"""),"")</f>
        <v/>
      </c>
      <c r="O1485" s="5" t="str">
        <f>IFERROR(__xludf.DUMMYFUNCTION("""COMPUTED_VALUE"""),"")</f>
        <v/>
      </c>
      <c r="P1485" s="5" t="str">
        <f>IFERROR(__xludf.DUMMYFUNCTION("""COMPUTED_VALUE"""),"")</f>
        <v/>
      </c>
      <c r="Q1485" s="5" t="str">
        <f>IFERROR(__xludf.DUMMYFUNCTION("""COMPUTED_VALUE"""),"")</f>
        <v/>
      </c>
      <c r="R1485" s="5" t="str">
        <f>IFERROR(__xludf.DUMMYFUNCTION("""COMPUTED_VALUE"""),"")</f>
        <v/>
      </c>
      <c r="S1485" s="5" t="str">
        <f>IFERROR(__xludf.DUMMYFUNCTION("""COMPUTED_VALUE"""),"")</f>
        <v/>
      </c>
      <c r="T1485" s="5" t="str">
        <f>IFERROR(__xludf.DUMMYFUNCTION("""COMPUTED_VALUE"""),"")</f>
        <v/>
      </c>
      <c r="U1485" s="5" t="str">
        <f>IFERROR(__xludf.DUMMYFUNCTION("""COMPUTED_VALUE"""),"")</f>
        <v/>
      </c>
      <c r="V1485" s="5" t="str">
        <f>IFERROR(__xludf.DUMMYFUNCTION("""COMPUTED_VALUE"""),"")</f>
        <v/>
      </c>
      <c r="W1485" s="5" t="str">
        <f>IFERROR(__xludf.DUMMYFUNCTION("""COMPUTED_VALUE"""),"")</f>
        <v/>
      </c>
      <c r="X1485" s="5" t="str">
        <f>IFERROR(__xludf.DUMMYFUNCTION("""COMPUTED_VALUE"""),"")</f>
        <v/>
      </c>
      <c r="Y1485" s="5"/>
      <c r="Z1485" s="5"/>
    </row>
    <row r="1486">
      <c r="A1486" s="5"/>
      <c r="B1486" s="5" t="str">
        <f>IFERROR(__xludf.DUMMYFUNCTION("""COMPUTED_VALUE"""),"")</f>
        <v/>
      </c>
      <c r="C1486" s="5" t="str">
        <f>IFERROR(__xludf.DUMMYFUNCTION("""COMPUTED_VALUE"""),"")</f>
        <v/>
      </c>
      <c r="D1486" s="5" t="str">
        <f>IFERROR(__xludf.DUMMYFUNCTION("""COMPUTED_VALUE"""),"")</f>
        <v/>
      </c>
      <c r="E1486" s="5" t="str">
        <f>IFERROR(__xludf.DUMMYFUNCTION("""COMPUTED_VALUE"""),"")</f>
        <v/>
      </c>
      <c r="F1486" s="5" t="str">
        <f>IFERROR(__xludf.DUMMYFUNCTION("""COMPUTED_VALUE"""),"")</f>
        <v/>
      </c>
      <c r="G1486" s="5" t="str">
        <f>IFERROR(__xludf.DUMMYFUNCTION("""COMPUTED_VALUE"""),"")</f>
        <v/>
      </c>
      <c r="H1486" s="5" t="str">
        <f>IFERROR(__xludf.DUMMYFUNCTION("""COMPUTED_VALUE"""),"")</f>
        <v/>
      </c>
      <c r="I1486" s="5" t="str">
        <f>IFERROR(__xludf.DUMMYFUNCTION("""COMPUTED_VALUE"""),"")</f>
        <v/>
      </c>
      <c r="J1486" s="5" t="str">
        <f>IFERROR(__xludf.DUMMYFUNCTION("""COMPUTED_VALUE"""),"")</f>
        <v/>
      </c>
      <c r="K1486" s="5" t="str">
        <f>IFERROR(__xludf.DUMMYFUNCTION("""COMPUTED_VALUE"""),"")</f>
        <v/>
      </c>
      <c r="L1486" s="5" t="str">
        <f>IFERROR(__xludf.DUMMYFUNCTION("""COMPUTED_VALUE"""),"")</f>
        <v/>
      </c>
      <c r="M1486" s="5" t="str">
        <f>IFERROR(__xludf.DUMMYFUNCTION("""COMPUTED_VALUE"""),"")</f>
        <v/>
      </c>
      <c r="N1486" s="5" t="str">
        <f>IFERROR(__xludf.DUMMYFUNCTION("""COMPUTED_VALUE"""),"")</f>
        <v/>
      </c>
      <c r="O1486" s="5" t="str">
        <f>IFERROR(__xludf.DUMMYFUNCTION("""COMPUTED_VALUE"""),"")</f>
        <v/>
      </c>
      <c r="P1486" s="5" t="str">
        <f>IFERROR(__xludf.DUMMYFUNCTION("""COMPUTED_VALUE"""),"")</f>
        <v/>
      </c>
      <c r="Q1486" s="5" t="str">
        <f>IFERROR(__xludf.DUMMYFUNCTION("""COMPUTED_VALUE"""),"")</f>
        <v/>
      </c>
      <c r="R1486" s="5" t="str">
        <f>IFERROR(__xludf.DUMMYFUNCTION("""COMPUTED_VALUE"""),"")</f>
        <v/>
      </c>
      <c r="S1486" s="5" t="str">
        <f>IFERROR(__xludf.DUMMYFUNCTION("""COMPUTED_VALUE"""),"")</f>
        <v/>
      </c>
      <c r="T1486" s="5" t="str">
        <f>IFERROR(__xludf.DUMMYFUNCTION("""COMPUTED_VALUE"""),"")</f>
        <v/>
      </c>
      <c r="U1486" s="5" t="str">
        <f>IFERROR(__xludf.DUMMYFUNCTION("""COMPUTED_VALUE"""),"")</f>
        <v/>
      </c>
      <c r="V1486" s="5" t="str">
        <f>IFERROR(__xludf.DUMMYFUNCTION("""COMPUTED_VALUE"""),"")</f>
        <v/>
      </c>
      <c r="W1486" s="5" t="str">
        <f>IFERROR(__xludf.DUMMYFUNCTION("""COMPUTED_VALUE"""),"")</f>
        <v/>
      </c>
      <c r="X1486" s="5" t="str">
        <f>IFERROR(__xludf.DUMMYFUNCTION("""COMPUTED_VALUE"""),"")</f>
        <v/>
      </c>
      <c r="Y1486" s="5"/>
      <c r="Z1486" s="5"/>
    </row>
    <row r="1487">
      <c r="A1487" s="5"/>
      <c r="B1487" s="5" t="str">
        <f>IFERROR(__xludf.DUMMYFUNCTION("""COMPUTED_VALUE"""),"")</f>
        <v/>
      </c>
      <c r="C1487" s="5" t="str">
        <f>IFERROR(__xludf.DUMMYFUNCTION("""COMPUTED_VALUE"""),"")</f>
        <v/>
      </c>
      <c r="D1487" s="5" t="str">
        <f>IFERROR(__xludf.DUMMYFUNCTION("""COMPUTED_VALUE"""),"")</f>
        <v/>
      </c>
      <c r="E1487" s="5" t="str">
        <f>IFERROR(__xludf.DUMMYFUNCTION("""COMPUTED_VALUE"""),"")</f>
        <v/>
      </c>
      <c r="F1487" s="5" t="str">
        <f>IFERROR(__xludf.DUMMYFUNCTION("""COMPUTED_VALUE"""),"")</f>
        <v/>
      </c>
      <c r="G1487" s="5" t="str">
        <f>IFERROR(__xludf.DUMMYFUNCTION("""COMPUTED_VALUE"""),"")</f>
        <v/>
      </c>
      <c r="H1487" s="5" t="str">
        <f>IFERROR(__xludf.DUMMYFUNCTION("""COMPUTED_VALUE"""),"")</f>
        <v/>
      </c>
      <c r="I1487" s="5" t="str">
        <f>IFERROR(__xludf.DUMMYFUNCTION("""COMPUTED_VALUE"""),"")</f>
        <v/>
      </c>
      <c r="J1487" s="5" t="str">
        <f>IFERROR(__xludf.DUMMYFUNCTION("""COMPUTED_VALUE"""),"")</f>
        <v/>
      </c>
      <c r="K1487" s="5" t="str">
        <f>IFERROR(__xludf.DUMMYFUNCTION("""COMPUTED_VALUE"""),"")</f>
        <v/>
      </c>
      <c r="L1487" s="5" t="str">
        <f>IFERROR(__xludf.DUMMYFUNCTION("""COMPUTED_VALUE"""),"")</f>
        <v/>
      </c>
      <c r="M1487" s="5" t="str">
        <f>IFERROR(__xludf.DUMMYFUNCTION("""COMPUTED_VALUE"""),"")</f>
        <v/>
      </c>
      <c r="N1487" s="5" t="str">
        <f>IFERROR(__xludf.DUMMYFUNCTION("""COMPUTED_VALUE"""),"")</f>
        <v/>
      </c>
      <c r="O1487" s="5" t="str">
        <f>IFERROR(__xludf.DUMMYFUNCTION("""COMPUTED_VALUE"""),"")</f>
        <v/>
      </c>
      <c r="P1487" s="5" t="str">
        <f>IFERROR(__xludf.DUMMYFUNCTION("""COMPUTED_VALUE"""),"")</f>
        <v/>
      </c>
      <c r="Q1487" s="5" t="str">
        <f>IFERROR(__xludf.DUMMYFUNCTION("""COMPUTED_VALUE"""),"")</f>
        <v/>
      </c>
      <c r="R1487" s="5" t="str">
        <f>IFERROR(__xludf.DUMMYFUNCTION("""COMPUTED_VALUE"""),"")</f>
        <v/>
      </c>
      <c r="S1487" s="5" t="str">
        <f>IFERROR(__xludf.DUMMYFUNCTION("""COMPUTED_VALUE"""),"")</f>
        <v/>
      </c>
      <c r="T1487" s="5" t="str">
        <f>IFERROR(__xludf.DUMMYFUNCTION("""COMPUTED_VALUE"""),"")</f>
        <v/>
      </c>
      <c r="U1487" s="5" t="str">
        <f>IFERROR(__xludf.DUMMYFUNCTION("""COMPUTED_VALUE"""),"")</f>
        <v/>
      </c>
      <c r="V1487" s="5" t="str">
        <f>IFERROR(__xludf.DUMMYFUNCTION("""COMPUTED_VALUE"""),"")</f>
        <v/>
      </c>
      <c r="W1487" s="5" t="str">
        <f>IFERROR(__xludf.DUMMYFUNCTION("""COMPUTED_VALUE"""),"")</f>
        <v/>
      </c>
      <c r="X1487" s="5" t="str">
        <f>IFERROR(__xludf.DUMMYFUNCTION("""COMPUTED_VALUE"""),"")</f>
        <v/>
      </c>
      <c r="Y1487" s="5"/>
      <c r="Z1487" s="5"/>
    </row>
    <row r="1488">
      <c r="A1488" s="5"/>
      <c r="B1488" s="5" t="str">
        <f>IFERROR(__xludf.DUMMYFUNCTION("""COMPUTED_VALUE"""),"")</f>
        <v/>
      </c>
      <c r="C1488" s="5" t="str">
        <f>IFERROR(__xludf.DUMMYFUNCTION("""COMPUTED_VALUE"""),"")</f>
        <v/>
      </c>
      <c r="D1488" s="5" t="str">
        <f>IFERROR(__xludf.DUMMYFUNCTION("""COMPUTED_VALUE"""),"")</f>
        <v/>
      </c>
      <c r="E1488" s="5" t="str">
        <f>IFERROR(__xludf.DUMMYFUNCTION("""COMPUTED_VALUE"""),"")</f>
        <v/>
      </c>
      <c r="F1488" s="5" t="str">
        <f>IFERROR(__xludf.DUMMYFUNCTION("""COMPUTED_VALUE"""),"")</f>
        <v/>
      </c>
      <c r="G1488" s="5" t="str">
        <f>IFERROR(__xludf.DUMMYFUNCTION("""COMPUTED_VALUE"""),"")</f>
        <v/>
      </c>
      <c r="H1488" s="5" t="str">
        <f>IFERROR(__xludf.DUMMYFUNCTION("""COMPUTED_VALUE"""),"")</f>
        <v/>
      </c>
      <c r="I1488" s="5" t="str">
        <f>IFERROR(__xludf.DUMMYFUNCTION("""COMPUTED_VALUE"""),"")</f>
        <v/>
      </c>
      <c r="J1488" s="5" t="str">
        <f>IFERROR(__xludf.DUMMYFUNCTION("""COMPUTED_VALUE"""),"")</f>
        <v/>
      </c>
      <c r="K1488" s="5" t="str">
        <f>IFERROR(__xludf.DUMMYFUNCTION("""COMPUTED_VALUE"""),"")</f>
        <v/>
      </c>
      <c r="L1488" s="5" t="str">
        <f>IFERROR(__xludf.DUMMYFUNCTION("""COMPUTED_VALUE"""),"")</f>
        <v/>
      </c>
      <c r="M1488" s="5" t="str">
        <f>IFERROR(__xludf.DUMMYFUNCTION("""COMPUTED_VALUE"""),"")</f>
        <v/>
      </c>
      <c r="N1488" s="5" t="str">
        <f>IFERROR(__xludf.DUMMYFUNCTION("""COMPUTED_VALUE"""),"")</f>
        <v/>
      </c>
      <c r="O1488" s="5" t="str">
        <f>IFERROR(__xludf.DUMMYFUNCTION("""COMPUTED_VALUE"""),"")</f>
        <v/>
      </c>
      <c r="P1488" s="5" t="str">
        <f>IFERROR(__xludf.DUMMYFUNCTION("""COMPUTED_VALUE"""),"")</f>
        <v/>
      </c>
      <c r="Q1488" s="5" t="str">
        <f>IFERROR(__xludf.DUMMYFUNCTION("""COMPUTED_VALUE"""),"")</f>
        <v/>
      </c>
      <c r="R1488" s="5" t="str">
        <f>IFERROR(__xludf.DUMMYFUNCTION("""COMPUTED_VALUE"""),"")</f>
        <v/>
      </c>
      <c r="S1488" s="5" t="str">
        <f>IFERROR(__xludf.DUMMYFUNCTION("""COMPUTED_VALUE"""),"")</f>
        <v/>
      </c>
      <c r="T1488" s="5" t="str">
        <f>IFERROR(__xludf.DUMMYFUNCTION("""COMPUTED_VALUE"""),"")</f>
        <v/>
      </c>
      <c r="U1488" s="5" t="str">
        <f>IFERROR(__xludf.DUMMYFUNCTION("""COMPUTED_VALUE"""),"")</f>
        <v/>
      </c>
      <c r="V1488" s="5" t="str">
        <f>IFERROR(__xludf.DUMMYFUNCTION("""COMPUTED_VALUE"""),"")</f>
        <v/>
      </c>
      <c r="W1488" s="5" t="str">
        <f>IFERROR(__xludf.DUMMYFUNCTION("""COMPUTED_VALUE"""),"")</f>
        <v/>
      </c>
      <c r="X1488" s="5" t="str">
        <f>IFERROR(__xludf.DUMMYFUNCTION("""COMPUTED_VALUE"""),"")</f>
        <v/>
      </c>
      <c r="Y1488" s="5"/>
      <c r="Z1488" s="5"/>
    </row>
    <row r="1489">
      <c r="A1489" s="5"/>
      <c r="B1489" s="5" t="str">
        <f>IFERROR(__xludf.DUMMYFUNCTION("""COMPUTED_VALUE"""),"")</f>
        <v/>
      </c>
      <c r="C1489" s="5" t="str">
        <f>IFERROR(__xludf.DUMMYFUNCTION("""COMPUTED_VALUE"""),"")</f>
        <v/>
      </c>
      <c r="D1489" s="5" t="str">
        <f>IFERROR(__xludf.DUMMYFUNCTION("""COMPUTED_VALUE"""),"")</f>
        <v/>
      </c>
      <c r="E1489" s="5" t="str">
        <f>IFERROR(__xludf.DUMMYFUNCTION("""COMPUTED_VALUE"""),"")</f>
        <v/>
      </c>
      <c r="F1489" s="5" t="str">
        <f>IFERROR(__xludf.DUMMYFUNCTION("""COMPUTED_VALUE"""),"")</f>
        <v/>
      </c>
      <c r="G1489" s="5" t="str">
        <f>IFERROR(__xludf.DUMMYFUNCTION("""COMPUTED_VALUE"""),"")</f>
        <v/>
      </c>
      <c r="H1489" s="5" t="str">
        <f>IFERROR(__xludf.DUMMYFUNCTION("""COMPUTED_VALUE"""),"")</f>
        <v/>
      </c>
      <c r="I1489" s="5" t="str">
        <f>IFERROR(__xludf.DUMMYFUNCTION("""COMPUTED_VALUE"""),"")</f>
        <v/>
      </c>
      <c r="J1489" s="5" t="str">
        <f>IFERROR(__xludf.DUMMYFUNCTION("""COMPUTED_VALUE"""),"")</f>
        <v/>
      </c>
      <c r="K1489" s="5" t="str">
        <f>IFERROR(__xludf.DUMMYFUNCTION("""COMPUTED_VALUE"""),"")</f>
        <v/>
      </c>
      <c r="L1489" s="5" t="str">
        <f>IFERROR(__xludf.DUMMYFUNCTION("""COMPUTED_VALUE"""),"")</f>
        <v/>
      </c>
      <c r="M1489" s="5" t="str">
        <f>IFERROR(__xludf.DUMMYFUNCTION("""COMPUTED_VALUE"""),"")</f>
        <v/>
      </c>
      <c r="N1489" s="5" t="str">
        <f>IFERROR(__xludf.DUMMYFUNCTION("""COMPUTED_VALUE"""),"")</f>
        <v/>
      </c>
      <c r="O1489" s="5" t="str">
        <f>IFERROR(__xludf.DUMMYFUNCTION("""COMPUTED_VALUE"""),"")</f>
        <v/>
      </c>
      <c r="P1489" s="5" t="str">
        <f>IFERROR(__xludf.DUMMYFUNCTION("""COMPUTED_VALUE"""),"")</f>
        <v/>
      </c>
      <c r="Q1489" s="5" t="str">
        <f>IFERROR(__xludf.DUMMYFUNCTION("""COMPUTED_VALUE"""),"")</f>
        <v/>
      </c>
      <c r="R1489" s="5" t="str">
        <f>IFERROR(__xludf.DUMMYFUNCTION("""COMPUTED_VALUE"""),"")</f>
        <v/>
      </c>
      <c r="S1489" s="5" t="str">
        <f>IFERROR(__xludf.DUMMYFUNCTION("""COMPUTED_VALUE"""),"")</f>
        <v/>
      </c>
      <c r="T1489" s="5" t="str">
        <f>IFERROR(__xludf.DUMMYFUNCTION("""COMPUTED_VALUE"""),"")</f>
        <v/>
      </c>
      <c r="U1489" s="5" t="str">
        <f>IFERROR(__xludf.DUMMYFUNCTION("""COMPUTED_VALUE"""),"")</f>
        <v/>
      </c>
      <c r="V1489" s="5" t="str">
        <f>IFERROR(__xludf.DUMMYFUNCTION("""COMPUTED_VALUE"""),"")</f>
        <v/>
      </c>
      <c r="W1489" s="5" t="str">
        <f>IFERROR(__xludf.DUMMYFUNCTION("""COMPUTED_VALUE"""),"")</f>
        <v/>
      </c>
      <c r="X1489" s="5" t="str">
        <f>IFERROR(__xludf.DUMMYFUNCTION("""COMPUTED_VALUE"""),"")</f>
        <v/>
      </c>
      <c r="Y1489" s="5"/>
      <c r="Z1489" s="5"/>
    </row>
    <row r="1490">
      <c r="A1490" s="5"/>
      <c r="B1490" s="5" t="str">
        <f>IFERROR(__xludf.DUMMYFUNCTION("""COMPUTED_VALUE"""),"")</f>
        <v/>
      </c>
      <c r="C1490" s="5" t="str">
        <f>IFERROR(__xludf.DUMMYFUNCTION("""COMPUTED_VALUE"""),"")</f>
        <v/>
      </c>
      <c r="D1490" s="5" t="str">
        <f>IFERROR(__xludf.DUMMYFUNCTION("""COMPUTED_VALUE"""),"")</f>
        <v/>
      </c>
      <c r="E1490" s="5" t="str">
        <f>IFERROR(__xludf.DUMMYFUNCTION("""COMPUTED_VALUE"""),"")</f>
        <v/>
      </c>
      <c r="F1490" s="5" t="str">
        <f>IFERROR(__xludf.DUMMYFUNCTION("""COMPUTED_VALUE"""),"")</f>
        <v/>
      </c>
      <c r="G1490" s="5" t="str">
        <f>IFERROR(__xludf.DUMMYFUNCTION("""COMPUTED_VALUE"""),"")</f>
        <v/>
      </c>
      <c r="H1490" s="5" t="str">
        <f>IFERROR(__xludf.DUMMYFUNCTION("""COMPUTED_VALUE"""),"")</f>
        <v/>
      </c>
      <c r="I1490" s="5" t="str">
        <f>IFERROR(__xludf.DUMMYFUNCTION("""COMPUTED_VALUE"""),"")</f>
        <v/>
      </c>
      <c r="J1490" s="5" t="str">
        <f>IFERROR(__xludf.DUMMYFUNCTION("""COMPUTED_VALUE"""),"")</f>
        <v/>
      </c>
      <c r="K1490" s="5" t="str">
        <f>IFERROR(__xludf.DUMMYFUNCTION("""COMPUTED_VALUE"""),"")</f>
        <v/>
      </c>
      <c r="L1490" s="5" t="str">
        <f>IFERROR(__xludf.DUMMYFUNCTION("""COMPUTED_VALUE"""),"")</f>
        <v/>
      </c>
      <c r="M1490" s="5" t="str">
        <f>IFERROR(__xludf.DUMMYFUNCTION("""COMPUTED_VALUE"""),"")</f>
        <v/>
      </c>
      <c r="N1490" s="5" t="str">
        <f>IFERROR(__xludf.DUMMYFUNCTION("""COMPUTED_VALUE"""),"")</f>
        <v/>
      </c>
      <c r="O1490" s="5" t="str">
        <f>IFERROR(__xludf.DUMMYFUNCTION("""COMPUTED_VALUE"""),"")</f>
        <v/>
      </c>
      <c r="P1490" s="5" t="str">
        <f>IFERROR(__xludf.DUMMYFUNCTION("""COMPUTED_VALUE"""),"")</f>
        <v/>
      </c>
      <c r="Q1490" s="5" t="str">
        <f>IFERROR(__xludf.DUMMYFUNCTION("""COMPUTED_VALUE"""),"")</f>
        <v/>
      </c>
      <c r="R1490" s="5" t="str">
        <f>IFERROR(__xludf.DUMMYFUNCTION("""COMPUTED_VALUE"""),"")</f>
        <v/>
      </c>
      <c r="S1490" s="5" t="str">
        <f>IFERROR(__xludf.DUMMYFUNCTION("""COMPUTED_VALUE"""),"")</f>
        <v/>
      </c>
      <c r="T1490" s="5" t="str">
        <f>IFERROR(__xludf.DUMMYFUNCTION("""COMPUTED_VALUE"""),"")</f>
        <v/>
      </c>
      <c r="U1490" s="5" t="str">
        <f>IFERROR(__xludf.DUMMYFUNCTION("""COMPUTED_VALUE"""),"")</f>
        <v/>
      </c>
      <c r="V1490" s="5" t="str">
        <f>IFERROR(__xludf.DUMMYFUNCTION("""COMPUTED_VALUE"""),"")</f>
        <v/>
      </c>
      <c r="W1490" s="5" t="str">
        <f>IFERROR(__xludf.DUMMYFUNCTION("""COMPUTED_VALUE"""),"")</f>
        <v/>
      </c>
      <c r="X1490" s="5" t="str">
        <f>IFERROR(__xludf.DUMMYFUNCTION("""COMPUTED_VALUE"""),"")</f>
        <v/>
      </c>
      <c r="Y1490" s="5"/>
      <c r="Z1490" s="5"/>
    </row>
    <row r="1491">
      <c r="A1491" s="5"/>
      <c r="B1491" s="5" t="str">
        <f>IFERROR(__xludf.DUMMYFUNCTION("""COMPUTED_VALUE"""),"")</f>
        <v/>
      </c>
      <c r="C1491" s="5" t="str">
        <f>IFERROR(__xludf.DUMMYFUNCTION("""COMPUTED_VALUE"""),"")</f>
        <v/>
      </c>
      <c r="D1491" s="5" t="str">
        <f>IFERROR(__xludf.DUMMYFUNCTION("""COMPUTED_VALUE"""),"")</f>
        <v/>
      </c>
      <c r="E1491" s="5" t="str">
        <f>IFERROR(__xludf.DUMMYFUNCTION("""COMPUTED_VALUE"""),"")</f>
        <v/>
      </c>
      <c r="F1491" s="5" t="str">
        <f>IFERROR(__xludf.DUMMYFUNCTION("""COMPUTED_VALUE"""),"")</f>
        <v/>
      </c>
      <c r="G1491" s="5" t="str">
        <f>IFERROR(__xludf.DUMMYFUNCTION("""COMPUTED_VALUE"""),"")</f>
        <v/>
      </c>
      <c r="H1491" s="5" t="str">
        <f>IFERROR(__xludf.DUMMYFUNCTION("""COMPUTED_VALUE"""),"")</f>
        <v/>
      </c>
      <c r="I1491" s="5" t="str">
        <f>IFERROR(__xludf.DUMMYFUNCTION("""COMPUTED_VALUE"""),"")</f>
        <v/>
      </c>
      <c r="J1491" s="5" t="str">
        <f>IFERROR(__xludf.DUMMYFUNCTION("""COMPUTED_VALUE"""),"")</f>
        <v/>
      </c>
      <c r="K1491" s="5" t="str">
        <f>IFERROR(__xludf.DUMMYFUNCTION("""COMPUTED_VALUE"""),"")</f>
        <v/>
      </c>
      <c r="L1491" s="5" t="str">
        <f>IFERROR(__xludf.DUMMYFUNCTION("""COMPUTED_VALUE"""),"")</f>
        <v/>
      </c>
      <c r="M1491" s="5" t="str">
        <f>IFERROR(__xludf.DUMMYFUNCTION("""COMPUTED_VALUE"""),"")</f>
        <v/>
      </c>
      <c r="N1491" s="5" t="str">
        <f>IFERROR(__xludf.DUMMYFUNCTION("""COMPUTED_VALUE"""),"")</f>
        <v/>
      </c>
      <c r="O1491" s="5" t="str">
        <f>IFERROR(__xludf.DUMMYFUNCTION("""COMPUTED_VALUE"""),"")</f>
        <v/>
      </c>
      <c r="P1491" s="5" t="str">
        <f>IFERROR(__xludf.DUMMYFUNCTION("""COMPUTED_VALUE"""),"")</f>
        <v/>
      </c>
      <c r="Q1491" s="5" t="str">
        <f>IFERROR(__xludf.DUMMYFUNCTION("""COMPUTED_VALUE"""),"")</f>
        <v/>
      </c>
      <c r="R1491" s="5" t="str">
        <f>IFERROR(__xludf.DUMMYFUNCTION("""COMPUTED_VALUE"""),"")</f>
        <v/>
      </c>
      <c r="S1491" s="5" t="str">
        <f>IFERROR(__xludf.DUMMYFUNCTION("""COMPUTED_VALUE"""),"")</f>
        <v/>
      </c>
      <c r="T1491" s="5" t="str">
        <f>IFERROR(__xludf.DUMMYFUNCTION("""COMPUTED_VALUE"""),"")</f>
        <v/>
      </c>
      <c r="U1491" s="5" t="str">
        <f>IFERROR(__xludf.DUMMYFUNCTION("""COMPUTED_VALUE"""),"")</f>
        <v/>
      </c>
      <c r="V1491" s="5" t="str">
        <f>IFERROR(__xludf.DUMMYFUNCTION("""COMPUTED_VALUE"""),"")</f>
        <v/>
      </c>
      <c r="W1491" s="5" t="str">
        <f>IFERROR(__xludf.DUMMYFUNCTION("""COMPUTED_VALUE"""),"")</f>
        <v/>
      </c>
      <c r="X1491" s="5" t="str">
        <f>IFERROR(__xludf.DUMMYFUNCTION("""COMPUTED_VALUE"""),"")</f>
        <v/>
      </c>
      <c r="Y1491" s="5"/>
      <c r="Z1491" s="5"/>
    </row>
    <row r="1492">
      <c r="A1492" s="5"/>
      <c r="B1492" s="5" t="str">
        <f>IFERROR(__xludf.DUMMYFUNCTION("""COMPUTED_VALUE"""),"")</f>
        <v/>
      </c>
      <c r="C1492" s="5" t="str">
        <f>IFERROR(__xludf.DUMMYFUNCTION("""COMPUTED_VALUE"""),"")</f>
        <v/>
      </c>
      <c r="D1492" s="5" t="str">
        <f>IFERROR(__xludf.DUMMYFUNCTION("""COMPUTED_VALUE"""),"")</f>
        <v/>
      </c>
      <c r="E1492" s="5" t="str">
        <f>IFERROR(__xludf.DUMMYFUNCTION("""COMPUTED_VALUE"""),"")</f>
        <v/>
      </c>
      <c r="F1492" s="5" t="str">
        <f>IFERROR(__xludf.DUMMYFUNCTION("""COMPUTED_VALUE"""),"")</f>
        <v/>
      </c>
      <c r="G1492" s="5" t="str">
        <f>IFERROR(__xludf.DUMMYFUNCTION("""COMPUTED_VALUE"""),"")</f>
        <v/>
      </c>
      <c r="H1492" s="5" t="str">
        <f>IFERROR(__xludf.DUMMYFUNCTION("""COMPUTED_VALUE"""),"")</f>
        <v/>
      </c>
      <c r="I1492" s="5" t="str">
        <f>IFERROR(__xludf.DUMMYFUNCTION("""COMPUTED_VALUE"""),"")</f>
        <v/>
      </c>
      <c r="J1492" s="5" t="str">
        <f>IFERROR(__xludf.DUMMYFUNCTION("""COMPUTED_VALUE"""),"")</f>
        <v/>
      </c>
      <c r="K1492" s="5" t="str">
        <f>IFERROR(__xludf.DUMMYFUNCTION("""COMPUTED_VALUE"""),"")</f>
        <v/>
      </c>
      <c r="L1492" s="5" t="str">
        <f>IFERROR(__xludf.DUMMYFUNCTION("""COMPUTED_VALUE"""),"")</f>
        <v/>
      </c>
      <c r="M1492" s="5" t="str">
        <f>IFERROR(__xludf.DUMMYFUNCTION("""COMPUTED_VALUE"""),"")</f>
        <v/>
      </c>
      <c r="N1492" s="5" t="str">
        <f>IFERROR(__xludf.DUMMYFUNCTION("""COMPUTED_VALUE"""),"")</f>
        <v/>
      </c>
      <c r="O1492" s="5" t="str">
        <f>IFERROR(__xludf.DUMMYFUNCTION("""COMPUTED_VALUE"""),"")</f>
        <v/>
      </c>
      <c r="P1492" s="5" t="str">
        <f>IFERROR(__xludf.DUMMYFUNCTION("""COMPUTED_VALUE"""),"")</f>
        <v/>
      </c>
      <c r="Q1492" s="5" t="str">
        <f>IFERROR(__xludf.DUMMYFUNCTION("""COMPUTED_VALUE"""),"")</f>
        <v/>
      </c>
      <c r="R1492" s="5" t="str">
        <f>IFERROR(__xludf.DUMMYFUNCTION("""COMPUTED_VALUE"""),"")</f>
        <v/>
      </c>
      <c r="S1492" s="5" t="str">
        <f>IFERROR(__xludf.DUMMYFUNCTION("""COMPUTED_VALUE"""),"")</f>
        <v/>
      </c>
      <c r="T1492" s="5" t="str">
        <f>IFERROR(__xludf.DUMMYFUNCTION("""COMPUTED_VALUE"""),"")</f>
        <v/>
      </c>
      <c r="U1492" s="5" t="str">
        <f>IFERROR(__xludf.DUMMYFUNCTION("""COMPUTED_VALUE"""),"")</f>
        <v/>
      </c>
      <c r="V1492" s="5" t="str">
        <f>IFERROR(__xludf.DUMMYFUNCTION("""COMPUTED_VALUE"""),"")</f>
        <v/>
      </c>
      <c r="W1492" s="5" t="str">
        <f>IFERROR(__xludf.DUMMYFUNCTION("""COMPUTED_VALUE"""),"")</f>
        <v/>
      </c>
      <c r="X1492" s="5" t="str">
        <f>IFERROR(__xludf.DUMMYFUNCTION("""COMPUTED_VALUE"""),"")</f>
        <v/>
      </c>
      <c r="Y1492" s="5"/>
      <c r="Z1492" s="5"/>
    </row>
    <row r="1493">
      <c r="A1493" s="5"/>
      <c r="B1493" s="5" t="str">
        <f>IFERROR(__xludf.DUMMYFUNCTION("""COMPUTED_VALUE"""),"")</f>
        <v/>
      </c>
      <c r="C1493" s="5" t="str">
        <f>IFERROR(__xludf.DUMMYFUNCTION("""COMPUTED_VALUE"""),"")</f>
        <v/>
      </c>
      <c r="D1493" s="5" t="str">
        <f>IFERROR(__xludf.DUMMYFUNCTION("""COMPUTED_VALUE"""),"")</f>
        <v/>
      </c>
      <c r="E1493" s="5" t="str">
        <f>IFERROR(__xludf.DUMMYFUNCTION("""COMPUTED_VALUE"""),"")</f>
        <v/>
      </c>
      <c r="F1493" s="5" t="str">
        <f>IFERROR(__xludf.DUMMYFUNCTION("""COMPUTED_VALUE"""),"")</f>
        <v/>
      </c>
      <c r="G1493" s="5" t="str">
        <f>IFERROR(__xludf.DUMMYFUNCTION("""COMPUTED_VALUE"""),"")</f>
        <v/>
      </c>
      <c r="H1493" s="5" t="str">
        <f>IFERROR(__xludf.DUMMYFUNCTION("""COMPUTED_VALUE"""),"")</f>
        <v/>
      </c>
      <c r="I1493" s="5" t="str">
        <f>IFERROR(__xludf.DUMMYFUNCTION("""COMPUTED_VALUE"""),"")</f>
        <v/>
      </c>
      <c r="J1493" s="5" t="str">
        <f>IFERROR(__xludf.DUMMYFUNCTION("""COMPUTED_VALUE"""),"")</f>
        <v/>
      </c>
      <c r="K1493" s="5" t="str">
        <f>IFERROR(__xludf.DUMMYFUNCTION("""COMPUTED_VALUE"""),"")</f>
        <v/>
      </c>
      <c r="L1493" s="5" t="str">
        <f>IFERROR(__xludf.DUMMYFUNCTION("""COMPUTED_VALUE"""),"")</f>
        <v/>
      </c>
      <c r="M1493" s="5" t="str">
        <f>IFERROR(__xludf.DUMMYFUNCTION("""COMPUTED_VALUE"""),"")</f>
        <v/>
      </c>
      <c r="N1493" s="5" t="str">
        <f>IFERROR(__xludf.DUMMYFUNCTION("""COMPUTED_VALUE"""),"")</f>
        <v/>
      </c>
      <c r="O1493" s="5" t="str">
        <f>IFERROR(__xludf.DUMMYFUNCTION("""COMPUTED_VALUE"""),"")</f>
        <v/>
      </c>
      <c r="P1493" s="5" t="str">
        <f>IFERROR(__xludf.DUMMYFUNCTION("""COMPUTED_VALUE"""),"")</f>
        <v/>
      </c>
      <c r="Q1493" s="5" t="str">
        <f>IFERROR(__xludf.DUMMYFUNCTION("""COMPUTED_VALUE"""),"")</f>
        <v/>
      </c>
      <c r="R1493" s="5" t="str">
        <f>IFERROR(__xludf.DUMMYFUNCTION("""COMPUTED_VALUE"""),"")</f>
        <v/>
      </c>
      <c r="S1493" s="5" t="str">
        <f>IFERROR(__xludf.DUMMYFUNCTION("""COMPUTED_VALUE"""),"")</f>
        <v/>
      </c>
      <c r="T1493" s="5" t="str">
        <f>IFERROR(__xludf.DUMMYFUNCTION("""COMPUTED_VALUE"""),"")</f>
        <v/>
      </c>
      <c r="U1493" s="5" t="str">
        <f>IFERROR(__xludf.DUMMYFUNCTION("""COMPUTED_VALUE"""),"")</f>
        <v/>
      </c>
      <c r="V1493" s="5" t="str">
        <f>IFERROR(__xludf.DUMMYFUNCTION("""COMPUTED_VALUE"""),"")</f>
        <v/>
      </c>
      <c r="W1493" s="5" t="str">
        <f>IFERROR(__xludf.DUMMYFUNCTION("""COMPUTED_VALUE"""),"")</f>
        <v/>
      </c>
      <c r="X1493" s="5" t="str">
        <f>IFERROR(__xludf.DUMMYFUNCTION("""COMPUTED_VALUE"""),"")</f>
        <v/>
      </c>
      <c r="Y1493" s="5"/>
      <c r="Z1493" s="5"/>
    </row>
    <row r="1494">
      <c r="A1494" s="5"/>
      <c r="B1494" s="5" t="str">
        <f>IFERROR(__xludf.DUMMYFUNCTION("""COMPUTED_VALUE"""),"")</f>
        <v/>
      </c>
      <c r="C1494" s="5" t="str">
        <f>IFERROR(__xludf.DUMMYFUNCTION("""COMPUTED_VALUE"""),"")</f>
        <v/>
      </c>
      <c r="D1494" s="5" t="str">
        <f>IFERROR(__xludf.DUMMYFUNCTION("""COMPUTED_VALUE"""),"")</f>
        <v/>
      </c>
      <c r="E1494" s="5" t="str">
        <f>IFERROR(__xludf.DUMMYFUNCTION("""COMPUTED_VALUE"""),"")</f>
        <v/>
      </c>
      <c r="F1494" s="5" t="str">
        <f>IFERROR(__xludf.DUMMYFUNCTION("""COMPUTED_VALUE"""),"")</f>
        <v/>
      </c>
      <c r="G1494" s="5" t="str">
        <f>IFERROR(__xludf.DUMMYFUNCTION("""COMPUTED_VALUE"""),"")</f>
        <v/>
      </c>
      <c r="H1494" s="5" t="str">
        <f>IFERROR(__xludf.DUMMYFUNCTION("""COMPUTED_VALUE"""),"")</f>
        <v/>
      </c>
      <c r="I1494" s="5" t="str">
        <f>IFERROR(__xludf.DUMMYFUNCTION("""COMPUTED_VALUE"""),"")</f>
        <v/>
      </c>
      <c r="J1494" s="5" t="str">
        <f>IFERROR(__xludf.DUMMYFUNCTION("""COMPUTED_VALUE"""),"")</f>
        <v/>
      </c>
      <c r="K1494" s="5" t="str">
        <f>IFERROR(__xludf.DUMMYFUNCTION("""COMPUTED_VALUE"""),"")</f>
        <v/>
      </c>
      <c r="L1494" s="5" t="str">
        <f>IFERROR(__xludf.DUMMYFUNCTION("""COMPUTED_VALUE"""),"")</f>
        <v/>
      </c>
      <c r="M1494" s="5" t="str">
        <f>IFERROR(__xludf.DUMMYFUNCTION("""COMPUTED_VALUE"""),"")</f>
        <v/>
      </c>
      <c r="N1494" s="5" t="str">
        <f>IFERROR(__xludf.DUMMYFUNCTION("""COMPUTED_VALUE"""),"")</f>
        <v/>
      </c>
      <c r="O1494" s="5" t="str">
        <f>IFERROR(__xludf.DUMMYFUNCTION("""COMPUTED_VALUE"""),"")</f>
        <v/>
      </c>
      <c r="P1494" s="5" t="str">
        <f>IFERROR(__xludf.DUMMYFUNCTION("""COMPUTED_VALUE"""),"")</f>
        <v/>
      </c>
      <c r="Q1494" s="5" t="str">
        <f>IFERROR(__xludf.DUMMYFUNCTION("""COMPUTED_VALUE"""),"")</f>
        <v/>
      </c>
      <c r="R1494" s="5" t="str">
        <f>IFERROR(__xludf.DUMMYFUNCTION("""COMPUTED_VALUE"""),"")</f>
        <v/>
      </c>
      <c r="S1494" s="5" t="str">
        <f>IFERROR(__xludf.DUMMYFUNCTION("""COMPUTED_VALUE"""),"")</f>
        <v/>
      </c>
      <c r="T1494" s="5" t="str">
        <f>IFERROR(__xludf.DUMMYFUNCTION("""COMPUTED_VALUE"""),"")</f>
        <v/>
      </c>
      <c r="U1494" s="5" t="str">
        <f>IFERROR(__xludf.DUMMYFUNCTION("""COMPUTED_VALUE"""),"")</f>
        <v/>
      </c>
      <c r="V1494" s="5" t="str">
        <f>IFERROR(__xludf.DUMMYFUNCTION("""COMPUTED_VALUE"""),"")</f>
        <v/>
      </c>
      <c r="W1494" s="5" t="str">
        <f>IFERROR(__xludf.DUMMYFUNCTION("""COMPUTED_VALUE"""),"")</f>
        <v/>
      </c>
      <c r="X1494" s="5" t="str">
        <f>IFERROR(__xludf.DUMMYFUNCTION("""COMPUTED_VALUE"""),"")</f>
        <v/>
      </c>
      <c r="Y1494" s="5"/>
      <c r="Z1494" s="5"/>
    </row>
    <row r="1495">
      <c r="A1495" s="5"/>
      <c r="B1495" s="5" t="str">
        <f>IFERROR(__xludf.DUMMYFUNCTION("""COMPUTED_VALUE"""),"")</f>
        <v/>
      </c>
      <c r="C1495" s="5" t="str">
        <f>IFERROR(__xludf.DUMMYFUNCTION("""COMPUTED_VALUE"""),"")</f>
        <v/>
      </c>
      <c r="D1495" s="5" t="str">
        <f>IFERROR(__xludf.DUMMYFUNCTION("""COMPUTED_VALUE"""),"")</f>
        <v/>
      </c>
      <c r="E1495" s="5" t="str">
        <f>IFERROR(__xludf.DUMMYFUNCTION("""COMPUTED_VALUE"""),"")</f>
        <v/>
      </c>
      <c r="F1495" s="5" t="str">
        <f>IFERROR(__xludf.DUMMYFUNCTION("""COMPUTED_VALUE"""),"")</f>
        <v/>
      </c>
      <c r="G1495" s="5" t="str">
        <f>IFERROR(__xludf.DUMMYFUNCTION("""COMPUTED_VALUE"""),"")</f>
        <v/>
      </c>
      <c r="H1495" s="5" t="str">
        <f>IFERROR(__xludf.DUMMYFUNCTION("""COMPUTED_VALUE"""),"")</f>
        <v/>
      </c>
      <c r="I1495" s="5" t="str">
        <f>IFERROR(__xludf.DUMMYFUNCTION("""COMPUTED_VALUE"""),"")</f>
        <v/>
      </c>
      <c r="J1495" s="5" t="str">
        <f>IFERROR(__xludf.DUMMYFUNCTION("""COMPUTED_VALUE"""),"")</f>
        <v/>
      </c>
      <c r="K1495" s="5" t="str">
        <f>IFERROR(__xludf.DUMMYFUNCTION("""COMPUTED_VALUE"""),"")</f>
        <v/>
      </c>
      <c r="L1495" s="5" t="str">
        <f>IFERROR(__xludf.DUMMYFUNCTION("""COMPUTED_VALUE"""),"")</f>
        <v/>
      </c>
      <c r="M1495" s="5" t="str">
        <f>IFERROR(__xludf.DUMMYFUNCTION("""COMPUTED_VALUE"""),"")</f>
        <v/>
      </c>
      <c r="N1495" s="5" t="str">
        <f>IFERROR(__xludf.DUMMYFUNCTION("""COMPUTED_VALUE"""),"")</f>
        <v/>
      </c>
      <c r="O1495" s="5" t="str">
        <f>IFERROR(__xludf.DUMMYFUNCTION("""COMPUTED_VALUE"""),"")</f>
        <v/>
      </c>
      <c r="P1495" s="5" t="str">
        <f>IFERROR(__xludf.DUMMYFUNCTION("""COMPUTED_VALUE"""),"")</f>
        <v/>
      </c>
      <c r="Q1495" s="5" t="str">
        <f>IFERROR(__xludf.DUMMYFUNCTION("""COMPUTED_VALUE"""),"")</f>
        <v/>
      </c>
      <c r="R1495" s="5" t="str">
        <f>IFERROR(__xludf.DUMMYFUNCTION("""COMPUTED_VALUE"""),"")</f>
        <v/>
      </c>
      <c r="S1495" s="5" t="str">
        <f>IFERROR(__xludf.DUMMYFUNCTION("""COMPUTED_VALUE"""),"")</f>
        <v/>
      </c>
      <c r="T1495" s="5" t="str">
        <f>IFERROR(__xludf.DUMMYFUNCTION("""COMPUTED_VALUE"""),"")</f>
        <v/>
      </c>
      <c r="U1495" s="5" t="str">
        <f>IFERROR(__xludf.DUMMYFUNCTION("""COMPUTED_VALUE"""),"")</f>
        <v/>
      </c>
      <c r="V1495" s="5" t="str">
        <f>IFERROR(__xludf.DUMMYFUNCTION("""COMPUTED_VALUE"""),"")</f>
        <v/>
      </c>
      <c r="W1495" s="5" t="str">
        <f>IFERROR(__xludf.DUMMYFUNCTION("""COMPUTED_VALUE"""),"")</f>
        <v/>
      </c>
      <c r="X1495" s="5" t="str">
        <f>IFERROR(__xludf.DUMMYFUNCTION("""COMPUTED_VALUE"""),"")</f>
        <v/>
      </c>
      <c r="Y1495" s="5"/>
      <c r="Z1495" s="5"/>
    </row>
    <row r="1496">
      <c r="A1496" s="5"/>
      <c r="B1496" s="5" t="str">
        <f>IFERROR(__xludf.DUMMYFUNCTION("""COMPUTED_VALUE"""),"")</f>
        <v/>
      </c>
      <c r="C1496" s="5" t="str">
        <f>IFERROR(__xludf.DUMMYFUNCTION("""COMPUTED_VALUE"""),"")</f>
        <v/>
      </c>
      <c r="D1496" s="5" t="str">
        <f>IFERROR(__xludf.DUMMYFUNCTION("""COMPUTED_VALUE"""),"")</f>
        <v/>
      </c>
      <c r="E1496" s="5" t="str">
        <f>IFERROR(__xludf.DUMMYFUNCTION("""COMPUTED_VALUE"""),"")</f>
        <v/>
      </c>
      <c r="F1496" s="5" t="str">
        <f>IFERROR(__xludf.DUMMYFUNCTION("""COMPUTED_VALUE"""),"")</f>
        <v/>
      </c>
      <c r="G1496" s="5" t="str">
        <f>IFERROR(__xludf.DUMMYFUNCTION("""COMPUTED_VALUE"""),"")</f>
        <v/>
      </c>
      <c r="H1496" s="5" t="str">
        <f>IFERROR(__xludf.DUMMYFUNCTION("""COMPUTED_VALUE"""),"")</f>
        <v/>
      </c>
      <c r="I1496" s="5" t="str">
        <f>IFERROR(__xludf.DUMMYFUNCTION("""COMPUTED_VALUE"""),"")</f>
        <v/>
      </c>
      <c r="J1496" s="5" t="str">
        <f>IFERROR(__xludf.DUMMYFUNCTION("""COMPUTED_VALUE"""),"")</f>
        <v/>
      </c>
      <c r="K1496" s="5" t="str">
        <f>IFERROR(__xludf.DUMMYFUNCTION("""COMPUTED_VALUE"""),"")</f>
        <v/>
      </c>
      <c r="L1496" s="5" t="str">
        <f>IFERROR(__xludf.DUMMYFUNCTION("""COMPUTED_VALUE"""),"")</f>
        <v/>
      </c>
      <c r="M1496" s="5" t="str">
        <f>IFERROR(__xludf.DUMMYFUNCTION("""COMPUTED_VALUE"""),"")</f>
        <v/>
      </c>
      <c r="N1496" s="5" t="str">
        <f>IFERROR(__xludf.DUMMYFUNCTION("""COMPUTED_VALUE"""),"")</f>
        <v/>
      </c>
      <c r="O1496" s="5" t="str">
        <f>IFERROR(__xludf.DUMMYFUNCTION("""COMPUTED_VALUE"""),"")</f>
        <v/>
      </c>
      <c r="P1496" s="5" t="str">
        <f>IFERROR(__xludf.DUMMYFUNCTION("""COMPUTED_VALUE"""),"")</f>
        <v/>
      </c>
      <c r="Q1496" s="5" t="str">
        <f>IFERROR(__xludf.DUMMYFUNCTION("""COMPUTED_VALUE"""),"")</f>
        <v/>
      </c>
      <c r="R1496" s="5" t="str">
        <f>IFERROR(__xludf.DUMMYFUNCTION("""COMPUTED_VALUE"""),"")</f>
        <v/>
      </c>
      <c r="S1496" s="5" t="str">
        <f>IFERROR(__xludf.DUMMYFUNCTION("""COMPUTED_VALUE"""),"")</f>
        <v/>
      </c>
      <c r="T1496" s="5" t="str">
        <f>IFERROR(__xludf.DUMMYFUNCTION("""COMPUTED_VALUE"""),"")</f>
        <v/>
      </c>
      <c r="U1496" s="5" t="str">
        <f>IFERROR(__xludf.DUMMYFUNCTION("""COMPUTED_VALUE"""),"")</f>
        <v/>
      </c>
      <c r="V1496" s="5" t="str">
        <f>IFERROR(__xludf.DUMMYFUNCTION("""COMPUTED_VALUE"""),"")</f>
        <v/>
      </c>
      <c r="W1496" s="5" t="str">
        <f>IFERROR(__xludf.DUMMYFUNCTION("""COMPUTED_VALUE"""),"")</f>
        <v/>
      </c>
      <c r="X1496" s="5" t="str">
        <f>IFERROR(__xludf.DUMMYFUNCTION("""COMPUTED_VALUE"""),"")</f>
        <v/>
      </c>
      <c r="Y1496" s="5"/>
      <c r="Z1496" s="5"/>
    </row>
    <row r="1497">
      <c r="A1497" s="5"/>
      <c r="B1497" s="5" t="str">
        <f>IFERROR(__xludf.DUMMYFUNCTION("""COMPUTED_VALUE"""),"")</f>
        <v/>
      </c>
      <c r="C1497" s="5" t="str">
        <f>IFERROR(__xludf.DUMMYFUNCTION("""COMPUTED_VALUE"""),"")</f>
        <v/>
      </c>
      <c r="D1497" s="5" t="str">
        <f>IFERROR(__xludf.DUMMYFUNCTION("""COMPUTED_VALUE"""),"")</f>
        <v/>
      </c>
      <c r="E1497" s="5" t="str">
        <f>IFERROR(__xludf.DUMMYFUNCTION("""COMPUTED_VALUE"""),"")</f>
        <v/>
      </c>
      <c r="F1497" s="5" t="str">
        <f>IFERROR(__xludf.DUMMYFUNCTION("""COMPUTED_VALUE"""),"")</f>
        <v/>
      </c>
      <c r="G1497" s="5" t="str">
        <f>IFERROR(__xludf.DUMMYFUNCTION("""COMPUTED_VALUE"""),"")</f>
        <v/>
      </c>
      <c r="H1497" s="5" t="str">
        <f>IFERROR(__xludf.DUMMYFUNCTION("""COMPUTED_VALUE"""),"")</f>
        <v/>
      </c>
      <c r="I1497" s="5" t="str">
        <f>IFERROR(__xludf.DUMMYFUNCTION("""COMPUTED_VALUE"""),"")</f>
        <v/>
      </c>
      <c r="J1497" s="5" t="str">
        <f>IFERROR(__xludf.DUMMYFUNCTION("""COMPUTED_VALUE"""),"")</f>
        <v/>
      </c>
      <c r="K1497" s="5" t="str">
        <f>IFERROR(__xludf.DUMMYFUNCTION("""COMPUTED_VALUE"""),"")</f>
        <v/>
      </c>
      <c r="L1497" s="5" t="str">
        <f>IFERROR(__xludf.DUMMYFUNCTION("""COMPUTED_VALUE"""),"")</f>
        <v/>
      </c>
      <c r="M1497" s="5" t="str">
        <f>IFERROR(__xludf.DUMMYFUNCTION("""COMPUTED_VALUE"""),"")</f>
        <v/>
      </c>
      <c r="N1497" s="5" t="str">
        <f>IFERROR(__xludf.DUMMYFUNCTION("""COMPUTED_VALUE"""),"")</f>
        <v/>
      </c>
      <c r="O1497" s="5" t="str">
        <f>IFERROR(__xludf.DUMMYFUNCTION("""COMPUTED_VALUE"""),"")</f>
        <v/>
      </c>
      <c r="P1497" s="5" t="str">
        <f>IFERROR(__xludf.DUMMYFUNCTION("""COMPUTED_VALUE"""),"")</f>
        <v/>
      </c>
      <c r="Q1497" s="5" t="str">
        <f>IFERROR(__xludf.DUMMYFUNCTION("""COMPUTED_VALUE"""),"")</f>
        <v/>
      </c>
      <c r="R1497" s="5" t="str">
        <f>IFERROR(__xludf.DUMMYFUNCTION("""COMPUTED_VALUE"""),"")</f>
        <v/>
      </c>
      <c r="S1497" s="5" t="str">
        <f>IFERROR(__xludf.DUMMYFUNCTION("""COMPUTED_VALUE"""),"")</f>
        <v/>
      </c>
      <c r="T1497" s="5" t="str">
        <f>IFERROR(__xludf.DUMMYFUNCTION("""COMPUTED_VALUE"""),"")</f>
        <v/>
      </c>
      <c r="U1497" s="5" t="str">
        <f>IFERROR(__xludf.DUMMYFUNCTION("""COMPUTED_VALUE"""),"")</f>
        <v/>
      </c>
      <c r="V1497" s="5" t="str">
        <f>IFERROR(__xludf.DUMMYFUNCTION("""COMPUTED_VALUE"""),"")</f>
        <v/>
      </c>
      <c r="W1497" s="5" t="str">
        <f>IFERROR(__xludf.DUMMYFUNCTION("""COMPUTED_VALUE"""),"")</f>
        <v/>
      </c>
      <c r="X1497" s="5" t="str">
        <f>IFERROR(__xludf.DUMMYFUNCTION("""COMPUTED_VALUE"""),"")</f>
        <v/>
      </c>
      <c r="Y1497" s="5"/>
      <c r="Z1497" s="5"/>
    </row>
    <row r="1498">
      <c r="A1498" s="5"/>
      <c r="B1498" s="5" t="str">
        <f>IFERROR(__xludf.DUMMYFUNCTION("""COMPUTED_VALUE"""),"")</f>
        <v/>
      </c>
      <c r="C1498" s="5" t="str">
        <f>IFERROR(__xludf.DUMMYFUNCTION("""COMPUTED_VALUE"""),"")</f>
        <v/>
      </c>
      <c r="D1498" s="5" t="str">
        <f>IFERROR(__xludf.DUMMYFUNCTION("""COMPUTED_VALUE"""),"")</f>
        <v/>
      </c>
      <c r="E1498" s="5" t="str">
        <f>IFERROR(__xludf.DUMMYFUNCTION("""COMPUTED_VALUE"""),"")</f>
        <v/>
      </c>
      <c r="F1498" s="5" t="str">
        <f>IFERROR(__xludf.DUMMYFUNCTION("""COMPUTED_VALUE"""),"")</f>
        <v/>
      </c>
      <c r="G1498" s="5" t="str">
        <f>IFERROR(__xludf.DUMMYFUNCTION("""COMPUTED_VALUE"""),"")</f>
        <v/>
      </c>
      <c r="H1498" s="5" t="str">
        <f>IFERROR(__xludf.DUMMYFUNCTION("""COMPUTED_VALUE"""),"")</f>
        <v/>
      </c>
      <c r="I1498" s="5" t="str">
        <f>IFERROR(__xludf.DUMMYFUNCTION("""COMPUTED_VALUE"""),"")</f>
        <v/>
      </c>
      <c r="J1498" s="5" t="str">
        <f>IFERROR(__xludf.DUMMYFUNCTION("""COMPUTED_VALUE"""),"")</f>
        <v/>
      </c>
      <c r="K1498" s="5" t="str">
        <f>IFERROR(__xludf.DUMMYFUNCTION("""COMPUTED_VALUE"""),"")</f>
        <v/>
      </c>
      <c r="L1498" s="5" t="str">
        <f>IFERROR(__xludf.DUMMYFUNCTION("""COMPUTED_VALUE"""),"")</f>
        <v/>
      </c>
      <c r="M1498" s="5" t="str">
        <f>IFERROR(__xludf.DUMMYFUNCTION("""COMPUTED_VALUE"""),"")</f>
        <v/>
      </c>
      <c r="N1498" s="5" t="str">
        <f>IFERROR(__xludf.DUMMYFUNCTION("""COMPUTED_VALUE"""),"")</f>
        <v/>
      </c>
      <c r="O1498" s="5" t="str">
        <f>IFERROR(__xludf.DUMMYFUNCTION("""COMPUTED_VALUE"""),"")</f>
        <v/>
      </c>
      <c r="P1498" s="5" t="str">
        <f>IFERROR(__xludf.DUMMYFUNCTION("""COMPUTED_VALUE"""),"")</f>
        <v/>
      </c>
      <c r="Q1498" s="5" t="str">
        <f>IFERROR(__xludf.DUMMYFUNCTION("""COMPUTED_VALUE"""),"")</f>
        <v/>
      </c>
      <c r="R1498" s="5" t="str">
        <f>IFERROR(__xludf.DUMMYFUNCTION("""COMPUTED_VALUE"""),"")</f>
        <v/>
      </c>
      <c r="S1498" s="5" t="str">
        <f>IFERROR(__xludf.DUMMYFUNCTION("""COMPUTED_VALUE"""),"")</f>
        <v/>
      </c>
      <c r="T1498" s="5" t="str">
        <f>IFERROR(__xludf.DUMMYFUNCTION("""COMPUTED_VALUE"""),"")</f>
        <v/>
      </c>
      <c r="U1498" s="5" t="str">
        <f>IFERROR(__xludf.DUMMYFUNCTION("""COMPUTED_VALUE"""),"")</f>
        <v/>
      </c>
      <c r="V1498" s="5" t="str">
        <f>IFERROR(__xludf.DUMMYFUNCTION("""COMPUTED_VALUE"""),"")</f>
        <v/>
      </c>
      <c r="W1498" s="5" t="str">
        <f>IFERROR(__xludf.DUMMYFUNCTION("""COMPUTED_VALUE"""),"")</f>
        <v/>
      </c>
      <c r="X1498" s="5" t="str">
        <f>IFERROR(__xludf.DUMMYFUNCTION("""COMPUTED_VALUE"""),"")</f>
        <v/>
      </c>
      <c r="Y1498" s="5"/>
      <c r="Z1498" s="5"/>
    </row>
    <row r="1499">
      <c r="A1499" s="5"/>
      <c r="B1499" s="5" t="str">
        <f>IFERROR(__xludf.DUMMYFUNCTION("""COMPUTED_VALUE"""),"")</f>
        <v/>
      </c>
      <c r="C1499" s="5" t="str">
        <f>IFERROR(__xludf.DUMMYFUNCTION("""COMPUTED_VALUE"""),"")</f>
        <v/>
      </c>
      <c r="D1499" s="5" t="str">
        <f>IFERROR(__xludf.DUMMYFUNCTION("""COMPUTED_VALUE"""),"")</f>
        <v/>
      </c>
      <c r="E1499" s="5" t="str">
        <f>IFERROR(__xludf.DUMMYFUNCTION("""COMPUTED_VALUE"""),"")</f>
        <v/>
      </c>
      <c r="F1499" s="5" t="str">
        <f>IFERROR(__xludf.DUMMYFUNCTION("""COMPUTED_VALUE"""),"")</f>
        <v/>
      </c>
      <c r="G1499" s="5" t="str">
        <f>IFERROR(__xludf.DUMMYFUNCTION("""COMPUTED_VALUE"""),"")</f>
        <v/>
      </c>
      <c r="H1499" s="5" t="str">
        <f>IFERROR(__xludf.DUMMYFUNCTION("""COMPUTED_VALUE"""),"")</f>
        <v/>
      </c>
      <c r="I1499" s="5" t="str">
        <f>IFERROR(__xludf.DUMMYFUNCTION("""COMPUTED_VALUE"""),"")</f>
        <v/>
      </c>
      <c r="J1499" s="5" t="str">
        <f>IFERROR(__xludf.DUMMYFUNCTION("""COMPUTED_VALUE"""),"")</f>
        <v/>
      </c>
      <c r="K1499" s="5" t="str">
        <f>IFERROR(__xludf.DUMMYFUNCTION("""COMPUTED_VALUE"""),"")</f>
        <v/>
      </c>
      <c r="L1499" s="5" t="str">
        <f>IFERROR(__xludf.DUMMYFUNCTION("""COMPUTED_VALUE"""),"")</f>
        <v/>
      </c>
      <c r="M1499" s="5" t="str">
        <f>IFERROR(__xludf.DUMMYFUNCTION("""COMPUTED_VALUE"""),"")</f>
        <v/>
      </c>
      <c r="N1499" s="5" t="str">
        <f>IFERROR(__xludf.DUMMYFUNCTION("""COMPUTED_VALUE"""),"")</f>
        <v/>
      </c>
      <c r="O1499" s="5" t="str">
        <f>IFERROR(__xludf.DUMMYFUNCTION("""COMPUTED_VALUE"""),"")</f>
        <v/>
      </c>
      <c r="P1499" s="5" t="str">
        <f>IFERROR(__xludf.DUMMYFUNCTION("""COMPUTED_VALUE"""),"")</f>
        <v/>
      </c>
      <c r="Q1499" s="5" t="str">
        <f>IFERROR(__xludf.DUMMYFUNCTION("""COMPUTED_VALUE"""),"")</f>
        <v/>
      </c>
      <c r="R1499" s="5" t="str">
        <f>IFERROR(__xludf.DUMMYFUNCTION("""COMPUTED_VALUE"""),"")</f>
        <v/>
      </c>
      <c r="S1499" s="5" t="str">
        <f>IFERROR(__xludf.DUMMYFUNCTION("""COMPUTED_VALUE"""),"")</f>
        <v/>
      </c>
      <c r="T1499" s="5" t="str">
        <f>IFERROR(__xludf.DUMMYFUNCTION("""COMPUTED_VALUE"""),"")</f>
        <v/>
      </c>
      <c r="U1499" s="5" t="str">
        <f>IFERROR(__xludf.DUMMYFUNCTION("""COMPUTED_VALUE"""),"")</f>
        <v/>
      </c>
      <c r="V1499" s="5" t="str">
        <f>IFERROR(__xludf.DUMMYFUNCTION("""COMPUTED_VALUE"""),"")</f>
        <v/>
      </c>
      <c r="W1499" s="5" t="str">
        <f>IFERROR(__xludf.DUMMYFUNCTION("""COMPUTED_VALUE"""),"")</f>
        <v/>
      </c>
      <c r="X1499" s="5" t="str">
        <f>IFERROR(__xludf.DUMMYFUNCTION("""COMPUTED_VALUE"""),"")</f>
        <v/>
      </c>
      <c r="Y1499" s="5"/>
      <c r="Z1499" s="5"/>
    </row>
    <row r="1500">
      <c r="A1500" s="5"/>
      <c r="B1500" s="5" t="str">
        <f>IFERROR(__xludf.DUMMYFUNCTION("""COMPUTED_VALUE"""),"")</f>
        <v/>
      </c>
      <c r="C1500" s="5" t="str">
        <f>IFERROR(__xludf.DUMMYFUNCTION("""COMPUTED_VALUE"""),"")</f>
        <v/>
      </c>
      <c r="D1500" s="5" t="str">
        <f>IFERROR(__xludf.DUMMYFUNCTION("""COMPUTED_VALUE"""),"")</f>
        <v/>
      </c>
      <c r="E1500" s="5" t="str">
        <f>IFERROR(__xludf.DUMMYFUNCTION("""COMPUTED_VALUE"""),"")</f>
        <v/>
      </c>
      <c r="F1500" s="5" t="str">
        <f>IFERROR(__xludf.DUMMYFUNCTION("""COMPUTED_VALUE"""),"")</f>
        <v/>
      </c>
      <c r="G1500" s="5" t="str">
        <f>IFERROR(__xludf.DUMMYFUNCTION("""COMPUTED_VALUE"""),"")</f>
        <v/>
      </c>
      <c r="H1500" s="5" t="str">
        <f>IFERROR(__xludf.DUMMYFUNCTION("""COMPUTED_VALUE"""),"")</f>
        <v/>
      </c>
      <c r="I1500" s="5" t="str">
        <f>IFERROR(__xludf.DUMMYFUNCTION("""COMPUTED_VALUE"""),"")</f>
        <v/>
      </c>
      <c r="J1500" s="5" t="str">
        <f>IFERROR(__xludf.DUMMYFUNCTION("""COMPUTED_VALUE"""),"")</f>
        <v/>
      </c>
      <c r="K1500" s="5" t="str">
        <f>IFERROR(__xludf.DUMMYFUNCTION("""COMPUTED_VALUE"""),"")</f>
        <v/>
      </c>
      <c r="L1500" s="5" t="str">
        <f>IFERROR(__xludf.DUMMYFUNCTION("""COMPUTED_VALUE"""),"")</f>
        <v/>
      </c>
      <c r="M1500" s="5" t="str">
        <f>IFERROR(__xludf.DUMMYFUNCTION("""COMPUTED_VALUE"""),"")</f>
        <v/>
      </c>
      <c r="N1500" s="5" t="str">
        <f>IFERROR(__xludf.DUMMYFUNCTION("""COMPUTED_VALUE"""),"")</f>
        <v/>
      </c>
      <c r="O1500" s="5" t="str">
        <f>IFERROR(__xludf.DUMMYFUNCTION("""COMPUTED_VALUE"""),"")</f>
        <v/>
      </c>
      <c r="P1500" s="5" t="str">
        <f>IFERROR(__xludf.DUMMYFUNCTION("""COMPUTED_VALUE"""),"")</f>
        <v/>
      </c>
      <c r="Q1500" s="5" t="str">
        <f>IFERROR(__xludf.DUMMYFUNCTION("""COMPUTED_VALUE"""),"")</f>
        <v/>
      </c>
      <c r="R1500" s="5" t="str">
        <f>IFERROR(__xludf.DUMMYFUNCTION("""COMPUTED_VALUE"""),"")</f>
        <v/>
      </c>
      <c r="S1500" s="5" t="str">
        <f>IFERROR(__xludf.DUMMYFUNCTION("""COMPUTED_VALUE"""),"")</f>
        <v/>
      </c>
      <c r="T1500" s="5" t="str">
        <f>IFERROR(__xludf.DUMMYFUNCTION("""COMPUTED_VALUE"""),"")</f>
        <v/>
      </c>
      <c r="U1500" s="5" t="str">
        <f>IFERROR(__xludf.DUMMYFUNCTION("""COMPUTED_VALUE"""),"")</f>
        <v/>
      </c>
      <c r="V1500" s="5" t="str">
        <f>IFERROR(__xludf.DUMMYFUNCTION("""COMPUTED_VALUE"""),"")</f>
        <v/>
      </c>
      <c r="W1500" s="5" t="str">
        <f>IFERROR(__xludf.DUMMYFUNCTION("""COMPUTED_VALUE"""),"")</f>
        <v/>
      </c>
      <c r="X1500" s="5" t="str">
        <f>IFERROR(__xludf.DUMMYFUNCTION("""COMPUTED_VALUE"""),"")</f>
        <v/>
      </c>
      <c r="Y1500" s="5"/>
      <c r="Z1500" s="5"/>
    </row>
    <row r="1501">
      <c r="A1501" s="5"/>
      <c r="B1501" s="5" t="str">
        <f>IFERROR(__xludf.DUMMYFUNCTION("""COMPUTED_VALUE"""),"")</f>
        <v/>
      </c>
      <c r="C1501" s="5" t="str">
        <f>IFERROR(__xludf.DUMMYFUNCTION("""COMPUTED_VALUE"""),"")</f>
        <v/>
      </c>
      <c r="D1501" s="5" t="str">
        <f>IFERROR(__xludf.DUMMYFUNCTION("""COMPUTED_VALUE"""),"")</f>
        <v/>
      </c>
      <c r="E1501" s="5" t="str">
        <f>IFERROR(__xludf.DUMMYFUNCTION("""COMPUTED_VALUE"""),"")</f>
        <v/>
      </c>
      <c r="F1501" s="5" t="str">
        <f>IFERROR(__xludf.DUMMYFUNCTION("""COMPUTED_VALUE"""),"")</f>
        <v/>
      </c>
      <c r="G1501" s="5" t="str">
        <f>IFERROR(__xludf.DUMMYFUNCTION("""COMPUTED_VALUE"""),"")</f>
        <v/>
      </c>
      <c r="H1501" s="5" t="str">
        <f>IFERROR(__xludf.DUMMYFUNCTION("""COMPUTED_VALUE"""),"")</f>
        <v/>
      </c>
      <c r="I1501" s="5" t="str">
        <f>IFERROR(__xludf.DUMMYFUNCTION("""COMPUTED_VALUE"""),"")</f>
        <v/>
      </c>
      <c r="J1501" s="5" t="str">
        <f>IFERROR(__xludf.DUMMYFUNCTION("""COMPUTED_VALUE"""),"")</f>
        <v/>
      </c>
      <c r="K1501" s="5" t="str">
        <f>IFERROR(__xludf.DUMMYFUNCTION("""COMPUTED_VALUE"""),"")</f>
        <v/>
      </c>
      <c r="L1501" s="5" t="str">
        <f>IFERROR(__xludf.DUMMYFUNCTION("""COMPUTED_VALUE"""),"")</f>
        <v/>
      </c>
      <c r="M1501" s="5" t="str">
        <f>IFERROR(__xludf.DUMMYFUNCTION("""COMPUTED_VALUE"""),"")</f>
        <v/>
      </c>
      <c r="N1501" s="5" t="str">
        <f>IFERROR(__xludf.DUMMYFUNCTION("""COMPUTED_VALUE"""),"")</f>
        <v/>
      </c>
      <c r="O1501" s="5" t="str">
        <f>IFERROR(__xludf.DUMMYFUNCTION("""COMPUTED_VALUE"""),"")</f>
        <v/>
      </c>
      <c r="P1501" s="5" t="str">
        <f>IFERROR(__xludf.DUMMYFUNCTION("""COMPUTED_VALUE"""),"")</f>
        <v/>
      </c>
      <c r="Q1501" s="5" t="str">
        <f>IFERROR(__xludf.DUMMYFUNCTION("""COMPUTED_VALUE"""),"")</f>
        <v/>
      </c>
      <c r="R1501" s="5" t="str">
        <f>IFERROR(__xludf.DUMMYFUNCTION("""COMPUTED_VALUE"""),"")</f>
        <v/>
      </c>
      <c r="S1501" s="5" t="str">
        <f>IFERROR(__xludf.DUMMYFUNCTION("""COMPUTED_VALUE"""),"")</f>
        <v/>
      </c>
      <c r="T1501" s="5" t="str">
        <f>IFERROR(__xludf.DUMMYFUNCTION("""COMPUTED_VALUE"""),"")</f>
        <v/>
      </c>
      <c r="U1501" s="5" t="str">
        <f>IFERROR(__xludf.DUMMYFUNCTION("""COMPUTED_VALUE"""),"")</f>
        <v/>
      </c>
      <c r="V1501" s="5" t="str">
        <f>IFERROR(__xludf.DUMMYFUNCTION("""COMPUTED_VALUE"""),"")</f>
        <v/>
      </c>
      <c r="W1501" s="5" t="str">
        <f>IFERROR(__xludf.DUMMYFUNCTION("""COMPUTED_VALUE"""),"")</f>
        <v/>
      </c>
      <c r="X1501" s="5" t="str">
        <f>IFERROR(__xludf.DUMMYFUNCTION("""COMPUTED_VALUE"""),"")</f>
        <v/>
      </c>
      <c r="Y1501" s="5"/>
      <c r="Z1501" s="5"/>
    </row>
    <row r="1502">
      <c r="A1502" s="5"/>
      <c r="B1502" s="5" t="str">
        <f>IFERROR(__xludf.DUMMYFUNCTION("""COMPUTED_VALUE"""),"")</f>
        <v/>
      </c>
      <c r="C1502" s="5" t="str">
        <f>IFERROR(__xludf.DUMMYFUNCTION("""COMPUTED_VALUE"""),"")</f>
        <v/>
      </c>
      <c r="D1502" s="5" t="str">
        <f>IFERROR(__xludf.DUMMYFUNCTION("""COMPUTED_VALUE"""),"")</f>
        <v/>
      </c>
      <c r="E1502" s="5" t="str">
        <f>IFERROR(__xludf.DUMMYFUNCTION("""COMPUTED_VALUE"""),"")</f>
        <v/>
      </c>
      <c r="F1502" s="5" t="str">
        <f>IFERROR(__xludf.DUMMYFUNCTION("""COMPUTED_VALUE"""),"")</f>
        <v/>
      </c>
      <c r="G1502" s="5" t="str">
        <f>IFERROR(__xludf.DUMMYFUNCTION("""COMPUTED_VALUE"""),"")</f>
        <v/>
      </c>
      <c r="H1502" s="5" t="str">
        <f>IFERROR(__xludf.DUMMYFUNCTION("""COMPUTED_VALUE"""),"")</f>
        <v/>
      </c>
      <c r="I1502" s="5" t="str">
        <f>IFERROR(__xludf.DUMMYFUNCTION("""COMPUTED_VALUE"""),"")</f>
        <v/>
      </c>
      <c r="J1502" s="5" t="str">
        <f>IFERROR(__xludf.DUMMYFUNCTION("""COMPUTED_VALUE"""),"")</f>
        <v/>
      </c>
      <c r="K1502" s="5" t="str">
        <f>IFERROR(__xludf.DUMMYFUNCTION("""COMPUTED_VALUE"""),"")</f>
        <v/>
      </c>
      <c r="L1502" s="5" t="str">
        <f>IFERROR(__xludf.DUMMYFUNCTION("""COMPUTED_VALUE"""),"")</f>
        <v/>
      </c>
      <c r="M1502" s="5" t="str">
        <f>IFERROR(__xludf.DUMMYFUNCTION("""COMPUTED_VALUE"""),"")</f>
        <v/>
      </c>
      <c r="N1502" s="5" t="str">
        <f>IFERROR(__xludf.DUMMYFUNCTION("""COMPUTED_VALUE"""),"")</f>
        <v/>
      </c>
      <c r="O1502" s="5" t="str">
        <f>IFERROR(__xludf.DUMMYFUNCTION("""COMPUTED_VALUE"""),"")</f>
        <v/>
      </c>
      <c r="P1502" s="5" t="str">
        <f>IFERROR(__xludf.DUMMYFUNCTION("""COMPUTED_VALUE"""),"")</f>
        <v/>
      </c>
      <c r="Q1502" s="5" t="str">
        <f>IFERROR(__xludf.DUMMYFUNCTION("""COMPUTED_VALUE"""),"")</f>
        <v/>
      </c>
      <c r="R1502" s="5" t="str">
        <f>IFERROR(__xludf.DUMMYFUNCTION("""COMPUTED_VALUE"""),"")</f>
        <v/>
      </c>
      <c r="S1502" s="5" t="str">
        <f>IFERROR(__xludf.DUMMYFUNCTION("""COMPUTED_VALUE"""),"")</f>
        <v/>
      </c>
      <c r="T1502" s="5" t="str">
        <f>IFERROR(__xludf.DUMMYFUNCTION("""COMPUTED_VALUE"""),"")</f>
        <v/>
      </c>
      <c r="U1502" s="5" t="str">
        <f>IFERROR(__xludf.DUMMYFUNCTION("""COMPUTED_VALUE"""),"")</f>
        <v/>
      </c>
      <c r="V1502" s="5" t="str">
        <f>IFERROR(__xludf.DUMMYFUNCTION("""COMPUTED_VALUE"""),"")</f>
        <v/>
      </c>
      <c r="W1502" s="5" t="str">
        <f>IFERROR(__xludf.DUMMYFUNCTION("""COMPUTED_VALUE"""),"")</f>
        <v/>
      </c>
      <c r="X1502" s="5" t="str">
        <f>IFERROR(__xludf.DUMMYFUNCTION("""COMPUTED_VALUE"""),"")</f>
        <v/>
      </c>
      <c r="Y1502" s="5"/>
      <c r="Z1502" s="5"/>
    </row>
    <row r="1503">
      <c r="A1503" s="5"/>
      <c r="B1503" s="5" t="str">
        <f>IFERROR(__xludf.DUMMYFUNCTION("""COMPUTED_VALUE"""),"")</f>
        <v/>
      </c>
      <c r="C1503" s="5" t="str">
        <f>IFERROR(__xludf.DUMMYFUNCTION("""COMPUTED_VALUE"""),"")</f>
        <v/>
      </c>
      <c r="D1503" s="5" t="str">
        <f>IFERROR(__xludf.DUMMYFUNCTION("""COMPUTED_VALUE"""),"")</f>
        <v/>
      </c>
      <c r="E1503" s="5" t="str">
        <f>IFERROR(__xludf.DUMMYFUNCTION("""COMPUTED_VALUE"""),"")</f>
        <v/>
      </c>
      <c r="F1503" s="5" t="str">
        <f>IFERROR(__xludf.DUMMYFUNCTION("""COMPUTED_VALUE"""),"")</f>
        <v/>
      </c>
      <c r="G1503" s="5" t="str">
        <f>IFERROR(__xludf.DUMMYFUNCTION("""COMPUTED_VALUE"""),"")</f>
        <v/>
      </c>
      <c r="H1503" s="5" t="str">
        <f>IFERROR(__xludf.DUMMYFUNCTION("""COMPUTED_VALUE"""),"")</f>
        <v/>
      </c>
      <c r="I1503" s="5" t="str">
        <f>IFERROR(__xludf.DUMMYFUNCTION("""COMPUTED_VALUE"""),"")</f>
        <v/>
      </c>
      <c r="J1503" s="5" t="str">
        <f>IFERROR(__xludf.DUMMYFUNCTION("""COMPUTED_VALUE"""),"")</f>
        <v/>
      </c>
      <c r="K1503" s="5" t="str">
        <f>IFERROR(__xludf.DUMMYFUNCTION("""COMPUTED_VALUE"""),"")</f>
        <v/>
      </c>
      <c r="L1503" s="5" t="str">
        <f>IFERROR(__xludf.DUMMYFUNCTION("""COMPUTED_VALUE"""),"")</f>
        <v/>
      </c>
      <c r="M1503" s="5" t="str">
        <f>IFERROR(__xludf.DUMMYFUNCTION("""COMPUTED_VALUE"""),"")</f>
        <v/>
      </c>
      <c r="N1503" s="5" t="str">
        <f>IFERROR(__xludf.DUMMYFUNCTION("""COMPUTED_VALUE"""),"")</f>
        <v/>
      </c>
      <c r="O1503" s="5" t="str">
        <f>IFERROR(__xludf.DUMMYFUNCTION("""COMPUTED_VALUE"""),"")</f>
        <v/>
      </c>
      <c r="P1503" s="5" t="str">
        <f>IFERROR(__xludf.DUMMYFUNCTION("""COMPUTED_VALUE"""),"")</f>
        <v/>
      </c>
      <c r="Q1503" s="5" t="str">
        <f>IFERROR(__xludf.DUMMYFUNCTION("""COMPUTED_VALUE"""),"")</f>
        <v/>
      </c>
      <c r="R1503" s="5" t="str">
        <f>IFERROR(__xludf.DUMMYFUNCTION("""COMPUTED_VALUE"""),"")</f>
        <v/>
      </c>
      <c r="S1503" s="5" t="str">
        <f>IFERROR(__xludf.DUMMYFUNCTION("""COMPUTED_VALUE"""),"")</f>
        <v/>
      </c>
      <c r="T1503" s="5" t="str">
        <f>IFERROR(__xludf.DUMMYFUNCTION("""COMPUTED_VALUE"""),"")</f>
        <v/>
      </c>
      <c r="U1503" s="5" t="str">
        <f>IFERROR(__xludf.DUMMYFUNCTION("""COMPUTED_VALUE"""),"")</f>
        <v/>
      </c>
      <c r="V1503" s="5" t="str">
        <f>IFERROR(__xludf.DUMMYFUNCTION("""COMPUTED_VALUE"""),"")</f>
        <v/>
      </c>
      <c r="W1503" s="5" t="str">
        <f>IFERROR(__xludf.DUMMYFUNCTION("""COMPUTED_VALUE"""),"")</f>
        <v/>
      </c>
      <c r="X1503" s="5" t="str">
        <f>IFERROR(__xludf.DUMMYFUNCTION("""COMPUTED_VALUE"""),"")</f>
        <v/>
      </c>
      <c r="Y1503" s="5"/>
      <c r="Z1503" s="5"/>
    </row>
    <row r="1504">
      <c r="A1504" s="5"/>
      <c r="B1504" s="5" t="str">
        <f>IFERROR(__xludf.DUMMYFUNCTION("""COMPUTED_VALUE"""),"")</f>
        <v/>
      </c>
      <c r="C1504" s="5" t="str">
        <f>IFERROR(__xludf.DUMMYFUNCTION("""COMPUTED_VALUE"""),"")</f>
        <v/>
      </c>
      <c r="D1504" s="5" t="str">
        <f>IFERROR(__xludf.DUMMYFUNCTION("""COMPUTED_VALUE"""),"")</f>
        <v/>
      </c>
      <c r="E1504" s="5" t="str">
        <f>IFERROR(__xludf.DUMMYFUNCTION("""COMPUTED_VALUE"""),"")</f>
        <v/>
      </c>
      <c r="F1504" s="5" t="str">
        <f>IFERROR(__xludf.DUMMYFUNCTION("""COMPUTED_VALUE"""),"")</f>
        <v/>
      </c>
      <c r="G1504" s="5" t="str">
        <f>IFERROR(__xludf.DUMMYFUNCTION("""COMPUTED_VALUE"""),"")</f>
        <v/>
      </c>
      <c r="H1504" s="5" t="str">
        <f>IFERROR(__xludf.DUMMYFUNCTION("""COMPUTED_VALUE"""),"")</f>
        <v/>
      </c>
      <c r="I1504" s="5" t="str">
        <f>IFERROR(__xludf.DUMMYFUNCTION("""COMPUTED_VALUE"""),"")</f>
        <v/>
      </c>
      <c r="J1504" s="5" t="str">
        <f>IFERROR(__xludf.DUMMYFUNCTION("""COMPUTED_VALUE"""),"")</f>
        <v/>
      </c>
      <c r="K1504" s="5" t="str">
        <f>IFERROR(__xludf.DUMMYFUNCTION("""COMPUTED_VALUE"""),"")</f>
        <v/>
      </c>
      <c r="L1504" s="5" t="str">
        <f>IFERROR(__xludf.DUMMYFUNCTION("""COMPUTED_VALUE"""),"")</f>
        <v/>
      </c>
      <c r="M1504" s="5" t="str">
        <f>IFERROR(__xludf.DUMMYFUNCTION("""COMPUTED_VALUE"""),"")</f>
        <v/>
      </c>
      <c r="N1504" s="5" t="str">
        <f>IFERROR(__xludf.DUMMYFUNCTION("""COMPUTED_VALUE"""),"")</f>
        <v/>
      </c>
      <c r="O1504" s="5" t="str">
        <f>IFERROR(__xludf.DUMMYFUNCTION("""COMPUTED_VALUE"""),"")</f>
        <v/>
      </c>
      <c r="P1504" s="5" t="str">
        <f>IFERROR(__xludf.DUMMYFUNCTION("""COMPUTED_VALUE"""),"")</f>
        <v/>
      </c>
      <c r="Q1504" s="5" t="str">
        <f>IFERROR(__xludf.DUMMYFUNCTION("""COMPUTED_VALUE"""),"")</f>
        <v/>
      </c>
      <c r="R1504" s="5" t="str">
        <f>IFERROR(__xludf.DUMMYFUNCTION("""COMPUTED_VALUE"""),"")</f>
        <v/>
      </c>
      <c r="S1504" s="5" t="str">
        <f>IFERROR(__xludf.DUMMYFUNCTION("""COMPUTED_VALUE"""),"")</f>
        <v/>
      </c>
      <c r="T1504" s="5" t="str">
        <f>IFERROR(__xludf.DUMMYFUNCTION("""COMPUTED_VALUE"""),"")</f>
        <v/>
      </c>
      <c r="U1504" s="5" t="str">
        <f>IFERROR(__xludf.DUMMYFUNCTION("""COMPUTED_VALUE"""),"")</f>
        <v/>
      </c>
      <c r="V1504" s="5" t="str">
        <f>IFERROR(__xludf.DUMMYFUNCTION("""COMPUTED_VALUE"""),"")</f>
        <v/>
      </c>
      <c r="W1504" s="5" t="str">
        <f>IFERROR(__xludf.DUMMYFUNCTION("""COMPUTED_VALUE"""),"")</f>
        <v/>
      </c>
      <c r="X1504" s="5" t="str">
        <f>IFERROR(__xludf.DUMMYFUNCTION("""COMPUTED_VALUE"""),"")</f>
        <v/>
      </c>
      <c r="Y1504" s="5"/>
      <c r="Z1504" s="5"/>
    </row>
    <row r="1505">
      <c r="A1505" s="5"/>
      <c r="B1505" s="5" t="str">
        <f>IFERROR(__xludf.DUMMYFUNCTION("""COMPUTED_VALUE"""),"")</f>
        <v/>
      </c>
      <c r="C1505" s="5" t="str">
        <f>IFERROR(__xludf.DUMMYFUNCTION("""COMPUTED_VALUE"""),"")</f>
        <v/>
      </c>
      <c r="D1505" s="5" t="str">
        <f>IFERROR(__xludf.DUMMYFUNCTION("""COMPUTED_VALUE"""),"")</f>
        <v/>
      </c>
      <c r="E1505" s="5" t="str">
        <f>IFERROR(__xludf.DUMMYFUNCTION("""COMPUTED_VALUE"""),"")</f>
        <v/>
      </c>
      <c r="F1505" s="5" t="str">
        <f>IFERROR(__xludf.DUMMYFUNCTION("""COMPUTED_VALUE"""),"")</f>
        <v/>
      </c>
      <c r="G1505" s="5" t="str">
        <f>IFERROR(__xludf.DUMMYFUNCTION("""COMPUTED_VALUE"""),"")</f>
        <v/>
      </c>
      <c r="H1505" s="5" t="str">
        <f>IFERROR(__xludf.DUMMYFUNCTION("""COMPUTED_VALUE"""),"")</f>
        <v/>
      </c>
      <c r="I1505" s="5" t="str">
        <f>IFERROR(__xludf.DUMMYFUNCTION("""COMPUTED_VALUE"""),"")</f>
        <v/>
      </c>
      <c r="J1505" s="5" t="str">
        <f>IFERROR(__xludf.DUMMYFUNCTION("""COMPUTED_VALUE"""),"")</f>
        <v/>
      </c>
      <c r="K1505" s="5" t="str">
        <f>IFERROR(__xludf.DUMMYFUNCTION("""COMPUTED_VALUE"""),"")</f>
        <v/>
      </c>
      <c r="L1505" s="5" t="str">
        <f>IFERROR(__xludf.DUMMYFUNCTION("""COMPUTED_VALUE"""),"")</f>
        <v/>
      </c>
      <c r="M1505" s="5" t="str">
        <f>IFERROR(__xludf.DUMMYFUNCTION("""COMPUTED_VALUE"""),"")</f>
        <v/>
      </c>
      <c r="N1505" s="5" t="str">
        <f>IFERROR(__xludf.DUMMYFUNCTION("""COMPUTED_VALUE"""),"")</f>
        <v/>
      </c>
      <c r="O1505" s="5" t="str">
        <f>IFERROR(__xludf.DUMMYFUNCTION("""COMPUTED_VALUE"""),"")</f>
        <v/>
      </c>
      <c r="P1505" s="5" t="str">
        <f>IFERROR(__xludf.DUMMYFUNCTION("""COMPUTED_VALUE"""),"")</f>
        <v/>
      </c>
      <c r="Q1505" s="5" t="str">
        <f>IFERROR(__xludf.DUMMYFUNCTION("""COMPUTED_VALUE"""),"")</f>
        <v/>
      </c>
      <c r="R1505" s="5" t="str">
        <f>IFERROR(__xludf.DUMMYFUNCTION("""COMPUTED_VALUE"""),"")</f>
        <v/>
      </c>
      <c r="S1505" s="5" t="str">
        <f>IFERROR(__xludf.DUMMYFUNCTION("""COMPUTED_VALUE"""),"")</f>
        <v/>
      </c>
      <c r="T1505" s="5" t="str">
        <f>IFERROR(__xludf.DUMMYFUNCTION("""COMPUTED_VALUE"""),"")</f>
        <v/>
      </c>
      <c r="U1505" s="5" t="str">
        <f>IFERROR(__xludf.DUMMYFUNCTION("""COMPUTED_VALUE"""),"")</f>
        <v/>
      </c>
      <c r="V1505" s="5" t="str">
        <f>IFERROR(__xludf.DUMMYFUNCTION("""COMPUTED_VALUE"""),"")</f>
        <v/>
      </c>
      <c r="W1505" s="5" t="str">
        <f>IFERROR(__xludf.DUMMYFUNCTION("""COMPUTED_VALUE"""),"")</f>
        <v/>
      </c>
      <c r="X1505" s="5" t="str">
        <f>IFERROR(__xludf.DUMMYFUNCTION("""COMPUTED_VALUE"""),"")</f>
        <v/>
      </c>
      <c r="Y1505" s="5"/>
      <c r="Z1505" s="5"/>
    </row>
    <row r="1506">
      <c r="A1506" s="5"/>
      <c r="B1506" s="5" t="str">
        <f>IFERROR(__xludf.DUMMYFUNCTION("""COMPUTED_VALUE"""),"")</f>
        <v/>
      </c>
      <c r="C1506" s="5" t="str">
        <f>IFERROR(__xludf.DUMMYFUNCTION("""COMPUTED_VALUE"""),"")</f>
        <v/>
      </c>
      <c r="D1506" s="5" t="str">
        <f>IFERROR(__xludf.DUMMYFUNCTION("""COMPUTED_VALUE"""),"")</f>
        <v/>
      </c>
      <c r="E1506" s="5" t="str">
        <f>IFERROR(__xludf.DUMMYFUNCTION("""COMPUTED_VALUE"""),"")</f>
        <v/>
      </c>
      <c r="F1506" s="5" t="str">
        <f>IFERROR(__xludf.DUMMYFUNCTION("""COMPUTED_VALUE"""),"")</f>
        <v/>
      </c>
      <c r="G1506" s="5" t="str">
        <f>IFERROR(__xludf.DUMMYFUNCTION("""COMPUTED_VALUE"""),"")</f>
        <v/>
      </c>
      <c r="H1506" s="5" t="str">
        <f>IFERROR(__xludf.DUMMYFUNCTION("""COMPUTED_VALUE"""),"")</f>
        <v/>
      </c>
      <c r="I1506" s="5" t="str">
        <f>IFERROR(__xludf.DUMMYFUNCTION("""COMPUTED_VALUE"""),"")</f>
        <v/>
      </c>
      <c r="J1506" s="5" t="str">
        <f>IFERROR(__xludf.DUMMYFUNCTION("""COMPUTED_VALUE"""),"")</f>
        <v/>
      </c>
      <c r="K1506" s="5" t="str">
        <f>IFERROR(__xludf.DUMMYFUNCTION("""COMPUTED_VALUE"""),"")</f>
        <v/>
      </c>
      <c r="L1506" s="5" t="str">
        <f>IFERROR(__xludf.DUMMYFUNCTION("""COMPUTED_VALUE"""),"")</f>
        <v/>
      </c>
      <c r="M1506" s="5" t="str">
        <f>IFERROR(__xludf.DUMMYFUNCTION("""COMPUTED_VALUE"""),"")</f>
        <v/>
      </c>
      <c r="N1506" s="5" t="str">
        <f>IFERROR(__xludf.DUMMYFUNCTION("""COMPUTED_VALUE"""),"")</f>
        <v/>
      </c>
      <c r="O1506" s="5" t="str">
        <f>IFERROR(__xludf.DUMMYFUNCTION("""COMPUTED_VALUE"""),"")</f>
        <v/>
      </c>
      <c r="P1506" s="5" t="str">
        <f>IFERROR(__xludf.DUMMYFUNCTION("""COMPUTED_VALUE"""),"")</f>
        <v/>
      </c>
      <c r="Q1506" s="5" t="str">
        <f>IFERROR(__xludf.DUMMYFUNCTION("""COMPUTED_VALUE"""),"")</f>
        <v/>
      </c>
      <c r="R1506" s="5" t="str">
        <f>IFERROR(__xludf.DUMMYFUNCTION("""COMPUTED_VALUE"""),"")</f>
        <v/>
      </c>
      <c r="S1506" s="5" t="str">
        <f>IFERROR(__xludf.DUMMYFUNCTION("""COMPUTED_VALUE"""),"")</f>
        <v/>
      </c>
      <c r="T1506" s="5" t="str">
        <f>IFERROR(__xludf.DUMMYFUNCTION("""COMPUTED_VALUE"""),"")</f>
        <v/>
      </c>
      <c r="U1506" s="5" t="str">
        <f>IFERROR(__xludf.DUMMYFUNCTION("""COMPUTED_VALUE"""),"")</f>
        <v/>
      </c>
      <c r="V1506" s="5" t="str">
        <f>IFERROR(__xludf.DUMMYFUNCTION("""COMPUTED_VALUE"""),"")</f>
        <v/>
      </c>
      <c r="W1506" s="5" t="str">
        <f>IFERROR(__xludf.DUMMYFUNCTION("""COMPUTED_VALUE"""),"")</f>
        <v/>
      </c>
      <c r="X1506" s="5" t="str">
        <f>IFERROR(__xludf.DUMMYFUNCTION("""COMPUTED_VALUE"""),"")</f>
        <v/>
      </c>
      <c r="Y1506" s="5"/>
      <c r="Z1506" s="5"/>
    </row>
    <row r="1507">
      <c r="A1507" s="5"/>
      <c r="B1507" s="5" t="str">
        <f>IFERROR(__xludf.DUMMYFUNCTION("""COMPUTED_VALUE"""),"")</f>
        <v/>
      </c>
      <c r="C1507" s="5" t="str">
        <f>IFERROR(__xludf.DUMMYFUNCTION("""COMPUTED_VALUE"""),"")</f>
        <v/>
      </c>
      <c r="D1507" s="5" t="str">
        <f>IFERROR(__xludf.DUMMYFUNCTION("""COMPUTED_VALUE"""),"")</f>
        <v/>
      </c>
      <c r="E1507" s="5" t="str">
        <f>IFERROR(__xludf.DUMMYFUNCTION("""COMPUTED_VALUE"""),"")</f>
        <v/>
      </c>
      <c r="F1507" s="5" t="str">
        <f>IFERROR(__xludf.DUMMYFUNCTION("""COMPUTED_VALUE"""),"")</f>
        <v/>
      </c>
      <c r="G1507" s="5" t="str">
        <f>IFERROR(__xludf.DUMMYFUNCTION("""COMPUTED_VALUE"""),"")</f>
        <v/>
      </c>
      <c r="H1507" s="5" t="str">
        <f>IFERROR(__xludf.DUMMYFUNCTION("""COMPUTED_VALUE"""),"")</f>
        <v/>
      </c>
      <c r="I1507" s="5" t="str">
        <f>IFERROR(__xludf.DUMMYFUNCTION("""COMPUTED_VALUE"""),"")</f>
        <v/>
      </c>
      <c r="J1507" s="5" t="str">
        <f>IFERROR(__xludf.DUMMYFUNCTION("""COMPUTED_VALUE"""),"")</f>
        <v/>
      </c>
      <c r="K1507" s="5" t="str">
        <f>IFERROR(__xludf.DUMMYFUNCTION("""COMPUTED_VALUE"""),"")</f>
        <v/>
      </c>
      <c r="L1507" s="5" t="str">
        <f>IFERROR(__xludf.DUMMYFUNCTION("""COMPUTED_VALUE"""),"")</f>
        <v/>
      </c>
      <c r="M1507" s="5" t="str">
        <f>IFERROR(__xludf.DUMMYFUNCTION("""COMPUTED_VALUE"""),"")</f>
        <v/>
      </c>
      <c r="N1507" s="5" t="str">
        <f>IFERROR(__xludf.DUMMYFUNCTION("""COMPUTED_VALUE"""),"")</f>
        <v/>
      </c>
      <c r="O1507" s="5" t="str">
        <f>IFERROR(__xludf.DUMMYFUNCTION("""COMPUTED_VALUE"""),"")</f>
        <v/>
      </c>
      <c r="P1507" s="5" t="str">
        <f>IFERROR(__xludf.DUMMYFUNCTION("""COMPUTED_VALUE"""),"")</f>
        <v/>
      </c>
      <c r="Q1507" s="5" t="str">
        <f>IFERROR(__xludf.DUMMYFUNCTION("""COMPUTED_VALUE"""),"")</f>
        <v/>
      </c>
      <c r="R1507" s="5" t="str">
        <f>IFERROR(__xludf.DUMMYFUNCTION("""COMPUTED_VALUE"""),"")</f>
        <v/>
      </c>
      <c r="S1507" s="5" t="str">
        <f>IFERROR(__xludf.DUMMYFUNCTION("""COMPUTED_VALUE"""),"")</f>
        <v/>
      </c>
      <c r="T1507" s="5" t="str">
        <f>IFERROR(__xludf.DUMMYFUNCTION("""COMPUTED_VALUE"""),"")</f>
        <v/>
      </c>
      <c r="U1507" s="5" t="str">
        <f>IFERROR(__xludf.DUMMYFUNCTION("""COMPUTED_VALUE"""),"")</f>
        <v/>
      </c>
      <c r="V1507" s="5" t="str">
        <f>IFERROR(__xludf.DUMMYFUNCTION("""COMPUTED_VALUE"""),"")</f>
        <v/>
      </c>
      <c r="W1507" s="5" t="str">
        <f>IFERROR(__xludf.DUMMYFUNCTION("""COMPUTED_VALUE"""),"")</f>
        <v/>
      </c>
      <c r="X1507" s="5" t="str">
        <f>IFERROR(__xludf.DUMMYFUNCTION("""COMPUTED_VALUE"""),"")</f>
        <v/>
      </c>
      <c r="Y1507" s="5"/>
      <c r="Z1507" s="5"/>
    </row>
    <row r="1508">
      <c r="A1508" s="5"/>
      <c r="B1508" s="5" t="str">
        <f>IFERROR(__xludf.DUMMYFUNCTION("""COMPUTED_VALUE"""),"")</f>
        <v/>
      </c>
      <c r="C1508" s="5" t="str">
        <f>IFERROR(__xludf.DUMMYFUNCTION("""COMPUTED_VALUE"""),"")</f>
        <v/>
      </c>
      <c r="D1508" s="5" t="str">
        <f>IFERROR(__xludf.DUMMYFUNCTION("""COMPUTED_VALUE"""),"")</f>
        <v/>
      </c>
      <c r="E1508" s="5" t="str">
        <f>IFERROR(__xludf.DUMMYFUNCTION("""COMPUTED_VALUE"""),"")</f>
        <v/>
      </c>
      <c r="F1508" s="5" t="str">
        <f>IFERROR(__xludf.DUMMYFUNCTION("""COMPUTED_VALUE"""),"")</f>
        <v/>
      </c>
      <c r="G1508" s="5" t="str">
        <f>IFERROR(__xludf.DUMMYFUNCTION("""COMPUTED_VALUE"""),"")</f>
        <v/>
      </c>
      <c r="H1508" s="5" t="str">
        <f>IFERROR(__xludf.DUMMYFUNCTION("""COMPUTED_VALUE"""),"")</f>
        <v/>
      </c>
      <c r="I1508" s="5" t="str">
        <f>IFERROR(__xludf.DUMMYFUNCTION("""COMPUTED_VALUE"""),"")</f>
        <v/>
      </c>
      <c r="J1508" s="5" t="str">
        <f>IFERROR(__xludf.DUMMYFUNCTION("""COMPUTED_VALUE"""),"")</f>
        <v/>
      </c>
      <c r="K1508" s="5" t="str">
        <f>IFERROR(__xludf.DUMMYFUNCTION("""COMPUTED_VALUE"""),"")</f>
        <v/>
      </c>
      <c r="L1508" s="5" t="str">
        <f>IFERROR(__xludf.DUMMYFUNCTION("""COMPUTED_VALUE"""),"")</f>
        <v/>
      </c>
      <c r="M1508" s="5" t="str">
        <f>IFERROR(__xludf.DUMMYFUNCTION("""COMPUTED_VALUE"""),"")</f>
        <v/>
      </c>
      <c r="N1508" s="5" t="str">
        <f>IFERROR(__xludf.DUMMYFUNCTION("""COMPUTED_VALUE"""),"")</f>
        <v/>
      </c>
      <c r="O1508" s="5" t="str">
        <f>IFERROR(__xludf.DUMMYFUNCTION("""COMPUTED_VALUE"""),"")</f>
        <v/>
      </c>
      <c r="P1508" s="5" t="str">
        <f>IFERROR(__xludf.DUMMYFUNCTION("""COMPUTED_VALUE"""),"")</f>
        <v/>
      </c>
      <c r="Q1508" s="5" t="str">
        <f>IFERROR(__xludf.DUMMYFUNCTION("""COMPUTED_VALUE"""),"")</f>
        <v/>
      </c>
      <c r="R1508" s="5" t="str">
        <f>IFERROR(__xludf.DUMMYFUNCTION("""COMPUTED_VALUE"""),"")</f>
        <v/>
      </c>
      <c r="S1508" s="5" t="str">
        <f>IFERROR(__xludf.DUMMYFUNCTION("""COMPUTED_VALUE"""),"")</f>
        <v/>
      </c>
      <c r="T1508" s="5" t="str">
        <f>IFERROR(__xludf.DUMMYFUNCTION("""COMPUTED_VALUE"""),"")</f>
        <v/>
      </c>
      <c r="U1508" s="5" t="str">
        <f>IFERROR(__xludf.DUMMYFUNCTION("""COMPUTED_VALUE"""),"")</f>
        <v/>
      </c>
      <c r="V1508" s="5" t="str">
        <f>IFERROR(__xludf.DUMMYFUNCTION("""COMPUTED_VALUE"""),"")</f>
        <v/>
      </c>
      <c r="W1508" s="5" t="str">
        <f>IFERROR(__xludf.DUMMYFUNCTION("""COMPUTED_VALUE"""),"")</f>
        <v/>
      </c>
      <c r="X1508" s="5" t="str">
        <f>IFERROR(__xludf.DUMMYFUNCTION("""COMPUTED_VALUE"""),"")</f>
        <v/>
      </c>
      <c r="Y1508" s="5"/>
      <c r="Z1508" s="5"/>
    </row>
    <row r="1509">
      <c r="A1509" s="5"/>
      <c r="B1509" s="5" t="str">
        <f>IFERROR(__xludf.DUMMYFUNCTION("""COMPUTED_VALUE"""),"")</f>
        <v/>
      </c>
      <c r="C1509" s="5" t="str">
        <f>IFERROR(__xludf.DUMMYFUNCTION("""COMPUTED_VALUE"""),"")</f>
        <v/>
      </c>
      <c r="D1509" s="5" t="str">
        <f>IFERROR(__xludf.DUMMYFUNCTION("""COMPUTED_VALUE"""),"")</f>
        <v/>
      </c>
      <c r="E1509" s="5" t="str">
        <f>IFERROR(__xludf.DUMMYFUNCTION("""COMPUTED_VALUE"""),"")</f>
        <v/>
      </c>
      <c r="F1509" s="5" t="str">
        <f>IFERROR(__xludf.DUMMYFUNCTION("""COMPUTED_VALUE"""),"")</f>
        <v/>
      </c>
      <c r="G1509" s="5" t="str">
        <f>IFERROR(__xludf.DUMMYFUNCTION("""COMPUTED_VALUE"""),"")</f>
        <v/>
      </c>
      <c r="H1509" s="5" t="str">
        <f>IFERROR(__xludf.DUMMYFUNCTION("""COMPUTED_VALUE"""),"")</f>
        <v/>
      </c>
      <c r="I1509" s="5" t="str">
        <f>IFERROR(__xludf.DUMMYFUNCTION("""COMPUTED_VALUE"""),"")</f>
        <v/>
      </c>
      <c r="J1509" s="5" t="str">
        <f>IFERROR(__xludf.DUMMYFUNCTION("""COMPUTED_VALUE"""),"")</f>
        <v/>
      </c>
      <c r="K1509" s="5" t="str">
        <f>IFERROR(__xludf.DUMMYFUNCTION("""COMPUTED_VALUE"""),"")</f>
        <v/>
      </c>
      <c r="L1509" s="5" t="str">
        <f>IFERROR(__xludf.DUMMYFUNCTION("""COMPUTED_VALUE"""),"")</f>
        <v/>
      </c>
      <c r="M1509" s="5" t="str">
        <f>IFERROR(__xludf.DUMMYFUNCTION("""COMPUTED_VALUE"""),"")</f>
        <v/>
      </c>
      <c r="N1509" s="5" t="str">
        <f>IFERROR(__xludf.DUMMYFUNCTION("""COMPUTED_VALUE"""),"")</f>
        <v/>
      </c>
      <c r="O1509" s="5" t="str">
        <f>IFERROR(__xludf.DUMMYFUNCTION("""COMPUTED_VALUE"""),"")</f>
        <v/>
      </c>
      <c r="P1509" s="5" t="str">
        <f>IFERROR(__xludf.DUMMYFUNCTION("""COMPUTED_VALUE"""),"")</f>
        <v/>
      </c>
      <c r="Q1509" s="5" t="str">
        <f>IFERROR(__xludf.DUMMYFUNCTION("""COMPUTED_VALUE"""),"")</f>
        <v/>
      </c>
      <c r="R1509" s="5" t="str">
        <f>IFERROR(__xludf.DUMMYFUNCTION("""COMPUTED_VALUE"""),"")</f>
        <v/>
      </c>
      <c r="S1509" s="5" t="str">
        <f>IFERROR(__xludf.DUMMYFUNCTION("""COMPUTED_VALUE"""),"")</f>
        <v/>
      </c>
      <c r="T1509" s="5" t="str">
        <f>IFERROR(__xludf.DUMMYFUNCTION("""COMPUTED_VALUE"""),"")</f>
        <v/>
      </c>
      <c r="U1509" s="5" t="str">
        <f>IFERROR(__xludf.DUMMYFUNCTION("""COMPUTED_VALUE"""),"")</f>
        <v/>
      </c>
      <c r="V1509" s="5" t="str">
        <f>IFERROR(__xludf.DUMMYFUNCTION("""COMPUTED_VALUE"""),"")</f>
        <v/>
      </c>
      <c r="W1509" s="5" t="str">
        <f>IFERROR(__xludf.DUMMYFUNCTION("""COMPUTED_VALUE"""),"")</f>
        <v/>
      </c>
      <c r="X1509" s="5" t="str">
        <f>IFERROR(__xludf.DUMMYFUNCTION("""COMPUTED_VALUE"""),"")</f>
        <v/>
      </c>
      <c r="Y1509" s="5"/>
      <c r="Z1509" s="5"/>
    </row>
    <row r="1510">
      <c r="A1510" s="5"/>
      <c r="B1510" s="5" t="str">
        <f>IFERROR(__xludf.DUMMYFUNCTION("""COMPUTED_VALUE"""),"")</f>
        <v/>
      </c>
      <c r="C1510" s="5" t="str">
        <f>IFERROR(__xludf.DUMMYFUNCTION("""COMPUTED_VALUE"""),"")</f>
        <v/>
      </c>
      <c r="D1510" s="5" t="str">
        <f>IFERROR(__xludf.DUMMYFUNCTION("""COMPUTED_VALUE"""),"")</f>
        <v/>
      </c>
      <c r="E1510" s="5" t="str">
        <f>IFERROR(__xludf.DUMMYFUNCTION("""COMPUTED_VALUE"""),"")</f>
        <v/>
      </c>
      <c r="F1510" s="5" t="str">
        <f>IFERROR(__xludf.DUMMYFUNCTION("""COMPUTED_VALUE"""),"")</f>
        <v/>
      </c>
      <c r="G1510" s="5" t="str">
        <f>IFERROR(__xludf.DUMMYFUNCTION("""COMPUTED_VALUE"""),"")</f>
        <v/>
      </c>
      <c r="H1510" s="5" t="str">
        <f>IFERROR(__xludf.DUMMYFUNCTION("""COMPUTED_VALUE"""),"")</f>
        <v/>
      </c>
      <c r="I1510" s="5" t="str">
        <f>IFERROR(__xludf.DUMMYFUNCTION("""COMPUTED_VALUE"""),"")</f>
        <v/>
      </c>
      <c r="J1510" s="5" t="str">
        <f>IFERROR(__xludf.DUMMYFUNCTION("""COMPUTED_VALUE"""),"")</f>
        <v/>
      </c>
      <c r="K1510" s="5" t="str">
        <f>IFERROR(__xludf.DUMMYFUNCTION("""COMPUTED_VALUE"""),"")</f>
        <v/>
      </c>
      <c r="L1510" s="5" t="str">
        <f>IFERROR(__xludf.DUMMYFUNCTION("""COMPUTED_VALUE"""),"")</f>
        <v/>
      </c>
      <c r="M1510" s="5" t="str">
        <f>IFERROR(__xludf.DUMMYFUNCTION("""COMPUTED_VALUE"""),"")</f>
        <v/>
      </c>
      <c r="N1510" s="5" t="str">
        <f>IFERROR(__xludf.DUMMYFUNCTION("""COMPUTED_VALUE"""),"")</f>
        <v/>
      </c>
      <c r="O1510" s="5" t="str">
        <f>IFERROR(__xludf.DUMMYFUNCTION("""COMPUTED_VALUE"""),"")</f>
        <v/>
      </c>
      <c r="P1510" s="5" t="str">
        <f>IFERROR(__xludf.DUMMYFUNCTION("""COMPUTED_VALUE"""),"")</f>
        <v/>
      </c>
      <c r="Q1510" s="5" t="str">
        <f>IFERROR(__xludf.DUMMYFUNCTION("""COMPUTED_VALUE"""),"")</f>
        <v/>
      </c>
      <c r="R1510" s="5" t="str">
        <f>IFERROR(__xludf.DUMMYFUNCTION("""COMPUTED_VALUE"""),"")</f>
        <v/>
      </c>
      <c r="S1510" s="5" t="str">
        <f>IFERROR(__xludf.DUMMYFUNCTION("""COMPUTED_VALUE"""),"")</f>
        <v/>
      </c>
      <c r="T1510" s="5" t="str">
        <f>IFERROR(__xludf.DUMMYFUNCTION("""COMPUTED_VALUE"""),"")</f>
        <v/>
      </c>
      <c r="U1510" s="5" t="str">
        <f>IFERROR(__xludf.DUMMYFUNCTION("""COMPUTED_VALUE"""),"")</f>
        <v/>
      </c>
      <c r="V1510" s="5" t="str">
        <f>IFERROR(__xludf.DUMMYFUNCTION("""COMPUTED_VALUE"""),"")</f>
        <v/>
      </c>
      <c r="W1510" s="5" t="str">
        <f>IFERROR(__xludf.DUMMYFUNCTION("""COMPUTED_VALUE"""),"")</f>
        <v/>
      </c>
      <c r="X1510" s="5" t="str">
        <f>IFERROR(__xludf.DUMMYFUNCTION("""COMPUTED_VALUE"""),"")</f>
        <v/>
      </c>
      <c r="Y1510" s="5"/>
      <c r="Z1510" s="5"/>
    </row>
    <row r="1511">
      <c r="A1511" s="5"/>
      <c r="B1511" s="5" t="str">
        <f>IFERROR(__xludf.DUMMYFUNCTION("""COMPUTED_VALUE"""),"")</f>
        <v/>
      </c>
      <c r="C1511" s="5" t="str">
        <f>IFERROR(__xludf.DUMMYFUNCTION("""COMPUTED_VALUE"""),"")</f>
        <v/>
      </c>
      <c r="D1511" s="5" t="str">
        <f>IFERROR(__xludf.DUMMYFUNCTION("""COMPUTED_VALUE"""),"")</f>
        <v/>
      </c>
      <c r="E1511" s="5" t="str">
        <f>IFERROR(__xludf.DUMMYFUNCTION("""COMPUTED_VALUE"""),"")</f>
        <v/>
      </c>
      <c r="F1511" s="5" t="str">
        <f>IFERROR(__xludf.DUMMYFUNCTION("""COMPUTED_VALUE"""),"")</f>
        <v/>
      </c>
      <c r="G1511" s="5" t="str">
        <f>IFERROR(__xludf.DUMMYFUNCTION("""COMPUTED_VALUE"""),"")</f>
        <v/>
      </c>
      <c r="H1511" s="5" t="str">
        <f>IFERROR(__xludf.DUMMYFUNCTION("""COMPUTED_VALUE"""),"")</f>
        <v/>
      </c>
      <c r="I1511" s="5" t="str">
        <f>IFERROR(__xludf.DUMMYFUNCTION("""COMPUTED_VALUE"""),"")</f>
        <v/>
      </c>
      <c r="J1511" s="5" t="str">
        <f>IFERROR(__xludf.DUMMYFUNCTION("""COMPUTED_VALUE"""),"")</f>
        <v/>
      </c>
      <c r="K1511" s="5" t="str">
        <f>IFERROR(__xludf.DUMMYFUNCTION("""COMPUTED_VALUE"""),"")</f>
        <v/>
      </c>
      <c r="L1511" s="5" t="str">
        <f>IFERROR(__xludf.DUMMYFUNCTION("""COMPUTED_VALUE"""),"")</f>
        <v/>
      </c>
      <c r="M1511" s="5" t="str">
        <f>IFERROR(__xludf.DUMMYFUNCTION("""COMPUTED_VALUE"""),"")</f>
        <v/>
      </c>
      <c r="N1511" s="5" t="str">
        <f>IFERROR(__xludf.DUMMYFUNCTION("""COMPUTED_VALUE"""),"")</f>
        <v/>
      </c>
      <c r="O1511" s="5" t="str">
        <f>IFERROR(__xludf.DUMMYFUNCTION("""COMPUTED_VALUE"""),"")</f>
        <v/>
      </c>
      <c r="P1511" s="5" t="str">
        <f>IFERROR(__xludf.DUMMYFUNCTION("""COMPUTED_VALUE"""),"")</f>
        <v/>
      </c>
      <c r="Q1511" s="5" t="str">
        <f>IFERROR(__xludf.DUMMYFUNCTION("""COMPUTED_VALUE"""),"")</f>
        <v/>
      </c>
      <c r="R1511" s="5" t="str">
        <f>IFERROR(__xludf.DUMMYFUNCTION("""COMPUTED_VALUE"""),"")</f>
        <v/>
      </c>
      <c r="S1511" s="5" t="str">
        <f>IFERROR(__xludf.DUMMYFUNCTION("""COMPUTED_VALUE"""),"")</f>
        <v/>
      </c>
      <c r="T1511" s="5" t="str">
        <f>IFERROR(__xludf.DUMMYFUNCTION("""COMPUTED_VALUE"""),"")</f>
        <v/>
      </c>
      <c r="U1511" s="5" t="str">
        <f>IFERROR(__xludf.DUMMYFUNCTION("""COMPUTED_VALUE"""),"")</f>
        <v/>
      </c>
      <c r="V1511" s="5" t="str">
        <f>IFERROR(__xludf.DUMMYFUNCTION("""COMPUTED_VALUE"""),"")</f>
        <v/>
      </c>
      <c r="W1511" s="5" t="str">
        <f>IFERROR(__xludf.DUMMYFUNCTION("""COMPUTED_VALUE"""),"")</f>
        <v/>
      </c>
      <c r="X1511" s="5" t="str">
        <f>IFERROR(__xludf.DUMMYFUNCTION("""COMPUTED_VALUE"""),"")</f>
        <v/>
      </c>
      <c r="Y1511" s="5"/>
      <c r="Z1511" s="5"/>
    </row>
    <row r="1512">
      <c r="A1512" s="5"/>
      <c r="B1512" s="5" t="str">
        <f>IFERROR(__xludf.DUMMYFUNCTION("""COMPUTED_VALUE"""),"")</f>
        <v/>
      </c>
      <c r="C1512" s="5" t="str">
        <f>IFERROR(__xludf.DUMMYFUNCTION("""COMPUTED_VALUE"""),"")</f>
        <v/>
      </c>
      <c r="D1512" s="5" t="str">
        <f>IFERROR(__xludf.DUMMYFUNCTION("""COMPUTED_VALUE"""),"")</f>
        <v/>
      </c>
      <c r="E1512" s="5" t="str">
        <f>IFERROR(__xludf.DUMMYFUNCTION("""COMPUTED_VALUE"""),"")</f>
        <v/>
      </c>
      <c r="F1512" s="5" t="str">
        <f>IFERROR(__xludf.DUMMYFUNCTION("""COMPUTED_VALUE"""),"")</f>
        <v/>
      </c>
      <c r="G1512" s="5" t="str">
        <f>IFERROR(__xludf.DUMMYFUNCTION("""COMPUTED_VALUE"""),"")</f>
        <v/>
      </c>
      <c r="H1512" s="5" t="str">
        <f>IFERROR(__xludf.DUMMYFUNCTION("""COMPUTED_VALUE"""),"")</f>
        <v/>
      </c>
      <c r="I1512" s="5" t="str">
        <f>IFERROR(__xludf.DUMMYFUNCTION("""COMPUTED_VALUE"""),"")</f>
        <v/>
      </c>
      <c r="J1512" s="5" t="str">
        <f>IFERROR(__xludf.DUMMYFUNCTION("""COMPUTED_VALUE"""),"")</f>
        <v/>
      </c>
      <c r="K1512" s="5" t="str">
        <f>IFERROR(__xludf.DUMMYFUNCTION("""COMPUTED_VALUE"""),"")</f>
        <v/>
      </c>
      <c r="L1512" s="5" t="str">
        <f>IFERROR(__xludf.DUMMYFUNCTION("""COMPUTED_VALUE"""),"")</f>
        <v/>
      </c>
      <c r="M1512" s="5" t="str">
        <f>IFERROR(__xludf.DUMMYFUNCTION("""COMPUTED_VALUE"""),"")</f>
        <v/>
      </c>
      <c r="N1512" s="5" t="str">
        <f>IFERROR(__xludf.DUMMYFUNCTION("""COMPUTED_VALUE"""),"")</f>
        <v/>
      </c>
      <c r="O1512" s="5" t="str">
        <f>IFERROR(__xludf.DUMMYFUNCTION("""COMPUTED_VALUE"""),"")</f>
        <v/>
      </c>
      <c r="P1512" s="5" t="str">
        <f>IFERROR(__xludf.DUMMYFUNCTION("""COMPUTED_VALUE"""),"")</f>
        <v/>
      </c>
      <c r="Q1512" s="5" t="str">
        <f>IFERROR(__xludf.DUMMYFUNCTION("""COMPUTED_VALUE"""),"")</f>
        <v/>
      </c>
      <c r="R1512" s="5" t="str">
        <f>IFERROR(__xludf.DUMMYFUNCTION("""COMPUTED_VALUE"""),"")</f>
        <v/>
      </c>
      <c r="S1512" s="5" t="str">
        <f>IFERROR(__xludf.DUMMYFUNCTION("""COMPUTED_VALUE"""),"")</f>
        <v/>
      </c>
      <c r="T1512" s="5" t="str">
        <f>IFERROR(__xludf.DUMMYFUNCTION("""COMPUTED_VALUE"""),"")</f>
        <v/>
      </c>
      <c r="U1512" s="5" t="str">
        <f>IFERROR(__xludf.DUMMYFUNCTION("""COMPUTED_VALUE"""),"")</f>
        <v/>
      </c>
      <c r="V1512" s="5" t="str">
        <f>IFERROR(__xludf.DUMMYFUNCTION("""COMPUTED_VALUE"""),"")</f>
        <v/>
      </c>
      <c r="W1512" s="5" t="str">
        <f>IFERROR(__xludf.DUMMYFUNCTION("""COMPUTED_VALUE"""),"")</f>
        <v/>
      </c>
      <c r="X1512" s="5" t="str">
        <f>IFERROR(__xludf.DUMMYFUNCTION("""COMPUTED_VALUE"""),"")</f>
        <v/>
      </c>
      <c r="Y1512" s="5"/>
      <c r="Z1512" s="5"/>
    </row>
    <row r="1513">
      <c r="A1513" s="5"/>
      <c r="B1513" s="5" t="str">
        <f>IFERROR(__xludf.DUMMYFUNCTION("""COMPUTED_VALUE"""),"")</f>
        <v/>
      </c>
      <c r="C1513" s="5" t="str">
        <f>IFERROR(__xludf.DUMMYFUNCTION("""COMPUTED_VALUE"""),"")</f>
        <v/>
      </c>
      <c r="D1513" s="5" t="str">
        <f>IFERROR(__xludf.DUMMYFUNCTION("""COMPUTED_VALUE"""),"")</f>
        <v/>
      </c>
      <c r="E1513" s="5" t="str">
        <f>IFERROR(__xludf.DUMMYFUNCTION("""COMPUTED_VALUE"""),"")</f>
        <v/>
      </c>
      <c r="F1513" s="5" t="str">
        <f>IFERROR(__xludf.DUMMYFUNCTION("""COMPUTED_VALUE"""),"")</f>
        <v/>
      </c>
      <c r="G1513" s="5" t="str">
        <f>IFERROR(__xludf.DUMMYFUNCTION("""COMPUTED_VALUE"""),"")</f>
        <v/>
      </c>
      <c r="H1513" s="5" t="str">
        <f>IFERROR(__xludf.DUMMYFUNCTION("""COMPUTED_VALUE"""),"")</f>
        <v/>
      </c>
      <c r="I1513" s="5" t="str">
        <f>IFERROR(__xludf.DUMMYFUNCTION("""COMPUTED_VALUE"""),"")</f>
        <v/>
      </c>
      <c r="J1513" s="5" t="str">
        <f>IFERROR(__xludf.DUMMYFUNCTION("""COMPUTED_VALUE"""),"")</f>
        <v/>
      </c>
      <c r="K1513" s="5" t="str">
        <f>IFERROR(__xludf.DUMMYFUNCTION("""COMPUTED_VALUE"""),"")</f>
        <v/>
      </c>
      <c r="L1513" s="5" t="str">
        <f>IFERROR(__xludf.DUMMYFUNCTION("""COMPUTED_VALUE"""),"")</f>
        <v/>
      </c>
      <c r="M1513" s="5" t="str">
        <f>IFERROR(__xludf.DUMMYFUNCTION("""COMPUTED_VALUE"""),"")</f>
        <v/>
      </c>
      <c r="N1513" s="5" t="str">
        <f>IFERROR(__xludf.DUMMYFUNCTION("""COMPUTED_VALUE"""),"")</f>
        <v/>
      </c>
      <c r="O1513" s="5" t="str">
        <f>IFERROR(__xludf.DUMMYFUNCTION("""COMPUTED_VALUE"""),"")</f>
        <v/>
      </c>
      <c r="P1513" s="5" t="str">
        <f>IFERROR(__xludf.DUMMYFUNCTION("""COMPUTED_VALUE"""),"")</f>
        <v/>
      </c>
      <c r="Q1513" s="5" t="str">
        <f>IFERROR(__xludf.DUMMYFUNCTION("""COMPUTED_VALUE"""),"")</f>
        <v/>
      </c>
      <c r="R1513" s="5" t="str">
        <f>IFERROR(__xludf.DUMMYFUNCTION("""COMPUTED_VALUE"""),"")</f>
        <v/>
      </c>
      <c r="S1513" s="5" t="str">
        <f>IFERROR(__xludf.DUMMYFUNCTION("""COMPUTED_VALUE"""),"")</f>
        <v/>
      </c>
      <c r="T1513" s="5" t="str">
        <f>IFERROR(__xludf.DUMMYFUNCTION("""COMPUTED_VALUE"""),"")</f>
        <v/>
      </c>
      <c r="U1513" s="5" t="str">
        <f>IFERROR(__xludf.DUMMYFUNCTION("""COMPUTED_VALUE"""),"")</f>
        <v/>
      </c>
      <c r="V1513" s="5" t="str">
        <f>IFERROR(__xludf.DUMMYFUNCTION("""COMPUTED_VALUE"""),"")</f>
        <v/>
      </c>
      <c r="W1513" s="5" t="str">
        <f>IFERROR(__xludf.DUMMYFUNCTION("""COMPUTED_VALUE"""),"")</f>
        <v/>
      </c>
      <c r="X1513" s="5" t="str">
        <f>IFERROR(__xludf.DUMMYFUNCTION("""COMPUTED_VALUE"""),"")</f>
        <v/>
      </c>
      <c r="Y1513" s="5"/>
      <c r="Z1513" s="5"/>
    </row>
    <row r="1514">
      <c r="A1514" s="5"/>
      <c r="B1514" s="5" t="str">
        <f>IFERROR(__xludf.DUMMYFUNCTION("""COMPUTED_VALUE"""),"")</f>
        <v/>
      </c>
      <c r="C1514" s="5" t="str">
        <f>IFERROR(__xludf.DUMMYFUNCTION("""COMPUTED_VALUE"""),"")</f>
        <v/>
      </c>
      <c r="D1514" s="5" t="str">
        <f>IFERROR(__xludf.DUMMYFUNCTION("""COMPUTED_VALUE"""),"")</f>
        <v/>
      </c>
      <c r="E1514" s="5" t="str">
        <f>IFERROR(__xludf.DUMMYFUNCTION("""COMPUTED_VALUE"""),"")</f>
        <v/>
      </c>
      <c r="F1514" s="5" t="str">
        <f>IFERROR(__xludf.DUMMYFUNCTION("""COMPUTED_VALUE"""),"")</f>
        <v/>
      </c>
      <c r="G1514" s="5" t="str">
        <f>IFERROR(__xludf.DUMMYFUNCTION("""COMPUTED_VALUE"""),"")</f>
        <v/>
      </c>
      <c r="H1514" s="5" t="str">
        <f>IFERROR(__xludf.DUMMYFUNCTION("""COMPUTED_VALUE"""),"")</f>
        <v/>
      </c>
      <c r="I1514" s="5" t="str">
        <f>IFERROR(__xludf.DUMMYFUNCTION("""COMPUTED_VALUE"""),"")</f>
        <v/>
      </c>
      <c r="J1514" s="5" t="str">
        <f>IFERROR(__xludf.DUMMYFUNCTION("""COMPUTED_VALUE"""),"")</f>
        <v/>
      </c>
      <c r="K1514" s="5" t="str">
        <f>IFERROR(__xludf.DUMMYFUNCTION("""COMPUTED_VALUE"""),"")</f>
        <v/>
      </c>
      <c r="L1514" s="5" t="str">
        <f>IFERROR(__xludf.DUMMYFUNCTION("""COMPUTED_VALUE"""),"")</f>
        <v/>
      </c>
      <c r="M1514" s="5" t="str">
        <f>IFERROR(__xludf.DUMMYFUNCTION("""COMPUTED_VALUE"""),"")</f>
        <v/>
      </c>
      <c r="N1514" s="5" t="str">
        <f>IFERROR(__xludf.DUMMYFUNCTION("""COMPUTED_VALUE"""),"")</f>
        <v/>
      </c>
      <c r="O1514" s="5" t="str">
        <f>IFERROR(__xludf.DUMMYFUNCTION("""COMPUTED_VALUE"""),"")</f>
        <v/>
      </c>
      <c r="P1514" s="5" t="str">
        <f>IFERROR(__xludf.DUMMYFUNCTION("""COMPUTED_VALUE"""),"")</f>
        <v/>
      </c>
      <c r="Q1514" s="5" t="str">
        <f>IFERROR(__xludf.DUMMYFUNCTION("""COMPUTED_VALUE"""),"")</f>
        <v/>
      </c>
      <c r="R1514" s="5" t="str">
        <f>IFERROR(__xludf.DUMMYFUNCTION("""COMPUTED_VALUE"""),"")</f>
        <v/>
      </c>
      <c r="S1514" s="5" t="str">
        <f>IFERROR(__xludf.DUMMYFUNCTION("""COMPUTED_VALUE"""),"")</f>
        <v/>
      </c>
      <c r="T1514" s="5" t="str">
        <f>IFERROR(__xludf.DUMMYFUNCTION("""COMPUTED_VALUE"""),"")</f>
        <v/>
      </c>
      <c r="U1514" s="5" t="str">
        <f>IFERROR(__xludf.DUMMYFUNCTION("""COMPUTED_VALUE"""),"")</f>
        <v/>
      </c>
      <c r="V1514" s="5" t="str">
        <f>IFERROR(__xludf.DUMMYFUNCTION("""COMPUTED_VALUE"""),"")</f>
        <v/>
      </c>
      <c r="W1514" s="5" t="str">
        <f>IFERROR(__xludf.DUMMYFUNCTION("""COMPUTED_VALUE"""),"")</f>
        <v/>
      </c>
      <c r="X1514" s="5" t="str">
        <f>IFERROR(__xludf.DUMMYFUNCTION("""COMPUTED_VALUE"""),"")</f>
        <v/>
      </c>
      <c r="Y1514" s="5"/>
      <c r="Z1514" s="5"/>
    </row>
    <row r="1515">
      <c r="A1515" s="5"/>
      <c r="B1515" s="5" t="str">
        <f>IFERROR(__xludf.DUMMYFUNCTION("""COMPUTED_VALUE"""),"")</f>
        <v/>
      </c>
      <c r="C1515" s="5" t="str">
        <f>IFERROR(__xludf.DUMMYFUNCTION("""COMPUTED_VALUE"""),"")</f>
        <v/>
      </c>
      <c r="D1515" s="5" t="str">
        <f>IFERROR(__xludf.DUMMYFUNCTION("""COMPUTED_VALUE"""),"")</f>
        <v/>
      </c>
      <c r="E1515" s="5" t="str">
        <f>IFERROR(__xludf.DUMMYFUNCTION("""COMPUTED_VALUE"""),"")</f>
        <v/>
      </c>
      <c r="F1515" s="5" t="str">
        <f>IFERROR(__xludf.DUMMYFUNCTION("""COMPUTED_VALUE"""),"")</f>
        <v/>
      </c>
      <c r="G1515" s="5" t="str">
        <f>IFERROR(__xludf.DUMMYFUNCTION("""COMPUTED_VALUE"""),"")</f>
        <v/>
      </c>
      <c r="H1515" s="5" t="str">
        <f>IFERROR(__xludf.DUMMYFUNCTION("""COMPUTED_VALUE"""),"")</f>
        <v/>
      </c>
      <c r="I1515" s="5" t="str">
        <f>IFERROR(__xludf.DUMMYFUNCTION("""COMPUTED_VALUE"""),"")</f>
        <v/>
      </c>
      <c r="J1515" s="5" t="str">
        <f>IFERROR(__xludf.DUMMYFUNCTION("""COMPUTED_VALUE"""),"")</f>
        <v/>
      </c>
      <c r="K1515" s="5" t="str">
        <f>IFERROR(__xludf.DUMMYFUNCTION("""COMPUTED_VALUE"""),"")</f>
        <v/>
      </c>
      <c r="L1515" s="5" t="str">
        <f>IFERROR(__xludf.DUMMYFUNCTION("""COMPUTED_VALUE"""),"")</f>
        <v/>
      </c>
      <c r="M1515" s="5" t="str">
        <f>IFERROR(__xludf.DUMMYFUNCTION("""COMPUTED_VALUE"""),"")</f>
        <v/>
      </c>
      <c r="N1515" s="5" t="str">
        <f>IFERROR(__xludf.DUMMYFUNCTION("""COMPUTED_VALUE"""),"")</f>
        <v/>
      </c>
      <c r="O1515" s="5" t="str">
        <f>IFERROR(__xludf.DUMMYFUNCTION("""COMPUTED_VALUE"""),"")</f>
        <v/>
      </c>
      <c r="P1515" s="5" t="str">
        <f>IFERROR(__xludf.DUMMYFUNCTION("""COMPUTED_VALUE"""),"")</f>
        <v/>
      </c>
      <c r="Q1515" s="5" t="str">
        <f>IFERROR(__xludf.DUMMYFUNCTION("""COMPUTED_VALUE"""),"")</f>
        <v/>
      </c>
      <c r="R1515" s="5" t="str">
        <f>IFERROR(__xludf.DUMMYFUNCTION("""COMPUTED_VALUE"""),"")</f>
        <v/>
      </c>
      <c r="S1515" s="5" t="str">
        <f>IFERROR(__xludf.DUMMYFUNCTION("""COMPUTED_VALUE"""),"")</f>
        <v/>
      </c>
      <c r="T1515" s="5" t="str">
        <f>IFERROR(__xludf.DUMMYFUNCTION("""COMPUTED_VALUE"""),"")</f>
        <v/>
      </c>
      <c r="U1515" s="5" t="str">
        <f>IFERROR(__xludf.DUMMYFUNCTION("""COMPUTED_VALUE"""),"")</f>
        <v/>
      </c>
      <c r="V1515" s="5" t="str">
        <f>IFERROR(__xludf.DUMMYFUNCTION("""COMPUTED_VALUE"""),"")</f>
        <v/>
      </c>
      <c r="W1515" s="5" t="str">
        <f>IFERROR(__xludf.DUMMYFUNCTION("""COMPUTED_VALUE"""),"")</f>
        <v/>
      </c>
      <c r="X1515" s="5" t="str">
        <f>IFERROR(__xludf.DUMMYFUNCTION("""COMPUTED_VALUE"""),"")</f>
        <v/>
      </c>
      <c r="Y1515" s="5"/>
      <c r="Z1515" s="5"/>
    </row>
    <row r="1516">
      <c r="A1516" s="5"/>
      <c r="B1516" s="5" t="str">
        <f>IFERROR(__xludf.DUMMYFUNCTION("""COMPUTED_VALUE"""),"")</f>
        <v/>
      </c>
      <c r="C1516" s="5" t="str">
        <f>IFERROR(__xludf.DUMMYFUNCTION("""COMPUTED_VALUE"""),"")</f>
        <v/>
      </c>
      <c r="D1516" s="5" t="str">
        <f>IFERROR(__xludf.DUMMYFUNCTION("""COMPUTED_VALUE"""),"")</f>
        <v/>
      </c>
      <c r="E1516" s="5" t="str">
        <f>IFERROR(__xludf.DUMMYFUNCTION("""COMPUTED_VALUE"""),"")</f>
        <v/>
      </c>
      <c r="F1516" s="5" t="str">
        <f>IFERROR(__xludf.DUMMYFUNCTION("""COMPUTED_VALUE"""),"")</f>
        <v/>
      </c>
      <c r="G1516" s="5" t="str">
        <f>IFERROR(__xludf.DUMMYFUNCTION("""COMPUTED_VALUE"""),"")</f>
        <v/>
      </c>
      <c r="H1516" s="5" t="str">
        <f>IFERROR(__xludf.DUMMYFUNCTION("""COMPUTED_VALUE"""),"")</f>
        <v/>
      </c>
      <c r="I1516" s="5" t="str">
        <f>IFERROR(__xludf.DUMMYFUNCTION("""COMPUTED_VALUE"""),"")</f>
        <v/>
      </c>
      <c r="J1516" s="5" t="str">
        <f>IFERROR(__xludf.DUMMYFUNCTION("""COMPUTED_VALUE"""),"")</f>
        <v/>
      </c>
      <c r="K1516" s="5" t="str">
        <f>IFERROR(__xludf.DUMMYFUNCTION("""COMPUTED_VALUE"""),"")</f>
        <v/>
      </c>
      <c r="L1516" s="5" t="str">
        <f>IFERROR(__xludf.DUMMYFUNCTION("""COMPUTED_VALUE"""),"")</f>
        <v/>
      </c>
      <c r="M1516" s="5" t="str">
        <f>IFERROR(__xludf.DUMMYFUNCTION("""COMPUTED_VALUE"""),"")</f>
        <v/>
      </c>
      <c r="N1516" s="5" t="str">
        <f>IFERROR(__xludf.DUMMYFUNCTION("""COMPUTED_VALUE"""),"")</f>
        <v/>
      </c>
      <c r="O1516" s="5" t="str">
        <f>IFERROR(__xludf.DUMMYFUNCTION("""COMPUTED_VALUE"""),"")</f>
        <v/>
      </c>
      <c r="P1516" s="5" t="str">
        <f>IFERROR(__xludf.DUMMYFUNCTION("""COMPUTED_VALUE"""),"")</f>
        <v/>
      </c>
      <c r="Q1516" s="5" t="str">
        <f>IFERROR(__xludf.DUMMYFUNCTION("""COMPUTED_VALUE"""),"")</f>
        <v/>
      </c>
      <c r="R1516" s="5" t="str">
        <f>IFERROR(__xludf.DUMMYFUNCTION("""COMPUTED_VALUE"""),"")</f>
        <v/>
      </c>
      <c r="S1516" s="5" t="str">
        <f>IFERROR(__xludf.DUMMYFUNCTION("""COMPUTED_VALUE"""),"")</f>
        <v/>
      </c>
      <c r="T1516" s="5" t="str">
        <f>IFERROR(__xludf.DUMMYFUNCTION("""COMPUTED_VALUE"""),"")</f>
        <v/>
      </c>
      <c r="U1516" s="5" t="str">
        <f>IFERROR(__xludf.DUMMYFUNCTION("""COMPUTED_VALUE"""),"")</f>
        <v/>
      </c>
      <c r="V1516" s="5" t="str">
        <f>IFERROR(__xludf.DUMMYFUNCTION("""COMPUTED_VALUE"""),"")</f>
        <v/>
      </c>
      <c r="W1516" s="5" t="str">
        <f>IFERROR(__xludf.DUMMYFUNCTION("""COMPUTED_VALUE"""),"")</f>
        <v/>
      </c>
      <c r="X1516" s="5" t="str">
        <f>IFERROR(__xludf.DUMMYFUNCTION("""COMPUTED_VALUE"""),"")</f>
        <v/>
      </c>
      <c r="Y1516" s="5"/>
      <c r="Z1516" s="5"/>
    </row>
    <row r="1517">
      <c r="A1517" s="5"/>
      <c r="B1517" s="5" t="str">
        <f>IFERROR(__xludf.DUMMYFUNCTION("""COMPUTED_VALUE"""),"")</f>
        <v/>
      </c>
      <c r="C1517" s="5" t="str">
        <f>IFERROR(__xludf.DUMMYFUNCTION("""COMPUTED_VALUE"""),"")</f>
        <v/>
      </c>
      <c r="D1517" s="5" t="str">
        <f>IFERROR(__xludf.DUMMYFUNCTION("""COMPUTED_VALUE"""),"")</f>
        <v/>
      </c>
      <c r="E1517" s="5" t="str">
        <f>IFERROR(__xludf.DUMMYFUNCTION("""COMPUTED_VALUE"""),"")</f>
        <v/>
      </c>
      <c r="F1517" s="5" t="str">
        <f>IFERROR(__xludf.DUMMYFUNCTION("""COMPUTED_VALUE"""),"")</f>
        <v/>
      </c>
      <c r="G1517" s="5" t="str">
        <f>IFERROR(__xludf.DUMMYFUNCTION("""COMPUTED_VALUE"""),"")</f>
        <v/>
      </c>
      <c r="H1517" s="5" t="str">
        <f>IFERROR(__xludf.DUMMYFUNCTION("""COMPUTED_VALUE"""),"")</f>
        <v/>
      </c>
      <c r="I1517" s="5" t="str">
        <f>IFERROR(__xludf.DUMMYFUNCTION("""COMPUTED_VALUE"""),"")</f>
        <v/>
      </c>
      <c r="J1517" s="5" t="str">
        <f>IFERROR(__xludf.DUMMYFUNCTION("""COMPUTED_VALUE"""),"")</f>
        <v/>
      </c>
      <c r="K1517" s="5" t="str">
        <f>IFERROR(__xludf.DUMMYFUNCTION("""COMPUTED_VALUE"""),"")</f>
        <v/>
      </c>
      <c r="L1517" s="5" t="str">
        <f>IFERROR(__xludf.DUMMYFUNCTION("""COMPUTED_VALUE"""),"")</f>
        <v/>
      </c>
      <c r="M1517" s="5" t="str">
        <f>IFERROR(__xludf.DUMMYFUNCTION("""COMPUTED_VALUE"""),"")</f>
        <v/>
      </c>
      <c r="N1517" s="5" t="str">
        <f>IFERROR(__xludf.DUMMYFUNCTION("""COMPUTED_VALUE"""),"")</f>
        <v/>
      </c>
      <c r="O1517" s="5" t="str">
        <f>IFERROR(__xludf.DUMMYFUNCTION("""COMPUTED_VALUE"""),"")</f>
        <v/>
      </c>
      <c r="P1517" s="5" t="str">
        <f>IFERROR(__xludf.DUMMYFUNCTION("""COMPUTED_VALUE"""),"")</f>
        <v/>
      </c>
      <c r="Q1517" s="5" t="str">
        <f>IFERROR(__xludf.DUMMYFUNCTION("""COMPUTED_VALUE"""),"")</f>
        <v/>
      </c>
      <c r="R1517" s="5" t="str">
        <f>IFERROR(__xludf.DUMMYFUNCTION("""COMPUTED_VALUE"""),"")</f>
        <v/>
      </c>
      <c r="S1517" s="5" t="str">
        <f>IFERROR(__xludf.DUMMYFUNCTION("""COMPUTED_VALUE"""),"")</f>
        <v/>
      </c>
      <c r="T1517" s="5" t="str">
        <f>IFERROR(__xludf.DUMMYFUNCTION("""COMPUTED_VALUE"""),"")</f>
        <v/>
      </c>
      <c r="U1517" s="5" t="str">
        <f>IFERROR(__xludf.DUMMYFUNCTION("""COMPUTED_VALUE"""),"")</f>
        <v/>
      </c>
      <c r="V1517" s="5" t="str">
        <f>IFERROR(__xludf.DUMMYFUNCTION("""COMPUTED_VALUE"""),"")</f>
        <v/>
      </c>
      <c r="W1517" s="5" t="str">
        <f>IFERROR(__xludf.DUMMYFUNCTION("""COMPUTED_VALUE"""),"")</f>
        <v/>
      </c>
      <c r="X1517" s="5" t="str">
        <f>IFERROR(__xludf.DUMMYFUNCTION("""COMPUTED_VALUE"""),"")</f>
        <v/>
      </c>
      <c r="Y1517" s="5"/>
      <c r="Z1517" s="5"/>
    </row>
    <row r="1518">
      <c r="A1518" s="5"/>
      <c r="B1518" s="5" t="str">
        <f>IFERROR(__xludf.DUMMYFUNCTION("""COMPUTED_VALUE"""),"")</f>
        <v/>
      </c>
      <c r="C1518" s="5" t="str">
        <f>IFERROR(__xludf.DUMMYFUNCTION("""COMPUTED_VALUE"""),"")</f>
        <v/>
      </c>
      <c r="D1518" s="5" t="str">
        <f>IFERROR(__xludf.DUMMYFUNCTION("""COMPUTED_VALUE"""),"")</f>
        <v/>
      </c>
      <c r="E1518" s="5" t="str">
        <f>IFERROR(__xludf.DUMMYFUNCTION("""COMPUTED_VALUE"""),"")</f>
        <v/>
      </c>
      <c r="F1518" s="5" t="str">
        <f>IFERROR(__xludf.DUMMYFUNCTION("""COMPUTED_VALUE"""),"")</f>
        <v/>
      </c>
      <c r="G1518" s="5" t="str">
        <f>IFERROR(__xludf.DUMMYFUNCTION("""COMPUTED_VALUE"""),"")</f>
        <v/>
      </c>
      <c r="H1518" s="5" t="str">
        <f>IFERROR(__xludf.DUMMYFUNCTION("""COMPUTED_VALUE"""),"")</f>
        <v/>
      </c>
      <c r="I1518" s="5" t="str">
        <f>IFERROR(__xludf.DUMMYFUNCTION("""COMPUTED_VALUE"""),"")</f>
        <v/>
      </c>
      <c r="J1518" s="5" t="str">
        <f>IFERROR(__xludf.DUMMYFUNCTION("""COMPUTED_VALUE"""),"")</f>
        <v/>
      </c>
      <c r="K1518" s="5" t="str">
        <f>IFERROR(__xludf.DUMMYFUNCTION("""COMPUTED_VALUE"""),"")</f>
        <v/>
      </c>
      <c r="L1518" s="5" t="str">
        <f>IFERROR(__xludf.DUMMYFUNCTION("""COMPUTED_VALUE"""),"")</f>
        <v/>
      </c>
      <c r="M1518" s="5" t="str">
        <f>IFERROR(__xludf.DUMMYFUNCTION("""COMPUTED_VALUE"""),"")</f>
        <v/>
      </c>
      <c r="N1518" s="5" t="str">
        <f>IFERROR(__xludf.DUMMYFUNCTION("""COMPUTED_VALUE"""),"")</f>
        <v/>
      </c>
      <c r="O1518" s="5" t="str">
        <f>IFERROR(__xludf.DUMMYFUNCTION("""COMPUTED_VALUE"""),"")</f>
        <v/>
      </c>
      <c r="P1518" s="5" t="str">
        <f>IFERROR(__xludf.DUMMYFUNCTION("""COMPUTED_VALUE"""),"")</f>
        <v/>
      </c>
      <c r="Q1518" s="5" t="str">
        <f>IFERROR(__xludf.DUMMYFUNCTION("""COMPUTED_VALUE"""),"")</f>
        <v/>
      </c>
      <c r="R1518" s="5" t="str">
        <f>IFERROR(__xludf.DUMMYFUNCTION("""COMPUTED_VALUE"""),"")</f>
        <v/>
      </c>
      <c r="S1518" s="5" t="str">
        <f>IFERROR(__xludf.DUMMYFUNCTION("""COMPUTED_VALUE"""),"")</f>
        <v/>
      </c>
      <c r="T1518" s="5" t="str">
        <f>IFERROR(__xludf.DUMMYFUNCTION("""COMPUTED_VALUE"""),"")</f>
        <v/>
      </c>
      <c r="U1518" s="5" t="str">
        <f>IFERROR(__xludf.DUMMYFUNCTION("""COMPUTED_VALUE"""),"")</f>
        <v/>
      </c>
      <c r="V1518" s="5" t="str">
        <f>IFERROR(__xludf.DUMMYFUNCTION("""COMPUTED_VALUE"""),"")</f>
        <v/>
      </c>
      <c r="W1518" s="5" t="str">
        <f>IFERROR(__xludf.DUMMYFUNCTION("""COMPUTED_VALUE"""),"")</f>
        <v/>
      </c>
      <c r="X1518" s="5" t="str">
        <f>IFERROR(__xludf.DUMMYFUNCTION("""COMPUTED_VALUE"""),"")</f>
        <v/>
      </c>
      <c r="Y1518" s="5"/>
      <c r="Z1518" s="5"/>
    </row>
    <row r="1519">
      <c r="A1519" s="5"/>
      <c r="B1519" s="5" t="str">
        <f>IFERROR(__xludf.DUMMYFUNCTION("""COMPUTED_VALUE"""),"")</f>
        <v/>
      </c>
      <c r="C1519" s="5" t="str">
        <f>IFERROR(__xludf.DUMMYFUNCTION("""COMPUTED_VALUE"""),"")</f>
        <v/>
      </c>
      <c r="D1519" s="5" t="str">
        <f>IFERROR(__xludf.DUMMYFUNCTION("""COMPUTED_VALUE"""),"")</f>
        <v/>
      </c>
      <c r="E1519" s="5" t="str">
        <f>IFERROR(__xludf.DUMMYFUNCTION("""COMPUTED_VALUE"""),"")</f>
        <v/>
      </c>
      <c r="F1519" s="5" t="str">
        <f>IFERROR(__xludf.DUMMYFUNCTION("""COMPUTED_VALUE"""),"")</f>
        <v/>
      </c>
      <c r="G1519" s="5" t="str">
        <f>IFERROR(__xludf.DUMMYFUNCTION("""COMPUTED_VALUE"""),"")</f>
        <v/>
      </c>
      <c r="H1519" s="5" t="str">
        <f>IFERROR(__xludf.DUMMYFUNCTION("""COMPUTED_VALUE"""),"")</f>
        <v/>
      </c>
      <c r="I1519" s="5" t="str">
        <f>IFERROR(__xludf.DUMMYFUNCTION("""COMPUTED_VALUE"""),"")</f>
        <v/>
      </c>
      <c r="J1519" s="5" t="str">
        <f>IFERROR(__xludf.DUMMYFUNCTION("""COMPUTED_VALUE"""),"")</f>
        <v/>
      </c>
      <c r="K1519" s="5" t="str">
        <f>IFERROR(__xludf.DUMMYFUNCTION("""COMPUTED_VALUE"""),"")</f>
        <v/>
      </c>
      <c r="L1519" s="5" t="str">
        <f>IFERROR(__xludf.DUMMYFUNCTION("""COMPUTED_VALUE"""),"")</f>
        <v/>
      </c>
      <c r="M1519" s="5" t="str">
        <f>IFERROR(__xludf.DUMMYFUNCTION("""COMPUTED_VALUE"""),"")</f>
        <v/>
      </c>
      <c r="N1519" s="5" t="str">
        <f>IFERROR(__xludf.DUMMYFUNCTION("""COMPUTED_VALUE"""),"")</f>
        <v/>
      </c>
      <c r="O1519" s="5" t="str">
        <f>IFERROR(__xludf.DUMMYFUNCTION("""COMPUTED_VALUE"""),"")</f>
        <v/>
      </c>
      <c r="P1519" s="5" t="str">
        <f>IFERROR(__xludf.DUMMYFUNCTION("""COMPUTED_VALUE"""),"")</f>
        <v/>
      </c>
      <c r="Q1519" s="5" t="str">
        <f>IFERROR(__xludf.DUMMYFUNCTION("""COMPUTED_VALUE"""),"")</f>
        <v/>
      </c>
      <c r="R1519" s="5" t="str">
        <f>IFERROR(__xludf.DUMMYFUNCTION("""COMPUTED_VALUE"""),"")</f>
        <v/>
      </c>
      <c r="S1519" s="5" t="str">
        <f>IFERROR(__xludf.DUMMYFUNCTION("""COMPUTED_VALUE"""),"")</f>
        <v/>
      </c>
      <c r="T1519" s="5" t="str">
        <f>IFERROR(__xludf.DUMMYFUNCTION("""COMPUTED_VALUE"""),"")</f>
        <v/>
      </c>
      <c r="U1519" s="5" t="str">
        <f>IFERROR(__xludf.DUMMYFUNCTION("""COMPUTED_VALUE"""),"")</f>
        <v/>
      </c>
      <c r="V1519" s="5" t="str">
        <f>IFERROR(__xludf.DUMMYFUNCTION("""COMPUTED_VALUE"""),"")</f>
        <v/>
      </c>
      <c r="W1519" s="5" t="str">
        <f>IFERROR(__xludf.DUMMYFUNCTION("""COMPUTED_VALUE"""),"")</f>
        <v/>
      </c>
      <c r="X1519" s="5" t="str">
        <f>IFERROR(__xludf.DUMMYFUNCTION("""COMPUTED_VALUE"""),"")</f>
        <v/>
      </c>
      <c r="Y1519" s="5"/>
      <c r="Z1519" s="5"/>
    </row>
    <row r="1520">
      <c r="A1520" s="5"/>
      <c r="B1520" s="5" t="str">
        <f>IFERROR(__xludf.DUMMYFUNCTION("""COMPUTED_VALUE"""),"")</f>
        <v/>
      </c>
      <c r="C1520" s="5" t="str">
        <f>IFERROR(__xludf.DUMMYFUNCTION("""COMPUTED_VALUE"""),"")</f>
        <v/>
      </c>
      <c r="D1520" s="5" t="str">
        <f>IFERROR(__xludf.DUMMYFUNCTION("""COMPUTED_VALUE"""),"")</f>
        <v/>
      </c>
      <c r="E1520" s="5" t="str">
        <f>IFERROR(__xludf.DUMMYFUNCTION("""COMPUTED_VALUE"""),"")</f>
        <v/>
      </c>
      <c r="F1520" s="5" t="str">
        <f>IFERROR(__xludf.DUMMYFUNCTION("""COMPUTED_VALUE"""),"")</f>
        <v/>
      </c>
      <c r="G1520" s="5" t="str">
        <f>IFERROR(__xludf.DUMMYFUNCTION("""COMPUTED_VALUE"""),"")</f>
        <v/>
      </c>
      <c r="H1520" s="5" t="str">
        <f>IFERROR(__xludf.DUMMYFUNCTION("""COMPUTED_VALUE"""),"")</f>
        <v/>
      </c>
      <c r="I1520" s="5" t="str">
        <f>IFERROR(__xludf.DUMMYFUNCTION("""COMPUTED_VALUE"""),"")</f>
        <v/>
      </c>
      <c r="J1520" s="5" t="str">
        <f>IFERROR(__xludf.DUMMYFUNCTION("""COMPUTED_VALUE"""),"")</f>
        <v/>
      </c>
      <c r="K1520" s="5" t="str">
        <f>IFERROR(__xludf.DUMMYFUNCTION("""COMPUTED_VALUE"""),"")</f>
        <v/>
      </c>
      <c r="L1520" s="5" t="str">
        <f>IFERROR(__xludf.DUMMYFUNCTION("""COMPUTED_VALUE"""),"")</f>
        <v/>
      </c>
      <c r="M1520" s="5" t="str">
        <f>IFERROR(__xludf.DUMMYFUNCTION("""COMPUTED_VALUE"""),"")</f>
        <v/>
      </c>
      <c r="N1520" s="5" t="str">
        <f>IFERROR(__xludf.DUMMYFUNCTION("""COMPUTED_VALUE"""),"")</f>
        <v/>
      </c>
      <c r="O1520" s="5" t="str">
        <f>IFERROR(__xludf.DUMMYFUNCTION("""COMPUTED_VALUE"""),"")</f>
        <v/>
      </c>
      <c r="P1520" s="5" t="str">
        <f>IFERROR(__xludf.DUMMYFUNCTION("""COMPUTED_VALUE"""),"")</f>
        <v/>
      </c>
      <c r="Q1520" s="5" t="str">
        <f>IFERROR(__xludf.DUMMYFUNCTION("""COMPUTED_VALUE"""),"")</f>
        <v/>
      </c>
      <c r="R1520" s="5" t="str">
        <f>IFERROR(__xludf.DUMMYFUNCTION("""COMPUTED_VALUE"""),"")</f>
        <v/>
      </c>
      <c r="S1520" s="5" t="str">
        <f>IFERROR(__xludf.DUMMYFUNCTION("""COMPUTED_VALUE"""),"")</f>
        <v/>
      </c>
      <c r="T1520" s="5" t="str">
        <f>IFERROR(__xludf.DUMMYFUNCTION("""COMPUTED_VALUE"""),"")</f>
        <v/>
      </c>
      <c r="U1520" s="5" t="str">
        <f>IFERROR(__xludf.DUMMYFUNCTION("""COMPUTED_VALUE"""),"")</f>
        <v/>
      </c>
      <c r="V1520" s="5" t="str">
        <f>IFERROR(__xludf.DUMMYFUNCTION("""COMPUTED_VALUE"""),"")</f>
        <v/>
      </c>
      <c r="W1520" s="5" t="str">
        <f>IFERROR(__xludf.DUMMYFUNCTION("""COMPUTED_VALUE"""),"")</f>
        <v/>
      </c>
      <c r="X1520" s="5" t="str">
        <f>IFERROR(__xludf.DUMMYFUNCTION("""COMPUTED_VALUE"""),"")</f>
        <v/>
      </c>
      <c r="Y1520" s="5"/>
      <c r="Z1520" s="5"/>
    </row>
    <row r="1521">
      <c r="A1521" s="5"/>
      <c r="B1521" s="5" t="str">
        <f>IFERROR(__xludf.DUMMYFUNCTION("""COMPUTED_VALUE"""),"")</f>
        <v/>
      </c>
      <c r="C1521" s="5" t="str">
        <f>IFERROR(__xludf.DUMMYFUNCTION("""COMPUTED_VALUE"""),"")</f>
        <v/>
      </c>
      <c r="D1521" s="5" t="str">
        <f>IFERROR(__xludf.DUMMYFUNCTION("""COMPUTED_VALUE"""),"")</f>
        <v/>
      </c>
      <c r="E1521" s="5" t="str">
        <f>IFERROR(__xludf.DUMMYFUNCTION("""COMPUTED_VALUE"""),"")</f>
        <v/>
      </c>
      <c r="F1521" s="5" t="str">
        <f>IFERROR(__xludf.DUMMYFUNCTION("""COMPUTED_VALUE"""),"")</f>
        <v/>
      </c>
      <c r="G1521" s="5" t="str">
        <f>IFERROR(__xludf.DUMMYFUNCTION("""COMPUTED_VALUE"""),"")</f>
        <v/>
      </c>
      <c r="H1521" s="5" t="str">
        <f>IFERROR(__xludf.DUMMYFUNCTION("""COMPUTED_VALUE"""),"")</f>
        <v/>
      </c>
      <c r="I1521" s="5" t="str">
        <f>IFERROR(__xludf.DUMMYFUNCTION("""COMPUTED_VALUE"""),"")</f>
        <v/>
      </c>
      <c r="J1521" s="5" t="str">
        <f>IFERROR(__xludf.DUMMYFUNCTION("""COMPUTED_VALUE"""),"")</f>
        <v/>
      </c>
      <c r="K1521" s="5" t="str">
        <f>IFERROR(__xludf.DUMMYFUNCTION("""COMPUTED_VALUE"""),"")</f>
        <v/>
      </c>
      <c r="L1521" s="5" t="str">
        <f>IFERROR(__xludf.DUMMYFUNCTION("""COMPUTED_VALUE"""),"")</f>
        <v/>
      </c>
      <c r="M1521" s="5" t="str">
        <f>IFERROR(__xludf.DUMMYFUNCTION("""COMPUTED_VALUE"""),"")</f>
        <v/>
      </c>
      <c r="N1521" s="5" t="str">
        <f>IFERROR(__xludf.DUMMYFUNCTION("""COMPUTED_VALUE"""),"")</f>
        <v/>
      </c>
      <c r="O1521" s="5" t="str">
        <f>IFERROR(__xludf.DUMMYFUNCTION("""COMPUTED_VALUE"""),"")</f>
        <v/>
      </c>
      <c r="P1521" s="5" t="str">
        <f>IFERROR(__xludf.DUMMYFUNCTION("""COMPUTED_VALUE"""),"")</f>
        <v/>
      </c>
      <c r="Q1521" s="5" t="str">
        <f>IFERROR(__xludf.DUMMYFUNCTION("""COMPUTED_VALUE"""),"")</f>
        <v/>
      </c>
      <c r="R1521" s="5" t="str">
        <f>IFERROR(__xludf.DUMMYFUNCTION("""COMPUTED_VALUE"""),"")</f>
        <v/>
      </c>
      <c r="S1521" s="5" t="str">
        <f>IFERROR(__xludf.DUMMYFUNCTION("""COMPUTED_VALUE"""),"")</f>
        <v/>
      </c>
      <c r="T1521" s="5" t="str">
        <f>IFERROR(__xludf.DUMMYFUNCTION("""COMPUTED_VALUE"""),"")</f>
        <v/>
      </c>
      <c r="U1521" s="5" t="str">
        <f>IFERROR(__xludf.DUMMYFUNCTION("""COMPUTED_VALUE"""),"")</f>
        <v/>
      </c>
      <c r="V1521" s="5" t="str">
        <f>IFERROR(__xludf.DUMMYFUNCTION("""COMPUTED_VALUE"""),"")</f>
        <v/>
      </c>
      <c r="W1521" s="5" t="str">
        <f>IFERROR(__xludf.DUMMYFUNCTION("""COMPUTED_VALUE"""),"")</f>
        <v/>
      </c>
      <c r="X1521" s="5" t="str">
        <f>IFERROR(__xludf.DUMMYFUNCTION("""COMPUTED_VALUE"""),"")</f>
        <v/>
      </c>
      <c r="Y1521" s="5"/>
      <c r="Z1521" s="5"/>
    </row>
    <row r="1522">
      <c r="A1522" s="5"/>
      <c r="B1522" s="5" t="str">
        <f>IFERROR(__xludf.DUMMYFUNCTION("""COMPUTED_VALUE"""),"")</f>
        <v/>
      </c>
      <c r="C1522" s="5" t="str">
        <f>IFERROR(__xludf.DUMMYFUNCTION("""COMPUTED_VALUE"""),"")</f>
        <v/>
      </c>
      <c r="D1522" s="5" t="str">
        <f>IFERROR(__xludf.DUMMYFUNCTION("""COMPUTED_VALUE"""),"")</f>
        <v/>
      </c>
      <c r="E1522" s="5" t="str">
        <f>IFERROR(__xludf.DUMMYFUNCTION("""COMPUTED_VALUE"""),"")</f>
        <v/>
      </c>
      <c r="F1522" s="5" t="str">
        <f>IFERROR(__xludf.DUMMYFUNCTION("""COMPUTED_VALUE"""),"")</f>
        <v/>
      </c>
      <c r="G1522" s="5" t="str">
        <f>IFERROR(__xludf.DUMMYFUNCTION("""COMPUTED_VALUE"""),"")</f>
        <v/>
      </c>
      <c r="H1522" s="5" t="str">
        <f>IFERROR(__xludf.DUMMYFUNCTION("""COMPUTED_VALUE"""),"")</f>
        <v/>
      </c>
      <c r="I1522" s="5" t="str">
        <f>IFERROR(__xludf.DUMMYFUNCTION("""COMPUTED_VALUE"""),"")</f>
        <v/>
      </c>
      <c r="J1522" s="5" t="str">
        <f>IFERROR(__xludf.DUMMYFUNCTION("""COMPUTED_VALUE"""),"")</f>
        <v/>
      </c>
      <c r="K1522" s="5" t="str">
        <f>IFERROR(__xludf.DUMMYFUNCTION("""COMPUTED_VALUE"""),"")</f>
        <v/>
      </c>
      <c r="L1522" s="5" t="str">
        <f>IFERROR(__xludf.DUMMYFUNCTION("""COMPUTED_VALUE"""),"")</f>
        <v/>
      </c>
      <c r="M1522" s="5" t="str">
        <f>IFERROR(__xludf.DUMMYFUNCTION("""COMPUTED_VALUE"""),"")</f>
        <v/>
      </c>
      <c r="N1522" s="5" t="str">
        <f>IFERROR(__xludf.DUMMYFUNCTION("""COMPUTED_VALUE"""),"")</f>
        <v/>
      </c>
      <c r="O1522" s="5" t="str">
        <f>IFERROR(__xludf.DUMMYFUNCTION("""COMPUTED_VALUE"""),"")</f>
        <v/>
      </c>
      <c r="P1522" s="5" t="str">
        <f>IFERROR(__xludf.DUMMYFUNCTION("""COMPUTED_VALUE"""),"")</f>
        <v/>
      </c>
      <c r="Q1522" s="5" t="str">
        <f>IFERROR(__xludf.DUMMYFUNCTION("""COMPUTED_VALUE"""),"")</f>
        <v/>
      </c>
      <c r="R1522" s="5" t="str">
        <f>IFERROR(__xludf.DUMMYFUNCTION("""COMPUTED_VALUE"""),"")</f>
        <v/>
      </c>
      <c r="S1522" s="5" t="str">
        <f>IFERROR(__xludf.DUMMYFUNCTION("""COMPUTED_VALUE"""),"")</f>
        <v/>
      </c>
      <c r="T1522" s="5" t="str">
        <f>IFERROR(__xludf.DUMMYFUNCTION("""COMPUTED_VALUE"""),"")</f>
        <v/>
      </c>
      <c r="U1522" s="5" t="str">
        <f>IFERROR(__xludf.DUMMYFUNCTION("""COMPUTED_VALUE"""),"")</f>
        <v/>
      </c>
      <c r="V1522" s="5" t="str">
        <f>IFERROR(__xludf.DUMMYFUNCTION("""COMPUTED_VALUE"""),"")</f>
        <v/>
      </c>
      <c r="W1522" s="5" t="str">
        <f>IFERROR(__xludf.DUMMYFUNCTION("""COMPUTED_VALUE"""),"")</f>
        <v/>
      </c>
      <c r="X1522" s="5" t="str">
        <f>IFERROR(__xludf.DUMMYFUNCTION("""COMPUTED_VALUE"""),"")</f>
        <v/>
      </c>
      <c r="Y1522" s="5"/>
      <c r="Z1522" s="5"/>
    </row>
    <row r="1523">
      <c r="A1523" s="5"/>
      <c r="B1523" s="5" t="str">
        <f>IFERROR(__xludf.DUMMYFUNCTION("""COMPUTED_VALUE"""),"")</f>
        <v/>
      </c>
      <c r="C1523" s="5" t="str">
        <f>IFERROR(__xludf.DUMMYFUNCTION("""COMPUTED_VALUE"""),"")</f>
        <v/>
      </c>
      <c r="D1523" s="5" t="str">
        <f>IFERROR(__xludf.DUMMYFUNCTION("""COMPUTED_VALUE"""),"")</f>
        <v/>
      </c>
      <c r="E1523" s="5" t="str">
        <f>IFERROR(__xludf.DUMMYFUNCTION("""COMPUTED_VALUE"""),"")</f>
        <v/>
      </c>
      <c r="F1523" s="5" t="str">
        <f>IFERROR(__xludf.DUMMYFUNCTION("""COMPUTED_VALUE"""),"")</f>
        <v/>
      </c>
      <c r="G1523" s="5" t="str">
        <f>IFERROR(__xludf.DUMMYFUNCTION("""COMPUTED_VALUE"""),"")</f>
        <v/>
      </c>
      <c r="H1523" s="5" t="str">
        <f>IFERROR(__xludf.DUMMYFUNCTION("""COMPUTED_VALUE"""),"")</f>
        <v/>
      </c>
      <c r="I1523" s="5" t="str">
        <f>IFERROR(__xludf.DUMMYFUNCTION("""COMPUTED_VALUE"""),"")</f>
        <v/>
      </c>
      <c r="J1523" s="5" t="str">
        <f>IFERROR(__xludf.DUMMYFUNCTION("""COMPUTED_VALUE"""),"")</f>
        <v/>
      </c>
      <c r="K1523" s="5" t="str">
        <f>IFERROR(__xludf.DUMMYFUNCTION("""COMPUTED_VALUE"""),"")</f>
        <v/>
      </c>
      <c r="L1523" s="5" t="str">
        <f>IFERROR(__xludf.DUMMYFUNCTION("""COMPUTED_VALUE"""),"")</f>
        <v/>
      </c>
      <c r="M1523" s="5" t="str">
        <f>IFERROR(__xludf.DUMMYFUNCTION("""COMPUTED_VALUE"""),"")</f>
        <v/>
      </c>
      <c r="N1523" s="5" t="str">
        <f>IFERROR(__xludf.DUMMYFUNCTION("""COMPUTED_VALUE"""),"")</f>
        <v/>
      </c>
      <c r="O1523" s="5" t="str">
        <f>IFERROR(__xludf.DUMMYFUNCTION("""COMPUTED_VALUE"""),"")</f>
        <v/>
      </c>
      <c r="P1523" s="5" t="str">
        <f>IFERROR(__xludf.DUMMYFUNCTION("""COMPUTED_VALUE"""),"")</f>
        <v/>
      </c>
      <c r="Q1523" s="5" t="str">
        <f>IFERROR(__xludf.DUMMYFUNCTION("""COMPUTED_VALUE"""),"")</f>
        <v/>
      </c>
      <c r="R1523" s="5" t="str">
        <f>IFERROR(__xludf.DUMMYFUNCTION("""COMPUTED_VALUE"""),"")</f>
        <v/>
      </c>
      <c r="S1523" s="5" t="str">
        <f>IFERROR(__xludf.DUMMYFUNCTION("""COMPUTED_VALUE"""),"")</f>
        <v/>
      </c>
      <c r="T1523" s="5" t="str">
        <f>IFERROR(__xludf.DUMMYFUNCTION("""COMPUTED_VALUE"""),"")</f>
        <v/>
      </c>
      <c r="U1523" s="5" t="str">
        <f>IFERROR(__xludf.DUMMYFUNCTION("""COMPUTED_VALUE"""),"")</f>
        <v/>
      </c>
      <c r="V1523" s="5" t="str">
        <f>IFERROR(__xludf.DUMMYFUNCTION("""COMPUTED_VALUE"""),"")</f>
        <v/>
      </c>
      <c r="W1523" s="5" t="str">
        <f>IFERROR(__xludf.DUMMYFUNCTION("""COMPUTED_VALUE"""),"")</f>
        <v/>
      </c>
      <c r="X1523" s="5" t="str">
        <f>IFERROR(__xludf.DUMMYFUNCTION("""COMPUTED_VALUE"""),"")</f>
        <v/>
      </c>
      <c r="Y1523" s="5"/>
      <c r="Z1523" s="5"/>
    </row>
    <row r="1524">
      <c r="A1524" s="5"/>
      <c r="B1524" s="5" t="str">
        <f>IFERROR(__xludf.DUMMYFUNCTION("""COMPUTED_VALUE"""),"")</f>
        <v/>
      </c>
      <c r="C1524" s="5" t="str">
        <f>IFERROR(__xludf.DUMMYFUNCTION("""COMPUTED_VALUE"""),"")</f>
        <v/>
      </c>
      <c r="D1524" s="5" t="str">
        <f>IFERROR(__xludf.DUMMYFUNCTION("""COMPUTED_VALUE"""),"")</f>
        <v/>
      </c>
      <c r="E1524" s="5" t="str">
        <f>IFERROR(__xludf.DUMMYFUNCTION("""COMPUTED_VALUE"""),"")</f>
        <v/>
      </c>
      <c r="F1524" s="5" t="str">
        <f>IFERROR(__xludf.DUMMYFUNCTION("""COMPUTED_VALUE"""),"")</f>
        <v/>
      </c>
      <c r="G1524" s="5" t="str">
        <f>IFERROR(__xludf.DUMMYFUNCTION("""COMPUTED_VALUE"""),"")</f>
        <v/>
      </c>
      <c r="H1524" s="5" t="str">
        <f>IFERROR(__xludf.DUMMYFUNCTION("""COMPUTED_VALUE"""),"")</f>
        <v/>
      </c>
      <c r="I1524" s="5" t="str">
        <f>IFERROR(__xludf.DUMMYFUNCTION("""COMPUTED_VALUE"""),"")</f>
        <v/>
      </c>
      <c r="J1524" s="5" t="str">
        <f>IFERROR(__xludf.DUMMYFUNCTION("""COMPUTED_VALUE"""),"")</f>
        <v/>
      </c>
      <c r="K1524" s="5" t="str">
        <f>IFERROR(__xludf.DUMMYFUNCTION("""COMPUTED_VALUE"""),"")</f>
        <v/>
      </c>
      <c r="L1524" s="5" t="str">
        <f>IFERROR(__xludf.DUMMYFUNCTION("""COMPUTED_VALUE"""),"")</f>
        <v/>
      </c>
      <c r="M1524" s="5" t="str">
        <f>IFERROR(__xludf.DUMMYFUNCTION("""COMPUTED_VALUE"""),"")</f>
        <v/>
      </c>
      <c r="N1524" s="5" t="str">
        <f>IFERROR(__xludf.DUMMYFUNCTION("""COMPUTED_VALUE"""),"")</f>
        <v/>
      </c>
      <c r="O1524" s="5" t="str">
        <f>IFERROR(__xludf.DUMMYFUNCTION("""COMPUTED_VALUE"""),"")</f>
        <v/>
      </c>
      <c r="P1524" s="5" t="str">
        <f>IFERROR(__xludf.DUMMYFUNCTION("""COMPUTED_VALUE"""),"")</f>
        <v/>
      </c>
      <c r="Q1524" s="5" t="str">
        <f>IFERROR(__xludf.DUMMYFUNCTION("""COMPUTED_VALUE"""),"")</f>
        <v/>
      </c>
      <c r="R1524" s="5" t="str">
        <f>IFERROR(__xludf.DUMMYFUNCTION("""COMPUTED_VALUE"""),"")</f>
        <v/>
      </c>
      <c r="S1524" s="5" t="str">
        <f>IFERROR(__xludf.DUMMYFUNCTION("""COMPUTED_VALUE"""),"")</f>
        <v/>
      </c>
      <c r="T1524" s="5" t="str">
        <f>IFERROR(__xludf.DUMMYFUNCTION("""COMPUTED_VALUE"""),"")</f>
        <v/>
      </c>
      <c r="U1524" s="5" t="str">
        <f>IFERROR(__xludf.DUMMYFUNCTION("""COMPUTED_VALUE"""),"")</f>
        <v/>
      </c>
      <c r="V1524" s="5" t="str">
        <f>IFERROR(__xludf.DUMMYFUNCTION("""COMPUTED_VALUE"""),"")</f>
        <v/>
      </c>
      <c r="W1524" s="5" t="str">
        <f>IFERROR(__xludf.DUMMYFUNCTION("""COMPUTED_VALUE"""),"")</f>
        <v/>
      </c>
      <c r="X1524" s="5" t="str">
        <f>IFERROR(__xludf.DUMMYFUNCTION("""COMPUTED_VALUE"""),"")</f>
        <v/>
      </c>
      <c r="Y1524" s="5"/>
      <c r="Z1524" s="5"/>
    </row>
    <row r="1525">
      <c r="A1525" s="5"/>
      <c r="B1525" s="5" t="str">
        <f>IFERROR(__xludf.DUMMYFUNCTION("""COMPUTED_VALUE"""),"")</f>
        <v/>
      </c>
      <c r="C1525" s="5" t="str">
        <f>IFERROR(__xludf.DUMMYFUNCTION("""COMPUTED_VALUE"""),"")</f>
        <v/>
      </c>
      <c r="D1525" s="5" t="str">
        <f>IFERROR(__xludf.DUMMYFUNCTION("""COMPUTED_VALUE"""),"")</f>
        <v/>
      </c>
      <c r="E1525" s="5" t="str">
        <f>IFERROR(__xludf.DUMMYFUNCTION("""COMPUTED_VALUE"""),"")</f>
        <v/>
      </c>
      <c r="F1525" s="5" t="str">
        <f>IFERROR(__xludf.DUMMYFUNCTION("""COMPUTED_VALUE"""),"")</f>
        <v/>
      </c>
      <c r="G1525" s="5" t="str">
        <f>IFERROR(__xludf.DUMMYFUNCTION("""COMPUTED_VALUE"""),"")</f>
        <v/>
      </c>
      <c r="H1525" s="5" t="str">
        <f>IFERROR(__xludf.DUMMYFUNCTION("""COMPUTED_VALUE"""),"")</f>
        <v/>
      </c>
      <c r="I1525" s="5" t="str">
        <f>IFERROR(__xludf.DUMMYFUNCTION("""COMPUTED_VALUE"""),"")</f>
        <v/>
      </c>
      <c r="J1525" s="5" t="str">
        <f>IFERROR(__xludf.DUMMYFUNCTION("""COMPUTED_VALUE"""),"")</f>
        <v/>
      </c>
      <c r="K1525" s="5" t="str">
        <f>IFERROR(__xludf.DUMMYFUNCTION("""COMPUTED_VALUE"""),"")</f>
        <v/>
      </c>
      <c r="L1525" s="5" t="str">
        <f>IFERROR(__xludf.DUMMYFUNCTION("""COMPUTED_VALUE"""),"")</f>
        <v/>
      </c>
      <c r="M1525" s="5" t="str">
        <f>IFERROR(__xludf.DUMMYFUNCTION("""COMPUTED_VALUE"""),"")</f>
        <v/>
      </c>
      <c r="N1525" s="5" t="str">
        <f>IFERROR(__xludf.DUMMYFUNCTION("""COMPUTED_VALUE"""),"")</f>
        <v/>
      </c>
      <c r="O1525" s="5" t="str">
        <f>IFERROR(__xludf.DUMMYFUNCTION("""COMPUTED_VALUE"""),"")</f>
        <v/>
      </c>
      <c r="P1525" s="5" t="str">
        <f>IFERROR(__xludf.DUMMYFUNCTION("""COMPUTED_VALUE"""),"")</f>
        <v/>
      </c>
      <c r="Q1525" s="5" t="str">
        <f>IFERROR(__xludf.DUMMYFUNCTION("""COMPUTED_VALUE"""),"")</f>
        <v/>
      </c>
      <c r="R1525" s="5" t="str">
        <f>IFERROR(__xludf.DUMMYFUNCTION("""COMPUTED_VALUE"""),"")</f>
        <v/>
      </c>
      <c r="S1525" s="5" t="str">
        <f>IFERROR(__xludf.DUMMYFUNCTION("""COMPUTED_VALUE"""),"")</f>
        <v/>
      </c>
      <c r="T1525" s="5" t="str">
        <f>IFERROR(__xludf.DUMMYFUNCTION("""COMPUTED_VALUE"""),"")</f>
        <v/>
      </c>
      <c r="U1525" s="5" t="str">
        <f>IFERROR(__xludf.DUMMYFUNCTION("""COMPUTED_VALUE"""),"")</f>
        <v/>
      </c>
      <c r="V1525" s="5" t="str">
        <f>IFERROR(__xludf.DUMMYFUNCTION("""COMPUTED_VALUE"""),"")</f>
        <v/>
      </c>
      <c r="W1525" s="5" t="str">
        <f>IFERROR(__xludf.DUMMYFUNCTION("""COMPUTED_VALUE"""),"")</f>
        <v/>
      </c>
      <c r="X1525" s="5" t="str">
        <f>IFERROR(__xludf.DUMMYFUNCTION("""COMPUTED_VALUE"""),"")</f>
        <v/>
      </c>
      <c r="Y1525" s="5"/>
      <c r="Z1525" s="5"/>
    </row>
  </sheetData>
  <drawing r:id="rId1"/>
</worksheet>
</file>